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png" ContentType="image/png"/>
  <Default Extension="jpeg" ContentType="image/jpeg"/>
  <Default Extension="JPG" ContentType="image/.jpg"/>
  <Default Extension="emf" ContentType="image/x-emf"/>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635" windowHeight="7620" tabRatio="966" firstSheet="6" activeTab="20"/>
  </bookViews>
  <sheets>
    <sheet name="EnBaza" sheetId="172" state="veryHidden" r:id="rId1"/>
    <sheet name="#Konverter" sheetId="182" state="veryHidden" r:id="rId2"/>
    <sheet name="Baza" sheetId="133" state="veryHidden" r:id="rId3"/>
    <sheet name="Text" sheetId="178" state="veryHidden" r:id="rId4"/>
    <sheet name="Konta_Pozicije BOS" sheetId="188" state="veryHidden" r:id="rId5"/>
    <sheet name="Konta_Pozicije HR" sheetId="204" state="veryHidden" r:id="rId6"/>
    <sheet name="Prethodna_2024" sheetId="214" r:id="rId7"/>
    <sheet name="UnosPod" sheetId="4" r:id="rId8"/>
    <sheet name="UnosPorBilans" sheetId="160" r:id="rId9"/>
    <sheet name="IND SPS_D" sheetId="219" state="hidden" r:id="rId10"/>
    <sheet name="GRAD SPS_D" sheetId="216" state="hidden" r:id="rId11"/>
    <sheet name="USL SPS-D" sheetId="217" state="hidden" r:id="rId12"/>
    <sheet name="TRG SPS-D" sheetId="218" state="hidden" r:id="rId13"/>
    <sheet name="UnosNovoZaposl" sheetId="222" r:id="rId14"/>
    <sheet name="PorPrijava" sheetId="153" r:id="rId15"/>
    <sheet name="PorBilans" sheetId="152" r:id="rId16"/>
    <sheet name="PorGub" sheetId="96" r:id="rId17"/>
    <sheet name="NovoZap" sheetId="156" r:id="rId18"/>
    <sheet name="IspravkaNovoZap" sheetId="226" r:id="rId19"/>
    <sheet name="IspataDividende" sheetId="165" r:id="rId20"/>
    <sheet name="B_Uspjeha" sheetId="191" r:id="rId21"/>
    <sheet name="B_Stanja" sheetId="189" r:id="rId22"/>
    <sheet name="P.Podaci" sheetId="82" r:id="rId23"/>
    <sheet name="Anex_MSV" sheetId="210" r:id="rId24"/>
    <sheet name="GotTok_Direkt" sheetId="192" r:id="rId25"/>
    <sheet name="GotTok_Indirekt" sheetId="193" r:id="rId26"/>
    <sheet name="Promj_Kapitala" sheetId="197" r:id="rId27"/>
    <sheet name="INV 1" sheetId="89" r:id="rId28"/>
    <sheet name="INV 2" sheetId="90" r:id="rId29"/>
    <sheet name="ObrTZ" sheetId="33" r:id="rId30"/>
    <sheet name="ObrONS" sheetId="138" r:id="rId31"/>
    <sheet name="ObrZS" sheetId="62" r:id="rId32"/>
    <sheet name="ObrOVN" sheetId="92" r:id="rId33"/>
    <sheet name="ObavRazv" sheetId="103" r:id="rId34"/>
    <sheet name="Biljeske_FIA_PDF" sheetId="206" r:id="rId35"/>
    <sheet name="GodIzvj_FIA_PDF" sheetId="107" r:id="rId36"/>
    <sheet name="OdlUtv_FIA_PDF" sheetId="207" r:id="rId37"/>
    <sheet name="RaspodjelaDobiti" sheetId="212" r:id="rId38"/>
    <sheet name="PokriceGubitka" sheetId="213" r:id="rId39"/>
    <sheet name="B_Uspjeha_M" sheetId="195" state="veryHidden" r:id="rId40"/>
    <sheet name="B_Stanja_M" sheetId="194" state="veryHidden" r:id="rId41"/>
    <sheet name="Anex_MIKRO" sheetId="209" state="veryHidden" r:id="rId42"/>
    <sheet name="OdlRasDob_PokGub_FIA_PDF" sheetId="208" state="hidden" r:id="rId43"/>
    <sheet name="Omot" sheetId="55" r:id="rId44"/>
    <sheet name="Analiza" sheetId="86" r:id="rId45"/>
    <sheet name="InvPrOpr" sheetId="154" r:id="rId46"/>
    <sheet name="InvStSred" sheetId="155" r:id="rId47"/>
    <sheet name="PlanInv" sheetId="158" r:id="rId48"/>
    <sheet name="ZahZaAkont" sheetId="98" r:id="rId49"/>
    <sheet name="ZahZaPovr" sheetId="97" r:id="rId50"/>
    <sheet name="Ugovor o računovodstvu" sheetId="161" state="veryHidden" r:id="rId51"/>
    <sheet name="ZahtjevFIA" sheetId="186" r:id="rId52"/>
    <sheet name="PromjDjelatnosti" sheetId="183" r:id="rId53"/>
    <sheet name="Odl_MSFI za MSS" sheetId="177" state="hidden" r:id="rId54"/>
    <sheet name="ObrP GKF" sheetId="36" state="hidden" r:id="rId55"/>
    <sheet name="Obrazac RPS" sheetId="225" r:id="rId56"/>
    <sheet name="Preliminarni_RFB" sheetId="223" r:id="rId57"/>
    <sheet name="Izvoz_PocStanje_2026" sheetId="211" r:id="rId58"/>
  </sheets>
  <externalReferences>
    <externalReference r:id="rId60"/>
    <externalReference r:id="rId61"/>
  </externalReferences>
  <definedNames>
    <definedName name="Adresa">UnosPod!$F$10</definedName>
    <definedName name="AOP_225">B_Uspjeha!$AI$49</definedName>
    <definedName name="Banka">Baza!$C$18</definedName>
    <definedName name="bosanski">UnosPod!$AT$4</definedName>
    <definedName name="Br.dozvRacunov">UnosPod!$AA$3</definedName>
    <definedName name="BrojMjeseci">Baza!$C$12</definedName>
    <definedName name="Datum_vrijeme">NOW()</definedName>
    <definedName name="Direktor">Baza!$C$10</definedName>
    <definedName name="Djelatnost">Baza!$D$20</definedName>
    <definedName name="Firma">UnosPod!$F$8</definedName>
    <definedName name="Glavni_racun">Baza!$C$17</definedName>
    <definedName name="Grad">'[1]#Konverter'!$AI$2:$AI$17</definedName>
    <definedName name="IdBroj">Baza!$C$15</definedName>
    <definedName name="Kanton">'[1]#Konverter'!$AG$2:$AG$11</definedName>
    <definedName name="OblikPreduzeca">'[1]#Konverter'!$S$2:$S$6</definedName>
    <definedName name="Opcina">Baza!$D$21</definedName>
    <definedName name="Općina">Baza!#REF!</definedName>
    <definedName name="Opstina">'[1]#Konverter'!$D$2:$D$80</definedName>
    <definedName name="Pdv_Broj">Baza!$C$16</definedName>
    <definedName name="PdvBroj">[2]Baza!$C$16</definedName>
    <definedName name="PeriodDo">Baza!$C$14</definedName>
    <definedName name="PeriodOd">Baza!$C$13</definedName>
    <definedName name="PoslGod">Baza!$C$6</definedName>
    <definedName name="Racunovoda">UnosPod!$F$3</definedName>
    <definedName name="Sif_Djelatn">Baza!$C$20</definedName>
    <definedName name="Sifra_opcine">Baza!$C$21</definedName>
    <definedName name="Sjedište">Baza!$I$21</definedName>
    <definedName name="UKUPNO_PRIHODI_PROSLA">Baza!$D$33</definedName>
    <definedName name="UKUPNO_PRIHODI_TEKUCA">Baza!$C$33</definedName>
    <definedName name="VećinskiVlasnik">UnosPod!$F$12</definedName>
    <definedName name="VerzijaIzvjestaja">'[1]#Konverter'!$Y$2:$Y$3</definedName>
    <definedName name="Z_7A886FB3_8F08_4D3E_B7EB_0851AD05C3C6_.wvu.Rows" localSheetId="2" hidden="1">Baza!$3:$11,Baza!$37:$334</definedName>
    <definedName name="Z_7A886FB3_8F08_4D3E_B7EB_0851AD05C3C6_.wvu.Rows" localSheetId="7" hidden="1">UnosPod!#REF!,UnosPorBilans!#REF!,UnosPod!$859:$933,UnosPod!#REF!,UnosPod!#REF!,UnosPod!#REF!,UnosPod!#REF!</definedName>
  </definedNames>
  <calcPr calcId="191029"/>
  <customWorkbookViews>
    <customWorkbookView name="Ekonomika" guid="{7A886FB3-8F08-4D3E-B7EB-0851AD05C3C6}" maximized="1" windowWidth="1276" windowHeight="610" activeSheetId="133"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Senad Hamulic</author>
  </authors>
  <commentList>
    <comment ref="H573" authorId="0">
      <text>
        <r>
          <rPr>
            <b/>
            <sz val="10"/>
            <rFont val="Tahoma"/>
            <charset val="238"/>
          </rPr>
          <t>Senad Hamulic:</t>
        </r>
        <r>
          <rPr>
            <sz val="10"/>
            <rFont val="Tahoma"/>
            <charset val="238"/>
          </rPr>
          <t xml:space="preserve">
minimalno 20 KM za mjesec</t>
        </r>
      </text>
    </comment>
    <comment ref="K573" authorId="0">
      <text>
        <r>
          <rPr>
            <b/>
            <sz val="10"/>
            <rFont val="Tahoma"/>
            <charset val="238"/>
          </rPr>
          <t>Senad Hamulic:</t>
        </r>
        <r>
          <rPr>
            <sz val="10"/>
            <rFont val="Tahoma"/>
            <charset val="238"/>
          </rPr>
          <t xml:space="preserve">
broj mjeseci</t>
        </r>
      </text>
    </comment>
    <comment ref="H574" authorId="0">
      <text>
        <r>
          <rPr>
            <b/>
            <sz val="10"/>
            <rFont val="Tahoma"/>
            <charset val="238"/>
          </rPr>
          <t>Senad Hamulic:</t>
        </r>
        <r>
          <rPr>
            <sz val="10"/>
            <rFont val="Tahoma"/>
            <charset val="238"/>
          </rPr>
          <t xml:space="preserve">
minimalno 4 KM po zaposlenom</t>
        </r>
      </text>
    </comment>
    <comment ref="K574" authorId="0">
      <text>
        <r>
          <rPr>
            <b/>
            <sz val="10"/>
            <rFont val="Tahoma"/>
            <charset val="238"/>
          </rPr>
          <t>Senad Hamulic:</t>
        </r>
        <r>
          <rPr>
            <sz val="10"/>
            <rFont val="Tahoma"/>
            <charset val="238"/>
          </rPr>
          <t xml:space="preserve">
upišite broj zaposlenih</t>
        </r>
      </text>
    </comment>
  </commentList>
</comments>
</file>

<file path=xl/comments2.xml><?xml version="1.0" encoding="utf-8"?>
<comments xmlns="http://schemas.openxmlformats.org/spreadsheetml/2006/main">
  <authors>
    <author>SEAD</author>
  </authors>
  <commentList>
    <comment ref="X30" authorId="0">
      <text>
        <r>
          <rPr>
            <b/>
            <sz val="8"/>
            <rFont val="Tahoma"/>
            <charset val="238"/>
          </rPr>
          <t xml:space="preserve">
MIKRO</t>
        </r>
        <r>
          <rPr>
            <sz val="8"/>
            <rFont val="Tahoma"/>
            <charset val="238"/>
          </rPr>
          <t xml:space="preserve"> pravna lica su ona koja ispunjavaju dva od tri uslova:
•   ukupan godišnji prihod do 700.000 KM
•   prosječna vrijednost aktive od 350.000 KM
•   prosječan broj zaposlenih do 9
</t>
        </r>
        <r>
          <rPr>
            <b/>
            <sz val="8"/>
            <rFont val="Tahoma"/>
            <charset val="238"/>
          </rPr>
          <t>SREDNJA</t>
        </r>
        <r>
          <rPr>
            <sz val="8"/>
            <rFont val="Tahoma"/>
            <charset val="238"/>
          </rPr>
          <t xml:space="preserve"> pravna lica su ona koja ispunjavaju dva od tri uslova:
•   ukupan godišnji prihod od 8.000.000 do 10.000.000 KM
•   prosječna vrijednost aktive od 4.000.000 do 20.000.000 KM
•   prosječan broj zaposlenih od 50 do 249
ili da jedan uslov prelazi gornju granicu.</t>
        </r>
      </text>
    </comment>
  </commentList>
</comments>
</file>

<file path=xl/sharedStrings.xml><?xml version="1.0" encoding="utf-8"?>
<sst xmlns="http://schemas.openxmlformats.org/spreadsheetml/2006/main" count="19768" uniqueCount="8115">
  <si>
    <t>Program rađen za GODINU</t>
  </si>
  <si>
    <t>AKTIVAN DO :</t>
  </si>
  <si>
    <t>GODINA iz UnosPod</t>
  </si>
  <si>
    <t>god</t>
  </si>
  <si>
    <t>mj</t>
  </si>
  <si>
    <t>dan</t>
  </si>
  <si>
    <t>PoslGod</t>
  </si>
  <si>
    <t>Ovlaštenje za korištenje - do datuma</t>
  </si>
  <si>
    <t>Promet 5+6+aktiva + Pasiva</t>
  </si>
  <si>
    <t>Današnji datum</t>
  </si>
  <si>
    <t>Broj mjeseci u obračunu</t>
  </si>
  <si>
    <t>Period od</t>
  </si>
  <si>
    <t>do</t>
  </si>
  <si>
    <t>ID broj</t>
  </si>
  <si>
    <t>Pregled ostvrenih prihoda po strukturi knjiženja u kontnom planu (prvih 5 po veličini)</t>
  </si>
  <si>
    <t>PRIHODI</t>
  </si>
  <si>
    <t>TEKUĆA</t>
  </si>
  <si>
    <t>PROŠLA</t>
  </si>
  <si>
    <t>RAZLIKA</t>
  </si>
  <si>
    <t>+</t>
  </si>
  <si>
    <t>%</t>
  </si>
  <si>
    <t xml:space="preserve">Other income </t>
  </si>
  <si>
    <t>UKUPNO PRIHODI</t>
  </si>
  <si>
    <t xml:space="preserve">Poslovni prihodi </t>
  </si>
  <si>
    <t>% u ukupnim prihodima</t>
  </si>
  <si>
    <t>BILJEŠKE</t>
  </si>
  <si>
    <t>600, AOP 203 -Income from sales of goods to associated companies</t>
  </si>
  <si>
    <t>601, AOP 204 -Income from sales of goods on local market</t>
  </si>
  <si>
    <t>602, AOP 205 -Income from sales of goods on foreign market</t>
  </si>
  <si>
    <t>610, AOP 207 -Income from sales of services to associated companies</t>
  </si>
  <si>
    <t>611, AOP 208 -Income from sales of services on local market</t>
  </si>
  <si>
    <t>612, AOP 209 -Income from sales of services on foreign market</t>
  </si>
  <si>
    <t>62, AOP 210 -Income from activation or consumption of goods and services</t>
  </si>
  <si>
    <t>65, AOP 211 -Other business income</t>
  </si>
  <si>
    <t xml:space="preserve">660, AOP 228 -Financial income from associated companies  </t>
  </si>
  <si>
    <t>661, AOP 229 -Interest income</t>
  </si>
  <si>
    <t>662, AOP 230 -Positive foreign exchange differences</t>
  </si>
  <si>
    <t>663, AOP 231 -Income from effects of foreign currency</t>
  </si>
  <si>
    <t xml:space="preserve">664, AOP 232 -Income from participation in profits of joint ventures </t>
  </si>
  <si>
    <t>669, AOP 233 -Other financial income</t>
  </si>
  <si>
    <t>670, AOP 245 -Income from sale of fixed assets</t>
  </si>
  <si>
    <t>671, AOP 246 -Income from sale of investment properties</t>
  </si>
  <si>
    <t xml:space="preserve">672, AOP 247 -Income from biological assets  </t>
  </si>
  <si>
    <t>674, AOP 248 -Income from sale of share in equity securities</t>
  </si>
  <si>
    <t xml:space="preserve">675, AOP 249 -Income from sale of material </t>
  </si>
  <si>
    <t>676, AOP 250 -Surpluses</t>
  </si>
  <si>
    <t>677, AOP 251 -Recovery of receivables written off</t>
  </si>
  <si>
    <t>678, AOP 252 -Income from contracted hedging</t>
  </si>
  <si>
    <t>679, AOP 253 -Write-off of liabilities, repealed provisions and other income</t>
  </si>
  <si>
    <t>680, AOP 267 -Revenues from adjustment of value of intangible assets</t>
  </si>
  <si>
    <t>681, AOP 268 -Revenues from adjustments of value of intangible fixed assets</t>
  </si>
  <si>
    <t>682, AOP 269 -Revenues from adj. of value of invest.of real estate for w. do amorti.</t>
  </si>
  <si>
    <t>683, AOP 270 -Revenues from adjust.of value of biological assets for w.do amort.</t>
  </si>
  <si>
    <t>684, AOP 271 -Revenues from adjust.of value of long term financial placements   and financial assets available for sale</t>
  </si>
  <si>
    <t xml:space="preserve">685, AOP 272 -Revenues from adjust.of storage value  </t>
  </si>
  <si>
    <t>686, AOP 273 -Revenues from adjust.of value of short term financial placements</t>
  </si>
  <si>
    <t xml:space="preserve">687, AOP 274 -Revenues from adjust.of capital value (negative goodwill)  </t>
  </si>
  <si>
    <t>689, AOP 275 -Revenues from adjust.of value of other assets</t>
  </si>
  <si>
    <t xml:space="preserve">640, AOP 286 -Increase of value of invest.real estate w.do not amortize  </t>
  </si>
  <si>
    <t xml:space="preserve">641, AOP 287 -Increase of value of biological assets w.do not amortize </t>
  </si>
  <si>
    <t xml:space="preserve">642, AOP 288 -Increase of value of other assets w.do not amortize  </t>
  </si>
  <si>
    <t>Pregled ostvrenih troškova i rashoda po strukturi knjiženja u kontnom planu (prvih 10 po veličini)</t>
  </si>
  <si>
    <t>RASHODI</t>
  </si>
  <si>
    <t>Other expenses</t>
  </si>
  <si>
    <t>UKUPNO RASHODI</t>
  </si>
  <si>
    <t>Poslovni rashodi</t>
  </si>
  <si>
    <t>% u ukupnim rashodima</t>
  </si>
  <si>
    <t>50, AOP 213 - Purchase value of the goods sold</t>
  </si>
  <si>
    <t>51, AOP 214 -Tangible costs</t>
  </si>
  <si>
    <t>520, 521, AOP 216 - Salaries and fees to salaries to employees</t>
  </si>
  <si>
    <t>523, 524, AOP 217 -Costs of other benefits, fees on salaries to employees</t>
  </si>
  <si>
    <t>527, 529, AOP 218 -Costs of benefits to other individuals</t>
  </si>
  <si>
    <t>53, AOP 219 -Costs of production services</t>
  </si>
  <si>
    <t>540 to 542, AOP 220 -Amortization</t>
  </si>
  <si>
    <t>543 to 549, AOP 221 -Provisions</t>
  </si>
  <si>
    <t>55, AOP 222 -Intangible costs</t>
  </si>
  <si>
    <t>560, AOP 235 -Financial loss from relationship with associated companies</t>
  </si>
  <si>
    <t>561, AOP 236 -Interest expense</t>
  </si>
  <si>
    <t>562, AOP 237 -Negative foreign exchange differences</t>
  </si>
  <si>
    <t>563, AOP 238 -Loss from effects of foreign currency</t>
  </si>
  <si>
    <t xml:space="preserve">569, AOP 239 -Other financial loss  </t>
  </si>
  <si>
    <t xml:space="preserve">570, AOP 255 -Expenses from sale and disposal of fixed assets </t>
  </si>
  <si>
    <t>571, AOP 256 -Expenses from sale and disposal of investment properties</t>
  </si>
  <si>
    <t xml:space="preserve">572, AOP 257 -Expenses from sale and disposal of biological assets </t>
  </si>
  <si>
    <t>574, AOP 258 -Expenses from sale of share in equity securities</t>
  </si>
  <si>
    <t xml:space="preserve">575, AOP 259 -Expenses from sale of material  </t>
  </si>
  <si>
    <t>576, AOP 260 -Deficits</t>
  </si>
  <si>
    <t>577, AOP 261 -Expenses from contracted hedging</t>
  </si>
  <si>
    <t xml:space="preserve">578, AOP 262 -Expenses from adjustments and written off claims  </t>
  </si>
  <si>
    <t>579, AOP 263 -Expenses and losses on storage value and other losses</t>
  </si>
  <si>
    <t xml:space="preserve">580, AOP 277 -1. Decrease of value of intangible assets </t>
  </si>
  <si>
    <t>581, AOP 278 -2. Decrease of value of tangible fixed assets</t>
  </si>
  <si>
    <t>582, AOP 279 -3. Decrease of value of real estate for which you do amortization</t>
  </si>
  <si>
    <t>583, AOP 280 -4. Decrease of value of biological assets for w.you do amortization</t>
  </si>
  <si>
    <t>584, AOP 281 -5. Decrease of value of long term financial placements and financial  assets available for sale</t>
  </si>
  <si>
    <t>585, AOP 282 -6. Decrease of storage value</t>
  </si>
  <si>
    <t>586, AOP 283 -7. Decrease of value of short term financial placements</t>
  </si>
  <si>
    <t>589, AOP 284 -8. Decrease of value of other assets</t>
  </si>
  <si>
    <t xml:space="preserve">643, AOP 290 -Decrease of value of invest.real estate w.do not amortize  </t>
  </si>
  <si>
    <t xml:space="preserve">644, AOP 291 -Decrease of value of biological assets w.do not amortize  </t>
  </si>
  <si>
    <t xml:space="preserve">645, AOP 292 -Decrease of value of other assets w.do not amortize  </t>
  </si>
  <si>
    <t>595, AOP 223 -Increase in value of inventories of services</t>
  </si>
  <si>
    <t>596, AOP 224 -Decrease in value of inventories of services</t>
  </si>
  <si>
    <t>AKTIVA - OSNOVNA SREDSTVA</t>
  </si>
  <si>
    <t>NETO TEKUĆA</t>
  </si>
  <si>
    <t xml:space="preserve">ISPRAVKA </t>
  </si>
  <si>
    <t>% ISPRAVKA</t>
  </si>
  <si>
    <t>BRUTO TEKUĆA</t>
  </si>
  <si>
    <t>% od ukupn.</t>
  </si>
  <si>
    <t>kretanje</t>
  </si>
  <si>
    <t>Bilješke</t>
  </si>
  <si>
    <t>Other fixed assets</t>
  </si>
  <si>
    <t>UKUPNO STALNA SREDSTVA</t>
  </si>
  <si>
    <t>AKTIVA - DUGOROČNI PLASMANI</t>
  </si>
  <si>
    <t>Ostali dugoročni plasmani</t>
  </si>
  <si>
    <t>UKUPNO DUGOROČNI PLASMANI</t>
  </si>
  <si>
    <t>AKTIVA - TEKUĆA (OBRTNA) SREDSTVA</t>
  </si>
  <si>
    <t>Prosječna</t>
  </si>
  <si>
    <t>kf obrtaja</t>
  </si>
  <si>
    <t>Dani</t>
  </si>
  <si>
    <t>2.2.1.</t>
  </si>
  <si>
    <t>2.2.2.</t>
  </si>
  <si>
    <t>2.2.3.</t>
  </si>
  <si>
    <t>Other current assets</t>
  </si>
  <si>
    <t>UKUPNO TEKUĆA - OBRTNA SREDSTVA</t>
  </si>
  <si>
    <t>AKTIVA - ZALIHE</t>
  </si>
  <si>
    <t>Ostale zalihe</t>
  </si>
  <si>
    <t>UKUPNO ZALIHE</t>
  </si>
  <si>
    <t>AKTIVA - POTRAŽIVANJA</t>
  </si>
  <si>
    <t>Ostala potraživanja</t>
  </si>
  <si>
    <t>UKUPNO POTRAŽIVANJA NETO</t>
  </si>
  <si>
    <t>UKUPNO POTRAŽIVANJA BRUTO</t>
  </si>
  <si>
    <t>ISPRAVKA VRIJEDNOSTI SUMLJIVIH I SPORNIH POTRAŽIVANJA</t>
  </si>
  <si>
    <t>% ispravka potraživanja / ukupna potraživanja (bruto) X 100</t>
  </si>
  <si>
    <t>AKTIVA - NOVČANA SREDSTVA</t>
  </si>
  <si>
    <t>AKTIVA</t>
  </si>
  <si>
    <t>010, AOP 003 -Capitalised costs of development</t>
  </si>
  <si>
    <t>011, AOP 004 -Concessions, patents and other rights</t>
  </si>
  <si>
    <t>012, AOP 005 -Goodwil</t>
  </si>
  <si>
    <t>013, 014, AOP 006 -Other intangible assets</t>
  </si>
  <si>
    <t>015, 017, AOP 007 -Advances and intangible assets in preparation</t>
  </si>
  <si>
    <t>020, AOP 009 -Land</t>
  </si>
  <si>
    <t>021, AOP 010 -Buildings</t>
  </si>
  <si>
    <t>022 do 024, AOP 011 -Plant and equipment</t>
  </si>
  <si>
    <t>026, AOP 012 -Residental buildings and apartments</t>
  </si>
  <si>
    <t>025, 027, AOP 013 -Advances and real estate, plants and equipment in preparation</t>
  </si>
  <si>
    <t>03, AOP 014 -Investment in real estate</t>
  </si>
  <si>
    <t>040, AOP 016 -Livestock unit</t>
  </si>
  <si>
    <t>041, AOP 017 -Woodlands and multiannual plants</t>
  </si>
  <si>
    <t>042, AOP 018 -Nucleus breeding</t>
  </si>
  <si>
    <t>045, 047, AOP 019 -Advances and biological assets in preparation</t>
  </si>
  <si>
    <t>05, AOP 020 -Other (specific) permanent material assets</t>
  </si>
  <si>
    <t>060, AOP 022 -Participation in equity of related legal entities</t>
  </si>
  <si>
    <t>061, AOP 023 -Participation in equity of other legal entities</t>
  </si>
  <si>
    <t>062, AOP 024 -Long term credits given to related legal entities</t>
  </si>
  <si>
    <t>063, AOP 025 -Long term credits given in country</t>
  </si>
  <si>
    <t>064, AOP 026 -Long term credits given abroad</t>
  </si>
  <si>
    <t>065, AOP 027 -Financial assets available for sale</t>
  </si>
  <si>
    <t>066, AOP 028 -Financial assets held until maturity</t>
  </si>
  <si>
    <t>068, AOP 029 -Other long term financial placements</t>
  </si>
  <si>
    <t>070, AOP 031 -Receivables from associated legal entities</t>
  </si>
  <si>
    <t>071 to 078, AOP 032 -Other long term receivables</t>
  </si>
  <si>
    <t>091, 098, AOP 033 -Long term demarcation</t>
  </si>
  <si>
    <t>10, AOP 037 -Raw materials, spare parts and partial inventory</t>
  </si>
  <si>
    <t>11, AOP 038 -Production ongoing, semi-finished and unfinished services</t>
  </si>
  <si>
    <t>12, AOP 039 -Finished goods</t>
  </si>
  <si>
    <t>13, AOP 040 -Goods</t>
  </si>
  <si>
    <t>14, AOP 041 -Fixed assets intended for sale and discontinued operations</t>
  </si>
  <si>
    <t>15, AOP 042 -Given advances</t>
  </si>
  <si>
    <t>20, AOP 044 -Cash and cash equivalents (045+046)</t>
  </si>
  <si>
    <t>210, AOP 048 -Buyers - related legal entities</t>
  </si>
  <si>
    <t>211, AOP 049 -Buyers in country</t>
  </si>
  <si>
    <t>212, AOP 050 -Buyers abroad</t>
  </si>
  <si>
    <t>22, AOP 051 -Claim from specific business</t>
  </si>
  <si>
    <t>23, AOP 052 -Other short term claims</t>
  </si>
  <si>
    <t>240, AOP 054 -Short-term loans to related legal entities</t>
  </si>
  <si>
    <t>241, AOP 055 -Short-term loans in country</t>
  </si>
  <si>
    <t>242, AOP 056 -Short-term loans given abroad</t>
  </si>
  <si>
    <t>243, 244, AOP 057 -Short-term part of long term placements</t>
  </si>
  <si>
    <t>245, AOP 058 -Financial assets for trading</t>
  </si>
  <si>
    <t>246, AOP 059 -Other financial assets at fair value</t>
  </si>
  <si>
    <t>248, AOP 060 -Other short term placements</t>
  </si>
  <si>
    <t>27, AOP 061 -Claims for VAT</t>
  </si>
  <si>
    <t>28 wout 288, AOP 062 -Active time demarcation</t>
  </si>
  <si>
    <t>Zalihe</t>
  </si>
  <si>
    <t>Potraživanja</t>
  </si>
  <si>
    <t>Gotovina -novčana sredstva</t>
  </si>
  <si>
    <t>UKUPNO TEKUĆA SREDSTVA</t>
  </si>
  <si>
    <t>PASIVA - KAPITAL</t>
  </si>
  <si>
    <t>Other capital</t>
  </si>
  <si>
    <t>UKUPNO KAPITAL - VLASTITA SREDSTVA</t>
  </si>
  <si>
    <t>PASIVA - OBAVEZE</t>
  </si>
  <si>
    <t>2.4.1.</t>
  </si>
  <si>
    <t>2.4.2.</t>
  </si>
  <si>
    <t>2.4.3.</t>
  </si>
  <si>
    <t>2.4.4.</t>
  </si>
  <si>
    <t>Other obligations</t>
  </si>
  <si>
    <t>UKUPNO OBAVEZE - ZADUŽENOST</t>
  </si>
  <si>
    <t>PASIVA</t>
  </si>
  <si>
    <t>300, AOP 103 -Share capital</t>
  </si>
  <si>
    <t xml:space="preserve">302, AOP 104 -Shares of company members with limited liability </t>
  </si>
  <si>
    <t>303, AOP 105 -Cooperative shares</t>
  </si>
  <si>
    <t>304, AOP 106 -Stakes</t>
  </si>
  <si>
    <t>305, AOP 107 -State capital</t>
  </si>
  <si>
    <t>309, AOP 108 -Other inital capital</t>
  </si>
  <si>
    <t>31, AOP 109 -Subscribed unpaid capital</t>
  </si>
  <si>
    <t>320, AOP 110 -Premium of share</t>
  </si>
  <si>
    <t>321, AOP 112 -Legal reserves</t>
  </si>
  <si>
    <t>322, AOP 113 -Statutory and other reserves</t>
  </si>
  <si>
    <t>part 33, AOP 114 -Revaluation reserves</t>
  </si>
  <si>
    <t>part 33, AOP 115 -Unrealized profits</t>
  </si>
  <si>
    <t>part 33, AOP 116 -Unrealized losses</t>
  </si>
  <si>
    <t>340, AOP 118 -Retained earnings from previous years</t>
  </si>
  <si>
    <t>341, AOP 119 -Retained earnings from current year</t>
  </si>
  <si>
    <t>342, AOP 120 -Unlisted excess revenues from previous years</t>
  </si>
  <si>
    <t>343, AOP 121 -Unlisted excess revenues in current year</t>
  </si>
  <si>
    <t>350, AOP 123 -Loss from previous years</t>
  </si>
  <si>
    <t>351, AOP 124 -Loss from current year</t>
  </si>
  <si>
    <t>352, AOP 125 -Uncovered expenditures from previous years</t>
  </si>
  <si>
    <t>353, AOP 126 -Uncovered expenditures in current year</t>
  </si>
  <si>
    <t xml:space="preserve">360, AOP 127 -Repurchased own shares </t>
  </si>
  <si>
    <t>part 40, AOP 129 -Long term Provisions for expenditures and risks</t>
  </si>
  <si>
    <t>parto 40, AOP 130 -Long term demarcation</t>
  </si>
  <si>
    <t>410, AOP 132 -Obligations that can be converted into equity</t>
  </si>
  <si>
    <t>411, AOP 133 -Obligations due to related legal entities</t>
  </si>
  <si>
    <t>412, AOP 134 -Obligations according to long-term securities</t>
  </si>
  <si>
    <t>413, 414, AOP 135 -Long term credits</t>
  </si>
  <si>
    <t>415, 416, AOP 136 -Long-term liabilities under financial lease</t>
  </si>
  <si>
    <t>417, AOP 137 -Long-term liabilities at fair value through profit or loss</t>
  </si>
  <si>
    <t>419, AOP 138 -Other long term liabilities</t>
  </si>
  <si>
    <t>420, AOP 142 -Liabilities to related legal entities</t>
  </si>
  <si>
    <t>421, AOP 143 -Obligations according to short-term securities</t>
  </si>
  <si>
    <t>422, AOP 144 -Short term credits taken in country</t>
  </si>
  <si>
    <t>423, AOP 145 -Short term credits taken abroad</t>
  </si>
  <si>
    <t>424, 425, AOP 146 -Short term portion of long-term liabilities</t>
  </si>
  <si>
    <t>427, AOP 147 -Short-term liabilities at fair value through profit or loss</t>
  </si>
  <si>
    <t>429, AOP 148 -Other short term financial liabilities</t>
  </si>
  <si>
    <t>430, AOP 150 -Received advance payments, deposits and security deposits</t>
  </si>
  <si>
    <t>431, AOP 151 -Suppliers - related legal entities</t>
  </si>
  <si>
    <t>432, AOP 152 -Suppliers - in country</t>
  </si>
  <si>
    <t>433, AOP 153 -Suppliers - abroad</t>
  </si>
  <si>
    <t>439, AOP 154 -Other operating liabilities</t>
  </si>
  <si>
    <t>44, AOP 155 -Liabilities from specific operating activities</t>
  </si>
  <si>
    <t>450 to 452, AOP 157 -Liabilities from salary and fees to salary</t>
  </si>
  <si>
    <t>453 to 455, AOP 158 -Liabilities from fees to salary which are refunded</t>
  </si>
  <si>
    <t>456 to 458, AOP 159 -Liabilities from other fees to employees</t>
  </si>
  <si>
    <t>46, AOP 160 -Other liabilities</t>
  </si>
  <si>
    <t>47, AOP 161 -Liabilities to VAT</t>
  </si>
  <si>
    <t>48 wout 481, AOP 162 -Liabilities for other taxes and other charges</t>
  </si>
  <si>
    <t>481, AOP 163 -Liabilities for income tax</t>
  </si>
  <si>
    <t>Pregled novčanih PRILIVA (prvih 5 po veličini)</t>
  </si>
  <si>
    <t>PRILIVI -IZVJEŠTAJ O GOTOVINSKIM TOKOVIMA - DIREKTNA M.</t>
  </si>
  <si>
    <t>3.1.1.</t>
  </si>
  <si>
    <t>3.1.2.</t>
  </si>
  <si>
    <t>3.1.3.</t>
  </si>
  <si>
    <t xml:space="preserve">Ostali prilivi </t>
  </si>
  <si>
    <t>UKUPNO PRILIVI</t>
  </si>
  <si>
    <t>Pregled novčanih ODLIVA (prvih 5 po veličini)</t>
  </si>
  <si>
    <t>ODLIVI -IZVJEŠTAJ O GOTOVINSKIM TOKOVIMA - DIREKTNA M.</t>
  </si>
  <si>
    <t>3.2.1.</t>
  </si>
  <si>
    <t>3.2.2.</t>
  </si>
  <si>
    <t>3.2.3.</t>
  </si>
  <si>
    <t>Ostali odlivi</t>
  </si>
  <si>
    <t>UKUPNO ODLIVI</t>
  </si>
  <si>
    <t>IZVJEŠTAJ O GOTOVINSKIM TOKOVIMA - DIREKTNA METODA</t>
  </si>
  <si>
    <t>AOP 302 -Prilivi od kupaca i primljeni avansi</t>
  </si>
  <si>
    <t>AOP 303 -Prilivi od premija, subvencija, dotacija i sl.</t>
  </si>
  <si>
    <t>AOP 304 -Ostali prilivi od poslovnih aktivnosti</t>
  </si>
  <si>
    <t>AOP 314 -Prilivi iz osnova kratkoročnih finansijskih plasmana</t>
  </si>
  <si>
    <t>AOP 315 -Prilivi iz osnova prodaje dionica i udjela</t>
  </si>
  <si>
    <t>AOP 316 -Prilivi iz osnova prodaje stalnih sredstava</t>
  </si>
  <si>
    <t>AOP 317 -Prilivi iz osnova kamata</t>
  </si>
  <si>
    <t>AOP 318 -Prilivi iz osnova dividendi i učešća u dobiti</t>
  </si>
  <si>
    <t>AOP 319 -Prilivi iz osnova ostalih dugoročnih finansijskih plasmana</t>
  </si>
  <si>
    <t>AOP 328 -Priliv iz osnova povećanja osnovnog kapitala</t>
  </si>
  <si>
    <t>AOP 329 -Priliv iz osnova dugoročnih kredita</t>
  </si>
  <si>
    <t>AOP 330 -Priliv iz osnova kratkoročnih kredita</t>
  </si>
  <si>
    <t>AOP 331 -Prilivi iz osnova ostalih dugoročnih i kratkoročnih obaveza</t>
  </si>
  <si>
    <t>AOP 306 -Odlivi iz osnova isplate dobavljačima i dati avansi</t>
  </si>
  <si>
    <t>AOP 307 -Odlivi iz osnova plaća, naknada plaća i drugih primanja zaposlenih</t>
  </si>
  <si>
    <t>AOP 308 -Odlivi iz osnova plaćenih kamata</t>
  </si>
  <si>
    <t>AOP 309 -Odlivi iz osnova poreza i drugih dažbina</t>
  </si>
  <si>
    <t>AOP 310 -Ostali odlivi iz poslovnih aktivnosti</t>
  </si>
  <si>
    <t>AOP 321 -Odlivi iz osnova kratkoročnih finansijskih plasmana</t>
  </si>
  <si>
    <t>AOP 322 -Odlivi iz osnova kupovine dionica i udjela</t>
  </si>
  <si>
    <t>AOP 323 -Odlivi iz osnova kupovine stalnih sredstava</t>
  </si>
  <si>
    <t>AOP 324 -Odlivi iz osnova ostalih dugoročnih finansijskih plasmana</t>
  </si>
  <si>
    <t>AOP 333 -Odlivi iz osnova otkupa vlastitih dionica i udjela</t>
  </si>
  <si>
    <t>AOP 334 -Odlivi iz osnova dugoročnih kredita</t>
  </si>
  <si>
    <t>AOP 335 -Odlivi iz osnova kratkoročnih kredita</t>
  </si>
  <si>
    <t>AOP 336 -Odlivi iz osnova finansijskog lizinga</t>
  </si>
  <si>
    <t>AOP 337 -Odlivi iz osnova isplaćenih dividendi</t>
  </si>
  <si>
    <t>AOP 338 -Odlivi iz osnova ostalih dugoročnih i kratkoročnih obaveza</t>
  </si>
  <si>
    <t>4.1.1.</t>
  </si>
  <si>
    <t>4.1.2.</t>
  </si>
  <si>
    <t>4.1.3.</t>
  </si>
  <si>
    <t>4.2.1.</t>
  </si>
  <si>
    <t>4.2.2.</t>
  </si>
  <si>
    <t>4.2.3.</t>
  </si>
  <si>
    <t>IZVJEŠTAJ O GOTOVINSKIM TOKOVIMA - INDIREKTNA METODA</t>
  </si>
  <si>
    <t>AOP 401 -Neto dobit za period</t>
  </si>
  <si>
    <t>10</t>
  </si>
  <si>
    <t>Neto prilivi iz osnova Smanjenja zaliha</t>
  </si>
  <si>
    <t>11</t>
  </si>
  <si>
    <t>Neto prilivi iz osnova Smanjenja potraživanja od prodaje</t>
  </si>
  <si>
    <t>12</t>
  </si>
  <si>
    <t>Neto prilivi iz osnova Smanjenja drugih potraživanja</t>
  </si>
  <si>
    <t>13</t>
  </si>
  <si>
    <t>Neto prilivi iz osnova Smanjenja aktivnih vremenskih razgraničenja</t>
  </si>
  <si>
    <t>14</t>
  </si>
  <si>
    <t>Neto prilivi iz osnova Povećanja obaveza prema dobavljačima</t>
  </si>
  <si>
    <t>15</t>
  </si>
  <si>
    <t>Neto prilivi iz osnova Povećanja drugih obaveza</t>
  </si>
  <si>
    <t>16</t>
  </si>
  <si>
    <t>Neto prilivi iz osnova Povećanja pasivnih vrem.razgraničenja</t>
  </si>
  <si>
    <t>AOP 406 -Neto prilivi iz osnova kratkoročnih finansijskih plasmana</t>
  </si>
  <si>
    <t>AOP 407 -Neto prilivi iz osnova prodaje dionica i udjela</t>
  </si>
  <si>
    <t>AOP 408 -Neto prilivi iz osnova prodaje stalnih sredstava</t>
  </si>
  <si>
    <t>AOP 409 -Neto prilivi iz osnova kamata</t>
  </si>
  <si>
    <t>AOP 410 -Neto prilivi iz osnova dividendi i učešća u dobiti</t>
  </si>
  <si>
    <t>AOP 411 -Neto prilivi iz osnova ostalih dugoročnih finansijskih plasmana</t>
  </si>
  <si>
    <t>AOP 420 -Neto prilivi iz osnova povećanja osnovnog kapitala</t>
  </si>
  <si>
    <t>AOP 421 -Neto prilivi iz osnova dugoročnih kredita</t>
  </si>
  <si>
    <t>AOP 422 -Neto prilivi iz osnova kratkoročnih kredita</t>
  </si>
  <si>
    <t>AOP 423 -Neto prilivi iz osnova ostalih dugoročnih i kratkoročnih obaveza</t>
  </si>
  <si>
    <t>AOP 401 -Neto gubitak za period</t>
  </si>
  <si>
    <t>Neto odlivi iz osnova Povećanja  zaliha</t>
  </si>
  <si>
    <t>Neto odlivi iz osnova Povećanja potraživanja od prodaje</t>
  </si>
  <si>
    <t>Neto odlivi iz osnova Povećanja drugih potraživanja</t>
  </si>
  <si>
    <t>Neto odlivi iz osnova Povećanja aktivnih vremenskih razgraničenja</t>
  </si>
  <si>
    <t>Neto odlivi iz osnova Smanjenja obaveza prema dobavljačima</t>
  </si>
  <si>
    <t>Neto odlivi iz osnova Smanjenja drugih obaveza</t>
  </si>
  <si>
    <t>Neto odlivi iz osnova Smanjenja pasivnih vremenskih razgraničenja</t>
  </si>
  <si>
    <t>AOP 413 -Neto odlivi iz osnova kratkoročnih finansijskih plasmana</t>
  </si>
  <si>
    <t>AOP 414 -Neto odlivi iz osnova kupovine dionica i udjela</t>
  </si>
  <si>
    <t>AOP 415 -Neto odlivi iz osnova kupovine stalnih sredstava</t>
  </si>
  <si>
    <t>AOP 416 -Neto odlivi iz osnova ostalih dugoročnih finansijskih plasmana</t>
  </si>
  <si>
    <t>AOP 425 -Neto odlivi iz osnova otkupa vlastitih dionica i udjela</t>
  </si>
  <si>
    <t>AOP 426 -Neto odlivi iz osnova dugoročnih kredita</t>
  </si>
  <si>
    <t>AOP 427 -Neto odlivi iz osnova kratkoročnih kredita</t>
  </si>
  <si>
    <t>AOP 428 -Neto odlivi iz osnova finansijskog lizinga</t>
  </si>
  <si>
    <t>AOP 429 -Neto odlivi iz osnova isplaćenih dividendi</t>
  </si>
  <si>
    <t>AOP 430 -Neto odlivi iz osnova ostalih dugoročnih i kratkoročnih obaveza</t>
  </si>
  <si>
    <t>RAZVRSATAVANJE PRAVNIH SUBJEKATA</t>
  </si>
  <si>
    <t>•   prosječna vrijednost poslovne imovine (aktive)</t>
  </si>
  <si>
    <t>•   prosječan broj zaposlenih</t>
  </si>
  <si>
    <t>DA</t>
  </si>
  <si>
    <t>godisnji</t>
  </si>
  <si>
    <t>NE</t>
  </si>
  <si>
    <t>polugodisnji</t>
  </si>
  <si>
    <t>Opština</t>
  </si>
  <si>
    <t>Šifra opštine 3</t>
  </si>
  <si>
    <t>Šifra opštine 5</t>
  </si>
  <si>
    <t>Poštanski br.</t>
  </si>
  <si>
    <t>Kanton</t>
  </si>
  <si>
    <t>Šifra kantona</t>
  </si>
  <si>
    <t>Entitet</t>
  </si>
  <si>
    <t>Šifra djelatnosti</t>
  </si>
  <si>
    <t>Naziv djelatnosti</t>
  </si>
  <si>
    <t>Ministarstva</t>
  </si>
  <si>
    <t>Naselje</t>
  </si>
  <si>
    <t>Poštanski broj</t>
  </si>
  <si>
    <t>Šifra opštine</t>
  </si>
  <si>
    <t>Oznaka banke</t>
  </si>
  <si>
    <t>Naziv banke</t>
  </si>
  <si>
    <t>Oblik preduzeća</t>
  </si>
  <si>
    <t>Tip fonda</t>
  </si>
  <si>
    <t>Standard izvještavanja</t>
  </si>
  <si>
    <t>Tip izvještaja</t>
  </si>
  <si>
    <t>Verzija izvještaja</t>
  </si>
  <si>
    <t>Kombinacija</t>
  </si>
  <si>
    <t>Tip izvještaja ID</t>
  </si>
  <si>
    <t>Veličina pravnog lica</t>
  </si>
  <si>
    <t>ID obrasca</t>
  </si>
  <si>
    <t>Naziv obrasca</t>
  </si>
  <si>
    <t>Stopa za ONŠ opštine</t>
  </si>
  <si>
    <t>Stopa za ONŠ</t>
  </si>
  <si>
    <t>Grad</t>
  </si>
  <si>
    <t>GradID</t>
  </si>
  <si>
    <t>OpštinaID</t>
  </si>
  <si>
    <t>KantonID</t>
  </si>
  <si>
    <t>KP</t>
  </si>
  <si>
    <t>KPID</t>
  </si>
  <si>
    <t>Banovići</t>
  </si>
  <si>
    <t>001</t>
  </si>
  <si>
    <t>Tuzlanski kanton</t>
  </si>
  <si>
    <t>FBiH</t>
  </si>
  <si>
    <t>01.11</t>
  </si>
  <si>
    <t>Uzgoj žitarica (osim riže), mahunarki i sjemenja uljarica</t>
  </si>
  <si>
    <t xml:space="preserve">FBiH|Ministarstvo energije, rudarstva i industrije </t>
  </si>
  <si>
    <t>Travnik</t>
  </si>
  <si>
    <t>Babanovac</t>
  </si>
  <si>
    <t>Srednjobosanski kanton</t>
  </si>
  <si>
    <t>306</t>
  </si>
  <si>
    <t>Addiko bank d.d. Sarajevo</t>
  </si>
  <si>
    <t>d.o.o.</t>
  </si>
  <si>
    <t>Otvoreni</t>
  </si>
  <si>
    <t>MSFI za MSP (mala i srednja pravna lica)</t>
  </si>
  <si>
    <t>Godišnji</t>
  </si>
  <si>
    <t>Osnovna</t>
  </si>
  <si>
    <t>Godišnji|Osnovna</t>
  </si>
  <si>
    <t>Mikro</t>
  </si>
  <si>
    <t>Izvještaj o finansijskom položaju na kraju perioda (Bilans stanja)</t>
  </si>
  <si>
    <t>Bihać</t>
  </si>
  <si>
    <t xml:space="preserve">  a) reklasifikacija na konta aktive</t>
  </si>
  <si>
    <t>003</t>
  </si>
  <si>
    <t>Unsko-sanski kanton</t>
  </si>
  <si>
    <t>01.12</t>
  </si>
  <si>
    <t>Uzgoj riže</t>
  </si>
  <si>
    <t xml:space="preserve">FBiH|Ministarstvo finansija </t>
  </si>
  <si>
    <t>134</t>
  </si>
  <si>
    <t>ASA Banka d.d. Sarajevo</t>
  </si>
  <si>
    <t>d.d.</t>
  </si>
  <si>
    <t>Zatvoreni</t>
  </si>
  <si>
    <t>RS</t>
  </si>
  <si>
    <t>MRS/MSFI (velika pravna lica)</t>
  </si>
  <si>
    <t>Godišnji - različit izvještajni period</t>
  </si>
  <si>
    <t>Izmijenjena</t>
  </si>
  <si>
    <t>Godišnji - različit izvještajni period|Osnovna</t>
  </si>
  <si>
    <t>Malo</t>
  </si>
  <si>
    <t>Izvještaj o ukupnom rezultatu za period (Bilans uspjeha)</t>
  </si>
  <si>
    <t>Bosanska Krupa</t>
  </si>
  <si>
    <t xml:space="preserve">  b) storniranjem troškova</t>
  </si>
  <si>
    <t>008</t>
  </si>
  <si>
    <t>01.13</t>
  </si>
  <si>
    <t>Uzgoj povrća, dinja i lubenica, korjenastog i gomoljastog povrća</t>
  </si>
  <si>
    <t xml:space="preserve">FBiH|Ministarstvo kulture i sporta </t>
  </si>
  <si>
    <t>Žepče</t>
  </si>
  <si>
    <t>Begov Han</t>
  </si>
  <si>
    <t>Zeničko-dobojski kanton</t>
  </si>
  <si>
    <t>141</t>
  </si>
  <si>
    <t>Bosna Bank International d.d. Sarajevo</t>
  </si>
  <si>
    <t>d.n.o.</t>
  </si>
  <si>
    <t>Konsolidovani</t>
  </si>
  <si>
    <t>Godišnji - životno osiguranje|Osnovna</t>
  </si>
  <si>
    <t>Srednje</t>
  </si>
  <si>
    <t>Izvještaj o prihodima i rashodima</t>
  </si>
  <si>
    <t xml:space="preserve">Kanton 10 </t>
  </si>
  <si>
    <t>Cazin</t>
  </si>
  <si>
    <t xml:space="preserve">  c) preko konta prihoda i navesti konto</t>
  </si>
  <si>
    <t>Bosanski Petrovac</t>
  </si>
  <si>
    <t>011</t>
  </si>
  <si>
    <t>01.14</t>
  </si>
  <si>
    <t>Uzgoj šećerne trske</t>
  </si>
  <si>
    <t xml:space="preserve">FBiH|Ministarstvo obrazovanja i nauke </t>
  </si>
  <si>
    <t>154</t>
  </si>
  <si>
    <t>Intesa Sanpaolo Banka d.d. BiH</t>
  </si>
  <si>
    <t>k.d.</t>
  </si>
  <si>
    <t>Stečaj - otvaranje/zaključenje</t>
  </si>
  <si>
    <t>Godišnji - neživotno osiguranje|Osnovna</t>
  </si>
  <si>
    <t>Veliko</t>
  </si>
  <si>
    <t>Račun prihoda i rashoda</t>
  </si>
  <si>
    <t>Goražde</t>
  </si>
  <si>
    <t xml:space="preserve">  d) ostalo - navesti</t>
  </si>
  <si>
    <t>Bosansko Grahovo</t>
  </si>
  <si>
    <t>013</t>
  </si>
  <si>
    <t>01.15</t>
  </si>
  <si>
    <t>Uzgoj duhana</t>
  </si>
  <si>
    <t xml:space="preserve">FBiH|Ministarstvo okoliša i turizma </t>
  </si>
  <si>
    <t>Vitez</t>
  </si>
  <si>
    <t>Bila</t>
  </si>
  <si>
    <t>198</t>
  </si>
  <si>
    <t>Komercijalno-investiciona banka d.d. V. Kladuša</t>
  </si>
  <si>
    <t>ostalo</t>
  </si>
  <si>
    <t>Stečaj - otvaranje</t>
  </si>
  <si>
    <t>Konsolidovani|Osnovna</t>
  </si>
  <si>
    <t>Izvještaj o gotovinskim tokovima</t>
  </si>
  <si>
    <t>Gračanica</t>
  </si>
  <si>
    <t>Breza</t>
  </si>
  <si>
    <t>016</t>
  </si>
  <si>
    <t>01.16</t>
  </si>
  <si>
    <t>Uzgoj tekstilnih biljaka</t>
  </si>
  <si>
    <t xml:space="preserve">FBiH|Ministarstvo poljoprivrede, vodoprivrede i šumarstva </t>
  </si>
  <si>
    <t>Kiseljak</t>
  </si>
  <si>
    <t>Bilalovac</t>
  </si>
  <si>
    <t>132</t>
  </si>
  <si>
    <t>NLB Banka d.d. Sarajevo</t>
  </si>
  <si>
    <t>Stečaj u procesu</t>
  </si>
  <si>
    <t>Revizorski|Osnovna</t>
  </si>
  <si>
    <t>Izvještaj o novčanim tokovima</t>
  </si>
  <si>
    <t>Hercegovačko-neretvanski kanton</t>
  </si>
  <si>
    <t>-</t>
  </si>
  <si>
    <t>Gradačac</t>
  </si>
  <si>
    <t>Bugojno</t>
  </si>
  <si>
    <t>017</t>
  </si>
  <si>
    <t>01.19</t>
  </si>
  <si>
    <t>Uzgoj ostalih jednogodišnjih usjeva</t>
  </si>
  <si>
    <t xml:space="preserve">FBiH|Ministarstvo pravde </t>
  </si>
  <si>
    <t>Čitluk</t>
  </si>
  <si>
    <t>Biletić Polje</t>
  </si>
  <si>
    <t>101</t>
  </si>
  <si>
    <t>Privredna banka Sarajevo d.d. Sarajevo</t>
  </si>
  <si>
    <t>Stečaj - zatvaranje</t>
  </si>
  <si>
    <t>Revizorski - konsolidovani|Osnovna</t>
  </si>
  <si>
    <t>Izvještaj o gotovinskim tokovima - direktna metoda</t>
  </si>
  <si>
    <t>Posavski kanton</t>
  </si>
  <si>
    <t>Konjic</t>
  </si>
  <si>
    <t>Busovača</t>
  </si>
  <si>
    <t>018</t>
  </si>
  <si>
    <t>01.21</t>
  </si>
  <si>
    <t>Uzgoj grožđa</t>
  </si>
  <si>
    <t xml:space="preserve">FBiH|Ministarstvo prometa i komunikacija </t>
  </si>
  <si>
    <t>Kakanj</t>
  </si>
  <si>
    <t>Bilješevo</t>
  </si>
  <si>
    <t>194</t>
  </si>
  <si>
    <t>ProCredit Bank d.d. Sarajevo</t>
  </si>
  <si>
    <t>Likvidacija - otvaranje</t>
  </si>
  <si>
    <t>Revizorski - nekonsolidovani|Osnovna</t>
  </si>
  <si>
    <t>17</t>
  </si>
  <si>
    <t>Izvještaj o gotovinskim tokovima - indirektna metoda</t>
  </si>
  <si>
    <t>Bosansko-podrinjski kanton</t>
  </si>
  <si>
    <t>Livno</t>
  </si>
  <si>
    <t>Bužim</t>
  </si>
  <si>
    <t>124</t>
  </si>
  <si>
    <t>01.22</t>
  </si>
  <si>
    <t>Uzgoj tropskog i suptropskog voća</t>
  </si>
  <si>
    <t xml:space="preserve">FBiH|Ministarstvo prostornog uređenja </t>
  </si>
  <si>
    <t>Bjelimići</t>
  </si>
  <si>
    <t>161</t>
  </si>
  <si>
    <t>Raiffeisen Bank d.d. BiH</t>
  </si>
  <si>
    <t>Likvidacija u procesu</t>
  </si>
  <si>
    <t>Revizorski - nekonsolidovani i konsolidovani|Osnovna</t>
  </si>
  <si>
    <t>18</t>
  </si>
  <si>
    <t>Izvještaj o promjenama na kapitalu</t>
  </si>
  <si>
    <t>Zapadnohercegovački kanton</t>
  </si>
  <si>
    <t>Lukavac</t>
  </si>
  <si>
    <t>019</t>
  </si>
  <si>
    <t>01.23</t>
  </si>
  <si>
    <t>Uzgoj agruma</t>
  </si>
  <si>
    <t xml:space="preserve">FBiH|Ministarstvo rada i socijalne politike </t>
  </si>
  <si>
    <t>Mostar</t>
  </si>
  <si>
    <t>Blagaj</t>
  </si>
  <si>
    <t>195</t>
  </si>
  <si>
    <t>Razvojna banka Federacije BiH</t>
  </si>
  <si>
    <t>Likvidacija - zatvaranje</t>
  </si>
  <si>
    <t>Stečaj - otvaranje/zaključenje|Osnovna</t>
  </si>
  <si>
    <t>19</t>
  </si>
  <si>
    <t>Izvještaj o kapitalnim izdacima i finansiranju</t>
  </si>
  <si>
    <t>Kanton Sarajevo</t>
  </si>
  <si>
    <t>Ljubuški</t>
  </si>
  <si>
    <t>Čapljina</t>
  </si>
  <si>
    <t>021</t>
  </si>
  <si>
    <t>01.24</t>
  </si>
  <si>
    <t>Uzgoj jezgričavog i koštuničavog voća</t>
  </si>
  <si>
    <t xml:space="preserve">FBiH|Ministarstvo raseljenih osoba i izbjeglica </t>
  </si>
  <si>
    <t>Blatnica</t>
  </si>
  <si>
    <t>199</t>
  </si>
  <si>
    <t>Sparkasse Bank d.d. BiH</t>
  </si>
  <si>
    <t>Statusne promjene</t>
  </si>
  <si>
    <t>Stečaj - otvaranje|Osnovna</t>
  </si>
  <si>
    <t>20</t>
  </si>
  <si>
    <t>Vanbilansna evidencija</t>
  </si>
  <si>
    <t>Čelić</t>
  </si>
  <si>
    <t>056</t>
  </si>
  <si>
    <t>01.25</t>
  </si>
  <si>
    <t>Uzgoj bobičastog, orašastog i ostalog voća</t>
  </si>
  <si>
    <t xml:space="preserve">FBiH|Ministarstvo razvoja, poduzetništva i obrta </t>
  </si>
  <si>
    <t>Ilidža</t>
  </si>
  <si>
    <t>Blažuj</t>
  </si>
  <si>
    <t>338</t>
  </si>
  <si>
    <t>UniCredit Bank d.d. Mostar</t>
  </si>
  <si>
    <t>Vanredni</t>
  </si>
  <si>
    <t>Stečaj u procesu|Osnovna</t>
  </si>
  <si>
    <t>21</t>
  </si>
  <si>
    <t>Izvještaj o promjenama neto imovine investicionog fonda</t>
  </si>
  <si>
    <t>Orašje</t>
  </si>
  <si>
    <t>023</t>
  </si>
  <si>
    <t>01.26</t>
  </si>
  <si>
    <t>Uzgoj plodova uljarica</t>
  </si>
  <si>
    <t xml:space="preserve">FBiH|Ministarstvo trgovine </t>
  </si>
  <si>
    <t>Bok</t>
  </si>
  <si>
    <t>102</t>
  </si>
  <si>
    <t>Union banka d.d. Sarajevo</t>
  </si>
  <si>
    <t>Godišnji - životno osiguranje</t>
  </si>
  <si>
    <t>Stečaj - zatvaranje|Osnovna</t>
  </si>
  <si>
    <t>22</t>
  </si>
  <si>
    <t>Posebni podaci o plaćama i broju zaposlenih</t>
  </si>
  <si>
    <t>Sarajevo</t>
  </si>
  <si>
    <t>Doboj-Istok</t>
  </si>
  <si>
    <t>128</t>
  </si>
  <si>
    <t>01.27</t>
  </si>
  <si>
    <t>Uzgoj biljaka za pripremanje napitaka</t>
  </si>
  <si>
    <t xml:space="preserve">FBiH|Ministarstvo unutrašnjih poslova </t>
  </si>
  <si>
    <t>Boračko Jezero</t>
  </si>
  <si>
    <t>186</t>
  </si>
  <si>
    <t>ZiraatBank BH d.d. Sarajevo</t>
  </si>
  <si>
    <t>Godišnji - neživotno osiguranje</t>
  </si>
  <si>
    <t>Likvidacija - otvaranje|Osnovna</t>
  </si>
  <si>
    <t>23</t>
  </si>
  <si>
    <t>Bilješke uz finansijske izvještaje</t>
  </si>
  <si>
    <t>Srebrenik</t>
  </si>
  <si>
    <t>Doboj-Jug</t>
  </si>
  <si>
    <t>01.28</t>
  </si>
  <si>
    <t>Uzgoj bilja za upotrebu u farmaciji, aromatskog, začinskog i ljekovitog bilja</t>
  </si>
  <si>
    <t xml:space="preserve">FBiH|Ministarstvo za pitanja boraca i invalida odbrambeno-oslobodilačkog rata </t>
  </si>
  <si>
    <t>Stolac</t>
  </si>
  <si>
    <t>Borojevići</t>
  </si>
  <si>
    <t>555</t>
  </si>
  <si>
    <t>Nova banka a.d. Banja Luka-Filijala Sarajevo</t>
  </si>
  <si>
    <t>Revizorski</t>
  </si>
  <si>
    <t>Likvidacija u procesu|Osnovna</t>
  </si>
  <si>
    <t>24</t>
  </si>
  <si>
    <t>Izvještaj o poslovanju; Konsolidovani izvještaj o poslovanju</t>
  </si>
  <si>
    <t>Dobretići</t>
  </si>
  <si>
    <t>050</t>
  </si>
  <si>
    <t>01.29</t>
  </si>
  <si>
    <t>Uzgoj ostalih višegodišnjih usjeva</t>
  </si>
  <si>
    <t xml:space="preserve">FBiH|Ministarstvo zdravstva </t>
  </si>
  <si>
    <t>571</t>
  </si>
  <si>
    <t>Komercijalna banka a.d. Banja Luka-Filijala Sarajevo</t>
  </si>
  <si>
    <t>Revizorski - konsolidovani</t>
  </si>
  <si>
    <t>Likvidacija - zatvaranje|Osnovna</t>
  </si>
  <si>
    <t>25</t>
  </si>
  <si>
    <t>Odluka o utvrđivanju finansijskih izvještaja</t>
  </si>
  <si>
    <t>Široki Brijeg</t>
  </si>
  <si>
    <t>Domaljevac-Šamac</t>
  </si>
  <si>
    <t>012</t>
  </si>
  <si>
    <t>01.30</t>
  </si>
  <si>
    <t>Uzgoj sadnog materijala i ukrasnog bilja</t>
  </si>
  <si>
    <t xml:space="preserve">BPK|Ministarstvo za privredu </t>
  </si>
  <si>
    <t>572</t>
  </si>
  <si>
    <t>MF banka a.d. Banja Luka-Poslovnica Tuzla</t>
  </si>
  <si>
    <t>Revizorski - nekonsolidovani</t>
  </si>
  <si>
    <t>Statusne promjene|Osnovna</t>
  </si>
  <si>
    <t>26</t>
  </si>
  <si>
    <t>Odluka o prijedlogu raspodjele dobiti/pokrića gubitka</t>
  </si>
  <si>
    <t>Tuzla</t>
  </si>
  <si>
    <t>Donji Vakuf</t>
  </si>
  <si>
    <t>026</t>
  </si>
  <si>
    <t>01.41</t>
  </si>
  <si>
    <t>Uzgoj muznih krava</t>
  </si>
  <si>
    <t xml:space="preserve">BPK|Ministarstvo za pravosuđe, upravu i radne odnose </t>
  </si>
  <si>
    <t>140</t>
  </si>
  <si>
    <t>ASA Banka Naša i snažna d.d. Sarajevo</t>
  </si>
  <si>
    <t>Revizorski - nekonsolidovani i konsolidovani</t>
  </si>
  <si>
    <t>Izjava o neaktivnosti|Osnovna</t>
  </si>
  <si>
    <t>27</t>
  </si>
  <si>
    <t>Aneks - Dodatni računovodstveni izvještaj</t>
  </si>
  <si>
    <t>Visoko</t>
  </si>
  <si>
    <t>Drvar</t>
  </si>
  <si>
    <t>027</t>
  </si>
  <si>
    <t>01.42</t>
  </si>
  <si>
    <t>Uzgoj ostalih goveda i bivola</t>
  </si>
  <si>
    <t xml:space="preserve">BPK|Ministarstvo za unutrašnje poslove </t>
  </si>
  <si>
    <t>Brekovica</t>
  </si>
  <si>
    <t>Izjava o neaktivnosti</t>
  </si>
  <si>
    <t>Godišnji|Izmijenjena</t>
  </si>
  <si>
    <t>28</t>
  </si>
  <si>
    <t>Statistički aneks godišnjeg izvještaja</t>
  </si>
  <si>
    <t>Zavidovići</t>
  </si>
  <si>
    <t>Foča</t>
  </si>
  <si>
    <t>01.43</t>
  </si>
  <si>
    <t>Uzgoj konja, magaraca, mula i mazgi</t>
  </si>
  <si>
    <t xml:space="preserve">BPK|Ministarstvo za socijalnu politiku, zdravstvo, raseljena lica i izbjeglice </t>
  </si>
  <si>
    <t>Brestovsko</t>
  </si>
  <si>
    <t>Godišnji - različit izvještajni period|Izmijenjena</t>
  </si>
  <si>
    <t>29</t>
  </si>
  <si>
    <t>Godišnji izvještaj o investicijama</t>
  </si>
  <si>
    <t>Zenica</t>
  </si>
  <si>
    <t>Fojnica</t>
  </si>
  <si>
    <t>030</t>
  </si>
  <si>
    <t>01.44</t>
  </si>
  <si>
    <t>Uzgoj deva i lama</t>
  </si>
  <si>
    <t xml:space="preserve">BPK|Ministarstvo za urbanizam, prostorno uređenje i zaštitu okoline </t>
  </si>
  <si>
    <t>Godišnji - životno osiguranje|Izmijenjena</t>
  </si>
  <si>
    <t>30</t>
  </si>
  <si>
    <t>Obračun članarine turističkoj zajednici</t>
  </si>
  <si>
    <t>Živinice</t>
  </si>
  <si>
    <t>Glamoč</t>
  </si>
  <si>
    <t>032</t>
  </si>
  <si>
    <t>01.45</t>
  </si>
  <si>
    <t>Uzgoj ovaca i koza</t>
  </si>
  <si>
    <t xml:space="preserve">BPK|Ministarstvo za obrazovanje, mlade, nauku, kulturu i sport </t>
  </si>
  <si>
    <t>Brijesnica</t>
  </si>
  <si>
    <t>Godišnji - neživotno osiguranje|Izmijenjena</t>
  </si>
  <si>
    <t>31</t>
  </si>
  <si>
    <t>Obračun naknade za korištenje, zaštitu i unapređenje šuma</t>
  </si>
  <si>
    <t>033</t>
  </si>
  <si>
    <t>01.46</t>
  </si>
  <si>
    <t>Uzgoj svinja</t>
  </si>
  <si>
    <t xml:space="preserve">BPK|Ministarstvo za boračka pitanja </t>
  </si>
  <si>
    <t>Brnjic</t>
  </si>
  <si>
    <t>Konsolidovani|Izmijenjena</t>
  </si>
  <si>
    <t>32</t>
  </si>
  <si>
    <t>Izvještaj o obračunatim i uplaćenim vodnim naknadama</t>
  </si>
  <si>
    <t>Gornji Vakuf-Uskoplje</t>
  </si>
  <si>
    <t>034</t>
  </si>
  <si>
    <t>01.47</t>
  </si>
  <si>
    <t>Uzgoj peradi</t>
  </si>
  <si>
    <t xml:space="preserve">BPK|Ministarstvo za finansije </t>
  </si>
  <si>
    <t>Posušje</t>
  </si>
  <si>
    <t>Broćanac</t>
  </si>
  <si>
    <t>Revizorski|Izmijenjena</t>
  </si>
  <si>
    <t>33</t>
  </si>
  <si>
    <t>Izvještaj o obračunatom i uplaćenom posebnom porezu/naknadi za zaštitu od prirodnih i drugih nesreća</t>
  </si>
  <si>
    <t>035</t>
  </si>
  <si>
    <t>01.49</t>
  </si>
  <si>
    <t>Uzgoj ostalih životinja</t>
  </si>
  <si>
    <t xml:space="preserve">HNK|Ministarstvo finansija </t>
  </si>
  <si>
    <t>Novi Travnik</t>
  </si>
  <si>
    <t>Bučići</t>
  </si>
  <si>
    <t>Revizorski - konsolidovani|Izmijenjena</t>
  </si>
  <si>
    <t>34</t>
  </si>
  <si>
    <t>Obavijest o razvrstavanju</t>
  </si>
  <si>
    <t>036</t>
  </si>
  <si>
    <t>01.50</t>
  </si>
  <si>
    <t>Mješovita poljoprivredna proizvodnja (biljna i stočna proizvodnja)</t>
  </si>
  <si>
    <t xml:space="preserve">HNK|Ministarstvo privrede </t>
  </si>
  <si>
    <t>Revizorski - nekonsolidovani|Izmijenjena</t>
  </si>
  <si>
    <t>35</t>
  </si>
  <si>
    <t>Izjava o standardu</t>
  </si>
  <si>
    <t>Grude</t>
  </si>
  <si>
    <t>037</t>
  </si>
  <si>
    <t>01.61</t>
  </si>
  <si>
    <t>Pomoćne djelatnosti za uzgoj usjeva</t>
  </si>
  <si>
    <t xml:space="preserve">HNK|Ministarstvo graditeljstva i prostornog uređenja </t>
  </si>
  <si>
    <t>Bukinje</t>
  </si>
  <si>
    <t>Revizorski - nekonsolidovani i konsolidovani|Izmijenjena</t>
  </si>
  <si>
    <t>36</t>
  </si>
  <si>
    <t>Hadžići</t>
  </si>
  <si>
    <t>038</t>
  </si>
  <si>
    <t>01.62</t>
  </si>
  <si>
    <t>Pomoćne djelatnosti za uzgoj životinja</t>
  </si>
  <si>
    <t xml:space="preserve">HNK|Ministarstvo poljoprivrede, šumarstva i vodoprivrede </t>
  </si>
  <si>
    <t>Buna</t>
  </si>
  <si>
    <t>Stečaj - otvaranje/zaključenje|Izmijenjena</t>
  </si>
  <si>
    <t>37</t>
  </si>
  <si>
    <t>078</t>
  </si>
  <si>
    <t>01.63</t>
  </si>
  <si>
    <t>Djelatnosti koje se obavljaju nakon žetve/berbe poljoprivrednih proizvoda (priprema za primarna tržišta)</t>
  </si>
  <si>
    <t xml:space="preserve">HNK|Ministarstvo pravosuđa, uprave i lokalne samouprave </t>
  </si>
  <si>
    <t>Burmazi</t>
  </si>
  <si>
    <t>Stečaj - otvaranje|Izmijenjena</t>
  </si>
  <si>
    <t>38</t>
  </si>
  <si>
    <t>Ilijaš</t>
  </si>
  <si>
    <t>040</t>
  </si>
  <si>
    <t>01.64</t>
  </si>
  <si>
    <t>Dorada sjemena za sjemenski materijal</t>
  </si>
  <si>
    <t xml:space="preserve">HNK|Ministarstvo prometa i veza </t>
  </si>
  <si>
    <t>Stečaj u procesu|Izmijenjena</t>
  </si>
  <si>
    <t>39</t>
  </si>
  <si>
    <t>Jablanica</t>
  </si>
  <si>
    <t>041</t>
  </si>
  <si>
    <t>01.70</t>
  </si>
  <si>
    <t>Lov, stupičarenje i uslužne djelatnosti u vezi s njima</t>
  </si>
  <si>
    <t xml:space="preserve">HNK|Ministarstvo prosvjete, nauke, kulture i sporta </t>
  </si>
  <si>
    <t>Buturović Polje</t>
  </si>
  <si>
    <t>Stečaj - zatvaranje|Izmijenjena</t>
  </si>
  <si>
    <t>40</t>
  </si>
  <si>
    <t>Jajce</t>
  </si>
  <si>
    <t>042</t>
  </si>
  <si>
    <t>02.10</t>
  </si>
  <si>
    <t>Uzgoj šuma i ostale djelatnosti u šumarstvu</t>
  </si>
  <si>
    <t xml:space="preserve">HNK|Ministarstvo trgovine, turizma i zaštite okoliša </t>
  </si>
  <si>
    <t>Likvidacija - otvaranje|Izmijenjena</t>
  </si>
  <si>
    <t>41</t>
  </si>
  <si>
    <t>043</t>
  </si>
  <si>
    <t>02.20</t>
  </si>
  <si>
    <t>Sječa drva (iskorištavanje šuma)</t>
  </si>
  <si>
    <t xml:space="preserve">HNK|Ministarstvo unutrašnjih poslova </t>
  </si>
  <si>
    <t>Olovo</t>
  </si>
  <si>
    <t>Careva Ćuprija</t>
  </si>
  <si>
    <t>Likvidacija u procesu|Izmijenjena</t>
  </si>
  <si>
    <t>42</t>
  </si>
  <si>
    <t>Kalesija</t>
  </si>
  <si>
    <t>044</t>
  </si>
  <si>
    <t>02.30</t>
  </si>
  <si>
    <t>Sakupljanje nekultiviranih šumskih plodova i proizvoda, osim šumskih sortimenata</t>
  </si>
  <si>
    <t xml:space="preserve">HNK|Ministarstvo za pitanja boraca </t>
  </si>
  <si>
    <t>Likvidacija - zatvaranje|Izmijenjena</t>
  </si>
  <si>
    <t>43</t>
  </si>
  <si>
    <t>046</t>
  </si>
  <si>
    <t>02.40</t>
  </si>
  <si>
    <t>Pomoćne usluge u šumarstvu</t>
  </si>
  <si>
    <t xml:space="preserve">HNK|Ministarstvo zdravstva, rada i socijalne zaštite </t>
  </si>
  <si>
    <t>Crnići</t>
  </si>
  <si>
    <t>Statusne promjene|Izmijenjena</t>
  </si>
  <si>
    <t>44</t>
  </si>
  <si>
    <t>Kladanj</t>
  </si>
  <si>
    <t>047</t>
  </si>
  <si>
    <t>03.11</t>
  </si>
  <si>
    <t>Morski ribolov</t>
  </si>
  <si>
    <t xml:space="preserve">K10|Ministarstvo finansija </t>
  </si>
  <si>
    <t>Izjava o neaktivnosti|Izmijenjena</t>
  </si>
  <si>
    <t>45</t>
  </si>
  <si>
    <t>Ključ</t>
  </si>
  <si>
    <t>048</t>
  </si>
  <si>
    <t>03.12</t>
  </si>
  <si>
    <t>Slatkovodni ribolov</t>
  </si>
  <si>
    <t xml:space="preserve">K10|Ministarstvo gospodarstva </t>
  </si>
  <si>
    <t>Čardak</t>
  </si>
  <si>
    <t>Vanredni|Osnovna</t>
  </si>
  <si>
    <t>46</t>
  </si>
  <si>
    <t>049</t>
  </si>
  <si>
    <t>03.21</t>
  </si>
  <si>
    <t>Morska akvakultura</t>
  </si>
  <si>
    <t xml:space="preserve">K10|Ministarstvo graditeljstva, obnove, prostornog uređenja i zaštite okoliša </t>
  </si>
  <si>
    <t>Čelebići</t>
  </si>
  <si>
    <t>Vanredni|Izmijenjena</t>
  </si>
  <si>
    <t>47</t>
  </si>
  <si>
    <t>Kreševo</t>
  </si>
  <si>
    <t>051</t>
  </si>
  <si>
    <t>03.22</t>
  </si>
  <si>
    <t>Slatkovodna akvakultura</t>
  </si>
  <si>
    <t xml:space="preserve">K10|Ministarstvo poljoprivrede, vodoprivrede i šumarstva </t>
  </si>
  <si>
    <t>Kupres</t>
  </si>
  <si>
    <t>052</t>
  </si>
  <si>
    <t>05.10</t>
  </si>
  <si>
    <t>Vađenje kamenog ugljena</t>
  </si>
  <si>
    <t xml:space="preserve">K10|Ministarstvo pravosuđa i uprave </t>
  </si>
  <si>
    <t>Čerin</t>
  </si>
  <si>
    <t>055</t>
  </si>
  <si>
    <t>05.20</t>
  </si>
  <si>
    <t>Vađenje lignita</t>
  </si>
  <si>
    <t xml:space="preserve">K10|Ministarstvo rada, zdravstva, socijalne skrbi i prognanih </t>
  </si>
  <si>
    <t>057</t>
  </si>
  <si>
    <t>06.10</t>
  </si>
  <si>
    <t>Vađenje sirove nafte</t>
  </si>
  <si>
    <t xml:space="preserve">K10|Ministarstvo unutrašnjih poslova </t>
  </si>
  <si>
    <t>Ćatići</t>
  </si>
  <si>
    <t>059</t>
  </si>
  <si>
    <t>06.20</t>
  </si>
  <si>
    <t>Vađenje prirodnog plina</t>
  </si>
  <si>
    <t xml:space="preserve">K10|Ministarstvo znanosti, prosvjete, kulture i sporta </t>
  </si>
  <si>
    <t>Ćoralići</t>
  </si>
  <si>
    <t>Maglaj</t>
  </si>
  <si>
    <t>060</t>
  </si>
  <si>
    <t>07.10</t>
  </si>
  <si>
    <t>Vađenje željeznih ruda</t>
  </si>
  <si>
    <t xml:space="preserve">PK|Ministarstvo unutrašnjih poslova </t>
  </si>
  <si>
    <t>Trnovo</t>
  </si>
  <si>
    <t>Delijaš</t>
  </si>
  <si>
    <t>180</t>
  </si>
  <si>
    <t>07.21</t>
  </si>
  <si>
    <t>Vađenje uranijevih i torijevih ruda</t>
  </si>
  <si>
    <t xml:space="preserve">PK|Ministarstvo pravosuđa i uprave </t>
  </si>
  <si>
    <t>Divičani</t>
  </si>
  <si>
    <t>Neum</t>
  </si>
  <si>
    <t>107</t>
  </si>
  <si>
    <t>07.29</t>
  </si>
  <si>
    <t>Vađenje ostalih ruda obojenih metala</t>
  </si>
  <si>
    <t xml:space="preserve">PK|Ministarstvo finansija </t>
  </si>
  <si>
    <t>065</t>
  </si>
  <si>
    <t>08.11</t>
  </si>
  <si>
    <t>Vađenje ukrasnog kamena i kamena za gradnju, krečnjaka, gipsa, krede i škriljevca</t>
  </si>
  <si>
    <t xml:space="preserve">PK|Ministarstvo prometa, veza, turizma i zaštite okoliša </t>
  </si>
  <si>
    <t>Doborovci</t>
  </si>
  <si>
    <t>Odžak</t>
  </si>
  <si>
    <t>066</t>
  </si>
  <si>
    <t>08.12</t>
  </si>
  <si>
    <t>Djelatnosti kopova šljunka i pijeska; vađenje gline i kaolina</t>
  </si>
  <si>
    <t xml:space="preserve">PK|Ministarstvo prosvjete, nauke, kulture i sporta </t>
  </si>
  <si>
    <t>067</t>
  </si>
  <si>
    <t>08.91</t>
  </si>
  <si>
    <t>Vađenje minerala za proizvodnju hemikalije i prirodnih mineralnih gnojiva</t>
  </si>
  <si>
    <t xml:space="preserve">PK|Ministarstvo zdravstva, rada i socijalne politike </t>
  </si>
  <si>
    <t>Dolac na Lašvi</t>
  </si>
  <si>
    <t>068</t>
  </si>
  <si>
    <t>08.92</t>
  </si>
  <si>
    <t>Vađenje treseta</t>
  </si>
  <si>
    <t xml:space="preserve">PK|Ministarstvo poljoprivrede, vodoprivrede i šumarstva </t>
  </si>
  <si>
    <t>Prozor</t>
  </si>
  <si>
    <t>Doljani</t>
  </si>
  <si>
    <t>Pale</t>
  </si>
  <si>
    <t>136</t>
  </si>
  <si>
    <t>08.93</t>
  </si>
  <si>
    <t>Vađenje soli</t>
  </si>
  <si>
    <t xml:space="preserve">PK|Ministarstvo privrede i prostornog uređenja </t>
  </si>
  <si>
    <t>070</t>
  </si>
  <si>
    <t>08.99</t>
  </si>
  <si>
    <t>Vađenje ostalih ruda i kamena, d. n.</t>
  </si>
  <si>
    <t xml:space="preserve">PK|Ministarstvo branitelja </t>
  </si>
  <si>
    <t>Domanovići</t>
  </si>
  <si>
    <t>073</t>
  </si>
  <si>
    <t>09.10</t>
  </si>
  <si>
    <t>Pomoćne djelatnosti za vađenje nafte i prirodnog plina</t>
  </si>
  <si>
    <t xml:space="preserve">KS|Ministarstvo finansija </t>
  </si>
  <si>
    <t>Donja Mahala</t>
  </si>
  <si>
    <t>Ravno</t>
  </si>
  <si>
    <t>207</t>
  </si>
  <si>
    <t>09.90</t>
  </si>
  <si>
    <t>Pomoćne djelatnosti za ostalo vađenje ruda i kamena</t>
  </si>
  <si>
    <t xml:space="preserve">KS|Ministarstvo komunalne privrede i infrastrukture </t>
  </si>
  <si>
    <t>Donja Međiđa</t>
  </si>
  <si>
    <t>Sanski Most</t>
  </si>
  <si>
    <t>076</t>
  </si>
  <si>
    <t>10.11</t>
  </si>
  <si>
    <t>Prerada i konzerviranje mesa</t>
  </si>
  <si>
    <t xml:space="preserve">KS|Ministarstvo kulture i sporta </t>
  </si>
  <si>
    <t>Donje Moštre</t>
  </si>
  <si>
    <t>Sapna</t>
  </si>
  <si>
    <t>138</t>
  </si>
  <si>
    <t>10.12</t>
  </si>
  <si>
    <t>Prerada i konzerviranje mesa peradi</t>
  </si>
  <si>
    <t xml:space="preserve">KS|Ministarstvo pravde i uprave </t>
  </si>
  <si>
    <t>Donji Kamengrad</t>
  </si>
  <si>
    <t>Sarajevo-Centar</t>
  </si>
  <si>
    <t>077</t>
  </si>
  <si>
    <t>10.13</t>
  </si>
  <si>
    <t>Proizvodnja proizvoda od mesa i mesa peradi</t>
  </si>
  <si>
    <t xml:space="preserve">KS|Ministarstvo privrede </t>
  </si>
  <si>
    <t>Donji Mamići</t>
  </si>
  <si>
    <t>Sarajevo-Novi Grad</t>
  </si>
  <si>
    <t>108</t>
  </si>
  <si>
    <t>10.20</t>
  </si>
  <si>
    <t>Prerada i konzerviranje riba, ljuskara i mekušaca</t>
  </si>
  <si>
    <t xml:space="preserve">KS|Ministarstvo prostornog uređenja, građenja i zaštite okoliša </t>
  </si>
  <si>
    <t>Donji Svilaj</t>
  </si>
  <si>
    <t>Sarajevo-Novo Sarajevo</t>
  </si>
  <si>
    <t>079</t>
  </si>
  <si>
    <t>10.31</t>
  </si>
  <si>
    <t>Prerada i konzerviranje krompira</t>
  </si>
  <si>
    <t xml:space="preserve">KS|Ministarstvo saobraćaja </t>
  </si>
  <si>
    <t>Sarajevo-Stari Grad</t>
  </si>
  <si>
    <t>109</t>
  </si>
  <si>
    <t>10.32</t>
  </si>
  <si>
    <t>Proizvodnja sokova od voća i povrća</t>
  </si>
  <si>
    <t xml:space="preserve">KS|Ministarstvo unutrašnjih poslova </t>
  </si>
  <si>
    <t>Drežnica</t>
  </si>
  <si>
    <t>085</t>
  </si>
  <si>
    <t>10.39</t>
  </si>
  <si>
    <t>Ostala prerada i konzerviranje voća i povrća</t>
  </si>
  <si>
    <t xml:space="preserve">KS|Ministarstvo za boračka pitanja </t>
  </si>
  <si>
    <t>Drinovci</t>
  </si>
  <si>
    <t>086</t>
  </si>
  <si>
    <t>10.41</t>
  </si>
  <si>
    <t>Proizvodnja ulja i masti</t>
  </si>
  <si>
    <t xml:space="preserve">KS|Ministarstvo za obrazovanje, nauku i mlade </t>
  </si>
  <si>
    <t>054</t>
  </si>
  <si>
    <t>10.42</t>
  </si>
  <si>
    <t>Proizvodnja margarina i sličnih jestivih masti</t>
  </si>
  <si>
    <t xml:space="preserve">KS|Ministarstvo za rad, socijalnu politiku, raseljena lica i izbjeglice </t>
  </si>
  <si>
    <t>Drvetine</t>
  </si>
  <si>
    <t>Teočak</t>
  </si>
  <si>
    <t>142</t>
  </si>
  <si>
    <t>10.51</t>
  </si>
  <si>
    <t>Proizvodnja mlijeka, mliječnih proizvoda i sira</t>
  </si>
  <si>
    <t xml:space="preserve">KS|Ministarstvo zdravstva </t>
  </si>
  <si>
    <t>Duboki Potok</t>
  </si>
  <si>
    <t>Tešanj</t>
  </si>
  <si>
    <t>090</t>
  </si>
  <si>
    <t>10.52</t>
  </si>
  <si>
    <t>Proizvodnja sladoleda i drugih smrznutih smjesa</t>
  </si>
  <si>
    <t xml:space="preserve">SBK|Ministarstvo unutrašnjih poslova </t>
  </si>
  <si>
    <t>Dobošnica</t>
  </si>
  <si>
    <t>Tomislavgrad</t>
  </si>
  <si>
    <t>028</t>
  </si>
  <si>
    <t>10.61</t>
  </si>
  <si>
    <t>Proizvodnja mlinskih proizvoda</t>
  </si>
  <si>
    <t xml:space="preserve">SBK|Ministarstvo pravosuđa i uprave </t>
  </si>
  <si>
    <t>Dubrave Donje</t>
  </si>
  <si>
    <t>091</t>
  </si>
  <si>
    <t>10.62</t>
  </si>
  <si>
    <t>Proizvodnja škroba i škrobnih proizvoda</t>
  </si>
  <si>
    <t xml:space="preserve">SBK|Ministarstvo finansija </t>
  </si>
  <si>
    <t>Dubrave Gornje</t>
  </si>
  <si>
    <t>093</t>
  </si>
  <si>
    <t>10.71</t>
  </si>
  <si>
    <t>Proizvodnja hljeba; svježih peciva i kolača</t>
  </si>
  <si>
    <t xml:space="preserve">SBK|Ministarstvo zdravstva i socijalne politike </t>
  </si>
  <si>
    <t>Dužice</t>
  </si>
  <si>
    <t>094</t>
  </si>
  <si>
    <t>10.72</t>
  </si>
  <si>
    <t>Proizvodnja dvopeka i keksa; proizvodnja trajnih peciva i kolača</t>
  </si>
  <si>
    <t xml:space="preserve">SBK|Ministarstvo privrede </t>
  </si>
  <si>
    <t>Đurđevik</t>
  </si>
  <si>
    <t>Usora</t>
  </si>
  <si>
    <t>025</t>
  </si>
  <si>
    <t>10.73</t>
  </si>
  <si>
    <t>Proizvodnja makarona, rezanaca, kuskusa i sličnih proizvoda od brašna</t>
  </si>
  <si>
    <t xml:space="preserve">SBK|Ministarstvo obrazovanja, znanosti, mladih, kulture i sporta </t>
  </si>
  <si>
    <t>Fajtovci</t>
  </si>
  <si>
    <t>Vareš</t>
  </si>
  <si>
    <t>096</t>
  </si>
  <si>
    <t>10.81</t>
  </si>
  <si>
    <t>Proizvodnja šećera</t>
  </si>
  <si>
    <t xml:space="preserve">SBK|Ministarstvo poljoprivrede, vodoprivrede i šumarstva </t>
  </si>
  <si>
    <t>Velika Kladuša</t>
  </si>
  <si>
    <t>097</t>
  </si>
  <si>
    <t>10.82</t>
  </si>
  <si>
    <t>Proizvodnja kakaa, čokolade i slastičarskih proizvoda</t>
  </si>
  <si>
    <t xml:space="preserve">SBK|Ministarstvo prostornog uređenja, građenja, zaštite okoliša, povratka i stambenih poslova </t>
  </si>
  <si>
    <t>Gabela</t>
  </si>
  <si>
    <t>098</t>
  </si>
  <si>
    <t>10.83</t>
  </si>
  <si>
    <t>Prerada čaja i kafe</t>
  </si>
  <si>
    <t xml:space="preserve">TK|Ministarstvo unutrašnjih poslova </t>
  </si>
  <si>
    <t>100</t>
  </si>
  <si>
    <t>10.84</t>
  </si>
  <si>
    <t>Proizvodnja začina i drugih dodataka hrani</t>
  </si>
  <si>
    <t xml:space="preserve">TK|Ministarstvo finansija </t>
  </si>
  <si>
    <t>Globarica</t>
  </si>
  <si>
    <t>Vogošća</t>
  </si>
  <si>
    <t>080</t>
  </si>
  <si>
    <t>10.85</t>
  </si>
  <si>
    <t>Proizvodnja gotove hrane i jela</t>
  </si>
  <si>
    <t xml:space="preserve">TK|Ministarstvo za kulturu, sport i mlade </t>
  </si>
  <si>
    <t>Glogošnica</t>
  </si>
  <si>
    <t>10.86</t>
  </si>
  <si>
    <t>Proizvodnja homogeniziranih prehrambenih preparata i dijetetske hrane</t>
  </si>
  <si>
    <t xml:space="preserve">TK|Ministarstvo obrazovanja i nauke </t>
  </si>
  <si>
    <t>Gojevići</t>
  </si>
  <si>
    <t>103</t>
  </si>
  <si>
    <t>10.89</t>
  </si>
  <si>
    <t>Proizvodnja ostalih prehrambenih proizvoda, d. n.</t>
  </si>
  <si>
    <t xml:space="preserve">TK|Ministarstvo poljoprivrede, šumarstva i vodoprivrede </t>
  </si>
  <si>
    <t>105</t>
  </si>
  <si>
    <t>10.91</t>
  </si>
  <si>
    <t>Proizvodnja pripremljene stočne hrane</t>
  </si>
  <si>
    <t>TK|Ministarstvo prostornog uređenja i zaštite okoline</t>
  </si>
  <si>
    <t>Gornja Dubica</t>
  </si>
  <si>
    <t>106</t>
  </si>
  <si>
    <t>10.92</t>
  </si>
  <si>
    <t>Proizvodnja pripremljene hrane za kućne ljubimce</t>
  </si>
  <si>
    <t xml:space="preserve">TK|Ministarstvo trgovine, turizma i saobraćaja </t>
  </si>
  <si>
    <t>Gornja Koprivna</t>
  </si>
  <si>
    <t>11.01</t>
  </si>
  <si>
    <t>Destiliranje, pročišćavanje i miješanje alkoholnih pića</t>
  </si>
  <si>
    <t xml:space="preserve">TK|Ministarstvo pravosuđa i uprave </t>
  </si>
  <si>
    <t>Gornja Tuzla</t>
  </si>
  <si>
    <t>11.02</t>
  </si>
  <si>
    <t>Proizvodnja vina od grožđa</t>
  </si>
  <si>
    <t xml:space="preserve">TK|Ministarstvo za boračka pitanja </t>
  </si>
  <si>
    <t>11.03</t>
  </si>
  <si>
    <t>Proizvodnja jabukovače i ostalih voćnih vina</t>
  </si>
  <si>
    <t xml:space="preserve">TK|Ministarstvo privrede </t>
  </si>
  <si>
    <t>Gračac</t>
  </si>
  <si>
    <t>11.04</t>
  </si>
  <si>
    <t>Proizvodnja ostalih nedestiliranih fermentiranih pića</t>
  </si>
  <si>
    <t xml:space="preserve">TK|Ministarstvo za rad, socijalnu politiku i povratak </t>
  </si>
  <si>
    <t>11.05</t>
  </si>
  <si>
    <t>Proizvodnja piva</t>
  </si>
  <si>
    <t xml:space="preserve">TK|Ministarstvo zdravstva </t>
  </si>
  <si>
    <t>Gračanica kod Bugojna</t>
  </si>
  <si>
    <t>11.06</t>
  </si>
  <si>
    <t>Proizvodnja slada</t>
  </si>
  <si>
    <t xml:space="preserve">USK|Ministarstvo unutrašnjih poslova </t>
  </si>
  <si>
    <t>Gračanica Selo</t>
  </si>
  <si>
    <t>11.07</t>
  </si>
  <si>
    <t>Proizvodnja osvježavajućih pića; proizvodnja mineralne vode i drugih flaširanih voda</t>
  </si>
  <si>
    <t xml:space="preserve">USK|Ministarstvo pravosuđa i uprave </t>
  </si>
  <si>
    <t>Gradac</t>
  </si>
  <si>
    <t>12.00</t>
  </si>
  <si>
    <t>Proizvodnja duhanskih proizvoda</t>
  </si>
  <si>
    <t xml:space="preserve">USK|Ministarstvo finansija </t>
  </si>
  <si>
    <t>13.10</t>
  </si>
  <si>
    <t>Priprema i predenje tekstilnih vlakana</t>
  </si>
  <si>
    <t xml:space="preserve">USK|Ministarstvo privrede </t>
  </si>
  <si>
    <t>Grebnice</t>
  </si>
  <si>
    <t>13.20</t>
  </si>
  <si>
    <t>Tkanje tekstila</t>
  </si>
  <si>
    <t xml:space="preserve">USK|Ministarstvo zdravstva, rada i socijalne politike </t>
  </si>
  <si>
    <t>13.30</t>
  </si>
  <si>
    <t>Dovršavanje tekstila</t>
  </si>
  <si>
    <t xml:space="preserve">USK|Ministarstvo obrazovanja, nauke, kulture i sporta </t>
  </si>
  <si>
    <t>Guber</t>
  </si>
  <si>
    <t>13.91</t>
  </si>
  <si>
    <t>Proizvodnja pletenih i heklanih tkanina</t>
  </si>
  <si>
    <t xml:space="preserve">USK|Ministarstvo za građenje, prostorno uređenje i zaštitu okoliša </t>
  </si>
  <si>
    <t>Guča Gora</t>
  </si>
  <si>
    <t>13.92</t>
  </si>
  <si>
    <t>Proizvodnja gotovih tekstilnih proizvoda, osim odjeće</t>
  </si>
  <si>
    <t xml:space="preserve">USK|Ministarstvo poljoprivrede, vodoprivrede i šumarstva </t>
  </si>
  <si>
    <t>13.93</t>
  </si>
  <si>
    <t>Proizvodnja tepiha i prekrivača za pod</t>
  </si>
  <si>
    <t xml:space="preserve">USK|Ministarstvo za pitanja boraca i ratnih vojnih invalida </t>
  </si>
  <si>
    <t>Hajderovići</t>
  </si>
  <si>
    <t>13.94</t>
  </si>
  <si>
    <t>Proizvodnja užadi, konopaca, upletenog konca i mreža</t>
  </si>
  <si>
    <t xml:space="preserve">ZHK|Ministarstvo unutrašnjih poslova </t>
  </si>
  <si>
    <t>Haljinići</t>
  </si>
  <si>
    <t>13.95</t>
  </si>
  <si>
    <t>Proizvodnja netkanog tekstila i proizvoda od netkanog tekstila, osim odjeće</t>
  </si>
  <si>
    <t xml:space="preserve">ZHK|Ministarstvo pravosuđa i uprave </t>
  </si>
  <si>
    <t>Han Bila</t>
  </si>
  <si>
    <t>13.96</t>
  </si>
  <si>
    <t>Proizvodnja ostalih tehničkih i industrijskih tekstilnih proizvoda</t>
  </si>
  <si>
    <t xml:space="preserve">ZHK|Ministarstvo finansija </t>
  </si>
  <si>
    <t>Hodovo</t>
  </si>
  <si>
    <t>13.99</t>
  </si>
  <si>
    <t>Proizvodnja ostalih tekstilnih proizvoda, d. n.</t>
  </si>
  <si>
    <t xml:space="preserve">ZHK|Ministarstvo gospodarstva </t>
  </si>
  <si>
    <t>Hrasno</t>
  </si>
  <si>
    <t>14.11</t>
  </si>
  <si>
    <t>Proizvodnja kožne odjeće</t>
  </si>
  <si>
    <t xml:space="preserve">ZHK|Ministarstvo prostornog uređenja, graditeljstva i zaštite okoliša </t>
  </si>
  <si>
    <t>Husino</t>
  </si>
  <si>
    <t>14.12</t>
  </si>
  <si>
    <t>Proizvodnja radne odjeće</t>
  </si>
  <si>
    <t xml:space="preserve">ZHK|Ministarstvo obrazovanja, znanosti, kulture i sporta </t>
  </si>
  <si>
    <t>Hutovo</t>
  </si>
  <si>
    <t>14.13</t>
  </si>
  <si>
    <t>Proizvodnja ostale vanjske odjeće</t>
  </si>
  <si>
    <t xml:space="preserve">ZHK|Ministarstvo zdravstva, rada i socijalne skrbi </t>
  </si>
  <si>
    <t>14.14</t>
  </si>
  <si>
    <t>Proizvodnja veša</t>
  </si>
  <si>
    <t xml:space="preserve">ZHK|Ministarstvo hrvatskih branitelja iz Domovinskog rata </t>
  </si>
  <si>
    <t>14.19</t>
  </si>
  <si>
    <t>Proizvodnja ostale odjeće i pribora za odjeću</t>
  </si>
  <si>
    <t xml:space="preserve">ZDK|Ministarstvo finansija </t>
  </si>
  <si>
    <t>Ilovača</t>
  </si>
  <si>
    <t>14.20</t>
  </si>
  <si>
    <t>Proizvodnja proizvoda od krzna</t>
  </si>
  <si>
    <t xml:space="preserve">ZDK|Ministarstvo za privredu </t>
  </si>
  <si>
    <t>Izačić</t>
  </si>
  <si>
    <t>14.31</t>
  </si>
  <si>
    <t>Proizvodnja pletenih i heklanih čarapa</t>
  </si>
  <si>
    <t xml:space="preserve">ZDK|Ministarstvo za pravosuđe i upravu </t>
  </si>
  <si>
    <t>14.39</t>
  </si>
  <si>
    <t>Proizvodnja ostale pletene i heklane odjeće</t>
  </si>
  <si>
    <t xml:space="preserve">ZDK|Ministarstvo za poljoprivredu, šumarstvo i vodoprivredu </t>
  </si>
  <si>
    <t>15.11</t>
  </si>
  <si>
    <t>Štavljenje i obrada kože; dorada i bojenje krzna</t>
  </si>
  <si>
    <t xml:space="preserve">ZDK|Ministarstvo unutrašnjih poslova </t>
  </si>
  <si>
    <t>Janjići</t>
  </si>
  <si>
    <t>15.12</t>
  </si>
  <si>
    <t>Proizvodnja putnih i ručnih torba i sličnih proizvoda, sedlarskih i kaišarskih proizvoda</t>
  </si>
  <si>
    <t xml:space="preserve">ZDK|Ministarstvo za obrazovanje, nauku, kulturu i sport </t>
  </si>
  <si>
    <t>Jare</t>
  </si>
  <si>
    <t>15.20</t>
  </si>
  <si>
    <t>Proizvodnja obuće</t>
  </si>
  <si>
    <t xml:space="preserve">ZDK|Ministarstvo za prostorno uređenje, promet i komunikacije i zaštitu okoline </t>
  </si>
  <si>
    <t>Jelah</t>
  </si>
  <si>
    <t>16.10</t>
  </si>
  <si>
    <t>Piljenje i blanjanje drva (proizvodnja rezane građe); impregnacija drveta</t>
  </si>
  <si>
    <t xml:space="preserve">ZDK|Ministarstvo zdravstva </t>
  </si>
  <si>
    <t>Jezerski</t>
  </si>
  <si>
    <t>16.21</t>
  </si>
  <si>
    <t>Proizvodnja furnira i ostalih ploča od drva</t>
  </si>
  <si>
    <t xml:space="preserve">ZDK|Ministarstvo za boračka pitanja </t>
  </si>
  <si>
    <t>Kaćuni</t>
  </si>
  <si>
    <t>16.22</t>
  </si>
  <si>
    <t>Proizvodnja sastavljenog parketa</t>
  </si>
  <si>
    <t xml:space="preserve">ZDK|Ministarstvo za rad, socijalnu politiku i izbjeglice </t>
  </si>
  <si>
    <t>16.23</t>
  </si>
  <si>
    <t>Proizvodnja ostale građevne stolarije i elemenata</t>
  </si>
  <si>
    <t>16.24</t>
  </si>
  <si>
    <t>Proizvodnja ambalaže od drva</t>
  </si>
  <si>
    <t>Kamenica</t>
  </si>
  <si>
    <t>16.29</t>
  </si>
  <si>
    <t>Proizvodnja ostalih proizvoda od drva, proizvoda od pluta, slame i pletarskih materijala</t>
  </si>
  <si>
    <t>Kaonik</t>
  </si>
  <si>
    <t>17.11</t>
  </si>
  <si>
    <t>Proizvodnja celuloze</t>
  </si>
  <si>
    <t>Karadže</t>
  </si>
  <si>
    <t>17.12</t>
  </si>
  <si>
    <t>Proizvodnja papira i kartona</t>
  </si>
  <si>
    <t>Karaula</t>
  </si>
  <si>
    <t>17.21</t>
  </si>
  <si>
    <t>Proizvodnja valovitog papira i kartona te ambalaže od papira i kartona</t>
  </si>
  <si>
    <t>Kazaginac</t>
  </si>
  <si>
    <t>17.22</t>
  </si>
  <si>
    <t>Proizvodnja proizvoda za domaćinstvo i higijenu te toaletnih potrepština od papira</t>
  </si>
  <si>
    <t>17.23</t>
  </si>
  <si>
    <t>Proizvodnja kancelarijskog materijala od papira</t>
  </si>
  <si>
    <t>Kiseljak kod Tuzle</t>
  </si>
  <si>
    <t>17.24</t>
  </si>
  <si>
    <t>Proizvodnja zidnih tapeta</t>
  </si>
  <si>
    <t>17.29</t>
  </si>
  <si>
    <t>Proizvodnja ostalih proizvoda od papira i kartona</t>
  </si>
  <si>
    <t>Klobuk (Ljubuški)</t>
  </si>
  <si>
    <t>18.11</t>
  </si>
  <si>
    <t>Štampanje novina</t>
  </si>
  <si>
    <t>Klokotnica</t>
  </si>
  <si>
    <t>18.12</t>
  </si>
  <si>
    <t>Ostalo štampanje</t>
  </si>
  <si>
    <t>18.13</t>
  </si>
  <si>
    <t>Usluge pripreme za štampu i objavljivanje</t>
  </si>
  <si>
    <t>Kočerin</t>
  </si>
  <si>
    <t>18.14</t>
  </si>
  <si>
    <t>Knjigoveške i srodne usluge</t>
  </si>
  <si>
    <t>Kongora</t>
  </si>
  <si>
    <t>18.20</t>
  </si>
  <si>
    <t>Umnožavanje snimljenih zapisa</t>
  </si>
  <si>
    <t>19.10</t>
  </si>
  <si>
    <t>Proizvodnja proizvoda koksnih peći</t>
  </si>
  <si>
    <t>Konjodor</t>
  </si>
  <si>
    <t>19.20</t>
  </si>
  <si>
    <t>Proizvodnja rafiniranih naftnih proizvoda</t>
  </si>
  <si>
    <t>Kosova</t>
  </si>
  <si>
    <t>20.11</t>
  </si>
  <si>
    <t>Proizvodnja industrijskih plinova</t>
  </si>
  <si>
    <t>Kostrč</t>
  </si>
  <si>
    <t>20.12</t>
  </si>
  <si>
    <t>Proizvodnja koloranata i pigmenata</t>
  </si>
  <si>
    <t>Kovači (Zavidovići)</t>
  </si>
  <si>
    <t>20.13</t>
  </si>
  <si>
    <t>Proizvodnja ostalih anorganskih osnovnih hemikalija</t>
  </si>
  <si>
    <t>Kraljeva Sutjeska</t>
  </si>
  <si>
    <t>20.14</t>
  </si>
  <si>
    <t>Proizvodnja ostalih osnovnih organskih hemikalija</t>
  </si>
  <si>
    <t>Krasulje</t>
  </si>
  <si>
    <t>20.15</t>
  </si>
  <si>
    <t>Proizvodnja gnojiva i dušičnih spojeva</t>
  </si>
  <si>
    <t>20.16</t>
  </si>
  <si>
    <t>Proizvodnja plastičnih masa u primarnim oblicima</t>
  </si>
  <si>
    <t>Krnjeuša</t>
  </si>
  <si>
    <t>20.17</t>
  </si>
  <si>
    <t>Proizvodnja sintetičkog kaučuka u primarnim oblicima</t>
  </si>
  <si>
    <t>Kruševo</t>
  </si>
  <si>
    <t>20.20</t>
  </si>
  <si>
    <t>Proizvodnja pesticida i drugih agrohemijskih proizvoda</t>
  </si>
  <si>
    <t>Kulen Vakuf</t>
  </si>
  <si>
    <t>20.30</t>
  </si>
  <si>
    <t>Proizvodnja boja, lakova i sličnih premaza, grafičkih boja i kitova</t>
  </si>
  <si>
    <t>20.41</t>
  </si>
  <si>
    <t>Proizvodnja sapuna i deterdženata, sredstava za čišćenje i poliranje</t>
  </si>
  <si>
    <t>Lepenica</t>
  </si>
  <si>
    <t>20.42</t>
  </si>
  <si>
    <t>Proizvodnja parfema i toaletno-kozmetičkih preparata</t>
  </si>
  <si>
    <t>Lipnica</t>
  </si>
  <si>
    <t>20.51</t>
  </si>
  <si>
    <t>Proizvodnja eksploziva</t>
  </si>
  <si>
    <t>Lištani</t>
  </si>
  <si>
    <t>20.52</t>
  </si>
  <si>
    <t>Proizvodnja ljepila</t>
  </si>
  <si>
    <t>20.53</t>
  </si>
  <si>
    <t>Proizvodnja eteričnih ulja</t>
  </si>
  <si>
    <t>20.59</t>
  </si>
  <si>
    <t>Proizvodnja ostalih hemijskih proizvoda, d. n.</t>
  </si>
  <si>
    <t>Lukavica</t>
  </si>
  <si>
    <t>20.60</t>
  </si>
  <si>
    <t>Proizvodnja umjetnih vlakana</t>
  </si>
  <si>
    <t>Lusnić</t>
  </si>
  <si>
    <t>21.10</t>
  </si>
  <si>
    <t>Proizvodnja osnovnih farmaceutskih proizvoda</t>
  </si>
  <si>
    <t>Lušci Palanka</t>
  </si>
  <si>
    <t>21.20</t>
  </si>
  <si>
    <t>Proizvodnja farmaceutskih preparata</t>
  </si>
  <si>
    <t>Ljubače</t>
  </si>
  <si>
    <t>22.11</t>
  </si>
  <si>
    <t>Proizvodnja vanjskih i unutrašnjih guma za vozila; protektiranje vanjskih guma za vozila</t>
  </si>
  <si>
    <t>22.19</t>
  </si>
  <si>
    <t>Proizvodnja ostalih proizvoda od gume</t>
  </si>
  <si>
    <t>Ljuti Dolac</t>
  </si>
  <si>
    <t>22.21</t>
  </si>
  <si>
    <t>Proizvodnja ploča, listova, cijevi i profila od plastičnih masa</t>
  </si>
  <si>
    <t>22.22</t>
  </si>
  <si>
    <t>Proizvodnja ambalaže od plastičnih masa</t>
  </si>
  <si>
    <t>Mala Kladuša</t>
  </si>
  <si>
    <t>22.23</t>
  </si>
  <si>
    <t>Proizvodnja proizvoda od plastičnih masa za građevinarstvo</t>
  </si>
  <si>
    <t>Malešići</t>
  </si>
  <si>
    <t>22.29</t>
  </si>
  <si>
    <t>Proizvodnja ostalih proizvoda od plastičnih masa</t>
  </si>
  <si>
    <t>Matići</t>
  </si>
  <si>
    <t>23.11</t>
  </si>
  <si>
    <t>Proizvodnja ravnog stakla</t>
  </si>
  <si>
    <t>Međugorje</t>
  </si>
  <si>
    <t>23.12</t>
  </si>
  <si>
    <t>Oblikovanje i obrada ravnog stakla</t>
  </si>
  <si>
    <t>Mehurići</t>
  </si>
  <si>
    <t>23.13</t>
  </si>
  <si>
    <t>Proizvodnja šupljeg stakla</t>
  </si>
  <si>
    <t>Mesihovina</t>
  </si>
  <si>
    <t>23.14</t>
  </si>
  <si>
    <t>Proizvodnja staklenih vlakana</t>
  </si>
  <si>
    <t>Miričina</t>
  </si>
  <si>
    <t>23.19</t>
  </si>
  <si>
    <t>Proizvodnja i obrada ostalog stakla, uključujući tehničke proizvode od stakla</t>
  </si>
  <si>
    <t>23.20</t>
  </si>
  <si>
    <t>Proizvodnja vatrostalnih proizvoda</t>
  </si>
  <si>
    <t>Mramor</t>
  </si>
  <si>
    <t>23.31</t>
  </si>
  <si>
    <t>Proizvodnja keramičkih pločica i podnih ploča</t>
  </si>
  <si>
    <t>Mravinjac</t>
  </si>
  <si>
    <t>23.32</t>
  </si>
  <si>
    <t>Proizvodnja opeke, crijepa i ostalih proizvoda od pečene gline za građevinarstvo</t>
  </si>
  <si>
    <t>Nemila</t>
  </si>
  <si>
    <t>23.41</t>
  </si>
  <si>
    <t>Proizvodnja keramičkih proizvoda za domaćinstvo i ukrasnih predmeta</t>
  </si>
  <si>
    <t>23.42</t>
  </si>
  <si>
    <t>Proizvodnja sanitarne opreme od keramike</t>
  </si>
  <si>
    <t>Nišići</t>
  </si>
  <si>
    <t>23.43</t>
  </si>
  <si>
    <t>Proizvodnja keramičkih izolatora i izolacijskog pribora</t>
  </si>
  <si>
    <t>Nova Bila</t>
  </si>
  <si>
    <t>23.44</t>
  </si>
  <si>
    <t>Proizvodnja ostalih tehničkih proizvoda od keramike</t>
  </si>
  <si>
    <t>Novi Šeher</t>
  </si>
  <si>
    <t>23.49</t>
  </si>
  <si>
    <t>Proizvodnja ostalih proizvoda od keramike</t>
  </si>
  <si>
    <t>23.51</t>
  </si>
  <si>
    <t>Proizvodnja cementa</t>
  </si>
  <si>
    <t>Oborci</t>
  </si>
  <si>
    <t>23.52</t>
  </si>
  <si>
    <t>Proizvodnja kreča i gipsa</t>
  </si>
  <si>
    <t>23.61</t>
  </si>
  <si>
    <t>Proizvodnja proizvoda od betona za građevinarstvo</t>
  </si>
  <si>
    <t>23.62</t>
  </si>
  <si>
    <t>Proizvodnja proizvoda od gipsa za građevinarstvo</t>
  </si>
  <si>
    <t>Orahovica Donja</t>
  </si>
  <si>
    <t>23.63</t>
  </si>
  <si>
    <t>Proizvodnja gotove betonske smjese</t>
  </si>
  <si>
    <t>23.64</t>
  </si>
  <si>
    <t>Proizvodnja žbuke</t>
  </si>
  <si>
    <t>Orguz</t>
  </si>
  <si>
    <t>23.65</t>
  </si>
  <si>
    <t>Proizvodnja (vlaknastog) fibro-cementa</t>
  </si>
  <si>
    <t>Ostrožac (Cazin)</t>
  </si>
  <si>
    <t>23.69</t>
  </si>
  <si>
    <t>Proizvodnja ostalih proizvoda od betona, cementa i gipsa</t>
  </si>
  <si>
    <t>Ostrožac (Jablanica)</t>
  </si>
  <si>
    <t>23.70</t>
  </si>
  <si>
    <t>Rezanje, oblikovanje i obrada kamena</t>
  </si>
  <si>
    <t>Oštra Luka</t>
  </si>
  <si>
    <t>23.91</t>
  </si>
  <si>
    <t>Proizvodnja brusnih proizvoda</t>
  </si>
  <si>
    <t>Otoka</t>
  </si>
  <si>
    <t>23.99</t>
  </si>
  <si>
    <t>Proizvodnja ostalih nemetalnih mineralnih proizvoda, d. n.</t>
  </si>
  <si>
    <t>Ozimica</t>
  </si>
  <si>
    <t>24.10</t>
  </si>
  <si>
    <t>Proizvodnja sirovog željeza, čelika i ferolegura</t>
  </si>
  <si>
    <t>Pajić Polje</t>
  </si>
  <si>
    <t>24.20</t>
  </si>
  <si>
    <t>Proizvodnja cijevi, crijeva, šupljih profila i pripadajućeg pribora od čelika</t>
  </si>
  <si>
    <t>24.31</t>
  </si>
  <si>
    <t>Hladno vučenje šipki</t>
  </si>
  <si>
    <t>Pazarić</t>
  </si>
  <si>
    <t>24.32</t>
  </si>
  <si>
    <t>Hladno valjanje uskih vrpci</t>
  </si>
  <si>
    <t>Pećigrad</t>
  </si>
  <si>
    <t>24.33</t>
  </si>
  <si>
    <t>Hladno oblikovanje i profiliranje</t>
  </si>
  <si>
    <t>Počulica</t>
  </si>
  <si>
    <t>24.34</t>
  </si>
  <si>
    <t>Hladno vučenje žice</t>
  </si>
  <si>
    <t>Podhum</t>
  </si>
  <si>
    <t>24.41</t>
  </si>
  <si>
    <t>Proizvodnja plemenitih metala</t>
  </si>
  <si>
    <t>Podlugovi</t>
  </si>
  <si>
    <t>24.42</t>
  </si>
  <si>
    <t>Proizvodnja aluminija</t>
  </si>
  <si>
    <t>Podorašac</t>
  </si>
  <si>
    <t>24.43</t>
  </si>
  <si>
    <t>Proizvodnja olova, cinka i kositra</t>
  </si>
  <si>
    <t>Podorašje</t>
  </si>
  <si>
    <t>24.44</t>
  </si>
  <si>
    <t>Proizvodnja bakra</t>
  </si>
  <si>
    <t>Podvelež</t>
  </si>
  <si>
    <t>24.45</t>
  </si>
  <si>
    <t>Proizvodnja ostalih obojenih metala</t>
  </si>
  <si>
    <t>Podzvizd</t>
  </si>
  <si>
    <t>24.46</t>
  </si>
  <si>
    <t>Obrada nuklearnog goriva</t>
  </si>
  <si>
    <t>Pokoj</t>
  </si>
  <si>
    <t>24.51</t>
  </si>
  <si>
    <t>Lijevanje željeza</t>
  </si>
  <si>
    <t>Poljice</t>
  </si>
  <si>
    <t>24.52</t>
  </si>
  <si>
    <t>Lijevanje čelika</t>
  </si>
  <si>
    <t>24.53</t>
  </si>
  <si>
    <t>Lijevanje lakih metala</t>
  </si>
  <si>
    <t>Potoci</t>
  </si>
  <si>
    <t>24.54</t>
  </si>
  <si>
    <t>Lijevanje ostalih obojenih metala</t>
  </si>
  <si>
    <t>Potočani</t>
  </si>
  <si>
    <t>25.11</t>
  </si>
  <si>
    <t>Proizvodnja metalnih konstrukcija i njihovih dijelova</t>
  </si>
  <si>
    <t>Priluka</t>
  </si>
  <si>
    <t>25.12</t>
  </si>
  <si>
    <t>Proizvodnja vrata i prozora od metala</t>
  </si>
  <si>
    <t>Prisoje</t>
  </si>
  <si>
    <t>25.21</t>
  </si>
  <si>
    <t>Proizvodnja radijatora i kotlova za centralno grijanje</t>
  </si>
  <si>
    <t>Prolog</t>
  </si>
  <si>
    <t>25.29</t>
  </si>
  <si>
    <t>Proizvodnja ostalih metalnih cisterni, rezervoara i sličnih posuda</t>
  </si>
  <si>
    <t>25.30</t>
  </si>
  <si>
    <t>Proizvodnja parnih kotlova, osim kotlova za centralno grijanje</t>
  </si>
  <si>
    <t>Prud</t>
  </si>
  <si>
    <t>25.40</t>
  </si>
  <si>
    <t>Proizvodnja oružja i municije</t>
  </si>
  <si>
    <t>Prusac</t>
  </si>
  <si>
    <t>25.50</t>
  </si>
  <si>
    <t>Kovanje, presovanje, štancanje i valjanje metala; metalurgija praha</t>
  </si>
  <si>
    <t>Pržići</t>
  </si>
  <si>
    <t>25.61</t>
  </si>
  <si>
    <t>Površinska obrada i prevlačenje metala</t>
  </si>
  <si>
    <t>Puhovac</t>
  </si>
  <si>
    <t>25.62</t>
  </si>
  <si>
    <t>Mašinska obrada metala</t>
  </si>
  <si>
    <t>Puračić</t>
  </si>
  <si>
    <t>25.71</t>
  </si>
  <si>
    <t>Proizvodnja sječiva</t>
  </si>
  <si>
    <t>Radišići</t>
  </si>
  <si>
    <t>25.72</t>
  </si>
  <si>
    <t>Proizvodnja brava i okova</t>
  </si>
  <si>
    <t>Rainci Gornji</t>
  </si>
  <si>
    <t>25.73</t>
  </si>
  <si>
    <t>Proizvodnja alata</t>
  </si>
  <si>
    <t>Rakitno</t>
  </si>
  <si>
    <t>25.91</t>
  </si>
  <si>
    <t>Proizvodnja čeličnih buradi i sličnih posuda od čelika</t>
  </si>
  <si>
    <t>Rakovica</t>
  </si>
  <si>
    <t>25.92</t>
  </si>
  <si>
    <t>Proizvodnja ambalaže od lakih metala</t>
  </si>
  <si>
    <t>25.93</t>
  </si>
  <si>
    <t>Proizvodnja proizvoda od žice, lanaca i opruga</t>
  </si>
  <si>
    <t>Ripač</t>
  </si>
  <si>
    <t>25.94</t>
  </si>
  <si>
    <t>Proizvodnja veznih i vijčanih proizvoda</t>
  </si>
  <si>
    <t>Roško Polje</t>
  </si>
  <si>
    <t>25.99</t>
  </si>
  <si>
    <t>Proizvodnja ostalih gotovih proizvoda od metala, d. n.</t>
  </si>
  <si>
    <t>Ružići</t>
  </si>
  <si>
    <t>26.11</t>
  </si>
  <si>
    <t>Proizvodnja elektroničkih komponenata</t>
  </si>
  <si>
    <t>Sanica Gornja</t>
  </si>
  <si>
    <t>26.12</t>
  </si>
  <si>
    <t>Proizvodnja punih elektroničkih ploča</t>
  </si>
  <si>
    <t>26.20</t>
  </si>
  <si>
    <t>Proizvodnja računara i periferne opreme</t>
  </si>
  <si>
    <t>26.30</t>
  </si>
  <si>
    <t>Proizvodnja komunikacijske opreme</t>
  </si>
  <si>
    <t>26.40</t>
  </si>
  <si>
    <t>Proizvodnja elektroničkih uređaja za široku potrošnju</t>
  </si>
  <si>
    <t>26.51</t>
  </si>
  <si>
    <t>Proizvodnja instrumenata i aparata za mjerenje, ispitivanje i navođenje</t>
  </si>
  <si>
    <t>26.52</t>
  </si>
  <si>
    <t>Proizvodnja satova</t>
  </si>
  <si>
    <t>26.60</t>
  </si>
  <si>
    <t>Proizvodnja opreme za zračenje, elektromedicinske i elektroterapeutske opreme</t>
  </si>
  <si>
    <t>Semizovac</t>
  </si>
  <si>
    <t>26.70</t>
  </si>
  <si>
    <t>Proizvodnja optičkih instrumenata i fotografske opreme</t>
  </si>
  <si>
    <t>Simin Han</t>
  </si>
  <si>
    <t>26.80</t>
  </si>
  <si>
    <t>Proizvodnja magnetnih i optičkih medija</t>
  </si>
  <si>
    <t>Sladna</t>
  </si>
  <si>
    <t>27.11</t>
  </si>
  <si>
    <t>Proizvodnja elektromotora, generatora i transformatora</t>
  </si>
  <si>
    <t>Sovići</t>
  </si>
  <si>
    <t>27.12</t>
  </si>
  <si>
    <t>Proizvodnja uređaja za distribuciju i kontrolu električne energije</t>
  </si>
  <si>
    <t>27.20</t>
  </si>
  <si>
    <t>Proizvodnja baterija i akumulatora</t>
  </si>
  <si>
    <t>27.31</t>
  </si>
  <si>
    <t>Proizvodnja kablova od optičkih vlakana</t>
  </si>
  <si>
    <t>Stari Majdan</t>
  </si>
  <si>
    <t>27.32</t>
  </si>
  <si>
    <t>Proizvodnja ostalih elektroničkih i električnih žica i kablova</t>
  </si>
  <si>
    <t>Stari Vitez</t>
  </si>
  <si>
    <t>27.33</t>
  </si>
  <si>
    <t>Proizvodnja elektroinstalacijskog materijala</t>
  </si>
  <si>
    <t>Stijena</t>
  </si>
  <si>
    <t>27.40</t>
  </si>
  <si>
    <t>Proizvodnja električne opreme za rasvjetu</t>
  </si>
  <si>
    <t>Stjepan Polje</t>
  </si>
  <si>
    <t>27.51</t>
  </si>
  <si>
    <t>Proizvodnja električnih aparata za domaćinstvo</t>
  </si>
  <si>
    <t>27.52</t>
  </si>
  <si>
    <t>Proizvodnja neelektričnih aparata za domaćinstvo</t>
  </si>
  <si>
    <t>Stranjani</t>
  </si>
  <si>
    <t>27.90</t>
  </si>
  <si>
    <t>Proizvodnja ostale električne opreme</t>
  </si>
  <si>
    <t>Studenci</t>
  </si>
  <si>
    <t>28.11</t>
  </si>
  <si>
    <t>Proizvodnja motora i turbina, osim motora za avione i motorna vozila</t>
  </si>
  <si>
    <t>Stupari</t>
  </si>
  <si>
    <t>28.12</t>
  </si>
  <si>
    <t>Proizvodnja hidrauličnih pogonskih uređaja</t>
  </si>
  <si>
    <t>Šerići</t>
  </si>
  <si>
    <t>28.13</t>
  </si>
  <si>
    <t>Proizvodnja ostalih pumpi i kompresora</t>
  </si>
  <si>
    <t>Šibošnica</t>
  </si>
  <si>
    <t>28.14</t>
  </si>
  <si>
    <t>Proizvodnja ostalih slavina i ventila</t>
  </si>
  <si>
    <t>28.15</t>
  </si>
  <si>
    <t>Proizvodnja ležajeva, prijenosnika te prijenosnih i pogonskih elemenata</t>
  </si>
  <si>
    <t>Špionica</t>
  </si>
  <si>
    <t>28.21</t>
  </si>
  <si>
    <t>Proizvodnja peći, ložišta i plamenika</t>
  </si>
  <si>
    <t>Šturlić</t>
  </si>
  <si>
    <t>28.22</t>
  </si>
  <si>
    <t>Proizvodnja uređaja za dizanje i prenošenje</t>
  </si>
  <si>
    <t>Šujica</t>
  </si>
  <si>
    <t>28.23</t>
  </si>
  <si>
    <t>Proizvodnja kancelarijskih mašina i opreme (osim proizvodnje računara i periferne opreme)</t>
  </si>
  <si>
    <t>Šumatac</t>
  </si>
  <si>
    <t>28.24</t>
  </si>
  <si>
    <t>Proizvodnja ručnih prenosivih alata s vlastitim pogonom</t>
  </si>
  <si>
    <t>Tarčin</t>
  </si>
  <si>
    <t>28.25</t>
  </si>
  <si>
    <t>Proizvodnja rashladne i ventilacijske opreme, osim za domaćinstvo</t>
  </si>
  <si>
    <t>28.29</t>
  </si>
  <si>
    <t>Proizvodnja ostalih mašina za opće namjene, d. n.</t>
  </si>
  <si>
    <t>28.30</t>
  </si>
  <si>
    <t>Proizvodnja mašina za poljoprivredu i šumarstvo</t>
  </si>
  <si>
    <t>Tešanjka</t>
  </si>
  <si>
    <t>28.41</t>
  </si>
  <si>
    <t>Proizvodnja mašina za obradu metala</t>
  </si>
  <si>
    <t>Tihaljina</t>
  </si>
  <si>
    <t>28.49</t>
  </si>
  <si>
    <t>Proizvodnja ostalih alatnih mašina</t>
  </si>
  <si>
    <t>Tinja</t>
  </si>
  <si>
    <t>28.91</t>
  </si>
  <si>
    <t>Proizvodnja mašina za metalurgiju</t>
  </si>
  <si>
    <t>Todorovo</t>
  </si>
  <si>
    <t>28.92</t>
  </si>
  <si>
    <t>Proizvodnja mašina za rudnike, kamenolome i građevinarstvo</t>
  </si>
  <si>
    <t>Tojšići</t>
  </si>
  <si>
    <t>28.93</t>
  </si>
  <si>
    <t>Proizvodnja mašina za industriju hrane, pića i duhana</t>
  </si>
  <si>
    <t>Tolisa</t>
  </si>
  <si>
    <t>28.94</t>
  </si>
  <si>
    <t>Proizvodnja mašina za industriju tekstila, odjeće i kože</t>
  </si>
  <si>
    <t>28.95</t>
  </si>
  <si>
    <t>Proizvodnja mašina za industriju papira i kartona</t>
  </si>
  <si>
    <t>Torlakovac</t>
  </si>
  <si>
    <t>28.96</t>
  </si>
  <si>
    <t>Proizvodnja mašina za plastiku i gumu</t>
  </si>
  <si>
    <t>28.99</t>
  </si>
  <si>
    <t>Proizvodnja ostalih mašina za posebne namjene, d. n.</t>
  </si>
  <si>
    <t>Trebinja</t>
  </si>
  <si>
    <t>29.10</t>
  </si>
  <si>
    <t>Proizvodnja motornih vozila</t>
  </si>
  <si>
    <t>Tržačka Raštela</t>
  </si>
  <si>
    <t>29.20</t>
  </si>
  <si>
    <t>Proizvodnja karoserija za motorna vozila; proizvodnja prikolica i poluprikolica</t>
  </si>
  <si>
    <t>Turbe</t>
  </si>
  <si>
    <t>29.31</t>
  </si>
  <si>
    <t>Proizvodnja električne i elektroničke opreme za motorna vozila</t>
  </si>
  <si>
    <t>Turija</t>
  </si>
  <si>
    <t>29.32</t>
  </si>
  <si>
    <t>Proizvodnja ostalih dijelova i pribora za motorna vozila</t>
  </si>
  <si>
    <t>30.11</t>
  </si>
  <si>
    <t>Gradnja brodova i plovećih objekata</t>
  </si>
  <si>
    <t>30.12</t>
  </si>
  <si>
    <t>Gradnja čamaca za razonodu i sportskih čamaca</t>
  </si>
  <si>
    <t>Ustikolina</t>
  </si>
  <si>
    <t>30.20</t>
  </si>
  <si>
    <t>Proizvodnja željezničkih lokomotiva i tračničkih vozila</t>
  </si>
  <si>
    <t>Uzdol</t>
  </si>
  <si>
    <t>30.30</t>
  </si>
  <si>
    <t>Proizvodnja aviona i svemirskih letjelica te srodnih prijevoznih sredstava i opreme</t>
  </si>
  <si>
    <t>30.40</t>
  </si>
  <si>
    <t>Proizvodnja vojnih borbenih vozila</t>
  </si>
  <si>
    <t>Vareš Majdan</t>
  </si>
  <si>
    <t>30.91</t>
  </si>
  <si>
    <t>Proizvodnja motocikala</t>
  </si>
  <si>
    <t>Varoška Rijeka</t>
  </si>
  <si>
    <t>30.92</t>
  </si>
  <si>
    <t>Proizvodnja bicikala i invalidskih kolica</t>
  </si>
  <si>
    <t>Velika Gata</t>
  </si>
  <si>
    <t>30.99</t>
  </si>
  <si>
    <t>Proizvodnja ostalih prijevoznih sredstava, d. n.</t>
  </si>
  <si>
    <t>31.01</t>
  </si>
  <si>
    <t>Proizvodnja namještaja za poslovne i prodajne prostore</t>
  </si>
  <si>
    <t>Vesela</t>
  </si>
  <si>
    <t>31.02</t>
  </si>
  <si>
    <t>Proizvodnja kuhinjskog namještaja</t>
  </si>
  <si>
    <t>Vidoši</t>
  </si>
  <si>
    <t>31.03</t>
  </si>
  <si>
    <t>Proizvodnja madraca</t>
  </si>
  <si>
    <t>Vidovice</t>
  </si>
  <si>
    <t>31.09</t>
  </si>
  <si>
    <t>Proizvodnja ostalog namještaja</t>
  </si>
  <si>
    <t>Vinac</t>
  </si>
  <si>
    <t>32.11</t>
  </si>
  <si>
    <t>Proizvodnja kovanog novca</t>
  </si>
  <si>
    <t>Vir</t>
  </si>
  <si>
    <t>32.12</t>
  </si>
  <si>
    <t>Proizvodnja nakita i srodnih proizvoda</t>
  </si>
  <si>
    <t>32.13</t>
  </si>
  <si>
    <t>Proizvodnja imitacije nakita (bižuterije) i srodnih proizvoda</t>
  </si>
  <si>
    <t>Višići</t>
  </si>
  <si>
    <t>32.20</t>
  </si>
  <si>
    <t>Proizvodnja muzičkih instrumenata</t>
  </si>
  <si>
    <t>32.30</t>
  </si>
  <si>
    <t>Proizvodnja sportske opreme</t>
  </si>
  <si>
    <t>Vitina</t>
  </si>
  <si>
    <t>32.40</t>
  </si>
  <si>
    <t>Proizvodnja igara i igračaka</t>
  </si>
  <si>
    <t>Vitkovići</t>
  </si>
  <si>
    <t>32.50</t>
  </si>
  <si>
    <t>Proizvodnja medicinskih i stomatoloških instrumenata i pribora</t>
  </si>
  <si>
    <t>32.91</t>
  </si>
  <si>
    <t>Proizvodnja metli i četaka</t>
  </si>
  <si>
    <t>Vozuća</t>
  </si>
  <si>
    <t>32.99</t>
  </si>
  <si>
    <t>Ostala prerađivačka industrija, d. n.</t>
  </si>
  <si>
    <t>Vrapčići</t>
  </si>
  <si>
    <t>33.11</t>
  </si>
  <si>
    <t>Popravak proizvoda od metala</t>
  </si>
  <si>
    <t>Vrhpolje</t>
  </si>
  <si>
    <t>33.12</t>
  </si>
  <si>
    <t>Popravak mašina</t>
  </si>
  <si>
    <t>Vrnograč</t>
  </si>
  <si>
    <t>33.13</t>
  </si>
  <si>
    <t>Popravak elektroničke i optičke opreme</t>
  </si>
  <si>
    <t>Vrsta</t>
  </si>
  <si>
    <t>33.14</t>
  </si>
  <si>
    <t>Popravak električne opreme</t>
  </si>
  <si>
    <t>Vučkovci</t>
  </si>
  <si>
    <t>33.15</t>
  </si>
  <si>
    <t>Popravak i održavanje brodova i čamaca</t>
  </si>
  <si>
    <t>33.16</t>
  </si>
  <si>
    <t>Popravak i održavanje aviona i svemirskih letjelica</t>
  </si>
  <si>
    <t>Zborište</t>
  </si>
  <si>
    <t>33.17</t>
  </si>
  <si>
    <t>Popravak i održavanje ostalih prijevoznih sredstava</t>
  </si>
  <si>
    <t>Zelinja</t>
  </si>
  <si>
    <t>33.19</t>
  </si>
  <si>
    <t>Popravak ostale opreme</t>
  </si>
  <si>
    <t>33.20</t>
  </si>
  <si>
    <t>Instaliranje industrijskih mašina i opreme</t>
  </si>
  <si>
    <t>Željezno Polje</t>
  </si>
  <si>
    <t>35.11</t>
  </si>
  <si>
    <t>Proizvodnja električne energije</t>
  </si>
  <si>
    <t>35.12</t>
  </si>
  <si>
    <t>Prijenos električne energije</t>
  </si>
  <si>
    <t>35.13</t>
  </si>
  <si>
    <t>Distribucija električne energije</t>
  </si>
  <si>
    <t>Župča</t>
  </si>
  <si>
    <t>35.14</t>
  </si>
  <si>
    <t>Trgovina električnom energijom</t>
  </si>
  <si>
    <t>35.21</t>
  </si>
  <si>
    <t>Proizvodnja plina</t>
  </si>
  <si>
    <t>35.22</t>
  </si>
  <si>
    <t>Distribucija plinovitih goriva distribucijskom mrežom</t>
  </si>
  <si>
    <t>35.23</t>
  </si>
  <si>
    <t>Trgovina plinom distribucijskom mrežom</t>
  </si>
  <si>
    <t>35.30</t>
  </si>
  <si>
    <t>Proizvodnja i snabdijevanje parom i klimatizacija</t>
  </si>
  <si>
    <t>36.00</t>
  </si>
  <si>
    <t>Sakupljanje, pročišćavanje i snabdijevanje vodom</t>
  </si>
  <si>
    <t>37.00</t>
  </si>
  <si>
    <t>Uklanjanje otpadnih voda</t>
  </si>
  <si>
    <t>38.11</t>
  </si>
  <si>
    <t>Sakupljanje neopasnog otpada</t>
  </si>
  <si>
    <t>38.12</t>
  </si>
  <si>
    <t>Sakupljanje opasnog otpada</t>
  </si>
  <si>
    <t>38.21</t>
  </si>
  <si>
    <t>Obrada i zbrinjavanje neopasnog otpada</t>
  </si>
  <si>
    <t>38.22</t>
  </si>
  <si>
    <t>Obrada i zbrinjavanje opasnog otpada</t>
  </si>
  <si>
    <t>38.31</t>
  </si>
  <si>
    <t>Rastavljanje olupina</t>
  </si>
  <si>
    <t>38.32</t>
  </si>
  <si>
    <t>Reciklaža posebno izdvojenih materijala</t>
  </si>
  <si>
    <t>39.00</t>
  </si>
  <si>
    <t>Djelatnosti sanacije okoliša te ostale djelatnosti upravljanja otpadom</t>
  </si>
  <si>
    <t>41.10</t>
  </si>
  <si>
    <t>Organizacija izvođenja građevinskih projekata</t>
  </si>
  <si>
    <t>41.20</t>
  </si>
  <si>
    <t>Gradnja stambenih i nestambenih zgrada</t>
  </si>
  <si>
    <t>42.11</t>
  </si>
  <si>
    <t>Gradnja cesta i autocesta</t>
  </si>
  <si>
    <t>42.12</t>
  </si>
  <si>
    <t>Gradnja željezničkih pruga i podzemnih željeznica</t>
  </si>
  <si>
    <t>42.13</t>
  </si>
  <si>
    <t>Gradnja mostova i tunela</t>
  </si>
  <si>
    <t>42.21</t>
  </si>
  <si>
    <t>Gradnja cjevovoda za tečnosti i plinove</t>
  </si>
  <si>
    <t>42.22</t>
  </si>
  <si>
    <t>Gradnja vodova za električnu struju i telekomunikacije</t>
  </si>
  <si>
    <t>42.91</t>
  </si>
  <si>
    <t>Gradnja hidrograđevinskih objekata</t>
  </si>
  <si>
    <t>42.99</t>
  </si>
  <si>
    <t>Gradnja ostalih građevina niskogradnje, d. n.</t>
  </si>
  <si>
    <t>43.11</t>
  </si>
  <si>
    <t>Uklanjanje građevina</t>
  </si>
  <si>
    <t>43.12</t>
  </si>
  <si>
    <t>Pripremni radovi na gradilištu</t>
  </si>
  <si>
    <t>43.13</t>
  </si>
  <si>
    <t>Ispitivanje terena za gradnju bušenjem i sondiranjem</t>
  </si>
  <si>
    <t>43.21</t>
  </si>
  <si>
    <t>Elektroinstalacijski radovi</t>
  </si>
  <si>
    <t>43.22</t>
  </si>
  <si>
    <t>Uvođenje instalacija vodovoda, kanalizacije i plina i instalacija za grijanje i klimatizaciju</t>
  </si>
  <si>
    <t>43.29</t>
  </si>
  <si>
    <t>Ostali građevinski instalacijski radovi</t>
  </si>
  <si>
    <t>43.31</t>
  </si>
  <si>
    <t>Fasadni i štukaturski radovi</t>
  </si>
  <si>
    <t>43.32</t>
  </si>
  <si>
    <t>Ugradnja stolarije</t>
  </si>
  <si>
    <t>43.33</t>
  </si>
  <si>
    <t>Postavljanje podnih i zidnih obloga</t>
  </si>
  <si>
    <t>43.34</t>
  </si>
  <si>
    <t>Bojenje i staklarski radovi</t>
  </si>
  <si>
    <t>43.39</t>
  </si>
  <si>
    <t>Ostali završni građevinski radovi</t>
  </si>
  <si>
    <t>43.91</t>
  </si>
  <si>
    <t>Podizanje krovnih konstrukcija i pokrivanje krovova</t>
  </si>
  <si>
    <t>43.99</t>
  </si>
  <si>
    <t>Ostale specijalizirane građevinske djelatnosti, d. n.</t>
  </si>
  <si>
    <t>45.11</t>
  </si>
  <si>
    <t>Trgovina automobilima i motornim vozilima lake kategorije</t>
  </si>
  <si>
    <t>45.19</t>
  </si>
  <si>
    <t>Trgovina ostalim motornim vozilima</t>
  </si>
  <si>
    <t>45.20</t>
  </si>
  <si>
    <t>Održavanje i popravak motornih vozila</t>
  </si>
  <si>
    <t>45.31</t>
  </si>
  <si>
    <t>Trgovina na veliko dijelovima i priborom za motorna vozila</t>
  </si>
  <si>
    <t>45.32</t>
  </si>
  <si>
    <t>Trgovina na malo dijelovima i priborom za motorna vozila</t>
  </si>
  <si>
    <t>45.40</t>
  </si>
  <si>
    <t>Trgovina motociklima, dijelovima i priborom za motocikle te održavanje i popravak motocikala</t>
  </si>
  <si>
    <t>46.11</t>
  </si>
  <si>
    <t>Posredovanje u trgovini poljoprivrednim sirovinama, živim životinjama, tekstilnim sirovinama i poluproizvodima</t>
  </si>
  <si>
    <t>46.12</t>
  </si>
  <si>
    <t>Posredovanje u trgovini gorivima, rudama, metalima i industrijskim hemikalijama</t>
  </si>
  <si>
    <t>46.13</t>
  </si>
  <si>
    <t>Posredovanje u trgovini drvenom građom i građevinskim materijalom</t>
  </si>
  <si>
    <t>46.14</t>
  </si>
  <si>
    <t>Posredovanje u trgovini mašinima, industrijskom opremom, brodovima i avionima</t>
  </si>
  <si>
    <t>46.15</t>
  </si>
  <si>
    <t>Posredovanje u trgovini namještajem, proizvodima za domaćinstvo i željeznom robom</t>
  </si>
  <si>
    <t>46.16</t>
  </si>
  <si>
    <t>Posredovanje u trgovini tekstilom, odjećom, krznom, obućom i kožnim proizvodima</t>
  </si>
  <si>
    <t>46.17</t>
  </si>
  <si>
    <t>Posredovanje u trgovini hranom, pićima i duhanom</t>
  </si>
  <si>
    <t>46.18</t>
  </si>
  <si>
    <t>Posredovanje u trgovini specijaliziranoj za određene proizvode ili grupe ostalih proizvoda</t>
  </si>
  <si>
    <t>46.19</t>
  </si>
  <si>
    <t>Posredovanje u trgovini raznovrsnim proizvodima</t>
  </si>
  <si>
    <t>46.21</t>
  </si>
  <si>
    <t>Trgovina na veliko žitaricama, sirovim duhanom, sjemenjem i hranom za životinje</t>
  </si>
  <si>
    <t>46.22</t>
  </si>
  <si>
    <t>Trgovina na veliko cvijećem i sadnicama</t>
  </si>
  <si>
    <t>46.23</t>
  </si>
  <si>
    <t>Trgovina na veliko živim životinjama</t>
  </si>
  <si>
    <t>46.24</t>
  </si>
  <si>
    <t>Trgovina na veliko sirovim, štavljenim i dovršenim kožama</t>
  </si>
  <si>
    <t>46.31</t>
  </si>
  <si>
    <t>Trgovina na veliko voćem i povrćem</t>
  </si>
  <si>
    <t>46.32</t>
  </si>
  <si>
    <t>Trgovina na veliko mesom i mesnim proizvodima</t>
  </si>
  <si>
    <t>46.33</t>
  </si>
  <si>
    <t>Trgovina na veliko mlijekom, mliječnim proizvodima, jajima, jestivim uljima i mastima</t>
  </si>
  <si>
    <t>46.34</t>
  </si>
  <si>
    <t>Trgovina na veliko pićima</t>
  </si>
  <si>
    <t>46.35</t>
  </si>
  <si>
    <t>Trgovina na veliko duhanskim proizvodima</t>
  </si>
  <si>
    <t>46.36</t>
  </si>
  <si>
    <t>Trgovina na veliko šećerom, čokoladom i slatkišima</t>
  </si>
  <si>
    <t>46.37</t>
  </si>
  <si>
    <t>Trgovina na veliko kafom, čajem, kakaom i začinima</t>
  </si>
  <si>
    <t>46.38</t>
  </si>
  <si>
    <t>Trgovina na veliko ostalom hranom, uključujući ribe, ljuskare i mekušce</t>
  </si>
  <si>
    <t>46.39</t>
  </si>
  <si>
    <t>Nespecijalizirana trgovina na veliko hranom, pićima i duhanskim proizvodima</t>
  </si>
  <si>
    <t>46.41</t>
  </si>
  <si>
    <t>Trgovina na veliko tekstilom</t>
  </si>
  <si>
    <t>46.42</t>
  </si>
  <si>
    <t>Trgovina na veliko odjećom i obućom</t>
  </si>
  <si>
    <t>46.43</t>
  </si>
  <si>
    <t>Trgovina na veliko električnim aparatima za domaćinstvo</t>
  </si>
  <si>
    <t>46.44</t>
  </si>
  <si>
    <t>Trgovina na veliko porculanom, proizvodima od stakla i sredstvima za čišćenje</t>
  </si>
  <si>
    <t>46.45</t>
  </si>
  <si>
    <t>Trgovina na veliko parfemima i kozmetikom</t>
  </si>
  <si>
    <t>46.46</t>
  </si>
  <si>
    <t>Trgovina na veliko farmaceutskim proizvodima</t>
  </si>
  <si>
    <t>46.47</t>
  </si>
  <si>
    <t>Trgovina na veliko namještajem, tepisima i opremom za rasvjetu</t>
  </si>
  <si>
    <t>46.48</t>
  </si>
  <si>
    <t>Trgovina na veliko satovima i nakitom</t>
  </si>
  <si>
    <t>46.49</t>
  </si>
  <si>
    <t>Trgovina na veliko ostalim proizvodima za domaćinstvo</t>
  </si>
  <si>
    <t>46.51</t>
  </si>
  <si>
    <t>Trgovina na veliko računarima, perifernom opremom i softverom</t>
  </si>
  <si>
    <t>46.52</t>
  </si>
  <si>
    <t>Trgovina na veliko elektroničkim i telekomunikacijskim dijelovima i opremom</t>
  </si>
  <si>
    <t>46.61</t>
  </si>
  <si>
    <t>Trgovina na veliko poljoprivrednim mašinima, opremom i priborom</t>
  </si>
  <si>
    <t>46.62</t>
  </si>
  <si>
    <t>Trgovina na veliko alatnim mašinima</t>
  </si>
  <si>
    <t>46.63</t>
  </si>
  <si>
    <t>Trgovina na veliko mašinima za rudarstvo i građevinarstvo</t>
  </si>
  <si>
    <t>46.64</t>
  </si>
  <si>
    <t>Trgovina na veliko mašinima za tekstilnu industriju te mašinima za šivanje i pletenje</t>
  </si>
  <si>
    <t>46.65</t>
  </si>
  <si>
    <t>Trgovina na veliko kancelarijskim namještajem</t>
  </si>
  <si>
    <t>46.66</t>
  </si>
  <si>
    <t>Trgovina na veliko ostalim kancelarijskim mašinima i opremom</t>
  </si>
  <si>
    <t>46.69</t>
  </si>
  <si>
    <t>Trgovina na veliko ostalim mašinima i opremom</t>
  </si>
  <si>
    <t>46.71</t>
  </si>
  <si>
    <t>Trgovina na veliko krutim, tečnim i plinovitim gorivima i srodnim proizvodima</t>
  </si>
  <si>
    <t>46.72</t>
  </si>
  <si>
    <t>Trgovina na veliko metalima i metalnim rudama</t>
  </si>
  <si>
    <t>46.73</t>
  </si>
  <si>
    <t>Trgovina na veliko drvom, građevinskim materijalom i sanitarnom opremom</t>
  </si>
  <si>
    <t>46.74</t>
  </si>
  <si>
    <t>Trgovina na veliko metalnom robom, instalacijskim materijalom, uređajima i opremom za vodovod i grijanje</t>
  </si>
  <si>
    <t>46.75</t>
  </si>
  <si>
    <t>Trgovina na veliko hemijskim proizvodima</t>
  </si>
  <si>
    <t>46.76</t>
  </si>
  <si>
    <t>Trgovina na veliko ostalim poluproizvodima</t>
  </si>
  <si>
    <t>46.77</t>
  </si>
  <si>
    <t>Trgovina na veliko ostacima i otpacima</t>
  </si>
  <si>
    <t>46.90</t>
  </si>
  <si>
    <t>Nespecijalizirana trgovina na veliko</t>
  </si>
  <si>
    <t>47.11</t>
  </si>
  <si>
    <t>Trgovina na malo u nespecijaliziranim prodavnicama pretežno hranom, pićima i duhanskim proizvodima</t>
  </si>
  <si>
    <t>47.19</t>
  </si>
  <si>
    <t>Ostala trgovina na malo u nespecijaliziranim prodavnicama</t>
  </si>
  <si>
    <t>47.21</t>
  </si>
  <si>
    <t>Trgovina na malo voćem i povrćem u specijaliziranim prodavnicama</t>
  </si>
  <si>
    <t>47.22</t>
  </si>
  <si>
    <t>Trgovina na malo mesom i mesnim proizvodima u specijaliziranim prodavnicama</t>
  </si>
  <si>
    <t>47.23</t>
  </si>
  <si>
    <t>Trgovina na malo ribama, ljuskarima i mekušcima u specijaliziranim prodavnicama</t>
  </si>
  <si>
    <t>47.24</t>
  </si>
  <si>
    <t>Trgovina na malo hljebom, proizvodima od brašna, kolačima i slatkišima u specijaliziranim prodavnicama</t>
  </si>
  <si>
    <t>47.25</t>
  </si>
  <si>
    <t>Trgovina na malo pićima u specijaliziranim prodavnicama</t>
  </si>
  <si>
    <t>47.26</t>
  </si>
  <si>
    <t>Trgovina na malo duhanskim proizvodima u specijaliziranim prodavnicama</t>
  </si>
  <si>
    <t>47.29</t>
  </si>
  <si>
    <t>Ostala trgovina na malo prehrambenim proizvodima u specijaliziranim prodavnicama</t>
  </si>
  <si>
    <t>47.30</t>
  </si>
  <si>
    <t>Trgovina na malo motornim gorivima u specijaliziranim prodavnicama</t>
  </si>
  <si>
    <t>47.41</t>
  </si>
  <si>
    <t>Trgovina na malo računarima, perifernim jedinicama i softverom u specijaliziranim prodavnicama</t>
  </si>
  <si>
    <t>47.42</t>
  </si>
  <si>
    <t>Trgovina na malo telekomunikacijskom opremom u specijaliziranim prodavnicama</t>
  </si>
  <si>
    <t>47.43</t>
  </si>
  <si>
    <t>Trgovina na malo audio i videoopremom u specijaliziranim prodavnicama</t>
  </si>
  <si>
    <t>47.51</t>
  </si>
  <si>
    <t>Trgovina na malo tekstilom u specijaliziranim prodavnicama</t>
  </si>
  <si>
    <t>47.52</t>
  </si>
  <si>
    <t>Trgovina na malo metalnom robom, bojama i staklom u specijaliziranim prodavnicama</t>
  </si>
  <si>
    <t>47.53</t>
  </si>
  <si>
    <t>Trgovina na malo tepisima i prostiračima za pod, zidnim i podnim oblogama u specijaliziranim prodavnicama</t>
  </si>
  <si>
    <t>47.54</t>
  </si>
  <si>
    <t>Trgovina na malo električnim aparatima za domaćinstvo u specijaliziranim prodavnicama</t>
  </si>
  <si>
    <t>47.59</t>
  </si>
  <si>
    <t>Trgovina na malo namještajem, opremom za rasvjetu i ostalim proizvodima za domaćinstvo u specijaliziranim prodavnicama</t>
  </si>
  <si>
    <t>47.61</t>
  </si>
  <si>
    <t>Trgovina na malo knjigama u specijaliziranim prodavnicama</t>
  </si>
  <si>
    <t>47.62</t>
  </si>
  <si>
    <t>Trgovina na malo novinama, papirnom robom i pisaćim priborom u specijaliziranim prodavnicama</t>
  </si>
  <si>
    <t>47.63</t>
  </si>
  <si>
    <t>Trgovina na malo muzičkim i videozapisima u specijaliziranim prodavnicama</t>
  </si>
  <si>
    <t>47.64</t>
  </si>
  <si>
    <t>Trgovina na malo sportskom opremom u specijaliziranim prodavnicama</t>
  </si>
  <si>
    <t>47.65</t>
  </si>
  <si>
    <t>Trgovina na malo igrama i igračkama u specijaliziranim prodavnicama</t>
  </si>
  <si>
    <t>47.71</t>
  </si>
  <si>
    <t>Trgovina na malo odjećom u specijaliziranim prodavnicama</t>
  </si>
  <si>
    <t>47.72</t>
  </si>
  <si>
    <t>Trgovina na malo obućom i proizvodima od kože u specijaliziranim prodavnicama</t>
  </si>
  <si>
    <t>47.73</t>
  </si>
  <si>
    <t>Apoteke</t>
  </si>
  <si>
    <t>47.74</t>
  </si>
  <si>
    <t>Trgovina na malo medicinskim preparatima i ortopedskim pomagalima u specijaliziranim prodavnicama</t>
  </si>
  <si>
    <t>47.75</t>
  </si>
  <si>
    <t>Trgovina na malo kozmetičkim i toaletnim proizvodima u specijaliziranim prodavnicama</t>
  </si>
  <si>
    <t>47.76</t>
  </si>
  <si>
    <t>Trgovina na malo cvijećem, sadnicama, sjemenjem, gnojivom, kućnim ljubimcima i hranom za kućne ljubimce u specijaliziranim prodavnicama</t>
  </si>
  <si>
    <t>47.77</t>
  </si>
  <si>
    <t>Trgovina na malo satovima i nakitom u specijaliziranim prodavnicama</t>
  </si>
  <si>
    <t>47.78</t>
  </si>
  <si>
    <t>Ostala trgovina na malo novom robom u specijaliziranim prodavnicama</t>
  </si>
  <si>
    <t>47.79</t>
  </si>
  <si>
    <t>Trgovina na malo rabljenom robom u specijaliziranim prodavnicama</t>
  </si>
  <si>
    <t>47.81</t>
  </si>
  <si>
    <t>Trgovina na malo hranom, pićima i duhanskim proizvodima na štandovima i tržnicama</t>
  </si>
  <si>
    <t>47.82</t>
  </si>
  <si>
    <t>Trgovina na malo tekstilom, odjećom i obućom na štandovima i tržnicama</t>
  </si>
  <si>
    <t>47.89</t>
  </si>
  <si>
    <t>Trgovina na malo ostalom robom na štandovima i tržnicama</t>
  </si>
  <si>
    <t>47.91</t>
  </si>
  <si>
    <t>Trgovina na malo putem pošte ili interneta</t>
  </si>
  <si>
    <t>47.99</t>
  </si>
  <si>
    <t>Ostala trgovina na malo izvan prodavnica, štandova i tržnica</t>
  </si>
  <si>
    <t>49.10</t>
  </si>
  <si>
    <t>Željeznički prijevoz putnika, međugradski</t>
  </si>
  <si>
    <t>49.20</t>
  </si>
  <si>
    <t>Željeznički prijevoz robe</t>
  </si>
  <si>
    <t>49.31</t>
  </si>
  <si>
    <t>Gradski i prigradski kopneni prijevoz putnika</t>
  </si>
  <si>
    <t>49.32</t>
  </si>
  <si>
    <t>Taksi služba</t>
  </si>
  <si>
    <t>49.39</t>
  </si>
  <si>
    <t>Ostali kopneni prijevoz putnika, d. n.</t>
  </si>
  <si>
    <t>49.41</t>
  </si>
  <si>
    <t>Cestovni prijevoz robe</t>
  </si>
  <si>
    <t>49.42</t>
  </si>
  <si>
    <t>Usluge preseljenja</t>
  </si>
  <si>
    <t>49.50</t>
  </si>
  <si>
    <t>Cjevovodni transport</t>
  </si>
  <si>
    <t>50.10</t>
  </si>
  <si>
    <t>Pomorski i priobalni prijevoz putnika</t>
  </si>
  <si>
    <t>50.20</t>
  </si>
  <si>
    <t>Pomorski i priobalni prijevoz robe</t>
  </si>
  <si>
    <t>50.30</t>
  </si>
  <si>
    <t>Prijevoz putnika unutrašnjim vodenim putevima</t>
  </si>
  <si>
    <t>50.40</t>
  </si>
  <si>
    <t>Prijevoz robe unutrašnjim vodenim putevima</t>
  </si>
  <si>
    <t>51.10</t>
  </si>
  <si>
    <t>Zračni prijevoz putnika</t>
  </si>
  <si>
    <t>51.21</t>
  </si>
  <si>
    <t>Zračni prijevoz robe</t>
  </si>
  <si>
    <t>51.22</t>
  </si>
  <si>
    <t>Svemirski prijevoz</t>
  </si>
  <si>
    <t>52.10</t>
  </si>
  <si>
    <t>Skladištenje robe</t>
  </si>
  <si>
    <t>52.21</t>
  </si>
  <si>
    <t>Uslužne djelatnosti u vezi s kopnenim prijevozom</t>
  </si>
  <si>
    <t>52.22</t>
  </si>
  <si>
    <t>Uslužne djelatnosti u vezi s vodenim prijevozom</t>
  </si>
  <si>
    <t>52.23</t>
  </si>
  <si>
    <t>Uslužne djelatnosti u vezi sa zračnim prijevozom</t>
  </si>
  <si>
    <t>52.24</t>
  </si>
  <si>
    <t>Pretovar tereta</t>
  </si>
  <si>
    <t>52.29</t>
  </si>
  <si>
    <t>Ostale pomoćne djelatnosti u prijevozu</t>
  </si>
  <si>
    <t>53.10</t>
  </si>
  <si>
    <t>Djelatnosti pružanja univerzalnih poštanskih usluga</t>
  </si>
  <si>
    <t>53.20</t>
  </si>
  <si>
    <t>Djelatnosti pružanja ostalih poštanskih i kurirskih usluga</t>
  </si>
  <si>
    <t>55.10</t>
  </si>
  <si>
    <t>Hoteli i sličan smještaj</t>
  </si>
  <si>
    <t>55.20</t>
  </si>
  <si>
    <t>Odmarališta i slični objekti za kraći odmor</t>
  </si>
  <si>
    <t>55.30</t>
  </si>
  <si>
    <t>Kampovi i prostori za kampiranje</t>
  </si>
  <si>
    <t>55.90</t>
  </si>
  <si>
    <t>Ostali smještaj</t>
  </si>
  <si>
    <t>56.10</t>
  </si>
  <si>
    <t>Djelatnosti restorana i ostalih objekata za pripremu i usluživanje hrane</t>
  </si>
  <si>
    <t>56.21</t>
  </si>
  <si>
    <t>Djelatnosti keteringa</t>
  </si>
  <si>
    <t>56.29</t>
  </si>
  <si>
    <t>Ostale djelatnosti pripreme i usluživanja hrane</t>
  </si>
  <si>
    <t>56.30</t>
  </si>
  <si>
    <t>Djelatnosti pripreme i usluživanja pića</t>
  </si>
  <si>
    <t>58.11</t>
  </si>
  <si>
    <t>Izdavanje knjiga</t>
  </si>
  <si>
    <t>58.12</t>
  </si>
  <si>
    <t>Izdavanje imenika i popisa korisničkih adresa</t>
  </si>
  <si>
    <t>58.13</t>
  </si>
  <si>
    <t>Izdavanje novina</t>
  </si>
  <si>
    <t>58.14</t>
  </si>
  <si>
    <t>Izdavanje časopisa i periodičnih publikacija</t>
  </si>
  <si>
    <t>58.19</t>
  </si>
  <si>
    <t>Ostala izdavačka djelatnost</t>
  </si>
  <si>
    <t>58.21</t>
  </si>
  <si>
    <t>Izdavanje računarskih igara</t>
  </si>
  <si>
    <t>58.29</t>
  </si>
  <si>
    <t>Izdavanje ostalog softvera</t>
  </si>
  <si>
    <t>59.11</t>
  </si>
  <si>
    <t>Proizvodnja filmova, videofilmova i televizijskog programa</t>
  </si>
  <si>
    <t>59.12</t>
  </si>
  <si>
    <t>Djelatnosti koje slijede nakon proizvodnje filmova, videofilmova i televizijskog programa</t>
  </si>
  <si>
    <t>59.13</t>
  </si>
  <si>
    <t>Distribucija filmova, videofilmova i televizijskog programa</t>
  </si>
  <si>
    <t>59.14</t>
  </si>
  <si>
    <t>Djelatnosti prikazivanja filmova</t>
  </si>
  <si>
    <t>59.20</t>
  </si>
  <si>
    <t>Djelatnosti snimanja zvučnih zapisa i izdavanja muzičkih zapisa</t>
  </si>
  <si>
    <t>60.10</t>
  </si>
  <si>
    <t>Emitiranje radijskog programa</t>
  </si>
  <si>
    <t>60.20</t>
  </si>
  <si>
    <t>Emitiranje televizijskog programa</t>
  </si>
  <si>
    <t>61.10</t>
  </si>
  <si>
    <t>Djelatnosti žičane telekomunikacije</t>
  </si>
  <si>
    <t>61.20</t>
  </si>
  <si>
    <t>Djelatnosti bežične telekomunikacije</t>
  </si>
  <si>
    <t>61.30</t>
  </si>
  <si>
    <t>Djelatnosti satelitske telekomunikacije</t>
  </si>
  <si>
    <t>61.90</t>
  </si>
  <si>
    <t>Ostale telekomunikacijske djelatnosti</t>
  </si>
  <si>
    <t>62.01</t>
  </si>
  <si>
    <t>Računarsko programiranje</t>
  </si>
  <si>
    <t>62.02</t>
  </si>
  <si>
    <t>Savjetovanje u vezi s računarima</t>
  </si>
  <si>
    <t>62.03</t>
  </si>
  <si>
    <t>Upravljanje računarskom opremom i sistemom</t>
  </si>
  <si>
    <t>62.09</t>
  </si>
  <si>
    <t>Ostale uslužne djelatnosti u vezi s informacijskom tehnologijom i računarima</t>
  </si>
  <si>
    <t>63.11</t>
  </si>
  <si>
    <t>Obrada podataka, usluge hostinga i djelatnosti u vezi s njima</t>
  </si>
  <si>
    <t>63.12</t>
  </si>
  <si>
    <t>Internetski portali</t>
  </si>
  <si>
    <t>63.91</t>
  </si>
  <si>
    <t>Djelatnosti novinskih agencija</t>
  </si>
  <si>
    <t>63.99</t>
  </si>
  <si>
    <t>Ostale informacijske uslužne djelatnosti, d. n.</t>
  </si>
  <si>
    <t>64.11</t>
  </si>
  <si>
    <t>Djelatnost Centralne banke</t>
  </si>
  <si>
    <t>64.19</t>
  </si>
  <si>
    <t>Ostalo novčarsko posredovanje</t>
  </si>
  <si>
    <t>64.20</t>
  </si>
  <si>
    <t>Djelatnosti finansijskih holding-društava</t>
  </si>
  <si>
    <t>64.30</t>
  </si>
  <si>
    <t>Trustovi, ostali fondovi i slični finansijski subjekti</t>
  </si>
  <si>
    <t>64.91</t>
  </si>
  <si>
    <t>Finansijski zakup (leasing)</t>
  </si>
  <si>
    <t>64.92</t>
  </si>
  <si>
    <t>Ostalo kreditno posredovanje</t>
  </si>
  <si>
    <t>64.99</t>
  </si>
  <si>
    <t>Ostale finansijske uslužne djelatnosti, osim osiguranja i penzijskih fondova, d. n.</t>
  </si>
  <si>
    <t>65.11</t>
  </si>
  <si>
    <t>Životno osiguranje</t>
  </si>
  <si>
    <t>65.12</t>
  </si>
  <si>
    <t>Ostalo osiguranje</t>
  </si>
  <si>
    <t>65.20</t>
  </si>
  <si>
    <t>Reosiguranje</t>
  </si>
  <si>
    <t>65.30</t>
  </si>
  <si>
    <t>Penzijski fondovi</t>
  </si>
  <si>
    <t>66.11</t>
  </si>
  <si>
    <t>Poslovanje finansijskih tržišta</t>
  </si>
  <si>
    <t>66.12</t>
  </si>
  <si>
    <t>Djelatnosti posredovanja u poslovanju vrijednosnim papirima i robnim ugovorima</t>
  </si>
  <si>
    <t>66.19</t>
  </si>
  <si>
    <t>Ostale pomoćne djelatnosti kod finansijskih usluga, osim osiguranja i penzijskih fondova</t>
  </si>
  <si>
    <t>66.21</t>
  </si>
  <si>
    <t>Procjena rizika i štete</t>
  </si>
  <si>
    <t>66.22</t>
  </si>
  <si>
    <t>Djelatnosti agenata i posrednika osiguranja</t>
  </si>
  <si>
    <t>66.29</t>
  </si>
  <si>
    <t>Ostale pomoćne djelatnosti u osiguranju i penzijskim fondovima</t>
  </si>
  <si>
    <t>66.30</t>
  </si>
  <si>
    <t>Djelatnosti upravljanja fondovima</t>
  </si>
  <si>
    <t>68.10</t>
  </si>
  <si>
    <t>Kupovina i prodaja vlastitih nekretnina</t>
  </si>
  <si>
    <t>68.20</t>
  </si>
  <si>
    <t>Iznajmljivanje i upravljanje vlastitim nekretninama ili nekretninama uzetim u zakup (leasing)</t>
  </si>
  <si>
    <t>68.31</t>
  </si>
  <si>
    <t>Agencije za poslovanje nekretninama</t>
  </si>
  <si>
    <t>68.32</t>
  </si>
  <si>
    <t>Upravljanje nekretninama uz naknadu ili na osnovu ugovora</t>
  </si>
  <si>
    <t>69.10</t>
  </si>
  <si>
    <t>Pravne djelatnosti</t>
  </si>
  <si>
    <t>69.20</t>
  </si>
  <si>
    <t>Računovodstvene, knjigovodstvene i revizijske djelatnosti; porezno savjetovanje</t>
  </si>
  <si>
    <t>70.10</t>
  </si>
  <si>
    <t>Upravljačke djelatnosti</t>
  </si>
  <si>
    <t>70.21</t>
  </si>
  <si>
    <t>Odnosi s javnošću i djelatnosti saopćavanja</t>
  </si>
  <si>
    <t>70.22</t>
  </si>
  <si>
    <t>Savjetovanje u vezi s poslovanjem i ostalim upravljanjem</t>
  </si>
  <si>
    <t>71.11</t>
  </si>
  <si>
    <t>Arhitektonske djelatnosti</t>
  </si>
  <si>
    <t>71.12</t>
  </si>
  <si>
    <t>Inžinjerske djelatnosti i s njima povezano tehničko savjetovanje</t>
  </si>
  <si>
    <t>71.20</t>
  </si>
  <si>
    <t>Tehničko ispitivanje i analiza</t>
  </si>
  <si>
    <t>72.11</t>
  </si>
  <si>
    <t>Istraživanje i eksperimentalni razvoj u biotehnologiji</t>
  </si>
  <si>
    <t>72.19</t>
  </si>
  <si>
    <t>Ostalo istraživanje i eksperimentalni razvoj u prirodnim, tehničkim i tehnološkim naukama</t>
  </si>
  <si>
    <t>72.20</t>
  </si>
  <si>
    <t>Istraživanje i eksperimentalni razvoj u društvenim i humanističkim naukama</t>
  </si>
  <si>
    <t>73.11</t>
  </si>
  <si>
    <t>Agencije za promociju (reklamu i propagandu)</t>
  </si>
  <si>
    <t>73.12</t>
  </si>
  <si>
    <t>Oglašavanje putem medija</t>
  </si>
  <si>
    <t>73.20</t>
  </si>
  <si>
    <t>Istraživanje tržišta i ispitivanje javnog mnijenja</t>
  </si>
  <si>
    <t>74.10</t>
  </si>
  <si>
    <t>Specijalizirane dizajnerske djelatnosti</t>
  </si>
  <si>
    <t>74.20</t>
  </si>
  <si>
    <t>Fotografske djelatnosti</t>
  </si>
  <si>
    <t>74.30</t>
  </si>
  <si>
    <t>Prevodilačke djelatnosti i usluge tumača</t>
  </si>
  <si>
    <t>74.90</t>
  </si>
  <si>
    <t>Ostale stručne, naučne i tehničke djelatnosti, d. n.</t>
  </si>
  <si>
    <t>75.00</t>
  </si>
  <si>
    <t>Veterinarske djelatnosti</t>
  </si>
  <si>
    <t>77.11</t>
  </si>
  <si>
    <t>Iznajmljivanje i davanje u zakup (leasing) automobila i motornih vozila lake kategorije</t>
  </si>
  <si>
    <t>77.12</t>
  </si>
  <si>
    <t>Iznajmljivanje i davanje u zakup (leasing) kamiona</t>
  </si>
  <si>
    <t>77.21</t>
  </si>
  <si>
    <t>Iznajmljivanje i davanje u zakup (leasing) opreme za rekreaciju i sport</t>
  </si>
  <si>
    <t>77.22</t>
  </si>
  <si>
    <t>Iznajmljivanje videokaseta i diskova</t>
  </si>
  <si>
    <t>77.29</t>
  </si>
  <si>
    <t>Iznajmljivanje i davanje u zakup (leasing) ostalih predmeta za ličnu upotrebu i domaćinstvo</t>
  </si>
  <si>
    <t>77.31</t>
  </si>
  <si>
    <t>Iznajmljivanje i davanje u zakup (leasing) poljoprivrednih mašina i opreme</t>
  </si>
  <si>
    <t>77.32</t>
  </si>
  <si>
    <t>Iznajmljivanje i davanje u zakup (leasing) mašina i opreme za građevinarstvo</t>
  </si>
  <si>
    <t>77.33</t>
  </si>
  <si>
    <t>Iznajmljivanje i davanje u zakup (leasing) kancelarijskih mašina i opreme (uključujući računare)</t>
  </si>
  <si>
    <t>77.34</t>
  </si>
  <si>
    <t>Iznajmljivanje i davanje u zakup (leasing) plovnih prijevoznih sredstava</t>
  </si>
  <si>
    <t>77.35</t>
  </si>
  <si>
    <t>Iznajmljivanje i davanje u zakup (leasing) zračnih prijevoznih sredstava</t>
  </si>
  <si>
    <t>77.39</t>
  </si>
  <si>
    <t>Iznajmljivanje i davanje u zakup (leasing) ostalih mašina, opreme i materijalnih dobara, d. n.</t>
  </si>
  <si>
    <t>77.40</t>
  </si>
  <si>
    <t>Davanje u zakup (leasing) prava na upotrebu intelektualnog vlasništva i sličnih proizvoda, osim radova koji su zaštićeni autorskim pravima</t>
  </si>
  <si>
    <t>78.10</t>
  </si>
  <si>
    <t>Djelatnosti agencija za zapošljavanje</t>
  </si>
  <si>
    <t>78.20</t>
  </si>
  <si>
    <t>Djelatnosti agencija za privremeno zapošljavanje</t>
  </si>
  <si>
    <t>78.30</t>
  </si>
  <si>
    <t>Ostalo ustupanje ljudskih resursa</t>
  </si>
  <si>
    <t>79.11</t>
  </si>
  <si>
    <t>Djelatnosti putničkih agencija</t>
  </si>
  <si>
    <t>79.12</t>
  </si>
  <si>
    <t>Djelatnosti turoperatora</t>
  </si>
  <si>
    <t>79.90</t>
  </si>
  <si>
    <t>Ostale rezervacijske usluge i djelatnosti u vezi s njima</t>
  </si>
  <si>
    <t>80.10</t>
  </si>
  <si>
    <t>Djelatnosti privatne zaštite</t>
  </si>
  <si>
    <t>80.20</t>
  </si>
  <si>
    <t>Usluge zaštite uz pomoć sigurnosnih sistema</t>
  </si>
  <si>
    <t>80.30</t>
  </si>
  <si>
    <t>Istražne djelatnosti</t>
  </si>
  <si>
    <t>81.10</t>
  </si>
  <si>
    <t>Pomoćne djelatnosti upravljanja zgradama</t>
  </si>
  <si>
    <t>81.21</t>
  </si>
  <si>
    <t>Osnovno čišćenje zgrada</t>
  </si>
  <si>
    <t>81.22</t>
  </si>
  <si>
    <t>Ostale djelatnosti čišćenja zgrada i objekata</t>
  </si>
  <si>
    <t>81.29</t>
  </si>
  <si>
    <t>Ostale djelatnosti čišćenja</t>
  </si>
  <si>
    <t>81.30</t>
  </si>
  <si>
    <t>Uslužne djelatnosti uređenja i održavanja zelenih površina</t>
  </si>
  <si>
    <t>82.11</t>
  </si>
  <si>
    <t>Kombinirane kancelarijske administrativne uslužne djelatnosti</t>
  </si>
  <si>
    <t>82.19</t>
  </si>
  <si>
    <t>Fotokopiranje, priprema dokumenata i ostale specijalizirane kancelarijske pomoćne djelatnosti</t>
  </si>
  <si>
    <t>82.20</t>
  </si>
  <si>
    <t>Djelatnosti pozivnih centara</t>
  </si>
  <si>
    <t>82.30</t>
  </si>
  <si>
    <t>Organizacija sastanaka i poslovnih sajmova</t>
  </si>
  <si>
    <t>82.91</t>
  </si>
  <si>
    <t>Djelatnosti agencija za prikupljanje i naplatu računa te kreditnih kancelarija</t>
  </si>
  <si>
    <t>82.92</t>
  </si>
  <si>
    <t>Djelatnosti pakovanja</t>
  </si>
  <si>
    <t>82.99</t>
  </si>
  <si>
    <t>Ostale poslovne pomoćne uslužne djelatnosti, d. n.</t>
  </si>
  <si>
    <t>84.11</t>
  </si>
  <si>
    <t>Opće djelatnosti javne uprave</t>
  </si>
  <si>
    <t>84.12</t>
  </si>
  <si>
    <t>Reguliranje djelatnosti javnih subjekata koji pružaju zdravstvenu zaštitu, usluge u obrazovanju i kulturi i druge društvene usluge, osim obaveznog socijalnog osiguranja</t>
  </si>
  <si>
    <t>84.13</t>
  </si>
  <si>
    <t>Reguliranje i doprinos poboljšavanju poslovanja u privredi</t>
  </si>
  <si>
    <t>84.21</t>
  </si>
  <si>
    <t>Vanjski poslovi</t>
  </si>
  <si>
    <t>84.22</t>
  </si>
  <si>
    <t>Poslovi odbrane</t>
  </si>
  <si>
    <t>84.23</t>
  </si>
  <si>
    <t>Sudske i pravosudne djelatnosti</t>
  </si>
  <si>
    <t>84.24</t>
  </si>
  <si>
    <t>Poslovi javnog reda i sigurnosti</t>
  </si>
  <si>
    <t>84.25</t>
  </si>
  <si>
    <t>Djelatnosti vatrogasne službe</t>
  </si>
  <si>
    <t>84.30</t>
  </si>
  <si>
    <t>Djelatnosti obaveznog socijalnog osiguranja</t>
  </si>
  <si>
    <t>85.10</t>
  </si>
  <si>
    <t>Predškolsko obrazovanje</t>
  </si>
  <si>
    <t>85.20</t>
  </si>
  <si>
    <t>Osnovno obrazovanje</t>
  </si>
  <si>
    <t>85.31</t>
  </si>
  <si>
    <t>Opće srednje obrazovanje</t>
  </si>
  <si>
    <t>85.32</t>
  </si>
  <si>
    <t>Tehničko i stručno srednje obrazovanje</t>
  </si>
  <si>
    <t>85.41</t>
  </si>
  <si>
    <t>Obrazovanje nakon srednjeg koje nije visoko</t>
  </si>
  <si>
    <t>85.42</t>
  </si>
  <si>
    <t>Visoko obrazovanje</t>
  </si>
  <si>
    <t>85.51</t>
  </si>
  <si>
    <t>Obrazovanje i poučavanje u području sporta i rekreacije</t>
  </si>
  <si>
    <t>85.52</t>
  </si>
  <si>
    <t>Obrazovanje i poučavanje u području kulture</t>
  </si>
  <si>
    <t>85.53</t>
  </si>
  <si>
    <t>Djelatnosti vozačkih škola</t>
  </si>
  <si>
    <t>85.59</t>
  </si>
  <si>
    <t>Ostalo obrazovanje i poučavanje, d. n.</t>
  </si>
  <si>
    <t>85.60</t>
  </si>
  <si>
    <t>Pomoćne uslužne djelatnosti u obrazovanju</t>
  </si>
  <si>
    <t>86.10</t>
  </si>
  <si>
    <t>Djelatnosti bolnica</t>
  </si>
  <si>
    <t>86.21</t>
  </si>
  <si>
    <t>Djelatnosti opće medicinske prakse</t>
  </si>
  <si>
    <t>86.22</t>
  </si>
  <si>
    <t>Djelatnosti specijalističke medicinske prakse</t>
  </si>
  <si>
    <t>86.23</t>
  </si>
  <si>
    <t>Djelatnosti stomatološke prakse</t>
  </si>
  <si>
    <t>86.90</t>
  </si>
  <si>
    <t>Ostale djelatnosti zdravstvene zaštite</t>
  </si>
  <si>
    <t>87.10</t>
  </si>
  <si>
    <t>Djelatnosti ustanova sa smještajem koje uključuju određeni stepen zdravstvene njege</t>
  </si>
  <si>
    <t>87.20</t>
  </si>
  <si>
    <t>Djelatnosti u ustanovama sa smještajem za osobe s teškoćama u razvoju, duševno bolesne i osobe ovisne o alkoholu, drogama ili drugim opojnim sredstvima s uključenim određenim stepenom zdravstvene njege</t>
  </si>
  <si>
    <t>87.30</t>
  </si>
  <si>
    <t>Djelatnosti socijalne zaštite u ustanovama sa smještajem za starije osobe i osobe s invaliditetom bez ili s minimalnom njegom</t>
  </si>
  <si>
    <t>87.90</t>
  </si>
  <si>
    <t>Ostale djelatnosti socijalne zaštite u ustanovama sa smještajem</t>
  </si>
  <si>
    <t>88.10</t>
  </si>
  <si>
    <t>Djelatnosti socijalne zaštite bez smještaja za starije osobe i osobe s invaliditetom</t>
  </si>
  <si>
    <t>88.91</t>
  </si>
  <si>
    <t>Djelatnosti dnevne brige o djeci</t>
  </si>
  <si>
    <t>88.99</t>
  </si>
  <si>
    <t>Ostale djelatnosti socijalne zaštite bez smještaja, d. n.</t>
  </si>
  <si>
    <t>90.01</t>
  </si>
  <si>
    <t>Izvođačka umjetnost</t>
  </si>
  <si>
    <t>90.02</t>
  </si>
  <si>
    <t>Pomoćne djelatnosti u izvođačkoj umjetnosti</t>
  </si>
  <si>
    <t>90.03</t>
  </si>
  <si>
    <t>Umjetničko stvaralaštvo</t>
  </si>
  <si>
    <t>90.04</t>
  </si>
  <si>
    <t>Rad umjetničkih objekata</t>
  </si>
  <si>
    <t>91.01</t>
  </si>
  <si>
    <t>Djelatnosti biblioteka i arhiva</t>
  </si>
  <si>
    <t>91.02</t>
  </si>
  <si>
    <t>Djelatnosti muzeja</t>
  </si>
  <si>
    <t>91.03</t>
  </si>
  <si>
    <t>Rad historijskih mjesta i građevina te sličnih znamenitosti za posjetioce</t>
  </si>
  <si>
    <t>91.04</t>
  </si>
  <si>
    <t>Djelatnosti botaničkih i zooloških vrtova i prirodnih rezervata</t>
  </si>
  <si>
    <t>92.00</t>
  </si>
  <si>
    <t>Djelatnosti kockanja i klađenja</t>
  </si>
  <si>
    <t>93.11</t>
  </si>
  <si>
    <t>Rad sportskih objekata</t>
  </si>
  <si>
    <t>93.12</t>
  </si>
  <si>
    <t>Djelatnosti sportskih klubova</t>
  </si>
  <si>
    <t>93.13</t>
  </si>
  <si>
    <t>Fitnes centri</t>
  </si>
  <si>
    <t>93.19</t>
  </si>
  <si>
    <t>Ostale sportske djelatnosti</t>
  </si>
  <si>
    <t>93.21</t>
  </si>
  <si>
    <t>Djelatnosti zabavnih i tematskih parkova</t>
  </si>
  <si>
    <t>93.29</t>
  </si>
  <si>
    <t>Ostale zabavne i rekreacijske djelatnosti</t>
  </si>
  <si>
    <t>94.11</t>
  </si>
  <si>
    <t>Djelatnosti poslovnih organizacija i udruženja poslodavaca</t>
  </si>
  <si>
    <t>94.12</t>
  </si>
  <si>
    <t>Djelatnosti strukovnih članskih organizacija</t>
  </si>
  <si>
    <t>94.20</t>
  </si>
  <si>
    <t>Djelatnosti sindikata</t>
  </si>
  <si>
    <t>94.91</t>
  </si>
  <si>
    <t>Djelatnosti vjerskih organizacija</t>
  </si>
  <si>
    <t>94.92</t>
  </si>
  <si>
    <t>Djelatnosti političkih organizacija</t>
  </si>
  <si>
    <t>94.99</t>
  </si>
  <si>
    <t>Djelatnosti ostalih članskih organizacija, d. n.</t>
  </si>
  <si>
    <t>95.11</t>
  </si>
  <si>
    <t>Popravak računara i periferne opreme</t>
  </si>
  <si>
    <t>95.12</t>
  </si>
  <si>
    <t>Popravak komunikacijske opreme</t>
  </si>
  <si>
    <t>95.21</t>
  </si>
  <si>
    <t>Popravak elektroničkih uređaja za široku potrošnju</t>
  </si>
  <si>
    <t>95.22</t>
  </si>
  <si>
    <t>Popravak aparata za domaćinstvo te opreme za kuću i vrt</t>
  </si>
  <si>
    <t>95.23</t>
  </si>
  <si>
    <t>Popravak obuće i proizvoda od kože</t>
  </si>
  <si>
    <t>95.24</t>
  </si>
  <si>
    <t>Popravak namještaja i pokućstva</t>
  </si>
  <si>
    <t>95.25</t>
  </si>
  <si>
    <t>Popravak satova i nakita</t>
  </si>
  <si>
    <t>95.29</t>
  </si>
  <si>
    <t>Popravak ostalih predmeta za ličnu upotrebu i domaćinstvo</t>
  </si>
  <si>
    <t>96.01</t>
  </si>
  <si>
    <t>Pranje i hemijsko čišćenje tekstila i krznenih proizvoda</t>
  </si>
  <si>
    <t>96.02</t>
  </si>
  <si>
    <t>Frizerski i drugi tretmani za uljepšavanje</t>
  </si>
  <si>
    <t>96.03</t>
  </si>
  <si>
    <t>Pogrebne i srodne djelatnosti</t>
  </si>
  <si>
    <t>96.04</t>
  </si>
  <si>
    <t>Djelatnosti za njegu i održavanje tijela</t>
  </si>
  <si>
    <t>96.09</t>
  </si>
  <si>
    <t>Ostale lične uslužne djelatnosti, d. n.</t>
  </si>
  <si>
    <t>97.00</t>
  </si>
  <si>
    <t>Djelatnosti domaćinstava kao poslodavaca koji zapošljavaju poslugu</t>
  </si>
  <si>
    <t>98.10</t>
  </si>
  <si>
    <t>Djelatnosti privatnih domaćinstava koja proizvode različita dobra za vlastite potrebe</t>
  </si>
  <si>
    <t>98.20</t>
  </si>
  <si>
    <t>Djelatnosti privatnih domaćinstava koja obavljaju različite usluge za vlastite potrebe</t>
  </si>
  <si>
    <t>99.00</t>
  </si>
  <si>
    <t>Djelatnosti vanteritorijalnih organizacija i organa</t>
  </si>
  <si>
    <t xml:space="preserve">Program rađen za GODINU: </t>
  </si>
  <si>
    <t xml:space="preserve">GODINA iz UnosPod: </t>
  </si>
  <si>
    <t xml:space="preserve">PoslGod: </t>
  </si>
  <si>
    <t xml:space="preserve">Ovlaštenje za korištenje - do datuma: </t>
  </si>
  <si>
    <t xml:space="preserve">Promet 5+6+aktiva + Pasiva: </t>
  </si>
  <si>
    <t xml:space="preserve">Direktor: </t>
  </si>
  <si>
    <t xml:space="preserve">Današnji datum: </t>
  </si>
  <si>
    <t xml:space="preserve">Broj mjeseci u obračunu: </t>
  </si>
  <si>
    <t xml:space="preserve">Period od: </t>
  </si>
  <si>
    <t xml:space="preserve">do: </t>
  </si>
  <si>
    <t xml:space="preserve">ID broj: </t>
  </si>
  <si>
    <t xml:space="preserve">PDV broj: </t>
  </si>
  <si>
    <t xml:space="preserve">Glavni račun u banci: </t>
  </si>
  <si>
    <t xml:space="preserve">Naziv banke: </t>
  </si>
  <si>
    <t xml:space="preserve">Računovođa: </t>
  </si>
  <si>
    <t xml:space="preserve">Šifra djelatnosti: </t>
  </si>
  <si>
    <t xml:space="preserve">Općina sjedišta: </t>
  </si>
  <si>
    <t xml:space="preserve">JEZIK na obrascima: </t>
  </si>
  <si>
    <t>Ostali prihodi</t>
  </si>
  <si>
    <t>Prihodi od prodaje robe povezanim stranama (AOP 203)</t>
  </si>
  <si>
    <t>Prihodi od prodaje gotovih proizvoda povezanim stranama (AOP 204)</t>
  </si>
  <si>
    <t>Prihodi od pruženih usluga povezanim stranama (AOP 205)</t>
  </si>
  <si>
    <t>Prihodi od prodaje robe na domaćem tržištu (AOP 207)</t>
  </si>
  <si>
    <t>Prihodi od prodaje gotovih proizvoda na domaćem tržištu (AOP 208)</t>
  </si>
  <si>
    <t>Prihodi od pruženih usluga na domaćem tržištu (AOP 209)</t>
  </si>
  <si>
    <t>Prihodi od prodaje robe na inostranom tržištu (AOP 211)</t>
  </si>
  <si>
    <t>Prihodi od prodaje gotovih proizvoda na inostranom tržištu (AOP 212)</t>
  </si>
  <si>
    <t>Prihodi od pruženih usluga na inostranom tržištu (AOP 213)</t>
  </si>
  <si>
    <t>Dobici od dugoročne nefinansijske imovine (AOP 215)</t>
  </si>
  <si>
    <t>Dobici od finansijske imovine (AOP 230)</t>
  </si>
  <si>
    <t>Neto otpuštanje rezervisanja (AOP 241)</t>
  </si>
  <si>
    <t>Neto dobici od trgovanja derivatima (AOP 242)</t>
  </si>
  <si>
    <t>Prihodi od prodaje materijala (AOP 243)</t>
  </si>
  <si>
    <t>Viškovi i ostala pozitivna usklađenja zaliha (AOP 244)</t>
  </si>
  <si>
    <t>Prihodi od dividendi (AOP 245)</t>
  </si>
  <si>
    <t>Udio u dobiti pridruženog društva i zajedničkog poduhvata primjenom metode udjela (AOP 246)</t>
  </si>
  <si>
    <t>Finansijski rashodi (AOP 247)</t>
  </si>
  <si>
    <t>Ostali prihodi i dobici (AOP 251)</t>
  </si>
  <si>
    <t>Ostali rashodi</t>
  </si>
  <si>
    <t>Nabavna vrijednost prodate robe (AOP 254)</t>
  </si>
  <si>
    <t>Promjene u zalihama gotovih proizvoda, poluproizvoda i proizvodnje u toku, neto (+) / (-) (AOP 255)</t>
  </si>
  <si>
    <t>Troškovi sirovina i materijala (AOP 256)</t>
  </si>
  <si>
    <t>Troškovi energije i goriva (AOP 257)</t>
  </si>
  <si>
    <t>Troškovi plaća i ostalih ličnih primanja (AOP 258)</t>
  </si>
  <si>
    <t>Amortizacija (AOP 262)</t>
  </si>
  <si>
    <t>Troškovi primljenih usluga (AOP 269)</t>
  </si>
  <si>
    <t>Ostali poslovni rashodi i troškovi (AOP 270)</t>
  </si>
  <si>
    <t>Gubici od dugoročne nefinansijske imovine (AOP 272)</t>
  </si>
  <si>
    <t>Gubici od finansijske imovine (AOP 287)</t>
  </si>
  <si>
    <t>Troškovi rezervisanja, neto (AOP 298)</t>
  </si>
  <si>
    <t>Neto gubici od trgovanja derivatima (AOP 299)</t>
  </si>
  <si>
    <t>Rashodi od prodaje materijala, neto (AOP 300)</t>
  </si>
  <si>
    <t>Manjkovi i ostala negativna usklađenja zaliha (AOP 301)</t>
  </si>
  <si>
    <t>Udio u gubitku pridruženog društva i zajedničkog poduhvata primjenom metode udjela (AOP 302)</t>
  </si>
  <si>
    <t>Umanjenje vrijednosti goodwilla (AOP 303)</t>
  </si>
  <si>
    <t>Finansijski rashodi (AOP 304)</t>
  </si>
  <si>
    <t>Ostali rashodi i gubici (AOP 308)</t>
  </si>
  <si>
    <t>Ostala stalna sredstva</t>
  </si>
  <si>
    <t>Ostala tekuća (obrtna) sredstva</t>
  </si>
  <si>
    <t>Zemljište (AOP 003)</t>
  </si>
  <si>
    <t>Građevinski objekti (AOP 004)</t>
  </si>
  <si>
    <t>Postrojenja, oprema i namještaj (AOP 005)</t>
  </si>
  <si>
    <t>Transportna sredstva (AOP 006)</t>
  </si>
  <si>
    <t>Ostala dugoročna materijalna imovina (AOP 007)</t>
  </si>
  <si>
    <t>Nekretnine, postrojenja i oprema u pripremi (AOP 008)</t>
  </si>
  <si>
    <t>Zemljište s pravom korištenja (AOP 010)</t>
  </si>
  <si>
    <t>Građevinski objekti s pravom korištenja (AOP 011)</t>
  </si>
  <si>
    <t>Postrojenja i oprema s pravom korištenja (AOP 012)</t>
  </si>
  <si>
    <t>Nematerijalna imovina (AOP 013)</t>
  </si>
  <si>
    <t>Ulaganja u investicijske nekretnine (AOP 014)</t>
  </si>
  <si>
    <t>Kapitalizirana ulaganja u razvoj (AOP 016)</t>
  </si>
  <si>
    <t>Koncesije, patenti, licence i druga prava (AOP 017)</t>
  </si>
  <si>
    <t>Ostala nematerijalna imovina (AOP 018)</t>
  </si>
  <si>
    <t>Nematerijalna imovina u pripremi (AOP 019)</t>
  </si>
  <si>
    <t>Biološka imovina  (AOP 020)</t>
  </si>
  <si>
    <t>Ulaganja u zavisne subjekte (AOP 021)</t>
  </si>
  <si>
    <t>Ulaganja u pridružene subjekte (AOP 022)</t>
  </si>
  <si>
    <t>Ulaganja u zajedničke poduhvate (AOP 023)</t>
  </si>
  <si>
    <t>Goodwill (AOP 024)</t>
  </si>
  <si>
    <t>Ulaganja u instrumente kapitala (AOP 026)</t>
  </si>
  <si>
    <t>Obveznice, dati krediti i ostali dužnički instrumenti (AOP 027)</t>
  </si>
  <si>
    <t>Depoziti kod banaka (AOP 029)</t>
  </si>
  <si>
    <t>Dati krediti  (AOP 030)</t>
  </si>
  <si>
    <t>Obveznice (AOP 031)</t>
  </si>
  <si>
    <t>Ostala finansijska imovina po amortizovanom trošku (AOP 032)</t>
  </si>
  <si>
    <t>Potraživanja po finansijskim najmovima (AOP 033)</t>
  </si>
  <si>
    <t>Ostala imovina i potraživanja (AOP 034)</t>
  </si>
  <si>
    <t>Odgođena porezna imovina (AOP 035)</t>
  </si>
  <si>
    <t>Sirovine, materijal, rezervni dijelovi i sitan inventar (AOP 038)</t>
  </si>
  <si>
    <t>Proizvodnja u toku, poluproizvodi i nedovršene usluge (AOP 039)</t>
  </si>
  <si>
    <t>Gotovi proizvodi (AOP 040)</t>
  </si>
  <si>
    <t>Roba (AOP 041)</t>
  </si>
  <si>
    <t>Dati avansi (AOP 042)</t>
  </si>
  <si>
    <t>Dugoročna imovina namijenjena prodaji i imovina poslovanja koje se obustavlja (AOP 043)</t>
  </si>
  <si>
    <t>Ugovorna imovina (AOP 044)</t>
  </si>
  <si>
    <t>Kupci - povezane strane (AOP 046)</t>
  </si>
  <si>
    <t>Kupci u zemlji (AOP 047)</t>
  </si>
  <si>
    <t>Kupci u inostranstvu (AOP 048)</t>
  </si>
  <si>
    <t>Depoziti kod banaka (AOP 050)</t>
  </si>
  <si>
    <t>Dati krediti  (AOP 051)</t>
  </si>
  <si>
    <t>Obveznice (AOP 052)</t>
  </si>
  <si>
    <t>Ostala finansijska imovina po amortizovanom trošku (AOP 053)</t>
  </si>
  <si>
    <t>Potraživanja po finansijskim najmovima (AOP 054)</t>
  </si>
  <si>
    <t>Finansijska imovina po fer vrijednosti kroz bilans uspjeha (AOP 055)</t>
  </si>
  <si>
    <t>Derivatni finansijski instrumenti (AOP 056)</t>
  </si>
  <si>
    <t>Akontacije poreza na dobit (AOP 058)</t>
  </si>
  <si>
    <t>Ostala imovina i potraživanja, uključujući i razgraničenja (AOP 059)</t>
  </si>
  <si>
    <t>Gotovina i gotovinski ekvivalenti (isključujući prekoračenja po bankovnim računima) (AOP 057)</t>
  </si>
  <si>
    <t>Ostalo iz kapitala</t>
  </si>
  <si>
    <t>Ostalo iz obaveza</t>
  </si>
  <si>
    <t>Dionički kapital (AOP 102)</t>
  </si>
  <si>
    <t>Otkupljene vlastite dionice (AOP 103)</t>
  </si>
  <si>
    <t>Udjeli članova društva sa ograničenom odgovornošću (AOP 104)</t>
  </si>
  <si>
    <t>Državni kapital (AOP 105)</t>
  </si>
  <si>
    <t>Ostali oblici vlasničkog kapitala (AOP 106)</t>
  </si>
  <si>
    <t>Dionička premija (AOP 107)</t>
  </si>
  <si>
    <t>Statutarne rezerve (AOP 109)</t>
  </si>
  <si>
    <t>Ostale rezerve (AOP 110)</t>
  </si>
  <si>
    <t>Revalorizacione rezerve za nekretnine, postrojenja i opremu (AOP 112)</t>
  </si>
  <si>
    <t>Revalorizacione rezerve za finansijsku imovinu mjerenu po fer vrijednosti kroz ostali ukupni rezultat (AOP 113)</t>
  </si>
  <si>
    <t>Ostale revalorizacione rezerve (AOP 114)</t>
  </si>
  <si>
    <t>Akumulirana, neraspoređena dobit iz prethodnih perioda (AOP 116)</t>
  </si>
  <si>
    <t>Dobit tekućeg perioda (AOP 117)</t>
  </si>
  <si>
    <t>Akumulirani, nepokriveni gubici iz prethodnih perioda (AOP 119)</t>
  </si>
  <si>
    <t>Gubitak tekućeg perioda (AOP 120)</t>
  </si>
  <si>
    <t>Dugoročne obaveze po uzetim kreditima (AOP 126)</t>
  </si>
  <si>
    <t>dugoročne obaveze po osnovu najmova (AOP 127)</t>
  </si>
  <si>
    <t>Dugoročne obaveze po izdatim dužničkim instrumentima (AOP 128)</t>
  </si>
  <si>
    <t>Dugoročne ostale finansijske obaveze po amortizovanom trošku (AOP 129)</t>
  </si>
  <si>
    <t>Dugoročni odgođeni prihod (AOP 130)</t>
  </si>
  <si>
    <t>Dugoročna rezervisanja (AOP 131)</t>
  </si>
  <si>
    <t>Dugoročne ostale obaveze, uključujući i razgraničenja (AOP 132)</t>
  </si>
  <si>
    <t>Dugoročne odgođene porezne obaveze (AOP 133)</t>
  </si>
  <si>
    <t>Obaveze prema dobavljačima (AOP 136)</t>
  </si>
  <si>
    <t>Ugovorne obaveze (AOP 137)</t>
  </si>
  <si>
    <t>Kratkoročne obaveze po uzetim kreditima (AOP 138)</t>
  </si>
  <si>
    <t>Kratkoročne obaveze po osnovu najmova (AOP 139)</t>
  </si>
  <si>
    <t>Kratkoročne obaveze po izdatim dužničkim instrumentima (AOP 140)</t>
  </si>
  <si>
    <t>Kratkoročne ostale finansijske obaveze po amortizovanom trošku (AOP 141)</t>
  </si>
  <si>
    <t>Kratkoročne finansijske obaveze po fer vrijednosti kroz bilans uspjeha (AOP 142)</t>
  </si>
  <si>
    <t>Kratkoročne derivatni finansijski instrumenti (AOP 143)</t>
  </si>
  <si>
    <t>Kratkoročne odgođeni prihod (AOP 144)</t>
  </si>
  <si>
    <t>Kratkoročna rezervisanja (AOP 145)</t>
  </si>
  <si>
    <t>Obaveze za porez na dobit (AOP 146)</t>
  </si>
  <si>
    <t>Kratkoročne ostale obaveze, uključujući i razgraničenja (AOP 147)</t>
  </si>
  <si>
    <t>PRILIVI IZVJEŠTAJ O GOTOVINSKIM TOKOVIMA - DIREKTNA METODA</t>
  </si>
  <si>
    <t>ODLIVI IZVJEŠTAJ O GOTOVINSKIM TOKOVIMA - DIREKTNA METODA</t>
  </si>
  <si>
    <t>PRILIVI -IZVJEŠTAJ O GOTOVINSKIM TOKOVIMA - INDIREKTNA M.</t>
  </si>
  <si>
    <t>ODLIVI -IZVJEŠTAJ O GOTOVINSKIM TOKOVIMA - INDIREKTNA M.</t>
  </si>
  <si>
    <t>PRILIVI IZVJEŠTAJ O GOTOVINSKIM TOKOVIMA - INDIREKTNA METODA</t>
  </si>
  <si>
    <t>ODLIVII IZVJEŠTAJ O GOTOVINSKIM TOKOVIMA - INDIREKTNA METODA</t>
  </si>
  <si>
    <t>Malo i Srednje</t>
  </si>
  <si>
    <t>Periodični</t>
  </si>
  <si>
    <t>PRIMJENA</t>
  </si>
  <si>
    <t xml:space="preserve"> -</t>
  </si>
  <si>
    <t>Prilikom prelaska na MSFI za MSS primjenjene su odredbe iz Odjeljka 35.</t>
  </si>
  <si>
    <t>Razlog prelaska na primjenu MSFI za MSS je ušteda na troškovima i vremenu rada.</t>
  </si>
  <si>
    <t>Kolona prethdna godina i kolona tekuća godina u finansijskim izvještajima sačinjene su u skladu sa MSFI za MSS.</t>
  </si>
  <si>
    <t>Prelazak na MSFI za MSS nije imao efekte na finansijske izvještaje.</t>
  </si>
  <si>
    <t>Muški</t>
  </si>
  <si>
    <t>Ženski</t>
  </si>
  <si>
    <t>Drugo</t>
  </si>
  <si>
    <t>Ne izjašnjava se</t>
  </si>
  <si>
    <t>bosanski</t>
  </si>
  <si>
    <t>hrvatski</t>
  </si>
  <si>
    <t>engleski</t>
  </si>
  <si>
    <t>AOP</t>
  </si>
  <si>
    <t>Naziv pravnog lica</t>
  </si>
  <si>
    <t>Naziv pravne osobe</t>
  </si>
  <si>
    <t>Name of legal entity</t>
  </si>
  <si>
    <t>Sjedište i adresa pravnog lica</t>
  </si>
  <si>
    <t>Sjedište i adresa pravne osobe</t>
  </si>
  <si>
    <t>Headquarters and address of the legal entity</t>
  </si>
  <si>
    <t>Identifikacioni broj za direktne poreze</t>
  </si>
  <si>
    <t>Identifikacijski broj za izravne poreze</t>
  </si>
  <si>
    <t>Identification number for direct taxes</t>
  </si>
  <si>
    <t>Identifikacioni  broj za indirektne poreze</t>
  </si>
  <si>
    <t>Identifikacijski broj za neizravne poreze</t>
  </si>
  <si>
    <t>Identification number for indirect taxes</t>
  </si>
  <si>
    <t>Za pravna lica koja vode knjigovodstvo u skladu sa kontnim okvirom za privredna društva</t>
  </si>
  <si>
    <t>Za pravne osobe koje vode knjigovodstvo sukladno kontnom okviru za gospodarska društva</t>
  </si>
  <si>
    <t>For legal entities that are do accounting according to the chart of accounts for commercial entities</t>
  </si>
  <si>
    <t>Za sva pravna lica</t>
  </si>
  <si>
    <t>Za sve pravne osobe</t>
  </si>
  <si>
    <t>For all legal entities</t>
  </si>
  <si>
    <t>period</t>
  </si>
  <si>
    <t>razdoblje</t>
  </si>
  <si>
    <t>PERIODA</t>
  </si>
  <si>
    <t>RAZDOBLJA</t>
  </si>
  <si>
    <t>PERIODS</t>
  </si>
  <si>
    <t>Ovlašteno lice</t>
  </si>
  <si>
    <t>Ovlaštena osoba</t>
  </si>
  <si>
    <t>Authorized person</t>
  </si>
  <si>
    <t>Odgovorno lice</t>
  </si>
  <si>
    <t>Odgovorna osoba</t>
  </si>
  <si>
    <t>Responsible person</t>
  </si>
  <si>
    <t>Naziv pravnog / fizičkog lica</t>
  </si>
  <si>
    <t>Naziv pravne / fizičke osobe</t>
  </si>
  <si>
    <t>Name of legal / natural person</t>
  </si>
  <si>
    <t>IZVJEŠTAJ</t>
  </si>
  <si>
    <t>IZVJEŠĆE</t>
  </si>
  <si>
    <t>REPORT</t>
  </si>
  <si>
    <t>Godišnji izvještaj o poslovanju</t>
  </si>
  <si>
    <t>Godišnje izvješće o poslovanju</t>
  </si>
  <si>
    <t>Annual report on operations</t>
  </si>
  <si>
    <t>Rukovodilac pravnog/fizičkog lica</t>
  </si>
  <si>
    <t>Rukovoditelj pravne ili fizičke osobe</t>
  </si>
  <si>
    <t>Manager of a legal or natural person</t>
  </si>
  <si>
    <t>Annual accounting of the company FBiH</t>
  </si>
  <si>
    <t>BILJEŠKE UZ FINANSIJSKE IZVJEŠTAJE</t>
  </si>
  <si>
    <t>BILJEŠKE UZ FINANCIJSKE IZVJEŠTAJE</t>
  </si>
  <si>
    <t>NOTES TO THE FINANCIAL STATEMENTS</t>
  </si>
  <si>
    <t>Račun opština</t>
  </si>
  <si>
    <t>Račun općina</t>
  </si>
  <si>
    <t>Account of municipalities</t>
  </si>
  <si>
    <t>Budžet</t>
  </si>
  <si>
    <t>Proračun</t>
  </si>
  <si>
    <t>Budget</t>
  </si>
  <si>
    <t>za upotrebu vještačkih đubriva</t>
  </si>
  <si>
    <t>za uporabu umjetnih gnojiva</t>
  </si>
  <si>
    <t>for the use of artificial fertilizers</t>
  </si>
  <si>
    <t>za upotrebu hemikalija za zaštitu bilja</t>
  </si>
  <si>
    <t>za uporabu kemikalija za zaštitu bilja</t>
  </si>
  <si>
    <t>for the use of chemicals for plant protection</t>
  </si>
  <si>
    <t>Šifra djelatnosti po</t>
  </si>
  <si>
    <t>Activity code by</t>
  </si>
  <si>
    <t>Djelatnost</t>
  </si>
  <si>
    <t>Activities</t>
  </si>
  <si>
    <t>Name of the bank</t>
  </si>
  <si>
    <t>Broj računa</t>
  </si>
  <si>
    <t>Bill number</t>
  </si>
  <si>
    <t>Šifra općine</t>
  </si>
  <si>
    <t>Municipality code</t>
  </si>
  <si>
    <t>Redni broj</t>
  </si>
  <si>
    <t>Ordinal number</t>
  </si>
  <si>
    <t>P O Z I C I J A</t>
  </si>
  <si>
    <t>P O S I T I O N</t>
  </si>
  <si>
    <t>Konto</t>
  </si>
  <si>
    <t>Account</t>
  </si>
  <si>
    <t>Bilješka</t>
  </si>
  <si>
    <t>Note</t>
  </si>
  <si>
    <t>godine</t>
  </si>
  <si>
    <t>years</t>
  </si>
  <si>
    <t>tekuće godine</t>
  </si>
  <si>
    <t>current year</t>
  </si>
  <si>
    <t>prethodne godine</t>
  </si>
  <si>
    <t>previous year</t>
  </si>
  <si>
    <t xml:space="preserve">do </t>
  </si>
  <si>
    <t>to</t>
  </si>
  <si>
    <t>Iznos tekuće godine</t>
  </si>
  <si>
    <t>Current year amount</t>
  </si>
  <si>
    <t>Iznos prethodne godine</t>
  </si>
  <si>
    <t>The previous year's amount</t>
  </si>
  <si>
    <t>(početno stanje)</t>
  </si>
  <si>
    <t>(Initial state)</t>
  </si>
  <si>
    <t>Grupa konta, konto, dio konta</t>
  </si>
  <si>
    <t>Group of accounts, accounts</t>
  </si>
  <si>
    <t>IZNOS</t>
  </si>
  <si>
    <t>AMOUNT</t>
  </si>
  <si>
    <t>Dana</t>
  </si>
  <si>
    <t>Days</t>
  </si>
  <si>
    <t xml:space="preserve">Certificirani računovođa : </t>
  </si>
  <si>
    <t>Certified accountant:</t>
  </si>
  <si>
    <t xml:space="preserve">Broj dozvole : </t>
  </si>
  <si>
    <t>License number:</t>
  </si>
  <si>
    <t>U</t>
  </si>
  <si>
    <t>In</t>
  </si>
  <si>
    <t>Direktor</t>
  </si>
  <si>
    <t>Ravnatelj</t>
  </si>
  <si>
    <t>Menager</t>
  </si>
  <si>
    <t>IZVJEŠTAJ O UKUPNOM REZULTATU ZA PERIOD</t>
  </si>
  <si>
    <t>IZVJEŠĆE O UKUPNOM REZULTATU ZA RAZDOBLJE</t>
  </si>
  <si>
    <t>REPORT ON THE TOTAL RESULT FOR THE PERIOD</t>
  </si>
  <si>
    <t>MIKRO</t>
  </si>
  <si>
    <t>(BILANS USPJEHA)</t>
  </si>
  <si>
    <t>(BILANCA USPJEHA)</t>
  </si>
  <si>
    <t>(INCOME STATEMENT)</t>
  </si>
  <si>
    <t>DOBIT ILI GUBITAK PERIODA</t>
  </si>
  <si>
    <t>DOBIT ILI GUBITAK RAZDOBLJA</t>
  </si>
  <si>
    <t>PROFIT OR LOSS FOR THE PERIOD</t>
  </si>
  <si>
    <t>Prihodi iz ugovora s kupcima (102 do 104)</t>
  </si>
  <si>
    <t>Income from contracts with customers (102 to 104)</t>
  </si>
  <si>
    <t xml:space="preserve">Prihodi od prodaje robe </t>
  </si>
  <si>
    <t>Income from the sale of goods</t>
  </si>
  <si>
    <t>Prihodi od prodaje gotovih proizvoda</t>
  </si>
  <si>
    <t>Income from the sale of finished products</t>
  </si>
  <si>
    <t>Prihodi od pruženih usluga</t>
  </si>
  <si>
    <t>Income from services provided</t>
  </si>
  <si>
    <t>Poslovni rashodi (106+107+108+109+110+111+112)</t>
  </si>
  <si>
    <t>Poslovni rashodi  (106+107+108+109+110+111+112)</t>
  </si>
  <si>
    <t>Business expenses (106+107+108+109+110+111+112)</t>
  </si>
  <si>
    <t>Nabavna vrijednost prodate robe</t>
  </si>
  <si>
    <t>Nabavna vrijednost prodane robe</t>
  </si>
  <si>
    <t>The purchase value of the goods sold</t>
  </si>
  <si>
    <t>Promjene u zalihama gotovih proizvoda, poluproizvoda i proizvodnje u toku, neto (+)/(-)</t>
  </si>
  <si>
    <t>Promjene u zalihama gotovih proizvoda, poluproizvoda i proizvodnje u tijeku, neto (+) / (-)</t>
  </si>
  <si>
    <t>Changes in stocks of finished products, semi-finished products and work in progress, net (+) / (-)</t>
  </si>
  <si>
    <t>Troškovi sirovina i materijala</t>
  </si>
  <si>
    <t>Costs of raw materials and materials</t>
  </si>
  <si>
    <t>Troškovi energije i goriva</t>
  </si>
  <si>
    <t>Energy and fuel costs</t>
  </si>
  <si>
    <t xml:space="preserve">Troškovi plaća i ostalih ličnih primanja </t>
  </si>
  <si>
    <t xml:space="preserve">Troškovi plaća i ostalih osobnih primanja </t>
  </si>
  <si>
    <t>Costs of wages and other personal income</t>
  </si>
  <si>
    <t>Amortizacija</t>
  </si>
  <si>
    <t>Amortization</t>
  </si>
  <si>
    <t>Ostali poslovni rashodi i troškovi</t>
  </si>
  <si>
    <t>Other business expenses and costs</t>
  </si>
  <si>
    <t>Ostali prihodi i rashodi (+114+115+116+117+118-119+120-121)</t>
  </si>
  <si>
    <t>Ostali prihodi i rashodi  (+114+115+116+117+118-119+120-121)</t>
  </si>
  <si>
    <t>Other income and expenses (+114+115+116+117+118-119+120-121)</t>
  </si>
  <si>
    <t>Dobici i gubici od dugoročne nefinansijske imovine, neto (+) / (-)</t>
  </si>
  <si>
    <t>Dobici i gubici od dugoročne nefinancijske imovine, neto (+) / (-)</t>
  </si>
  <si>
    <t>Gains and losses from long-term non-financial assets, net (+) / (-)</t>
  </si>
  <si>
    <t>Dobici i gubici od finansijske imovine i ulaganja, neto (+) / (-)</t>
  </si>
  <si>
    <t>Dobici i gubici od financijske imovine i ulaganja, neto (+) / (-)</t>
  </si>
  <si>
    <t>Gains and losses from financial assets and investments, net (+) / (-)</t>
  </si>
  <si>
    <t>Dobici i gubici od usklađenja vrijednosti zaliha, neto (+/-)</t>
  </si>
  <si>
    <t>Gains and losses from adjustment of inventory value, net (+/-)</t>
  </si>
  <si>
    <t>Promjena rezervisanja, neto (+/-)</t>
  </si>
  <si>
    <t>Promjena rezerviranja, neto (+/-)</t>
  </si>
  <si>
    <t>Change in provisions, net (+/-)</t>
  </si>
  <si>
    <t xml:space="preserve">Finansijski prihodi </t>
  </si>
  <si>
    <t xml:space="preserve">Financijski prihodi </t>
  </si>
  <si>
    <t>Financial revenue</t>
  </si>
  <si>
    <t xml:space="preserve">Finansijski rashodi </t>
  </si>
  <si>
    <t xml:space="preserve">Financijski rashodi </t>
  </si>
  <si>
    <t>Financial expenses</t>
  </si>
  <si>
    <t>Ostali prihodi i dobici</t>
  </si>
  <si>
    <t>Other income and profits</t>
  </si>
  <si>
    <t>Ostali rashodi i gubici</t>
  </si>
  <si>
    <t>Other expenses and losses</t>
  </si>
  <si>
    <t>Dobit prije oporezivanja (101-105+113)</t>
  </si>
  <si>
    <t xml:space="preserve">Dobit prije oporezivanja (101-105+113) </t>
  </si>
  <si>
    <t>Profit before taxation (101-105+113)</t>
  </si>
  <si>
    <t>Gubitak prije oporezivanja (101-105+113)</t>
  </si>
  <si>
    <t xml:space="preserve">Gubitak prije oporezivanja (101-105+113) </t>
  </si>
  <si>
    <t>Loss before taxation (101-105+113)</t>
  </si>
  <si>
    <t>Porez na dobit (125+126)</t>
  </si>
  <si>
    <t>Porez na dobit  (125+126)</t>
  </si>
  <si>
    <t>Profit tax (125+126)</t>
  </si>
  <si>
    <t>Tekući porez na dobit</t>
  </si>
  <si>
    <t>Current income tax</t>
  </si>
  <si>
    <t>Odgođeni porez na dobit</t>
  </si>
  <si>
    <t>Deferred income tax</t>
  </si>
  <si>
    <t>Dobit (122+124)</t>
  </si>
  <si>
    <t>Dobit  (122+124)</t>
  </si>
  <si>
    <t>Profit (122+124)</t>
  </si>
  <si>
    <t>Gubitak (123+124)</t>
  </si>
  <si>
    <t>Gubitak  (123+124)</t>
  </si>
  <si>
    <t>Loss (123+124)</t>
  </si>
  <si>
    <t>IZVJEŠTAJ O OSTALOM UKUPNOM REZULTATU</t>
  </si>
  <si>
    <t>REPORT ON OTHER COMPREHENSIVE RESULTS</t>
  </si>
  <si>
    <t>Ostali ukupni rezultat (+130+131+132-133)</t>
  </si>
  <si>
    <t>Ostali ukupni rezultat  (+130+131+132-133)</t>
  </si>
  <si>
    <t>Other total result (+130+131+132-133)</t>
  </si>
  <si>
    <t>Revalorizacija zemljišta i građevina</t>
  </si>
  <si>
    <t>Revaluation of land and buildings</t>
  </si>
  <si>
    <t>Povećanje/(smanjenje) fer vrijednosti finansijske imovine</t>
  </si>
  <si>
    <t>Povećanje/(smanjenje) fer vrijednosti financijske imovine</t>
  </si>
  <si>
    <t>Increase/(decrease) in fair value of financial assets</t>
  </si>
  <si>
    <t>Ostalo</t>
  </si>
  <si>
    <t>The rest</t>
  </si>
  <si>
    <t>Porez na dobit koji se odnosi na ove stavke</t>
  </si>
  <si>
    <t>Income tax related to these items</t>
  </si>
  <si>
    <t>UKUPNI REZULTAT (127 ili 128 + 129)</t>
  </si>
  <si>
    <t>TOTAL RESULT (127 or 128 + 129)</t>
  </si>
  <si>
    <t>IZVJEŠTAJ O FINANSIJSKOM POLOŽAJU NA KRAJU PERIODA</t>
  </si>
  <si>
    <t>IZVJEŠĆE O FINANCIJSKOM POLOŽAJU NA KRAJU RAZDOBLJA</t>
  </si>
  <si>
    <t>REPORT ON THE FINANCIAL POSITION AT THE END OF THE PERIOD</t>
  </si>
  <si>
    <t>(BILANS STANJA)</t>
  </si>
  <si>
    <t>(BILANCA STANJA)</t>
  </si>
  <si>
    <t>(BALANCE SHEET)</t>
  </si>
  <si>
    <t>IMOVINA</t>
  </si>
  <si>
    <t>ASSETS</t>
  </si>
  <si>
    <t>Dugoročna imovina (002 do 008)</t>
  </si>
  <si>
    <t>Dugoročna imovina  (002 do 008)</t>
  </si>
  <si>
    <t>Long-term assets (002 to 008)</t>
  </si>
  <si>
    <t xml:space="preserve">Nekretnine, postrojenja i oprema </t>
  </si>
  <si>
    <t>Real estate, plant and equipment</t>
  </si>
  <si>
    <t xml:space="preserve">Imovina s pravom korištenja </t>
  </si>
  <si>
    <t>Property with right of use</t>
  </si>
  <si>
    <t>Ulaganja u investicijske nekretnine</t>
  </si>
  <si>
    <t>Investments in investment properties</t>
  </si>
  <si>
    <t xml:space="preserve">Nematerijalna imovina </t>
  </si>
  <si>
    <t>Intangible assets</t>
  </si>
  <si>
    <t xml:space="preserve">Biološka imovina </t>
  </si>
  <si>
    <t>Biological assets</t>
  </si>
  <si>
    <t>Finansijska imovina i ulaganja</t>
  </si>
  <si>
    <t>Financijska imovina i ulaganja</t>
  </si>
  <si>
    <t>Financial assets and investments</t>
  </si>
  <si>
    <t>Ostala imovina i potraživanja</t>
  </si>
  <si>
    <t>Other assets and receivables</t>
  </si>
  <si>
    <t>Kratkoročna imovina (010 do 016)</t>
  </si>
  <si>
    <t>Short-term assets (010 to 016)</t>
  </si>
  <si>
    <t xml:space="preserve">Zalihe </t>
  </si>
  <si>
    <t>Supplies</t>
  </si>
  <si>
    <t>Dugoročna imovina namijenjena prodaji i imovina poslovanja koje se obustavlja</t>
  </si>
  <si>
    <t>Long-term assets intended for sale and assets that are being discontinued</t>
  </si>
  <si>
    <t>Potraživanja od kupaca i ugovorna imovina</t>
  </si>
  <si>
    <t>Trade receivables and contract assets</t>
  </si>
  <si>
    <t xml:space="preserve">Ostala finansijska imovina </t>
  </si>
  <si>
    <t xml:space="preserve">Ostala financijska imovina </t>
  </si>
  <si>
    <t>Other financial assets</t>
  </si>
  <si>
    <t xml:space="preserve">Gotovina i gotovinski ekvivalenti </t>
  </si>
  <si>
    <t>Cash and cash equivalents</t>
  </si>
  <si>
    <t>Akontacije poreza na dobit</t>
  </si>
  <si>
    <t>Income tax advances</t>
  </si>
  <si>
    <t>Ostala imovina i potraživanja, uključujući i razgraničenja</t>
  </si>
  <si>
    <t>Other assets and receivables, including accruals</t>
  </si>
  <si>
    <t>UKUPNO IMOVINA (001+009)</t>
  </si>
  <si>
    <t>TOTAL ASSETS (001+009)</t>
  </si>
  <si>
    <t>VANBILANSNA EVIDENCIJA</t>
  </si>
  <si>
    <t>IZVANBILANČNA EVIDENCIJA</t>
  </si>
  <si>
    <t>OFF-BALANCE SHEET RECORDS</t>
  </si>
  <si>
    <t>UKUPNO IMOVINA I VANBILANSNA EVIDENCIJA (017+018)</t>
  </si>
  <si>
    <t>UKUPNO IMOVINA I IZVANBILANČNA EVIDENCIJA (017+018)</t>
  </si>
  <si>
    <t>TOTAL ASSETS AND OFF-BALANCE SHEET RECORDS (017+018)</t>
  </si>
  <si>
    <t>KAPITAL</t>
  </si>
  <si>
    <t>CAPITAL</t>
  </si>
  <si>
    <t xml:space="preserve">Vlasnički kapital </t>
  </si>
  <si>
    <t>Equity capital</t>
  </si>
  <si>
    <t>Dionička premija</t>
  </si>
  <si>
    <t>Share premium</t>
  </si>
  <si>
    <t xml:space="preserve">Rezerve </t>
  </si>
  <si>
    <t>Reserves</t>
  </si>
  <si>
    <t xml:space="preserve">Revalorizacione rezerve </t>
  </si>
  <si>
    <t xml:space="preserve">Revalorizacijske rezerve </t>
  </si>
  <si>
    <t>Revaluation reserves</t>
  </si>
  <si>
    <t>Dobit (025+026)</t>
  </si>
  <si>
    <t>Profit (025+026)</t>
  </si>
  <si>
    <t>Akumulirana, neraspoređena dobit iz prethodnih perioda</t>
  </si>
  <si>
    <t>Akumulirana, neraspoređena dobit iz prethodnih razdoblja</t>
  </si>
  <si>
    <t>Accumulated, retained earnings from previous periods</t>
  </si>
  <si>
    <t>Dobit tekućeg perioda</t>
  </si>
  <si>
    <t>Dobit tekućeg razdoblja</t>
  </si>
  <si>
    <t>Current period profit</t>
  </si>
  <si>
    <t>Gubitak (028+029)</t>
  </si>
  <si>
    <t>Loss (028+029)</t>
  </si>
  <si>
    <t>Akumulirani, nepokriveni gubici iz prethodnih perioda</t>
  </si>
  <si>
    <t>Akumulirani, nepokriveni gubici iz prethodnih razdoblja</t>
  </si>
  <si>
    <t>Accumulated, uncovered losses from previous periods</t>
  </si>
  <si>
    <t>Gubitak tekućeg perioda</t>
  </si>
  <si>
    <t>Gubitak tekućeg razdoblja</t>
  </si>
  <si>
    <t>Current period loss</t>
  </si>
  <si>
    <t>UKUPNO KAPITAL (020+021+022+023+024-027)</t>
  </si>
  <si>
    <t>TOTAL CAPITAL (020+021+022+023+024-027)</t>
  </si>
  <si>
    <t>OBAVEZE</t>
  </si>
  <si>
    <t>OBVEZE</t>
  </si>
  <si>
    <t>OBLIGATIONS</t>
  </si>
  <si>
    <t>Dugoročne obaveze (032 do 034)</t>
  </si>
  <si>
    <t>Dugoročne obveze (032 do 034)</t>
  </si>
  <si>
    <t>Long-term liabilities (032 to 034)</t>
  </si>
  <si>
    <t xml:space="preserve">Finansijske obaveze </t>
  </si>
  <si>
    <t xml:space="preserve">Financijske obveze </t>
  </si>
  <si>
    <t>Financial obligations</t>
  </si>
  <si>
    <t>Rezervisanja</t>
  </si>
  <si>
    <t>Rezerviranja</t>
  </si>
  <si>
    <t>Reservations</t>
  </si>
  <si>
    <t>Ostale obaveze, uključujući i razgraničenja</t>
  </si>
  <si>
    <t>Ostale obveze, uključujući i razgraničenja</t>
  </si>
  <si>
    <t>Other liabilities, including accruals</t>
  </si>
  <si>
    <t>Kratkoročne obaveze (036 do 040)</t>
  </si>
  <si>
    <t>Kratkoročne obveze (036 do 040)</t>
  </si>
  <si>
    <t>Short-term liabilities (036 to 040)</t>
  </si>
  <si>
    <t>Obaveze prema dobavljačima i ugovorne obaveze</t>
  </si>
  <si>
    <t>Obveze prema dobavljačima i ugovorne obveze</t>
  </si>
  <si>
    <t>Obligations to suppliers and contractual obligations</t>
  </si>
  <si>
    <t xml:space="preserve">Ostale finansijske obaveze </t>
  </si>
  <si>
    <t xml:space="preserve">Ostale financijske obveze </t>
  </si>
  <si>
    <t>Other financial obligations</t>
  </si>
  <si>
    <t>Obaveze za porez na dobit</t>
  </si>
  <si>
    <t>Obveze za porez na dobit</t>
  </si>
  <si>
    <t>Liability for income tax</t>
  </si>
  <si>
    <t>UKUPNO OBAVEZE (031+035)</t>
  </si>
  <si>
    <t>UKUPNO OBVEZE (031+035)</t>
  </si>
  <si>
    <t>TOTAL LIABILITIES (031+035)</t>
  </si>
  <si>
    <t>UKUPNO KAPITAL I OBAVEZE</t>
  </si>
  <si>
    <t>UKUPNO KAPITAL I OBVEZE</t>
  </si>
  <si>
    <t>TOTAL CAPITAL AND LIABILITIES</t>
  </si>
  <si>
    <t>UKUPNO KAPITAL, OBAVEZE I VANBILANSNA EVIDENCIJA (042+043)</t>
  </si>
  <si>
    <t>UKUPNO KAPITAL, OBVEZE I IZVANBILANČNA EVIDENCIJA (042+043)</t>
  </si>
  <si>
    <t>TOTAL CAPITAL, LIABILITIES AND OFF-BALANCE SHEET RECORDS (042+043)</t>
  </si>
  <si>
    <t>MSV</t>
  </si>
  <si>
    <t>BILANS USPJEHA</t>
  </si>
  <si>
    <t>RAČUN DOBITI I GUBITKA</t>
  </si>
  <si>
    <t>PROFIT AND LOSS ACCOUNT</t>
  </si>
  <si>
    <t>Prihodi iz ugovora s kupcima (202+206+210)</t>
  </si>
  <si>
    <t>Income from contracts with customers (202+206+210)</t>
  </si>
  <si>
    <t>Prihodi iz ugovora sa povezanim stranama (203 do 205)</t>
  </si>
  <si>
    <t>Prihodi iz ugovora s povezanim stranama (203 do 205)</t>
  </si>
  <si>
    <t>Income from contracts with related parties (203 to 205)</t>
  </si>
  <si>
    <t>Prihodi iz ugovora sa nepovezanim stranama na domaćem tržištu (207 do 209)</t>
  </si>
  <si>
    <t>Income from contracts with unrelated parties on the domestic market (207 to 209)</t>
  </si>
  <si>
    <t>Prihodi iz ugovora sa nepovezanim stranama na inostranom tržištu (211 do 213)</t>
  </si>
  <si>
    <t>Income from contracts with unrelated parties on the foreign market (211 to 213)</t>
  </si>
  <si>
    <t>Ostali prihodi i dobici (215+230+241+242+243+244+245+246 +247 + 251)</t>
  </si>
  <si>
    <t>Other income and profits (215+230+241+242+243+244+245+246 +247 + 251)</t>
  </si>
  <si>
    <t>Dobici od dugoročne nefinansijske imovine (216 do 229)</t>
  </si>
  <si>
    <t>Gains from long-term non-financial assets (216 to 229)</t>
  </si>
  <si>
    <t>Neto dobici od otuđenja nekretnina, postrojenja i opreme</t>
  </si>
  <si>
    <t>Net gains from disposal of real estate, plant and equipment</t>
  </si>
  <si>
    <t>Neto dobici od otpuštanja ranije priznatih gubitaka od umanjenja vrijednosti nekretnina, postrojenja i opreme</t>
  </si>
  <si>
    <t>Net gains from the release of previously recognized impairment losses on property, plant and equipment</t>
  </si>
  <si>
    <t>Neto dobici od otpuštanja ranije priznatih gubitaka od promjene revalorizovane vrijednosti nekretnina, postrojenja i opreme za koje nije bilo postojećih revalorizacionih rezervi</t>
  </si>
  <si>
    <t>Neto dobici od otpuštanja ranije priznatih gubitaka od promjene revalorizirane vrijednosti nekretnina, postrojenja i opreme za koje nije bilo postojećih revalorizacijskih rezervi</t>
  </si>
  <si>
    <t>Net gains from the release of previously recognized losses from changes in the revalued value of real estate, plant and equipment for which there were no existing revaluation reserves</t>
  </si>
  <si>
    <t>Neto dobici od otuđenja ulaganja u investicijske nekretnine</t>
  </si>
  <si>
    <t>Net gains from the disposal of investments in investment properties</t>
  </si>
  <si>
    <t xml:space="preserve">Neto povećanja vrijednosti ulaganja u investicijske nekretnine koja se vode po fer vrijednosti </t>
  </si>
  <si>
    <t>Net increase in the value of investments in investment properties that are carried at fair value</t>
  </si>
  <si>
    <t>Neto dobici od otpuštanja ranije priznatih gubitaka od umanjenja vrijednosti investicijskih nekretnina</t>
  </si>
  <si>
    <t>Net gains from the release of previously recognized impairment losses on investment properties</t>
  </si>
  <si>
    <t>Neto dobici od otuđenja nematerijalne imovine</t>
  </si>
  <si>
    <t>Net gains from disposal of intangible assets</t>
  </si>
  <si>
    <t>Neto dobici od otpuštanja ranije priznatih gubitaka od umanjenja vrijednosti nematerijalne imovine</t>
  </si>
  <si>
    <t>Net gains from the release of previously recognized intangible asset impairment losses</t>
  </si>
  <si>
    <t>Neto dobici od prestanka priznavanja imovine s pravom korištenja</t>
  </si>
  <si>
    <t>Net gains from derecognition of right-of-use assets</t>
  </si>
  <si>
    <t>Neto dobici od otuđenja biološke imovine</t>
  </si>
  <si>
    <t>Net gains from disposal of biological assets</t>
  </si>
  <si>
    <t xml:space="preserve">Neto povećanja vrijednosti biološke imovine koja se vodi po fer vrijednosti </t>
  </si>
  <si>
    <t>Net increase in the value of biological assets that are carried at fair value</t>
  </si>
  <si>
    <t>Neto dobici od otpuštanja ranije priznatih gubitaka od umanjenja vrijednosti biološke imovine</t>
  </si>
  <si>
    <t>Net gains from the release of previously recognized impairment losses on biological assets</t>
  </si>
  <si>
    <t>Neto dobici od dugoročne imovine namijenjene prodaji</t>
  </si>
  <si>
    <t>Net gains from long-term assets held for sale</t>
  </si>
  <si>
    <t>Ostali neto dobici od otpuštanja ranije priznatih gubitaka od umanjenja vrijednosti dugoročne nefinansijske imovine</t>
  </si>
  <si>
    <t>Ostali neto dobici od otpuštanja ranije priznatih gubitaka od umanjenja vrijednosti dugoročne nefinancijske imovine</t>
  </si>
  <si>
    <t>Other net gains from the release of previously recognized impairment losses on long-term non-financial assets</t>
  </si>
  <si>
    <t>Dobici od finansijske imovine (231 do 240)</t>
  </si>
  <si>
    <t>Dobici od financijske imovine (231 do 240)</t>
  </si>
  <si>
    <t>Gains from financial assets (231 to 240)</t>
  </si>
  <si>
    <t>Neto otpuštanja ranije priznatih kreditnih gubitaka od finansijske imovine po amortizovanom trošku</t>
  </si>
  <si>
    <t>Neto otpuštanja ranije priznatih kreditnih gubitaka od financijske imovine po amortiziranom trošku</t>
  </si>
  <si>
    <t>Net write-offs of previously recognized credit losses from financial assets at amortized cost</t>
  </si>
  <si>
    <t>Neto otpuštanja ranije priznatih kreditnih gubitaka od finansijske imovine po fer vrijednosti kroz ostali ukupni rezultat</t>
  </si>
  <si>
    <t>Neto otpuštanja ranije priznatih kreditnih gubitaka od financijske imovine po fer vrijednosti kroz ostali ukupni rezultat</t>
  </si>
  <si>
    <t>Net write-offs of previously recognized credit losses from financial assets at fair value through other comprehensive income</t>
  </si>
  <si>
    <t>Neto dobici od prestanka priznavanja finansijske imovine po amortizovanom trošku</t>
  </si>
  <si>
    <t>Neto dobici od prestanka priznavanja financijske imovine po amortiziranom trošku</t>
  </si>
  <si>
    <t>Net gains from derecognition of financial assets at amortized cost</t>
  </si>
  <si>
    <t>Neto dobici od modifikacija finansijske imovine po amortizovanom trošku koje nisu rezultirale prestankom priznavanja</t>
  </si>
  <si>
    <t>Neto dobici od modifikacija financijske imovine po amortiziranom trošku koje nisu rezultirale prestankom priznavanja</t>
  </si>
  <si>
    <t>Net gains from modifications of financial assets at amortized cost that did not result in derecognition</t>
  </si>
  <si>
    <t xml:space="preserve">Neto dobici od otuđenja finansijske imovine po amortizovanom trošku </t>
  </si>
  <si>
    <t xml:space="preserve">Neto dobici od otuđenja financijske imovine po amortiziranom trošku </t>
  </si>
  <si>
    <t>Net gains from disposal of financial assets at amortized cost</t>
  </si>
  <si>
    <t>Neto povećanja vrijednosti finansijske imovine po fer vrijednosti kroz bilans uspjeha</t>
  </si>
  <si>
    <t>Neto povećanja vrijednosti financijske imovine po fer vrijednosti kroz račun dobiti i gubitka</t>
  </si>
  <si>
    <t>Net increase in the value of financial assets at fair value through the profit and loss account</t>
  </si>
  <si>
    <t>Neto dobici od otuđenja finansijske imovine po fer vrijednosti kroz bilans uspjeha</t>
  </si>
  <si>
    <t>Neto dobici od otuđenja financijske imovine po fer vrijednosti kroz račun dobiti i gubitka</t>
  </si>
  <si>
    <t>Net gains from disposal of financial assets at fair value through the profit and loss account</t>
  </si>
  <si>
    <t>Neto dobici od otuđenja finansijske imovine po fer vrijednosti kroz ostali ukupni rezultat</t>
  </si>
  <si>
    <t>Neto dobici od otuđenja financijske imovine po fer vrijednosti kroz ostali ukupni rezultat</t>
  </si>
  <si>
    <t>Net gains from disposal of financial assets at fair value through other comprehensive income</t>
  </si>
  <si>
    <t>Neto dobici od reklasifikacija finansijske imovine između poslovnih modela</t>
  </si>
  <si>
    <t>Neto dobici od reklasifikacija financijske imovine između poslovnih modela</t>
  </si>
  <si>
    <t>Net gains from reclassifications of financial assets between business models</t>
  </si>
  <si>
    <t>Ostali neto dobici od finansijske imovine</t>
  </si>
  <si>
    <t>Ostali neto dobici od financijske imovine</t>
  </si>
  <si>
    <t>Other net gains from financial assets</t>
  </si>
  <si>
    <t>Neto otpuštanje rezervisanja</t>
  </si>
  <si>
    <t>Troškovi rezerviranja, neto</t>
  </si>
  <si>
    <t>Reservation costs, net</t>
  </si>
  <si>
    <t>Neto dobici od trgovanja derivatima</t>
  </si>
  <si>
    <t>Net gains from derivatives trading</t>
  </si>
  <si>
    <t>Prihodi od prodaje materijala, neto</t>
  </si>
  <si>
    <t>Revenues from the sale of materials, net</t>
  </si>
  <si>
    <t>Viškovi i ostala pozitivna usklađenja zaliha</t>
  </si>
  <si>
    <t>Surpluses and other positive inventory adjustments</t>
  </si>
  <si>
    <t>Prihodi od dividendi</t>
  </si>
  <si>
    <t>Income from dividends</t>
  </si>
  <si>
    <t>Udio u dobiti pridruženog društva i zajedničkog poduhvata primjenom metode udjela</t>
  </si>
  <si>
    <t>Share in the profit of the associated company and joint venture using the equity method</t>
  </si>
  <si>
    <t>Finansijski prihodi (248+249+250)</t>
  </si>
  <si>
    <t>Prihodi od kamata</t>
  </si>
  <si>
    <t>Interest income</t>
  </si>
  <si>
    <t>Neto pozitivne kursne razlike</t>
  </si>
  <si>
    <t>Neto pozitivne tečajne razlike</t>
  </si>
  <si>
    <t>Net positive exchange differences</t>
  </si>
  <si>
    <t>Ostali finansijski prihodi</t>
  </si>
  <si>
    <t>Ostali financijski prihodi</t>
  </si>
  <si>
    <t>Other financial income</t>
  </si>
  <si>
    <t> Ostali prihodi i dobici</t>
  </si>
  <si>
    <t>Ukupno prihodi (201+214)</t>
  </si>
  <si>
    <t>Total income (201+214)</t>
  </si>
  <si>
    <t>Poslovni rashodi (254+255+256+257+258+262+269+270)</t>
  </si>
  <si>
    <t>Business expenses (254+255+256+257+258+262+269+270)</t>
  </si>
  <si>
    <t>Promjene u zalihama gotovih proizvoda, poluproizvoda i proizvodnje u toku, neto (+) / (-)</t>
  </si>
  <si>
    <t> Promjene u zalihama gotovih proizvoda, poluproizvoda i proizvodnje u tijeku, neto (+) / (-)</t>
  </si>
  <si>
    <t>Troškovi plaća i ostalih ličnih primanja (259 do 261)</t>
  </si>
  <si>
    <t>Troškovi plaća i ostalih osobnih primanja (259 do 261)</t>
  </si>
  <si>
    <t>Costs of wages and other personal income (259 to 261)</t>
  </si>
  <si>
    <t>Bruto plaće zaposlenih</t>
  </si>
  <si>
    <t>Gross wages of employees</t>
  </si>
  <si>
    <t>Ostale naknade zaposlenih</t>
  </si>
  <si>
    <t>Other employee benefits</t>
  </si>
  <si>
    <t>Troškovi ostalih angažovanih fizičkih lica, uključujući članove odbora</t>
  </si>
  <si>
    <t>Troškovi ostalih angažiranih fizičkih osoba, uključujući članove odbora</t>
  </si>
  <si>
    <t>Expenses of other hired natural persons, including board members</t>
  </si>
  <si>
    <t>Amortizacija (263+268)</t>
  </si>
  <si>
    <t>Depreciation (263+268)</t>
  </si>
  <si>
    <t>Nekretnine, postrojenja i oprema</t>
  </si>
  <si>
    <t>Investicijske nekretnine</t>
  </si>
  <si>
    <t>Investment properties</t>
  </si>
  <si>
    <t>Imovina s pravom korištenja</t>
  </si>
  <si>
    <t>Nematerijalna imovina</t>
  </si>
  <si>
    <t>Biološka imovina</t>
  </si>
  <si>
    <t>Ostala dugoročna imovina po osnovu ugovora sa kupcima</t>
  </si>
  <si>
    <t>Ostala dugoročna imovina po osnovi ugovora s kupcima</t>
  </si>
  <si>
    <t>Other long-term assets based on contracts with customers</t>
  </si>
  <si>
    <t>Troškovi primljenih usluga</t>
  </si>
  <si>
    <t>Costs of received services</t>
  </si>
  <si>
    <t>Ostali rashodi i gubici (272+287+298+299+300+301+302 +303 +304 +309)</t>
  </si>
  <si>
    <t>Other expenses and losses (272+287+298+299+300+301+302 +303 +304 +309)</t>
  </si>
  <si>
    <t>Gubici od dugoročne nefinansijske imovine (273 do 286)</t>
  </si>
  <si>
    <t>Gubici od dugoročne nefinancijske imovine  (273 do 286)</t>
  </si>
  <si>
    <t>Losses from long-term non-financial assets (273 to 286)</t>
  </si>
  <si>
    <t>Neto gubici od otuđenja nekretnina, postrojenja i opreme</t>
  </si>
  <si>
    <t>Net losses from disposal of real estate, plant and equipment</t>
  </si>
  <si>
    <t>Neto gubici od umanjenja vrijednosti nekretnina, postrojenja i opreme</t>
  </si>
  <si>
    <t>Net impairment losses on property, plant and equipment</t>
  </si>
  <si>
    <t>Neto gubici od promjene revalorizovane vrijednosti nekretnina, postrojenja i opreme za koje nema postojećih revalorizacionih rezervi</t>
  </si>
  <si>
    <t>Neto gubici od promjene revalorizirane vrijednosti nekretnina, postrojenja i opreme za koje nema postojećih revalorizacijskih rezervi</t>
  </si>
  <si>
    <t>Net losses from changes in the revalued value of real estate, plant and equipment for which there are no existing revaluation reserves</t>
  </si>
  <si>
    <t>Neto gubici od otuđenja ulaganja u investicijske nekretnine</t>
  </si>
  <si>
    <t>Net losses from the disposal of investments in investment properties</t>
  </si>
  <si>
    <t xml:space="preserve">Neto smanjenja vrijednosti ulaganja u investicijske nekretnine koja se vode po fer vrijednosti </t>
  </si>
  <si>
    <t>Net decrease in the value of investments in investment properties that are carried at fair value</t>
  </si>
  <si>
    <t>Neto gubici od umanjenja vrijednosti investicijskih nekretnina</t>
  </si>
  <si>
    <t>Net losses from impairment of investment properties</t>
  </si>
  <si>
    <t>Neto gubici od otuđenja nematerijalne imovine</t>
  </si>
  <si>
    <t>Net losses from disposal of intangible assets</t>
  </si>
  <si>
    <t>Neto gubici od umanjenja vrijednosti nematerijalne imovine</t>
  </si>
  <si>
    <t>Net losses from impairment of intangible assets</t>
  </si>
  <si>
    <t>Neto gubici od prestanka priznavanja imovine s pravom korištenja</t>
  </si>
  <si>
    <t>Net losses from derecognition of right-of-use assets</t>
  </si>
  <si>
    <t>Neto gubici od otuđenja biološke imovine</t>
  </si>
  <si>
    <t>Net losses from disposal of biological assets</t>
  </si>
  <si>
    <t xml:space="preserve">Neto smanjenja vrijednosti biološke imovine koja se vodi po fer vrijednosti </t>
  </si>
  <si>
    <t>Net decrease in the value of biological assets that are carried at fair value</t>
  </si>
  <si>
    <t>Neto gubici od umanjenja vrijednosti biološke imovine</t>
  </si>
  <si>
    <t>Net impairment losses on biological assets</t>
  </si>
  <si>
    <t>Neto gubici od dugoročne imovine namijenjene prodaji</t>
  </si>
  <si>
    <t>Net losses from long-term assets held for sale</t>
  </si>
  <si>
    <t>Ostali neto gubici od umanjenja vrijednosti dugoročne nefinansijske imovine</t>
  </si>
  <si>
    <t>Ostali neto gubici od umanjenja vrijednosti dugoročne nefinancijske imovine</t>
  </si>
  <si>
    <t>Other net impairment losses on long-term non-financial assets</t>
  </si>
  <si>
    <t>Gubici od finansijske imovine (288 do 297)</t>
  </si>
  <si>
    <t>Gubici od financijske imovine (288 do 297)</t>
  </si>
  <si>
    <t>Losses from financial assets (288 to 297)</t>
  </si>
  <si>
    <t>Neto kreditni gubici od finansijske imovine po amortizovanom trošku</t>
  </si>
  <si>
    <t>Neto kreditni gubici od financijske imovine po amortiziranom trošku</t>
  </si>
  <si>
    <t>Net credit losses on financial assets at amortized cost</t>
  </si>
  <si>
    <t>Neto kreditni gubici od finansijske imovine po fer vrijednosti kroz ostali ukupni rezultat</t>
  </si>
  <si>
    <t>Neto kreditni gubici od financijske imovine po fer vrijednosti kroz ostali ukupni rezultat</t>
  </si>
  <si>
    <t>Net credit losses from financial assets at fair value through other comprehensive income</t>
  </si>
  <si>
    <t>Neto gubici od prestanka priznavanja finansijske imovine po amortizovanom trošku</t>
  </si>
  <si>
    <t>Neto gubici od prestanka priznavanja financijske imovine po amortiziranom trošku</t>
  </si>
  <si>
    <t>Net losses from derecognition of financial assets at amortized cost</t>
  </si>
  <si>
    <t>Neto gubici od modifikacija finansijske imovine po amortizovanom trošku koje nisu rezultirale prestankom priznavanja</t>
  </si>
  <si>
    <t>Neto gubici od modifikacija financijske imovine po amortiziranom trošku koje nisu rezultirale prestankom priznavanja</t>
  </si>
  <si>
    <t>Net losses from modifications of financial assets at amortized cost that did not result in derecognition</t>
  </si>
  <si>
    <t xml:space="preserve">Neto gubici od otuđenja finansijske imovine po amortizovanom trošku </t>
  </si>
  <si>
    <t xml:space="preserve">Neto gubici od otuđenja financijske imovine po amortiziranom trošku </t>
  </si>
  <si>
    <t>Net losses from disposal of financial assets at amortized cost</t>
  </si>
  <si>
    <t>Neto smanjenja vrijednosti finansijske imovine po fer vrijednosti kroz bilans uspjeha</t>
  </si>
  <si>
    <t>Neto smanjenja vrijednosti financijske imovine po fer vrijednosti kroz račun dobiti i gubitka</t>
  </si>
  <si>
    <t>Net decrease in the value of financial assets at fair value through the profit and loss account</t>
  </si>
  <si>
    <t>Neto gubici od otuđenja finansijske imovine po fer vrijednosti kroz bilans uspjeha</t>
  </si>
  <si>
    <t>Neto gubici od otuđenja financijske imovine po fer vrijednosti kroz račun dobiti i gubitka</t>
  </si>
  <si>
    <t>Net losses from disposal of financial assets at fair value through the profit and loss account</t>
  </si>
  <si>
    <t>Neto gubici od otuđenja finansijske imovine po fer vrijednosti kroz ostali ukupni rezultat</t>
  </si>
  <si>
    <t>Neto gubici od otuđenja financijske imovine po fer vrijednosti kroz ostali ukupni rezultat</t>
  </si>
  <si>
    <t>Net losses from disposal of financial assets at fair value through other comprehensive income</t>
  </si>
  <si>
    <t>Neto gubici od reklasifikacija finansijske imovine između poslovnih modela</t>
  </si>
  <si>
    <t>Neto gubici od reklasifikacija financijske imovine između poslovnih modela</t>
  </si>
  <si>
    <t>Net losses from reclassifications of financial assets between business models</t>
  </si>
  <si>
    <t>Ostali neto gubici od finansijske imovine</t>
  </si>
  <si>
    <t>Ostali neto gubici od financijske imovine</t>
  </si>
  <si>
    <t>Other net losses from financial assets</t>
  </si>
  <si>
    <t>Troškovi rezervisanja, neto</t>
  </si>
  <si>
    <t>Neto gubici od trgovanja derivatima</t>
  </si>
  <si>
    <t>Net losses from derivatives trading</t>
  </si>
  <si>
    <t>Rashodi od prodaje materijala, neto</t>
  </si>
  <si>
    <t>Expenses from the sale of materials, net</t>
  </si>
  <si>
    <t>Manjkovi i ostala negativna usklađenja zaliha</t>
  </si>
  <si>
    <t>Shortages and other negative inventory adjustments</t>
  </si>
  <si>
    <t>Udio u gubitku pridruženog društva i zajedničkog poduhvata primjenom metode udjela</t>
  </si>
  <si>
    <t>Share in the loss of the associated company and joint venture using the equity method</t>
  </si>
  <si>
    <t>Umanjenje vrijednosti goodwilla</t>
  </si>
  <si>
    <t>Impairment of goodwill</t>
  </si>
  <si>
    <t>Finansijski rashodi (305 do 307)</t>
  </si>
  <si>
    <t>Financijski rashodi  (305 do 307)</t>
  </si>
  <si>
    <t>Financial expenses (305 to 307)</t>
  </si>
  <si>
    <t xml:space="preserve">Rashodi od kamata </t>
  </si>
  <si>
    <t>Rashodi od kamata</t>
  </si>
  <si>
    <t>Interest expenses</t>
  </si>
  <si>
    <t>Neto negativne kursne razlike</t>
  </si>
  <si>
    <t>Neto negativne tečajne razlike</t>
  </si>
  <si>
    <t>Net negative exchange differences</t>
  </si>
  <si>
    <t>Ostali finansijski rashodi</t>
  </si>
  <si>
    <t>Ostali financijski rashodi</t>
  </si>
  <si>
    <t>Other financial expenses</t>
  </si>
  <si>
    <t>Ukupno rashodi (253+271)</t>
  </si>
  <si>
    <t>Total expenses (253+271)</t>
  </si>
  <si>
    <t>Dobit iz redovnog poslovanja prije oporezivanja (252-309)</t>
  </si>
  <si>
    <t>Profit from regular operations before taxation (252-309)</t>
  </si>
  <si>
    <t>Gubitak iz redovnog poslovanja prije oporezivanja (309-252)</t>
  </si>
  <si>
    <t>Loss from regular operations before taxation (309-252)</t>
  </si>
  <si>
    <t>Porez na dobit (313+314)</t>
  </si>
  <si>
    <t>Profit tax (313+314)</t>
  </si>
  <si>
    <t>Odgođeni porez na dobit (315-316+317-318)</t>
  </si>
  <si>
    <t>Deferred income tax (315-316+317-318)</t>
  </si>
  <si>
    <t>Efekat smanjenja odgođene porezne imovine</t>
  </si>
  <si>
    <t>Efekt smanjenja odgođene porezne imovine</t>
  </si>
  <si>
    <t>The effect of reducing deferred tax assets</t>
  </si>
  <si>
    <t>Efekat povećanja odgođene porezne imovine</t>
  </si>
  <si>
    <t>Efekt povećanja odgođene porezne imovine</t>
  </si>
  <si>
    <t>The effect of increasing deferred tax assets</t>
  </si>
  <si>
    <t>Efekat povećanja odgođenih poreznih obaveza</t>
  </si>
  <si>
    <t>Efekt povećanja odgođenih poreznih obveza</t>
  </si>
  <si>
    <t>The effect of increasing deferred tax liabilities</t>
  </si>
  <si>
    <t>Efekat smanjenja odgođenih poreznih obaveza</t>
  </si>
  <si>
    <t>Efekt smanjenja odgođenih poreznih obveza</t>
  </si>
  <si>
    <t>The effect of reducing deferred tax liabilities</t>
  </si>
  <si>
    <t>Dobit iz redovnog poslovanja (310+312)</t>
  </si>
  <si>
    <t>Profit from regular operations (310+312)</t>
  </si>
  <si>
    <t>Gubitak iz redovnog poslovanja (311+312)</t>
  </si>
  <si>
    <t>Loss from regular business (311+312)</t>
  </si>
  <si>
    <t>Dobit ili gubitak od obustavljenog poslovanja</t>
  </si>
  <si>
    <t>Profit or loss from discontinued operations</t>
  </si>
  <si>
    <t>Dobit (319+321)</t>
  </si>
  <si>
    <t>Profit (319+321)</t>
  </si>
  <si>
    <t>Gubitak (320+321)</t>
  </si>
  <si>
    <t>Loss (320+321)</t>
  </si>
  <si>
    <t>Ostali ukupni rezultat (+325+331)</t>
  </si>
  <si>
    <t>Other total score (+325+331)</t>
  </si>
  <si>
    <t>Stavke koje mogu biti reklasifikovane u bilans uspjeha (+326 +327 +328 +329 -330)</t>
  </si>
  <si>
    <t>Items that can be reclassified in the income statement (+326 +327 +328 +329 -330)</t>
  </si>
  <si>
    <t>Povećanje/(smanjenje) fer vrijednosti dužničkih instrumenata po fer vrijednosti kroz ostali ukupni rezultat</t>
  </si>
  <si>
    <t>Increase/(decrease) in fair value of debt instruments at fair value through other comprehensive income</t>
  </si>
  <si>
    <t>Efekti proistekli iz transakcija zaštite ("hedging")</t>
  </si>
  <si>
    <t>Effects resulting from hedging transactions</t>
  </si>
  <si>
    <t>Udio u ostalom ukupnom rezultatu pridruženog društva i zajedničkog poduhvata primjenom metode udjela</t>
  </si>
  <si>
    <t>Share in the other total result of the associated company and joint venture using the equity method</t>
  </si>
  <si>
    <t>Ostale stavke koje mogu biti reklasifikovane u bilans uspjeha</t>
  </si>
  <si>
    <t>Ostale stavke koje mogu biti reklasificirane u račun dobiti i gubitka</t>
  </si>
  <si>
    <t>Other items that can be reclassified to the profit and loss account</t>
  </si>
  <si>
    <t>Stavke koje neće biti reklasifikovane u bilans uspjeha (+332 +333 +334 +335 +336 +337 -338)</t>
  </si>
  <si>
    <t>Stavke koje neće biti reklasificirane u račun dobiti i gubitka (+332 +333 +334 +335 +336 +337 -338)</t>
  </si>
  <si>
    <t>Items that will not be reclassified in the profit and loss account (+332 +333 +334 +335 +336 +337 -338)</t>
  </si>
  <si>
    <t>Povećanje/(smanjenje) fer vrijednosti instrumenata kapitala po fer vrijednosti kroz ostali ukupni rezultat</t>
  </si>
  <si>
    <t>Increase/(decrease) in the fair value of equity instruments at fair value through other comprehensive income</t>
  </si>
  <si>
    <t>Aktuarski dobici/(gubici) od planova definiranih primanja</t>
  </si>
  <si>
    <t>Actuarial gains/(losses) from defined benefit plans</t>
  </si>
  <si>
    <t xml:space="preserve">Dobici ili gubici po osnovu preračunavanja finansijskih izvještaja inostranog poslovanja </t>
  </si>
  <si>
    <t xml:space="preserve">Dobici ili gubici po osnovi preračunavanja financijskih izvještaja inozemnog poslovanja </t>
  </si>
  <si>
    <t>Gains or losses based on recalculation of financial statements of foreign operations</t>
  </si>
  <si>
    <t>Ostale stavke koje neće biti reklasifikovane u bilans uspjeha</t>
  </si>
  <si>
    <t>Ostale stavke koje neće biti reklasificirane u račun dobiti i gubitka</t>
  </si>
  <si>
    <t>Other items that will not be reclassified to the profit and loss account</t>
  </si>
  <si>
    <t>UKUPNI REZULTAT (322 ili 323 + 324)</t>
  </si>
  <si>
    <t>TOTAL RESULT (322 or 323 + 324)</t>
  </si>
  <si>
    <t>Zarada po dionici</t>
  </si>
  <si>
    <t>Earnings per share</t>
  </si>
  <si>
    <t>a) Osnovna zarada po dionici</t>
  </si>
  <si>
    <t>a) Basic earnings per share</t>
  </si>
  <si>
    <t>b) Razrijeđena zarada po dionici</t>
  </si>
  <si>
    <t>b) Diluted earnings per share</t>
  </si>
  <si>
    <t>Dobit/(gubitak) koji pripada:</t>
  </si>
  <si>
    <t>Profit/(loss) belonging to:</t>
  </si>
  <si>
    <t>a) Vlasnicima matičnog društva</t>
  </si>
  <si>
    <t>a) To the owners of the parent company</t>
  </si>
  <si>
    <t>b) Vlasnicima manjinskih interesa</t>
  </si>
  <si>
    <t>b) Owners of minority interests</t>
  </si>
  <si>
    <t>Ukupni rezultat koji pripada:</t>
  </si>
  <si>
    <t>Total score belonging to:</t>
  </si>
  <si>
    <t>Dugoročna imovina (002+009+014+015+020+021+022+023+024+025+028+033+034)</t>
  </si>
  <si>
    <t>Long-term assets (002+009+014+015+020+021+022+023+024+025+028+033+034)</t>
  </si>
  <si>
    <t>Nekretnine, postrojenja i oprema (003 do 008)</t>
  </si>
  <si>
    <t>Real estate, plants and equipment (003 to 008)</t>
  </si>
  <si>
    <t>Zemljište</t>
  </si>
  <si>
    <t>Land</t>
  </si>
  <si>
    <t>Građevinski objekti</t>
  </si>
  <si>
    <t>buildings</t>
  </si>
  <si>
    <t>Postrojenja, oprema i namještaj</t>
  </si>
  <si>
    <t>Plants, equipment and furniture</t>
  </si>
  <si>
    <t>Transportna sredstva</t>
  </si>
  <si>
    <t>Means of transport</t>
  </si>
  <si>
    <t>Ostala dugoročna materijalna imovina</t>
  </si>
  <si>
    <t>Other long-term tangible assets</t>
  </si>
  <si>
    <t>Nekretnine, postrojenja i oprema u pripremi</t>
  </si>
  <si>
    <t>Real estate, plants and equipment under preparation</t>
  </si>
  <si>
    <t>Imovina s pravom korištenja (010 do 013)</t>
  </si>
  <si>
    <t>Property with right of use (010 to 013)</t>
  </si>
  <si>
    <t>Postrojenja i oprema</t>
  </si>
  <si>
    <t>Plant and equipment</t>
  </si>
  <si>
    <t>Nematerijalna imovina (016 do 019)</t>
  </si>
  <si>
    <t>Intangible assets (016 to 019)</t>
  </si>
  <si>
    <t>Kapitalizirana ulaganja u razvoj</t>
  </si>
  <si>
    <t>Capitalized investments in development</t>
  </si>
  <si>
    <t>Koncesije, patenti, licence i druga prava</t>
  </si>
  <si>
    <t>Concessions, patents, licenses and other rights</t>
  </si>
  <si>
    <t>Ostala nematerijalna imovina</t>
  </si>
  <si>
    <t>Other intangible assets</t>
  </si>
  <si>
    <t>Nematerijalna imovina u pripremi</t>
  </si>
  <si>
    <t>Intangible assets under construction</t>
  </si>
  <si>
    <t>Ulaganja u zavisne subjekte</t>
  </si>
  <si>
    <t>Investments in subsidiaries</t>
  </si>
  <si>
    <t>Ulaganja u pridružene subjekte</t>
  </si>
  <si>
    <t>Investments in affiliated entities</t>
  </si>
  <si>
    <t>Ulaganja u zajedničke poduhvate</t>
  </si>
  <si>
    <t>Investments in joint ventures</t>
  </si>
  <si>
    <t>Goodwill</t>
  </si>
  <si>
    <t> Finansijska imovina po fer vrijednosti kroz ostali ukupni rezultat (026+027)</t>
  </si>
  <si>
    <t>Financial assets at fair value through other comprehensive income (026+027)</t>
  </si>
  <si>
    <t>Ulaganja u instrumente kapitala</t>
  </si>
  <si>
    <t>Investments in equity instruments</t>
  </si>
  <si>
    <t>Obveznice, dati krediti i ostali dužnički instrumenti</t>
  </si>
  <si>
    <t>Bonds, loans and other debt instruments</t>
  </si>
  <si>
    <t>Finansijska imovina po amortizovanom trošku (029 do 032)</t>
  </si>
  <si>
    <t>Financijska imovina po amortiziranom trošku (029 do 032)</t>
  </si>
  <si>
    <t>Financial assets at amortized cost (029 to 032)</t>
  </si>
  <si>
    <t>Depoziti kod banaka</t>
  </si>
  <si>
    <t>Deposits with banks</t>
  </si>
  <si>
    <t xml:space="preserve">Dati krediti </t>
  </si>
  <si>
    <t>Give loans</t>
  </si>
  <si>
    <t>Obveznice</t>
  </si>
  <si>
    <t>Bonds</t>
  </si>
  <si>
    <t>Ostala finansijska imovina po amortizovanom trošku</t>
  </si>
  <si>
    <t>Ostala financijska imovina po amortiziranom trošku</t>
  </si>
  <si>
    <t>Other financial assets at amortized cost</t>
  </si>
  <si>
    <t>Potraživanja po finansijskim najmovima</t>
  </si>
  <si>
    <t>Potraživanja po financijskim najmovima</t>
  </si>
  <si>
    <t>Receivables from financial leases</t>
  </si>
  <si>
    <t>Odgođena porezna imovina</t>
  </si>
  <si>
    <t>Deferred tax assets</t>
  </si>
  <si>
    <t>Kratkoročna imovina (037+043+044+045+049+054+055+056+057+058+059)</t>
  </si>
  <si>
    <t>Short-term assets (037+043+044+045+049+054+055+056+057+058+059)</t>
  </si>
  <si>
    <t>Zalihe (038 do 042)</t>
  </si>
  <si>
    <t>Sirovine, materijal, rezervni dijelovi i sitan inventar</t>
  </si>
  <si>
    <t>Sirovine, materijal, rezervni dijelovi i sitni inventar</t>
  </si>
  <si>
    <t>Raw materials, material, spare parts and small inventory</t>
  </si>
  <si>
    <t>Proizvodnja u toku, poluproizvodi i nedovršene usluge</t>
  </si>
  <si>
    <t>Proizvodnja u tijeku, poluproizvodi i nedovršene usluge</t>
  </si>
  <si>
    <t>Work in progress, semi-finished products and unfinished services</t>
  </si>
  <si>
    <t>Gotovi proizvodi</t>
  </si>
  <si>
    <t>final products</t>
  </si>
  <si>
    <t>Roba</t>
  </si>
  <si>
    <t>Goods</t>
  </si>
  <si>
    <t>Dati avansi</t>
  </si>
  <si>
    <t>Dani avansi</t>
  </si>
  <si>
    <t>Advances given</t>
  </si>
  <si>
    <t>Ugovorna imovina</t>
  </si>
  <si>
    <t>Contract property</t>
  </si>
  <si>
    <t>Potraživanja od kupaca (046 do 048)</t>
  </si>
  <si>
    <t xml:space="preserve">Potraživanja od kupaca </t>
  </si>
  <si>
    <t>Trade receivables</t>
  </si>
  <si>
    <t>Kupci - povezane strane</t>
  </si>
  <si>
    <t>Customers - related parties</t>
  </si>
  <si>
    <t>Kupci u zemlji</t>
  </si>
  <si>
    <t>Customers in the country</t>
  </si>
  <si>
    <t>Kupci u inostranstvu</t>
  </si>
  <si>
    <t>Kupci u inozemstvu</t>
  </si>
  <si>
    <t>Customers abroad</t>
  </si>
  <si>
    <t>Ostala finansijska imovina po amortizovanom trošku (050 do 053)</t>
  </si>
  <si>
    <t>Ostala financijska imovina po amortiziranom trošku (050 do 053)</t>
  </si>
  <si>
    <t>Other financial assets at amortized cost (050 to 053)</t>
  </si>
  <si>
    <t>Finansijska imovina po fer vrijednosti kroz bilans uspjeha</t>
  </si>
  <si>
    <t>Financijska imovina po fer vrijednosti kroz račun dobiti i gubitka</t>
  </si>
  <si>
    <t>Financial assets at fair value through the profit and loss account</t>
  </si>
  <si>
    <t>Derivatni finansijski instrumenti</t>
  </si>
  <si>
    <t>Derivatni financijski instrumenti</t>
  </si>
  <si>
    <t>Derivative financial instruments</t>
  </si>
  <si>
    <t>Gotovina i gotovinski ekvivalenti (isključujući prekoračenja po bankovnim računima)</t>
  </si>
  <si>
    <t>Cash and cash equivalents (excluding overdrafts on bank accounts)</t>
  </si>
  <si>
    <t>UKUPNO IMOVINA (001+035+036)</t>
  </si>
  <si>
    <t>TOTAL ASSETS (001+035+036)</t>
  </si>
  <si>
    <t>UKUPNO IMOVINA I VANBILANSNA EVIDENCIJA (060+061)</t>
  </si>
  <si>
    <t xml:space="preserve">UKUPNO IMOVINA I IZVANBILANČNA EVIDENCIJA </t>
  </si>
  <si>
    <t>TOTAL ASSETS AND OFF-BALANCE SHEET RECORDS</t>
  </si>
  <si>
    <t>Vlasnički kapital (102-103+104+105+106)</t>
  </si>
  <si>
    <t>Equity (102-103+104+105+106)</t>
  </si>
  <si>
    <t>Dionički kapital</t>
  </si>
  <si>
    <t>Share capital</t>
  </si>
  <si>
    <t>Otkupljene vlastite dionice</t>
  </si>
  <si>
    <t>Purchased own shares</t>
  </si>
  <si>
    <t>Udjeli članova društva sa ograničenom odgovornošću</t>
  </si>
  <si>
    <t>Udjeli članova društva s ograničenom odgovornošću</t>
  </si>
  <si>
    <t>Shares of members of a limited liability company</t>
  </si>
  <si>
    <t>Državni kapital</t>
  </si>
  <si>
    <t>State capital</t>
  </si>
  <si>
    <t>Ostali oblici vlasničkog kapitala</t>
  </si>
  <si>
    <t>Other forms of equity capital</t>
  </si>
  <si>
    <t>Rezerve (109+110)</t>
  </si>
  <si>
    <t>Reserves (109+110)</t>
  </si>
  <si>
    <t>Statutarne rezerve</t>
  </si>
  <si>
    <t>Statutory reserves</t>
  </si>
  <si>
    <t>Ostale rezerve</t>
  </si>
  <si>
    <t>Other reserves</t>
  </si>
  <si>
    <t>Revalorizacione rezerve (112 do 114)</t>
  </si>
  <si>
    <t>Revaluation reserves (112 to 114)</t>
  </si>
  <si>
    <t>Revalorizacione rezerve za nekretnine, postrojenja i opremu</t>
  </si>
  <si>
    <t>Revalorizacijske rezerve za nekretnine, postrojenja i opremu</t>
  </si>
  <si>
    <t>Revaluation reserves for real estate, plants and equipment</t>
  </si>
  <si>
    <t>Revalorizacione rezerve za finansijsku imovinu mjerenu po fer vrijednosti kroz ostali ukupni rezultat</t>
  </si>
  <si>
    <t>Revalorizacijske rezerve za financijsku imovinu mjerenu po fer vrijednosti kroz ostali ukupni rezultat</t>
  </si>
  <si>
    <t>Revaluation reserves for financial assets measured at fair value through other comprehensive income</t>
  </si>
  <si>
    <t>Ostale revalorizacione rezerve</t>
  </si>
  <si>
    <t>Ostale revalorizacijske rezerve</t>
  </si>
  <si>
    <t>Other revaluation reserves</t>
  </si>
  <si>
    <t>Dobit (116+117)</t>
  </si>
  <si>
    <t>Profit (116+117)</t>
  </si>
  <si>
    <t>Gubitak (119+120)</t>
  </si>
  <si>
    <t>Loss (119+120)</t>
  </si>
  <si>
    <t>Kapital koji pripada vlasnicima matičnog društva (101+107+108+111+115-118)</t>
  </si>
  <si>
    <t>Capital belonging to the owners of the parent company (101+107+108+111+115-118)</t>
  </si>
  <si>
    <t>Kapital koji pripada vlasnicima manjinskih interesa</t>
  </si>
  <si>
    <t>Capital belonging to owners of minority interests</t>
  </si>
  <si>
    <t>UKUPNO KAPITAL (121+122)</t>
  </si>
  <si>
    <t>TOTAL CAPITAL (121+122)</t>
  </si>
  <si>
    <t>Dugoročne obaveze (125+130+131+132)</t>
  </si>
  <si>
    <t>Long-term liabilities (125+130+131+132)</t>
  </si>
  <si>
    <t>Finansijske obaveze po amortizovanom trošku (126 do 129)</t>
  </si>
  <si>
    <t>Financijske obveze po amortiziranom trošku (126 do 129)</t>
  </si>
  <si>
    <t>Financial liabilities at amortized cost (126 to 129)</t>
  </si>
  <si>
    <t>Obaveze po uzetim kreditima</t>
  </si>
  <si>
    <t>Obveze po uzetim kreditima</t>
  </si>
  <si>
    <t>Obligations for taken loans</t>
  </si>
  <si>
    <t>Obaveze po osnovu najmova</t>
  </si>
  <si>
    <t>Obveze po osnovi najmova</t>
  </si>
  <si>
    <t>Obligations based on leases</t>
  </si>
  <si>
    <t>Obaveze po izdatim dužničkim instrumentima</t>
  </si>
  <si>
    <t>Obveze po izdanim dužničkim instrumentima</t>
  </si>
  <si>
    <t>Obligations under issued debt instruments</t>
  </si>
  <si>
    <t>Ostale finansijske obaveze po amortizovanom trošku</t>
  </si>
  <si>
    <t>Ostale financijske obveze po amortiziranom trošku</t>
  </si>
  <si>
    <t>Other financial liabilities at amortized cost</t>
  </si>
  <si>
    <t>Odgođeni prihod</t>
  </si>
  <si>
    <t>Deferred income</t>
  </si>
  <si>
    <t>Odgođene porezne obaveze</t>
  </si>
  <si>
    <t>Odgođene porezne obveze</t>
  </si>
  <si>
    <t>Deferred tax liabilities</t>
  </si>
  <si>
    <t>Kratkoročne obaveze (135+142+143+144+145+146+147)</t>
  </si>
  <si>
    <t>Short-term liabilities (135+142+143+144+145+146+147)</t>
  </si>
  <si>
    <t>Finansijske obaveze po amortizovanom trošku (136 do 141)</t>
  </si>
  <si>
    <t>Financijske obveze po amortiziranom trošku (136 do 141)</t>
  </si>
  <si>
    <t>Financial liabilities at amortized cost (136 to 141)</t>
  </si>
  <si>
    <t>Obaveze prema dobavljačima</t>
  </si>
  <si>
    <t>Obveze prema dobavljačima</t>
  </si>
  <si>
    <t>Commitments towards suppliers</t>
  </si>
  <si>
    <t>Ugovorne obaveze</t>
  </si>
  <si>
    <t>Ugovorne obveze</t>
  </si>
  <si>
    <t>Contractual obligations</t>
  </si>
  <si>
    <t>Obaveze po osnovi najmova</t>
  </si>
  <si>
    <t>Liabilities based on leases</t>
  </si>
  <si>
    <t>Obaveze po izdanim dužničkim instrumentima</t>
  </si>
  <si>
    <t>Finansijske obaveze po fer vrijednosti kroz bilans uspjeha</t>
  </si>
  <si>
    <t>Financijske obveze po fer vrijednosti kroz račun dobiti i gubitka</t>
  </si>
  <si>
    <t>Financial liabilities at fair value through the profit and loss account</t>
  </si>
  <si>
    <t>UKUPNO OBAVEZE (124+133+134)</t>
  </si>
  <si>
    <t>TOTAL LIABILITIES (124+133+134)</t>
  </si>
  <si>
    <t>UKUPNO KAPITAL I OBAVEZE (123+148)</t>
  </si>
  <si>
    <t>TOTAL CAPITAL AND LIABILITIES (123+148)</t>
  </si>
  <si>
    <t>UKUPNO KAPITAL, OBAVEZE I VANBILANSNA EVIDENCIJA (149+150)</t>
  </si>
  <si>
    <t>TOTAL CAPITAL, LIABILITIES AND OFF-BALANCE SHEET RECORDS (149+150)</t>
  </si>
  <si>
    <t>IZVJEŠTJ O TOKOVIMA GOTOVINE</t>
  </si>
  <si>
    <t>IZVJEŠĆE O TOKOVIMA GOTOVINE</t>
  </si>
  <si>
    <t>CASH FLOW STATEMENT</t>
  </si>
  <si>
    <t>(IZVJEŠTAJ O GOTOVINSKIM TOKOVIMA)</t>
  </si>
  <si>
    <t>(IZVJEŠĆE O GOTOVINSKIM TOKOVIMA)</t>
  </si>
  <si>
    <t>(CASH FLOW STATEMENT)</t>
  </si>
  <si>
    <t>(Direktna metoda)</t>
  </si>
  <si>
    <t>(Izravna metoda)</t>
  </si>
  <si>
    <t>(Direct method)</t>
  </si>
  <si>
    <t>GOTOVINSKI TOKOVI IZ POSLOVNIH AKTIVNOSTI</t>
  </si>
  <si>
    <t>CASH FLOWS FROM BUSINESS ACTIVITIES</t>
  </si>
  <si>
    <t>Prilivi od kupaca</t>
  </si>
  <si>
    <t>Priljevi od kupaca</t>
  </si>
  <si>
    <t>Inflows from customers</t>
  </si>
  <si>
    <t>Odlivi po osnovu plaćanja zaposlenima</t>
  </si>
  <si>
    <t>Odljevi po osnovi plaćanja zaposlenima</t>
  </si>
  <si>
    <t>Outflows based on payment to employees</t>
  </si>
  <si>
    <t>Odlivi po osnovu plaćanja dobavljačima, po osnovu poslovnih aktivnosti</t>
  </si>
  <si>
    <t>Odljevi po osnovi plaćanja dobavljačima, po osnovi poslovnih aktivnosti</t>
  </si>
  <si>
    <t>Outflows based on payments to suppliers, based on business activities</t>
  </si>
  <si>
    <t>Odlivi po osnovu ostalih troškova, nastalih po osnovu poslovnih aktivnosti</t>
  </si>
  <si>
    <t>Odljevi po osnovi ostalih troškova, nastalih po osnovi poslovnih aktivnosti</t>
  </si>
  <si>
    <t>Outflows on the basis of other expenses, incurred on the basis of business activities</t>
  </si>
  <si>
    <t>Odlivi po osnovu plaćanja poreza na dobit</t>
  </si>
  <si>
    <t>Odljevi po osnovi plaćanja poreza na dobit</t>
  </si>
  <si>
    <t>Outflows based on the payment of income tax</t>
  </si>
  <si>
    <t>Ostali prilivi iz poslovnih aktivnosti</t>
  </si>
  <si>
    <t>Ostali priljevi iz poslovnih aktivnosti</t>
  </si>
  <si>
    <t>Other inflows from business activities</t>
  </si>
  <si>
    <t>Ostali odlivi iz poslovnih aktivnosti</t>
  </si>
  <si>
    <t>Ostali odljevi iz poslovnih aktivnosti</t>
  </si>
  <si>
    <t>Other outflows from business activities</t>
  </si>
  <si>
    <t>Neto gotovinski tok koji je generisan/(korišten) u poslovnim aktivnostima (401 do 407)</t>
  </si>
  <si>
    <t>Net cash flow generated/(used) in business activities (401 to 407)</t>
  </si>
  <si>
    <t>GOTOVINSKI TOKOVI IZ ULAGAČKIH AKTIVNOSTI</t>
  </si>
  <si>
    <t>CASH FLOWS FROM INVESTING ACTIVITIES</t>
  </si>
  <si>
    <t>Odlivi po osnovu kupovine nekretnina, postrojenja i opreme</t>
  </si>
  <si>
    <t>Odljevi po osnovi kupovine nekretnina, postrojenja i opreme</t>
  </si>
  <si>
    <t>Outflows based on the purchase of real estate, plant and equipment</t>
  </si>
  <si>
    <t>Prilivi po osnovu prodaje nekretnina, postrojenja i opreme</t>
  </si>
  <si>
    <t>Priljevi po osnovi prodaje nekretnina, postrojenja i opreme</t>
  </si>
  <si>
    <t>Inflows based on the sale of real estate, plant and equipment</t>
  </si>
  <si>
    <t>Odlivi po osnovu kupovine investicijskih nekretnina</t>
  </si>
  <si>
    <t>Odljevi po osnovi kupovine investicijskih nekretnina</t>
  </si>
  <si>
    <t>Outflows based on the purchase of investment properties</t>
  </si>
  <si>
    <t>Prilivi po osnovu prodaje investicijskih nekretnina</t>
  </si>
  <si>
    <t>Priljevi po osnovi prodaje investicijskih nekretnina</t>
  </si>
  <si>
    <t>Inflows based on the sale of investment properties</t>
  </si>
  <si>
    <t>Odlivi po osnovu kupovine nematerijalne imovine</t>
  </si>
  <si>
    <t>Odljevi po osnovi kupovine nematerijalne imovine</t>
  </si>
  <si>
    <t>Outflows based on the purchase of intangible assets</t>
  </si>
  <si>
    <t>Prilivi po osnovu prodaje nematerijalne imovine</t>
  </si>
  <si>
    <t>Priljevi po osnovi prodaje nematerijalne imovine</t>
  </si>
  <si>
    <t>Inflows based on the sale of intangible assets</t>
  </si>
  <si>
    <t>Odlivi po osnovu kupovine biološke imovine</t>
  </si>
  <si>
    <t>Odljevi po osnovi kupovine biološke imovine</t>
  </si>
  <si>
    <t>Outflows based on the purchase of biological assets</t>
  </si>
  <si>
    <t>Prilivi po osnovu prodaje biološke imovine</t>
  </si>
  <si>
    <t>Priljevi po osnovi prodaje biološke imovine</t>
  </si>
  <si>
    <t>Inflows based on the sale of biological assets</t>
  </si>
  <si>
    <t>Prilivi po osnovu prodaje dugoročne imovine namijenjene prodaji</t>
  </si>
  <si>
    <t>Priljevi po osnovi prodaje dugoročne imovine namijenjene prodaji</t>
  </si>
  <si>
    <t>Inflows based on the sale of long-term assets intended for sale</t>
  </si>
  <si>
    <t>Ulaganja u finansijsku imovinu po fer vrijednosti kroz ostali ukupni rezultat</t>
  </si>
  <si>
    <t>Ulaganja u financijsku imovinu po fer vrijednosti kroz ostali ukupni rezultat</t>
  </si>
  <si>
    <t>Investments in financial assets at fair value through other comprehensive income</t>
  </si>
  <si>
    <t>Prilivi od finansijske imovine po fer vrijednosti kroz ostali ukupni rezultat</t>
  </si>
  <si>
    <t>Priljevi od financijske imovine po fer vrijednosti kroz ostali ukupni rezultat</t>
  </si>
  <si>
    <t>Inflows from financial assets at fair value through other comprehensive income</t>
  </si>
  <si>
    <t>Ulaganja u finansijsku imovinu po fer vrijednosti kroz bilans uspjeha</t>
  </si>
  <si>
    <t>Ulaganja u financijsku imovinu po fer vrijednosti kroz račun dobiti i gubitka</t>
  </si>
  <si>
    <t>Investments in financial assets at fair value through the profit and loss account</t>
  </si>
  <si>
    <t>Prilivi od finansijske imovine po fer vrijednosti kroz bilans uspjeha</t>
  </si>
  <si>
    <t xml:space="preserve">Priljevi od financijske imovine po fer vrijednosti kroz račun dobiti i gubitka </t>
  </si>
  <si>
    <t>Inflows from financial assets at fair value through the profit and loss account</t>
  </si>
  <si>
    <t>Ulaganja u ostalu finansijsku imovinu po amortizovanom trošku</t>
  </si>
  <si>
    <t>Ulaganja u ostalu financijsku imovinu po amortiziranom trošku</t>
  </si>
  <si>
    <t>Investments in other financial assets at amortized cost</t>
  </si>
  <si>
    <t>Prilivi od ostale finansijske imovine po amortizovanom trošku</t>
  </si>
  <si>
    <t>Priljevi od ostale financijske imovine po amortiziranom trošku</t>
  </si>
  <si>
    <t>Inflows from other financial assets at amortized cost</t>
  </si>
  <si>
    <t>Primljena kamata i prihod od finansijskog najma</t>
  </si>
  <si>
    <t>Primljena kamata i prihod od financijskog najma</t>
  </si>
  <si>
    <t>Received interest and income from finance lease</t>
  </si>
  <si>
    <t>Naplaćena potraživanja od finansijskog najma</t>
  </si>
  <si>
    <t>Naplaćena potraživanja od financijskog podnajma</t>
  </si>
  <si>
    <t>Collected receivables from financial sublease</t>
  </si>
  <si>
    <t>Naplaćena potraživanja od finansijskog podnajma</t>
  </si>
  <si>
    <t>Kupovina udjela u zavisnim društvima</t>
  </si>
  <si>
    <t>Kupovina udjela u ovisnim društvima</t>
  </si>
  <si>
    <t>Purchase of shares in subsidiaries</t>
  </si>
  <si>
    <t>Prilivi od otuđenja udjela u zavisnim društvima</t>
  </si>
  <si>
    <t>Priljevi od otuđenja udjela u ovisnim društvima</t>
  </si>
  <si>
    <t>Inflows from disposal of shares in subsidiaries</t>
  </si>
  <si>
    <t>Kupovina udjela u pridruženim društvima</t>
  </si>
  <si>
    <t>Purchase of shares in affiliated companies</t>
  </si>
  <si>
    <t>Prilivi od otuđenja udjela u pridruženim društvima</t>
  </si>
  <si>
    <t>Priljevi od otuđenja udjela u pridruženim društvima</t>
  </si>
  <si>
    <t>Inflows from disposal of shares in associated companies</t>
  </si>
  <si>
    <t>Kupovina udjela u zajedničkim poduhvatima</t>
  </si>
  <si>
    <t>Purchase of shares in joint ventures</t>
  </si>
  <si>
    <t>Prilivi od otuđenja udjela u zajedničkim poduhvatima</t>
  </si>
  <si>
    <t>Priljevi od otuđenja udjela u zajedničkim poduhvatima</t>
  </si>
  <si>
    <t>Inflows from disposal of shares in joint ventures</t>
  </si>
  <si>
    <t>Primljene dividende</t>
  </si>
  <si>
    <t>Dividends received</t>
  </si>
  <si>
    <t>Prilivi po osnovu trgovanja derivatnim finansijskim instrumentima</t>
  </si>
  <si>
    <t>Priljevi po osnovi trgovanja derivatnim financijskim instrumentima</t>
  </si>
  <si>
    <t>Inflows based on trading in derivative financial instruments</t>
  </si>
  <si>
    <t>Odlivi po osnovu trgovanja derivatnim finansijskim instrumentima</t>
  </si>
  <si>
    <t>Odljevi po osnovi trgovanja derivatnim financijskim instrumentima</t>
  </si>
  <si>
    <t>Outflows based on trading in derivative financial instruments</t>
  </si>
  <si>
    <t>Ostali prilivi iz ulagačkih aktivnosti</t>
  </si>
  <si>
    <t>Ostali priljevi iz ulagačkih aktivnosti</t>
  </si>
  <si>
    <t>Other inflows from investment activities</t>
  </si>
  <si>
    <t>Ostali odlivi iz ulagačkih aktivnosti</t>
  </si>
  <si>
    <t>Ostali odljevi iz ulagačkih aktivnosti</t>
  </si>
  <si>
    <t>Other outflows from investment activities</t>
  </si>
  <si>
    <t>Neto gotovinski tok koji je generisan / (korišten) u ulagačkim aktivnostima (409 do 437)</t>
  </si>
  <si>
    <t>Net cash flow generated / (used) in investing activities (409 to 437)</t>
  </si>
  <si>
    <t>GOTOVINSKI TOKOVI IZ FINANSIJSKIH AKTIVNOSTI</t>
  </si>
  <si>
    <t>GOTOVINSKI TOKOVI IZ FINANCIJSKIH AKTIVNOSTI</t>
  </si>
  <si>
    <t>CASH FLOWS FROM FINANCIAL ACTIVITIES</t>
  </si>
  <si>
    <t>Prilivi od emisije dionica / uplaćeni vlasnički kapital</t>
  </si>
  <si>
    <t>Priljevi od emisije dionica / uplaćeni vlasnički kapital</t>
  </si>
  <si>
    <t>Inflows from share issue / paid-in equity</t>
  </si>
  <si>
    <t>Sticanje vlastitih dionica</t>
  </si>
  <si>
    <t>Stjecanje vlastitih dionica</t>
  </si>
  <si>
    <t>Acquisition of own shares</t>
  </si>
  <si>
    <t>Prilivi od prodaje stečenih vlastitih dionica</t>
  </si>
  <si>
    <t>Priljevi od prodaje stečenih vlastitih dionica</t>
  </si>
  <si>
    <t>Inflows from the sale of acquired own shares</t>
  </si>
  <si>
    <t>Isplaćene dividende</t>
  </si>
  <si>
    <t>Dividends paid</t>
  </si>
  <si>
    <t>Prilivi od uzetih kredita</t>
  </si>
  <si>
    <t>Priljevi od uzetih kredita</t>
  </si>
  <si>
    <t>Inflows from taken loans</t>
  </si>
  <si>
    <t>Otplata glavnice uzetih kredita</t>
  </si>
  <si>
    <t>Repayment of the loan principal</t>
  </si>
  <si>
    <t>Otplata kamate po uzetim kreditima</t>
  </si>
  <si>
    <t>Repayment of interest on taken loans</t>
  </si>
  <si>
    <t>Otplata glavnice po najmovima</t>
  </si>
  <si>
    <t>Repayment of principal on leases</t>
  </si>
  <si>
    <t>Otplata kamate po najmovima</t>
  </si>
  <si>
    <t>Repayment of interest on leases</t>
  </si>
  <si>
    <t>Prilivi po osnovu izdatih dužničkih instrumenata</t>
  </si>
  <si>
    <t>Priljevi po osnovu izdanih dužničkih instrumenata</t>
  </si>
  <si>
    <t>Inflows based on issued debt instruments</t>
  </si>
  <si>
    <t>Odlivi po osnovu otplate izdatih dužničkih instrumenata</t>
  </si>
  <si>
    <t>Odljevi po osnovi otplate izdanih dužničkih instrumenata</t>
  </si>
  <si>
    <t>Outflows based on repayment of issued debt instruments</t>
  </si>
  <si>
    <t>Ostali prilivi iz finansijskih aktivnosti</t>
  </si>
  <si>
    <t>Ostali priljevi iz financijskih aktivnosti</t>
  </si>
  <si>
    <t>Other inflows from financial activities</t>
  </si>
  <si>
    <t>Ostali odlivi iz finansijskih aktivnosti</t>
  </si>
  <si>
    <t>Ostali odljevi iz financijskih aktivnosti</t>
  </si>
  <si>
    <t>Other outflows from financial activities</t>
  </si>
  <si>
    <t>Neto gotovinski tok koji je generisan / (korišten) u finansijskim aktivnostima (439 do 451)</t>
  </si>
  <si>
    <t>Neto gotovinski tok koji je generiran/(korišten) u financijskim aktivnostima (439 do 451)</t>
  </si>
  <si>
    <t>Net cash flow generated/(used) in financing activities (439 to 451)</t>
  </si>
  <si>
    <t>NETO POVEĆANJE / (SMANJENJE) GOTOVINE I GOTOVINSKIH EKVIVALENATA (A+B+C)</t>
  </si>
  <si>
    <t>NET INCREASE / (DECREASE) IN CASH AND CASH EQUIVALENTS (A+B+C)</t>
  </si>
  <si>
    <t>GOTOVINA I GOTOVINSKI EKVIVALENTI NA POČETKU PERIODA</t>
  </si>
  <si>
    <t>GOTOVINA I GOTOVINSKI EKVIVALENTI NA POČETKU RAZDOBLJA</t>
  </si>
  <si>
    <t>CASH AND CASH EQUIVALENTS AT THE BEGINNING OF THE PERIOD</t>
  </si>
  <si>
    <t>EFEKTI PROMJENE DEVIZNIH KURSEVA GOTOVINE I GOTOVINSKIH EKVIVALENATA</t>
  </si>
  <si>
    <t>EFEKTI PROMJENE DEVIZNIH TEČAJEVA GOTOVINE I GOTOVINSKIH EKVIVALENATA</t>
  </si>
  <si>
    <t>EFFECTS OF CHANGES IN EXCHANGE RATE OF CASH AND CASH EQUIVALENTS</t>
  </si>
  <si>
    <t>GOTOVINA I GOTOVINSKI EKVIVALENTI NA KRAJU PERIODA (4+5+6)</t>
  </si>
  <si>
    <t>CASH AND CASH EQUIVALENTS AT THE END OF THE PERIOD (4+5+6)</t>
  </si>
  <si>
    <t>(Indirektna metoda)</t>
  </si>
  <si>
    <t>(Neizravna metoda)</t>
  </si>
  <si>
    <t>(Indirect method)</t>
  </si>
  <si>
    <t>501</t>
  </si>
  <si>
    <t>Dobit/(gubitak) prije oporezivanja</t>
  </si>
  <si>
    <t>Profit/(loss) before tax</t>
  </si>
  <si>
    <t>Usklađenja:</t>
  </si>
  <si>
    <t>Adjustments:</t>
  </si>
  <si>
    <t>502</t>
  </si>
  <si>
    <t>503</t>
  </si>
  <si>
    <t>(Dobit)/gubitak od otuđenja nekretnina, postrojenja i opreme, neto</t>
  </si>
  <si>
    <t>(Gain)/loss from disposal of real estate, plant and equipment, net</t>
  </si>
  <si>
    <t>504</t>
  </si>
  <si>
    <t>(Dobit)/gubitak od otuđenja ulaganja u investicijske nekretnine, neto</t>
  </si>
  <si>
    <t>(Gain)/loss from disposal of investments in investment properties, net</t>
  </si>
  <si>
    <t>505</t>
  </si>
  <si>
    <t>(Dobit)/gubitak od otuđenja nematerijalne imovine, neto</t>
  </si>
  <si>
    <t>(Gain)/loss from disposal of intangible assets, net</t>
  </si>
  <si>
    <t>506</t>
  </si>
  <si>
    <t>(Dobit)/gubitak od dugoročne imovine namijenjene prodaji, neto</t>
  </si>
  <si>
    <t>(Gain)/loss from non-current assets held for sale, net</t>
  </si>
  <si>
    <t>507</t>
  </si>
  <si>
    <t>Umanjenje vrijednosti nekretnina, postrojenja i opreme</t>
  </si>
  <si>
    <t>Impairment of real estate, plant and equipment</t>
  </si>
  <si>
    <t>508</t>
  </si>
  <si>
    <t>Umanjenje vrijednosti investicijskih nekretnina</t>
  </si>
  <si>
    <t>Impairment of value of investment properties</t>
  </si>
  <si>
    <t>509</t>
  </si>
  <si>
    <t>Umanjenje vrijednosti nematerijalne imovine</t>
  </si>
  <si>
    <t>Impairment of value of intangible assets</t>
  </si>
  <si>
    <t>510</t>
  </si>
  <si>
    <t>Efekti promjene fer vrijednosti ulaganja u investicijske nekretnine, neto</t>
  </si>
  <si>
    <t>Effects of changes in the fair value of investments in investment properties, net</t>
  </si>
  <si>
    <t>511</t>
  </si>
  <si>
    <t>Efekti promjene fer vrijednosti biološke imovine, neto</t>
  </si>
  <si>
    <t>Effects of changes in the fair value of biological assets, net</t>
  </si>
  <si>
    <t>512</t>
  </si>
  <si>
    <t xml:space="preserve">Efekti promjene vrijednosti instrumenata kapitala po fer vrijednosti kroz bilans uspjeha </t>
  </si>
  <si>
    <t xml:space="preserve">Efekti promjene vrijednosti instrumenata kapitala po fer vrijednosti kroz račun dobiti i gubitka </t>
  </si>
  <si>
    <t>Effects of changes in the value of equity instruments at fair value through the profit and loss account</t>
  </si>
  <si>
    <t>513</t>
  </si>
  <si>
    <t>(Dobit)/gubitak od prodaje dužničkih instrumenata po fer vrijednosti kroz ostali ukupni rezultat, neto</t>
  </si>
  <si>
    <t>(Profit)/loss from the sale of debt instruments at fair value through other comprehensive income, net</t>
  </si>
  <si>
    <t>514</t>
  </si>
  <si>
    <t>(Otpuštanje)/Ispravka vrijednosti za gubitke od dužničkih instrumenata po fer vrijednosti kroz ostali ukupni rezultat, neto</t>
  </si>
  <si>
    <t>(Otpuštanje)/Ispravak vrijednosti za gubitke od dužničkih instrumenata po fer vrijednosti kroz ostali ukupni rezultat, neto</t>
  </si>
  <si>
    <t>(Dismissal)/Value correction for losses on debt instruments at fair value through other comprehensive income, net</t>
  </si>
  <si>
    <t>515</t>
  </si>
  <si>
    <t>(Otpuštanje)/Ispravka vrijednosti za gubitke od potraživanja od kupaca, neto</t>
  </si>
  <si>
    <t>(Otpuštanje)/Ispravak vrijednosti za gubitke od potraživanja od kupaca, neto</t>
  </si>
  <si>
    <t>(Dismissal)/Value adjustment for losses on trade receivables, net</t>
  </si>
  <si>
    <t>516</t>
  </si>
  <si>
    <t>(Otpuštanje)/Ispravka vrijednosti za gubitke od ugovorne imovine, neto</t>
  </si>
  <si>
    <t>(Otpuštanje)/Ispravak vrijednosti za gubitke od ugovorne imovine, neto</t>
  </si>
  <si>
    <t>(Dismissal)/Value adjustment for losses on contract assets, net</t>
  </si>
  <si>
    <t>517</t>
  </si>
  <si>
    <t>(Otpuštanje)/Ispravka vrijednosti za gubitke od ostale finansijske imovine po amortizovanom trošku, neto</t>
  </si>
  <si>
    <t>(Otpuštanje)/Ispravak vrijednosti za gubitke od ostale financijske imovine po amortiziranom trošku, neto</t>
  </si>
  <si>
    <t>(Dismissal)/Value correction for losses from other financial assets at amortized cost, net</t>
  </si>
  <si>
    <t>518</t>
  </si>
  <si>
    <t>Viškovi, manjkovi, otpisi i prilagođavanje vrijednosti zaliha, neto</t>
  </si>
  <si>
    <t>Surpluses, deficits, write-offs and adjustments to inventory value, net</t>
  </si>
  <si>
    <t>519</t>
  </si>
  <si>
    <t>Otpisane obaveze</t>
  </si>
  <si>
    <t>Otpisane obveze</t>
  </si>
  <si>
    <t>Written off liabilities</t>
  </si>
  <si>
    <t>520</t>
  </si>
  <si>
    <t>(Otpuštanje)/ dodatno priznata rezervisanja, neto</t>
  </si>
  <si>
    <t>(Otpuštanje)/ dodatno priznata rezerviranja, neto</t>
  </si>
  <si>
    <t>(Dismissal)/ additionally recognized provisions, net</t>
  </si>
  <si>
    <t>521</t>
  </si>
  <si>
    <t>Udio u rezultatu pridruženog društva i zajedničkog poduhvata</t>
  </si>
  <si>
    <t>Share in the result of the associated company and joint venture</t>
  </si>
  <si>
    <t>522</t>
  </si>
  <si>
    <t>Umanjenje vrijednosti goodwill-a</t>
  </si>
  <si>
    <t>523</t>
  </si>
  <si>
    <t>Prihod od dividendi priznat u bilansu uspjeha</t>
  </si>
  <si>
    <t>Prihod od dividendi priznat u računu dobiti i gubitka</t>
  </si>
  <si>
    <t>Income from dividends recognized in the income statement</t>
  </si>
  <si>
    <t>524</t>
  </si>
  <si>
    <t>Prihodi od kamata i finansijskog najma priznati u bilansu uspjeha</t>
  </si>
  <si>
    <t>Prihodi od kamata i financijskog najma priznati u računu dobiti i gubitka</t>
  </si>
  <si>
    <t>Income from interest and financial lease recognized in the income statement</t>
  </si>
  <si>
    <t>525</t>
  </si>
  <si>
    <t>Finansijski rashodi priznati u bilansu uspjeha</t>
  </si>
  <si>
    <t>Financijski rashodi priznati u računu dobiti i gubitka</t>
  </si>
  <si>
    <t>Financial expenses recognized in the income statement</t>
  </si>
  <si>
    <t>Promjene u obrtnom kapitalu</t>
  </si>
  <si>
    <t>Changes in working capital</t>
  </si>
  <si>
    <t>526</t>
  </si>
  <si>
    <t>Smanjenje/(povećanje) zaliha</t>
  </si>
  <si>
    <t>Decrease/(increase) of inventory</t>
  </si>
  <si>
    <t>527</t>
  </si>
  <si>
    <t>Smanjenje/(povećanje) potraživanja od kupaca</t>
  </si>
  <si>
    <t>Decrease/(increase) in receivables from customers</t>
  </si>
  <si>
    <t>528</t>
  </si>
  <si>
    <t>Smanjenje/(povećanje) ostale imovine i potraživanja</t>
  </si>
  <si>
    <t>Decrease/(increase) in other assets and receivables</t>
  </si>
  <si>
    <t>529</t>
  </si>
  <si>
    <t>Smanjenje/(povećanje) ugovorne imovine</t>
  </si>
  <si>
    <t>Decrease/(increase) of contractual assets</t>
  </si>
  <si>
    <t>530</t>
  </si>
  <si>
    <t xml:space="preserve">Povećanje/(smanjenje) obaveza prema dobavljačima </t>
  </si>
  <si>
    <t xml:space="preserve">Povećanje/(smanjenje) obveza prema dobavljačima </t>
  </si>
  <si>
    <t>Increase/(decrease) in accounts payable</t>
  </si>
  <si>
    <t>531</t>
  </si>
  <si>
    <t>Povećanje/(smanjenje) ostalih obaveza</t>
  </si>
  <si>
    <t>Povećanje/(smanjenje) ostalih obveza</t>
  </si>
  <si>
    <t>Increase/(decrease) in other liabilities</t>
  </si>
  <si>
    <t>532</t>
  </si>
  <si>
    <t>Povećanje/(smanjenje) ugovornih obaveza</t>
  </si>
  <si>
    <t>Povećanje/(smanjenje) ugovornih obveza</t>
  </si>
  <si>
    <t>Increase/(decrease) of contractual obligations</t>
  </si>
  <si>
    <t>533</t>
  </si>
  <si>
    <t>Plaćeni porez na dobit</t>
  </si>
  <si>
    <t>Paid income taxes</t>
  </si>
  <si>
    <t>534</t>
  </si>
  <si>
    <t>Neto gotovinski tok koji je generisan / (korišten) u poslovnim aktivnostima (501 do 533)</t>
  </si>
  <si>
    <t>Net cash flow generated / (used) in business activities (501 to 533)</t>
  </si>
  <si>
    <t>535</t>
  </si>
  <si>
    <t>536</t>
  </si>
  <si>
    <t>537</t>
  </si>
  <si>
    <t>538</t>
  </si>
  <si>
    <t>539</t>
  </si>
  <si>
    <t xml:space="preserve">Odlivi po osnovu kupovine nematerijalne imovine </t>
  </si>
  <si>
    <t xml:space="preserve">Odljevi po osnovi kupovine nematerijalne imovine </t>
  </si>
  <si>
    <t>540</t>
  </si>
  <si>
    <t>541</t>
  </si>
  <si>
    <t>542</t>
  </si>
  <si>
    <t>543</t>
  </si>
  <si>
    <t>544</t>
  </si>
  <si>
    <t>545</t>
  </si>
  <si>
    <t>546</t>
  </si>
  <si>
    <t xml:space="preserve">Ulaganja u financijsku imovinu po fer vrijednosti kroz račun dobiti i gubitka </t>
  </si>
  <si>
    <t>547</t>
  </si>
  <si>
    <t>Priljevi od financijske imovine po fer vrijednosti kroz račun dobiti i gubitka</t>
  </si>
  <si>
    <t>548</t>
  </si>
  <si>
    <t>549</t>
  </si>
  <si>
    <t>550</t>
  </si>
  <si>
    <t>551</t>
  </si>
  <si>
    <t>Naplaćena potraživanja od financijskog najma</t>
  </si>
  <si>
    <t>Collected receivables from finance lease</t>
  </si>
  <si>
    <t>552</t>
  </si>
  <si>
    <t>553</t>
  </si>
  <si>
    <t>554</t>
  </si>
  <si>
    <t>556</t>
  </si>
  <si>
    <t>557</t>
  </si>
  <si>
    <t>558</t>
  </si>
  <si>
    <t>559</t>
  </si>
  <si>
    <t>560</t>
  </si>
  <si>
    <t>561</t>
  </si>
  <si>
    <t>562</t>
  </si>
  <si>
    <t>563</t>
  </si>
  <si>
    <t>564</t>
  </si>
  <si>
    <t>Neto gotovinski tok koji je generisan/(korišten) u ulagačkim aktivnostima (535 do 563)</t>
  </si>
  <si>
    <t>Net cash flow generated/(used) in investing activities (535 to 563)</t>
  </si>
  <si>
    <t>565</t>
  </si>
  <si>
    <t>566</t>
  </si>
  <si>
    <t>567</t>
  </si>
  <si>
    <t>568</t>
  </si>
  <si>
    <t>569</t>
  </si>
  <si>
    <t>570</t>
  </si>
  <si>
    <t>573</t>
  </si>
  <si>
    <t>574</t>
  </si>
  <si>
    <t>575</t>
  </si>
  <si>
    <t>576</t>
  </si>
  <si>
    <t>577</t>
  </si>
  <si>
    <t>578</t>
  </si>
  <si>
    <t>Neto gotovinski tok koji je generisan/(korišten) u finansijskim aktivnostima (565 do 577)</t>
  </si>
  <si>
    <t>Neto gotovinski tok koji je generiran/(korišten) u financijskim aktivnostima (565 do 577)</t>
  </si>
  <si>
    <t>Net cash flow generated/(used) in financing activities (565 to 577)</t>
  </si>
  <si>
    <t>579</t>
  </si>
  <si>
    <t>580</t>
  </si>
  <si>
    <t>581</t>
  </si>
  <si>
    <t>582</t>
  </si>
  <si>
    <t>ANEX - DODATNI RAČUNOVODSTVENI IZVJEŠTAJ ZA PRIVREDNA DRUŠTVA</t>
  </si>
  <si>
    <t>ANEX - DODATNI RAČUNOVODSTVENI IZVJEŠTAJ ZA GOSPODARSKA DRUŠTVA</t>
  </si>
  <si>
    <t>ANEX - ADDITIONAL ACCOUNTING REPORT FOR BUSINESS COMPANIES</t>
  </si>
  <si>
    <t>OSTALI PRIHODI I DOBICI (2+5+6+7+8+9+10+11+12)</t>
  </si>
  <si>
    <t>OTHER INCOME AND PROFITS (2+5+6+7+8+9+10+11+12)</t>
  </si>
  <si>
    <t>Prihodi od premija, subvencija, poticaja i sl., od toga:</t>
  </si>
  <si>
    <t>Income from premiums, subsidies, incentives, etc., of which:</t>
  </si>
  <si>
    <t xml:space="preserve"> - Prihodi iz budžeta po osnovu subvencija na proizvode 1)</t>
  </si>
  <si>
    <t xml:space="preserve"> - Prihodi iz proračuna po osnovu subvencija na proizvode 1)</t>
  </si>
  <si>
    <t xml:space="preserve">  - Revenues from the budget based on product subsidies 1)</t>
  </si>
  <si>
    <t xml:space="preserve"> - Prihodi iz budžeta po osnovu subvencija za ostale namjene 2)</t>
  </si>
  <si>
    <t xml:space="preserve"> - Prihodi iz proračuna po osnovu subvencija za ostale namjene 2)</t>
  </si>
  <si>
    <t xml:space="preserve">  - Revenues from the budget based on subsidies for other purposes 2)</t>
  </si>
  <si>
    <t>Prihodi od najma (operativni najam)</t>
  </si>
  <si>
    <t>Rental income (operating rent)</t>
  </si>
  <si>
    <t>Prihodi od donacija</t>
  </si>
  <si>
    <t>Income from donations</t>
  </si>
  <si>
    <t>Prihodi od članarina</t>
  </si>
  <si>
    <t>Income from membership fees</t>
  </si>
  <si>
    <t>Prihodi od tantijema i licencnih prava</t>
  </si>
  <si>
    <t>Income from royalties and license rights</t>
  </si>
  <si>
    <t>Prihodi iz namjenskih izvora finansiranja</t>
  </si>
  <si>
    <t>Prihodi iz namjenskih izvora financiranja</t>
  </si>
  <si>
    <t>Income from dedicated funding sources</t>
  </si>
  <si>
    <t>Ostali prihodi po drugim osnovama</t>
  </si>
  <si>
    <t>Other income on other grounds</t>
  </si>
  <si>
    <t>Dobici od prodaje materijala</t>
  </si>
  <si>
    <t>Profits from the sale of materials</t>
  </si>
  <si>
    <t>Dobici od usklađivanja vrijednosti zaliha</t>
  </si>
  <si>
    <t>Gains from inventory value adjustment</t>
  </si>
  <si>
    <t>TROŠKOVI PLAĆA I OSTALIH PRIMANJA ZAPOSLENIH I DRUGIH FIZIČKIH LICA (14+15+16+17+18+20+21+22)</t>
  </si>
  <si>
    <t>TROŠKOVI PLAĆA I OSTALIH PRIMANJA ZAPOSLENIH I DRUGIH FIZIČKIH OSOBA (14+15+16+17+18+20+21+22)</t>
  </si>
  <si>
    <t>COSTS OF SALARIES AND OTHER INCOME OF EMPLOYEES AND OTHER NATURAL PERSONS (14+15+16+17+18+20+21+22)</t>
  </si>
  <si>
    <t>Plaće i naknade plaća (neto za isplatu zaposlenicima) 3)</t>
  </si>
  <si>
    <t>Plaće i naknade plaća (neto za isplatu zaposlenima) 3)</t>
  </si>
  <si>
    <t>Wages and salaries (net for payment to employees) 3)</t>
  </si>
  <si>
    <t>Porez na dohodak</t>
  </si>
  <si>
    <t>Income tax</t>
  </si>
  <si>
    <t>Doprinosi iz plaća i naknada plaća</t>
  </si>
  <si>
    <t>Contributions from wages and salary benefits</t>
  </si>
  <si>
    <t>Doprinosi na plaća i naknade plaća</t>
  </si>
  <si>
    <t>Salary contributions and salary allowances</t>
  </si>
  <si>
    <t>Troškovi za službena putovanja zaposlenih, od toga:</t>
  </si>
  <si>
    <t>Expenses for official trips of employees, of which:</t>
  </si>
  <si>
    <t xml:space="preserve"> - Dnevnice za službena putovanja u zemlji i inostranstvu</t>
  </si>
  <si>
    <t xml:space="preserve">  - Per diems for official trips in the country and abroad</t>
  </si>
  <si>
    <t>Troškovi ostalih primanja, naknada i materijalnih prava zaposlenih</t>
  </si>
  <si>
    <t>Costs of other incomes, benefits and material rights of employees</t>
  </si>
  <si>
    <t>Troškovi naknada članovima odbora, komisija i sl.</t>
  </si>
  <si>
    <t>Costs of fees for board members, commissions, etc.</t>
  </si>
  <si>
    <t>Troškovi naknada ostalim fizičkim licima</t>
  </si>
  <si>
    <t>Troškovi naknada ostalim fizičkim osobama</t>
  </si>
  <si>
    <t>Costs of benefits to other natural persons</t>
  </si>
  <si>
    <t>TROŠKOVI PROIZVODNIH USLUGA (24 do 32)</t>
  </si>
  <si>
    <t>COSTS OF PRODUCTION SERVICES (24 to 32)</t>
  </si>
  <si>
    <t>Troškovi usluga izrade i dorade proizvoda</t>
  </si>
  <si>
    <t>Costs of product manufacturing and finishing services</t>
  </si>
  <si>
    <t>Troškovi transportnih usluga</t>
  </si>
  <si>
    <t>Costs of transport services</t>
  </si>
  <si>
    <t>Troškovi usluga održavanja</t>
  </si>
  <si>
    <t>Costs of maintenance services</t>
  </si>
  <si>
    <t>Troškovi najma</t>
  </si>
  <si>
    <t>Rental costs</t>
  </si>
  <si>
    <t>Troškovi sajmova</t>
  </si>
  <si>
    <t>Costs of trade fairs</t>
  </si>
  <si>
    <t>Troškovi reklame i sponzorstva</t>
  </si>
  <si>
    <t>Advertising and sponsorship costs</t>
  </si>
  <si>
    <t>Troškovi istraživanja</t>
  </si>
  <si>
    <t>Research costs</t>
  </si>
  <si>
    <t>Troškovi razvoja koji se ne kapitaliziraju</t>
  </si>
  <si>
    <t>Development costs that are not capitalized</t>
  </si>
  <si>
    <t>Troškovi ostalih usluga</t>
  </si>
  <si>
    <t>Costs of other services</t>
  </si>
  <si>
    <t>NEMATERIJALNI TROŠKOVI (34 do 41)</t>
  </si>
  <si>
    <t>INTANGIBLE COSTS (34 to 41)</t>
  </si>
  <si>
    <t>Troškovi reprezentacije</t>
  </si>
  <si>
    <t>Representation costs</t>
  </si>
  <si>
    <t>Troškovi premija osiguranja</t>
  </si>
  <si>
    <t>Costs of insurance premiums</t>
  </si>
  <si>
    <t>Troškovi platnog prometa</t>
  </si>
  <si>
    <t>Payment transaction costs</t>
  </si>
  <si>
    <t>Troškovi poštanskih i telekomunikacijskih usluga</t>
  </si>
  <si>
    <t>Costs of postal and telecommunication services</t>
  </si>
  <si>
    <t>Troškovi poreza, naknada, taksi i drugih dadžbina na teret pravnog lica</t>
  </si>
  <si>
    <t>The costs of taxes, fees, charges and other charges are borne by the legal entity</t>
  </si>
  <si>
    <t>Troškovi članskih doprinosa i sličnih obaveza</t>
  </si>
  <si>
    <t>Costs of membership contributions and similar obligations</t>
  </si>
  <si>
    <t>Ostali nematerijalni troškovi</t>
  </si>
  <si>
    <t>Other intangible costs</t>
  </si>
  <si>
    <t>TROŠKOVI OPERATIVNOG NAJMA / LIZINGA PO MSFI 16</t>
  </si>
  <si>
    <t>COSTS OF OPERATING RENT / LEASING ACCORDING TO IFRS 16</t>
  </si>
  <si>
    <t>Troškovi amortizacije obračunati za imovinu s pravom korištenja - operativni najam / lizing 4)</t>
  </si>
  <si>
    <t>Depreciation costs calculated for assets with the right to use - operating rent / leasing 4)</t>
  </si>
  <si>
    <t>Rashodi od kamata za imovinu s pravom korištenja - operativni najam / lizing 5)</t>
  </si>
  <si>
    <t>Interest expenses for property with the right of use - operating rent / leasing 5)</t>
  </si>
  <si>
    <t>OSTALI RASHODI I GUBICI (46+47+48)</t>
  </si>
  <si>
    <t>OTHER EXPENSES AND LOSSES (46+47+48)</t>
  </si>
  <si>
    <t>Gubici od prodaje materijala</t>
  </si>
  <si>
    <t>Losses from the sale of materials</t>
  </si>
  <si>
    <t>Kalo, rastur, kvar i lom zaliha materijala i robe</t>
  </si>
  <si>
    <t>Waste, breakage, failure and breakage of stock of materials and goods</t>
  </si>
  <si>
    <t>Gubici od usklađivanja vrijednosti zaliha</t>
  </si>
  <si>
    <t>Losses from adjustment of inventory value</t>
  </si>
  <si>
    <t>ULAZNI / IZLAZNI PDV I AKCIZE</t>
  </si>
  <si>
    <t>INPUT / OUTPUT VAT AND EXCISE DUTIES</t>
  </si>
  <si>
    <t>Potraživanja za PDV (dugovni promet grupe 27) 6)</t>
  </si>
  <si>
    <t>Claims for VAT (debt turnover of group 27) 6)</t>
  </si>
  <si>
    <t>Obaveza za PDV (potražni promet grupe 47) 7)</t>
  </si>
  <si>
    <t>Obligation for VAT (search traffic group 47) 7)</t>
  </si>
  <si>
    <t>Obaveze za akcize</t>
  </si>
  <si>
    <t>Obligations for excise duties</t>
  </si>
  <si>
    <t>BROJ ZAPOSLENIH</t>
  </si>
  <si>
    <t>NUMBER OF EMPLOYEES</t>
  </si>
  <si>
    <t>Prosječan broj zaposlenih na bazi sati rada 8)</t>
  </si>
  <si>
    <t>Average number of employees based on working hours 8)</t>
  </si>
  <si>
    <t>Prosječan broj zaposlenih na bazi stanja krajem svakog mjeseca 9)</t>
  </si>
  <si>
    <t>Average number of employees based on balance at the end of each month 9)</t>
  </si>
  <si>
    <t>KAPITALIZOVANA PROIZVODNJA ZA VLASTITE POTREBE 10)</t>
  </si>
  <si>
    <t>CAPITALIZED PRODUCTION FOR OWN NEEDS 10)</t>
  </si>
  <si>
    <t>PRIJAVA POREZA NA DOBIT</t>
  </si>
  <si>
    <t>za privredna društva</t>
  </si>
  <si>
    <t>za gospodarska društva</t>
  </si>
  <si>
    <t>1.4. Da li je predat set finansijskih izvještaja FIA-a?</t>
  </si>
  <si>
    <t>1.4. Da li je predat set financijskih izvještaja FIA-a?</t>
  </si>
  <si>
    <t>1.5. Da li je izvršena Revizija finansijskih izvještaja?</t>
  </si>
  <si>
    <t>1.5. Da li je izvršena Revizija financijskih izvještaja?</t>
  </si>
  <si>
    <t>POREZNI BILANS</t>
  </si>
  <si>
    <t>A1.</t>
  </si>
  <si>
    <t>Prihodi privrednih društava</t>
  </si>
  <si>
    <t>Prihodi gospodarskih društava</t>
  </si>
  <si>
    <t>d)</t>
  </si>
  <si>
    <t>Finansijski prihodi</t>
  </si>
  <si>
    <t>Financijski prihodi</t>
  </si>
  <si>
    <t>B1.</t>
  </si>
  <si>
    <t>Rashodi privrednih društava</t>
  </si>
  <si>
    <t>Rashodi gospodarskih društava</t>
  </si>
  <si>
    <t>C1.</t>
  </si>
  <si>
    <t>Dobit tekućeg razdobolja</t>
  </si>
  <si>
    <t>C2.</t>
  </si>
  <si>
    <t>II</t>
  </si>
  <si>
    <t>FINANSIJSKI REUZLTAT</t>
  </si>
  <si>
    <t>FINANSIJSKI REZULTAT</t>
  </si>
  <si>
    <t>Kapitalni dobici iz bilansa stanja</t>
  </si>
  <si>
    <t>Kapitalni dobici iz bilance stanja</t>
  </si>
  <si>
    <t>Kapitalni gubici iz bilansa stanja</t>
  </si>
  <si>
    <t>Kapitalni gubici iz bilance stanja</t>
  </si>
  <si>
    <t>Rashodi koji se ne mogu povezati sa ostva.dobit ili načelom poslovne pažnje dobrog privrednika</t>
  </si>
  <si>
    <t>Rashodi koji se ne mogu povezati sa ostvarivanje dobit ili načelom poslovanja pažnje dobrog gopodarstvanika</t>
  </si>
  <si>
    <t>Zatezna kamata, penali i ugovorene kazne između povezanih lica</t>
  </si>
  <si>
    <t>Zatezna kamata, penali i ugovorne kazne između povezanih osoba</t>
  </si>
  <si>
    <t>Privremene razlike iz tačke 15. - Rashodi na ime usklađivanja zaliha iz ranijeg perioda koji su bili porezno nepriznati rashodi</t>
  </si>
  <si>
    <t>Privremene razlike iz tačke 15. - Rashodi na ime usklađivanja zaliha iz ranijeg razdobolja koji su bili porezno nepriznati rashodi</t>
  </si>
  <si>
    <t>Privremene razlike iz tačke 25: Rezervisanja za rizike i obaveze koja su u ranijem periodu bila porezno nepriznat rashod</t>
  </si>
  <si>
    <t>Privremene razlike iz tačke 25. - Rezervisanja za rizike i obaveze koja su u ranijem razdoblju bila porezno nepriznat rashod</t>
  </si>
  <si>
    <t>Rezerve/rashodi kod finansijskih institucija koja nisu izvršena u skladu sa propisima nadzomih organa</t>
  </si>
  <si>
    <t>Rezerve/rashodi kod finansijskih institucija koja nisu izvršene sukladno propisima nadzornih organa</t>
  </si>
  <si>
    <t>Rashodi po osnovu iv potraživanja bilansne aktive koja se procjenjuju na grupnoj osnovi i bez  iskustva hist.troška (latentni gubici - IBNR)</t>
  </si>
  <si>
    <t>Rashodi po osnovu I.V potraživanja bilančne aktive koja se procjenjuje na grupnoj osnovi i na bazi iskustva histor. troška (latentni gubici –IBNR)</t>
  </si>
  <si>
    <t>Privremene razlike - Ispravka vrijednosti i otpis potraživanja iz tačke 34. koji su u ranijem periodu bili porezno nepriznati rashodi</t>
  </si>
  <si>
    <t>Privremene razlike - Ispravke vrijednosti i otpisi potaživanja iz tačke 34. koji su u ranijem razodoblju bili porezno nepriznati rashodi</t>
  </si>
  <si>
    <t>Rashodi na ime kamata ili njenog ekvivalenta između povezanih lica koji se smatraju porezno nepriznatim rashodom</t>
  </si>
  <si>
    <t>Rashodi na ime kamate ili njenog ekvivalenta između povezanih osoba koji se smatraju porezno nepriznatim rashodom</t>
  </si>
  <si>
    <t>Privremene razlike - Amortizacija iz tačke 38. koje su u ranijem periodu već bile iskorištene u porezne svrhe</t>
  </si>
  <si>
    <t>Privremene razlike - Amortizacije iz tačke 38. koje su u ranijem razdoblju već bile iskorištene u porezne svrhe</t>
  </si>
  <si>
    <t>Privremene razlike - rashodi iz tačke 40. koji su u ranijem periodu bili porezno nepriznat rashod</t>
  </si>
  <si>
    <t xml:space="preserve">Privremene razlike - Rashodi iz tačke 40. koji su u ranijem razdoblju bili porezno nepriznati rashodi </t>
  </si>
  <si>
    <t>Privremene razlike - amortizacije iz tač. 42. koji su u ranijem periodu već bila iskorištena u porezne svrhe</t>
  </si>
  <si>
    <t>Privremene razlike - Amortizacije iz tač 42. koji su u ranijem razdoblju iskorišteni u porezne svrhe</t>
  </si>
  <si>
    <t>Privremene razlike - amortizacije iz tač. 44. koji su u ranijem periodu već bila iskorištena u porezne svrhe</t>
  </si>
  <si>
    <t xml:space="preserve">Privremene razlike - Amortizacije iz tač 44. koji su u ranijem razodblju već bila iskorištene u porezne svrhe </t>
  </si>
  <si>
    <t>Ostatak poreza na dobit za porezni period</t>
  </si>
  <si>
    <t>Ostatak poreza na dobit za porezno razdoblje</t>
  </si>
  <si>
    <t>Uplate akontacija i pretplate iz prethodnog perioda</t>
  </si>
  <si>
    <t>Uplate predujma i pretplate iz prethodnog razodblja</t>
  </si>
  <si>
    <t>član 24.stav(1) Zakona i čl. 46. i 47. Pravilnika</t>
  </si>
  <si>
    <t>članak 24. stav (1) Zakona i čl. 46. i 47. Pravilnika</t>
  </si>
  <si>
    <t>član 24.stav(5) i (6) Zakona i čl. 46. i 47. Pravilnika</t>
  </si>
  <si>
    <t>članak 24. st. (5) i (6) Zakona i čl. 46. i 47. Pravilnika</t>
  </si>
  <si>
    <t>član 9.stav(1)tač.a) Zakona i čl.26. stav (1) Pravilnika</t>
  </si>
  <si>
    <t>članak 9. stavak (1) tač. a) Zakona i članak 26. stavak (1) Pravilnika</t>
  </si>
  <si>
    <t>član 9.stav(1)tač.b) Zakona i čl.26. stav(2) Pravilnika</t>
  </si>
  <si>
    <t>članak 9.stavak (1) tač. b) Zakona i članak 26. stavak (2) Pravilnika</t>
  </si>
  <si>
    <t>član 9.stav(1)tač.b) Zakona i čl.26. stav(4) Pravilnika</t>
  </si>
  <si>
    <t>članak 9. stavak (1) tač. b) Zakona i članak 26. stavak (4) Pravilnika</t>
  </si>
  <si>
    <t>član 9.stav(1)tač.d) Zakona i čl.27. stav (1) i (2) Pravilnika</t>
  </si>
  <si>
    <t>članak 9. stavak (1) tač. d) Zakona i članak 27. st. (1) i (2) Pravilnika</t>
  </si>
  <si>
    <t>član 9.stav(1)tač.e) Zakona i čl.27. stav (3) ,(4) i (5) Pravilnika</t>
  </si>
  <si>
    <t>članak 9.stavak (1) tač. e) Zakona i članak 27. st. (3), (4) i (5) Pravilnika</t>
  </si>
  <si>
    <t>član 9.stav(1)tač.f) Zakona i čl.26. stav (5) Pravilnika</t>
  </si>
  <si>
    <t>članak 9. stavak (1) tač. f) Zakona i članak 26. stavak (5) Pravilnika</t>
  </si>
  <si>
    <t>član 9.stav(1)tač.g) Zakona i čl.26. stav (8) Pravilnika</t>
  </si>
  <si>
    <t>članak 9.  stavak (1) tač. g) Zakona i članak 26. stavak (8) Pravilnika</t>
  </si>
  <si>
    <t>član 9.stav(1)tač.i) Zakona i čl.26. stav (7) Pravilnika</t>
  </si>
  <si>
    <t>članak 9. stavak (1) tač. i) Zakona i članak 26. stavak (7) Pravilnika</t>
  </si>
  <si>
    <t>član 9.stav(1)tač.l) Zakona i čl.26. stav (6) Pravilnika</t>
  </si>
  <si>
    <t>članak 9. stavak (1) tač.l) Zakona i članak 26. stavak (6) Pravilnika</t>
  </si>
  <si>
    <t>član 10.stav(1) i (2) Zakona</t>
  </si>
  <si>
    <t>članak 10. st. (1) i (2)  Zakona</t>
  </si>
  <si>
    <t>član 10.stav (3) Zakona</t>
  </si>
  <si>
    <t>članak 10. stavak (3) Zakona</t>
  </si>
  <si>
    <t>član 28 Pravilnika</t>
  </si>
  <si>
    <t>članak 28.  Pravilnika</t>
  </si>
  <si>
    <t>član 11.stav(1) i (2) Zakona i čl.29. stav (4), (5) i (7) Pravilnika</t>
  </si>
  <si>
    <t>članak 11. st. (1) i (2)  Zakona i članak 29. st.(4), (5) i (7) Pravilnika</t>
  </si>
  <si>
    <t>član 11.stav (3) Zakona i čl. 29. stav(6)Pravilnika</t>
  </si>
  <si>
    <t>članak 11. stavak (3) Zakona i članak 29. stavak (6) Pravilnika</t>
  </si>
  <si>
    <t>član 11.stav (4) Zakona i čl. 30. Pravilnika</t>
  </si>
  <si>
    <t>članak 11. stavak (4)  Zakona i članak 30. Pravilnika</t>
  </si>
  <si>
    <t>član 12.stav (1) Zakona i čl. 31. stav (1) i (2) Pravilnika</t>
  </si>
  <si>
    <t>članak 12. stavak (1) Zakona i članak 31. Pravilnika</t>
  </si>
  <si>
    <t>član 12.stav (3) Zakona i čl. 32. stav (1) Pravilnika</t>
  </si>
  <si>
    <t>članak 12. stavak (3) Zakona i članak 32. Pravilnika</t>
  </si>
  <si>
    <t>član 12.stav (4) Zakona</t>
  </si>
  <si>
    <t>članak 12. stavak (4) Zakona</t>
  </si>
  <si>
    <t>član 12.stav (6) Zakona i čl. 31. stav (4) Pravilnika</t>
  </si>
  <si>
    <t>članak 12. stavak (6) Zakona</t>
  </si>
  <si>
    <t>član 9.stav (1) tačka m) Zakona</t>
  </si>
  <si>
    <t>članak 9. stavak (1) tačka m) Zakona i članak 34. Pravilnika</t>
  </si>
  <si>
    <t>član 14. Zakona</t>
  </si>
  <si>
    <t>članak 14. Zakona</t>
  </si>
  <si>
    <t>član 13.stav (2) Zakona i čl. 33. stav (3) Pravilnika</t>
  </si>
  <si>
    <t>članak 13. stavak (2) Zakona i članak 33. stavak (3) Pravilnika</t>
  </si>
  <si>
    <t>član 13.stav (3) Zakona i čl. 33. stav (5) Pravilnika</t>
  </si>
  <si>
    <t>članak 13. stavak (3) Zakona i članak 33. stavak (5) Pravilnika</t>
  </si>
  <si>
    <t>član 13.stav (4) Zakona i čl. 34. i 33. stav (9) Pravilnika</t>
  </si>
  <si>
    <t>članak 13. stavak (4) Zakona i članak 33. stavak (9) Pravilnika</t>
  </si>
  <si>
    <t>član 15. Zakona i čl. 35. Pravilnika</t>
  </si>
  <si>
    <t>članak 15. Zakona i članak 35. Pravilnika</t>
  </si>
  <si>
    <t>član 16.stav (1) Zakona i čl. 36. stav (1) Pravilnika</t>
  </si>
  <si>
    <t>članak 16. stavak (1) Zakona i članak 36.stavak (1) Pravilnika</t>
  </si>
  <si>
    <t>član 16.stav (2) Zakona i čl. 36. stav (2) Pravilnika</t>
  </si>
  <si>
    <t>članak 16. stavak (2) Zakona i članak 36.stavak (2) Pravilnika</t>
  </si>
  <si>
    <t>član 16.stav (4) Zakona i čl. 36. stav (5) Pravilnika</t>
  </si>
  <si>
    <t>članak 16. st. (3) i (4) Zakona i članak 36.st.(4) i (5) Pravilnika</t>
  </si>
  <si>
    <t>član 17. Zakona i član 38. Pravilnika</t>
  </si>
  <si>
    <t>članak 17. Zakona i članak 38.Pravilnika</t>
  </si>
  <si>
    <t>članak 17. Zakona i članak 38. Pravilnika</t>
  </si>
  <si>
    <t>član 18. Zakona i član 40. Pravilnika</t>
  </si>
  <si>
    <t>članak 18. Zakona i članak 40. Pravilnika</t>
  </si>
  <si>
    <t>član 19.stav (1) Zakona i član 41. stav (2) Pravilnika</t>
  </si>
  <si>
    <t>članak 19. stavak (1) Zakona i članak 41. stavak (2) Pravilnika</t>
  </si>
  <si>
    <t>član 19.stav (4) Zakona i član 42. stav (2) Pravilnika</t>
  </si>
  <si>
    <t>članak 19. stavak (4) Zakona i članak 42. stavak (2) Pravilnika</t>
  </si>
  <si>
    <t>član 19. stav (6) Zakona</t>
  </si>
  <si>
    <t>članak 19. stavak (6) Zakona</t>
  </si>
  <si>
    <t>član 42. stav (4) Pravilnika</t>
  </si>
  <si>
    <t>članak 42. stavak (4) Pravilnika</t>
  </si>
  <si>
    <t>član 42. stav (5) Pravilnika</t>
  </si>
  <si>
    <t>članak 42. stavak (5) Pravilnika</t>
  </si>
  <si>
    <t>član 42. stav (6) Pravilnika</t>
  </si>
  <si>
    <t>članak 42. stavak (6) Pravilnika</t>
  </si>
  <si>
    <t>član 39. stav (5) i član 40. stav (7) Pravilnika</t>
  </si>
  <si>
    <t>članak 41. stavak (5) i članak 42. stavak (7) Pravilnika</t>
  </si>
  <si>
    <t>član 8. Zakona i član 16. stav (3)  i član 26. stav (7) Pravilnika</t>
  </si>
  <si>
    <t>članak 8. Zakona i članak 16. stavak (3) Pravilnika</t>
  </si>
  <si>
    <t>član 21.stav (1) Zakona i član 44. Pravilnika</t>
  </si>
  <si>
    <t>članak 21. stavak (1) Zakona i članak 44. Pravilnika</t>
  </si>
  <si>
    <t>član 22. stav (1) Zakona</t>
  </si>
  <si>
    <t>članak 22. stavak (1) Zakona</t>
  </si>
  <si>
    <t>član 22. stav (2) Zakona</t>
  </si>
  <si>
    <t>članak 22. stavak (2) Zakona</t>
  </si>
  <si>
    <t>član 23. stav (2) Zakona</t>
  </si>
  <si>
    <t>članak 23. stavak (2) Zakona</t>
  </si>
  <si>
    <t>član 23. stav (1) Zakona</t>
  </si>
  <si>
    <t>članak 23. stavak (1) Zakona</t>
  </si>
  <si>
    <t>član 8. Zakona i član 16. stav (3) Pravilnika</t>
  </si>
  <si>
    <t>član 44. stav (4) Zakona</t>
  </si>
  <si>
    <t>članak 44. stavak (4) Zakona</t>
  </si>
  <si>
    <t>PRIJAVA POREZNE OLAKŠICE PO OSNOVU INVESTIRANJA U PROIZVODNU OPREMU</t>
  </si>
  <si>
    <t>1. PODACI IZ BILANSA STANJA</t>
  </si>
  <si>
    <t>1. PODACI IZ BILANCE STANJA</t>
  </si>
  <si>
    <t>1.1. Postrojenja i oprema (Bilans stanja 011 AP)</t>
  </si>
  <si>
    <t>1.1. Postrojenja i oprema (Bilanca stanja 011 AP)</t>
  </si>
  <si>
    <t>1.2. Ukupna aktiva (Bilans stanja 067 AOP)</t>
  </si>
  <si>
    <t>1.2. Ukupna aktiva (Bilanca stanja 067 AOP)</t>
  </si>
  <si>
    <t>PRIJAVA POREZNE OLAKŠICE PO OSNOVU INVESTIRANJA U STALNA SREDSTVA</t>
  </si>
  <si>
    <t>1.3. Planirani iznos investicije u KM u tekućem poreznom periodu</t>
  </si>
  <si>
    <t>1.3. Planirani iznos investicije u KM u tekućem poreznom razdoblju</t>
  </si>
  <si>
    <t>1.4. Iznos investicije u KM u tekućem poreznom periodu</t>
  </si>
  <si>
    <t>1.4. Iznos investicije u KM u tekućem poreznom razdoblju</t>
  </si>
  <si>
    <t>2. PODACI IZ BILANSA STANJA</t>
  </si>
  <si>
    <t>2. PODACI IZ BILANCE STANJA</t>
  </si>
  <si>
    <t>2.1. Nekretnine, postrojenja i oprema (Bilans stanja 008 AOP)</t>
  </si>
  <si>
    <t>2.1. Nekretnine, postrojenja i oprema (Bilanca stanja 008 AOP)</t>
  </si>
  <si>
    <t>2.2. Ukupna aktiva (Bilans stanja 067 AOP)</t>
  </si>
  <si>
    <t>2.2. Ukupna aktiva (Bilanca stanja 067 AOP)</t>
  </si>
  <si>
    <t>A.</t>
  </si>
  <si>
    <t>Dugoročna imovina</t>
  </si>
  <si>
    <t>002</t>
  </si>
  <si>
    <t>1.1.</t>
  </si>
  <si>
    <t>Konto: 020, 028 (dio)</t>
  </si>
  <si>
    <t>1.2.</t>
  </si>
  <si>
    <t>004</t>
  </si>
  <si>
    <t>Konto: 021, 028 (dio), 029 (dio)</t>
  </si>
  <si>
    <t>1.3.</t>
  </si>
  <si>
    <t>005</t>
  </si>
  <si>
    <t>Konto: 022, 023, 028 (dio), 029 (dio)</t>
  </si>
  <si>
    <t>1.4.</t>
  </si>
  <si>
    <t>006</t>
  </si>
  <si>
    <t>Konto: 024, 028 (dio), 029 (dio)</t>
  </si>
  <si>
    <t>1.5.</t>
  </si>
  <si>
    <t>007</t>
  </si>
  <si>
    <t>Konto: 026, 028 (dio), 029 (dio)</t>
  </si>
  <si>
    <t>1.6.</t>
  </si>
  <si>
    <t>Konto: 025, 027, 028 (dio)</t>
  </si>
  <si>
    <t>2.</t>
  </si>
  <si>
    <t>009</t>
  </si>
  <si>
    <t>2.1.</t>
  </si>
  <si>
    <t>010</t>
  </si>
  <si>
    <t>Konto: 050, 059 (dio)</t>
  </si>
  <si>
    <t>2.2.</t>
  </si>
  <si>
    <t>Konto: 051, 059 (dio)</t>
  </si>
  <si>
    <t>2.3.</t>
  </si>
  <si>
    <t>Konto: 052, 059 (dio)</t>
  </si>
  <si>
    <t>2.4.</t>
  </si>
  <si>
    <t>Konto: 053, 059 (dio)</t>
  </si>
  <si>
    <t>3.</t>
  </si>
  <si>
    <t>014</t>
  </si>
  <si>
    <t>Grupa: 03</t>
  </si>
  <si>
    <t>4.</t>
  </si>
  <si>
    <t>015</t>
  </si>
  <si>
    <t>4.1.</t>
  </si>
  <si>
    <t>Konto: 010, 018 (dio), 019 (dio)</t>
  </si>
  <si>
    <t>4.2.</t>
  </si>
  <si>
    <t>Konto: 011, 018 (dio), 019 (dio)</t>
  </si>
  <si>
    <t>4.3.</t>
  </si>
  <si>
    <t>Konto: 014, 018 (dio), 019 (dio)</t>
  </si>
  <si>
    <t>4.4.</t>
  </si>
  <si>
    <t>Konto: 015, 017, 018 (dio)</t>
  </si>
  <si>
    <t>5.</t>
  </si>
  <si>
    <t>020</t>
  </si>
  <si>
    <t>Grupa: 04</t>
  </si>
  <si>
    <t>6.</t>
  </si>
  <si>
    <t>Konto: 0601, 0609 (dio)</t>
  </si>
  <si>
    <t>7.</t>
  </si>
  <si>
    <t>022</t>
  </si>
  <si>
    <t>Konto: 0602, 0609 (dio)</t>
  </si>
  <si>
    <t>8.</t>
  </si>
  <si>
    <t>Konto: 0603, 0609 (dio)</t>
  </si>
  <si>
    <t>9.</t>
  </si>
  <si>
    <t>024</t>
  </si>
  <si>
    <t>Konto: 012  Dodatno: efekti pripreme konsolidovanih finansijskih izvještaja</t>
  </si>
  <si>
    <t>10.</t>
  </si>
  <si>
    <t xml:space="preserve"> Finansijska imovina po fer vrijednosti kroz ostali ukupni rezultat </t>
  </si>
  <si>
    <t>10.1.</t>
  </si>
  <si>
    <t>Konto: 0651, 0658 (dio), 0659 (dio)</t>
  </si>
  <si>
    <t>10.2.</t>
  </si>
  <si>
    <t>Konto: 0652, 0654, 0658 (dio), 0659 (dio)</t>
  </si>
  <si>
    <t>11.</t>
  </si>
  <si>
    <t>Finansijska imovina po amortizovanom trošku</t>
  </si>
  <si>
    <t>029</t>
  </si>
  <si>
    <t>Konto: 0661, 0669 (dio)</t>
  </si>
  <si>
    <t>11.2.</t>
  </si>
  <si>
    <t>Konto: 0662, 0669 (dio)</t>
  </si>
  <si>
    <t>11.3.</t>
  </si>
  <si>
    <t>031</t>
  </si>
  <si>
    <t>Konto: 0663, 0669 (dio)</t>
  </si>
  <si>
    <t>11.4.</t>
  </si>
  <si>
    <t>Konto: 0664, 0669 (dio)</t>
  </si>
  <si>
    <t>12.</t>
  </si>
  <si>
    <t>Konto: 067</t>
  </si>
  <si>
    <t>13.</t>
  </si>
  <si>
    <t>Grupa: 07, Konto: 091, 098</t>
  </si>
  <si>
    <t>B.</t>
  </si>
  <si>
    <t>Konto: 090</t>
  </si>
  <si>
    <t>C.</t>
  </si>
  <si>
    <r>
      <rPr>
        <b/>
        <sz val="11"/>
        <color rgb="FF000000"/>
        <rFont val="Calibri"/>
        <charset val="238"/>
      </rPr>
      <t>Kratkoročna imovina</t>
    </r>
    <r>
      <rPr>
        <sz val="11"/>
        <color rgb="FF000000"/>
        <rFont val="Calibri"/>
        <charset val="238"/>
      </rPr>
      <t xml:space="preserve"> </t>
    </r>
  </si>
  <si>
    <t>1.</t>
  </si>
  <si>
    <t>Grupa: 10</t>
  </si>
  <si>
    <t>039</t>
  </si>
  <si>
    <t>Grupa: 11</t>
  </si>
  <si>
    <t>Grupa: 12</t>
  </si>
  <si>
    <t>Grupa: 13</t>
  </si>
  <si>
    <t>Grupa: 15</t>
  </si>
  <si>
    <t>Grupa: 14</t>
  </si>
  <si>
    <t>Konto: 281</t>
  </si>
  <si>
    <t>045</t>
  </si>
  <si>
    <t>Konto: 210, 219 (dio)</t>
  </si>
  <si>
    <t>Konto: 211, 219 (dio)</t>
  </si>
  <si>
    <t>Konto: 212, 219 (dio)</t>
  </si>
  <si>
    <t xml:space="preserve">Ostala finansijska imovina po amortizovanom trošku </t>
  </si>
  <si>
    <t>5.1.</t>
  </si>
  <si>
    <t>Konto: 2310, 2390 (dio), 2401, 2409 (dio)</t>
  </si>
  <si>
    <t>5.2.</t>
  </si>
  <si>
    <t>Konto: 2311, 2390 (dio), 2402, 2409 (dio)</t>
  </si>
  <si>
    <t>5.3.</t>
  </si>
  <si>
    <t>Konto: 2312, 2390 (dio), 2403, 2409 (dio)</t>
  </si>
  <si>
    <t>5.4.</t>
  </si>
  <si>
    <t>053</t>
  </si>
  <si>
    <t>Konto: 2313, 2315, 2404, 2409 (dio), 2392 (dio)</t>
  </si>
  <si>
    <t>Konto: 247</t>
  </si>
  <si>
    <t>Konto: 245</t>
  </si>
  <si>
    <t>Grupa: 22</t>
  </si>
  <si>
    <t>Grupa: 20</t>
  </si>
  <si>
    <t>058</t>
  </si>
  <si>
    <t>Konto: 234, 481 - neto prikaz</t>
  </si>
  <si>
    <t>Konto: 230, 232, 233, 235, 237, 238, 2391, Grupa: 27, 28</t>
  </si>
  <si>
    <t>D.</t>
  </si>
  <si>
    <t>UKUPNO IMOVINA</t>
  </si>
  <si>
    <t>E.</t>
  </si>
  <si>
    <t>061</t>
  </si>
  <si>
    <t>F.</t>
  </si>
  <si>
    <t xml:space="preserve">UKUPNO IMOVINA I VANBILANSNA EVIDENCIJA </t>
  </si>
  <si>
    <t>062</t>
  </si>
  <si>
    <t>Vlasnički kapital</t>
  </si>
  <si>
    <t>Konto: 300</t>
  </si>
  <si>
    <t>Konto: 360</t>
  </si>
  <si>
    <t>Konto: 302</t>
  </si>
  <si>
    <t>Konto: 305</t>
  </si>
  <si>
    <t>Konto: 309</t>
  </si>
  <si>
    <t>Konto: 320</t>
  </si>
  <si>
    <t>Rezerve</t>
  </si>
  <si>
    <t>3.1.</t>
  </si>
  <si>
    <t>Konto: 321</t>
  </si>
  <si>
    <t>3.2.</t>
  </si>
  <si>
    <t>Konto: 322</t>
  </si>
  <si>
    <t>Revalorizacione rezerve</t>
  </si>
  <si>
    <t>Konto: 330</t>
  </si>
  <si>
    <t>Konto: 332</t>
  </si>
  <si>
    <t>Konto: 331, 339</t>
  </si>
  <si>
    <t>Dobit</t>
  </si>
  <si>
    <t>Konto: 340</t>
  </si>
  <si>
    <t>Konto: 341</t>
  </si>
  <si>
    <t>Gubitak</t>
  </si>
  <si>
    <t>6.1.</t>
  </si>
  <si>
    <t>Konto: 350</t>
  </si>
  <si>
    <t>6.2.</t>
  </si>
  <si>
    <t>Konto: 351</t>
  </si>
  <si>
    <t>Kapital koji pripada vlasnicima matičnog društva</t>
  </si>
  <si>
    <t>Kod pripreme konsolidovanih finansijskih izvještaja</t>
  </si>
  <si>
    <t>UKUPNO KAPITAL</t>
  </si>
  <si>
    <t>Dugoročne obaveze</t>
  </si>
  <si>
    <t>Finansijske obaveze po amortizovanom trošku</t>
  </si>
  <si>
    <t>Konto: 413, 414</t>
  </si>
  <si>
    <t>Konto: 415, 416</t>
  </si>
  <si>
    <t>Konto: 412</t>
  </si>
  <si>
    <t>Konto: 418</t>
  </si>
  <si>
    <t>Konto: 407</t>
  </si>
  <si>
    <t>Konto: 400, 401, 403, 404, 405, 406, 409 (dio)</t>
  </si>
  <si>
    <t>Konto: 402, 409 (dio), 410, 419</t>
  </si>
  <si>
    <t>Konto: 408</t>
  </si>
  <si>
    <t>Kratkoročne obaveze</t>
  </si>
  <si>
    <t>Konto: 431, 432, 433</t>
  </si>
  <si>
    <t>Konto: 434, 435</t>
  </si>
  <si>
    <t>Konto: 422, 423, 424, 4600</t>
  </si>
  <si>
    <t>Konto: 425, 426, 4601</t>
  </si>
  <si>
    <t>Konto: 421, 4602</t>
  </si>
  <si>
    <t>Konto: 428, 4603</t>
  </si>
  <si>
    <t>Konto: 427</t>
  </si>
  <si>
    <t>Grupa: 44</t>
  </si>
  <si>
    <t>Konto: 491, 493, 499 (dio)</t>
  </si>
  <si>
    <t>Konto: 492</t>
  </si>
  <si>
    <t>Grupa: 45, 47; Konto: 430, 437, 439, 461, 462, 463, 464, 465, 466, 467, 468, 469, 480, 482, 483, 484, 489, 490, 499 (dio)</t>
  </si>
  <si>
    <t>UKUPNO OBAVEZE</t>
  </si>
  <si>
    <t>G.</t>
  </si>
  <si>
    <t>H.</t>
  </si>
  <si>
    <t>UKUPNO KAPITAL, OBAVEZE I VANBILANSNA EVIDENCIJA</t>
  </si>
  <si>
    <t>Pozicija</t>
  </si>
  <si>
    <t>Oznaka za AOP</t>
  </si>
  <si>
    <t>Grupa / konto koje treba uključiti</t>
  </si>
  <si>
    <t xml:space="preserve">Prihodi iz ugovora s kupcima </t>
  </si>
  <si>
    <t>Prihodi iz ugovora sa povezanim stranama</t>
  </si>
  <si>
    <t>Konto: 6001, 6002, 603 (dio)</t>
  </si>
  <si>
    <t>Konto: 6101, 6102, 613 (dio)</t>
  </si>
  <si>
    <t>Konto: 6201, 6202, 623 (dio)</t>
  </si>
  <si>
    <t xml:space="preserve">Prihodi iz ugovora sa nepovezanim stranama na domaćem tržištu </t>
  </si>
  <si>
    <t>Konto: 6011, 6012, 603 (dio)</t>
  </si>
  <si>
    <t>Konto: 6111, 6112, 613 (dio)</t>
  </si>
  <si>
    <t>Konto: 6211, 6212, 623 (dio)</t>
  </si>
  <si>
    <t xml:space="preserve">Prihodi iz ugovora sa nepovezanim stranama na inostranom tržištu </t>
  </si>
  <si>
    <t>Konto: 6021, 6022, 603 (dio)</t>
  </si>
  <si>
    <t>Konto: 6121, 6122, 613 (dio)</t>
  </si>
  <si>
    <t>3.3.</t>
  </si>
  <si>
    <t>Konto: 6221, 6222, 623 (dio)</t>
  </si>
  <si>
    <t xml:space="preserve">Ostali prihodi i dobici </t>
  </si>
  <si>
    <t xml:space="preserve">Dobici od dugoročne nefinansijske imovine </t>
  </si>
  <si>
    <t>Neto višak prihoda/dobitaka nad rashodima/gubicima</t>
  </si>
  <si>
    <t>Konto: 570 (dio), 670 (dio) - neto prikaz</t>
  </si>
  <si>
    <t>Konto: 5810, 6810 - neto prikaz</t>
  </si>
  <si>
    <t>Konto: 5811, 6811 - neto prikaz</t>
  </si>
  <si>
    <t>Konto: 571, 671 - neto prikaz</t>
  </si>
  <si>
    <t>Konto: 640, 643 - neto prikaz</t>
  </si>
  <si>
    <t>Konto: 582, 682 - neto prikaz</t>
  </si>
  <si>
    <t>1.7.</t>
  </si>
  <si>
    <t>1.8.</t>
  </si>
  <si>
    <t>Konto: 580, 680 - neto prikaz</t>
  </si>
  <si>
    <t>1.9.</t>
  </si>
  <si>
    <t>Konto: 587, 687 - neto prikaz</t>
  </si>
  <si>
    <t>1.10.</t>
  </si>
  <si>
    <t>Konto: 572, 672 - neto prikaz</t>
  </si>
  <si>
    <t>1.11.</t>
  </si>
  <si>
    <t>Konto: 641, 644 - neto prikaz</t>
  </si>
  <si>
    <t>1.12.</t>
  </si>
  <si>
    <t>Konto: 583, 683 - neto prikaz</t>
  </si>
  <si>
    <t>1.13.</t>
  </si>
  <si>
    <t>Konto: 5730, 5880, 6730, 6880 - neto prikaz</t>
  </si>
  <si>
    <t>1.14.</t>
  </si>
  <si>
    <t>Konto: 589 (dio), 689 (dio) - neto prikaz</t>
  </si>
  <si>
    <t xml:space="preserve">Dobici od finansijske imovine </t>
  </si>
  <si>
    <t>Konto: 5780, 5841, 5860, 5861, 6860, 6841, 6861 - neto prikaz</t>
  </si>
  <si>
    <t>Konto: 5842, 5862, 6842, 6862 - neto prikaz</t>
  </si>
  <si>
    <t>Konto: 5843, 6843 - neto prikaz</t>
  </si>
  <si>
    <t>Konto: 5844, 6844 - neto prikaz</t>
  </si>
  <si>
    <t>2.5.</t>
  </si>
  <si>
    <t>Konto: 5740, 6740 - neto prikaz</t>
  </si>
  <si>
    <t>2.6.</t>
  </si>
  <si>
    <t>Konto: 5863, 6863 - neto prikaz</t>
  </si>
  <si>
    <t>2.7.</t>
  </si>
  <si>
    <t>Konto: 5741, 6741 - neto prikaz</t>
  </si>
  <si>
    <t>2.8.</t>
  </si>
  <si>
    <t>Konto: 5742, 6742 - neto prikaz</t>
  </si>
  <si>
    <t>2.9.</t>
  </si>
  <si>
    <t>Konto: 5845, 6845 - neto prikaz</t>
  </si>
  <si>
    <t>2.10.</t>
  </si>
  <si>
    <t>Konto: 543, 544, 545, 546, 547, 548, 549, 679 (dio)</t>
  </si>
  <si>
    <t>Konto: 577, 678 - neto prikaz</t>
  </si>
  <si>
    <t>Konto: 575, 675 - neto prikaz</t>
  </si>
  <si>
    <t>Konto: 676, 685</t>
  </si>
  <si>
    <t>Konto: 656</t>
  </si>
  <si>
    <t>Kod konsolidovanih finansijskih izvještaja</t>
  </si>
  <si>
    <t>9.1.</t>
  </si>
  <si>
    <t>Konto: 660, 661</t>
  </si>
  <si>
    <t>9.2.</t>
  </si>
  <si>
    <t>Konto: 562, 662 - neto prikaz</t>
  </si>
  <si>
    <t>9.3.</t>
  </si>
  <si>
    <t>Konto: 663, 669</t>
  </si>
  <si>
    <t>Konto: 650, 651, 652, 653, 654, 655, 659, 677, 679 (dio), 690, 691, 6743, 6744, 6745</t>
  </si>
  <si>
    <t xml:space="preserve">Ukupno prihodi </t>
  </si>
  <si>
    <t xml:space="preserve">Poslovni rashodi </t>
  </si>
  <si>
    <t>Grupa: 50</t>
  </si>
  <si>
    <t> Promjene u zalihama gotovih proizvoda, poluproizvoda i proizvodnje u toku, neto (+) / (-)</t>
  </si>
  <si>
    <t>Konto: 595, 596 - neto prikaz</t>
  </si>
  <si>
    <t>Konto: 510, 511, 513, 514, 519</t>
  </si>
  <si>
    <t>Konto: 512</t>
  </si>
  <si>
    <t>Konto: 520</t>
  </si>
  <si>
    <t>Konto: 521, 523, 524</t>
  </si>
  <si>
    <t>Konto: 527, 529</t>
  </si>
  <si>
    <t xml:space="preserve">Amortizacija </t>
  </si>
  <si>
    <t>Konto: 540 (dio), 541 (dio), 542 (dio)</t>
  </si>
  <si>
    <t>6.3.</t>
  </si>
  <si>
    <t>6.4.</t>
  </si>
  <si>
    <t>6.5.</t>
  </si>
  <si>
    <t>6.6.</t>
  </si>
  <si>
    <t>Grupa: 53 Konto: 550</t>
  </si>
  <si>
    <t>Konto: 551, 552, 553, 554, 555, 556, 559</t>
  </si>
  <si>
    <t xml:space="preserve">Ostali rashodi i gubici </t>
  </si>
  <si>
    <t xml:space="preserve">Gubici od dugoročne nefinansijske imovine </t>
  </si>
  <si>
    <t>Neto višak rashoda/gubitaka nad prihodima/dobicima</t>
  </si>
  <si>
    <t xml:space="preserve">Gubici od finansijske imovine </t>
  </si>
  <si>
    <t>Konto: 5842, 6842 - neto prikaz</t>
  </si>
  <si>
    <t>Konto: 5862, 6862 - neto prikaz</t>
  </si>
  <si>
    <t>Konto: 576, 579 (dio), 585</t>
  </si>
  <si>
    <t>Konto: 579 (dio) - Dodatno: efekti pripreme konsolidovanih finansijskih izvještaja</t>
  </si>
  <si>
    <t>Konto: 560, 561</t>
  </si>
  <si>
    <t>Konto: 563, 569</t>
  </si>
  <si>
    <t>Konto: 579 (dio), 590, 591, 5743, 5744, 5745, 5781</t>
  </si>
  <si>
    <t>F</t>
  </si>
  <si>
    <t xml:space="preserve">Ukupno rashodi </t>
  </si>
  <si>
    <t xml:space="preserve">Dobit iz redovnog poslovanja prije oporezivanja </t>
  </si>
  <si>
    <r>
      <rPr>
        <b/>
        <sz val="11"/>
        <color rgb="FF000000"/>
        <rFont val="Calibri"/>
        <charset val="238"/>
      </rPr>
      <t>Gubitak iz redovnog poslovanja prije oporezivanja</t>
    </r>
    <r>
      <rPr>
        <sz val="11"/>
        <color rgb="FF000000"/>
        <rFont val="Calibri"/>
        <charset val="238"/>
      </rPr>
      <t xml:space="preserve"> </t>
    </r>
  </si>
  <si>
    <t>I.</t>
  </si>
  <si>
    <t xml:space="preserve">Porez na dobit </t>
  </si>
  <si>
    <t>Konto: 721</t>
  </si>
  <si>
    <t>Konto: 722</t>
  </si>
  <si>
    <t>Konto: 723</t>
  </si>
  <si>
    <t>Konto: 724</t>
  </si>
  <si>
    <t>Konto: 725</t>
  </si>
  <si>
    <t>J.</t>
  </si>
  <si>
    <t xml:space="preserve">Dobit iz redovnog poslovanja </t>
  </si>
  <si>
    <t>K.</t>
  </si>
  <si>
    <r>
      <rPr>
        <b/>
        <sz val="11"/>
        <color rgb="FF000000"/>
        <rFont val="Calibri"/>
        <charset val="238"/>
      </rPr>
      <t>Gubitak</t>
    </r>
    <r>
      <rPr>
        <sz val="11"/>
        <color rgb="FF000000"/>
        <rFont val="Calibri"/>
        <charset val="238"/>
      </rPr>
      <t xml:space="preserve"> </t>
    </r>
    <r>
      <rPr>
        <b/>
        <sz val="11"/>
        <color rgb="FF000000"/>
        <rFont val="Calibri"/>
        <charset val="238"/>
      </rPr>
      <t>iz redovnog poslovanj</t>
    </r>
    <r>
      <rPr>
        <sz val="11"/>
        <color rgb="FF000000"/>
        <rFont val="Calibri"/>
        <charset val="238"/>
      </rPr>
      <t xml:space="preserve">a </t>
    </r>
  </si>
  <si>
    <t>L.</t>
  </si>
  <si>
    <t>Konto: 5731, 5881, 6731, 6881 - neto prikaz</t>
  </si>
  <si>
    <t>M.</t>
  </si>
  <si>
    <t xml:space="preserve">Dobit </t>
  </si>
  <si>
    <t>N.</t>
  </si>
  <si>
    <t xml:space="preserve">Gubitak </t>
  </si>
  <si>
    <t>O</t>
  </si>
  <si>
    <t>Ostali ukupni rezultat</t>
  </si>
  <si>
    <t xml:space="preserve">Stavke koje mogu biti reklasifikovane u bilans uspjeha </t>
  </si>
  <si>
    <t>Promjena priznata na kontu 332 (analitička konta koja se odnose na ove efekte) tokom finansijske godine</t>
  </si>
  <si>
    <t>Promjena priznata na kontu 339 (analitička konta koja se odnose na ove efekte) tokom finansijske godine</t>
  </si>
  <si>
    <t>Promjena priznata na kontu 339 (analitička konta koja se odnose na ove stavke) tokom finansijske godine</t>
  </si>
  <si>
    <t xml:space="preserve">Odgođeni porez, bez uticaja na tačku I.2. gore </t>
  </si>
  <si>
    <t>Stavke koje neće biti reklasifikovane u bilans uspjeha</t>
  </si>
  <si>
    <t>Promjena priznata na kontu 330 tokom finansijske godine</t>
  </si>
  <si>
    <t>Promjena koja je rezultat preračunavanja finansijskih izvještaja inostranog poslovanja, pri konsolidaciji</t>
  </si>
  <si>
    <t>P.</t>
  </si>
  <si>
    <t>UKUPNI REZULTAT</t>
  </si>
  <si>
    <t>Osnovna zarada po dionici se računa dijeljenjem:</t>
  </si>
  <si>
    <t>U izračunu razrijeđene zarade po dionici, koriguju se cifre korištene u izračunu osnovne zarade po dionici, uzimajući u obzir:</t>
  </si>
  <si>
    <t>Dobit/(gubitak) koja pripada:</t>
  </si>
  <si>
    <t>Opis</t>
  </si>
  <si>
    <t>Prilivi od kupaca po osnovu prodatih dobara i pruženih usluga, proisteklih isključivo iz obavljanja poslovnih aktivnosti</t>
  </si>
  <si>
    <t>Odlivi na osnovu isplaćenih bruto plaća, naknada plaća i ostalih poreza i doprinosa</t>
  </si>
  <si>
    <t>Odlivi po osnovu plaćanja dobavljačima za primljene usluge i dobra, koji su isključivo vezani za obavljanje poslovnih aktivnosti</t>
  </si>
  <si>
    <t>Odlivi po osnovu ostalih primljenih usluga i dobara, i plaćenih dažbina</t>
  </si>
  <si>
    <t>Odlivi po osnovu plaćenog poreza</t>
  </si>
  <si>
    <t>Svi ostali prilivi, koji nisu uključeni u prethodno spomenute</t>
  </si>
  <si>
    <t xml:space="preserve">Svi ostali odlivi, koji nisu uključeni u prethodno spomenute </t>
  </si>
  <si>
    <r>
      <rPr>
        <b/>
        <sz val="11"/>
        <color rgb="FF000000"/>
        <rFont val="Calibri"/>
        <charset val="238"/>
      </rPr>
      <t>Neto gotovinski tok koji je generisan/(korišten) u poslovnim aktivnostima</t>
    </r>
    <r>
      <rPr>
        <sz val="11"/>
        <color rgb="FF000000"/>
        <rFont val="Calibri"/>
        <charset val="238"/>
      </rPr>
      <t xml:space="preserve"> </t>
    </r>
  </si>
  <si>
    <t>Odlivi po osnovu kupovine / nabavke ove imovine</t>
  </si>
  <si>
    <t>Prilivi po osnovu prodaje ove imovine</t>
  </si>
  <si>
    <t>2.11.</t>
  </si>
  <si>
    <t>Prilivi po osnovu prodaje/naplate ove imovine</t>
  </si>
  <si>
    <t>2.12.</t>
  </si>
  <si>
    <t>2.13.</t>
  </si>
  <si>
    <t>2.14.</t>
  </si>
  <si>
    <t>2.15.</t>
  </si>
  <si>
    <t>2.16.</t>
  </si>
  <si>
    <t>Prilivi od kamata od finansijske imovine i finansijskog najma</t>
  </si>
  <si>
    <t>2.17.</t>
  </si>
  <si>
    <t>Prilivi od naplaćene glavnice po osnovu imovine date u finansijski najam</t>
  </si>
  <si>
    <t>2.18.</t>
  </si>
  <si>
    <t>Prilivi od naplaćene glavnice po osnovu imovine date u finansijski podnajam (imovina s pravom korištenja)</t>
  </si>
  <si>
    <t>2.19.</t>
  </si>
  <si>
    <t>2.20.</t>
  </si>
  <si>
    <t>2.21.</t>
  </si>
  <si>
    <t>2.22.</t>
  </si>
  <si>
    <t>2.23.</t>
  </si>
  <si>
    <t>2.24.</t>
  </si>
  <si>
    <t>2.25.</t>
  </si>
  <si>
    <t>Prilivi po osnovu dividendi</t>
  </si>
  <si>
    <t>2.26.</t>
  </si>
  <si>
    <t>Prilivi po osnovu prodaje ovih finansijskih instrumenata</t>
  </si>
  <si>
    <t>2.27.</t>
  </si>
  <si>
    <t>Odlivi po osnovu kupovine ovih finansijskih instrumenata</t>
  </si>
  <si>
    <t>2.28.</t>
  </si>
  <si>
    <t>2.29.</t>
  </si>
  <si>
    <r>
      <rPr>
        <b/>
        <sz val="11"/>
        <color rgb="FF000000"/>
        <rFont val="Calibri"/>
        <charset val="238"/>
      </rPr>
      <t>Neto gotovinski tok koji je generisan/(korišten) u ulagačkim aktivnostima</t>
    </r>
    <r>
      <rPr>
        <sz val="11"/>
        <color rgb="FF000000"/>
        <rFont val="Calibri"/>
        <charset val="238"/>
      </rPr>
      <t xml:space="preserve"> </t>
    </r>
  </si>
  <si>
    <t>Prilivi od emisije dionica / uplate vlasničkih udjela</t>
  </si>
  <si>
    <t>Odlivi po osnovu kupovine vlastitih dionica</t>
  </si>
  <si>
    <t>Prilivi po osnovu prodaje prethodno stečenih vlastitih dionica</t>
  </si>
  <si>
    <t>3.4.</t>
  </si>
  <si>
    <t>Odlivi po osnovu isplate dividendi dioničarima / vlasnicima udjela</t>
  </si>
  <si>
    <t>3.5.</t>
  </si>
  <si>
    <t>Prilivi po osnovu uzetih kredita</t>
  </si>
  <si>
    <t>3.6.</t>
  </si>
  <si>
    <t>Odlivi po osnovu otplate glavnice uzetih kredita</t>
  </si>
  <si>
    <t>3.7.</t>
  </si>
  <si>
    <t>Odlivi po osnovu plaćanja kamate na uzete kredite</t>
  </si>
  <si>
    <t>3.8.</t>
  </si>
  <si>
    <t>Odlivi po osnovu otplate glavnice obaveza po najmova</t>
  </si>
  <si>
    <t>3.9.</t>
  </si>
  <si>
    <t>Odlivi po osnovu plaćanja kamate na najmove</t>
  </si>
  <si>
    <t>3.10.</t>
  </si>
  <si>
    <t>Prilivi po osnovu izdatih dužničkih instrumenata (obveznica i sl.)</t>
  </si>
  <si>
    <t>3.11.</t>
  </si>
  <si>
    <t>Odlivi po osnovu otplate glavnice izdatih dužničkih instrumenata</t>
  </si>
  <si>
    <t>3.12.</t>
  </si>
  <si>
    <t>3.13.</t>
  </si>
  <si>
    <t xml:space="preserve">Neto gotovinski tok koji je generisan/(korišten) u finansijskim aktivnostima </t>
  </si>
  <si>
    <t>NETO POVEĆANJE / (SMANJENJE) GOTOVINE I GOTOVINSKIH EKVIVALENATA</t>
  </si>
  <si>
    <t>Stanje gotovine i gotovinskih ekvivalenata umanjeno za iznose obaveza po osnovu prekoračenja po tekućim bankovnim računima</t>
  </si>
  <si>
    <t xml:space="preserve">GOTOVINA I GOTOVINSKI EKVIVALENTI NA KRAJU PERIODA </t>
  </si>
  <si>
    <t>Dobit ili gubitak prije poreza na dobit</t>
  </si>
  <si>
    <t>1.2.1.</t>
  </si>
  <si>
    <t>Troškovi amortizacije priznati tokom perioda</t>
  </si>
  <si>
    <t>1.2.2.</t>
  </si>
  <si>
    <t>Neto dobici ili gubici proistekli iz prodaje ili rashodovanja ove imovine, priznati tokom perioda</t>
  </si>
  <si>
    <t>1.2.3.</t>
  </si>
  <si>
    <t>1.2.4.</t>
  </si>
  <si>
    <t>1.2.5.</t>
  </si>
  <si>
    <t>Neto dobici ili gubici proistekli iz prodaje ove imovine, priznati tokom perioda</t>
  </si>
  <si>
    <t>1.2.6.</t>
  </si>
  <si>
    <t>Gubici proistekli od umanjenja vrijednosti ove imovine, priznati tokom perioda</t>
  </si>
  <si>
    <t>1.2.7.</t>
  </si>
  <si>
    <t>1.2.8.</t>
  </si>
  <si>
    <t>1.2.9.</t>
  </si>
  <si>
    <t>Neto dobici ili gubici proistekli iz promjene fer vrijednosti ove imovine, priznati tokom perioda</t>
  </si>
  <si>
    <t>1.2.10.</t>
  </si>
  <si>
    <t>1.2.11.</t>
  </si>
  <si>
    <t>1.2.12.</t>
  </si>
  <si>
    <t>1.2.13.</t>
  </si>
  <si>
    <t>Neto promjene na ispravci vrijednosti dužničkih instrumenata po fer vrijednosti kroz ostali ukupni rezultat, priznate tokom perioda</t>
  </si>
  <si>
    <t>1.2.14.</t>
  </si>
  <si>
    <t>Neto promjene na ispravci vrijednosti potraživanja od kupaca, priznate tokom perioda</t>
  </si>
  <si>
    <t>1.2.15.</t>
  </si>
  <si>
    <t>Neto promjene na ispravci vrijednosti ugovorne imovine, priznate tokom perioda</t>
  </si>
  <si>
    <t>1.2.16.</t>
  </si>
  <si>
    <t>Neto promjene na ispravci vrijednosti ostale finansijske imovine po amortizovanom trošku, priznate tokom perioda</t>
  </si>
  <si>
    <t>1.2.17.</t>
  </si>
  <si>
    <t>Neto promjene na zalihama, priznate tokom perioda, a koje nisu rezultat kupovine, proizvodnje ili prodaje istih</t>
  </si>
  <si>
    <t>1.2.18.</t>
  </si>
  <si>
    <t>Iznosi obaveza otpisani od strane povjerilaca/kreditora, tokom perioda</t>
  </si>
  <si>
    <t>1.2.19.</t>
  </si>
  <si>
    <t>Neto promjene na rezervisanjima, priznate tokom perioda</t>
  </si>
  <si>
    <t>1.2.20.</t>
  </si>
  <si>
    <t>Iznosi priznati u konsolidovanom bilansu uspjeha</t>
  </si>
  <si>
    <t>1.2.21.</t>
  </si>
  <si>
    <t>Iznosi priznati u zasebnom i konsolidovanom bilansu uspjeha</t>
  </si>
  <si>
    <t>1.2.22.</t>
  </si>
  <si>
    <t>1.2.23.</t>
  </si>
  <si>
    <t>1.2.24.</t>
  </si>
  <si>
    <t>1.3.1.</t>
  </si>
  <si>
    <t>Neto promjena pozicija (isključivo glavnice imovine i obaveza) između dva izvještajna perioda, isključujući nenovčane transakcije</t>
  </si>
  <si>
    <t>1.3.2.</t>
  </si>
  <si>
    <t>1.3.3.</t>
  </si>
  <si>
    <t>1.3.4.</t>
  </si>
  <si>
    <t>1.3.5.</t>
  </si>
  <si>
    <t>1.3.6.</t>
  </si>
  <si>
    <t>1.3.7.</t>
  </si>
  <si>
    <t xml:space="preserve">NETO POVEĆANJE / (SMANJENJE) GOTOVINE I GOTOVINSKIH EKVIVALENATA </t>
  </si>
  <si>
    <t>Grupa: 02</t>
  </si>
  <si>
    <t>Grupa: 05</t>
  </si>
  <si>
    <t>Grupa: 01</t>
  </si>
  <si>
    <t>Grupa: 06</t>
  </si>
  <si>
    <t xml:space="preserve">Grupa: 07, 09 </t>
  </si>
  <si>
    <t>Grupa: 10, 11, 12, 13, 15</t>
  </si>
  <si>
    <t>Grupa: 21</t>
  </si>
  <si>
    <t>Konto: 231, 2392, 240, 245, 247</t>
  </si>
  <si>
    <t>Grupa: 27, 28</t>
  </si>
  <si>
    <t>Konto: 230, 232, 233, 235, 237, 238, 2391</t>
  </si>
  <si>
    <t>Grupa: 30, 36</t>
  </si>
  <si>
    <t>Konto: 321, 322</t>
  </si>
  <si>
    <t>Grupa: 33</t>
  </si>
  <si>
    <t>Konto: 412, 413, 414, 415, 416, 418</t>
  </si>
  <si>
    <t>Konto: 400, 401, 402, 403, 404, 405, 406, 409 (dio)</t>
  </si>
  <si>
    <t>Konto: 407, 408, 409 (dio), 410, 419</t>
  </si>
  <si>
    <r>
      <rPr>
        <b/>
        <sz val="11"/>
        <color rgb="FF000000"/>
        <rFont val="Calibri"/>
        <charset val="238"/>
      </rPr>
      <t>Kratkoročne obaveze</t>
    </r>
    <r>
      <rPr>
        <sz val="11"/>
        <color rgb="FF000000"/>
        <rFont val="Calibri"/>
        <charset val="238"/>
      </rPr>
      <t xml:space="preserve"> </t>
    </r>
  </si>
  <si>
    <t>Konto: 431, 432, 433, 434, 435</t>
  </si>
  <si>
    <t>Grupa: 42, 44</t>
  </si>
  <si>
    <t>Konto: 460</t>
  </si>
  <si>
    <t>Grupa: 45, 47, 49</t>
  </si>
  <si>
    <t>Konto: 430, 437, 439, 461, 462, 463, 464, 465, 466, 467, 468, 469, 480, 482, 483, 484, 489</t>
  </si>
  <si>
    <t>Grupa: 60</t>
  </si>
  <si>
    <t>Grupa: 61</t>
  </si>
  <si>
    <t>Grupa: 62</t>
  </si>
  <si>
    <t>Grupa: 52</t>
  </si>
  <si>
    <t>Konto: 540, 541, 542</t>
  </si>
  <si>
    <t>Grupa: 53</t>
  </si>
  <si>
    <t>Konto: 550, 551, 552, 553, 554, 555, 556, 559, 575</t>
  </si>
  <si>
    <t xml:space="preserve">Ostali prihodi i rashodi </t>
  </si>
  <si>
    <t>Konto: 570, 571, 572, 573, 580, 581, 582, 583, 587, 588, 589 (dio), 640, 641, 643, 644, 670, 671, 672, 673, 680, 681, 682, 683, 687, 688, 689 (dio)</t>
  </si>
  <si>
    <t>Konto: 574, 577, 5780, 579 (dio), 584, 586, 589 (dio), 656, 657, 674, 678, 684, 686, 689 (dio)</t>
  </si>
  <si>
    <t>Konto: 576, 579 (dio), 585, 676, 685</t>
  </si>
  <si>
    <t>Grupa: 66</t>
  </si>
  <si>
    <t>Grupa: 56</t>
  </si>
  <si>
    <t>Konto: 650, 651, 652, 653, 654, 655, 659, 675, 677, 679 (dio), 690, 691, 6743, 6744, 6745</t>
  </si>
  <si>
    <t>Konto: 579 (dio), 590, 591, 5781</t>
  </si>
  <si>
    <t xml:space="preserve">Dobit prije oporezivanja </t>
  </si>
  <si>
    <r>
      <rPr>
        <b/>
        <sz val="11"/>
        <color rgb="FF000000"/>
        <rFont val="Calibri"/>
        <charset val="238"/>
      </rPr>
      <t>Gubitak prije oporezivanja</t>
    </r>
    <r>
      <rPr>
        <sz val="11"/>
        <color rgb="FF000000"/>
        <rFont val="Calibri"/>
        <charset val="238"/>
      </rPr>
      <t xml:space="preserve"> </t>
    </r>
  </si>
  <si>
    <t>Konto: 722, 723, 724, 725</t>
  </si>
  <si>
    <t>Promjena priznata na kontu 332 tokom finansijske godine</t>
  </si>
  <si>
    <t>Promjena priznata na kontu 339 tokom finansijske godine</t>
  </si>
  <si>
    <t>Konto: 012</t>
  </si>
  <si>
    <t>Dodatno: efekti pripreme konsolidiranih financijskih izvještaja</t>
  </si>
  <si>
    <t> Financijska imovina po fer vrijednosti kroz ostali ukupni rezultat</t>
  </si>
  <si>
    <t>Konto: 0651, 0658 (dio),</t>
  </si>
  <si>
    <t>0659 (dio)</t>
  </si>
  <si>
    <t>Financijska imovina po amortiziranom trošku</t>
  </si>
  <si>
    <t>Grupa: 07</t>
  </si>
  <si>
    <t>Konto: 091, 098</t>
  </si>
  <si>
    <r>
      <rPr>
        <b/>
        <sz val="9"/>
        <color rgb="FF000000"/>
        <rFont val="Segoe UI"/>
        <charset val="238"/>
      </rPr>
      <t>Kratkoročna imovina</t>
    </r>
    <r>
      <rPr>
        <sz val="9"/>
        <color rgb="FF000000"/>
        <rFont val="Segoe UI"/>
        <charset val="238"/>
      </rPr>
      <t xml:space="preserve"> </t>
    </r>
  </si>
  <si>
    <t xml:space="preserve">Ostala financijska imovina po amortiziranom trošku </t>
  </si>
  <si>
    <t>Konto: 2313, 2315, 2404,</t>
  </si>
  <si>
    <t>2409 (dio), 2392 (dio)</t>
  </si>
  <si>
    <t>Revalorizacijske rezerve</t>
  </si>
  <si>
    <t>Kod pripreme konsolidiranih financijskih izvještaja</t>
  </si>
  <si>
    <t>Dugoročne obveze</t>
  </si>
  <si>
    <t>Financijske obveze po amortiziranom trošku</t>
  </si>
  <si>
    <t>Kratkoročne obveze</t>
  </si>
  <si>
    <t>Grupa: 45, 47</t>
  </si>
  <si>
    <t>Konto: 430, 437, 439, 461, 462, 463, 464, 465, 466, 467, 468, 469, 480, 482, 483, 484, 489, 490, 499 (dio)</t>
  </si>
  <si>
    <t>UKUPNO OBVEZE</t>
  </si>
  <si>
    <t>UKUPNO KAPITAL, OBVEZE I IZVANBILANČNA EVIDENCIJA</t>
  </si>
  <si>
    <t>Prihodi iz ugovora s povezanim stranama</t>
  </si>
  <si>
    <t xml:space="preserve">Prihodi iz ugovora s nepovezanim stranama na domaćem tržištu </t>
  </si>
  <si>
    <t xml:space="preserve">Prihodi iz ugovora s nepovezanim stranama na inozemnom tržištu </t>
  </si>
  <si>
    <t xml:space="preserve">Dobici od dugoročne nefinancijske imovine </t>
  </si>
  <si>
    <t xml:space="preserve">Dobici od financijske imovine </t>
  </si>
  <si>
    <t>Kod konsolidiranih financijskih izvještaja</t>
  </si>
  <si>
    <t xml:space="preserve">Gubici od dugoročne nefinancijske imovine </t>
  </si>
  <si>
    <t xml:space="preserve">Gubici od financijske imovine </t>
  </si>
  <si>
    <t>Konto: 579 (dio)</t>
  </si>
  <si>
    <r>
      <rPr>
        <b/>
        <sz val="9"/>
        <color rgb="FF000000"/>
        <rFont val="Segoe UI"/>
        <charset val="238"/>
      </rPr>
      <t>Gubitak iz redovnog poslovanja prije oporezivanja</t>
    </r>
    <r>
      <rPr>
        <sz val="9"/>
        <color rgb="FF000000"/>
        <rFont val="Segoe UI"/>
        <charset val="238"/>
      </rPr>
      <t xml:space="preserve"> </t>
    </r>
  </si>
  <si>
    <r>
      <rPr>
        <b/>
        <sz val="9"/>
        <color rgb="FF000000"/>
        <rFont val="Segoe UI"/>
        <charset val="238"/>
      </rPr>
      <t>Gubitak</t>
    </r>
    <r>
      <rPr>
        <sz val="9"/>
        <color rgb="FF000000"/>
        <rFont val="Segoe UI"/>
        <charset val="238"/>
      </rPr>
      <t xml:space="preserve"> </t>
    </r>
    <r>
      <rPr>
        <b/>
        <sz val="9"/>
        <color rgb="FF000000"/>
        <rFont val="Segoe UI"/>
        <charset val="238"/>
      </rPr>
      <t>iz redovnog poslovanj</t>
    </r>
    <r>
      <rPr>
        <sz val="9"/>
        <color rgb="FF000000"/>
        <rFont val="Segoe UI"/>
        <charset val="238"/>
      </rPr>
      <t xml:space="preserve">a </t>
    </r>
  </si>
  <si>
    <t xml:space="preserve">Stavke koje mogu biti reklasificirane u račun dobiti i gubitka </t>
  </si>
  <si>
    <t>Promjena priznata na kontu 332 (analitička konta koja se odnose na ove efekte) tijekom financijske godine</t>
  </si>
  <si>
    <t>Promjena priznata na kontu 339 (analitička konta koja se odnose na ove efekte) tijekom financijske godine</t>
  </si>
  <si>
    <t>Promjena priznata na kontu 339 (analitička konta koja se odnose na ove stavke) tijekom financijske godine</t>
  </si>
  <si>
    <t xml:space="preserve">Odgođeni porez, bez utjecaja na točku I.2. gore </t>
  </si>
  <si>
    <t>Stavke koje neće biti reklasificirane u račun dobiti i gubitka</t>
  </si>
  <si>
    <t>Promjena priznata na kontu 330 tijekom financijske godine</t>
  </si>
  <si>
    <t>Promjena koja je rezultat preračunavanja financijskih izvještaja inozemnog poslovanja, pri konsolidaciji</t>
  </si>
  <si>
    <t>●     dobiti ili gubitka koja pripada dioničarima gospodarskog društva i</t>
  </si>
  <si>
    <t>●     ponderiranog prosječnog broja običnih dionica u opticaju tijekom financijske godine, isključujući otkupljene vlastite dionice</t>
  </si>
  <si>
    <t>U izračunu razrijeđene zarade po dionici, korigiraju se znamenke korištene u izračunu osnovne zarade po dionici, uzimajući u obzir:</t>
  </si>
  <si>
    <t>●     efekt oporezivanja, kamata i ostalih troškova financiranja koji bi mogao proizaći iz konverzije razrjeđujućih potencijalnih običnih dionica i</t>
  </si>
  <si>
    <t>●     ponderirani prosječni broj dodatnih običnih dionica koje bi bile u opticaju pod pretpostavkom konverzije svih razrjeđujućih potencijalnih običnih dionica.</t>
  </si>
  <si>
    <t>Priljevi od kupaca po osnovi prodanih dobara i pruženih usluga, proisteklih isključivo iz obavljanja poslovnih aktivnosti</t>
  </si>
  <si>
    <t>Odljevi na temelju isplaćenih bruto plaća, naknada plaća i ostalih poreza i doprinosa</t>
  </si>
  <si>
    <t>Odljevi po osnovi plaćanja dobavljačima za primljene usluge i dobra, koji su isključivo vezani za obavljanje poslovnih aktivnosti</t>
  </si>
  <si>
    <t>Odljevi po osnovi ostalih primljenih usluga i dobara i plaćenih dažbina</t>
  </si>
  <si>
    <t>Odljevi po osnovi plaćenog poreza</t>
  </si>
  <si>
    <t>Svi ostali priljevi, koji nisu uključeni u prethodno spomenute</t>
  </si>
  <si>
    <t xml:space="preserve">Svi ostali odljevi, koji nisu uključeni u prethodno spomenute </t>
  </si>
  <si>
    <r>
      <rPr>
        <b/>
        <sz val="9"/>
        <color rgb="FF000000"/>
        <rFont val="Segoe UI"/>
        <charset val="238"/>
      </rPr>
      <t>Neto gotovinski tok koji je generiran/(korišten) u poslovnim aktivnostima</t>
    </r>
    <r>
      <rPr>
        <sz val="9"/>
        <color rgb="FF000000"/>
        <rFont val="Segoe UI"/>
        <charset val="238"/>
      </rPr>
      <t xml:space="preserve"> </t>
    </r>
  </si>
  <si>
    <t>Odljevi po osnovi kupovine / nabave ove imovine</t>
  </si>
  <si>
    <t>Priljevi po osnovi prodaje ove imovine</t>
  </si>
  <si>
    <t>Odljevi po osnovu kupovine / nabavke ove imovine</t>
  </si>
  <si>
    <t>Priljevi po osnovi prodaje/naplate ove imovine</t>
  </si>
  <si>
    <t>Priljevi od kamata od financijske imovine i financijskog najma</t>
  </si>
  <si>
    <t>Priljevi od naplaćene glavnice po osnovi imovine dane u financijski najam</t>
  </si>
  <si>
    <t>Priljevi od naplaćene glavnice po osnovi imovine dane u financijski podnajam (imovina s pravom korištenja)</t>
  </si>
  <si>
    <t>Priljevi po osnovi dividendi</t>
  </si>
  <si>
    <t>Priljevi po osnovi prodaje ovih financijskih instrumenata</t>
  </si>
  <si>
    <t>Odljevi po osnovi kupovine ovih financijskih instrumenata</t>
  </si>
  <si>
    <r>
      <rPr>
        <b/>
        <sz val="9"/>
        <color rgb="FF000000"/>
        <rFont val="Segoe UI"/>
        <charset val="238"/>
      </rPr>
      <t>Neto gotovinski tok koji je generiran/(korišten) u ulagačkim aktivnostima</t>
    </r>
    <r>
      <rPr>
        <sz val="9"/>
        <color rgb="FF000000"/>
        <rFont val="Segoe UI"/>
        <charset val="238"/>
      </rPr>
      <t xml:space="preserve"> </t>
    </r>
  </si>
  <si>
    <t>Priljevi od emisije dionica / uplate vlasničkih udjela</t>
  </si>
  <si>
    <t>Odljevi po osnovi kupovine vlastitih dionica</t>
  </si>
  <si>
    <t>Priljevi po osnovu prodaje prethodno stečenih vlastitih dionica</t>
  </si>
  <si>
    <t>Odljevi po osnovi isplate dividendi dioničarima / vlasnicima udjela</t>
  </si>
  <si>
    <t>Priljevi po osnovi uzetih kredita</t>
  </si>
  <si>
    <t>Odljevi po osnovi otplate glavnice uzetih kredita</t>
  </si>
  <si>
    <t>Odljevi po osnovi plaćanja kamate na uzete kredite</t>
  </si>
  <si>
    <t>Odljevi po osnovi otplate glavnice obaveza po najmova</t>
  </si>
  <si>
    <t>Odljevi po osnovi plaćanja kamate na najmove</t>
  </si>
  <si>
    <t>Priljevi po osnovi izdanih dužničkih instrumenata (obveznica i sl.)</t>
  </si>
  <si>
    <t>Odljevi po osnovi otplate glavnice izdanih dužničkih instrumenata</t>
  </si>
  <si>
    <t xml:space="preserve">Neto gotovinski tok koji je generiran/(korišten) u financijskim aktivnostima </t>
  </si>
  <si>
    <t>Stanje gotovine i gotovinskih ekvivalenata umanjeno za iznose obveza po osnovi prekoračenja po tekućim bankovnim računima</t>
  </si>
  <si>
    <t xml:space="preserve">GOTOVINA I GOTOVINSKI EKVIVALENTI NA KRAJU RAZDOBLJA </t>
  </si>
  <si>
    <t>Troškovi amortizacije priznati tijekom razdoblja</t>
  </si>
  <si>
    <t>Neto dobici ili gubici proistekli iz prodaje ili rashodovanja ove imovine, priznati tijekom razdoblja</t>
  </si>
  <si>
    <t>Neto dobici ili gubici proistekli iz prodaje ove imovine, priznati tijekom razdoblja</t>
  </si>
  <si>
    <t>Gubici proistekli od umanjenja vrijednosti ove imovine, priznati tijekom razdoblja</t>
  </si>
  <si>
    <t>Neto dobici ili gubici proistekli iz promjene fer vrijednosti ove imovine, priznati tijekom razdoblja</t>
  </si>
  <si>
    <t>Neto promjene na ispravci vrijednosti dužničkih instrumenata po fer vrijednosti kroz ostali ukupni rezultat, priznate tijekom razdoblja</t>
  </si>
  <si>
    <t>Neto promjene na ispravci vrijednosti potraživanja od kupaca, priznate tijekom razdoblja</t>
  </si>
  <si>
    <t>Neto promjene na ispravci vrijednosti ugovorne imovine, priznate tijekom razdoblja</t>
  </si>
  <si>
    <t>Neto promjene na ispravci vrijednosti ostale financijske imovine po amortiziranom trošku, priznate tijekom razdoblja</t>
  </si>
  <si>
    <t>Neto promjene na zalihama, priznate tijekom razdoblja, a koje nisu rezultat kupovine, proizvodnje ili prodaje istih</t>
  </si>
  <si>
    <t>Iznosi obveza otpisani od strane vjerovnika/kreditora, tijekom razdoblja</t>
  </si>
  <si>
    <t>Neto promjene na rezerviranjima, priznate tijekom razdoblja</t>
  </si>
  <si>
    <t>Iznosi priznati u konsolidiranom računu dobiti i gubitka</t>
  </si>
  <si>
    <t>Iznosi priznati u zasebnom i konsolidiranom računu dobiti i gubitka</t>
  </si>
  <si>
    <t>Neto promjena pozicija (isključivo glavnice imovine i obveza) između dva izvještajna razdoblja, isključujući nenovčane transakcije</t>
  </si>
  <si>
    <t>Odljevi po osnovi kupovine / nabavke ove imovine</t>
  </si>
  <si>
    <t>Priljevi po osnovu prodaje/naplate ove imovine</t>
  </si>
  <si>
    <t>Priljevi po osnovi prodaje prethodno stečenih vlastitih dionica</t>
  </si>
  <si>
    <t>Priljevi po osnovi izdanih dužničkih instrumenata</t>
  </si>
  <si>
    <t>Odljevi po osnovi otplate glavnice obveza po najmova</t>
  </si>
  <si>
    <r>
      <rPr>
        <b/>
        <sz val="9"/>
        <color rgb="FF000000"/>
        <rFont val="Segoe UI"/>
        <charset val="238"/>
      </rPr>
      <t>Kratkoročne obveze</t>
    </r>
    <r>
      <rPr>
        <sz val="9"/>
        <color rgb="FF000000"/>
        <rFont val="Segoe UI"/>
        <charset val="238"/>
      </rPr>
      <t xml:space="preserve"> </t>
    </r>
  </si>
  <si>
    <r>
      <rPr>
        <b/>
        <sz val="9"/>
        <color rgb="FF000000"/>
        <rFont val="Segoe UI"/>
        <charset val="238"/>
      </rPr>
      <t>Gubitak prije oporezivanja</t>
    </r>
    <r>
      <rPr>
        <sz val="9"/>
        <color rgb="FF000000"/>
        <rFont val="Segoe UI"/>
        <charset val="238"/>
      </rPr>
      <t xml:space="preserve"> </t>
    </r>
  </si>
  <si>
    <t>Promjena priznata na kontu 332 tijekom financijske godine</t>
  </si>
  <si>
    <t>Promjena priznata na kontu 339 tijekom financijske godine</t>
  </si>
  <si>
    <t xml:space="preserve">(Bilješke) </t>
  </si>
  <si>
    <t>(1) Pored obrazaca (uključujući i Izvještaj o promjenama na kapitalu koji je propisan posebnim pravilnikom), gospodarska društva trebaju pripremiti i bilješke uz obrasce.</t>
  </si>
  <si>
    <t>(2) Bilješke sadrže dopunske informacije (tekstualni opis ili raščlanjivanje) za materijalno značajne stavke prezentirane u Izvještaju o financijskom položaju, Računu dobiti i gubitka i ostaloj sveobuhvatnoj dobiti, Izvještaju o gotovinskim tokovima i Izvještaju o promjenama na kapitalu.</t>
  </si>
  <si>
    <t>(3) U bilješkama se, uz zahtjeve propisane člankom 37. st. (3) i (4) Zakona:</t>
  </si>
  <si>
    <t>a) prezentiraju informacije o osnovi za sastavljanje obrazaca i primijenjenim računovodstvenim politikama;</t>
  </si>
  <si>
    <t>b) objavljuju informacije koje zahtijevaju MSFI u vezi s pozicijama koje gospodarska društva imaju u svojim obrascima, a koje nisu detaljno prikazane na obrascima;</t>
  </si>
  <si>
    <t>c) pružaju dodatne informacije koje nisu prezentirane u obrascima, ali su relevantne za njihovo razumijevanje.</t>
  </si>
  <si>
    <t>(4) U obrascima Izvještaj o financijskom položaju na kraju razdoblja, Izvještaj o ukupnom rezultatu za razdoblje i Izvještaj o tokovima gotovine, u stupcu 3, unose se brojevi bilješki za materijalno značajne stavke iz obrazaca na koje se te bilješke i odnose.</t>
  </si>
  <si>
    <t>(5) Bilješke se moraju prezentirati sistematski, koliko god je to moguće.</t>
  </si>
  <si>
    <t>kolona 4</t>
  </si>
  <si>
    <t>Kolona 5</t>
  </si>
  <si>
    <t>Firma :</t>
  </si>
  <si>
    <t>LILIUM ASSET MANAGEMENT d.o.o. Sarajevo</t>
  </si>
  <si>
    <t xml:space="preserve">Identifikacioni br.: </t>
  </si>
  <si>
    <t>kolona 5</t>
  </si>
  <si>
    <t>Općina - Sjedišta :</t>
  </si>
  <si>
    <t>Stari Grad</t>
  </si>
  <si>
    <t>Ulica - naselje :</t>
  </si>
  <si>
    <t>Dženetića čikma br.8</t>
  </si>
  <si>
    <t>Kanton sjedišta :</t>
  </si>
  <si>
    <t xml:space="preserve">Šifra općine: </t>
  </si>
  <si>
    <t>Većinski vlasnik :</t>
  </si>
  <si>
    <t>Nedim Šaćiragić</t>
  </si>
  <si>
    <t xml:space="preserve">Glavni račun: </t>
  </si>
  <si>
    <t xml:space="preserve">Direktor : </t>
  </si>
  <si>
    <t>Nedim Vilogorac</t>
  </si>
  <si>
    <t>e-mail :</t>
  </si>
  <si>
    <t>info@lilium_dzu.ba</t>
  </si>
  <si>
    <t>Telefon :</t>
  </si>
  <si>
    <t>033/953-480</t>
  </si>
  <si>
    <t>Web stranica:</t>
  </si>
  <si>
    <t>www.lilium-dzu.ba</t>
  </si>
  <si>
    <t xml:space="preserve">Oblik društva : </t>
  </si>
  <si>
    <t>doo</t>
  </si>
  <si>
    <t xml:space="preserve">Matični broj - MBS : </t>
  </si>
  <si>
    <t>65-01-0233-08</t>
  </si>
  <si>
    <t>Kantonalni ured PU :</t>
  </si>
  <si>
    <t>Ispostava PU :</t>
  </si>
  <si>
    <t>Strari Grad</t>
  </si>
  <si>
    <t>Br.poslovn.jed. :</t>
  </si>
  <si>
    <t>MSV -kolona 5</t>
  </si>
  <si>
    <t>MIKRO -kolona 5</t>
  </si>
  <si>
    <t>104</t>
  </si>
  <si>
    <t>110</t>
  </si>
  <si>
    <t>111</t>
  </si>
  <si>
    <t>112</t>
  </si>
  <si>
    <t>113</t>
  </si>
  <si>
    <t>114</t>
  </si>
  <si>
    <t>115</t>
  </si>
  <si>
    <t>116</t>
  </si>
  <si>
    <t>117</t>
  </si>
  <si>
    <t>118</t>
  </si>
  <si>
    <t>119</t>
  </si>
  <si>
    <t>120</t>
  </si>
  <si>
    <t>121</t>
  </si>
  <si>
    <t>122</t>
  </si>
  <si>
    <t>123</t>
  </si>
  <si>
    <t>125</t>
  </si>
  <si>
    <t>126</t>
  </si>
  <si>
    <t>127</t>
  </si>
  <si>
    <t>129</t>
  </si>
  <si>
    <t>130</t>
  </si>
  <si>
    <t>131</t>
  </si>
  <si>
    <t>133</t>
  </si>
  <si>
    <t>135</t>
  </si>
  <si>
    <t>137</t>
  </si>
  <si>
    <t>139</t>
  </si>
  <si>
    <t>143</t>
  </si>
  <si>
    <t>144</t>
  </si>
  <si>
    <t>145</t>
  </si>
  <si>
    <t>146</t>
  </si>
  <si>
    <t>147</t>
  </si>
  <si>
    <t>148</t>
  </si>
  <si>
    <t>149</t>
  </si>
  <si>
    <t>150</t>
  </si>
  <si>
    <t>151</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</si>
  <si>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</si>
  <si>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</si>
  <si>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</si>
  <si>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</si>
  <si>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</si>
  <si>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</si>
  <si>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</si>
  <si>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</si>
  <si>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</si>
  <si>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</si>
  <si>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</si>
  <si>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</si>
  <si>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</si>
  <si>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</si>
  <si>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</si>
  <si>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</si>
  <si>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</si>
  <si>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</si>
  <si>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</si>
  <si>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</si>
  <si>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</si>
  <si>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</si>
  <si>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</si>
  <si>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</si>
  <si>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</si>
  <si>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</si>
  <si>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</si>
  <si>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</si>
  <si>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</si>
  <si>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</si>
  <si>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</si>
  <si>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</si>
  <si>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</si>
  <si>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</si>
  <si>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</si>
  <si>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</si>
  <si>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</si>
  <si>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</si>
  <si>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</si>
  <si>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</si>
  <si>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</si>
  <si>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</si>
  <si>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</si>
  <si>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</si>
  <si>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</si>
  <si>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</si>
  <si>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</si>
  <si>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</si>
  <si>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</si>
  <si>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</si>
  <si>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</si>
  <si>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</si>
  <si>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</si>
  <si>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Kolona 4</t>
  </si>
  <si>
    <t>Godina</t>
  </si>
  <si>
    <t>Porezni gubitak</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</si>
  <si>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</si>
  <si>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</si>
  <si>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</si>
  <si>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</si>
  <si>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</si>
  <si>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</si>
  <si>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</si>
  <si>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</si>
  <si>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</si>
  <si>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</si>
  <si>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</si>
  <si>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</si>
  <si>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</si>
  <si>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</si>
  <si>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</si>
  <si>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</si>
  <si>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</si>
  <si>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</si>
  <si>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</si>
  <si>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</si>
  <si>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</si>
  <si>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</si>
  <si>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</si>
  <si>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</si>
  <si>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</si>
  <si>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</si>
  <si>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</si>
  <si>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</si>
  <si>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</si>
  <si>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</si>
  <si>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</si>
  <si>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</si>
  <si>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</si>
  <si>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</si>
  <si>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</si>
  <si>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</si>
  <si>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</si>
  <si>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</si>
  <si>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</si>
  <si>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</si>
  <si>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</si>
  <si>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</si>
  <si>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</si>
  <si>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</si>
  <si>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</si>
  <si>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</si>
  <si>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</si>
  <si>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</si>
  <si>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</si>
  <si>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</si>
  <si>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</si>
  <si>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</si>
  <si>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</si>
  <si>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</si>
  <si>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</si>
  <si>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</si>
  <si>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god.</t>
  </si>
  <si>
    <t>Ekonomika d.o.o. Cazin; tel: 037 511-739; 512-015; ekonomika.doo@bih.net.ba;  061/155-368</t>
  </si>
  <si>
    <t>Identifikacioni podaci</t>
  </si>
  <si>
    <t>Računovođa :</t>
  </si>
  <si>
    <t>Elvira Žilić</t>
  </si>
  <si>
    <t>Br.dozv.Računovođe :</t>
  </si>
  <si>
    <t>CR-8559/5</t>
  </si>
  <si>
    <t>Br.tel.računovođe</t>
  </si>
  <si>
    <t>061/599-615</t>
  </si>
  <si>
    <t>Adresa računovođe :</t>
  </si>
  <si>
    <t>e-mail račun.</t>
  </si>
  <si>
    <t>xxxxxxxxxo@gmail.com</t>
  </si>
  <si>
    <t>Jezik :</t>
  </si>
  <si>
    <r>
      <rPr>
        <sz val="12"/>
        <rFont val="Calibri"/>
        <charset val="238"/>
        <scheme val="minor"/>
      </rPr>
      <t xml:space="preserve">Birajte :  </t>
    </r>
    <r>
      <rPr>
        <b/>
        <u/>
        <sz val="12"/>
        <rFont val="Calibri"/>
        <charset val="238"/>
        <scheme val="minor"/>
      </rPr>
      <t>bosanski, hrvatski ili engleski</t>
    </r>
    <r>
      <rPr>
        <sz val="12"/>
        <rFont val="Calibri"/>
        <charset val="238"/>
        <scheme val="minor"/>
      </rPr>
      <t xml:space="preserve"> jezik na obrascima</t>
    </r>
  </si>
  <si>
    <t>Vrsta obracuna :</t>
  </si>
  <si>
    <t xml:space="preserve"> </t>
  </si>
  <si>
    <t xml:space="preserve">     </t>
  </si>
  <si>
    <t>Identifikacioni br. :</t>
  </si>
  <si>
    <t>Oblik :</t>
  </si>
  <si>
    <t>Općina - Sjedište :</t>
  </si>
  <si>
    <t>PDV broj :</t>
  </si>
  <si>
    <t>PDV :</t>
  </si>
  <si>
    <t>Šifra djelatnosti :</t>
  </si>
  <si>
    <t>Šifra općine :</t>
  </si>
  <si>
    <t>Glavni račun :</t>
  </si>
  <si>
    <t>Banka :</t>
  </si>
  <si>
    <t>Direktor: (Ime i Prezime)</t>
  </si>
  <si>
    <t>Direktor :</t>
  </si>
  <si>
    <t>Pol :</t>
  </si>
  <si>
    <t>Standard :</t>
  </si>
  <si>
    <t>Subjekt javnog interesa:</t>
  </si>
  <si>
    <t>Web stranica :</t>
  </si>
  <si>
    <t>VLASNIČKA STRUKTURA</t>
  </si>
  <si>
    <t>Matični broj - MBS :</t>
  </si>
  <si>
    <t>1. Bosna i Hercegovina</t>
  </si>
  <si>
    <t>2. Federacija BiH</t>
  </si>
  <si>
    <t>3. Kanton</t>
  </si>
  <si>
    <t>Br.poslovnh jedinica :</t>
  </si>
  <si>
    <t>4. Grad</t>
  </si>
  <si>
    <t>5. Opština 1</t>
  </si>
  <si>
    <r>
      <rPr>
        <sz val="14"/>
        <color theme="3"/>
        <rFont val="Calibri"/>
        <charset val="238"/>
        <scheme val="minor"/>
      </rPr>
      <t xml:space="preserve">Upište slovo </t>
    </r>
    <r>
      <rPr>
        <sz val="14"/>
        <color rgb="FFFF0000"/>
        <rFont val="Calibri"/>
        <charset val="238"/>
        <scheme val="minor"/>
      </rPr>
      <t>N</t>
    </r>
    <r>
      <rPr>
        <sz val="14"/>
        <color theme="3"/>
        <rFont val="Calibri"/>
        <charset val="238"/>
        <scheme val="minor"/>
      </rPr>
      <t xml:space="preserve"> ako ne želite da se podaci upišu u FIA excel fajl </t>
    </r>
  </si>
  <si>
    <t>Datum predaje :</t>
  </si>
  <si>
    <t>6. Opština 2</t>
  </si>
  <si>
    <t>Promjene u kapitalu :</t>
  </si>
  <si>
    <t>7. Opština 3</t>
  </si>
  <si>
    <t>Got.tokovi -direktna :</t>
  </si>
  <si>
    <t>8. Drugo pravno lice u državnom vlasništvu</t>
  </si>
  <si>
    <t>Got.tokovi -indirektna :</t>
  </si>
  <si>
    <t>9. Privatno vlasništvo</t>
  </si>
  <si>
    <t>GRUPA :</t>
  </si>
  <si>
    <t>Ukupno</t>
  </si>
  <si>
    <t>P E R I O D :</t>
  </si>
  <si>
    <t>Datum sastavljanja izvj :</t>
  </si>
  <si>
    <t>Dobit :</t>
  </si>
  <si>
    <t>Gubitak :</t>
  </si>
  <si>
    <t>Tekuća godina</t>
  </si>
  <si>
    <t>K O N T O</t>
  </si>
  <si>
    <t>6001</t>
  </si>
  <si>
    <t>Prihodi od prodaje povazanim stranama priznati u momontu transakcije</t>
  </si>
  <si>
    <t>6002</t>
  </si>
  <si>
    <t>Prihodi od prodaje povezanim stranama priznati tokom vremena</t>
  </si>
  <si>
    <t>600</t>
  </si>
  <si>
    <t>Prihodi od prodaje robe povezanim stranama</t>
  </si>
  <si>
    <t>6011</t>
  </si>
  <si>
    <t>Prihodi od prodaje nepovezanim stranama na domaćem tržištu priznati u momentu transakcije</t>
  </si>
  <si>
    <t>6012</t>
  </si>
  <si>
    <t>Prihodi od prodaje nepovezanim stranama na domaćem tržištu priznati tokom vremena</t>
  </si>
  <si>
    <t>Prihodi od prodaje nepovezanim stranama na domaćem tržištu</t>
  </si>
  <si>
    <t>6021</t>
  </si>
  <si>
    <t>Prihodi od prodaje nepovezanim stranama na inostranom tržištu priznati u momentu transakcije</t>
  </si>
  <si>
    <t>6022</t>
  </si>
  <si>
    <t>Prihodi od prodaje nepovezanim stranama na inostranom tržištu priznati tokom vremena</t>
  </si>
  <si>
    <t>Prihod od prodaje nepovezanim stranama na inostranom tržištu</t>
  </si>
  <si>
    <t>6030</t>
  </si>
  <si>
    <t>Popusti i rabati od prodaje robe povezanim stranama</t>
  </si>
  <si>
    <t>6031</t>
  </si>
  <si>
    <t>Popusti i rabati od prodaje nepovezanim stranama na domaćem tržištu</t>
  </si>
  <si>
    <t>6032</t>
  </si>
  <si>
    <t>Popusti i rabati od prodaje nepovezanim stranama na inostranom tržištu</t>
  </si>
  <si>
    <t>Ostali popusti i rabati</t>
  </si>
  <si>
    <t>60</t>
  </si>
  <si>
    <t xml:space="preserve">Prihodi od prodaje robe  </t>
  </si>
  <si>
    <t>6101</t>
  </si>
  <si>
    <t>Prihodi od prodaje povezanim stranama priznati u momentu transakcije</t>
  </si>
  <si>
    <t>6102</t>
  </si>
  <si>
    <t>Prihodi od prodaje povezanim stranam</t>
  </si>
  <si>
    <t>6111</t>
  </si>
  <si>
    <t>6112</t>
  </si>
  <si>
    <t>6121</t>
  </si>
  <si>
    <t>6122</t>
  </si>
  <si>
    <t xml:space="preserve">Prihodi od prodaje učinaka na stranom tržištu  </t>
  </si>
  <si>
    <t>6130</t>
  </si>
  <si>
    <t>Popusti i rabati od prodaje povezanim stranam</t>
  </si>
  <si>
    <t>6131</t>
  </si>
  <si>
    <t>6132</t>
  </si>
  <si>
    <t xml:space="preserve">Popusti i rabati od prodaje učinaka na stranom tržištu  </t>
  </si>
  <si>
    <t>Odobreni popusti i rabati</t>
  </si>
  <si>
    <t>61</t>
  </si>
  <si>
    <t>6201</t>
  </si>
  <si>
    <t>Prihodi od pruženih usluga povezanim stranama priznati u momentu transakcije</t>
  </si>
  <si>
    <t>6202</t>
  </si>
  <si>
    <t>Prihodi od pruženih usluga povezanim stranama priznati tokom vremena</t>
  </si>
  <si>
    <t>Prihodi od pruženih usluga povezanim stranama</t>
  </si>
  <si>
    <t>6211</t>
  </si>
  <si>
    <t>Prihodi od pruženih usluga nepovezanim stranama na domaćem tržištu priznati u momentu transakcije</t>
  </si>
  <si>
    <t>6212</t>
  </si>
  <si>
    <t>Prihodi od pruženih usluga nepovezanim stranama na domaćem tržištu priznati tokom vremena</t>
  </si>
  <si>
    <t>Prihodi od pruženih usluga nepovezanim stranama na domaćem tržištu</t>
  </si>
  <si>
    <t>6221</t>
  </si>
  <si>
    <t>Prihodi od pruženih usluga nepovezanim stranama na inostranom tržištu priznati u momentu transakcije</t>
  </si>
  <si>
    <t>6222</t>
  </si>
  <si>
    <t>Prihodi od pruženih usluga nepovezanim stranama na inostranom tržištu priznati tokom vremena</t>
  </si>
  <si>
    <t>Prihodi od pruženih usluga nepovezanim stranama na inostranom tržištu</t>
  </si>
  <si>
    <t>6230</t>
  </si>
  <si>
    <t>Popusti i rabati od pruženih usluga povezanim stranama</t>
  </si>
  <si>
    <t>6231</t>
  </si>
  <si>
    <t>Popusti i rabati od pruženih usluga nepovezanim stranama na domaćem tržištu</t>
  </si>
  <si>
    <t>6232</t>
  </si>
  <si>
    <t>Popusti i rabati od pruženih usluga nepovezanim stranama na inostranom tržištu</t>
  </si>
  <si>
    <t>62</t>
  </si>
  <si>
    <t xml:space="preserve">Povećanje fer vrijednosti investicijskih nekretnina koja se ne amortizujuju  </t>
  </si>
  <si>
    <t xml:space="preserve">Povećanjefer vrijednosti biološki imovine koja se ne amortizuju  </t>
  </si>
  <si>
    <t xml:space="preserve">Smanjenje fer vrijednosti investicijskih nekretnina koje se ne amortizuju  </t>
  </si>
  <si>
    <t xml:space="preserve">Smanjenje fer vrijednosti biološke imovine koja se ne amortizuju  </t>
  </si>
  <si>
    <t>64</t>
  </si>
  <si>
    <t>Promjena fer vrijednosti dugoročne nefinasijske imovine</t>
  </si>
  <si>
    <t xml:space="preserve">Prihodi od premija, subvencija, poticaja i sl.  </t>
  </si>
  <si>
    <t>Prihodi od najma</t>
  </si>
  <si>
    <t xml:space="preserve">Prihodi od donacija  </t>
  </si>
  <si>
    <t xml:space="preserve">Prihodi od članarina  </t>
  </si>
  <si>
    <t>654</t>
  </si>
  <si>
    <t xml:space="preserve">Prihodi od tantijema i licencnih prava  </t>
  </si>
  <si>
    <t>655</t>
  </si>
  <si>
    <t xml:space="preserve">Prihodi iz namjenskih izvora finansiranja  </t>
  </si>
  <si>
    <t>656</t>
  </si>
  <si>
    <t>659</t>
  </si>
  <si>
    <t xml:space="preserve">Ostali prihodi po drugim osnovama  </t>
  </si>
  <si>
    <t>65</t>
  </si>
  <si>
    <t xml:space="preserve">Ostali poslovni prihodi  </t>
  </si>
  <si>
    <t>660</t>
  </si>
  <si>
    <t>Prihodi od kamata od povezanih strana</t>
  </si>
  <si>
    <t>661</t>
  </si>
  <si>
    <t>Prihodi od kamata od nepovezanih strana</t>
  </si>
  <si>
    <t>662</t>
  </si>
  <si>
    <t xml:space="preserve">Pozitivne kursne razlike  </t>
  </si>
  <si>
    <t>663</t>
  </si>
  <si>
    <t xml:space="preserve">Prihodi po osnovu valutne klauzule  </t>
  </si>
  <si>
    <t>669</t>
  </si>
  <si>
    <t xml:space="preserve">Ostali finansijski prihodi  </t>
  </si>
  <si>
    <t>66</t>
  </si>
  <si>
    <t xml:space="preserve">Finansijski prihodi  </t>
  </si>
  <si>
    <t>6700</t>
  </si>
  <si>
    <t>Dobici od otuđenja nematerijalne imovine</t>
  </si>
  <si>
    <t>6701</t>
  </si>
  <si>
    <t>Dobici od otuđenja nekretnina, postrojenja i opreme</t>
  </si>
  <si>
    <t>670</t>
  </si>
  <si>
    <t>671</t>
  </si>
  <si>
    <t xml:space="preserve">Dobici od otuđenja investicijskih nekretnina  </t>
  </si>
  <si>
    <t>672</t>
  </si>
  <si>
    <t xml:space="preserve">Dobici od otuđenja biološke imovine  </t>
  </si>
  <si>
    <t>6730</t>
  </si>
  <si>
    <t>Dobici od otuđenja imovine namjenjene prodaji</t>
  </si>
  <si>
    <t>6731</t>
  </si>
  <si>
    <t xml:space="preserve">Dobici od otuđenja imovine poslovanja koje se obustavlja </t>
  </si>
  <si>
    <t>673</t>
  </si>
  <si>
    <t xml:space="preserve">Dobici od otuđenja dugoročne imovine namijenjene prodaji i imovine poslovanja koje se obustavlja </t>
  </si>
  <si>
    <t>6740</t>
  </si>
  <si>
    <t>Dobici od otuđenja finansijske imovine po amortizovanom trošku</t>
  </si>
  <si>
    <t>6741</t>
  </si>
  <si>
    <t>Dobici od otuđenja finansijske imovine po fer vrijednosti kroz ostali ukupni rezultat</t>
  </si>
  <si>
    <t>6742</t>
  </si>
  <si>
    <t>Dobici od otuđenja finansijske imovine po fer vrijednosti kroz bilans uspjeha</t>
  </si>
  <si>
    <t>6743</t>
  </si>
  <si>
    <t>Dobici od otuđenja ulaganja u zavisna društva</t>
  </si>
  <si>
    <t>6744</t>
  </si>
  <si>
    <t>Dobici od otuđenja ulaganja u pridružena društva</t>
  </si>
  <si>
    <t>6745</t>
  </si>
  <si>
    <t>Dobici od otuđenja ulaganja u zajedničke poduhvate</t>
  </si>
  <si>
    <t>674</t>
  </si>
  <si>
    <t>Dobici od otuđenja finansijske imovine i ulaganja u povezane strane</t>
  </si>
  <si>
    <t>675</t>
  </si>
  <si>
    <t xml:space="preserve">Dobici od prodaje materijala  </t>
  </si>
  <si>
    <t>676</t>
  </si>
  <si>
    <t xml:space="preserve">Viškovi  </t>
  </si>
  <si>
    <t>677</t>
  </si>
  <si>
    <t xml:space="preserve">Naplaćena ranije otpisana potraživanja  </t>
  </si>
  <si>
    <t>678</t>
  </si>
  <si>
    <t>Dobici od derivatnih finansijskih instrumenata</t>
  </si>
  <si>
    <t>679</t>
  </si>
  <si>
    <t xml:space="preserve">Otpis obaveza, ukinuta rezervisanja i ostali prihodi  </t>
  </si>
  <si>
    <t>6795</t>
  </si>
  <si>
    <t>Ukinuta rezervisanja - 679 dio</t>
  </si>
  <si>
    <t>67</t>
  </si>
  <si>
    <t xml:space="preserve">Ostali prihodi i dobici  </t>
  </si>
  <si>
    <t>680</t>
  </si>
  <si>
    <t>Dobici od otpuštanja ranije priznatih gubitaka od umanjenja vrijednosti nematerijalne imovine</t>
  </si>
  <si>
    <t>6810</t>
  </si>
  <si>
    <t>Dobici od otpuštanja ranije priznatih gubitaka od umanjenja vrijednosti nekretnina, postojenja i opreme koji se vode po trošku</t>
  </si>
  <si>
    <t>6811</t>
  </si>
  <si>
    <t>Dobici od otpuštanja ranije priznatih gubitaka od promjena revalorizovane vrijednosti nekretnina, postrojenja i opreme za koje nema postojećih revalorizacionih rezervi</t>
  </si>
  <si>
    <t>681</t>
  </si>
  <si>
    <t>Dobici od nekretnina, postrojenja i oprema</t>
  </si>
  <si>
    <t>682</t>
  </si>
  <si>
    <t>Dobici od otpuštanja ranije priznatih gubitaka od umanjenja vrijednosti investicijskih nekretnina kojie se vode po trošku</t>
  </si>
  <si>
    <t>683</t>
  </si>
  <si>
    <t>Dobici od otpuštanja ranije priznatih gubitaka od umanjenja vrijednosti biološke imovine koja se vodi po trošku</t>
  </si>
  <si>
    <t>6841</t>
  </si>
  <si>
    <t>Dobici od otpuštanja ranije priznatih kreditnih gubitaka od finansijske imovine po amortizovanom trošku</t>
  </si>
  <si>
    <t>6842</t>
  </si>
  <si>
    <t>Dobici od otpuštanja ranije priznatih kreditnih gubitaka od finansijske imovine po fer vrijednosti kroz ostali ulupni rezultat</t>
  </si>
  <si>
    <t>6843</t>
  </si>
  <si>
    <t>Dobici od otpuštanja priznavanja dinansijske imovine po amortizovanom trošku (uslijed modifikacije)</t>
  </si>
  <si>
    <t>6844</t>
  </si>
  <si>
    <t>Dobici od modifikacije finansijske imovine po amortizovanom trošku koje nisu rezultirale prestankom priznavanja</t>
  </si>
  <si>
    <t>6845</t>
  </si>
  <si>
    <t>Dobici od reklasifikacije finansijske imovine između poslovnih modela</t>
  </si>
  <si>
    <t>684</t>
  </si>
  <si>
    <t>Dobici od usklađivanja vrijednosti dugoročne finansijske imovine</t>
  </si>
  <si>
    <t>685</t>
  </si>
  <si>
    <t>6860</t>
  </si>
  <si>
    <t>Dobici od otpuštanja ranije priznatih kredit nih gubitaka od potraživanja od kupaca</t>
  </si>
  <si>
    <t>6861</t>
  </si>
  <si>
    <t>Dobici od otpuštanja ranije priznatih kreditnih gubitaka od ostale finansijske imovine po amortizovanom trošku</t>
  </si>
  <si>
    <t>6862</t>
  </si>
  <si>
    <t>Povećanje vrijednosti finansijske imovine po fer vrijednosti kroz bilans uspjeha</t>
  </si>
  <si>
    <t>686</t>
  </si>
  <si>
    <t>Dobici od usklađivanja vrijednosti kratkoročne finansijske imovine</t>
  </si>
  <si>
    <t>687</t>
  </si>
  <si>
    <t>Dobici od prestanka priznavanja imovine s pravom korištenja</t>
  </si>
  <si>
    <t>6880</t>
  </si>
  <si>
    <t>Dobici od usklađivanja vrijednosti dugoročne imovine namjenjene prodaji</t>
  </si>
  <si>
    <t>6881</t>
  </si>
  <si>
    <t>Dobici od usklađivanja vrijednosti imovine poslovanja koje se obustavlja</t>
  </si>
  <si>
    <t>688</t>
  </si>
  <si>
    <t>Dobici od usklađivanja vrijednosti dugoročne imovine namjenjene prodaji i imovine poslovanja koje se obustavlja</t>
  </si>
  <si>
    <t>6890</t>
  </si>
  <si>
    <t>Dobici od usklađivanja vrijednosti ostale nefinansijske imovine</t>
  </si>
  <si>
    <t>6891</t>
  </si>
  <si>
    <t>Dobici od usklađivanja vrijednosti ostale finansijske imovine</t>
  </si>
  <si>
    <t>689</t>
  </si>
  <si>
    <t>Dobici od usklađivanja vrijednosti ostale finansijske i nefinansijske imovine</t>
  </si>
  <si>
    <t>68</t>
  </si>
  <si>
    <t xml:space="preserve">Prihodi/dobici iz osnova usklađivanja vrijednosti sredstava  </t>
  </si>
  <si>
    <t>690</t>
  </si>
  <si>
    <t xml:space="preserve">Prihodi po osnovu promjene računovodstvenih politika  </t>
  </si>
  <si>
    <t>691</t>
  </si>
  <si>
    <t xml:space="preserve">Prihodi iz osnova ispravki grešaka iz ranijih godina  </t>
  </si>
  <si>
    <t>699</t>
  </si>
  <si>
    <t xml:space="preserve">Prijenos prihoda  </t>
  </si>
  <si>
    <t>69 bez 699</t>
  </si>
  <si>
    <t xml:space="preserve">Efekti promjena računovodstvenih politika i ispravki grešaka iz ranijih godina i prenos prihoda  </t>
  </si>
  <si>
    <t>500</t>
  </si>
  <si>
    <t xml:space="preserve">Nabavka robe  </t>
  </si>
  <si>
    <t xml:space="preserve">Nabavna vrijednost prodate robe  </t>
  </si>
  <si>
    <t xml:space="preserve">Nabavna vrijednost prodatih nekretnina pribavljenih radi prodaje  </t>
  </si>
  <si>
    <t>50</t>
  </si>
  <si>
    <t xml:space="preserve">Nabavka sirovina, materijala, rezervnih dijelova i inventara  </t>
  </si>
  <si>
    <t xml:space="preserve">Utrošene sirovine i materijal  </t>
  </si>
  <si>
    <t xml:space="preserve">Utrošena energija i gorivo  </t>
  </si>
  <si>
    <t xml:space="preserve">Utrošeni rezervni dijelovi  </t>
  </si>
  <si>
    <t xml:space="preserve">Otpis sitnog inventara, ambalaže i autoguma  </t>
  </si>
  <si>
    <t xml:space="preserve">Odstupanje od cijena  </t>
  </si>
  <si>
    <t>51</t>
  </si>
  <si>
    <t xml:space="preserve">Materijalni troškovi  </t>
  </si>
  <si>
    <t>5200 -Neto plaća za rad</t>
  </si>
  <si>
    <t xml:space="preserve">5201 -Porez na dohodak </t>
  </si>
  <si>
    <t>5202 -Doprinosi iz plaća</t>
  </si>
  <si>
    <t>5203 -Doprinosi na plaća</t>
  </si>
  <si>
    <t xml:space="preserve">Troškovi plaća  </t>
  </si>
  <si>
    <t>5210 -Neto naknada plaća</t>
  </si>
  <si>
    <t xml:space="preserve">5211 -Porez na dohodak </t>
  </si>
  <si>
    <t>5212 -Doprinosi iz plaća</t>
  </si>
  <si>
    <t>5213 -Doprinosi na plaća</t>
  </si>
  <si>
    <t xml:space="preserve">Troškovi naknada plaća  </t>
  </si>
  <si>
    <t xml:space="preserve">Troškovi službenih putovanja zaposlenih  </t>
  </si>
  <si>
    <t xml:space="preserve">Troškovi ostalih primanja, naknada i materijalnih prava zaposlenih  </t>
  </si>
  <si>
    <t xml:space="preserve">Troškovi naknada članovima odbora, komisija i sl.  </t>
  </si>
  <si>
    <t xml:space="preserve">Troškovi naknada ostalim fizičkim licima  </t>
  </si>
  <si>
    <t>52</t>
  </si>
  <si>
    <t xml:space="preserve">Troškovi plaća i ostalih primanja zaposlenih i drugih fizičkih lica  </t>
  </si>
  <si>
    <t>Troškovi usluga izrade i dorade učinaka </t>
  </si>
  <si>
    <t xml:space="preserve">Troškovi transportnih usluga  </t>
  </si>
  <si>
    <t xml:space="preserve">Troškovi usluga održavanja  </t>
  </si>
  <si>
    <t xml:space="preserve">Troškovi sajmova  </t>
  </si>
  <si>
    <t xml:space="preserve">Troškovi reklame i sponzorstava  </t>
  </si>
  <si>
    <t xml:space="preserve">Troškovi istraživanja  </t>
  </si>
  <si>
    <t xml:space="preserve">Troškovi razvoja koji se ne kapitalizuju  </t>
  </si>
  <si>
    <t xml:space="preserve">Troškovi ostalih usluga  </t>
  </si>
  <si>
    <t>53</t>
  </si>
  <si>
    <t xml:space="preserve">Troškovi proizvodnih usluga  </t>
  </si>
  <si>
    <t>540-0 dio</t>
  </si>
  <si>
    <t>Amortizacija Nematerijalne imovine</t>
  </si>
  <si>
    <t>540-1 dio</t>
  </si>
  <si>
    <t>Amortizacija Nekretnina, postrojenja i oprema</t>
  </si>
  <si>
    <t>540-2 dio</t>
  </si>
  <si>
    <t>Amortizacija Investicijske nekretnine</t>
  </si>
  <si>
    <t>540-3 dio</t>
  </si>
  <si>
    <t>Amortizacija Biološke imovine</t>
  </si>
  <si>
    <t>540-4 dio</t>
  </si>
  <si>
    <t>Amortizacija Imovine s pravom korištenja</t>
  </si>
  <si>
    <t>540-5 dio</t>
  </si>
  <si>
    <t>Amortizacija Dugoročnih finansijskih plasmana</t>
  </si>
  <si>
    <t>540-6 dio</t>
  </si>
  <si>
    <t>Amortizacija Ostale dugoročne imovina</t>
  </si>
  <si>
    <t>Amortizacija do visine porezno priznatih rashoda </t>
  </si>
  <si>
    <t>541-0 dio</t>
  </si>
  <si>
    <t xml:space="preserve">Amortizacija Nematerijalne imovine - privremeno porezno nepriznati rashod  </t>
  </si>
  <si>
    <t>541-1 dio</t>
  </si>
  <si>
    <t xml:space="preserve">Amortizacija Nekretnina, postrojenja i oprema - privremeno porezno nepriznati rashod  </t>
  </si>
  <si>
    <t>541-2 dio</t>
  </si>
  <si>
    <t xml:space="preserve">Amortizacija Investicijske nekretnine - privremeno porezno nepriznati rashod  </t>
  </si>
  <si>
    <t>541-3 dio</t>
  </si>
  <si>
    <t xml:space="preserve">Amortizacija Biološke imovine - privremeno porezno nepriznati rashod  </t>
  </si>
  <si>
    <t>541-4 dio</t>
  </si>
  <si>
    <t xml:space="preserve">Amortizacija Imovine s pravom korištenja - privremeno porezno nepriznati rashod  </t>
  </si>
  <si>
    <t>541-5 dio</t>
  </si>
  <si>
    <t xml:space="preserve">Amortizacija Dugoročnih finansijskih plasmana - privremeno porezno nepriznati rashod  </t>
  </si>
  <si>
    <t>541-6 dio</t>
  </si>
  <si>
    <t xml:space="preserve">Amortizacija Ostale dugoročne imovina - privremeno porezno nepriznati rashod  </t>
  </si>
  <si>
    <t xml:space="preserve">Amortizacija - privremeno porezno nepriznati rashod  </t>
  </si>
  <si>
    <t>542-0 dio</t>
  </si>
  <si>
    <t xml:space="preserve">Amortizacija Nematerijalne imovine - trajno porezno nepriznati rashod  </t>
  </si>
  <si>
    <t>542-1 dio</t>
  </si>
  <si>
    <t xml:space="preserve">Amortizacija Nekretnina, postrojenja i oprema - trajno porezno nepriznati rashod  </t>
  </si>
  <si>
    <t>542-2 dio</t>
  </si>
  <si>
    <t xml:space="preserve">Amortizacija Investicijske nekretnine - trajno porezno nepriznati rashod  </t>
  </si>
  <si>
    <t>542-3 dio</t>
  </si>
  <si>
    <t xml:space="preserve">Amortizacija Biološke imovine - trajno porezno nepriznati rashod  </t>
  </si>
  <si>
    <t>542-4 dio</t>
  </si>
  <si>
    <t xml:space="preserve">Amortizacija Imovine s pravom korištenja - trajno porezno nepriznati rashod  </t>
  </si>
  <si>
    <t>542-5 dio</t>
  </si>
  <si>
    <t xml:space="preserve">Amortizacija Dugoročnih finansijskih plasmana - trajno porezno nepriznati rashod  </t>
  </si>
  <si>
    <t>542-6 dio</t>
  </si>
  <si>
    <t xml:space="preserve">Amortizacija Ostale dugoročne imovina - trajno porezno nepriznati rashod  </t>
  </si>
  <si>
    <t xml:space="preserve">Amortizacija - trajno porezno nepriznati rashod  </t>
  </si>
  <si>
    <t xml:space="preserve">Troškovi rezervisanja iz osnova datih garantnih rokova  </t>
  </si>
  <si>
    <t xml:space="preserve">Troškovi rezervisanja za obnavljanje prirodnih bogatstava  </t>
  </si>
  <si>
    <t xml:space="preserve">Troškovi rezervisanja za zadržane kaucije i depozite  </t>
  </si>
  <si>
    <t xml:space="preserve">Troškovi rezervisanja za restrukturiranje  </t>
  </si>
  <si>
    <t xml:space="preserve">Troškovi rezervisanja za naknade i druge beneficije zaposlenika  </t>
  </si>
  <si>
    <t xml:space="preserve">Troškovi rezervisanja za sudske sporove i štetne ugovore  </t>
  </si>
  <si>
    <t xml:space="preserve">Troškovi ostalih rezervisanja  </t>
  </si>
  <si>
    <t>54</t>
  </si>
  <si>
    <t xml:space="preserve">Amortizacija i troškovi rezervisanja  </t>
  </si>
  <si>
    <t xml:space="preserve">Troškovi reprezentacije  </t>
  </si>
  <si>
    <t xml:space="preserve">Troškovi premija osiguranja  </t>
  </si>
  <si>
    <t xml:space="preserve">Troškovi platnog prometa  </t>
  </si>
  <si>
    <t xml:space="preserve">Trošovi poštanskih i telekomunikacionih usluga  </t>
  </si>
  <si>
    <t xml:space="preserve">Troškovi poreza, naknada, taksi i dr. dažbina na teret pravnog lica  </t>
  </si>
  <si>
    <t xml:space="preserve">Troškovi članskih doprinosa i sl. obaveza  </t>
  </si>
  <si>
    <t xml:space="preserve">Ostali nematerijalni troškovi  </t>
  </si>
  <si>
    <t>55</t>
  </si>
  <si>
    <t xml:space="preserve">Nematerijalni troškovi  </t>
  </si>
  <si>
    <t>Rashodi od kamata od povezanih strana</t>
  </si>
  <si>
    <t>Rashodi kamata od nepovezanih strana</t>
  </si>
  <si>
    <t xml:space="preserve">Negativne kursne razlike  </t>
  </si>
  <si>
    <t xml:space="preserve">Rashodi iz osnova valutne klauzule  </t>
  </si>
  <si>
    <t xml:space="preserve">Ostali finansijski rashodi  </t>
  </si>
  <si>
    <t>56</t>
  </si>
  <si>
    <t xml:space="preserve">Finansijski rashodi  </t>
  </si>
  <si>
    <t>5700</t>
  </si>
  <si>
    <t>Gubici od otuđenja nematerijalne imovine</t>
  </si>
  <si>
    <t>5701</t>
  </si>
  <si>
    <t>Gubici od otuđenja nekretnina, postrojenja i opreme</t>
  </si>
  <si>
    <t>Gubici od otuđenja nematerijalne imovine i nekretnina, postrojenja i opreme</t>
  </si>
  <si>
    <t xml:space="preserve">Gubici od otuđenja investicijskih nekretnina  </t>
  </si>
  <si>
    <t>Gubici od otuđenja biološke imovine</t>
  </si>
  <si>
    <t>5730</t>
  </si>
  <si>
    <t>Gubici od otuđenja dugoročne imovine namijenjene prodaji</t>
  </si>
  <si>
    <t>5731</t>
  </si>
  <si>
    <t>Gubici od otuđenja imovine poslovanja koje se obustavlja</t>
  </si>
  <si>
    <t>Gubici od otuđenja dugoročne imovine namijenjene prodaji i imovine poslovanja koje se obustavlja</t>
  </si>
  <si>
    <t>5740</t>
  </si>
  <si>
    <t>Gubici od otuđenja finansijske imovine po amortizovanom trošku</t>
  </si>
  <si>
    <t>5741</t>
  </si>
  <si>
    <t>Gubici od otuđenja finansijske imovine po fer vrijednosti kroz ostali ukupni rezultat</t>
  </si>
  <si>
    <t>5742</t>
  </si>
  <si>
    <t>Gubici od otuđenja finansijske imovine po fer vrijednosti kroz bilans uspjeha</t>
  </si>
  <si>
    <t>5743</t>
  </si>
  <si>
    <t>Gubici od otuđenja ulaganja u zavisna društva</t>
  </si>
  <si>
    <t>5744</t>
  </si>
  <si>
    <t>Gubici od otuđenja ulaganja u pridružena društva</t>
  </si>
  <si>
    <t>5745</t>
  </si>
  <si>
    <t>Gubici od otuđenja ulaganja u zajedničke poduhvate</t>
  </si>
  <si>
    <t>Gubici od otuđenja finansijske imovine i ulaganja u povezane strane</t>
  </si>
  <si>
    <t xml:space="preserve">Gubici od prodaje materijala  </t>
  </si>
  <si>
    <t xml:space="preserve">Manjkovi  </t>
  </si>
  <si>
    <t>Gubici od derivatnih finansijskih instrumenata</t>
  </si>
  <si>
    <t>5780</t>
  </si>
  <si>
    <t>Direktan otpis potraživanja od kupaca</t>
  </si>
  <si>
    <t>5781</t>
  </si>
  <si>
    <t>Ispravka vrijednosti i otpis ostale imovine i potraživanja koji nisu finansijska imovina</t>
  </si>
  <si>
    <t xml:space="preserve">Rashodi po osnovu ispravke vrijednosti i otpisa potraživanja  </t>
  </si>
  <si>
    <t>579 -dio</t>
  </si>
  <si>
    <t>Rashod, kalo, kvar i lom na zalihama materijala i robe</t>
  </si>
  <si>
    <t>Rashodovanja na zalihama materijala i robe, i ostali rashodi</t>
  </si>
  <si>
    <t>57</t>
  </si>
  <si>
    <t xml:space="preserve">Ostali rashodi i gubici  </t>
  </si>
  <si>
    <t>5810</t>
  </si>
  <si>
    <t>Umanjenje vrijednosti nekretnina, postrojenja i opreme koji se vode po trošku</t>
  </si>
  <si>
    <t>5811</t>
  </si>
  <si>
    <t>Gubici od promjena revalorizovane vrijednosti nekretnina, postojenja i opreme za koje nema postojećih revalorizacionih rezervi</t>
  </si>
  <si>
    <t xml:space="preserve">Umanjenje vrijednosti investicijskih nekretnina koje se vode po trošku  </t>
  </si>
  <si>
    <t>583</t>
  </si>
  <si>
    <t>Umanjenje vrijednosti biološke imovine koja se vodi po trošku</t>
  </si>
  <si>
    <t>5841</t>
  </si>
  <si>
    <t>Kreditni gubici od finansijske imovine po amortizovanom trošku</t>
  </si>
  <si>
    <t>5842</t>
  </si>
  <si>
    <t>Kreditni gubici od finansijske imovine po fer vrijednosti kroz ostali ukupni rezultat</t>
  </si>
  <si>
    <t>5843</t>
  </si>
  <si>
    <t>Gubici od prestanka priznavanja finansijske imovine po amortizovanom trošku (usljed modifikacije)</t>
  </si>
  <si>
    <t>5844</t>
  </si>
  <si>
    <t>Gubici od modifikacije finansijske imovine po amortizovanom trošku koje nisu rezultirale prestankom priznavanja</t>
  </si>
  <si>
    <t>5845</t>
  </si>
  <si>
    <t>Gubici od reklasifikacija finansijske imovine poslovnih modela</t>
  </si>
  <si>
    <t>584</t>
  </si>
  <si>
    <t>Gubici od usklađivanja vrijednosti dugoročne finansijske imovine</t>
  </si>
  <si>
    <t>585</t>
  </si>
  <si>
    <t>5860</t>
  </si>
  <si>
    <t>Kreditni gubici od potraživanja od kupaca</t>
  </si>
  <si>
    <t>5861</t>
  </si>
  <si>
    <t>Kreditni gubici od ostale finansijske imovine po amortizovanom trošku</t>
  </si>
  <si>
    <t>5862</t>
  </si>
  <si>
    <t>Smanjenje vrijednosti finansijske imovine po fer vrijednosti kroz bilans uspjeha</t>
  </si>
  <si>
    <t>586</t>
  </si>
  <si>
    <t>Gubici od usklađivanja vrijednosti kratkoročne finansijske imovine</t>
  </si>
  <si>
    <t>587</t>
  </si>
  <si>
    <t>Gubici od prestanka priznavanja imovine s pravom korištenja</t>
  </si>
  <si>
    <t>5880</t>
  </si>
  <si>
    <t>Gubici od usklađivanja vrijednosti dugoročne imovine namjenjene prodaji</t>
  </si>
  <si>
    <t>5881</t>
  </si>
  <si>
    <t>Gubici od usklađivanja vrijednosti imovine poslovanja koje se obustavlja</t>
  </si>
  <si>
    <t>588</t>
  </si>
  <si>
    <t>Gubici od usklađivanja vrijednosti dugoročne imovine namjenjene prodaji i imovine poslovanja koje se obustavlja</t>
  </si>
  <si>
    <t>5890</t>
  </si>
  <si>
    <t>Gubici od usklađivanja vrijednosti ostale nefinansijske imovine</t>
  </si>
  <si>
    <t>5891</t>
  </si>
  <si>
    <t>Gubici od usklađivanja vrijednosti ostale finansijske imovine</t>
  </si>
  <si>
    <t>589</t>
  </si>
  <si>
    <t>Gubici od usklađivanja vrijednosti ostale finansijske i nefinansijske imovine</t>
  </si>
  <si>
    <t>58</t>
  </si>
  <si>
    <t>Rashodi/gubici iz osnova umanjenja vrijednosti imovine</t>
  </si>
  <si>
    <t>590</t>
  </si>
  <si>
    <t xml:space="preserve">Rashodi iz osnova promjene računovodstvenih politika  </t>
  </si>
  <si>
    <t>591</t>
  </si>
  <si>
    <t xml:space="preserve">Rashodi iz osnova ispravki grešaka iz ranijih godina  </t>
  </si>
  <si>
    <t>konta 11 i 12 na početku perioda (proizvodnja u toku i vlastiti proizvodi)</t>
  </si>
  <si>
    <t>konta 11 i 12 na kraju perioda (proizvodnja u toku i vlastiti proizvodi)</t>
  </si>
  <si>
    <t>+/- ZALIHE</t>
  </si>
  <si>
    <t>Povećanje (Smanjenje) vrijednosti zaliha učinaka</t>
  </si>
  <si>
    <t>595</t>
  </si>
  <si>
    <t xml:space="preserve">Povećanje vrijednosti zaliha učinaka  </t>
  </si>
  <si>
    <t>596</t>
  </si>
  <si>
    <t xml:space="preserve">Smanjenje vrijednosti zaliha učinaka  </t>
  </si>
  <si>
    <t>RAZLIKA 596-595</t>
  </si>
  <si>
    <t>599</t>
  </si>
  <si>
    <t>59 bez 599</t>
  </si>
  <si>
    <t>5</t>
  </si>
  <si>
    <t>UKUPNO PRIHODI - kl.6</t>
  </si>
  <si>
    <t>UKUPNO RASHODI - kl.5</t>
  </si>
  <si>
    <t>Bruto Dobit (Gubitak)</t>
  </si>
  <si>
    <t>NETO PRIHODI- BU</t>
  </si>
  <si>
    <t>Bilans uspjeha AOP 252</t>
  </si>
  <si>
    <t>NETO RASHODI - BU</t>
  </si>
  <si>
    <t>Bilans uspjeha AOP 309</t>
  </si>
  <si>
    <t>Bilans uspjeha AOP 310 - AOP 311</t>
  </si>
  <si>
    <t xml:space="preserve"> Osnovica Poreza na dobit</t>
  </si>
  <si>
    <t>Porezni bilans Red.br. 66</t>
  </si>
  <si>
    <t>Porezni bilans Red.br. 67</t>
  </si>
  <si>
    <t>Neto Dobit (Gubitak)</t>
  </si>
  <si>
    <t>Bilans uspjeha AOP 322 - AOP 323</t>
  </si>
  <si>
    <t>721</t>
  </si>
  <si>
    <t>722</t>
  </si>
  <si>
    <t>723</t>
  </si>
  <si>
    <t>724</t>
  </si>
  <si>
    <t>725</t>
  </si>
  <si>
    <t>722-723+724-725</t>
  </si>
  <si>
    <t xml:space="preserve">Preneseno iz bilansa uspjeha </t>
  </si>
  <si>
    <t>332 dio</t>
  </si>
  <si>
    <t>339 dio</t>
  </si>
  <si>
    <t>330</t>
  </si>
  <si>
    <t>Zarada po dionici:</t>
  </si>
  <si>
    <t xml:space="preserve">     a) Osnovna</t>
  </si>
  <si>
    <t xml:space="preserve">     b) Razrijeđena</t>
  </si>
  <si>
    <t>% u kapitalu</t>
  </si>
  <si>
    <t>UKUPNO %</t>
  </si>
  <si>
    <r>
      <rPr>
        <sz val="18"/>
        <color theme="0"/>
        <rFont val="Calibri"/>
        <charset val="238"/>
        <scheme val="minor"/>
      </rPr>
      <t>USKLAĐIVANJE POREZNO</t>
    </r>
    <r>
      <rPr>
        <u/>
        <sz val="18"/>
        <color theme="0"/>
        <rFont val="Calibri"/>
        <charset val="238"/>
        <scheme val="minor"/>
      </rPr>
      <t xml:space="preserve"> NEPRIZNATIH RASHODA</t>
    </r>
    <r>
      <rPr>
        <sz val="18"/>
        <color theme="0"/>
        <rFont val="Calibri"/>
        <charset val="238"/>
        <scheme val="minor"/>
      </rPr>
      <t xml:space="preserve"> - Obrazac PB-800-A</t>
    </r>
  </si>
  <si>
    <t>5790 -dio</t>
  </si>
  <si>
    <r>
      <rPr>
        <sz val="12"/>
        <rFont val="Calibri"/>
        <charset val="238"/>
        <scheme val="minor"/>
      </rPr>
      <t>Rashod, kalo, kvar i lom na zalihama materijala i robe -</t>
    </r>
    <r>
      <rPr>
        <u/>
        <sz val="12"/>
        <rFont val="Calibri"/>
        <charset val="238"/>
        <scheme val="minor"/>
      </rPr>
      <t>Porezno NePriznat rashod</t>
    </r>
  </si>
  <si>
    <t>5791 -dio</t>
  </si>
  <si>
    <t>Zatezna kamata i troškovi postupka prinudne naplate</t>
  </si>
  <si>
    <t>5792 -dio</t>
  </si>
  <si>
    <t>Sudski troškovi vezano za sporove oko javnih prihoda</t>
  </si>
  <si>
    <t>5793 -dio</t>
  </si>
  <si>
    <t>Novčane kazne koje izriče nadležni organ</t>
  </si>
  <si>
    <t>5794 -dio</t>
  </si>
  <si>
    <t>Obračunati i plaćeni porez na dobit koji je iskazan kao rashod</t>
  </si>
  <si>
    <t>5795 -dio</t>
  </si>
  <si>
    <t>Porez po odbitku obračunat i plaćen na vlastiti teret</t>
  </si>
  <si>
    <t>5796 -dio</t>
  </si>
  <si>
    <t>Izdaci političkim strankama</t>
  </si>
  <si>
    <t>5797 -dio</t>
  </si>
  <si>
    <t>Rashodi koji se ne mogu povezati sa ostvarenjem dobit ili načelom poslovne pažnje dobrog privrednika</t>
  </si>
  <si>
    <t>5798 -dio</t>
  </si>
  <si>
    <t>5799 -dio</t>
  </si>
  <si>
    <r>
      <rPr>
        <sz val="12"/>
        <rFont val="Calibri"/>
        <charset val="238"/>
        <scheme val="minor"/>
      </rPr>
      <t>Ostali -</t>
    </r>
    <r>
      <rPr>
        <u/>
        <sz val="12"/>
        <rFont val="Calibri"/>
        <charset val="238"/>
        <scheme val="minor"/>
      </rPr>
      <t>Porezno NePriznati rashodi</t>
    </r>
  </si>
  <si>
    <t xml:space="preserve">UKUPNO : </t>
  </si>
  <si>
    <t>2. ANEKS - Dodatni računovodstveni izvještaj</t>
  </si>
  <si>
    <t>650 (dio)</t>
  </si>
  <si>
    <t>Troškovi službenih putovanja zaposlenih, od toga:</t>
  </si>
  <si>
    <t>523 (dio)</t>
  </si>
  <si>
    <t>Dnevnice za službena putovanja u zemlji i inostranstvu</t>
  </si>
  <si>
    <t>560(dio) + 561(dio)</t>
  </si>
  <si>
    <t>Rashodi od kamata za imovinu s pravom korištenja - operativni najam/lizing 5)</t>
  </si>
  <si>
    <t>27 osim 279</t>
  </si>
  <si>
    <t>47 osim 479</t>
  </si>
  <si>
    <t>Obaveze za PDV (potražni promet grupe 47) 7)</t>
  </si>
  <si>
    <t>PDV na uvoz (kumulativan promet konta)</t>
  </si>
  <si>
    <t>Obaveze za PDV plaćen pri uvozu (kumulativan promet konta)</t>
  </si>
  <si>
    <t>Navesti na koji način je knjižena kapitalizovana proizvodnja za vlastite potrebe u tekućoj godini:</t>
  </si>
  <si>
    <t>3. POSEBNI PODACI - o plaćama i broju zaposlenih</t>
  </si>
  <si>
    <t xml:space="preserve">Mjesec </t>
  </si>
  <si>
    <t>Broj zaposlenih -stanje krajem svakog mjeseca</t>
  </si>
  <si>
    <t>Ostvareni sati rada svih zaposlenika</t>
  </si>
  <si>
    <t>Fond sati</t>
  </si>
  <si>
    <t>Planirani sati</t>
  </si>
  <si>
    <t>Broj zaposlenih -na bazi sati rada</t>
  </si>
  <si>
    <t>Broj mjeseci</t>
  </si>
  <si>
    <t>&lt;- Broj zaposlenih za minimalnu plaću</t>
  </si>
  <si>
    <t>&lt;- Minimalna plaća</t>
  </si>
  <si>
    <t xml:space="preserve">PROSJEK : </t>
  </si>
  <si>
    <t>K o n t o</t>
  </si>
  <si>
    <t>I z n o s</t>
  </si>
  <si>
    <t>5200 -Neto plaće</t>
  </si>
  <si>
    <t>5210 -Neto naknada plaće</t>
  </si>
  <si>
    <t>Br.mjes.obr.plaća</t>
  </si>
  <si>
    <t>Porez na plaće</t>
  </si>
  <si>
    <t>Doprinosi iz plaća + naknada</t>
  </si>
  <si>
    <t>Doprinosi na plaće + naknada</t>
  </si>
  <si>
    <t>Prosječna neto plaća + naknada</t>
  </si>
  <si>
    <t>Prosječan br.zaposl.</t>
  </si>
  <si>
    <t>Neto plata i doprinosi na platu iz dobiti</t>
  </si>
  <si>
    <t>Neto učešće zaposlenih u dobiti</t>
  </si>
  <si>
    <t>Porez na plate</t>
  </si>
  <si>
    <t>Doprinosi iz plata</t>
  </si>
  <si>
    <t>Doprinosi na plate</t>
  </si>
  <si>
    <t>4. Obračun doprinosa i naknada</t>
  </si>
  <si>
    <t>POSEBANA NAKNADA ZA ZAŠTITU OD PRIRODNIH I DRUGIH NESREĆA - Obrazac ZS</t>
  </si>
  <si>
    <t>Stopa iz tačke / točke 2. Uputstva / Naputka</t>
  </si>
  <si>
    <t>Isplaćene neto plaće -konto D-450</t>
  </si>
  <si>
    <t>Neto isplate po ugovoru o djelu i ugovoru o vršenju privr. i povrem.poslova -kont D-466</t>
  </si>
  <si>
    <t>Naknada za zaštitu od prirodnih i drugih nesreća propisana je</t>
  </si>
  <si>
    <t xml:space="preserve">UKUPNO: </t>
  </si>
  <si>
    <t>1. Zakonom o zaštiti i spašavanju ljudi i materijalnih dobara od prirodnih i drugih nesreća ("Sl.novine F BiH", broj 39/03)</t>
  </si>
  <si>
    <t>Obračunati iznos</t>
  </si>
  <si>
    <t>2. Uputstvom o načinu obračunavanja i uplati posebnog poreza za zaštitu od prirodnih i drugih nesreća ("Sl.novine F BiH", broj 44/04)</t>
  </si>
  <si>
    <t>VODNE NAKNADE - Obrazac OVN</t>
  </si>
  <si>
    <t>OPĆA VODNA NAKNADA</t>
  </si>
  <si>
    <t>Jedinica</t>
  </si>
  <si>
    <t>Iznos / količina</t>
  </si>
  <si>
    <t>Visina</t>
  </si>
  <si>
    <t>Uplaćeni iznos</t>
  </si>
  <si>
    <t>mjere</t>
  </si>
  <si>
    <t>naknade</t>
  </si>
  <si>
    <t xml:space="preserve">/KM/ </t>
  </si>
  <si>
    <t>/KM/</t>
  </si>
  <si>
    <t>Uplaćene neto plaće zaposlenika</t>
  </si>
  <si>
    <t>KM</t>
  </si>
  <si>
    <t>Uplate po ugovoru o djelu</t>
  </si>
  <si>
    <t>POSEBNE VODNE NAKNADA</t>
  </si>
  <si>
    <t xml:space="preserve"> - Naknada za korištenje podzemnih i površinskih voda</t>
  </si>
  <si>
    <t>za javnu vodoopskrbu</t>
  </si>
  <si>
    <t>m3</t>
  </si>
  <si>
    <t>za flaširanje vode i mineralne vode</t>
  </si>
  <si>
    <t>za industrijske procese, uključujući TE</t>
  </si>
  <si>
    <t>za druge namjene</t>
  </si>
  <si>
    <t>za proizvodnju električne energije u HE</t>
  </si>
  <si>
    <t>kWh</t>
  </si>
  <si>
    <t xml:space="preserve"> - Naknada za zaštitu voda</t>
  </si>
  <si>
    <t>za vlasnike transportnih sredstava</t>
  </si>
  <si>
    <t>EBS</t>
  </si>
  <si>
    <t>za ispuštanje otpadnih voda</t>
  </si>
  <si>
    <t>za uzgoj ribe</t>
  </si>
  <si>
    <t>kg</t>
  </si>
  <si>
    <t>za upotrebu kemikalija za zaštitu bilja</t>
  </si>
  <si>
    <t xml:space="preserve"> - Naknada za izvađeni materijal iz vodotoka</t>
  </si>
  <si>
    <t xml:space="preserve"> - Naknada za zaštitu od poplava</t>
  </si>
  <si>
    <t>poljoprivrednog, građevinskog ili šumskog zemljišta</t>
  </si>
  <si>
    <t>ha</t>
  </si>
  <si>
    <t>stambenih, poslovnih ili drugih objekata</t>
  </si>
  <si>
    <t>m2</t>
  </si>
  <si>
    <t>DOPRINOS TURISTIČKOJ ZAJEDNICI - Obrazac TZ</t>
  </si>
  <si>
    <t>Osnovica - ukupan prihod :</t>
  </si>
  <si>
    <t>Stopa :</t>
  </si>
  <si>
    <t>Upišite stopu vašeg turističkog mjesta. Ako niste obavezni uplaćivati doprinos turističkoj zajednici, upišite nulu ( 0 ).</t>
  </si>
  <si>
    <t>Uplaćene akontacije :</t>
  </si>
  <si>
    <t>NAKNADA ZA ŠUME - Obrazac ONŠ</t>
  </si>
  <si>
    <t>Uplata naknade</t>
  </si>
  <si>
    <t>Vrsta naknada za eksploataciju šuma</t>
  </si>
  <si>
    <t>Stopa</t>
  </si>
  <si>
    <t>Osnovica</t>
  </si>
  <si>
    <t>1.+2.</t>
  </si>
  <si>
    <t>( % )</t>
  </si>
  <si>
    <t>( KM )</t>
  </si>
  <si>
    <t>kvartal</t>
  </si>
  <si>
    <t>(6+7+9+10)</t>
  </si>
  <si>
    <t>Naknada za korištenje državnih šuma (7% od prihoda od drveta računajući cijenu drveta na panju i prihoda ostvarenog nedrvnih šumskih proizvoda)</t>
  </si>
  <si>
    <t>Budžet Federacije BiH</t>
  </si>
  <si>
    <t>Budžet Kantona</t>
  </si>
  <si>
    <t>Budžet općine</t>
  </si>
  <si>
    <t xml:space="preserve">Naknada za korištenje općekorisnih funkcija šuma - </t>
  </si>
  <si>
    <t>UPIŠITE STOPU</t>
  </si>
  <si>
    <t>OSTALI KANTONI - OSNOVICA UKUPAN PRIHOD OSTVARENA NA PODRUČJU KANTONA</t>
  </si>
  <si>
    <t>ZD KANTON - OSNOVICA DOBIT OSTVARENA NA PODRUČJU KANTONA</t>
  </si>
  <si>
    <t>Usvojene stope po kantonalnim propisima.</t>
  </si>
  <si>
    <t xml:space="preserve"> - Unsko-sanski; Zeničko-dobojski; Hercegovačko-neretvanski; Zapadno-hercegovački; Sarajevski; i Hercegbosanski.</t>
  </si>
  <si>
    <t xml:space="preserve"> - Bosansko-podrinjski kanton.</t>
  </si>
  <si>
    <t xml:space="preserve"> - Tuzlanski; i SREDNJOBOSANSKI KANTON / KANTON SREDIŠNJA BOSNA</t>
  </si>
  <si>
    <t xml:space="preserve"> - Posavski kanton</t>
  </si>
  <si>
    <t>DOPRINOSI KOMORAMA</t>
  </si>
  <si>
    <t>Obračunato</t>
  </si>
  <si>
    <t>Uplaćeno</t>
  </si>
  <si>
    <t>Za uplatu</t>
  </si>
  <si>
    <t>Za povrat</t>
  </si>
  <si>
    <t>Isplaćene bruto plaće</t>
  </si>
  <si>
    <t>OSNOVICA ZA OBRAČUN ČLANARINE</t>
  </si>
  <si>
    <t>a) Osnovica za obračun članarine</t>
  </si>
  <si>
    <t>Pk BiH</t>
  </si>
  <si>
    <t>Članarina Privrednoj (Gospodarskoj) komori BiH</t>
  </si>
  <si>
    <t>Pk Federacije BiH</t>
  </si>
  <si>
    <t>Članarina Privrednoj (Gospodarskoj) komori Federacije BiH</t>
  </si>
  <si>
    <t>Pk Kantona</t>
  </si>
  <si>
    <t>Članarina Privrednoj (Gospodarskoj) komori Kantona</t>
  </si>
  <si>
    <t>b) Najniži iznos za uplatu</t>
  </si>
  <si>
    <t>Naplaćena članarina</t>
  </si>
  <si>
    <t>OPŠTA UDRUŽENJA - KOLEKTIVNI ČLANOVI</t>
  </si>
  <si>
    <t>c) Opšta udruženja - kolektivni članovi</t>
  </si>
  <si>
    <t>5. BILANS STANJA - Aktiva</t>
  </si>
  <si>
    <t>Aktiva</t>
  </si>
  <si>
    <t>BRUTO</t>
  </si>
  <si>
    <t>Ispravka i usklađ.vrij.</t>
  </si>
  <si>
    <t xml:space="preserve">Kapitalizirana ulaganja u razvoj  </t>
  </si>
  <si>
    <t xml:space="preserve">Koncesije, patenti, licence, zaštitni znakovi i druga prava  </t>
  </si>
  <si>
    <t xml:space="preserve">Goodwill  </t>
  </si>
  <si>
    <t>Nematerijalna imovina u pripremi </t>
  </si>
  <si>
    <t xml:space="preserve">Avansi za nematerijalna sredstva  </t>
  </si>
  <si>
    <t>01</t>
  </si>
  <si>
    <t xml:space="preserve">Zemljište  </t>
  </si>
  <si>
    <t xml:space="preserve">Građevinski objekti  </t>
  </si>
  <si>
    <t xml:space="preserve">Postrojenja i oprema (mašine)  </t>
  </si>
  <si>
    <t xml:space="preserve">Alati, pogonski i kancelarijski namještaj  </t>
  </si>
  <si>
    <t xml:space="preserve">Transportna sredstva  </t>
  </si>
  <si>
    <t xml:space="preserve">Nekretnine, postrojenja i oprema u pripremi  </t>
  </si>
  <si>
    <t xml:space="preserve">Avansi za nekretnine, postrojenja i opremu  </t>
  </si>
  <si>
    <t>02</t>
  </si>
  <si>
    <t xml:space="preserve">Nekretnine, postrojenja i oprema  </t>
  </si>
  <si>
    <t xml:space="preserve">Ulaganja u vlastito zemljište  </t>
  </si>
  <si>
    <t xml:space="preserve">Ulaganja u unajmljeno zemljište  </t>
  </si>
  <si>
    <t>Ulaganja u vlastite građevinske objekte</t>
  </si>
  <si>
    <t>Ulaganja u unajmljene građevinske objekte</t>
  </si>
  <si>
    <t xml:space="preserve">Investicijske nekretnine u pripremi  </t>
  </si>
  <si>
    <t>Vrijednosna usklađivanja ulaganja u investicijske nekretnine po osnovu promjene fer vrijednosti</t>
  </si>
  <si>
    <t xml:space="preserve">Avansi za investicijske nekretnine  </t>
  </si>
  <si>
    <t>03</t>
  </si>
  <si>
    <t xml:space="preserve">Ulaganje u investicijske nekretnine  </t>
  </si>
  <si>
    <t xml:space="preserve">Šume  </t>
  </si>
  <si>
    <t xml:space="preserve">Višegodišnji zasadi  </t>
  </si>
  <si>
    <t xml:space="preserve">Osnovno stado  </t>
  </si>
  <si>
    <t xml:space="preserve">Biološka imovina u pripremi  </t>
  </si>
  <si>
    <t>Vrijednosna usklađivanja biološke imovine po osnovu promjene fer vrijednosti</t>
  </si>
  <si>
    <t>Avansi za biološku imovinu</t>
  </si>
  <si>
    <t>04</t>
  </si>
  <si>
    <t>Postrojenja i oprema (mašine)</t>
  </si>
  <si>
    <t>05</t>
  </si>
  <si>
    <t>0601</t>
  </si>
  <si>
    <t>Ulaganja u zavisna društva</t>
  </si>
  <si>
    <t>0602</t>
  </si>
  <si>
    <t>Ulaganja u pridružena društva</t>
  </si>
  <si>
    <t>0603</t>
  </si>
  <si>
    <t>Ulaganja u zavisna i pridružena društva i zajedničke poduhvate</t>
  </si>
  <si>
    <t>0651</t>
  </si>
  <si>
    <t>Instrumenti kapitala (dionice i vlasnički udjeli)</t>
  </si>
  <si>
    <t>0652</t>
  </si>
  <si>
    <t>Dužnički instrumenti (obveznice, dati krediti, depoziti kod banaka)</t>
  </si>
  <si>
    <t>0653</t>
  </si>
  <si>
    <t>Ostala finansijska imovina po fer vrijednosti kroz ostali ukupni rezultat</t>
  </si>
  <si>
    <t>0654</t>
  </si>
  <si>
    <t>Potraživanja za kamatu po finasijskoj imovini po fer vrijednosti kroz ostali ukupni rezultat</t>
  </si>
  <si>
    <t>Finansijska imovina po fer vrijednosti kroz ostali ukupni rezultat</t>
  </si>
  <si>
    <t>0661</t>
  </si>
  <si>
    <t>0662</t>
  </si>
  <si>
    <t xml:space="preserve">Dati kredit </t>
  </si>
  <si>
    <t>0663</t>
  </si>
  <si>
    <t>0664</t>
  </si>
  <si>
    <t>0671</t>
  </si>
  <si>
    <t>Dugoročna potraživanja po finansijski najmovima</t>
  </si>
  <si>
    <t>Potraživanja po finasijskim najmovima</t>
  </si>
  <si>
    <t>06</t>
  </si>
  <si>
    <t xml:space="preserve">Dugoročni finansijski plasmani  </t>
  </si>
  <si>
    <t>Ostala dugoročna imovina po osnovu ugovora sa kupcima -dodatni troškovi sticanja ugovora</t>
  </si>
  <si>
    <t>071</t>
  </si>
  <si>
    <t>Ostala dugoročna imovina po osnovu ugovora sa kupcima -troškovi izvršenja ugovora</t>
  </si>
  <si>
    <t>Ostala dugoročna potraživanja i imovina</t>
  </si>
  <si>
    <t>07</t>
  </si>
  <si>
    <t>Unaprijed plaćeni troškovi</t>
  </si>
  <si>
    <t xml:space="preserve">Ostala dugoročna razgraničenja  </t>
  </si>
  <si>
    <t>09</t>
  </si>
  <si>
    <t xml:space="preserve">Odgođena porezna imovina i dugoročna razgraničenja  </t>
  </si>
  <si>
    <t xml:space="preserve">0 </t>
  </si>
  <si>
    <t>DUGOROČNA IMOVINA</t>
  </si>
  <si>
    <t xml:space="preserve">Sirovine, materijal, rezervni dijelovi i sitan inventar  </t>
  </si>
  <si>
    <t xml:space="preserve">Proizvodnja u toku, poluproizvodi i nedovršene usluge  </t>
  </si>
  <si>
    <t xml:space="preserve">Gotovi proizvodi  </t>
  </si>
  <si>
    <t xml:space="preserve">Roba  </t>
  </si>
  <si>
    <t xml:space="preserve">Dati avansi  </t>
  </si>
  <si>
    <t>1</t>
  </si>
  <si>
    <t xml:space="preserve">ZALIHE I DUGOROČNA IMOVINA NAMIJENJENA PRODAJI  </t>
  </si>
  <si>
    <t>200</t>
  </si>
  <si>
    <t xml:space="preserve">Transakcijski računi - domaća valuta  </t>
  </si>
  <si>
    <t>201</t>
  </si>
  <si>
    <t xml:space="preserve">Transakcijski računi - strana valuta  </t>
  </si>
  <si>
    <t>202</t>
  </si>
  <si>
    <t xml:space="preserve">Izdvojena novčana sredstva  </t>
  </si>
  <si>
    <t>203</t>
  </si>
  <si>
    <t xml:space="preserve">Akreditivi - domaća valuta  </t>
  </si>
  <si>
    <t>204</t>
  </si>
  <si>
    <t xml:space="preserve">Akreditivi - strana valuta  </t>
  </si>
  <si>
    <t>205</t>
  </si>
  <si>
    <t xml:space="preserve">Blagajne - domaća valuta  </t>
  </si>
  <si>
    <t>206</t>
  </si>
  <si>
    <t xml:space="preserve">Blagajne - strana valuta  </t>
  </si>
  <si>
    <t xml:space="preserve">Novčani ekvivalenti  </t>
  </si>
  <si>
    <t>208</t>
  </si>
  <si>
    <t xml:space="preserve">Ostala novčana sredstva  </t>
  </si>
  <si>
    <t xml:space="preserve">Gotovina i gotovinski ekvivalenti  </t>
  </si>
  <si>
    <t>210</t>
  </si>
  <si>
    <t>211</t>
  </si>
  <si>
    <t xml:space="preserve">Kupci u zemlji  </t>
  </si>
  <si>
    <t>212</t>
  </si>
  <si>
    <t xml:space="preserve">Kupci u inostranstvu  </t>
  </si>
  <si>
    <t xml:space="preserve">Potraživanja od prodaje  </t>
  </si>
  <si>
    <t>220</t>
  </si>
  <si>
    <t>Derivatna finansijska imovina koja se koristi kao instrument zaštite</t>
  </si>
  <si>
    <t>221</t>
  </si>
  <si>
    <t>Ostala derivatna finansijska imovina</t>
  </si>
  <si>
    <t>Derivatna finansijska imovina</t>
  </si>
  <si>
    <t>230</t>
  </si>
  <si>
    <t>Potraživanja za dividende</t>
  </si>
  <si>
    <t>2310</t>
  </si>
  <si>
    <t>Potraživanja za kamatu po depozitima po amortizovanom trošku</t>
  </si>
  <si>
    <t>2311</t>
  </si>
  <si>
    <t>Potraživanja za kamatu po datim kreditima po amortizovanom trošku</t>
  </si>
  <si>
    <t>2312</t>
  </si>
  <si>
    <t>Potraživanja za kamtu po obveznicama po amortizovanom trošku</t>
  </si>
  <si>
    <t>2313</t>
  </si>
  <si>
    <t>Potraživanja za kamatu po ostaloj finansijskoj imovini po amortizovanom trošku</t>
  </si>
  <si>
    <t>2314</t>
  </si>
  <si>
    <t>Potraživanja za zateznu kamatu</t>
  </si>
  <si>
    <t>231</t>
  </si>
  <si>
    <t>Potraživanja za kamatu od finansijske imovine i zateznu kamatu</t>
  </si>
  <si>
    <t>232</t>
  </si>
  <si>
    <r>
      <rPr>
        <sz val="12"/>
        <rFont val="Calibri"/>
        <charset val="238"/>
        <scheme val="minor"/>
      </rPr>
      <t xml:space="preserve">Potraživanja od </t>
    </r>
    <r>
      <rPr>
        <u/>
        <sz val="12"/>
        <rFont val="Calibri"/>
        <charset val="238"/>
        <scheme val="minor"/>
      </rPr>
      <t>zaposlenih</t>
    </r>
  </si>
  <si>
    <t>233</t>
  </si>
  <si>
    <t xml:space="preserve">Potraživanja od državnih organa i institucija  </t>
  </si>
  <si>
    <t>234</t>
  </si>
  <si>
    <r>
      <rPr>
        <sz val="12"/>
        <color theme="1"/>
        <rFont val="Calibri"/>
        <charset val="238"/>
        <scheme val="minor"/>
      </rPr>
      <t xml:space="preserve">Akontacija </t>
    </r>
    <r>
      <rPr>
        <u/>
        <sz val="12"/>
        <color theme="1"/>
        <rFont val="Calibri"/>
        <charset val="238"/>
        <scheme val="minor"/>
      </rPr>
      <t>poreza na dobit</t>
    </r>
  </si>
  <si>
    <t>235</t>
  </si>
  <si>
    <t xml:space="preserve">Potraživanja za više plaćene ostale poreze i doprinose  </t>
  </si>
  <si>
    <t>237</t>
  </si>
  <si>
    <t>Potraživanja po osnovu faktoring poslova</t>
  </si>
  <si>
    <t>238</t>
  </si>
  <si>
    <t xml:space="preserve">Ostala kratkoročna potraživanja  </t>
  </si>
  <si>
    <t>2401</t>
  </si>
  <si>
    <t>2402</t>
  </si>
  <si>
    <t>Dati krediti</t>
  </si>
  <si>
    <t>2403</t>
  </si>
  <si>
    <t>2404</t>
  </si>
  <si>
    <t>240</t>
  </si>
  <si>
    <t>245</t>
  </si>
  <si>
    <t>247</t>
  </si>
  <si>
    <t xml:space="preserve">Potraživanja po finansijskim najmovima </t>
  </si>
  <si>
    <t xml:space="preserve">Kratkoročni finansijski plasmani  </t>
  </si>
  <si>
    <t>270</t>
  </si>
  <si>
    <t xml:space="preserve">PDV u primljenim fakturama  </t>
  </si>
  <si>
    <t>271</t>
  </si>
  <si>
    <t xml:space="preserve">PDV plaćen pri uvozu dobara  </t>
  </si>
  <si>
    <t>272</t>
  </si>
  <si>
    <t xml:space="preserve">PDV sadržan u datim avansima  </t>
  </si>
  <si>
    <t>273</t>
  </si>
  <si>
    <t xml:space="preserve">PDV obračunat na usluge stranih lica  </t>
  </si>
  <si>
    <t>274</t>
  </si>
  <si>
    <t xml:space="preserve">Paušalni iznosi PDV-a isplaćeni poljoprivrednicima  </t>
  </si>
  <si>
    <t>275</t>
  </si>
  <si>
    <t xml:space="preserve">Ulazni porez uplaćen po posebnoj šemi  </t>
  </si>
  <si>
    <t>276</t>
  </si>
  <si>
    <t xml:space="preserve">Ulazni porez na koji još nije stečeno pravo odbitka  </t>
  </si>
  <si>
    <t>278</t>
  </si>
  <si>
    <t xml:space="preserve">Druga potraživanja po osnovu PDV-a  </t>
  </si>
  <si>
    <t>279</t>
  </si>
  <si>
    <t xml:space="preserve">Potraživanja za razliku ulaznog poreza i obaveza za PDV  </t>
  </si>
  <si>
    <t xml:space="preserve">Potraživanja za PDV - odbitni ulazni porez  </t>
  </si>
  <si>
    <t>280</t>
  </si>
  <si>
    <t>281</t>
  </si>
  <si>
    <t>Obračunati, nefakturisani prihodi</t>
  </si>
  <si>
    <t>289</t>
  </si>
  <si>
    <t xml:space="preserve">Ostala kratkoročna razgraničenja  </t>
  </si>
  <si>
    <t>Kratkoročna razgraničenja</t>
  </si>
  <si>
    <t>2</t>
  </si>
  <si>
    <t>KRATKOROČNA IMOVINA (IZUZEV ZALIHA I DUGOROČNE IMOVINE NAMIJENJENE PRODAJI)</t>
  </si>
  <si>
    <t>Poslovna AKTIVA</t>
  </si>
  <si>
    <t>88</t>
  </si>
  <si>
    <t>Vanbilansna aktiva</t>
  </si>
  <si>
    <t>Ukupno AKTIVA</t>
  </si>
  <si>
    <t>stanje</t>
  </si>
  <si>
    <t>300</t>
  </si>
  <si>
    <t xml:space="preserve">Dionički kapital  </t>
  </si>
  <si>
    <t>302</t>
  </si>
  <si>
    <t xml:space="preserve">Udjeli članova društva sa ograničenom odgovornošću  </t>
  </si>
  <si>
    <t>305</t>
  </si>
  <si>
    <t xml:space="preserve">Državni kapital  </t>
  </si>
  <si>
    <t>309</t>
  </si>
  <si>
    <t xml:space="preserve">Vlasnički kapital  </t>
  </si>
  <si>
    <t>3200</t>
  </si>
  <si>
    <t>Ažio</t>
  </si>
  <si>
    <t>3201</t>
  </si>
  <si>
    <t>Disažio</t>
  </si>
  <si>
    <t>320</t>
  </si>
  <si>
    <t>321</t>
  </si>
  <si>
    <t xml:space="preserve">Statutarne rezerve  </t>
  </si>
  <si>
    <t>322</t>
  </si>
  <si>
    <t xml:space="preserve">Rezerve  </t>
  </si>
  <si>
    <t>Revalorizacione rezerve za nekretnine, postrojenja i opremu, i nematerijalnu imovinu</t>
  </si>
  <si>
    <t>331</t>
  </si>
  <si>
    <t>Efekti revalorizacije proizašli iz transakcija zaštite</t>
  </si>
  <si>
    <t>332</t>
  </si>
  <si>
    <t>Revalorizacione rezerve za finansijsku imovinu po fer vrijednosti kroz ostali ukupni rezultat</t>
  </si>
  <si>
    <t>339</t>
  </si>
  <si>
    <t xml:space="preserve">Revalorizacione rezerve  </t>
  </si>
  <si>
    <t>340</t>
  </si>
  <si>
    <t>Neraspoređena dobit ranijih perioda</t>
  </si>
  <si>
    <t>341</t>
  </si>
  <si>
    <t>Neraspoređena dobit izvještajnog perioda</t>
  </si>
  <si>
    <t xml:space="preserve">Dobit  </t>
  </si>
  <si>
    <t>350</t>
  </si>
  <si>
    <t>Gubitak ranijih perioda</t>
  </si>
  <si>
    <t>351</t>
  </si>
  <si>
    <t>Gubitak izvještajnog perioda</t>
  </si>
  <si>
    <t>360</t>
  </si>
  <si>
    <t>3</t>
  </si>
  <si>
    <t xml:space="preserve">KAPITAL  </t>
  </si>
  <si>
    <t>400</t>
  </si>
  <si>
    <t xml:space="preserve">Rezervisanja za troškove u garantnom roku  </t>
  </si>
  <si>
    <t xml:space="preserve">Rezervisanja za troškove obnavljanja prirodnih bogatstava  </t>
  </si>
  <si>
    <t xml:space="preserve">Obaveze za zadržane kaucije i depozite  </t>
  </si>
  <si>
    <t xml:space="preserve">Rezervisanja za troškove restrukturiranja  </t>
  </si>
  <si>
    <t xml:space="preserve">Rezervisanja za naknade i beneficije zaposlenika  </t>
  </si>
  <si>
    <t xml:space="preserve">Rezervisanja po započetim sudskim sporovima  </t>
  </si>
  <si>
    <t xml:space="preserve">Rezervisanja po štetnim ugovorima  </t>
  </si>
  <si>
    <t xml:space="preserve">Unaprijed naplaćeni, odloženi prihodi  </t>
  </si>
  <si>
    <t xml:space="preserve">Odložene porezne obaveze  </t>
  </si>
  <si>
    <t>4090</t>
  </si>
  <si>
    <t>Ostala dugoročna rezervisanja</t>
  </si>
  <si>
    <t>4091</t>
  </si>
  <si>
    <t xml:space="preserve">Ostala dugoročna rezervisanja i razgraničenja  </t>
  </si>
  <si>
    <t xml:space="preserve">Dugoročna rezervisanja i razgraničenja, i odgođene porezne obaveze  </t>
  </si>
  <si>
    <t xml:space="preserve">Obaveze koje se mogu konvertovati u kapital  </t>
  </si>
  <si>
    <t xml:space="preserve">Dugoročni krediti uzeti u zemlji  </t>
  </si>
  <si>
    <t xml:space="preserve">Dugoročni krediti uzeti u inostranstvu  </t>
  </si>
  <si>
    <t>Dugoročne obaveze po najmovima (finansijski najam)</t>
  </si>
  <si>
    <t>Dugoročne obaveze po najmovima (operativni najam)</t>
  </si>
  <si>
    <t>Ostale dugoročne finansijski obaveze po amortizovanom trošku</t>
  </si>
  <si>
    <t xml:space="preserve">Ostale dugoročne obaveze  </t>
  </si>
  <si>
    <t xml:space="preserve">Dugoročne obaveze  </t>
  </si>
  <si>
    <t xml:space="preserve">Obaveze po izdatim dužničkim instrumentima  </t>
  </si>
  <si>
    <t xml:space="preserve">Kratkoročni krediti uzeti u zemlji  </t>
  </si>
  <si>
    <t xml:space="preserve">Kratkoročni krediti uzeti u inostranstvu  </t>
  </si>
  <si>
    <t>Prekoračenje po bankovnim računima</t>
  </si>
  <si>
    <t>Kratkoročne obaveze po najmovima (uzeti finansijski najam)</t>
  </si>
  <si>
    <t>Kratkoročne obaveze po najmovima (operativni najam)</t>
  </si>
  <si>
    <t>Finansijske obaveze pi fer vrijednosti kroz bilans uspjeha</t>
  </si>
  <si>
    <t>Ostale kratkoročne finansijske obaveze po amortizovanom trošku</t>
  </si>
  <si>
    <t xml:space="preserve">Kratkoročne finansijske obaveze  </t>
  </si>
  <si>
    <t>Primljeni depoziti i kaucije, i zadržana plaćanja</t>
  </si>
  <si>
    <t xml:space="preserve">Dobavljači - povezana pravna lica  </t>
  </si>
  <si>
    <t xml:space="preserve">Dobavljači u zemlji  </t>
  </si>
  <si>
    <t xml:space="preserve">Dobavljači u inostranstvu  </t>
  </si>
  <si>
    <t>Primljeni avansi</t>
  </si>
  <si>
    <t>Obaveze po programu lojalnosti kupaca</t>
  </si>
  <si>
    <t>Obaveze po osnovu faktoring poslova</t>
  </si>
  <si>
    <t>Ostale obaveze iz poslovanja</t>
  </si>
  <si>
    <t xml:space="preserve">Obaveze iz poslovanja  </t>
  </si>
  <si>
    <t>Derivatne finansijske obaveze proistekle iz instrumenata zaštite</t>
  </si>
  <si>
    <t>Ostale derivatne finansijske obaveze</t>
  </si>
  <si>
    <t>Derivatne finansijske obaveze</t>
  </si>
  <si>
    <t xml:space="preserve">Obaveze za neto plaće i naknade plaća  </t>
  </si>
  <si>
    <t xml:space="preserve">Obaveze za porez i posebne dažbine na plaće i naknade plaća  </t>
  </si>
  <si>
    <t xml:space="preserve">Obaveze za doprinose u vezi plaća i naknada plaća  </t>
  </si>
  <si>
    <t xml:space="preserve">Obaveze za neto naknade plaća koje se refundiraju  </t>
  </si>
  <si>
    <t xml:space="preserve">Obaveze za porez i posebne dažbine na naknade plaća koje se refundiraju  </t>
  </si>
  <si>
    <t xml:space="preserve">Obaveze za doprinose u vezi naknada plaća koje se refundiraju  </t>
  </si>
  <si>
    <t xml:space="preserve">Obaveze za ostala neto primanja, naknade troškova i materijalna prava zaposlenih  </t>
  </si>
  <si>
    <t>457</t>
  </si>
  <si>
    <t xml:space="preserve">Obaveze za porez i posebne dažbine na ostala primanja zaposlenih  </t>
  </si>
  <si>
    <t>458</t>
  </si>
  <si>
    <t xml:space="preserve">Obaveze za doprinose u vezi ostalih primanja zaposlenih  </t>
  </si>
  <si>
    <t xml:space="preserve">Obaveze po osnovu plaća, naknada i ostalih primanja zaposlenih  </t>
  </si>
  <si>
    <t>4600</t>
  </si>
  <si>
    <t>Obaveze po osnovu kamata po uzetim kreditima</t>
  </si>
  <si>
    <t>4601</t>
  </si>
  <si>
    <t>Obaveze po osnovu kamata po najmovima</t>
  </si>
  <si>
    <t>4602</t>
  </si>
  <si>
    <t>Obaveze po osnovu kamata po izdatim dužničkim instrumentima</t>
  </si>
  <si>
    <t>4603</t>
  </si>
  <si>
    <t>Obaveze po osnovu kamata po ostalim finasijskim obavezama po amortizovanom trošku</t>
  </si>
  <si>
    <t>460</t>
  </si>
  <si>
    <t xml:space="preserve">Obaveze po osnovu kamata i troškova finansiranja  </t>
  </si>
  <si>
    <t>461</t>
  </si>
  <si>
    <t xml:space="preserve">Obaveze za dividende  </t>
  </si>
  <si>
    <t>462</t>
  </si>
  <si>
    <t>Obaveze za raspodjelu dobiti</t>
  </si>
  <si>
    <t>463</t>
  </si>
  <si>
    <t xml:space="preserve">Obaveze za naknade članovima odbora, komisija i sl.  </t>
  </si>
  <si>
    <t>464</t>
  </si>
  <si>
    <t xml:space="preserve">Obaveze za porez i posebne dažbine na naknade članovima  odbora, komisija i sl.  </t>
  </si>
  <si>
    <t>465</t>
  </si>
  <si>
    <t xml:space="preserve">Obaveze za doprinose u vezi s naknada članovima odbora, komisija i sl.  </t>
  </si>
  <si>
    <t>466</t>
  </si>
  <si>
    <t xml:space="preserve">Obaveze prema fizičkim licima za naknade po ugovorima  </t>
  </si>
  <si>
    <t>467</t>
  </si>
  <si>
    <t xml:space="preserve">Obaveze za porez i posebne dažbine na naknade fizičkim licima  </t>
  </si>
  <si>
    <t>468</t>
  </si>
  <si>
    <t xml:space="preserve">Obaveze za doprinose u vezi naknada fizičkim licima  </t>
  </si>
  <si>
    <t>469</t>
  </si>
  <si>
    <t xml:space="preserve">Ostale obaveze  </t>
  </si>
  <si>
    <t xml:space="preserve">Druge obaveze  </t>
  </si>
  <si>
    <t>470</t>
  </si>
  <si>
    <t xml:space="preserve">PDV po osnovu isporuka drugim obveznicima PDV-a  </t>
  </si>
  <si>
    <t>471</t>
  </si>
  <si>
    <t xml:space="preserve">PDV po primljenim avansima  </t>
  </si>
  <si>
    <t>472</t>
  </si>
  <si>
    <t xml:space="preserve">PDV po osnovu vlastite potrošnje u neposlovne svrhe  </t>
  </si>
  <si>
    <t>473</t>
  </si>
  <si>
    <t xml:space="preserve">PDV po osnovu isporuka neobveznicima PDV-a (krajnja potrošnja)  </t>
  </si>
  <si>
    <t>474</t>
  </si>
  <si>
    <t>475</t>
  </si>
  <si>
    <t xml:space="preserve">Obaveze za uplatu PDV-a po posebnoj šemi  </t>
  </si>
  <si>
    <t>478</t>
  </si>
  <si>
    <t xml:space="preserve">Druge obaveze iz osnova PDV-a  </t>
  </si>
  <si>
    <t>479</t>
  </si>
  <si>
    <t xml:space="preserve">Obaveze za razliku između obaveza za PDV i ulaznog poreza  </t>
  </si>
  <si>
    <t xml:space="preserve">Obaveze za PDV  </t>
  </si>
  <si>
    <t>480</t>
  </si>
  <si>
    <t xml:space="preserve">Obaveze za akcize  </t>
  </si>
  <si>
    <t>481</t>
  </si>
  <si>
    <t xml:space="preserve">Obaveze za porez na dobit  </t>
  </si>
  <si>
    <t>482</t>
  </si>
  <si>
    <t xml:space="preserve">Obaveze za poreze, carine i druge dažbine iz nabavke ili na teret troškova  </t>
  </si>
  <si>
    <t>483</t>
  </si>
  <si>
    <t xml:space="preserve">Obaveze za ostale doprinose, članarine i sl. koje terete troškove  </t>
  </si>
  <si>
    <t>484</t>
  </si>
  <si>
    <t xml:space="preserve">Obaveze za PDV koji se plaća pri uvozu  </t>
  </si>
  <si>
    <t>489</t>
  </si>
  <si>
    <t xml:space="preserve">Ostale obaveze za poreze, doprinose i druge dažbine  </t>
  </si>
  <si>
    <t>48</t>
  </si>
  <si>
    <t xml:space="preserve">Obaveze za ostale poreze, doprinose i druge dažbine  </t>
  </si>
  <si>
    <t>490</t>
  </si>
  <si>
    <t xml:space="preserve">Unaprijed obračunati troškovi perioda  </t>
  </si>
  <si>
    <t>491</t>
  </si>
  <si>
    <t>Unaprijed naplaćeni prihodi narednog perioda</t>
  </si>
  <si>
    <t>492</t>
  </si>
  <si>
    <t>Kratkoročna rezervisanja</t>
  </si>
  <si>
    <t>493</t>
  </si>
  <si>
    <t xml:space="preserve">Odgođeni prihodi za primljene donacije i sl.  </t>
  </si>
  <si>
    <t>4990</t>
  </si>
  <si>
    <t>Ostali odgođeni prihod</t>
  </si>
  <si>
    <t>4991</t>
  </si>
  <si>
    <t>499</t>
  </si>
  <si>
    <t>49</t>
  </si>
  <si>
    <t>Kratkoročna rezervisanja i razgraničenja, i odgođeni prihod</t>
  </si>
  <si>
    <t>4</t>
  </si>
  <si>
    <t xml:space="preserve">OBAVEZE, REZERVISANJA I RAZGRANIČENJA  </t>
  </si>
  <si>
    <t>Poslovna PASIVA</t>
  </si>
  <si>
    <t>89</t>
  </si>
  <si>
    <t>Ukupno PASIVA</t>
  </si>
  <si>
    <t>6 . GODIŠNJI IZVJEŠTAJ O INVESTICIJAMA (Obrazac INV-01)</t>
  </si>
  <si>
    <t>Isplaćeno za investicije - izvori sredstava</t>
  </si>
  <si>
    <t>Tabela 1</t>
  </si>
  <si>
    <t>(bez kupovine zemljišta, vrijednosti patenata, licenci, robnih marki i dragocjenosti)</t>
  </si>
  <si>
    <t>Sopstvena sredstva</t>
  </si>
  <si>
    <t>Udružena domaća sredstva</t>
  </si>
  <si>
    <t>Udružena inostrana sredstva</t>
  </si>
  <si>
    <t>Domaće banke</t>
  </si>
  <si>
    <t>Strani krediti</t>
  </si>
  <si>
    <t>Drugi domaći krediti</t>
  </si>
  <si>
    <t>Lizing</t>
  </si>
  <si>
    <t>Sredstva budžeta, fondova …</t>
  </si>
  <si>
    <t>Drugi izvori</t>
  </si>
  <si>
    <t xml:space="preserve"> - od toga strana humanitarna pomoć</t>
  </si>
  <si>
    <t>UKUPNO po izvorima:</t>
  </si>
  <si>
    <t>Tabela 2</t>
  </si>
  <si>
    <t>UKUPNO po godinama:</t>
  </si>
  <si>
    <t>Tehnička struktura ostvarenih investicija u stalna sredstva</t>
  </si>
  <si>
    <t>Tabela 3</t>
  </si>
  <si>
    <t>UKUPNO (4+5)</t>
  </si>
  <si>
    <t>NOVA   (4)</t>
  </si>
  <si>
    <t>POLOVNA      (5)</t>
  </si>
  <si>
    <t>PRODATO (6)</t>
  </si>
  <si>
    <t>SVEUKUPNO</t>
  </si>
  <si>
    <t>GRAĐEVINSKI RADOVI</t>
  </si>
  <si>
    <t xml:space="preserve"> - Stambene zgrade</t>
  </si>
  <si>
    <t xml:space="preserve"> - Visokogradnja osim stambenih zgrada</t>
  </si>
  <si>
    <t xml:space="preserve"> - Niskogradnja</t>
  </si>
  <si>
    <t xml:space="preserve"> - Poboljšanje zemljišta</t>
  </si>
  <si>
    <t>xxxxxxxxxx</t>
  </si>
  <si>
    <t>xxxxxxxxx</t>
  </si>
  <si>
    <t>STROJEVI I OPREMA -ukupno</t>
  </si>
  <si>
    <t xml:space="preserve"> - Metalni proizvodi i naprave (konstr.tornjevi, kont. …</t>
  </si>
  <si>
    <t xml:space="preserve"> - Strojevi i naprave za iskorištavanje mehaničke energije</t>
  </si>
  <si>
    <t xml:space="preserve"> - Drugi strojevi i naprave za posebne namjene</t>
  </si>
  <si>
    <t xml:space="preserve"> - Poljoprivredni i šumarski proizvodi</t>
  </si>
  <si>
    <t xml:space="preserve"> - Računari, fotokopirni, pisaće mašine i sl.</t>
  </si>
  <si>
    <t xml:space="preserve"> - Električni motori, generatori i transf.napr.za distr.el.en.</t>
  </si>
  <si>
    <t xml:space="preserve"> - TV i radio prijemnici i odašiljači, telefoni, centrale i sl,</t>
  </si>
  <si>
    <t xml:space="preserve"> - Medicinska oprema, fini mehanički i optički instr. …</t>
  </si>
  <si>
    <t xml:space="preserve"> - Namještaj i knjige za biblioteke</t>
  </si>
  <si>
    <r>
      <rPr>
        <b/>
        <sz val="12"/>
        <color theme="0"/>
        <rFont val="Calibri"/>
        <charset val="238"/>
        <scheme val="minor"/>
      </rPr>
      <t>TRANSPORTNA SREDSTVA -</t>
    </r>
    <r>
      <rPr>
        <b/>
        <u/>
        <sz val="12"/>
        <color theme="0"/>
        <rFont val="Calibri"/>
        <charset val="238"/>
        <scheme val="minor"/>
      </rPr>
      <t>ukupno</t>
    </r>
  </si>
  <si>
    <t xml:space="preserve"> - Putnički automobili</t>
  </si>
  <si>
    <t xml:space="preserve"> - Teretna vozila </t>
  </si>
  <si>
    <t xml:space="preserve"> - Autobusi, čamci, tračna i zračna vozila</t>
  </si>
  <si>
    <r>
      <rPr>
        <b/>
        <sz val="11"/>
        <color theme="0"/>
        <rFont val="Calibri"/>
        <charset val="238"/>
        <scheme val="minor"/>
      </rPr>
      <t xml:space="preserve">DIO - </t>
    </r>
    <r>
      <rPr>
        <b/>
        <u/>
        <sz val="11"/>
        <color theme="0"/>
        <rFont val="Calibri"/>
        <charset val="238"/>
        <scheme val="minor"/>
      </rPr>
      <t>UVOZNI</t>
    </r>
    <r>
      <rPr>
        <b/>
        <sz val="11"/>
        <color theme="0"/>
        <rFont val="Calibri"/>
        <charset val="238"/>
        <scheme val="minor"/>
      </rPr>
      <t xml:space="preserve"> STROJEVI, OPREMA I TRANSPORTNA SRED.</t>
    </r>
  </si>
  <si>
    <t>BIOLOŠKA SREDSTVA</t>
  </si>
  <si>
    <t xml:space="preserve"> - Osnovno stado</t>
  </si>
  <si>
    <t xml:space="preserve"> - Pošumljavanje i dugoročni zasadi</t>
  </si>
  <si>
    <t>NEMATERIJALNA STALNA SREDSTVA</t>
  </si>
  <si>
    <t xml:space="preserve"> - Dugor.ulaganja u istraž. i razvoj, osim rudarskih i mineralnih istraž.</t>
  </si>
  <si>
    <t xml:space="preserve"> - Rudarska i mineralna istraživanja</t>
  </si>
  <si>
    <t>Kupljeni softveri (uključujući i licence za softvere)</t>
  </si>
  <si>
    <t>Softveri proizvedeni u vlastitoj režiji</t>
  </si>
  <si>
    <t>Kupljene baze podataka</t>
  </si>
  <si>
    <t>Baze podataka  proizvedene u vlastitoj režiji</t>
  </si>
  <si>
    <t xml:space="preserve"> - Književni i umjetnički originali</t>
  </si>
  <si>
    <t xml:space="preserve"> - Ostala nematerijalna sredstva</t>
  </si>
  <si>
    <t>TROŠKOVI I PRIJENOS VLASNIŠTVA ZEMLJIŠTA</t>
  </si>
  <si>
    <t>DRAGOCJENOSTI (dijamanti, drago kamenje, zlato i sl.)</t>
  </si>
  <si>
    <t>LICENCE, PATENTI I TRGOVAČKE MARKE</t>
  </si>
  <si>
    <t>ZEMLJIŠTE (bez troškova prenosa vlasništva)</t>
  </si>
  <si>
    <t>UKUPNO:</t>
  </si>
  <si>
    <t>Od ukupnih investicija u NOVA sredstva</t>
  </si>
  <si>
    <t>Tabela 4</t>
  </si>
  <si>
    <t>Izrgadnja novih kapaciteta</t>
  </si>
  <si>
    <t>Rekonstrukcija, modrenizacija, dogradnja i proširenje</t>
  </si>
  <si>
    <t>Održavanje nivoa postojećih kapaciteta</t>
  </si>
  <si>
    <t>Od ukupnih investicija dio za zaštitu životne sredine</t>
  </si>
  <si>
    <t>7. PROMJENE U KAPITALU</t>
  </si>
  <si>
    <t>II - Podaci o promjenama u kapitalu</t>
  </si>
  <si>
    <t>Upisani podaci preuzeti su iz bilansa stanja, u bijele ćelije upišite iznose koji se odnose na promjene računovodstvenih politika i ispravke greške</t>
  </si>
  <si>
    <t>DIO KAPITALA KOJI PRIPADA VLASNICIMA MATIČNOG PRIVREDNOG DRUŠTVA</t>
  </si>
  <si>
    <t>Revalorizacijske rezerve za</t>
  </si>
  <si>
    <t>VRSTA PROMJENE NA KAPITALU</t>
  </si>
  <si>
    <t xml:space="preserve">Oznaka </t>
  </si>
  <si>
    <t>Dionički kapital Vlasnički udjeli</t>
  </si>
  <si>
    <t>financijsku imovinu</t>
  </si>
  <si>
    <t>Ostale revalorizacijske</t>
  </si>
  <si>
    <t>Akumulirana neraspoređena</t>
  </si>
  <si>
    <t>UKUPNO (3+4+5+6+7+8+9)</t>
  </si>
  <si>
    <t>za AOP</t>
  </si>
  <si>
    <t>Ostali vlasnički kapital</t>
  </si>
  <si>
    <t>nekretnine, postrojenja i</t>
  </si>
  <si>
    <t>mjerenu po fer vrijednosti</t>
  </si>
  <si>
    <t>rezerve</t>
  </si>
  <si>
    <t>dobit / (nepokriveni</t>
  </si>
  <si>
    <t>opremu</t>
  </si>
  <si>
    <t>kroz ostali ukupni rezultat</t>
  </si>
  <si>
    <t>gubitak)</t>
  </si>
  <si>
    <t>Efekti promjena u računov. politikama</t>
  </si>
  <si>
    <t>Efekti ispravka greška</t>
  </si>
  <si>
    <t>Dobit (gubitak) za period</t>
  </si>
  <si>
    <t>Ostali ukupni rezultat za period</t>
  </si>
  <si>
    <r>
      <rPr>
        <b/>
        <sz val="12"/>
        <color theme="0"/>
        <rFont val="Calibri"/>
        <charset val="238"/>
        <scheme val="minor"/>
      </rPr>
      <t xml:space="preserve">Ukupni rezultat </t>
    </r>
    <r>
      <rPr>
        <sz val="12"/>
        <color theme="0"/>
        <rFont val="Calibri"/>
        <charset val="238"/>
        <scheme val="minor"/>
      </rPr>
      <t>(</t>
    </r>
    <r>
      <rPr>
        <u/>
        <sz val="12"/>
        <color theme="0"/>
        <rFont val="Calibri"/>
        <charset val="238"/>
        <scheme val="minor"/>
      </rPr>
      <t>+</t>
    </r>
    <r>
      <rPr>
        <sz val="12"/>
        <color theme="0"/>
        <rFont val="Calibri"/>
        <charset val="238"/>
        <scheme val="minor"/>
      </rPr>
      <t>905</t>
    </r>
    <r>
      <rPr>
        <u/>
        <sz val="12"/>
        <color theme="0"/>
        <rFont val="Calibri"/>
        <charset val="238"/>
        <scheme val="minor"/>
      </rPr>
      <t>+</t>
    </r>
    <r>
      <rPr>
        <sz val="12"/>
        <color theme="0"/>
        <rFont val="Calibri"/>
        <charset val="238"/>
        <scheme val="minor"/>
      </rPr>
      <t>906)</t>
    </r>
  </si>
  <si>
    <t>Emisija dioničkog kapitala i drugi oblici povećanja ili smanjeja osnovnog kapitala</t>
  </si>
  <si>
    <t>Stjecanje vlastitih dionica i drugih oblika smanjenja vlasničkog kapitala</t>
  </si>
  <si>
    <t>Objavljene dividende</t>
  </si>
  <si>
    <t>Drugi oblici raspodjele dobiti i pokrića gubitka</t>
  </si>
  <si>
    <t>Ostale promjene</t>
  </si>
  <si>
    <t>14.</t>
  </si>
  <si>
    <t>Efekti promjena u računovodstvenim politikama</t>
  </si>
  <si>
    <t>15.</t>
  </si>
  <si>
    <t>16.</t>
  </si>
  <si>
    <t>17.</t>
  </si>
  <si>
    <t>18.</t>
  </si>
  <si>
    <t>19.</t>
  </si>
  <si>
    <r>
      <rPr>
        <b/>
        <sz val="12"/>
        <color theme="0"/>
        <rFont val="Calibri"/>
        <charset val="238"/>
        <scheme val="minor"/>
      </rPr>
      <t>Ukupni rezultat (</t>
    </r>
    <r>
      <rPr>
        <b/>
        <u/>
        <sz val="12"/>
        <color theme="0"/>
        <rFont val="Calibri"/>
        <charset val="238"/>
        <scheme val="minor"/>
      </rPr>
      <t>+</t>
    </r>
    <r>
      <rPr>
        <b/>
        <sz val="12"/>
        <color theme="0"/>
        <rFont val="Calibri"/>
        <charset val="238"/>
        <scheme val="minor"/>
      </rPr>
      <t>917</t>
    </r>
    <r>
      <rPr>
        <b/>
        <u/>
        <sz val="12"/>
        <color theme="0"/>
        <rFont val="Calibri"/>
        <charset val="238"/>
        <scheme val="minor"/>
      </rPr>
      <t>+</t>
    </r>
    <r>
      <rPr>
        <b/>
        <sz val="12"/>
        <color theme="0"/>
        <rFont val="Calibri"/>
        <charset val="238"/>
        <scheme val="minor"/>
      </rPr>
      <t>918)</t>
    </r>
  </si>
  <si>
    <t>20.</t>
  </si>
  <si>
    <t>21.</t>
  </si>
  <si>
    <t>22.</t>
  </si>
  <si>
    <t>23.</t>
  </si>
  <si>
    <t>24.</t>
  </si>
  <si>
    <t>25.</t>
  </si>
  <si>
    <t>NAPOMENA</t>
  </si>
  <si>
    <t>Napravite bruto bilans u kom su sadržane samo temeljnice za knjiženje izvoda Ž-R i blagajne, bez početnog stanja</t>
  </si>
  <si>
    <t>Promet žiro računa i blagajne po kontima</t>
  </si>
  <si>
    <t>Promet konta bez početnog stanja</t>
  </si>
  <si>
    <t>duguje</t>
  </si>
  <si>
    <t>potražuje</t>
  </si>
  <si>
    <t>ODLIVI</t>
  </si>
  <si>
    <t>PRILIVI</t>
  </si>
  <si>
    <t>Kupci dio</t>
  </si>
  <si>
    <t>Kupci dio - Prilivi po osnovu prodaje nekretnina, postrojenja i opreme</t>
  </si>
  <si>
    <t>Kupci dio - Prilivi po osnovu prodaje investicijskih nekretnina</t>
  </si>
  <si>
    <t>Kupci dio - Prilivi po osnovu prodaje nematerijalne imovine</t>
  </si>
  <si>
    <t>Kupci dio - Prilivi po osnovu prodaje biološke imovine</t>
  </si>
  <si>
    <t>Kupci dio - Prilivi po osnovu prodaje dugoročne imovine namijenjene prodaji</t>
  </si>
  <si>
    <t>Potraživanja od zaposlenih</t>
  </si>
  <si>
    <t>Akontacija poreza na dobit</t>
  </si>
  <si>
    <t>2471</t>
  </si>
  <si>
    <t>2472</t>
  </si>
  <si>
    <t xml:space="preserve">Dobavljači dio </t>
  </si>
  <si>
    <t>Dobavljači dio - Odlivi po osnovu kupovine nekretnina, postrojenja i opreme</t>
  </si>
  <si>
    <t>Dobavljači dio - Odlivi po osnovu kupovine investicijskih nekretnina</t>
  </si>
  <si>
    <t>Dobavljači dio - Odlivi po osnovu kupovine nematerijalne imovine</t>
  </si>
  <si>
    <t>Dobavljači dio - Odlivi po osnovu kupovine biološke imovine</t>
  </si>
  <si>
    <t>Pozitivne kursne razlike</t>
  </si>
  <si>
    <t>Pozitivne kursne razlike iz osnova preračuna gotovine</t>
  </si>
  <si>
    <t>Negativne kursne razlike</t>
  </si>
  <si>
    <t>Negativne kursne razlike iz osnova preračuna gotovine</t>
  </si>
  <si>
    <t>Ostali ulagački</t>
  </si>
  <si>
    <t>Ostali finansijki</t>
  </si>
  <si>
    <t>RAZLIKA U G.TOKU</t>
  </si>
  <si>
    <t>Preneseno : priliv AOP 406 i odliv AOP 407</t>
  </si>
  <si>
    <t>20 bez 207 -Gotovina na početku izvještajnog perioda</t>
  </si>
  <si>
    <t>20 bez 207 -Gotovina na kraju izvještajnog perioda</t>
  </si>
  <si>
    <t>A. GOTOVINSKI TOKOVI IZ POSLOVNIH AKTIVNOSTI</t>
  </si>
  <si>
    <t>Dobit (gubitak) prije oporezivanja</t>
  </si>
  <si>
    <t xml:space="preserve">       Usklađivanje za:</t>
  </si>
  <si>
    <t xml:space="preserve"> + (-)</t>
  </si>
  <si>
    <t>( - )</t>
  </si>
  <si>
    <t>Ukupno 502 do 525</t>
  </si>
  <si>
    <t xml:space="preserve"> (-)</t>
  </si>
  <si>
    <t>3.+4.</t>
  </si>
  <si>
    <t>Ukupno 526 do 533</t>
  </si>
  <si>
    <t>Neto gotovinski tok iz poslovnih aktivnosti (1+2+3)</t>
  </si>
  <si>
    <t>Neto got.tok iz poslovnih aktivnosti</t>
  </si>
  <si>
    <t>B. GOTOVINSKI TOK IZ ULAGAČKIH AKTIVNOSTI</t>
  </si>
  <si>
    <t>C. GOTOVINSKI TOKOVI IZ FINANSIJSKIH AKTIVNOSTI</t>
  </si>
  <si>
    <t xml:space="preserve">   </t>
  </si>
  <si>
    <t>247 +</t>
  </si>
  <si>
    <t>Preneseno : Ostali ulagački priliv AOP 562 i odliv AOP 563</t>
  </si>
  <si>
    <t>Ostali finansijski</t>
  </si>
  <si>
    <t>Preneseno : Ostali finansijski priliv AOP 576 i odliv AOP 577</t>
  </si>
  <si>
    <t>Preneseno : Povećanje/(smanjenje) ostalih obaveza AOP 531</t>
  </si>
  <si>
    <t xml:space="preserve">  </t>
  </si>
  <si>
    <t>BILANS USPJEHA - Izvještaj o dobiti ili gubitku i ostaloj sveobuhvatnoj dobiti</t>
  </si>
  <si>
    <t xml:space="preserve"> P R I H O D I</t>
  </si>
  <si>
    <t>R A S H O D I</t>
  </si>
  <si>
    <t>BILANS STANJA - Izvještaj o finansijskom položaju</t>
  </si>
  <si>
    <t>TEKUĆA (OBRTNA) IMOVINA</t>
  </si>
  <si>
    <t>Kratkoročna potraživanja i plasmani</t>
  </si>
  <si>
    <t>Ukupan iznos svih finansijskih obaveza, garancija ili nepredviđenih izdataka koji nisu uključeni u Bilans stanja</t>
  </si>
  <si>
    <t>Iznosi obaveza koje dospijevaju nakon više od pet godina</t>
  </si>
  <si>
    <t>Ukupna dugovanja pravnog lica pokrivena instrumentima osiguranja</t>
  </si>
  <si>
    <t>Avansi i odobreni krediti članovima uprave i nadzornih tijela</t>
  </si>
  <si>
    <t>Informacija o evidenciji dugotrajne imovine po fer vrijednosti, odnosno revalorizacionim iznosima</t>
  </si>
  <si>
    <t>Informacije o otkupu vlastitih dionica</t>
  </si>
  <si>
    <t>Razlozi za odstupanja od opštih načela finansijskog izvještavanja</t>
  </si>
  <si>
    <t>KRAJ UNOSA PODATAKA</t>
  </si>
  <si>
    <t>Obrazac PG-809 - PREGLED NASTALIH, NEISKORIŠTENIH I ISKORIŠTENIH POREZNIH GUBITAKA</t>
  </si>
  <si>
    <t>R.</t>
  </si>
  <si>
    <t>ISKORŠTENO PO GODINAMA</t>
  </si>
  <si>
    <t>Neiskorišteno</t>
  </si>
  <si>
    <t>Ostat.dobiti</t>
  </si>
  <si>
    <t>br.</t>
  </si>
  <si>
    <t>po godinama</t>
  </si>
  <si>
    <t>UKUPNO</t>
  </si>
  <si>
    <t>(za prenos)</t>
  </si>
  <si>
    <t>Ranije korištena porezna oslobađanja koja nisu opravdana u skladu sa Zakonom i Pravilnikom</t>
  </si>
  <si>
    <r>
      <rPr>
        <b/>
        <sz val="11"/>
        <rFont val="Arial"/>
        <charset val="238"/>
      </rPr>
      <t xml:space="preserve">Napomena: </t>
    </r>
    <r>
      <rPr>
        <sz val="11"/>
        <rFont val="Arial"/>
        <charset val="238"/>
      </rPr>
      <t xml:space="preserve">U pregled se NE uključuju porezni gubici poslovnih jedinica u inostranstvu, RS i BD BiH, kao ni porezni gubici iz poslovanja sa </t>
    </r>
    <r>
      <rPr>
        <b/>
        <sz val="11"/>
        <rFont val="Arial"/>
        <charset val="238"/>
      </rPr>
      <t>povezanim pravnim licima</t>
    </r>
  </si>
  <si>
    <t>Obrazac PB-800-A - POREZNI BILANS</t>
  </si>
  <si>
    <t>% Poreza na dobit</t>
  </si>
  <si>
    <t>Rbr</t>
  </si>
  <si>
    <t>Iznos u KM</t>
  </si>
  <si>
    <t>A</t>
  </si>
  <si>
    <t>UKUPNI PRIHODI</t>
  </si>
  <si>
    <t>B</t>
  </si>
  <si>
    <t>UKUPNI RASHODI</t>
  </si>
  <si>
    <t>C</t>
  </si>
  <si>
    <t>POSLOVNI REZULTAT</t>
  </si>
  <si>
    <r>
      <rPr>
        <sz val="12"/>
        <color theme="0"/>
        <rFont val="Calibri"/>
        <charset val="238"/>
        <scheme val="minor"/>
      </rPr>
      <t xml:space="preserve">Dobit tekućeg perioda   -  </t>
    </r>
    <r>
      <rPr>
        <sz val="10"/>
        <color theme="0"/>
        <rFont val="Calibri"/>
        <charset val="238"/>
        <scheme val="minor"/>
      </rPr>
      <t xml:space="preserve"> </t>
    </r>
    <r>
      <rPr>
        <sz val="11"/>
        <color theme="0"/>
        <rFont val="Calibri"/>
        <charset val="238"/>
        <scheme val="minor"/>
      </rPr>
      <t>(Rbr A. - B.) &gt; 0</t>
    </r>
  </si>
  <si>
    <r>
      <rPr>
        <sz val="12"/>
        <color theme="0"/>
        <rFont val="Calibri"/>
        <charset val="238"/>
        <scheme val="minor"/>
      </rPr>
      <t xml:space="preserve">Gubitak tekućeg perioda   -  </t>
    </r>
    <r>
      <rPr>
        <sz val="11"/>
        <color theme="0"/>
        <rFont val="Calibri"/>
        <charset val="238"/>
        <scheme val="minor"/>
      </rPr>
      <t>(Rbr A. - B.) &lt; 0</t>
    </r>
  </si>
  <si>
    <t>I</t>
  </si>
  <si>
    <t>Dobit poslovne godine   -     (C1.)</t>
  </si>
  <si>
    <t>Gubitak poslovne godine   -   (C2)</t>
  </si>
  <si>
    <t>KAPITALNI DOBICI I GUBICI</t>
  </si>
  <si>
    <t>III</t>
  </si>
  <si>
    <t>USKLAĐIVANJE POREZNIH STAVKI</t>
  </si>
  <si>
    <t>Kamate i troškovi prinudne naplate</t>
  </si>
  <si>
    <t>Novčane KAZNE za prekršaje</t>
  </si>
  <si>
    <t>Porez po odbitku na vlastiti teret</t>
  </si>
  <si>
    <t>Raspodjela dobiti i svaka raspodjela iz kapitala</t>
  </si>
  <si>
    <r>
      <rPr>
        <sz val="10"/>
        <rFont val="Arial"/>
        <charset val="238"/>
      </rPr>
      <t xml:space="preserve">Porezno NePriznati rashodi -Rashodi koji se ne mogu povezati sa ostvarenjem dobit </t>
    </r>
    <r>
      <rPr>
        <u/>
        <sz val="10"/>
        <rFont val="Arial"/>
        <charset val="238"/>
      </rPr>
      <t>+ AOP (272+287+299+230)</t>
    </r>
  </si>
  <si>
    <t>Rashodi na ime zaliha utvrđeni iznad iznosa obračunatog po metodi prosječne nabavne cijene i razlike koje proizilaze iz odstupanja</t>
  </si>
  <si>
    <t>Rashodi nastali na ime usklađivanja vrijednosti zaliha sa njihovom neto ostvarivom vrijednosti</t>
  </si>
  <si>
    <t>Manjak zaliha koji su porezno nepriznat rashod</t>
  </si>
  <si>
    <t>Manjak zaliha na teret pravnog lica -porezno nepriznat</t>
  </si>
  <si>
    <t>Troškovi plaća i naknada koji su porezno nepriznat rashod</t>
  </si>
  <si>
    <t>Troškovi na ime doprinosa koji su porezno nepriznat rashod</t>
  </si>
  <si>
    <r>
      <rPr>
        <sz val="12"/>
        <color theme="0"/>
        <rFont val="Calibri"/>
        <charset val="238"/>
        <scheme val="minor"/>
      </rPr>
      <t xml:space="preserve">Troškovi stipendija koji su iskazani kao porezno </t>
    </r>
    <r>
      <rPr>
        <u/>
        <sz val="12"/>
        <color theme="0"/>
        <rFont val="Calibri"/>
        <charset val="238"/>
        <scheme val="minor"/>
      </rPr>
      <t>nepriznat</t>
    </r>
    <r>
      <rPr>
        <sz val="12"/>
        <color theme="0"/>
        <rFont val="Calibri"/>
        <charset val="238"/>
        <scheme val="minor"/>
      </rPr>
      <t xml:space="preserve"> rashod</t>
    </r>
  </si>
  <si>
    <r>
      <rPr>
        <sz val="12"/>
        <color theme="0"/>
        <rFont val="Calibri"/>
        <charset val="238"/>
        <scheme val="minor"/>
      </rPr>
      <t xml:space="preserve">Troškovi stipendija koji su iskazani kao porezno </t>
    </r>
    <r>
      <rPr>
        <u/>
        <sz val="12"/>
        <color theme="0"/>
        <rFont val="Calibri"/>
        <charset val="238"/>
        <scheme val="minor"/>
      </rPr>
      <t xml:space="preserve">priznat </t>
    </r>
    <r>
      <rPr>
        <sz val="12"/>
        <color theme="0"/>
        <rFont val="Calibri"/>
        <charset val="238"/>
        <scheme val="minor"/>
      </rPr>
      <t>rashod</t>
    </r>
  </si>
  <si>
    <t>Ukupna</t>
  </si>
  <si>
    <t>Dozvoljeno</t>
  </si>
  <si>
    <r>
      <rPr>
        <sz val="12"/>
        <color theme="0"/>
        <rFont val="Calibri"/>
        <charset val="238"/>
        <scheme val="minor"/>
      </rPr>
      <t xml:space="preserve">Rashodi na ime reprezentacije koji su porezno </t>
    </r>
    <r>
      <rPr>
        <u/>
        <sz val="12"/>
        <color theme="0"/>
        <rFont val="Calibri"/>
        <charset val="238"/>
        <scheme val="minor"/>
      </rPr>
      <t>nepriznati</t>
    </r>
    <r>
      <rPr>
        <sz val="12"/>
        <color theme="0"/>
        <rFont val="Calibri"/>
        <charset val="238"/>
        <scheme val="minor"/>
      </rPr>
      <t xml:space="preserve"> ( 70% )</t>
    </r>
  </si>
  <si>
    <r>
      <rPr>
        <sz val="12"/>
        <color theme="0"/>
        <rFont val="Calibri"/>
        <charset val="238"/>
        <scheme val="minor"/>
      </rPr>
      <t xml:space="preserve">Rashodi na ime reprezentacije koji su porezno </t>
    </r>
    <r>
      <rPr>
        <u/>
        <sz val="12"/>
        <color theme="0"/>
        <rFont val="Calibri"/>
        <charset val="238"/>
        <scheme val="minor"/>
      </rPr>
      <t>priznati</t>
    </r>
    <r>
      <rPr>
        <sz val="12"/>
        <color theme="0"/>
        <rFont val="Calibri"/>
        <charset val="238"/>
        <scheme val="minor"/>
      </rPr>
      <t xml:space="preserve"> ( 30% )</t>
    </r>
  </si>
  <si>
    <r>
      <rPr>
        <sz val="12"/>
        <color theme="0"/>
        <rFont val="Calibri"/>
        <charset val="238"/>
        <scheme val="minor"/>
      </rPr>
      <t xml:space="preserve">Rashodi na ime donacija koji su porezno </t>
    </r>
    <r>
      <rPr>
        <u/>
        <sz val="12"/>
        <color theme="0"/>
        <rFont val="Calibri"/>
        <charset val="238"/>
        <scheme val="minor"/>
      </rPr>
      <t>nepriznati</t>
    </r>
  </si>
  <si>
    <t>3% ukupnog prihoda</t>
  </si>
  <si>
    <r>
      <rPr>
        <sz val="12"/>
        <color theme="0"/>
        <rFont val="Calibri"/>
        <charset val="238"/>
        <scheme val="minor"/>
      </rPr>
      <t xml:space="preserve">Rashodi na ime donacija koji su porezno </t>
    </r>
    <r>
      <rPr>
        <u/>
        <sz val="12"/>
        <color theme="0"/>
        <rFont val="Calibri"/>
        <charset val="238"/>
        <scheme val="minor"/>
      </rPr>
      <t>priznati</t>
    </r>
  </si>
  <si>
    <t>26.</t>
  </si>
  <si>
    <r>
      <rPr>
        <sz val="12"/>
        <color theme="0"/>
        <rFont val="Calibri"/>
        <charset val="238"/>
        <scheme val="minor"/>
      </rPr>
      <t xml:space="preserve">Rashodi na ime sponzorstva koji su porezno </t>
    </r>
    <r>
      <rPr>
        <u/>
        <sz val="12"/>
        <color theme="0"/>
        <rFont val="Calibri"/>
        <charset val="238"/>
        <scheme val="minor"/>
      </rPr>
      <t>nepriznati</t>
    </r>
  </si>
  <si>
    <t>27.</t>
  </si>
  <si>
    <r>
      <rPr>
        <sz val="12"/>
        <color theme="0"/>
        <rFont val="Calibri"/>
        <charset val="238"/>
        <scheme val="minor"/>
      </rPr>
      <t xml:space="preserve">Rashodi na ime sponzorstva koji su porezno </t>
    </r>
    <r>
      <rPr>
        <u/>
        <sz val="12"/>
        <color theme="0"/>
        <rFont val="Calibri"/>
        <charset val="238"/>
        <scheme val="minor"/>
      </rPr>
      <t>priznati</t>
    </r>
  </si>
  <si>
    <t>28.</t>
  </si>
  <si>
    <t>Rashodi na ime reprezentacije, donacije i sponzorstva između povezanih lica</t>
  </si>
  <si>
    <t>29.</t>
  </si>
  <si>
    <t>Rezervisanja za rizike i obaveze koje se ne smatraju porezno priznatim rashodom</t>
  </si>
  <si>
    <t>30.</t>
  </si>
  <si>
    <t>Privremene razlike iz tačke 29: Rezervisanja za rizike i obaveze koja su u ranijem periodu bila porezno nepriznat rashod</t>
  </si>
  <si>
    <t>31.</t>
  </si>
  <si>
    <t>Rezervisanja za buduće rashode na ime zaštite životne sredine koji se smatraju porezno nepriznati rashodi</t>
  </si>
  <si>
    <t>32.</t>
  </si>
  <si>
    <t>Rezervisanja za buduće troškove u garantnim rokovima koji se smatraju porezno nepriznati rashodi</t>
  </si>
  <si>
    <t>33.</t>
  </si>
  <si>
    <t>Ostala rezervisanja koja nisu porezno priznat rashod</t>
  </si>
  <si>
    <t>34.</t>
  </si>
  <si>
    <r>
      <rPr>
        <sz val="12"/>
        <color theme="0"/>
        <rFont val="Calibri"/>
        <charset val="238"/>
        <scheme val="minor"/>
      </rPr>
      <t xml:space="preserve">Troškovi istraživanja i razvoja koji se smatraju porezno </t>
    </r>
    <r>
      <rPr>
        <u/>
        <sz val="12"/>
        <color theme="0"/>
        <rFont val="Calibri"/>
        <charset val="238"/>
        <scheme val="minor"/>
      </rPr>
      <t>nepriznati</t>
    </r>
    <r>
      <rPr>
        <sz val="12"/>
        <color theme="0"/>
        <rFont val="Calibri"/>
        <charset val="238"/>
        <scheme val="minor"/>
      </rPr>
      <t xml:space="preserve"> rashodi</t>
    </r>
  </si>
  <si>
    <t>35.</t>
  </si>
  <si>
    <r>
      <rPr>
        <sz val="12"/>
        <color theme="0"/>
        <rFont val="Calibri"/>
        <charset val="238"/>
        <scheme val="minor"/>
      </rPr>
      <t xml:space="preserve">Troškovi istraživanja i razvoja koji se smatraju porezno </t>
    </r>
    <r>
      <rPr>
        <u/>
        <sz val="12"/>
        <color theme="0"/>
        <rFont val="Calibri"/>
        <charset val="238"/>
        <scheme val="minor"/>
      </rPr>
      <t>priznat</t>
    </r>
    <r>
      <rPr>
        <sz val="12"/>
        <color theme="0"/>
        <rFont val="Calibri"/>
        <charset val="238"/>
        <scheme val="minor"/>
      </rPr>
      <t xml:space="preserve"> rashod</t>
    </r>
  </si>
  <si>
    <t>36.</t>
  </si>
  <si>
    <t>37.</t>
  </si>
  <si>
    <t>38.</t>
  </si>
  <si>
    <t>Rashodi kod osigur.društava i društava za reosiguranje koji se smatraju porezno nepriznat rashod</t>
  </si>
  <si>
    <t>39.</t>
  </si>
  <si>
    <t>Ispravka vrijednosti i otpis potraživanja koji se smatraju porezno nepriznat rashod</t>
  </si>
  <si>
    <t>Otpis sumljivih potraživanja porezno nepriznat</t>
  </si>
  <si>
    <t>40.</t>
  </si>
  <si>
    <t>Privremene razlike - Ispravka vrijednosti i otpis potraživanja iz tačke 39. koji su u ranijem periodu bili porezno nepriznati rashodi</t>
  </si>
  <si>
    <t>41.</t>
  </si>
  <si>
    <t>42.</t>
  </si>
  <si>
    <t>Amortizacija koja je obračunata na imovinu koja se ne amortizuje</t>
  </si>
  <si>
    <t>43.</t>
  </si>
  <si>
    <t>Dugotrajna imovina čija vrijednost je manja od 1.000 KM a koja se jednokratno otpisuje u porezne svrhe.</t>
  </si>
  <si>
    <t>44.</t>
  </si>
  <si>
    <t>Privremene razlike - Amortizacija iz tačke 43. koje su u ranijem periodu već bile iskorištene u porezne svrhe</t>
  </si>
  <si>
    <t>45.</t>
  </si>
  <si>
    <t>Rashodi na ime umanjenja vrijednosti dugotrajne imovine koji se smatraju porezno nepriznatim rashodom</t>
  </si>
  <si>
    <t>46.</t>
  </si>
  <si>
    <t>Privremene razlike - rashodi iz tačke 45. koji su u ranijem periodu bili porezno nepriznat rashod</t>
  </si>
  <si>
    <t>47.</t>
  </si>
  <si>
    <t>Razlike troška amortizacije između pune porezno dozvoljene i stvarne (niže) amortizacije</t>
  </si>
  <si>
    <t>48.</t>
  </si>
  <si>
    <t>Privremene razlike - amortizacije iz tač. 47. koji su u ranijem periodu već bila iskorištena u porezne svrhe</t>
  </si>
  <si>
    <t>49.</t>
  </si>
  <si>
    <t>Razlika troška amortizacije između pune porezno dozvoljene i stvarne (više) amortizacije</t>
  </si>
  <si>
    <t>50.</t>
  </si>
  <si>
    <t>51.</t>
  </si>
  <si>
    <t>Amortizacije goodwill koji je nastao kod statusnih promjena</t>
  </si>
  <si>
    <t>52.</t>
  </si>
  <si>
    <r>
      <rPr>
        <sz val="12"/>
        <color theme="0"/>
        <rFont val="Calibri"/>
        <charset val="238"/>
        <scheme val="minor"/>
      </rPr>
      <t xml:space="preserve">Amortizacija na iznajmljenu ili unajmljenu imovinu koja se smatra porezno </t>
    </r>
    <r>
      <rPr>
        <u/>
        <sz val="12"/>
        <color theme="0"/>
        <rFont val="Calibri"/>
        <charset val="238"/>
        <scheme val="minor"/>
      </rPr>
      <t>nepriznatim</t>
    </r>
    <r>
      <rPr>
        <sz val="12"/>
        <color theme="0"/>
        <rFont val="Calibri"/>
        <charset val="238"/>
        <scheme val="minor"/>
      </rPr>
      <t xml:space="preserve"> rashodom</t>
    </r>
  </si>
  <si>
    <t>53.</t>
  </si>
  <si>
    <r>
      <rPr>
        <sz val="12"/>
        <color theme="0"/>
        <rFont val="Calibri"/>
        <charset val="238"/>
        <scheme val="minor"/>
      </rPr>
      <t xml:space="preserve">Iznos porezno </t>
    </r>
    <r>
      <rPr>
        <u/>
        <sz val="12"/>
        <color theme="0"/>
        <rFont val="Calibri"/>
        <charset val="238"/>
        <scheme val="minor"/>
      </rPr>
      <t>priznate</t>
    </r>
    <r>
      <rPr>
        <sz val="12"/>
        <color theme="0"/>
        <rFont val="Calibri"/>
        <charset val="238"/>
        <scheme val="minor"/>
      </rPr>
      <t xml:space="preserve"> ubrzane amortizacije</t>
    </r>
  </si>
  <si>
    <t>54.</t>
  </si>
  <si>
    <t>Nedokumentirani i drugi rashodi koji nisu iskazani u skladu sa Zakonom i Pravilnikom</t>
  </si>
  <si>
    <t>55.</t>
  </si>
  <si>
    <t>Prihodi po osnovu učešća u kapitalu</t>
  </si>
  <si>
    <t>56.</t>
  </si>
  <si>
    <t>Prihodi od naplate potraživanja koja su bila iskazana kao porezno priznat rashod</t>
  </si>
  <si>
    <t>57.</t>
  </si>
  <si>
    <t>Prihodi od naplate potraživanja koja su bila iskazana kao porezno nepriznat rashod</t>
  </si>
  <si>
    <t>58.</t>
  </si>
  <si>
    <r>
      <rPr>
        <sz val="12"/>
        <color theme="0"/>
        <rFont val="Calibri"/>
        <charset val="238"/>
        <scheme val="minor"/>
      </rPr>
      <t xml:space="preserve">Prihodi od naplate potraživanja koja su bila iskazana kao porezno </t>
    </r>
    <r>
      <rPr>
        <u/>
        <sz val="12"/>
        <color theme="0"/>
        <rFont val="Calibri"/>
        <charset val="238"/>
        <scheme val="minor"/>
      </rPr>
      <t>prizna</t>
    </r>
    <r>
      <rPr>
        <sz val="12"/>
        <color theme="0"/>
        <rFont val="Calibri"/>
        <charset val="238"/>
        <scheme val="minor"/>
      </rPr>
      <t>t rashod pod uslovom iz člana 17. stav (1) tačka a) Zakona</t>
    </r>
  </si>
  <si>
    <t>59.</t>
  </si>
  <si>
    <r>
      <rPr>
        <sz val="12"/>
        <color theme="0"/>
        <rFont val="Calibri"/>
        <charset val="238"/>
        <scheme val="minor"/>
      </rPr>
      <t xml:space="preserve">Prihodi od naplate potraživanja koja su bila iskazana kao porezno </t>
    </r>
    <r>
      <rPr>
        <u/>
        <sz val="12"/>
        <color theme="0"/>
        <rFont val="Calibri"/>
        <charset val="238"/>
        <scheme val="minor"/>
      </rPr>
      <t>priznat</t>
    </r>
    <r>
      <rPr>
        <sz val="12"/>
        <color theme="0"/>
        <rFont val="Calibri"/>
        <charset val="238"/>
        <scheme val="minor"/>
      </rPr>
      <t xml:space="preserve"> rashod pod uslovom iz člana 17. stav (1) tačka b) Zakona</t>
    </r>
  </si>
  <si>
    <t>60.</t>
  </si>
  <si>
    <t>Prihodi nastali po osnovu ukidanja rezervisanja a koji su bili iskazani kao porezno priznat rashod</t>
  </si>
  <si>
    <t>61.</t>
  </si>
  <si>
    <t>Prihodi nastali po osnovu ukidanja rezervisanja a koji su bili iskazani kao porezno nepriznat rashod</t>
  </si>
  <si>
    <t>62.</t>
  </si>
  <si>
    <t>Neiskazani prihodi koji su trebali biti iskazani u skladu sa Zakonom i Pravilnikom</t>
  </si>
  <si>
    <t>IV</t>
  </si>
  <si>
    <t>OPOREZIVA DOBIT ILI POREZNI GUBITAK PRIJE TRANSFERNIH CIJENA</t>
  </si>
  <si>
    <t>63.</t>
  </si>
  <si>
    <t>Oporeziva dobit prije transfernih cijena</t>
  </si>
  <si>
    <t>64.</t>
  </si>
  <si>
    <t>Porezni gubitak prije transfernih cijena</t>
  </si>
  <si>
    <t>V</t>
  </si>
  <si>
    <t>TRANSFERNE CIJENE</t>
  </si>
  <si>
    <t>65.</t>
  </si>
  <si>
    <t>Razlika između tržišnih (viših) i vrijednost stvarnih transakcija sa povezanim licima, za prihode</t>
  </si>
  <si>
    <t>66.</t>
  </si>
  <si>
    <t>Razlika između tržišnih (nižih) i vrijednost stvarnih transakcija sa povezanim licima, za rashode</t>
  </si>
  <si>
    <t>67.</t>
  </si>
  <si>
    <t>Uklanjanje dvostrukog oporezivanja ukoliko je iskazana u tački 57. ili 58.</t>
  </si>
  <si>
    <t>Obrazac TP-900</t>
  </si>
  <si>
    <t>VI</t>
  </si>
  <si>
    <t>OPOREZIVA DOBIT ILI POREZNI GUBITAK POSLIJE TRANSFERNIH CIJENA</t>
  </si>
  <si>
    <t>68.</t>
  </si>
  <si>
    <t>Oporeziva dobit poslije transfernih cijena - (R.br. 56+57+58-59) &gt; 0</t>
  </si>
  <si>
    <t>69.</t>
  </si>
  <si>
    <t>Porezni gubitak poslije transfernih cijena - (R.br. 56+57+58-59) &lt; 0</t>
  </si>
  <si>
    <t>VII</t>
  </si>
  <si>
    <t>UMANJENJE POREZNE OSNOVICE</t>
  </si>
  <si>
    <t>70.</t>
  </si>
  <si>
    <t>Prenešeni neiskorišteni gubici iz prethodnih 5 godina</t>
  </si>
  <si>
    <t>71.</t>
  </si>
  <si>
    <t>Porezni poticaji</t>
  </si>
  <si>
    <t>a)</t>
  </si>
  <si>
    <t>30% umanjenje porezne osnovice</t>
  </si>
  <si>
    <t>Obrazac PP-810 - PRIJAVA POREZNE OLAKŠICE PO OSNOVU INVESTIRANJA U PROIZVODNU OPREMU</t>
  </si>
  <si>
    <t>b)</t>
  </si>
  <si>
    <t>50% umanjenje porezne osnovice</t>
  </si>
  <si>
    <t>Obrazac PP-811 - PRIJAVA POREZNE OLAKŠICE PO OSNOVU INVESTIRANJA U STALNA SREDSTVA</t>
  </si>
  <si>
    <t>c)</t>
  </si>
  <si>
    <t>Rashodi na ime plaća novih zaposlenika</t>
  </si>
  <si>
    <t>Obrazac PP-812 - PRIJAVA POREZNE OLAKŠICE PO OSNOVU NOVOG ZAPOŠLJAVANJA</t>
  </si>
  <si>
    <t>Ostalo  -  član 61. Zakona</t>
  </si>
  <si>
    <t>VIII</t>
  </si>
  <si>
    <t>POREZNA OSNOVICA</t>
  </si>
  <si>
    <t>72.</t>
  </si>
  <si>
    <t>Oporeziva dobit   -   (R.br. 60-62-63)</t>
  </si>
  <si>
    <t>73.</t>
  </si>
  <si>
    <t>Porezni gubitak   -   (R.br. 61-62-63)</t>
  </si>
  <si>
    <t>IX.</t>
  </si>
  <si>
    <t>POREZ NA DOBIT</t>
  </si>
  <si>
    <t>74.</t>
  </si>
  <si>
    <t>Neto porezna osnovica   -   (R.br. 64)</t>
  </si>
  <si>
    <t>75.</t>
  </si>
  <si>
    <t>Obračunati porez   -   (R.br. 66 x 10%)</t>
  </si>
  <si>
    <t>76.</t>
  </si>
  <si>
    <t>Porezni kredit</t>
  </si>
  <si>
    <t>plaćeni porez u Republici Srpskoj</t>
  </si>
  <si>
    <t xml:space="preserve">Obrazac PE-806 </t>
  </si>
  <si>
    <t>plaćeni porez u Brčko Distriktu</t>
  </si>
  <si>
    <t>Obrazac PE-807</t>
  </si>
  <si>
    <t>plaćeni porez na dobit izvan BiH</t>
  </si>
  <si>
    <t>plaćeni porez po odbitku izvan BiH</t>
  </si>
  <si>
    <t>Obrazac PK-814</t>
  </si>
  <si>
    <t>77.</t>
  </si>
  <si>
    <r>
      <rPr>
        <sz val="10"/>
        <color theme="0"/>
        <rFont val="Calibri"/>
        <charset val="238"/>
        <scheme val="minor"/>
      </rPr>
      <t>Oslobađanja koja nisu opravdana u skladu sa čl.36 stav (6) Zakona  -</t>
    </r>
    <r>
      <rPr>
        <b/>
        <u/>
        <sz val="10"/>
        <color theme="0"/>
        <rFont val="Calibri"/>
        <charset val="238"/>
        <scheme val="minor"/>
      </rPr>
      <t>INVESTICIJE</t>
    </r>
  </si>
  <si>
    <r>
      <rPr>
        <sz val="10"/>
        <color theme="0"/>
        <rFont val="Calibri"/>
        <charset val="238"/>
        <scheme val="minor"/>
      </rPr>
      <t>Oslobađanja koja nisu opravdana u skladu sa čl.37 stav (2) Zakona -</t>
    </r>
    <r>
      <rPr>
        <b/>
        <u/>
        <sz val="10"/>
        <color theme="0"/>
        <rFont val="Calibri"/>
        <charset val="238"/>
        <scheme val="minor"/>
      </rPr>
      <t>NOVOZAPOSLENI</t>
    </r>
  </si>
  <si>
    <r>
      <rPr>
        <sz val="10"/>
        <color theme="0"/>
        <rFont val="Calibri"/>
        <charset val="238"/>
        <scheme val="minor"/>
      </rPr>
      <t>Oslobađanja koja nisu opravdana u skladu sa čl.61 Zakona  -</t>
    </r>
    <r>
      <rPr>
        <b/>
        <u/>
        <sz val="10"/>
        <color theme="0"/>
        <rFont val="Calibri"/>
        <charset val="238"/>
        <scheme val="minor"/>
      </rPr>
      <t>STARI ZAKON</t>
    </r>
  </si>
  <si>
    <t>Zatezna kamata za ranija oslobađanja iz tač. a), b) i c)</t>
  </si>
  <si>
    <t>X.</t>
  </si>
  <si>
    <t>STANJE POREZA NA DOBIT</t>
  </si>
  <si>
    <t>78.</t>
  </si>
  <si>
    <t>Ostatak poreza na dobit za porezni period  -  (R.br 75-76+77)</t>
  </si>
  <si>
    <t>79.</t>
  </si>
  <si>
    <t>Ostatak poreznih gubitaka za prenos</t>
  </si>
  <si>
    <t>80.</t>
  </si>
  <si>
    <t>481 ili 234</t>
  </si>
  <si>
    <t>81.</t>
  </si>
  <si>
    <t>Obračun zatezne kamate</t>
  </si>
  <si>
    <t>82.</t>
  </si>
  <si>
    <t>Iznos poreza za uplatu  -  (R.br 78.-80.)</t>
  </si>
  <si>
    <t>83.</t>
  </si>
  <si>
    <t>Iznos poreza za povrat  -  (R.br 80.-78.)</t>
  </si>
  <si>
    <t>Obrazac PB-801 - PRIJAVA POREZA NA DOBIT za privredna društva</t>
  </si>
  <si>
    <t>1.13. Imovina u vlasništvu poreznog obveznika, a koja se nalazi van teritorije BiH</t>
  </si>
  <si>
    <t>R.br.</t>
  </si>
  <si>
    <t>1.13.1. Naziv</t>
  </si>
  <si>
    <t>1.13.2.Država</t>
  </si>
  <si>
    <t>1.13.3.Nabavna vrijednost</t>
  </si>
  <si>
    <t>1.13.4. Amortizirani iznos</t>
  </si>
  <si>
    <t>1.13.5.Tržišna vrijednost</t>
  </si>
  <si>
    <t>1.14. Odluka o raspodjeli dobiti (ispuniti ukoliko je donesena odluka o raspodjeli) Ako nema raspodjele, ostaviti prazno</t>
  </si>
  <si>
    <t>1.14.1. Vlasnik</t>
  </si>
  <si>
    <t>1.14.2.Država</t>
  </si>
  <si>
    <t>1.14.3. Datum isplate</t>
  </si>
  <si>
    <t>1.14.4. Iznos isplate u KM</t>
  </si>
  <si>
    <t>1.15. Promjene u upisanom kapitalu (promjena iznosa, vlasnika, statusna promjena)</t>
  </si>
  <si>
    <t>1.15. Stari vlasnik</t>
  </si>
  <si>
    <t>1.15.2.</t>
  </si>
  <si>
    <t>1.15.3. Novi vlasnik</t>
  </si>
  <si>
    <t>1.15.4. Iznos</t>
  </si>
  <si>
    <t>1.15.1.1.Naziv</t>
  </si>
  <si>
    <t>1.15.1.2.Država</t>
  </si>
  <si>
    <t>Nominala</t>
  </si>
  <si>
    <t>1.15.3.1.Naziv</t>
  </si>
  <si>
    <t>1.15.3.2.Država</t>
  </si>
  <si>
    <t>kupovine/prodaje</t>
  </si>
  <si>
    <t>Obrazac ID-813 - IZJAVA O OBRAČUNATOM POREZU NA ISPLAĆENE DIVIDENDE/DOBIT</t>
  </si>
  <si>
    <t>2. PODACI O PRIMAOCIMA DIVIDENDI/DOBITI ILI DIVIDENDI/ISPLATE DOBITI</t>
  </si>
  <si>
    <t>R.br</t>
  </si>
  <si>
    <t>Naziv primaoca</t>
  </si>
  <si>
    <t>Identifikacioni broj</t>
  </si>
  <si>
    <t>Datum plaćanja</t>
  </si>
  <si>
    <t>Učešće u kap. (br. dionica)</t>
  </si>
  <si>
    <t>Bruto iznos dividende</t>
  </si>
  <si>
    <t>Iznos preza</t>
  </si>
  <si>
    <t>Razlika dividende</t>
  </si>
  <si>
    <t>Naziv banke primaoca</t>
  </si>
  <si>
    <t>Broj računa primaoca</t>
  </si>
  <si>
    <t>Massimo Holding doo</t>
  </si>
  <si>
    <t>4200878200008</t>
  </si>
  <si>
    <t>30.06.2025.</t>
  </si>
  <si>
    <t>84.</t>
  </si>
  <si>
    <t>85.</t>
  </si>
  <si>
    <t>86.</t>
  </si>
  <si>
    <t>87.</t>
  </si>
  <si>
    <t>88.</t>
  </si>
  <si>
    <t>89.</t>
  </si>
  <si>
    <t>90.</t>
  </si>
  <si>
    <t>91.</t>
  </si>
  <si>
    <t>92.</t>
  </si>
  <si>
    <t>93.</t>
  </si>
  <si>
    <t>94.</t>
  </si>
  <si>
    <t>95.</t>
  </si>
  <si>
    <t>96.</t>
  </si>
  <si>
    <t>97.</t>
  </si>
  <si>
    <t>98.</t>
  </si>
  <si>
    <t>99.</t>
  </si>
  <si>
    <t>100.</t>
  </si>
  <si>
    <t>POREZNI POTICAJI</t>
  </si>
  <si>
    <t>3. PODACI O PROIZVODNOJ OPREMI</t>
  </si>
  <si>
    <t>Poreznom obvezniku koji izvrši investiranje iz vlastitih sredstava u proizvodnu opremu u vrijednosti više od 50% ostvarene dobiti tekućeg poreznog perioda, umanjuje se obaveza obračunatog porez na dobit za 30% iznosa u godini investiranja. Pod investiranjem u proizvodnu opremu podrazumijeva se kupovina stalnih sredstava i to: postrojenja i opreme, uz izuzetak putničkih automobila, koju obveznik kupuje vlastitim sredstvima u svrhu obavljanja proizvodne djelatnosti.</t>
  </si>
  <si>
    <t>Naziv proizvodne opreme</t>
  </si>
  <si>
    <t>Nabavna vrijednost</t>
  </si>
  <si>
    <t>Naziv dobavljača</t>
  </si>
  <si>
    <t>Broj fakture/ugovora</t>
  </si>
  <si>
    <t>Porezni obveznik gubi pravo na poticaje po osnovu investiranja ukoliko:</t>
  </si>
  <si>
    <t>a) izvrši isplatu dividende tokom i do treće godine od posljednje godine korištenja poreznog poticaja iz ovog člana iz dobiti koja je oslobođena plaćanja poreza na dobit;</t>
  </si>
  <si>
    <t>b) koristi pravo prenosa poreznog gubitka do isteka druge godine nakon posljednje godine korištenja poticaja.</t>
  </si>
  <si>
    <t>1. PODACI O INVESTICIJI</t>
  </si>
  <si>
    <t>1.1. Početna godina korištenja poticaja</t>
  </si>
  <si>
    <t>2018</t>
  </si>
  <si>
    <t>1.5. Ukupno investirano u KM</t>
  </si>
  <si>
    <t>4. PODACI O ULAGANJU</t>
  </si>
  <si>
    <t>BOSNA I HERCEGOVINA</t>
  </si>
  <si>
    <t>FEDERACIJA BOSNE I HERCEGOVINE</t>
  </si>
  <si>
    <t>Zakon o statistici u Federaciji BiH</t>
  </si>
  <si>
    <t>FEDERALNI ZAVOD ZA STATISTIKU</t>
  </si>
  <si>
    <t>"Službene novine FBiH" br. 63/03 i 9/09</t>
  </si>
  <si>
    <t>S A R A J E V O</t>
  </si>
  <si>
    <t>GODIŠNJE STRUKTURNO POSLOVNO STATISTIČKO ISTRAŽIVANJE ZA POSLOVNE SUBJEKTE</t>
  </si>
  <si>
    <t xml:space="preserve">IZ PODRUČJA RUDARSTVA,PRERADJIVAČKE INDUSTRIJE, ENERGIJE I SNADBIJEVANJA/OPSKRBE VODOM </t>
  </si>
  <si>
    <t xml:space="preserve">Obaveza/obveza podnošenja izvještaja zasniva se na članu 31. Zakona o statistici u Federaciji BiH. Odbijanje davanja podataka, davanje nepotpunih i netačnih/netočnih podataka ili nedavanje podataka u propisanom sadržaju i roku povlači kaznene odredbe iz čl. 43. i 44. navedenog Zakona. Podaci koji se daju u ovom izvještaju koristiće se isključivo za statističke svrhe i neće se objavljivati kao pojedinačni. Upotreba/uporaba, povjerljivost i zaštita podataka utvrđena je čl. od 36. do 42. Zakona o statistici FBiH i primjenjivat će se prilikom statističke obrade predmetnih podataka.                                                 </t>
  </si>
  <si>
    <t>1) Naziv poslovnog subjekta</t>
  </si>
  <si>
    <t>2) Identifikacioni/identifikacijski broj poslovnog subjekta</t>
  </si>
  <si>
    <t xml:space="preserve"> 3) Kanton</t>
  </si>
  <si>
    <t xml:space="preserve"> Općina</t>
  </si>
  <si>
    <t>4) Ulica i broj</t>
  </si>
  <si>
    <t xml:space="preserve"> Telefon</t>
  </si>
  <si>
    <r>
      <rPr>
        <sz val="9"/>
        <rFont val="Arial"/>
        <charset val="134"/>
      </rPr>
      <t xml:space="preserve">5) Djelatnost prema KD 2010 -  detaljan opis glavne djelatnosti </t>
    </r>
    <r>
      <rPr>
        <vertAlign val="superscript"/>
        <sz val="9"/>
        <rFont val="Arial"/>
        <charset val="238"/>
      </rPr>
      <t>1)</t>
    </r>
  </si>
  <si>
    <t xml:space="preserve">Molimo da ne upisujete nazive kao npr. "proizvodnja", “građevinarstvo” ili "trgovina", nego npr. "trgovina na malo pretežno prehrambenim proizvodima" ili "proizvodnja mlijeka, mliječnih proizvoda i sira". 
Poželjno je da u svrhu preciznosti u opis uključite i vrstu proizvoda ili usluge koji su rezultat Vaše glavne djelatnosti.
</t>
  </si>
  <si>
    <t xml:space="preserve">6) Vlasništvo poslovnog subjekta na dan 31.12.2022.                           </t>
  </si>
  <si>
    <t>6a) Navedite zemlje porijekla stranog kapitala      Učešće u %</t>
  </si>
  <si>
    <t>(zaokružiti jedan od modaliteta)</t>
  </si>
  <si>
    <t xml:space="preserve"> (za modalitete 4 i 5 )</t>
  </si>
  <si>
    <t>državni poslovni subjekt</t>
  </si>
  <si>
    <t>privatni poslovni subjekt (100% domaći kapital)</t>
  </si>
  <si>
    <t>mješoviti poslovni subjekt sa više od 50% domaćeg kapitala</t>
  </si>
  <si>
    <t>mješoviti poslovni subjekt sa 50% i više stranog kapitala</t>
  </si>
  <si>
    <t>strani poslovni subjekt (100%  strani kapital)</t>
  </si>
  <si>
    <r>
      <rPr>
        <sz val="9"/>
        <rFont val="Arial"/>
        <charset val="134"/>
      </rPr>
      <t xml:space="preserve">8) Ako je došlo do restrukturiranja poslovnog subjekta </t>
    </r>
    <r>
      <rPr>
        <sz val="9"/>
        <rFont val="Arial"/>
        <charset val="238"/>
      </rPr>
      <t>u 2022. godini</t>
    </r>
    <r>
      <rPr>
        <sz val="9"/>
        <rFont val="Arial"/>
        <charset val="134"/>
      </rPr>
      <t xml:space="preserve"> zaokružiti odgovarajući status za posljednju promjenu:</t>
    </r>
  </si>
  <si>
    <t xml:space="preserve">     (zaokružiti jedan od modaliteta)</t>
  </si>
  <si>
    <t>spajanje</t>
  </si>
  <si>
    <t>izdvajanje</t>
  </si>
  <si>
    <t>pripajanje</t>
  </si>
  <si>
    <t>stečaj</t>
  </si>
  <si>
    <t>od kada</t>
  </si>
  <si>
    <t>razdvajanje</t>
  </si>
  <si>
    <t>likvidacija</t>
  </si>
  <si>
    <t xml:space="preserve"> mjesec</t>
  </si>
  <si>
    <t xml:space="preserve">   godina</t>
  </si>
  <si>
    <t>nije bilo promjene</t>
  </si>
  <si>
    <r>
      <rPr>
        <i/>
        <vertAlign val="superscript"/>
        <sz val="9"/>
        <rFont val="Arial"/>
        <charset val="238"/>
      </rPr>
      <t>1)</t>
    </r>
    <r>
      <rPr>
        <i/>
        <sz val="9"/>
        <rFont val="Arial"/>
        <charset val="238"/>
      </rPr>
      <t xml:space="preserve"> Glavna (pretežna) djelatnost je djelatnost iz koje se ostvaruje najveći prihod ili u kojoj radi najveći broj radnika.</t>
    </r>
  </si>
  <si>
    <r>
      <rPr>
        <i/>
        <vertAlign val="superscript"/>
        <sz val="10"/>
        <rFont val="Arial"/>
        <charset val="238"/>
      </rPr>
      <t>2)</t>
    </r>
    <r>
      <rPr>
        <i/>
        <sz val="9"/>
        <rFont val="Arial"/>
        <charset val="238"/>
      </rPr>
      <t xml:space="preserve"> Lokalna jedinica je dio poslovnog subjekta (radionica, tvornica, skladište, ured) smješten na geografski određenoj lokaciji različitoj od sjedišta poslovnog subjekta. Na svakoj od tih lokacija obavlja se ekonomska djelatnost u kojoj je zaposlena jedna ili više osoba od tog poslovnog subjekta.</t>
    </r>
  </si>
  <si>
    <t xml:space="preserve">                       Federalni zavod za statistiku, Zelenih beretki 26, Sarajevo; tel. 033 20 64 52, fax 033 22 61 51. e-mail: fedstat@fzs.ba; www.fzs.ba</t>
  </si>
  <si>
    <r>
      <rPr>
        <b/>
        <sz val="9"/>
        <rFont val="Arial"/>
        <charset val="134"/>
      </rPr>
      <t xml:space="preserve">Tabela 1   PRIHODI IZ REDOVNE DJELATNOSTI </t>
    </r>
    <r>
      <rPr>
        <b/>
        <vertAlign val="superscript"/>
        <sz val="9"/>
        <rFont val="Arial"/>
        <charset val="238"/>
      </rPr>
      <t>3)</t>
    </r>
  </si>
  <si>
    <t>R.B.</t>
  </si>
  <si>
    <t>Naziv stavke</t>
  </si>
  <si>
    <t>Statistička šifra</t>
  </si>
  <si>
    <t>Konto (a) ili dio konta</t>
  </si>
  <si>
    <t>Vrijednost u KM</t>
  </si>
  <si>
    <r>
      <rPr>
        <b/>
        <sz val="9"/>
        <rFont val="Arial"/>
        <charset val="238"/>
      </rPr>
      <t xml:space="preserve">Prihodi od prodaje proizvedenih proizvoda </t>
    </r>
    <r>
      <rPr>
        <i/>
        <sz val="9"/>
        <rFont val="Arial"/>
        <charset val="238"/>
      </rPr>
      <t>(isključujući PDV i akcize)</t>
    </r>
  </si>
  <si>
    <t>01.01.00</t>
  </si>
  <si>
    <r>
      <rPr>
        <b/>
        <sz val="9"/>
        <rFont val="Arial"/>
        <charset val="134"/>
      </rPr>
      <t xml:space="preserve">Prihodi od pruženih usluga </t>
    </r>
    <r>
      <rPr>
        <i/>
        <sz val="9"/>
        <rFont val="Arial"/>
        <charset val="134"/>
      </rPr>
      <t>(isključujući PDV)</t>
    </r>
  </si>
  <si>
    <t>01.02.00</t>
  </si>
  <si>
    <r>
      <rPr>
        <b/>
        <sz val="9"/>
        <rFont val="Arial"/>
        <charset val="134"/>
      </rPr>
      <t xml:space="preserve">Prihodi od prodaje robe za preprodaju </t>
    </r>
    <r>
      <rPr>
        <i/>
        <sz val="9"/>
        <rFont val="Arial"/>
        <charset val="134"/>
      </rPr>
      <t>(isključujući PDV)</t>
    </r>
  </si>
  <si>
    <t>01.03.00</t>
  </si>
  <si>
    <r>
      <rPr>
        <b/>
        <sz val="9"/>
        <rFont val="Arial"/>
        <charset val="134"/>
      </rPr>
      <t>Prihodi od aktiviranja</t>
    </r>
    <r>
      <rPr>
        <b/>
        <sz val="9"/>
        <rFont val="Arial"/>
        <charset val="238"/>
      </rPr>
      <t xml:space="preserve"> ili potrošnje robe</t>
    </r>
    <r>
      <rPr>
        <b/>
        <sz val="9"/>
        <rFont val="Arial"/>
        <charset val="134"/>
      </rPr>
      <t xml:space="preserve"> i učinaka </t>
    </r>
    <r>
      <rPr>
        <i/>
        <sz val="9"/>
        <rFont val="Arial"/>
        <charset val="134"/>
      </rPr>
      <t xml:space="preserve">( kapitalizovana proizvodnja) </t>
    </r>
  </si>
  <si>
    <t>01.04.00</t>
  </si>
  <si>
    <t xml:space="preserve">Drugi poslovni prihodi ( isključujući finansijske/financijske prihode) </t>
  </si>
  <si>
    <t>01.05.00</t>
  </si>
  <si>
    <t>651 do 659 osim 656</t>
  </si>
  <si>
    <r>
      <rPr>
        <b/>
        <sz val="9"/>
        <rFont val="Arial"/>
        <charset val="134"/>
      </rPr>
      <t xml:space="preserve">Subvencije na proizvode </t>
    </r>
    <r>
      <rPr>
        <i/>
        <sz val="9"/>
        <rFont val="Arial"/>
        <charset val="238"/>
      </rPr>
      <t>(subvencije koje se mogu prikazati po jedinici proizvoda)</t>
    </r>
  </si>
  <si>
    <t>01.06.00</t>
  </si>
  <si>
    <t>dio 650</t>
  </si>
  <si>
    <t>Subvencije na proizvodnju</t>
  </si>
  <si>
    <t>01.07.00</t>
  </si>
  <si>
    <r>
      <rPr>
        <b/>
        <sz val="9"/>
        <rFont val="Arial"/>
        <charset val="134"/>
      </rPr>
      <t xml:space="preserve">UKUPNO </t>
    </r>
    <r>
      <rPr>
        <b/>
        <i/>
        <sz val="9"/>
        <rFont val="Arial"/>
        <charset val="238"/>
      </rPr>
      <t xml:space="preserve"> </t>
    </r>
    <r>
      <rPr>
        <i/>
        <sz val="8"/>
        <rFont val="Arial"/>
        <charset val="238"/>
      </rPr>
      <t xml:space="preserve">(1+2+3+4+5+6+7) </t>
    </r>
  </si>
  <si>
    <t>01.00.00</t>
  </si>
  <si>
    <r>
      <rPr>
        <i/>
        <sz val="9"/>
        <rFont val="Arial"/>
        <charset val="238"/>
      </rPr>
      <t xml:space="preserve"> </t>
    </r>
    <r>
      <rPr>
        <i/>
        <vertAlign val="superscript"/>
        <sz val="10"/>
        <rFont val="Arial"/>
        <charset val="238"/>
      </rPr>
      <t>3)</t>
    </r>
    <r>
      <rPr>
        <i/>
        <sz val="9"/>
        <rFont val="Arial"/>
        <charset val="238"/>
      </rPr>
      <t xml:space="preserve"> Podaci se preuzimaju iz bilansa uspjeha i analitičke evidencije; finansijski/financijski se ne uključuju. </t>
    </r>
  </si>
  <si>
    <r>
      <rPr>
        <b/>
        <sz val="9"/>
        <rFont val="Arial"/>
        <charset val="134"/>
      </rPr>
      <t xml:space="preserve">Tabela 2   TROŠKOVI ZA REDOVNU DJELATNOST </t>
    </r>
    <r>
      <rPr>
        <b/>
        <vertAlign val="superscript"/>
        <sz val="9"/>
        <rFont val="Arial"/>
        <charset val="238"/>
      </rPr>
      <t>4)</t>
    </r>
  </si>
  <si>
    <r>
      <rPr>
        <b/>
        <sz val="9"/>
        <rFont val="Arial"/>
        <charset val="134"/>
      </rPr>
      <t xml:space="preserve">Troškovi sirovina i materijala, pomoćnog i ostalog materijala </t>
    </r>
    <r>
      <rPr>
        <i/>
        <sz val="9"/>
        <rFont val="Arial"/>
        <charset val="134"/>
      </rPr>
      <t>(bez PDV)</t>
    </r>
  </si>
  <si>
    <t>02.01.00</t>
  </si>
  <si>
    <t>511 + 513+514</t>
  </si>
  <si>
    <t>Troškovi goriva i energije</t>
  </si>
  <si>
    <t>02.02.00</t>
  </si>
  <si>
    <t>Nabavna vrijednost prodate robe i stalnih sredstava pribavljenih radi prodaje</t>
  </si>
  <si>
    <t>02.03.00</t>
  </si>
  <si>
    <t>501+502</t>
  </si>
  <si>
    <r>
      <rPr>
        <b/>
        <sz val="9"/>
        <rFont val="Arial"/>
        <charset val="238"/>
      </rPr>
      <t xml:space="preserve">Troškovi usluga </t>
    </r>
    <r>
      <rPr>
        <i/>
        <sz val="8"/>
        <rFont val="Arial"/>
        <charset val="238"/>
      </rPr>
      <t>(zbir od 5 do 18)</t>
    </r>
  </si>
  <si>
    <t>02.04.00</t>
  </si>
  <si>
    <t xml:space="preserve">  - Usluge trećih lica/osoba na izradi i doradi vlastitih učinaka</t>
  </si>
  <si>
    <t>02.04.01</t>
  </si>
  <si>
    <t>6</t>
  </si>
  <si>
    <r>
      <rPr>
        <sz val="9"/>
        <rFont val="Arial"/>
        <charset val="134"/>
      </rPr>
      <t xml:space="preserve">  - Usluge redovnog održavanja od strane trećih lica </t>
    </r>
    <r>
      <rPr>
        <i/>
        <sz val="9"/>
        <rFont val="Arial"/>
        <charset val="134"/>
      </rPr>
      <t>(isključujući investiciono)</t>
    </r>
    <r>
      <rPr>
        <sz val="9"/>
        <rFont val="Arial"/>
        <charset val="134"/>
      </rPr>
      <t xml:space="preserve"> </t>
    </r>
  </si>
  <si>
    <t>02.04.02</t>
  </si>
  <si>
    <t>dio 532</t>
  </si>
  <si>
    <t>7</t>
  </si>
  <si>
    <r>
      <rPr>
        <sz val="9"/>
        <rFont val="Arial"/>
        <charset val="134"/>
      </rPr>
      <t xml:space="preserve">  - Transportne usluge za robe i osobe </t>
    </r>
    <r>
      <rPr>
        <i/>
        <sz val="9"/>
        <rFont val="Arial"/>
        <charset val="134"/>
      </rPr>
      <t>(prevoz za vlastiti račun uključiti pod 2)</t>
    </r>
  </si>
  <si>
    <t>02.04.03</t>
  </si>
  <si>
    <t>8</t>
  </si>
  <si>
    <t xml:space="preserve">  - Usluge pošte i telekomunikacija</t>
  </si>
  <si>
    <t>02.04.04</t>
  </si>
  <si>
    <t>9</t>
  </si>
  <si>
    <t xml:space="preserve">  - Usluge reklame, propagande i priređivanja sajmova</t>
  </si>
  <si>
    <t>02.04.05</t>
  </si>
  <si>
    <t>534+535</t>
  </si>
  <si>
    <r>
      <rPr>
        <sz val="9"/>
        <rFont val="Arial"/>
        <charset val="134"/>
      </rPr>
      <t xml:space="preserve">  - Usluge istraživanja i razvoja i izrada studija </t>
    </r>
    <r>
      <rPr>
        <i/>
        <sz val="9"/>
        <rFont val="Arial"/>
        <charset val="238"/>
      </rPr>
      <t>(isključujući kapitalizovane)</t>
    </r>
  </si>
  <si>
    <t>02.04.06</t>
  </si>
  <si>
    <t>536+537</t>
  </si>
  <si>
    <t xml:space="preserve">  - Računarske i srodne, konsultantske, savjetodavne, pravne, računovodstvene,
    revizione i sl.</t>
  </si>
  <si>
    <t>02.04.07</t>
  </si>
  <si>
    <t>dio 550</t>
  </si>
  <si>
    <t xml:space="preserve">  - Troškovi premija osiguranja za štete u vezi sa poslovnim sredstvima </t>
  </si>
  <si>
    <t>02.04.08</t>
  </si>
  <si>
    <t xml:space="preserve">  - Rojaliteti, troškovi naknada za korištenje licenci, autorskih prava, patenata i sl.</t>
  </si>
  <si>
    <t>02.04.09</t>
  </si>
  <si>
    <t xml:space="preserve">  - Troškovi odstranjivanja otpada i troškovi vode</t>
  </si>
  <si>
    <t>02.04.10</t>
  </si>
  <si>
    <t>dio 539</t>
  </si>
  <si>
    <r>
      <rPr>
        <sz val="9"/>
        <rFont val="Arial"/>
        <charset val="134"/>
      </rPr>
      <t xml:space="preserve">  - Troškovi platnog prometa, bankarske usluge (</t>
    </r>
    <r>
      <rPr>
        <i/>
        <sz val="9"/>
        <rFont val="Arial"/>
        <charset val="134"/>
      </rPr>
      <t>isključujući plaćanje kamata</t>
    </r>
    <r>
      <rPr>
        <sz val="9"/>
        <rFont val="Arial"/>
        <charset val="134"/>
      </rPr>
      <t>)</t>
    </r>
  </si>
  <si>
    <t>02.04.11</t>
  </si>
  <si>
    <r>
      <rPr>
        <sz val="9"/>
        <rFont val="Arial"/>
        <charset val="134"/>
      </rPr>
      <t xml:space="preserve">  - Troškovi spoljnih saradnika/suradnika </t>
    </r>
    <r>
      <rPr>
        <i/>
        <sz val="9"/>
        <rFont val="Arial"/>
        <charset val="238"/>
      </rPr>
      <t>(privremeno i povremeno)</t>
    </r>
    <r>
      <rPr>
        <sz val="9"/>
        <rFont val="Arial"/>
        <charset val="134"/>
      </rPr>
      <t xml:space="preserve"> i ostalih zaposlenika
     putem agencija - bruto iznos</t>
    </r>
  </si>
  <si>
    <t>02.04.12</t>
  </si>
  <si>
    <t>dio 529</t>
  </si>
  <si>
    <r>
      <rPr>
        <sz val="9"/>
        <rFont val="Arial"/>
        <charset val="134"/>
      </rPr>
      <t xml:space="preserve">  - Troškovi rente i operativnog lizinga (</t>
    </r>
    <r>
      <rPr>
        <i/>
        <sz val="9"/>
        <rFont val="Arial"/>
        <charset val="134"/>
      </rPr>
      <t>poslovni objekti, mašine i oprema</t>
    </r>
    <r>
      <rPr>
        <sz val="9"/>
        <rFont val="Arial"/>
        <charset val="134"/>
      </rPr>
      <t>)</t>
    </r>
  </si>
  <si>
    <t>02.04.13</t>
  </si>
  <si>
    <r>
      <rPr>
        <sz val="9"/>
        <rFont val="Arial"/>
        <charset val="134"/>
      </rPr>
      <t xml:space="preserve">  - Troškovi ostalih nepomenutih usluga </t>
    </r>
    <r>
      <rPr>
        <i/>
        <sz val="9"/>
        <color indexed="10"/>
        <rFont val="Arial"/>
        <charset val="134"/>
      </rPr>
      <t>(zaštita,čišćenje,pomoćne djelatnosti i dr.)</t>
    </r>
  </si>
  <si>
    <t>02.04.14</t>
  </si>
  <si>
    <r>
      <rPr>
        <b/>
        <sz val="9"/>
        <rFont val="Arial"/>
        <charset val="134"/>
      </rPr>
      <t xml:space="preserve">Troškovi zaposlenika </t>
    </r>
    <r>
      <rPr>
        <i/>
        <sz val="9"/>
        <rFont val="Arial"/>
        <charset val="134"/>
      </rPr>
      <t>(bruto zarade i naknade zarada za zaposlenike prema platnoj listi)</t>
    </r>
    <r>
      <rPr>
        <i/>
        <sz val="8"/>
        <rFont val="Arial"/>
        <charset val="134"/>
      </rPr>
      <t xml:space="preserve">     </t>
    </r>
    <r>
      <rPr>
        <i/>
        <sz val="8"/>
        <rFont val="Arial"/>
        <charset val="238"/>
      </rPr>
      <t xml:space="preserve"> (20+21+22)</t>
    </r>
  </si>
  <si>
    <t>02.05.00</t>
  </si>
  <si>
    <r>
      <rPr>
        <sz val="9"/>
        <rFont val="Arial"/>
        <charset val="238"/>
      </rPr>
      <t xml:space="preserve">  - Bruto plaće i naknade bruto plaća zaposlenika </t>
    </r>
    <r>
      <rPr>
        <i/>
        <sz val="9"/>
        <rFont val="Arial"/>
        <charset val="238"/>
      </rPr>
      <t>(neto plaće, akontacija poreza 
   na dohodak i doprinosi iz plaće)- bez doprinosa na plaću</t>
    </r>
  </si>
  <si>
    <t>02.05.01</t>
  </si>
  <si>
    <t xml:space="preserve">dio520+521 </t>
  </si>
  <si>
    <r>
      <rPr>
        <sz val="9"/>
        <rFont val="Arial"/>
        <charset val="238"/>
      </rPr>
      <t xml:space="preserve">  - Ostali troškovi zaposlenika koji se tretiraju kao lična primanja 
    </t>
    </r>
    <r>
      <rPr>
        <i/>
        <sz val="9"/>
        <rFont val="Arial"/>
        <charset val="238"/>
      </rPr>
      <t xml:space="preserve">(topli obrok, prevoz na posao, otpremnine, regres) </t>
    </r>
  </si>
  <si>
    <t>02.05.02</t>
  </si>
  <si>
    <t>dio524+527</t>
  </si>
  <si>
    <r>
      <rPr>
        <sz val="9"/>
        <rFont val="Arial"/>
        <charset val="238"/>
      </rPr>
      <t xml:space="preserve">  - Doprinosi za socijalno osiguranje koji terete poslodavca </t>
    </r>
    <r>
      <rPr>
        <i/>
        <sz val="9"/>
        <rFont val="Arial"/>
        <charset val="238"/>
      </rPr>
      <t>(na plaću)</t>
    </r>
  </si>
  <si>
    <t>02.05.03</t>
  </si>
  <si>
    <t>dio 520</t>
  </si>
  <si>
    <t>Troškovi amortizacije</t>
  </si>
  <si>
    <t>02.06.00</t>
  </si>
  <si>
    <t>540+541+542</t>
  </si>
  <si>
    <t xml:space="preserve">Troškovi rezerviranja </t>
  </si>
  <si>
    <t>02.07.00</t>
  </si>
  <si>
    <t>543 do 549</t>
  </si>
  <si>
    <r>
      <rPr>
        <b/>
        <sz val="9"/>
        <rFont val="Arial"/>
        <charset val="134"/>
      </rPr>
      <t xml:space="preserve">Ostali troškovi poslovanja </t>
    </r>
    <r>
      <rPr>
        <i/>
        <sz val="8"/>
        <rFont val="Arial"/>
        <charset val="238"/>
      </rPr>
      <t>(zbir od 26 do 31)</t>
    </r>
  </si>
  <si>
    <t>02.08.00</t>
  </si>
  <si>
    <r>
      <rPr>
        <sz val="9"/>
        <rFont val="Arial"/>
        <charset val="134"/>
      </rPr>
      <t xml:space="preserve">  - Troškovi za </t>
    </r>
    <r>
      <rPr>
        <i/>
        <sz val="9"/>
        <rFont val="Arial"/>
        <charset val="134"/>
      </rPr>
      <t>službeno putovanje, terenski dodatak, odvojeni život i sl.</t>
    </r>
  </si>
  <si>
    <t>02.08.01</t>
  </si>
  <si>
    <t>523 + dio 524</t>
  </si>
  <si>
    <r>
      <rPr>
        <sz val="9"/>
        <rFont val="Arial"/>
        <charset val="134"/>
      </rPr>
      <t xml:space="preserve">  - Troškovi stručnog usavršavanja </t>
    </r>
    <r>
      <rPr>
        <i/>
        <sz val="9"/>
        <rFont val="Arial"/>
        <charset val="238"/>
      </rPr>
      <t xml:space="preserve">(obrazovanje zaposlenih, kotizacije, stipendije
     i krediti)  </t>
    </r>
  </si>
  <si>
    <t>02.08.02</t>
  </si>
  <si>
    <t xml:space="preserve">  - Troškovi reprezentacije </t>
  </si>
  <si>
    <t>02.08.03</t>
  </si>
  <si>
    <t xml:space="preserve">  - Članarine poslovnim i drugim oblicima udruživanja</t>
  </si>
  <si>
    <t>02.08.04</t>
  </si>
  <si>
    <t xml:space="preserve">  - Administrativne takse </t>
  </si>
  <si>
    <t>02.08.05</t>
  </si>
  <si>
    <t>dio 555</t>
  </si>
  <si>
    <r>
      <rPr>
        <sz val="9"/>
        <rFont val="Arial"/>
        <charset val="134"/>
      </rPr>
      <t xml:space="preserve">  - Drugi operativni troškovi </t>
    </r>
    <r>
      <rPr>
        <i/>
        <sz val="9"/>
        <rFont val="Arial"/>
        <charset val="134"/>
      </rPr>
      <t>( isključujući finansijske/financijske troškove )</t>
    </r>
  </si>
  <si>
    <t>02.08.06</t>
  </si>
  <si>
    <r>
      <rPr>
        <b/>
        <sz val="9"/>
        <rFont val="Arial"/>
        <charset val="238"/>
      </rPr>
      <t>Troškovi poreza na proizvode</t>
    </r>
    <r>
      <rPr>
        <sz val="9"/>
        <rFont val="Arial"/>
        <charset val="134"/>
      </rPr>
      <t xml:space="preserve"> (</t>
    </r>
    <r>
      <rPr>
        <i/>
        <sz val="9"/>
        <rFont val="Arial"/>
        <charset val="238"/>
      </rPr>
      <t>isključujući PDV i akcize)</t>
    </r>
  </si>
  <si>
    <t>02.09.00</t>
  </si>
  <si>
    <r>
      <rPr>
        <b/>
        <sz val="9"/>
        <rFont val="Arial"/>
        <charset val="238"/>
      </rPr>
      <t xml:space="preserve">Troškovi poreza na proizvodnju </t>
    </r>
    <r>
      <rPr>
        <i/>
        <sz val="9"/>
        <rFont val="Arial"/>
        <charset val="238"/>
      </rPr>
      <t>(na zemljište, fiksnu aktivu i korišteni rad, sl.)</t>
    </r>
  </si>
  <si>
    <t>02.10.00</t>
  </si>
  <si>
    <r>
      <rPr>
        <b/>
        <sz val="9"/>
        <rFont val="Arial"/>
        <charset val="238"/>
      </rPr>
      <t xml:space="preserve">UKUPNO </t>
    </r>
    <r>
      <rPr>
        <i/>
        <sz val="8"/>
        <rFont val="Arial"/>
        <charset val="238"/>
      </rPr>
      <t>(1+2+3+4+19+23+24+25+32+33)</t>
    </r>
  </si>
  <si>
    <t>02.00.00</t>
  </si>
  <si>
    <t xml:space="preserve">  Od toga - Plaćanja podugovaračima za rad, isporučene proizvode i 
                  usluge
 </t>
  </si>
  <si>
    <t>02.00.99</t>
  </si>
  <si>
    <r>
      <rPr>
        <i/>
        <vertAlign val="superscript"/>
        <sz val="8"/>
        <rFont val="Arial"/>
        <charset val="238"/>
      </rPr>
      <t>4)</t>
    </r>
    <r>
      <rPr>
        <i/>
        <sz val="9"/>
        <rFont val="Arial"/>
        <charset val="238"/>
      </rPr>
      <t xml:space="preserve"> Podaci se preuzimaju iz bilansa uspjeha i analitičke evidencije; finansijski/financijski rashodi se ne uključuju. </t>
    </r>
  </si>
  <si>
    <r>
      <rPr>
        <b/>
        <sz val="9"/>
        <rFont val="Arial"/>
        <charset val="134"/>
      </rPr>
      <t xml:space="preserve">Tabela 3   STANJE ZALIHA </t>
    </r>
    <r>
      <rPr>
        <b/>
        <sz val="8"/>
        <rFont val="Arial"/>
        <charset val="238"/>
      </rPr>
      <t xml:space="preserve"> </t>
    </r>
    <r>
      <rPr>
        <b/>
        <vertAlign val="superscript"/>
        <sz val="8"/>
        <rFont val="Arial"/>
        <charset val="238"/>
      </rPr>
      <t xml:space="preserve"> 5</t>
    </r>
    <r>
      <rPr>
        <b/>
        <vertAlign val="superscript"/>
        <sz val="9"/>
        <rFont val="Arial"/>
        <charset val="238"/>
      </rPr>
      <t xml:space="preserve">) </t>
    </r>
    <r>
      <rPr>
        <b/>
        <sz val="9"/>
        <rFont val="Arial"/>
        <charset val="238"/>
      </rPr>
      <t>- vrijednost u KM</t>
    </r>
  </si>
  <si>
    <r>
      <rPr>
        <sz val="9"/>
        <rFont val="Arial"/>
        <charset val="134"/>
      </rPr>
      <t xml:space="preserve">  Zalihe sirovina i materijala (</t>
    </r>
    <r>
      <rPr>
        <i/>
        <sz val="9"/>
        <rFont val="Arial"/>
        <charset val="238"/>
      </rPr>
      <t>isključujući gorivo i energiju)</t>
    </r>
  </si>
  <si>
    <t>03.01</t>
  </si>
  <si>
    <r>
      <rPr>
        <sz val="9"/>
        <rFont val="Arial"/>
        <charset val="134"/>
      </rPr>
      <t xml:space="preserve">  Zalihe </t>
    </r>
    <r>
      <rPr>
        <sz val="9"/>
        <rFont val="Arial"/>
        <charset val="238"/>
      </rPr>
      <t>goriva i energije</t>
    </r>
  </si>
  <si>
    <t>03.02</t>
  </si>
  <si>
    <t xml:space="preserve">  Zalihe robe za preprodaju</t>
  </si>
  <si>
    <t>03.03</t>
  </si>
  <si>
    <t xml:space="preserve">  Zalihe nedovršene proizvodnje</t>
  </si>
  <si>
    <t>03.04</t>
  </si>
  <si>
    <t xml:space="preserve">  Zalihe gotovih proizvoda </t>
  </si>
  <si>
    <t>03.05</t>
  </si>
  <si>
    <r>
      <rPr>
        <i/>
        <vertAlign val="superscript"/>
        <sz val="10"/>
        <rFont val="Arial"/>
        <charset val="238"/>
      </rPr>
      <t>5)</t>
    </r>
    <r>
      <rPr>
        <i/>
        <sz val="9"/>
        <rFont val="Arial"/>
        <charset val="238"/>
      </rPr>
      <t xml:space="preserve"> Podaci se preuzimaju iz bilansa stanja</t>
    </r>
  </si>
  <si>
    <t xml:space="preserve">Tabela 4   ZAPOSLENOST </t>
  </si>
  <si>
    <t>Zaposleni prema statusu u zaposlenosti</t>
  </si>
  <si>
    <r>
      <rPr>
        <sz val="7"/>
        <rFont val="Arial"/>
        <charset val="134"/>
      </rPr>
      <t>Broj zaposlenih (</t>
    </r>
    <r>
      <rPr>
        <i/>
        <sz val="7"/>
        <rFont val="Arial"/>
        <charset val="134"/>
      </rPr>
      <t>godišnji prosjek</t>
    </r>
    <r>
      <rPr>
        <sz val="7"/>
        <rFont val="Arial"/>
        <charset val="134"/>
      </rPr>
      <t>)</t>
    </r>
  </si>
  <si>
    <r>
      <rPr>
        <sz val="7"/>
        <rFont val="Arial"/>
        <charset val="134"/>
      </rPr>
      <t xml:space="preserve">Ukupan broj odrađenih sati </t>
    </r>
    <r>
      <rPr>
        <vertAlign val="superscript"/>
        <sz val="7"/>
        <rFont val="Arial"/>
        <charset val="238"/>
      </rPr>
      <t>6)</t>
    </r>
  </si>
  <si>
    <t>od toga: žene</t>
  </si>
  <si>
    <r>
      <rPr>
        <b/>
        <sz val="9"/>
        <rFont val="Arial"/>
        <charset val="238"/>
      </rPr>
      <t>Neplaćena lica/osobe</t>
    </r>
    <r>
      <rPr>
        <sz val="9"/>
        <rFont val="Arial"/>
        <charset val="134"/>
      </rPr>
      <t xml:space="preserve"> </t>
    </r>
    <r>
      <rPr>
        <i/>
        <sz val="9"/>
        <rFont val="Arial"/>
        <charset val="238"/>
      </rPr>
      <t>(vlasnici i suvlasnici, članovi porodice/obitelji koji rade u preduzeću/poduzeću)</t>
    </r>
  </si>
  <si>
    <t>04.01</t>
  </si>
  <si>
    <r>
      <rPr>
        <b/>
        <sz val="9"/>
        <rFont val="Arial"/>
        <charset val="238"/>
      </rPr>
      <t>Plaćeni zaposlenici</t>
    </r>
    <r>
      <rPr>
        <sz val="9"/>
        <rFont val="Arial"/>
        <charset val="238"/>
      </rPr>
      <t xml:space="preserve"> </t>
    </r>
    <r>
      <rPr>
        <i/>
        <sz val="9"/>
        <rFont val="Arial"/>
        <charset val="238"/>
      </rPr>
      <t>(3+4+5)</t>
    </r>
  </si>
  <si>
    <t>04.02</t>
  </si>
  <si>
    <t xml:space="preserve"> - rukovodeći i administrativni radnici</t>
  </si>
  <si>
    <t>04.03</t>
  </si>
  <si>
    <r>
      <rPr>
        <sz val="9"/>
        <rFont val="Arial"/>
        <charset val="134"/>
      </rPr>
      <t xml:space="preserve"> - ostali radnici </t>
    </r>
    <r>
      <rPr>
        <i/>
        <sz val="9"/>
        <rFont val="Arial"/>
        <charset val="134"/>
      </rPr>
      <t>(sve vrste operativnih radnika)</t>
    </r>
  </si>
  <si>
    <t>04.04</t>
  </si>
  <si>
    <r>
      <rPr>
        <sz val="9"/>
        <rFont val="Arial"/>
        <charset val="134"/>
      </rPr>
      <t xml:space="preserve"> - radnici koji rade kod kuće </t>
    </r>
    <r>
      <rPr>
        <i/>
        <sz val="9"/>
        <rFont val="Arial"/>
        <charset val="134"/>
      </rPr>
      <t>(na platnom spisku)</t>
    </r>
  </si>
  <si>
    <t>04.05</t>
  </si>
  <si>
    <r>
      <rPr>
        <b/>
        <sz val="9"/>
        <rFont val="Arial"/>
        <charset val="134"/>
      </rPr>
      <t xml:space="preserve">UKUPNO </t>
    </r>
    <r>
      <rPr>
        <i/>
        <sz val="8"/>
        <rFont val="Arial"/>
        <charset val="238"/>
      </rPr>
      <t>(1+2)</t>
    </r>
  </si>
  <si>
    <t>04.00</t>
  </si>
  <si>
    <r>
      <rPr>
        <i/>
        <vertAlign val="superscript"/>
        <sz val="9"/>
        <rFont val="Arial"/>
        <charset val="238"/>
      </rPr>
      <t>6)</t>
    </r>
    <r>
      <rPr>
        <i/>
        <sz val="9"/>
        <rFont val="Arial"/>
        <charset val="238"/>
      </rPr>
      <t xml:space="preserve"> Broj odrađenih sati obuhvata ukupan broj stvarno odrađenih sati tokom čitave godine (redovno radno vrijeme, prekovremeni rad, rad nedjeljom i praznicima/blagdanima i rad noću) za svaku kategoriju prema statusu u zaposlenosti. Ne uključuju se plaćeni a neizvršeni sati (godišnji odmor, praznici/blagdani, bolovanje i sl.).</t>
    </r>
  </si>
  <si>
    <t>Tabela 5   SPOLJNI SARADNICI/SURADNICI I NJIHOVI TROŠKOVI</t>
  </si>
  <si>
    <t>Vrsta profesionalne usluge</t>
  </si>
  <si>
    <t>Broj spoljnih saradnika/suradnika 
(godišnji prosjek)</t>
  </si>
  <si>
    <t>Ukupan broj odrađenih sati</t>
  </si>
  <si>
    <t>Troškovi spoljnih saradnika/suradnika u KM</t>
  </si>
  <si>
    <t>Radnici zaposleni putem agencija za pružanje poslovnih usluga i posredovanje pri zapošljavanju</t>
  </si>
  <si>
    <t>05.01</t>
  </si>
  <si>
    <r>
      <rPr>
        <sz val="9"/>
        <rFont val="Arial"/>
        <charset val="134"/>
      </rPr>
      <t>Ostali spoljni saradnici/suradnici (</t>
    </r>
    <r>
      <rPr>
        <i/>
        <sz val="9"/>
        <rFont val="Arial"/>
        <charset val="134"/>
      </rPr>
      <t>npr. ugovori sa fizičkim licima/osobama o privremenim i povremenim poslovima</t>
    </r>
    <r>
      <rPr>
        <sz val="9"/>
        <rFont val="Arial"/>
        <charset val="134"/>
      </rPr>
      <t>)</t>
    </r>
  </si>
  <si>
    <t>05.02</t>
  </si>
  <si>
    <r>
      <rPr>
        <b/>
        <sz val="9"/>
        <rFont val="Arial"/>
        <charset val="238"/>
      </rPr>
      <t>UKUPNO</t>
    </r>
    <r>
      <rPr>
        <sz val="9"/>
        <rFont val="Arial"/>
        <charset val="238"/>
      </rPr>
      <t xml:space="preserve"> </t>
    </r>
    <r>
      <rPr>
        <i/>
        <sz val="8"/>
        <rFont val="Arial"/>
        <charset val="238"/>
      </rPr>
      <t>(1+2)</t>
    </r>
  </si>
  <si>
    <t>05.00</t>
  </si>
  <si>
    <t>Tabela 6   PRIHODI OD PRODAJE PREMA DJELATNOSTI</t>
  </si>
  <si>
    <t>S6</t>
  </si>
  <si>
    <t>Vrsta prihoda</t>
  </si>
  <si>
    <r>
      <rPr>
        <b/>
        <sz val="9"/>
        <color theme="1"/>
        <rFont val="Arial"/>
        <charset val="134"/>
      </rPr>
      <t>Prihodi od industrijskih djelatnosti</t>
    </r>
  </si>
  <si>
    <t>06.01.00</t>
  </si>
  <si>
    <t>Prihodi od trgovine</t>
  </si>
  <si>
    <t>06.02.00</t>
  </si>
  <si>
    <t xml:space="preserve">Prihodi od građevinske djelatnosti </t>
  </si>
  <si>
    <t>06.03.00</t>
  </si>
  <si>
    <t xml:space="preserve">       od toga: prihodi od visokogradnje</t>
  </si>
  <si>
    <t>06.03.01</t>
  </si>
  <si>
    <t xml:space="preserve">       od toga: prihodi od niskogradnje</t>
  </si>
  <si>
    <t>06.03.02</t>
  </si>
  <si>
    <r>
      <rPr>
        <b/>
        <sz val="9"/>
        <color theme="1"/>
        <rFont val="Arial"/>
        <charset val="134"/>
      </rPr>
      <t xml:space="preserve">Prihodi od uslužnih djelatnosti  </t>
    </r>
  </si>
  <si>
    <t>06.04.00</t>
  </si>
  <si>
    <t>Prihodi od poljoprivrede, šumarstva i ribarstva</t>
  </si>
  <si>
    <t>06.05.00</t>
  </si>
  <si>
    <r>
      <rPr>
        <b/>
        <sz val="9"/>
        <color theme="1"/>
        <rFont val="Arial"/>
        <charset val="134"/>
      </rPr>
      <t xml:space="preserve">UKUPNO </t>
    </r>
    <r>
      <rPr>
        <i/>
        <sz val="8"/>
        <color indexed="8"/>
        <rFont val="Arial"/>
        <charset val="134"/>
      </rPr>
      <t xml:space="preserve">(1+2+3+6+7) </t>
    </r>
    <r>
      <rPr>
        <i/>
        <vertAlign val="superscript"/>
        <sz val="8"/>
        <color indexed="8"/>
        <rFont val="Arial"/>
        <charset val="134"/>
      </rPr>
      <t>7</t>
    </r>
  </si>
  <si>
    <t>06.00.00</t>
  </si>
  <si>
    <r>
      <rPr>
        <vertAlign val="superscript"/>
        <sz val="10"/>
        <color theme="1"/>
        <rFont val="Arial"/>
        <charset val="134"/>
      </rPr>
      <t xml:space="preserve">7) </t>
    </r>
    <r>
      <rPr>
        <i/>
        <sz val="9"/>
        <color indexed="8"/>
        <rFont val="Arial"/>
        <charset val="134"/>
      </rPr>
      <t>Podatak je jednak zbiru podataka sa rednih brojeva 1+2+3 iz Tabele 1.</t>
    </r>
  </si>
  <si>
    <t xml:space="preserve">Tabela 7  OSTALI PODACI  </t>
  </si>
  <si>
    <t xml:space="preserve">Konto (a) ili dio konta </t>
  </si>
  <si>
    <t>Fakturisani PDV na isporuke dobara i usluga (kumulativan promet konta)</t>
  </si>
  <si>
    <t>08.01.00</t>
  </si>
  <si>
    <t>47, osim 479</t>
  </si>
  <si>
    <t>Odbitni PDV za kupovinu sirovina, materijala i dobara (kumulativan promet konta)</t>
  </si>
  <si>
    <t>08.02.00</t>
  </si>
  <si>
    <t>27, osim 279</t>
  </si>
  <si>
    <t>08.03.00</t>
  </si>
  <si>
    <t>08.22.00</t>
  </si>
  <si>
    <t>Obračunati posebni porezi - akcize</t>
  </si>
  <si>
    <t>08.21.00</t>
  </si>
  <si>
    <r>
      <rPr>
        <sz val="9"/>
        <rFont val="Arial"/>
        <charset val="134"/>
      </rPr>
      <t xml:space="preserve">Prihodi od prodaje dobara </t>
    </r>
    <r>
      <rPr>
        <i/>
        <sz val="9"/>
        <rFont val="Arial"/>
        <charset val="134"/>
      </rPr>
      <t>(robe i proizvoda)</t>
    </r>
    <r>
      <rPr>
        <sz val="9"/>
        <rFont val="Arial"/>
        <charset val="134"/>
      </rPr>
      <t xml:space="preserve"> na inostranom tržištu  </t>
    </r>
  </si>
  <si>
    <t>08.04.00</t>
  </si>
  <si>
    <t xml:space="preserve"> 602,dio 603+612,dio 613</t>
  </si>
  <si>
    <r>
      <rPr>
        <sz val="9"/>
        <rFont val="Arial"/>
        <charset val="134"/>
      </rPr>
      <t>Prihodi od prodaje</t>
    </r>
    <r>
      <rPr>
        <i/>
        <sz val="9"/>
        <rFont val="Arial"/>
        <charset val="134"/>
      </rPr>
      <t xml:space="preserve"> (pružanja)</t>
    </r>
    <r>
      <rPr>
        <sz val="9"/>
        <rFont val="Arial"/>
        <charset val="134"/>
      </rPr>
      <t xml:space="preserve"> usluga na inostranom tržištu</t>
    </r>
  </si>
  <si>
    <t>08.05.00</t>
  </si>
  <si>
    <t>622,dio 623</t>
  </si>
  <si>
    <t>Ostvareni uvoz dobara iz inostranstva</t>
  </si>
  <si>
    <t>08.06.00</t>
  </si>
  <si>
    <t>dio 433</t>
  </si>
  <si>
    <t>Ostvareni uvoz usluga iz inostranstva</t>
  </si>
  <si>
    <t>08.07.00</t>
  </si>
  <si>
    <t>Primljene naknade za štete od osiguravajućih društava</t>
  </si>
  <si>
    <t>08.10.00</t>
  </si>
  <si>
    <t>dio 679</t>
  </si>
  <si>
    <r>
      <rPr>
        <sz val="9"/>
        <rFont val="Arial"/>
        <charset val="134"/>
      </rPr>
      <t>Prihodi od rente i operativnog lizinga (</t>
    </r>
    <r>
      <rPr>
        <i/>
        <sz val="9"/>
        <rFont val="Arial"/>
        <charset val="134"/>
      </rPr>
      <t>objekti i oprema</t>
    </r>
    <r>
      <rPr>
        <sz val="9"/>
        <rFont val="Arial"/>
        <charset val="134"/>
      </rPr>
      <t>)</t>
    </r>
  </si>
  <si>
    <t>08.11.00</t>
  </si>
  <si>
    <t>Prihodi od dividendi i učešća u dobiti</t>
  </si>
  <si>
    <t>08.12.00</t>
  </si>
  <si>
    <t>Prihodi od rojaliteta, licenci, softvera  i drugih autorskih prava</t>
  </si>
  <si>
    <t>08.13.00</t>
  </si>
  <si>
    <t>Grantovi u kapitalnim dobrima dodijeljeni od strane vlade i javne administracije</t>
  </si>
  <si>
    <t>08.14.00</t>
  </si>
  <si>
    <t>650+652</t>
  </si>
  <si>
    <r>
      <rPr>
        <sz val="9"/>
        <rFont val="Arial"/>
        <charset val="134"/>
      </rPr>
      <t>Prihodi od prodaje materijalnih stalnih sredstava (</t>
    </r>
    <r>
      <rPr>
        <i/>
        <sz val="9"/>
        <rFont val="Arial"/>
        <charset val="134"/>
      </rPr>
      <t>vrijednost realizacije</t>
    </r>
    <r>
      <rPr>
        <sz val="9"/>
        <rFont val="Arial"/>
        <charset val="134"/>
      </rPr>
      <t>)</t>
    </r>
  </si>
  <si>
    <t>08.15.00</t>
  </si>
  <si>
    <t>dio 670</t>
  </si>
  <si>
    <r>
      <rPr>
        <sz val="9"/>
        <rFont val="Arial"/>
        <charset val="134"/>
      </rPr>
      <t xml:space="preserve">Direktni porezi plaćeni u referentnom periodu </t>
    </r>
    <r>
      <rPr>
        <i/>
        <sz val="9"/>
        <rFont val="Arial"/>
        <charset val="134"/>
      </rPr>
      <t>(porez na dobit, dohodak i imovinu)</t>
    </r>
  </si>
  <si>
    <t>08.16.00</t>
  </si>
  <si>
    <t>451, 457, 464, 467, 481, 482 i dio 489</t>
  </si>
  <si>
    <t xml:space="preserve">Troškovi investicionog održavanja od strane trećih lica/osoba na poslovnim objektima i opremi </t>
  </si>
  <si>
    <t>08.17.00</t>
  </si>
  <si>
    <t xml:space="preserve"> dio 532</t>
  </si>
  <si>
    <t xml:space="preserve">Prihodi od kamata na depozite </t>
  </si>
  <si>
    <t>08.18.00</t>
  </si>
  <si>
    <t>Kamate plaćene tokom referentnog perioda</t>
  </si>
  <si>
    <t>08.19.00</t>
  </si>
  <si>
    <r>
      <rPr>
        <sz val="9"/>
        <rFont val="Arial"/>
        <charset val="134"/>
      </rPr>
      <t xml:space="preserve">Ulaganja za istraživanje i razvoj, neovisno od izvora sredstava </t>
    </r>
    <r>
      <rPr>
        <i/>
        <sz val="9"/>
        <rFont val="Arial"/>
        <charset val="134"/>
      </rPr>
      <t>(isključujući tekuće)</t>
    </r>
  </si>
  <si>
    <t>08.20.00</t>
  </si>
  <si>
    <t>Podatak</t>
  </si>
  <si>
    <r>
      <rPr>
        <sz val="9"/>
        <rFont val="Arial"/>
        <charset val="134"/>
      </rPr>
      <t>Broj zaposlenih (</t>
    </r>
    <r>
      <rPr>
        <i/>
        <sz val="9"/>
        <rFont val="Arial"/>
        <charset val="134"/>
      </rPr>
      <t>godišnji prosjek</t>
    </r>
    <r>
      <rPr>
        <sz val="9"/>
        <rFont val="Arial"/>
        <charset val="134"/>
      </rPr>
      <t>)</t>
    </r>
  </si>
  <si>
    <t>09.01.00</t>
  </si>
  <si>
    <t xml:space="preserve">Prihodi od prodaje proizvoda, usluga i robe, u KM </t>
  </si>
  <si>
    <t>09.02.00</t>
  </si>
  <si>
    <t xml:space="preserve">INFORMACIJE O POPUNJAVANJU UPITNIKA I KONTAKT INFORMACIJE </t>
  </si>
  <si>
    <t>1) Molimo da navedete koliko Vam je bilo potrebno vremena za popunjavanje upitnika</t>
  </si>
  <si>
    <t>i</t>
  </si>
  <si>
    <t xml:space="preserve">   sati</t>
  </si>
  <si>
    <t xml:space="preserve"> minuta</t>
  </si>
  <si>
    <t xml:space="preserve">2) Da li poslovni subjekt ima E-mail adresu </t>
  </si>
  <si>
    <t xml:space="preserve">Da </t>
  </si>
  <si>
    <t xml:space="preserve">Ne </t>
  </si>
  <si>
    <t>molimo upišite adresu</t>
  </si>
  <si>
    <t>3) Da li poslovni subjekt ima web stranicu</t>
  </si>
  <si>
    <t xml:space="preserve">4) Da li ste zainteresovani/zaiteresirani da upitnik popunjavate on-line? </t>
  </si>
  <si>
    <t>X</t>
  </si>
  <si>
    <t>PROSTOR ZA VAŠE KOMENTARE, PRIMJEDBE I SUGESTIJE</t>
  </si>
  <si>
    <t>Molimo upišite bilo koju sugestiju ili komentar koji nam može pomoći da unaprijedimo ovaj Upitnik</t>
  </si>
  <si>
    <t xml:space="preserve">5) Ime i prezime lica/osobe koje/a je popunilo/a upitnik </t>
  </si>
  <si>
    <t>6)</t>
  </si>
  <si>
    <t xml:space="preserve">Telefon: </t>
  </si>
  <si>
    <t>(upisati štampanim slovima)</t>
  </si>
  <si>
    <t xml:space="preserve">7) Potpis odgovornog lica/osobe, koje/a potvrđuje date podatke </t>
  </si>
  <si>
    <t>8)</t>
  </si>
  <si>
    <t xml:space="preserve">9) Datum </t>
  </si>
  <si>
    <t>M.P</t>
  </si>
  <si>
    <t xml:space="preserve">IZ PODRUČJA GRAĐEVINARSTVA </t>
  </si>
  <si>
    <t xml:space="preserve">Od toga - Prihodi ostvareni na bazi podugovaranja </t>
  </si>
  <si>
    <t>01.00.99</t>
  </si>
  <si>
    <t>IZ PODRUČJA USLUZNIH DJELATNOSTI</t>
  </si>
  <si>
    <t xml:space="preserve">  - Troškovi ostalih nepomenutih usluga</t>
  </si>
  <si>
    <t>IZ PODRUČJA TRGOVINE</t>
  </si>
  <si>
    <r>
      <rPr>
        <sz val="9"/>
        <rFont val="Arial"/>
        <charset val="134"/>
      </rPr>
      <t xml:space="preserve">       -prihodi od prodaje</t>
    </r>
    <r>
      <rPr>
        <b/>
        <sz val="9"/>
        <rFont val="Arial"/>
        <charset val="238"/>
      </rPr>
      <t xml:space="preserve"> na veliko i malo</t>
    </r>
    <r>
      <rPr>
        <sz val="9"/>
        <rFont val="Arial"/>
        <charset val="238"/>
      </rPr>
      <t xml:space="preserve"> </t>
    </r>
    <r>
      <rPr>
        <b/>
        <sz val="9"/>
        <rFont val="Arial"/>
        <charset val="238"/>
      </rPr>
      <t>motornih vozila i motocikala</t>
    </r>
  </si>
  <si>
    <t>01.03.01</t>
  </si>
  <si>
    <r>
      <rPr>
        <sz val="9"/>
        <rFont val="Arial"/>
        <charset val="134"/>
      </rPr>
      <t xml:space="preserve">       -prihodi od prodaje </t>
    </r>
    <r>
      <rPr>
        <b/>
        <sz val="9"/>
        <rFont val="Arial"/>
        <charset val="238"/>
      </rPr>
      <t>na veliko, osim</t>
    </r>
    <r>
      <rPr>
        <sz val="9"/>
        <rFont val="Arial"/>
        <charset val="134"/>
      </rPr>
      <t xml:space="preserve"> motornih vozila i motocikala</t>
    </r>
  </si>
  <si>
    <t>01.03.02</t>
  </si>
  <si>
    <r>
      <rPr>
        <sz val="9"/>
        <rFont val="Arial"/>
        <charset val="134"/>
      </rPr>
      <t xml:space="preserve">       -prihodi od prodaje </t>
    </r>
    <r>
      <rPr>
        <b/>
        <sz val="9"/>
        <rFont val="Arial"/>
        <charset val="238"/>
      </rPr>
      <t>na malo, osim</t>
    </r>
    <r>
      <rPr>
        <sz val="9"/>
        <rFont val="Arial"/>
        <charset val="134"/>
      </rPr>
      <t xml:space="preserve"> trgovine motornim vozilima</t>
    </r>
  </si>
  <si>
    <t>01.03.03</t>
  </si>
  <si>
    <t xml:space="preserve">       -od toga prihodi od usluga posredovanja u trgovini na veliko </t>
  </si>
  <si>
    <t>01.02.01</t>
  </si>
  <si>
    <r>
      <rPr>
        <b/>
        <sz val="9"/>
        <rFont val="Arial"/>
        <charset val="134"/>
      </rPr>
      <t xml:space="preserve">UKUPNO </t>
    </r>
    <r>
      <rPr>
        <sz val="9"/>
        <rFont val="Arial"/>
        <charset val="238"/>
      </rPr>
      <t xml:space="preserve"> (1+5+7+8+9+10+11 ) </t>
    </r>
  </si>
  <si>
    <r>
      <rPr>
        <b/>
        <sz val="9"/>
        <rFont val="Arial"/>
        <charset val="238"/>
      </rPr>
      <t xml:space="preserve">UKUPNO </t>
    </r>
    <r>
      <rPr>
        <sz val="9"/>
        <rFont val="Arial"/>
        <charset val="238"/>
      </rPr>
      <t>(1+2+3+4+19+23+24+25+32+33)</t>
    </r>
  </si>
  <si>
    <r>
      <rPr>
        <vertAlign val="superscript"/>
        <sz val="10"/>
        <rFont val="Arial"/>
        <charset val="134"/>
      </rPr>
      <t xml:space="preserve">7) </t>
    </r>
    <r>
      <rPr>
        <i/>
        <sz val="9"/>
        <rFont val="Arial"/>
        <charset val="134"/>
      </rPr>
      <t>Podatak je jednak zbiru podataka sa rednih brojeva 1+5+7 iz Tabele 1.</t>
    </r>
  </si>
  <si>
    <t>1. PODACI O NOVIM ZAPOSLENICIMA</t>
  </si>
  <si>
    <t>Broj ugovora</t>
  </si>
  <si>
    <t>Ime i prezime</t>
  </si>
  <si>
    <t>JMBG</t>
  </si>
  <si>
    <t>Datum početka rada</t>
  </si>
  <si>
    <t>Iznos neto plaće + porez</t>
  </si>
  <si>
    <t>Doprinosi iz plaće</t>
  </si>
  <si>
    <t>Bruto plaća</t>
  </si>
  <si>
    <t>Novoprimljenim zaposlenim smatra se lice koje je zasnovalo radni odnos sa poreznim obveznikom minimalno u kontinuitetu na 12 mjeseci sa punim radnim vremenom. Ukoliko je period radnog odnosa i duži od 12 mjeseci, priznat će se umanjenje porezne obaveze za ukupan period trajanja radnog odnosa u poreznom periodu u kojem nastanu troškovi bruto plaće tog zaposlenog.
Dakle, ovaj poticaj koristi se sve dok je uposlenik prijavljen kod poslodavca (nema vremenskog ograničenja).</t>
  </si>
  <si>
    <t>352/25</t>
  </si>
  <si>
    <t>0710977178042</t>
  </si>
  <si>
    <t>24.03.2025.</t>
  </si>
  <si>
    <t>Ovaj porezni poticaj ne može se koristiti na novozaposlene radnike za koje porezni obveznik koristi povlastice ili subvencije po osnovu drugih propisa.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</si>
  <si>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</si>
  <si>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</si>
  <si>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</si>
  <si>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</si>
  <si>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</si>
  <si>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</si>
  <si>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</si>
  <si>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</si>
  <si>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</si>
  <si>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</si>
  <si>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</si>
  <si>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</si>
  <si>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</si>
  <si>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</si>
  <si>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</si>
  <si>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</si>
  <si>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</si>
  <si>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</si>
  <si>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</si>
  <si>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</si>
  <si>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</si>
  <si>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</si>
  <si>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</si>
  <si>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</si>
  <si>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</si>
  <si>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</si>
  <si>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</si>
  <si>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</si>
  <si>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</si>
  <si>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</si>
  <si>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</si>
  <si>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</si>
  <si>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</si>
  <si>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</si>
  <si>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</si>
  <si>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</si>
  <si>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</si>
  <si>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</si>
  <si>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</si>
  <si>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</si>
  <si>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</si>
  <si>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</si>
  <si>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</si>
  <si>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</si>
  <si>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</si>
  <si>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</si>
  <si>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</si>
  <si>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</si>
  <si>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</si>
  <si>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</si>
  <si>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</si>
  <si>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</si>
  <si>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</si>
  <si>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</si>
  <si>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</si>
  <si>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</si>
  <si>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</si>
  <si>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</si>
  <si>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</si>
  <si>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</si>
  <si>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</si>
  <si>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</si>
  <si>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</si>
  <si>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</si>
  <si>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</si>
  <si>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</si>
  <si>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</si>
  <si>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</si>
  <si>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</si>
  <si>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</si>
  <si>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</si>
  <si>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</si>
  <si>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</si>
  <si>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</si>
  <si>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</si>
  <si>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</si>
  <si>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</si>
  <si>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</si>
  <si>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</si>
  <si>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</si>
  <si>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</si>
  <si>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</si>
  <si>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</si>
  <si>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</si>
  <si>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</si>
  <si>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</si>
  <si>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</si>
  <si>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</si>
  <si>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</si>
  <si>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</si>
  <si>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</si>
  <si>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</si>
  <si>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</si>
  <si>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</si>
  <si>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</si>
  <si>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</si>
  <si>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</si>
  <si>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</si>
  <si>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</si>
  <si>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</si>
  <si>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 PODACI O NOVIM ZAPOSLENICIMA - IZ PRETHODNOG POREZNOG PERIODA</t>
  </si>
  <si>
    <t>Iznos neto plaće (isplata + porez)</t>
  </si>
  <si>
    <t>201.</t>
  </si>
  <si>
    <t>3.1. Bruto plaća (1.8. ukupno)</t>
  </si>
  <si>
    <t>3.2. Bruto plaća (2.8. ukupno)</t>
  </si>
  <si>
    <t>3.3. Zbir</t>
  </si>
  <si>
    <t>3. ISPRAVKA RANIJE KORIŠTENIH POREZNIH OSLOBAĐANJA KOJA NISU OPRAVDANA (PB-800A RedBr. 77.b)</t>
  </si>
  <si>
    <t>Dnevna kamatna stopa</t>
  </si>
  <si>
    <t>Zatezna kamata za ranija oslobađanja</t>
  </si>
  <si>
    <t>Obrazac PP-801</t>
  </si>
  <si>
    <t>Prijemni pečat</t>
  </si>
  <si>
    <t>Bosna i Hercegovina</t>
  </si>
  <si>
    <t>Federacija Bosne i Hercegovine</t>
  </si>
  <si>
    <t>Federalno ministarstvo finansija - financija</t>
  </si>
  <si>
    <t>Porezna uprava Federacije Bosne i Hercegovine</t>
  </si>
  <si>
    <t>1. PODACI O POREZNOM OBVEZNIKU</t>
  </si>
  <si>
    <t>1.1. Naziv poreznog obveznika</t>
  </si>
  <si>
    <t>1.2. Identifikacioni broj poreznog obveznika</t>
  </si>
  <si>
    <t>1.3. Adresa</t>
  </si>
  <si>
    <t>Ulica</t>
  </si>
  <si>
    <t>Broj</t>
  </si>
  <si>
    <t>Općina/grad</t>
  </si>
  <si>
    <t>1.10. Šifra djelatnosti KD 2010</t>
  </si>
  <si>
    <t>1.6. Da li je pripremljen izvještaj o transfernim cijenama?</t>
  </si>
  <si>
    <t>1.11. Prosječan broj uposlenih</t>
  </si>
  <si>
    <t>1.7. Da li se putem poslovne jedinice obavljaju aktivnosti van teritorije BIH?</t>
  </si>
  <si>
    <t>1.8. Da li ima poslovnih jedinica van teritorije BiH?</t>
  </si>
  <si>
    <t>1.12.Broj poslovnih jedinica/podružnica</t>
  </si>
  <si>
    <t>1.9. Da li ima podružnica u RS/BD?</t>
  </si>
  <si>
    <t>1.13.4. Amortiz. iznos</t>
  </si>
  <si>
    <t>1.15.2. Nominala</t>
  </si>
  <si>
    <t>vrijednost</t>
  </si>
  <si>
    <t>2. OBRAČUN AKONTACIJE POREZA NA DOBIT</t>
  </si>
  <si>
    <t>Instrukcije</t>
  </si>
  <si>
    <t>2.1. Dobit poslovne godine</t>
  </si>
  <si>
    <t>Obrazac PB 800 A ili B tačka 1.</t>
  </si>
  <si>
    <t>2.2. Porezna osnovica</t>
  </si>
  <si>
    <t>Obrazac PB 800 A ili B tačka 60.</t>
  </si>
  <si>
    <t>2.3. Porezne olakšice</t>
  </si>
  <si>
    <t>Obrazac PB 800 A ili B tačka 63.</t>
  </si>
  <si>
    <t>2.4. Neto porezna osnovica</t>
  </si>
  <si>
    <t>Obrazac PB 800 A ili B tačka 66.</t>
  </si>
  <si>
    <t>2.5. Iznos poreza na dobit</t>
  </si>
  <si>
    <t>Obrazac PB 800 A ili B tačka 67.</t>
  </si>
  <si>
    <t>2.6. Porezni kredit</t>
  </si>
  <si>
    <t>Obrazac PB 800 A ili B tačka 68.</t>
  </si>
  <si>
    <t>2.7. Konačni porez na dobit</t>
  </si>
  <si>
    <t>Obrazac PB 800 A ili B tačka 70.</t>
  </si>
  <si>
    <t>2.8. Mjesečni iznos akontacije poreza na dobit</t>
  </si>
  <si>
    <t>tačka 2.5. iznos poreza na dobit/12</t>
  </si>
  <si>
    <t>III. PRILOZI PRIJAVE POREZA NA DOBIT - popunjava Porezna uprava FBIH</t>
  </si>
  <si>
    <t>Obrazac PB - 800</t>
  </si>
  <si>
    <t>Obrazac PE - 807</t>
  </si>
  <si>
    <t>Obrazac PG - 809</t>
  </si>
  <si>
    <t>Obrazac PE - 806</t>
  </si>
  <si>
    <t>Obrazac PP - 810</t>
  </si>
  <si>
    <t>Obrazac TP - 900</t>
  </si>
  <si>
    <t>Obrazac PP - 811</t>
  </si>
  <si>
    <t>Obrazac TP - 902</t>
  </si>
  <si>
    <t>Obrazac PP - 812</t>
  </si>
  <si>
    <t>Obrazac CCB - 901</t>
  </si>
  <si>
    <t>Obrazac PI - 808</t>
  </si>
  <si>
    <t>Obrazac PP - 805</t>
  </si>
  <si>
    <t>Obrazac ID - 813</t>
  </si>
  <si>
    <t>Obrazac PK - 814</t>
  </si>
  <si>
    <t>Datum prijema</t>
  </si>
  <si>
    <t>MP.</t>
  </si>
  <si>
    <t>Potpis</t>
  </si>
  <si>
    <t>Pod materijalnom i krivičnom odgovornosti izjavljujem da je ovaj obrazac sačinjen na osnovu mog poznavanja i vjerovanja da je istinito, tačno i sveobuhvatno. Izjava trećeg lica (osim poreznog obveznika) se zasniva na svim informacijama koje su mu prezentirane i poznate u momentu sačinjavanja ovog obrasca.</t>
  </si>
  <si>
    <t>(potpis i pečat)</t>
  </si>
  <si>
    <t>(datum)</t>
  </si>
  <si>
    <t>Funkcija</t>
  </si>
  <si>
    <t>Obračun izvršio</t>
  </si>
  <si>
    <t>Certificirani računovođa</t>
  </si>
  <si>
    <t>Obrazac PB-800-A</t>
  </si>
  <si>
    <t>Porezni obveznik</t>
  </si>
  <si>
    <t>Naziv</t>
  </si>
  <si>
    <t>JIB</t>
  </si>
  <si>
    <t>Broj zahtjeva</t>
  </si>
  <si>
    <t>Datum podnoš</t>
  </si>
  <si>
    <t>Grad/Općina</t>
  </si>
  <si>
    <t>A2.</t>
  </si>
  <si>
    <t>Prihodi djelimično izuzetih lica ili poslovnih jedinica ili podružnica</t>
  </si>
  <si>
    <t>Prihodi od prodaje roba ili proizvoda</t>
  </si>
  <si>
    <t>Prihodi od prodaje učinaka</t>
  </si>
  <si>
    <t>Ostali poslovni prihodi</t>
  </si>
  <si>
    <t>e)</t>
  </si>
  <si>
    <t>Dobici od prodaje imovine</t>
  </si>
  <si>
    <t>f)</t>
  </si>
  <si>
    <t>Ostali prihodi od imovine</t>
  </si>
  <si>
    <t>g)</t>
  </si>
  <si>
    <t>Ukupni prihodi</t>
  </si>
  <si>
    <t>(Sum rbr.a) do g))</t>
  </si>
  <si>
    <t>A3.</t>
  </si>
  <si>
    <t>Prihodi konsolidiranog društava</t>
  </si>
  <si>
    <t>B2.</t>
  </si>
  <si>
    <t>Rashodi djelimično izuzetih lica ili poslovnih jedinica ili podružnica</t>
  </si>
  <si>
    <t>Direktni troškovi vezani za tač. A2. a) do g)</t>
  </si>
  <si>
    <t>Opći i administrativni troškovi</t>
  </si>
  <si>
    <t>B3.</t>
  </si>
  <si>
    <t>Rashodi konsolidiranog društava</t>
  </si>
  <si>
    <t>(Rbr A. - B.) ako je veće od 0</t>
  </si>
  <si>
    <t>(Rbr A. - B.) ako je manje od 0</t>
  </si>
  <si>
    <t>Dobit poslovne godine</t>
  </si>
  <si>
    <t>Rbr.C1</t>
  </si>
  <si>
    <t>Gubitak poslovne godine</t>
  </si>
  <si>
    <t>Rbr.C2.</t>
  </si>
  <si>
    <t>Troškovi na ime poreza i doprinosa koji su porezno nepriznat rashod</t>
  </si>
  <si>
    <t>Troškovi stipendija koji su iskazani kao porezno nepriznat rashod</t>
  </si>
  <si>
    <t>Troškovi stipendija koji su iskazani kao porezno priznat rashod</t>
  </si>
  <si>
    <t>Rashodi na ime reprezentacije koji su porezno nepriznati</t>
  </si>
  <si>
    <t>Rashodi na ime reprezentacije koji su porezno priznati</t>
  </si>
  <si>
    <t>Rashodi na ime donacija koji su porezno nepriznati</t>
  </si>
  <si>
    <t>Rashodi na ime donacija koji su porezno priznati</t>
  </si>
  <si>
    <t>Rashodi na ime sponzorstva koji su porezno nepriznati</t>
  </si>
  <si>
    <t>Rashodi na ime sponzorstva koji su porezno priznati</t>
  </si>
  <si>
    <t>Ostala rezervisanja na ime penala, rabata i popusta</t>
  </si>
  <si>
    <t>Troškovi istraživanja i razvoja koji se smatraju porezno nepriznati rashodi</t>
  </si>
  <si>
    <t>Troškovi istraživanja i razvoja koji se smatraju porezno priznat rashod</t>
  </si>
  <si>
    <t>Rashodi po osnovu I.V. potraživanja bilansne aktive koja se procjenjuju na grupnoj osnovi i bez  iskustva hist.troška (latentni gubici - IBNR)</t>
  </si>
  <si>
    <t>Amortizacija koja je obračunata na imovinu koja se ne amortizuje i ostala amortizacija koja se smatra porezno nepriznati rashod</t>
  </si>
  <si>
    <t>Dugotrajna imovina čija vrijednost je manja od 1.000 KM a koja se jednokratno otpisuje u porezne svrhe</t>
  </si>
  <si>
    <t>+/-</t>
  </si>
  <si>
    <t>-/+</t>
  </si>
  <si>
    <t>Razlike troška amortizacije između pune porezno dozvoljene i stvarne (niže) amortizacije koja se smatra porezno nepriznat rashod</t>
  </si>
  <si>
    <t>Privremene razlike - amortizacije iz tač. 47. koji su u ranijem periodu iskorištena u porezne svrhe</t>
  </si>
  <si>
    <t>Razlika troška amortizacije između pune porezno dozvoljene i stvarne (više) amortizacije koja smatra porezno nepriznate rashode</t>
  </si>
  <si>
    <t>Amortizacija na iznajmljenu ili unajmljenu imovinu koja se smatra porezno nepriznatim rashodom</t>
  </si>
  <si>
    <t>Iznos porezno priznate ubrzane amortizacije</t>
  </si>
  <si>
    <t>član 20. Zakona</t>
  </si>
  <si>
    <t>Otpisi potraživanja koja su bila iskazana kao porezno priznat rashod a za koja povjerilac povuče tužbu ili prijedlog za izvršenje ili prijavu u stečajnu ili likvidacijsku masu</t>
  </si>
  <si>
    <t>Prihodi od naplate potraživanja koja su bila iskazana kao porezno priznat rashod pod uslovom iz člana 17. stav (1) tačka a) Zakona</t>
  </si>
  <si>
    <t>Prihodi od naplate potraživanja koja su bila iskazana kao porezno priznat rashod pod uslovom iz člana 17. stav (1) tačka b) Zakona</t>
  </si>
  <si>
    <t>Prihodi nastali po osnovu ukidanja rezervisanja a koji su bili iskazani kao porezno priznat rashod i nisu uključeni u tački 1. Finansijski rezultat</t>
  </si>
  <si>
    <t>(Rbr.1 ili 2+3-4+5 do 15-16+17 do 25-26+27 do 34-35+36+37+/-38-/+39+40-41-42+43+44-45+46+47+48-49+50-51+52-53+54) veće od 0</t>
  </si>
  <si>
    <t>(Rbr.1 ili 2+3-4+5 do 25-26+27 do 34-35+36+37+/-38-/+39+40-41-42+43+44-45+46+47+48-49+50-51+52-53+54) manje od 0</t>
  </si>
  <si>
    <t>Oporeziva dobit poslije transfernih cijena</t>
  </si>
  <si>
    <t>(R.br. 63+65+66-67) veće od 0</t>
  </si>
  <si>
    <t>Porezni gubitak poslije transfernih cijena</t>
  </si>
  <si>
    <t>(R.br. 63+65+66-67) manje od 0</t>
  </si>
  <si>
    <t>Obrazac PG-809</t>
  </si>
  <si>
    <t>Obrazac PP-810</t>
  </si>
  <si>
    <t>Obrazac PP-811</t>
  </si>
  <si>
    <t>Obrazac PP-812</t>
  </si>
  <si>
    <t>član 61. Zakona</t>
  </si>
  <si>
    <t>Oporeziva dobit</t>
  </si>
  <si>
    <t>(R.br. 68-70-71) veće od 0</t>
  </si>
  <si>
    <t xml:space="preserve">Porezni gubitak </t>
  </si>
  <si>
    <t>(R.br. 68-70-71) manje od 0</t>
  </si>
  <si>
    <t>Neto porezna osnovica</t>
  </si>
  <si>
    <t>(R.br. 62)</t>
  </si>
  <si>
    <t>Obračunati porez</t>
  </si>
  <si>
    <t>(R.br. 74 x 10%)</t>
  </si>
  <si>
    <t>Obrazac PE-806</t>
  </si>
  <si>
    <t>Oslobađanja koja nisu opravdana u skladu sa čl.36 stav (6) Zakona</t>
  </si>
  <si>
    <t>Oslobađanja koja nisu opravdana u skladu sa čl.37 stav (2) Zakona</t>
  </si>
  <si>
    <t>Oslobađanja koja nisu opravdana u skladu sa čl.61 Zakona</t>
  </si>
  <si>
    <t>(R.br 75-76+77)</t>
  </si>
  <si>
    <t>Iznos poreza za uplatu</t>
  </si>
  <si>
    <t>(R.br 78.-80.)</t>
  </si>
  <si>
    <t>Iznos poreza za povrat</t>
  </si>
  <si>
    <t>(R.br 80.-78.)</t>
  </si>
  <si>
    <t xml:space="preserve"> Porezna uprava Federacije Bosne i Hercegovine</t>
  </si>
  <si>
    <t>PREGLED NASTALIH, NEISKORIŠTENIH I ISKORIŠTENIH POREZNIH GUBITAKA</t>
  </si>
  <si>
    <t>POREZNI GUBICI PO GODINAMA</t>
  </si>
  <si>
    <t>Kumulativ</t>
  </si>
  <si>
    <t>(-5 god.)</t>
  </si>
  <si>
    <t>(-4 god.)</t>
  </si>
  <si>
    <t>(-3 god.)</t>
  </si>
  <si>
    <t>(-2 god.)</t>
  </si>
  <si>
    <t>(-1 god.)</t>
  </si>
  <si>
    <t>(obr.god.)</t>
  </si>
  <si>
    <t>1.a</t>
  </si>
  <si>
    <t>1.b</t>
  </si>
  <si>
    <t>Iskorišteno, po godinama</t>
  </si>
  <si>
    <t>1.c</t>
  </si>
  <si>
    <t>2.a</t>
  </si>
  <si>
    <t>2.b</t>
  </si>
  <si>
    <t>2.c</t>
  </si>
  <si>
    <t>3.a</t>
  </si>
  <si>
    <t>3.b</t>
  </si>
  <si>
    <t>3.c</t>
  </si>
  <si>
    <t>4.a</t>
  </si>
  <si>
    <t>4.b</t>
  </si>
  <si>
    <t>4.c</t>
  </si>
  <si>
    <t>5.a</t>
  </si>
  <si>
    <t>5.b</t>
  </si>
  <si>
    <t>5.c</t>
  </si>
  <si>
    <t>Porezni gubitak za godinu za koju se dostavlja ovaj pregled</t>
  </si>
  <si>
    <t>PRIJAVA POREZNE OLAKŠICE PO OSNOVU NOVOG ZAPOŠLJAVANJA</t>
  </si>
  <si>
    <t>1.1. Ime i prezime</t>
  </si>
  <si>
    <t>1.2. JMBG</t>
  </si>
  <si>
    <t>1.3. Datum početka rada</t>
  </si>
  <si>
    <t>1.4. Broj ugovora</t>
  </si>
  <si>
    <t>1.5. Iznos neto plaće (isplata + porez)</t>
  </si>
  <si>
    <t>1.6. Doprinosi iz plaće</t>
  </si>
  <si>
    <t>1.7. Bruto plaća</t>
  </si>
  <si>
    <t>1.8. Ukupno</t>
  </si>
  <si>
    <t>2.1. Ime i prezime</t>
  </si>
  <si>
    <t>2.2. JMBG</t>
  </si>
  <si>
    <t>2.3. Datum početka rada</t>
  </si>
  <si>
    <t>2.4. Broj ugovora</t>
  </si>
  <si>
    <t>2.5. Iznos neto plaće (isplata + porez)</t>
  </si>
  <si>
    <t>2.6. Doprinosi iz plaće</t>
  </si>
  <si>
    <t>2.7. Bruto plaća</t>
  </si>
  <si>
    <t>2.8. Ukupno</t>
  </si>
  <si>
    <t>Pod materijalnom i kaznenom odgovornošću izjavljujem da je ovaj obrazac sačinjen na osnovu mog poznavanja i vjerovanja da je istinito, tačno i sveobuhvatno. Izjava trećeg lica (osim poreznog obveznika) se zasniva na svim informacijama koje su mu prezentirane i poznate u momentu sačinjavanja ovog obrasca.</t>
  </si>
  <si>
    <r>
      <rPr>
        <sz val="9"/>
        <color theme="1"/>
        <rFont val="Calibri"/>
        <charset val="238"/>
        <scheme val="minor"/>
      </rPr>
      <t xml:space="preserve">Obrazac PP-812 / </t>
    </r>
    <r>
      <rPr>
        <sz val="9"/>
        <color rgb="FFFF0000"/>
        <rFont val="Calibri"/>
        <charset val="238"/>
        <scheme val="minor"/>
      </rPr>
      <t>ISPRAVKA</t>
    </r>
  </si>
  <si>
    <t>ISPRAVKA RANIJE KORIŠTENIH POREZNIH OSLOBAĐANJA KOJA NISU OPRAVDANA   (PB-800 A -Redni br. 77.b)</t>
  </si>
  <si>
    <t>Broj dana za obračun zatezne kamate</t>
  </si>
  <si>
    <t>Obrazac ID-813</t>
  </si>
  <si>
    <t>IZJAVA O OBRAČUNATOM POREZU NA ISPLAĆENE DIVIDENDE/DOBIT</t>
  </si>
  <si>
    <t>1. PODACI O ISPLATIOCU DIVIDENDE</t>
  </si>
  <si>
    <t xml:space="preserve">1.1. Naziv </t>
  </si>
  <si>
    <t>2. PODACI O PRIMAOCIMA DIVIDENDI/DOBITI I DIVIDENDI/ISPLATE DOBITI</t>
  </si>
  <si>
    <t>2.1.1. Naziv primaoca</t>
  </si>
  <si>
    <t>2.1.2. Identifikacioni broj</t>
  </si>
  <si>
    <t>2.1.3. Datum plaćanja</t>
  </si>
  <si>
    <t>2.1.4. Učešće u kap.(br.dionica)</t>
  </si>
  <si>
    <t>2.1.5. Bruto iznos dividende</t>
  </si>
  <si>
    <t>2.1.6. Iznos preza</t>
  </si>
  <si>
    <t>2.1.7. Razlika dividende</t>
  </si>
  <si>
    <t>2.1.8. Naziv banke primaoca</t>
  </si>
  <si>
    <t>2.1.9. Broj računa primaoca</t>
  </si>
  <si>
    <t>2.2.1. Naziv primaoca</t>
  </si>
  <si>
    <t>2.2.2. Identifikacioni broj</t>
  </si>
  <si>
    <t>2.2.4. Učešće u kap.(br.dionica)</t>
  </si>
  <si>
    <t>2.2.6. Iznos preza</t>
  </si>
  <si>
    <t>2.2.7. Razlika dividende</t>
  </si>
  <si>
    <t>2.2.8. Naziv banke primaoca</t>
  </si>
  <si>
    <t>2.2.9. Broj računa primaoca</t>
  </si>
  <si>
    <t>2.3.1. Naziv primaoca</t>
  </si>
  <si>
    <t>2.3.2. Identifikacioni broj</t>
  </si>
  <si>
    <t>2.3.3. Datum plaćanja</t>
  </si>
  <si>
    <t>2.3.4. Učešće u kap.(br.dionica)</t>
  </si>
  <si>
    <t>2.3.5. Bruto iznos dividende</t>
  </si>
  <si>
    <t>2.3.6. Iznos preza</t>
  </si>
  <si>
    <t>2.3.7. Razlika dividende</t>
  </si>
  <si>
    <t>2.3.8. Naziv banke primaoca</t>
  </si>
  <si>
    <t>2.3.9. Broj računa primaoca</t>
  </si>
  <si>
    <t>2.4.1. Naziv primaoca</t>
  </si>
  <si>
    <t>2.4.2. Identifikacioni broj</t>
  </si>
  <si>
    <t>2.4.3. Datum plaćanja</t>
  </si>
  <si>
    <t>2.4.4. Učešće u kap.(br.dionica)</t>
  </si>
  <si>
    <t>2.4.5. Bruto iznos dividende</t>
  </si>
  <si>
    <t>2.4.6. Iznos preza</t>
  </si>
  <si>
    <t>2.4.7. Razlika dividende</t>
  </si>
  <si>
    <t>2.4.8. Naziv banke primaoca</t>
  </si>
  <si>
    <t>2.4.9. Broj računa primaoca</t>
  </si>
  <si>
    <t>2.5.1. Naziv primaoca</t>
  </si>
  <si>
    <t>2.5.2. Identifikacioni broj</t>
  </si>
  <si>
    <t>2.5.3. Datum plaćanja</t>
  </si>
  <si>
    <t>2.5.4. Učešće u kap.(br.dionica)</t>
  </si>
  <si>
    <t>2.5.5. Bruto iznos dividende</t>
  </si>
  <si>
    <t>2.5.6. Iznos preza</t>
  </si>
  <si>
    <t>2.5.7. Razlika dividende</t>
  </si>
  <si>
    <t>2.5.8. Naziv banke primaoca</t>
  </si>
  <si>
    <t>2.5.9. Broj računa primaoca</t>
  </si>
  <si>
    <t>2.6.1. Naziv primaoca</t>
  </si>
  <si>
    <t>2.6.2. Identifikacioni broj</t>
  </si>
  <si>
    <t>2.6.3. Datum plaćanja</t>
  </si>
  <si>
    <t>2.6.4. Učešće u kap.(br.dionica)</t>
  </si>
  <si>
    <t>2.6.6. Iznos preza</t>
  </si>
  <si>
    <t>2.6.7. Razlika dividende</t>
  </si>
  <si>
    <t>2.6.8. Naziv banke primaoca</t>
  </si>
  <si>
    <t>2.6.9. Broj računa primaoca</t>
  </si>
  <si>
    <t>2.7.1. Naziv primaoca</t>
  </si>
  <si>
    <t>2.7.2. Identifikacioni broj</t>
  </si>
  <si>
    <t>2.7.3. Datum plaćanja</t>
  </si>
  <si>
    <t>2.7.4. Učešće u kap.(br.dionica)</t>
  </si>
  <si>
    <t>2.7.5. Bruto iznos dividende</t>
  </si>
  <si>
    <t>2.7.6. Iznos preza</t>
  </si>
  <si>
    <t>2.7.7. Razlika dividende</t>
  </si>
  <si>
    <t>2.7.8. Naziv banke primaoca</t>
  </si>
  <si>
    <t>2.7.9. Broj računa primaoca</t>
  </si>
  <si>
    <t>2.8.1. Naziv primaoca</t>
  </si>
  <si>
    <t>2.8.2. Identifikacioni broj</t>
  </si>
  <si>
    <t>2.8.3. Datum plaćanja</t>
  </si>
  <si>
    <t>2.8.4. Učešće u kap.(br.dionica)</t>
  </si>
  <si>
    <t>2.8.5. Bruto iznos dividende</t>
  </si>
  <si>
    <t>2.8.6. Iznos preza</t>
  </si>
  <si>
    <t>2.8.7. Razlika dividende</t>
  </si>
  <si>
    <t>2.8.8. Naziv banke primaoca</t>
  </si>
  <si>
    <t>2.8.9. Broj računa primaoca</t>
  </si>
  <si>
    <t>2.9.1. Naziv primaoca</t>
  </si>
  <si>
    <t>2.9.2. Identifikacioni broj</t>
  </si>
  <si>
    <t>2.9.3. Datum plaćanja</t>
  </si>
  <si>
    <t>2.9.4. Učešće u kap.(br.dionica)</t>
  </si>
  <si>
    <t>2.9.5. Bruto iznos dividende</t>
  </si>
  <si>
    <t>2.9.6. Iznos preza</t>
  </si>
  <si>
    <t>2.9.7. Razlika dividende</t>
  </si>
  <si>
    <t>2.9.8. Naziv banke primaoca</t>
  </si>
  <si>
    <t>2.9.9. Broj računa primaoca</t>
  </si>
  <si>
    <t>2.10.1. Naziv primaoca</t>
  </si>
  <si>
    <t>2.10.2. Identifikacioni broj</t>
  </si>
  <si>
    <t>2.10.3. Datum plaćanja</t>
  </si>
  <si>
    <t>2.10.4. Učešće u kap.(br.dionica)</t>
  </si>
  <si>
    <t>2.10.5. Bruto iznos dividende</t>
  </si>
  <si>
    <t>2.10.6. Iznos preza</t>
  </si>
  <si>
    <t>2.10.7. Razlika dividende</t>
  </si>
  <si>
    <t>2.10.8. Naziv banke primaoca</t>
  </si>
  <si>
    <t>2.10.9. Broj računa primaoca</t>
  </si>
  <si>
    <t>2.11.1. Naziv primaoca</t>
  </si>
  <si>
    <t>2.11.2. Identifikacioni broj</t>
  </si>
  <si>
    <t>2.11.3. Datum plaćanja</t>
  </si>
  <si>
    <t>2.11.4. Učešće u kap.(br.dionica)</t>
  </si>
  <si>
    <t>2.11.5. Bruto iznos dividende</t>
  </si>
  <si>
    <t>2.11.6. Iznos preza</t>
  </si>
  <si>
    <t>2.11.7. Razlika dividende</t>
  </si>
  <si>
    <t>2.11.8. Naziv banke primaoca</t>
  </si>
  <si>
    <t>2.11.9. Broj računa primaoca</t>
  </si>
  <si>
    <t>2.12.1. Naziv primaoca</t>
  </si>
  <si>
    <t>2.12.2. Identifikacioni broj</t>
  </si>
  <si>
    <t>2.12.3. Datum plaćanja</t>
  </si>
  <si>
    <t>2.12.4. Učešće u kap.(br.dionica)</t>
  </si>
  <si>
    <t>2.129.6. Iznos preza</t>
  </si>
  <si>
    <t>2.12.7. Razlika dividende</t>
  </si>
  <si>
    <t>2.12.8. Naziv banke primaoca</t>
  </si>
  <si>
    <t>2.12.9. Broj računa primaoca</t>
  </si>
  <si>
    <t>2.13.1. Naziv primaoca</t>
  </si>
  <si>
    <t>2.13.2. Identifikacioni broj</t>
  </si>
  <si>
    <t>2.13.3. Datum plaćanja</t>
  </si>
  <si>
    <t>2.13.4. Učešće u kap.(br.dionica)</t>
  </si>
  <si>
    <t>2.13.5. Bruto iznos dividende</t>
  </si>
  <si>
    <t>2.13.6. Iznos preza</t>
  </si>
  <si>
    <t>2.13.7. Razlika dividende</t>
  </si>
  <si>
    <t>2.13.8. Naziv banke primaoca</t>
  </si>
  <si>
    <t>2.13.9. Broj računa primaoca</t>
  </si>
  <si>
    <t>2.14.1. Naziv primaoca</t>
  </si>
  <si>
    <t>2.14.2. Identifikacioni broj</t>
  </si>
  <si>
    <t>2.14.3. Datum plaćanja</t>
  </si>
  <si>
    <t>2.14.4. Učešće u kap.(br.dionica)</t>
  </si>
  <si>
    <t>2.14.5. Bruto iznos dividende</t>
  </si>
  <si>
    <t>2.14.6. Iznos preza</t>
  </si>
  <si>
    <t>2.14.7. Razlika dividende</t>
  </si>
  <si>
    <t>2.14.8. Naziv banke primaoca</t>
  </si>
  <si>
    <t>2.14.9. Broj računa primaoca</t>
  </si>
  <si>
    <t>2.15.1. Naziv primaoca</t>
  </si>
  <si>
    <t>2.15.2. Identifikacioni broj</t>
  </si>
  <si>
    <t>2.15.3. Datum plaćanja</t>
  </si>
  <si>
    <t>2.15.4. Učešće u kap.(br.dionica)</t>
  </si>
  <si>
    <t>2.15.5. Bruto iznos dividende</t>
  </si>
  <si>
    <t>2.15.6. Iznos preza</t>
  </si>
  <si>
    <t>2.15.7. Razlika dividende</t>
  </si>
  <si>
    <t>2.15.8. Naziv banke primaoca</t>
  </si>
  <si>
    <t>2.15.9. Broj računa primaoca</t>
  </si>
  <si>
    <t>2.16.1. Naziv primaoca</t>
  </si>
  <si>
    <t>2.16.2. Identifikacioni broj</t>
  </si>
  <si>
    <t>2.16.3. Datum plaćanja</t>
  </si>
  <si>
    <t>2.16.4. Učešće u kap.(br.dionica)</t>
  </si>
  <si>
    <t>2.16.6. Iznos preza</t>
  </si>
  <si>
    <t>2.16.7. Razlika dividende</t>
  </si>
  <si>
    <t>2.16.8. Naziv banke primaoca</t>
  </si>
  <si>
    <t>2.16.9. Broj računa primaoca</t>
  </si>
  <si>
    <t>2.17.1. Naziv primaoca</t>
  </si>
  <si>
    <t>2.17.2. Identifikacioni broj</t>
  </si>
  <si>
    <t>2.17.3. Datum plaćanja</t>
  </si>
  <si>
    <t>2.17.4. Učešće u kap.(br.dionica)</t>
  </si>
  <si>
    <t>2.17.5. Bruto iznos dividende</t>
  </si>
  <si>
    <t>2.17.6. Iznos preza</t>
  </si>
  <si>
    <t>2.17.7. Razlika dividende</t>
  </si>
  <si>
    <t>2.17.8. Naziv banke primaoca</t>
  </si>
  <si>
    <t>2.17.9. Broj računa primaoca</t>
  </si>
  <si>
    <t>2.18.1. Naziv primaoca</t>
  </si>
  <si>
    <t>2.18.2. Identifikacioni broj</t>
  </si>
  <si>
    <t>2.18.3. Datum plaćanja</t>
  </si>
  <si>
    <t>2.18.4. Učešće u kap.(br.dionica)</t>
  </si>
  <si>
    <t>2.18.5. Bruto iznos dividende</t>
  </si>
  <si>
    <t>2.18.6. Iznos preza</t>
  </si>
  <si>
    <t>2.18.7. Razlika dividende</t>
  </si>
  <si>
    <t>2.18.8. Naziv banke primaoca</t>
  </si>
  <si>
    <t>2.18.9. Broj računa primaoca</t>
  </si>
  <si>
    <t>2.19.1. Naziv primaoca</t>
  </si>
  <si>
    <t>2.19.2. Identifikacioni broj</t>
  </si>
  <si>
    <t>2.19.3. Datum plaćanja</t>
  </si>
  <si>
    <t>2.19.4. Učešće u kap.(br.dionica)</t>
  </si>
  <si>
    <t>2.19.5. Bruto iznos dividende</t>
  </si>
  <si>
    <t>2.19.6. Iznos preza</t>
  </si>
  <si>
    <t>2.19.7. Razlika dividende</t>
  </si>
  <si>
    <t>2.19.8. Naziv banke primaoca</t>
  </si>
  <si>
    <t>2.19.9. Broj računa primaoca</t>
  </si>
  <si>
    <t>2.20.1. Naziv primaoca</t>
  </si>
  <si>
    <t>2.20.2. Identifikacioni broj</t>
  </si>
  <si>
    <t>2.20.3. Datum plaćanja</t>
  </si>
  <si>
    <t>2.20.4. Učešće u kap.(br.dionica)</t>
  </si>
  <si>
    <t>2.20.5. Bruto iznos dividende</t>
  </si>
  <si>
    <t>2.20.6. Iznos preza</t>
  </si>
  <si>
    <t>2.20.7. Razlika dividende</t>
  </si>
  <si>
    <t>2.20.8. Naziv banke primaoca</t>
  </si>
  <si>
    <t>2.20.9. Broj računa primaoca</t>
  </si>
  <si>
    <t>2.21.1. Naziv primaoca</t>
  </si>
  <si>
    <t>2.21.2. Identifikacioni broj</t>
  </si>
  <si>
    <t>2.21.3. Datum plaćanja</t>
  </si>
  <si>
    <t>2.21.4. Učešće u kap.(br.dionica)</t>
  </si>
  <si>
    <t>2.21.5. Bruto iznos dividende</t>
  </si>
  <si>
    <t>2.21.6. Iznos preza</t>
  </si>
  <si>
    <t>2.21.7. Razlika dividende</t>
  </si>
  <si>
    <t>2.21.8. Naziv banke primaoca</t>
  </si>
  <si>
    <t>2.21.9. Broj računa primaoca</t>
  </si>
  <si>
    <t>2.22.1. Naziv primaoca</t>
  </si>
  <si>
    <t>2.22.2. Identifikacioni broj</t>
  </si>
  <si>
    <t>2.22.3. Datum plaćanja</t>
  </si>
  <si>
    <t>2.22.4. Učešće u kap.(br.dionica)</t>
  </si>
  <si>
    <t>2.22.5. Bruto iznos dividende</t>
  </si>
  <si>
    <t>2.22.6. Iznos preza</t>
  </si>
  <si>
    <t>2.22.7. Razlika dividende</t>
  </si>
  <si>
    <t>2.22.8. Naziv banke primaoca</t>
  </si>
  <si>
    <t>2.22.9. Broj računa primaoca</t>
  </si>
  <si>
    <t>2.23.1. Naziv primaoca</t>
  </si>
  <si>
    <t>2.23.2. Identifikacioni broj</t>
  </si>
  <si>
    <t>2.23.3. Datum plaćanja</t>
  </si>
  <si>
    <t>2.23.4. Učešće u kap.(br.dionica)</t>
  </si>
  <si>
    <t>2.23.5. Bruto iznos dividende</t>
  </si>
  <si>
    <t>2.23.6. Iznos preza</t>
  </si>
  <si>
    <t>2.23.7. Razlika dividende</t>
  </si>
  <si>
    <t>2.23.8. Naziv banke primaoca</t>
  </si>
  <si>
    <t>2.23.9. Broj računa primaoca</t>
  </si>
  <si>
    <t>2.24.1. Naziv primaoca</t>
  </si>
  <si>
    <t>2.24.2. Identifikacioni broj</t>
  </si>
  <si>
    <t>2.24.3. Datum plaćanja</t>
  </si>
  <si>
    <t>2.24.4. Učešće u kap.(br.dionica)</t>
  </si>
  <si>
    <t>2.24.5. Bruto iznos dividende</t>
  </si>
  <si>
    <t>2.24.6. Iznos preza</t>
  </si>
  <si>
    <t>2.24.7. Razlika dividende</t>
  </si>
  <si>
    <t>2.24.8. Naziv banke primaoca</t>
  </si>
  <si>
    <t>2.24.9. Broj računa primaoca</t>
  </si>
  <si>
    <t>2.25.1. Naziv primaoca</t>
  </si>
  <si>
    <t>2.25.2. Identifikacioni broj</t>
  </si>
  <si>
    <t>2.25.3. Datum plaćanja</t>
  </si>
  <si>
    <t>2.25.4. Učešće u kap.(br.dionica)</t>
  </si>
  <si>
    <t>2.25.6. Iznos preza</t>
  </si>
  <si>
    <t>2.25.7. Razlika dividende</t>
  </si>
  <si>
    <t>2.25.8. Naziv banke primaoca</t>
  </si>
  <si>
    <t>2.25.9. Broj računa primaoca</t>
  </si>
  <si>
    <t>2.26.1. Naziv primaoca</t>
  </si>
  <si>
    <t>2.26.2. Identifikacioni broj</t>
  </si>
  <si>
    <t>2.26.3. Datum plaćanja</t>
  </si>
  <si>
    <t>2.26.4. Učešće u kap.(br.dionica)</t>
  </si>
  <si>
    <t>2.26.5. Bruto iznos dividende</t>
  </si>
  <si>
    <t>2.26.6. Iznos preza</t>
  </si>
  <si>
    <t>2.26.7. Razlika dividende</t>
  </si>
  <si>
    <t>2.26.8. Naziv banke primaoca</t>
  </si>
  <si>
    <t>2.26.9. Broj računa primaoca</t>
  </si>
  <si>
    <t>2.27.1. Naziv primaoca</t>
  </si>
  <si>
    <t>2.27.2. Identifikacioni broj</t>
  </si>
  <si>
    <t>2.27.3. Datum plaćanja</t>
  </si>
  <si>
    <t>2.27.4. Učešće u kap.(br.dionica)</t>
  </si>
  <si>
    <t>2.27.5. Bruto iznos dividende</t>
  </si>
  <si>
    <t>2.27.6. Iznos preza</t>
  </si>
  <si>
    <t>2.27.7. Razlika dividende</t>
  </si>
  <si>
    <t>2.27.8. Naziv banke primaoca</t>
  </si>
  <si>
    <t>2.27.9. Broj računa primaoca</t>
  </si>
  <si>
    <t>2.28.1. Naziv primaoca</t>
  </si>
  <si>
    <t>2.28.2. Identifikacioni broj</t>
  </si>
  <si>
    <t>2.28.3. Datum plaćanja</t>
  </si>
  <si>
    <t>2.28.4. Učešće u kap.(br.dionica)</t>
  </si>
  <si>
    <t>2.28.5. Bruto iznos dividende</t>
  </si>
  <si>
    <t>2.28.6. Iznos preza</t>
  </si>
  <si>
    <t>2.28.7. Razlika dividende</t>
  </si>
  <si>
    <t>2.28.8. Naziv banke primaoca</t>
  </si>
  <si>
    <t>2.28.9. Broj računa primaoca</t>
  </si>
  <si>
    <t>2.29.1. Naziv primaoca</t>
  </si>
  <si>
    <t>2.29.2. Identifikacioni broj</t>
  </si>
  <si>
    <t>2.29.3. Datum plaćanja</t>
  </si>
  <si>
    <t>2.29.4. Učešće u kap.(br.dionica)</t>
  </si>
  <si>
    <t>2.29.5. Bruto iznos dividende</t>
  </si>
  <si>
    <t>2.29.6. Iznos preza</t>
  </si>
  <si>
    <t>2.29.7. Razlika dividende</t>
  </si>
  <si>
    <t>2.29.8. Naziv banke primaoca</t>
  </si>
  <si>
    <t>2.29.9. Broj računa primaoca</t>
  </si>
  <si>
    <t>2.30.</t>
  </si>
  <si>
    <t>2.30.1. Naziv primaoca</t>
  </si>
  <si>
    <t>2.30.2. Identifikacioni broj</t>
  </si>
  <si>
    <t>2.30.3. Datum plaćanja</t>
  </si>
  <si>
    <t>2.30.4. Učešće u kap.(br.dionica)</t>
  </si>
  <si>
    <t>2.30.5. Bruto iznos dividende</t>
  </si>
  <si>
    <t>2.30.6. Iznos preza</t>
  </si>
  <si>
    <t>2.30.7. Razlika dividende</t>
  </si>
  <si>
    <t>2.30.8. Naziv banke primaoca</t>
  </si>
  <si>
    <t>2.30.9. Broj računa primaoca</t>
  </si>
  <si>
    <t>( u BAM)</t>
  </si>
  <si>
    <t>6001+6002+603(dio)</t>
  </si>
  <si>
    <t>6101+6102+613(dio)</t>
  </si>
  <si>
    <t>6201+6202+623(dio)</t>
  </si>
  <si>
    <t>6011+6012+603(dio)</t>
  </si>
  <si>
    <t>6111+6112+613(dio)</t>
  </si>
  <si>
    <t>6211+6212+623(dio)</t>
  </si>
  <si>
    <t>6021+6022+603(dio)</t>
  </si>
  <si>
    <t>6121+6122+613(dio)</t>
  </si>
  <si>
    <t>6221+6222+623(dio)</t>
  </si>
  <si>
    <t>670(dio) - 570(dio)</t>
  </si>
  <si>
    <t>6810 - 5810</t>
  </si>
  <si>
    <t>6811 - 5811</t>
  </si>
  <si>
    <t>671 - 571</t>
  </si>
  <si>
    <t>640 - 643</t>
  </si>
  <si>
    <t>682 - 582</t>
  </si>
  <si>
    <t>680 - 580</t>
  </si>
  <si>
    <t>687 - 587</t>
  </si>
  <si>
    <t>672 - 572</t>
  </si>
  <si>
    <t>641 - 644</t>
  </si>
  <si>
    <t>683 - 583</t>
  </si>
  <si>
    <t>6730+6880-5730-5880</t>
  </si>
  <si>
    <t>689(dio) - 589(dio)</t>
  </si>
  <si>
    <t>6841+6860+6861-5780-5841-5860-5861</t>
  </si>
  <si>
    <t xml:space="preserve">6842+6862-5842-5862 </t>
  </si>
  <si>
    <t>6843 - 5843</t>
  </si>
  <si>
    <t>6844 - 5844</t>
  </si>
  <si>
    <t>6740 - 5740</t>
  </si>
  <si>
    <t>6863 - 5863</t>
  </si>
  <si>
    <t>6741 - 5741</t>
  </si>
  <si>
    <t>6742 - 5742</t>
  </si>
  <si>
    <t>6845 - 5845</t>
  </si>
  <si>
    <t>679(dio)-543-544-545-546-547-548-549</t>
  </si>
  <si>
    <t>678 - 577</t>
  </si>
  <si>
    <t>675 - 575</t>
  </si>
  <si>
    <t>676 - 685</t>
  </si>
  <si>
    <t>660 + 661</t>
  </si>
  <si>
    <t>662 - 562</t>
  </si>
  <si>
    <t>663 + 669</t>
  </si>
  <si>
    <t>650+651+652+653 +654+655+659+677 +679(dio)+690+691 +6743+6744 +6745</t>
  </si>
  <si>
    <t>596 - 595</t>
  </si>
  <si>
    <t>510+511+513+514+519</t>
  </si>
  <si>
    <t>521+523+524</t>
  </si>
  <si>
    <t>527+529</t>
  </si>
  <si>
    <t>540(dio)+541(dio)+542(dio)</t>
  </si>
  <si>
    <t>53+550</t>
  </si>
  <si>
    <t>551+552+553+554 +555+556+559</t>
  </si>
  <si>
    <t>570(dio)-670(dio)</t>
  </si>
  <si>
    <t>5810-6810</t>
  </si>
  <si>
    <t>5811-6811</t>
  </si>
  <si>
    <t>571-671</t>
  </si>
  <si>
    <t>643-640</t>
  </si>
  <si>
    <t>582-682</t>
  </si>
  <si>
    <t>580-680</t>
  </si>
  <si>
    <t>587-687</t>
  </si>
  <si>
    <t>572-672</t>
  </si>
  <si>
    <t>644-641</t>
  </si>
  <si>
    <t>583-683</t>
  </si>
  <si>
    <t>5730+5880-6730-6880</t>
  </si>
  <si>
    <t>589(dio)-689(dio)</t>
  </si>
  <si>
    <t>5780+5841+5860+5861-6860-6841-6861</t>
  </si>
  <si>
    <t xml:space="preserve"> 5842-6842</t>
  </si>
  <si>
    <t>5843-6843</t>
  </si>
  <si>
    <t>5844-6844</t>
  </si>
  <si>
    <t>5740-6740</t>
  </si>
  <si>
    <t>5862-6862</t>
  </si>
  <si>
    <t>5741-6741</t>
  </si>
  <si>
    <t>5742-6742</t>
  </si>
  <si>
    <t>5845-6845</t>
  </si>
  <si>
    <t>543+544+545+546 +547+548+549-679(dio)</t>
  </si>
  <si>
    <t>577-678</t>
  </si>
  <si>
    <t>575-675</t>
  </si>
  <si>
    <t>576+579(dio)+585</t>
  </si>
  <si>
    <t>579(dio)</t>
  </si>
  <si>
    <t>560+561</t>
  </si>
  <si>
    <t>562-662</t>
  </si>
  <si>
    <t>563+569</t>
  </si>
  <si>
    <t>579(dio)+590+591+5743 +5744+5745+5781</t>
  </si>
  <si>
    <t xml:space="preserve">6731+6881 -5731-5881 </t>
  </si>
  <si>
    <t>O.</t>
  </si>
  <si>
    <t>M.P.</t>
  </si>
  <si>
    <t>020-028(dio)</t>
  </si>
  <si>
    <t>021-028(dio)-029(dio)</t>
  </si>
  <si>
    <t>022+023-028(dio)-029(dio)</t>
  </si>
  <si>
    <t>024-028(dio)-029(dio)</t>
  </si>
  <si>
    <t>026-028(dio)-029(dio)</t>
  </si>
  <si>
    <t>025+027-028(dio)</t>
  </si>
  <si>
    <t>050-059(dio)</t>
  </si>
  <si>
    <t>051-059(dio)</t>
  </si>
  <si>
    <t>052-059(dio)</t>
  </si>
  <si>
    <t>053-059(dio)</t>
  </si>
  <si>
    <t>010-018(dio)-019(dio)</t>
  </si>
  <si>
    <t>011-018(dio)-019(dio)</t>
  </si>
  <si>
    <t>014-018(dio)-019(dio)</t>
  </si>
  <si>
    <t>015+ 017- 018(dio)</t>
  </si>
  <si>
    <t>0601-0609(dio)</t>
  </si>
  <si>
    <t>0602-0609(dio)</t>
  </si>
  <si>
    <t>0603-0609(dio)</t>
  </si>
  <si>
    <t>0651-0658(dio)-0659(dio)</t>
  </si>
  <si>
    <t>0652+0654-0658(dio)-0659(dio)</t>
  </si>
  <si>
    <t>11.1.</t>
  </si>
  <si>
    <t>0661-0669(dio)</t>
  </si>
  <si>
    <t>0662-0669(dio)</t>
  </si>
  <si>
    <t>0663-0669(dio)</t>
  </si>
  <si>
    <t>0664-0669(dio)</t>
  </si>
  <si>
    <t>07+091+098</t>
  </si>
  <si>
    <t>210-219(dio)</t>
  </si>
  <si>
    <t>211-219(dio)</t>
  </si>
  <si>
    <t>212-219(dio)</t>
  </si>
  <si>
    <t>2310-2390(dio)+2401-2409(dio)</t>
  </si>
  <si>
    <t>2311-2390(dio)+2402 -2409(dio)</t>
  </si>
  <si>
    <t>2312-2390(dio)+2403-2409(dio)</t>
  </si>
  <si>
    <t>2313+2315+2404-2409(dio)-2392(dio)</t>
  </si>
  <si>
    <t>234-481</t>
  </si>
  <si>
    <t>230+232+233+235+237 +238+2391+27+28</t>
  </si>
  <si>
    <t>Redni</t>
  </si>
  <si>
    <t>Iznos tekuće</t>
  </si>
  <si>
    <t>broj</t>
  </si>
  <si>
    <t>331+339</t>
  </si>
  <si>
    <t>413+414</t>
  </si>
  <si>
    <t>415+416</t>
  </si>
  <si>
    <t>400+401+403+404+405 +406+409 (dio)</t>
  </si>
  <si>
    <t>402+409(dio)+410+419</t>
  </si>
  <si>
    <t>431+ 432+433</t>
  </si>
  <si>
    <t>434+435</t>
  </si>
  <si>
    <t>422+423+424+4600</t>
  </si>
  <si>
    <t>425+426+4601</t>
  </si>
  <si>
    <t>421+4602</t>
  </si>
  <si>
    <t>428+4603</t>
  </si>
  <si>
    <t>491+493+499(dio)</t>
  </si>
  <si>
    <t>481-234</t>
  </si>
  <si>
    <t>45+47+430+437+439 +461+462+463+464 +465+466+467+468 +469+480+482+483 +484+489+490+499(dio)</t>
  </si>
  <si>
    <t>POSEBNI PODACI</t>
  </si>
  <si>
    <t>o plaćama i broju zaposlenih uz godišnji - polugodišnji obračun</t>
  </si>
  <si>
    <t>U istom obračunsk.</t>
  </si>
  <si>
    <t xml:space="preserve">U obračunskom </t>
  </si>
  <si>
    <t>Red.</t>
  </si>
  <si>
    <t>POZICIJA</t>
  </si>
  <si>
    <t>broj.</t>
  </si>
  <si>
    <t>Neto plata</t>
  </si>
  <si>
    <t>Neto naknade plaće</t>
  </si>
  <si>
    <t>Svega plaće i naknade (1+2)</t>
  </si>
  <si>
    <t>Porez na plaće i naknade plaća</t>
  </si>
  <si>
    <t>Doprinosi na plaće i naknade plaća</t>
  </si>
  <si>
    <t>Svega doprinosi (5+6)</t>
  </si>
  <si>
    <t>Svega (3+4+7)</t>
  </si>
  <si>
    <t xml:space="preserve">Porez na učešće zaposlenih u dobiti </t>
  </si>
  <si>
    <t>Doprinosi iz učešća zaposlenih u dobiti</t>
  </si>
  <si>
    <t>Doprinosi na učešće zaposlenih u dobiti</t>
  </si>
  <si>
    <t>Svega (9 do 12)</t>
  </si>
  <si>
    <t>Svega neto plaće, naknade plaća i učešća u dobiti (3+9)</t>
  </si>
  <si>
    <t>Prosječan broj zaposlenih na osnovu sati rada (cio broj)</t>
  </si>
  <si>
    <t>D i r e k t o r</t>
  </si>
  <si>
    <t>M. P.</t>
  </si>
  <si>
    <t>Broj dozvole</t>
  </si>
  <si>
    <t>Kontakt telefon</t>
  </si>
  <si>
    <t xml:space="preserve"> - u KM -</t>
  </si>
  <si>
    <t>Prethodna godina</t>
  </si>
  <si>
    <t>520(dio), 521(dio)</t>
  </si>
  <si>
    <t>1) Prikazati subvencije koje se mogu iskazati po jedinici proizvoda ili usluge, subvencije za izvoz ili određivanje nivoa prodajne cijene.</t>
  </si>
  <si>
    <t>2) Prikazati subvencije koje se ne mogu iskazati po jedinici proizvoda ili usluge, kao što su subvencije za plaće i naknade, kamatne stope, smanjenje zagađenosti okoline i sl.</t>
  </si>
  <si>
    <t>3) Prikazati iznos koji je isplaćen zaposlenima nakon odbitka poreza na dohodak.</t>
  </si>
  <si>
    <t>540(dio), 541(dio), 542(dio)</t>
  </si>
  <si>
    <t>560(dio), 561(dio)</t>
  </si>
  <si>
    <t>4) Prikazati troškove amortizacije koji se odnose na imovinu s pravom korištenja u skladu sa MSFI 16 - Najmovi. Troškovi amortizacije se odnose samo na operativni najam/lizing (kao što su troškovi najamnine nekretnina, opreme, prevoznih sredstava i sl.) isključujući finansijski najam/lizing.</t>
  </si>
  <si>
    <t>5) Prikazati rashode od kamata koji se odnose na imovinu s pravom korištenja u skladu sa MSFI 16 - Najmovi. Rashodi od kamata se odnose samo na operativni najam/lizing (kao što su troškovi najamnine nekretnina, opreme, prevoznih sredstava i sl.) isključujući finansijski najam/lizing.</t>
  </si>
  <si>
    <t>6) Prikazati dugovni promet grupe 27 izuzev konta 279 (obračunati ulazni PDV za obračunski period).</t>
  </si>
  <si>
    <t>7) Prikazati potražni promet grupe 47 izuzev konta 479 (obračunati izlazni PDV za obračunski period).</t>
  </si>
  <si>
    <t>8) Prosječan broj zaposlenih na bazi sati rada utvrđuje se tako da se ukupan broj ostvarenih sati rada u periodu podijeli brojem mogućih sati rada po jednom zaposlenom.</t>
  </si>
  <si>
    <t>9) Prosječan broj zaposlenih na bazi stanja krajem mjeseca, utvrđuje se tako da se uzme broj zaposlenih na kraju svakog mjeseca iz kadrovske evidencije, i dobijeni zbir podijeli sa 12.</t>
  </si>
  <si>
    <t>10) Prikazati iznos upotrebljenih vlastitih proizvoda, robe i usluga koji se odnosi na obračunatu vrijednost po osnovu upotrebe za investicije u dugotrajnu imovinu.</t>
  </si>
  <si>
    <t xml:space="preserve">Mjesto: </t>
  </si>
  <si>
    <t xml:space="preserve">Datum  </t>
  </si>
  <si>
    <t>Oznaka</t>
  </si>
  <si>
    <t>( + )/( - )</t>
  </si>
  <si>
    <t>( + )</t>
  </si>
  <si>
    <t>( + )( - )</t>
  </si>
  <si>
    <t>IZVJEŠTAJ O PROMJENAMA NA KAPITALU</t>
  </si>
  <si>
    <t>Kontakt</t>
  </si>
  <si>
    <t>KAPITAL KOJI PRIPADA</t>
  </si>
  <si>
    <t>VLASNICIMA MANJINSKIH</t>
  </si>
  <si>
    <t>(10+11)</t>
  </si>
  <si>
    <t>INTERESA</t>
  </si>
  <si>
    <r>
      <rPr>
        <b/>
        <sz val="12"/>
        <rFont val="Arial Narrow"/>
        <charset val="238"/>
      </rPr>
      <t>Ukupni rezultat (</t>
    </r>
    <r>
      <rPr>
        <b/>
        <u/>
        <sz val="12"/>
        <rFont val="Arial Narrow"/>
        <charset val="238"/>
      </rPr>
      <t>+</t>
    </r>
    <r>
      <rPr>
        <b/>
        <sz val="12"/>
        <rFont val="Arial Narrow"/>
        <charset val="238"/>
      </rPr>
      <t>905</t>
    </r>
    <r>
      <rPr>
        <b/>
        <u/>
        <sz val="12"/>
        <rFont val="Arial Narrow"/>
        <charset val="238"/>
      </rPr>
      <t>+</t>
    </r>
    <r>
      <rPr>
        <b/>
        <sz val="12"/>
        <rFont val="Arial Narrow"/>
        <charset val="238"/>
      </rPr>
      <t>906)</t>
    </r>
  </si>
  <si>
    <r>
      <rPr>
        <b/>
        <sz val="12"/>
        <rFont val="Arial Narrow"/>
        <charset val="238"/>
      </rPr>
      <t>Ukupni rezultat (</t>
    </r>
    <r>
      <rPr>
        <b/>
        <u/>
        <sz val="12"/>
        <rFont val="Arial Narrow"/>
        <charset val="238"/>
      </rPr>
      <t>+</t>
    </r>
    <r>
      <rPr>
        <b/>
        <sz val="12"/>
        <rFont val="Arial Narrow"/>
        <charset val="238"/>
      </rPr>
      <t>917</t>
    </r>
    <r>
      <rPr>
        <b/>
        <u/>
        <sz val="12"/>
        <rFont val="Arial Narrow"/>
        <charset val="238"/>
      </rPr>
      <t>+</t>
    </r>
    <r>
      <rPr>
        <b/>
        <sz val="12"/>
        <rFont val="Arial Narrow"/>
        <charset val="238"/>
      </rPr>
      <t>918)</t>
    </r>
  </si>
  <si>
    <t>Obrazac INV - 01</t>
  </si>
  <si>
    <t>"Službene novine FBiH"br.63/03 i 9/09</t>
  </si>
  <si>
    <t>SARAJEVO</t>
  </si>
  <si>
    <t xml:space="preserve">Obaveza podnošenja izvještaja zasniva se na članu 31. Zakona o statistici u Federaciji BiH. Odbijanje davanja podataka, davanje nepotpunih i netačnih podataka ili nedavanje podataka u propisanom sadržaju i roku povlači kaznene odredbe iz čl. 43. i 44. navedenog Zakona. Podaci koji se daju u ovom izvještaju koristiće se isključivo za statističke svrhe i neće se objavljivati kao pojedinačni.                                                </t>
  </si>
  <si>
    <t>2) Identifikaciono broj</t>
  </si>
  <si>
    <t>3) Kanton</t>
  </si>
  <si>
    <t>Općina</t>
  </si>
  <si>
    <t xml:space="preserve">   Ulica i broj</t>
  </si>
  <si>
    <t>Telefon</t>
  </si>
  <si>
    <t>4) Djelatnost prema KD BiH 2010</t>
  </si>
  <si>
    <t>(1.1=1.1+1.2+1.3+1.4+1.5+1.6)</t>
  </si>
  <si>
    <t>1.1</t>
  </si>
  <si>
    <r>
      <rPr>
        <b/>
        <sz val="10"/>
        <rFont val="Arial"/>
        <charset val="238"/>
      </rPr>
      <t xml:space="preserve">iz sopstvenih sredstava </t>
    </r>
    <r>
      <rPr>
        <b/>
        <sz val="8"/>
        <rFont val="Arial"/>
        <charset val="238"/>
      </rPr>
      <t>3)</t>
    </r>
  </si>
  <si>
    <t>1.2</t>
  </si>
  <si>
    <t>iz udruženih sredstava</t>
  </si>
  <si>
    <t>(1.21+1.22)</t>
  </si>
  <si>
    <t>1.21</t>
  </si>
  <si>
    <t>domaćih investitora</t>
  </si>
  <si>
    <t>1.22</t>
  </si>
  <si>
    <t>inostranih investitora</t>
  </si>
  <si>
    <t>1.3</t>
  </si>
  <si>
    <r>
      <rPr>
        <b/>
        <sz val="10"/>
        <rFont val="Arial"/>
        <charset val="238"/>
      </rPr>
      <t xml:space="preserve">iskorišteni finansijski krediti </t>
    </r>
    <r>
      <rPr>
        <b/>
        <sz val="8"/>
        <rFont val="Arial"/>
        <charset val="238"/>
      </rPr>
      <t>4)</t>
    </r>
  </si>
  <si>
    <t>(1.31+1.32+1.338)</t>
  </si>
  <si>
    <t>1.31</t>
  </si>
  <si>
    <t>domaćih banaka</t>
  </si>
  <si>
    <t>1.32</t>
  </si>
  <si>
    <t>stranih kreditora</t>
  </si>
  <si>
    <t>1.33</t>
  </si>
  <si>
    <t>drugih domaćih kreditora, osim banaka</t>
  </si>
  <si>
    <t>1.4</t>
  </si>
  <si>
    <t>financijski najam - lizing 5)</t>
  </si>
  <si>
    <t>1.5</t>
  </si>
  <si>
    <t>iz sredstava budžeta, izvanbudžetskih fondova i drugih fondova</t>
  </si>
  <si>
    <t>1.6</t>
  </si>
  <si>
    <t xml:space="preserve">iz drugih izvora (interna realizacija, stalna imovina dobivena bez naknade, </t>
  </si>
  <si>
    <t>putem kompenzacije, donacije, humanitarne pomoći)</t>
  </si>
  <si>
    <t>1.61</t>
  </si>
  <si>
    <t>od toga: strana humanitarna pomoć i donacije</t>
  </si>
  <si>
    <t>1) Obuhvatiti samo izvršene isplate u toku godine (bez prenijetog salda, storna i preknjižavanja i bez ostvarenih ali neplaćenih investicija).</t>
  </si>
  <si>
    <t xml:space="preserve">    U isplate za investicije uključuju se kursne razlike koje su plaćene u izvještajnoj godini za investicije ostvarene u toj godini i ranije.</t>
  </si>
  <si>
    <t>2) U isplate za investicije uključiti i otplate komercijalnih kredita.</t>
  </si>
  <si>
    <t>3) Bez kredita datih radnicima za izgradnju i kupovinu stanova u ličnoj svojini.</t>
  </si>
  <si>
    <t>4) Bez otplate anuiteta po finansijskim krditima.</t>
  </si>
  <si>
    <t>5) Ako ste kupili stalno sredstvo u izvještajnoj godini putem finansijskog lizinga, u tabeli 1. prikažite cjelokupnu nabavnu vrijednost pod 1.4.</t>
  </si>
  <si>
    <t xml:space="preserve">TABELA 2. VREMENSKA RAZGRANIČENJA IZMEĐU ISPLATA ZA INVESTICIJE I OSTVARENIH INVESTICIJA </t>
  </si>
  <si>
    <t>2.1</t>
  </si>
  <si>
    <t>(2.11+2.12)=1.1</t>
  </si>
  <si>
    <t>2.11</t>
  </si>
  <si>
    <t>2.12</t>
  </si>
  <si>
    <t>opreme i drugima; za otplatu iskorištenih komercijalnih kredita za investicije u</t>
  </si>
  <si>
    <t>2.2</t>
  </si>
  <si>
    <t>radova, isporučiocima opreme i drugima; iskorišteni komercijalni krediti za ostvarene</t>
  </si>
  <si>
    <t>2.3</t>
  </si>
  <si>
    <t>6) Uključiti cjelokupnu nabavnu vrijednost stalnog sredstva nabavljenog putem finansijskog lizinga.</t>
  </si>
  <si>
    <t>u KM</t>
  </si>
  <si>
    <t xml:space="preserve">UKUPNO </t>
  </si>
  <si>
    <t>Nova stalna</t>
  </si>
  <si>
    <t>Polovna stalna</t>
  </si>
  <si>
    <t>Dezinvesticija-</t>
  </si>
  <si>
    <t>(4+5)</t>
  </si>
  <si>
    <r>
      <rPr>
        <sz val="9"/>
        <rFont val="Arial"/>
        <charset val="238"/>
      </rPr>
      <t xml:space="preserve">sredstva </t>
    </r>
    <r>
      <rPr>
        <sz val="8"/>
        <rFont val="Arial"/>
        <charset val="238"/>
      </rPr>
      <t>8)</t>
    </r>
  </si>
  <si>
    <r>
      <rPr>
        <sz val="9"/>
        <rFont val="Arial"/>
        <charset val="238"/>
      </rPr>
      <t xml:space="preserve">sredstva </t>
    </r>
    <r>
      <rPr>
        <sz val="8"/>
        <rFont val="Arial"/>
        <charset val="238"/>
      </rPr>
      <t>9)</t>
    </r>
  </si>
  <si>
    <r>
      <rPr>
        <sz val="10"/>
        <rFont val="Arial"/>
        <charset val="238"/>
      </rPr>
      <t xml:space="preserve">prodaja </t>
    </r>
    <r>
      <rPr>
        <sz val="8"/>
        <rFont val="Arial"/>
        <charset val="238"/>
      </rPr>
      <t>10)</t>
    </r>
  </si>
  <si>
    <t>3.1</t>
  </si>
  <si>
    <t>Građevinski objekti i prostori (zbir 3.11 + 3.2)</t>
  </si>
  <si>
    <t>3.11</t>
  </si>
  <si>
    <t>Stambene zgrade i prostori za stanovanje (stanovi; studentski, đački i starački domovi; domovi za napuštenu djecu i sl.)</t>
  </si>
  <si>
    <t>3.2</t>
  </si>
  <si>
    <t>Ostali građevinski radovi (3.21 + 3.22 + 3.23)</t>
  </si>
  <si>
    <t>3.21</t>
  </si>
  <si>
    <t>Ostala visokogradnja (industrijske, poljoprivredne i ostale privredne hale i zgrade; silosi; hladnjače; rezervoari; cisterne; magacini; garaže; škole; bolnice; zatvori; administrativne zgrade i sl.)</t>
  </si>
  <si>
    <t>3.22</t>
  </si>
  <si>
    <t>Niskogradnja (željezničke pruge; putevi; mostovi; vijadukti; nadvožnjaci; tuneli; žičare; električni i telefonski vodovi; naftovodi; bazeni; cjevovodi; vodovod i kanalizacija; objekti za kopanje rude, elektrane, hidrocentrale; aerodromske piste; sportska igrališta; parkirališta i sl.)</t>
  </si>
  <si>
    <t>3.23</t>
  </si>
  <si>
    <t>Značajnija poboljšanja zemljišta (izgradnja nasipa, morskih brana, krčenje šuma i kamenitog tla; isušivanje močvara, navodnjavanje i sl.)</t>
  </si>
  <si>
    <t>xxxxxxxxxxxx</t>
  </si>
  <si>
    <t>3.3</t>
  </si>
  <si>
    <t>Strojevi, oprema i transportna sredstva - domaća i uvozna (zbir 3.31 + 3.32)</t>
  </si>
  <si>
    <t>3.31</t>
  </si>
  <si>
    <t>Strojevi i oprema (zbir 3.311 do 3.319)</t>
  </si>
  <si>
    <t>3.311</t>
  </si>
  <si>
    <t>Metalni proizvodi i naprave (metalne konstrukcije, tornjevi, cisterne, kontejneri, kotlovi i oprema za centralno grijanje, rezervoari, željezni i čelični kotlovi itd.)</t>
  </si>
  <si>
    <t>3.312</t>
  </si>
  <si>
    <t>Strojevi za proizvodnju i iskorištavanje mehaničke energije (motori, turbine, pumpe, kompresori), strojne naprave (podizajuće, transportne, rashladne, za provjetravanje), vage i sl.</t>
  </si>
  <si>
    <t>3.313</t>
  </si>
  <si>
    <t>Drugi strojevi i naprave za posebne namjene (metalurški, rudarski i građevinski strojevi, prehrambeni, tekstilni i sl.); strojevi za obradu (strugovi, bušilice, glodalice; strojevi za  obradu metala, kamena, drveta i sl.)</t>
  </si>
  <si>
    <t>3.314</t>
  </si>
  <si>
    <t>Poljoprivredni i šumarski strojevi (traktori i drugi poljoprivredni i šumarski strojevi)</t>
  </si>
  <si>
    <t>3.315</t>
  </si>
  <si>
    <t>Računari i druga oprema za obradu podataka (personalni i drugi računari, štampači); druge kancelarijske mašine (računske, pisaće, fotokopirni i slični uređaji); elektronske blagajne, skeneri, bankomati, automati za mijenjanje novca</t>
  </si>
  <si>
    <t>3.316</t>
  </si>
  <si>
    <t>Električni motori, generatori i transformatori, naprave za distribuciju el. energije, cestovna i druga vanjska rasvjeta, kotlovi za dobivanje pare, atomski reaktori i sl.</t>
  </si>
  <si>
    <t>3.317</t>
  </si>
  <si>
    <t>Radijski, televizijski i komunikacijski uređaji i oprema (TV i radio prijemnici i odašiljači, telefonski aparati i centrale, faks mašine itd.)</t>
  </si>
  <si>
    <t>3.318</t>
  </si>
  <si>
    <t>Medicinska oprema, fini mehanički i optički instrumenti (osciloskopi, voltmetri, laboratorijske centrifuge, elektrografi, mikroskopi), precizne vage, fotografski aparati itd.</t>
  </si>
  <si>
    <t>3.319</t>
  </si>
  <si>
    <t>Namještaj i unutarnja oprema (metalni i drveni namještaj i sl.); nabavka knjiga za biblioteke</t>
  </si>
  <si>
    <t>3.32</t>
  </si>
  <si>
    <t>Transportna sredstva (zbir 3.321 + 3.322 + 3.323)</t>
  </si>
  <si>
    <t>3.321</t>
  </si>
  <si>
    <t>Putnički automobili do 10 osoba (kao i kombinirani namijenjeni prijevozu putnika i tereta)</t>
  </si>
  <si>
    <t>3.322</t>
  </si>
  <si>
    <t>Teretna vozila (takođe cestovni traktori i prikolice)</t>
  </si>
  <si>
    <t>3.323</t>
  </si>
  <si>
    <t>Druga vozila i plovila (autobusi, čamci, tračna i zračna vozila)</t>
  </si>
  <si>
    <t>3.4</t>
  </si>
  <si>
    <t xml:space="preserve">Od 3.3 (Strojevi, oprema i transportna sredstva) prikažite vrijednost uvezene opreme </t>
  </si>
  <si>
    <t>3.5</t>
  </si>
  <si>
    <t>Biološka sredstva (zbir 3.51 + 3.52)</t>
  </si>
  <si>
    <t>3.51</t>
  </si>
  <si>
    <t>Osnovno stado (razna rasplodna i radna stoka)</t>
  </si>
  <si>
    <t>3.52</t>
  </si>
  <si>
    <t>Pošumljavanje i dugogodišnji zasadi</t>
  </si>
  <si>
    <t>3.6</t>
  </si>
  <si>
    <t>Nematerijalna stalna sredstva (zbir 3.61 + 3.62 + 3.63 + 3.64 + 3.65)</t>
  </si>
  <si>
    <t>3.61</t>
  </si>
  <si>
    <t>Dugoročna ulaganja u istraživanje i razvoj, osim rudarskih i mineralnih istraživanja</t>
  </si>
  <si>
    <t>3.62</t>
  </si>
  <si>
    <t>Rudarska i mineralna istraživanja</t>
  </si>
  <si>
    <t>3.63</t>
  </si>
  <si>
    <t>Softveri i baze podataka (zbir od 3.631 do 3.634)</t>
  </si>
  <si>
    <t>3.631</t>
  </si>
  <si>
    <t>3.632</t>
  </si>
  <si>
    <t>3.633</t>
  </si>
  <si>
    <t>3.634</t>
  </si>
  <si>
    <t>3.64</t>
  </si>
  <si>
    <t>Književni i umjetnički originali (sa područja filma, muzike, TV programi, sportske i druge priredbe i sl.)</t>
  </si>
  <si>
    <t>3.65</t>
  </si>
  <si>
    <t>Ostala nematerijalna stalna sredstva (studije, projekti, elaborati, komisije za tehnički prijem i sl.)</t>
  </si>
  <si>
    <t>3.7</t>
  </si>
  <si>
    <t>Troškovi prijenosa vlasništva zemljišta (tr.procjene zemljišta, advokata, porez na promet nekretninama)</t>
  </si>
  <si>
    <t>3.8</t>
  </si>
  <si>
    <t>Dragocjenosti (vrijednosni predmeti kupljeni radi očuvanja vrijednosti kao što su dijamanti, Dragocjenosti (vrijednosni predmeti kupljeni radi očuvanja vrijednosti kao što su dijamanti,</t>
  </si>
  <si>
    <t>3.9</t>
  </si>
  <si>
    <t>Licence (osim licenci za softvere), patenti i trgovačke marke 7)</t>
  </si>
  <si>
    <t>3.10</t>
  </si>
  <si>
    <t>Zemljište (bez troškova prijenosa vlasništva)</t>
  </si>
  <si>
    <t>7)</t>
  </si>
  <si>
    <t>Stalan sredstva se vrednuju po kupovnoj cijeni uključujući i troškove montaže i druge troškove prijenosa vlasništva. Ukoliko ne znate tačnu vrijednost, procjenite je.</t>
  </si>
  <si>
    <t>9)</t>
  </si>
  <si>
    <t xml:space="preserve"> Polovna stalna sredstva obuhvataju polovna stalna sredstva nabavljena u zemlji</t>
  </si>
  <si>
    <t xml:space="preserve">Uključiti: nova stalna sredstva, rekonstrukciju i zamjenu postojećih stalnih sredstava, stalna sredstva nabavljena putem finansijskog lizinga - najma, kao i polovnu </t>
  </si>
  <si>
    <t>bez obzira na njihovo porijeklo. Vidjeti fusnotu broj 8.</t>
  </si>
  <si>
    <t>opremu iz uvoza, ili ako je nabavljena da bi se koristila po prvi put. U slučaju dalje preprodaje ova oprema se smatra domaćom polovnom opremom.</t>
  </si>
  <si>
    <t>10)</t>
  </si>
  <si>
    <t>Uključiti stalna sredstva koja su prodana, stalna sredstva koja su dana u trampi i</t>
  </si>
  <si>
    <t>stalna sredstva data kao kapitalni transfer u naturi. Prodata stalna sredstva iskazati</t>
  </si>
  <si>
    <t>po vrijednosti iz kupoprodajnog ugovora, nakon odbitka troškova prijenosa vlasništva.</t>
  </si>
  <si>
    <t>INVESTICIJE PO NAMJENI ULAGANJA I OPĆINAMA</t>
  </si>
  <si>
    <t>djelatnost</t>
  </si>
  <si>
    <t>.</t>
  </si>
  <si>
    <t>općina</t>
  </si>
  <si>
    <t>entitet</t>
  </si>
  <si>
    <t>F BiH</t>
  </si>
  <si>
    <t>ukupan br.posl.jedinica</t>
  </si>
  <si>
    <t>ukupan broj</t>
  </si>
  <si>
    <t>jedinica investiranja</t>
  </si>
  <si>
    <t>4.11</t>
  </si>
  <si>
    <t>izgadnja novih kapaciteta</t>
  </si>
  <si>
    <t>4.12</t>
  </si>
  <si>
    <t>rekonstrukcija, modernizacija, dogradnja i proširenje</t>
  </si>
  <si>
    <t>4.13</t>
  </si>
  <si>
    <t>održavanje nivoa postojećih kapaciteta</t>
  </si>
  <si>
    <t>4.0</t>
  </si>
  <si>
    <t>Od ukupnih investicija prikazati investicije za zaštitu životne sredine 11)</t>
  </si>
  <si>
    <t>4.1</t>
  </si>
  <si>
    <t>4.14</t>
  </si>
  <si>
    <t>Ostvarene investicije</t>
  </si>
  <si>
    <t xml:space="preserve"> - stambene zgrade i prostori = 3.11</t>
  </si>
  <si>
    <t>4.15</t>
  </si>
  <si>
    <r>
      <rPr>
        <sz val="9"/>
        <rFont val="Arial"/>
        <charset val="238"/>
      </rPr>
      <t xml:space="preserve">u </t>
    </r>
    <r>
      <rPr>
        <b/>
        <u/>
        <sz val="9"/>
        <rFont val="Arial"/>
        <charset val="238"/>
      </rPr>
      <t>nova</t>
    </r>
  </si>
  <si>
    <t xml:space="preserve"> - ostali građevinski radovi = 3.2</t>
  </si>
  <si>
    <t>4.16</t>
  </si>
  <si>
    <t>stalna sredstva</t>
  </si>
  <si>
    <t xml:space="preserve"> - strojevi, oprema i transportna sredstva = 3.3</t>
  </si>
  <si>
    <t>4.17</t>
  </si>
  <si>
    <t xml:space="preserve"> - ostala materijalna (opipljiva) stalna sredstva = 3.5</t>
  </si>
  <si>
    <t>4.18</t>
  </si>
  <si>
    <t>po tehničkoj strukturi</t>
  </si>
  <si>
    <t xml:space="preserve"> - nematerijalna (neopipljiva) stalna sredstva = 3.6</t>
  </si>
  <si>
    <t>4.19</t>
  </si>
  <si>
    <t>(Tabela 3., Kolona4.)</t>
  </si>
  <si>
    <t xml:space="preserve"> - troškovi prijenosa vlasništva zemljišta = 3.7</t>
  </si>
  <si>
    <t>4.2</t>
  </si>
  <si>
    <t>4.3</t>
  </si>
  <si>
    <t>11) Od ukupnih investicija raspoređenih po karakteru izgradnje (stavke 4.11, 4.12 i 4.13) treba posebno u stavci 4.0 prikazati investicije za zaštitu životne sredine</t>
  </si>
  <si>
    <t>Obrazac popunio:</t>
  </si>
  <si>
    <t>DIREKTOR</t>
  </si>
  <si>
    <t>Tel./Faks</t>
  </si>
  <si>
    <t>Upisati puno ime i prezime</t>
  </si>
  <si>
    <t>E-mail</t>
  </si>
  <si>
    <t>Datum</t>
  </si>
  <si>
    <t>Obrazac TZ</t>
  </si>
  <si>
    <t>Mjesto</t>
  </si>
  <si>
    <t>(Kod općine)</t>
  </si>
  <si>
    <t>(Djelatnost)</t>
  </si>
  <si>
    <t>O B R A Č U N</t>
  </si>
  <si>
    <t>Iznos</t>
  </si>
  <si>
    <t xml:space="preserve">Osnovica - ukupan prihod </t>
  </si>
  <si>
    <t>Stopa iz člana 12.Uredbe</t>
  </si>
  <si>
    <t>Obračunati iznos (osnovica x stopa red.br 1 x 2)</t>
  </si>
  <si>
    <t>Uplaćena akontacija</t>
  </si>
  <si>
    <t>Razlika za uplatu (red.br.3 minus red.br.4)</t>
  </si>
  <si>
    <t>Razlika za povrat (red.br.4 minus red.br.3)</t>
  </si>
  <si>
    <t>Datum,</t>
  </si>
  <si>
    <t>Obrazac sastavio/la.</t>
  </si>
  <si>
    <t>Pečet nadležnog</t>
  </si>
  <si>
    <t>primitka</t>
  </si>
  <si>
    <t>organa</t>
  </si>
  <si>
    <t>Obrazac ONŠ</t>
  </si>
  <si>
    <t xml:space="preserve"> Obveznik uplate</t>
  </si>
  <si>
    <t xml:space="preserve"> Mjesto</t>
  </si>
  <si>
    <t xml:space="preserve"> Šifra djelatnosti</t>
  </si>
  <si>
    <t xml:space="preserve"> Identifikacijski broj</t>
  </si>
  <si>
    <t xml:space="preserve"> Broj žiro računa</t>
  </si>
  <si>
    <t>OBRAČUN NAKNADE ZA KORIŠTENJE, ZAŠTITU I UNAPREĐENJE ŠUMA</t>
  </si>
  <si>
    <t>Vrsta naknada za eksploataciju</t>
  </si>
  <si>
    <t>Oznaka za</t>
  </si>
  <si>
    <t>šuma</t>
  </si>
  <si>
    <t>(6+7+8+9+10)</t>
  </si>
  <si>
    <r>
      <rPr>
        <sz val="10"/>
        <rFont val="Arial"/>
        <charset val="238"/>
      </rPr>
      <t xml:space="preserve">1. </t>
    </r>
    <r>
      <rPr>
        <sz val="6"/>
        <rFont val="Arial"/>
        <charset val="238"/>
      </rPr>
      <t>a</t>
    </r>
  </si>
  <si>
    <r>
      <rPr>
        <sz val="10"/>
        <rFont val="Arial"/>
        <charset val="238"/>
      </rPr>
      <t xml:space="preserve">Naknada za korištenje državnih šuma </t>
    </r>
    <r>
      <rPr>
        <sz val="8"/>
        <rFont val="Arial"/>
        <charset val="238"/>
      </rPr>
      <t>(7% od prihoda od drveta računajući cijenu drveta na panju i prihoda ostvarenog nedrvnih šumskih proizvoda)</t>
    </r>
  </si>
  <si>
    <r>
      <rPr>
        <sz val="10"/>
        <rFont val="Arial"/>
        <charset val="238"/>
      </rPr>
      <t xml:space="preserve">2. </t>
    </r>
    <r>
      <rPr>
        <sz val="6"/>
        <rFont val="Arial"/>
        <charset val="238"/>
      </rPr>
      <t>b</t>
    </r>
  </si>
  <si>
    <r>
      <rPr>
        <sz val="10"/>
        <rFont val="Arial"/>
        <charset val="238"/>
      </rPr>
      <t xml:space="preserve">Naknada za korištenje općekorisnih funkcija šuma </t>
    </r>
    <r>
      <rPr>
        <sz val="8"/>
        <rFont val="Arial"/>
        <charset val="238"/>
      </rPr>
      <t>(0,07% od ukupno ostvarenog prihoda)</t>
    </r>
  </si>
  <si>
    <t>ODGOVORNA OSOBA</t>
  </si>
  <si>
    <t>a</t>
  </si>
  <si>
    <t xml:space="preserve">Nakanda za korištenje državnih šuma obračunavaju i uplaćuju kantonalna šumsko-privredna društva </t>
  </si>
  <si>
    <t>b</t>
  </si>
  <si>
    <t>Naknada za općekorisne funkcije šuma obračunavaju i uplaćuju sva pravna lica koja su registrovana za obavljanje djelatnosti na teritoriji federacije kao i dijelovi pravnih lica čije je sjedište van</t>
  </si>
  <si>
    <t>Federacije a obavljaju djelatnost na teritoriji Federacije, te osobe koje obavljaju samostalnu privrednu, profesionalnu i drugu djelatnost.</t>
  </si>
  <si>
    <t>o obračunatoj i uplaćenoj posebnoj naknadi</t>
  </si>
  <si>
    <t>za zaštitu od prirodnih i drugih nesreća</t>
  </si>
  <si>
    <t>Obrazac ZS</t>
  </si>
  <si>
    <t>šifra</t>
  </si>
  <si>
    <t>GODINE</t>
  </si>
  <si>
    <t>OPIS</t>
  </si>
  <si>
    <t>Osnovica  - isplaćene neto plaće, odnosno neto isplate po ugovoru o djelu i ugovoru o vršenju privremenih i povremenih poslova</t>
  </si>
  <si>
    <t>(osnovica/temeljnica x stopa - red.br. 1 x red.br. 2)</t>
  </si>
  <si>
    <t>Obrazac sastavio/la</t>
  </si>
  <si>
    <t>Odgovorno /lice</t>
  </si>
  <si>
    <t>Obrazac OVN</t>
  </si>
  <si>
    <t>(Identifikacioni broj i šifra djelatnosti obveznika naknade)</t>
  </si>
  <si>
    <t>(Adresa: mjesto, ulica i broj, broj telefona)</t>
  </si>
  <si>
    <t>O OBRAČUNATIM I UPLAĆENIM VODNIM NAKNADAMA</t>
  </si>
  <si>
    <t>Visina opće i</t>
  </si>
  <si>
    <t>Razlika za</t>
  </si>
  <si>
    <t>Naziv naknade</t>
  </si>
  <si>
    <t>posebne</t>
  </si>
  <si>
    <t>uplatu / povrat</t>
  </si>
  <si>
    <t>/KM/  (4x5)</t>
  </si>
  <si>
    <t>/KM/ )6-7)</t>
  </si>
  <si>
    <t xml:space="preserve">  Opća </t>
  </si>
  <si>
    <t xml:space="preserve">  vodna</t>
  </si>
  <si>
    <t>naknada</t>
  </si>
  <si>
    <t>neto plaće zaposlenika</t>
  </si>
  <si>
    <t>po ugovoru o djelu</t>
  </si>
  <si>
    <r>
      <rPr>
        <sz val="10"/>
        <rFont val="Arial"/>
        <charset val="238"/>
      </rPr>
      <t xml:space="preserve">                        </t>
    </r>
    <r>
      <rPr>
        <b/>
        <sz val="10"/>
        <rFont val="Arial"/>
        <charset val="238"/>
      </rPr>
      <t>Posebne vodne naknade</t>
    </r>
  </si>
  <si>
    <t xml:space="preserve">     Naknada za</t>
  </si>
  <si>
    <t>korištenje podzemnih</t>
  </si>
  <si>
    <t xml:space="preserve">  i površinskih voda</t>
  </si>
  <si>
    <t xml:space="preserve">    Naknada za</t>
  </si>
  <si>
    <t xml:space="preserve">    zaštitu voda</t>
  </si>
  <si>
    <t>Naknada za izvađeni materijal iz vodotoka</t>
  </si>
  <si>
    <t>Naknada za</t>
  </si>
  <si>
    <t xml:space="preserve">  zaštitu od</t>
  </si>
  <si>
    <t xml:space="preserve">   poplava</t>
  </si>
  <si>
    <t>Ukupno:</t>
  </si>
  <si>
    <t>Datum:</t>
  </si>
  <si>
    <t>D I R E K T O R :</t>
  </si>
  <si>
    <t>FIA Sarajevo</t>
  </si>
  <si>
    <r>
      <rPr>
        <sz val="12"/>
        <rFont val="Arial"/>
        <charset val="238"/>
      </rPr>
      <t xml:space="preserve">Predmet: </t>
    </r>
    <r>
      <rPr>
        <b/>
        <sz val="12"/>
        <rFont val="Arial"/>
        <charset val="238"/>
      </rPr>
      <t>Obavijest o razvrstavanju</t>
    </r>
  </si>
  <si>
    <t>šifra djelatnosti</t>
  </si>
  <si>
    <t>zaposlenih</t>
  </si>
  <si>
    <t>Veličina pravnog lica na osnovu navedenih kriterijuma:</t>
  </si>
  <si>
    <t>Broj protokola</t>
  </si>
  <si>
    <t>Finansijsko-informatička agencija</t>
  </si>
  <si>
    <t>Ložionička 3, 71000 Sarajevo</t>
  </si>
  <si>
    <t>____________________________________</t>
  </si>
  <si>
    <t>M.P.                _______________________</t>
  </si>
  <si>
    <t xml:space="preserve">Odgovorno lice    </t>
  </si>
  <si>
    <t>Usvojene računovodstvene politike</t>
  </si>
  <si>
    <t>Finansijski izvještaji Društva sačinjeni su po načelu istorijskog troška. Računovodstvene politike dosljedno su primjenjivane u svim periodima predstavljenim u ovim finansijskim izvještajima i u skladu su s računovodstvenim politikama korištenim u prethodnoj godini.</t>
  </si>
  <si>
    <t xml:space="preserve">Prihodi od pruženih usluga priznaju se u bilansu uspjeha po stepenu dovršenosti. Stepen dovršenosti mjeri se kao odnos troškova nastalih do datuma bilansa i planiranih ukupnih troškova iz ugovora. </t>
  </si>
  <si>
    <t xml:space="preserve">Prihodi od prodaje iz ostalih aktivnosti priznaju se u bilansu uspjeha, isključujući PDV, u trenutku isporuke proizvoda kupcu, ispostavljena je faktura, koju kupac nije osporio. </t>
  </si>
  <si>
    <t>Iznos prihoda se može pouzdano izmjeriti na osnovu fakture, ugovora ili naplaćenog iznosa. Postoji vjerovatnoća, odnosno potpuna izvjesnost da će ekonomske koristi vezane za transakciju pritjecati u Društvo.</t>
  </si>
  <si>
    <t xml:space="preserve">Prihodi od prodaje ulaganja (stalnih sredstava) utvrđeni su kao razlika između postignute prodajne cijene ulaganja i knjigovodstvene vrijednosti ulaganja (stalnog sredstva) </t>
  </si>
  <si>
    <t>Prihodi od kamata su priznati na osnovu naplaćenog prihoda koji se odnosi na kamate.</t>
  </si>
  <si>
    <t xml:space="preserve">Rashodi su priznati u bilansu uspjeha na osnovu direktne povezanosti između nastalih troškova i specifičnih stavki prihoda, po principu sučeljavanja prihoda i rashoda. Na primjer, sve vrste troškova, odnosno rashoda, koji čine troškove nabavke prodate robe (nabavna vrijednost prodate robe), priznati su istodobno kao i prihodi od prodaje te robe. </t>
  </si>
  <si>
    <t>Priznavanje rashoda vršeno je istodobno i sa priznavanjem povećanja obaveza ili smanjenja sredstava, bez obzira da li su plaćene ili ne. Prema tome, svi rashodi koji su nastali i koji se odnose na obračunski period, priznati su u bilansu uspjeha, bez obzira da li se istovremeno radi i o odlivu gotovine ili ekvivaleta gotovine ili ne. Kamate pozajmljenih sredstava su priznate u iznosu koji se odnosi na iznos uplaćenih sredstava po osnovu kamata.</t>
  </si>
  <si>
    <t>Nematerijalna imovina se početno vodi po trošku ulaganja, te nakandno po trošku ulaganja umanjenom za akumuliranu amortizaciju i gubitke od umanjenja vrijednosti. Amortizacija se obračunava linearnom metodom tokom procjenjenog korisnog vijeka trajanja nematerijalne imovine.</t>
  </si>
  <si>
    <t>Materijalna imovina (nekretnine, postrojenja i oprema) iskazana je po nabavnoj vrijednosti umanjenoj za akumuliranu amortizaciju i umanjenja vrijednosti. Amortizacija se obračunava linearnom metodom tokom procjenjenog korisnog vijeka trajanja.</t>
  </si>
  <si>
    <t>Nabavna vrijednost / cijena koštanja zaliha obuhvata sve troškove nabave, troškove proizvodnje i druge troškove koji su nastali u procesu dovođenja zaliha na sadašnju lokaciju i u sadašnje stanje.</t>
  </si>
  <si>
    <t>Zalihe sirovina i materijale, rezervnih dijelova, sitnog inventara, ambalaže i auto-guma vrednuju se po trošku (nabavnoj vrijednosti).</t>
  </si>
  <si>
    <t>Zalihe gotovih proizvoda u skladištu vrednuju se po cijeni koštanja.</t>
  </si>
  <si>
    <t>Zalihe trgovačke robe u veleprodaji vrednuju se po nabavnoj vrijednosti.</t>
  </si>
  <si>
    <t>Zalihe gorovih proizvoda i trgovačke robe u maloprodaji  vrednuju se po prodanoj vrijednosti (bruto vrijednost), a trošak i neto vrijednost u bilansu stanja ovih zaliha određuje se smanjenjem prodajne vrijednosti za odgovarajući postotak poreza i postotak bruto marže.</t>
  </si>
  <si>
    <t>Iznos i priroda pojedinih stavki prihoda ili rashoda izuzetne veličine ili pojave</t>
  </si>
  <si>
    <t xml:space="preserve">  P R I H O D I</t>
  </si>
  <si>
    <t xml:space="preserve">  R A S H O D I</t>
  </si>
  <si>
    <t>Iznos i priroda pojedinih stavki bilansa stanja izuzetne veličine ili pojave</t>
  </si>
  <si>
    <t>KRATKOROČNA (OBRTNA) IMOVINA</t>
  </si>
  <si>
    <t>Gotovina i ekvivalenti gotovine</t>
  </si>
  <si>
    <t xml:space="preserve">KAPITAL </t>
  </si>
  <si>
    <t>OBAVEZE (ZADUŽENOST)</t>
  </si>
  <si>
    <t>POKAZATELJI ANALIZE FINANSIJSKIH IZVJEŠTAJA</t>
  </si>
  <si>
    <t>Pokazatelji likvidnosti</t>
  </si>
  <si>
    <t>Pokazatelji zaduženosti</t>
  </si>
  <si>
    <t>Pokazatelji vlastitog finansiranja</t>
  </si>
  <si>
    <t>Pokazatelji ekonomičnosti</t>
  </si>
  <si>
    <t>Pokazatelji profitabilnosti</t>
  </si>
  <si>
    <t>Prosječan broj zaposlenih</t>
  </si>
  <si>
    <t>Sumnjiva i sporna potraživanja</t>
  </si>
  <si>
    <t>Šifra djelatnosti po KD BiH 2010</t>
  </si>
  <si>
    <t>1)</t>
  </si>
  <si>
    <t>2)</t>
  </si>
  <si>
    <t>Procjena očekivanog budućeg razvoja</t>
  </si>
  <si>
    <t>INDEKS</t>
  </si>
  <si>
    <t>Iznos KM</t>
  </si>
  <si>
    <t>3/2*100</t>
  </si>
  <si>
    <t>DOBIT (GUBITAK)</t>
  </si>
  <si>
    <t>Društvo za narednu godinu planira rast prihoda za 10%, ukupni rashodi bi trebali sporije rasti, što bi dovelo do povećanja dobiti (smanjenja gubitka)</t>
  </si>
  <si>
    <t>3)</t>
  </si>
  <si>
    <t>Najvažnije aktivnosti u vezi sa istraživanjem i razvojem</t>
  </si>
  <si>
    <t>4)</t>
  </si>
  <si>
    <t xml:space="preserve">Informacije o otkupu vlastitih dionica i udjela </t>
  </si>
  <si>
    <t>5)</t>
  </si>
  <si>
    <t>Informacije o poslovnim segmentima</t>
  </si>
  <si>
    <t>Korišteni finansijski instrumenti od značaja za procjenu finansijskog položaja</t>
  </si>
  <si>
    <t>i uspješnost poslovanja</t>
  </si>
  <si>
    <t>Nisu korišteni finansijski instrumenti od značaja za procjenu finansijskog položaja i uspješnosti poslovanja.</t>
  </si>
  <si>
    <t xml:space="preserve">Ciljevi i politike u vezi sa upravljanjem finansijkim rizicima, zajedno sa politikom zaštite </t>
  </si>
  <si>
    <t>od rizika za svaku planiranu transakciju za koju je neophodna zaštita</t>
  </si>
  <si>
    <t>Nije definisano.</t>
  </si>
  <si>
    <t>Izloženost cjenovnom, kreditnom, tržišnom, valutnom riziku likvidnosti</t>
  </si>
  <si>
    <t>i drugim rizicima prisutnim u poslovanju pravnog lica</t>
  </si>
  <si>
    <t>Upravljanje rizicima u Društvu je usmjereno na nastojanje da se u situaciji nepredvidivosti poslovanje svedu na minimum finansijskih rizika. Tržišni rizik je prisutan i njime se upravlja adekvantnim cjenovnim i drugim politikama. Rizik od promjene deviznih kurseva javlja se u slučaju kad Društvo posluje u međunarodnim okvirima i izloženo je riziku deviznog kursa jer  posluje sa različitim valutama. Društvo nema značajne koncentracije kreditnog rizika. Oprezno upravlja rizikom likvidnosti odžavanjem dovoljnog iznosa gotovine, kao i obezbjeđenje adekvantnih izvora finansiranja.</t>
  </si>
  <si>
    <t>Mjere na zaštiti životne sredine</t>
  </si>
  <si>
    <t>Društvo provodi sve aktivnosti koje su zakonska obaveza u vezi sa zaštitom životne sredine.</t>
  </si>
  <si>
    <t>Prikaz primjenjenih pravila korporativnog upravljanja</t>
  </si>
  <si>
    <t>D I R E K T O R</t>
  </si>
  <si>
    <t>Sjedište i adresa</t>
  </si>
  <si>
    <t>Jedinstveni identifikacioni broj (JIB)</t>
  </si>
  <si>
    <t>ODLUKU O UTVRĐIVANJU FINANSIJSKIH IZVJEŠTAJA</t>
  </si>
  <si>
    <t>Bilans stanja,</t>
  </si>
  <si>
    <t xml:space="preserve">Bilans uspjeha, </t>
  </si>
  <si>
    <t xml:space="preserve">ANEKS - Dodatni rečunovodstveni izvještaj, </t>
  </si>
  <si>
    <t>Posebni podaci o plaćama i broju zaposlenih,</t>
  </si>
  <si>
    <t>Bilješke uz finansijske izvještaje,</t>
  </si>
  <si>
    <t xml:space="preserve">Na osnovu člana 339. Zakona o privrednim društvima („Službene novine Federacije BiH“, br. 81/15) i odredbi </t>
  </si>
  <si>
    <t>Statuta navedenog pravnog lica, a u smislu člana 44. stav 2. Zakona o računovodstvu i reviziji u Federaciji BiH</t>
  </si>
  <si>
    <t>(„Službene novine Federacije BiH“, broj 15/21), direktor donosi</t>
  </si>
  <si>
    <t xml:space="preserve">ODLUKU O PRIJEDLOGU RASPODJELE DOBITI </t>
  </si>
  <si>
    <t xml:space="preserve">Isključivo za potrebe njihove predaje ovlaštenoj instituciji u smislu člana 44. stav 2. Zakona o računovodstvu </t>
  </si>
  <si>
    <t>i reviziji u Federaciji BiH, direktor donosi odluku o prijedlogu raspodjele dobiti za navedeni period, u iznosu</t>
  </si>
  <si>
    <t xml:space="preserve">od </t>
  </si>
  <si>
    <t>u sljedeće namjene:</t>
  </si>
  <si>
    <t>KM za pokriće gubitka iz ranijih godina;</t>
  </si>
  <si>
    <t>KM u rezerve;</t>
  </si>
  <si>
    <t>KM za isplatu vlasnicima;</t>
  </si>
  <si>
    <t>KM kao neraspoređena dobit.</t>
  </si>
  <si>
    <t xml:space="preserve">Konačnu odluku o prijedlogu raspodjele dobiti za navedeni period usvojiće Skupština društva, u skladu sa </t>
  </si>
  <si>
    <t>Zakonom o privrednim društvima i Statutom društva.</t>
  </si>
  <si>
    <t>str. 1 od 1</t>
  </si>
  <si>
    <t>Odgovorno lice svojim potpisom i pečatom pravnog lica potvrđuje da su podaci u elektronskoj i pisanoj formi vjerodostojni i istovjetni.</t>
  </si>
  <si>
    <t>ODLUKU O PRIJEDLOGU ZA POKRIĆE GUBITKA</t>
  </si>
  <si>
    <t>i reviziji u Federaciji BiH, direktor donosi odluku o prijedlogu za pokriće gubitka za navedeni period, u iznosu</t>
  </si>
  <si>
    <t>KM iz neraspoređene dobiti ranijih godina;</t>
  </si>
  <si>
    <t>KM iz rezervi;</t>
  </si>
  <si>
    <t>KM na teret osnovnog kapitala;</t>
  </si>
  <si>
    <t>KM kao nepokriveni gubitak.</t>
  </si>
  <si>
    <t xml:space="preserve">Konačnu odluku o prijedlogu za pokriće gubitka za navedeni period usvojiće Skupština društva, u skladu sa </t>
  </si>
  <si>
    <t>(u BAM)</t>
  </si>
  <si>
    <t>53+550+551+552+553 +554+555+556+559+575</t>
  </si>
  <si>
    <t>640+641+643+644+670 +671+672+673+680+681 +682+683+687+688 +689(dio)-570-571-572 -573-580-581-582-583-587- 588-589(dio)</t>
  </si>
  <si>
    <t>656+657+674+678+684 +686+689(dio)-574-577 -5780-579(dio)-584-586 -589(dio)</t>
  </si>
  <si>
    <t xml:space="preserve">676+685-576-579(dio) -585, </t>
  </si>
  <si>
    <t>679(dio)-543-544-545 -546-547-548-549</t>
  </si>
  <si>
    <t>650+651+652+653+654 +655+659+675+677 +679(dio)+690+691+6743 +6744+6745</t>
  </si>
  <si>
    <t>579(dio)+590+591+5781</t>
  </si>
  <si>
    <t>722+723+724+725</t>
  </si>
  <si>
    <t xml:space="preserve">07+09 </t>
  </si>
  <si>
    <t>10+11+12+13+15</t>
  </si>
  <si>
    <t>21+281</t>
  </si>
  <si>
    <t>22+231+2392 +240+245+247</t>
  </si>
  <si>
    <t>27+28+230+232+233 +235+237+238+2391</t>
  </si>
  <si>
    <t>30-36</t>
  </si>
  <si>
    <t>321+322</t>
  </si>
  <si>
    <t>412+413+414 +415+416+418</t>
  </si>
  <si>
    <t>400+401+402+403 +404+405+406+409(dio)</t>
  </si>
  <si>
    <t>407+408+409(dio) +410+419</t>
  </si>
  <si>
    <t>431+432+433+434+435</t>
  </si>
  <si>
    <t>42+44+460</t>
  </si>
  <si>
    <t>45+47+49+430+437 +439+461+462+463 +464+465+466+467 +468+469+480+482 +483+484+489</t>
  </si>
  <si>
    <t>ANEKS - DODATNI RAČUNOVODSTVENI IZVJEŠTAJ ZA MIKRO PRIVREDNA DRUŠTVA</t>
  </si>
  <si>
    <t>PRIHODI IZ UGOVORA S KUPCIMA (2+6+10)</t>
  </si>
  <si>
    <t>PRIHOD OD PRODAJE ROBE (3+4+5)</t>
  </si>
  <si>
    <t>Prihodi od prodaje povezanim stranama (umanjeno za odobrene popuste i rabate)</t>
  </si>
  <si>
    <t>600, 603 (dio)</t>
  </si>
  <si>
    <t>Prihod od prodaje nepovezanim stranama na domaćem tržištu (umanjeno za odobrene popuste i rabate)</t>
  </si>
  <si>
    <t>601, 603 (dio)</t>
  </si>
  <si>
    <t>Prihodi od prodaje nepovezanim stranama na inostranom tržištu (umanjeno za odobrene popuste i rabate)</t>
  </si>
  <si>
    <t>602, 603 (dio)</t>
  </si>
  <si>
    <t>PRIHOD OD PRODAJE GOTOVIH PROIZVODA (7+8+9)</t>
  </si>
  <si>
    <t>610, 613 (dio)</t>
  </si>
  <si>
    <t>Prihodi od prodaje nepovezanim stranama na domaćem tržištu (umanjeno za odobrene popuste i rabate)</t>
  </si>
  <si>
    <t>611, 613 (dio)</t>
  </si>
  <si>
    <t>612, 613 (dio)</t>
  </si>
  <si>
    <t>PRIHODI OD PRUŽENIH USLUGA (11+12+13)</t>
  </si>
  <si>
    <t>Prihodi od pruženih usluga povezanim stranama (umanjeno za odobrene popuste i rabate)</t>
  </si>
  <si>
    <t>620, 623 (dio)</t>
  </si>
  <si>
    <t>Prihodi od pruženih usluga nepovezanim stranama na domaćem tržištu (umanjeno za odobrene popuste i rabate)</t>
  </si>
  <si>
    <t>621, 623 (dio)</t>
  </si>
  <si>
    <t>Prihod od pruženih usluga nepovezanim stranama na inostranom tržištu (umanjeno za odobrene popuste i rabate)</t>
  </si>
  <si>
    <t>622, 623 (dio)</t>
  </si>
  <si>
    <t>OSTALI PRIHODI I DOBICI (15+18+19+20+21+22+23+24+25+26+27)</t>
  </si>
  <si>
    <t>Prihodi iz budžeta po osnovu subvencija na proizvode 1)</t>
  </si>
  <si>
    <t>Prihodi iz budžeta po osnovu subvencija za ostale namjene 2)</t>
  </si>
  <si>
    <t>Prihodi od tantijema i licenciranih prava</t>
  </si>
  <si>
    <t>660, 661</t>
  </si>
  <si>
    <t>2) Prikazati subvencije koje se mogu iskazati po jedinici proizvoda ili usluge, kao što su subvencije za plaće i naknade, kamatne stope, smanjenje zagađenosti okoline i sl.</t>
  </si>
  <si>
    <t>TROŠKOVI PLAĆA I OSTALIH PRIMANJA ZAPOSLENIH I DRUGIH FIZIČKIH LICA (29+30+31+32+33+35+36+37)</t>
  </si>
  <si>
    <t>TROŠKOVI PROIZVODNIH USLUGA (39 do 47)</t>
  </si>
  <si>
    <t>Troškovi usluga izrade i dorade proizvoida</t>
  </si>
  <si>
    <t>Troškovi reklame i sponzorstava</t>
  </si>
  <si>
    <t>Troškovi razvoja koji se ne kapitalizuju</t>
  </si>
  <si>
    <t>NEMATERIJALNI TROŠKOVI (49 do 56)</t>
  </si>
  <si>
    <t>Troškovi poštanskih i telekomunikacionih usluga</t>
  </si>
  <si>
    <t>Troškovi poreza, naknada, taksi i drugih dažbina na teret pravnog lica</t>
  </si>
  <si>
    <t>TROŠKOVI OPERATIVNOG NAJMA/LIZINGA PO MSFI 16</t>
  </si>
  <si>
    <t>Troškovi amortizacije obračunati za imovinu s pravom korištenja - operativni najam/lizing 4)</t>
  </si>
  <si>
    <t>OSTALI RASHODI I GUBICI (61+62+63+64)</t>
  </si>
  <si>
    <t>560, 561</t>
  </si>
  <si>
    <t>dio 579</t>
  </si>
  <si>
    <t>ULAZNI/IZLAZNI PDV I AKCIZE</t>
  </si>
  <si>
    <t>4) Prikazati troškove amortizacije koji se odnose na imovinu s pravom koprištenja u skladu sa MSFI 16 - Najmovi. Troškovi amortizacije se odnose samo na operativni najam/lizing (kao što su troškovi najamnine nekretnina, opreme, prevoznih sredstava i sl.) isključujući finansijski lizing.</t>
  </si>
  <si>
    <t>7) Prikazati promet grupe 47 izuzev konta 479 (obračunati izlazni PDV za obračunski period).</t>
  </si>
  <si>
    <t>8) Prosječan broj zaposlenih na bazi sati rada utvrđuje se tako da se ukupan broj ostvarenih sati rada u periodu podijeli brojem mogućih sati rada po jednom zaposlenom u tom periodu.</t>
  </si>
  <si>
    <r>
      <rPr>
        <b/>
        <sz val="10"/>
        <rFont val="Arial Narrow"/>
        <charset val="238"/>
      </rPr>
      <t xml:space="preserve">KAPITALIZOVANA PROIZVODNJA ZA VLASTITE POTREBE </t>
    </r>
    <r>
      <rPr>
        <sz val="8"/>
        <rFont val="Arial Narrow"/>
        <charset val="238"/>
      </rPr>
      <t>10)</t>
    </r>
  </si>
  <si>
    <t xml:space="preserve">   a) reklasifikacija na konta aktive</t>
  </si>
  <si>
    <t xml:space="preserve">   b) storniranjem troškova</t>
  </si>
  <si>
    <t xml:space="preserve">   c) preko konta prihoda i i navesti konto</t>
  </si>
  <si>
    <t xml:space="preserve">   d) ostalo - navesti</t>
  </si>
  <si>
    <t>Grupa</t>
  </si>
  <si>
    <t>Stanje u KM</t>
  </si>
  <si>
    <t>ZALIHE</t>
  </si>
  <si>
    <t>dobit</t>
  </si>
  <si>
    <t>Konačnu ODLUKU O PRIJEDLOGU RASPODJELE DOBITI za 2022. godinu usvojiće Skupština TEST d.o.o. CAZIN u skladu sa Zakonom o privrednim društvima i Statutom društva.</t>
  </si>
  <si>
    <t>Naziv pravnog lica:</t>
  </si>
  <si>
    <t>Mjesto:</t>
  </si>
  <si>
    <t>A N A L I Z A</t>
  </si>
  <si>
    <t>FINANSIJSKIH IZVJEŠTAJA</t>
  </si>
  <si>
    <t>CERTIFICIRANI RAČUNOVOĐA</t>
  </si>
  <si>
    <t>1.  BILANS USPJEHA</t>
  </si>
  <si>
    <t>P R I H O D I</t>
  </si>
  <si>
    <t>2/4*100</t>
  </si>
  <si>
    <t>POSLOVNI PRIHODI</t>
  </si>
  <si>
    <t>OSTALI PRIHODI I DOBICI</t>
  </si>
  <si>
    <t>Ukupno prihodi</t>
  </si>
  <si>
    <t>Poslovni</t>
  </si>
  <si>
    <t>Pregled ostvarenih prihoda po strukturi knjiženja u kontnom planu (prvih 5 po veličini)</t>
  </si>
  <si>
    <t xml:space="preserve">Pozicija (konto i AOP i bilansu uspjeha) </t>
  </si>
  <si>
    <t>Grafički prikaz strukture prihoda po veličini u obračunskom periodu</t>
  </si>
  <si>
    <t>Pregled strukture ostvarenih rashoda</t>
  </si>
  <si>
    <t>POSLOVNI RASHODI</t>
  </si>
  <si>
    <t>OSTALI RASHODI I GUBICI</t>
  </si>
  <si>
    <t>Ukupni rashodi</t>
  </si>
  <si>
    <t>Pregled ostvrenih troškova i rashoda po AOP oznakama iz bilansa uspjeha (prvih 10 po veličini)</t>
  </si>
  <si>
    <t>Grafički prikaz strukture rashoda po veličini u obračunskom periodu</t>
  </si>
  <si>
    <t xml:space="preserve">Pozicija (konto i AOP u bilansu stanja) </t>
  </si>
  <si>
    <t>Ostala dugoročna imovina</t>
  </si>
  <si>
    <t>UKUPNO DUGOROČNA IMOVINA</t>
  </si>
  <si>
    <t>Ostala kratkoročna imovina</t>
  </si>
  <si>
    <t>UKUPNO KRATKOROČNA IMOVINA</t>
  </si>
  <si>
    <t>UKUPNO IMOVINA (AKTIVA)</t>
  </si>
  <si>
    <t>KRATKOROČNA IMOVINA</t>
  </si>
  <si>
    <t>Potraživanja od kupaca</t>
  </si>
  <si>
    <t>Kratkoročna finansijska potraživanja</t>
  </si>
  <si>
    <t>Druga kratkoročna potraživanja</t>
  </si>
  <si>
    <t>Gotovina i gotovinski ekvivalenti</t>
  </si>
  <si>
    <t>UKUPNA IMOVINA (AKTIVA)</t>
  </si>
  <si>
    <t>kratkoročna imovina</t>
  </si>
  <si>
    <t>Kratkoročna imovina</t>
  </si>
  <si>
    <t>Kapital</t>
  </si>
  <si>
    <t>Dugor. obaveze</t>
  </si>
  <si>
    <t>Kratkor.  obaveze</t>
  </si>
  <si>
    <t>PROSJEČNA</t>
  </si>
  <si>
    <t>kf</t>
  </si>
  <si>
    <t>TEKUĆA SREDSTVA</t>
  </si>
  <si>
    <t>obrtaja</t>
  </si>
  <si>
    <t>vezivanja</t>
  </si>
  <si>
    <t>PROSJEČNO KORIŠTENA TEKUĆA SREDSTVA</t>
  </si>
  <si>
    <t xml:space="preserve">Pozicija </t>
  </si>
  <si>
    <t>Porosječno korištena tekuća sredstva</t>
  </si>
  <si>
    <t>Rezervisanja, razgraničenja i ost.</t>
  </si>
  <si>
    <t>UKUPNA PASIVA</t>
  </si>
  <si>
    <t>Vl.kapital</t>
  </si>
  <si>
    <t>Dug.obav.</t>
  </si>
  <si>
    <t>Kratk. obav.</t>
  </si>
  <si>
    <t>Dug. obav.</t>
  </si>
  <si>
    <t>Kratk.obav.</t>
  </si>
  <si>
    <t>REZERVISANJA + RAZGRANIČENJA</t>
  </si>
  <si>
    <t>UKUPNO PASIVA</t>
  </si>
  <si>
    <t>3. POKAZATELJI ANALIZE FINANSIJSKIH IZVJEŠTAJA</t>
  </si>
  <si>
    <t>Stopa TEKUĆE likvidnosti =</t>
  </si>
  <si>
    <t>X 100 =</t>
  </si>
  <si>
    <t>kratkoročne obaveze</t>
  </si>
  <si>
    <t>Smatra se da je omjer tekućih sredstava i kratkoročnih obaveza od 2:1 ili 200% optimalan za većinu preduzeća. Ako preduzeće ima brz obrt zaliha i može naplatiti svoju realizaciju bez problema, ovaj odnos može biti i niži, ali nikako ne bi trebao biti  ispod 1:1 ili 100%. Pokazatelj je bolji ako je procenat veći od 100 i ima tendenciju povećanja.</t>
  </si>
  <si>
    <t>Stopa UBRZANE likvidnosti =</t>
  </si>
  <si>
    <t>novac + potraživanja</t>
  </si>
  <si>
    <t>Ovaj pokazatelj bi trebao iznositi minimalno 100% ili više, odnosno kratkoročne obaveze ne bi smjele biti veće od zbira novca i potraživanja. Mogući su izuzetci, ovisno o djelatnosti. Ovaj pokazatelj uglavnom koriste banke i drugi kreditori, a služi kao upozorenje na opasnost da dužnik neće moći izmiriti svoje obaveze u roku dospjeća. Pokazatelj je bolji ako je procenat veći od 100 i ima tendenciju povećanja.</t>
  </si>
  <si>
    <t>Stopa TRENUTNE likvidnosti =</t>
  </si>
  <si>
    <t>novac</t>
  </si>
  <si>
    <t>Pokazatelj trenutne likvidnosti je omjer trenutno raspoloživih novčanih sredstava i ukupnih tekućih obveza. Pokazatelj je bolji ako je procenat veći i ima tendenciju povećanja.</t>
  </si>
  <si>
    <t>Stopa finansijske stabilnosti =</t>
  </si>
  <si>
    <t>dugoročna imovina</t>
  </si>
  <si>
    <t>kapital + dugoročne obaveze</t>
  </si>
  <si>
    <t>Ovaj pokazatelj bi trebao iznositi maksimalno 100% ili manje od 100%. Smanjenje ovog pokazatelja je pozitivna tendencija, jer znači da se dio tekuće imovine finansira iz dugoročnih izvora čime se stvaraju pretpostavke za finansijsku stabilnost preduzeća.</t>
  </si>
  <si>
    <t>Stopa zaduženosti =</t>
  </si>
  <si>
    <t>ukupne obaveze</t>
  </si>
  <si>
    <t xml:space="preserve">ukupna imovina </t>
  </si>
  <si>
    <t>Pokazatelj zaduženosti pokazuje do koje mjere se koristi zaduživanje kao oblik finansiranja, odnosno koji je procenat imovine nabavljen tuđim sredstvima odnosno zaduživanjem. Što je veći omjer duga i imovine, veći je financijski rizik, a što je manji, niži je financijski rizik. U pravilu stopa zaduženosti bi trebala biti manja od 50%, ili maksimalno 50%. Pokazatelj je bolji ako je stopa manja i ima tendenciju smanjenja.</t>
  </si>
  <si>
    <t>Stopa vlastitog finansiranja =</t>
  </si>
  <si>
    <t>glavnica (kapital)</t>
  </si>
  <si>
    <t>Stopa vlastitog finansiranja govori kojim omjerom vlastito finansiranje učestvuje u poslovanju. Pokazatelj je bolji što je stopa veća od 50% i da ima tendenciju povećanja, jer to znači da se finansiranje vrši vlastitim izvorima više od 50% i ima pozitivnu tendenciju.</t>
  </si>
  <si>
    <t>Stopa pokrića I</t>
  </si>
  <si>
    <t xml:space="preserve"> =</t>
  </si>
  <si>
    <t>Zlatno baknarsko pravilo</t>
  </si>
  <si>
    <t xml:space="preserve">dugoročna imovina </t>
  </si>
  <si>
    <t>Stopa pokrića I - Zlatno bankarsko pravilo nalaže ročnu usklađenost dijelova aktive i pasive, odnosno zahtjeva finansiranje stalne imovine iz vlastitih izvora. Pokazatelj je bolji ako je procenat veći i ima tendenciju povećanja.</t>
  </si>
  <si>
    <t>Stopa pokrića II</t>
  </si>
  <si>
    <t>glavnica (kapital) + dugoročne obaveze</t>
  </si>
  <si>
    <t>Zlatno bilansno pravilo</t>
  </si>
  <si>
    <t>Stopa pokrića II - Zlatno bilansno pravilo nalaže ročnu usklađenost dijelova aktive i pasive, odnosno zahtjeva finansiranje stalne imovine iz dugoročnih izvora. Vrijednost ovog pokazatelja ne bi trebala biti manja od 100%. Pokazatelj je bolji ako je procenat veći i ima tendenciju povećanja.</t>
  </si>
  <si>
    <r>
      <rPr>
        <vertAlign val="superscript"/>
        <sz val="16"/>
        <rFont val="Arial"/>
        <charset val="238"/>
      </rPr>
      <t xml:space="preserve">Stopa </t>
    </r>
    <r>
      <rPr>
        <b/>
        <vertAlign val="superscript"/>
        <sz val="16"/>
        <rFont val="Arial"/>
        <charset val="238"/>
      </rPr>
      <t>ekonomičnosti</t>
    </r>
    <r>
      <rPr>
        <vertAlign val="superscript"/>
        <sz val="16"/>
        <rFont val="Arial"/>
        <charset val="238"/>
      </rPr>
      <t xml:space="preserve"> =</t>
    </r>
  </si>
  <si>
    <t>ukupan prihod</t>
  </si>
  <si>
    <t>ukupni rashodi</t>
  </si>
  <si>
    <t xml:space="preserve">Pokazatelji ekonomičnosti mjere odnos prihoda i rashoda i pokazuju koliko se prihoda ostvari po jedinici rashoda. U pravilu stopa ekonomičnosti bi trebala biti veća od 100%, odnosno što je veća, to se više prihoda ostvari po jedinici rashoda. Pokazatelj je bolji ako je stopa veća i ima tendenciju povećanja. </t>
  </si>
  <si>
    <r>
      <rPr>
        <vertAlign val="superscript"/>
        <sz val="16"/>
        <rFont val="Arial"/>
        <charset val="238"/>
      </rPr>
      <t xml:space="preserve">Stopa </t>
    </r>
    <r>
      <rPr>
        <b/>
        <vertAlign val="superscript"/>
        <sz val="16"/>
        <rFont val="Arial"/>
        <charset val="238"/>
      </rPr>
      <t>ekonomičnosti</t>
    </r>
    <r>
      <rPr>
        <vertAlign val="superscript"/>
        <sz val="16"/>
        <rFont val="Arial"/>
        <charset val="238"/>
      </rPr>
      <t xml:space="preserve"> prodaje =</t>
    </r>
  </si>
  <si>
    <t>poslovni prihodi</t>
  </si>
  <si>
    <t>poslovni rashodi</t>
  </si>
  <si>
    <t xml:space="preserve">Pokazatelj ekonomičnosti prodaje mjeri odnos poslovnih prihoda i poslovnih rashoda i pokazuju koliko se prihoda ostvari po jedinici rashoda. U pravilu stopa ekonomičnosti bi trebala biti veća od 100%, odnosno što je veća, to se više prihoda ostvari po jedinici rashoda. Pokazatelj je bolji ako je stopa veća i ima tendenciju povećanja. </t>
  </si>
  <si>
    <r>
      <rPr>
        <b/>
        <vertAlign val="superscript"/>
        <sz val="16"/>
        <rFont val="Arial"/>
        <charset val="238"/>
      </rPr>
      <t>Bruto marža profita (gubitka)</t>
    </r>
    <r>
      <rPr>
        <vertAlign val="superscript"/>
        <sz val="16"/>
        <rFont val="Arial"/>
        <charset val="238"/>
      </rPr>
      <t xml:space="preserve"> =</t>
    </r>
  </si>
  <si>
    <t>bruto dobit (gubitak)</t>
  </si>
  <si>
    <t>Bruto marža profita (gubitka) stavlja u odnos bruto dobit ili gubitak s ukupnim prihodom.  Pokazatelj je bolji ako je stopa veća i ima tendenciju povećanja. U slučaju gubitka stopa je negativna.</t>
  </si>
  <si>
    <t>Razlika</t>
  </si>
  <si>
    <t>(1).</t>
  </si>
  <si>
    <t>(2).</t>
  </si>
  <si>
    <t>(2). - (1).</t>
  </si>
  <si>
    <t>2. PODACI O NOVČANIM TOKOVIMA</t>
  </si>
  <si>
    <t>2.1. Novčani tok iz poslovne aktivnosti - NPA</t>
  </si>
  <si>
    <t>2.2. Novčani tok iz investicione aktivnosti - NIA</t>
  </si>
  <si>
    <t>2.3. Novčani tok iz finansijskih aktivnosti - NFA</t>
  </si>
  <si>
    <t>2.4. NIA + NFA</t>
  </si>
  <si>
    <t>3.1. Naziv proizvodne opreme</t>
  </si>
  <si>
    <t>3.2. Nabavna vrijednost</t>
  </si>
  <si>
    <t>3.3. Naziv dobavljača</t>
  </si>
  <si>
    <t>3.4. Broj fakture/ugovora</t>
  </si>
  <si>
    <t>3.4. Datum plaćanja</t>
  </si>
  <si>
    <t>Pod materijalnom i kaznenom odgovornošću izjavljujem da je ovaj obrazac sačinjen na osnovu mog poznavanja i vjerovanja da je istinito, tačno i sveobuhvatno</t>
  </si>
  <si>
    <t>Izjava trećeg lica (osim poreznog obveznika) se zasniva na svim informacijama koje su mu prezentirane i poznate u momentu sačinjavanja ovog obrasca.</t>
  </si>
  <si>
    <t>1.2. Godina investiranja</t>
  </si>
  <si>
    <t>3. PODACI O NOVČANIM TOKOVIMA</t>
  </si>
  <si>
    <t>3.1. Novčani tok iz poslovne aktivnosti - NPA</t>
  </si>
  <si>
    <t>3.2. Novčani tok iz investicione aktivnosti - NIA</t>
  </si>
  <si>
    <t>3.3. Novčani tok iz finansijskih aktivnosti - NFA</t>
  </si>
  <si>
    <t>3.4. NIA + NFA</t>
  </si>
  <si>
    <t>4.1. Naziv proizvodne opreme</t>
  </si>
  <si>
    <t>4.2. Nabavna vrijednost</t>
  </si>
  <si>
    <t>4.3. Naziv dobavljača</t>
  </si>
  <si>
    <t>4.4. Broj fakture/ugovora</t>
  </si>
  <si>
    <t>4.4. Datum plaćanja</t>
  </si>
  <si>
    <t>Obrazac PP-808</t>
  </si>
  <si>
    <t>PLAN INVESTIRANJA</t>
  </si>
  <si>
    <t>1. Podaci o investicijama (cilj i svrha)</t>
  </si>
  <si>
    <t>2. Podaci o izvorima finansiranja</t>
  </si>
  <si>
    <t>3. Plan investicija</t>
  </si>
  <si>
    <t>Godina ulaganja</t>
  </si>
  <si>
    <t>Planirani iznos ulaganja u KM</t>
  </si>
  <si>
    <t>II.</t>
  </si>
  <si>
    <t>III.</t>
  </si>
  <si>
    <t>IV.</t>
  </si>
  <si>
    <t>V.</t>
  </si>
  <si>
    <t>Pod materijalnom i kaznenom odgovornošću izjavljujem da je ovaj obrazac sačinjen na osnovuu mog poznavanja i vjerovanja da je istinito, tačno i sveobuhvatno</t>
  </si>
  <si>
    <t>Broj:</t>
  </si>
  <si>
    <t>FEDERALNO MINISTARSTVO FINANCIJA</t>
  </si>
  <si>
    <t>FEDERALNO MINISTARSTVO FINANSIJA</t>
  </si>
  <si>
    <t>Porezna uprava Federacije BiH</t>
  </si>
  <si>
    <t>Ispostava Porezne uprave</t>
  </si>
  <si>
    <t xml:space="preserve">Predmet:  </t>
  </si>
  <si>
    <t>poreza na dobit za naredni period.</t>
  </si>
  <si>
    <t xml:space="preserve">u skladu sa članom 53. stav 3. Zakona o porezu na dobit ("Službene novine FBiH“, br. 15/16), </t>
  </si>
  <si>
    <t>uračunati u akontacije poreza na dobit za naredni period.</t>
  </si>
  <si>
    <t>S poštovanjem!</t>
  </si>
  <si>
    <t>D i r e k t o r:</t>
  </si>
  <si>
    <t xml:space="preserve">Korišteći pravo iz člana 53.stav 3. Zakona o porezu na dobit ("Sl.novine FBiH", broj 15/16), </t>
  </si>
  <si>
    <t xml:space="preserve">Ekonomikak d.o.o. Cazin, Trg zlatnih ljiljana bb, (u daljem tekstu: Izvršitelj); ID: 4263000530005, kog zastupa direktor Hamulić Senad, i </t>
  </si>
  <si>
    <t>UGOVOR</t>
  </si>
  <si>
    <t>o pružanju računovodstvenih i knjigovodstvenih usluga</t>
  </si>
  <si>
    <t>Član 1.</t>
  </si>
  <si>
    <t>Ovim ugovorom regulišu se međusobna prava i obaveze, a u vezi obavljanja računovodstvenih i knjigovodstvenih usluga između Naručitelja i Izvršitelja, sve u skladu sa Zakonom o računovodstvu i reviziji u FBiH, Zakona o porezu na dodanu vrijednost, Zakona o porezu na dobit, Zakona o porezu na dohodak i drugim propisima koji uređuju računovodstveno i finansijsko poslovanje u BiH, kao i pravilima struke na području rada definiranog odredbama ovog Ugovora.</t>
  </si>
  <si>
    <t>OBAVEZE IZVRŠITELJA I CIJENA USLUGA</t>
  </si>
  <si>
    <t>Član 2.</t>
  </si>
  <si>
    <t>Izvršitelj se na osnovu ovog Ugovora obavezuje za Naručitelja obavljati sljedeće poslove:</t>
  </si>
  <si>
    <t>1. Finansijeko knjigovodstvo, vođenje poslovnih knjiga prema Zakonu o računovodstvu i reviziji u FBiH:</t>
  </si>
  <si>
    <t xml:space="preserve">     - Glavna knjiga;</t>
  </si>
  <si>
    <t xml:space="preserve">     - Dnevnik knjiženja;</t>
  </si>
  <si>
    <t xml:space="preserve">     - Pomoćne knjige;</t>
  </si>
  <si>
    <t xml:space="preserve">     - Dnevnik blagajne;</t>
  </si>
  <si>
    <t xml:space="preserve">     - Analitička evidencija kupaca i dobavljača;</t>
  </si>
  <si>
    <t xml:space="preserve">     - Analitička evidencija dugotrajne imovine (osnovnih sredstava);</t>
  </si>
  <si>
    <t xml:space="preserve">     - Obračun amortizacije osnovnih sredstava.;</t>
  </si>
  <si>
    <t xml:space="preserve">     - Izrada izvoda otvorenih stavki (IOS);</t>
  </si>
  <si>
    <t xml:space="preserve">     - Obračun putnih naloga (dnevnica, troškova prijevoza i sl.);</t>
  </si>
  <si>
    <t xml:space="preserve">     - Sastavljanje mjesečnih, periodičnih ili povremenih izvještaja o rezultatima poslovanja;</t>
  </si>
  <si>
    <t xml:space="preserve">     - Mjesečno izvještavanje o stanju analitičkih evidencija kupaca i dobavljača na kraju mjeseca;</t>
  </si>
  <si>
    <t xml:space="preserve">     - Izrada naloga za polog pazara i plaćanje obaveza sa računa u banci;</t>
  </si>
  <si>
    <t xml:space="preserve">     - Prijem i evidencija ulaznih računa za troškove, robu, materijale, sitan inventa i osnovna sredstva;</t>
  </si>
  <si>
    <t xml:space="preserve">     - Praćenje zaliha materijala i roba u skladištima.</t>
  </si>
  <si>
    <t xml:space="preserve">     - Obrada i evidencija internih prijemnica i prenosnica unutar oraganizacionih jedinica;</t>
  </si>
  <si>
    <t xml:space="preserve">     - Obrada i evidencija dokumenata za obračun proizvodnje;</t>
  </si>
  <si>
    <t xml:space="preserve">     - Priprema i izrada mjesečne PDV prijave;</t>
  </si>
  <si>
    <t xml:space="preserve">     - Evidentiranje dokumenata u knjigu ulaznih računa - KUF; </t>
  </si>
  <si>
    <t xml:space="preserve">     - Evidentiranje dokumenata u knjigu izlaznih računa - KIF; </t>
  </si>
  <si>
    <t xml:space="preserve">     - Izrada elektronske knjige ulaznih računa u CSV formatu te prijava iste na portalu e-PDV;</t>
  </si>
  <si>
    <t xml:space="preserve">     - Izrada elektronske knjige izlaznih računa u CSV formatu te prijava iste na portalu e-PDV.</t>
  </si>
  <si>
    <t xml:space="preserve"> -Cijena će se uskađivati kvartalno izradom kalkulacije broja obrađenih dokumenata (broj izvoda Ž-R, broj računa u KUF-u i KIF-u, broj internih prijemnica i prenosnica, blagajničkih uplata i isplata, putni naloga, broja stranica svih konto kartica iz glavne knjige i drugo),  a koja ne može biti manja od 100,00 KM + PDV za mjesec..</t>
  </si>
  <si>
    <t>2. Personalna evidencija zaposlenika:</t>
  </si>
  <si>
    <t xml:space="preserve">     - Prijava i odjeva zaposlenika u jedinstveni registar, uz izradu odgovarajućih ugovora o radu i drugih odluka i akata potrebnih za realizaciju istog. Izrada zahtjeva za poreznu karticu zaposlenika. Vođenje knjige evidencije uposlenih i otvaranje personalne mape za ulaganje personalnih dokumenata i slično.</t>
  </si>
  <si>
    <t xml:space="preserve">Cijena 20,00 KM + PDV po prijavi ili odjavi zaposlenika. </t>
  </si>
  <si>
    <t>3. Obračun plaća:</t>
  </si>
  <si>
    <t xml:space="preserve">     - Izrada obračuna plaća i naknada;</t>
  </si>
  <si>
    <t xml:space="preserve">     - Izrada isplatnih lista;</t>
  </si>
  <si>
    <t xml:space="preserve">     - Izrada naloga za isplatu plaća, uplatu poreza i doprinosa;</t>
  </si>
  <si>
    <t xml:space="preserve">     - Izrada obrasca Specifikacije uz isplatu plaća;</t>
  </si>
  <si>
    <t xml:space="preserve">     - Izrada mjesečnih i godišnjeg izvještaja o plaćanim doprinosima;</t>
  </si>
  <si>
    <t xml:space="preserve">     - Izrada godišnje prijave poreza na dohodak po osnovu radnog odnosa zaposlenika;</t>
  </si>
  <si>
    <t>Cijena do 10 zaposlenika 11,00 KM+PDV po zaposleniku, preko 10 zaposlenika 6,00 + PDV mjesečno po zaposleniku.</t>
  </si>
  <si>
    <t xml:space="preserve">Minimalno 30,00 KM za mjesec. </t>
  </si>
  <si>
    <t>4. Obračun poreza i doprinosa po ugovoru o djelu i ugovoru o privremenim i povremenim poslovima:</t>
  </si>
  <si>
    <t xml:space="preserve">Cijena 30,00 KM + PDV po prijavi i obračunu. </t>
  </si>
  <si>
    <t>5. Sastavljanje godišnjih i polugodišnjih financijskih izvještaja, prijave poreza na dobit i dohodak, te izrada posebnih finansijskih izvještaja, koji se prezentuju uz godišnje i polugodišnje izvještaje prema zahtjevu Federalnog zavoda za statistiku.</t>
  </si>
  <si>
    <t xml:space="preserve">  -Izrada godišnjih finansijskih izvještaja, sa prijavom poreza na dobit: 200,00 KM + PDV;</t>
  </si>
  <si>
    <t xml:space="preserve">       -Izrada polugodišnjih finansijskih izvještaja:  150,00 KM + PDV;</t>
  </si>
  <si>
    <t xml:space="preserve">       -Izrada periodičnih finansijskih izvještaja za potrebe banaka i drugih institucija:  100,00 KM + PDV.</t>
  </si>
  <si>
    <t>Ako bi Naručitelj usluga zahtjevao od Izvršitelja obavljanje i dodatnih poslova koji nisu navedeni u ovom Ugovoru, ugovorne strane će naknadno dodatkom ovog Ugovora ugovoriti obavljanje tih poslova kao i njihovu naknadu.</t>
  </si>
  <si>
    <t>Član 3.</t>
  </si>
  <si>
    <t>Izvršitelj obavlja ugovorene poslove u svojim poslovnim prostorijama u uobičajeno radno vrijeme.</t>
  </si>
  <si>
    <t>Član 4.</t>
  </si>
  <si>
    <t>Izvršitelj se obavezuje primljenu dokumentaciju čuvati s pažnjom i odlagati na uobičajen način u toku i nakon računovodstvene obrade. Izvršitelj će poslovnu dokumentaciju koja se odnosi na jednu poslovnu godinu predati Naručitelju najkasnije 30 dana nakon izrade godišnjih finansijskih izvještaja ili nakon prestanka ovog Ugovora.</t>
  </si>
  <si>
    <t>Za čuvanje poslovne dokumentacije Naručitelja nakon navedenog roka Izvršitelj ima pravo na dodatnu naknadu.</t>
  </si>
  <si>
    <t>OBAVEZE NARUČITELJA</t>
  </si>
  <si>
    <t>Član 5.</t>
  </si>
  <si>
    <t xml:space="preserve">Naručilac se obavezuje pravovremeno dostavljati potpunu, ispravnu, urednu, istinitu i vjerodostojnu dokumentaciju koja je potrebna za obavljanje poslova iz ovog Ugovora. Dokumentacija treba biti složena po vrstama i ovjerena. </t>
  </si>
  <si>
    <t>Član 6.</t>
  </si>
  <si>
    <t>Izvršenje svih plaćanja, uključujući porezne i druge obaveze, te određivanje njihovog prioriteta određuje Naručitelj.</t>
  </si>
  <si>
    <t>ROKOVI I NAČIN PLAĆANJA</t>
  </si>
  <si>
    <t>Član 7.</t>
  </si>
  <si>
    <t>Naknada se plaća za protekli mjesec, u roku od 8 (osam) dana od prijema računa izvršitelja, najkasnije do 15-og u mjesecu za prethodni mjesec.</t>
  </si>
  <si>
    <t>TRAJANJE I PRESTANAK UGOVORA</t>
  </si>
  <si>
    <t>Član 8.</t>
  </si>
  <si>
    <t>Ovaj Ugovor se skiapa na neodređeno vrijeme.</t>
  </si>
  <si>
    <t>Svaka ugovorna strana može otkazati ovaj Ugovr ne navodeći pri tome posebne razloge, uz otkazni rok od 30 (trideset) dana računajući od dana primitka pismene izjave o otkazu.</t>
  </si>
  <si>
    <t>ZAVRŠNE ODREDBE</t>
  </si>
  <si>
    <t>Član 9.</t>
  </si>
  <si>
    <t>Izmjene i dopune ovog Ugovora nemaju valjanost ako nisu sastavljene u pismenom obliku.</t>
  </si>
  <si>
    <t>Član 10.</t>
  </si>
  <si>
    <t>Ugovorne strane će eventualne sporuve pokušati riješiti sporazumno, u protivnom ugovaraju nadležnost suda prema sjedištu Izvršitelja usluga.</t>
  </si>
  <si>
    <t>Član 11.</t>
  </si>
  <si>
    <t>Izvršitelj:                                                                                           Naručitelj:</t>
  </si>
  <si>
    <t>(memorandum podnosioca zahtjeva)</t>
  </si>
  <si>
    <t>ID i PDV broj pravnog lica</t>
  </si>
  <si>
    <t>Adresa i sjedište pravnog lica</t>
  </si>
  <si>
    <t>Br. transakcionog računa i naziv banke na koji se uplaćuje povrat</t>
  </si>
  <si>
    <t>Ime i prezime kontakt-osobe, broj telefona i e-mail adresa</t>
  </si>
  <si>
    <t>ZAHTJEV ZA POVRAT VIŠE UPLAĆENIH SREDSTAVA</t>
  </si>
  <si>
    <t xml:space="preserve">Dana </t>
  </si>
  <si>
    <t>00.00.2023</t>
  </si>
  <si>
    <t>godine smo greškom uplatili na vaš transakcijski račun iznos od</t>
  </si>
  <si>
    <t>KM, a faktura je glasila na iznos od</t>
  </si>
  <si>
    <t>KM.</t>
  </si>
  <si>
    <t>Molimo da izvršite povrat uplaćenih sredstava na gore navedeni transakcijski račun.</t>
  </si>
  <si>
    <t>Uz zahtjev prilažemo:</t>
  </si>
  <si>
    <r>
      <rPr>
        <sz val="11"/>
        <rFont val="Symbol"/>
        <charset val="2"/>
      </rPr>
      <t>·</t>
    </r>
    <r>
      <rPr>
        <sz val="7"/>
        <rFont val="Times New Roman"/>
        <charset val="238"/>
      </rPr>
      <t xml:space="preserve">         </t>
    </r>
    <r>
      <rPr>
        <sz val="11"/>
        <rFont val="Arial"/>
        <charset val="238"/>
      </rPr>
      <t>kopiju uplatnice</t>
    </r>
  </si>
  <si>
    <r>
      <rPr>
        <sz val="11"/>
        <rFont val="Symbol"/>
        <charset val="2"/>
      </rPr>
      <t>·</t>
    </r>
    <r>
      <rPr>
        <sz val="7"/>
        <rFont val="Times New Roman"/>
        <charset val="238"/>
      </rPr>
      <t xml:space="preserve">         </t>
    </r>
    <r>
      <rPr>
        <sz val="11"/>
        <rFont val="Arial"/>
        <charset val="238"/>
      </rPr>
      <t>kopiju fakture.</t>
    </r>
  </si>
  <si>
    <t xml:space="preserve">Mjesto i datum </t>
  </si>
  <si>
    <t>Potpis ovlaštenog lica</t>
  </si>
  <si>
    <t>Zahtjev je moguće dostaviti:</t>
  </si>
  <si>
    <t>1.    skeniran s prilozima putem e-maila (info@fia.ba);</t>
  </si>
  <si>
    <t>2.    putem pošte;</t>
  </si>
  <si>
    <t>3.    lično na adresu (Ložionička 3, 71000 Sarajevo).</t>
  </si>
  <si>
    <t>Ložionička 3, 71000 Sarajevo; tel.+387 33 255200, fax +387 33 255206; info@fia.ba;  www.fia.ba</t>
  </si>
  <si>
    <t>Oznaka: OB-23 QMS FIA   Izdanje: 01   Datum odobrenja: 14.11.2019.</t>
  </si>
  <si>
    <t>Obrazac PPL - D</t>
  </si>
  <si>
    <t xml:space="preserve">IDENTIFIKACIONI BROJ </t>
  </si>
  <si>
    <t>SKRAĆENI NAZIV POSLOVNOG SUBJEKTA</t>
  </si>
  <si>
    <t>SJEDIŠTE (općina, ulica i kućni broj)</t>
  </si>
  <si>
    <t>PRIJAVA ZA PROMJENU PRETEŽNE (GLAVNE) DJELATNOSTI</t>
  </si>
  <si>
    <r>
      <rPr>
        <sz val="12"/>
        <rFont val="Arial CE"/>
        <charset val="238"/>
      </rPr>
      <t>FINANSIJSKI POKAZATELJI POSLOVANJA</t>
    </r>
    <r>
      <rPr>
        <vertAlign val="superscript"/>
        <sz val="12"/>
        <rFont val="Arial CE"/>
        <charset val="238"/>
      </rPr>
      <t>1)</t>
    </r>
    <r>
      <rPr>
        <sz val="12"/>
        <rFont val="Arial CE"/>
        <charset val="238"/>
      </rPr>
      <t xml:space="preserve"> ZA PRETHODNU KALENDARSKU GODINU PREMA</t>
    </r>
  </si>
  <si>
    <r>
      <rPr>
        <sz val="11"/>
        <rFont val="Arial CE"/>
        <charset val="238"/>
      </rPr>
      <t xml:space="preserve">Šifra       djelatnosti      prema      KD </t>
    </r>
    <r>
      <rPr>
        <vertAlign val="superscript"/>
        <sz val="11"/>
        <rFont val="Arial CE"/>
        <charset val="238"/>
      </rPr>
      <t>2)</t>
    </r>
  </si>
  <si>
    <t>Broj       zaposlenih</t>
  </si>
  <si>
    <t>Podaci o finansijskim pokazateljima poslovanja po djelatnostima u hiljadama KM</t>
  </si>
  <si>
    <t>Bruto plaće</t>
  </si>
  <si>
    <t>Materijalna imovina po sadašnjoj vrijednosti</t>
  </si>
  <si>
    <t>Investicije u materijalnu imovinu</t>
  </si>
  <si>
    <t>Poslovni prihod</t>
  </si>
  <si>
    <t>Materijalni i nematerijalni troškovi i troškovi usluga</t>
  </si>
  <si>
    <r>
      <rPr>
        <sz val="11"/>
        <rFont val="Arial CE"/>
        <charset val="238"/>
      </rPr>
      <t>Dodana vrijednost</t>
    </r>
    <r>
      <rPr>
        <vertAlign val="superscript"/>
        <sz val="11"/>
        <rFont val="Arial CE"/>
        <charset val="238"/>
      </rPr>
      <t xml:space="preserve">                    </t>
    </r>
    <r>
      <rPr>
        <sz val="11"/>
        <rFont val="Arial CE"/>
        <charset val="238"/>
      </rPr>
      <t>8 = 5 - (6+7)</t>
    </r>
  </si>
  <si>
    <t xml:space="preserve">                     1)</t>
  </si>
  <si>
    <t>Podaci se daju prema finansijskim pokazateljima godišnjeg poslovanja poslovnog subjekta prema šiframa djelatnosti</t>
  </si>
  <si>
    <t>koje je obavljao ( važeći zakon o računavodstvu).</t>
  </si>
  <si>
    <t>Šifra djelatnosti prema Zakonu o klasifikaciji djelatnosti u FBiH ("Službene novine FBiH", br.64/07 i 80/11).</t>
  </si>
  <si>
    <t xml:space="preserve">                      3)</t>
  </si>
  <si>
    <t>Dodana vrijednost je razlika između poslovnog prihoda (kolona 5) i zbira nabavne vrijednosti prodane robe,</t>
  </si>
  <si>
    <t xml:space="preserve">                      </t>
  </si>
  <si>
    <t>materijalnih i nematerijalnih troškova i troškova usluga (kolone 6 + 7).</t>
  </si>
  <si>
    <t xml:space="preserve">DATUM </t>
  </si>
  <si>
    <t>.godine</t>
  </si>
  <si>
    <t>PODACI O ODGOVORNOM LICU ZA UNESENE PODATKE</t>
  </si>
  <si>
    <t>ODLUKA</t>
  </si>
  <si>
    <t>o primjeni Međunarodnog standarda finansijskog izvještavanja</t>
  </si>
  <si>
    <t>za male i srednje subjekte</t>
  </si>
  <si>
    <t>(MSFI za MSS)</t>
  </si>
  <si>
    <t>Donosi se odluka da se za potrebe službenog finansijskog izvještavanja te vođenja poslovnih knjiga primjenjuje MSFI za MSS, sa svim pratećim smjernicama i uputama koje izdaje Odbor za međunarodne računovodstvene standarde.</t>
  </si>
  <si>
    <t/>
  </si>
  <si>
    <t>Početkom primjene MSFI za MSS, prestaje se s primjenom potpunih MSFI/MRS.</t>
  </si>
  <si>
    <t>Za izvršenje ove Odluke zadužuje se finansijsko računovodstvena služba društva.</t>
  </si>
  <si>
    <t>Ova odluka stupa na snagu danom donošenja sa primjenom od 01.01.2019. godine.</t>
  </si>
  <si>
    <t>OBRAZAC P-GKF BIH</t>
  </si>
  <si>
    <t>M j e s t o</t>
  </si>
  <si>
    <t>PRILOG UZ POLUGODIŠNJI I GODIŠNJI OBRAČUN</t>
  </si>
  <si>
    <t xml:space="preserve">Šifra djelatnosti </t>
  </si>
  <si>
    <t>Broj žiro-računa</t>
  </si>
  <si>
    <t>OBRAČUN ČLANARINE KOMORSKOM SISTEMU</t>
  </si>
  <si>
    <t>O P I S</t>
  </si>
  <si>
    <t xml:space="preserve">Stopa </t>
  </si>
  <si>
    <t xml:space="preserve">Obračunata </t>
  </si>
  <si>
    <t>Uplaćena</t>
  </si>
  <si>
    <t>članarine</t>
  </si>
  <si>
    <t>članarina</t>
  </si>
  <si>
    <t>A) OSNOVICA ZA OBRAČUN ČLANARINE</t>
  </si>
  <si>
    <t>B) NAJNIŽI IZNOS ZA UPLATU</t>
  </si>
  <si>
    <t>(Ako osnovicu pomnožena sa stopom daje iznos manji od</t>
  </si>
  <si>
    <t>naznačenog u Odluci o članarini komorama uplaćuje se):</t>
  </si>
  <si>
    <t>KM/mjes</t>
  </si>
  <si>
    <t>Članarina Privrednoj (Gospodarskoj) komori kantona</t>
  </si>
  <si>
    <t>C) OPŠTA UDRUŽENJA - KOLEKTIVNI ČLANOVI</t>
  </si>
  <si>
    <t xml:space="preserve">Osnovica za obračun članarine je naplaćena članarina od </t>
  </si>
  <si>
    <t xml:space="preserve">članova udruženja </t>
  </si>
  <si>
    <t>Obrazac RPS</t>
  </si>
  <si>
    <t xml:space="preserve"> FEDERACIJA BOSNE I HERCEGOVINE</t>
  </si>
  <si>
    <t xml:space="preserve">  FEDERALNI ZAVOD ZA STATISTIKU </t>
  </si>
  <si>
    <t>Zakon o klasifikaciji djelatnosti u Federaciji BiH</t>
  </si>
  <si>
    <t xml:space="preserve"> "Službene novine FBiH", br. 64/07 i 80/11</t>
  </si>
  <si>
    <t>PRIJAVA ZA RAZVRSTAVANJE PO DJELATNOSTI</t>
  </si>
  <si>
    <t xml:space="preserve"> POSLOVNOG SUBJEKTA ILI DIJELA POSLOVNOG SUBJEKTA</t>
  </si>
  <si>
    <t>VRSTA POSLOVNOG SUBJEKTA:</t>
  </si>
  <si>
    <t xml:space="preserve"> POPUNJAVA STATISTIKA</t>
  </si>
  <si>
    <t>Pravno lice</t>
  </si>
  <si>
    <t>Dio pravnog lica</t>
  </si>
  <si>
    <t>Fizičko lice/Obrtnik -</t>
  </si>
  <si>
    <t>Podružnica stranog društva</t>
  </si>
  <si>
    <t>Izdvojeni dio fizičkog lica</t>
  </si>
  <si>
    <t xml:space="preserve"> IDENTIFIKACIONI BROJ poslovnog subjekta</t>
  </si>
  <si>
    <t xml:space="preserve"> IDENTIFIKACIONI BROJ dijela poslovnog subjekta (unosi se kod prijave </t>
  </si>
  <si>
    <t>dijela poslovnog subjekta)</t>
  </si>
  <si>
    <t xml:space="preserve"> 2.  </t>
  </si>
  <si>
    <t>NAZIV POSLOVNOG SUBJEKTA - DIJELA POSLOVNOG SUBJEKTA (unosi se</t>
  </si>
  <si>
    <t>kod prijave dijela poslovnog subjekta)</t>
  </si>
  <si>
    <t xml:space="preserve">a)  Puni naziv (firma)  </t>
  </si>
  <si>
    <t>Društvo sa ograničenom odgovornošću</t>
  </si>
  <si>
    <t xml:space="preserve">b)  Skraćeni naziv (firma)    </t>
  </si>
  <si>
    <t xml:space="preserve"> 3.  </t>
  </si>
  <si>
    <t>SJEDIŠTE :</t>
  </si>
  <si>
    <t xml:space="preserve">a)  Kanton  </t>
  </si>
  <si>
    <t xml:space="preserve">b) Općina  </t>
  </si>
  <si>
    <t>c)  Naseljeno mjesto</t>
  </si>
  <si>
    <t>d)  Ulica</t>
  </si>
  <si>
    <t>Tel/Mob</t>
  </si>
  <si>
    <t>Fax</t>
  </si>
  <si>
    <t>VRSTA PROMJENE U STATISTICI:</t>
  </si>
  <si>
    <t>Prvo razvrstavanje</t>
  </si>
  <si>
    <t>Izmjena pretežne djelatnosti</t>
  </si>
  <si>
    <t>Razvrstavanje po službenoj dužnosti</t>
  </si>
  <si>
    <t>DATUM PRVOG RAZVRSTAVANJA</t>
  </si>
  <si>
    <t>/</t>
  </si>
  <si>
    <t>DATUM PROMJENE U STATISTICI</t>
  </si>
  <si>
    <t>(sistemski datum - upisuje statistika)</t>
  </si>
  <si>
    <t>PRETEŽNA DJELATNOST:</t>
  </si>
  <si>
    <t>a) Prijedlog poslovnog subjekta</t>
  </si>
  <si>
    <t>Prijedlog Poslovnog subjekta:</t>
  </si>
  <si>
    <t xml:space="preserve"> (šifra KD) </t>
  </si>
  <si>
    <t xml:space="preserve"> (naziv djelatnosti)</t>
  </si>
  <si>
    <t xml:space="preserve">b)    </t>
  </si>
  <si>
    <t>Djelatnost koju je utvrdio FZS</t>
  </si>
  <si>
    <t>ZANIMANJE</t>
  </si>
  <si>
    <t>(unosi se kod prijave obrtnika, lica koje obavlja srodne  ili druge samostalne djelatnosti)</t>
  </si>
  <si>
    <t>(naziv zanimanja)</t>
  </si>
  <si>
    <t xml:space="preserve">NAPOMENE </t>
  </si>
  <si>
    <t>Napomena: Podaci iskazani na obrascu su opći podaci. Svojim potpisom podnosilac prijave daje Federalnom zavodu za statistiku izričito i neopozivo pravo za njihovo dalje pojedinačno korištenje i diseminaciju u statističke i druge svrhe.</t>
  </si>
  <si>
    <t>PRIJAVU PODNIO :</t>
  </si>
  <si>
    <t>(vlastito ime)</t>
  </si>
  <si>
    <t>(ime roditelja)</t>
  </si>
  <si>
    <t>(prezime)</t>
  </si>
  <si>
    <t>(potpis podnosioca prijave)</t>
  </si>
  <si>
    <t>(broj ličnog dokumenta podnosioca prijave)</t>
  </si>
  <si>
    <t>UPUTSTVO</t>
  </si>
  <si>
    <t>za popunjavanje obrasca RPS</t>
  </si>
  <si>
    <t>Prijava za razvrstavanje po djelatnosti (Obrazac RPS) popunjava se za poslovne subjekte i njihove dijelove, prethodno upisane od strane nadležnih registarskih organa u posebne registre ili osnovane putem zakona, odluka ili drugih pravnih akata i kojima je Porezna uprava Federacije Bosne i Hercegovine dodijelila identifikacioni broj. Poslovni subjekt podnosi prijavu za razvrstavanje prema klasifikaciji djelatnosti, za sebe i dijelove u svom sastavu (ukoliko ih ima),  kod prvog razvrstavanja kao i kod izmjene pretežne djelatnosti.</t>
  </si>
  <si>
    <t xml:space="preserve">Prijavu za razvrstavanje i Obavještenje o razvrstavanju može podnijeti, odnosno preuzeti osnivač/vlasnik, lice ovlašteno za zastupanje osnivačkim ili drugim aktom, odnosno punomoćnik. </t>
  </si>
  <si>
    <t>Podaci koji se unose u obrazac moraju biti u potpunosti podudarni sa podacima iz rješenja nadležnog registarskog organa ili odgovarajućeg pravnog akta (zakona, odluke i sl.) za subjekte i njihove dijelove koji se ne upisuju u posebne registre. Podnosilac prijave svojim potpisom na obrascu RPS potvrđuje da su uneseni podaci potpuni, istiniti i vjerodostojni.</t>
  </si>
  <si>
    <t>U prostor koji je označen sa "POPUNJAVA STATISTIKA" poslovni subjekt ne unosi podatke.</t>
  </si>
  <si>
    <t xml:space="preserve">                                                                                      </t>
  </si>
  <si>
    <t xml:space="preserve">Kod prvog razvrstavanja poslovnih subjekata i njihovih dijelova, uz prijavu na obracu RPS poslovni subjekt prilaže kopiju rješenja o upisu osnivanja u registar kod nadležnog  organa, odnosno zakona, odluke ili drugog pravnog akta o osnivanju za poslovne subjekte i njihove dijelove koji se ne upisuju u posebne registre. </t>
  </si>
  <si>
    <t>Kod promjene šifre djelatnosti poslovnih subjekata i njihovih dijelova, uz prijavu na obrascu RPS, poslovni subjekt prilaže kopiju rješenja nadležnog registarskog organa, odnosno zakona, odluke ili drugog pravnog akta  za poslovne subjekte i njihove dijelove koji se ne upisuju u posebne registre, a u kojem je navedena djelatnost u koju se žele preregistrovati, kao i druge akte predviđene pravnim propisom kojim se ova materija reguliše.</t>
  </si>
  <si>
    <t>Originali naprijed navedenih dokumenata podnose se na uvid.</t>
  </si>
  <si>
    <t>Kratak opis pojmova i definicija koji se koriste u obrascu</t>
  </si>
  <si>
    <t>VRSTA POSLOVNOG SUBJEKTA</t>
  </si>
  <si>
    <t>Obrazac za razvrstavanje (RPS) koristi se za sve poslovne subjekte i njihove dijelove. Zbog toga je potrebno upisati odgovarajuću šifru u zavisnosti od toga da li se prijava podnosi za pravno lice ili dio pravnog lica (ako je više dijelova pravnog lica za svaki od njih se popunjava po jedan primjerak obrasca), odnosno fizičko lice ili njegov izdvojeni dio  ili podružnicu stranog društva.</t>
  </si>
  <si>
    <t>1. IDENTIFIKACIONI BROJ POSLOVNOG SUBJEKTA I NJEGOVOG DIJELA je jedinstveni identifikacioni broj koji dodjeljuje Porezna Uprava Federacije BiH svim poslovnim subjektima i njihovim dijelovima. Prepisuje se sa Uvjerenja o poreznoj registraciji.</t>
  </si>
  <si>
    <t xml:space="preserve">2. NAZIV POSLOVNOG SUBJEKTA - DIJELA POSLOVNOG SUBJEKTA (puni i skraćeni) je ime pod kojim poslovni subjekt, odnosno njegov dio posluje i pod kojim je upisan u registar nedležnog registarskog organa ili osnovan odgovarajućim pravnim aktom. </t>
  </si>
  <si>
    <t>3. SJEDIŠTE je mjesto i adresa na kojoj poslovni subjekt, odnosno njegov dio obavlja svoju djelatnost i koje je identično sa sjedištem iz rješenja nedležnog registarskog organa ili odgovarajućeg pravnog akta za subjekte i  njihove dijelove koji se ne upisuju u posebne registre.</t>
  </si>
  <si>
    <t xml:space="preserve">4. VRSTA PROMJENE je podatak koji se obavezno upisuje i on može biti: </t>
  </si>
  <si>
    <t xml:space="preserve">    1 Prvo razvrstavanje - poslovni subjekt upisuje ovaj podatak kod prvog razvrstavanja.  </t>
  </si>
  <si>
    <r>
      <rPr>
        <sz val="9"/>
        <rFont val="Arial"/>
        <charset val="238"/>
      </rPr>
      <t xml:space="preserve">4. VRSTA PROMJENE je podatak koji se obavezno upisuje.    </t>
    </r>
    <r>
      <rPr>
        <sz val="9"/>
        <color indexed="10"/>
        <rFont val="Arial"/>
        <charset val="238"/>
      </rPr>
      <t xml:space="preserve"> </t>
    </r>
  </si>
  <si>
    <t>2 Izmjena pretežne djelatnosti - poslovni subjekt upisuje ovaj podatak kod promjene pretežne djelatnosti.</t>
  </si>
  <si>
    <t xml:space="preserve">3 Razvrstavanje po službenoj dužnosti -  uposlenik Zavoda za statistiku upisuje ovaj podatak kod izdavanja Obavještenja o razvrstavanju bez obaveze poslovnog subjekta da prethodno popuni prijavni obrazac. </t>
  </si>
  <si>
    <t xml:space="preserve"> 4 Ostalo -  uposlenik Zavoda za statistiku upisuje ovaj podatak kod tehničke korekcije koja se provodi u roku od 8 dana od dana promjene u statistici.</t>
  </si>
  <si>
    <t>5. DATUM PRVOG RAZVRSTAVANJA je datum prve dodjele šifre djelatnosti.</t>
  </si>
  <si>
    <t>6. DATUM PROMJENE U STATISTICI je datum svake promjene u statistici osim datuma prvog razvrstavanja i to je sistemski datum.</t>
  </si>
  <si>
    <t xml:space="preserve">7. PRETEŽNA DJELATNOST                                                                                                                                                                                                                                                                                                                                    </t>
  </si>
  <si>
    <t>Djelatnost je kombinacija resursa kao što su oprema, rad, tehnika proizvodnje, informativne mreže ili proizvodi čiji je rezultat određena roba ili usluga.</t>
  </si>
  <si>
    <t xml:space="preserve">     Djelatnost se utvrđuje na osnovu podataka o djelatnosti sadržanih u rješenju nadležnog registarskog organa ili u odgovarajućem pravnom aktu. Kada je rješenjem o upisu u registar kod nadležnog registarskog organa, odnosno u aktu o snivanju utvrđeno obavljanje više djelatnosti, prvo razvrstavanje prema KD provodi se po prijedlogu poslovnog subjekta. Svaki slijedeći upis promjene pretežne djelatnosti provodi se po zahtjevu subjekta, uz prikazivanje finansijskih i/ili drugih pokazatelja (popunjava se obrazac PPL-D), ili po službenoj dužnosti.</t>
  </si>
  <si>
    <t xml:space="preserve">     a) Prijedlog poslovnog subjekta je djelatnost koju poslovni subjekt predlaže kao pretežnu.</t>
  </si>
  <si>
    <t xml:space="preserve">     b) Djelatnost koju je utvrdio FZS je pretežna djelatnost koju utvrdi FZS na osnovu rješenja nadležnog registarskog organa ili odgovarajućeg pravnog akta, odnosno prijedloga novoosnovanog subjekta kod prvog razvrstavanja, a kojem je odobreno obavljanje više djelatnosti ili na osnovu finansijskih i/ili drugih pokazatelja poslovanja.</t>
  </si>
  <si>
    <t xml:space="preserve">     Promjena pretežne djelatnosti za poslovnog subjekta koji ostvaruje dobit proizvodnjom, prometom robe ili pružanjem usluga na tržištu utvrđuje se prema najvećem učešću u ukupnoj dodanoj vrijednosti, a za sve ostale subjekte prema najvećem učešću broja zaposlenih po platnoj listi i isplaćenim  bruto plaćama po pojedinim djelatnostima.</t>
  </si>
  <si>
    <t xml:space="preserve">     Djelatnost dijelova poslovnog subjekta utvrđuje se prema rješenju nadležnog registarskog organa, odnosno odgovarajućem pravnom aktu za dijelove poslovnog subjekta koji se ne upisuju u poseban registar, pod uslovom da tu djelatnost sadrži rješenje o registraciji, odnosno pravni akt o osnivanju  poslovnog subjekta u čijem su sastavu.</t>
  </si>
  <si>
    <t>8. Zanimanje je skup poslova i radnih zadataka, koje obavlja (obavljala je ili bi mogla obavljati) jedna osoba. Naziv zanimanja se određuje prema vrsti posla, odnosno sadržaju rada (npr. pletač...), prema rezultatu rada (npr. ribar), prema mjestu obavljanja posla (npr. skladištar...), prema sredstvima rada (npr. rukovodilac postrojenja) i slično. Zanimanje se ne može izjednačiti sa stručnim nazivom koji se dobije po završenom obrazovanju. Ovaj podatak se upisuje za poslovne subjekte - fizička lica (obrtnici, lica koja obavljaju srodne i druge samostalne djelatnosti).</t>
  </si>
  <si>
    <t>POPUNJAVA SLUŽBENO LICE FEDERALNOG ZAVODA ZA STATISTIKU</t>
  </si>
  <si>
    <t xml:space="preserve">Potpunost unesenih obaveznih podataka i dostavu na uvid potrebne dokumentacije potvrdilo </t>
  </si>
  <si>
    <t>službeno lice Federalnog zavoda za statistiku</t>
  </si>
  <si>
    <t>IME I PREZIME SLUŽBENOG LICA FEDERALNOG ZAVODA ZA STATISTIKU KOJE JE ZAPRIMILO PRIJAVU</t>
  </si>
  <si>
    <t>DATUM PRIJEMA PRIJAVE</t>
  </si>
  <si>
    <t>POSEBNE NAPOMENE</t>
  </si>
  <si>
    <t>Obrazac je besplatan</t>
  </si>
  <si>
    <t>Djelatnost:</t>
  </si>
  <si>
    <t>Šifra djelatnosti po SKD-u:</t>
  </si>
  <si>
    <t>Preliminarni bilans uspjeha za period</t>
  </si>
  <si>
    <t>I Poslovni prihodi</t>
  </si>
  <si>
    <t>VI Ostali prihodi i dobici</t>
  </si>
  <si>
    <r>
      <rPr>
        <sz val="14"/>
        <rFont val="Arial"/>
        <charset val="238"/>
      </rPr>
      <t>1. Prihodi od prodaje robe</t>
    </r>
    <r>
      <rPr>
        <sz val="12"/>
        <rFont val="Arial"/>
        <charset val="238"/>
      </rPr>
      <t xml:space="preserve">   ( 60 )</t>
    </r>
  </si>
  <si>
    <r>
      <rPr>
        <sz val="14"/>
        <rFont val="Arial"/>
        <charset val="238"/>
      </rPr>
      <t>1. Dobici od prodaje stalnih sredstava</t>
    </r>
    <r>
      <rPr>
        <sz val="12"/>
        <rFont val="Arial"/>
        <charset val="238"/>
      </rPr>
      <t xml:space="preserve">   (670)</t>
    </r>
  </si>
  <si>
    <r>
      <rPr>
        <sz val="14"/>
        <rFont val="Arial"/>
        <charset val="238"/>
      </rPr>
      <t xml:space="preserve">2. Prihodi od prodaje učinaka   </t>
    </r>
    <r>
      <rPr>
        <sz val="12"/>
        <rFont val="Arial"/>
        <charset val="238"/>
      </rPr>
      <t>( 61+62 )</t>
    </r>
  </si>
  <si>
    <r>
      <rPr>
        <sz val="14"/>
        <rFont val="Arial"/>
        <charset val="238"/>
      </rPr>
      <t xml:space="preserve">2. Naplaćena otpisana potraživanja </t>
    </r>
    <r>
      <rPr>
        <sz val="12"/>
        <rFont val="Arial"/>
        <charset val="238"/>
      </rPr>
      <t xml:space="preserve">  (677)</t>
    </r>
  </si>
  <si>
    <r>
      <rPr>
        <sz val="14"/>
        <rFont val="Arial"/>
        <charset val="238"/>
      </rPr>
      <t xml:space="preserve">3. Ostali poslovni prihodi  </t>
    </r>
    <r>
      <rPr>
        <sz val="12"/>
        <rFont val="Arial"/>
        <charset val="238"/>
      </rPr>
      <t xml:space="preserve"> ( 65 )</t>
    </r>
  </si>
  <si>
    <r>
      <rPr>
        <sz val="14"/>
        <rFont val="Arial"/>
        <charset val="238"/>
      </rPr>
      <t>3. Prihodi od otpisa obaveza i ukinutih rezerv.</t>
    </r>
    <r>
      <rPr>
        <sz val="12"/>
        <rFont val="Arial"/>
        <charset val="238"/>
      </rPr>
      <t xml:space="preserve"> (679)</t>
    </r>
  </si>
  <si>
    <t>II Poslovni rashodi</t>
  </si>
  <si>
    <r>
      <rPr>
        <sz val="14"/>
        <rFont val="Arial"/>
        <charset val="238"/>
      </rPr>
      <t>4. Prihodi po drugim osnov.</t>
    </r>
    <r>
      <rPr>
        <sz val="12"/>
        <rFont val="Arial"/>
        <charset val="238"/>
      </rPr>
      <t>(64+(67-670-677-679)+69)</t>
    </r>
  </si>
  <si>
    <r>
      <rPr>
        <sz val="14"/>
        <rFont val="Arial"/>
        <charset val="238"/>
      </rPr>
      <t>1. Nabavna vrijednost prodate robe</t>
    </r>
    <r>
      <rPr>
        <sz val="12"/>
        <rFont val="Arial"/>
        <charset val="238"/>
      </rPr>
      <t xml:space="preserve">   ( 50 )</t>
    </r>
  </si>
  <si>
    <t>VII Ostali rashodi i gubici</t>
  </si>
  <si>
    <r>
      <rPr>
        <sz val="14"/>
        <rFont val="Arial"/>
        <charset val="238"/>
      </rPr>
      <t xml:space="preserve">2. Troškovi materijala </t>
    </r>
    <r>
      <rPr>
        <sz val="12"/>
        <rFont val="Arial"/>
        <charset val="238"/>
      </rPr>
      <t xml:space="preserve">  ( 51 )</t>
    </r>
  </si>
  <si>
    <r>
      <rPr>
        <sz val="14"/>
        <rFont val="Arial"/>
        <charset val="238"/>
      </rPr>
      <t>1. Gubici od prodaje stalnih sredstava</t>
    </r>
    <r>
      <rPr>
        <sz val="12"/>
        <rFont val="Arial"/>
        <charset val="238"/>
      </rPr>
      <t xml:space="preserve">   (570)</t>
    </r>
  </si>
  <si>
    <r>
      <rPr>
        <sz val="14"/>
        <rFont val="Arial"/>
        <charset val="238"/>
      </rPr>
      <t xml:space="preserve">3. Troškovi plaća i ostalih ličnih primanja  </t>
    </r>
    <r>
      <rPr>
        <sz val="12"/>
        <rFont val="Arial"/>
        <charset val="238"/>
      </rPr>
      <t xml:space="preserve"> ( 52 )</t>
    </r>
  </si>
  <si>
    <r>
      <rPr>
        <sz val="14"/>
        <rFont val="Arial"/>
        <charset val="238"/>
      </rPr>
      <t>2. Rashodi iz osnova zaštite od rizika</t>
    </r>
    <r>
      <rPr>
        <sz val="12"/>
        <rFont val="Arial"/>
        <charset val="238"/>
      </rPr>
      <t xml:space="preserve">   (552)</t>
    </r>
  </si>
  <si>
    <r>
      <rPr>
        <sz val="14"/>
        <rFont val="Arial"/>
        <charset val="238"/>
      </rPr>
      <t xml:space="preserve">4. Troškovi proizvodnih usluga </t>
    </r>
    <r>
      <rPr>
        <sz val="12"/>
        <rFont val="Arial"/>
        <charset val="238"/>
      </rPr>
      <t xml:space="preserve">  ( 53 )</t>
    </r>
  </si>
  <si>
    <r>
      <rPr>
        <sz val="14"/>
        <rFont val="Arial"/>
        <charset val="238"/>
      </rPr>
      <t>3. Rashodi po osnovu i.v. i otpisa potraživanja</t>
    </r>
    <r>
      <rPr>
        <sz val="12"/>
        <rFont val="Arial"/>
        <charset val="238"/>
      </rPr>
      <t xml:space="preserve"> (578)</t>
    </r>
  </si>
  <si>
    <r>
      <rPr>
        <sz val="14"/>
        <rFont val="Arial"/>
        <charset val="238"/>
      </rPr>
      <t xml:space="preserve">5. Amortizacija   </t>
    </r>
    <r>
      <rPr>
        <sz val="12"/>
        <rFont val="Arial"/>
        <charset val="238"/>
      </rPr>
      <t>(54 dio)</t>
    </r>
  </si>
  <si>
    <r>
      <rPr>
        <sz val="14"/>
        <rFont val="Arial"/>
        <charset val="238"/>
      </rPr>
      <t>4. Rashodi po drugim osnovama</t>
    </r>
    <r>
      <rPr>
        <sz val="12"/>
        <rFont val="Arial"/>
        <charset val="238"/>
      </rPr>
      <t xml:space="preserve"> (57-570-578)</t>
    </r>
  </si>
  <si>
    <r>
      <rPr>
        <sz val="14"/>
        <rFont val="Arial"/>
        <charset val="238"/>
      </rPr>
      <t xml:space="preserve">6. Troškovi rezervisanja   </t>
    </r>
    <r>
      <rPr>
        <sz val="12"/>
        <rFont val="Arial"/>
        <charset val="238"/>
      </rPr>
      <t>(54 dio)</t>
    </r>
  </si>
  <si>
    <r>
      <rPr>
        <sz val="14"/>
        <rFont val="Arial"/>
        <charset val="238"/>
      </rPr>
      <t>VIII Prihodi od usklađivanja vrijedn.sredstava</t>
    </r>
    <r>
      <rPr>
        <sz val="12"/>
        <rFont val="Arial"/>
        <charset val="238"/>
      </rPr>
      <t xml:space="preserve"> (68)</t>
    </r>
  </si>
  <si>
    <r>
      <rPr>
        <sz val="14"/>
        <rFont val="Arial"/>
        <charset val="238"/>
      </rPr>
      <t xml:space="preserve">7. Nematerijalni troškovi  </t>
    </r>
    <r>
      <rPr>
        <sz val="12"/>
        <rFont val="Arial"/>
        <charset val="238"/>
      </rPr>
      <t xml:space="preserve"> ( 55-552 )</t>
    </r>
  </si>
  <si>
    <r>
      <rPr>
        <sz val="14"/>
        <rFont val="Arial"/>
        <charset val="238"/>
      </rPr>
      <t>IX Rashodi od usklađivanja vrijedn.sredstava</t>
    </r>
    <r>
      <rPr>
        <sz val="12"/>
        <rFont val="Arial"/>
        <charset val="238"/>
      </rPr>
      <t xml:space="preserve"> (58)</t>
    </r>
  </si>
  <si>
    <r>
      <rPr>
        <sz val="14"/>
        <rFont val="Arial"/>
        <charset val="238"/>
      </rPr>
      <t xml:space="preserve">8. Povećanje/Smanjenje zaliha učinaka </t>
    </r>
    <r>
      <rPr>
        <sz val="12"/>
        <rFont val="Arial"/>
        <charset val="238"/>
      </rPr>
      <t>(596 - 595)</t>
    </r>
  </si>
  <si>
    <t>Dobit prije poreza</t>
  </si>
  <si>
    <t>Dobit od poslovnih aktivnosti</t>
  </si>
  <si>
    <t>Gubitak prije poreza</t>
  </si>
  <si>
    <t>Gubitak od poslovnih aktivnosti</t>
  </si>
  <si>
    <t>Porez na dobit</t>
  </si>
  <si>
    <r>
      <rPr>
        <sz val="14"/>
        <rFont val="Arial"/>
        <charset val="238"/>
      </rPr>
      <t xml:space="preserve">III Finansijski prihodi  </t>
    </r>
    <r>
      <rPr>
        <sz val="12"/>
        <rFont val="Arial"/>
        <charset val="238"/>
      </rPr>
      <t xml:space="preserve"> ( 66 )</t>
    </r>
  </si>
  <si>
    <t>NETO DOBIT PERIODA</t>
  </si>
  <si>
    <r>
      <rPr>
        <sz val="14"/>
        <rFont val="Arial"/>
        <charset val="238"/>
      </rPr>
      <t xml:space="preserve">IV Rashodi kamata   </t>
    </r>
    <r>
      <rPr>
        <sz val="12"/>
        <rFont val="Arial"/>
        <charset val="238"/>
      </rPr>
      <t>(560+561)</t>
    </r>
  </si>
  <si>
    <t>NETO GUBITAK PERIODA</t>
  </si>
  <si>
    <r>
      <rPr>
        <sz val="14"/>
        <rFont val="Arial"/>
        <charset val="238"/>
      </rPr>
      <t xml:space="preserve">V Ostali finansijski rashodi   </t>
    </r>
    <r>
      <rPr>
        <sz val="12"/>
        <rFont val="Arial"/>
        <charset val="238"/>
      </rPr>
      <t>(56-(560+561))</t>
    </r>
  </si>
  <si>
    <t>Dobit redovne aktivnosti</t>
  </si>
  <si>
    <t>Broj zaposlenih</t>
  </si>
  <si>
    <t>Gubitak redovne aktivnosti</t>
  </si>
  <si>
    <t>Direktor:</t>
  </si>
  <si>
    <t>Certificirani računovođa:</t>
  </si>
  <si>
    <t>Preliminarni bilans stanja (Poslovna aktiva) na dan</t>
  </si>
  <si>
    <t>A. Stalna sredstva i dugoročni plasmani</t>
  </si>
  <si>
    <t>B. Tekuća sredstva</t>
  </si>
  <si>
    <t>I Nematerijalna sredstva</t>
  </si>
  <si>
    <t>I Zalihe i sredstva namijenjena prodaji</t>
  </si>
  <si>
    <t>II Nekretnine, postrojenja i oprema</t>
  </si>
  <si>
    <t>1. Sirovine, materijal i sitan inventar</t>
  </si>
  <si>
    <t>1. Zemljišta</t>
  </si>
  <si>
    <t>2. Proizvodnja u toku</t>
  </si>
  <si>
    <t>2. Građevinski objekti</t>
  </si>
  <si>
    <t>3. Gotovi proizvodi</t>
  </si>
  <si>
    <t>3. Postrojenja i oprema</t>
  </si>
  <si>
    <t>4. Roba</t>
  </si>
  <si>
    <t>4. Stambene zgrade i stanovi</t>
  </si>
  <si>
    <t>5. Stalna sredstva namijenjena prodaji</t>
  </si>
  <si>
    <t>5. Avansi i nekretnine i oprema u pripremi</t>
  </si>
  <si>
    <t>6. Dati avansi</t>
  </si>
  <si>
    <t>III Investicijske nekretnine</t>
  </si>
  <si>
    <t>II Gotovina i gotovinski ekvivalenti</t>
  </si>
  <si>
    <t>IV Biološka sredstva</t>
  </si>
  <si>
    <t>III Kratkoročna potraživanja</t>
  </si>
  <si>
    <t>V Ostala stalna materijalna sredstva</t>
  </si>
  <si>
    <t>1. Kupci - povezana pravna lica</t>
  </si>
  <si>
    <t>VI Dugoročni finansijski plasmani</t>
  </si>
  <si>
    <t>2. Kupci u zemlji</t>
  </si>
  <si>
    <t>1. Učešće u kapitalu pravnih lica</t>
  </si>
  <si>
    <t>3. Kupci u inostranstvu</t>
  </si>
  <si>
    <t>2. Dugoročni krediti dati povezanim pravnim licima</t>
  </si>
  <si>
    <t>4. Druga kratkoročna potraživanja</t>
  </si>
  <si>
    <t>3. Dugoročni krediti dati drugim licima</t>
  </si>
  <si>
    <t>IV Kratkoročni krediti povezanim pravnim licima</t>
  </si>
  <si>
    <t>4. Finansijska sredstva raspoloživa za prodaju</t>
  </si>
  <si>
    <t>V Drugi kratkoročni finansijski plasmani</t>
  </si>
  <si>
    <t>5. Ostali dugoročni finansijski plasmani</t>
  </si>
  <si>
    <t>VI Potraživanja za PDV</t>
  </si>
  <si>
    <t>VII Druga dugoročna potraživanja</t>
  </si>
  <si>
    <t>VII Aktivna vremenska razgraničenja</t>
  </si>
  <si>
    <t>VIII Dugoročna razgraničenja</t>
  </si>
  <si>
    <t>C. Gubitak iznad visine kapitala</t>
  </si>
  <si>
    <t>POSLOVNA AKTIVA</t>
  </si>
  <si>
    <t>Preliminarni bilans stanja (Poslovna pasiva) na dan</t>
  </si>
  <si>
    <t>A. Kapital</t>
  </si>
  <si>
    <t>E. Kratkoročne obaveze</t>
  </si>
  <si>
    <t>1. Osnovni kapital</t>
  </si>
  <si>
    <t>I Kratkoročne finansijske obaveze</t>
  </si>
  <si>
    <t>2. Upisani neuplaćeni kapital</t>
  </si>
  <si>
    <t>1. Obaveze prema povezanim pravnim licima</t>
  </si>
  <si>
    <t>3. Emisiona premija</t>
  </si>
  <si>
    <t>2. Kratkoročni krediti uzeti u zemlji</t>
  </si>
  <si>
    <t>4. Zakonske, statutarne i druge rezerve</t>
  </si>
  <si>
    <t>3. Kratkoročni krediti uzeti u inostranstvu</t>
  </si>
  <si>
    <t>5. Revalorizacione rezerve</t>
  </si>
  <si>
    <t>4. Kratkoročni dio dugoročnih obaveza</t>
  </si>
  <si>
    <t>6. Neraspoređena dobit</t>
  </si>
  <si>
    <t>5. Ostale kratkoročne finansijske obaveze</t>
  </si>
  <si>
    <t>7. Gubitak do visine kapitala</t>
  </si>
  <si>
    <t>II Obaveze iz poslovanja</t>
  </si>
  <si>
    <t>8. Otkupljene vlastite dionice i udjeli</t>
  </si>
  <si>
    <t>1. Primljeni avansi, depoziti i kaucije</t>
  </si>
  <si>
    <t>B. Dugoročna rezervisanja</t>
  </si>
  <si>
    <t>2. Dobavljači - povezana pravna lica</t>
  </si>
  <si>
    <t>1. Dugoročna rezervisanja za troškove i rizike</t>
  </si>
  <si>
    <t>3. Dobavljači u zemlji</t>
  </si>
  <si>
    <t>2. Dugoročna razgraničenja</t>
  </si>
  <si>
    <t>4. Dobavljači u inostranstvu</t>
  </si>
  <si>
    <t>C. Dugoročne obaveze</t>
  </si>
  <si>
    <t>5. Ostale obaveze iz poslovanja</t>
  </si>
  <si>
    <t>III Obaveze za plaće i ostala primanja zaposlenih</t>
  </si>
  <si>
    <t>2. Obaveze po dugoročnim vrijednosnim papirima</t>
  </si>
  <si>
    <t>IV Druge obaveze</t>
  </si>
  <si>
    <t>3. Dugoročni krediti</t>
  </si>
  <si>
    <t>V Obaveze za PDV</t>
  </si>
  <si>
    <t>4. Dugoročne obaveze po finansijskom lizingu</t>
  </si>
  <si>
    <t>VI Obaveze za ostale poreze i druge dažbine</t>
  </si>
  <si>
    <t>5. Ostale dugoročne obaveze</t>
  </si>
  <si>
    <t>F. Pasivna vremenska razgraničenja</t>
  </si>
  <si>
    <t>D. Odložene poreske obaveze</t>
  </si>
  <si>
    <t>G. Odložene poreske obaveze</t>
  </si>
  <si>
    <t>POSLOVNA PASIVA</t>
  </si>
  <si>
    <t>kolona 6</t>
  </si>
  <si>
    <t>Direktor : (Ime i Prezime) :</t>
  </si>
  <si>
    <t>Oblik društva :</t>
  </si>
  <si>
    <t>MSV -kolona 6</t>
  </si>
</sst>
</file>

<file path=xl/styles.xml><?xml version="1.0" encoding="utf-8"?>
<styleSheet xmlns="http://schemas.openxmlformats.org/spreadsheetml/2006/main" xmlns:mc="http://schemas.openxmlformats.org/markup-compatibility/2006" xmlns:xr9="http://schemas.microsoft.com/office/spreadsheetml/2016/revision9" mc:Ignorable="xr9">
  <numFmts count="33">
    <numFmt numFmtId="42" formatCode="_(&quot;$&quot;* #,##0_);_(&quot;$&quot;* \(#,##0\);_(&quot;$&quot;* &quot;-&quot;_);_(@_)"/>
    <numFmt numFmtId="43" formatCode="_(* #,##0.00_);_(* \(#,##0.00\);_(* &quot;-&quot;??_);_(@_)"/>
    <numFmt numFmtId="44" formatCode="_(&quot;$&quot;* #,##0.00_);_(&quot;$&quot;* \(#,##0.00\);_(&quot;$&quot;* &quot;-&quot;??_);_(@_)"/>
    <numFmt numFmtId="176" formatCode="_ * #,##0_ ;_ * \-#,##0_ ;_ * &quot;-&quot;_ ;_ @_ "/>
    <numFmt numFmtId="177" formatCode="_-* #,##0.00_-;\-* #,##0.00_-;_-* \-??_-;_-@_-"/>
    <numFmt numFmtId="178" formatCode="_-* #,##0.00_-;\-* #,##0.00_-;_-* &quot;-&quot;??_-;_-@_-"/>
    <numFmt numFmtId="179" formatCode="dd/mm/"/>
    <numFmt numFmtId="180" formatCode="#,##0_ ;[Red]\-#,##0\ "/>
    <numFmt numFmtId="181" formatCode="dd\-mmm\-yy"/>
    <numFmt numFmtId="182" formatCode="_(* #,##0_);_(* \(#,##0\);_(* &quot;-&quot;??_);_(@_)"/>
    <numFmt numFmtId="183" formatCode="0.0%"/>
    <numFmt numFmtId="184" formatCode="_-* #,##0.00\ _k_n_-;\-* #,##0.00\ _k_n_-;_-* &quot;-&quot;??\ _k_n_-;_-@_-"/>
    <numFmt numFmtId="185" formatCode="_-* #,##0\ _k_n_-;\-* #,##0\ _k_n_-;_-* &quot;-&quot;??\ _k_n_-;_-@_-"/>
    <numFmt numFmtId="186" formatCode="_(* #,##0.0_);_(* \(#,##0.0\);_(* &quot;-&quot;??_);_(@_)"/>
    <numFmt numFmtId="187" formatCode="#,##0.0"/>
    <numFmt numFmtId="188" formatCode="_-\ #,##0\ [$KM-141A]_-;\-\ #,##0\ [$KM-141A]_-;_-\ &quot;-&quot;\ [$KM-141A]_-;_-@_-"/>
    <numFmt numFmtId="189" formatCode="_-* #,##0.00\ [$KM-141A]_-;\-* #,##0.00\ [$KM-141A]_-;_-* &quot;-&quot;??\ [$KM-141A]_-;_-@_-"/>
    <numFmt numFmtId="190" formatCode="_-\ #,##0\ [$KM-141A]_-;\-\ #,##0\ [$KM-141A]_-;_-\ &quot;-&quot;??\ [$KM-141A]_-;_-@_-"/>
    <numFmt numFmtId="191" formatCode="_(* #,##0.000_);_(* \(#,##0.000\);_(* &quot;-&quot;??_);_(@_)"/>
    <numFmt numFmtId="192" formatCode="#,##0.00_ ;\-#,##0.00\ "/>
    <numFmt numFmtId="193" formatCode="#,##0_ ;\-#,##0\ "/>
    <numFmt numFmtId="194" formatCode="[$-1141A]dddd\,\ d/\ mmmm\ yyyy;@"/>
    <numFmt numFmtId="195" formatCode="_-* #,##0.00\ _K_M_-;\-* #,##0.00\ _K_M_-;_-* &quot;-&quot;??\ _K_M_-;_-@_-"/>
    <numFmt numFmtId="196" formatCode="#,##0.00_ ;[Red]\-#,##0.00\ "/>
    <numFmt numFmtId="197" formatCode="_-* #,##0_-;\-* #,##0_-;_-* &quot;-&quot;??_-;_-@_-"/>
    <numFmt numFmtId="198" formatCode="0.000"/>
    <numFmt numFmtId="199" formatCode="0.0000"/>
    <numFmt numFmtId="200" formatCode="#,##0.00\ &quot;kn&quot;;\-#,##0.00\ &quot;kn&quot;"/>
    <numFmt numFmtId="201" formatCode="#,##0.000"/>
    <numFmt numFmtId="202" formatCode="0.000%"/>
    <numFmt numFmtId="203" formatCode="#,##0.00\ [$KM-141A]"/>
    <numFmt numFmtId="204" formatCode="_-* #,##0.00\ _€_-;\-* #,##0.00\ _€_-;_-* &quot;-&quot;??\ _€_-;_-@_-"/>
    <numFmt numFmtId="205" formatCode="[$-1141A]dd/mm/yyyy;@"/>
  </numFmts>
  <fonts count="425">
    <font>
      <sz val="10"/>
      <name val="Arial"/>
      <charset val="238"/>
    </font>
    <font>
      <sz val="12"/>
      <name val="Arial"/>
      <charset val="238"/>
    </font>
    <font>
      <sz val="11"/>
      <color theme="0"/>
      <name val="Arial"/>
      <charset val="238"/>
    </font>
    <font>
      <sz val="14"/>
      <color theme="0"/>
      <name val="Arial"/>
      <charset val="238"/>
    </font>
    <font>
      <sz val="11"/>
      <name val="Arial"/>
      <charset val="238"/>
    </font>
    <font>
      <b/>
      <sz val="12"/>
      <color theme="0"/>
      <name val="Calibri"/>
      <charset val="238"/>
      <scheme val="minor"/>
    </font>
    <font>
      <b/>
      <sz val="14"/>
      <color theme="0"/>
      <name val="Calibri"/>
      <charset val="238"/>
      <scheme val="minor"/>
    </font>
    <font>
      <b/>
      <sz val="12"/>
      <color theme="4" tint="0.399975585192419"/>
      <name val="Calibri"/>
      <charset val="238"/>
      <scheme val="minor"/>
    </font>
    <font>
      <b/>
      <sz val="14"/>
      <color theme="4" tint="0.399975585192419"/>
      <name val="Calibri"/>
      <charset val="238"/>
      <scheme val="minor"/>
    </font>
    <font>
      <sz val="10"/>
      <color theme="0" tint="-0.0499893185216834"/>
      <name val="Arial"/>
      <charset val="238"/>
    </font>
    <font>
      <sz val="10"/>
      <color theme="1"/>
      <name val="Arial"/>
      <charset val="238"/>
    </font>
    <font>
      <sz val="10"/>
      <name val="Arial"/>
      <charset val="238"/>
    </font>
    <font>
      <sz val="10"/>
      <color theme="0"/>
      <name val="Arial"/>
      <charset val="238"/>
    </font>
    <font>
      <sz val="10"/>
      <color theme="4" tint="0.399975585192419"/>
      <name val="Arial"/>
      <charset val="238"/>
    </font>
    <font>
      <sz val="11"/>
      <color theme="0" tint="-0.149998474074526"/>
      <name val="Arial"/>
      <charset val="238"/>
    </font>
    <font>
      <sz val="17"/>
      <color theme="0"/>
      <name val="Arial Narrow"/>
      <charset val="238"/>
    </font>
    <font>
      <b/>
      <sz val="11"/>
      <color theme="0"/>
      <name val="Calibri"/>
      <charset val="238"/>
      <scheme val="minor"/>
    </font>
    <font>
      <b/>
      <sz val="11"/>
      <color theme="4" tint="0.399975585192419"/>
      <name val="Calibri"/>
      <charset val="238"/>
      <scheme val="minor"/>
    </font>
    <font>
      <sz val="14"/>
      <name val="Arial"/>
      <charset val="238"/>
    </font>
    <font>
      <sz val="18"/>
      <color theme="0"/>
      <name val="Calibri"/>
      <charset val="238"/>
      <scheme val="minor"/>
    </font>
    <font>
      <sz val="16"/>
      <color theme="0"/>
      <name val="Calibri"/>
      <charset val="238"/>
      <scheme val="minor"/>
    </font>
    <font>
      <sz val="18"/>
      <color rgb="FF002060"/>
      <name val="Calibri"/>
      <charset val="238"/>
      <scheme val="minor"/>
    </font>
    <font>
      <b/>
      <sz val="10"/>
      <name val="Arial"/>
      <charset val="238"/>
    </font>
    <font>
      <b/>
      <sz val="13"/>
      <name val="Arial"/>
      <charset val="134"/>
    </font>
    <font>
      <b/>
      <sz val="15"/>
      <color rgb="FF0070C0"/>
      <name val="Arial"/>
      <charset val="134"/>
    </font>
    <font>
      <sz val="12"/>
      <color rgb="FF0070C0"/>
      <name val="Arial"/>
      <charset val="238"/>
    </font>
    <font>
      <b/>
      <sz val="14"/>
      <name val="Arial"/>
      <charset val="134"/>
    </font>
    <font>
      <b/>
      <sz val="18"/>
      <name val="Arial"/>
      <charset val="134"/>
    </font>
    <font>
      <b/>
      <sz val="10"/>
      <name val="Arial"/>
      <charset val="134"/>
    </font>
    <font>
      <b/>
      <i/>
      <sz val="14"/>
      <name val="Arial"/>
      <charset val="134"/>
    </font>
    <font>
      <b/>
      <sz val="16"/>
      <name val="Arial"/>
      <charset val="134"/>
    </font>
    <font>
      <sz val="16"/>
      <name val="Arial"/>
      <charset val="238"/>
    </font>
    <font>
      <sz val="10"/>
      <color rgb="FF0070C0"/>
      <name val="Arial"/>
      <charset val="238"/>
    </font>
    <font>
      <b/>
      <sz val="15"/>
      <name val="Arial"/>
      <charset val="134"/>
    </font>
    <font>
      <sz val="14"/>
      <name val="Arial"/>
      <charset val="134"/>
    </font>
    <font>
      <sz val="16"/>
      <name val="Arial"/>
      <charset val="134"/>
    </font>
    <font>
      <sz val="12"/>
      <color rgb="FFFF0000"/>
      <name val="Arial"/>
      <charset val="238"/>
    </font>
    <font>
      <sz val="16"/>
      <color rgb="FFFF0000"/>
      <name val="Arial"/>
      <charset val="238"/>
    </font>
    <font>
      <sz val="11"/>
      <color rgb="FF0070C0"/>
      <name val="Arial"/>
      <charset val="238"/>
    </font>
    <font>
      <sz val="9"/>
      <name val="Arial"/>
      <charset val="238"/>
    </font>
    <font>
      <b/>
      <sz val="9"/>
      <name val="Arial CE"/>
      <charset val="238"/>
    </font>
    <font>
      <b/>
      <sz val="9"/>
      <name val="Arial"/>
      <charset val="134"/>
    </font>
    <font>
      <b/>
      <sz val="10"/>
      <name val="Arial CE"/>
      <charset val="238"/>
    </font>
    <font>
      <sz val="9"/>
      <name val="Arial CE"/>
      <charset val="238"/>
    </font>
    <font>
      <sz val="8"/>
      <name val="Arial"/>
      <charset val="238"/>
    </font>
    <font>
      <sz val="8"/>
      <name val="Arial CE"/>
      <charset val="238"/>
    </font>
    <font>
      <b/>
      <sz val="12"/>
      <name val="Arial CE"/>
      <charset val="238"/>
    </font>
    <font>
      <b/>
      <sz val="9"/>
      <name val="Arial CE"/>
      <charset val="238"/>
    </font>
    <font>
      <b/>
      <sz val="9"/>
      <color rgb="FFFF0000"/>
      <name val="Arial CE"/>
      <charset val="238"/>
    </font>
    <font>
      <sz val="9"/>
      <name val="Arial CE"/>
      <charset val="238"/>
    </font>
    <font>
      <sz val="9"/>
      <color rgb="FFFF0000"/>
      <name val="Arial CE"/>
      <charset val="238"/>
    </font>
    <font>
      <sz val="9"/>
      <color rgb="FF0070C0"/>
      <name val="Arial"/>
      <charset val="238"/>
    </font>
    <font>
      <b/>
      <sz val="12"/>
      <name val="Arial CE"/>
      <charset val="238"/>
    </font>
    <font>
      <sz val="12"/>
      <name val="Arial CE"/>
      <charset val="238"/>
    </font>
    <font>
      <sz val="9"/>
      <color rgb="FFFF0000"/>
      <name val="Arial"/>
      <charset val="238"/>
    </font>
    <font>
      <sz val="11"/>
      <name val="Arial CE"/>
      <charset val="238"/>
    </font>
    <font>
      <sz val="10"/>
      <color rgb="FF0070C0"/>
      <name val="Arial CE"/>
      <charset val="238"/>
    </font>
    <font>
      <b/>
      <sz val="9"/>
      <color rgb="FF0070C0"/>
      <name val="Arial CE"/>
      <charset val="238"/>
    </font>
    <font>
      <b/>
      <sz val="9"/>
      <color rgb="FF0070C0"/>
      <name val="Arial"/>
      <charset val="238"/>
    </font>
    <font>
      <sz val="9"/>
      <color rgb="FF0070C0"/>
      <name val="Arial CE"/>
      <charset val="238"/>
    </font>
    <font>
      <b/>
      <sz val="12"/>
      <name val="Arial"/>
      <charset val="238"/>
    </font>
    <font>
      <b/>
      <sz val="9"/>
      <name val="Arial"/>
      <charset val="238"/>
    </font>
    <font>
      <b/>
      <i/>
      <sz val="9"/>
      <color indexed="8"/>
      <name val="Arial"/>
      <charset val="134"/>
    </font>
    <font>
      <b/>
      <i/>
      <sz val="9"/>
      <name val="Arial"/>
      <charset val="134"/>
    </font>
    <font>
      <b/>
      <sz val="10"/>
      <name val="Arial CE"/>
      <charset val="238"/>
    </font>
    <font>
      <sz val="10"/>
      <color rgb="FFFF0000"/>
      <name val="Arial CE"/>
      <charset val="238"/>
    </font>
    <font>
      <vertAlign val="subscript"/>
      <sz val="9"/>
      <name val="Arial CE"/>
      <charset val="238"/>
    </font>
    <font>
      <vertAlign val="superscript"/>
      <sz val="9"/>
      <name val="Arial CE"/>
      <charset val="238"/>
    </font>
    <font>
      <vertAlign val="subscript"/>
      <sz val="9"/>
      <name val="Arial CE"/>
      <charset val="238"/>
    </font>
    <font>
      <vertAlign val="subscript"/>
      <sz val="10"/>
      <name val="Arial CE"/>
      <charset val="238"/>
    </font>
    <font>
      <vertAlign val="subscript"/>
      <sz val="10"/>
      <name val="Arial CE"/>
      <charset val="238"/>
    </font>
    <font>
      <vertAlign val="superscript"/>
      <sz val="12"/>
      <name val="Arial"/>
      <charset val="134"/>
    </font>
    <font>
      <b/>
      <sz val="9"/>
      <color rgb="FFFF0000"/>
      <name val="Arial"/>
      <charset val="238"/>
    </font>
    <font>
      <sz val="10"/>
      <name val="Calibri"/>
      <charset val="238"/>
      <scheme val="minor"/>
    </font>
    <font>
      <sz val="11"/>
      <name val="Calibri"/>
      <charset val="238"/>
      <scheme val="minor"/>
    </font>
    <font>
      <b/>
      <sz val="12"/>
      <name val="Calibri"/>
      <charset val="238"/>
      <scheme val="minor"/>
    </font>
    <font>
      <sz val="8"/>
      <name val="Calibri"/>
      <charset val="238"/>
      <scheme val="minor"/>
    </font>
    <font>
      <sz val="12"/>
      <name val="Calibri"/>
      <charset val="238"/>
      <scheme val="minor"/>
    </font>
    <font>
      <b/>
      <sz val="14"/>
      <name val="Calibri"/>
      <charset val="238"/>
      <scheme val="minor"/>
    </font>
    <font>
      <i/>
      <sz val="10"/>
      <name val="Calibri"/>
      <charset val="238"/>
      <scheme val="minor"/>
    </font>
    <font>
      <sz val="12"/>
      <name val="Times New Roman"/>
      <charset val="238"/>
    </font>
    <font>
      <sz val="11"/>
      <color theme="3"/>
      <name val="Arial"/>
      <charset val="238"/>
    </font>
    <font>
      <i/>
      <sz val="10"/>
      <name val="Arial"/>
      <charset val="238"/>
    </font>
    <font>
      <sz val="14"/>
      <name val="Arial CE"/>
      <charset val="238"/>
    </font>
    <font>
      <sz val="10"/>
      <name val="Arial CE"/>
      <charset val="238"/>
    </font>
    <font>
      <sz val="8"/>
      <color indexed="10"/>
      <name val="Arial CE"/>
      <charset val="238"/>
    </font>
    <font>
      <b/>
      <sz val="11"/>
      <name val="Arial CE"/>
      <charset val="238"/>
    </font>
    <font>
      <b/>
      <sz val="14"/>
      <name val="Arial CE"/>
      <charset val="238"/>
    </font>
    <font>
      <sz val="12"/>
      <color rgb="FF0070C0"/>
      <name val="Calibri"/>
      <charset val="238"/>
      <scheme val="minor"/>
    </font>
    <font>
      <b/>
      <u/>
      <sz val="14"/>
      <color rgb="FF0070C0"/>
      <name val="Arial CE"/>
      <charset val="238"/>
    </font>
    <font>
      <u/>
      <sz val="12"/>
      <color rgb="FF0070C0"/>
      <name val="Arial CE"/>
      <charset val="238"/>
    </font>
    <font>
      <sz val="12"/>
      <color rgb="FF0070C0"/>
      <name val="Arial CE"/>
      <charset val="238"/>
    </font>
    <font>
      <b/>
      <sz val="14"/>
      <color rgb="FF0070C0"/>
      <name val="Arial CE"/>
      <charset val="238"/>
    </font>
    <font>
      <u/>
      <sz val="11"/>
      <color rgb="FF0070C0"/>
      <name val="Calibri"/>
      <charset val="238"/>
      <scheme val="minor"/>
    </font>
    <font>
      <sz val="10"/>
      <name val="Arial CE"/>
      <charset val="238"/>
    </font>
    <font>
      <vertAlign val="superscript"/>
      <sz val="10"/>
      <name val="Arial CE"/>
      <charset val="238"/>
    </font>
    <font>
      <sz val="11"/>
      <color rgb="FF0070C0"/>
      <name val="Arial CE"/>
      <charset val="238"/>
    </font>
    <font>
      <sz val="10"/>
      <color theme="0" tint="-0.499984740745262"/>
      <name val="Arial"/>
      <charset val="238"/>
    </font>
    <font>
      <sz val="12"/>
      <color rgb="FF002060"/>
      <name val="Calibri"/>
      <charset val="238"/>
      <scheme val="minor"/>
    </font>
    <font>
      <b/>
      <sz val="14"/>
      <name val="Arial"/>
      <charset val="238"/>
    </font>
    <font>
      <sz val="11"/>
      <color rgb="FF002060"/>
      <name val="Arial"/>
      <charset val="238"/>
    </font>
    <font>
      <sz val="11"/>
      <name val="Symbol"/>
      <charset val="2"/>
    </font>
    <font>
      <sz val="8"/>
      <color theme="0" tint="-0.499984740745262"/>
      <name val="Arial"/>
      <charset val="238"/>
    </font>
    <font>
      <b/>
      <sz val="10"/>
      <color theme="0" tint="-0.499984740745262"/>
      <name val="Arial"/>
      <charset val="238"/>
    </font>
    <font>
      <sz val="10"/>
      <name val="Tahoma"/>
      <charset val="238"/>
    </font>
    <font>
      <b/>
      <sz val="12"/>
      <name val="Tahoma"/>
      <charset val="238"/>
    </font>
    <font>
      <b/>
      <sz val="11"/>
      <name val="Tahoma"/>
      <charset val="238"/>
    </font>
    <font>
      <b/>
      <sz val="10"/>
      <name val="Tahoma"/>
      <charset val="238"/>
    </font>
    <font>
      <sz val="10"/>
      <color theme="1"/>
      <name val="Tahoma"/>
      <charset val="238"/>
    </font>
    <font>
      <sz val="10"/>
      <color rgb="FF002060"/>
      <name val="Tahoma"/>
      <charset val="238"/>
    </font>
    <font>
      <sz val="10"/>
      <color theme="1"/>
      <name val="Calibri"/>
      <charset val="238"/>
      <scheme val="minor"/>
    </font>
    <font>
      <sz val="9"/>
      <color theme="1"/>
      <name val="Calibri"/>
      <charset val="238"/>
      <scheme val="minor"/>
    </font>
    <font>
      <sz val="8"/>
      <color theme="1"/>
      <name val="Calibri"/>
      <charset val="238"/>
      <scheme val="minor"/>
    </font>
    <font>
      <b/>
      <sz val="14"/>
      <color theme="1"/>
      <name val="Calibri"/>
      <charset val="238"/>
      <scheme val="minor"/>
    </font>
    <font>
      <b/>
      <sz val="10"/>
      <color theme="1"/>
      <name val="Calibri"/>
      <charset val="238"/>
      <scheme val="minor"/>
    </font>
    <font>
      <sz val="12"/>
      <color theme="1"/>
      <name val="Calibri"/>
      <charset val="238"/>
      <scheme val="minor"/>
    </font>
    <font>
      <sz val="11"/>
      <color theme="1"/>
      <name val="Calibri"/>
      <charset val="238"/>
      <scheme val="minor"/>
    </font>
    <font>
      <b/>
      <sz val="12"/>
      <color theme="1"/>
      <name val="Calibri"/>
      <charset val="238"/>
      <scheme val="minor"/>
    </font>
    <font>
      <b/>
      <sz val="9"/>
      <color theme="1"/>
      <name val="Calibri"/>
      <charset val="238"/>
      <scheme val="minor"/>
    </font>
    <font>
      <sz val="11"/>
      <name val="Arial Narrow"/>
      <charset val="238"/>
    </font>
    <font>
      <b/>
      <sz val="11"/>
      <name val="Arial Narrow"/>
      <charset val="238"/>
    </font>
    <font>
      <sz val="11"/>
      <color theme="1" tint="0.349986266670736"/>
      <name val="Arial Narrow"/>
      <charset val="238"/>
    </font>
    <font>
      <b/>
      <sz val="14"/>
      <name val="Arial Narrow"/>
      <charset val="238"/>
    </font>
    <font>
      <b/>
      <sz val="12"/>
      <name val="Arial Narrow"/>
      <charset val="238"/>
    </font>
    <font>
      <b/>
      <sz val="16"/>
      <name val="Times New Roman CE"/>
      <charset val="238"/>
    </font>
    <font>
      <sz val="24"/>
      <name val="Century Gothic"/>
      <charset val="238"/>
    </font>
    <font>
      <sz val="20"/>
      <name val="Century Gothic"/>
      <charset val="238"/>
    </font>
    <font>
      <sz val="16"/>
      <name val="Century Gothic"/>
      <charset val="238"/>
    </font>
    <font>
      <b/>
      <sz val="24"/>
      <name val="Times New Roman CE"/>
      <charset val="238"/>
    </font>
    <font>
      <sz val="24"/>
      <name val="Arial"/>
      <charset val="238"/>
    </font>
    <font>
      <sz val="24"/>
      <name val="Times New Roman CE"/>
      <charset val="238"/>
    </font>
    <font>
      <i/>
      <sz val="9"/>
      <name val="Arial"/>
      <charset val="238"/>
    </font>
    <font>
      <b/>
      <sz val="14"/>
      <color theme="0"/>
      <name val="Arial"/>
      <charset val="238"/>
    </font>
    <font>
      <b/>
      <sz val="11"/>
      <name val="Arial"/>
      <charset val="238"/>
    </font>
    <font>
      <sz val="12"/>
      <name val="Times New Roman CE"/>
      <charset val="238"/>
    </font>
    <font>
      <sz val="9"/>
      <name val="Times New Roman CE"/>
      <charset val="238"/>
    </font>
    <font>
      <sz val="10"/>
      <color indexed="9"/>
      <name val="Arial"/>
      <charset val="238"/>
    </font>
    <font>
      <sz val="8"/>
      <color indexed="9"/>
      <name val="Arial"/>
      <charset val="238"/>
    </font>
    <font>
      <b/>
      <sz val="11"/>
      <name val="Calibri"/>
      <charset val="238"/>
      <scheme val="minor"/>
    </font>
    <font>
      <b/>
      <sz val="10"/>
      <name val="Calibri"/>
      <charset val="238"/>
      <scheme val="minor"/>
    </font>
    <font>
      <b/>
      <sz val="10"/>
      <name val="Times New Roman CE"/>
      <charset val="238"/>
    </font>
    <font>
      <b/>
      <u/>
      <sz val="14"/>
      <name val="Arial"/>
      <charset val="238"/>
    </font>
    <font>
      <b/>
      <vertAlign val="superscript"/>
      <sz val="16"/>
      <name val="Arial"/>
      <charset val="238"/>
    </font>
    <font>
      <vertAlign val="superscript"/>
      <sz val="16"/>
      <name val="Arial"/>
      <charset val="238"/>
    </font>
    <font>
      <vertAlign val="superscript"/>
      <sz val="11"/>
      <name val="Arial"/>
      <charset val="238"/>
    </font>
    <font>
      <sz val="11"/>
      <color indexed="9"/>
      <name val="Arial"/>
      <charset val="238"/>
    </font>
    <font>
      <sz val="14"/>
      <name val="Times New Roman CE"/>
      <charset val="238"/>
    </font>
    <font>
      <b/>
      <sz val="36"/>
      <name val="Times New Roman CE"/>
      <charset val="238"/>
    </font>
    <font>
      <b/>
      <sz val="18"/>
      <name val="Times New Roman CE"/>
      <charset val="238"/>
    </font>
    <font>
      <sz val="11"/>
      <name val="Times New Roman"/>
      <charset val="238"/>
    </font>
    <font>
      <b/>
      <sz val="14"/>
      <name val="Times New Roman"/>
      <charset val="238"/>
    </font>
    <font>
      <sz val="10"/>
      <color rgb="FF002060"/>
      <name val="Times New Roman"/>
      <charset val="238"/>
    </font>
    <font>
      <sz val="10"/>
      <name val="Times New Roman"/>
      <charset val="238"/>
    </font>
    <font>
      <b/>
      <sz val="12"/>
      <name val="Times New Roman"/>
      <charset val="238"/>
    </font>
    <font>
      <b/>
      <sz val="18"/>
      <name val="Times New Roman"/>
      <charset val="238"/>
    </font>
    <font>
      <sz val="11"/>
      <color rgb="FFFFFFFF"/>
      <name val="Times New Roman"/>
      <charset val="238"/>
    </font>
    <font>
      <i/>
      <sz val="11"/>
      <name val="Times New Roman"/>
      <charset val="238"/>
    </font>
    <font>
      <i/>
      <sz val="9"/>
      <name val="Times New Roman"/>
      <charset val="238"/>
    </font>
    <font>
      <i/>
      <sz val="12"/>
      <name val="Times New Roman"/>
      <charset val="238"/>
    </font>
    <font>
      <sz val="8"/>
      <color rgb="FF002060"/>
      <name val="Times New Roman"/>
      <charset val="238"/>
    </font>
    <font>
      <sz val="10"/>
      <name val="Arial Narrow"/>
      <charset val="238"/>
    </font>
    <font>
      <b/>
      <sz val="10"/>
      <name val="Arial Narrow"/>
      <charset val="238"/>
    </font>
    <font>
      <sz val="10"/>
      <color theme="1" tint="0.349986266670736"/>
      <name val="Arial Narrow"/>
      <charset val="238"/>
    </font>
    <font>
      <sz val="9"/>
      <color theme="1" tint="0.349986266670736"/>
      <name val="Arial Narrow"/>
      <charset val="238"/>
    </font>
    <font>
      <sz val="12"/>
      <name val="Arial Narrow"/>
      <charset val="238"/>
    </font>
    <font>
      <sz val="9"/>
      <name val="Arial Narrow"/>
      <charset val="238"/>
    </font>
    <font>
      <sz val="8"/>
      <name val="Arial Narrow"/>
      <charset val="238"/>
    </font>
    <font>
      <i/>
      <sz val="10"/>
      <name val="Arial Narrow"/>
      <charset val="238"/>
    </font>
    <font>
      <sz val="9"/>
      <color theme="1" tint="0.499984740745262"/>
      <name val="Arial Narrow"/>
      <charset val="238"/>
    </font>
    <font>
      <sz val="14"/>
      <color theme="1"/>
      <name val="Arial Narrow"/>
      <charset val="238"/>
    </font>
    <font>
      <sz val="16"/>
      <name val="Arial Narrow"/>
      <charset val="238"/>
    </font>
    <font>
      <b/>
      <sz val="20"/>
      <name val="Arial Narrow"/>
      <charset val="238"/>
    </font>
    <font>
      <sz val="14"/>
      <name val="Arial Narrow"/>
      <charset val="238"/>
    </font>
    <font>
      <i/>
      <sz val="12"/>
      <name val="Arial Narrow"/>
      <charset val="238"/>
    </font>
    <font>
      <sz val="14"/>
      <color theme="1"/>
      <name val="Calibri"/>
      <charset val="238"/>
      <scheme val="minor"/>
    </font>
    <font>
      <sz val="12"/>
      <color rgb="FFFF0000"/>
      <name val="Arial Narrow"/>
      <charset val="238"/>
    </font>
    <font>
      <sz val="11"/>
      <name val="Cambria"/>
      <charset val="238"/>
    </font>
    <font>
      <b/>
      <sz val="11"/>
      <name val="Cambria"/>
      <charset val="238"/>
    </font>
    <font>
      <b/>
      <sz val="10"/>
      <name val="Cambria"/>
      <charset val="238"/>
    </font>
    <font>
      <sz val="18"/>
      <name val="Cambria"/>
      <charset val="238"/>
    </font>
    <font>
      <sz val="20"/>
      <name val="Cambria"/>
      <charset val="238"/>
    </font>
    <font>
      <sz val="20"/>
      <name val="Bar-Code 39"/>
      <charset val="238"/>
    </font>
    <font>
      <sz val="10"/>
      <color theme="1" tint="0.249977111117893"/>
      <name val="Cambria"/>
      <charset val="238"/>
    </font>
    <font>
      <sz val="10"/>
      <name val="Cambria"/>
      <charset val="238"/>
    </font>
    <font>
      <b/>
      <sz val="11"/>
      <name val="Cambria"/>
      <charset val="134"/>
    </font>
    <font>
      <sz val="12"/>
      <name val="Cambria"/>
      <charset val="238"/>
    </font>
    <font>
      <sz val="16"/>
      <name val="Cambria"/>
      <charset val="238"/>
    </font>
    <font>
      <sz val="14"/>
      <name val="Cambria"/>
      <charset val="238"/>
    </font>
    <font>
      <sz val="10.5"/>
      <name val="Cambria"/>
      <charset val="238"/>
    </font>
    <font>
      <b/>
      <sz val="15"/>
      <name val="Cambria"/>
      <charset val="238"/>
    </font>
    <font>
      <sz val="8"/>
      <name val="Cambria"/>
      <charset val="238"/>
    </font>
    <font>
      <b/>
      <sz val="10.5"/>
      <name val="Cambria"/>
      <charset val="134"/>
    </font>
    <font>
      <sz val="10.5"/>
      <name val="Cambria"/>
      <charset val="134"/>
    </font>
    <font>
      <b/>
      <sz val="14"/>
      <name val="Cambria"/>
      <charset val="238"/>
    </font>
    <font>
      <b/>
      <sz val="10"/>
      <color theme="1" tint="0.249977111117893"/>
      <name val="Cambria"/>
      <charset val="134"/>
    </font>
    <font>
      <sz val="8"/>
      <color theme="1" tint="0.249977111117893"/>
      <name val="Times New Roman"/>
      <charset val="134"/>
    </font>
    <font>
      <sz val="11"/>
      <color theme="3"/>
      <name val="Times New Roman"/>
      <charset val="238"/>
    </font>
    <font>
      <sz val="8"/>
      <color theme="3" tint="0.599993896298105"/>
      <name val="Times New Roman"/>
      <charset val="238"/>
    </font>
    <font>
      <b/>
      <sz val="20"/>
      <name val="Calibri"/>
      <charset val="238"/>
      <scheme val="minor"/>
    </font>
    <font>
      <sz val="24"/>
      <name val="Calibri"/>
      <charset val="238"/>
      <scheme val="minor"/>
    </font>
    <font>
      <sz val="11"/>
      <color rgb="FF002060"/>
      <name val="Calibri"/>
      <charset val="238"/>
      <scheme val="minor"/>
    </font>
    <font>
      <sz val="9"/>
      <name val="Calibri"/>
      <charset val="238"/>
      <scheme val="minor"/>
    </font>
    <font>
      <sz val="10"/>
      <color rgb="FF002060"/>
      <name val="Calibri"/>
      <charset val="238"/>
      <scheme val="minor"/>
    </font>
    <font>
      <sz val="8"/>
      <color rgb="FF002060"/>
      <name val="Calibri"/>
      <charset val="238"/>
      <scheme val="minor"/>
    </font>
    <font>
      <i/>
      <sz val="9"/>
      <name val="Calibri"/>
      <charset val="238"/>
      <scheme val="minor"/>
    </font>
    <font>
      <b/>
      <sz val="14"/>
      <name val="Century Gothic"/>
      <charset val="238"/>
    </font>
    <font>
      <sz val="14"/>
      <name val="Century Gothic"/>
      <charset val="238"/>
    </font>
    <font>
      <b/>
      <sz val="16"/>
      <name val="Times New Roman"/>
      <charset val="238"/>
    </font>
    <font>
      <b/>
      <u/>
      <sz val="14"/>
      <color rgb="FF002060"/>
      <name val="Arial Narrow"/>
      <charset val="238"/>
    </font>
    <font>
      <u/>
      <sz val="14"/>
      <color rgb="FF002060"/>
      <name val="Arial Narrow"/>
      <charset val="238"/>
    </font>
    <font>
      <b/>
      <sz val="14"/>
      <color rgb="FF002060"/>
      <name val="Arial Narrow"/>
      <charset val="238"/>
    </font>
    <font>
      <sz val="11"/>
      <color rgb="FFFF0000"/>
      <name val="Arial"/>
      <charset val="238"/>
    </font>
    <font>
      <b/>
      <sz val="13"/>
      <name val="Arial"/>
      <charset val="238"/>
    </font>
    <font>
      <b/>
      <sz val="16"/>
      <name val="Arial"/>
      <charset val="238"/>
    </font>
    <font>
      <sz val="6"/>
      <name val="Arial"/>
      <charset val="238"/>
    </font>
    <font>
      <b/>
      <i/>
      <sz val="12"/>
      <name val="Arial"/>
      <charset val="238"/>
    </font>
    <font>
      <i/>
      <sz val="8"/>
      <name val="Arial"/>
      <charset val="238"/>
    </font>
    <font>
      <sz val="10"/>
      <color indexed="10"/>
      <name val="Arial"/>
      <charset val="238"/>
    </font>
    <font>
      <sz val="8"/>
      <color indexed="12"/>
      <name val="Arial"/>
      <charset val="238"/>
    </font>
    <font>
      <sz val="9"/>
      <name val="Arial"/>
      <charset val="134"/>
    </font>
    <font>
      <b/>
      <sz val="8"/>
      <name val="Arial"/>
      <charset val="238"/>
    </font>
    <font>
      <b/>
      <sz val="8.5"/>
      <name val="Arial"/>
      <charset val="238"/>
    </font>
    <font>
      <b/>
      <sz val="24"/>
      <name val="Arial Narrow"/>
      <charset val="238"/>
    </font>
    <font>
      <sz val="11"/>
      <color theme="1" tint="0.499984740745262"/>
      <name val="Arial Narrow"/>
      <charset val="238"/>
    </font>
    <font>
      <b/>
      <sz val="16"/>
      <name val="Arial Narrow"/>
      <charset val="238"/>
    </font>
    <font>
      <sz val="11"/>
      <color rgb="FFFF0000"/>
      <name val="Arial Narrow"/>
      <charset val="238"/>
    </font>
    <font>
      <sz val="11"/>
      <color theme="1"/>
      <name val="Arial Narrow"/>
      <charset val="238"/>
    </font>
    <font>
      <sz val="11"/>
      <name val="Cambria"/>
      <charset val="238"/>
      <scheme val="major"/>
    </font>
    <font>
      <sz val="11"/>
      <color indexed="10"/>
      <name val="Arial"/>
      <charset val="238"/>
    </font>
    <font>
      <b/>
      <sz val="18"/>
      <color theme="1"/>
      <name val="Calibri"/>
      <charset val="238"/>
      <scheme val="minor"/>
    </font>
    <font>
      <sz val="12"/>
      <color rgb="FF3366FF"/>
      <name val="Calibri"/>
      <charset val="238"/>
      <scheme val="minor"/>
    </font>
    <font>
      <b/>
      <sz val="11"/>
      <color theme="1"/>
      <name val="Calibri"/>
      <charset val="238"/>
      <scheme val="minor"/>
    </font>
    <font>
      <sz val="10"/>
      <color rgb="FF3366FF"/>
      <name val="Calibri"/>
      <charset val="238"/>
      <scheme val="minor"/>
    </font>
    <font>
      <sz val="11"/>
      <color rgb="FF3366FF"/>
      <name val="Calibri"/>
      <charset val="238"/>
      <scheme val="minor"/>
    </font>
    <font>
      <b/>
      <sz val="14"/>
      <color rgb="FFFF0000"/>
      <name val="Calibri"/>
      <charset val="238"/>
      <scheme val="minor"/>
    </font>
    <font>
      <sz val="10"/>
      <color rgb="FFFF0000"/>
      <name val="Calibri"/>
      <charset val="238"/>
      <scheme val="minor"/>
    </font>
    <font>
      <sz val="10"/>
      <color rgb="FF333399"/>
      <name val="Arial"/>
      <charset val="238"/>
    </font>
    <font>
      <sz val="11"/>
      <color rgb="FF333399"/>
      <name val="Arial"/>
      <charset val="238"/>
    </font>
    <font>
      <b/>
      <sz val="12"/>
      <color rgb="FF002060"/>
      <name val="Calibri"/>
      <charset val="238"/>
      <scheme val="minor"/>
    </font>
    <font>
      <sz val="9"/>
      <color rgb="FF002060"/>
      <name val="Calibri"/>
      <charset val="238"/>
      <scheme val="minor"/>
    </font>
    <font>
      <sz val="7"/>
      <color theme="1"/>
      <name val="Calibri"/>
      <charset val="238"/>
      <scheme val="minor"/>
    </font>
    <font>
      <sz val="7.5"/>
      <color theme="1"/>
      <name val="Calibri"/>
      <charset val="238"/>
      <scheme val="minor"/>
    </font>
    <font>
      <b/>
      <sz val="8"/>
      <color theme="1"/>
      <name val="Calibri"/>
      <charset val="238"/>
      <scheme val="minor"/>
    </font>
    <font>
      <sz val="9"/>
      <color rgb="FFFF0000"/>
      <name val="Calibri"/>
      <charset val="238"/>
      <scheme val="minor"/>
    </font>
    <font>
      <sz val="12"/>
      <color rgb="FFFF0000"/>
      <name val="Calibri"/>
      <charset val="238"/>
      <scheme val="minor"/>
    </font>
    <font>
      <sz val="12"/>
      <color rgb="FF008000"/>
      <name val="Calibri"/>
      <charset val="238"/>
      <scheme val="minor"/>
    </font>
    <font>
      <b/>
      <sz val="16"/>
      <color theme="1"/>
      <name val="Calibri"/>
      <charset val="238"/>
      <scheme val="minor"/>
    </font>
    <font>
      <sz val="16"/>
      <color theme="1"/>
      <name val="Calibri"/>
      <charset val="238"/>
      <scheme val="minor"/>
    </font>
    <font>
      <sz val="8.5"/>
      <color theme="1"/>
      <name val="Calibri"/>
      <charset val="238"/>
      <scheme val="minor"/>
    </font>
    <font>
      <sz val="9"/>
      <color rgb="FF0066FF"/>
      <name val="Calibri"/>
      <charset val="238"/>
      <scheme val="minor"/>
    </font>
    <font>
      <b/>
      <sz val="20"/>
      <color theme="0"/>
      <name val="Calibri"/>
      <charset val="238"/>
      <scheme val="minor"/>
    </font>
    <font>
      <sz val="10"/>
      <color indexed="47"/>
      <name val="Arial"/>
      <charset val="238"/>
    </font>
    <font>
      <sz val="10"/>
      <color theme="0"/>
      <name val="Calibri"/>
      <charset val="238"/>
      <scheme val="minor"/>
    </font>
    <font>
      <sz val="11"/>
      <color theme="0"/>
      <name val="Calibri"/>
      <charset val="238"/>
      <scheme val="minor"/>
    </font>
    <font>
      <sz val="12"/>
      <color theme="0"/>
      <name val="Calibri"/>
      <charset val="238"/>
      <scheme val="minor"/>
    </font>
    <font>
      <sz val="8"/>
      <name val="Arial"/>
      <charset val="134"/>
    </font>
    <font>
      <sz val="10"/>
      <name val="Arial"/>
      <charset val="134"/>
    </font>
    <font>
      <b/>
      <sz val="8"/>
      <name val="Arial CE"/>
      <charset val="238"/>
    </font>
    <font>
      <b/>
      <sz val="8"/>
      <name val="Arial"/>
      <charset val="134"/>
    </font>
    <font>
      <b/>
      <i/>
      <sz val="8"/>
      <name val="Arial"/>
      <charset val="238"/>
    </font>
    <font>
      <sz val="12"/>
      <name val="Arial"/>
      <charset val="134"/>
    </font>
    <font>
      <b/>
      <sz val="12"/>
      <color rgb="FF0070C0"/>
      <name val="Calibri"/>
      <charset val="238"/>
      <scheme val="minor"/>
    </font>
    <font>
      <sz val="11"/>
      <color rgb="FF0070C0"/>
      <name val="Calibri"/>
      <charset val="238"/>
      <scheme val="minor"/>
    </font>
    <font>
      <vertAlign val="superscript"/>
      <sz val="8"/>
      <name val="Arial"/>
      <charset val="134"/>
    </font>
    <font>
      <sz val="7"/>
      <name val="Arial"/>
      <charset val="134"/>
    </font>
    <font>
      <i/>
      <sz val="9"/>
      <name val="Arial"/>
      <charset val="134"/>
    </font>
    <font>
      <b/>
      <sz val="7"/>
      <name val="Arial"/>
      <charset val="134"/>
    </font>
    <font>
      <sz val="10"/>
      <color rgb="FF0070C0"/>
      <name val="Calibri"/>
      <charset val="238"/>
      <scheme val="minor"/>
    </font>
    <font>
      <b/>
      <sz val="10"/>
      <color rgb="FF0070C0"/>
      <name val="Calibri"/>
      <charset val="238"/>
      <scheme val="minor"/>
    </font>
    <font>
      <sz val="7"/>
      <name val="Arial"/>
      <charset val="238"/>
    </font>
    <font>
      <i/>
      <sz val="7"/>
      <name val="Arial"/>
      <charset val="238"/>
    </font>
    <font>
      <b/>
      <sz val="9"/>
      <color theme="1"/>
      <name val="Arial"/>
      <charset val="134"/>
    </font>
    <font>
      <b/>
      <sz val="10"/>
      <color theme="1"/>
      <name val="Arial"/>
      <charset val="134"/>
    </font>
    <font>
      <sz val="10"/>
      <color theme="1"/>
      <name val="Arial"/>
      <charset val="134"/>
    </font>
    <font>
      <sz val="9"/>
      <color theme="1"/>
      <name val="Arial"/>
      <charset val="134"/>
    </font>
    <font>
      <b/>
      <sz val="8"/>
      <color theme="1"/>
      <name val="Arial"/>
      <charset val="134"/>
    </font>
    <font>
      <b/>
      <sz val="7"/>
      <color theme="1"/>
      <name val="Arial"/>
      <charset val="134"/>
    </font>
    <font>
      <sz val="8"/>
      <color theme="1"/>
      <name val="Arial"/>
      <charset val="134"/>
    </font>
    <font>
      <vertAlign val="superscript"/>
      <sz val="10"/>
      <name val="Arial"/>
      <charset val="134"/>
    </font>
    <font>
      <vertAlign val="superscript"/>
      <sz val="10"/>
      <color rgb="FFFF0000"/>
      <name val="Arial"/>
      <charset val="134"/>
    </font>
    <font>
      <sz val="9"/>
      <color rgb="FF0070C0"/>
      <name val="Arial"/>
      <charset val="134"/>
    </font>
    <font>
      <b/>
      <u/>
      <sz val="8"/>
      <name val="Arial"/>
      <charset val="134"/>
    </font>
    <font>
      <b/>
      <u/>
      <sz val="9"/>
      <name val="Arial"/>
      <charset val="134"/>
    </font>
    <font>
      <i/>
      <sz val="8"/>
      <name val="Arial"/>
      <charset val="134"/>
    </font>
    <font>
      <vertAlign val="superscript"/>
      <sz val="10"/>
      <color theme="1"/>
      <name val="Arial"/>
      <charset val="134"/>
    </font>
    <font>
      <b/>
      <sz val="16"/>
      <color theme="0"/>
      <name val="Calibri"/>
      <charset val="238"/>
      <scheme val="minor"/>
    </font>
    <font>
      <sz val="10"/>
      <name val="Arial Black"/>
      <charset val="238"/>
    </font>
    <font>
      <sz val="10"/>
      <color rgb="FF002060"/>
      <name val="Arial"/>
      <charset val="238"/>
    </font>
    <font>
      <sz val="10"/>
      <color theme="3"/>
      <name val="Arial"/>
      <charset val="238"/>
    </font>
    <font>
      <sz val="12"/>
      <color theme="1"/>
      <name val="Arial Narrow"/>
      <charset val="238"/>
    </font>
    <font>
      <sz val="10"/>
      <color rgb="FF008000"/>
      <name val="Arial"/>
      <charset val="238"/>
    </font>
    <font>
      <sz val="14"/>
      <name val="Calibri"/>
      <charset val="238"/>
      <scheme val="minor"/>
    </font>
    <font>
      <b/>
      <u/>
      <sz val="20"/>
      <color theme="0"/>
      <name val="Calibri"/>
      <charset val="238"/>
      <scheme val="minor"/>
    </font>
    <font>
      <b/>
      <sz val="11"/>
      <color rgb="FFFFFFFF"/>
      <name val="Calibri"/>
      <charset val="238"/>
      <scheme val="minor"/>
    </font>
    <font>
      <b/>
      <sz val="18"/>
      <color theme="0"/>
      <name val="Calibri"/>
      <charset val="238"/>
      <scheme val="minor"/>
    </font>
    <font>
      <sz val="12"/>
      <color theme="0"/>
      <name val="Arial"/>
      <charset val="238"/>
    </font>
    <font>
      <sz val="12"/>
      <color theme="0"/>
      <name val="Arial Narrow"/>
      <charset val="238"/>
    </font>
    <font>
      <sz val="10"/>
      <color indexed="48"/>
      <name val="Arial"/>
      <charset val="238"/>
    </font>
    <font>
      <u/>
      <sz val="10"/>
      <color theme="10"/>
      <name val="Arial"/>
      <charset val="238"/>
    </font>
    <font>
      <u/>
      <sz val="12"/>
      <color theme="10"/>
      <name val="Calibri"/>
      <charset val="238"/>
      <scheme val="minor"/>
    </font>
    <font>
      <sz val="12"/>
      <color theme="1"/>
      <name val="Century Gothic"/>
      <charset val="238"/>
    </font>
    <font>
      <sz val="11"/>
      <color theme="1"/>
      <name val="Arial"/>
      <charset val="238"/>
    </font>
    <font>
      <sz val="14"/>
      <color rgb="FF002060"/>
      <name val="Calibri"/>
      <charset val="238"/>
      <scheme val="minor"/>
    </font>
    <font>
      <sz val="11"/>
      <color indexed="9"/>
      <name val="Calibri"/>
      <charset val="238"/>
      <scheme val="minor"/>
    </font>
    <font>
      <sz val="14"/>
      <color rgb="FFFF0000"/>
      <name val="Arial"/>
      <charset val="238"/>
    </font>
    <font>
      <sz val="12"/>
      <color indexed="9"/>
      <name val="Arial Narrow"/>
      <charset val="238"/>
    </font>
    <font>
      <i/>
      <sz val="12"/>
      <name val="Calibri"/>
      <charset val="238"/>
      <scheme val="minor"/>
    </font>
    <font>
      <b/>
      <sz val="12"/>
      <color rgb="FFFF0000"/>
      <name val="Calibri"/>
      <charset val="238"/>
      <scheme val="minor"/>
    </font>
    <font>
      <sz val="12"/>
      <color indexed="62"/>
      <name val="Arial Narrow"/>
      <charset val="238"/>
    </font>
    <font>
      <sz val="14"/>
      <color theme="3"/>
      <name val="Calibri"/>
      <charset val="238"/>
      <scheme val="minor"/>
    </font>
    <font>
      <sz val="14"/>
      <color rgb="FFFF0000"/>
      <name val="Calibri"/>
      <charset val="238"/>
      <scheme val="minor"/>
    </font>
    <font>
      <sz val="8"/>
      <color indexed="62"/>
      <name val="Arial"/>
      <charset val="238"/>
    </font>
    <font>
      <sz val="8"/>
      <color theme="1"/>
      <name val="Arial"/>
      <charset val="238"/>
    </font>
    <font>
      <sz val="10"/>
      <color indexed="47"/>
      <name val="Calibri"/>
      <charset val="238"/>
      <scheme val="minor"/>
    </font>
    <font>
      <b/>
      <u/>
      <sz val="12"/>
      <color theme="1"/>
      <name val="Calibri"/>
      <charset val="238"/>
      <scheme val="minor"/>
    </font>
    <font>
      <b/>
      <u/>
      <sz val="12"/>
      <name val="Calibri"/>
      <charset val="238"/>
      <scheme val="minor"/>
    </font>
    <font>
      <sz val="12"/>
      <color rgb="FF0066FF"/>
      <name val="Calibri"/>
      <charset val="238"/>
      <scheme val="minor"/>
    </font>
    <font>
      <b/>
      <sz val="16"/>
      <name val="Calibri"/>
      <charset val="238"/>
      <scheme val="minor"/>
    </font>
    <font>
      <u/>
      <sz val="12"/>
      <color rgb="FF0066FF"/>
      <name val="Calibri"/>
      <charset val="238"/>
      <scheme val="minor"/>
    </font>
    <font>
      <u/>
      <sz val="12"/>
      <name val="Calibri"/>
      <charset val="238"/>
      <scheme val="minor"/>
    </font>
    <font>
      <sz val="18"/>
      <color theme="1"/>
      <name val="Calibri"/>
      <charset val="238"/>
      <scheme val="minor"/>
    </font>
    <font>
      <b/>
      <sz val="16"/>
      <color rgb="FF333399"/>
      <name val="Calibri"/>
      <charset val="238"/>
      <scheme val="minor"/>
    </font>
    <font>
      <sz val="9"/>
      <color theme="0"/>
      <name val="Calibri"/>
      <charset val="238"/>
      <scheme val="minor"/>
    </font>
    <font>
      <sz val="14"/>
      <color theme="0"/>
      <name val="Calibri"/>
      <charset val="238"/>
      <scheme val="minor"/>
    </font>
    <font>
      <b/>
      <sz val="11"/>
      <color rgb="FF333399"/>
      <name val="Calibri"/>
      <charset val="238"/>
      <scheme val="minor"/>
    </font>
    <font>
      <sz val="12"/>
      <color indexed="9"/>
      <name val="Calibri"/>
      <charset val="238"/>
      <scheme val="minor"/>
    </font>
    <font>
      <u/>
      <sz val="12"/>
      <color theme="1"/>
      <name val="Calibri"/>
      <charset val="238"/>
      <scheme val="minor"/>
    </font>
    <font>
      <sz val="18"/>
      <name val="Calibri"/>
      <charset val="238"/>
      <scheme val="minor"/>
    </font>
    <font>
      <b/>
      <sz val="16"/>
      <color indexed="9"/>
      <name val="Calibri"/>
      <charset val="238"/>
      <scheme val="minor"/>
    </font>
    <font>
      <sz val="20"/>
      <color theme="1"/>
      <name val="Calibri"/>
      <charset val="238"/>
      <scheme val="minor"/>
    </font>
    <font>
      <i/>
      <sz val="12"/>
      <color theme="1"/>
      <name val="Calibri"/>
      <charset val="238"/>
      <scheme val="minor"/>
    </font>
    <font>
      <u/>
      <sz val="16"/>
      <color theme="1"/>
      <name val="Calibri"/>
      <charset val="238"/>
      <scheme val="minor"/>
    </font>
    <font>
      <sz val="18"/>
      <color indexed="9"/>
      <name val="Arial"/>
      <charset val="238"/>
    </font>
    <font>
      <b/>
      <sz val="11"/>
      <color theme="6" tint="0.599993896298105"/>
      <name val="Calibri"/>
      <charset val="238"/>
      <scheme val="minor"/>
    </font>
    <font>
      <sz val="10"/>
      <color theme="6" tint="0.599993896298105"/>
      <name val="Arial"/>
      <charset val="238"/>
    </font>
    <font>
      <sz val="10"/>
      <color rgb="FFFF0000"/>
      <name val="Arial"/>
      <charset val="238"/>
    </font>
    <font>
      <b/>
      <sz val="14"/>
      <color theme="6" tint="0.599993896298105"/>
      <name val="Calibri"/>
      <charset val="238"/>
      <scheme val="minor"/>
    </font>
    <font>
      <b/>
      <sz val="10"/>
      <color theme="0"/>
      <name val="Arial"/>
      <charset val="238"/>
    </font>
    <font>
      <sz val="10"/>
      <color rgb="FFC00000"/>
      <name val="Arial"/>
      <charset val="238"/>
    </font>
    <font>
      <b/>
      <sz val="9"/>
      <color rgb="FF000000"/>
      <name val="Segoe UI"/>
      <charset val="238"/>
    </font>
    <font>
      <sz val="9"/>
      <color rgb="FF000000"/>
      <name val="Times New Roman"/>
      <charset val="238"/>
    </font>
    <font>
      <b/>
      <sz val="9"/>
      <color rgb="FF000000"/>
      <name val="Times New Roman"/>
      <charset val="238"/>
    </font>
    <font>
      <sz val="9"/>
      <color rgb="FF000000"/>
      <name val="Segoe UI"/>
      <charset val="238"/>
    </font>
    <font>
      <sz val="10"/>
      <color rgb="FF000000"/>
      <name val="Segoe UI"/>
      <charset val="238"/>
    </font>
    <font>
      <b/>
      <sz val="10"/>
      <color rgb="FF000000"/>
      <name val="Segoe UI"/>
      <charset val="238"/>
    </font>
    <font>
      <sz val="11"/>
      <color rgb="FF000000"/>
      <name val="Calibri"/>
      <charset val="238"/>
    </font>
    <font>
      <sz val="11"/>
      <color rgb="FF000000"/>
      <name val="Segoe UI"/>
      <charset val="238"/>
    </font>
    <font>
      <b/>
      <sz val="11"/>
      <color rgb="FF000000"/>
      <name val="Calibri"/>
      <charset val="238"/>
    </font>
    <font>
      <b/>
      <sz val="11"/>
      <color rgb="FF000000"/>
      <name val="Segoe UI"/>
      <charset val="238"/>
    </font>
    <font>
      <sz val="11"/>
      <color theme="1"/>
      <name val="Century Gothic"/>
      <charset val="238"/>
    </font>
    <font>
      <sz val="8"/>
      <color rgb="FF007635"/>
      <name val="Calibri"/>
      <charset val="238"/>
      <scheme val="minor"/>
    </font>
    <font>
      <sz val="8"/>
      <color rgb="FF0070C0"/>
      <name val="Calibri"/>
      <charset val="238"/>
      <scheme val="minor"/>
    </font>
    <font>
      <sz val="8"/>
      <color rgb="FFFF0000"/>
      <name val="Calibri"/>
      <charset val="238"/>
      <scheme val="minor"/>
    </font>
    <font>
      <sz val="14"/>
      <color rgb="FF007635"/>
      <name val="Calibri"/>
      <charset val="238"/>
      <scheme val="minor"/>
    </font>
    <font>
      <sz val="14"/>
      <color rgb="FF0070C0"/>
      <name val="Calibri"/>
      <charset val="238"/>
      <scheme val="minor"/>
    </font>
    <font>
      <sz val="11"/>
      <color rgb="FF007635"/>
      <name val="Calibri"/>
      <charset val="238"/>
      <scheme val="minor"/>
    </font>
    <font>
      <sz val="11"/>
      <color rgb="FFFF0000"/>
      <name val="Calibri"/>
      <charset val="238"/>
      <scheme val="minor"/>
    </font>
    <font>
      <sz val="9"/>
      <color theme="1"/>
      <name val="Century Gothic"/>
      <charset val="238"/>
    </font>
    <font>
      <sz val="10"/>
      <color rgb="FF007635"/>
      <name val="Calibri"/>
      <charset val="238"/>
      <scheme val="minor"/>
    </font>
    <font>
      <sz val="9"/>
      <color rgb="FFFF0000"/>
      <name val="Cambria"/>
      <charset val="238"/>
      <scheme val="major"/>
    </font>
    <font>
      <sz val="10"/>
      <color rgb="FFFFFFFF"/>
      <name val="Arial"/>
      <charset val="238"/>
    </font>
    <font>
      <b/>
      <sz val="10"/>
      <color rgb="FFFF0000"/>
      <name val="Arial"/>
      <charset val="238"/>
    </font>
    <font>
      <sz val="14"/>
      <color theme="0"/>
      <name val="Arial Unicode MS"/>
      <charset val="238"/>
    </font>
    <font>
      <sz val="14"/>
      <color rgb="FFFFFFFF"/>
      <name val="Arial"/>
      <charset val="238"/>
    </font>
    <font>
      <sz val="12"/>
      <color theme="0"/>
      <name val="Arial Unicode MS"/>
      <charset val="238"/>
    </font>
    <font>
      <sz val="11"/>
      <color theme="0"/>
      <name val="Arial Unicode MS"/>
      <charset val="238"/>
    </font>
    <font>
      <b/>
      <sz val="11"/>
      <color theme="1"/>
      <name val="Arial Unicode MS"/>
      <charset val="238"/>
    </font>
    <font>
      <b/>
      <sz val="14"/>
      <color rgb="FFFFFFFF"/>
      <name val="Arial"/>
      <charset val="238"/>
    </font>
    <font>
      <sz val="11"/>
      <color rgb="FF000000"/>
      <name val="Calibri"/>
      <charset val="134"/>
    </font>
    <font>
      <sz val="11"/>
      <color theme="8" tint="-0.249977111117893"/>
      <name val="Calibri"/>
      <charset val="134"/>
    </font>
    <font>
      <sz val="11"/>
      <name val="Calibri"/>
      <charset val="134"/>
    </font>
    <font>
      <sz val="11"/>
      <color rgb="FFFF0000"/>
      <name val="Calibri"/>
      <charset val="134"/>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rgb="FF000000"/>
      <name val="Calibri"/>
      <charset val="1"/>
    </font>
    <font>
      <b/>
      <sz val="6"/>
      <color rgb="FFFFFFFF"/>
      <name val="Arial"/>
      <charset val="238"/>
    </font>
    <font>
      <b/>
      <sz val="16"/>
      <color rgb="FF000000"/>
      <name val="Tahoma"/>
      <charset val="238"/>
    </font>
    <font>
      <sz val="7"/>
      <color rgb="FF000000"/>
      <name val="Tahoma"/>
      <charset val="238"/>
    </font>
    <font>
      <sz val="8"/>
      <color rgb="FF000000"/>
      <name val="Tahoma"/>
      <charset val="238"/>
    </font>
    <font>
      <b/>
      <sz val="7"/>
      <color rgb="FF000000"/>
      <name val="Tahoma"/>
      <charset val="238"/>
    </font>
    <font>
      <sz val="14"/>
      <color rgb="FF000000"/>
      <name val="Tahoma"/>
      <charset val="238"/>
    </font>
    <font>
      <vertAlign val="superscript"/>
      <sz val="11"/>
      <name val="Arial CE"/>
      <charset val="238"/>
    </font>
    <font>
      <sz val="7"/>
      <name val="Times New Roman"/>
      <charset val="238"/>
    </font>
    <font>
      <u/>
      <sz val="12"/>
      <color theme="0"/>
      <name val="Calibri"/>
      <charset val="238"/>
      <scheme val="minor"/>
    </font>
    <font>
      <sz val="9"/>
      <color indexed="10"/>
      <name val="Arial"/>
      <charset val="238"/>
    </font>
    <font>
      <i/>
      <sz val="9"/>
      <color indexed="8"/>
      <name val="Arial"/>
      <charset val="134"/>
    </font>
    <font>
      <b/>
      <u/>
      <sz val="12"/>
      <color theme="0"/>
      <name val="Calibri"/>
      <charset val="238"/>
      <scheme val="minor"/>
    </font>
    <font>
      <i/>
      <sz val="7"/>
      <name val="Arial"/>
      <charset val="134"/>
    </font>
    <font>
      <b/>
      <vertAlign val="superscript"/>
      <sz val="8"/>
      <name val="Arial"/>
      <charset val="238"/>
    </font>
    <font>
      <b/>
      <vertAlign val="superscript"/>
      <sz val="9"/>
      <name val="Arial"/>
      <charset val="238"/>
    </font>
    <font>
      <vertAlign val="superscript"/>
      <sz val="7"/>
      <name val="Arial"/>
      <charset val="238"/>
    </font>
    <font>
      <b/>
      <u/>
      <sz val="10"/>
      <color theme="0"/>
      <name val="Calibri"/>
      <charset val="238"/>
      <scheme val="minor"/>
    </font>
    <font>
      <i/>
      <vertAlign val="superscript"/>
      <sz val="10"/>
      <name val="Arial"/>
      <charset val="238"/>
    </font>
    <font>
      <i/>
      <vertAlign val="superscript"/>
      <sz val="9"/>
      <name val="Arial"/>
      <charset val="238"/>
    </font>
    <font>
      <i/>
      <sz val="8"/>
      <color indexed="8"/>
      <name val="Arial"/>
      <charset val="134"/>
    </font>
    <font>
      <i/>
      <vertAlign val="superscript"/>
      <sz val="8"/>
      <color indexed="8"/>
      <name val="Arial"/>
      <charset val="134"/>
    </font>
    <font>
      <b/>
      <u/>
      <sz val="12"/>
      <name val="Arial Narrow"/>
      <charset val="238"/>
    </font>
    <font>
      <b/>
      <u/>
      <sz val="9"/>
      <name val="Arial"/>
      <charset val="238"/>
    </font>
    <font>
      <i/>
      <vertAlign val="superscript"/>
      <sz val="8"/>
      <name val="Arial"/>
      <charset val="238"/>
    </font>
    <font>
      <vertAlign val="superscript"/>
      <sz val="12"/>
      <name val="Arial CE"/>
      <charset val="238"/>
    </font>
    <font>
      <u/>
      <sz val="10"/>
      <name val="Arial"/>
      <charset val="238"/>
    </font>
    <font>
      <b/>
      <i/>
      <sz val="9"/>
      <name val="Arial"/>
      <charset val="238"/>
    </font>
    <font>
      <b/>
      <u/>
      <sz val="11"/>
      <color theme="0"/>
      <name val="Calibri"/>
      <charset val="238"/>
      <scheme val="minor"/>
    </font>
    <font>
      <vertAlign val="superscript"/>
      <sz val="9"/>
      <name val="Arial"/>
      <charset val="238"/>
    </font>
    <font>
      <i/>
      <sz val="9"/>
      <color indexed="10"/>
      <name val="Arial"/>
      <charset val="134"/>
    </font>
    <font>
      <u/>
      <sz val="18"/>
      <color theme="0"/>
      <name val="Calibri"/>
      <charset val="238"/>
      <scheme val="minor"/>
    </font>
    <font>
      <b/>
      <sz val="8"/>
      <name val="Tahoma"/>
      <charset val="238"/>
    </font>
    <font>
      <sz val="8"/>
      <name val="Tahoma"/>
      <charset val="238"/>
    </font>
  </fonts>
  <fills count="82">
    <fill>
      <patternFill patternType="none"/>
    </fill>
    <fill>
      <patternFill patternType="gray125"/>
    </fill>
    <fill>
      <patternFill patternType="solid">
        <fgColor theme="4" tint="0.399975585192419"/>
        <bgColor indexed="64"/>
      </patternFill>
    </fill>
    <fill>
      <patternFill patternType="solid">
        <fgColor rgb="FF008E40"/>
        <bgColor indexed="64"/>
      </patternFill>
    </fill>
    <fill>
      <patternFill patternType="solid">
        <fgColor rgb="FF002060"/>
        <bgColor indexed="64"/>
      </patternFill>
    </fill>
    <fill>
      <patternFill patternType="solid">
        <fgColor rgb="FF333399"/>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4" tint="0.799981688894314"/>
        <bgColor indexed="64"/>
      </patternFill>
    </fill>
    <fill>
      <patternFill patternType="solid">
        <fgColor theme="3" tint="0.799981688894314"/>
        <bgColor indexed="64"/>
      </patternFill>
    </fill>
    <fill>
      <patternFill patternType="solid">
        <fgColor theme="6" tint="0.799981688894314"/>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rgb="FFFFFF00"/>
        <bgColor indexed="64"/>
      </patternFill>
    </fill>
    <fill>
      <patternFill patternType="solid">
        <fgColor indexed="9"/>
        <bgColor indexed="64"/>
      </patternFill>
    </fill>
    <fill>
      <patternFill patternType="solid">
        <fgColor theme="0" tint="-0.0499893185216834"/>
        <bgColor indexed="64"/>
      </patternFill>
    </fill>
    <fill>
      <patternFill patternType="solid">
        <fgColor rgb="FF0070C0"/>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7C8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bgColor indexed="64"/>
      </patternFill>
    </fill>
    <fill>
      <patternFill patternType="solid">
        <fgColor theme="9" tint="0.599993896298105"/>
        <bgColor indexed="64"/>
      </patternFill>
    </fill>
    <fill>
      <patternFill patternType="solid">
        <fgColor rgb="FF396499"/>
        <bgColor indexed="64"/>
      </patternFill>
    </fill>
    <fill>
      <patternFill patternType="solid">
        <fgColor theme="3" tint="0.599993896298105"/>
        <bgColor indexed="64"/>
      </patternFill>
    </fill>
    <fill>
      <patternFill patternType="solid">
        <fgColor theme="2"/>
        <bgColor indexed="64"/>
      </patternFill>
    </fill>
    <fill>
      <patternFill patternType="solid">
        <fgColor rgb="FF3366FF"/>
        <bgColor indexed="64"/>
      </patternFill>
    </fill>
    <fill>
      <patternFill patternType="solid">
        <fgColor rgb="FF008000"/>
        <bgColor indexed="64"/>
      </patternFill>
    </fill>
    <fill>
      <patternFill patternType="solid">
        <fgColor rgb="FFFFC000"/>
        <bgColor indexed="64"/>
      </patternFill>
    </fill>
    <fill>
      <patternFill patternType="solid">
        <fgColor theme="8" tint="0.599993896298105"/>
        <bgColor indexed="64"/>
      </patternFill>
    </fill>
    <fill>
      <patternFill patternType="solid">
        <fgColor theme="9" tint="-0.249977111117893"/>
        <bgColor indexed="64"/>
      </patternFill>
    </fill>
    <fill>
      <patternFill patternType="solid">
        <fgColor indexed="10"/>
        <bgColor indexed="64"/>
      </patternFill>
    </fill>
    <fill>
      <patternFill patternType="solid">
        <fgColor indexed="43"/>
        <bgColor indexed="64"/>
      </patternFill>
    </fill>
    <fill>
      <patternFill patternType="solid">
        <fgColor theme="6" tint="-0.249977111117893"/>
        <bgColor indexed="64"/>
      </patternFill>
    </fill>
    <fill>
      <patternFill patternType="solid">
        <fgColor theme="9" tint="-0.499984740745262"/>
        <bgColor indexed="64"/>
      </patternFill>
    </fill>
    <fill>
      <patternFill patternType="solid">
        <fgColor rgb="FFFFFFFF"/>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rgb="FFF8F9FA"/>
        <bgColor indexed="64"/>
      </patternFill>
    </fill>
    <fill>
      <patternFill patternType="solid">
        <fgColor theme="3" tint="0.399975585192419"/>
        <bgColor indexed="64"/>
      </patternFill>
    </fill>
    <fill>
      <patternFill patternType="solid">
        <fgColor rgb="FFACC777"/>
        <bgColor indexed="64"/>
      </patternFill>
    </fill>
    <fill>
      <patternFill patternType="solid">
        <fgColor rgb="FF001D58"/>
        <bgColor indexed="64"/>
      </patternFill>
    </fill>
    <fill>
      <patternFill patternType="solid">
        <fgColor rgb="FF92D050"/>
        <bgColor indexed="64"/>
      </patternFill>
    </fill>
    <fill>
      <patternFill patternType="solid">
        <fgColor indexed="6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000000"/>
        <bgColor indexed="64"/>
      </patternFill>
    </fill>
    <fill>
      <patternFill patternType="solid">
        <fgColor rgb="FFC0C0C0"/>
        <bgColor indexed="64"/>
      </patternFill>
    </fill>
  </fills>
  <borders count="563">
    <border>
      <left/>
      <right/>
      <top/>
      <bottom/>
      <diagonal/>
    </border>
    <border>
      <left/>
      <right style="thick">
        <color rgb="FFFF0000"/>
      </right>
      <top/>
      <bottom/>
      <diagonal/>
    </border>
    <border>
      <left style="thin">
        <color theme="0" tint="-0.349986266670736"/>
      </left>
      <right style="thin">
        <color theme="0" tint="-0.349986266670736"/>
      </right>
      <top style="thin">
        <color theme="4" tint="0.399945066682943"/>
      </top>
      <bottom/>
      <diagonal/>
    </border>
    <border>
      <left style="thin">
        <color theme="0" tint="-0.349986266670736"/>
      </left>
      <right/>
      <top style="thin">
        <color theme="4" tint="0.399945066682943"/>
      </top>
      <bottom/>
      <diagonal/>
    </border>
    <border>
      <left/>
      <right/>
      <top style="thin">
        <color theme="4" tint="0.399945066682943"/>
      </top>
      <bottom/>
      <diagonal/>
    </border>
    <border>
      <left/>
      <right style="thin">
        <color theme="3" tint="0.399914548173467"/>
      </right>
      <top style="thin">
        <color theme="4" tint="0.399945066682943"/>
      </top>
      <bottom style="thin">
        <color theme="3" tint="0.399945066682943"/>
      </bottom>
      <diagonal/>
    </border>
    <border>
      <left style="thin">
        <color theme="0" tint="-0.349986266670736"/>
      </left>
      <right style="thin">
        <color theme="0" tint="-0.349986266670736"/>
      </right>
      <top/>
      <bottom style="thin">
        <color theme="0" tint="-0.349986266670736"/>
      </bottom>
      <diagonal/>
    </border>
    <border>
      <left style="thin">
        <color theme="0" tint="-0.349986266670736"/>
      </left>
      <right/>
      <top/>
      <bottom style="thin">
        <color theme="0" tint="-0.349986266670736"/>
      </bottom>
      <diagonal/>
    </border>
    <border>
      <left/>
      <right style="thin">
        <color theme="3" tint="0.399914548173467"/>
      </right>
      <top style="thin">
        <color theme="3" tint="0.399945066682943"/>
      </top>
      <bottom style="thin">
        <color theme="3" tint="0.399945066682943"/>
      </bottom>
      <diagonal/>
    </border>
    <border>
      <left style="thin">
        <color theme="3" tint="0.399945066682943"/>
      </left>
      <right style="thin">
        <color theme="3" tint="0.399945066682943"/>
      </right>
      <top style="thin">
        <color theme="3" tint="0.399945066682943"/>
      </top>
      <bottom style="thin">
        <color theme="3" tint="0.399945066682943"/>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theme="0" tint="-0.349986266670736"/>
      </left>
      <right/>
      <top style="thin">
        <color theme="0" tint="-0.349986266670736"/>
      </top>
      <bottom style="thin">
        <color theme="0" tint="-0.349986266670736"/>
      </bottom>
      <diagonal/>
    </border>
    <border>
      <left/>
      <right/>
      <top style="thin">
        <color theme="3" tint="0.399945066682943"/>
      </top>
      <bottom style="thin">
        <color theme="3" tint="0.399945066682943"/>
      </bottom>
      <diagonal/>
    </border>
    <border>
      <left style="thin">
        <color theme="3" tint="0.399884029663991"/>
      </left>
      <right style="thin">
        <color theme="3" tint="0.399884029663991"/>
      </right>
      <top style="thin">
        <color theme="3" tint="0.399884029663991"/>
      </top>
      <bottom style="thin">
        <color theme="3" tint="0.399884029663991"/>
      </bottom>
      <diagonal/>
    </border>
    <border>
      <left style="thin">
        <color theme="0" tint="-0.349986266670736"/>
      </left>
      <right style="thin">
        <color theme="0" tint="-0.349986266670736"/>
      </right>
      <top style="thin">
        <color theme="0" tint="-0.349986266670736"/>
      </top>
      <bottom/>
      <diagonal/>
    </border>
    <border>
      <left style="thin">
        <color theme="0" tint="-0.349986266670736"/>
      </left>
      <right/>
      <top style="thin">
        <color theme="0" tint="-0.349986266670736"/>
      </top>
      <bottom/>
      <diagonal/>
    </border>
    <border>
      <left style="thin">
        <color theme="0" tint="-0.349986266670736"/>
      </left>
      <right/>
      <top/>
      <bottom/>
      <diagonal/>
    </border>
    <border>
      <left style="thin">
        <color theme="0" tint="-0.349986266670736"/>
      </left>
      <right style="thin">
        <color theme="0" tint="-0.349986266670736"/>
      </right>
      <top style="thin">
        <color theme="0" tint="-0.249946592608417"/>
      </top>
      <bottom style="thin">
        <color theme="0" tint="-0.249946592608417"/>
      </bottom>
      <diagonal/>
    </border>
    <border>
      <left style="thin">
        <color theme="0" tint="-0.349986266670736"/>
      </left>
      <right style="thin">
        <color theme="0" tint="-0.349986266670736"/>
      </right>
      <top style="thin">
        <color theme="0" tint="-0.249946592608417"/>
      </top>
      <bottom style="thin">
        <color theme="0" tint="-0.349986266670736"/>
      </bottom>
      <diagonal/>
    </border>
    <border>
      <left style="thin">
        <color theme="0" tint="-0.349986266670736"/>
      </left>
      <right style="thin">
        <color theme="0" tint="-0.349986266670736"/>
      </right>
      <top style="thick">
        <color theme="0" tint="-0.349986266670736"/>
      </top>
      <bottom style="thin">
        <color theme="0" tint="-0.349986266670736"/>
      </bottom>
      <diagonal/>
    </border>
    <border>
      <left style="thin">
        <color theme="0" tint="-0.349986266670736"/>
      </left>
      <right/>
      <top style="thick">
        <color theme="0" tint="-0.349986266670736"/>
      </top>
      <bottom style="thin">
        <color theme="0" tint="-0.349986266670736"/>
      </bottom>
      <diagonal/>
    </border>
    <border>
      <left style="thin">
        <color theme="0" tint="-0.349986266670736"/>
      </left>
      <right style="thin">
        <color theme="0" tint="-0.349986266670736"/>
      </right>
      <top style="thin">
        <color theme="0" tint="-0.349986266670736"/>
      </top>
      <bottom style="thick">
        <color theme="0" tint="-0.349986266670736"/>
      </bottom>
      <diagonal/>
    </border>
    <border>
      <left style="thin">
        <color theme="0" tint="-0.349986266670736"/>
      </left>
      <right/>
      <top style="thin">
        <color theme="0" tint="-0.349986266670736"/>
      </top>
      <bottom style="thick">
        <color theme="0" tint="-0.349986266670736"/>
      </bottom>
      <diagonal/>
    </border>
    <border>
      <left/>
      <right style="thin">
        <color theme="0" tint="-0.349986266670736"/>
      </right>
      <top style="thin">
        <color theme="0" tint="-0.349986266670736"/>
      </top>
      <bottom style="thin">
        <color theme="0" tint="-0.349986266670736"/>
      </bottom>
      <diagonal/>
    </border>
    <border>
      <left/>
      <right/>
      <top style="thin">
        <color theme="0" tint="-0.34998626667073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n">
        <color auto="1"/>
      </bottom>
      <diagonal/>
    </border>
    <border>
      <left/>
      <right style="thick">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medium">
        <color auto="1"/>
      </left>
      <right style="thin">
        <color auto="1"/>
      </right>
      <top/>
      <bottom style="medium">
        <color auto="1"/>
      </bottom>
      <diagonal/>
    </border>
    <border>
      <left style="thin">
        <color auto="1"/>
      </left>
      <right/>
      <top/>
      <bottom/>
      <diagonal/>
    </border>
    <border>
      <left/>
      <right style="thin">
        <color auto="1"/>
      </right>
      <top/>
      <bottom/>
      <diagonal/>
    </border>
    <border>
      <left style="medium">
        <color auto="1"/>
      </left>
      <right/>
      <top/>
      <bottom/>
      <diagonal/>
    </border>
    <border>
      <left/>
      <right style="medium">
        <color auto="1"/>
      </right>
      <top/>
      <bottom/>
      <diagonal/>
    </border>
    <border>
      <left style="thin">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top/>
      <bottom style="hair">
        <color auto="1"/>
      </bottom>
      <diagonal/>
    </border>
    <border>
      <left/>
      <right/>
      <top style="hair">
        <color auto="1"/>
      </top>
      <bottom style="hair">
        <color auto="1"/>
      </bottom>
      <diagonal/>
    </border>
    <border>
      <left style="thin">
        <color auto="1"/>
      </left>
      <right style="hair">
        <color auto="1"/>
      </right>
      <top style="thin">
        <color auto="1"/>
      </top>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bottom/>
      <diagonal/>
    </border>
    <border>
      <left style="hair">
        <color auto="1"/>
      </left>
      <right/>
      <top/>
      <bottom/>
      <diagonal/>
    </border>
    <border>
      <left/>
      <right style="hair">
        <color auto="1"/>
      </right>
      <top/>
      <bottom/>
      <diagonal/>
    </border>
    <border>
      <left style="hair">
        <color auto="1"/>
      </left>
      <right style="hair">
        <color auto="1"/>
      </right>
      <top/>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hair">
        <color auto="1"/>
      </bottom>
      <diagonal/>
    </border>
    <border>
      <left/>
      <right/>
      <top/>
      <bottom style="thin">
        <color theme="4" tint="0.399945066682943"/>
      </bottom>
      <diagonal/>
    </border>
    <border>
      <left style="hair">
        <color auto="1"/>
      </left>
      <right style="hair">
        <color auto="1"/>
      </right>
      <top style="hair">
        <color auto="1"/>
      </top>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style="thin">
        <color auto="1"/>
      </right>
      <top style="hair">
        <color auto="1"/>
      </top>
      <bottom style="hair">
        <color auto="1"/>
      </bottom>
      <diagonal/>
    </border>
    <border>
      <left/>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top style="thin">
        <color auto="1"/>
      </top>
      <bottom style="double">
        <color auto="1"/>
      </bottom>
      <diagonal/>
    </border>
    <border>
      <left/>
      <right/>
      <top style="double">
        <color auto="1"/>
      </top>
      <bottom/>
      <diagonal/>
    </border>
    <border>
      <left style="thin">
        <color theme="0" tint="-0.149937437055574"/>
      </left>
      <right/>
      <top style="thin">
        <color auto="1"/>
      </top>
      <bottom/>
      <diagonal/>
    </border>
    <border>
      <left/>
      <right style="thin">
        <color theme="0" tint="-0.149906918546098"/>
      </right>
      <top style="thin">
        <color auto="1"/>
      </top>
      <bottom/>
      <diagonal/>
    </border>
    <border>
      <left style="thin">
        <color theme="0" tint="-0.149937437055574"/>
      </left>
      <right/>
      <top/>
      <bottom/>
      <diagonal/>
    </border>
    <border>
      <left/>
      <right style="thin">
        <color theme="0" tint="-0.149906918546098"/>
      </right>
      <top/>
      <bottom/>
      <diagonal/>
    </border>
    <border>
      <left/>
      <right/>
      <top/>
      <bottom style="thin">
        <color theme="0" tint="-0.149906918546098"/>
      </bottom>
      <diagonal/>
    </border>
    <border>
      <left style="thin">
        <color theme="0" tint="-0.149937437055574"/>
      </left>
      <right/>
      <top style="thin">
        <color theme="0" tint="-0.149906918546098"/>
      </top>
      <bottom/>
      <diagonal/>
    </border>
    <border>
      <left/>
      <right style="thin">
        <color theme="0" tint="-0.149906918546098"/>
      </right>
      <top style="thin">
        <color theme="0" tint="-0.149906918546098"/>
      </top>
      <bottom/>
      <diagonal/>
    </border>
    <border>
      <left/>
      <right/>
      <top style="thin">
        <color theme="0" tint="-0.149906918546098"/>
      </top>
      <bottom/>
      <diagonal/>
    </border>
    <border>
      <left/>
      <right style="thin">
        <color auto="1"/>
      </right>
      <top style="thin">
        <color theme="0" tint="-0.149906918546098"/>
      </top>
      <bottom/>
      <diagonal/>
    </border>
    <border>
      <left style="thin">
        <color theme="0" tint="-0.149937437055574"/>
      </left>
      <right/>
      <top/>
      <bottom style="thin">
        <color auto="1"/>
      </bottom>
      <diagonal/>
    </border>
    <border>
      <left/>
      <right style="thin">
        <color theme="0" tint="-0.149906918546098"/>
      </right>
      <top/>
      <bottom style="thin">
        <color auto="1"/>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right style="hair">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hair">
        <color auto="1"/>
      </left>
      <right/>
      <top style="thin">
        <color auto="1"/>
      </top>
      <bottom style="hair">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double">
        <color auto="1"/>
      </top>
      <bottom style="thin">
        <color auto="1"/>
      </bottom>
      <diagonal/>
    </border>
    <border>
      <left style="hair">
        <color auto="1"/>
      </left>
      <right/>
      <top style="thin">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hair">
        <color auto="1"/>
      </left>
      <right/>
      <top/>
      <bottom style="thin">
        <color auto="1"/>
      </bottom>
      <diagonal/>
    </border>
    <border>
      <left/>
      <right style="hair">
        <color auto="1"/>
      </right>
      <top/>
      <bottom style="thin">
        <color auto="1"/>
      </bottom>
      <diagonal/>
    </border>
    <border>
      <left style="thin">
        <color auto="1"/>
      </left>
      <right/>
      <top style="hair">
        <color auto="1"/>
      </top>
      <bottom style="thin">
        <color auto="1"/>
      </bottom>
      <diagonal/>
    </border>
    <border>
      <left style="thin">
        <color auto="1"/>
      </left>
      <right style="thin">
        <color auto="1"/>
      </right>
      <top/>
      <bottom/>
      <diagonal/>
    </border>
    <border>
      <left/>
      <right/>
      <top style="dotted">
        <color auto="1"/>
      </top>
      <bottom/>
      <diagonal/>
    </border>
    <border>
      <left/>
      <right/>
      <top/>
      <bottom style="dotted">
        <color auto="1"/>
      </bottom>
      <diagonal/>
    </border>
    <border>
      <left style="hair">
        <color auto="1"/>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style="hair">
        <color auto="1"/>
      </left>
      <right/>
      <top style="medium">
        <color auto="1"/>
      </top>
      <bottom/>
      <diagonal/>
    </border>
    <border>
      <left style="thin">
        <color auto="1"/>
      </left>
      <right/>
      <top/>
      <bottom style="hair">
        <color auto="1"/>
      </bottom>
      <diagonal/>
    </border>
    <border>
      <left/>
      <right style="thin">
        <color auto="1"/>
      </right>
      <top/>
      <bottom style="hair">
        <color auto="1"/>
      </bottom>
      <diagonal/>
    </border>
    <border>
      <left style="hair">
        <color auto="1"/>
      </left>
      <right/>
      <top/>
      <bottom style="hair">
        <color auto="1"/>
      </bottom>
      <diagonal/>
    </border>
    <border>
      <left style="thin">
        <color auto="1"/>
      </left>
      <right style="hair">
        <color auto="1"/>
      </right>
      <top style="medium">
        <color auto="1"/>
      </top>
      <bottom/>
      <diagonal/>
    </border>
    <border>
      <left style="hair">
        <color auto="1"/>
      </left>
      <right style="thin">
        <color auto="1"/>
      </right>
      <top style="medium">
        <color auto="1"/>
      </top>
      <bottom/>
      <diagonal/>
    </border>
    <border>
      <left style="thin">
        <color auto="1"/>
      </left>
      <right/>
      <top style="hair">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style="hair">
        <color auto="1"/>
      </top>
      <bottom style="medium">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top style="medium">
        <color auto="1"/>
      </top>
      <bottom style="hair">
        <color auto="1"/>
      </bottom>
      <diagonal/>
    </border>
    <border>
      <left style="hair">
        <color auto="1"/>
      </left>
      <right/>
      <top style="medium">
        <color auto="1"/>
      </top>
      <bottom style="hair">
        <color auto="1"/>
      </bottom>
      <diagonal/>
    </border>
    <border>
      <left style="thin">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hair">
        <color auto="1"/>
      </left>
      <right/>
      <top style="hair">
        <color auto="1"/>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style="thin">
        <color auto="1"/>
      </top>
      <bottom style="medium">
        <color auto="1"/>
      </bottom>
      <diagonal/>
    </border>
    <border>
      <left style="thin">
        <color auto="1"/>
      </left>
      <right style="hair">
        <color auto="1"/>
      </right>
      <top style="thin">
        <color auto="1"/>
      </top>
      <bottom style="medium">
        <color auto="1"/>
      </bottom>
      <diagonal/>
    </border>
    <border>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style="double">
        <color auto="1"/>
      </right>
      <top style="medium">
        <color auto="1"/>
      </top>
      <bottom/>
      <diagonal/>
    </border>
    <border>
      <left style="double">
        <color auto="1"/>
      </left>
      <right/>
      <top style="medium">
        <color auto="1"/>
      </top>
      <bottom/>
      <diagonal/>
    </border>
    <border>
      <left style="medium">
        <color auto="1"/>
      </left>
      <right style="thin">
        <color auto="1"/>
      </right>
      <top/>
      <bottom/>
      <diagonal/>
    </border>
    <border>
      <left/>
      <right style="double">
        <color auto="1"/>
      </right>
      <top/>
      <bottom/>
      <diagonal/>
    </border>
    <border>
      <left style="double">
        <color auto="1"/>
      </left>
      <right/>
      <top/>
      <bottom/>
      <diagonal/>
    </border>
    <border>
      <left/>
      <right style="double">
        <color auto="1"/>
      </right>
      <top style="thin">
        <color auto="1"/>
      </top>
      <bottom style="medium">
        <color auto="1"/>
      </bottom>
      <diagonal/>
    </border>
    <border>
      <left style="double">
        <color auto="1"/>
      </left>
      <right/>
      <top style="thin">
        <color auto="1"/>
      </top>
      <bottom style="medium">
        <color auto="1"/>
      </bottom>
      <diagonal/>
    </border>
    <border>
      <left/>
      <right style="double">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style="medium">
        <color auto="1"/>
      </top>
      <bottom style="thin">
        <color auto="1"/>
      </bottom>
      <diagonal/>
    </border>
    <border>
      <left style="medium">
        <color auto="1"/>
      </left>
      <right style="thin">
        <color auto="1"/>
      </right>
      <top/>
      <bottom style="hair">
        <color auto="1"/>
      </bottom>
      <diagonal/>
    </border>
    <border>
      <left/>
      <right style="medium">
        <color auto="1"/>
      </right>
      <top style="thin">
        <color auto="1"/>
      </top>
      <bottom style="hair">
        <color auto="1"/>
      </bottom>
      <diagonal/>
    </border>
    <border>
      <left style="medium">
        <color auto="1"/>
      </left>
      <right style="thin">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thin">
        <color auto="1"/>
      </right>
      <top style="hair">
        <color auto="1"/>
      </top>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hair">
        <color auto="1"/>
      </left>
      <right/>
      <top style="hair">
        <color auto="1"/>
      </top>
      <bottom style="double">
        <color auto="1"/>
      </bottom>
      <diagonal/>
    </border>
    <border>
      <left/>
      <right style="medium">
        <color auto="1"/>
      </right>
      <top style="hair">
        <color auto="1"/>
      </top>
      <bottom style="double">
        <color auto="1"/>
      </bottom>
      <diagonal/>
    </border>
    <border>
      <left style="medium">
        <color auto="1"/>
      </left>
      <right style="thin">
        <color auto="1"/>
      </right>
      <top style="double">
        <color auto="1"/>
      </top>
      <bottom style="hair">
        <color auto="1"/>
      </bottom>
      <diagonal/>
    </border>
    <border>
      <left/>
      <right style="hair">
        <color auto="1"/>
      </right>
      <top style="double">
        <color auto="1"/>
      </top>
      <bottom/>
      <diagonal/>
    </border>
    <border>
      <left style="hair">
        <color auto="1"/>
      </left>
      <right/>
      <top style="double">
        <color auto="1"/>
      </top>
      <bottom style="hair">
        <color auto="1"/>
      </bottom>
      <diagonal/>
    </border>
    <border>
      <left/>
      <right/>
      <top style="double">
        <color auto="1"/>
      </top>
      <bottom style="hair">
        <color auto="1"/>
      </bottom>
      <diagonal/>
    </border>
    <border>
      <left style="thin">
        <color auto="1"/>
      </left>
      <right/>
      <top style="double">
        <color auto="1"/>
      </top>
      <bottom/>
      <diagonal/>
    </border>
    <border>
      <left/>
      <right style="thin">
        <color auto="1"/>
      </right>
      <top style="double">
        <color auto="1"/>
      </top>
      <bottom style="hair">
        <color auto="1"/>
      </bottom>
      <diagonal/>
    </border>
    <border>
      <left/>
      <right style="medium">
        <color auto="1"/>
      </right>
      <top style="double">
        <color auto="1"/>
      </top>
      <bottom style="hair">
        <color auto="1"/>
      </bottom>
      <diagonal/>
    </border>
    <border>
      <left style="medium">
        <color auto="1"/>
      </left>
      <right style="thin">
        <color auto="1"/>
      </right>
      <top style="hair">
        <color auto="1"/>
      </top>
      <bottom style="double">
        <color auto="1"/>
      </bottom>
      <diagonal/>
    </border>
    <border>
      <left/>
      <right/>
      <top/>
      <bottom style="double">
        <color auto="1"/>
      </bottom>
      <diagonal/>
    </border>
    <border>
      <left/>
      <right style="hair">
        <color auto="1"/>
      </right>
      <top/>
      <bottom style="double">
        <color auto="1"/>
      </bottom>
      <diagonal/>
    </border>
    <border>
      <left style="thin">
        <color auto="1"/>
      </left>
      <right/>
      <top/>
      <bottom style="double">
        <color auto="1"/>
      </bottom>
      <diagonal/>
    </border>
    <border>
      <left style="medium">
        <color auto="1"/>
      </left>
      <right style="thin">
        <color auto="1"/>
      </right>
      <top style="hair">
        <color auto="1"/>
      </top>
      <bottom style="medium">
        <color auto="1"/>
      </bottom>
      <diagonal/>
    </border>
    <border>
      <left style="thin">
        <color auto="1"/>
      </left>
      <right/>
      <top/>
      <bottom style="medium">
        <color auto="1"/>
      </bottom>
      <diagonal/>
    </border>
    <border>
      <left/>
      <right style="medium">
        <color auto="1"/>
      </right>
      <top style="hair">
        <color auto="1"/>
      </top>
      <bottom style="medium">
        <color auto="1"/>
      </bottom>
      <diagonal/>
    </border>
    <border>
      <left style="medium">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hair">
        <color auto="1"/>
      </left>
      <right/>
      <top style="medium">
        <color auto="1"/>
      </top>
      <bottom style="thin">
        <color auto="1"/>
      </bottom>
      <diagonal/>
    </border>
    <border>
      <left style="thin">
        <color theme="0" tint="-0.149906918546098"/>
      </left>
      <right/>
      <top style="thin">
        <color auto="1"/>
      </top>
      <bottom/>
      <diagonal/>
    </border>
    <border>
      <left style="thin">
        <color theme="0" tint="-0.149906918546098"/>
      </left>
      <right/>
      <top/>
      <bottom/>
      <diagonal/>
    </border>
    <border>
      <left style="thin">
        <color theme="0" tint="-0.249946592608417"/>
      </left>
      <right style="thin">
        <color theme="0" tint="-0.249946592608417"/>
      </right>
      <top style="thin">
        <color theme="0" tint="-0.249946592608417"/>
      </top>
      <bottom style="thin">
        <color theme="0" tint="-0.249946592608417"/>
      </bottom>
      <diagonal/>
    </border>
    <border>
      <left style="thin">
        <color theme="0" tint="-0.249946592608417"/>
      </left>
      <right/>
      <top style="thin">
        <color theme="0" tint="-0.249946592608417"/>
      </top>
      <bottom style="thin">
        <color theme="0" tint="-0.249946592608417"/>
      </bottom>
      <diagonal/>
    </border>
    <border>
      <left/>
      <right/>
      <top style="thin">
        <color theme="0" tint="-0.249946592608417"/>
      </top>
      <bottom style="thin">
        <color theme="0" tint="-0.249946592608417"/>
      </bottom>
      <diagonal/>
    </border>
    <border>
      <left/>
      <right/>
      <top style="medium">
        <color theme="0" tint="-0.249946592608417"/>
      </top>
      <bottom style="thin">
        <color theme="0" tint="-0.249946592608417"/>
      </bottom>
      <diagonal/>
    </border>
    <border>
      <left/>
      <right style="thin">
        <color theme="0" tint="-0.249946592608417"/>
      </right>
      <top style="medium">
        <color theme="0" tint="-0.249946592608417"/>
      </top>
      <bottom style="thin">
        <color theme="0" tint="-0.249946592608417"/>
      </bottom>
      <diagonal/>
    </border>
    <border>
      <left style="thin">
        <color theme="0" tint="-0.249946592608417"/>
      </left>
      <right style="thin">
        <color auto="1"/>
      </right>
      <top style="medium">
        <color theme="0" tint="-0.249946592608417"/>
      </top>
      <bottom style="thin">
        <color theme="0" tint="-0.249946592608417"/>
      </bottom>
      <diagonal/>
    </border>
    <border>
      <left/>
      <right style="thin">
        <color theme="0" tint="-0.249946592608417"/>
      </right>
      <top style="thin">
        <color theme="0" tint="-0.249946592608417"/>
      </top>
      <bottom style="thin">
        <color theme="0" tint="-0.249946592608417"/>
      </bottom>
      <diagonal/>
    </border>
    <border>
      <left style="thin">
        <color theme="0" tint="-0.249946592608417"/>
      </left>
      <right style="thin">
        <color auto="1"/>
      </right>
      <top style="thin">
        <color theme="0" tint="-0.249946592608417"/>
      </top>
      <bottom style="thin">
        <color theme="0" tint="-0.249946592608417"/>
      </bottom>
      <diagonal/>
    </border>
    <border>
      <left/>
      <right/>
      <top style="thin">
        <color theme="0" tint="-0.249946592608417"/>
      </top>
      <bottom style="medium">
        <color theme="0" tint="-0.249946592608417"/>
      </bottom>
      <diagonal/>
    </border>
    <border>
      <left/>
      <right style="thin">
        <color theme="0" tint="-0.249946592608417"/>
      </right>
      <top style="thin">
        <color theme="0" tint="-0.249946592608417"/>
      </top>
      <bottom style="medium">
        <color theme="0" tint="-0.249946592608417"/>
      </bottom>
      <diagonal/>
    </border>
    <border>
      <left style="thin">
        <color theme="0" tint="-0.249946592608417"/>
      </left>
      <right style="thin">
        <color auto="1"/>
      </right>
      <top style="thin">
        <color theme="0" tint="-0.249946592608417"/>
      </top>
      <bottom style="medium">
        <color theme="0" tint="-0.249946592608417"/>
      </bottom>
      <diagonal/>
    </border>
    <border>
      <left style="thin">
        <color theme="0" tint="-0.249946592608417"/>
      </left>
      <right style="thin">
        <color rgb="FFFF0000"/>
      </right>
      <top style="thin">
        <color rgb="FFFF0000"/>
      </top>
      <bottom style="thin">
        <color rgb="FFFF0000"/>
      </bottom>
      <diagonal/>
    </border>
    <border>
      <left/>
      <right/>
      <top/>
      <bottom style="thin">
        <color theme="0" tint="-0.249946592608417"/>
      </bottom>
      <diagonal/>
    </border>
    <border>
      <left/>
      <right style="thin">
        <color theme="0" tint="-0.249946592608417"/>
      </right>
      <top/>
      <bottom style="thin">
        <color theme="0" tint="-0.249946592608417"/>
      </bottom>
      <diagonal/>
    </border>
    <border>
      <left style="thin">
        <color theme="0" tint="-0.249946592608417"/>
      </left>
      <right style="thin">
        <color theme="0" tint="-0.249946592608417"/>
      </right>
      <top style="thin">
        <color theme="0" tint="-0.249946592608417"/>
      </top>
      <bottom/>
      <diagonal/>
    </border>
    <border>
      <left/>
      <right/>
      <top style="thin">
        <color theme="0" tint="-0.249946592608417"/>
      </top>
      <bottom/>
      <diagonal/>
    </border>
    <border>
      <left/>
      <right style="thin">
        <color theme="0" tint="-0.249946592608417"/>
      </right>
      <top style="thin">
        <color theme="0" tint="-0.249946592608417"/>
      </top>
      <bottom/>
      <diagonal/>
    </border>
    <border>
      <left style="thin">
        <color rgb="FF0066FF"/>
      </left>
      <right style="thin">
        <color rgb="FF0066FF"/>
      </right>
      <top style="thin">
        <color rgb="FF0066FF"/>
      </top>
      <bottom style="thin">
        <color rgb="FF0066FF"/>
      </bottom>
      <diagonal/>
    </border>
    <border>
      <left style="thin">
        <color theme="0" tint="-0.249946592608417"/>
      </left>
      <right/>
      <top style="thin">
        <color theme="0" tint="-0.249946592608417"/>
      </top>
      <bottom/>
      <diagonal/>
    </border>
    <border>
      <left style="thick">
        <color theme="0" tint="-0.249946592608417"/>
      </left>
      <right style="thin">
        <color theme="0" tint="-0.249946592608417"/>
      </right>
      <top style="thin">
        <color theme="0" tint="-0.249946592608417"/>
      </top>
      <bottom style="thin">
        <color theme="0" tint="-0.249946592608417"/>
      </bottom>
      <diagonal/>
    </border>
    <border>
      <left style="thin">
        <color theme="0" tint="-0.249946592608417"/>
      </left>
      <right style="thick">
        <color theme="0" tint="-0.249946592608417"/>
      </right>
      <top style="thin">
        <color theme="0" tint="-0.249946592608417"/>
      </top>
      <bottom style="thin">
        <color theme="0" tint="-0.249946592608417"/>
      </bottom>
      <diagonal/>
    </border>
    <border>
      <left style="thin">
        <color theme="0" tint="-0.249946592608417"/>
      </left>
      <right style="thin">
        <color theme="0" tint="-0.249946592608417"/>
      </right>
      <top/>
      <bottom style="thin">
        <color theme="0" tint="-0.249946592608417"/>
      </bottom>
      <diagonal/>
    </border>
    <border>
      <left style="thin">
        <color theme="0" tint="-0.249946592608417"/>
      </left>
      <right/>
      <top/>
      <bottom style="thin">
        <color theme="0" tint="-0.249946592608417"/>
      </bottom>
      <diagonal/>
    </border>
    <border>
      <left style="thick">
        <color theme="0" tint="-0.249946592608417"/>
      </left>
      <right style="thin">
        <color theme="0" tint="-0.249946592608417"/>
      </right>
      <top style="thin">
        <color theme="0" tint="-0.249946592608417"/>
      </top>
      <bottom/>
      <diagonal/>
    </border>
    <border>
      <left style="thick">
        <color theme="0" tint="-0.249946592608417"/>
      </left>
      <right style="thin">
        <color theme="0" tint="-0.249946592608417"/>
      </right>
      <top/>
      <bottom/>
      <diagonal/>
    </border>
    <border>
      <left style="thin">
        <color theme="0" tint="-0.249946592608417"/>
      </left>
      <right style="thin">
        <color theme="0" tint="-0.249946592608417"/>
      </right>
      <top/>
      <bottom/>
      <diagonal/>
    </border>
    <border>
      <left style="thin">
        <color theme="0" tint="-0.249946592608417"/>
      </left>
      <right/>
      <top/>
      <bottom/>
      <diagonal/>
    </border>
    <border>
      <left style="thick">
        <color theme="0" tint="-0.249946592608417"/>
      </left>
      <right style="thin">
        <color theme="0" tint="-0.249946592608417"/>
      </right>
      <top/>
      <bottom style="thin">
        <color theme="0" tint="-0.249946592608417"/>
      </bottom>
      <diagonal/>
    </border>
    <border>
      <left/>
      <right style="thick">
        <color theme="0" tint="-0.249946592608417"/>
      </right>
      <top style="thin">
        <color theme="0" tint="-0.249946592608417"/>
      </top>
      <bottom style="thin">
        <color theme="0" tint="-0.249946592608417"/>
      </bottom>
      <diagonal/>
    </border>
    <border>
      <left style="thin">
        <color theme="0" tint="-0.249946592608417"/>
      </left>
      <right style="thick">
        <color theme="0" tint="-0.249946592608417"/>
      </right>
      <top style="thin">
        <color theme="0" tint="-0.249946592608417"/>
      </top>
      <bottom/>
      <diagonal/>
    </border>
    <border>
      <left style="thin">
        <color theme="0" tint="-0.249946592608417"/>
      </left>
      <right/>
      <top style="thick">
        <color rgb="FFFF0000"/>
      </top>
      <bottom style="thin">
        <color theme="0" tint="-0.249946592608417"/>
      </bottom>
      <diagonal/>
    </border>
    <border>
      <left/>
      <right/>
      <top style="thick">
        <color rgb="FFFF0000"/>
      </top>
      <bottom style="thin">
        <color theme="0" tint="-0.249946592608417"/>
      </bottom>
      <diagonal/>
    </border>
    <border>
      <left style="thin">
        <color theme="0" tint="-0.249946592608417"/>
      </left>
      <right style="thin">
        <color theme="0" tint="-0.249946592608417"/>
      </right>
      <top style="thick">
        <color rgb="FFFF0000"/>
      </top>
      <bottom style="thin">
        <color theme="0" tint="-0.249946592608417"/>
      </bottom>
      <diagonal/>
    </border>
    <border>
      <left style="thin">
        <color theme="0" tint="-0.349986266670736"/>
      </left>
      <right style="thin">
        <color theme="0" tint="-0.349986266670736"/>
      </right>
      <top/>
      <bottom/>
      <diagonal/>
    </border>
    <border>
      <left/>
      <right style="thin">
        <color theme="0" tint="-0.349986266670736"/>
      </right>
      <top/>
      <bottom/>
      <diagonal/>
    </border>
    <border>
      <left style="thin">
        <color theme="0" tint="-0.349986266670736"/>
      </left>
      <right style="thin">
        <color theme="0" tint="-0.349986266670736"/>
      </right>
      <top style="medium">
        <color theme="0" tint="-0.349986266670736"/>
      </top>
      <bottom style="medium">
        <color theme="0" tint="-0.349986266670736"/>
      </bottom>
      <diagonal/>
    </border>
    <border>
      <left style="thin">
        <color theme="0" tint="-0.349986266670736"/>
      </left>
      <right style="thin">
        <color theme="0" tint="-0.349986266670736"/>
      </right>
      <top style="medium">
        <color theme="0" tint="-0.349986266670736"/>
      </top>
      <bottom style="thin">
        <color theme="0" tint="-0.349986266670736"/>
      </bottom>
      <diagonal/>
    </border>
    <border>
      <left style="thin">
        <color theme="0" tint="-0.349986266670736"/>
      </left>
      <right/>
      <top style="medium">
        <color theme="0" tint="-0.349986266670736"/>
      </top>
      <bottom style="thin">
        <color theme="0" tint="-0.349986266670736"/>
      </bottom>
      <diagonal/>
    </border>
    <border>
      <left/>
      <right/>
      <top style="medium">
        <color theme="0" tint="-0.349986266670736"/>
      </top>
      <bottom style="thin">
        <color theme="0" tint="-0.349986266670736"/>
      </bottom>
      <diagonal/>
    </border>
    <border>
      <left/>
      <right style="thin">
        <color theme="0" tint="-0.349986266670736"/>
      </right>
      <top style="medium">
        <color theme="0" tint="-0.349986266670736"/>
      </top>
      <bottom style="thin">
        <color theme="0" tint="-0.349986266670736"/>
      </bottom>
      <diagonal/>
    </border>
    <border>
      <left/>
      <right/>
      <top/>
      <bottom style="thin">
        <color theme="0" tint="-0.349986266670736"/>
      </bottom>
      <diagonal/>
    </border>
    <border>
      <left/>
      <right style="thin">
        <color theme="0" tint="-0.349986266670736"/>
      </right>
      <top/>
      <bottom style="thin">
        <color theme="0" tint="-0.349986266670736"/>
      </bottom>
      <diagonal/>
    </border>
    <border>
      <left/>
      <right/>
      <top style="thin">
        <color theme="0" tint="-0.349986266670736"/>
      </top>
      <bottom style="thin">
        <color theme="0" tint="-0.349986266670736"/>
      </bottom>
      <diagonal/>
    </border>
    <border>
      <left style="thin">
        <color theme="0" tint="-0.349986266670736"/>
      </left>
      <right/>
      <top style="thick">
        <color theme="0" tint="-0.349986266670736"/>
      </top>
      <bottom/>
      <diagonal/>
    </border>
    <border>
      <left/>
      <right/>
      <top style="thick">
        <color theme="0" tint="-0.349986266670736"/>
      </top>
      <bottom/>
      <diagonal/>
    </border>
    <border>
      <left/>
      <right style="thin">
        <color theme="0" tint="-0.349986266670736"/>
      </right>
      <top style="thick">
        <color theme="0" tint="-0.349986266670736"/>
      </top>
      <bottom/>
      <diagonal/>
    </border>
    <border>
      <left style="thin">
        <color theme="0" tint="-0.349986266670736"/>
      </left>
      <right/>
      <top/>
      <bottom style="thick">
        <color theme="0" tint="-0.349986266670736"/>
      </bottom>
      <diagonal/>
    </border>
    <border>
      <left/>
      <right/>
      <top/>
      <bottom style="thick">
        <color theme="0" tint="-0.349986266670736"/>
      </bottom>
      <diagonal/>
    </border>
    <border>
      <left/>
      <right style="thin">
        <color theme="0" tint="-0.349986266670736"/>
      </right>
      <top/>
      <bottom style="thick">
        <color theme="0" tint="-0.349986266670736"/>
      </bottom>
      <diagonal/>
    </border>
    <border>
      <left style="thin">
        <color theme="0" tint="-0.349986266670736"/>
      </left>
      <right style="thin">
        <color theme="0" tint="-0.349986266670736"/>
      </right>
      <top style="thick">
        <color theme="0" tint="-0.349986266670736"/>
      </top>
      <bottom/>
      <diagonal/>
    </border>
    <border>
      <left style="thin">
        <color theme="0" tint="-0.249946592608417"/>
      </left>
      <right style="thin">
        <color theme="0" tint="-0.249946592608417"/>
      </right>
      <top style="thick">
        <color theme="0" tint="-0.249946592608417"/>
      </top>
      <bottom style="thin">
        <color theme="0" tint="-0.249946592608417"/>
      </bottom>
      <diagonal/>
    </border>
    <border>
      <left style="thin">
        <color theme="0" tint="-0.249946592608417"/>
      </left>
      <right/>
      <top style="thin">
        <color theme="0" tint="-0.249946592608417"/>
      </top>
      <bottom style="thick">
        <color theme="0" tint="-0.249946592608417"/>
      </bottom>
      <diagonal/>
    </border>
    <border>
      <left/>
      <right/>
      <top style="thin">
        <color theme="0" tint="-0.249946592608417"/>
      </top>
      <bottom style="thick">
        <color theme="0" tint="-0.249946592608417"/>
      </bottom>
      <diagonal/>
    </border>
    <border>
      <left/>
      <right style="thin">
        <color theme="0" tint="-0.249946592608417"/>
      </right>
      <top style="thin">
        <color theme="0" tint="-0.249946592608417"/>
      </top>
      <bottom style="thick">
        <color theme="0" tint="-0.249946592608417"/>
      </bottom>
      <diagonal/>
    </border>
    <border>
      <left style="thin">
        <color theme="4" tint="0.599963377788629"/>
      </left>
      <right/>
      <top/>
      <bottom/>
      <diagonal/>
    </border>
    <border>
      <left/>
      <right/>
      <top/>
      <bottom style="thin">
        <color theme="4" tint="0.799981688894314"/>
      </bottom>
      <diagonal/>
    </border>
    <border>
      <left style="thin">
        <color theme="4" tint="0.399945066682943"/>
      </left>
      <right style="thin">
        <color theme="4" tint="0.399945066682943"/>
      </right>
      <top style="thin">
        <color theme="4" tint="0.599963377788629"/>
      </top>
      <bottom style="thin">
        <color theme="4" tint="0.399945066682943"/>
      </bottom>
      <diagonal/>
    </border>
    <border>
      <left style="thin">
        <color theme="4" tint="0.399945066682943"/>
      </left>
      <right style="thin">
        <color theme="4" tint="0.399945066682943"/>
      </right>
      <top style="thin">
        <color theme="4" tint="0.599963377788629"/>
      </top>
      <bottom/>
      <diagonal/>
    </border>
    <border>
      <left style="thin">
        <color theme="4" tint="0.399945066682943"/>
      </left>
      <right/>
      <top style="thin">
        <color theme="4" tint="0.599963377788629"/>
      </top>
      <bottom style="thin">
        <color theme="4" tint="0.399945066682943"/>
      </bottom>
      <diagonal/>
    </border>
    <border>
      <left/>
      <right/>
      <top style="thin">
        <color theme="4" tint="0.599963377788629"/>
      </top>
      <bottom style="thin">
        <color theme="4" tint="0.399945066682943"/>
      </bottom>
      <diagonal/>
    </border>
    <border>
      <left/>
      <right style="thin">
        <color theme="4" tint="0.399945066682943"/>
      </right>
      <top style="thin">
        <color theme="4" tint="0.599963377788629"/>
      </top>
      <bottom style="thin">
        <color theme="4" tint="0.399945066682943"/>
      </bottom>
      <diagonal/>
    </border>
    <border>
      <left style="thin">
        <color theme="4" tint="0.399945066682943"/>
      </left>
      <right/>
      <top style="thin">
        <color theme="4" tint="0.599963377788629"/>
      </top>
      <bottom/>
      <diagonal/>
    </border>
    <border>
      <left/>
      <right/>
      <top style="thin">
        <color theme="4" tint="0.599963377788629"/>
      </top>
      <bottom/>
      <diagonal/>
    </border>
    <border>
      <left/>
      <right style="thin">
        <color theme="4" tint="0.399945066682943"/>
      </right>
      <top style="thin">
        <color theme="4" tint="0.599963377788629"/>
      </top>
      <bottom/>
      <diagonal/>
    </border>
    <border>
      <left style="thin">
        <color theme="4" tint="0.399945066682943"/>
      </left>
      <right style="thin">
        <color theme="4" tint="0.399945066682943"/>
      </right>
      <top style="thin">
        <color theme="4" tint="0.399945066682943"/>
      </top>
      <bottom style="thin">
        <color theme="4" tint="0.399945066682943"/>
      </bottom>
      <diagonal/>
    </border>
    <border>
      <left style="thin">
        <color theme="4" tint="0.399945066682943"/>
      </left>
      <right/>
      <top style="thin">
        <color theme="4" tint="0.399945066682943"/>
      </top>
      <bottom style="thin">
        <color theme="4" tint="0.399945066682943"/>
      </bottom>
      <diagonal/>
    </border>
    <border>
      <left/>
      <right/>
      <top style="thin">
        <color theme="4" tint="0.399945066682943"/>
      </top>
      <bottom style="thin">
        <color theme="4" tint="0.399945066682943"/>
      </bottom>
      <diagonal/>
    </border>
    <border>
      <left/>
      <right style="thin">
        <color theme="4" tint="0.399945066682943"/>
      </right>
      <top style="thin">
        <color theme="4" tint="0.399945066682943"/>
      </top>
      <bottom style="thin">
        <color theme="4" tint="0.399945066682943"/>
      </bottom>
      <diagonal/>
    </border>
    <border>
      <left style="thin">
        <color theme="4" tint="0.399884029663991"/>
      </left>
      <right style="thin">
        <color theme="4" tint="0.399884029663991"/>
      </right>
      <top style="thin">
        <color theme="4" tint="0.399884029663991"/>
      </top>
      <bottom style="thin">
        <color theme="4" tint="0.399884029663991"/>
      </bottom>
      <diagonal/>
    </border>
    <border>
      <left style="thick">
        <color theme="4" tint="0.399884029663991"/>
      </left>
      <right style="thin">
        <color theme="4" tint="0.399945066682943"/>
      </right>
      <top style="thin">
        <color theme="4" tint="0.399945066682943"/>
      </top>
      <bottom style="thin">
        <color theme="4" tint="0.399945066682943"/>
      </bottom>
      <diagonal/>
    </border>
    <border>
      <left style="thin">
        <color theme="4" tint="0.399945066682943"/>
      </left>
      <right style="thick">
        <color theme="4" tint="0.399884029663991"/>
      </right>
      <top style="thin">
        <color theme="4" tint="0.399945066682943"/>
      </top>
      <bottom style="thin">
        <color theme="4" tint="0.399945066682943"/>
      </bottom>
      <diagonal/>
    </border>
    <border>
      <left style="thin">
        <color theme="4" tint="0.399945066682943"/>
      </left>
      <right style="thin">
        <color theme="4" tint="0.399945066682943"/>
      </right>
      <top/>
      <bottom/>
      <diagonal/>
    </border>
    <border>
      <left style="thin">
        <color theme="4" tint="0.399822992645039"/>
      </left>
      <right style="thin">
        <color theme="4" tint="0.399853511154515"/>
      </right>
      <top style="thin">
        <color theme="4" tint="0.399822992645039"/>
      </top>
      <bottom style="thin">
        <color theme="4" tint="0.399822992645039"/>
      </bottom>
      <diagonal/>
    </border>
    <border>
      <left style="thin">
        <color theme="4" tint="0.399853511154515"/>
      </left>
      <right style="thin">
        <color theme="4" tint="0.399853511154515"/>
      </right>
      <top style="thin">
        <color theme="4" tint="0.399822992645039"/>
      </top>
      <bottom style="thin">
        <color theme="4" tint="0.399822992645039"/>
      </bottom>
      <diagonal/>
    </border>
    <border>
      <left style="thin">
        <color theme="4" tint="0.399853511154515"/>
      </left>
      <right style="thin">
        <color theme="4" tint="0.399822992645039"/>
      </right>
      <top style="thin">
        <color theme="4" tint="0.399822992645039"/>
      </top>
      <bottom style="thin">
        <color theme="4" tint="0.399822992645039"/>
      </bottom>
      <diagonal/>
    </border>
    <border>
      <left/>
      <right style="thin">
        <color theme="4" tint="0.399853511154515"/>
      </right>
      <top style="thin">
        <color theme="4" tint="0.399853511154515"/>
      </top>
      <bottom style="thin">
        <color theme="4" tint="0.399853511154515"/>
      </bottom>
      <diagonal/>
    </border>
    <border>
      <left style="thin">
        <color theme="4" tint="0.399853511154515"/>
      </left>
      <right style="thin">
        <color theme="4" tint="0.399853511154515"/>
      </right>
      <top style="thin">
        <color theme="4" tint="0.399853511154515"/>
      </top>
      <bottom style="thin">
        <color theme="4" tint="0.399853511154515"/>
      </bottom>
      <diagonal/>
    </border>
    <border>
      <left style="thin">
        <color theme="4" tint="0.399822992645039"/>
      </left>
      <right/>
      <top style="thin">
        <color theme="4" tint="0.399822992645039"/>
      </top>
      <bottom/>
      <diagonal/>
    </border>
    <border>
      <left/>
      <right/>
      <top style="thin">
        <color theme="4" tint="0.399822992645039"/>
      </top>
      <bottom/>
      <diagonal/>
    </border>
    <border>
      <left/>
      <right style="thin">
        <color theme="4" tint="0.399822992645039"/>
      </right>
      <top style="thin">
        <color theme="4" tint="0.399822992645039"/>
      </top>
      <bottom/>
      <diagonal/>
    </border>
    <border>
      <left style="thin">
        <color theme="4" tint="0.399792474135563"/>
      </left>
      <right style="thin">
        <color theme="4" tint="0.399792474135563"/>
      </right>
      <top style="thin">
        <color theme="4" tint="0.399792474135563"/>
      </top>
      <bottom style="thin">
        <color theme="4" tint="0.399792474135563"/>
      </bottom>
      <diagonal/>
    </border>
    <border>
      <left style="thin">
        <color theme="4" tint="0.399945066682943"/>
      </left>
      <right/>
      <top style="thin">
        <color theme="4" tint="0.399792474135563"/>
      </top>
      <bottom style="thin">
        <color theme="4" tint="0.399945066682943"/>
      </bottom>
      <diagonal/>
    </border>
    <border>
      <left/>
      <right/>
      <top style="thin">
        <color theme="4" tint="0.399792474135563"/>
      </top>
      <bottom style="thin">
        <color theme="4" tint="0.399945066682943"/>
      </bottom>
      <diagonal/>
    </border>
    <border>
      <left/>
      <right style="thin">
        <color theme="4" tint="0.399945066682943"/>
      </right>
      <top style="thin">
        <color theme="4" tint="0.399792474135563"/>
      </top>
      <bottom style="thin">
        <color theme="4" tint="0.399945066682943"/>
      </bottom>
      <diagonal/>
    </border>
    <border>
      <left style="thin">
        <color theme="4" tint="0.399945066682943"/>
      </left>
      <right/>
      <top/>
      <bottom/>
      <diagonal/>
    </border>
    <border>
      <left style="thin">
        <color theme="4" tint="0.399945066682943"/>
      </left>
      <right style="hair">
        <color theme="4" tint="0.399914548173467"/>
      </right>
      <top style="thin">
        <color theme="4" tint="0.399945066682943"/>
      </top>
      <bottom style="thin">
        <color theme="4" tint="0.399945066682943"/>
      </bottom>
      <diagonal/>
    </border>
    <border>
      <left style="hair">
        <color theme="4" tint="0.399914548173467"/>
      </left>
      <right/>
      <top style="thin">
        <color theme="4" tint="0.399945066682943"/>
      </top>
      <bottom style="thin">
        <color theme="4" tint="0.399945066682943"/>
      </bottom>
      <diagonal/>
    </border>
    <border>
      <left style="thick">
        <color theme="4" tint="0.399853511154515"/>
      </left>
      <right style="hair">
        <color theme="4" tint="0.399914548173467"/>
      </right>
      <top style="thin">
        <color theme="4" tint="0.399945066682943"/>
      </top>
      <bottom style="thin">
        <color theme="4" tint="0.399945066682943"/>
      </bottom>
      <diagonal/>
    </border>
    <border>
      <left style="hair">
        <color theme="4" tint="0.399914548173467"/>
      </left>
      <right style="thick">
        <color theme="4" tint="0.399853511154515"/>
      </right>
      <top style="thin">
        <color theme="4" tint="0.399945066682943"/>
      </top>
      <bottom style="thin">
        <color theme="4" tint="0.399945066682943"/>
      </bottom>
      <diagonal/>
    </border>
    <border>
      <left/>
      <right style="hair">
        <color theme="4" tint="0.399914548173467"/>
      </right>
      <top style="thin">
        <color theme="4" tint="0.399945066682943"/>
      </top>
      <bottom style="thin">
        <color theme="4" tint="0.399945066682943"/>
      </bottom>
      <diagonal/>
    </border>
    <border>
      <left style="hair">
        <color theme="4" tint="0.399914548173467"/>
      </left>
      <right style="hair">
        <color theme="4" tint="0.399914548173467"/>
      </right>
      <top style="thin">
        <color theme="4" tint="0.399945066682943"/>
      </top>
      <bottom style="thin">
        <color theme="4" tint="0.399945066682943"/>
      </bottom>
      <diagonal/>
    </border>
    <border>
      <left style="hair">
        <color theme="4" tint="0.399914548173467"/>
      </left>
      <right style="thin">
        <color theme="4" tint="0.399945066682943"/>
      </right>
      <top style="thin">
        <color theme="4" tint="0.399945066682943"/>
      </top>
      <bottom style="thin">
        <color theme="4" tint="0.399945066682943"/>
      </bottom>
      <diagonal/>
    </border>
    <border>
      <left style="thick">
        <color indexed="48"/>
      </left>
      <right/>
      <top/>
      <bottom/>
      <diagonal/>
    </border>
    <border>
      <left style="thin">
        <color theme="4" tint="0.599963377788629"/>
      </left>
      <right style="thin">
        <color theme="4" tint="0.599963377788629"/>
      </right>
      <top style="thin">
        <color theme="4" tint="0.599963377788629"/>
      </top>
      <bottom/>
      <diagonal/>
    </border>
    <border>
      <left style="thin">
        <color theme="4" tint="0.599963377788629"/>
      </left>
      <right style="thin">
        <color theme="4" tint="0.599963377788629"/>
      </right>
      <top style="thin">
        <color theme="4" tint="0.599963377788629"/>
      </top>
      <bottom style="thin">
        <color theme="4" tint="0.599963377788629"/>
      </bottom>
      <diagonal/>
    </border>
    <border>
      <left style="thin">
        <color theme="4" tint="0.599963377788629"/>
      </left>
      <right style="thin">
        <color theme="4" tint="0.599963377788629"/>
      </right>
      <top/>
      <bottom style="thin">
        <color theme="4" tint="0.599963377788629"/>
      </bottom>
      <diagonal/>
    </border>
    <border>
      <left style="thin">
        <color theme="4" tint="0.599963377788629"/>
      </left>
      <right style="thin">
        <color theme="4" tint="0.599963377788629"/>
      </right>
      <top style="thin">
        <color theme="4" tint="0.399945066682943"/>
      </top>
      <bottom style="thin">
        <color theme="4" tint="0.599963377788629"/>
      </bottom>
      <diagonal/>
    </border>
    <border>
      <left style="thin">
        <color theme="4" tint="0.599963377788629"/>
      </left>
      <right/>
      <top style="thin">
        <color theme="4" tint="0.599963377788629"/>
      </top>
      <bottom style="thin">
        <color theme="4" tint="0.599963377788629"/>
      </bottom>
      <diagonal/>
    </border>
    <border>
      <left/>
      <right/>
      <top style="thin">
        <color theme="4" tint="0.599963377788629"/>
      </top>
      <bottom style="thin">
        <color theme="4" tint="0.599963377788629"/>
      </bottom>
      <diagonal/>
    </border>
    <border>
      <left/>
      <right style="thin">
        <color theme="4" tint="0.599963377788629"/>
      </right>
      <top style="thin">
        <color theme="4" tint="0.599963377788629"/>
      </top>
      <bottom style="thin">
        <color theme="4" tint="0.599963377788629"/>
      </bottom>
      <diagonal/>
    </border>
    <border>
      <left style="thin">
        <color theme="4" tint="0.599963377788629"/>
      </left>
      <right/>
      <top style="thin">
        <color theme="4" tint="0.599963377788629"/>
      </top>
      <bottom/>
      <diagonal/>
    </border>
    <border>
      <left/>
      <right style="thin">
        <color theme="4" tint="0.599963377788629"/>
      </right>
      <top style="thin">
        <color theme="4" tint="0.599963377788629"/>
      </top>
      <bottom/>
      <diagonal/>
    </border>
    <border>
      <left style="thin">
        <color theme="4" tint="0.599963377788629"/>
      </left>
      <right/>
      <top/>
      <bottom style="thin">
        <color theme="4" tint="0.599963377788629"/>
      </bottom>
      <diagonal/>
    </border>
    <border>
      <left/>
      <right/>
      <top/>
      <bottom style="thin">
        <color theme="4" tint="0.599963377788629"/>
      </bottom>
      <diagonal/>
    </border>
    <border>
      <left/>
      <right style="thin">
        <color theme="4" tint="0.599963377788629"/>
      </right>
      <top/>
      <bottom style="thin">
        <color theme="4" tint="0.599963377788629"/>
      </bottom>
      <diagonal/>
    </border>
    <border>
      <left/>
      <right style="thick">
        <color indexed="48"/>
      </right>
      <top/>
      <bottom/>
      <diagonal/>
    </border>
    <border>
      <left style="thick">
        <color theme="4" tint="0.599963377788629"/>
      </left>
      <right style="thin">
        <color theme="4" tint="0.599963377788629"/>
      </right>
      <top style="thin">
        <color theme="4" tint="0.599963377788629"/>
      </top>
      <bottom style="thin">
        <color theme="4" tint="0.599963377788629"/>
      </bottom>
      <diagonal/>
    </border>
    <border>
      <left style="thin">
        <color theme="4" tint="0.599963377788629"/>
      </left>
      <right style="thin">
        <color theme="4" tint="0.799981688894314"/>
      </right>
      <top style="thin">
        <color theme="4" tint="0.599963377788629"/>
      </top>
      <bottom style="thin">
        <color theme="4" tint="0.599963377788629"/>
      </bottom>
      <diagonal/>
    </border>
    <border>
      <left style="thin">
        <color theme="4" tint="0.799981688894314"/>
      </left>
      <right style="thin">
        <color theme="4" tint="0.799981688894314"/>
      </right>
      <top style="thin">
        <color theme="4" tint="0.599963377788629"/>
      </top>
      <bottom style="thin">
        <color theme="4" tint="0.599963377788629"/>
      </bottom>
      <diagonal/>
    </border>
    <border>
      <left style="thin">
        <color theme="4" tint="0.799981688894314"/>
      </left>
      <right style="thin">
        <color theme="4" tint="0.799981688894314"/>
      </right>
      <top/>
      <bottom style="thin">
        <color theme="4" tint="0.599963377788629"/>
      </bottom>
      <diagonal/>
    </border>
    <border>
      <left style="thin">
        <color theme="4" tint="0.799981688894314"/>
      </left>
      <right/>
      <top/>
      <bottom style="thin">
        <color theme="4" tint="0.599963377788629"/>
      </bottom>
      <diagonal/>
    </border>
    <border>
      <left style="thick">
        <color theme="4" tint="0.599963377788629"/>
      </left>
      <right/>
      <top/>
      <bottom/>
      <diagonal/>
    </border>
    <border>
      <left style="thin">
        <color theme="4" tint="0.599963377788629"/>
      </left>
      <right style="thin">
        <color theme="4" tint="0.599963377788629"/>
      </right>
      <top style="thin">
        <color theme="4" tint="0.599963377788629"/>
      </top>
      <bottom style="thin">
        <color theme="4" tint="0.799981688894314"/>
      </bottom>
      <diagonal/>
    </border>
    <border>
      <left style="thin">
        <color theme="4" tint="0.599963377788629"/>
      </left>
      <right style="thin">
        <color theme="4" tint="0.599963377788629"/>
      </right>
      <top style="thin">
        <color theme="4" tint="0.799981688894314"/>
      </top>
      <bottom style="thin">
        <color theme="4" tint="0.799981688894314"/>
      </bottom>
      <diagonal/>
    </border>
    <border>
      <left style="thin">
        <color theme="4" tint="0.599963377788629"/>
      </left>
      <right style="thin">
        <color theme="4" tint="0.599963377788629"/>
      </right>
      <top style="thin">
        <color theme="4" tint="0.799981688894314"/>
      </top>
      <bottom style="thin">
        <color theme="4" tint="0.599963377788629"/>
      </bottom>
      <diagonal/>
    </border>
    <border>
      <left style="thin">
        <color indexed="9"/>
      </left>
      <right/>
      <top/>
      <bottom/>
      <diagonal/>
    </border>
    <border>
      <left/>
      <right/>
      <top/>
      <bottom style="thin">
        <color theme="3" tint="0.799981688894314"/>
      </bottom>
      <diagonal/>
    </border>
    <border>
      <left style="thin">
        <color theme="4" tint="0.599963377788629"/>
      </left>
      <right/>
      <top style="thin">
        <color theme="3" tint="0.799981688894314"/>
      </top>
      <bottom style="thin">
        <color theme="3" tint="0.799981688894314"/>
      </bottom>
      <diagonal/>
    </border>
    <border>
      <left/>
      <right/>
      <top style="thin">
        <color theme="3" tint="0.799981688894314"/>
      </top>
      <bottom style="thin">
        <color theme="3" tint="0.799981688894314"/>
      </bottom>
      <diagonal/>
    </border>
    <border>
      <left/>
      <right style="thin">
        <color theme="4" tint="0.599963377788629"/>
      </right>
      <top style="thin">
        <color theme="3" tint="0.799981688894314"/>
      </top>
      <bottom style="thin">
        <color theme="3" tint="0.799981688894314"/>
      </bottom>
      <diagonal/>
    </border>
    <border>
      <left style="thin">
        <color theme="4" tint="0.599963377788629"/>
      </left>
      <right style="thin">
        <color theme="4" tint="0.599963377788629"/>
      </right>
      <top style="thin">
        <color theme="3" tint="0.799981688894314"/>
      </top>
      <bottom style="thin">
        <color theme="3" tint="0.799981688894314"/>
      </bottom>
      <diagonal/>
    </border>
    <border>
      <left style="thin">
        <color theme="4" tint="0.599963377788629"/>
      </left>
      <right/>
      <top style="thin">
        <color theme="3" tint="0.799981688894314"/>
      </top>
      <bottom/>
      <diagonal/>
    </border>
    <border>
      <left/>
      <right/>
      <top style="thin">
        <color theme="3" tint="0.799981688894314"/>
      </top>
      <bottom/>
      <diagonal/>
    </border>
    <border>
      <left/>
      <right style="thin">
        <color theme="4" tint="0.599963377788629"/>
      </right>
      <top style="thin">
        <color theme="3" tint="0.799981688894314"/>
      </top>
      <bottom/>
      <diagonal/>
    </border>
    <border>
      <left/>
      <right/>
      <top/>
      <bottom style="thick">
        <color rgb="FF396499"/>
      </bottom>
      <diagonal/>
    </border>
    <border>
      <left style="thin">
        <color theme="4" tint="0.799981688894314"/>
      </left>
      <right style="thin">
        <color theme="4" tint="0.799981688894314"/>
      </right>
      <top style="thin">
        <color theme="4" tint="0.799981688894314"/>
      </top>
      <bottom/>
      <diagonal/>
    </border>
    <border>
      <left style="thin">
        <color theme="4" tint="0.799981688894314"/>
      </left>
      <right/>
      <top style="thin">
        <color theme="4" tint="0.799981688894314"/>
      </top>
      <bottom/>
      <diagonal/>
    </border>
    <border>
      <left/>
      <right/>
      <top style="thin">
        <color theme="4" tint="0.799981688894314"/>
      </top>
      <bottom/>
      <diagonal/>
    </border>
    <border>
      <left/>
      <right style="thin">
        <color theme="4" tint="0.799981688894314"/>
      </right>
      <top style="thin">
        <color theme="4" tint="0.799981688894314"/>
      </top>
      <bottom/>
      <diagonal/>
    </border>
    <border>
      <left style="thin">
        <color theme="4" tint="0.799981688894314"/>
      </left>
      <right style="thin">
        <color theme="4" tint="0.799981688894314"/>
      </right>
      <top/>
      <bottom style="thin">
        <color theme="4" tint="0.799981688894314"/>
      </bottom>
      <diagonal/>
    </border>
    <border>
      <left style="thin">
        <color theme="4" tint="0.799981688894314"/>
      </left>
      <right/>
      <top/>
      <bottom style="thin">
        <color theme="4" tint="0.799981688894314"/>
      </bottom>
      <diagonal/>
    </border>
    <border>
      <left/>
      <right style="thin">
        <color theme="4" tint="0.799981688894314"/>
      </right>
      <top/>
      <bottom style="thin">
        <color theme="4" tint="0.799981688894314"/>
      </bottom>
      <diagonal/>
    </border>
    <border>
      <left style="thin">
        <color theme="4" tint="0.799981688894314"/>
      </left>
      <right style="thin">
        <color theme="4" tint="0.799981688894314"/>
      </right>
      <top/>
      <bottom/>
      <diagonal/>
    </border>
    <border>
      <left style="thin">
        <color theme="4" tint="0.799981688894314"/>
      </left>
      <right style="thin">
        <color theme="4" tint="0.799981688894314"/>
      </right>
      <top style="thin">
        <color theme="4" tint="0.799981688894314"/>
      </top>
      <bottom style="thin">
        <color theme="4" tint="0.799981688894314"/>
      </bottom>
      <diagonal/>
    </border>
    <border>
      <left style="thin">
        <color theme="4" tint="0.799981688894314"/>
      </left>
      <right/>
      <top style="thin">
        <color theme="4" tint="0.799981688894314"/>
      </top>
      <bottom style="thin">
        <color theme="4" tint="0.799981688894314"/>
      </bottom>
      <diagonal/>
    </border>
    <border>
      <left/>
      <right/>
      <top style="thin">
        <color theme="4" tint="0.799981688894314"/>
      </top>
      <bottom style="thin">
        <color theme="4" tint="0.799981688894314"/>
      </bottom>
      <diagonal/>
    </border>
    <border>
      <left/>
      <right style="thin">
        <color theme="4" tint="0.799981688894314"/>
      </right>
      <top style="thin">
        <color theme="4" tint="0.799981688894314"/>
      </top>
      <bottom style="thin">
        <color theme="4" tint="0.799981688894314"/>
      </bottom>
      <diagonal/>
    </border>
    <border>
      <left style="thin">
        <color theme="4" tint="0.799981688894314"/>
      </left>
      <right style="thin">
        <color theme="4" tint="0.599963377788629"/>
      </right>
      <top style="thin">
        <color theme="4" tint="0.599963377788629"/>
      </top>
      <bottom style="thin">
        <color theme="4" tint="0.599963377788629"/>
      </bottom>
      <diagonal/>
    </border>
    <border>
      <left style="thin">
        <color rgb="FF0070C0"/>
      </left>
      <right/>
      <top/>
      <bottom/>
      <diagonal/>
    </border>
    <border>
      <left style="thin">
        <color theme="4" tint="0.799981688894314"/>
      </left>
      <right style="thin">
        <color theme="4" tint="0.799981688894314"/>
      </right>
      <top style="thin">
        <color theme="4" tint="0.799981688894314"/>
      </top>
      <bottom style="thin">
        <color theme="4" tint="0.599963377788629"/>
      </bottom>
      <diagonal/>
    </border>
    <border>
      <left style="thin">
        <color theme="4" tint="0.799981688894314"/>
      </left>
      <right/>
      <top style="thin">
        <color theme="4" tint="0.799981688894314"/>
      </top>
      <bottom style="thin">
        <color theme="4" tint="0.599963377788629"/>
      </bottom>
      <diagonal/>
    </border>
    <border>
      <left style="thick">
        <color theme="4" tint="0.799951170384838"/>
      </left>
      <right style="thin">
        <color theme="4" tint="0.799981688894314"/>
      </right>
      <top style="thin">
        <color theme="4" tint="0.799981688894314"/>
      </top>
      <bottom style="thin">
        <color theme="4" tint="0.799981688894314"/>
      </bottom>
      <diagonal/>
    </border>
    <border>
      <left style="thin">
        <color theme="4" tint="0.799981688894314"/>
      </left>
      <right style="thin">
        <color theme="4" tint="0.799981688894314"/>
      </right>
      <top style="thin">
        <color theme="4" tint="0.599963377788629"/>
      </top>
      <bottom style="thin">
        <color theme="4" tint="0.799981688894314"/>
      </bottom>
      <diagonal/>
    </border>
    <border>
      <left style="thin">
        <color theme="4" tint="0.799981688894314"/>
      </left>
      <right/>
      <top style="thin">
        <color theme="4" tint="0.599963377788629"/>
      </top>
      <bottom style="thin">
        <color theme="4" tint="0.799981688894314"/>
      </bottom>
      <diagonal/>
    </border>
    <border>
      <left/>
      <right/>
      <top style="medium">
        <color theme="4" tint="0.399945066682943"/>
      </top>
      <bottom/>
      <diagonal/>
    </border>
    <border>
      <left style="thin">
        <color indexed="48"/>
      </left>
      <right style="thin">
        <color auto="1"/>
      </right>
      <top/>
      <bottom/>
      <diagonal/>
    </border>
    <border>
      <left style="thin">
        <color indexed="48"/>
      </left>
      <right style="thin">
        <color indexed="48"/>
      </right>
      <top/>
      <bottom/>
      <diagonal/>
    </border>
    <border>
      <left style="thin">
        <color indexed="48"/>
      </left>
      <right/>
      <top/>
      <bottom/>
      <diagonal/>
    </border>
    <border>
      <left style="thin">
        <color theme="4" tint="0.799981688894314"/>
      </left>
      <right style="thin">
        <color theme="4" tint="0.799981688894314"/>
      </right>
      <top style="medium">
        <color theme="4" tint="0.799951170384838"/>
      </top>
      <bottom style="medium">
        <color theme="4" tint="0.799951170384838"/>
      </bottom>
      <diagonal/>
    </border>
    <border>
      <left style="thin">
        <color theme="4" tint="0.599963377788629"/>
      </left>
      <right style="thin">
        <color theme="4" tint="0.799981688894314"/>
      </right>
      <top/>
      <bottom style="thin">
        <color theme="4" tint="0.599963377788629"/>
      </bottom>
      <diagonal/>
    </border>
    <border>
      <left style="thin">
        <color theme="4" tint="0.799981688894314"/>
      </left>
      <right style="thin">
        <color theme="4" tint="0.599963377788629"/>
      </right>
      <top/>
      <bottom style="thin">
        <color theme="4" tint="0.599963377788629"/>
      </bottom>
      <diagonal/>
    </border>
    <border>
      <left style="thin">
        <color theme="4" tint="0.599963377788629"/>
      </left>
      <right style="thin">
        <color theme="4" tint="0.799981688894314"/>
      </right>
      <top style="thin">
        <color theme="4" tint="0.599963377788629"/>
      </top>
      <bottom/>
      <diagonal/>
    </border>
    <border>
      <left style="thin">
        <color theme="4" tint="0.799981688894314"/>
      </left>
      <right style="thin">
        <color theme="4" tint="0.799981688894314"/>
      </right>
      <top style="thin">
        <color theme="4" tint="0.599963377788629"/>
      </top>
      <bottom/>
      <diagonal/>
    </border>
    <border>
      <left style="thin">
        <color theme="4" tint="0.799981688894314"/>
      </left>
      <right style="thin">
        <color theme="4" tint="0.599963377788629"/>
      </right>
      <top style="thin">
        <color theme="4" tint="0.599963377788629"/>
      </top>
      <bottom/>
      <diagonal/>
    </border>
    <border>
      <left style="thin">
        <color theme="3" tint="0.799981688894314"/>
      </left>
      <right style="thin">
        <color theme="3" tint="0.799981688894314"/>
      </right>
      <top style="thin">
        <color theme="3" tint="0.799981688894314"/>
      </top>
      <bottom style="thin">
        <color theme="3" tint="0.799981688894314"/>
      </bottom>
      <diagonal/>
    </border>
    <border>
      <left style="thin">
        <color theme="3" tint="0.799981688894314"/>
      </left>
      <right/>
      <top style="thin">
        <color theme="3" tint="0.799981688894314"/>
      </top>
      <bottom style="thin">
        <color theme="3" tint="0.799981688894314"/>
      </bottom>
      <diagonal/>
    </border>
    <border>
      <left style="thin">
        <color theme="3" tint="0.799951170384838"/>
      </left>
      <right/>
      <top style="thin">
        <color theme="3" tint="0.799951170384838"/>
      </top>
      <bottom style="thin">
        <color theme="3" tint="0.799981688894314"/>
      </bottom>
      <diagonal/>
    </border>
    <border>
      <left/>
      <right/>
      <top style="thin">
        <color theme="3" tint="0.799951170384838"/>
      </top>
      <bottom style="thin">
        <color theme="3" tint="0.799981688894314"/>
      </bottom>
      <diagonal/>
    </border>
    <border>
      <left/>
      <right style="thin">
        <color theme="3" tint="0.799951170384838"/>
      </right>
      <top style="thin">
        <color theme="3" tint="0.799951170384838"/>
      </top>
      <bottom style="thin">
        <color theme="3" tint="0.799981688894314"/>
      </bottom>
      <diagonal/>
    </border>
    <border>
      <left style="thin">
        <color theme="3" tint="0.799951170384838"/>
      </left>
      <right/>
      <top style="thin">
        <color theme="3" tint="0.799981688894314"/>
      </top>
      <bottom style="thin">
        <color theme="3" tint="0.799981688894314"/>
      </bottom>
      <diagonal/>
    </border>
    <border>
      <left/>
      <right style="thin">
        <color theme="3" tint="0.799951170384838"/>
      </right>
      <top style="thin">
        <color theme="3" tint="0.799981688894314"/>
      </top>
      <bottom style="thin">
        <color theme="3" tint="0.799981688894314"/>
      </bottom>
      <diagonal/>
    </border>
    <border>
      <left style="thin">
        <color theme="3" tint="0.799951170384838"/>
      </left>
      <right/>
      <top style="thin">
        <color theme="3" tint="0.799981688894314"/>
      </top>
      <bottom style="thin">
        <color theme="3" tint="0.799951170384838"/>
      </bottom>
      <diagonal/>
    </border>
    <border>
      <left/>
      <right/>
      <top style="thin">
        <color theme="3" tint="0.799981688894314"/>
      </top>
      <bottom style="thin">
        <color theme="3" tint="0.799951170384838"/>
      </bottom>
      <diagonal/>
    </border>
    <border>
      <left/>
      <right style="thin">
        <color theme="3" tint="0.799951170384838"/>
      </right>
      <top style="thin">
        <color theme="3" tint="0.799981688894314"/>
      </top>
      <bottom style="thin">
        <color theme="3" tint="0.799951170384838"/>
      </bottom>
      <diagonal/>
    </border>
    <border>
      <left style="thin">
        <color theme="3" tint="0.799981688894314"/>
      </left>
      <right style="thin">
        <color theme="3" tint="0.799981688894314"/>
      </right>
      <top style="thin">
        <color theme="3" tint="0.799981688894314"/>
      </top>
      <bottom/>
      <diagonal/>
    </border>
    <border>
      <left style="thin">
        <color theme="3" tint="0.799951170384838"/>
      </left>
      <right style="thin">
        <color theme="3" tint="0.799981688894314"/>
      </right>
      <top style="thin">
        <color theme="3" tint="0.799951170384838"/>
      </top>
      <bottom style="thin">
        <color theme="3" tint="0.799951170384838"/>
      </bottom>
      <diagonal/>
    </border>
    <border>
      <left style="thin">
        <color theme="3" tint="0.799981688894314"/>
      </left>
      <right style="thin">
        <color theme="3" tint="0.799981688894314"/>
      </right>
      <top style="thin">
        <color theme="3" tint="0.799951170384838"/>
      </top>
      <bottom style="thin">
        <color theme="3" tint="0.799951170384838"/>
      </bottom>
      <diagonal/>
    </border>
    <border>
      <left style="thin">
        <color theme="3" tint="0.799981688894314"/>
      </left>
      <right style="thin">
        <color theme="3" tint="0.799951170384838"/>
      </right>
      <top style="thin">
        <color theme="3" tint="0.799951170384838"/>
      </top>
      <bottom style="thin">
        <color theme="3" tint="0.799951170384838"/>
      </bottom>
      <diagonal/>
    </border>
    <border>
      <left/>
      <right style="thin">
        <color theme="3" tint="0.799981688894314"/>
      </right>
      <top style="thin">
        <color theme="3" tint="0.799981688894314"/>
      </top>
      <bottom style="thin">
        <color theme="3" tint="0.799981688894314"/>
      </bottom>
      <diagonal/>
    </border>
    <border>
      <left style="thin">
        <color theme="3" tint="0.799951170384838"/>
      </left>
      <right/>
      <top style="thin">
        <color theme="3" tint="0.799951170384838"/>
      </top>
      <bottom style="thin">
        <color theme="3" tint="0.799951170384838"/>
      </bottom>
      <diagonal/>
    </border>
    <border>
      <left/>
      <right/>
      <top style="thin">
        <color theme="3" tint="0.799951170384838"/>
      </top>
      <bottom style="thin">
        <color theme="3" tint="0.799951170384838"/>
      </bottom>
      <diagonal/>
    </border>
    <border>
      <left/>
      <right style="thin">
        <color theme="3" tint="0.799951170384838"/>
      </right>
      <top style="thin">
        <color theme="3" tint="0.799951170384838"/>
      </top>
      <bottom style="thin">
        <color theme="3" tint="0.799951170384838"/>
      </bottom>
      <diagonal/>
    </border>
    <border>
      <left style="thin">
        <color theme="3" tint="0.799981688894314"/>
      </left>
      <right style="thin">
        <color auto="1"/>
      </right>
      <top style="thin">
        <color theme="3" tint="0.799981688894314"/>
      </top>
      <bottom/>
      <diagonal/>
    </border>
    <border>
      <left style="thin">
        <color auto="1"/>
      </left>
      <right/>
      <top style="thin">
        <color theme="3" tint="0.799981688894314"/>
      </top>
      <bottom/>
      <diagonal/>
    </border>
    <border>
      <left/>
      <right style="thin">
        <color auto="1"/>
      </right>
      <top style="thin">
        <color theme="3" tint="0.799981688894314"/>
      </top>
      <bottom/>
      <diagonal/>
    </border>
    <border>
      <left style="thin">
        <color auto="1"/>
      </left>
      <right style="thin">
        <color auto="1"/>
      </right>
      <top style="thin">
        <color theme="3" tint="0.799981688894314"/>
      </top>
      <bottom/>
      <diagonal/>
    </border>
    <border>
      <left style="thin">
        <color theme="3" tint="0.799981688894314"/>
      </left>
      <right/>
      <top style="thin">
        <color theme="3" tint="0.799981688894314"/>
      </top>
      <bottom/>
      <diagonal/>
    </border>
    <border>
      <left style="thin">
        <color theme="3" tint="0.799951170384838"/>
      </left>
      <right style="thin">
        <color theme="3" tint="0.799951170384838"/>
      </right>
      <top style="thin">
        <color theme="3" tint="0.799951170384838"/>
      </top>
      <bottom style="thin">
        <color theme="3" tint="0.799951170384838"/>
      </bottom>
      <diagonal/>
    </border>
    <border>
      <left style="thin">
        <color theme="3" tint="0.799981688894314"/>
      </left>
      <right style="thin">
        <color auto="1"/>
      </right>
      <top/>
      <bottom/>
      <diagonal/>
    </border>
    <border>
      <left style="thin">
        <color theme="3" tint="0.799981688894314"/>
      </left>
      <right/>
      <top/>
      <bottom/>
      <diagonal/>
    </border>
    <border>
      <left/>
      <right style="thin">
        <color theme="3" tint="0.799981688894314"/>
      </right>
      <top/>
      <bottom/>
      <diagonal/>
    </border>
    <border>
      <left style="thin">
        <color theme="3" tint="0.799981688894314"/>
      </left>
      <right style="thin">
        <color theme="3" tint="0.799951170384838"/>
      </right>
      <top/>
      <bottom/>
      <diagonal/>
    </border>
    <border>
      <left style="thin">
        <color theme="3" tint="0.799951170384838"/>
      </left>
      <right style="thin">
        <color theme="3" tint="0.799951170384838"/>
      </right>
      <top/>
      <bottom/>
      <diagonal/>
    </border>
    <border>
      <left style="thin">
        <color theme="3" tint="0.799951170384838"/>
      </left>
      <right style="thin">
        <color theme="3" tint="0.799981688894314"/>
      </right>
      <top/>
      <bottom/>
      <diagonal/>
    </border>
    <border>
      <left style="thin">
        <color theme="3" tint="0.799981688894314"/>
      </left>
      <right/>
      <top/>
      <bottom style="thin">
        <color theme="3" tint="0.799981688894314"/>
      </bottom>
      <diagonal/>
    </border>
    <border>
      <left/>
      <right style="thin">
        <color theme="3" tint="0.799981688894314"/>
      </right>
      <top/>
      <bottom style="thin">
        <color theme="3" tint="0.799981688894314"/>
      </bottom>
      <diagonal/>
    </border>
    <border>
      <left style="thin">
        <color theme="3" tint="0.799981688894314"/>
      </left>
      <right style="thin">
        <color theme="3" tint="0.799951170384838"/>
      </right>
      <top/>
      <bottom style="thin">
        <color theme="3" tint="0.799951170384838"/>
      </bottom>
      <diagonal/>
    </border>
    <border>
      <left style="thin">
        <color theme="3" tint="0.799951170384838"/>
      </left>
      <right style="thin">
        <color theme="3" tint="0.799951170384838"/>
      </right>
      <top/>
      <bottom style="thin">
        <color theme="3" tint="0.799951170384838"/>
      </bottom>
      <diagonal/>
    </border>
    <border>
      <left style="thin">
        <color theme="3" tint="0.799951170384838"/>
      </left>
      <right style="thin">
        <color theme="3" tint="0.799981688894314"/>
      </right>
      <top/>
      <bottom style="thin">
        <color theme="3" tint="0.799951170384838"/>
      </bottom>
      <diagonal/>
    </border>
    <border>
      <left style="thin">
        <color theme="3" tint="0.799920651875362"/>
      </left>
      <right style="thin">
        <color theme="3" tint="0.799920651875362"/>
      </right>
      <top style="thin">
        <color theme="3" tint="0.799920651875362"/>
      </top>
      <bottom style="thin">
        <color theme="3" tint="0.799951170384838"/>
      </bottom>
      <diagonal/>
    </border>
    <border>
      <left style="thin">
        <color theme="3" tint="0.799920651875362"/>
      </left>
      <right style="thin">
        <color theme="3" tint="0.799920651875362"/>
      </right>
      <top/>
      <bottom style="thin">
        <color theme="3" tint="0.799981688894314"/>
      </bottom>
      <diagonal/>
    </border>
    <border>
      <left/>
      <right style="thin">
        <color rgb="FF0070C0"/>
      </right>
      <top/>
      <bottom style="thin">
        <color theme="3" tint="0.799981688894314"/>
      </bottom>
      <diagonal/>
    </border>
    <border>
      <left style="thin">
        <color rgb="FF0070C0"/>
      </left>
      <right style="thin">
        <color rgb="FF0070C0"/>
      </right>
      <top/>
      <bottom style="thin">
        <color theme="3" tint="0.799981688894314"/>
      </bottom>
      <diagonal/>
    </border>
    <border>
      <left style="thin">
        <color rgb="FF0070C0"/>
      </left>
      <right/>
      <top/>
      <bottom style="thin">
        <color theme="3" tint="0.799981688894314"/>
      </bottom>
      <diagonal/>
    </border>
    <border>
      <left style="thin">
        <color theme="3" tint="0.799920651875362"/>
      </left>
      <right style="thin">
        <color theme="3" tint="0.799920651875362"/>
      </right>
      <top style="thin">
        <color theme="3" tint="0.799981688894314"/>
      </top>
      <bottom style="thin">
        <color theme="3" tint="0.799981688894314"/>
      </bottom>
      <diagonal/>
    </border>
    <border>
      <left/>
      <right style="thin">
        <color rgb="FF0070C0"/>
      </right>
      <top style="thin">
        <color theme="3" tint="0.799981688894314"/>
      </top>
      <bottom style="thin">
        <color theme="3" tint="0.799981688894314"/>
      </bottom>
      <diagonal/>
    </border>
    <border>
      <left style="thin">
        <color rgb="FF0070C0"/>
      </left>
      <right style="thin">
        <color rgb="FF0070C0"/>
      </right>
      <top style="thin">
        <color theme="3" tint="0.799981688894314"/>
      </top>
      <bottom style="thin">
        <color theme="3" tint="0.799981688894314"/>
      </bottom>
      <diagonal/>
    </border>
    <border>
      <left style="thin">
        <color rgb="FF0070C0"/>
      </left>
      <right/>
      <top style="thin">
        <color theme="3" tint="0.799981688894314"/>
      </top>
      <bottom style="thin">
        <color theme="3" tint="0.799981688894314"/>
      </bottom>
      <diagonal/>
    </border>
    <border>
      <left style="thin">
        <color theme="3" tint="0.799920651875362"/>
      </left>
      <right style="thin">
        <color theme="3" tint="0.799920651875362"/>
      </right>
      <top style="thin">
        <color theme="3" tint="0.799981688894314"/>
      </top>
      <bottom style="thin">
        <color theme="3" tint="0.799920651875362"/>
      </bottom>
      <diagonal/>
    </border>
    <border>
      <left style="thin">
        <color theme="3" tint="0.799951170384838"/>
      </left>
      <right style="thin">
        <color theme="3" tint="0.799981688894314"/>
      </right>
      <top style="thin">
        <color theme="3" tint="0.799951170384838"/>
      </top>
      <bottom/>
      <diagonal/>
    </border>
    <border>
      <left style="thin">
        <color theme="3" tint="0.799981688894314"/>
      </left>
      <right style="thin">
        <color theme="3" tint="0.799951170384838"/>
      </right>
      <top style="thin">
        <color theme="3" tint="0.799951170384838"/>
      </top>
      <bottom/>
      <diagonal/>
    </border>
    <border>
      <left style="thin">
        <color theme="3" tint="0.799920651875362"/>
      </left>
      <right/>
      <top style="thin">
        <color theme="3" tint="0.799920651875362"/>
      </top>
      <bottom/>
      <diagonal/>
    </border>
    <border>
      <left/>
      <right style="thin">
        <color theme="3" tint="0.799920651875362"/>
      </right>
      <top style="thin">
        <color theme="3" tint="0.799920651875362"/>
      </top>
      <bottom/>
      <diagonal/>
    </border>
    <border>
      <left style="thin">
        <color theme="3" tint="0.799951170384838"/>
      </left>
      <right style="thin">
        <color theme="3" tint="0.799981688894314"/>
      </right>
      <top style="thin">
        <color theme="3" tint="0.799981688894314"/>
      </top>
      <bottom/>
      <diagonal/>
    </border>
    <border>
      <left style="thin">
        <color theme="3" tint="0.799981688894314"/>
      </left>
      <right style="thin">
        <color theme="3" tint="0.799920651875362"/>
      </right>
      <top style="thin">
        <color theme="3" tint="0.799981688894314"/>
      </top>
      <bottom/>
      <diagonal/>
    </border>
    <border>
      <left style="thin">
        <color theme="3" tint="0.799920651875362"/>
      </left>
      <right/>
      <top/>
      <bottom/>
      <diagonal/>
    </border>
    <border>
      <left/>
      <right style="thin">
        <color theme="3" tint="0.799920651875362"/>
      </right>
      <top/>
      <bottom/>
      <diagonal/>
    </border>
    <border>
      <left style="thin">
        <color theme="3" tint="0.799951170384838"/>
      </left>
      <right/>
      <top/>
      <bottom style="thin">
        <color theme="3" tint="0.799951170384838"/>
      </bottom>
      <diagonal/>
    </border>
    <border>
      <left/>
      <right style="thin">
        <color theme="3" tint="0.799951170384838"/>
      </right>
      <top/>
      <bottom style="thin">
        <color theme="3" tint="0.799951170384838"/>
      </bottom>
      <diagonal/>
    </border>
    <border>
      <left style="thin">
        <color theme="3" tint="0.799951170384838"/>
      </left>
      <right style="thin">
        <color theme="3" tint="0.799981688894314"/>
      </right>
      <top/>
      <bottom style="thin">
        <color theme="3" tint="0.799981688894314"/>
      </bottom>
      <diagonal/>
    </border>
    <border>
      <left style="thin">
        <color theme="3" tint="0.799981688894314"/>
      </left>
      <right style="thin">
        <color theme="3" tint="0.799981688894314"/>
      </right>
      <top/>
      <bottom style="thin">
        <color theme="3" tint="0.799981688894314"/>
      </bottom>
      <diagonal/>
    </border>
    <border>
      <left style="thin">
        <color theme="3" tint="0.799981688894314"/>
      </left>
      <right style="thin">
        <color theme="3" tint="0.799920651875362"/>
      </right>
      <top/>
      <bottom style="thin">
        <color theme="3" tint="0.799981688894314"/>
      </bottom>
      <diagonal/>
    </border>
    <border>
      <left style="thin">
        <color theme="3" tint="0.799920651875362"/>
      </left>
      <right/>
      <top/>
      <bottom style="thin">
        <color theme="3" tint="0.799920651875362"/>
      </bottom>
      <diagonal/>
    </border>
    <border>
      <left/>
      <right style="thin">
        <color theme="3" tint="0.799920651875362"/>
      </right>
      <top/>
      <bottom style="thin">
        <color theme="3" tint="0.799920651875362"/>
      </bottom>
      <diagonal/>
    </border>
    <border>
      <left/>
      <right style="thin">
        <color theme="3" tint="0.799981688894314"/>
      </right>
      <top style="thin">
        <color theme="3" tint="0.799981688894314"/>
      </top>
      <bottom/>
      <diagonal/>
    </border>
    <border>
      <left style="thin">
        <color theme="3" tint="0.799951170384838"/>
      </left>
      <right style="thick">
        <color indexed="48"/>
      </right>
      <top style="thin">
        <color theme="3" tint="0.799951170384838"/>
      </top>
      <bottom style="thin">
        <color theme="3" tint="0.799951170384838"/>
      </bottom>
      <diagonal/>
    </border>
    <border>
      <left style="thick">
        <color indexed="48"/>
      </left>
      <right style="thick">
        <color indexed="48"/>
      </right>
      <top style="thin">
        <color theme="3" tint="0.799951170384838"/>
      </top>
      <bottom style="thin">
        <color theme="3" tint="0.799951170384838"/>
      </bottom>
      <diagonal/>
    </border>
    <border>
      <left style="thick">
        <color indexed="48"/>
      </left>
      <right style="thin">
        <color theme="3" tint="0.799951170384838"/>
      </right>
      <top style="thin">
        <color theme="3" tint="0.799951170384838"/>
      </top>
      <bottom style="thin">
        <color theme="3" tint="0.799951170384838"/>
      </bottom>
      <diagonal/>
    </border>
    <border>
      <left style="thin">
        <color theme="3" tint="0.799951170384838"/>
      </left>
      <right style="thin">
        <color indexed="48"/>
      </right>
      <top style="thin">
        <color theme="3" tint="0.799951170384838"/>
      </top>
      <bottom style="thin">
        <color theme="3" tint="0.799951170384838"/>
      </bottom>
      <diagonal/>
    </border>
    <border>
      <left style="thin">
        <color indexed="48"/>
      </left>
      <right style="thin">
        <color indexed="48"/>
      </right>
      <top style="thin">
        <color theme="3" tint="0.799951170384838"/>
      </top>
      <bottom style="thin">
        <color theme="3" tint="0.799951170384838"/>
      </bottom>
      <diagonal/>
    </border>
    <border>
      <left style="thin">
        <color indexed="48"/>
      </left>
      <right style="thin">
        <color theme="3" tint="0.799951170384838"/>
      </right>
      <top style="thin">
        <color theme="3" tint="0.799951170384838"/>
      </top>
      <bottom style="thin">
        <color theme="3" tint="0.799951170384838"/>
      </bottom>
      <diagonal/>
    </border>
    <border>
      <left style="thin">
        <color theme="3" tint="0.799951170384838"/>
      </left>
      <right/>
      <top/>
      <bottom/>
      <diagonal/>
    </border>
    <border>
      <left style="thin">
        <color rgb="FF3366FF"/>
      </left>
      <right/>
      <top style="thin">
        <color rgb="FF3366FF"/>
      </top>
      <bottom/>
      <diagonal/>
    </border>
    <border>
      <left/>
      <right/>
      <top style="thin">
        <color rgb="FF3366FF"/>
      </top>
      <bottom/>
      <diagonal/>
    </border>
    <border>
      <left/>
      <right style="thin">
        <color rgb="FF3366FF"/>
      </right>
      <top style="thin">
        <color rgb="FF3366FF"/>
      </top>
      <bottom/>
      <diagonal/>
    </border>
    <border>
      <left style="thin">
        <color theme="3" tint="0.799951170384838"/>
      </left>
      <right/>
      <top style="thin">
        <color theme="3" tint="0.799951170384838"/>
      </top>
      <bottom/>
      <diagonal/>
    </border>
    <border>
      <left/>
      <right style="thin">
        <color theme="3" tint="0.799951170384838"/>
      </right>
      <top style="thin">
        <color theme="3" tint="0.799951170384838"/>
      </top>
      <bottom/>
      <diagonal/>
    </border>
    <border>
      <left/>
      <right style="thin">
        <color theme="3" tint="0.799951170384838"/>
      </right>
      <top/>
      <bottom/>
      <diagonal/>
    </border>
    <border>
      <left style="thin">
        <color theme="3" tint="0.799981688894314"/>
      </left>
      <right style="thin">
        <color theme="3" tint="0.799951170384838"/>
      </right>
      <top style="thin">
        <color theme="3" tint="0.799981688894314"/>
      </top>
      <bottom/>
      <diagonal/>
    </border>
    <border>
      <left style="thin">
        <color theme="3" tint="0.799981688894314"/>
      </left>
      <right style="thin">
        <color theme="3" tint="0.799981688894314"/>
      </right>
      <top/>
      <bottom style="thin">
        <color theme="3" tint="0.799951170384838"/>
      </bottom>
      <diagonal/>
    </border>
    <border>
      <left/>
      <right/>
      <top style="thin">
        <color theme="3" tint="0.799951170384838"/>
      </top>
      <bottom/>
      <diagonal/>
    </border>
    <border>
      <left/>
      <right/>
      <top/>
      <bottom style="thin">
        <color theme="3" tint="0.799951170384838"/>
      </bottom>
      <diagonal/>
    </border>
    <border>
      <left style="thin">
        <color theme="3" tint="0.799920651875362"/>
      </left>
      <right style="thin">
        <color theme="3" tint="0.799951170384838"/>
      </right>
      <top style="thin">
        <color theme="3" tint="0.799951170384838"/>
      </top>
      <bottom style="thin">
        <color theme="3" tint="0.799920651875362"/>
      </bottom>
      <diagonal/>
    </border>
    <border>
      <left style="thin">
        <color theme="3" tint="0.799951170384838"/>
      </left>
      <right style="thin">
        <color theme="3" tint="0.799951170384838"/>
      </right>
      <top style="thin">
        <color theme="3" tint="0.799951170384838"/>
      </top>
      <bottom style="thin">
        <color theme="3" tint="0.799920651875362"/>
      </bottom>
      <diagonal/>
    </border>
    <border>
      <left style="thin">
        <color theme="3" tint="0.799951170384838"/>
      </left>
      <right style="thin">
        <color theme="3" tint="0.799920651875362"/>
      </right>
      <top style="thin">
        <color theme="3" tint="0.799951170384838"/>
      </top>
      <bottom style="thin">
        <color theme="3" tint="0.799920651875362"/>
      </bottom>
      <diagonal/>
    </border>
    <border>
      <left/>
      <right/>
      <top style="thin">
        <color theme="3" tint="0.799920651875362"/>
      </top>
      <bottom style="thin">
        <color theme="3" tint="0.799920651875362"/>
      </bottom>
      <diagonal/>
    </border>
    <border>
      <left style="thin">
        <color theme="3" tint="0.799920651875362"/>
      </left>
      <right style="thin">
        <color indexed="48"/>
      </right>
      <top style="thin">
        <color theme="3" tint="0.799920651875362"/>
      </top>
      <bottom style="thin">
        <color theme="3" tint="0.799920651875362"/>
      </bottom>
      <diagonal/>
    </border>
    <border>
      <left style="thin">
        <color indexed="48"/>
      </left>
      <right style="thin">
        <color indexed="48"/>
      </right>
      <top style="thin">
        <color theme="3" tint="0.799920651875362"/>
      </top>
      <bottom style="thin">
        <color theme="3" tint="0.799920651875362"/>
      </bottom>
      <diagonal/>
    </border>
    <border>
      <left style="thin">
        <color indexed="48"/>
      </left>
      <right style="thin">
        <color theme="3" tint="0.799920651875362"/>
      </right>
      <top style="thin">
        <color theme="3" tint="0.799920651875362"/>
      </top>
      <bottom style="thin">
        <color theme="3" tint="0.799920651875362"/>
      </bottom>
      <diagonal/>
    </border>
    <border>
      <left style="thin">
        <color theme="3" tint="0.799920651875362"/>
      </left>
      <right style="thin">
        <color indexed="48"/>
      </right>
      <top style="thin">
        <color theme="3" tint="0.799920651875362"/>
      </top>
      <bottom style="thin">
        <color theme="3" tint="0.799981688894314"/>
      </bottom>
      <diagonal/>
    </border>
    <border>
      <left style="thin">
        <color indexed="48"/>
      </left>
      <right style="thin">
        <color indexed="48"/>
      </right>
      <top style="thin">
        <color theme="3" tint="0.799920651875362"/>
      </top>
      <bottom style="thin">
        <color theme="3" tint="0.799981688894314"/>
      </bottom>
      <diagonal/>
    </border>
    <border>
      <left style="thin">
        <color indexed="48"/>
      </left>
      <right style="thin">
        <color theme="3" tint="0.799920651875362"/>
      </right>
      <top style="thin">
        <color theme="3" tint="0.799920651875362"/>
      </top>
      <bottom style="thin">
        <color theme="3" tint="0.799981688894314"/>
      </bottom>
      <diagonal/>
    </border>
    <border>
      <left style="thick">
        <color theme="9" tint="-0.499984740745262"/>
      </left>
      <right style="thin">
        <color theme="0" tint="-0.349986266670736"/>
      </right>
      <top style="thin">
        <color theme="0" tint="-0.349986266670736"/>
      </top>
      <bottom style="thin">
        <color theme="0" tint="-0.349986266670736"/>
      </bottom>
      <diagonal/>
    </border>
    <border>
      <left style="thin">
        <color theme="0" tint="-0.349986266670736"/>
      </left>
      <right style="thin">
        <color theme="0" tint="-0.349986266670736"/>
      </right>
      <top style="thin">
        <color theme="0" tint="-0.349986266670736"/>
      </top>
      <bottom style="thin">
        <color theme="0" tint="-0.249946592608417"/>
      </bottom>
      <diagonal/>
    </border>
    <border>
      <left style="thick">
        <color theme="9" tint="-0.499984740745262"/>
      </left>
      <right style="thin">
        <color theme="0" tint="-0.349986266670736"/>
      </right>
      <top style="thin">
        <color theme="0" tint="-0.349986266670736"/>
      </top>
      <bottom/>
      <diagonal/>
    </border>
    <border>
      <left style="thick">
        <color theme="9" tint="-0.499984740745262"/>
      </left>
      <right style="thin">
        <color theme="0" tint="-0.349986266670736"/>
      </right>
      <top style="thick">
        <color theme="0" tint="-0.349986266670736"/>
      </top>
      <bottom style="thin">
        <color theme="0" tint="-0.349986266670736"/>
      </bottom>
      <diagonal/>
    </border>
    <border>
      <left style="thick">
        <color theme="9" tint="-0.499984740745262"/>
      </left>
      <right/>
      <top/>
      <bottom/>
      <diagonal/>
    </border>
    <border>
      <left style="thick">
        <color theme="9" tint="-0.499984740745262"/>
      </left>
      <right/>
      <top style="thin">
        <color theme="0" tint="-0.349986266670736"/>
      </top>
      <bottom style="thin">
        <color theme="0" tint="-0.349986266670736"/>
      </bottom>
      <diagonal/>
    </border>
    <border>
      <left style="thin">
        <color theme="0" tint="-0.349986266670736"/>
      </left>
      <right style="thick">
        <color theme="0" tint="-0.349986266670736"/>
      </right>
      <top style="thin">
        <color theme="0" tint="-0.349986266670736"/>
      </top>
      <bottom style="thin">
        <color theme="0" tint="-0.349986266670736"/>
      </bottom>
      <diagonal/>
    </border>
    <border>
      <left style="thick">
        <color theme="0" tint="-0.349986266670736"/>
      </left>
      <right style="thin">
        <color theme="0" tint="-0.349986266670736"/>
      </right>
      <top style="thin">
        <color theme="0" tint="-0.249946592608417"/>
      </top>
      <bottom style="thin">
        <color theme="0" tint="-0.249946592608417"/>
      </bottom>
      <diagonal/>
    </border>
    <border>
      <left style="thick">
        <color theme="0" tint="-0.349986266670736"/>
      </left>
      <right style="thin">
        <color theme="0" tint="-0.349986266670736"/>
      </right>
      <top style="thin">
        <color theme="0" tint="-0.349986266670736"/>
      </top>
      <bottom style="thin">
        <color theme="0" tint="-0.349986266670736"/>
      </bottom>
      <diagonal/>
    </border>
    <border>
      <left style="thin">
        <color theme="0" tint="-0.349986266670736"/>
      </left>
      <right style="thick">
        <color theme="0" tint="-0.349986266670736"/>
      </right>
      <top style="thin">
        <color theme="0" tint="-0.349986266670736"/>
      </top>
      <bottom style="thick">
        <color theme="0" tint="-0.349986266670736"/>
      </bottom>
      <diagonal/>
    </border>
    <border>
      <left style="thick">
        <color theme="0" tint="-0.349986266670736"/>
      </left>
      <right style="thin">
        <color theme="0" tint="-0.349986266670736"/>
      </right>
      <top style="thin">
        <color theme="0" tint="-0.249946592608417"/>
      </top>
      <bottom style="thick">
        <color theme="0" tint="-0.349986266670736"/>
      </bottom>
      <diagonal/>
    </border>
    <border>
      <left style="thin">
        <color theme="0" tint="-0.349986266670736"/>
      </left>
      <right style="thin">
        <color theme="0" tint="-0.349986266670736"/>
      </right>
      <top style="thick">
        <color theme="0" tint="-0.349986266670736"/>
      </top>
      <bottom style="thin">
        <color theme="0" tint="-0.249946592608417"/>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3" tint="0.399945066682943"/>
      </left>
      <right/>
      <top style="thin">
        <color theme="3" tint="0.399945066682943"/>
      </top>
      <bottom style="thin">
        <color theme="3" tint="0.399914548173467"/>
      </bottom>
      <diagonal/>
    </border>
    <border>
      <left/>
      <right style="thin">
        <color theme="3" tint="0.399945066682943"/>
      </right>
      <top style="thin">
        <color theme="3" tint="0.399945066682943"/>
      </top>
      <bottom style="thin">
        <color theme="3" tint="0.399914548173467"/>
      </bottom>
      <diagonal/>
    </border>
    <border>
      <left style="thin">
        <color theme="3" tint="0.399945066682943"/>
      </left>
      <right/>
      <top style="thin">
        <color theme="3" tint="0.399914548173467"/>
      </top>
      <bottom style="thin">
        <color theme="3" tint="0.399914548173467"/>
      </bottom>
      <diagonal/>
    </border>
    <border>
      <left/>
      <right style="thin">
        <color theme="3" tint="0.399945066682943"/>
      </right>
      <top style="thin">
        <color theme="3" tint="0.399914548173467"/>
      </top>
      <bottom style="thin">
        <color theme="3" tint="0.399914548173467"/>
      </bottom>
      <diagonal/>
    </border>
    <border>
      <left style="thin">
        <color theme="3" tint="0.399945066682943"/>
      </left>
      <right style="thin">
        <color theme="3" tint="0.399945066682943"/>
      </right>
      <top style="thin">
        <color theme="3" tint="0.399914548173467"/>
      </top>
      <bottom style="thin">
        <color theme="3" tint="0.399914548173467"/>
      </bottom>
      <diagonal/>
    </border>
    <border>
      <left style="thin">
        <color theme="3" tint="0.399945066682943"/>
      </left>
      <right/>
      <top style="thin">
        <color theme="3" tint="0.399914548173467"/>
      </top>
      <bottom style="thin">
        <color theme="3" tint="0.399945066682943"/>
      </bottom>
      <diagonal/>
    </border>
    <border>
      <left/>
      <right style="thin">
        <color theme="3" tint="0.399945066682943"/>
      </right>
      <top style="thin">
        <color theme="3" tint="0.399914548173467"/>
      </top>
      <bottom style="thin">
        <color theme="3" tint="0.399945066682943"/>
      </bottom>
      <diagonal/>
    </border>
    <border>
      <left style="thin">
        <color theme="3" tint="0.399945066682943"/>
      </left>
      <right style="thin">
        <color theme="3" tint="0.399945066682943"/>
      </right>
      <top style="thin">
        <color theme="3" tint="0.399914548173467"/>
      </top>
      <bottom style="thin">
        <color theme="3" tint="0.399945066682943"/>
      </bottom>
      <diagonal/>
    </border>
    <border>
      <left style="thin">
        <color theme="3" tint="0.399945066682943"/>
      </left>
      <right/>
      <top style="thin">
        <color theme="3" tint="0.399945066682943"/>
      </top>
      <bottom style="thin">
        <color theme="3" tint="0.399945066682943"/>
      </bottom>
      <diagonal/>
    </border>
    <border>
      <left/>
      <right style="thin">
        <color theme="3" tint="0.399945066682943"/>
      </right>
      <top style="thin">
        <color theme="3" tint="0.399945066682943"/>
      </top>
      <bottom style="thin">
        <color theme="3" tint="0.399945066682943"/>
      </bottom>
      <diagonal/>
    </border>
    <border>
      <left style="thin">
        <color rgb="FF3366FF"/>
      </left>
      <right style="thin">
        <color rgb="FF3366FF"/>
      </right>
      <top style="thin">
        <color rgb="FF3366FF"/>
      </top>
      <bottom style="thin">
        <color rgb="FF3366FF"/>
      </bottom>
      <diagonal/>
    </border>
    <border>
      <left/>
      <right/>
      <top style="thin">
        <color rgb="FF3366FF"/>
      </top>
      <bottom style="thin">
        <color rgb="FF3366FF"/>
      </bottom>
      <diagonal/>
    </border>
    <border>
      <left style="thin">
        <color rgb="FF3366FF"/>
      </left>
      <right/>
      <top style="thin">
        <color rgb="FF3366FF"/>
      </top>
      <bottom style="thin">
        <color rgb="FF3366FF"/>
      </bottom>
      <diagonal/>
    </border>
    <border>
      <left style="thin">
        <color theme="3" tint="0.399945066682943"/>
      </left>
      <right style="thin">
        <color theme="3" tint="0.399945066682943"/>
      </right>
      <top style="thin">
        <color rgb="FF3366FF"/>
      </top>
      <bottom style="thin">
        <color theme="3" tint="0.399914548173467"/>
      </bottom>
      <diagonal/>
    </border>
    <border>
      <left style="thin">
        <color theme="3" tint="0.399945066682943"/>
      </left>
      <right/>
      <top/>
      <bottom/>
      <diagonal/>
    </border>
    <border>
      <left style="thin">
        <color theme="3" tint="0.399945066682943"/>
      </left>
      <right style="thin">
        <color theme="3" tint="0.399945066682943"/>
      </right>
      <top style="thin">
        <color rgb="FF3366FF"/>
      </top>
      <bottom/>
      <diagonal/>
    </border>
    <border>
      <left style="thin">
        <color theme="3" tint="0.399945066682943"/>
      </left>
      <right/>
      <top/>
      <bottom style="thin">
        <color theme="3" tint="0.399914548173467"/>
      </bottom>
      <diagonal/>
    </border>
    <border>
      <left/>
      <right/>
      <top/>
      <bottom style="thin">
        <color theme="3" tint="0.399914548173467"/>
      </bottom>
      <diagonal/>
    </border>
    <border>
      <left style="thin">
        <color theme="3" tint="0.399945066682943"/>
      </left>
      <right/>
      <top style="thin">
        <color theme="3" tint="0.399914548173467"/>
      </top>
      <bottom/>
      <diagonal/>
    </border>
    <border>
      <left/>
      <right/>
      <top style="thin">
        <color theme="3" tint="0.399914548173467"/>
      </top>
      <bottom/>
      <diagonal/>
    </border>
    <border>
      <left/>
      <right/>
      <top style="thin">
        <color theme="3" tint="0.399914548173467"/>
      </top>
      <bottom style="thin">
        <color theme="3" tint="0.399945066682943"/>
      </bottom>
      <diagonal/>
    </border>
    <border>
      <left style="thin">
        <color theme="4" tint="-0.249946592608417"/>
      </left>
      <right style="thin">
        <color theme="4" tint="-0.249946592608417"/>
      </right>
      <top style="thin">
        <color theme="4" tint="-0.249946592608417"/>
      </top>
      <bottom style="thin">
        <color theme="4" tint="-0.249946592608417"/>
      </bottom>
      <diagonal/>
    </border>
    <border>
      <left style="thin">
        <color theme="4" tint="-0.249946592608417"/>
      </left>
      <right/>
      <top style="thin">
        <color theme="4" tint="-0.249946592608417"/>
      </top>
      <bottom style="thin">
        <color theme="4" tint="-0.249946592608417"/>
      </bottom>
      <diagonal/>
    </border>
    <border>
      <left style="thin">
        <color theme="4" tint="-0.249946592608417"/>
      </left>
      <right/>
      <top style="thin">
        <color theme="4" tint="-0.249946592608417"/>
      </top>
      <bottom/>
      <diagonal/>
    </border>
    <border>
      <left style="thin">
        <color theme="4" tint="-0.249946592608417"/>
      </left>
      <right style="thin">
        <color theme="4" tint="-0.249946592608417"/>
      </right>
      <top style="thin">
        <color theme="4" tint="-0.249946592608417"/>
      </top>
      <bottom/>
      <diagonal/>
    </border>
    <border>
      <left style="thin">
        <color theme="4" tint="-0.249946592608417"/>
      </left>
      <right/>
      <top style="medium">
        <color theme="4" tint="-0.249946592608417"/>
      </top>
      <bottom style="thin">
        <color theme="4" tint="-0.249946592608417"/>
      </bottom>
      <diagonal/>
    </border>
    <border>
      <left style="thin">
        <color theme="4" tint="-0.249946592608417"/>
      </left>
      <right style="thin">
        <color theme="4" tint="-0.249946592608417"/>
      </right>
      <top style="medium">
        <color theme="4" tint="-0.249946592608417"/>
      </top>
      <bottom style="thin">
        <color theme="4" tint="-0.249946592608417"/>
      </bottom>
      <diagonal/>
    </border>
    <border>
      <left style="thin">
        <color theme="4" tint="-0.249946592608417"/>
      </left>
      <right style="thin">
        <color theme="4" tint="-0.249946592608417"/>
      </right>
      <top/>
      <bottom/>
      <diagonal/>
    </border>
    <border>
      <left style="thin">
        <color indexed="48"/>
      </left>
      <right/>
      <top style="thin">
        <color indexed="48"/>
      </top>
      <bottom style="thin">
        <color indexed="48"/>
      </bottom>
      <diagonal/>
    </border>
    <border>
      <left/>
      <right/>
      <top style="thin">
        <color indexed="48"/>
      </top>
      <bottom style="thin">
        <color indexed="48"/>
      </bottom>
      <diagonal/>
    </border>
    <border>
      <left/>
      <right/>
      <top/>
      <bottom style="thin">
        <color theme="3" tint="0.599963377788629"/>
      </bottom>
      <diagonal/>
    </border>
    <border>
      <left/>
      <right/>
      <top style="thin">
        <color theme="3" tint="0.599963377788629"/>
      </top>
      <bottom/>
      <diagonal/>
    </border>
    <border>
      <left/>
      <right/>
      <top style="thin">
        <color rgb="FF3366FF"/>
      </top>
      <bottom style="thin">
        <color indexed="48"/>
      </bottom>
      <diagonal/>
    </border>
    <border>
      <left style="thin">
        <color rgb="FF3366FF"/>
      </left>
      <right/>
      <top/>
      <bottom/>
      <diagonal/>
    </border>
    <border>
      <left/>
      <right style="thin">
        <color auto="1"/>
      </right>
      <top/>
      <bottom style="double">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88">
    <xf numFmtId="0" fontId="0" fillId="0" borderId="0"/>
    <xf numFmtId="43" fontId="11" fillId="0" borderId="0" applyFont="0" applyFill="0" applyBorder="0" applyAlignment="0" applyProtection="0"/>
    <xf numFmtId="44" fontId="372" fillId="0" borderId="0" applyFont="0" applyFill="0" applyBorder="0" applyAlignment="0" applyProtection="0">
      <alignment vertical="center"/>
    </xf>
    <xf numFmtId="9" fontId="372" fillId="0" borderId="0" applyFont="0" applyFill="0" applyBorder="0" applyAlignment="0" applyProtection="0">
      <alignment vertical="center"/>
    </xf>
    <xf numFmtId="176" fontId="372" fillId="0" borderId="0" applyFont="0" applyFill="0" applyBorder="0" applyAlignment="0" applyProtection="0">
      <alignment vertical="center"/>
    </xf>
    <xf numFmtId="42" fontId="372" fillId="0" borderId="0" applyFont="0" applyFill="0" applyBorder="0" applyAlignment="0" applyProtection="0">
      <alignment vertical="center"/>
    </xf>
    <xf numFmtId="0" fontId="298" fillId="0" borderId="0" applyNumberFormat="0" applyFill="0" applyBorder="0" applyAlignment="0" applyProtection="0">
      <alignment vertical="top"/>
      <protection locked="0"/>
    </xf>
    <xf numFmtId="0" fontId="373" fillId="0" borderId="0" applyNumberFormat="0" applyFill="0" applyBorder="0" applyAlignment="0" applyProtection="0">
      <alignment vertical="center"/>
    </xf>
    <xf numFmtId="0" fontId="372" fillId="49" borderId="555" applyNumberFormat="0" applyFont="0" applyAlignment="0" applyProtection="0">
      <alignment vertical="center"/>
    </xf>
    <xf numFmtId="0" fontId="374" fillId="0" borderId="0" applyNumberFormat="0" applyFill="0" applyBorder="0" applyAlignment="0" applyProtection="0">
      <alignment vertical="center"/>
    </xf>
    <xf numFmtId="0" fontId="375" fillId="0" borderId="0" applyNumberFormat="0" applyFill="0" applyBorder="0" applyAlignment="0" applyProtection="0">
      <alignment vertical="center"/>
    </xf>
    <xf numFmtId="0" fontId="376" fillId="0" borderId="0" applyNumberFormat="0" applyFill="0" applyBorder="0" applyAlignment="0" applyProtection="0">
      <alignment vertical="center"/>
    </xf>
    <xf numFmtId="0" fontId="377" fillId="0" borderId="556" applyNumberFormat="0" applyFill="0" applyAlignment="0" applyProtection="0">
      <alignment vertical="center"/>
    </xf>
    <xf numFmtId="0" fontId="378" fillId="0" borderId="556" applyNumberFormat="0" applyFill="0" applyAlignment="0" applyProtection="0">
      <alignment vertical="center"/>
    </xf>
    <xf numFmtId="0" fontId="379" fillId="0" borderId="557" applyNumberFormat="0" applyFill="0" applyAlignment="0" applyProtection="0">
      <alignment vertical="center"/>
    </xf>
    <xf numFmtId="0" fontId="379" fillId="0" borderId="0" applyNumberFormat="0" applyFill="0" applyBorder="0" applyAlignment="0" applyProtection="0">
      <alignment vertical="center"/>
    </xf>
    <xf numFmtId="0" fontId="380" fillId="50" borderId="558" applyNumberFormat="0" applyAlignment="0" applyProtection="0">
      <alignment vertical="center"/>
    </xf>
    <xf numFmtId="0" fontId="381" fillId="51" borderId="559" applyNumberFormat="0" applyAlignment="0" applyProtection="0">
      <alignment vertical="center"/>
    </xf>
    <xf numFmtId="0" fontId="382" fillId="51" borderId="558" applyNumberFormat="0" applyAlignment="0" applyProtection="0">
      <alignment vertical="center"/>
    </xf>
    <xf numFmtId="0" fontId="383" fillId="52" borderId="560" applyNumberFormat="0" applyAlignment="0" applyProtection="0">
      <alignment vertical="center"/>
    </xf>
    <xf numFmtId="0" fontId="384" fillId="0" borderId="561" applyNumberFormat="0" applyFill="0" applyAlignment="0" applyProtection="0">
      <alignment vertical="center"/>
    </xf>
    <xf numFmtId="0" fontId="385" fillId="0" borderId="562" applyNumberFormat="0" applyFill="0" applyAlignment="0" applyProtection="0">
      <alignment vertical="center"/>
    </xf>
    <xf numFmtId="0" fontId="386" fillId="53" borderId="0" applyNumberFormat="0" applyBorder="0" applyAlignment="0" applyProtection="0">
      <alignment vertical="center"/>
    </xf>
    <xf numFmtId="0" fontId="387" fillId="54" borderId="0" applyNumberFormat="0" applyBorder="0" applyAlignment="0" applyProtection="0">
      <alignment vertical="center"/>
    </xf>
    <xf numFmtId="0" fontId="388" fillId="55" borderId="0" applyNumberFormat="0" applyBorder="0" applyAlignment="0" applyProtection="0">
      <alignment vertical="center"/>
    </xf>
    <xf numFmtId="0" fontId="389" fillId="56" borderId="0" applyNumberFormat="0" applyBorder="0" applyAlignment="0" applyProtection="0">
      <alignment vertical="center"/>
    </xf>
    <xf numFmtId="0" fontId="390" fillId="57" borderId="0" applyNumberFormat="0" applyBorder="0" applyAlignment="0" applyProtection="0">
      <alignment vertical="center"/>
    </xf>
    <xf numFmtId="0" fontId="390" fillId="58" borderId="0" applyNumberFormat="0" applyBorder="0" applyAlignment="0" applyProtection="0">
      <alignment vertical="center"/>
    </xf>
    <xf numFmtId="0" fontId="389" fillId="59" borderId="0" applyNumberFormat="0" applyBorder="0" applyAlignment="0" applyProtection="0">
      <alignment vertical="center"/>
    </xf>
    <xf numFmtId="0" fontId="389" fillId="60" borderId="0" applyNumberFormat="0" applyBorder="0" applyAlignment="0" applyProtection="0">
      <alignment vertical="center"/>
    </xf>
    <xf numFmtId="0" fontId="390" fillId="61" borderId="0" applyNumberFormat="0" applyBorder="0" applyAlignment="0" applyProtection="0">
      <alignment vertical="center"/>
    </xf>
    <xf numFmtId="0" fontId="390" fillId="62" borderId="0" applyNumberFormat="0" applyBorder="0" applyAlignment="0" applyProtection="0">
      <alignment vertical="center"/>
    </xf>
    <xf numFmtId="0" fontId="389" fillId="63" borderId="0" applyNumberFormat="0" applyBorder="0" applyAlignment="0" applyProtection="0">
      <alignment vertical="center"/>
    </xf>
    <xf numFmtId="0" fontId="389" fillId="64" borderId="0" applyNumberFormat="0" applyBorder="0" applyAlignment="0" applyProtection="0">
      <alignment vertical="center"/>
    </xf>
    <xf numFmtId="0" fontId="390" fillId="65" borderId="0" applyNumberFormat="0" applyBorder="0" applyAlignment="0" applyProtection="0">
      <alignment vertical="center"/>
    </xf>
    <xf numFmtId="0" fontId="390" fillId="66" borderId="0" applyNumberFormat="0" applyBorder="0" applyAlignment="0" applyProtection="0">
      <alignment vertical="center"/>
    </xf>
    <xf numFmtId="0" fontId="389" fillId="67" borderId="0" applyNumberFormat="0" applyBorder="0" applyAlignment="0" applyProtection="0">
      <alignment vertical="center"/>
    </xf>
    <xf numFmtId="0" fontId="389" fillId="68" borderId="0" applyNumberFormat="0" applyBorder="0" applyAlignment="0" applyProtection="0">
      <alignment vertical="center"/>
    </xf>
    <xf numFmtId="0" fontId="390" fillId="69" borderId="0" applyNumberFormat="0" applyBorder="0" applyAlignment="0" applyProtection="0">
      <alignment vertical="center"/>
    </xf>
    <xf numFmtId="0" fontId="390" fillId="70" borderId="0" applyNumberFormat="0" applyBorder="0" applyAlignment="0" applyProtection="0">
      <alignment vertical="center"/>
    </xf>
    <xf numFmtId="0" fontId="389" fillId="71" borderId="0" applyNumberFormat="0" applyBorder="0" applyAlignment="0" applyProtection="0">
      <alignment vertical="center"/>
    </xf>
    <xf numFmtId="0" fontId="389" fillId="72" borderId="0" applyNumberFormat="0" applyBorder="0" applyAlignment="0" applyProtection="0">
      <alignment vertical="center"/>
    </xf>
    <xf numFmtId="0" fontId="390" fillId="73" borderId="0" applyNumberFormat="0" applyBorder="0" applyAlignment="0" applyProtection="0">
      <alignment vertical="center"/>
    </xf>
    <xf numFmtId="0" fontId="390" fillId="74" borderId="0" applyNumberFormat="0" applyBorder="0" applyAlignment="0" applyProtection="0">
      <alignment vertical="center"/>
    </xf>
    <xf numFmtId="0" fontId="389" fillId="75" borderId="0" applyNumberFormat="0" applyBorder="0" applyAlignment="0" applyProtection="0">
      <alignment vertical="center"/>
    </xf>
    <xf numFmtId="0" fontId="389" fillId="76" borderId="0" applyNumberFormat="0" applyBorder="0" applyAlignment="0" applyProtection="0">
      <alignment vertical="center"/>
    </xf>
    <xf numFmtId="0" fontId="390" fillId="77" borderId="0" applyNumberFormat="0" applyBorder="0" applyAlignment="0" applyProtection="0">
      <alignment vertical="center"/>
    </xf>
    <xf numFmtId="0" fontId="390" fillId="78" borderId="0" applyNumberFormat="0" applyBorder="0" applyAlignment="0" applyProtection="0">
      <alignment vertical="center"/>
    </xf>
    <xf numFmtId="0" fontId="389" fillId="79" borderId="0" applyNumberFormat="0" applyBorder="0" applyAlignment="0" applyProtection="0">
      <alignment vertical="center"/>
    </xf>
    <xf numFmtId="177" fontId="391" fillId="0" borderId="0" applyBorder="0" applyProtection="0"/>
    <xf numFmtId="0" fontId="391" fillId="0" borderId="0"/>
    <xf numFmtId="0" fontId="368" fillId="0" borderId="0"/>
    <xf numFmtId="0" fontId="116" fillId="0" borderId="0"/>
    <xf numFmtId="0" fontId="116" fillId="0" borderId="0"/>
    <xf numFmtId="0" fontId="45" fillId="0" borderId="0"/>
    <xf numFmtId="0" fontId="368" fillId="0" borderId="0"/>
    <xf numFmtId="0" fontId="116" fillId="0" borderId="0"/>
    <xf numFmtId="0" fontId="116" fillId="0" borderId="0"/>
    <xf numFmtId="0" fontId="116" fillId="0" borderId="0"/>
    <xf numFmtId="0" fontId="116" fillId="0" borderId="0"/>
    <xf numFmtId="0" fontId="1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368" fillId="0" borderId="0"/>
    <xf numFmtId="0" fontId="392" fillId="80" borderId="0">
      <alignment horizontal="left" vertical="center"/>
    </xf>
    <xf numFmtId="0" fontId="393" fillId="40" borderId="0">
      <alignment horizontal="left" vertical="top"/>
    </xf>
    <xf numFmtId="0" fontId="393" fillId="0" borderId="0">
      <alignment horizontal="left" vertical="center"/>
    </xf>
    <xf numFmtId="0" fontId="394" fillId="40" borderId="0">
      <alignment horizontal="left" vertical="top"/>
    </xf>
    <xf numFmtId="0" fontId="395" fillId="40" borderId="0">
      <alignment horizontal="left" vertical="top"/>
    </xf>
    <xf numFmtId="0" fontId="395" fillId="40" borderId="0">
      <alignment horizontal="left" vertical="top"/>
    </xf>
    <xf numFmtId="0" fontId="395" fillId="40" borderId="0">
      <alignment horizontal="left" vertical="top"/>
    </xf>
    <xf numFmtId="0" fontId="395" fillId="40" borderId="0">
      <alignment horizontal="left" vertical="top"/>
    </xf>
    <xf numFmtId="0" fontId="396" fillId="40" borderId="0">
      <alignment horizontal="left" vertical="top"/>
    </xf>
    <xf numFmtId="0" fontId="394" fillId="0" borderId="0">
      <alignment horizontal="right" vertical="top"/>
    </xf>
    <xf numFmtId="0" fontId="396" fillId="0" borderId="0">
      <alignment horizontal="right" vertical="top"/>
    </xf>
    <xf numFmtId="0" fontId="395" fillId="0" borderId="0">
      <alignment horizontal="left" vertical="top"/>
    </xf>
    <xf numFmtId="0" fontId="396" fillId="40" borderId="0">
      <alignment horizontal="right" vertical="top"/>
    </xf>
    <xf numFmtId="0" fontId="394" fillId="40" borderId="0">
      <alignment horizontal="left" vertical="top"/>
    </xf>
    <xf numFmtId="0" fontId="394" fillId="0" borderId="0">
      <alignment horizontal="right" vertical="top"/>
    </xf>
    <xf numFmtId="0" fontId="396" fillId="0" borderId="0">
      <alignment horizontal="right" vertical="top"/>
    </xf>
    <xf numFmtId="0" fontId="395" fillId="40" borderId="0">
      <alignment horizontal="left" vertical="top"/>
    </xf>
    <xf numFmtId="0" fontId="396" fillId="40" borderId="0">
      <alignment horizontal="right" vertical="top"/>
    </xf>
    <xf numFmtId="0" fontId="394" fillId="0" borderId="0">
      <alignment horizontal="right" vertical="top"/>
    </xf>
    <xf numFmtId="0" fontId="395" fillId="0" borderId="0">
      <alignment horizontal="left" vertical="top"/>
    </xf>
    <xf numFmtId="0" fontId="395" fillId="40" borderId="0">
      <alignment horizontal="left" vertical="top"/>
    </xf>
    <xf numFmtId="0" fontId="396" fillId="0" borderId="0">
      <alignment horizontal="left" vertical="top"/>
    </xf>
    <xf numFmtId="0" fontId="396" fillId="40" borderId="0">
      <alignment horizontal="left" vertical="top"/>
    </xf>
    <xf numFmtId="0" fontId="394" fillId="0" borderId="0">
      <alignment horizontal="right" vertical="top"/>
    </xf>
    <xf numFmtId="0" fontId="396" fillId="0" borderId="0">
      <alignment horizontal="right" vertical="top"/>
    </xf>
    <xf numFmtId="0" fontId="395" fillId="0" borderId="0">
      <alignment horizontal="left" vertical="top"/>
    </xf>
    <xf numFmtId="0" fontId="396" fillId="40" borderId="0">
      <alignment horizontal="left" vertical="top"/>
    </xf>
    <xf numFmtId="0" fontId="397" fillId="0" borderId="0">
      <alignment horizontal="left" vertical="top"/>
    </xf>
    <xf numFmtId="0" fontId="396" fillId="0" borderId="0">
      <alignment horizontal="left" vertical="top"/>
    </xf>
    <xf numFmtId="0" fontId="395" fillId="40" borderId="0">
      <alignment horizontal="left" vertical="top"/>
    </xf>
    <xf numFmtId="0" fontId="396" fillId="0" borderId="0">
      <alignment horizontal="left" vertical="top"/>
    </xf>
    <xf numFmtId="0" fontId="395" fillId="0" borderId="0">
      <alignment horizontal="left" vertical="top"/>
    </xf>
    <xf numFmtId="0" fontId="396" fillId="81" borderId="0">
      <alignment horizontal="left" vertical="center"/>
    </xf>
    <xf numFmtId="0" fontId="394" fillId="40" borderId="0">
      <alignment horizontal="right" vertical="top"/>
    </xf>
    <xf numFmtId="0" fontId="394" fillId="40" borderId="0">
      <alignment horizontal="right" vertical="top"/>
    </xf>
    <xf numFmtId="0" fontId="394" fillId="40" borderId="0">
      <alignment horizontal="right" vertical="top"/>
    </xf>
    <xf numFmtId="0" fontId="394" fillId="40" borderId="0">
      <alignment horizontal="right" vertical="top"/>
    </xf>
    <xf numFmtId="0" fontId="395" fillId="0" borderId="0">
      <alignment horizontal="left" vertical="top"/>
    </xf>
    <xf numFmtId="0" fontId="396" fillId="81" borderId="0">
      <alignment horizontal="right" vertical="center"/>
    </xf>
    <xf numFmtId="0" fontId="394" fillId="40" borderId="0">
      <alignment horizontal="left" vertical="top"/>
    </xf>
    <xf numFmtId="0" fontId="394" fillId="40" borderId="0">
      <alignment horizontal="left" vertical="top"/>
    </xf>
    <xf numFmtId="0" fontId="394" fillId="40" borderId="0">
      <alignment horizontal="left" vertical="top"/>
    </xf>
    <xf numFmtId="0" fontId="394" fillId="40" borderId="0">
      <alignment horizontal="left" vertical="top"/>
    </xf>
    <xf numFmtId="0" fontId="396" fillId="81" borderId="0">
      <alignment horizontal="left" vertical="center"/>
    </xf>
    <xf numFmtId="0" fontId="394" fillId="40" borderId="0">
      <alignment horizontal="right" vertical="top"/>
    </xf>
    <xf numFmtId="0" fontId="396" fillId="40" borderId="0">
      <alignment horizontal="right" vertical="top"/>
    </xf>
    <xf numFmtId="0" fontId="396" fillId="40" borderId="0">
      <alignment horizontal="right" vertical="top"/>
    </xf>
    <xf numFmtId="0" fontId="396" fillId="40" borderId="0">
      <alignment horizontal="right" vertical="top"/>
    </xf>
    <xf numFmtId="0" fontId="396" fillId="40" borderId="0">
      <alignment horizontal="right" vertical="top"/>
    </xf>
    <xf numFmtId="0" fontId="396" fillId="81" borderId="0">
      <alignment horizontal="right" vertical="center"/>
    </xf>
    <xf numFmtId="0" fontId="396" fillId="81" borderId="0">
      <alignment horizontal="left" vertical="center"/>
    </xf>
    <xf numFmtId="0" fontId="394" fillId="40" borderId="0">
      <alignment horizontal="left" vertical="top"/>
    </xf>
    <xf numFmtId="0" fontId="396" fillId="40" borderId="0">
      <alignment horizontal="left" vertical="top"/>
    </xf>
    <xf numFmtId="0" fontId="396" fillId="40" borderId="0">
      <alignment horizontal="left" vertical="top"/>
    </xf>
    <xf numFmtId="0" fontId="396" fillId="40" borderId="0">
      <alignment horizontal="left" vertical="top"/>
    </xf>
    <xf numFmtId="0" fontId="396" fillId="40" borderId="0">
      <alignment horizontal="left" vertical="top"/>
    </xf>
    <xf numFmtId="0" fontId="394" fillId="40" borderId="0">
      <alignment horizontal="right" vertical="top"/>
    </xf>
    <xf numFmtId="0" fontId="396" fillId="81" borderId="0">
      <alignment horizontal="left" vertical="center"/>
    </xf>
    <xf numFmtId="0" fontId="394" fillId="0" borderId="0">
      <alignment horizontal="left" vertical="top"/>
    </xf>
    <xf numFmtId="0" fontId="396" fillId="40" borderId="0">
      <alignment horizontal="right" vertical="top"/>
    </xf>
    <xf numFmtId="0" fontId="394" fillId="40" borderId="0">
      <alignment horizontal="left" vertical="top"/>
    </xf>
    <xf numFmtId="0" fontId="394" fillId="40" borderId="0">
      <alignment horizontal="left" vertical="top"/>
    </xf>
    <xf numFmtId="0" fontId="394" fillId="40" borderId="0">
      <alignment horizontal="left" vertical="top"/>
    </xf>
    <xf numFmtId="0" fontId="394" fillId="40" borderId="0">
      <alignment horizontal="left" vertical="top"/>
    </xf>
    <xf numFmtId="0" fontId="396" fillId="81" borderId="0">
      <alignment horizontal="right" vertical="center"/>
    </xf>
    <xf numFmtId="0" fontId="394" fillId="0" borderId="0">
      <alignment horizontal="right" vertical="top"/>
    </xf>
    <xf numFmtId="0" fontId="394" fillId="0" borderId="0">
      <alignment horizontal="left" vertical="top"/>
    </xf>
    <xf numFmtId="0" fontId="396" fillId="40" borderId="0">
      <alignment horizontal="left" vertical="top"/>
    </xf>
    <xf numFmtId="0" fontId="396" fillId="40" borderId="0">
      <alignment horizontal="right" vertical="top"/>
    </xf>
    <xf numFmtId="0" fontId="396" fillId="40" borderId="0">
      <alignment horizontal="right" vertical="top"/>
    </xf>
    <xf numFmtId="0" fontId="396" fillId="40" borderId="0">
      <alignment horizontal="right" vertical="top"/>
    </xf>
    <xf numFmtId="0" fontId="396" fillId="40" borderId="0">
      <alignment horizontal="right" vertical="top"/>
    </xf>
    <xf numFmtId="0" fontId="394" fillId="0" borderId="0">
      <alignment horizontal="left" vertical="top"/>
    </xf>
    <xf numFmtId="0" fontId="396" fillId="0" borderId="0">
      <alignment horizontal="left" vertical="top"/>
    </xf>
    <xf numFmtId="0" fontId="396" fillId="0" borderId="0">
      <alignment horizontal="right" vertical="top"/>
    </xf>
    <xf numFmtId="178" fontId="11" fillId="0" borderId="0" applyFont="0" applyFill="0" applyBorder="0" applyAlignment="0" applyProtection="0"/>
    <xf numFmtId="178" fontId="11" fillId="0" borderId="0" applyFont="0" applyFill="0" applyBorder="0" applyAlignment="0" applyProtection="0"/>
    <xf numFmtId="178" fontId="116" fillId="0" borderId="0" applyFont="0" applyFill="0" applyBorder="0" applyAlignment="0" applyProtection="0"/>
  </cellStyleXfs>
  <cellXfs count="5623">
    <xf numFmtId="0" fontId="0" fillId="0" borderId="0" xfId="0"/>
    <xf numFmtId="0" fontId="1" fillId="0" borderId="0" xfId="0" applyFont="1"/>
    <xf numFmtId="0" fontId="0" fillId="0" borderId="0" xfId="0" applyAlignment="1">
      <alignment vertical="center"/>
    </xf>
    <xf numFmtId="49" fontId="0" fillId="0" borderId="0" xfId="0" applyNumberFormat="1"/>
    <xf numFmtId="0" fontId="0" fillId="2" borderId="0" xfId="0" applyFill="1"/>
    <xf numFmtId="0" fontId="0" fillId="3" borderId="0" xfId="0" applyFill="1"/>
    <xf numFmtId="0" fontId="2" fillId="2" borderId="1" xfId="0" applyFont="1" applyFill="1" applyBorder="1"/>
    <xf numFmtId="0" fontId="3" fillId="4" borderId="0" xfId="0" applyFont="1" applyFill="1" applyAlignment="1">
      <alignment vertical="center"/>
    </xf>
    <xf numFmtId="0" fontId="0" fillId="4" borderId="0" xfId="0" applyFill="1" applyAlignment="1">
      <alignment vertical="center"/>
    </xf>
    <xf numFmtId="0" fontId="2" fillId="4" borderId="0" xfId="0" applyFont="1" applyFill="1" applyAlignment="1">
      <alignment vertical="center"/>
    </xf>
    <xf numFmtId="0" fontId="4" fillId="4" borderId="0" xfId="0" applyFont="1" applyFill="1" applyAlignment="1">
      <alignment vertical="center"/>
    </xf>
    <xf numFmtId="0" fontId="4" fillId="2" borderId="1" xfId="0" applyFont="1" applyFill="1" applyBorder="1"/>
    <xf numFmtId="49" fontId="5" fillId="5" borderId="2" xfId="0" applyNumberFormat="1" applyFont="1" applyFill="1" applyBorder="1" applyAlignment="1">
      <alignment horizontal="center" vertical="center"/>
    </xf>
    <xf numFmtId="0" fontId="6" fillId="5" borderId="2" xfId="0" applyFont="1" applyFill="1" applyBorder="1" applyAlignment="1">
      <alignment horizontal="center" vertical="center"/>
    </xf>
    <xf numFmtId="0" fontId="6" fillId="6" borderId="3" xfId="0" applyFont="1" applyFill="1" applyBorder="1" applyAlignment="1">
      <alignment horizontal="center" vertical="center"/>
    </xf>
    <xf numFmtId="49" fontId="7" fillId="2" borderId="0" xfId="0" applyNumberFormat="1" applyFont="1" applyFill="1" applyAlignment="1">
      <alignment horizontal="center" vertical="center"/>
    </xf>
    <xf numFmtId="0" fontId="8" fillId="2" borderId="0" xfId="0" applyFont="1" applyFill="1" applyAlignment="1">
      <alignment horizontal="center" vertical="center"/>
    </xf>
    <xf numFmtId="0" fontId="9" fillId="7" borderId="4" xfId="0" applyFont="1" applyFill="1" applyBorder="1" applyAlignment="1">
      <alignment horizontal="right" vertical="center"/>
    </xf>
    <xf numFmtId="0" fontId="10" fillId="2" borderId="5" xfId="0" applyFont="1" applyFill="1" applyBorder="1" applyAlignment="1">
      <alignment vertical="center"/>
    </xf>
    <xf numFmtId="0" fontId="11" fillId="2" borderId="4" xfId="0" applyFont="1" applyFill="1" applyBorder="1" applyAlignment="1">
      <alignment vertical="center"/>
    </xf>
    <xf numFmtId="0" fontId="0" fillId="2" borderId="4" xfId="0" applyFill="1" applyBorder="1"/>
    <xf numFmtId="49" fontId="5" fillId="5" borderId="6"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5" fillId="6" borderId="7" xfId="0" applyFont="1" applyFill="1" applyBorder="1" applyAlignment="1">
      <alignment horizontal="center" vertical="center"/>
    </xf>
    <xf numFmtId="0" fontId="9" fillId="7" borderId="0" xfId="0" applyFont="1" applyFill="1" applyAlignment="1">
      <alignment horizontal="right"/>
    </xf>
    <xf numFmtId="0" fontId="10" fillId="8" borderId="8" xfId="0" applyFont="1" applyFill="1" applyBorder="1"/>
    <xf numFmtId="0" fontId="0" fillId="8" borderId="9" xfId="0" applyFill="1" applyBorder="1" applyAlignment="1">
      <alignment horizontal="center"/>
    </xf>
    <xf numFmtId="0" fontId="0" fillId="2" borderId="0" xfId="0" applyFill="1" applyAlignment="1">
      <alignment horizontal="center"/>
    </xf>
    <xf numFmtId="0" fontId="1" fillId="0" borderId="0" xfId="0" applyFont="1" applyAlignment="1">
      <alignment vertical="center"/>
    </xf>
    <xf numFmtId="0" fontId="12" fillId="5" borderId="10" xfId="0" applyFont="1" applyFill="1" applyBorder="1" applyAlignment="1">
      <alignment horizontal="center"/>
    </xf>
    <xf numFmtId="3" fontId="0" fillId="9" borderId="10" xfId="0" applyNumberFormat="1" applyFill="1" applyBorder="1"/>
    <xf numFmtId="3" fontId="0" fillId="10" borderId="11" xfId="0" applyNumberFormat="1" applyFill="1" applyBorder="1"/>
    <xf numFmtId="49" fontId="13" fillId="2" borderId="0" xfId="0" applyNumberFormat="1" applyFont="1" applyFill="1" applyAlignment="1">
      <alignment horizontal="center"/>
    </xf>
    <xf numFmtId="3" fontId="13" fillId="2" borderId="0" xfId="0" applyNumberFormat="1" applyFont="1" applyFill="1"/>
    <xf numFmtId="0" fontId="0" fillId="8" borderId="8" xfId="0" applyFill="1" applyBorder="1"/>
    <xf numFmtId="0" fontId="0" fillId="8" borderId="12" xfId="0" applyFill="1" applyBorder="1"/>
    <xf numFmtId="0" fontId="12" fillId="11" borderId="13" xfId="0" applyFont="1" applyFill="1" applyBorder="1" applyAlignment="1">
      <alignment horizontal="left"/>
    </xf>
    <xf numFmtId="0" fontId="0" fillId="2" borderId="1" xfId="0" applyFill="1" applyBorder="1"/>
    <xf numFmtId="0" fontId="13" fillId="2" borderId="0" xfId="0" applyFont="1" applyFill="1"/>
    <xf numFmtId="3" fontId="0" fillId="10" borderId="10" xfId="0" applyNumberFormat="1" applyFill="1" applyBorder="1"/>
    <xf numFmtId="0" fontId="0" fillId="4" borderId="0" xfId="0" applyFill="1"/>
    <xf numFmtId="0" fontId="14" fillId="4" borderId="0" xfId="0" applyFont="1" applyFill="1" applyAlignment="1">
      <alignment horizontal="right"/>
    </xf>
    <xf numFmtId="0" fontId="2" fillId="4" borderId="0" xfId="0" applyFont="1" applyFill="1" applyAlignment="1">
      <alignment horizontal="left"/>
    </xf>
    <xf numFmtId="0" fontId="15" fillId="4" borderId="0" xfId="0" applyFont="1" applyFill="1" applyAlignment="1">
      <alignment horizontal="center" vertical="center"/>
    </xf>
    <xf numFmtId="0" fontId="15" fillId="4" borderId="0" xfId="0" applyFont="1" applyFill="1" applyAlignment="1">
      <alignment vertical="center"/>
    </xf>
    <xf numFmtId="0" fontId="2" fillId="4" borderId="1" xfId="0" applyFont="1" applyFill="1" applyBorder="1"/>
    <xf numFmtId="49" fontId="5" fillId="5" borderId="14" xfId="0" applyNumberFormat="1" applyFont="1" applyFill="1" applyBorder="1" applyAlignment="1">
      <alignment horizontal="center" vertical="center"/>
    </xf>
    <xf numFmtId="0" fontId="6" fillId="5" borderId="14" xfId="0" applyFont="1" applyFill="1" applyBorder="1" applyAlignment="1">
      <alignment horizontal="center" vertical="center"/>
    </xf>
    <xf numFmtId="0" fontId="6" fillId="6" borderId="15" xfId="0" applyFont="1" applyFill="1" applyBorder="1" applyAlignment="1">
      <alignment horizontal="center" vertical="center"/>
    </xf>
    <xf numFmtId="49" fontId="7" fillId="2" borderId="16" xfId="0" applyNumberFormat="1" applyFont="1" applyFill="1" applyBorder="1" applyAlignment="1">
      <alignment horizontal="center" vertical="center"/>
    </xf>
    <xf numFmtId="49" fontId="16" fillId="5" borderId="6" xfId="0" applyNumberFormat="1" applyFont="1" applyFill="1" applyBorder="1" applyAlignment="1">
      <alignment horizontal="center" vertical="center"/>
    </xf>
    <xf numFmtId="49" fontId="16" fillId="6" borderId="7" xfId="0" applyNumberFormat="1" applyFont="1" applyFill="1" applyBorder="1" applyAlignment="1">
      <alignment horizontal="center" vertical="center"/>
    </xf>
    <xf numFmtId="49" fontId="17" fillId="2" borderId="16" xfId="0" applyNumberFormat="1" applyFont="1" applyFill="1" applyBorder="1" applyAlignment="1">
      <alignment horizontal="center" vertical="center"/>
    </xf>
    <xf numFmtId="49" fontId="12" fillId="5" borderId="10" xfId="0" applyNumberFormat="1" applyFont="1" applyFill="1" applyBorder="1" applyAlignment="1">
      <alignment horizontal="center"/>
    </xf>
    <xf numFmtId="49" fontId="13" fillId="2" borderId="16" xfId="0" applyNumberFormat="1" applyFont="1" applyFill="1" applyBorder="1" applyAlignment="1">
      <alignment horizontal="center"/>
    </xf>
    <xf numFmtId="0" fontId="13" fillId="2" borderId="16" xfId="0" applyFont="1" applyFill="1" applyBorder="1"/>
    <xf numFmtId="0" fontId="18" fillId="2" borderId="0" xfId="0" applyFont="1" applyFill="1" applyAlignment="1">
      <alignment horizontal="center"/>
    </xf>
    <xf numFmtId="3" fontId="0" fillId="10" borderId="17" xfId="0" applyNumberFormat="1" applyFill="1" applyBorder="1"/>
    <xf numFmtId="3" fontId="0" fillId="10" borderId="18" xfId="0" applyNumberFormat="1" applyFill="1" applyBorder="1"/>
    <xf numFmtId="0" fontId="0" fillId="4" borderId="1" xfId="0" applyFill="1" applyBorder="1" applyAlignment="1">
      <alignment vertical="center"/>
    </xf>
    <xf numFmtId="49" fontId="16" fillId="5" borderId="10" xfId="0" applyNumberFormat="1" applyFont="1" applyFill="1" applyBorder="1" applyAlignment="1">
      <alignment horizontal="center" vertical="center"/>
    </xf>
    <xf numFmtId="49" fontId="16" fillId="6" borderId="11" xfId="0" applyNumberFormat="1" applyFont="1" applyFill="1" applyBorder="1" applyAlignment="1">
      <alignment horizontal="center" vertical="center"/>
    </xf>
    <xf numFmtId="49" fontId="17" fillId="2" borderId="0" xfId="0" applyNumberFormat="1" applyFont="1" applyFill="1" applyAlignment="1">
      <alignment horizontal="center" vertical="center"/>
    </xf>
    <xf numFmtId="3" fontId="0" fillId="9" borderId="14" xfId="0" applyNumberFormat="1" applyFill="1" applyBorder="1"/>
    <xf numFmtId="3" fontId="0" fillId="10" borderId="15" xfId="0" applyNumberFormat="1" applyFill="1" applyBorder="1"/>
    <xf numFmtId="3" fontId="0" fillId="9" borderId="19" xfId="0" applyNumberFormat="1" applyFill="1" applyBorder="1"/>
    <xf numFmtId="3" fontId="0" fillId="10" borderId="20" xfId="0" applyNumberFormat="1" applyFill="1" applyBorder="1"/>
    <xf numFmtId="3" fontId="0" fillId="9" borderId="21" xfId="0" applyNumberFormat="1" applyFill="1" applyBorder="1"/>
    <xf numFmtId="3" fontId="0" fillId="10" borderId="22" xfId="0" applyNumberFormat="1" applyFill="1" applyBorder="1"/>
    <xf numFmtId="3" fontId="0" fillId="9" borderId="6" xfId="0" applyNumberFormat="1" applyFill="1" applyBorder="1"/>
    <xf numFmtId="3" fontId="0" fillId="10" borderId="7" xfId="0" applyNumberFormat="1" applyFill="1" applyBorder="1"/>
    <xf numFmtId="0" fontId="4" fillId="2" borderId="0" xfId="0" applyFont="1" applyFill="1"/>
    <xf numFmtId="0" fontId="12" fillId="4" borderId="0" xfId="0" applyFont="1" applyFill="1" applyAlignment="1">
      <alignment vertical="center"/>
    </xf>
    <xf numFmtId="0" fontId="12" fillId="4" borderId="0" xfId="0" applyFont="1" applyFill="1" applyProtection="1">
      <protection locked="0"/>
    </xf>
    <xf numFmtId="0" fontId="12" fillId="4" borderId="1" xfId="0" applyFont="1" applyFill="1" applyBorder="1"/>
    <xf numFmtId="0" fontId="11" fillId="0" borderId="0" xfId="0" applyFont="1" applyProtection="1">
      <protection locked="0"/>
    </xf>
    <xf numFmtId="0" fontId="16" fillId="6" borderId="10" xfId="0" applyFont="1" applyFill="1" applyBorder="1" applyAlignment="1">
      <alignment horizontal="center" vertical="center"/>
    </xf>
    <xf numFmtId="0" fontId="16" fillId="5" borderId="10" xfId="0" applyFont="1" applyFill="1" applyBorder="1" applyAlignment="1">
      <alignment horizontal="center" vertical="center"/>
    </xf>
    <xf numFmtId="0" fontId="19"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1" fillId="4" borderId="0" xfId="0" applyFont="1" applyFill="1" applyAlignment="1" applyProtection="1">
      <alignment vertical="center"/>
      <protection locked="0"/>
    </xf>
    <xf numFmtId="0" fontId="22" fillId="12" borderId="11" xfId="0" applyFont="1" applyFill="1" applyBorder="1" applyAlignment="1">
      <alignment horizontal="center"/>
    </xf>
    <xf numFmtId="0" fontId="22" fillId="12" borderId="23" xfId="0" applyFont="1" applyFill="1" applyBorder="1" applyAlignment="1">
      <alignment horizontal="center"/>
    </xf>
    <xf numFmtId="0" fontId="0" fillId="2" borderId="11" xfId="0" applyFill="1" applyBorder="1" applyAlignment="1">
      <alignment horizontal="center"/>
    </xf>
    <xf numFmtId="3" fontId="0" fillId="2" borderId="23" xfId="0" applyNumberFormat="1" applyFill="1" applyBorder="1"/>
    <xf numFmtId="3" fontId="0" fillId="9" borderId="23" xfId="0" applyNumberFormat="1" applyFill="1" applyBorder="1"/>
    <xf numFmtId="3" fontId="0" fillId="2" borderId="24" xfId="0" applyNumberFormat="1" applyFill="1" applyBorder="1"/>
    <xf numFmtId="0" fontId="0" fillId="13" borderId="25" xfId="0" applyFill="1" applyBorder="1" applyAlignment="1">
      <alignment vertical="center"/>
    </xf>
    <xf numFmtId="0" fontId="0" fillId="13" borderId="26" xfId="0" applyFill="1" applyBorder="1" applyAlignment="1">
      <alignment vertical="center"/>
    </xf>
    <xf numFmtId="0" fontId="0" fillId="14" borderId="27" xfId="0" applyFill="1" applyBorder="1" applyAlignment="1">
      <alignment vertical="center"/>
    </xf>
    <xf numFmtId="0" fontId="0" fillId="13" borderId="28" xfId="0" applyFill="1" applyBorder="1" applyAlignment="1">
      <alignment vertical="center"/>
    </xf>
    <xf numFmtId="0" fontId="23" fillId="13" borderId="0" xfId="0" applyFont="1" applyFill="1" applyAlignment="1">
      <alignment horizontal="right"/>
    </xf>
    <xf numFmtId="0" fontId="24" fillId="13" borderId="29" xfId="0" applyFont="1" applyFill="1" applyBorder="1" applyAlignment="1" applyProtection="1">
      <alignment horizontal="left"/>
      <protection hidden="1"/>
    </xf>
    <xf numFmtId="0" fontId="0" fillId="13" borderId="0" xfId="0" applyFill="1" applyAlignment="1">
      <alignment vertical="center"/>
    </xf>
    <xf numFmtId="0" fontId="0" fillId="14" borderId="30" xfId="0" applyFill="1" applyBorder="1" applyAlignment="1">
      <alignment vertical="center"/>
    </xf>
    <xf numFmtId="0" fontId="25" fillId="13" borderId="29" xfId="0" applyFont="1" applyFill="1" applyBorder="1" applyAlignment="1" applyProtection="1">
      <alignment horizontal="left"/>
      <protection hidden="1"/>
    </xf>
    <xf numFmtId="0" fontId="0" fillId="13" borderId="0" xfId="0" applyFill="1"/>
    <xf numFmtId="0" fontId="26" fillId="13" borderId="0" xfId="0" applyFont="1" applyFill="1" applyAlignment="1">
      <alignment horizontal="right"/>
    </xf>
    <xf numFmtId="0" fontId="25" fillId="13" borderId="29" xfId="0" applyFont="1" applyFill="1" applyBorder="1" applyAlignment="1" applyProtection="1">
      <alignment horizontal="center"/>
      <protection locked="0"/>
    </xf>
    <xf numFmtId="0" fontId="26" fillId="13" borderId="0" xfId="0" applyFont="1" applyFill="1" applyAlignment="1">
      <alignment vertical="center"/>
    </xf>
    <xf numFmtId="0" fontId="27" fillId="13" borderId="0" xfId="0" applyFont="1" applyFill="1" applyAlignment="1">
      <alignment horizontal="right" indent="1"/>
    </xf>
    <xf numFmtId="179" fontId="25" fillId="13" borderId="29" xfId="0" applyNumberFormat="1" applyFont="1" applyFill="1" applyBorder="1" applyAlignment="1" applyProtection="1">
      <alignment horizontal="center"/>
      <protection locked="0"/>
    </xf>
    <xf numFmtId="0" fontId="28" fillId="13" borderId="0" xfId="0" applyFont="1" applyFill="1" applyAlignment="1">
      <alignment horizontal="center"/>
    </xf>
    <xf numFmtId="58" fontId="25" fillId="13" borderId="29" xfId="0" applyNumberFormat="1" applyFont="1" applyFill="1" applyBorder="1" applyAlignment="1" applyProtection="1">
      <alignment horizontal="center"/>
      <protection locked="0"/>
    </xf>
    <xf numFmtId="0" fontId="27" fillId="13" borderId="0" xfId="0" applyFont="1" applyFill="1" applyAlignment="1">
      <alignment horizontal="left"/>
    </xf>
    <xf numFmtId="0" fontId="0" fillId="14" borderId="0" xfId="0" applyFill="1" applyAlignment="1">
      <alignment vertical="center"/>
    </xf>
    <xf numFmtId="0" fontId="0" fillId="14" borderId="28" xfId="0" applyFill="1" applyBorder="1" applyAlignment="1">
      <alignment vertical="center"/>
    </xf>
    <xf numFmtId="0" fontId="29" fillId="15" borderId="31" xfId="0" applyFont="1" applyFill="1" applyBorder="1" applyAlignment="1">
      <alignment horizontal="center" vertical="center"/>
    </xf>
    <xf numFmtId="0" fontId="29" fillId="15" borderId="32" xfId="0" applyFont="1" applyFill="1" applyBorder="1" applyAlignment="1">
      <alignment horizontal="center" vertical="center"/>
    </xf>
    <xf numFmtId="0" fontId="29" fillId="15" borderId="33" xfId="0" applyFont="1" applyFill="1" applyBorder="1" applyAlignment="1">
      <alignment horizontal="center" vertical="center"/>
    </xf>
    <xf numFmtId="3" fontId="29" fillId="15" borderId="34" xfId="0" applyNumberFormat="1" applyFont="1" applyFill="1" applyBorder="1" applyAlignment="1">
      <alignment horizontal="center" vertical="center"/>
    </xf>
    <xf numFmtId="3" fontId="29" fillId="15" borderId="32" xfId="0" applyNumberFormat="1" applyFont="1" applyFill="1" applyBorder="1" applyAlignment="1">
      <alignment horizontal="center" vertical="center"/>
    </xf>
    <xf numFmtId="3" fontId="29" fillId="15" borderId="35" xfId="0" applyNumberFormat="1" applyFont="1" applyFill="1" applyBorder="1" applyAlignment="1">
      <alignment horizontal="center" vertical="center"/>
    </xf>
    <xf numFmtId="0" fontId="26" fillId="0" borderId="36" xfId="0" applyFont="1" applyBorder="1" applyAlignment="1">
      <alignment horizontal="left" vertical="center"/>
    </xf>
    <xf numFmtId="0" fontId="26" fillId="0" borderId="37" xfId="0" applyFont="1" applyBorder="1" applyAlignment="1">
      <alignment horizontal="left" vertical="center"/>
    </xf>
    <xf numFmtId="180" fontId="30" fillId="0" borderId="37" xfId="0" applyNumberFormat="1" applyFont="1" applyBorder="1" applyAlignment="1">
      <alignment horizontal="right" vertical="center"/>
    </xf>
    <xf numFmtId="180" fontId="30" fillId="0" borderId="38" xfId="0" applyNumberFormat="1" applyFont="1" applyBorder="1" applyAlignment="1">
      <alignment horizontal="right" vertical="center"/>
    </xf>
    <xf numFmtId="0" fontId="26" fillId="0" borderId="39" xfId="0" applyFont="1" applyBorder="1" applyAlignment="1">
      <alignment horizontal="left" vertical="center"/>
    </xf>
    <xf numFmtId="0" fontId="26" fillId="0" borderId="40" xfId="0" applyFont="1" applyBorder="1" applyAlignment="1">
      <alignment horizontal="left" vertical="center"/>
    </xf>
    <xf numFmtId="180" fontId="30" fillId="0" borderId="40" xfId="0" applyNumberFormat="1" applyFont="1" applyBorder="1" applyAlignment="1">
      <alignment horizontal="right" vertical="center"/>
    </xf>
    <xf numFmtId="180" fontId="30" fillId="0" borderId="41" xfId="0" applyNumberFormat="1" applyFont="1" applyBorder="1" applyAlignment="1">
      <alignment horizontal="right" vertical="center"/>
    </xf>
    <xf numFmtId="0" fontId="18" fillId="0" borderId="42" xfId="0" applyFont="1" applyBorder="1" applyAlignment="1">
      <alignment horizontal="left" vertical="center"/>
    </xf>
    <xf numFmtId="0" fontId="18" fillId="0" borderId="43" xfId="0" applyFont="1" applyBorder="1" applyAlignment="1">
      <alignment horizontal="left" vertical="center"/>
    </xf>
    <xf numFmtId="180" fontId="31" fillId="0" borderId="43" xfId="0" applyNumberFormat="1" applyFont="1" applyBorder="1" applyAlignment="1" applyProtection="1">
      <alignment horizontal="right" vertical="center"/>
      <protection locked="0"/>
    </xf>
    <xf numFmtId="180" fontId="31" fillId="0" borderId="44" xfId="0" applyNumberFormat="1" applyFont="1" applyBorder="1" applyAlignment="1" applyProtection="1">
      <alignment horizontal="right" vertical="center"/>
      <protection locked="0"/>
    </xf>
    <xf numFmtId="0" fontId="18" fillId="0" borderId="45" xfId="0" applyFont="1" applyBorder="1" applyAlignment="1">
      <alignment horizontal="left" vertical="center"/>
    </xf>
    <xf numFmtId="0" fontId="18" fillId="0" borderId="46" xfId="0" applyFont="1" applyBorder="1" applyAlignment="1">
      <alignment horizontal="left" vertical="center"/>
    </xf>
    <xf numFmtId="180" fontId="31" fillId="0" borderId="46" xfId="0" applyNumberFormat="1" applyFont="1" applyBorder="1" applyAlignment="1" applyProtection="1">
      <alignment horizontal="right" vertical="center"/>
      <protection locked="0"/>
    </xf>
    <xf numFmtId="180" fontId="31" fillId="0" borderId="47" xfId="0" applyNumberFormat="1" applyFont="1" applyBorder="1" applyAlignment="1" applyProtection="1">
      <alignment horizontal="right" vertical="center"/>
      <protection locked="0"/>
    </xf>
    <xf numFmtId="0" fontId="18" fillId="0" borderId="48" xfId="0" applyFont="1" applyBorder="1" applyAlignment="1">
      <alignment horizontal="left" vertical="center"/>
    </xf>
    <xf numFmtId="0" fontId="18" fillId="0" borderId="49" xfId="0" applyFont="1" applyBorder="1" applyAlignment="1">
      <alignment horizontal="left" vertical="center"/>
    </xf>
    <xf numFmtId="180" fontId="31" fillId="0" borderId="49" xfId="0" applyNumberFormat="1" applyFont="1" applyBorder="1" applyAlignment="1" applyProtection="1">
      <alignment horizontal="right" vertical="center"/>
      <protection locked="0"/>
    </xf>
    <xf numFmtId="180" fontId="31" fillId="0" borderId="50" xfId="0" applyNumberFormat="1" applyFont="1" applyBorder="1" applyAlignment="1" applyProtection="1">
      <alignment horizontal="right" vertical="center"/>
      <protection locked="0"/>
    </xf>
    <xf numFmtId="0" fontId="26" fillId="0" borderId="51" xfId="0" applyFont="1" applyBorder="1" applyAlignment="1">
      <alignment horizontal="left" vertical="center"/>
    </xf>
    <xf numFmtId="0" fontId="26" fillId="0" borderId="52" xfId="0" applyFont="1" applyBorder="1" applyAlignment="1">
      <alignment horizontal="left" vertical="center"/>
    </xf>
    <xf numFmtId="180" fontId="30" fillId="0" borderId="52" xfId="0" applyNumberFormat="1" applyFont="1" applyBorder="1" applyAlignment="1">
      <alignment horizontal="right" vertical="center"/>
    </xf>
    <xf numFmtId="180" fontId="30" fillId="0" borderId="53" xfId="0" applyNumberFormat="1" applyFont="1" applyBorder="1" applyAlignment="1">
      <alignment horizontal="right" vertical="center"/>
    </xf>
    <xf numFmtId="0" fontId="18" fillId="0" borderId="51" xfId="0" applyFont="1" applyBorder="1" applyAlignment="1">
      <alignment horizontal="left" vertical="center"/>
    </xf>
    <xf numFmtId="0" fontId="18" fillId="0" borderId="52" xfId="0" applyFont="1" applyBorder="1" applyAlignment="1">
      <alignment horizontal="left" vertical="center"/>
    </xf>
    <xf numFmtId="180" fontId="31" fillId="0" borderId="52" xfId="0" applyNumberFormat="1" applyFont="1" applyBorder="1" applyAlignment="1" applyProtection="1">
      <alignment horizontal="right" vertical="center"/>
      <protection locked="0"/>
    </xf>
    <xf numFmtId="180" fontId="31" fillId="0" borderId="53" xfId="0" applyNumberFormat="1" applyFont="1" applyBorder="1" applyAlignment="1" applyProtection="1">
      <alignment horizontal="right" vertical="center"/>
      <protection locked="0"/>
    </xf>
    <xf numFmtId="0" fontId="26" fillId="15" borderId="39" xfId="0" applyFont="1" applyFill="1" applyBorder="1" applyAlignment="1">
      <alignment horizontal="left" vertical="center"/>
    </xf>
    <xf numFmtId="0" fontId="26" fillId="15" borderId="40" xfId="0" applyFont="1" applyFill="1" applyBorder="1" applyAlignment="1">
      <alignment horizontal="left" vertical="center"/>
    </xf>
    <xf numFmtId="180" fontId="30" fillId="15" borderId="40" xfId="0" applyNumberFormat="1" applyFont="1" applyFill="1" applyBorder="1" applyAlignment="1">
      <alignment horizontal="right" vertical="center"/>
    </xf>
    <xf numFmtId="180" fontId="30" fillId="15" borderId="41" xfId="0" applyNumberFormat="1" applyFont="1" applyFill="1" applyBorder="1" applyAlignment="1">
      <alignment horizontal="right" vertical="center"/>
    </xf>
    <xf numFmtId="0" fontId="26" fillId="15" borderId="51" xfId="0" applyFont="1" applyFill="1" applyBorder="1" applyAlignment="1">
      <alignment horizontal="left" vertical="center"/>
    </xf>
    <xf numFmtId="0" fontId="26" fillId="15" borderId="52" xfId="0" applyFont="1" applyFill="1" applyBorder="1" applyAlignment="1">
      <alignment horizontal="left" vertical="center"/>
    </xf>
    <xf numFmtId="180" fontId="30" fillId="15" borderId="52" xfId="0" applyNumberFormat="1" applyFont="1" applyFill="1" applyBorder="1" applyAlignment="1">
      <alignment horizontal="right" vertical="center"/>
    </xf>
    <xf numFmtId="180" fontId="30" fillId="15" borderId="53" xfId="0" applyNumberFormat="1" applyFont="1" applyFill="1" applyBorder="1" applyAlignment="1">
      <alignment horizontal="right" vertical="center"/>
    </xf>
    <xf numFmtId="0" fontId="26" fillId="15" borderId="45" xfId="0" applyFont="1" applyFill="1" applyBorder="1" applyAlignment="1">
      <alignment horizontal="left" vertical="center"/>
    </xf>
    <xf numFmtId="0" fontId="26" fillId="15" borderId="46" xfId="0" applyFont="1" applyFill="1" applyBorder="1" applyAlignment="1">
      <alignment horizontal="left" vertical="center"/>
    </xf>
    <xf numFmtId="180" fontId="30" fillId="15" borderId="46" xfId="0" applyNumberFormat="1" applyFont="1" applyFill="1" applyBorder="1" applyAlignment="1">
      <alignment horizontal="right" vertical="center"/>
    </xf>
    <xf numFmtId="180" fontId="30" fillId="15" borderId="47" xfId="0" applyNumberFormat="1" applyFont="1" applyFill="1" applyBorder="1" applyAlignment="1">
      <alignment horizontal="right" vertical="center"/>
    </xf>
    <xf numFmtId="0" fontId="26" fillId="15" borderId="48" xfId="0" applyFont="1" applyFill="1" applyBorder="1" applyAlignment="1">
      <alignment horizontal="left" vertical="center"/>
    </xf>
    <xf numFmtId="0" fontId="26" fillId="15" borderId="49" xfId="0" applyFont="1" applyFill="1" applyBorder="1" applyAlignment="1">
      <alignment horizontal="left" vertical="center"/>
    </xf>
    <xf numFmtId="180" fontId="30" fillId="15" borderId="49" xfId="0" applyNumberFormat="1" applyFont="1" applyFill="1" applyBorder="1" applyAlignment="1">
      <alignment horizontal="right" vertical="center"/>
    </xf>
    <xf numFmtId="180" fontId="30" fillId="15" borderId="50" xfId="0" applyNumberFormat="1" applyFont="1" applyFill="1" applyBorder="1" applyAlignment="1">
      <alignment horizontal="right" vertical="center"/>
    </xf>
    <xf numFmtId="0" fontId="18" fillId="0" borderId="54" xfId="0" applyFont="1" applyBorder="1" applyAlignment="1">
      <alignment horizontal="left" vertical="center"/>
    </xf>
    <xf numFmtId="0" fontId="18" fillId="0" borderId="55" xfId="0" applyFont="1" applyBorder="1" applyAlignment="1">
      <alignment horizontal="left" vertical="center"/>
    </xf>
    <xf numFmtId="180" fontId="31" fillId="0" borderId="55" xfId="0" applyNumberFormat="1" applyFont="1" applyBorder="1" applyAlignment="1" applyProtection="1">
      <alignment horizontal="right" vertical="center"/>
      <protection locked="0"/>
    </xf>
    <xf numFmtId="180" fontId="31" fillId="0" borderId="56" xfId="0" applyNumberFormat="1" applyFont="1" applyBorder="1" applyAlignment="1" applyProtection="1">
      <alignment horizontal="right" vertical="center"/>
      <protection locked="0"/>
    </xf>
    <xf numFmtId="0" fontId="18" fillId="0" borderId="39" xfId="0" applyFont="1" applyBorder="1" applyAlignment="1">
      <alignment horizontal="left" vertical="center"/>
    </xf>
    <xf numFmtId="0" fontId="18" fillId="0" borderId="40" xfId="0" applyFont="1" applyBorder="1" applyAlignment="1">
      <alignment horizontal="left" vertical="center"/>
    </xf>
    <xf numFmtId="180" fontId="31" fillId="0" borderId="40" xfId="0" applyNumberFormat="1" applyFont="1" applyBorder="1" applyAlignment="1" applyProtection="1">
      <alignment horizontal="right" vertical="center"/>
      <protection locked="0"/>
    </xf>
    <xf numFmtId="180" fontId="31" fillId="0" borderId="41" xfId="0" applyNumberFormat="1" applyFont="1" applyBorder="1" applyAlignment="1" applyProtection="1">
      <alignment horizontal="right" vertical="center"/>
      <protection locked="0"/>
    </xf>
    <xf numFmtId="180" fontId="31" fillId="0" borderId="57" xfId="0" applyNumberFormat="1" applyFont="1" applyBorder="1" applyAlignment="1" applyProtection="1">
      <alignment horizontal="right" vertical="center"/>
      <protection locked="0"/>
    </xf>
    <xf numFmtId="180" fontId="31" fillId="0" borderId="58" xfId="0" applyNumberFormat="1" applyFont="1" applyBorder="1" applyAlignment="1" applyProtection="1">
      <alignment horizontal="right" vertical="center"/>
      <protection locked="0"/>
    </xf>
    <xf numFmtId="0" fontId="18" fillId="14" borderId="0" xfId="0" applyFont="1" applyFill="1" applyAlignment="1">
      <alignment horizontal="left" vertical="center"/>
    </xf>
    <xf numFmtId="3" fontId="31" fillId="14" borderId="0" xfId="0" applyNumberFormat="1" applyFont="1" applyFill="1" applyAlignment="1">
      <alignment horizontal="center" vertical="center"/>
    </xf>
    <xf numFmtId="3" fontId="31" fillId="0" borderId="55" xfId="0" applyNumberFormat="1" applyFont="1" applyBorder="1" applyAlignment="1" applyProtection="1">
      <alignment horizontal="center" vertical="center"/>
      <protection locked="0"/>
    </xf>
    <xf numFmtId="3" fontId="31" fillId="0" borderId="56" xfId="0" applyNumberFormat="1" applyFont="1" applyBorder="1" applyAlignment="1" applyProtection="1">
      <alignment horizontal="center" vertical="center"/>
      <protection locked="0"/>
    </xf>
    <xf numFmtId="0" fontId="26" fillId="14" borderId="0" xfId="0" applyFont="1" applyFill="1" applyAlignment="1">
      <alignment horizontal="right" vertical="center"/>
    </xf>
    <xf numFmtId="0" fontId="32" fillId="14" borderId="29" xfId="0" applyFont="1" applyFill="1" applyBorder="1" applyAlignment="1" applyProtection="1">
      <alignment horizontal="left" vertical="center"/>
      <protection locked="0"/>
    </xf>
    <xf numFmtId="0" fontId="26" fillId="14" borderId="0" xfId="0" applyFont="1" applyFill="1" applyAlignment="1">
      <alignment horizontal="center" vertical="center"/>
    </xf>
    <xf numFmtId="0" fontId="26" fillId="14" borderId="0" xfId="0" applyFont="1" applyFill="1" applyAlignment="1">
      <alignment vertical="center"/>
    </xf>
    <xf numFmtId="0" fontId="33" fillId="14" borderId="0" xfId="0" applyFont="1" applyFill="1" applyAlignment="1">
      <alignment horizontal="right" vertical="center"/>
    </xf>
    <xf numFmtId="0" fontId="33" fillId="14" borderId="0" xfId="0" applyFont="1" applyFill="1" applyAlignment="1">
      <alignment vertical="center"/>
    </xf>
    <xf numFmtId="0" fontId="0" fillId="14" borderId="59" xfId="0" applyFill="1" applyBorder="1" applyAlignment="1">
      <alignment vertical="center"/>
    </xf>
    <xf numFmtId="0" fontId="0" fillId="14" borderId="60" xfId="0" applyFill="1" applyBorder="1" applyAlignment="1">
      <alignment vertical="center"/>
    </xf>
    <xf numFmtId="0" fontId="0" fillId="14" borderId="61" xfId="0" applyFill="1" applyBorder="1" applyAlignment="1">
      <alignment vertical="center"/>
    </xf>
    <xf numFmtId="43" fontId="1" fillId="0" borderId="0" xfId="1" applyFont="1" applyAlignment="1">
      <alignment horizontal="right" vertical="center"/>
    </xf>
    <xf numFmtId="3" fontId="1" fillId="0" borderId="0" xfId="0" applyNumberFormat="1" applyFont="1" applyAlignment="1">
      <alignment horizontal="right" vertical="center"/>
    </xf>
    <xf numFmtId="0" fontId="1" fillId="0" borderId="0" xfId="0" applyFont="1" applyAlignment="1">
      <alignment horizontal="right" vertical="center"/>
    </xf>
    <xf numFmtId="0" fontId="27" fillId="13" borderId="0" xfId="0" applyFont="1" applyFill="1" applyAlignment="1">
      <alignment horizontal="right"/>
    </xf>
    <xf numFmtId="0" fontId="26" fillId="15" borderId="36" xfId="0" applyFont="1" applyFill="1" applyBorder="1" applyAlignment="1">
      <alignment horizontal="left" vertical="center"/>
    </xf>
    <xf numFmtId="0" fontId="26" fillId="15" borderId="37" xfId="0" applyFont="1" applyFill="1" applyBorder="1" applyAlignment="1">
      <alignment horizontal="left" vertical="center"/>
    </xf>
    <xf numFmtId="3" fontId="30" fillId="15" borderId="37" xfId="0" applyNumberFormat="1" applyFont="1" applyFill="1" applyBorder="1" applyAlignment="1">
      <alignment horizontal="right" vertical="center"/>
    </xf>
    <xf numFmtId="3" fontId="30" fillId="15" borderId="38" xfId="0" applyNumberFormat="1" applyFont="1" applyFill="1" applyBorder="1" applyAlignment="1">
      <alignment horizontal="right" vertical="center"/>
    </xf>
    <xf numFmtId="0" fontId="34" fillId="0" borderId="36" xfId="0" applyFont="1" applyBorder="1" applyAlignment="1">
      <alignment vertical="center"/>
    </xf>
    <xf numFmtId="0" fontId="34" fillId="0" borderId="37" xfId="0" applyFont="1" applyBorder="1" applyAlignment="1">
      <alignment vertical="center"/>
    </xf>
    <xf numFmtId="3" fontId="35" fillId="0" borderId="37" xfId="0" applyNumberFormat="1" applyFont="1" applyBorder="1" applyAlignment="1" applyProtection="1">
      <alignment horizontal="right" vertical="center"/>
      <protection locked="0"/>
    </xf>
    <xf numFmtId="3" fontId="35" fillId="0" borderId="38" xfId="0" applyNumberFormat="1" applyFont="1" applyBorder="1" applyAlignment="1" applyProtection="1">
      <alignment horizontal="right" vertical="center"/>
      <protection locked="0"/>
    </xf>
    <xf numFmtId="3" fontId="30" fillId="0" borderId="37" xfId="0" applyNumberFormat="1" applyFont="1" applyBorder="1" applyAlignment="1">
      <alignment horizontal="right" vertical="center"/>
    </xf>
    <xf numFmtId="3" fontId="30" fillId="0" borderId="38" xfId="0" applyNumberFormat="1" applyFont="1" applyBorder="1" applyAlignment="1">
      <alignment horizontal="right" vertical="center"/>
    </xf>
    <xf numFmtId="0" fontId="26" fillId="0" borderId="62" xfId="0" applyFont="1" applyBorder="1" applyAlignment="1">
      <alignment vertical="center"/>
    </xf>
    <xf numFmtId="0" fontId="26" fillId="0" borderId="63" xfId="0" applyFont="1" applyBorder="1" applyAlignment="1">
      <alignment vertical="center"/>
    </xf>
    <xf numFmtId="0" fontId="26" fillId="0" borderId="64" xfId="0" applyFont="1" applyBorder="1" applyAlignment="1">
      <alignment vertical="center"/>
    </xf>
    <xf numFmtId="3" fontId="30" fillId="0" borderId="65" xfId="0" applyNumberFormat="1" applyFont="1" applyBorder="1" applyAlignment="1">
      <alignment horizontal="right" vertical="center"/>
    </xf>
    <xf numFmtId="3" fontId="30" fillId="0" borderId="63" xfId="0" applyNumberFormat="1" applyFont="1" applyBorder="1" applyAlignment="1">
      <alignment horizontal="right" vertical="center"/>
    </xf>
    <xf numFmtId="3" fontId="30" fillId="0" borderId="66" xfId="0" applyNumberFormat="1" applyFont="1" applyBorder="1" applyAlignment="1">
      <alignment horizontal="right" vertical="center"/>
    </xf>
    <xf numFmtId="0" fontId="18" fillId="0" borderId="62" xfId="0" applyFont="1" applyBorder="1" applyAlignment="1">
      <alignment horizontal="left" vertical="center"/>
    </xf>
    <xf numFmtId="0" fontId="18" fillId="0" borderId="63" xfId="0" applyFont="1" applyBorder="1" applyAlignment="1">
      <alignment horizontal="left" vertical="center"/>
    </xf>
    <xf numFmtId="0" fontId="18" fillId="0" borderId="64" xfId="0" applyFont="1" applyBorder="1" applyAlignment="1">
      <alignment horizontal="left" vertical="center"/>
    </xf>
    <xf numFmtId="3" fontId="31" fillId="0" borderId="65" xfId="0" applyNumberFormat="1" applyFont="1" applyBorder="1" applyAlignment="1" applyProtection="1">
      <alignment horizontal="right" vertical="center"/>
      <protection locked="0"/>
    </xf>
    <xf numFmtId="3" fontId="31" fillId="0" borderId="63" xfId="0" applyNumberFormat="1" applyFont="1" applyBorder="1" applyAlignment="1" applyProtection="1">
      <alignment horizontal="right" vertical="center"/>
      <protection locked="0"/>
    </xf>
    <xf numFmtId="3" fontId="31" fillId="0" borderId="66" xfId="0" applyNumberFormat="1" applyFont="1" applyBorder="1" applyAlignment="1" applyProtection="1">
      <alignment horizontal="right" vertical="center"/>
      <protection locked="0"/>
    </xf>
    <xf numFmtId="0" fontId="18" fillId="0" borderId="62" xfId="0" applyFont="1" applyBorder="1" applyAlignment="1">
      <alignment vertical="center"/>
    </xf>
    <xf numFmtId="0" fontId="18" fillId="0" borderId="63" xfId="0" applyFont="1" applyBorder="1" applyAlignment="1">
      <alignment vertical="center"/>
    </xf>
    <xf numFmtId="0" fontId="18" fillId="0" borderId="64" xfId="0" applyFont="1" applyBorder="1" applyAlignment="1">
      <alignment vertical="center"/>
    </xf>
    <xf numFmtId="3" fontId="35" fillId="0" borderId="65" xfId="0" applyNumberFormat="1" applyFont="1" applyBorder="1" applyAlignment="1" applyProtection="1">
      <alignment horizontal="right" vertical="center"/>
      <protection locked="0"/>
    </xf>
    <xf numFmtId="3" fontId="35" fillId="0" borderId="63" xfId="0" applyNumberFormat="1" applyFont="1" applyBorder="1" applyAlignment="1" applyProtection="1">
      <alignment horizontal="right" vertical="center"/>
      <protection locked="0"/>
    </xf>
    <xf numFmtId="3" fontId="35" fillId="0" borderId="66" xfId="0" applyNumberFormat="1" applyFont="1" applyBorder="1" applyAlignment="1" applyProtection="1">
      <alignment horizontal="right" vertical="center"/>
      <protection locked="0"/>
    </xf>
    <xf numFmtId="0" fontId="34" fillId="0" borderId="62" xfId="0" applyFont="1" applyBorder="1" applyAlignment="1">
      <alignment vertical="center"/>
    </xf>
    <xf numFmtId="0" fontId="34" fillId="0" borderId="63" xfId="0" applyFont="1" applyBorder="1" applyAlignment="1">
      <alignment vertical="center"/>
    </xf>
    <xf numFmtId="0" fontId="34" fillId="0" borderId="64" xfId="0" applyFont="1" applyBorder="1" applyAlignment="1">
      <alignment vertical="center"/>
    </xf>
    <xf numFmtId="0" fontId="34" fillId="0" borderId="62" xfId="0" applyFont="1" applyBorder="1" applyAlignment="1">
      <alignment horizontal="left" vertical="center"/>
    </xf>
    <xf numFmtId="0" fontId="34" fillId="0" borderId="63" xfId="0" applyFont="1" applyBorder="1" applyAlignment="1">
      <alignment horizontal="left" vertical="center"/>
    </xf>
    <xf numFmtId="0" fontId="34" fillId="0" borderId="64" xfId="0" applyFont="1" applyBorder="1" applyAlignment="1">
      <alignment horizontal="left" vertical="center"/>
    </xf>
    <xf numFmtId="0" fontId="18" fillId="0" borderId="67" xfId="0" applyFont="1" applyBorder="1" applyAlignment="1">
      <alignment vertical="center"/>
    </xf>
    <xf numFmtId="0" fontId="18" fillId="0" borderId="68" xfId="0" applyFont="1" applyBorder="1" applyAlignment="1">
      <alignment vertical="center"/>
    </xf>
    <xf numFmtId="0" fontId="18" fillId="0" borderId="69" xfId="0" applyFont="1" applyBorder="1" applyAlignment="1">
      <alignment vertical="center"/>
    </xf>
    <xf numFmtId="3" fontId="35" fillId="0" borderId="70" xfId="0" applyNumberFormat="1" applyFont="1" applyBorder="1" applyAlignment="1" applyProtection="1">
      <alignment horizontal="right" vertical="center"/>
      <protection locked="0"/>
    </xf>
    <xf numFmtId="3" fontId="35" fillId="0" borderId="68" xfId="0" applyNumberFormat="1" applyFont="1" applyBorder="1" applyAlignment="1" applyProtection="1">
      <alignment horizontal="right" vertical="center"/>
      <protection locked="0"/>
    </xf>
    <xf numFmtId="3" fontId="35" fillId="0" borderId="71" xfId="0" applyNumberFormat="1" applyFont="1" applyBorder="1" applyAlignment="1" applyProtection="1">
      <alignment horizontal="right" vertical="center"/>
      <protection locked="0"/>
    </xf>
    <xf numFmtId="0" fontId="18" fillId="0" borderId="72" xfId="0" applyFont="1" applyBorder="1" applyAlignment="1">
      <alignment horizontal="left" vertical="center"/>
    </xf>
    <xf numFmtId="0" fontId="18" fillId="0" borderId="73" xfId="0" applyFont="1" applyBorder="1" applyAlignment="1">
      <alignment horizontal="left" vertical="center"/>
    </xf>
    <xf numFmtId="0" fontId="18" fillId="0" borderId="74" xfId="0" applyFont="1" applyBorder="1" applyAlignment="1">
      <alignment horizontal="left" vertical="center"/>
    </xf>
    <xf numFmtId="3" fontId="31" fillId="0" borderId="75" xfId="0" applyNumberFormat="1" applyFont="1" applyBorder="1" applyAlignment="1" applyProtection="1">
      <alignment horizontal="right" vertical="center"/>
      <protection locked="0"/>
    </xf>
    <xf numFmtId="3" fontId="31" fillId="0" borderId="73" xfId="0" applyNumberFormat="1" applyFont="1" applyBorder="1" applyAlignment="1" applyProtection="1">
      <alignment horizontal="right" vertical="center"/>
      <protection locked="0"/>
    </xf>
    <xf numFmtId="3" fontId="31" fillId="0" borderId="76" xfId="0" applyNumberFormat="1" applyFont="1" applyBorder="1" applyAlignment="1" applyProtection="1">
      <alignment horizontal="right" vertical="center"/>
      <protection locked="0"/>
    </xf>
    <xf numFmtId="0" fontId="18" fillId="0" borderId="77" xfId="0" applyFont="1" applyBorder="1" applyAlignment="1">
      <alignment vertical="center"/>
    </xf>
    <xf numFmtId="0" fontId="18" fillId="0" borderId="78" xfId="0" applyFont="1" applyBorder="1" applyAlignment="1">
      <alignment vertical="center"/>
    </xf>
    <xf numFmtId="0" fontId="18" fillId="0" borderId="79" xfId="0" applyFont="1" applyBorder="1" applyAlignment="1">
      <alignment vertical="center"/>
    </xf>
    <xf numFmtId="3" fontId="35" fillId="0" borderId="80" xfId="0" applyNumberFormat="1" applyFont="1" applyBorder="1" applyAlignment="1" applyProtection="1">
      <alignment horizontal="right" vertical="center"/>
      <protection locked="0"/>
    </xf>
    <xf numFmtId="3" fontId="35" fillId="0" borderId="78" xfId="0" applyNumberFormat="1" applyFont="1" applyBorder="1" applyAlignment="1" applyProtection="1">
      <alignment horizontal="right" vertical="center"/>
      <protection locked="0"/>
    </xf>
    <xf numFmtId="3" fontId="35" fillId="0" borderId="81" xfId="0" applyNumberFormat="1" applyFont="1" applyBorder="1" applyAlignment="1" applyProtection="1">
      <alignment horizontal="right" vertical="center"/>
      <protection locked="0"/>
    </xf>
    <xf numFmtId="0" fontId="18" fillId="0" borderId="77" xfId="0" applyFont="1" applyBorder="1" applyAlignment="1">
      <alignment horizontal="left" vertical="center"/>
    </xf>
    <xf numFmtId="0" fontId="18" fillId="0" borderId="78" xfId="0" applyFont="1" applyBorder="1" applyAlignment="1">
      <alignment horizontal="left" vertical="center"/>
    </xf>
    <xf numFmtId="0" fontId="18" fillId="0" borderId="79" xfId="0" applyFont="1" applyBorder="1" applyAlignment="1">
      <alignment horizontal="left" vertical="center"/>
    </xf>
    <xf numFmtId="3" fontId="31" fillId="0" borderId="80" xfId="0" applyNumberFormat="1" applyFont="1" applyBorder="1" applyAlignment="1" applyProtection="1">
      <alignment horizontal="right" vertical="center"/>
      <protection locked="0"/>
    </xf>
    <xf numFmtId="3" fontId="31" fillId="0" borderId="78" xfId="0" applyNumberFormat="1" applyFont="1" applyBorder="1" applyAlignment="1" applyProtection="1">
      <alignment horizontal="right" vertical="center"/>
      <protection locked="0"/>
    </xf>
    <xf numFmtId="3" fontId="31" fillId="0" borderId="81" xfId="0" applyNumberFormat="1" applyFont="1" applyBorder="1" applyAlignment="1" applyProtection="1">
      <alignment horizontal="right" vertical="center"/>
      <protection locked="0"/>
    </xf>
    <xf numFmtId="0" fontId="26" fillId="0" borderId="62" xfId="0" applyFont="1" applyBorder="1" applyAlignment="1">
      <alignment horizontal="left" vertical="center"/>
    </xf>
    <xf numFmtId="0" fontId="26" fillId="0" borderId="63" xfId="0" applyFont="1" applyBorder="1" applyAlignment="1">
      <alignment horizontal="left" vertical="center"/>
    </xf>
    <xf numFmtId="0" fontId="26" fillId="0" borderId="64" xfId="0" applyFont="1" applyBorder="1" applyAlignment="1">
      <alignment horizontal="left" vertical="center"/>
    </xf>
    <xf numFmtId="0" fontId="26" fillId="0" borderId="82" xfId="0" applyFont="1" applyBorder="1" applyAlignment="1">
      <alignment vertical="center"/>
    </xf>
    <xf numFmtId="0" fontId="26" fillId="0" borderId="29" xfId="0" applyFont="1" applyBorder="1" applyAlignment="1">
      <alignment vertical="center"/>
    </xf>
    <xf numFmtId="0" fontId="26" fillId="0" borderId="83" xfId="0" applyFont="1" applyBorder="1" applyAlignment="1">
      <alignment vertical="center"/>
    </xf>
    <xf numFmtId="3" fontId="30" fillId="0" borderId="84" xfId="0" applyNumberFormat="1" applyFont="1" applyBorder="1" applyAlignment="1">
      <alignment horizontal="right" vertical="center"/>
    </xf>
    <xf numFmtId="3" fontId="30" fillId="0" borderId="29" xfId="0" applyNumberFormat="1" applyFont="1" applyBorder="1" applyAlignment="1">
      <alignment horizontal="right" vertical="center"/>
    </xf>
    <xf numFmtId="3" fontId="30" fillId="0" borderId="85" xfId="0" applyNumberFormat="1" applyFont="1" applyBorder="1" applyAlignment="1">
      <alignment horizontal="right" vertical="center"/>
    </xf>
    <xf numFmtId="0" fontId="18" fillId="0" borderId="67" xfId="0" applyFont="1" applyBorder="1" applyAlignment="1">
      <alignment horizontal="left" vertical="center"/>
    </xf>
    <xf numFmtId="0" fontId="18" fillId="0" borderId="68" xfId="0" applyFont="1" applyBorder="1" applyAlignment="1">
      <alignment horizontal="left" vertical="center"/>
    </xf>
    <xf numFmtId="0" fontId="18" fillId="0" borderId="69" xfId="0" applyFont="1" applyBorder="1" applyAlignment="1">
      <alignment horizontal="left" vertical="center"/>
    </xf>
    <xf numFmtId="3" fontId="31" fillId="0" borderId="70" xfId="0" applyNumberFormat="1" applyFont="1" applyBorder="1" applyAlignment="1" applyProtection="1">
      <alignment horizontal="right" vertical="center"/>
      <protection locked="0"/>
    </xf>
    <xf numFmtId="3" fontId="31" fillId="0" borderId="68" xfId="0" applyNumberFormat="1" applyFont="1" applyBorder="1" applyAlignment="1" applyProtection="1">
      <alignment horizontal="right" vertical="center"/>
      <protection locked="0"/>
    </xf>
    <xf numFmtId="3" fontId="31" fillId="0" borderId="71" xfId="0" applyNumberFormat="1" applyFont="1" applyBorder="1" applyAlignment="1" applyProtection="1">
      <alignment horizontal="right" vertical="center"/>
      <protection locked="0"/>
    </xf>
    <xf numFmtId="0" fontId="34" fillId="0" borderId="77" xfId="0" applyFont="1" applyBorder="1" applyAlignment="1">
      <alignment horizontal="left" vertical="center"/>
    </xf>
    <xf numFmtId="0" fontId="34" fillId="0" borderId="78" xfId="0" applyFont="1" applyBorder="1" applyAlignment="1">
      <alignment horizontal="left" vertical="center"/>
    </xf>
    <xf numFmtId="0" fontId="34" fillId="0" borderId="79" xfId="0" applyFont="1" applyBorder="1" applyAlignment="1">
      <alignment horizontal="left" vertical="center"/>
    </xf>
    <xf numFmtId="3" fontId="31" fillId="0" borderId="84" xfId="0" applyNumberFormat="1" applyFont="1" applyBorder="1" applyAlignment="1" applyProtection="1">
      <alignment horizontal="right" vertical="center"/>
      <protection locked="0"/>
    </xf>
    <xf numFmtId="3" fontId="31" fillId="0" borderId="29" xfId="0" applyNumberFormat="1" applyFont="1" applyBorder="1" applyAlignment="1" applyProtection="1">
      <alignment horizontal="right" vertical="center"/>
      <protection locked="0"/>
    </xf>
    <xf numFmtId="3" fontId="31" fillId="0" borderId="85" xfId="0" applyNumberFormat="1" applyFont="1" applyBorder="1" applyAlignment="1" applyProtection="1">
      <alignment horizontal="right" vertical="center"/>
      <protection locked="0"/>
    </xf>
    <xf numFmtId="0" fontId="18" fillId="0" borderId="82" xfId="0" applyFont="1" applyBorder="1" applyAlignment="1">
      <alignment vertical="center"/>
    </xf>
    <xf numFmtId="0" fontId="18" fillId="0" borderId="29" xfId="0" applyFont="1" applyBorder="1" applyAlignment="1">
      <alignment vertical="center"/>
    </xf>
    <xf numFmtId="0" fontId="18" fillId="0" borderId="83" xfId="0" applyFont="1" applyBorder="1" applyAlignment="1">
      <alignment vertical="center"/>
    </xf>
    <xf numFmtId="3" fontId="35" fillId="0" borderId="84" xfId="0" applyNumberFormat="1" applyFont="1" applyBorder="1" applyAlignment="1" applyProtection="1">
      <alignment horizontal="right" vertical="center"/>
      <protection locked="0"/>
    </xf>
    <xf numFmtId="3" fontId="35" fillId="0" borderId="29" xfId="0" applyNumberFormat="1" applyFont="1" applyBorder="1" applyAlignment="1" applyProtection="1">
      <alignment horizontal="right" vertical="center"/>
      <protection locked="0"/>
    </xf>
    <xf numFmtId="3" fontId="35" fillId="0" borderId="85" xfId="0" applyNumberFormat="1" applyFont="1" applyBorder="1" applyAlignment="1" applyProtection="1">
      <alignment horizontal="right" vertical="center"/>
      <protection locked="0"/>
    </xf>
    <xf numFmtId="0" fontId="18" fillId="0" borderId="86"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26" fillId="14" borderId="0" xfId="0" applyFont="1" applyFill="1" applyAlignment="1">
      <alignment horizontal="left" vertical="center"/>
    </xf>
    <xf numFmtId="43" fontId="36" fillId="14" borderId="0" xfId="1" applyFont="1" applyFill="1" applyAlignment="1">
      <alignment horizontal="right" vertical="center"/>
    </xf>
    <xf numFmtId="0" fontId="26" fillId="15" borderId="31" xfId="0" applyFont="1" applyFill="1" applyBorder="1" applyAlignment="1">
      <alignment horizontal="center" vertical="center"/>
    </xf>
    <xf numFmtId="0" fontId="26" fillId="15" borderId="32" xfId="0" applyFont="1" applyFill="1" applyBorder="1" applyAlignment="1">
      <alignment horizontal="center" vertical="center"/>
    </xf>
    <xf numFmtId="0" fontId="26" fillId="15" borderId="33" xfId="0" applyFont="1" applyFill="1" applyBorder="1" applyAlignment="1">
      <alignment horizontal="center" vertical="center"/>
    </xf>
    <xf numFmtId="3" fontId="30" fillId="15" borderId="34" xfId="0" applyNumberFormat="1" applyFont="1" applyFill="1" applyBorder="1" applyAlignment="1">
      <alignment horizontal="right" vertical="center"/>
    </xf>
    <xf numFmtId="3" fontId="30" fillId="15" borderId="32" xfId="0" applyNumberFormat="1" applyFont="1" applyFill="1" applyBorder="1" applyAlignment="1">
      <alignment horizontal="right" vertical="center"/>
    </xf>
    <xf numFmtId="3" fontId="30" fillId="15" borderId="35" xfId="0" applyNumberFormat="1" applyFont="1" applyFill="1" applyBorder="1" applyAlignment="1">
      <alignment horizontal="right" vertical="center"/>
    </xf>
    <xf numFmtId="0" fontId="26" fillId="15" borderId="54" xfId="0" applyFont="1" applyFill="1" applyBorder="1" applyAlignment="1">
      <alignment horizontal="left" vertical="center"/>
    </xf>
    <xf numFmtId="0" fontId="26" fillId="15" borderId="55" xfId="0" applyFont="1" applyFill="1" applyBorder="1" applyAlignment="1">
      <alignment horizontal="left" vertical="center"/>
    </xf>
    <xf numFmtId="3" fontId="30" fillId="15" borderId="55" xfId="0" applyNumberFormat="1" applyFont="1" applyFill="1" applyBorder="1" applyAlignment="1">
      <alignment horizontal="right" vertical="center"/>
    </xf>
    <xf numFmtId="3" fontId="30" fillId="15" borderId="56" xfId="0" applyNumberFormat="1" applyFont="1" applyFill="1" applyBorder="1" applyAlignment="1">
      <alignment horizontal="right" vertical="center"/>
    </xf>
    <xf numFmtId="0" fontId="34" fillId="0" borderId="51" xfId="0" applyFont="1" applyBorder="1" applyAlignment="1">
      <alignment horizontal="left" vertical="center"/>
    </xf>
    <xf numFmtId="0" fontId="34" fillId="0" borderId="52" xfId="0" applyFont="1" applyBorder="1" applyAlignment="1">
      <alignment horizontal="left" vertical="center"/>
    </xf>
    <xf numFmtId="3" fontId="35" fillId="0" borderId="40" xfId="0" applyNumberFormat="1" applyFont="1" applyBorder="1" applyAlignment="1" applyProtection="1">
      <alignment horizontal="right" vertical="center"/>
      <protection locked="0"/>
    </xf>
    <xf numFmtId="3" fontId="35" fillId="0" borderId="41" xfId="0" applyNumberFormat="1" applyFont="1" applyBorder="1" applyAlignment="1" applyProtection="1">
      <alignment horizontal="right" vertical="center"/>
      <protection locked="0"/>
    </xf>
    <xf numFmtId="3" fontId="30" fillId="0" borderId="52" xfId="0" applyNumberFormat="1" applyFont="1" applyBorder="1" applyAlignment="1">
      <alignment horizontal="right" vertical="center"/>
    </xf>
    <xf numFmtId="3" fontId="30" fillId="0" borderId="53" xfId="0" applyNumberFormat="1" applyFont="1" applyBorder="1" applyAlignment="1">
      <alignment horizontal="right" vertical="center"/>
    </xf>
    <xf numFmtId="3" fontId="31" fillId="0" borderId="43" xfId="0" applyNumberFormat="1" applyFont="1" applyBorder="1" applyAlignment="1" applyProtection="1">
      <alignment horizontal="right" vertical="center"/>
      <protection locked="0"/>
    </xf>
    <xf numFmtId="3" fontId="31" fillId="0" borderId="44" xfId="0" applyNumberFormat="1" applyFont="1" applyBorder="1" applyAlignment="1" applyProtection="1">
      <alignment horizontal="right" vertical="center"/>
      <protection locked="0"/>
    </xf>
    <xf numFmtId="0" fontId="34" fillId="0" borderId="42" xfId="0" applyFont="1" applyBorder="1" applyAlignment="1">
      <alignment horizontal="left" vertical="center"/>
    </xf>
    <xf numFmtId="0" fontId="34" fillId="0" borderId="43" xfId="0" applyFont="1" applyBorder="1" applyAlignment="1">
      <alignment horizontal="left" vertical="center"/>
    </xf>
    <xf numFmtId="3" fontId="35" fillId="0" borderId="43" xfId="0" applyNumberFormat="1" applyFont="1" applyBorder="1" applyAlignment="1" applyProtection="1">
      <alignment horizontal="right" vertical="center"/>
      <protection locked="0"/>
    </xf>
    <xf numFmtId="3" fontId="35" fillId="0" borderId="44" xfId="0" applyNumberFormat="1" applyFont="1" applyBorder="1" applyAlignment="1" applyProtection="1">
      <alignment horizontal="right" vertical="center"/>
      <protection locked="0"/>
    </xf>
    <xf numFmtId="0" fontId="34" fillId="0" borderId="45" xfId="0" applyFont="1" applyBorder="1" applyAlignment="1">
      <alignment horizontal="left" vertical="center"/>
    </xf>
    <xf numFmtId="0" fontId="34" fillId="0" borderId="46" xfId="0" applyFont="1" applyBorder="1" applyAlignment="1">
      <alignment horizontal="left" vertical="center"/>
    </xf>
    <xf numFmtId="3" fontId="35" fillId="0" borderId="46" xfId="0" applyNumberFormat="1" applyFont="1" applyBorder="1" applyAlignment="1" applyProtection="1">
      <alignment horizontal="right" vertical="center"/>
      <protection locked="0"/>
    </xf>
    <xf numFmtId="3" fontId="35" fillId="0" borderId="47" xfId="0" applyNumberFormat="1" applyFont="1" applyBorder="1" applyAlignment="1" applyProtection="1">
      <alignment horizontal="right" vertical="center"/>
      <protection locked="0"/>
    </xf>
    <xf numFmtId="3" fontId="37" fillId="0" borderId="43" xfId="0" applyNumberFormat="1" applyFont="1" applyBorder="1" applyAlignment="1" applyProtection="1">
      <alignment horizontal="right" vertical="center"/>
      <protection locked="0"/>
    </xf>
    <xf numFmtId="3" fontId="37" fillId="0" borderId="44" xfId="0" applyNumberFormat="1" applyFont="1" applyBorder="1" applyAlignment="1" applyProtection="1">
      <alignment horizontal="right" vertical="center"/>
      <protection locked="0"/>
    </xf>
    <xf numFmtId="3" fontId="30" fillId="0" borderId="40" xfId="0" applyNumberFormat="1" applyFont="1" applyBorder="1" applyAlignment="1">
      <alignment horizontal="right" vertical="center"/>
    </xf>
    <xf numFmtId="3" fontId="30" fillId="0" borderId="41" xfId="0" applyNumberFormat="1" applyFont="1" applyBorder="1" applyAlignment="1">
      <alignment horizontal="right" vertical="center"/>
    </xf>
    <xf numFmtId="3" fontId="37" fillId="0" borderId="49" xfId="0" applyNumberFormat="1" applyFont="1" applyBorder="1" applyAlignment="1" applyProtection="1">
      <alignment horizontal="right" vertical="center"/>
      <protection locked="0"/>
    </xf>
    <xf numFmtId="3" fontId="37" fillId="0" borderId="50" xfId="0" applyNumberFormat="1" applyFont="1" applyBorder="1" applyAlignment="1" applyProtection="1">
      <alignment horizontal="right" vertical="center"/>
      <protection locked="0"/>
    </xf>
    <xf numFmtId="0" fontId="34" fillId="0" borderId="48" xfId="0" applyFont="1" applyBorder="1" applyAlignment="1">
      <alignment horizontal="left" vertical="center"/>
    </xf>
    <xf numFmtId="0" fontId="34" fillId="0" borderId="49" xfId="0" applyFont="1" applyBorder="1" applyAlignment="1">
      <alignment horizontal="left" vertical="center"/>
    </xf>
    <xf numFmtId="3" fontId="35" fillId="0" borderId="52" xfId="0" applyNumberFormat="1" applyFont="1" applyBorder="1" applyAlignment="1" applyProtection="1">
      <alignment horizontal="right" vertical="center"/>
      <protection locked="0"/>
    </xf>
    <xf numFmtId="3" fontId="35" fillId="0" borderId="53" xfId="0" applyNumberFormat="1" applyFont="1" applyBorder="1" applyAlignment="1" applyProtection="1">
      <alignment horizontal="right" vertical="center"/>
      <protection locked="0"/>
    </xf>
    <xf numFmtId="3" fontId="31" fillId="0" borderId="49" xfId="0" applyNumberFormat="1" applyFont="1" applyBorder="1" applyAlignment="1" applyProtection="1">
      <alignment horizontal="right" vertical="center"/>
      <protection locked="0"/>
    </xf>
    <xf numFmtId="3" fontId="31" fillId="0" borderId="50" xfId="0" applyNumberFormat="1" applyFont="1" applyBorder="1" applyAlignment="1" applyProtection="1">
      <alignment horizontal="right" vertical="center"/>
      <protection locked="0"/>
    </xf>
    <xf numFmtId="0" fontId="34" fillId="0" borderId="39" xfId="0" applyFont="1" applyBorder="1" applyAlignment="1">
      <alignment horizontal="left" vertical="center"/>
    </xf>
    <xf numFmtId="0" fontId="34" fillId="0" borderId="40" xfId="0" applyFont="1" applyBorder="1" applyAlignment="1">
      <alignment horizontal="left" vertical="center"/>
    </xf>
    <xf numFmtId="3" fontId="35" fillId="0" borderId="55" xfId="0" applyNumberFormat="1" applyFont="1" applyBorder="1" applyAlignment="1" applyProtection="1">
      <alignment horizontal="right" vertical="center"/>
      <protection locked="0"/>
    </xf>
    <xf numFmtId="3" fontId="35" fillId="0" borderId="56" xfId="0" applyNumberFormat="1" applyFont="1" applyBorder="1" applyAlignment="1" applyProtection="1">
      <alignment horizontal="right" vertical="center"/>
      <protection locked="0"/>
    </xf>
    <xf numFmtId="3" fontId="35" fillId="0" borderId="49" xfId="0" applyNumberFormat="1" applyFont="1" applyBorder="1" applyAlignment="1" applyProtection="1">
      <alignment horizontal="right" vertical="center"/>
      <protection locked="0"/>
    </xf>
    <xf numFmtId="3" fontId="35" fillId="0" borderId="50" xfId="0" applyNumberFormat="1" applyFont="1" applyBorder="1" applyAlignment="1" applyProtection="1">
      <alignment horizontal="right" vertical="center"/>
      <protection locked="0"/>
    </xf>
    <xf numFmtId="0" fontId="26" fillId="15" borderId="89" xfId="0" applyFont="1" applyFill="1" applyBorder="1" applyAlignment="1">
      <alignment horizontal="center" vertical="center"/>
    </xf>
    <xf numFmtId="0" fontId="26" fillId="15" borderId="57" xfId="0" applyFont="1" applyFill="1" applyBorder="1" applyAlignment="1">
      <alignment horizontal="center" vertical="center"/>
    </xf>
    <xf numFmtId="3" fontId="30" fillId="15" borderId="57" xfId="0" applyNumberFormat="1" applyFont="1" applyFill="1" applyBorder="1" applyAlignment="1">
      <alignment horizontal="right" vertical="center"/>
    </xf>
    <xf numFmtId="3" fontId="30" fillId="15" borderId="58" xfId="0" applyNumberFormat="1" applyFont="1" applyFill="1" applyBorder="1" applyAlignment="1">
      <alignment horizontal="right" vertical="center"/>
    </xf>
    <xf numFmtId="0" fontId="38" fillId="14" borderId="29" xfId="0" applyFont="1" applyFill="1" applyBorder="1" applyAlignment="1" applyProtection="1">
      <alignment horizontal="left" vertical="center"/>
      <protection locked="0"/>
    </xf>
    <xf numFmtId="49" fontId="39" fillId="0" borderId="0" xfId="0" applyNumberFormat="1" applyFont="1"/>
    <xf numFmtId="0" fontId="39" fillId="0" borderId="0" xfId="0" applyFont="1"/>
    <xf numFmtId="0" fontId="39" fillId="0" borderId="0" xfId="0" applyFont="1" applyAlignment="1">
      <alignment horizontal="center"/>
    </xf>
    <xf numFmtId="0" fontId="40" fillId="0" borderId="0" xfId="0" applyFont="1" applyAlignment="1">
      <alignment horizontal="center"/>
    </xf>
    <xf numFmtId="0" fontId="41" fillId="0" borderId="0" xfId="0" applyFont="1" applyAlignment="1">
      <alignment horizontal="center"/>
    </xf>
    <xf numFmtId="0" fontId="42" fillId="0" borderId="0" xfId="0" applyFont="1" applyAlignment="1">
      <alignment horizontal="right"/>
    </xf>
    <xf numFmtId="0" fontId="11" fillId="0" borderId="0" xfId="0" applyFont="1" applyAlignment="1">
      <alignment horizontal="right"/>
    </xf>
    <xf numFmtId="0" fontId="43" fillId="0" borderId="0" xfId="0" applyFont="1" applyAlignment="1">
      <alignment horizontal="center"/>
    </xf>
    <xf numFmtId="181" fontId="39" fillId="0" borderId="0" xfId="0" applyNumberFormat="1" applyFont="1"/>
    <xf numFmtId="0" fontId="40" fillId="0" borderId="0" xfId="0" applyFont="1"/>
    <xf numFmtId="0" fontId="40" fillId="0" borderId="0" xfId="0" applyFont="1" applyAlignment="1">
      <alignment horizontal="left"/>
    </xf>
    <xf numFmtId="0" fontId="44" fillId="0" borderId="0" xfId="0" applyFont="1" applyAlignment="1">
      <alignment horizontal="center"/>
    </xf>
    <xf numFmtId="0" fontId="45" fillId="0" borderId="75" xfId="0" applyFont="1" applyBorder="1" applyAlignment="1">
      <alignment horizontal="center" vertical="center"/>
    </xf>
    <xf numFmtId="0" fontId="45" fillId="0" borderId="73" xfId="0" applyFont="1" applyBorder="1" applyAlignment="1">
      <alignment horizontal="center" vertical="center"/>
    </xf>
    <xf numFmtId="0" fontId="45" fillId="0" borderId="74" xfId="0" applyFont="1" applyBorder="1" applyAlignment="1">
      <alignment horizontal="center" vertical="center"/>
    </xf>
    <xf numFmtId="0" fontId="45" fillId="0" borderId="0" xfId="0" applyFont="1" applyAlignment="1">
      <alignment horizontal="center"/>
    </xf>
    <xf numFmtId="0" fontId="45" fillId="0" borderId="84" xfId="0" applyFont="1" applyBorder="1" applyAlignment="1">
      <alignment horizontal="center" vertical="center"/>
    </xf>
    <xf numFmtId="0" fontId="45" fillId="0" borderId="29" xfId="0" applyFont="1" applyBorder="1" applyAlignment="1">
      <alignment horizontal="center" vertical="center"/>
    </xf>
    <xf numFmtId="0" fontId="45" fillId="0" borderId="83" xfId="0" applyFont="1" applyBorder="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0" fontId="47" fillId="0" borderId="75" xfId="0" applyFont="1" applyBorder="1" applyAlignment="1">
      <alignment horizontal="left" vertical="center"/>
    </xf>
    <xf numFmtId="0" fontId="48" fillId="0" borderId="73" xfId="0" applyFont="1" applyBorder="1" applyAlignment="1">
      <alignment horizontal="left" vertical="center"/>
    </xf>
    <xf numFmtId="0" fontId="49" fillId="0" borderId="73" xfId="0" applyFont="1" applyBorder="1" applyAlignment="1">
      <alignment horizontal="left" vertical="center"/>
    </xf>
    <xf numFmtId="0" fontId="50" fillId="0" borderId="73" xfId="0" applyFont="1" applyBorder="1" applyAlignment="1">
      <alignment horizontal="left" vertical="center"/>
    </xf>
    <xf numFmtId="0" fontId="50" fillId="0" borderId="74" xfId="0" applyFont="1" applyBorder="1" applyAlignment="1">
      <alignment horizontal="left" vertical="center"/>
    </xf>
    <xf numFmtId="0" fontId="40" fillId="0" borderId="77" xfId="0" applyFont="1" applyBorder="1" applyAlignment="1">
      <alignment horizontal="center"/>
    </xf>
    <xf numFmtId="0" fontId="40" fillId="0" borderId="78" xfId="0" applyFont="1" applyBorder="1" applyAlignment="1">
      <alignment horizontal="center"/>
    </xf>
    <xf numFmtId="0" fontId="40" fillId="0" borderId="81" xfId="0" applyFont="1" applyBorder="1" applyAlignment="1">
      <alignment horizontal="center"/>
    </xf>
    <xf numFmtId="0" fontId="49" fillId="0" borderId="90" xfId="0" applyFont="1" applyBorder="1" applyAlignment="1">
      <alignment horizontal="left" vertical="center"/>
    </xf>
    <xf numFmtId="0" fontId="49" fillId="0" borderId="0" xfId="0" applyFont="1" applyAlignment="1">
      <alignment horizontal="left" vertical="center"/>
    </xf>
    <xf numFmtId="0" fontId="49" fillId="0" borderId="0" xfId="0" applyFont="1" applyAlignment="1">
      <alignment horizontal="center" vertical="center"/>
    </xf>
    <xf numFmtId="0" fontId="51" fillId="16" borderId="43" xfId="0" applyFont="1" applyFill="1" applyBorder="1" applyAlignment="1">
      <alignment horizontal="center"/>
    </xf>
    <xf numFmtId="0" fontId="39" fillId="0" borderId="0" xfId="0" applyFont="1" applyAlignment="1">
      <alignment horizontal="left"/>
    </xf>
    <xf numFmtId="0" fontId="49" fillId="0" borderId="43" xfId="0" applyFont="1" applyBorder="1" applyAlignment="1">
      <alignment horizontal="left" vertical="center"/>
    </xf>
    <xf numFmtId="0" fontId="50" fillId="0" borderId="0" xfId="0" applyFont="1" applyAlignment="1">
      <alignment horizontal="left" vertical="center"/>
    </xf>
    <xf numFmtId="0" fontId="50" fillId="0" borderId="91" xfId="0" applyFont="1" applyBorder="1" applyAlignment="1">
      <alignment horizontal="left" vertical="center"/>
    </xf>
    <xf numFmtId="0" fontId="49" fillId="0" borderId="0" xfId="0" applyFont="1" applyAlignment="1">
      <alignment vertical="center"/>
    </xf>
    <xf numFmtId="0" fontId="49" fillId="0" borderId="92" xfId="0" applyFont="1" applyBorder="1" applyAlignment="1">
      <alignment vertical="center"/>
    </xf>
    <xf numFmtId="0" fontId="49" fillId="0" borderId="93" xfId="0" applyFont="1" applyBorder="1" applyAlignment="1">
      <alignment vertical="center"/>
    </xf>
    <xf numFmtId="0" fontId="39" fillId="0" borderId="0" xfId="0" applyFont="1" applyAlignment="1">
      <alignment horizontal="center" vertical="center"/>
    </xf>
    <xf numFmtId="0" fontId="49" fillId="0" borderId="92" xfId="0" applyFont="1" applyBorder="1" applyAlignment="1">
      <alignment horizontal="left" vertical="center"/>
    </xf>
    <xf numFmtId="0" fontId="52" fillId="0" borderId="52" xfId="0" applyFont="1" applyBorder="1"/>
    <xf numFmtId="0" fontId="53" fillId="0" borderId="83" xfId="0" applyFont="1" applyBorder="1"/>
    <xf numFmtId="0" fontId="49" fillId="0" borderId="93" xfId="0" applyFont="1" applyBorder="1" applyAlignment="1">
      <alignment horizontal="left" vertical="center"/>
    </xf>
    <xf numFmtId="0" fontId="50" fillId="0" borderId="90" xfId="0" applyFont="1" applyBorder="1" applyAlignment="1">
      <alignment horizontal="left" vertical="center"/>
    </xf>
    <xf numFmtId="0" fontId="50" fillId="0" borderId="0" xfId="0" applyFont="1" applyAlignment="1">
      <alignment horizontal="center" vertical="center"/>
    </xf>
    <xf numFmtId="0" fontId="53" fillId="0" borderId="0" xfId="0" applyFont="1"/>
    <xf numFmtId="0" fontId="39" fillId="0" borderId="84" xfId="0" applyFont="1" applyBorder="1"/>
    <xf numFmtId="0" fontId="54" fillId="0" borderId="29" xfId="0" applyFont="1" applyBorder="1"/>
    <xf numFmtId="0" fontId="54" fillId="0" borderId="83" xfId="0" applyFont="1" applyBorder="1"/>
    <xf numFmtId="0" fontId="40" fillId="0" borderId="92" xfId="0" applyFont="1" applyBorder="1" applyAlignment="1">
      <alignment horizontal="center"/>
    </xf>
    <xf numFmtId="0" fontId="40" fillId="0" borderId="93" xfId="0" applyFont="1" applyBorder="1" applyAlignment="1">
      <alignment horizontal="center"/>
    </xf>
    <xf numFmtId="49" fontId="43" fillId="0" borderId="0" xfId="0" applyNumberFormat="1" applyFont="1" applyAlignment="1">
      <alignment horizontal="center"/>
    </xf>
    <xf numFmtId="0" fontId="43" fillId="0" borderId="0" xfId="0" applyFont="1"/>
    <xf numFmtId="0" fontId="39" fillId="0" borderId="92" xfId="0" applyFont="1" applyBorder="1"/>
    <xf numFmtId="0" fontId="39" fillId="0" borderId="93" xfId="0" applyFont="1" applyBorder="1"/>
    <xf numFmtId="0" fontId="39" fillId="0" borderId="29" xfId="0" applyFont="1" applyBorder="1"/>
    <xf numFmtId="0" fontId="55" fillId="0" borderId="52" xfId="0" applyFont="1" applyBorder="1"/>
    <xf numFmtId="0" fontId="56" fillId="0" borderId="29" xfId="0" applyFont="1" applyBorder="1" applyAlignment="1">
      <alignment horizontal="left"/>
    </xf>
    <xf numFmtId="0" fontId="40" fillId="0" borderId="29" xfId="0" applyFont="1" applyBorder="1" applyAlignment="1">
      <alignment horizontal="center"/>
    </xf>
    <xf numFmtId="0" fontId="43" fillId="0" borderId="29" xfId="0" applyFont="1" applyBorder="1"/>
    <xf numFmtId="0" fontId="57" fillId="0" borderId="29" xfId="0" applyFont="1" applyBorder="1" applyAlignment="1">
      <alignment horizontal="left"/>
    </xf>
    <xf numFmtId="0" fontId="58" fillId="0" borderId="0" xfId="0" applyFont="1"/>
    <xf numFmtId="0" fontId="59" fillId="0" borderId="29" xfId="0" applyFont="1" applyBorder="1" applyAlignment="1">
      <alignment horizontal="left"/>
    </xf>
    <xf numFmtId="0" fontId="56" fillId="0" borderId="29" xfId="0" applyFont="1" applyBorder="1"/>
    <xf numFmtId="0" fontId="1" fillId="0" borderId="29" xfId="0" applyFont="1" applyBorder="1"/>
    <xf numFmtId="0" fontId="46" fillId="0" borderId="29" xfId="0" applyFont="1" applyBorder="1" applyAlignment="1">
      <alignment horizontal="center"/>
    </xf>
    <xf numFmtId="0" fontId="46" fillId="0" borderId="29" xfId="0" applyFont="1" applyBorder="1"/>
    <xf numFmtId="0" fontId="40" fillId="0" borderId="73" xfId="0" applyFont="1" applyBorder="1" applyAlignment="1">
      <alignment horizontal="center"/>
    </xf>
    <xf numFmtId="0" fontId="40" fillId="0" borderId="63" xfId="0" applyFont="1" applyBorder="1" applyAlignment="1">
      <alignment horizontal="center"/>
    </xf>
    <xf numFmtId="0" fontId="39" fillId="0" borderId="63" xfId="0" applyFont="1" applyBorder="1" applyAlignment="1">
      <alignment horizontal="center"/>
    </xf>
    <xf numFmtId="0" fontId="39" fillId="0" borderId="63" xfId="0" applyFont="1" applyBorder="1"/>
    <xf numFmtId="0" fontId="60" fillId="0" borderId="29" xfId="0" applyFont="1" applyBorder="1"/>
    <xf numFmtId="0" fontId="39" fillId="0" borderId="73" xfId="0" applyFont="1" applyBorder="1"/>
    <xf numFmtId="0" fontId="46" fillId="0" borderId="0" xfId="0" applyFont="1"/>
    <xf numFmtId="0" fontId="32" fillId="0" borderId="29" xfId="0" applyFont="1" applyBorder="1" applyAlignment="1">
      <alignment horizontal="left"/>
    </xf>
    <xf numFmtId="0" fontId="61" fillId="0" borderId="29" xfId="0" applyFont="1" applyBorder="1"/>
    <xf numFmtId="0" fontId="62" fillId="0" borderId="29" xfId="0" applyFont="1" applyBorder="1"/>
    <xf numFmtId="0" fontId="61" fillId="0" borderId="0" xfId="0" applyFont="1"/>
    <xf numFmtId="0" fontId="63" fillId="0" borderId="29" xfId="0" applyFont="1" applyBorder="1"/>
    <xf numFmtId="0" fontId="61" fillId="0" borderId="63" xfId="0" applyFont="1" applyBorder="1"/>
    <xf numFmtId="0" fontId="47" fillId="0" borderId="0" xfId="0" applyFont="1"/>
    <xf numFmtId="0" fontId="39" fillId="0" borderId="43" xfId="0" applyFont="1" applyBorder="1"/>
    <xf numFmtId="0" fontId="4" fillId="16" borderId="43" xfId="0" applyFont="1" applyFill="1" applyBorder="1" applyAlignment="1">
      <alignment horizontal="center" vertical="center"/>
    </xf>
    <xf numFmtId="0" fontId="49" fillId="0" borderId="0" xfId="0" applyFont="1"/>
    <xf numFmtId="0" fontId="64" fillId="0" borderId="84" xfId="0" applyFont="1" applyBorder="1"/>
    <xf numFmtId="0" fontId="0" fillId="0" borderId="52" xfId="0" applyBorder="1"/>
    <xf numFmtId="0" fontId="65" fillId="0" borderId="43" xfId="0" applyFont="1" applyBorder="1"/>
    <xf numFmtId="0" fontId="65" fillId="0" borderId="0" xfId="0" applyFont="1"/>
    <xf numFmtId="0" fontId="50" fillId="0" borderId="0" xfId="0" applyFont="1"/>
    <xf numFmtId="0" fontId="65" fillId="0" borderId="84" xfId="0" applyFont="1" applyBorder="1"/>
    <xf numFmtId="0" fontId="0" fillId="0" borderId="90" xfId="0" applyBorder="1"/>
    <xf numFmtId="0" fontId="65" fillId="0" borderId="90" xfId="0" applyFont="1" applyBorder="1"/>
    <xf numFmtId="0" fontId="54" fillId="0" borderId="92" xfId="0" applyFont="1" applyBorder="1"/>
    <xf numFmtId="0" fontId="0" fillId="0" borderId="94" xfId="0" applyBorder="1"/>
    <xf numFmtId="0" fontId="66" fillId="0" borderId="0" xfId="0" applyFont="1" applyAlignment="1">
      <alignment horizontal="center"/>
    </xf>
    <xf numFmtId="0" fontId="66" fillId="0" borderId="0" xfId="0" applyFont="1"/>
    <xf numFmtId="0" fontId="0" fillId="0" borderId="84" xfId="0" applyBorder="1"/>
    <xf numFmtId="0" fontId="67" fillId="0" borderId="0" xfId="0" applyFont="1"/>
    <xf numFmtId="0" fontId="67" fillId="0" borderId="0" xfId="0" applyFont="1" applyAlignment="1">
      <alignment horizontal="left"/>
    </xf>
    <xf numFmtId="0" fontId="44" fillId="0" borderId="0" xfId="0" applyFont="1"/>
    <xf numFmtId="0" fontId="51" fillId="0" borderId="52" xfId="0" applyFont="1" applyBorder="1"/>
    <xf numFmtId="0" fontId="58" fillId="0" borderId="52" xfId="0" applyFont="1" applyBorder="1" applyAlignment="1">
      <alignment horizontal="center" vertical="center"/>
    </xf>
    <xf numFmtId="0" fontId="68" fillId="0" borderId="73" xfId="0" applyFont="1" applyBorder="1" applyAlignment="1">
      <alignment horizontal="center"/>
    </xf>
    <xf numFmtId="0" fontId="69" fillId="0" borderId="0" xfId="0" applyFont="1"/>
    <xf numFmtId="0" fontId="51" fillId="0" borderId="29" xfId="0" applyFont="1" applyBorder="1" applyAlignment="1">
      <alignment horizontal="left"/>
    </xf>
    <xf numFmtId="0" fontId="70" fillId="0" borderId="29" xfId="0" applyFont="1" applyBorder="1"/>
    <xf numFmtId="0" fontId="69" fillId="0" borderId="29" xfId="0" applyFont="1" applyBorder="1"/>
    <xf numFmtId="0" fontId="66" fillId="0" borderId="29" xfId="0" applyFont="1" applyBorder="1"/>
    <xf numFmtId="0" fontId="67" fillId="0" borderId="29" xfId="0" applyFont="1" applyBorder="1"/>
    <xf numFmtId="0" fontId="70" fillId="0" borderId="63" xfId="0" applyFont="1" applyBorder="1"/>
    <xf numFmtId="0" fontId="69" fillId="0" borderId="63" xfId="0" applyFont="1" applyBorder="1"/>
    <xf numFmtId="0" fontId="66" fillId="0" borderId="63" xfId="0" applyFont="1" applyBorder="1"/>
    <xf numFmtId="0" fontId="67" fillId="0" borderId="63" xfId="0" applyFont="1" applyBorder="1"/>
    <xf numFmtId="0" fontId="46" fillId="0" borderId="29" xfId="0" applyFont="1" applyBorder="1" applyAlignment="1">
      <alignment horizontal="center" vertical="center"/>
    </xf>
    <xf numFmtId="0" fontId="70" fillId="0" borderId="0" xfId="0" applyFont="1"/>
    <xf numFmtId="0" fontId="69" fillId="0" borderId="0" xfId="0" applyFont="1" applyAlignment="1">
      <alignment horizontal="left" vertical="center"/>
    </xf>
    <xf numFmtId="0" fontId="39" fillId="0" borderId="95" xfId="0" applyFont="1" applyBorder="1"/>
    <xf numFmtId="0" fontId="39" fillId="0" borderId="96" xfId="0" applyFont="1" applyBorder="1"/>
    <xf numFmtId="0" fontId="39" fillId="0" borderId="97" xfId="0" applyFont="1" applyBorder="1"/>
    <xf numFmtId="0" fontId="1" fillId="0" borderId="93" xfId="0" applyFont="1" applyBorder="1"/>
    <xf numFmtId="0" fontId="39" fillId="0" borderId="86" xfId="0" applyFont="1" applyBorder="1"/>
    <xf numFmtId="0" fontId="39" fillId="0" borderId="87" xfId="0" applyFont="1" applyBorder="1"/>
    <xf numFmtId="0" fontId="1" fillId="0" borderId="87" xfId="0" applyFont="1" applyBorder="1"/>
    <xf numFmtId="0" fontId="46" fillId="0" borderId="87" xfId="0" applyFont="1" applyBorder="1"/>
    <xf numFmtId="0" fontId="39" fillId="0" borderId="98" xfId="0" applyFont="1" applyBorder="1"/>
    <xf numFmtId="0" fontId="39" fillId="0" borderId="75" xfId="0" applyFont="1" applyBorder="1"/>
    <xf numFmtId="0" fontId="47" fillId="0" borderId="73" xfId="0" applyFont="1" applyBorder="1"/>
    <xf numFmtId="0" fontId="47" fillId="0" borderId="91" xfId="0" applyFont="1" applyBorder="1"/>
    <xf numFmtId="0" fontId="39" fillId="0" borderId="90" xfId="0" applyFont="1" applyBorder="1" applyAlignment="1">
      <alignment horizontal="center"/>
    </xf>
    <xf numFmtId="0" fontId="39" fillId="0" borderId="91" xfId="0" applyFont="1" applyBorder="1"/>
    <xf numFmtId="0" fontId="39" fillId="0" borderId="84" xfId="0" applyFont="1" applyBorder="1" applyAlignment="1">
      <alignment horizontal="center"/>
    </xf>
    <xf numFmtId="0" fontId="39" fillId="0" borderId="83" xfId="0" applyFont="1" applyBorder="1"/>
    <xf numFmtId="0" fontId="39" fillId="0" borderId="73" xfId="0" applyFont="1" applyBorder="1" applyAlignment="1">
      <alignment horizontal="left" vertical="top" wrapText="1"/>
    </xf>
    <xf numFmtId="0" fontId="0" fillId="0" borderId="0" xfId="0" applyAlignment="1">
      <alignment wrapText="1"/>
    </xf>
    <xf numFmtId="0" fontId="71" fillId="0" borderId="0" xfId="0" applyFont="1" applyAlignment="1">
      <alignment horizontal="center" vertical="top"/>
    </xf>
    <xf numFmtId="0" fontId="71" fillId="0" borderId="73" xfId="0" applyFont="1" applyBorder="1" applyAlignment="1">
      <alignment horizontal="center" vertical="top"/>
    </xf>
    <xf numFmtId="0" fontId="39" fillId="0" borderId="73" xfId="0" applyFont="1" applyBorder="1" applyAlignment="1">
      <alignment horizontal="center" vertical="center"/>
    </xf>
    <xf numFmtId="0" fontId="39" fillId="0" borderId="0" xfId="0" applyFont="1" applyAlignment="1">
      <alignment horizontal="justify" vertical="top" wrapText="1"/>
    </xf>
    <xf numFmtId="0" fontId="39" fillId="0" borderId="0" xfId="0" applyFont="1" applyAlignment="1">
      <alignment horizontal="justify" vertical="top"/>
    </xf>
    <xf numFmtId="49" fontId="39" fillId="0" borderId="0" xfId="0" applyNumberFormat="1" applyFont="1" applyAlignment="1">
      <alignment horizontal="left" wrapText="1"/>
    </xf>
    <xf numFmtId="49" fontId="61" fillId="0" borderId="0" xfId="0" applyNumberFormat="1" applyFont="1" applyAlignment="1">
      <alignment horizontal="left" wrapText="1"/>
    </xf>
    <xf numFmtId="0" fontId="61" fillId="0" borderId="0" xfId="0" applyFont="1" applyAlignment="1">
      <alignment horizontal="center" wrapText="1"/>
    </xf>
    <xf numFmtId="0" fontId="39" fillId="0" borderId="0" xfId="0" applyFont="1" applyAlignment="1">
      <alignment horizontal="left" wrapText="1"/>
    </xf>
    <xf numFmtId="0" fontId="61" fillId="0" borderId="0" xfId="0" applyFont="1" applyAlignment="1">
      <alignment horizontal="left" wrapText="1"/>
    </xf>
    <xf numFmtId="0" fontId="39" fillId="0" borderId="0" xfId="0" applyFont="1" applyAlignment="1">
      <alignment horizontal="center" wrapText="1"/>
    </xf>
    <xf numFmtId="0" fontId="39" fillId="0" borderId="0" xfId="0" applyFont="1" applyAlignment="1">
      <alignment wrapText="1"/>
    </xf>
    <xf numFmtId="0" fontId="61" fillId="0" borderId="75" xfId="0" applyFont="1" applyBorder="1" applyAlignment="1">
      <alignment horizontal="center" wrapText="1"/>
    </xf>
    <xf numFmtId="0" fontId="61" fillId="0" borderId="73" xfId="0" applyFont="1" applyBorder="1" applyAlignment="1">
      <alignment horizontal="center" wrapText="1"/>
    </xf>
    <xf numFmtId="0" fontId="61" fillId="0" borderId="74" xfId="0" applyFont="1" applyBorder="1" applyAlignment="1">
      <alignment horizontal="center" wrapText="1"/>
    </xf>
    <xf numFmtId="0" fontId="72" fillId="0" borderId="0" xfId="0" applyFont="1" applyAlignment="1">
      <alignment horizontal="center" wrapText="1"/>
    </xf>
    <xf numFmtId="0" fontId="39" fillId="0" borderId="75" xfId="0" applyFont="1" applyBorder="1" applyAlignment="1">
      <alignment horizontal="center" wrapText="1"/>
    </xf>
    <xf numFmtId="0" fontId="39" fillId="0" borderId="73" xfId="0" applyFont="1" applyBorder="1" applyAlignment="1">
      <alignment horizontal="center" wrapText="1"/>
    </xf>
    <xf numFmtId="0" fontId="39" fillId="0" borderId="74" xfId="0" applyFont="1" applyBorder="1" applyAlignment="1">
      <alignment horizontal="center" wrapText="1"/>
    </xf>
    <xf numFmtId="0" fontId="54" fillId="0" borderId="84" xfId="0" applyFont="1" applyBorder="1" applyAlignment="1">
      <alignment horizontal="left" wrapText="1"/>
    </xf>
    <xf numFmtId="0" fontId="39" fillId="0" borderId="29" xfId="0" applyFont="1" applyBorder="1" applyAlignment="1">
      <alignment horizontal="center" wrapText="1"/>
    </xf>
    <xf numFmtId="0" fontId="39" fillId="0" borderId="83" xfId="0" applyFont="1" applyBorder="1" applyAlignment="1">
      <alignment horizontal="center" wrapText="1"/>
    </xf>
    <xf numFmtId="0" fontId="39" fillId="0" borderId="65" xfId="0" applyFont="1" applyBorder="1" applyAlignment="1">
      <alignment horizontal="left" wrapText="1"/>
    </xf>
    <xf numFmtId="0" fontId="39" fillId="0" borderId="63" xfId="0" applyFont="1" applyBorder="1" applyAlignment="1">
      <alignment horizontal="left" wrapText="1"/>
    </xf>
    <xf numFmtId="0" fontId="39" fillId="0" borderId="64" xfId="0" applyFont="1" applyBorder="1" applyAlignment="1">
      <alignment horizontal="left" wrapText="1"/>
    </xf>
    <xf numFmtId="0" fontId="54" fillId="0" borderId="63" xfId="0" applyFont="1" applyBorder="1" applyAlignment="1">
      <alignment wrapText="1"/>
    </xf>
    <xf numFmtId="0" fontId="54" fillId="0" borderId="64" xfId="0" applyFont="1" applyBorder="1" applyAlignment="1">
      <alignment wrapText="1"/>
    </xf>
    <xf numFmtId="0" fontId="54" fillId="0" borderId="65" xfId="0" applyFont="1" applyBorder="1" applyAlignment="1">
      <alignment horizontal="center" wrapText="1"/>
    </xf>
    <xf numFmtId="0" fontId="54" fillId="0" borderId="63" xfId="0" applyFont="1" applyBorder="1" applyAlignment="1">
      <alignment horizontal="center" wrapText="1"/>
    </xf>
    <xf numFmtId="0" fontId="54" fillId="0" borderId="64" xfId="0" applyFont="1" applyBorder="1" applyAlignment="1">
      <alignment horizontal="center" wrapText="1"/>
    </xf>
    <xf numFmtId="0" fontId="73" fillId="0" borderId="0" xfId="0" applyFont="1"/>
    <xf numFmtId="0" fontId="73" fillId="0" borderId="0" xfId="0" applyFont="1" applyAlignment="1">
      <alignment vertical="center"/>
    </xf>
    <xf numFmtId="0" fontId="74" fillId="0" borderId="0" xfId="0" applyFont="1"/>
    <xf numFmtId="43" fontId="75" fillId="0" borderId="99" xfId="1" applyFont="1" applyFill="1" applyBorder="1" applyAlignment="1"/>
    <xf numFmtId="0" fontId="76" fillId="0" borderId="0" xfId="0" applyFont="1" applyAlignment="1">
      <alignment horizontal="center"/>
    </xf>
    <xf numFmtId="43" fontId="77" fillId="0" borderId="100" xfId="1" applyFont="1" applyFill="1" applyBorder="1" applyAlignment="1"/>
    <xf numFmtId="0" fontId="77" fillId="0" borderId="99" xfId="1" applyNumberFormat="1" applyFont="1" applyFill="1" applyBorder="1" applyAlignment="1">
      <alignment horizontal="center"/>
    </xf>
    <xf numFmtId="182" fontId="77" fillId="0" borderId="99" xfId="1" applyNumberFormat="1" applyFont="1" applyFill="1" applyBorder="1" applyAlignment="1">
      <alignment horizontal="center"/>
    </xf>
    <xf numFmtId="0" fontId="77" fillId="0" borderId="0" xfId="0" applyFont="1" applyAlignment="1">
      <alignment horizontal="right"/>
    </xf>
    <xf numFmtId="0" fontId="74" fillId="0" borderId="100" xfId="1" applyNumberFormat="1" applyFont="1" applyFill="1" applyBorder="1" applyAlignment="1">
      <alignment horizontal="center"/>
    </xf>
    <xf numFmtId="0" fontId="77" fillId="0" borderId="0" xfId="0" applyFont="1" applyAlignment="1">
      <alignment horizontal="center"/>
    </xf>
    <xf numFmtId="0" fontId="73" fillId="0" borderId="0" xfId="0" applyFont="1" applyAlignment="1">
      <alignment horizontal="left"/>
    </xf>
    <xf numFmtId="0" fontId="74" fillId="0" borderId="100" xfId="0" applyFont="1" applyBorder="1" applyAlignment="1">
      <alignment horizontal="center"/>
    </xf>
    <xf numFmtId="0" fontId="74" fillId="0" borderId="100" xfId="0" applyFont="1" applyBorder="1"/>
    <xf numFmtId="0" fontId="74" fillId="0" borderId="0" xfId="0" applyFont="1" applyAlignment="1">
      <alignment horizontal="center"/>
    </xf>
    <xf numFmtId="0" fontId="78" fillId="0" borderId="0" xfId="0" applyFont="1" applyAlignment="1">
      <alignment horizontal="center"/>
    </xf>
    <xf numFmtId="0" fontId="74" fillId="0" borderId="101" xfId="0" applyFont="1" applyBorder="1"/>
    <xf numFmtId="0" fontId="74" fillId="0" borderId="102" xfId="0" applyFont="1" applyBorder="1" applyAlignment="1">
      <alignment horizontal="center"/>
    </xf>
    <xf numFmtId="0" fontId="74" fillId="0" borderId="73" xfId="0" applyFont="1" applyBorder="1" applyAlignment="1">
      <alignment horizontal="center"/>
    </xf>
    <xf numFmtId="0" fontId="74" fillId="0" borderId="103" xfId="0" applyFont="1" applyBorder="1" applyAlignment="1">
      <alignment horizontal="center"/>
    </xf>
    <xf numFmtId="0" fontId="74" fillId="0" borderId="104" xfId="0" applyFont="1" applyBorder="1" applyAlignment="1">
      <alignment horizontal="center"/>
    </xf>
    <xf numFmtId="0" fontId="74" fillId="0" borderId="74" xfId="0" applyFont="1" applyBorder="1" applyAlignment="1">
      <alignment horizontal="center"/>
    </xf>
    <xf numFmtId="0" fontId="74" fillId="0" borderId="105" xfId="0" applyFont="1" applyBorder="1"/>
    <xf numFmtId="0" fontId="74" fillId="0" borderId="106" xfId="0" applyFont="1" applyBorder="1" applyAlignment="1">
      <alignment horizontal="center"/>
    </xf>
    <xf numFmtId="0" fontId="74" fillId="0" borderId="107" xfId="0" applyFont="1" applyBorder="1" applyAlignment="1">
      <alignment horizontal="center"/>
    </xf>
    <xf numFmtId="0" fontId="74" fillId="0" borderId="108" xfId="0" applyFont="1" applyBorder="1" applyAlignment="1">
      <alignment horizontal="center"/>
    </xf>
    <xf numFmtId="0" fontId="74" fillId="0" borderId="109" xfId="0" applyFont="1" applyBorder="1" applyAlignment="1">
      <alignment horizontal="center"/>
    </xf>
    <xf numFmtId="0" fontId="74" fillId="0" borderId="110" xfId="0" applyFont="1" applyBorder="1" applyAlignment="1">
      <alignment horizontal="center"/>
    </xf>
    <xf numFmtId="0" fontId="74" fillId="0" borderId="111" xfId="0" applyFont="1" applyBorder="1" applyAlignment="1">
      <alignment horizontal="center"/>
    </xf>
    <xf numFmtId="0" fontId="74" fillId="0" borderId="112" xfId="0" applyFont="1" applyBorder="1" applyAlignment="1">
      <alignment horizontal="center"/>
    </xf>
    <xf numFmtId="0" fontId="74" fillId="0" borderId="113" xfId="0" applyFont="1" applyBorder="1" applyAlignment="1">
      <alignment horizontal="center"/>
    </xf>
    <xf numFmtId="0" fontId="74" fillId="0" borderId="114" xfId="0" applyFont="1" applyBorder="1" applyAlignment="1">
      <alignment horizontal="center"/>
    </xf>
    <xf numFmtId="0" fontId="74" fillId="0" borderId="115" xfId="0" applyFont="1" applyBorder="1" applyAlignment="1">
      <alignment horizontal="center"/>
    </xf>
    <xf numFmtId="0" fontId="74" fillId="0" borderId="105" xfId="0" applyFont="1" applyBorder="1" applyAlignment="1">
      <alignment horizontal="center"/>
    </xf>
    <xf numFmtId="0" fontId="74" fillId="0" borderId="106" xfId="0" applyFont="1" applyBorder="1"/>
    <xf numFmtId="43" fontId="74" fillId="0" borderId="116" xfId="1" applyFont="1" applyFill="1" applyBorder="1" applyAlignment="1" applyProtection="1">
      <alignment horizontal="center"/>
      <protection locked="0"/>
    </xf>
    <xf numFmtId="3" fontId="74" fillId="0" borderId="0" xfId="0" applyNumberFormat="1" applyFont="1" applyAlignment="1" applyProtection="1">
      <alignment horizontal="right"/>
      <protection locked="0"/>
    </xf>
    <xf numFmtId="3" fontId="74" fillId="0" borderId="107" xfId="0" applyNumberFormat="1" applyFont="1" applyBorder="1" applyAlignment="1" applyProtection="1">
      <alignment horizontal="right"/>
      <protection locked="0"/>
    </xf>
    <xf numFmtId="3" fontId="74" fillId="0" borderId="106" xfId="1" applyNumberFormat="1" applyFont="1" applyFill="1" applyBorder="1" applyAlignment="1" applyProtection="1">
      <alignment horizontal="right"/>
      <protection locked="0"/>
    </xf>
    <xf numFmtId="3" fontId="74" fillId="0" borderId="0" xfId="1" applyNumberFormat="1" applyFont="1" applyFill="1" applyBorder="1" applyAlignment="1" applyProtection="1">
      <alignment horizontal="right"/>
      <protection locked="0"/>
    </xf>
    <xf numFmtId="3" fontId="74" fillId="0" borderId="91" xfId="1" applyNumberFormat="1" applyFont="1" applyFill="1" applyBorder="1" applyAlignment="1" applyProtection="1">
      <alignment horizontal="right"/>
      <protection locked="0"/>
    </xf>
    <xf numFmtId="43" fontId="74" fillId="8" borderId="117" xfId="1" applyFont="1" applyFill="1" applyBorder="1" applyAlignment="1">
      <alignment horizontal="center"/>
    </xf>
    <xf numFmtId="43" fontId="74" fillId="0" borderId="118" xfId="1" applyFont="1" applyFill="1" applyBorder="1" applyAlignment="1" applyProtection="1">
      <alignment horizontal="center"/>
      <protection locked="0"/>
    </xf>
    <xf numFmtId="0" fontId="74" fillId="0" borderId="119" xfId="0" applyFont="1" applyBorder="1" applyAlignment="1">
      <alignment horizontal="center" vertical="center"/>
    </xf>
    <xf numFmtId="0" fontId="74" fillId="0" borderId="120" xfId="0" applyFont="1" applyBorder="1" applyAlignment="1">
      <alignment vertical="center"/>
    </xf>
    <xf numFmtId="0" fontId="74" fillId="0" borderId="100" xfId="0" applyFont="1" applyBorder="1" applyAlignment="1">
      <alignment vertical="center"/>
    </xf>
    <xf numFmtId="0" fontId="74" fillId="0" borderId="99" xfId="0" applyFont="1" applyBorder="1" applyAlignment="1">
      <alignment vertical="center"/>
    </xf>
    <xf numFmtId="0" fontId="74" fillId="0" borderId="121" xfId="0" applyFont="1" applyBorder="1" applyAlignment="1">
      <alignment vertical="center"/>
    </xf>
    <xf numFmtId="183" fontId="74" fillId="0" borderId="122" xfId="1" applyNumberFormat="1" applyFont="1" applyFill="1" applyBorder="1" applyAlignment="1" applyProtection="1">
      <alignment horizontal="right" vertical="center"/>
      <protection locked="0"/>
    </xf>
    <xf numFmtId="182" fontId="74" fillId="0" borderId="100" xfId="1" applyNumberFormat="1" applyFont="1" applyFill="1" applyBorder="1" applyAlignment="1" applyProtection="1">
      <alignment horizontal="right" vertical="center"/>
      <protection locked="0"/>
    </xf>
    <xf numFmtId="182" fontId="74" fillId="0" borderId="123" xfId="1" applyNumberFormat="1" applyFont="1" applyFill="1" applyBorder="1" applyAlignment="1" applyProtection="1">
      <alignment horizontal="right" vertical="center"/>
      <protection locked="0"/>
    </xf>
    <xf numFmtId="182" fontId="74" fillId="0" borderId="120" xfId="1" applyNumberFormat="1" applyFont="1" applyFill="1" applyBorder="1" applyAlignment="1" applyProtection="1">
      <alignment horizontal="right" vertical="center"/>
      <protection locked="0"/>
    </xf>
    <xf numFmtId="182" fontId="74" fillId="0" borderId="124" xfId="1" applyNumberFormat="1" applyFont="1" applyFill="1" applyBorder="1" applyAlignment="1" applyProtection="1">
      <alignment horizontal="right" vertical="center"/>
      <protection locked="0"/>
    </xf>
    <xf numFmtId="0" fontId="74" fillId="0" borderId="123" xfId="0" applyFont="1" applyBorder="1" applyAlignment="1">
      <alignment vertical="center"/>
    </xf>
    <xf numFmtId="0" fontId="74" fillId="0" borderId="90" xfId="0" applyFont="1" applyBorder="1" applyAlignment="1">
      <alignment horizontal="center"/>
    </xf>
    <xf numFmtId="0" fontId="74" fillId="0" borderId="125" xfId="0" applyFont="1" applyBorder="1"/>
    <xf numFmtId="182" fontId="74" fillId="0" borderId="0" xfId="1" applyNumberFormat="1" applyFont="1" applyFill="1" applyBorder="1" applyAlignment="1" applyProtection="1">
      <alignment horizontal="right"/>
      <protection locked="0"/>
    </xf>
    <xf numFmtId="182" fontId="74" fillId="0" borderId="107" xfId="1" applyNumberFormat="1" applyFont="1" applyFill="1" applyBorder="1" applyAlignment="1" applyProtection="1">
      <alignment horizontal="right"/>
      <protection locked="0"/>
    </xf>
    <xf numFmtId="182" fontId="74" fillId="0" borderId="106" xfId="1" applyNumberFormat="1" applyFont="1" applyFill="1" applyBorder="1" applyAlignment="1" applyProtection="1">
      <alignment horizontal="right"/>
      <protection locked="0"/>
    </xf>
    <xf numFmtId="182" fontId="74" fillId="0" borderId="91" xfId="1" applyNumberFormat="1" applyFont="1" applyFill="1" applyBorder="1" applyAlignment="1" applyProtection="1">
      <alignment horizontal="right"/>
      <protection locked="0"/>
    </xf>
    <xf numFmtId="0" fontId="74" fillId="0" borderId="107" xfId="0" applyFont="1" applyBorder="1"/>
    <xf numFmtId="43" fontId="74" fillId="0" borderId="122" xfId="1" applyFont="1" applyFill="1" applyBorder="1" applyAlignment="1" applyProtection="1">
      <alignment horizontal="center"/>
      <protection locked="0"/>
    </xf>
    <xf numFmtId="43" fontId="74" fillId="0" borderId="120" xfId="1" applyFont="1" applyFill="1" applyBorder="1" applyAlignment="1" applyProtection="1">
      <alignment horizontal="right" vertical="center"/>
      <protection locked="0"/>
    </xf>
    <xf numFmtId="43" fontId="74" fillId="0" borderId="100" xfId="1" applyFont="1" applyFill="1" applyBorder="1" applyAlignment="1" applyProtection="1">
      <alignment horizontal="right" vertical="center"/>
      <protection locked="0"/>
    </xf>
    <xf numFmtId="43" fontId="74" fillId="0" borderId="123" xfId="1" applyFont="1" applyFill="1" applyBorder="1" applyAlignment="1" applyProtection="1">
      <alignment horizontal="right" vertical="center"/>
      <protection locked="0"/>
    </xf>
    <xf numFmtId="43" fontId="76" fillId="0" borderId="120" xfId="1" applyFont="1" applyFill="1" applyBorder="1" applyAlignment="1" applyProtection="1">
      <alignment horizontal="left" vertical="center" shrinkToFit="1"/>
      <protection locked="0"/>
    </xf>
    <xf numFmtId="43" fontId="76" fillId="0" borderId="123" xfId="1" applyFont="1" applyFill="1" applyBorder="1" applyAlignment="1" applyProtection="1">
      <alignment horizontal="left" vertical="center" shrinkToFit="1"/>
      <protection locked="0"/>
    </xf>
    <xf numFmtId="0" fontId="74" fillId="0" borderId="126" xfId="0" applyFont="1" applyBorder="1" applyAlignment="1">
      <alignment horizontal="center" vertical="center"/>
    </xf>
    <xf numFmtId="0" fontId="74" fillId="0" borderId="109" xfId="0" applyFont="1" applyBorder="1" applyAlignment="1">
      <alignment vertical="center"/>
    </xf>
    <xf numFmtId="0" fontId="74" fillId="0" borderId="110" xfId="0" applyFont="1" applyBorder="1" applyAlignment="1">
      <alignment vertical="center"/>
    </xf>
    <xf numFmtId="0" fontId="74" fillId="0" borderId="111" xfId="0" applyFont="1" applyBorder="1" applyAlignment="1">
      <alignment vertical="center"/>
    </xf>
    <xf numFmtId="183" fontId="74" fillId="0" borderId="127" xfId="1" applyNumberFormat="1" applyFont="1" applyFill="1" applyBorder="1" applyAlignment="1" applyProtection="1">
      <alignment horizontal="right" vertical="center"/>
      <protection locked="0"/>
    </xf>
    <xf numFmtId="182" fontId="74" fillId="0" borderId="109" xfId="1" applyNumberFormat="1" applyFont="1" applyFill="1" applyBorder="1" applyAlignment="1" applyProtection="1">
      <alignment horizontal="right" vertical="center"/>
      <protection locked="0"/>
    </xf>
    <xf numFmtId="182" fontId="74" fillId="0" borderId="110" xfId="1" applyNumberFormat="1" applyFont="1" applyFill="1" applyBorder="1" applyAlignment="1" applyProtection="1">
      <alignment horizontal="right" vertical="center"/>
      <protection locked="0"/>
    </xf>
    <xf numFmtId="182" fontId="74" fillId="0" borderId="111" xfId="1" applyNumberFormat="1" applyFont="1" applyFill="1" applyBorder="1" applyAlignment="1" applyProtection="1">
      <alignment horizontal="right" vertical="center"/>
      <protection locked="0"/>
    </xf>
    <xf numFmtId="182" fontId="74" fillId="0" borderId="112" xfId="1" applyNumberFormat="1" applyFont="1" applyFill="1" applyBorder="1" applyAlignment="1" applyProtection="1">
      <alignment horizontal="right" vertical="center"/>
      <protection locked="0"/>
    </xf>
    <xf numFmtId="0" fontId="73" fillId="17" borderId="0" xfId="0" applyFont="1" applyFill="1"/>
    <xf numFmtId="0" fontId="79" fillId="0" borderId="99" xfId="0" applyFont="1" applyBorder="1"/>
    <xf numFmtId="0" fontId="74" fillId="0" borderId="99" xfId="0" applyFont="1" applyBorder="1"/>
    <xf numFmtId="0" fontId="79" fillId="0" borderId="100" xfId="0" applyFont="1" applyBorder="1" applyAlignment="1">
      <alignment horizontal="center"/>
    </xf>
    <xf numFmtId="43" fontId="79" fillId="0" borderId="125" xfId="1" applyFont="1" applyFill="1" applyBorder="1" applyAlignment="1">
      <alignment horizontal="center"/>
    </xf>
    <xf numFmtId="0" fontId="4" fillId="0" borderId="0" xfId="0" applyFont="1"/>
    <xf numFmtId="0" fontId="60" fillId="0" borderId="0" xfId="0" applyFont="1"/>
    <xf numFmtId="0" fontId="11" fillId="0" borderId="0" xfId="0" applyFont="1"/>
    <xf numFmtId="0" fontId="4" fillId="0" borderId="0" xfId="0" applyFont="1" applyAlignment="1">
      <alignment horizontal="justify" vertical="center"/>
    </xf>
    <xf numFmtId="0" fontId="4" fillId="0" borderId="0" xfId="0" applyFont="1" applyAlignment="1">
      <alignment horizontal="left"/>
    </xf>
    <xf numFmtId="0" fontId="60" fillId="0" borderId="0" xfId="0" applyFont="1" applyAlignment="1">
      <alignment horizontal="center"/>
    </xf>
    <xf numFmtId="0" fontId="4" fillId="0" borderId="0" xfId="0" applyFont="1" applyAlignment="1">
      <alignment horizontal="center"/>
    </xf>
    <xf numFmtId="0" fontId="80" fillId="0" borderId="0" xfId="0" applyFont="1" applyAlignment="1">
      <alignment horizontal="left"/>
    </xf>
    <xf numFmtId="0" fontId="11" fillId="0" borderId="0" xfId="0" applyFont="1" applyAlignment="1">
      <alignment horizontal="left"/>
    </xf>
    <xf numFmtId="43" fontId="81" fillId="0" borderId="0" xfId="1" applyFont="1" applyBorder="1" applyAlignment="1">
      <alignment horizontal="left"/>
    </xf>
    <xf numFmtId="0" fontId="81" fillId="0" borderId="0" xfId="0" applyFont="1"/>
    <xf numFmtId="49" fontId="82" fillId="0" borderId="99" xfId="0" applyNumberFormat="1" applyFont="1" applyBorder="1"/>
    <xf numFmtId="0" fontId="82" fillId="0" borderId="99" xfId="0" applyFont="1" applyBorder="1"/>
    <xf numFmtId="0" fontId="83" fillId="0" borderId="0" xfId="0" applyFont="1"/>
    <xf numFmtId="0" fontId="55" fillId="0" borderId="0" xfId="0" applyFont="1"/>
    <xf numFmtId="0" fontId="84" fillId="0" borderId="0" xfId="0" applyFont="1"/>
    <xf numFmtId="0" fontId="85" fillId="0" borderId="0" xfId="0" applyFont="1"/>
    <xf numFmtId="0" fontId="86" fillId="0" borderId="0" xfId="0" applyFont="1" applyAlignment="1">
      <alignment horizontal="center"/>
    </xf>
    <xf numFmtId="0" fontId="46" fillId="0" borderId="0" xfId="0" applyFont="1" applyAlignment="1">
      <alignment horizontal="right"/>
    </xf>
    <xf numFmtId="0" fontId="55" fillId="0" borderId="0" xfId="0" applyFont="1" applyAlignment="1">
      <alignment horizontal="center"/>
    </xf>
    <xf numFmtId="0" fontId="53" fillId="0" borderId="0" xfId="0" applyFont="1" applyAlignment="1">
      <alignment horizontal="left" indent="5"/>
    </xf>
    <xf numFmtId="0" fontId="53" fillId="0" borderId="0" xfId="0" applyFont="1" applyAlignment="1">
      <alignment horizontal="center"/>
    </xf>
    <xf numFmtId="0" fontId="87" fillId="0" borderId="0" xfId="0" applyFont="1" applyAlignment="1">
      <alignment horizontal="left"/>
    </xf>
    <xf numFmtId="0" fontId="87" fillId="0" borderId="0" xfId="0" applyFont="1"/>
    <xf numFmtId="0" fontId="88" fillId="0" borderId="52" xfId="0" applyFont="1" applyBorder="1" applyAlignment="1">
      <alignment horizontal="center"/>
    </xf>
    <xf numFmtId="0" fontId="43" fillId="0" borderId="0" xfId="0" applyFont="1" applyAlignment="1">
      <alignment horizontal="left"/>
    </xf>
    <xf numFmtId="0" fontId="88" fillId="0" borderId="63" xfId="0" applyFont="1" applyBorder="1"/>
    <xf numFmtId="0" fontId="89" fillId="0" borderId="63" xfId="0" applyFont="1" applyBorder="1"/>
    <xf numFmtId="0" fontId="90" fillId="0" borderId="63" xfId="0" applyFont="1" applyBorder="1"/>
    <xf numFmtId="0" fontId="91" fillId="0" borderId="63" xfId="0" applyFont="1" applyBorder="1"/>
    <xf numFmtId="0" fontId="92" fillId="0" borderId="63" xfId="0" applyFont="1" applyBorder="1"/>
    <xf numFmtId="0" fontId="87" fillId="0" borderId="0" xfId="0" applyFont="1" applyAlignment="1">
      <alignment horizontal="center"/>
    </xf>
    <xf numFmtId="0" fontId="55" fillId="0" borderId="36" xfId="0" applyFont="1" applyBorder="1" applyAlignment="1">
      <alignment horizontal="justify" vertical="center"/>
    </xf>
    <xf numFmtId="0" fontId="55" fillId="0" borderId="38" xfId="0" applyFont="1" applyBorder="1" applyAlignment="1">
      <alignment horizontal="justify" vertical="center"/>
    </xf>
    <xf numFmtId="0" fontId="55" fillId="0" borderId="95" xfId="0" applyFont="1" applyBorder="1" applyAlignment="1">
      <alignment horizontal="center"/>
    </xf>
    <xf numFmtId="0" fontId="55" fillId="0" borderId="96" xfId="0" applyFont="1" applyBorder="1" applyAlignment="1">
      <alignment horizontal="center"/>
    </xf>
    <xf numFmtId="0" fontId="55" fillId="0" borderId="97" xfId="0" applyFont="1" applyBorder="1" applyAlignment="1">
      <alignment horizontal="center"/>
    </xf>
    <xf numFmtId="0" fontId="55" fillId="0" borderId="89" xfId="0" applyFont="1" applyBorder="1" applyAlignment="1">
      <alignment horizontal="justify" vertical="center"/>
    </xf>
    <xf numFmtId="0" fontId="55" fillId="0" borderId="58" xfId="0" applyFont="1" applyBorder="1" applyAlignment="1">
      <alignment horizontal="justify" vertical="center"/>
    </xf>
    <xf numFmtId="0" fontId="55" fillId="0" borderId="45" xfId="0" applyFont="1" applyBorder="1" applyAlignment="1">
      <alignment horizontal="justify" vertical="center"/>
    </xf>
    <xf numFmtId="0" fontId="55" fillId="0" borderId="46" xfId="0" applyFont="1" applyBorder="1" applyAlignment="1">
      <alignment horizontal="left" vertical="justify"/>
    </xf>
    <xf numFmtId="0" fontId="55" fillId="0" borderId="46" xfId="0" applyFont="1" applyBorder="1" applyAlignment="1">
      <alignment horizontal="justify" vertical="center"/>
    </xf>
    <xf numFmtId="0" fontId="55" fillId="0" borderId="75" xfId="0" applyFont="1" applyBorder="1" applyAlignment="1">
      <alignment horizontal="justify" vertical="center"/>
    </xf>
    <xf numFmtId="0" fontId="55" fillId="0" borderId="47" xfId="0" applyFont="1" applyBorder="1" applyAlignment="1">
      <alignment horizontal="left" vertical="justify"/>
    </xf>
    <xf numFmtId="0" fontId="84" fillId="0" borderId="36" xfId="0" applyFont="1" applyBorder="1" applyAlignment="1">
      <alignment horizontal="center"/>
    </xf>
    <xf numFmtId="0" fontId="84" fillId="0" borderId="38" xfId="0" applyFont="1" applyBorder="1" applyAlignment="1">
      <alignment horizontal="center"/>
    </xf>
    <xf numFmtId="0" fontId="84" fillId="0" borderId="54" xfId="0" applyFont="1" applyBorder="1" applyAlignment="1">
      <alignment horizontal="center"/>
    </xf>
    <xf numFmtId="0" fontId="84" fillId="0" borderId="55" xfId="0" applyFont="1" applyBorder="1" applyAlignment="1">
      <alignment horizontal="center"/>
    </xf>
    <xf numFmtId="0" fontId="84" fillId="0" borderId="34" xfId="0" applyFont="1" applyBorder="1" applyAlignment="1">
      <alignment horizontal="center"/>
    </xf>
    <xf numFmtId="0" fontId="84" fillId="0" borderId="56" xfId="0" applyFont="1" applyBorder="1" applyAlignment="1">
      <alignment horizontal="center"/>
    </xf>
    <xf numFmtId="0" fontId="91" fillId="0" borderId="39" xfId="0" applyFont="1" applyBorder="1" applyAlignment="1">
      <alignment horizontal="center"/>
    </xf>
    <xf numFmtId="3" fontId="91" fillId="0" borderId="41" xfId="0" applyNumberFormat="1" applyFont="1" applyBorder="1" applyAlignment="1">
      <alignment horizontal="center"/>
    </xf>
    <xf numFmtId="3" fontId="91" fillId="0" borderId="51" xfId="0" applyNumberFormat="1" applyFont="1" applyBorder="1" applyAlignment="1">
      <alignment horizontal="right"/>
    </xf>
    <xf numFmtId="3" fontId="91" fillId="0" borderId="52" xfId="0" applyNumberFormat="1" applyFont="1" applyBorder="1" applyAlignment="1">
      <alignment horizontal="right"/>
    </xf>
    <xf numFmtId="3" fontId="91" fillId="0" borderId="84" xfId="0" applyNumberFormat="1" applyFont="1" applyBorder="1" applyAlignment="1">
      <alignment horizontal="right"/>
    </xf>
    <xf numFmtId="3" fontId="91" fillId="0" borderId="53" xfId="0" applyNumberFormat="1" applyFont="1" applyBorder="1" applyAlignment="1">
      <alignment horizontal="right"/>
    </xf>
    <xf numFmtId="0" fontId="91" fillId="0" borderId="42" xfId="0" applyFont="1" applyBorder="1"/>
    <xf numFmtId="0" fontId="91" fillId="0" borderId="44" xfId="0" applyFont="1" applyBorder="1"/>
    <xf numFmtId="0" fontId="91" fillId="0" borderId="43" xfId="0" applyFont="1" applyBorder="1"/>
    <xf numFmtId="0" fontId="91" fillId="0" borderId="65" xfId="0" applyFont="1" applyBorder="1"/>
    <xf numFmtId="0" fontId="91" fillId="0" borderId="43" xfId="0" applyFont="1" applyBorder="1" applyAlignment="1">
      <alignment horizontal="center"/>
    </xf>
    <xf numFmtId="0" fontId="91" fillId="0" borderId="44" xfId="0" applyFont="1" applyBorder="1" applyAlignment="1">
      <alignment horizontal="center"/>
    </xf>
    <xf numFmtId="0" fontId="91" fillId="0" borderId="48" xfId="0" applyFont="1" applyBorder="1"/>
    <xf numFmtId="0" fontId="91" fillId="0" borderId="50" xfId="0" applyFont="1" applyBorder="1"/>
    <xf numFmtId="0" fontId="91" fillId="0" borderId="49" xfId="0" applyFont="1" applyBorder="1"/>
    <xf numFmtId="0" fontId="91" fillId="0" borderId="70" xfId="0" applyFont="1" applyBorder="1"/>
    <xf numFmtId="0" fontId="91" fillId="0" borderId="49" xfId="0" applyFont="1" applyBorder="1" applyAlignment="1">
      <alignment horizontal="center"/>
    </xf>
    <xf numFmtId="0" fontId="91" fillId="0" borderId="50" xfId="0" applyFont="1" applyBorder="1" applyAlignment="1">
      <alignment horizontal="center"/>
    </xf>
    <xf numFmtId="0" fontId="93" fillId="0" borderId="0" xfId="0" applyFont="1"/>
    <xf numFmtId="0" fontId="94" fillId="0" borderId="0" xfId="0" applyFont="1"/>
    <xf numFmtId="0" fontId="95" fillId="0" borderId="0" xfId="0" applyFont="1" applyAlignment="1">
      <alignment horizontal="right"/>
    </xf>
    <xf numFmtId="0" fontId="84" fillId="0" borderId="0" xfId="0" applyFont="1" applyAlignment="1">
      <alignment horizontal="left"/>
    </xf>
    <xf numFmtId="0" fontId="53" fillId="0" borderId="0" xfId="0" applyFont="1" applyAlignment="1">
      <alignment horizontal="right"/>
    </xf>
    <xf numFmtId="58" fontId="53" fillId="0" borderId="99" xfId="0" applyNumberFormat="1" applyFont="1" applyBorder="1" applyAlignment="1">
      <alignment shrinkToFit="1"/>
    </xf>
    <xf numFmtId="58" fontId="53" fillId="0" borderId="0" xfId="0" applyNumberFormat="1" applyFont="1"/>
    <xf numFmtId="0" fontId="91" fillId="0" borderId="87" xfId="0" applyFont="1" applyBorder="1" applyAlignment="1">
      <alignment horizontal="center"/>
    </xf>
    <xf numFmtId="0" fontId="96" fillId="0" borderId="96" xfId="0" applyFont="1" applyBorder="1" applyAlignment="1">
      <alignment horizontal="center"/>
    </xf>
    <xf numFmtId="0" fontId="97" fillId="0" borderId="0" xfId="0" applyFont="1"/>
    <xf numFmtId="0" fontId="60" fillId="0" borderId="0" xfId="0" applyFont="1" applyAlignment="1">
      <alignment horizontal="right" vertical="center"/>
    </xf>
    <xf numFmtId="0" fontId="78" fillId="0" borderId="0" xfId="0" applyFont="1"/>
    <xf numFmtId="0" fontId="82" fillId="0" borderId="125" xfId="0" applyFont="1" applyBorder="1"/>
    <xf numFmtId="0" fontId="0" fillId="0" borderId="125" xfId="0" applyBorder="1"/>
    <xf numFmtId="0" fontId="77" fillId="0" borderId="99" xfId="0" applyFont="1" applyBorder="1" applyAlignment="1">
      <alignment horizontal="center"/>
    </xf>
    <xf numFmtId="0" fontId="0" fillId="0" borderId="99" xfId="0" applyBorder="1"/>
    <xf numFmtId="0" fontId="82" fillId="0" borderId="0" xfId="0" applyFont="1"/>
    <xf numFmtId="0" fontId="77" fillId="0" borderId="0" xfId="0" applyFont="1" applyAlignment="1">
      <alignment horizontal="left"/>
    </xf>
    <xf numFmtId="0" fontId="98" fillId="0" borderId="99" xfId="0" applyFont="1" applyBorder="1" applyAlignment="1">
      <alignment horizontal="center"/>
    </xf>
    <xf numFmtId="0" fontId="98" fillId="0" borderId="0" xfId="0" applyFont="1" applyAlignment="1">
      <alignment horizontal="left"/>
    </xf>
    <xf numFmtId="0" fontId="99" fillId="0" borderId="0" xfId="0" applyFont="1" applyAlignment="1">
      <alignment horizontal="center" vertical="center"/>
    </xf>
    <xf numFmtId="58" fontId="100" fillId="0" borderId="99" xfId="0" applyNumberFormat="1" applyFont="1" applyBorder="1" applyAlignment="1">
      <alignment horizontal="center"/>
    </xf>
    <xf numFmtId="4" fontId="100" fillId="0" borderId="99" xfId="0" applyNumberFormat="1" applyFont="1" applyBorder="1" applyAlignment="1">
      <alignment horizontal="center"/>
    </xf>
    <xf numFmtId="0" fontId="101" fillId="0" borderId="0" xfId="0" applyFont="1" applyAlignment="1">
      <alignment horizontal="left" vertical="center"/>
    </xf>
    <xf numFmtId="58" fontId="100" fillId="0" borderId="0" xfId="0" applyNumberFormat="1" applyFont="1"/>
    <xf numFmtId="58" fontId="100" fillId="0" borderId="99" xfId="0" applyNumberFormat="1" applyFont="1" applyBorder="1" applyAlignment="1">
      <alignment horizontal="left"/>
    </xf>
    <xf numFmtId="0" fontId="4" fillId="0" borderId="99" xfId="0" applyFont="1" applyBorder="1"/>
    <xf numFmtId="0" fontId="102" fillId="0" borderId="125" xfId="0" applyFont="1" applyBorder="1" applyAlignment="1">
      <alignment horizontal="center"/>
    </xf>
    <xf numFmtId="0" fontId="102" fillId="0" borderId="0" xfId="0" applyFont="1" applyAlignment="1">
      <alignment horizontal="center"/>
    </xf>
    <xf numFmtId="0" fontId="103" fillId="0" borderId="0" xfId="0" applyFont="1" applyAlignment="1">
      <alignment horizontal="right"/>
    </xf>
    <xf numFmtId="0" fontId="104" fillId="0" borderId="0" xfId="0" applyFont="1" applyAlignment="1">
      <alignment horizontal="justify"/>
    </xf>
    <xf numFmtId="0" fontId="105" fillId="0" borderId="0" xfId="0" applyFont="1" applyAlignment="1">
      <alignment horizontal="center"/>
    </xf>
    <xf numFmtId="0" fontId="106" fillId="0" borderId="0" xfId="0" applyFont="1" applyAlignment="1">
      <alignment horizontal="center"/>
    </xf>
    <xf numFmtId="0" fontId="104" fillId="0" borderId="0" xfId="0" applyFont="1" applyAlignment="1">
      <alignment horizontal="center"/>
    </xf>
    <xf numFmtId="0" fontId="104" fillId="0" borderId="0" xfId="0" applyFont="1" applyAlignment="1">
      <alignment horizontal="justify" vertical="top"/>
    </xf>
    <xf numFmtId="0" fontId="107" fillId="0" borderId="0" xfId="0" applyFont="1" applyAlignment="1">
      <alignment horizontal="justify"/>
    </xf>
    <xf numFmtId="0" fontId="108" fillId="0" borderId="0" xfId="0" applyFont="1" applyAlignment="1">
      <alignment horizontal="justify"/>
    </xf>
    <xf numFmtId="0" fontId="109" fillId="0" borderId="0" xfId="0" applyFont="1" applyAlignment="1">
      <alignment horizontal="justify"/>
    </xf>
    <xf numFmtId="0" fontId="104" fillId="9" borderId="0" xfId="0" applyFont="1" applyFill="1" applyAlignment="1">
      <alignment horizontal="right"/>
    </xf>
    <xf numFmtId="0" fontId="104" fillId="0" borderId="0" xfId="0" applyFont="1" applyAlignment="1">
      <alignment horizontal="justify" vertical="center"/>
    </xf>
    <xf numFmtId="0" fontId="104" fillId="9" borderId="0" xfId="0" applyFont="1" applyFill="1" applyAlignment="1">
      <alignment horizontal="left"/>
    </xf>
    <xf numFmtId="0" fontId="77" fillId="0" borderId="0" xfId="0" applyFont="1"/>
    <xf numFmtId="0" fontId="75" fillId="0" borderId="0" xfId="0" applyFont="1"/>
    <xf numFmtId="0" fontId="77" fillId="0" borderId="116" xfId="0" applyFont="1" applyBorder="1"/>
    <xf numFmtId="0" fontId="75" fillId="0" borderId="99" xfId="0" applyFont="1" applyBorder="1"/>
    <xf numFmtId="0" fontId="77" fillId="0" borderId="99" xfId="0" applyFont="1" applyBorder="1"/>
    <xf numFmtId="184" fontId="75" fillId="0" borderId="0" xfId="1" applyNumberFormat="1" applyFont="1" applyBorder="1"/>
    <xf numFmtId="185" fontId="75" fillId="0" borderId="0" xfId="1" applyNumberFormat="1" applyFont="1" applyBorder="1" applyAlignment="1"/>
    <xf numFmtId="0" fontId="77" fillId="0" borderId="125" xfId="0" applyFont="1" applyBorder="1"/>
    <xf numFmtId="0" fontId="110" fillId="0" borderId="0" xfId="0" applyFont="1"/>
    <xf numFmtId="0" fontId="110" fillId="0" borderId="0" xfId="0" applyFont="1" applyAlignment="1">
      <alignment horizontal="center" vertical="center"/>
    </xf>
    <xf numFmtId="0" fontId="111" fillId="0" borderId="0" xfId="0" applyFont="1" applyAlignment="1">
      <alignment horizontal="center" vertical="center"/>
    </xf>
    <xf numFmtId="0" fontId="111" fillId="0" borderId="0" xfId="0" applyFont="1"/>
    <xf numFmtId="0" fontId="111" fillId="0" borderId="65" xfId="0" applyFont="1" applyBorder="1" applyAlignment="1">
      <alignment horizontal="center" vertical="center"/>
    </xf>
    <xf numFmtId="0" fontId="111" fillId="0" borderId="63" xfId="0" applyFont="1" applyBorder="1" applyAlignment="1">
      <alignment horizontal="center" vertical="center"/>
    </xf>
    <xf numFmtId="0" fontId="111" fillId="0" borderId="64" xfId="0" applyFont="1" applyBorder="1" applyAlignment="1">
      <alignment horizontal="center" vertical="center"/>
    </xf>
    <xf numFmtId="0" fontId="112" fillId="0" borderId="75" xfId="0" applyFont="1" applyBorder="1" applyAlignment="1">
      <alignment horizontal="center" vertical="center" textRotation="90"/>
    </xf>
    <xf numFmtId="0" fontId="112" fillId="0" borderId="74" xfId="0" applyFont="1" applyBorder="1" applyAlignment="1">
      <alignment horizontal="center" vertical="center" textRotation="90"/>
    </xf>
    <xf numFmtId="0" fontId="112" fillId="0" borderId="65" xfId="0" applyFont="1" applyBorder="1"/>
    <xf numFmtId="0" fontId="111" fillId="0" borderId="63" xfId="0" applyFont="1" applyBorder="1"/>
    <xf numFmtId="0" fontId="98" fillId="0" borderId="63" xfId="0" applyFont="1" applyBorder="1" applyAlignment="1">
      <alignment horizontal="left" shrinkToFit="1"/>
    </xf>
    <xf numFmtId="0" fontId="98" fillId="0" borderId="64" xfId="0" applyFont="1" applyBorder="1" applyAlignment="1">
      <alignment horizontal="left" shrinkToFit="1"/>
    </xf>
    <xf numFmtId="0" fontId="112" fillId="0" borderId="65" xfId="0" applyFont="1" applyBorder="1" applyAlignment="1">
      <alignment horizontal="center" vertical="center"/>
    </xf>
    <xf numFmtId="0" fontId="112" fillId="0" borderId="63" xfId="0" applyFont="1" applyBorder="1" applyAlignment="1">
      <alignment horizontal="center" vertical="center"/>
    </xf>
    <xf numFmtId="0" fontId="112" fillId="0" borderId="64" xfId="0" applyFont="1" applyBorder="1" applyAlignment="1">
      <alignment horizontal="center" vertical="center"/>
    </xf>
    <xf numFmtId="0" fontId="112" fillId="0" borderId="90" xfId="0" applyFont="1" applyBorder="1" applyAlignment="1">
      <alignment horizontal="center" vertical="center" wrapText="1" shrinkToFit="1"/>
    </xf>
    <xf numFmtId="0" fontId="112" fillId="0" borderId="0" xfId="0" applyFont="1" applyAlignment="1">
      <alignment horizontal="center" vertical="center" wrapText="1" shrinkToFit="1"/>
    </xf>
    <xf numFmtId="0" fontId="112" fillId="0" borderId="91" xfId="0" applyFont="1" applyBorder="1" applyAlignment="1">
      <alignment horizontal="center" vertical="center" wrapText="1" shrinkToFit="1"/>
    </xf>
    <xf numFmtId="0" fontId="112" fillId="0" borderId="90" xfId="0" applyFont="1" applyBorder="1" applyAlignment="1">
      <alignment horizontal="center" vertical="center" textRotation="90"/>
    </xf>
    <xf numFmtId="0" fontId="112" fillId="0" borderId="91" xfId="0" applyFont="1" applyBorder="1" applyAlignment="1">
      <alignment horizontal="center" vertical="center" textRotation="90"/>
    </xf>
    <xf numFmtId="0" fontId="111" fillId="0" borderId="73" xfId="0" applyFont="1" applyBorder="1"/>
    <xf numFmtId="0" fontId="98" fillId="0" borderId="73" xfId="0" applyFont="1" applyBorder="1" applyAlignment="1">
      <alignment horizontal="center" shrinkToFit="1"/>
    </xf>
    <xf numFmtId="0" fontId="98" fillId="0" borderId="73" xfId="0" applyFont="1" applyBorder="1" applyAlignment="1">
      <alignment horizontal="left" shrinkToFit="1"/>
    </xf>
    <xf numFmtId="0" fontId="98" fillId="0" borderId="90" xfId="0" applyFont="1" applyBorder="1" applyAlignment="1">
      <alignment horizontal="left" shrinkToFit="1"/>
    </xf>
    <xf numFmtId="0" fontId="111" fillId="0" borderId="91" xfId="0" applyFont="1" applyBorder="1"/>
    <xf numFmtId="0" fontId="112" fillId="0" borderId="75" xfId="0" applyFont="1" applyBorder="1"/>
    <xf numFmtId="49" fontId="98" fillId="0" borderId="73" xfId="0" applyNumberFormat="1" applyFont="1" applyBorder="1" applyAlignment="1">
      <alignment horizontal="left" wrapText="1"/>
    </xf>
    <xf numFmtId="49" fontId="98" fillId="0" borderId="74" xfId="0" applyNumberFormat="1" applyFont="1" applyBorder="1" applyAlignment="1">
      <alignment horizontal="left" wrapText="1"/>
    </xf>
    <xf numFmtId="0" fontId="112" fillId="0" borderId="84" xfId="0" applyFont="1" applyBorder="1"/>
    <xf numFmtId="0" fontId="111" fillId="0" borderId="29" xfId="0" applyFont="1" applyBorder="1"/>
    <xf numFmtId="49" fontId="98" fillId="0" borderId="29" xfId="0" applyNumberFormat="1" applyFont="1" applyBorder="1" applyAlignment="1">
      <alignment horizontal="left" wrapText="1"/>
    </xf>
    <xf numFmtId="49" fontId="98" fillId="0" borderId="83" xfId="0" applyNumberFormat="1" applyFont="1" applyBorder="1" applyAlignment="1">
      <alignment horizontal="left" wrapText="1"/>
    </xf>
    <xf numFmtId="0" fontId="98" fillId="0" borderId="90" xfId="0" applyFont="1" applyBorder="1" applyAlignment="1">
      <alignment shrinkToFit="1"/>
    </xf>
    <xf numFmtId="0" fontId="112" fillId="0" borderId="90" xfId="0" applyFont="1" applyBorder="1" applyAlignment="1">
      <alignment horizontal="center" vertical="center" shrinkToFit="1"/>
    </xf>
    <xf numFmtId="0" fontId="112" fillId="0" borderId="0" xfId="0" applyFont="1" applyAlignment="1">
      <alignment horizontal="center" vertical="center" shrinkToFit="1"/>
    </xf>
    <xf numFmtId="0" fontId="112" fillId="0" borderId="91" xfId="0" applyFont="1" applyBorder="1" applyAlignment="1">
      <alignment horizontal="center" vertical="center" shrinkToFit="1"/>
    </xf>
    <xf numFmtId="0" fontId="98" fillId="0" borderId="73" xfId="0" applyFont="1" applyBorder="1" applyAlignment="1">
      <alignment horizontal="left" wrapText="1"/>
    </xf>
    <xf numFmtId="0" fontId="98" fillId="0" borderId="74" xfId="0" applyFont="1" applyBorder="1" applyAlignment="1">
      <alignment horizontal="left" wrapText="1"/>
    </xf>
    <xf numFmtId="0" fontId="112" fillId="0" borderId="84" xfId="0" applyFont="1" applyBorder="1" applyAlignment="1">
      <alignment horizontal="center" vertical="center" textRotation="90"/>
    </xf>
    <xf numFmtId="0" fontId="112" fillId="0" borderId="83" xfId="0" applyFont="1" applyBorder="1" applyAlignment="1">
      <alignment horizontal="center" vertical="center" textRotation="90"/>
    </xf>
    <xf numFmtId="0" fontId="98" fillId="0" borderId="29" xfId="0" applyFont="1" applyBorder="1" applyAlignment="1">
      <alignment horizontal="left" wrapText="1"/>
    </xf>
    <xf numFmtId="0" fontId="98" fillId="0" borderId="83" xfId="0" applyFont="1" applyBorder="1" applyAlignment="1">
      <alignment horizontal="left" wrapText="1"/>
    </xf>
    <xf numFmtId="0" fontId="98" fillId="0" borderId="84" xfId="0" applyFont="1" applyBorder="1" applyAlignment="1">
      <alignment shrinkToFit="1"/>
    </xf>
    <xf numFmtId="0" fontId="111" fillId="0" borderId="83" xfId="0" applyFont="1" applyBorder="1"/>
    <xf numFmtId="0" fontId="113" fillId="0" borderId="128" xfId="0" applyFont="1" applyBorder="1" applyAlignment="1">
      <alignment horizontal="center" vertical="center"/>
    </xf>
    <xf numFmtId="0" fontId="114" fillId="0" borderId="129" xfId="0" applyFont="1" applyBorder="1" applyAlignment="1">
      <alignment horizontal="center"/>
    </xf>
    <xf numFmtId="0" fontId="115" fillId="0" borderId="0" xfId="0" applyFont="1" applyAlignment="1">
      <alignment horizontal="right" vertical="center"/>
    </xf>
    <xf numFmtId="0" fontId="115" fillId="0" borderId="0" xfId="0" applyFont="1" applyAlignment="1">
      <alignment vertical="center"/>
    </xf>
    <xf numFmtId="0" fontId="98" fillId="18" borderId="84" xfId="0" applyFont="1" applyFill="1" applyBorder="1" applyAlignment="1">
      <alignment horizontal="center"/>
    </xf>
    <xf numFmtId="0" fontId="98" fillId="18" borderId="83" xfId="0" applyFont="1" applyFill="1" applyBorder="1" applyAlignment="1">
      <alignment horizontal="center"/>
    </xf>
    <xf numFmtId="0" fontId="98" fillId="18" borderId="29" xfId="0" applyFont="1" applyFill="1" applyBorder="1" applyAlignment="1">
      <alignment horizontal="center"/>
    </xf>
    <xf numFmtId="0" fontId="115" fillId="0" borderId="90" xfId="0" applyFont="1" applyBorder="1" applyAlignment="1">
      <alignment horizontal="center" vertical="center"/>
    </xf>
    <xf numFmtId="0" fontId="115" fillId="0" borderId="0" xfId="0" applyFont="1" applyAlignment="1">
      <alignment horizontal="center" vertical="center"/>
    </xf>
    <xf numFmtId="0" fontId="115" fillId="0" borderId="91" xfId="0" applyFont="1" applyBorder="1" applyAlignment="1">
      <alignment horizontal="center" vertical="center"/>
    </xf>
    <xf numFmtId="0" fontId="110" fillId="0" borderId="75" xfId="0" applyFont="1" applyBorder="1"/>
    <xf numFmtId="0" fontId="110" fillId="0" borderId="73" xfId="0" applyFont="1" applyBorder="1"/>
    <xf numFmtId="0" fontId="110" fillId="0" borderId="74" xfId="0" applyFont="1" applyBorder="1"/>
    <xf numFmtId="0" fontId="110" fillId="0" borderId="90" xfId="0" applyFont="1" applyBorder="1"/>
    <xf numFmtId="0" fontId="110" fillId="0" borderId="91" xfId="0" applyFont="1" applyBorder="1"/>
    <xf numFmtId="0" fontId="110" fillId="0" borderId="84" xfId="0" applyFont="1" applyBorder="1"/>
    <xf numFmtId="0" fontId="110" fillId="0" borderId="29" xfId="0" applyFont="1" applyBorder="1"/>
    <xf numFmtId="0" fontId="110" fillId="0" borderId="83" xfId="0" applyFont="1" applyBorder="1"/>
    <xf numFmtId="0" fontId="110" fillId="9" borderId="65" xfId="0" applyFont="1" applyFill="1" applyBorder="1" applyAlignment="1">
      <alignment horizontal="center" vertical="center" wrapText="1"/>
    </xf>
    <xf numFmtId="0" fontId="110" fillId="9" borderId="63" xfId="0" applyFont="1" applyFill="1" applyBorder="1" applyAlignment="1">
      <alignment horizontal="center" vertical="center" wrapText="1"/>
    </xf>
    <xf numFmtId="0" fontId="110" fillId="9" borderId="64" xfId="0" applyFont="1" applyFill="1" applyBorder="1" applyAlignment="1">
      <alignment horizontal="center" vertical="center" wrapText="1"/>
    </xf>
    <xf numFmtId="0" fontId="110" fillId="9" borderId="43" xfId="0" applyFont="1" applyFill="1" applyBorder="1" applyAlignment="1">
      <alignment horizontal="center" vertical="center" wrapText="1"/>
    </xf>
    <xf numFmtId="0" fontId="110" fillId="0" borderId="43" xfId="0" applyFont="1" applyBorder="1" applyAlignment="1">
      <alignment horizontal="center" vertical="center" shrinkToFit="1"/>
    </xf>
    <xf numFmtId="0" fontId="115" fillId="0" borderId="43" xfId="0" applyFont="1" applyBorder="1" applyAlignment="1">
      <alignment horizontal="center" vertical="center" shrinkToFit="1"/>
    </xf>
    <xf numFmtId="3" fontId="115" fillId="0" borderId="43" xfId="0" applyNumberFormat="1" applyFont="1" applyBorder="1" applyAlignment="1">
      <alignment horizontal="right" vertical="center" shrinkToFit="1"/>
    </xf>
    <xf numFmtId="0" fontId="115" fillId="0" borderId="75" xfId="0" applyFont="1" applyBorder="1" applyAlignment="1">
      <alignment horizontal="center" vertical="center" textRotation="90"/>
    </xf>
    <xf numFmtId="0" fontId="115" fillId="0" borderId="73" xfId="0" applyFont="1" applyBorder="1" applyAlignment="1">
      <alignment horizontal="center" vertical="center" textRotation="90"/>
    </xf>
    <xf numFmtId="0" fontId="112" fillId="0" borderId="130" xfId="0" applyFont="1" applyBorder="1" applyAlignment="1">
      <alignment horizontal="left" vertical="center" textRotation="90" shrinkToFit="1"/>
    </xf>
    <xf numFmtId="0" fontId="112" fillId="0" borderId="131" xfId="0" applyFont="1" applyBorder="1" applyAlignment="1">
      <alignment horizontal="left" vertical="center" textRotation="90" shrinkToFit="1"/>
    </xf>
    <xf numFmtId="0" fontId="112" fillId="0" borderId="73" xfId="0" applyFont="1" applyBorder="1" applyAlignment="1">
      <alignment horizontal="left" shrinkToFit="1"/>
    </xf>
    <xf numFmtId="0" fontId="112" fillId="0" borderId="74" xfId="0" applyFont="1" applyBorder="1" applyAlignment="1">
      <alignment horizontal="left" shrinkToFit="1"/>
    </xf>
    <xf numFmtId="0" fontId="115" fillId="0" borderId="90" xfId="0" applyFont="1" applyBorder="1" applyAlignment="1">
      <alignment horizontal="center" vertical="center" textRotation="90"/>
    </xf>
    <xf numFmtId="0" fontId="115" fillId="0" borderId="0" xfId="0" applyFont="1" applyAlignment="1">
      <alignment horizontal="center" vertical="center" textRotation="90"/>
    </xf>
    <xf numFmtId="0" fontId="112" fillId="0" borderId="132" xfId="0" applyFont="1" applyBorder="1" applyAlignment="1">
      <alignment horizontal="left" vertical="center" textRotation="90" shrinkToFit="1"/>
    </xf>
    <xf numFmtId="0" fontId="112" fillId="0" borderId="133" xfId="0" applyFont="1" applyBorder="1" applyAlignment="1">
      <alignment horizontal="left" vertical="center" textRotation="90" shrinkToFit="1"/>
    </xf>
    <xf numFmtId="0" fontId="112" fillId="0" borderId="0" xfId="0" applyFont="1" applyAlignment="1">
      <alignment horizontal="left" shrinkToFit="1"/>
    </xf>
    <xf numFmtId="0" fontId="112" fillId="0" borderId="91" xfId="0" applyFont="1" applyBorder="1" applyAlignment="1">
      <alignment horizontal="left" shrinkToFit="1"/>
    </xf>
    <xf numFmtId="0" fontId="111" fillId="0" borderId="91" xfId="0" applyFont="1" applyBorder="1" applyAlignment="1">
      <alignment horizontal="center" vertical="center"/>
    </xf>
    <xf numFmtId="0" fontId="116" fillId="0" borderId="90" xfId="0" applyFont="1" applyBorder="1" applyAlignment="1">
      <alignment horizontal="center" shrinkToFit="1"/>
    </xf>
    <xf numFmtId="0" fontId="116" fillId="0" borderId="0" xfId="0" applyFont="1" applyAlignment="1">
      <alignment horizontal="center" shrinkToFit="1"/>
    </xf>
    <xf numFmtId="0" fontId="116" fillId="0" borderId="91" xfId="0" applyFont="1" applyBorder="1" applyAlignment="1">
      <alignment horizontal="center" shrinkToFit="1"/>
    </xf>
    <xf numFmtId="0" fontId="111" fillId="0" borderId="90" xfId="0" applyFont="1" applyBorder="1" applyAlignment="1">
      <alignment horizontal="center" vertical="center"/>
    </xf>
    <xf numFmtId="0" fontId="116" fillId="0" borderId="29" xfId="0" applyFont="1" applyBorder="1" applyAlignment="1">
      <alignment horizontal="left" vertical="center"/>
    </xf>
    <xf numFmtId="0" fontId="111" fillId="0" borderId="29" xfId="0" applyFont="1" applyBorder="1" applyAlignment="1">
      <alignment horizontal="center" vertical="center"/>
    </xf>
    <xf numFmtId="0" fontId="111" fillId="0" borderId="83" xfId="0" applyFont="1" applyBorder="1" applyAlignment="1">
      <alignment horizontal="center" vertical="center"/>
    </xf>
    <xf numFmtId="0" fontId="116" fillId="0" borderId="84" xfId="0" applyFont="1" applyBorder="1" applyAlignment="1">
      <alignment horizontal="center" shrinkToFit="1"/>
    </xf>
    <xf numFmtId="0" fontId="116" fillId="0" borderId="29" xfId="0" applyFont="1" applyBorder="1" applyAlignment="1">
      <alignment horizontal="center" shrinkToFit="1"/>
    </xf>
    <xf numFmtId="0" fontId="116" fillId="0" borderId="83" xfId="0" applyFont="1" applyBorder="1" applyAlignment="1">
      <alignment horizontal="center" shrinkToFit="1"/>
    </xf>
    <xf numFmtId="0" fontId="116" fillId="0" borderId="84" xfId="0" applyFont="1" applyBorder="1" applyAlignment="1">
      <alignment horizontal="center" vertical="center"/>
    </xf>
    <xf numFmtId="0" fontId="116" fillId="0" borderId="29" xfId="0" applyFont="1" applyBorder="1" applyAlignment="1">
      <alignment horizontal="center" vertical="center"/>
    </xf>
    <xf numFmtId="0" fontId="116" fillId="0" borderId="83" xfId="0" applyFont="1" applyBorder="1" applyAlignment="1">
      <alignment horizontal="center" vertical="center"/>
    </xf>
    <xf numFmtId="0" fontId="112" fillId="0" borderId="73" xfId="0" applyFont="1" applyBorder="1" applyAlignment="1">
      <alignment horizontal="center" vertical="top"/>
    </xf>
    <xf numFmtId="0" fontId="112" fillId="0" borderId="74" xfId="0" applyFont="1" applyBorder="1" applyAlignment="1">
      <alignment horizontal="center" vertical="top"/>
    </xf>
    <xf numFmtId="0" fontId="112" fillId="0" borderId="134" xfId="0" applyFont="1" applyBorder="1" applyAlignment="1">
      <alignment horizontal="center" vertical="top"/>
    </xf>
    <xf numFmtId="0" fontId="112" fillId="0" borderId="0" xfId="0" applyFont="1" applyAlignment="1">
      <alignment horizontal="center" vertical="top"/>
    </xf>
    <xf numFmtId="0" fontId="112" fillId="0" borderId="91" xfId="0" applyFont="1" applyBorder="1" applyAlignment="1">
      <alignment horizontal="center" vertical="top"/>
    </xf>
    <xf numFmtId="0" fontId="112" fillId="0" borderId="135" xfId="0" applyFont="1" applyBorder="1" applyAlignment="1">
      <alignment horizontal="left" vertical="center" textRotation="90" shrinkToFit="1"/>
    </xf>
    <xf numFmtId="0" fontId="112" fillId="0" borderId="136" xfId="0" applyFont="1" applyBorder="1" applyAlignment="1">
      <alignment horizontal="right" vertical="center" textRotation="90" shrinkToFit="1"/>
    </xf>
    <xf numFmtId="0" fontId="111" fillId="0" borderId="137" xfId="0" applyFont="1" applyBorder="1" applyAlignment="1">
      <alignment horizontal="center" vertical="center"/>
    </xf>
    <xf numFmtId="0" fontId="111" fillId="0" borderId="138" xfId="0" applyFont="1" applyBorder="1" applyAlignment="1">
      <alignment horizontal="center" vertical="center"/>
    </xf>
    <xf numFmtId="0" fontId="112" fillId="0" borderId="133" xfId="0" applyFont="1" applyBorder="1" applyAlignment="1">
      <alignment horizontal="right" vertical="center" textRotation="90" shrinkToFit="1"/>
    </xf>
    <xf numFmtId="0" fontId="115" fillId="0" borderId="84" xfId="0" applyFont="1" applyBorder="1" applyAlignment="1">
      <alignment horizontal="center" vertical="center" textRotation="90"/>
    </xf>
    <xf numFmtId="0" fontId="115" fillId="0" borderId="29" xfId="0" applyFont="1" applyBorder="1" applyAlignment="1">
      <alignment horizontal="center" vertical="center" textRotation="90"/>
    </xf>
    <xf numFmtId="0" fontId="112" fillId="0" borderId="139" xfId="0" applyFont="1" applyBorder="1" applyAlignment="1">
      <alignment horizontal="left" vertical="center" textRotation="90" shrinkToFit="1"/>
    </xf>
    <xf numFmtId="0" fontId="112" fillId="0" borderId="140" xfId="0" applyFont="1" applyBorder="1" applyAlignment="1">
      <alignment horizontal="right" vertical="center" textRotation="90" shrinkToFit="1"/>
    </xf>
    <xf numFmtId="0" fontId="112" fillId="0" borderId="29" xfId="0" applyFont="1" applyBorder="1" applyAlignment="1">
      <alignment horizontal="center" vertical="top"/>
    </xf>
    <xf numFmtId="0" fontId="112" fillId="0" borderId="83" xfId="0" applyFont="1" applyBorder="1" applyAlignment="1">
      <alignment horizontal="center" vertical="top"/>
    </xf>
    <xf numFmtId="0" fontId="110" fillId="0" borderId="0" xfId="0" applyFont="1" applyAlignment="1">
      <alignment vertical="center"/>
    </xf>
    <xf numFmtId="0" fontId="117" fillId="0" borderId="75" xfId="0" applyFont="1" applyBorder="1" applyAlignment="1">
      <alignment vertical="center"/>
    </xf>
    <xf numFmtId="0" fontId="111" fillId="0" borderId="90" xfId="0" applyFont="1" applyBorder="1"/>
    <xf numFmtId="0" fontId="116" fillId="0" borderId="0" xfId="0" applyFont="1" applyAlignment="1">
      <alignment horizontal="left" wrapText="1"/>
    </xf>
    <xf numFmtId="0" fontId="115" fillId="0" borderId="75" xfId="0" applyFont="1" applyBorder="1" applyAlignment="1">
      <alignment horizontal="center" vertical="center"/>
    </xf>
    <xf numFmtId="0" fontId="115" fillId="0" borderId="73" xfId="0" applyFont="1" applyBorder="1" applyAlignment="1">
      <alignment horizontal="center" vertical="center"/>
    </xf>
    <xf numFmtId="0" fontId="115" fillId="0" borderId="74" xfId="0" applyFont="1" applyBorder="1" applyAlignment="1">
      <alignment horizontal="center" vertical="center"/>
    </xf>
    <xf numFmtId="0" fontId="111" fillId="0" borderId="43" xfId="0" applyFont="1" applyBorder="1" applyAlignment="1">
      <alignment horizontal="center" vertical="center"/>
    </xf>
    <xf numFmtId="0" fontId="115" fillId="0" borderId="84" xfId="0" applyFont="1" applyBorder="1" applyAlignment="1">
      <alignment horizontal="center" vertical="center"/>
    </xf>
    <xf numFmtId="0" fontId="115" fillId="0" borderId="29" xfId="0" applyFont="1" applyBorder="1" applyAlignment="1">
      <alignment horizontal="center" vertical="center"/>
    </xf>
    <xf numFmtId="0" fontId="115" fillId="0" borderId="83" xfId="0" applyFont="1" applyBorder="1" applyAlignment="1">
      <alignment horizontal="center" vertical="center"/>
    </xf>
    <xf numFmtId="0" fontId="116" fillId="0" borderId="0" xfId="0" applyFont="1"/>
    <xf numFmtId="0" fontId="116" fillId="0" borderId="65" xfId="0" applyFont="1" applyBorder="1" applyAlignment="1">
      <alignment horizontal="left"/>
    </xf>
    <xf numFmtId="0" fontId="116" fillId="0" borderId="63" xfId="0" applyFont="1" applyBorder="1" applyAlignment="1">
      <alignment horizontal="left"/>
    </xf>
    <xf numFmtId="0" fontId="116" fillId="0" borderId="64" xfId="0" applyFont="1" applyBorder="1" applyAlignment="1">
      <alignment horizontal="left"/>
    </xf>
    <xf numFmtId="182" fontId="116" fillId="0" borderId="65" xfId="1" applyNumberFormat="1" applyFont="1" applyFill="1" applyBorder="1" applyAlignment="1">
      <alignment horizontal="right" vertical="center" shrinkToFit="1"/>
    </xf>
    <xf numFmtId="182" fontId="116" fillId="0" borderId="63" xfId="1" applyNumberFormat="1" applyFont="1" applyFill="1" applyBorder="1" applyAlignment="1">
      <alignment horizontal="right" vertical="center" shrinkToFit="1"/>
    </xf>
    <xf numFmtId="182" fontId="116" fillId="0" borderId="64" xfId="1" applyNumberFormat="1" applyFont="1" applyFill="1" applyBorder="1" applyAlignment="1">
      <alignment horizontal="right" vertical="center" shrinkToFit="1"/>
    </xf>
    <xf numFmtId="0" fontId="111" fillId="0" borderId="84" xfId="0" applyFont="1" applyBorder="1"/>
    <xf numFmtId="0" fontId="117" fillId="0" borderId="75" xfId="0" applyFont="1" applyBorder="1"/>
    <xf numFmtId="0" fontId="110" fillId="9" borderId="75" xfId="0" applyFont="1" applyFill="1" applyBorder="1" applyAlignment="1">
      <alignment horizontal="center" vertical="center"/>
    </xf>
    <xf numFmtId="0" fontId="110" fillId="9" borderId="73" xfId="0" applyFont="1" applyFill="1" applyBorder="1" applyAlignment="1">
      <alignment horizontal="center" vertical="center"/>
    </xf>
    <xf numFmtId="0" fontId="110" fillId="9" borderId="74" xfId="0" applyFont="1" applyFill="1" applyBorder="1" applyAlignment="1">
      <alignment horizontal="center" vertical="center"/>
    </xf>
    <xf numFmtId="0" fontId="110" fillId="9" borderId="43" xfId="0" applyFont="1" applyFill="1" applyBorder="1" applyAlignment="1">
      <alignment horizontal="center" vertical="center" shrinkToFit="1"/>
    </xf>
    <xf numFmtId="0" fontId="110" fillId="9" borderId="84" xfId="0" applyFont="1" applyFill="1" applyBorder="1" applyAlignment="1">
      <alignment horizontal="center" vertical="center"/>
    </xf>
    <xf numFmtId="0" fontId="110" fillId="9" borderId="29" xfId="0" applyFont="1" applyFill="1" applyBorder="1" applyAlignment="1">
      <alignment horizontal="center" vertical="center"/>
    </xf>
    <xf numFmtId="0" fontId="110" fillId="9" borderId="83" xfId="0" applyFont="1" applyFill="1" applyBorder="1" applyAlignment="1">
      <alignment horizontal="center" vertical="center"/>
    </xf>
    <xf numFmtId="0" fontId="110" fillId="9" borderId="65" xfId="0" applyFont="1" applyFill="1" applyBorder="1" applyAlignment="1">
      <alignment horizontal="center" vertical="center" shrinkToFit="1"/>
    </xf>
    <xf numFmtId="0" fontId="110" fillId="9" borderId="63" xfId="0" applyFont="1" applyFill="1" applyBorder="1" applyAlignment="1">
      <alignment horizontal="center" vertical="center" shrinkToFit="1"/>
    </xf>
    <xf numFmtId="0" fontId="110" fillId="9" borderId="64" xfId="0" applyFont="1" applyFill="1" applyBorder="1" applyAlignment="1">
      <alignment horizontal="center" vertical="center" shrinkToFit="1"/>
    </xf>
    <xf numFmtId="0" fontId="110" fillId="0" borderId="65" xfId="0" applyFont="1" applyBorder="1" applyAlignment="1">
      <alignment horizontal="left"/>
    </xf>
    <xf numFmtId="0" fontId="110" fillId="0" borderId="63" xfId="0" applyFont="1" applyBorder="1" applyAlignment="1">
      <alignment horizontal="left"/>
    </xf>
    <xf numFmtId="0" fontId="110" fillId="0" borderId="64" xfId="0" applyFont="1" applyBorder="1" applyAlignment="1">
      <alignment horizontal="left"/>
    </xf>
    <xf numFmtId="182" fontId="116" fillId="16" borderId="43" xfId="1" applyNumberFormat="1" applyFont="1" applyFill="1" applyBorder="1" applyAlignment="1">
      <alignment horizontal="right" vertical="center" shrinkToFit="1"/>
    </xf>
    <xf numFmtId="182" fontId="116" fillId="16" borderId="52" xfId="1" applyNumberFormat="1" applyFont="1" applyFill="1" applyBorder="1" applyAlignment="1">
      <alignment horizontal="right" vertical="center" shrinkToFit="1"/>
    </xf>
    <xf numFmtId="182" fontId="116" fillId="0" borderId="43" xfId="1" applyNumberFormat="1" applyFont="1" applyFill="1" applyBorder="1" applyAlignment="1">
      <alignment horizontal="right" vertical="center" shrinkToFit="1"/>
    </xf>
    <xf numFmtId="0" fontId="116" fillId="0" borderId="90" xfId="0" applyFont="1" applyBorder="1"/>
    <xf numFmtId="0" fontId="111" fillId="9" borderId="43" xfId="0" applyFont="1" applyFill="1" applyBorder="1" applyAlignment="1">
      <alignment horizontal="center" vertical="center"/>
    </xf>
    <xf numFmtId="182" fontId="116" fillId="16" borderId="43" xfId="1" applyNumberFormat="1" applyFont="1" applyFill="1" applyBorder="1" applyAlignment="1">
      <alignment horizontal="right" vertical="center"/>
    </xf>
    <xf numFmtId="0" fontId="116" fillId="0" borderId="84" xfId="0" applyFont="1" applyBorder="1"/>
    <xf numFmtId="0" fontId="116" fillId="0" borderId="29" xfId="0" applyFont="1" applyBorder="1"/>
    <xf numFmtId="0" fontId="110" fillId="0" borderId="90" xfId="0" applyFont="1" applyBorder="1" applyAlignment="1">
      <alignment horizontal="center" vertical="center"/>
    </xf>
    <xf numFmtId="0" fontId="110" fillId="9" borderId="43" xfId="0" applyFont="1" applyFill="1" applyBorder="1" applyAlignment="1">
      <alignment horizontal="center" vertical="center" wrapText="1" shrinkToFit="1"/>
    </xf>
    <xf numFmtId="182" fontId="110" fillId="0" borderId="43" xfId="1" applyNumberFormat="1" applyFont="1" applyFill="1" applyBorder="1" applyAlignment="1">
      <alignment horizontal="left" vertical="center" shrinkToFit="1"/>
    </xf>
    <xf numFmtId="182" fontId="110" fillId="0" borderId="65" xfId="1" applyNumberFormat="1" applyFont="1" applyFill="1" applyBorder="1" applyAlignment="1">
      <alignment horizontal="right" vertical="center" shrinkToFit="1"/>
    </xf>
    <xf numFmtId="182" fontId="110" fillId="0" borderId="63" xfId="1" applyNumberFormat="1" applyFont="1" applyFill="1" applyBorder="1" applyAlignment="1">
      <alignment horizontal="right" vertical="center" shrinkToFit="1"/>
    </xf>
    <xf numFmtId="182" fontId="110" fillId="0" borderId="64" xfId="1" applyNumberFormat="1" applyFont="1" applyFill="1" applyBorder="1" applyAlignment="1">
      <alignment horizontal="right" vertical="center" shrinkToFit="1"/>
    </xf>
    <xf numFmtId="182" fontId="110" fillId="0" borderId="43" xfId="1" applyNumberFormat="1" applyFont="1" applyFill="1" applyBorder="1" applyAlignment="1">
      <alignment horizontal="right" vertical="center" shrinkToFit="1"/>
    </xf>
    <xf numFmtId="0" fontId="110" fillId="0" borderId="65" xfId="0" applyFont="1" applyBorder="1" applyAlignment="1">
      <alignment horizontal="center" vertical="center" shrinkToFit="1"/>
    </xf>
    <xf numFmtId="182" fontId="115" fillId="0" borderId="63" xfId="1" applyNumberFormat="1" applyFont="1" applyFill="1" applyBorder="1" applyAlignment="1">
      <alignment horizontal="center" vertical="center" shrinkToFit="1"/>
    </xf>
    <xf numFmtId="182" fontId="115" fillId="0" borderId="64" xfId="1" applyNumberFormat="1" applyFont="1" applyFill="1" applyBorder="1" applyAlignment="1">
      <alignment horizontal="center" vertical="center" shrinkToFit="1"/>
    </xf>
    <xf numFmtId="182" fontId="110" fillId="0" borderId="0" xfId="1" applyNumberFormat="1" applyFont="1" applyBorder="1"/>
    <xf numFmtId="182" fontId="110" fillId="0" borderId="91" xfId="1" applyNumberFormat="1" applyFont="1" applyBorder="1"/>
    <xf numFmtId="0" fontId="98" fillId="0" borderId="63" xfId="0" applyFont="1" applyBorder="1" applyAlignment="1">
      <alignment horizontal="center" shrinkToFit="1"/>
    </xf>
    <xf numFmtId="49" fontId="98" fillId="0" borderId="73" xfId="0" applyNumberFormat="1" applyFont="1" applyBorder="1" applyAlignment="1">
      <alignment wrapText="1" shrinkToFit="1"/>
    </xf>
    <xf numFmtId="49" fontId="98" fillId="0" borderId="74" xfId="0" applyNumberFormat="1" applyFont="1" applyBorder="1" applyAlignment="1">
      <alignment wrapText="1" shrinkToFit="1"/>
    </xf>
    <xf numFmtId="49" fontId="98" fillId="0" borderId="29" xfId="0" applyNumberFormat="1" applyFont="1" applyBorder="1" applyAlignment="1">
      <alignment wrapText="1" shrinkToFit="1"/>
    </xf>
    <xf numFmtId="49" fontId="98" fillId="0" borderId="83" xfId="0" applyNumberFormat="1" applyFont="1" applyBorder="1" applyAlignment="1">
      <alignment wrapText="1" shrinkToFit="1"/>
    </xf>
    <xf numFmtId="0" fontId="98" fillId="0" borderId="73" xfId="0" applyFont="1" applyBorder="1" applyAlignment="1">
      <alignment wrapText="1" shrinkToFit="1"/>
    </xf>
    <xf numFmtId="0" fontId="98" fillId="0" borderId="74" xfId="0" applyFont="1" applyBorder="1" applyAlignment="1">
      <alignment wrapText="1" shrinkToFit="1"/>
    </xf>
    <xf numFmtId="0" fontId="98" fillId="0" borderId="29" xfId="0" applyFont="1" applyBorder="1" applyAlignment="1">
      <alignment wrapText="1" shrinkToFit="1"/>
    </xf>
    <xf numFmtId="0" fontId="98" fillId="0" borderId="83" xfId="0" applyFont="1" applyBorder="1" applyAlignment="1">
      <alignment wrapText="1" shrinkToFit="1"/>
    </xf>
    <xf numFmtId="182" fontId="110" fillId="16" borderId="52" xfId="1" applyNumberFormat="1" applyFont="1" applyFill="1" applyBorder="1" applyAlignment="1">
      <alignment horizontal="right" vertical="center" shrinkToFit="1"/>
    </xf>
    <xf numFmtId="182" fontId="110" fillId="16" borderId="43" xfId="1" applyNumberFormat="1" applyFont="1" applyFill="1" applyBorder="1" applyAlignment="1">
      <alignment horizontal="right" vertical="center" shrinkToFit="1"/>
    </xf>
    <xf numFmtId="182" fontId="110" fillId="16" borderId="43" xfId="1" applyNumberFormat="1" applyFont="1" applyFill="1" applyBorder="1" applyAlignment="1">
      <alignment horizontal="right" vertical="center"/>
    </xf>
    <xf numFmtId="43" fontId="110" fillId="0" borderId="43" xfId="1" applyFont="1" applyFill="1" applyBorder="1" applyAlignment="1">
      <alignment horizontal="left" vertical="center" shrinkToFit="1"/>
    </xf>
    <xf numFmtId="43" fontId="110" fillId="0" borderId="65" xfId="1" applyFont="1" applyFill="1" applyBorder="1" applyAlignment="1">
      <alignment horizontal="right" vertical="center" shrinkToFit="1"/>
    </xf>
    <xf numFmtId="43" fontId="110" fillId="0" borderId="63" xfId="1" applyFont="1" applyFill="1" applyBorder="1" applyAlignment="1">
      <alignment horizontal="right" vertical="center" shrinkToFit="1"/>
    </xf>
    <xf numFmtId="43" fontId="110" fillId="0" borderId="64" xfId="1" applyFont="1" applyFill="1" applyBorder="1" applyAlignment="1">
      <alignment horizontal="right" vertical="center" shrinkToFit="1"/>
    </xf>
    <xf numFmtId="43" fontId="110" fillId="0" borderId="43" xfId="1" applyFont="1" applyFill="1" applyBorder="1" applyAlignment="1">
      <alignment horizontal="right" vertical="center" shrinkToFit="1"/>
    </xf>
    <xf numFmtId="43" fontId="115" fillId="0" borderId="63" xfId="1" applyFont="1" applyFill="1" applyBorder="1" applyAlignment="1">
      <alignment horizontal="center" vertical="center" shrinkToFit="1"/>
    </xf>
    <xf numFmtId="43" fontId="115" fillId="0" borderId="64" xfId="1" applyFont="1" applyFill="1" applyBorder="1" applyAlignment="1">
      <alignment horizontal="center" vertical="center" shrinkToFit="1"/>
    </xf>
    <xf numFmtId="43" fontId="110" fillId="0" borderId="0" xfId="1" applyFont="1" applyBorder="1"/>
    <xf numFmtId="43" fontId="110" fillId="0" borderId="91" xfId="1" applyFont="1" applyBorder="1"/>
    <xf numFmtId="0" fontId="118" fillId="0" borderId="0" xfId="0" applyFont="1"/>
    <xf numFmtId="0" fontId="119" fillId="0" borderId="0" xfId="0" applyFont="1" applyAlignment="1">
      <alignment vertical="top"/>
    </xf>
    <xf numFmtId="0" fontId="120" fillId="0" borderId="0" xfId="0" applyFont="1"/>
    <xf numFmtId="0" fontId="119" fillId="0" borderId="0" xfId="0" applyFont="1"/>
    <xf numFmtId="0" fontId="121" fillId="0" borderId="0" xfId="0" applyFont="1" applyAlignment="1">
      <alignment vertical="top"/>
    </xf>
    <xf numFmtId="0" fontId="121" fillId="0" borderId="0" xfId="0" applyFont="1" applyAlignment="1">
      <alignment horizontal="right" vertical="top"/>
    </xf>
    <xf numFmtId="0" fontId="122" fillId="0" borderId="0" xfId="0" applyFont="1"/>
    <xf numFmtId="0" fontId="120" fillId="0" borderId="0" xfId="0" applyFont="1" applyAlignment="1">
      <alignment horizontal="center"/>
    </xf>
    <xf numFmtId="0" fontId="120" fillId="0" borderId="0" xfId="0" applyFont="1" applyAlignment="1">
      <alignment horizontal="right"/>
    </xf>
    <xf numFmtId="0" fontId="123" fillId="0" borderId="0" xfId="0" applyFont="1"/>
    <xf numFmtId="0" fontId="120" fillId="0" borderId="0" xfId="0" applyFont="1" applyAlignment="1">
      <alignment horizontal="left"/>
    </xf>
    <xf numFmtId="0" fontId="120" fillId="0" borderId="0" xfId="0" applyFont="1" applyAlignment="1">
      <alignment horizontal="left" vertical="top" wrapText="1"/>
    </xf>
    <xf numFmtId="0" fontId="120" fillId="0" borderId="0" xfId="0" applyFont="1" applyAlignment="1">
      <alignment vertical="top" wrapText="1"/>
    </xf>
    <xf numFmtId="49" fontId="119" fillId="0" borderId="0" xfId="0" applyNumberFormat="1" applyFont="1" applyAlignment="1">
      <alignment horizontal="left"/>
    </xf>
    <xf numFmtId="0" fontId="124" fillId="0" borderId="0" xfId="0" applyFont="1" applyAlignment="1">
      <alignment horizontal="center"/>
    </xf>
    <xf numFmtId="0" fontId="125" fillId="0" borderId="0" xfId="0" applyFont="1" applyAlignment="1">
      <alignment horizontal="center"/>
    </xf>
    <xf numFmtId="0" fontId="126" fillId="0" borderId="0" xfId="0" applyFont="1" applyAlignment="1">
      <alignment horizontal="center"/>
    </xf>
    <xf numFmtId="0" fontId="127" fillId="0" borderId="0" xfId="0" applyFont="1" applyAlignment="1">
      <alignment horizontal="center"/>
    </xf>
    <xf numFmtId="0" fontId="128" fillId="0" borderId="0" xfId="0" applyFont="1" applyAlignment="1">
      <alignment horizontal="center"/>
    </xf>
    <xf numFmtId="0" fontId="128" fillId="0" borderId="0" xfId="0" applyFont="1"/>
    <xf numFmtId="0" fontId="129" fillId="0" borderId="0" xfId="0" applyFont="1"/>
    <xf numFmtId="0" fontId="130" fillId="0" borderId="0" xfId="0" applyFont="1"/>
    <xf numFmtId="0" fontId="39" fillId="0" borderId="99" xfId="0" applyFont="1" applyBorder="1"/>
    <xf numFmtId="49" fontId="131" fillId="0" borderId="99" xfId="0" applyNumberFormat="1" applyFont="1" applyBorder="1" applyAlignment="1">
      <alignment horizontal="left"/>
    </xf>
    <xf numFmtId="0" fontId="131" fillId="0" borderId="99" xfId="0" applyFont="1" applyBorder="1" applyAlignment="1">
      <alignment horizontal="left"/>
    </xf>
    <xf numFmtId="49" fontId="82" fillId="0" borderId="0" xfId="0" applyNumberFormat="1" applyFont="1" applyAlignment="1">
      <alignment horizontal="center"/>
    </xf>
    <xf numFmtId="0" fontId="131" fillId="0" borderId="0" xfId="0" applyFont="1" applyAlignment="1">
      <alignment horizontal="center"/>
    </xf>
    <xf numFmtId="49" fontId="131" fillId="0" borderId="100" xfId="0" applyNumberFormat="1" applyFont="1" applyBorder="1" applyAlignment="1">
      <alignment horizontal="left"/>
    </xf>
    <xf numFmtId="0" fontId="131" fillId="0" borderId="100" xfId="0" applyFont="1" applyBorder="1" applyAlignment="1">
      <alignment horizontal="left"/>
    </xf>
    <xf numFmtId="0" fontId="132" fillId="19" borderId="0" xfId="0" applyFont="1" applyFill="1"/>
    <xf numFmtId="0" fontId="12" fillId="19" borderId="0" xfId="0" applyFont="1" applyFill="1"/>
    <xf numFmtId="0" fontId="2" fillId="19" borderId="0" xfId="0" applyFont="1" applyFill="1"/>
    <xf numFmtId="0" fontId="133" fillId="0" borderId="0" xfId="0" applyFont="1"/>
    <xf numFmtId="0" fontId="1" fillId="0" borderId="0" xfId="0" applyFont="1" applyAlignment="1">
      <alignment horizontal="justify"/>
    </xf>
    <xf numFmtId="0" fontId="1" fillId="0" borderId="0" xfId="0" applyFont="1" applyAlignment="1">
      <alignment horizontal="left"/>
    </xf>
    <xf numFmtId="0" fontId="134" fillId="0" borderId="0" xfId="0" applyFont="1"/>
    <xf numFmtId="0" fontId="39" fillId="20" borderId="101" xfId="0" applyFont="1" applyFill="1" applyBorder="1"/>
    <xf numFmtId="0" fontId="134" fillId="20" borderId="104" xfId="0" applyFont="1" applyFill="1" applyBorder="1" applyAlignment="1">
      <alignment horizontal="center"/>
    </xf>
    <xf numFmtId="0" fontId="22" fillId="20" borderId="104" xfId="0" applyFont="1" applyFill="1" applyBorder="1" applyAlignment="1">
      <alignment horizontal="center"/>
    </xf>
    <xf numFmtId="0" fontId="0" fillId="20" borderId="104" xfId="0" applyFill="1" applyBorder="1" applyAlignment="1">
      <alignment horizontal="center"/>
    </xf>
    <xf numFmtId="0" fontId="0" fillId="20" borderId="141" xfId="0" applyFill="1" applyBorder="1" applyAlignment="1">
      <alignment horizontal="center"/>
    </xf>
    <xf numFmtId="0" fontId="39" fillId="20" borderId="142" xfId="0" applyFont="1" applyFill="1" applyBorder="1"/>
    <xf numFmtId="0" fontId="11" fillId="20" borderId="143" xfId="0" applyFont="1" applyFill="1" applyBorder="1" applyAlignment="1">
      <alignment horizontal="center"/>
    </xf>
    <xf numFmtId="0" fontId="11" fillId="20" borderId="127" xfId="0" applyFont="1" applyFill="1" applyBorder="1" applyAlignment="1">
      <alignment horizontal="center"/>
    </xf>
    <xf numFmtId="0" fontId="0" fillId="20" borderId="127" xfId="0" applyFill="1" applyBorder="1" applyAlignment="1">
      <alignment horizontal="center"/>
    </xf>
    <xf numFmtId="0" fontId="0" fillId="20" borderId="143" xfId="0" applyFill="1" applyBorder="1" applyAlignment="1">
      <alignment horizontal="center"/>
    </xf>
    <xf numFmtId="0" fontId="0" fillId="20" borderId="144" xfId="0" applyFill="1" applyBorder="1" applyAlignment="1">
      <alignment horizontal="center"/>
    </xf>
    <xf numFmtId="0" fontId="135" fillId="20" borderId="113" xfId="0" applyFont="1" applyFill="1" applyBorder="1" applyAlignment="1">
      <alignment horizontal="center"/>
    </xf>
    <xf numFmtId="0" fontId="135" fillId="20" borderId="114" xfId="0" applyFont="1" applyFill="1" applyBorder="1" applyAlignment="1">
      <alignment horizontal="center"/>
    </xf>
    <xf numFmtId="0" fontId="39" fillId="20" borderId="114" xfId="0" applyFont="1" applyFill="1" applyBorder="1" applyAlignment="1">
      <alignment horizontal="center"/>
    </xf>
    <xf numFmtId="0" fontId="39" fillId="20" borderId="115" xfId="0" applyFont="1" applyFill="1" applyBorder="1" applyAlignment="1">
      <alignment horizontal="center"/>
    </xf>
    <xf numFmtId="0" fontId="11" fillId="0" borderId="145" xfId="0" applyFont="1" applyBorder="1"/>
    <xf numFmtId="0" fontId="11" fillId="0" borderId="146" xfId="0" applyFont="1" applyBorder="1" applyAlignment="1" applyProtection="1">
      <alignment horizontal="left"/>
      <protection locked="0"/>
    </xf>
    <xf numFmtId="0" fontId="134" fillId="0" borderId="146" xfId="0" applyFont="1" applyBorder="1"/>
    <xf numFmtId="0" fontId="11" fillId="0" borderId="146" xfId="0" applyFont="1" applyBorder="1"/>
    <xf numFmtId="0" fontId="44" fillId="0" borderId="146" xfId="0" applyFont="1" applyBorder="1" applyAlignment="1">
      <alignment horizontal="center"/>
    </xf>
    <xf numFmtId="0" fontId="44" fillId="0" borderId="147" xfId="0" applyFont="1" applyBorder="1" applyAlignment="1">
      <alignment horizontal="center"/>
    </xf>
    <xf numFmtId="182" fontId="11" fillId="0" borderId="148" xfId="1" applyNumberFormat="1" applyFont="1" applyFill="1" applyBorder="1" applyAlignment="1" applyProtection="1">
      <alignment horizontal="center"/>
      <protection locked="0"/>
    </xf>
    <xf numFmtId="183" fontId="11" fillId="0" borderId="122" xfId="1" applyNumberFormat="1" applyFont="1" applyFill="1" applyBorder="1" applyAlignment="1">
      <alignment horizontal="right"/>
    </xf>
    <xf numFmtId="183" fontId="11" fillId="0" borderId="148" xfId="1" applyNumberFormat="1" applyFont="1" applyBorder="1" applyAlignment="1">
      <alignment horizontal="right"/>
    </xf>
    <xf numFmtId="182" fontId="11" fillId="0" borderId="148" xfId="1" applyNumberFormat="1" applyFont="1" applyBorder="1" applyAlignment="1">
      <alignment horizontal="center"/>
    </xf>
    <xf numFmtId="182" fontId="11" fillId="0" borderId="149" xfId="1" applyNumberFormat="1" applyFont="1" applyBorder="1" applyAlignment="1">
      <alignment horizontal="center"/>
    </xf>
    <xf numFmtId="0" fontId="11" fillId="0" borderId="119" xfId="0" applyFont="1" applyBorder="1"/>
    <xf numFmtId="0" fontId="11" fillId="0" borderId="100" xfId="0" applyFont="1" applyBorder="1" applyAlignment="1" applyProtection="1">
      <alignment horizontal="left"/>
      <protection locked="0"/>
    </xf>
    <xf numFmtId="0" fontId="134" fillId="0" borderId="100" xfId="0" applyFont="1" applyBorder="1"/>
    <xf numFmtId="0" fontId="11" fillId="0" borderId="100" xfId="0" applyFont="1" applyBorder="1"/>
    <xf numFmtId="0" fontId="44" fillId="0" borderId="100" xfId="0" applyFont="1" applyBorder="1" applyAlignment="1">
      <alignment horizontal="center"/>
    </xf>
    <xf numFmtId="0" fontId="44" fillId="0" borderId="123" xfId="0" applyFont="1" applyBorder="1" applyAlignment="1">
      <alignment horizontal="center"/>
    </xf>
    <xf numFmtId="182" fontId="11" fillId="0" borderId="122" xfId="1" applyNumberFormat="1" applyFont="1" applyFill="1" applyBorder="1" applyAlignment="1" applyProtection="1">
      <alignment horizontal="center"/>
      <protection locked="0"/>
    </xf>
    <xf numFmtId="183" fontId="11" fillId="0" borderId="122" xfId="1" applyNumberFormat="1" applyFont="1" applyBorder="1" applyAlignment="1">
      <alignment horizontal="right"/>
    </xf>
    <xf numFmtId="182" fontId="11" fillId="0" borderId="122" xfId="1" applyNumberFormat="1" applyFont="1" applyBorder="1" applyAlignment="1">
      <alignment horizontal="center"/>
    </xf>
    <xf numFmtId="182" fontId="11" fillId="0" borderId="150" xfId="1" applyNumberFormat="1" applyFont="1" applyBorder="1" applyAlignment="1">
      <alignment horizontal="center"/>
    </xf>
    <xf numFmtId="0" fontId="22" fillId="0" borderId="113" xfId="0" applyFont="1" applyBorder="1"/>
    <xf numFmtId="0" fontId="22" fillId="0" borderId="63" xfId="0" applyFont="1" applyBorder="1" applyAlignment="1" applyProtection="1">
      <alignment horizontal="left"/>
      <protection locked="0"/>
    </xf>
    <xf numFmtId="0" fontId="134" fillId="0" borderId="63" xfId="0" applyFont="1" applyBorder="1"/>
    <xf numFmtId="0" fontId="0" fillId="0" borderId="63" xfId="0" applyBorder="1"/>
    <xf numFmtId="0" fontId="0" fillId="0" borderId="151" xfId="0" applyBorder="1"/>
    <xf numFmtId="182" fontId="22" fillId="0" borderId="114" xfId="1" applyNumberFormat="1" applyFont="1" applyFill="1" applyBorder="1" applyAlignment="1" applyProtection="1">
      <alignment horizontal="center"/>
      <protection locked="0"/>
    </xf>
    <xf numFmtId="183" fontId="11" fillId="0" borderId="114" xfId="1" applyNumberFormat="1" applyFont="1" applyFill="1" applyBorder="1" applyAlignment="1">
      <alignment horizontal="right"/>
    </xf>
    <xf numFmtId="183" fontId="11" fillId="0" borderId="114" xfId="1" applyNumberFormat="1" applyFont="1" applyBorder="1" applyAlignment="1">
      <alignment horizontal="right"/>
    </xf>
    <xf numFmtId="182" fontId="0" fillId="0" borderId="114" xfId="1" applyNumberFormat="1" applyFont="1" applyBorder="1" applyAlignment="1">
      <alignment horizontal="center"/>
    </xf>
    <xf numFmtId="182" fontId="0" fillId="0" borderId="115" xfId="1" applyNumberFormat="1" applyFont="1" applyBorder="1" applyAlignment="1">
      <alignment horizontal="center"/>
    </xf>
    <xf numFmtId="182" fontId="136" fillId="0" borderId="0" xfId="1" applyNumberFormat="1" applyFont="1" applyFill="1" applyBorder="1" applyAlignment="1" applyProtection="1">
      <alignment horizontal="center"/>
      <protection locked="0"/>
    </xf>
    <xf numFmtId="0" fontId="137" fillId="0" borderId="0" xfId="0" applyFont="1"/>
    <xf numFmtId="0" fontId="136" fillId="0" borderId="0" xfId="0" applyFont="1"/>
    <xf numFmtId="186" fontId="136" fillId="0" borderId="0" xfId="1" applyNumberFormat="1" applyFont="1" applyFill="1" applyAlignment="1">
      <alignment horizontal="center"/>
    </xf>
    <xf numFmtId="182" fontId="0" fillId="0" borderId="0" xfId="0" applyNumberFormat="1"/>
    <xf numFmtId="0" fontId="74" fillId="20" borderId="75" xfId="0" applyFont="1" applyFill="1" applyBorder="1"/>
    <xf numFmtId="0" fontId="74" fillId="20" borderId="75" xfId="0" applyFont="1" applyFill="1" applyBorder="1" applyAlignment="1">
      <alignment horizontal="center" vertical="center"/>
    </xf>
    <xf numFmtId="0" fontId="74" fillId="20" borderId="73" xfId="0" applyFont="1" applyFill="1" applyBorder="1" applyAlignment="1">
      <alignment horizontal="center" vertical="center"/>
    </xf>
    <xf numFmtId="0" fontId="74" fillId="20" borderId="74" xfId="0" applyFont="1" applyFill="1" applyBorder="1" applyAlignment="1">
      <alignment horizontal="center" vertical="center"/>
    </xf>
    <xf numFmtId="0" fontId="138" fillId="20" borderId="103" xfId="0" applyFont="1" applyFill="1" applyBorder="1" applyAlignment="1">
      <alignment horizontal="center"/>
    </xf>
    <xf numFmtId="0" fontId="138" fillId="20" borderId="104" xfId="0" applyFont="1" applyFill="1" applyBorder="1" applyAlignment="1">
      <alignment horizontal="center"/>
    </xf>
    <xf numFmtId="0" fontId="138" fillId="20" borderId="141" xfId="0" applyFont="1" applyFill="1" applyBorder="1" applyAlignment="1">
      <alignment horizontal="center"/>
    </xf>
    <xf numFmtId="0" fontId="74" fillId="20" borderId="84" xfId="0" applyFont="1" applyFill="1" applyBorder="1"/>
    <xf numFmtId="0" fontId="74" fillId="20" borderId="84" xfId="0" applyFont="1" applyFill="1" applyBorder="1" applyAlignment="1">
      <alignment horizontal="center" vertical="center"/>
    </xf>
    <xf numFmtId="0" fontId="74" fillId="20" borderId="29" xfId="0" applyFont="1" applyFill="1" applyBorder="1" applyAlignment="1">
      <alignment horizontal="center" vertical="center"/>
    </xf>
    <xf numFmtId="0" fontId="74" fillId="20" borderId="83" xfId="0" applyFont="1" applyFill="1" applyBorder="1" applyAlignment="1">
      <alignment horizontal="center" vertical="center"/>
    </xf>
    <xf numFmtId="0" fontId="74" fillId="20" borderId="152" xfId="0" applyFont="1" applyFill="1" applyBorder="1" applyAlignment="1">
      <alignment horizontal="center"/>
    </xf>
    <xf numFmtId="0" fontId="74" fillId="20" borderId="43" xfId="0" applyFont="1" applyFill="1" applyBorder="1" applyAlignment="1">
      <alignment horizontal="center"/>
    </xf>
    <xf numFmtId="0" fontId="74" fillId="0" borderId="153" xfId="0" applyFont="1" applyBorder="1" applyAlignment="1">
      <alignment horizontal="center"/>
    </xf>
    <xf numFmtId="0" fontId="74" fillId="0" borderId="154" xfId="0" applyFont="1" applyBorder="1" applyAlignment="1">
      <alignment horizontal="left"/>
    </xf>
    <xf numFmtId="182" fontId="74" fillId="0" borderId="153" xfId="1" applyNumberFormat="1" applyFont="1" applyFill="1" applyBorder="1" applyAlignment="1" applyProtection="1">
      <alignment horizontal="center"/>
      <protection locked="0"/>
    </xf>
    <xf numFmtId="183" fontId="74" fillId="0" borderId="154" xfId="1" applyNumberFormat="1" applyFont="1" applyBorder="1" applyAlignment="1">
      <alignment horizontal="right"/>
    </xf>
    <xf numFmtId="0" fontId="74" fillId="0" borderId="154" xfId="0" applyFont="1" applyBorder="1" applyAlignment="1">
      <alignment horizontal="center"/>
    </xf>
    <xf numFmtId="182" fontId="74" fillId="0" borderId="154" xfId="1" applyNumberFormat="1" applyFont="1" applyFill="1" applyBorder="1" applyAlignment="1" applyProtection="1">
      <alignment horizontal="center"/>
      <protection locked="0"/>
    </xf>
    <xf numFmtId="0" fontId="74" fillId="0" borderId="152" xfId="0" applyFont="1" applyBorder="1" applyAlignment="1">
      <alignment horizontal="center"/>
    </xf>
    <xf numFmtId="182" fontId="74" fillId="0" borderId="155" xfId="1" applyNumberFormat="1" applyFont="1" applyFill="1" applyBorder="1" applyAlignment="1" applyProtection="1">
      <alignment horizontal="center"/>
      <protection locked="0"/>
    </xf>
    <xf numFmtId="183" fontId="74" fillId="0" borderId="155" xfId="1" applyNumberFormat="1" applyFont="1" applyBorder="1" applyAlignment="1">
      <alignment horizontal="right"/>
    </xf>
    <xf numFmtId="0" fontId="138" fillId="0" borderId="43" xfId="0" applyFont="1" applyBorder="1" applyAlignment="1">
      <alignment horizontal="center"/>
    </xf>
    <xf numFmtId="0" fontId="138" fillId="0" borderId="43" xfId="0" applyFont="1" applyBorder="1" applyAlignment="1">
      <alignment horizontal="left"/>
    </xf>
    <xf numFmtId="182" fontId="138" fillId="0" borderId="43" xfId="1" applyNumberFormat="1" applyFont="1" applyFill="1" applyBorder="1" applyAlignment="1" applyProtection="1">
      <alignment horizontal="center"/>
      <protection locked="0"/>
    </xf>
    <xf numFmtId="183" fontId="74" fillId="0" borderId="43" xfId="1" applyNumberFormat="1" applyFont="1" applyBorder="1" applyAlignment="1">
      <alignment horizontal="right"/>
    </xf>
    <xf numFmtId="0" fontId="138" fillId="0" borderId="0" xfId="0" applyFont="1"/>
    <xf numFmtId="0" fontId="138" fillId="0" borderId="0" xfId="0" applyFont="1" applyAlignment="1">
      <alignment horizontal="left"/>
    </xf>
    <xf numFmtId="182" fontId="138" fillId="0" borderId="0" xfId="1" applyNumberFormat="1" applyFont="1" applyFill="1" applyBorder="1" applyAlignment="1" applyProtection="1">
      <alignment horizontal="center"/>
      <protection locked="0"/>
    </xf>
    <xf numFmtId="186" fontId="74" fillId="0" borderId="0" xfId="1" applyNumberFormat="1" applyFont="1" applyBorder="1" applyAlignment="1">
      <alignment horizontal="center"/>
    </xf>
    <xf numFmtId="0" fontId="4" fillId="0" borderId="0" xfId="0" applyFont="1" applyAlignment="1">
      <alignment horizontal="justify"/>
    </xf>
    <xf numFmtId="0" fontId="22" fillId="20" borderId="156" xfId="0" applyFont="1" applyFill="1" applyBorder="1" applyAlignment="1">
      <alignment horizontal="center"/>
    </xf>
    <xf numFmtId="0" fontId="22" fillId="20" borderId="146" xfId="0" applyFont="1" applyFill="1" applyBorder="1" applyAlignment="1">
      <alignment horizontal="center"/>
    </xf>
    <xf numFmtId="0" fontId="22" fillId="20" borderId="147" xfId="0" applyFont="1" applyFill="1" applyBorder="1" applyAlignment="1">
      <alignment horizontal="center"/>
    </xf>
    <xf numFmtId="183" fontId="11" fillId="0" borderId="148" xfId="1" applyNumberFormat="1" applyFont="1" applyFill="1" applyBorder="1" applyAlignment="1">
      <alignment horizontal="right"/>
    </xf>
    <xf numFmtId="182" fontId="74" fillId="0" borderId="43" xfId="1" applyNumberFormat="1" applyFont="1" applyFill="1" applyBorder="1" applyAlignment="1" applyProtection="1">
      <alignment horizontal="center"/>
      <protection locked="0"/>
    </xf>
    <xf numFmtId="0" fontId="139" fillId="0" borderId="0" xfId="0" applyFont="1"/>
    <xf numFmtId="49" fontId="4" fillId="0" borderId="126" xfId="0" applyNumberFormat="1" applyFont="1" applyBorder="1" applyAlignment="1">
      <alignment horizontal="center"/>
    </xf>
    <xf numFmtId="49" fontId="4" fillId="0" borderId="127" xfId="0" applyNumberFormat="1" applyFont="1" applyBorder="1" applyAlignment="1">
      <alignment horizontal="center"/>
    </xf>
    <xf numFmtId="0" fontId="11" fillId="0" borderId="127" xfId="0" applyFont="1" applyBorder="1" applyAlignment="1">
      <alignment horizontal="left"/>
    </xf>
    <xf numFmtId="0" fontId="4" fillId="0" borderId="127" xfId="0" applyFont="1" applyBorder="1" applyAlignment="1">
      <alignment horizontal="center"/>
    </xf>
    <xf numFmtId="182" fontId="4" fillId="0" borderId="127" xfId="1" applyNumberFormat="1" applyFont="1" applyFill="1" applyBorder="1" applyAlignment="1">
      <alignment horizontal="center"/>
    </xf>
    <xf numFmtId="49" fontId="4" fillId="0" borderId="0" xfId="0" applyNumberFormat="1" applyFont="1" applyAlignment="1">
      <alignment horizontal="center"/>
    </xf>
    <xf numFmtId="182" fontId="4" fillId="0" borderId="0" xfId="1" applyNumberFormat="1" applyFont="1" applyFill="1" applyBorder="1" applyAlignment="1">
      <alignment horizontal="center"/>
    </xf>
    <xf numFmtId="0" fontId="1" fillId="0" borderId="0" xfId="0" applyFont="1" applyAlignment="1">
      <alignment horizontal="justify" vertical="center"/>
    </xf>
    <xf numFmtId="0" fontId="60" fillId="0" borderId="0" xfId="0" applyFont="1" applyAlignment="1" applyProtection="1">
      <alignment horizontal="left"/>
      <protection locked="0"/>
    </xf>
    <xf numFmtId="0" fontId="138" fillId="20" borderId="75" xfId="0" applyFont="1" applyFill="1" applyBorder="1" applyAlignment="1">
      <alignment horizontal="center"/>
    </xf>
    <xf numFmtId="0" fontId="138" fillId="20" borderId="73" xfId="0" applyFont="1" applyFill="1" applyBorder="1" applyAlignment="1">
      <alignment horizontal="center"/>
    </xf>
    <xf numFmtId="0" fontId="138" fillId="20" borderId="74" xfId="0" applyFont="1" applyFill="1" applyBorder="1" applyAlignment="1">
      <alignment horizontal="center"/>
    </xf>
    <xf numFmtId="0" fontId="74" fillId="0" borderId="153" xfId="0" applyFont="1" applyBorder="1" applyAlignment="1">
      <alignment horizontal="left"/>
    </xf>
    <xf numFmtId="183" fontId="74" fillId="0" borderId="153" xfId="1" applyNumberFormat="1" applyFont="1" applyBorder="1" applyAlignment="1">
      <alignment horizontal="right"/>
    </xf>
    <xf numFmtId="0" fontId="74" fillId="0" borderId="152" xfId="0" applyFont="1" applyBorder="1" applyAlignment="1">
      <alignment horizontal="left"/>
    </xf>
    <xf numFmtId="0" fontId="138" fillId="20" borderId="46" xfId="0" applyFont="1" applyFill="1" applyBorder="1" applyAlignment="1">
      <alignment horizontal="center"/>
    </xf>
    <xf numFmtId="0" fontId="138" fillId="20" borderId="46" xfId="0" applyFont="1" applyFill="1" applyBorder="1" applyAlignment="1">
      <alignment horizontal="left"/>
    </xf>
    <xf numFmtId="182" fontId="138" fillId="0" borderId="157" xfId="1" applyNumberFormat="1" applyFont="1" applyFill="1" applyBorder="1" applyAlignment="1" applyProtection="1">
      <alignment horizontal="center"/>
      <protection locked="0"/>
    </xf>
    <xf numFmtId="183" fontId="138" fillId="0" borderId="157" xfId="1" applyNumberFormat="1" applyFont="1" applyBorder="1" applyAlignment="1">
      <alignment horizontal="right"/>
    </xf>
    <xf numFmtId="0" fontId="74" fillId="0" borderId="158" xfId="0" applyFont="1" applyBorder="1" applyAlignment="1">
      <alignment horizontal="center"/>
    </xf>
    <xf numFmtId="0" fontId="74" fillId="0" borderId="158" xfId="0" applyFont="1" applyBorder="1" applyAlignment="1">
      <alignment horizontal="left"/>
    </xf>
    <xf numFmtId="182" fontId="74" fillId="0" borderId="159" xfId="1" applyNumberFormat="1" applyFont="1" applyFill="1" applyBorder="1" applyAlignment="1" applyProtection="1">
      <alignment horizontal="center"/>
      <protection locked="0"/>
    </xf>
    <xf numFmtId="183" fontId="74" fillId="0" borderId="159" xfId="1" applyNumberFormat="1" applyFont="1" applyBorder="1" applyAlignment="1">
      <alignment horizontal="right"/>
    </xf>
    <xf numFmtId="0" fontId="74" fillId="0" borderId="46" xfId="0" applyFont="1" applyBorder="1" applyAlignment="1">
      <alignment horizontal="center"/>
    </xf>
    <xf numFmtId="0" fontId="74" fillId="0" borderId="46" xfId="0" applyFont="1" applyBorder="1" applyAlignment="1">
      <alignment horizontal="left"/>
    </xf>
    <xf numFmtId="0" fontId="138" fillId="21" borderId="46" xfId="0" applyFont="1" applyFill="1" applyBorder="1" applyAlignment="1">
      <alignment horizontal="center"/>
    </xf>
    <xf numFmtId="0" fontId="138" fillId="21" borderId="46" xfId="0" applyFont="1" applyFill="1" applyBorder="1" applyAlignment="1">
      <alignment horizontal="left"/>
    </xf>
    <xf numFmtId="0" fontId="138" fillId="20" borderId="160" xfId="0" applyFont="1" applyFill="1" applyBorder="1" applyAlignment="1">
      <alignment horizontal="center"/>
    </xf>
    <xf numFmtId="0" fontId="138" fillId="20" borderId="160" xfId="0" applyFont="1" applyFill="1" applyBorder="1" applyAlignment="1">
      <alignment horizontal="left"/>
    </xf>
    <xf numFmtId="182" fontId="138" fillId="20" borderId="160" xfId="1" applyNumberFormat="1" applyFont="1" applyFill="1" applyBorder="1" applyAlignment="1" applyProtection="1">
      <alignment horizontal="center"/>
      <protection locked="0"/>
    </xf>
    <xf numFmtId="183" fontId="138" fillId="20" borderId="160" xfId="1" applyNumberFormat="1" applyFont="1" applyFill="1" applyBorder="1" applyAlignment="1">
      <alignment horizontal="right"/>
    </xf>
    <xf numFmtId="182" fontId="74" fillId="0" borderId="73" xfId="1" applyNumberFormat="1" applyFont="1" applyFill="1" applyBorder="1" applyAlignment="1" applyProtection="1">
      <alignment horizontal="center"/>
      <protection locked="0"/>
    </xf>
    <xf numFmtId="0" fontId="22" fillId="0" borderId="101" xfId="0" applyFont="1" applyBorder="1"/>
    <xf numFmtId="0" fontId="22" fillId="0" borderId="0" xfId="0" applyFont="1" applyAlignment="1" applyProtection="1">
      <alignment horizontal="left"/>
      <protection locked="0"/>
    </xf>
    <xf numFmtId="0" fontId="134" fillId="0" borderId="73" xfId="0" applyFont="1" applyBorder="1"/>
    <xf numFmtId="0" fontId="0" fillId="0" borderId="73" xfId="0" applyBorder="1"/>
    <xf numFmtId="0" fontId="0" fillId="0" borderId="103" xfId="0" applyBorder="1"/>
    <xf numFmtId="183" fontId="0" fillId="0" borderId="156" xfId="1" applyNumberFormat="1" applyFont="1" applyBorder="1" applyAlignment="1">
      <alignment horizontal="right"/>
    </xf>
    <xf numFmtId="183" fontId="0" fillId="0" borderId="146" xfId="1" applyNumberFormat="1" applyFont="1" applyBorder="1" applyAlignment="1">
      <alignment horizontal="right"/>
    </xf>
    <xf numFmtId="183" fontId="0" fillId="0" borderId="147" xfId="1" applyNumberFormat="1" applyFont="1" applyBorder="1" applyAlignment="1">
      <alignment horizontal="right"/>
    </xf>
    <xf numFmtId="182" fontId="22" fillId="0" borderId="161" xfId="1" applyNumberFormat="1" applyFont="1" applyFill="1" applyBorder="1" applyAlignment="1" applyProtection="1">
      <alignment horizontal="center"/>
      <protection locked="0"/>
    </xf>
    <xf numFmtId="182" fontId="22" fillId="0" borderId="63" xfId="1" applyNumberFormat="1" applyFont="1" applyFill="1" applyBorder="1" applyAlignment="1" applyProtection="1">
      <alignment horizontal="center"/>
      <protection locked="0"/>
    </xf>
    <xf numFmtId="182" fontId="22" fillId="0" borderId="151" xfId="1" applyNumberFormat="1" applyFont="1" applyFill="1" applyBorder="1" applyAlignment="1" applyProtection="1">
      <alignment horizontal="center"/>
      <protection locked="0"/>
    </xf>
    <xf numFmtId="183" fontId="11" fillId="0" borderId="156" xfId="1" applyNumberFormat="1" applyFont="1" applyBorder="1" applyAlignment="1">
      <alignment horizontal="right"/>
    </xf>
    <xf numFmtId="183" fontId="11" fillId="0" borderId="146" xfId="1" applyNumberFormat="1" applyFont="1" applyBorder="1" applyAlignment="1">
      <alignment horizontal="right"/>
    </xf>
    <xf numFmtId="183" fontId="11" fillId="0" borderId="147" xfId="1" applyNumberFormat="1" applyFont="1" applyBorder="1" applyAlignment="1">
      <alignment horizontal="right"/>
    </xf>
    <xf numFmtId="182" fontId="11" fillId="0" borderId="114" xfId="1" applyNumberFormat="1" applyFont="1" applyBorder="1" applyAlignment="1">
      <alignment horizontal="center"/>
    </xf>
    <xf numFmtId="182" fontId="11" fillId="0" borderId="115" xfId="1" applyNumberFormat="1" applyFont="1" applyBorder="1" applyAlignment="1">
      <alignment horizontal="center"/>
    </xf>
    <xf numFmtId="0" fontId="140" fillId="0" borderId="145" xfId="0" applyFont="1" applyBorder="1"/>
    <xf numFmtId="0" fontId="11" fillId="0" borderId="156" xfId="0" applyFont="1" applyBorder="1" applyProtection="1">
      <protection locked="0"/>
    </xf>
    <xf numFmtId="0" fontId="0" fillId="0" borderId="146" xfId="0" applyBorder="1"/>
    <xf numFmtId="0" fontId="0" fillId="0" borderId="147" xfId="0" applyBorder="1"/>
    <xf numFmtId="182" fontId="11" fillId="0" borderId="156" xfId="1" applyNumberFormat="1" applyFont="1" applyFill="1" applyBorder="1" applyAlignment="1" applyProtection="1">
      <alignment horizontal="center"/>
      <protection locked="0"/>
    </xf>
    <xf numFmtId="182" fontId="11" fillId="0" borderId="146" xfId="1" applyNumberFormat="1" applyFont="1" applyFill="1" applyBorder="1" applyAlignment="1" applyProtection="1">
      <alignment horizontal="center"/>
      <protection locked="0"/>
    </xf>
    <xf numFmtId="182" fontId="11" fillId="0" borderId="147" xfId="1" applyNumberFormat="1" applyFont="1" applyFill="1" applyBorder="1" applyAlignment="1" applyProtection="1">
      <alignment horizontal="center"/>
      <protection locked="0"/>
    </xf>
    <xf numFmtId="0" fontId="140" fillId="0" borderId="119" xfId="0" applyFont="1" applyBorder="1"/>
    <xf numFmtId="0" fontId="11" fillId="0" borderId="120" xfId="0" applyFont="1" applyBorder="1" applyProtection="1">
      <protection locked="0"/>
    </xf>
    <xf numFmtId="0" fontId="0" fillId="0" borderId="100" xfId="0" applyBorder="1"/>
    <xf numFmtId="0" fontId="0" fillId="0" borderId="123" xfId="0" applyBorder="1"/>
    <xf numFmtId="183" fontId="0" fillId="0" borderId="120" xfId="1" applyNumberFormat="1" applyFont="1" applyBorder="1" applyAlignment="1">
      <alignment horizontal="right"/>
    </xf>
    <xf numFmtId="183" fontId="0" fillId="0" borderId="100" xfId="1" applyNumberFormat="1" applyFont="1" applyBorder="1" applyAlignment="1">
      <alignment horizontal="right"/>
    </xf>
    <xf numFmtId="183" fontId="0" fillId="0" borderId="123" xfId="1" applyNumberFormat="1" applyFont="1" applyBorder="1" applyAlignment="1">
      <alignment horizontal="right"/>
    </xf>
    <xf numFmtId="182" fontId="11" fillId="0" borderId="120" xfId="1" applyNumberFormat="1" applyFont="1" applyFill="1" applyBorder="1" applyAlignment="1" applyProtection="1">
      <alignment horizontal="center"/>
      <protection locked="0"/>
    </xf>
    <xf numFmtId="182" fontId="11" fillId="0" borderId="100" xfId="1" applyNumberFormat="1" applyFont="1" applyFill="1" applyBorder="1" applyAlignment="1" applyProtection="1">
      <alignment horizontal="center"/>
      <protection locked="0"/>
    </xf>
    <xf numFmtId="182" fontId="11" fillId="0" borderId="123" xfId="1" applyNumberFormat="1" applyFont="1" applyFill="1" applyBorder="1" applyAlignment="1" applyProtection="1">
      <alignment horizontal="center"/>
      <protection locked="0"/>
    </xf>
    <xf numFmtId="183" fontId="11" fillId="0" borderId="120" xfId="1" applyNumberFormat="1" applyFont="1" applyBorder="1" applyAlignment="1">
      <alignment horizontal="right"/>
    </xf>
    <xf numFmtId="183" fontId="11" fillId="0" borderId="100" xfId="1" applyNumberFormat="1" applyFont="1" applyBorder="1" applyAlignment="1">
      <alignment horizontal="right"/>
    </xf>
    <xf numFmtId="183" fontId="11" fillId="0" borderId="123" xfId="1" applyNumberFormat="1" applyFont="1" applyBorder="1" applyAlignment="1">
      <alignment horizontal="right"/>
    </xf>
    <xf numFmtId="0" fontId="11" fillId="0" borderId="120" xfId="0" applyFont="1" applyBorder="1" applyAlignment="1" applyProtection="1">
      <alignment horizontal="left"/>
      <protection locked="0"/>
    </xf>
    <xf numFmtId="0" fontId="140" fillId="0" borderId="126" xfId="0" applyFont="1" applyBorder="1"/>
    <xf numFmtId="0" fontId="11" fillId="0" borderId="109" xfId="0" applyFont="1" applyBorder="1" applyAlignment="1" applyProtection="1">
      <alignment horizontal="left"/>
      <protection locked="0"/>
    </xf>
    <xf numFmtId="0" fontId="134" fillId="0" borderId="110" xfId="0" applyFont="1" applyBorder="1"/>
    <xf numFmtId="0" fontId="0" fillId="0" borderId="110" xfId="0" applyBorder="1"/>
    <xf numFmtId="0" fontId="0" fillId="0" borderId="111" xfId="0" applyBorder="1"/>
    <xf numFmtId="182" fontId="11" fillId="0" borderId="127" xfId="1" applyNumberFormat="1" applyFont="1" applyFill="1" applyBorder="1" applyAlignment="1" applyProtection="1">
      <alignment horizontal="center"/>
      <protection locked="0"/>
    </xf>
    <xf numFmtId="183" fontId="0" fillId="0" borderId="109" xfId="1" applyNumberFormat="1" applyFont="1" applyBorder="1" applyAlignment="1">
      <alignment horizontal="right"/>
    </xf>
    <xf numFmtId="183" fontId="0" fillId="0" borderId="110" xfId="1" applyNumberFormat="1" applyFont="1" applyBorder="1" applyAlignment="1">
      <alignment horizontal="right"/>
    </xf>
    <xf numFmtId="183" fontId="0" fillId="0" borderId="111" xfId="1" applyNumberFormat="1" applyFont="1" applyBorder="1" applyAlignment="1">
      <alignment horizontal="right"/>
    </xf>
    <xf numFmtId="182" fontId="11" fillId="0" borderId="109" xfId="1" applyNumberFormat="1" applyFont="1" applyFill="1" applyBorder="1" applyAlignment="1" applyProtection="1">
      <alignment horizontal="center"/>
      <protection locked="0"/>
    </xf>
    <xf numFmtId="182" fontId="11" fillId="0" borderId="110" xfId="1" applyNumberFormat="1" applyFont="1" applyFill="1" applyBorder="1" applyAlignment="1" applyProtection="1">
      <alignment horizontal="center"/>
      <protection locked="0"/>
    </xf>
    <xf numFmtId="182" fontId="11" fillId="0" borderId="111" xfId="1" applyNumberFormat="1" applyFont="1" applyFill="1" applyBorder="1" applyAlignment="1" applyProtection="1">
      <alignment horizontal="center"/>
      <protection locked="0"/>
    </xf>
    <xf numFmtId="183" fontId="11" fillId="0" borderId="109" xfId="1" applyNumberFormat="1" applyFont="1" applyBorder="1" applyAlignment="1">
      <alignment horizontal="right"/>
    </xf>
    <xf numFmtId="183" fontId="11" fillId="0" borderId="110" xfId="1" applyNumberFormat="1" applyFont="1" applyBorder="1" applyAlignment="1">
      <alignment horizontal="right"/>
    </xf>
    <xf numFmtId="183" fontId="11" fillId="0" borderId="111" xfId="1" applyNumberFormat="1" applyFont="1" applyBorder="1" applyAlignment="1">
      <alignment horizontal="right"/>
    </xf>
    <xf numFmtId="182" fontId="11" fillId="0" borderId="127" xfId="1" applyNumberFormat="1" applyFont="1" applyBorder="1" applyAlignment="1">
      <alignment horizontal="center"/>
    </xf>
    <xf numFmtId="182" fontId="11" fillId="0" borderId="162" xfId="1" applyNumberFormat="1" applyFont="1" applyBorder="1" applyAlignment="1">
      <alignment horizontal="center"/>
    </xf>
    <xf numFmtId="0" fontId="11" fillId="0" borderId="156" xfId="0" applyFont="1" applyBorder="1" applyAlignment="1" applyProtection="1">
      <alignment horizontal="left"/>
      <protection locked="0"/>
    </xf>
    <xf numFmtId="183" fontId="22" fillId="0" borderId="161" xfId="1" applyNumberFormat="1" applyFont="1" applyBorder="1" applyAlignment="1">
      <alignment horizontal="right"/>
    </xf>
    <xf numFmtId="183" fontId="22" fillId="0" borderId="63" xfId="1" applyNumberFormat="1" applyFont="1" applyBorder="1" applyAlignment="1">
      <alignment horizontal="right"/>
    </xf>
    <xf numFmtId="183" fontId="22" fillId="0" borderId="151" xfId="1" applyNumberFormat="1" applyFont="1" applyBorder="1" applyAlignment="1">
      <alignment horizontal="right"/>
    </xf>
    <xf numFmtId="182" fontId="0" fillId="0" borderId="0" xfId="1" applyNumberFormat="1" applyFont="1"/>
    <xf numFmtId="0" fontId="74" fillId="20" borderId="46" xfId="0" applyFont="1" applyFill="1" applyBorder="1" applyAlignment="1">
      <alignment horizontal="center"/>
    </xf>
    <xf numFmtId="0" fontId="74" fillId="20" borderId="52" xfId="0" applyFont="1" applyFill="1" applyBorder="1" applyAlignment="1">
      <alignment horizontal="center"/>
    </xf>
    <xf numFmtId="187" fontId="74" fillId="0" borderId="153" xfId="1" applyNumberFormat="1" applyFont="1" applyBorder="1" applyAlignment="1">
      <alignment horizontal="right"/>
    </xf>
    <xf numFmtId="3" fontId="74" fillId="0" borderId="153" xfId="1" applyNumberFormat="1" applyFont="1" applyBorder="1" applyAlignment="1">
      <alignment horizontal="center"/>
    </xf>
    <xf numFmtId="187" fontId="74" fillId="0" borderId="154" xfId="1" applyNumberFormat="1" applyFont="1" applyBorder="1" applyAlignment="1">
      <alignment horizontal="right"/>
    </xf>
    <xf numFmtId="3" fontId="74" fillId="0" borderId="154" xfId="1" applyNumberFormat="1" applyFont="1" applyBorder="1" applyAlignment="1">
      <alignment horizontal="center"/>
    </xf>
    <xf numFmtId="182" fontId="74" fillId="0" borderId="152" xfId="1" applyNumberFormat="1" applyFont="1" applyFill="1" applyBorder="1" applyAlignment="1" applyProtection="1">
      <alignment horizontal="center"/>
      <protection locked="0"/>
    </xf>
    <xf numFmtId="183" fontId="74" fillId="0" borderId="152" xfId="1" applyNumberFormat="1" applyFont="1" applyBorder="1" applyAlignment="1">
      <alignment horizontal="right"/>
    </xf>
    <xf numFmtId="187" fontId="74" fillId="0" borderId="152" xfId="1" applyNumberFormat="1" applyFont="1" applyBorder="1" applyAlignment="1">
      <alignment horizontal="right"/>
    </xf>
    <xf numFmtId="3" fontId="74" fillId="0" borderId="152" xfId="1" applyNumberFormat="1" applyFont="1" applyBorder="1" applyAlignment="1">
      <alignment horizontal="center"/>
    </xf>
    <xf numFmtId="0" fontId="138" fillId="20" borderId="43" xfId="0" applyFont="1" applyFill="1" applyBorder="1" applyAlignment="1">
      <alignment horizontal="center"/>
    </xf>
    <xf numFmtId="0" fontId="138" fillId="20" borderId="43" xfId="0" applyFont="1" applyFill="1" applyBorder="1" applyAlignment="1">
      <alignment horizontal="left"/>
    </xf>
    <xf numFmtId="187" fontId="74" fillId="0" borderId="43" xfId="1" applyNumberFormat="1" applyFont="1" applyBorder="1" applyAlignment="1">
      <alignment horizontal="right"/>
    </xf>
    <xf numFmtId="3" fontId="74" fillId="0" borderId="43" xfId="1" applyNumberFormat="1" applyFont="1" applyBorder="1" applyAlignment="1">
      <alignment horizontal="center"/>
    </xf>
    <xf numFmtId="10" fontId="74" fillId="0" borderId="153" xfId="1" applyNumberFormat="1" applyFont="1" applyBorder="1" applyAlignment="1">
      <alignment horizontal="right"/>
    </xf>
    <xf numFmtId="187" fontId="74" fillId="0" borderId="153" xfId="1" applyNumberFormat="1" applyFont="1" applyFill="1" applyBorder="1" applyAlignment="1">
      <alignment horizontal="right"/>
    </xf>
    <xf numFmtId="3" fontId="74" fillId="0" borderId="153" xfId="1" applyNumberFormat="1" applyFont="1" applyFill="1" applyBorder="1" applyAlignment="1">
      <alignment horizontal="center"/>
    </xf>
    <xf numFmtId="10" fontId="74" fillId="0" borderId="154" xfId="1" applyNumberFormat="1" applyFont="1" applyBorder="1" applyAlignment="1">
      <alignment horizontal="right"/>
    </xf>
    <xf numFmtId="187" fontId="74" fillId="0" borderId="154" xfId="1" applyNumberFormat="1" applyFont="1" applyFill="1" applyBorder="1" applyAlignment="1">
      <alignment horizontal="right"/>
    </xf>
    <xf numFmtId="3" fontId="74" fillId="0" borderId="154" xfId="1" applyNumberFormat="1" applyFont="1" applyFill="1" applyBorder="1" applyAlignment="1">
      <alignment horizontal="center"/>
    </xf>
    <xf numFmtId="10" fontId="74" fillId="0" borderId="152" xfId="1" applyNumberFormat="1" applyFont="1" applyBorder="1" applyAlignment="1">
      <alignment horizontal="right"/>
    </xf>
    <xf numFmtId="187" fontId="74" fillId="0" borderId="152" xfId="1" applyNumberFormat="1" applyFont="1" applyFill="1" applyBorder="1" applyAlignment="1">
      <alignment horizontal="right"/>
    </xf>
    <xf numFmtId="3" fontId="74" fillId="0" borderId="152" xfId="1" applyNumberFormat="1" applyFont="1" applyFill="1" applyBorder="1" applyAlignment="1">
      <alignment horizontal="center"/>
    </xf>
    <xf numFmtId="10" fontId="74" fillId="0" borderId="43" xfId="1" applyNumberFormat="1" applyFont="1" applyBorder="1" applyAlignment="1">
      <alignment horizontal="right"/>
    </xf>
    <xf numFmtId="3" fontId="0" fillId="0" borderId="0" xfId="0" applyNumberFormat="1"/>
    <xf numFmtId="0" fontId="134" fillId="20" borderId="102" xfId="0" applyFont="1" applyFill="1" applyBorder="1" applyAlignment="1">
      <alignment horizontal="center"/>
    </xf>
    <xf numFmtId="0" fontId="22" fillId="20" borderId="163" xfId="0" applyFont="1" applyFill="1" applyBorder="1" applyAlignment="1">
      <alignment horizontal="center"/>
    </xf>
    <xf numFmtId="0" fontId="22" fillId="20" borderId="164" xfId="0" applyFont="1" applyFill="1" applyBorder="1" applyAlignment="1">
      <alignment horizontal="center"/>
    </xf>
    <xf numFmtId="0" fontId="22" fillId="20" borderId="101" xfId="0" applyFont="1" applyFill="1" applyBorder="1" applyAlignment="1">
      <alignment horizontal="center"/>
    </xf>
    <xf numFmtId="0" fontId="22" fillId="20" borderId="141" xfId="0" applyFont="1" applyFill="1" applyBorder="1" applyAlignment="1">
      <alignment horizontal="center"/>
    </xf>
    <xf numFmtId="0" fontId="0" fillId="20" borderId="103" xfId="0" applyFill="1" applyBorder="1" applyAlignment="1">
      <alignment horizontal="center"/>
    </xf>
    <xf numFmtId="0" fontId="11" fillId="20" borderId="165" xfId="0" applyFont="1" applyFill="1" applyBorder="1" applyAlignment="1">
      <alignment horizontal="center"/>
    </xf>
    <xf numFmtId="0" fontId="11" fillId="20" borderId="126" xfId="0" applyFont="1" applyFill="1" applyBorder="1" applyAlignment="1">
      <alignment horizontal="center"/>
    </xf>
    <xf numFmtId="0" fontId="0" fillId="20" borderId="162" xfId="0" applyFill="1" applyBorder="1" applyAlignment="1">
      <alignment horizontal="center"/>
    </xf>
    <xf numFmtId="0" fontId="0" fillId="20" borderId="166" xfId="0" applyFill="1" applyBorder="1" applyAlignment="1">
      <alignment horizontal="center"/>
    </xf>
    <xf numFmtId="0" fontId="135" fillId="20" borderId="161" xfId="0" applyFont="1" applyFill="1" applyBorder="1" applyAlignment="1">
      <alignment horizontal="center"/>
    </xf>
    <xf numFmtId="0" fontId="39" fillId="20" borderId="113" xfId="0" applyFont="1" applyFill="1" applyBorder="1" applyAlignment="1">
      <alignment horizontal="center"/>
    </xf>
    <xf numFmtId="0" fontId="39" fillId="20" borderId="151" xfId="0" applyFont="1" applyFill="1" applyBorder="1" applyAlignment="1">
      <alignment horizontal="center"/>
    </xf>
    <xf numFmtId="182" fontId="22" fillId="0" borderId="113" xfId="1" applyNumberFormat="1" applyFont="1" applyFill="1" applyBorder="1" applyAlignment="1" applyProtection="1">
      <alignment horizontal="center"/>
      <protection locked="0"/>
    </xf>
    <xf numFmtId="183" fontId="0" fillId="0" borderId="161" xfId="1" applyNumberFormat="1" applyFont="1" applyBorder="1" applyAlignment="1">
      <alignment horizontal="right"/>
    </xf>
    <xf numFmtId="183" fontId="0" fillId="0" borderId="63" xfId="1" applyNumberFormat="1" applyFont="1" applyBorder="1" applyAlignment="1">
      <alignment horizontal="right"/>
    </xf>
    <xf numFmtId="183" fontId="0" fillId="0" borderId="64" xfId="1" applyNumberFormat="1" applyFont="1" applyBorder="1" applyAlignment="1">
      <alignment horizontal="right"/>
    </xf>
    <xf numFmtId="182" fontId="22" fillId="0" borderId="65" xfId="1" applyNumberFormat="1" applyFont="1" applyFill="1" applyBorder="1" applyAlignment="1" applyProtection="1">
      <alignment horizontal="center"/>
      <protection locked="0"/>
    </xf>
    <xf numFmtId="182" fontId="0" fillId="0" borderId="151" xfId="1" applyNumberFormat="1" applyFont="1" applyBorder="1" applyAlignment="1">
      <alignment horizontal="center"/>
    </xf>
    <xf numFmtId="182" fontId="11" fillId="0" borderId="145" xfId="1" applyNumberFormat="1" applyFont="1" applyFill="1" applyBorder="1" applyAlignment="1" applyProtection="1">
      <alignment horizontal="center"/>
      <protection locked="0"/>
    </xf>
    <xf numFmtId="183" fontId="0" fillId="0" borderId="164" xfId="1" applyNumberFormat="1" applyFont="1" applyBorder="1" applyAlignment="1">
      <alignment horizontal="right"/>
    </xf>
    <xf numFmtId="182" fontId="11" fillId="0" borderId="163" xfId="1" applyNumberFormat="1" applyFont="1" applyFill="1" applyBorder="1" applyAlignment="1" applyProtection="1">
      <alignment horizontal="center"/>
      <protection locked="0"/>
    </xf>
    <xf numFmtId="182" fontId="0" fillId="0" borderId="147" xfId="1" applyNumberFormat="1" applyFont="1" applyBorder="1" applyAlignment="1">
      <alignment horizontal="center"/>
    </xf>
    <xf numFmtId="182" fontId="0" fillId="0" borderId="148" xfId="1" applyNumberFormat="1" applyFont="1" applyBorder="1" applyAlignment="1">
      <alignment horizontal="center"/>
    </xf>
    <xf numFmtId="182" fontId="0" fillId="0" borderId="149" xfId="1" applyNumberFormat="1" applyFont="1" applyBorder="1" applyAlignment="1">
      <alignment horizontal="center"/>
    </xf>
    <xf numFmtId="0" fontId="11" fillId="0" borderId="109" xfId="0" applyFont="1" applyBorder="1" applyProtection="1">
      <protection locked="0"/>
    </xf>
    <xf numFmtId="182" fontId="11" fillId="0" borderId="126" xfId="1" applyNumberFormat="1" applyFont="1" applyFill="1" applyBorder="1" applyAlignment="1" applyProtection="1">
      <alignment horizontal="center"/>
      <protection locked="0"/>
    </xf>
    <xf numFmtId="183" fontId="0" fillId="0" borderId="112" xfId="1" applyNumberFormat="1" applyFont="1" applyBorder="1" applyAlignment="1">
      <alignment horizontal="right"/>
    </xf>
    <xf numFmtId="182" fontId="11" fillId="0" borderId="167" xfId="1" applyNumberFormat="1" applyFont="1" applyFill="1" applyBorder="1" applyAlignment="1" applyProtection="1">
      <alignment horizontal="center"/>
      <protection locked="0"/>
    </xf>
    <xf numFmtId="182" fontId="0" fillId="0" borderId="111" xfId="1" applyNumberFormat="1" applyFont="1" applyBorder="1" applyAlignment="1">
      <alignment horizontal="center"/>
    </xf>
    <xf numFmtId="182" fontId="0" fillId="0" borderId="127" xfId="1" applyNumberFormat="1" applyFont="1" applyBorder="1" applyAlignment="1">
      <alignment horizontal="center"/>
    </xf>
    <xf numFmtId="182" fontId="0" fillId="0" borderId="162" xfId="1" applyNumberFormat="1" applyFont="1" applyBorder="1" applyAlignment="1">
      <alignment horizontal="center"/>
    </xf>
    <xf numFmtId="183" fontId="22" fillId="0" borderId="64" xfId="1" applyNumberFormat="1" applyFont="1" applyBorder="1" applyAlignment="1">
      <alignment horizontal="right"/>
    </xf>
    <xf numFmtId="0" fontId="138" fillId="20" borderId="163" xfId="0" applyFont="1" applyFill="1" applyBorder="1" applyAlignment="1">
      <alignment horizontal="center"/>
    </xf>
    <xf numFmtId="0" fontId="138" fillId="20" borderId="146" xfId="0" applyFont="1" applyFill="1" applyBorder="1" applyAlignment="1">
      <alignment horizontal="center"/>
    </xf>
    <xf numFmtId="0" fontId="138" fillId="20" borderId="164" xfId="0" applyFont="1" applyFill="1" applyBorder="1" applyAlignment="1">
      <alignment horizontal="center"/>
    </xf>
    <xf numFmtId="0" fontId="74" fillId="0" borderId="155" xfId="0" applyFont="1" applyBorder="1" applyAlignment="1">
      <alignment horizontal="center"/>
    </xf>
    <xf numFmtId="0" fontId="74" fillId="0" borderId="155" xfId="0" applyFont="1" applyBorder="1" applyAlignment="1">
      <alignment horizontal="left"/>
    </xf>
    <xf numFmtId="0" fontId="138" fillId="22" borderId="157" xfId="0" applyFont="1" applyFill="1" applyBorder="1" applyAlignment="1">
      <alignment horizontal="center"/>
    </xf>
    <xf numFmtId="0" fontId="138" fillId="22" borderId="157" xfId="0" applyFont="1" applyFill="1" applyBorder="1" applyAlignment="1">
      <alignment horizontal="left"/>
    </xf>
    <xf numFmtId="183" fontId="74" fillId="0" borderId="157" xfId="1" applyNumberFormat="1" applyFont="1" applyBorder="1" applyAlignment="1">
      <alignment horizontal="right"/>
    </xf>
    <xf numFmtId="0" fontId="74" fillId="0" borderId="159" xfId="0" applyFont="1" applyBorder="1" applyAlignment="1">
      <alignment horizontal="center"/>
    </xf>
    <xf numFmtId="0" fontId="74" fillId="0" borderId="159" xfId="0" applyFont="1" applyBorder="1" applyAlignment="1">
      <alignment horizontal="left"/>
    </xf>
    <xf numFmtId="0" fontId="74" fillId="0" borderId="168" xfId="0" applyFont="1" applyBorder="1" applyAlignment="1">
      <alignment horizontal="left"/>
    </xf>
    <xf numFmtId="182" fontId="74" fillId="0" borderId="168" xfId="1" applyNumberFormat="1" applyFont="1" applyFill="1" applyBorder="1" applyAlignment="1" applyProtection="1">
      <alignment horizontal="center"/>
      <protection locked="0"/>
    </xf>
    <xf numFmtId="0" fontId="138" fillId="23" borderId="157" xfId="0" applyFont="1" applyFill="1" applyBorder="1" applyAlignment="1">
      <alignment horizontal="center"/>
    </xf>
    <xf numFmtId="0" fontId="138" fillId="23" borderId="157" xfId="0" applyFont="1" applyFill="1" applyBorder="1" applyAlignment="1">
      <alignment horizontal="left"/>
    </xf>
    <xf numFmtId="0" fontId="138" fillId="0" borderId="157" xfId="0" applyFont="1" applyBorder="1" applyAlignment="1">
      <alignment horizontal="center"/>
    </xf>
    <xf numFmtId="0" fontId="138" fillId="0" borderId="157" xfId="0" applyFont="1" applyBorder="1" applyAlignment="1">
      <alignment horizontal="left"/>
    </xf>
    <xf numFmtId="182" fontId="74" fillId="0" borderId="74" xfId="1" applyNumberFormat="1" applyFont="1" applyFill="1" applyBorder="1" applyAlignment="1" applyProtection="1">
      <alignment horizontal="center"/>
      <protection locked="0"/>
    </xf>
    <xf numFmtId="182" fontId="74" fillId="0" borderId="46" xfId="1" applyNumberFormat="1" applyFont="1" applyFill="1" applyBorder="1" applyAlignment="1" applyProtection="1">
      <alignment horizontal="center"/>
      <protection locked="0"/>
    </xf>
    <xf numFmtId="182" fontId="74" fillId="0" borderId="75" xfId="1" applyNumberFormat="1" applyFont="1" applyFill="1" applyBorder="1" applyAlignment="1" applyProtection="1">
      <alignment horizontal="center"/>
      <protection locked="0"/>
    </xf>
    <xf numFmtId="0" fontId="3" fillId="19" borderId="0" xfId="0" applyFont="1" applyFill="1"/>
    <xf numFmtId="0" fontId="141" fillId="0" borderId="0" xfId="0" applyFont="1"/>
    <xf numFmtId="0" fontId="142" fillId="0" borderId="0" xfId="0" applyFont="1" applyAlignment="1">
      <alignment horizontal="right" vertical="center"/>
    </xf>
    <xf numFmtId="0" fontId="143" fillId="0" borderId="0" xfId="0" applyFont="1" applyAlignment="1">
      <alignment horizontal="center"/>
    </xf>
    <xf numFmtId="0" fontId="143" fillId="0" borderId="0" xfId="0" applyFont="1"/>
    <xf numFmtId="0" fontId="144" fillId="0" borderId="0" xfId="0" applyFont="1"/>
    <xf numFmtId="0" fontId="4" fillId="0" borderId="125" xfId="0" applyFont="1" applyBorder="1"/>
    <xf numFmtId="0" fontId="31" fillId="0" borderId="0" xfId="0" applyFont="1" applyAlignment="1">
      <alignment vertical="center"/>
    </xf>
    <xf numFmtId="0" fontId="31" fillId="0" borderId="0" xfId="0" applyFont="1"/>
    <xf numFmtId="0" fontId="145" fillId="0" borderId="0" xfId="0" applyFont="1"/>
    <xf numFmtId="0" fontId="143" fillId="0" borderId="0" xfId="0" applyFont="1" applyAlignment="1">
      <alignment horizontal="right" vertical="center"/>
    </xf>
    <xf numFmtId="182" fontId="4" fillId="0" borderId="99" xfId="1" applyNumberFormat="1" applyFont="1" applyBorder="1" applyAlignment="1">
      <alignment horizontal="center"/>
    </xf>
    <xf numFmtId="10" fontId="143" fillId="0" borderId="0" xfId="1" applyNumberFormat="1" applyFont="1" applyAlignment="1">
      <alignment horizontal="center"/>
    </xf>
    <xf numFmtId="186" fontId="145" fillId="0" borderId="0" xfId="1" applyNumberFormat="1" applyFont="1" applyFill="1" applyAlignment="1">
      <alignment horizontal="center"/>
    </xf>
    <xf numFmtId="43" fontId="4" fillId="0" borderId="0" xfId="1" applyFont="1"/>
    <xf numFmtId="182" fontId="4" fillId="0" borderId="125" xfId="1" applyNumberFormat="1" applyFont="1" applyBorder="1" applyAlignment="1">
      <alignment horizontal="center"/>
    </xf>
    <xf numFmtId="0" fontId="143" fillId="0" borderId="0" xfId="0" applyFont="1" applyAlignment="1">
      <alignment horizontal="center" vertical="center"/>
    </xf>
    <xf numFmtId="182" fontId="4" fillId="0" borderId="0" xfId="1" applyNumberFormat="1" applyFont="1" applyBorder="1" applyAlignment="1">
      <alignment horizontal="center"/>
    </xf>
    <xf numFmtId="0" fontId="143" fillId="0" borderId="0" xfId="0" applyFont="1" applyAlignment="1">
      <alignment vertical="center"/>
    </xf>
    <xf numFmtId="10" fontId="143" fillId="0" borderId="0" xfId="1" applyNumberFormat="1" applyFont="1" applyAlignment="1">
      <alignment horizontal="center" vertical="center"/>
    </xf>
    <xf numFmtId="43" fontId="145" fillId="0" borderId="0" xfId="1" applyFont="1" applyFill="1" applyAlignment="1"/>
    <xf numFmtId="0" fontId="31" fillId="0" borderId="125" xfId="0" applyFont="1" applyBorder="1"/>
    <xf numFmtId="0" fontId="18" fillId="0" borderId="0" xfId="0" applyFont="1" applyAlignment="1">
      <alignment vertical="center"/>
    </xf>
    <xf numFmtId="0" fontId="142" fillId="0" borderId="0" xfId="0" applyFont="1" applyAlignment="1">
      <alignment horizontal="center" vertical="top"/>
    </xf>
    <xf numFmtId="0" fontId="142" fillId="0" borderId="0" xfId="0" applyFont="1" applyAlignment="1">
      <alignment horizontal="center" vertical="center"/>
    </xf>
    <xf numFmtId="0" fontId="4" fillId="0" borderId="99" xfId="0" applyFont="1" applyBorder="1" applyAlignment="1">
      <alignment horizontal="center"/>
    </xf>
    <xf numFmtId="0" fontId="4" fillId="0" borderId="125" xfId="0" applyFont="1" applyBorder="1" applyAlignment="1">
      <alignment horizontal="center"/>
    </xf>
    <xf numFmtId="182" fontId="4" fillId="0" borderId="99" xfId="1" applyNumberFormat="1" applyFont="1" applyFill="1" applyBorder="1" applyAlignment="1">
      <alignment horizontal="center"/>
    </xf>
    <xf numFmtId="182" fontId="4" fillId="0" borderId="125" xfId="1" applyNumberFormat="1" applyFont="1" applyFill="1" applyBorder="1" applyAlignment="1">
      <alignment horizontal="center"/>
    </xf>
    <xf numFmtId="0" fontId="4" fillId="0" borderId="0" xfId="0" applyFont="1" applyAlignment="1">
      <alignment vertical="center"/>
    </xf>
    <xf numFmtId="0" fontId="146" fillId="0" borderId="0" xfId="0" applyFont="1"/>
    <xf numFmtId="43" fontId="124" fillId="0" borderId="0" xfId="1" applyFont="1" applyBorder="1" applyAlignment="1"/>
    <xf numFmtId="0" fontId="146" fillId="0" borderId="169" xfId="0" applyFont="1" applyBorder="1"/>
    <xf numFmtId="0" fontId="124" fillId="0" borderId="170" xfId="0" applyFont="1" applyBorder="1"/>
    <xf numFmtId="0" fontId="147" fillId="0" borderId="0" xfId="0" applyFont="1" applyAlignment="1">
      <alignment horizontal="center"/>
    </xf>
    <xf numFmtId="0" fontId="148" fillId="0" borderId="0" xfId="0" applyFont="1" applyAlignment="1">
      <alignment horizontal="center"/>
    </xf>
    <xf numFmtId="0" fontId="149" fillId="0" borderId="0" xfId="0" applyFont="1"/>
    <xf numFmtId="0" fontId="150" fillId="0" borderId="0" xfId="0" applyFont="1" applyAlignment="1">
      <alignment horizontal="left" vertical="top"/>
    </xf>
    <xf numFmtId="0" fontId="151" fillId="0" borderId="0" xfId="0" applyFont="1" applyAlignment="1">
      <alignment vertical="top"/>
    </xf>
    <xf numFmtId="0" fontId="80" fillId="0" borderId="0" xfId="0" applyFont="1" applyAlignment="1">
      <alignment vertical="top"/>
    </xf>
    <xf numFmtId="0" fontId="152" fillId="0" borderId="0" xfId="0" applyFont="1"/>
    <xf numFmtId="49" fontId="80" fillId="0" borderId="0" xfId="0" applyNumberFormat="1" applyFont="1" applyAlignment="1">
      <alignment horizontal="center"/>
    </xf>
    <xf numFmtId="58" fontId="80" fillId="0" borderId="0" xfId="0" applyNumberFormat="1" applyFont="1"/>
    <xf numFmtId="0" fontId="153" fillId="0" borderId="0" xfId="0" applyFont="1"/>
    <xf numFmtId="0" fontId="149" fillId="0" borderId="0" xfId="0" applyFont="1" applyAlignment="1">
      <alignment horizontal="justify" vertical="center"/>
    </xf>
    <xf numFmtId="0" fontId="149" fillId="0" borderId="0" xfId="0" applyFont="1" applyAlignment="1">
      <alignment horizontal="left"/>
    </xf>
    <xf numFmtId="0" fontId="154" fillId="0" borderId="0" xfId="0" applyFont="1" applyAlignment="1">
      <alignment horizontal="center"/>
    </xf>
    <xf numFmtId="0" fontId="80" fillId="0" borderId="0" xfId="0" applyFont="1" applyAlignment="1">
      <alignment horizontal="center"/>
    </xf>
    <xf numFmtId="0" fontId="149" fillId="0" borderId="0" xfId="0" applyFont="1" applyAlignment="1">
      <alignment horizontal="justify"/>
    </xf>
    <xf numFmtId="0" fontId="155" fillId="0" borderId="0" xfId="0" applyFont="1" applyAlignment="1">
      <alignment horizontal="left"/>
    </xf>
    <xf numFmtId="182" fontId="155" fillId="0" borderId="0" xfId="1" applyNumberFormat="1" applyFont="1" applyFill="1" applyBorder="1" applyAlignment="1">
      <alignment horizontal="center"/>
    </xf>
    <xf numFmtId="0" fontId="152" fillId="0" borderId="0" xfId="0" applyFont="1" applyAlignment="1">
      <alignment horizontal="left"/>
    </xf>
    <xf numFmtId="182" fontId="149" fillId="0" borderId="0" xfId="1" applyNumberFormat="1" applyFont="1" applyFill="1" applyBorder="1" applyAlignment="1">
      <alignment horizontal="center"/>
    </xf>
    <xf numFmtId="0" fontId="156" fillId="0" borderId="0" xfId="0" applyFont="1" applyAlignment="1">
      <alignment horizontal="left"/>
    </xf>
    <xf numFmtId="0" fontId="152" fillId="0" borderId="99" xfId="0" applyFont="1" applyBorder="1"/>
    <xf numFmtId="43" fontId="157" fillId="0" borderId="125" xfId="1" applyFont="1" applyFill="1" applyBorder="1" applyAlignment="1">
      <alignment horizontal="left"/>
    </xf>
    <xf numFmtId="43" fontId="158" fillId="0" borderId="125" xfId="1" applyFont="1" applyFill="1" applyBorder="1" applyAlignment="1">
      <alignment horizontal="right"/>
    </xf>
    <xf numFmtId="0" fontId="159" fillId="0" borderId="0" xfId="0" applyFont="1" applyAlignment="1">
      <alignment horizontal="right"/>
    </xf>
    <xf numFmtId="0" fontId="160" fillId="0" borderId="0" xfId="0" applyFont="1"/>
    <xf numFmtId="0" fontId="119" fillId="0" borderId="0" xfId="0" applyFont="1" applyAlignment="1">
      <alignment vertical="center"/>
    </xf>
    <xf numFmtId="0" fontId="161" fillId="0" borderId="0" xfId="0" applyFont="1" applyAlignment="1">
      <alignment vertical="center"/>
    </xf>
    <xf numFmtId="0" fontId="160" fillId="0" borderId="0" xfId="0" applyFont="1" applyAlignment="1">
      <alignment vertical="center"/>
    </xf>
    <xf numFmtId="0" fontId="120" fillId="0" borderId="0" xfId="0" applyFont="1" applyAlignment="1">
      <alignment vertical="center"/>
    </xf>
    <xf numFmtId="0" fontId="160" fillId="0" borderId="0" xfId="0" applyFont="1" applyAlignment="1">
      <alignment vertical="top"/>
    </xf>
    <xf numFmtId="0" fontId="162" fillId="0" borderId="0" xfId="0" applyFont="1" applyAlignment="1">
      <alignment vertical="top"/>
    </xf>
    <xf numFmtId="0" fontId="162" fillId="0" borderId="0" xfId="0" applyFont="1" applyAlignment="1">
      <alignment horizontal="right" vertical="top"/>
    </xf>
    <xf numFmtId="0" fontId="123" fillId="0" borderId="0" xfId="0" applyFont="1" applyAlignment="1">
      <alignment horizontal="right"/>
    </xf>
    <xf numFmtId="0" fontId="123" fillId="0" borderId="0" xfId="0" applyFont="1" applyAlignment="1">
      <alignment horizontal="left"/>
    </xf>
    <xf numFmtId="0" fontId="120" fillId="0" borderId="0" xfId="0" applyFont="1" applyAlignment="1">
      <alignment horizontal="right" shrinkToFit="1"/>
    </xf>
    <xf numFmtId="0" fontId="123" fillId="0" borderId="0" xfId="0" applyFont="1" applyAlignment="1">
      <alignment horizontal="left" vertical="top" wrapText="1"/>
    </xf>
    <xf numFmtId="0" fontId="160" fillId="0" borderId="75" xfId="0" applyFont="1" applyBorder="1" applyAlignment="1">
      <alignment horizontal="center" wrapText="1"/>
    </xf>
    <xf numFmtId="0" fontId="160" fillId="0" borderId="73" xfId="0" applyFont="1" applyBorder="1" applyAlignment="1">
      <alignment horizontal="center" wrapText="1"/>
    </xf>
    <xf numFmtId="0" fontId="160" fillId="0" borderId="74" xfId="0" applyFont="1" applyBorder="1" applyAlignment="1">
      <alignment horizontal="center" wrapText="1"/>
    </xf>
    <xf numFmtId="0" fontId="163" fillId="0" borderId="0" xfId="0" applyFont="1" applyAlignment="1">
      <alignment vertical="top"/>
    </xf>
    <xf numFmtId="0" fontId="160" fillId="0" borderId="84" xfId="0" applyFont="1" applyBorder="1" applyAlignment="1">
      <alignment horizontal="center" wrapText="1"/>
    </xf>
    <xf numFmtId="0" fontId="160" fillId="0" borderId="29" xfId="0" applyFont="1" applyBorder="1" applyAlignment="1">
      <alignment horizontal="center" wrapText="1"/>
    </xf>
    <xf numFmtId="0" fontId="160" fillId="0" borderId="83" xfId="0" applyFont="1" applyBorder="1" applyAlignment="1">
      <alignment horizontal="center" wrapText="1"/>
    </xf>
    <xf numFmtId="49" fontId="160" fillId="0" borderId="0" xfId="0" applyNumberFormat="1" applyFont="1" applyAlignment="1">
      <alignment horizontal="center" vertical="top"/>
    </xf>
    <xf numFmtId="0" fontId="123" fillId="0" borderId="0" xfId="0" applyFont="1" applyAlignment="1">
      <alignment horizontal="center"/>
    </xf>
    <xf numFmtId="0" fontId="164" fillId="0" borderId="0" xfId="0" applyFont="1" applyAlignment="1">
      <alignment horizontal="center" vertical="center"/>
    </xf>
    <xf numFmtId="49" fontId="119" fillId="0" borderId="0" xfId="0" applyNumberFormat="1" applyFont="1" applyAlignment="1">
      <alignment horizontal="left" vertical="center"/>
    </xf>
    <xf numFmtId="49" fontId="160" fillId="0" borderId="0" xfId="0" applyNumberFormat="1" applyFont="1" applyAlignment="1">
      <alignment horizontal="right" vertical="center"/>
    </xf>
    <xf numFmtId="0" fontId="165" fillId="0" borderId="75" xfId="0" applyFont="1" applyBorder="1" applyAlignment="1">
      <alignment horizontal="center" vertical="center" wrapText="1"/>
    </xf>
    <xf numFmtId="0" fontId="165" fillId="0" borderId="74" xfId="0" applyFont="1" applyBorder="1" applyAlignment="1">
      <alignment horizontal="center" vertical="center" wrapText="1"/>
    </xf>
    <xf numFmtId="0" fontId="160" fillId="0" borderId="73" xfId="0" applyFont="1" applyBorder="1" applyAlignment="1">
      <alignment horizontal="center" vertical="center"/>
    </xf>
    <xf numFmtId="0" fontId="160" fillId="0" borderId="74" xfId="0" applyFont="1" applyBorder="1" applyAlignment="1">
      <alignment horizontal="center" vertical="center"/>
    </xf>
    <xf numFmtId="0" fontId="160" fillId="0" borderId="75" xfId="0" applyFont="1" applyBorder="1" applyAlignment="1">
      <alignment horizontal="center" vertical="center" wrapText="1"/>
    </xf>
    <xf numFmtId="0" fontId="160" fillId="0" borderId="73" xfId="0" applyFont="1" applyBorder="1" applyAlignment="1">
      <alignment horizontal="center" vertical="center" wrapText="1"/>
    </xf>
    <xf numFmtId="0" fontId="160" fillId="0" borderId="74" xfId="0" applyFont="1" applyBorder="1" applyAlignment="1">
      <alignment horizontal="center" vertical="center" wrapText="1"/>
    </xf>
    <xf numFmtId="0" fontId="160" fillId="0" borderId="65" xfId="0" applyFont="1" applyBorder="1" applyAlignment="1">
      <alignment horizontal="center" vertical="center" shrinkToFit="1"/>
    </xf>
    <xf numFmtId="0" fontId="160" fillId="0" borderId="63" xfId="0" applyFont="1" applyBorder="1" applyAlignment="1">
      <alignment horizontal="center" vertical="center" shrinkToFit="1"/>
    </xf>
    <xf numFmtId="0" fontId="160" fillId="0" borderId="64" xfId="0" applyFont="1" applyBorder="1" applyAlignment="1">
      <alignment horizontal="center" vertical="center" shrinkToFit="1"/>
    </xf>
    <xf numFmtId="0" fontId="165" fillId="0" borderId="84" xfId="0" applyFont="1" applyBorder="1" applyAlignment="1">
      <alignment horizontal="center" vertical="center" wrapText="1"/>
    </xf>
    <xf numFmtId="0" fontId="165" fillId="0" borderId="83" xfId="0" applyFont="1" applyBorder="1" applyAlignment="1">
      <alignment horizontal="center" vertical="center" wrapText="1"/>
    </xf>
    <xf numFmtId="0" fontId="160" fillId="0" borderId="0" xfId="0" applyFont="1" applyAlignment="1">
      <alignment horizontal="center" vertical="center"/>
    </xf>
    <xf numFmtId="0" fontId="160" fillId="0" borderId="91" xfId="0" applyFont="1" applyBorder="1" applyAlignment="1">
      <alignment horizontal="center" vertical="center"/>
    </xf>
    <xf numFmtId="0" fontId="160" fillId="0" borderId="90" xfId="0" applyFont="1" applyBorder="1" applyAlignment="1">
      <alignment horizontal="center" vertical="center" wrapText="1"/>
    </xf>
    <xf numFmtId="0" fontId="160" fillId="0" borderId="0" xfId="0" applyFont="1" applyAlignment="1">
      <alignment horizontal="center" vertical="center" wrapText="1"/>
    </xf>
    <xf numFmtId="0" fontId="160" fillId="0" borderId="91" xfId="0" applyFont="1" applyBorder="1" applyAlignment="1">
      <alignment horizontal="center" vertical="center" wrapText="1"/>
    </xf>
    <xf numFmtId="0" fontId="160" fillId="0" borderId="168" xfId="0" applyFont="1" applyBorder="1" applyAlignment="1">
      <alignment horizontal="center" vertical="center"/>
    </xf>
    <xf numFmtId="0" fontId="160" fillId="0" borderId="168" xfId="0" applyFont="1" applyBorder="1" applyAlignment="1">
      <alignment horizontal="center" vertical="center" shrinkToFit="1"/>
    </xf>
    <xf numFmtId="0" fontId="165" fillId="0" borderId="43" xfId="0" applyFont="1" applyBorder="1" applyAlignment="1">
      <alignment horizontal="center" vertical="center"/>
    </xf>
    <xf numFmtId="0" fontId="165" fillId="0" borderId="64" xfId="0" applyFont="1" applyBorder="1" applyAlignment="1">
      <alignment horizontal="center" vertical="center"/>
    </xf>
    <xf numFmtId="0" fontId="161" fillId="0" borderId="65" xfId="0" applyFont="1" applyBorder="1" applyAlignment="1">
      <alignment horizontal="center" vertical="center"/>
    </xf>
    <xf numFmtId="0" fontId="161" fillId="0" borderId="64" xfId="0" applyFont="1" applyBorder="1" applyAlignment="1">
      <alignment horizontal="center" vertical="center"/>
    </xf>
    <xf numFmtId="0" fontId="161" fillId="0" borderId="65" xfId="0" applyFont="1" applyBorder="1" applyAlignment="1">
      <alignment horizontal="left" vertical="center" wrapText="1"/>
    </xf>
    <xf numFmtId="0" fontId="161" fillId="0" borderId="63" xfId="0" applyFont="1" applyBorder="1" applyAlignment="1">
      <alignment horizontal="left" vertical="center" wrapText="1"/>
    </xf>
    <xf numFmtId="0" fontId="161" fillId="0" borderId="64" xfId="0" applyFont="1" applyBorder="1" applyAlignment="1">
      <alignment horizontal="left" vertical="center" wrapText="1"/>
    </xf>
    <xf numFmtId="0" fontId="161" fillId="0" borderId="65" xfId="0" applyFont="1" applyBorder="1" applyAlignment="1" applyProtection="1">
      <alignment horizontal="center" vertical="center"/>
      <protection locked="0"/>
    </xf>
    <xf numFmtId="0" fontId="161" fillId="0" borderId="63" xfId="0" applyFont="1" applyBorder="1" applyAlignment="1" applyProtection="1">
      <alignment horizontal="center" vertical="center"/>
      <protection locked="0"/>
    </xf>
    <xf numFmtId="0" fontId="161" fillId="0" borderId="64" xfId="0" applyFont="1" applyBorder="1" applyAlignment="1" applyProtection="1">
      <alignment horizontal="center" vertical="center"/>
      <protection locked="0"/>
    </xf>
    <xf numFmtId="0" fontId="161" fillId="0" borderId="63" xfId="0" applyFont="1" applyBorder="1" applyAlignment="1">
      <alignment horizontal="center" vertical="center"/>
    </xf>
    <xf numFmtId="182" fontId="161" fillId="0" borderId="113" xfId="1" applyNumberFormat="1" applyFont="1" applyFill="1" applyBorder="1" applyAlignment="1">
      <alignment horizontal="center" vertical="center"/>
    </xf>
    <xf numFmtId="182" fontId="161" fillId="0" borderId="151" xfId="1" applyNumberFormat="1" applyFont="1" applyFill="1" applyBorder="1" applyAlignment="1">
      <alignment horizontal="center" vertical="center"/>
    </xf>
    <xf numFmtId="182" fontId="161" fillId="0" borderId="114" xfId="1" applyNumberFormat="1" applyFont="1" applyFill="1" applyBorder="1" applyAlignment="1">
      <alignment horizontal="center" vertical="center"/>
    </xf>
    <xf numFmtId="182" fontId="161" fillId="0" borderId="115" xfId="1" applyNumberFormat="1" applyFont="1" applyFill="1" applyBorder="1" applyAlignment="1">
      <alignment horizontal="center" vertical="center"/>
    </xf>
    <xf numFmtId="182" fontId="161" fillId="9" borderId="113" xfId="1" applyNumberFormat="1" applyFont="1" applyFill="1" applyBorder="1" applyAlignment="1">
      <alignment horizontal="center" vertical="center"/>
    </xf>
    <xf numFmtId="182" fontId="161" fillId="9" borderId="151" xfId="1" applyNumberFormat="1" applyFont="1" applyFill="1" applyBorder="1" applyAlignment="1">
      <alignment horizontal="center" vertical="center"/>
    </xf>
    <xf numFmtId="182" fontId="161" fillId="9" borderId="114" xfId="1" applyNumberFormat="1" applyFont="1" applyFill="1" applyBorder="1" applyAlignment="1">
      <alignment horizontal="center" vertical="center"/>
    </xf>
    <xf numFmtId="182" fontId="161" fillId="9" borderId="115" xfId="1" applyNumberFormat="1" applyFont="1" applyFill="1" applyBorder="1" applyAlignment="1">
      <alignment horizontal="center" vertical="center"/>
    </xf>
    <xf numFmtId="0" fontId="160" fillId="0" borderId="65" xfId="0" applyFont="1" applyBorder="1" applyAlignment="1">
      <alignment horizontal="center" vertical="center"/>
    </xf>
    <xf numFmtId="0" fontId="160" fillId="0" borderId="64" xfId="0" applyFont="1" applyBorder="1" applyAlignment="1">
      <alignment horizontal="center" vertical="center"/>
    </xf>
    <xf numFmtId="0" fontId="160" fillId="0" borderId="65" xfId="0" applyFont="1" applyBorder="1" applyAlignment="1">
      <alignment horizontal="left" vertical="center" wrapText="1"/>
    </xf>
    <xf numFmtId="0" fontId="160" fillId="0" borderId="63" xfId="0" applyFont="1" applyBorder="1" applyAlignment="1">
      <alignment horizontal="left" vertical="center" wrapText="1"/>
    </xf>
    <xf numFmtId="0" fontId="160" fillId="0" borderId="64" xfId="0" applyFont="1" applyBorder="1" applyAlignment="1">
      <alignment horizontal="left" vertical="center" wrapText="1"/>
    </xf>
    <xf numFmtId="0" fontId="160" fillId="0" borderId="65" xfId="0" applyFont="1" applyBorder="1" applyAlignment="1" applyProtection="1">
      <alignment horizontal="center" vertical="center"/>
      <protection locked="0"/>
    </xf>
    <xf numFmtId="0" fontId="160" fillId="0" borderId="63" xfId="0" applyFont="1" applyBorder="1" applyAlignment="1" applyProtection="1">
      <alignment horizontal="center" vertical="center"/>
      <protection locked="0"/>
    </xf>
    <xf numFmtId="0" fontId="160" fillId="0" borderId="64" xfId="0" applyFont="1" applyBorder="1" applyAlignment="1" applyProtection="1">
      <alignment horizontal="center" vertical="center"/>
      <protection locked="0"/>
    </xf>
    <xf numFmtId="0" fontId="160" fillId="0" borderId="63" xfId="0" applyFont="1" applyBorder="1" applyAlignment="1">
      <alignment horizontal="center" vertical="center"/>
    </xf>
    <xf numFmtId="182" fontId="160" fillId="0" borderId="113" xfId="1" applyNumberFormat="1" applyFont="1" applyFill="1" applyBorder="1" applyAlignment="1">
      <alignment horizontal="center" vertical="center"/>
    </xf>
    <xf numFmtId="182" fontId="160" fillId="0" borderId="151" xfId="1" applyNumberFormat="1" applyFont="1" applyFill="1" applyBorder="1" applyAlignment="1">
      <alignment horizontal="center" vertical="center"/>
    </xf>
    <xf numFmtId="182" fontId="160" fillId="0" borderId="114" xfId="1" applyNumberFormat="1" applyFont="1" applyFill="1" applyBorder="1" applyAlignment="1">
      <alignment horizontal="center" vertical="center"/>
    </xf>
    <xf numFmtId="182" fontId="160" fillId="0" borderId="115" xfId="1" applyNumberFormat="1" applyFont="1" applyFill="1" applyBorder="1" applyAlignment="1">
      <alignment horizontal="center" vertical="center"/>
    </xf>
    <xf numFmtId="0" fontId="166" fillId="0" borderId="0" xfId="0" applyFont="1" applyAlignment="1">
      <alignment horizontal="left" vertical="center"/>
    </xf>
    <xf numFmtId="0" fontId="160" fillId="0" borderId="101" xfId="0" applyFont="1" applyBorder="1" applyAlignment="1">
      <alignment horizontal="center" vertical="center"/>
    </xf>
    <xf numFmtId="0" fontId="160" fillId="0" borderId="141" xfId="0" applyFont="1" applyBorder="1" applyAlignment="1">
      <alignment horizontal="center" vertical="center"/>
    </xf>
    <xf numFmtId="0" fontId="160" fillId="0" borderId="105" xfId="0" applyFont="1" applyBorder="1" applyAlignment="1">
      <alignment horizontal="center" vertical="center"/>
    </xf>
    <xf numFmtId="0" fontId="160" fillId="0" borderId="171" xfId="0" applyFont="1" applyBorder="1" applyAlignment="1">
      <alignment horizontal="center" vertical="center"/>
    </xf>
    <xf numFmtId="0" fontId="161" fillId="0" borderId="65" xfId="0" applyFont="1" applyBorder="1" applyAlignment="1" applyProtection="1">
      <alignment horizontal="center" vertical="center" wrapText="1"/>
      <protection locked="0"/>
    </xf>
    <xf numFmtId="0" fontId="161" fillId="0" borderId="63" xfId="0" applyFont="1" applyBorder="1" applyAlignment="1" applyProtection="1">
      <alignment horizontal="center" vertical="center" wrapText="1"/>
      <protection locked="0"/>
    </xf>
    <xf numFmtId="0" fontId="161" fillId="0" borderId="64" xfId="0" applyFont="1" applyBorder="1" applyAlignment="1" applyProtection="1">
      <alignment horizontal="center" vertical="center" wrapText="1"/>
      <protection locked="0"/>
    </xf>
    <xf numFmtId="0" fontId="160" fillId="0" borderId="65" xfId="0" applyFont="1" applyBorder="1" applyAlignment="1" applyProtection="1">
      <alignment horizontal="center" vertical="center" wrapText="1"/>
      <protection locked="0"/>
    </xf>
    <xf numFmtId="0" fontId="160" fillId="0" borderId="63" xfId="0" applyFont="1" applyBorder="1" applyAlignment="1" applyProtection="1">
      <alignment horizontal="center" vertical="center" wrapText="1"/>
      <protection locked="0"/>
    </xf>
    <xf numFmtId="0" fontId="160" fillId="0" borderId="64" xfId="0" applyFont="1" applyBorder="1" applyAlignment="1" applyProtection="1">
      <alignment horizontal="center" vertical="center" wrapText="1"/>
      <protection locked="0"/>
    </xf>
    <xf numFmtId="0" fontId="160" fillId="0" borderId="65" xfId="0" applyFont="1" applyBorder="1" applyAlignment="1">
      <alignment horizontal="left" vertical="center" shrinkToFit="1"/>
    </xf>
    <xf numFmtId="0" fontId="160" fillId="0" borderId="63" xfId="0" applyFont="1" applyBorder="1" applyAlignment="1">
      <alignment horizontal="left" vertical="center" shrinkToFit="1"/>
    </xf>
    <xf numFmtId="0" fontId="160" fillId="0" borderId="64" xfId="0" applyFont="1" applyBorder="1" applyAlignment="1">
      <alignment horizontal="left" vertical="center" shrinkToFit="1"/>
    </xf>
    <xf numFmtId="182" fontId="161" fillId="0" borderId="63" xfId="1" applyNumberFormat="1" applyFont="1" applyFill="1" applyBorder="1" applyAlignment="1">
      <alignment horizontal="center" vertical="center"/>
    </xf>
    <xf numFmtId="182" fontId="161" fillId="0" borderId="64" xfId="1" applyNumberFormat="1" applyFont="1" applyFill="1" applyBorder="1" applyAlignment="1">
      <alignment horizontal="center" vertical="center"/>
    </xf>
    <xf numFmtId="49" fontId="165" fillId="0" borderId="73" xfId="0" applyNumberFormat="1" applyFont="1" applyBorder="1" applyAlignment="1">
      <alignment horizontal="left"/>
    </xf>
    <xf numFmtId="49" fontId="165" fillId="0" borderId="0" xfId="0" applyNumberFormat="1" applyFont="1" applyAlignment="1">
      <alignment horizontal="left" vertical="top" wrapText="1"/>
    </xf>
    <xf numFmtId="49" fontId="165" fillId="0" borderId="0" xfId="0" applyNumberFormat="1" applyFont="1" applyAlignment="1">
      <alignment horizontal="left"/>
    </xf>
    <xf numFmtId="49" fontId="165" fillId="0" borderId="0" xfId="0" applyNumberFormat="1" applyFont="1" applyAlignment="1">
      <alignment horizontal="left" shrinkToFit="1"/>
    </xf>
    <xf numFmtId="0" fontId="160" fillId="0" borderId="0" xfId="0" applyFont="1" applyAlignment="1">
      <alignment horizontal="left" vertical="center" wrapText="1"/>
    </xf>
    <xf numFmtId="0" fontId="160" fillId="0" borderId="0" xfId="0" applyFont="1" applyAlignment="1" applyProtection="1">
      <alignment horizontal="center" vertical="center"/>
      <protection locked="0"/>
    </xf>
    <xf numFmtId="182" fontId="160" fillId="0" borderId="0" xfId="1" applyNumberFormat="1" applyFont="1" applyFill="1" applyBorder="1" applyAlignment="1">
      <alignment horizontal="center" vertical="center"/>
    </xf>
    <xf numFmtId="0" fontId="165" fillId="0" borderId="65" xfId="0" applyFont="1" applyBorder="1" applyAlignment="1">
      <alignment horizontal="center" vertical="center"/>
    </xf>
    <xf numFmtId="0" fontId="161" fillId="0" borderId="0" xfId="0" applyFont="1" applyAlignment="1">
      <alignment horizontal="left"/>
    </xf>
    <xf numFmtId="0" fontId="160" fillId="0" borderId="0" xfId="0" applyFont="1" applyAlignment="1">
      <alignment horizontal="left"/>
    </xf>
    <xf numFmtId="49" fontId="160" fillId="0" borderId="0" xfId="0" applyNumberFormat="1" applyFont="1" applyAlignment="1">
      <alignment horizontal="left" vertical="center"/>
    </xf>
    <xf numFmtId="0" fontId="160" fillId="0" borderId="43" xfId="0" applyFont="1" applyBorder="1" applyAlignment="1">
      <alignment horizontal="center" vertical="center"/>
    </xf>
    <xf numFmtId="182" fontId="160" fillId="0" borderId="63" xfId="1" applyNumberFormat="1" applyFont="1" applyFill="1" applyBorder="1" applyAlignment="1">
      <alignment horizontal="center" vertical="center"/>
    </xf>
    <xf numFmtId="182" fontId="160" fillId="0" borderId="64" xfId="1" applyNumberFormat="1" applyFont="1" applyFill="1" applyBorder="1" applyAlignment="1">
      <alignment horizontal="center" vertical="center"/>
    </xf>
    <xf numFmtId="0" fontId="160" fillId="0" borderId="43" xfId="0" applyFont="1" applyBorder="1" applyAlignment="1" applyProtection="1">
      <alignment horizontal="center" vertical="center" wrapText="1"/>
      <protection locked="0"/>
    </xf>
    <xf numFmtId="49" fontId="160" fillId="0" borderId="0" xfId="0" applyNumberFormat="1" applyFont="1" applyAlignment="1">
      <alignment horizontal="left"/>
    </xf>
    <xf numFmtId="0" fontId="160" fillId="0" borderId="0" xfId="0" applyFont="1" applyAlignment="1">
      <alignment horizontal="right"/>
    </xf>
    <xf numFmtId="0" fontId="160" fillId="0" borderId="0" xfId="0" applyFont="1" applyAlignment="1">
      <alignment horizontal="center"/>
    </xf>
    <xf numFmtId="0" fontId="160" fillId="0" borderId="100" xfId="0" applyFont="1" applyBorder="1"/>
    <xf numFmtId="0" fontId="167" fillId="0" borderId="0" xfId="0" applyFont="1"/>
    <xf numFmtId="0" fontId="160" fillId="0" borderId="99" xfId="0" applyFont="1" applyBorder="1"/>
    <xf numFmtId="0" fontId="160" fillId="0" borderId="125" xfId="0" applyFont="1" applyBorder="1" applyAlignment="1">
      <alignment vertical="top"/>
    </xf>
    <xf numFmtId="0" fontId="167" fillId="0" borderId="125" xfId="0" applyFont="1" applyBorder="1" applyAlignment="1">
      <alignment horizontal="center" vertical="top" shrinkToFit="1"/>
    </xf>
    <xf numFmtId="0" fontId="160" fillId="0" borderId="99" xfId="0" applyFont="1" applyBorder="1" applyAlignment="1">
      <alignment horizontal="left" vertical="top"/>
    </xf>
    <xf numFmtId="0" fontId="160" fillId="0" borderId="99" xfId="0" applyFont="1" applyBorder="1" applyAlignment="1">
      <alignment vertical="top"/>
    </xf>
    <xf numFmtId="49" fontId="167" fillId="0" borderId="99" xfId="0" applyNumberFormat="1" applyFont="1" applyBorder="1" applyAlignment="1">
      <alignment vertical="top"/>
    </xf>
    <xf numFmtId="0" fontId="164" fillId="0" borderId="0" xfId="0" applyFont="1" applyAlignment="1">
      <alignment vertical="center"/>
    </xf>
    <xf numFmtId="0" fontId="123" fillId="0" borderId="0" xfId="0" applyFont="1" applyAlignment="1">
      <alignment vertical="center"/>
    </xf>
    <xf numFmtId="0" fontId="168" fillId="0" borderId="0" xfId="0" applyFont="1" applyAlignment="1">
      <alignment vertical="center"/>
    </xf>
    <xf numFmtId="0" fontId="119" fillId="0" borderId="0" xfId="0" applyFont="1" applyAlignment="1">
      <alignment horizontal="left" vertical="center"/>
    </xf>
    <xf numFmtId="0" fontId="168" fillId="0" borderId="0" xfId="0" applyFont="1" applyAlignment="1">
      <alignment horizontal="right" vertical="center"/>
    </xf>
    <xf numFmtId="0" fontId="169" fillId="0" borderId="0" xfId="0" applyFont="1" applyAlignment="1">
      <alignment horizontal="right" vertical="center"/>
    </xf>
    <xf numFmtId="0" fontId="170" fillId="0" borderId="0" xfId="0" applyFont="1" applyAlignment="1">
      <alignment horizontal="center" vertical="center"/>
    </xf>
    <xf numFmtId="0" fontId="171" fillId="0" borderId="0" xfId="0" applyFont="1" applyAlignment="1">
      <alignment horizontal="center" vertical="center"/>
    </xf>
    <xf numFmtId="0" fontId="172" fillId="0" borderId="0" xfId="0" applyFont="1" applyAlignment="1">
      <alignment horizontal="center" vertical="center"/>
    </xf>
    <xf numFmtId="0" fontId="160" fillId="0" borderId="0" xfId="0" applyFont="1" applyAlignment="1">
      <alignment horizontal="right" vertical="center"/>
    </xf>
    <xf numFmtId="0" fontId="164" fillId="0" borderId="172" xfId="0" applyFont="1" applyBorder="1" applyAlignment="1">
      <alignment horizontal="center" vertical="center" wrapText="1"/>
    </xf>
    <xf numFmtId="0" fontId="164" fillId="0" borderId="173" xfId="0" applyFont="1" applyBorder="1" applyAlignment="1">
      <alignment horizontal="center" vertical="center" wrapText="1"/>
    </xf>
    <xf numFmtId="0" fontId="164" fillId="0" borderId="96" xfId="0" applyFont="1" applyBorder="1" applyAlignment="1">
      <alignment horizontal="center" vertical="center"/>
    </xf>
    <xf numFmtId="0" fontId="164" fillId="0" borderId="174" xfId="0" applyFont="1" applyBorder="1" applyAlignment="1">
      <alignment horizontal="center" vertical="center" wrapText="1"/>
    </xf>
    <xf numFmtId="0" fontId="164" fillId="0" borderId="96" xfId="0" applyFont="1" applyBorder="1" applyAlignment="1">
      <alignment horizontal="center" vertical="center" wrapText="1"/>
    </xf>
    <xf numFmtId="0" fontId="164" fillId="0" borderId="172" xfId="0" applyFont="1" applyBorder="1" applyAlignment="1">
      <alignment horizontal="center" vertical="center"/>
    </xf>
    <xf numFmtId="0" fontId="164" fillId="0" borderId="173" xfId="0" applyFont="1" applyBorder="1" applyAlignment="1">
      <alignment horizontal="center" vertical="center"/>
    </xf>
    <xf numFmtId="0" fontId="164" fillId="0" borderId="37" xfId="0" applyFont="1" applyBorder="1" applyAlignment="1">
      <alignment horizontal="center" vertical="center"/>
    </xf>
    <xf numFmtId="0" fontId="164" fillId="0" borderId="37" xfId="0" applyFont="1" applyBorder="1" applyAlignment="1">
      <alignment horizontal="center" vertical="center" shrinkToFit="1"/>
    </xf>
    <xf numFmtId="0" fontId="164" fillId="0" borderId="175" xfId="0" applyFont="1" applyBorder="1" applyAlignment="1">
      <alignment horizontal="center" vertical="center" wrapText="1"/>
    </xf>
    <xf numFmtId="0" fontId="164" fillId="0" borderId="176" xfId="0" applyFont="1" applyBorder="1" applyAlignment="1">
      <alignment horizontal="center" vertical="center" wrapText="1"/>
    </xf>
    <xf numFmtId="0" fontId="164" fillId="0" borderId="99" xfId="0" applyFont="1" applyBorder="1" applyAlignment="1">
      <alignment horizontal="center" vertical="center"/>
    </xf>
    <xf numFmtId="0" fontId="164" fillId="0" borderId="177" xfId="0" applyFont="1" applyBorder="1" applyAlignment="1">
      <alignment horizontal="center" vertical="center" wrapText="1"/>
    </xf>
    <xf numFmtId="0" fontId="164" fillId="0" borderId="99" xfId="0" applyFont="1" applyBorder="1" applyAlignment="1">
      <alignment horizontal="center" vertical="center" wrapText="1"/>
    </xf>
    <xf numFmtId="0" fontId="164" fillId="0" borderId="175" xfId="0" applyFont="1" applyBorder="1" applyAlignment="1">
      <alignment horizontal="center" vertical="center"/>
    </xf>
    <xf numFmtId="0" fontId="164" fillId="0" borderId="176" xfId="0" applyFont="1" applyBorder="1" applyAlignment="1">
      <alignment horizontal="center" vertical="center"/>
    </xf>
    <xf numFmtId="0" fontId="164" fillId="0" borderId="159" xfId="0" applyFont="1" applyBorder="1" applyAlignment="1">
      <alignment horizontal="center" vertical="center"/>
    </xf>
    <xf numFmtId="0" fontId="164" fillId="0" borderId="152" xfId="0" applyFont="1" applyBorder="1" applyAlignment="1">
      <alignment horizontal="center" vertical="center"/>
    </xf>
    <xf numFmtId="0" fontId="164" fillId="0" borderId="112" xfId="0" applyFont="1" applyBorder="1" applyAlignment="1">
      <alignment horizontal="center" vertical="center"/>
    </xf>
    <xf numFmtId="0" fontId="164" fillId="0" borderId="167" xfId="0" applyFont="1" applyBorder="1" applyAlignment="1">
      <alignment horizontal="center" vertical="center"/>
    </xf>
    <xf numFmtId="49" fontId="164" fillId="0" borderId="110" xfId="0" applyNumberFormat="1" applyFont="1" applyBorder="1" applyAlignment="1">
      <alignment horizontal="center" vertical="center"/>
    </xf>
    <xf numFmtId="49" fontId="164" fillId="0" borderId="112" xfId="0" applyNumberFormat="1" applyFont="1" applyBorder="1" applyAlignment="1">
      <alignment horizontal="center" vertical="center"/>
    </xf>
    <xf numFmtId="49" fontId="164" fillId="0" borderId="65" xfId="0" applyNumberFormat="1" applyFont="1" applyBorder="1" applyAlignment="1">
      <alignment horizontal="center" vertical="center"/>
    </xf>
    <xf numFmtId="0" fontId="164" fillId="0" borderId="64" xfId="0" applyFont="1" applyBorder="1" applyAlignment="1">
      <alignment horizontal="center" vertical="center"/>
    </xf>
    <xf numFmtId="0" fontId="123" fillId="0" borderId="65" xfId="0" applyFont="1" applyBorder="1" applyAlignment="1">
      <alignment horizontal="left" vertical="center" wrapText="1"/>
    </xf>
    <xf numFmtId="0" fontId="123" fillId="0" borderId="63" xfId="0" applyFont="1" applyBorder="1" applyAlignment="1">
      <alignment horizontal="left" vertical="center" wrapText="1"/>
    </xf>
    <xf numFmtId="49" fontId="123" fillId="0" borderId="161" xfId="0" applyNumberFormat="1" applyFont="1" applyBorder="1" applyAlignment="1">
      <alignment horizontal="left" vertical="center" wrapText="1"/>
    </xf>
    <xf numFmtId="49" fontId="123" fillId="0" borderId="63" xfId="0" applyNumberFormat="1" applyFont="1" applyBorder="1" applyAlignment="1">
      <alignment horizontal="left" vertical="center" wrapText="1"/>
    </xf>
    <xf numFmtId="49" fontId="123" fillId="0" borderId="64" xfId="0" applyNumberFormat="1" applyFont="1" applyBorder="1" applyAlignment="1">
      <alignment horizontal="left" vertical="center" wrapText="1"/>
    </xf>
    <xf numFmtId="0" fontId="164" fillId="0" borderId="65" xfId="0" applyFont="1" applyBorder="1" applyAlignment="1" applyProtection="1">
      <alignment horizontal="center" vertical="center"/>
      <protection locked="0"/>
    </xf>
    <xf numFmtId="0" fontId="164" fillId="0" borderId="64" xfId="0" applyFont="1" applyBorder="1" applyAlignment="1" applyProtection="1">
      <alignment horizontal="center" vertical="center"/>
      <protection locked="0"/>
    </xf>
    <xf numFmtId="0" fontId="164" fillId="0" borderId="65" xfId="0" applyFont="1" applyBorder="1" applyAlignment="1">
      <alignment vertical="center"/>
    </xf>
    <xf numFmtId="0" fontId="164" fillId="0" borderId="64" xfId="0" applyFont="1" applyBorder="1" applyAlignment="1">
      <alignment vertical="center"/>
    </xf>
    <xf numFmtId="182" fontId="123" fillId="0" borderId="113" xfId="1" applyNumberFormat="1" applyFont="1" applyFill="1" applyBorder="1" applyAlignment="1">
      <alignment horizontal="center" vertical="center"/>
    </xf>
    <xf numFmtId="182" fontId="123" fillId="0" borderId="151" xfId="1" applyNumberFormat="1" applyFont="1" applyFill="1" applyBorder="1" applyAlignment="1">
      <alignment horizontal="center" vertical="center"/>
    </xf>
    <xf numFmtId="182" fontId="123" fillId="0" borderId="114" xfId="1" applyNumberFormat="1" applyFont="1" applyFill="1" applyBorder="1" applyAlignment="1">
      <alignment horizontal="center" vertical="center"/>
    </xf>
    <xf numFmtId="182" fontId="123" fillId="0" borderId="115" xfId="1" applyNumberFormat="1" applyFont="1" applyFill="1" applyBorder="1" applyAlignment="1">
      <alignment horizontal="center" vertical="center"/>
    </xf>
    <xf numFmtId="49" fontId="123" fillId="0" borderId="65" xfId="0" applyNumberFormat="1" applyFont="1" applyBorder="1" applyAlignment="1">
      <alignment horizontal="center" vertical="center"/>
    </xf>
    <xf numFmtId="0" fontId="123" fillId="0" borderId="64" xfId="0" applyFont="1" applyBorder="1" applyAlignment="1">
      <alignment horizontal="center" vertical="center"/>
    </xf>
    <xf numFmtId="49" fontId="119" fillId="0" borderId="161" xfId="0" applyNumberFormat="1" applyFont="1" applyBorder="1" applyAlignment="1">
      <alignment horizontal="center" vertical="center" wrapText="1"/>
    </xf>
    <xf numFmtId="49" fontId="119" fillId="0" borderId="63" xfId="0" applyNumberFormat="1" applyFont="1" applyBorder="1" applyAlignment="1">
      <alignment horizontal="center" vertical="center" wrapText="1"/>
    </xf>
    <xf numFmtId="49" fontId="119" fillId="0" borderId="64" xfId="0" applyNumberFormat="1" applyFont="1" applyBorder="1" applyAlignment="1">
      <alignment horizontal="center" vertical="center" wrapText="1"/>
    </xf>
    <xf numFmtId="0" fontId="123" fillId="0" borderId="43" xfId="0" applyFont="1" applyBorder="1" applyAlignment="1" applyProtection="1">
      <alignment horizontal="center" vertical="center"/>
      <protection locked="0"/>
    </xf>
    <xf numFmtId="49" fontId="123" fillId="0" borderId="64" xfId="0" applyNumberFormat="1" applyFont="1" applyBorder="1" applyAlignment="1">
      <alignment horizontal="center" vertical="center"/>
    </xf>
    <xf numFmtId="182" fontId="120" fillId="0" borderId="113" xfId="1" applyNumberFormat="1" applyFont="1" applyFill="1" applyBorder="1" applyAlignment="1">
      <alignment horizontal="center" vertical="center"/>
    </xf>
    <xf numFmtId="182" fontId="120" fillId="0" borderId="151" xfId="1" applyNumberFormat="1" applyFont="1" applyFill="1" applyBorder="1" applyAlignment="1">
      <alignment horizontal="center" vertical="center"/>
    </xf>
    <xf numFmtId="182" fontId="120" fillId="0" borderId="114" xfId="1" applyNumberFormat="1" applyFont="1" applyFill="1" applyBorder="1" applyAlignment="1">
      <alignment horizontal="center" vertical="center"/>
    </xf>
    <xf numFmtId="182" fontId="120" fillId="0" borderId="115" xfId="1" applyNumberFormat="1" applyFont="1" applyFill="1" applyBorder="1" applyAlignment="1">
      <alignment horizontal="center" vertical="center"/>
    </xf>
    <xf numFmtId="182" fontId="120" fillId="0" borderId="65" xfId="1" applyNumberFormat="1" applyFont="1" applyFill="1" applyBorder="1" applyAlignment="1">
      <alignment horizontal="center" vertical="center"/>
    </xf>
    <xf numFmtId="182" fontId="120" fillId="0" borderId="63" xfId="1" applyNumberFormat="1" applyFont="1" applyFill="1" applyBorder="1" applyAlignment="1">
      <alignment horizontal="center" vertical="center"/>
    </xf>
    <xf numFmtId="182" fontId="120" fillId="0" borderId="64" xfId="1" applyNumberFormat="1" applyFont="1" applyFill="1" applyBorder="1" applyAlignment="1">
      <alignment horizontal="center" vertical="center"/>
    </xf>
    <xf numFmtId="0" fontId="164" fillId="0" borderId="65" xfId="0" applyFont="1" applyBorder="1" applyAlignment="1">
      <alignment horizontal="center" vertical="center"/>
    </xf>
    <xf numFmtId="0" fontId="164" fillId="0" borderId="65" xfId="0" applyFont="1" applyBorder="1" applyAlignment="1">
      <alignment horizontal="left" vertical="center" wrapText="1"/>
    </xf>
    <xf numFmtId="0" fontId="164" fillId="0" borderId="63" xfId="0" applyFont="1" applyBorder="1" applyAlignment="1">
      <alignment horizontal="left" vertical="center" wrapText="1"/>
    </xf>
    <xf numFmtId="49" fontId="164" fillId="0" borderId="64" xfId="0" applyNumberFormat="1" applyFont="1" applyBorder="1" applyAlignment="1">
      <alignment horizontal="center" vertical="center"/>
    </xf>
    <xf numFmtId="182" fontId="119" fillId="0" borderId="113" xfId="1" applyNumberFormat="1" applyFont="1" applyFill="1" applyBorder="1" applyAlignment="1">
      <alignment horizontal="center" vertical="center"/>
    </xf>
    <xf numFmtId="182" fontId="119" fillId="0" borderId="151" xfId="1" applyNumberFormat="1" applyFont="1" applyFill="1" applyBorder="1" applyAlignment="1">
      <alignment horizontal="center" vertical="center"/>
    </xf>
    <xf numFmtId="182" fontId="119" fillId="0" borderId="114" xfId="1" applyNumberFormat="1" applyFont="1" applyFill="1" applyBorder="1" applyAlignment="1">
      <alignment horizontal="center" vertical="center"/>
    </xf>
    <xf numFmtId="182" fontId="119" fillId="0" borderId="115" xfId="1" applyNumberFormat="1" applyFont="1" applyFill="1" applyBorder="1" applyAlignment="1">
      <alignment horizontal="center" vertical="center"/>
    </xf>
    <xf numFmtId="182" fontId="119" fillId="0" borderId="65" xfId="1" applyNumberFormat="1" applyFont="1" applyFill="1" applyBorder="1" applyAlignment="1">
      <alignment horizontal="center" vertical="center"/>
    </xf>
    <xf numFmtId="182" fontId="119" fillId="0" borderId="63" xfId="1" applyNumberFormat="1" applyFont="1" applyFill="1" applyBorder="1" applyAlignment="1">
      <alignment horizontal="center" vertical="center"/>
    </xf>
    <xf numFmtId="182" fontId="119" fillId="0" borderId="64" xfId="1" applyNumberFormat="1" applyFont="1" applyFill="1" applyBorder="1" applyAlignment="1">
      <alignment horizontal="center" vertical="center"/>
    </xf>
    <xf numFmtId="0" fontId="123" fillId="0" borderId="65" xfId="0" applyFont="1" applyBorder="1" applyAlignment="1">
      <alignment horizontal="center" vertical="center"/>
    </xf>
    <xf numFmtId="0" fontId="123" fillId="0" borderId="65" xfId="0" applyFont="1" applyBorder="1" applyAlignment="1" applyProtection="1">
      <alignment horizontal="center" vertical="center"/>
      <protection locked="0"/>
    </xf>
    <xf numFmtId="0" fontId="123" fillId="0" borderId="64" xfId="0" applyFont="1" applyBorder="1" applyAlignment="1" applyProtection="1">
      <alignment horizontal="center" vertical="center"/>
      <protection locked="0"/>
    </xf>
    <xf numFmtId="182" fontId="119" fillId="0" borderId="73" xfId="1" applyNumberFormat="1" applyFont="1" applyFill="1" applyBorder="1" applyAlignment="1">
      <alignment vertical="center"/>
    </xf>
    <xf numFmtId="182" fontId="119" fillId="0" borderId="0" xfId="1" applyNumberFormat="1" applyFont="1" applyFill="1" applyBorder="1" applyAlignment="1">
      <alignment vertical="center"/>
    </xf>
    <xf numFmtId="0" fontId="164" fillId="0" borderId="178" xfId="0" applyFont="1" applyBorder="1" applyAlignment="1">
      <alignment horizontal="center" vertical="center"/>
    </xf>
    <xf numFmtId="0" fontId="164" fillId="0" borderId="179" xfId="0" applyFont="1" applyBorder="1" applyAlignment="1">
      <alignment horizontal="center" vertical="center"/>
    </xf>
    <xf numFmtId="49" fontId="164" fillId="0" borderId="174" xfId="0" applyNumberFormat="1" applyFont="1" applyBorder="1" applyAlignment="1">
      <alignment horizontal="center" vertical="center" wrapText="1"/>
    </xf>
    <xf numFmtId="49" fontId="164" fillId="0" borderId="96" xfId="0" applyNumberFormat="1" applyFont="1" applyBorder="1" applyAlignment="1">
      <alignment horizontal="center" vertical="center" wrapText="1"/>
    </xf>
    <xf numFmtId="49" fontId="164" fillId="0" borderId="173" xfId="0" applyNumberFormat="1" applyFont="1" applyBorder="1" applyAlignment="1">
      <alignment horizontal="center" vertical="center" wrapText="1"/>
    </xf>
    <xf numFmtId="0" fontId="164" fillId="0" borderId="105" xfId="0" applyFont="1" applyBorder="1" applyAlignment="1">
      <alignment horizontal="center" vertical="center"/>
    </xf>
    <xf numFmtId="0" fontId="164" fillId="0" borderId="171" xfId="0" applyFont="1" applyBorder="1" applyAlignment="1">
      <alignment horizontal="center" vertical="center"/>
    </xf>
    <xf numFmtId="49" fontId="164" fillId="0" borderId="177" xfId="0" applyNumberFormat="1" applyFont="1" applyBorder="1" applyAlignment="1">
      <alignment horizontal="center" vertical="center" wrapText="1"/>
    </xf>
    <xf numFmtId="49" fontId="164" fillId="0" borderId="99" xfId="0" applyNumberFormat="1" applyFont="1" applyBorder="1" applyAlignment="1">
      <alignment horizontal="center" vertical="center" wrapText="1"/>
    </xf>
    <xf numFmtId="49" fontId="164" fillId="0" borderId="176" xfId="0" applyNumberFormat="1" applyFont="1" applyBorder="1" applyAlignment="1">
      <alignment horizontal="center" vertical="center" wrapText="1"/>
    </xf>
    <xf numFmtId="0" fontId="164" fillId="0" borderId="90" xfId="0" applyFont="1" applyBorder="1" applyAlignment="1">
      <alignment horizontal="center" vertical="center"/>
    </xf>
    <xf numFmtId="0" fontId="164" fillId="0" borderId="91" xfId="0" applyFont="1" applyBorder="1" applyAlignment="1">
      <alignment horizontal="center" vertical="center"/>
    </xf>
    <xf numFmtId="0" fontId="164" fillId="0" borderId="90" xfId="0" applyFont="1" applyBorder="1" applyAlignment="1">
      <alignment horizontal="center" vertical="center" wrapText="1"/>
    </xf>
    <xf numFmtId="0" fontId="164" fillId="0" borderId="91" xfId="0" applyFont="1" applyBorder="1" applyAlignment="1">
      <alignment horizontal="center" vertical="center" wrapText="1"/>
    </xf>
    <xf numFmtId="0" fontId="164" fillId="0" borderId="168" xfId="0" applyFont="1" applyBorder="1" applyAlignment="1">
      <alignment horizontal="center" vertical="center"/>
    </xf>
    <xf numFmtId="182" fontId="164" fillId="0" borderId="113" xfId="1" applyNumberFormat="1" applyFont="1" applyFill="1" applyBorder="1" applyAlignment="1">
      <alignment horizontal="center" vertical="center"/>
    </xf>
    <xf numFmtId="182" fontId="164" fillId="0" borderId="151" xfId="1" applyNumberFormat="1" applyFont="1" applyFill="1" applyBorder="1" applyAlignment="1">
      <alignment horizontal="center" vertical="center"/>
    </xf>
    <xf numFmtId="182" fontId="164" fillId="0" borderId="114" xfId="1" applyNumberFormat="1" applyFont="1" applyFill="1" applyBorder="1" applyAlignment="1">
      <alignment horizontal="center" vertical="center"/>
    </xf>
    <xf numFmtId="182" fontId="164" fillId="0" borderId="115" xfId="1" applyNumberFormat="1" applyFont="1" applyFill="1" applyBorder="1" applyAlignment="1">
      <alignment horizontal="center" vertical="center"/>
    </xf>
    <xf numFmtId="0" fontId="164" fillId="0" borderId="65" xfId="0" applyFont="1" applyBorder="1" applyAlignment="1">
      <alignment horizontal="left" vertical="center" wrapText="1" indent="1"/>
    </xf>
    <xf numFmtId="0" fontId="164" fillId="0" borderId="63" xfId="0" applyFont="1" applyBorder="1" applyAlignment="1">
      <alignment horizontal="left" vertical="center" wrapText="1" indent="1"/>
    </xf>
    <xf numFmtId="182" fontId="119" fillId="0" borderId="73" xfId="1" applyNumberFormat="1" applyFont="1" applyFill="1" applyBorder="1" applyAlignment="1">
      <alignment horizontal="center" vertical="center"/>
    </xf>
    <xf numFmtId="182" fontId="119" fillId="0" borderId="0" xfId="1" applyNumberFormat="1" applyFont="1" applyFill="1" applyBorder="1" applyAlignment="1">
      <alignment horizontal="center" vertical="center"/>
    </xf>
    <xf numFmtId="0" fontId="164" fillId="0" borderId="0" xfId="0" applyFont="1" applyAlignment="1">
      <alignment horizontal="right" vertical="center"/>
    </xf>
    <xf numFmtId="0" fontId="164" fillId="0" borderId="100" xfId="0" applyFont="1" applyBorder="1" applyAlignment="1">
      <alignment horizontal="left" vertical="center"/>
    </xf>
    <xf numFmtId="0" fontId="173" fillId="0" borderId="0" xfId="0" applyFont="1" applyAlignment="1">
      <alignment vertical="center"/>
    </xf>
    <xf numFmtId="0" fontId="164" fillId="0" borderId="99" xfId="0" applyFont="1" applyBorder="1" applyAlignment="1">
      <alignment vertical="center"/>
    </xf>
    <xf numFmtId="49" fontId="173" fillId="0" borderId="125" xfId="0" applyNumberFormat="1" applyFont="1" applyBorder="1" applyAlignment="1">
      <alignment vertical="center"/>
    </xf>
    <xf numFmtId="0" fontId="164" fillId="0" borderId="125" xfId="0" applyFont="1" applyBorder="1" applyAlignment="1">
      <alignment vertical="center"/>
    </xf>
    <xf numFmtId="0" fontId="173" fillId="0" borderId="125" xfId="0" applyFont="1" applyBorder="1" applyAlignment="1">
      <alignment horizontal="center" vertical="center"/>
    </xf>
    <xf numFmtId="0" fontId="163" fillId="0" borderId="0" xfId="0" applyFont="1" applyAlignment="1">
      <alignment horizontal="right" vertical="top"/>
    </xf>
    <xf numFmtId="0" fontId="174" fillId="0" borderId="0" xfId="0" applyFont="1" applyAlignment="1">
      <alignment horizontal="right" vertical="center"/>
    </xf>
    <xf numFmtId="0" fontId="168" fillId="0" borderId="0" xfId="0" applyFont="1"/>
    <xf numFmtId="0" fontId="119" fillId="0" borderId="0" xfId="0" applyFont="1" applyAlignment="1">
      <alignment horizontal="left"/>
    </xf>
    <xf numFmtId="0" fontId="168" fillId="0" borderId="0" xfId="0" applyFont="1" applyAlignment="1">
      <alignment horizontal="right"/>
    </xf>
    <xf numFmtId="0" fontId="116" fillId="0" borderId="0" xfId="0" applyFont="1" applyAlignment="1">
      <alignment horizontal="right" vertical="center"/>
    </xf>
    <xf numFmtId="0" fontId="170" fillId="0" borderId="0" xfId="0" applyFont="1" applyAlignment="1">
      <alignment horizontal="center"/>
    </xf>
    <xf numFmtId="0" fontId="164" fillId="0" borderId="37" xfId="0" applyFont="1" applyBorder="1" applyAlignment="1">
      <alignment horizontal="center" shrinkToFit="1"/>
    </xf>
    <xf numFmtId="0" fontId="164" fillId="0" borderId="168" xfId="0" applyFont="1" applyBorder="1" applyAlignment="1">
      <alignment horizontal="center" vertical="top"/>
    </xf>
    <xf numFmtId="0" fontId="164" fillId="0" borderId="168" xfId="0" applyFont="1" applyBorder="1" applyAlignment="1">
      <alignment horizontal="center" vertical="top" shrinkToFit="1"/>
    </xf>
    <xf numFmtId="0" fontId="164" fillId="0" borderId="110" xfId="0" applyFont="1" applyBorder="1" applyAlignment="1">
      <alignment horizontal="center" vertical="center"/>
    </xf>
    <xf numFmtId="0" fontId="164" fillId="0" borderId="110" xfId="0" applyFont="1" applyBorder="1" applyAlignment="1">
      <alignment horizontal="center" vertical="center" wrapText="1"/>
    </xf>
    <xf numFmtId="0" fontId="164" fillId="0" borderId="112" xfId="0" applyFont="1" applyBorder="1" applyAlignment="1">
      <alignment horizontal="center" vertical="center" wrapText="1"/>
    </xf>
    <xf numFmtId="0" fontId="119" fillId="0" borderId="161"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64" xfId="0" applyFont="1" applyBorder="1" applyAlignment="1">
      <alignment horizontal="center" vertical="center" wrapText="1"/>
    </xf>
    <xf numFmtId="0" fontId="164" fillId="0" borderId="163" xfId="0" applyFont="1" applyBorder="1" applyAlignment="1">
      <alignment horizontal="center" vertical="center"/>
    </xf>
    <xf numFmtId="0" fontId="164" fillId="0" borderId="164" xfId="0" applyFont="1" applyBorder="1" applyAlignment="1">
      <alignment horizontal="center" vertical="center"/>
    </xf>
    <xf numFmtId="0" fontId="164" fillId="0" borderId="163" xfId="0" applyFont="1" applyBorder="1" applyAlignment="1">
      <alignment horizontal="left" vertical="center" wrapText="1"/>
    </xf>
    <xf numFmtId="0" fontId="164" fillId="0" borderId="146" xfId="0" applyFont="1" applyBorder="1" applyAlignment="1">
      <alignment horizontal="left" vertical="center" wrapText="1"/>
    </xf>
    <xf numFmtId="0" fontId="119" fillId="0" borderId="156" xfId="0" applyFont="1" applyBorder="1" applyAlignment="1">
      <alignment horizontal="center" vertical="center" wrapText="1"/>
    </xf>
    <xf numFmtId="0" fontId="119" fillId="0" borderId="146" xfId="0" applyFont="1" applyBorder="1" applyAlignment="1">
      <alignment horizontal="center" vertical="center" wrapText="1"/>
    </xf>
    <xf numFmtId="0" fontId="119" fillId="0" borderId="164" xfId="0" applyFont="1" applyBorder="1" applyAlignment="1">
      <alignment horizontal="center" vertical="center" wrapText="1"/>
    </xf>
    <xf numFmtId="0" fontId="164" fillId="0" borderId="163" xfId="0" applyFont="1" applyBorder="1" applyAlignment="1" applyProtection="1">
      <alignment horizontal="center" vertical="center"/>
      <protection locked="0"/>
    </xf>
    <xf numFmtId="0" fontId="164" fillId="0" borderId="164" xfId="0" applyFont="1" applyBorder="1" applyAlignment="1" applyProtection="1">
      <alignment horizontal="center" vertical="center"/>
      <protection locked="0"/>
    </xf>
    <xf numFmtId="49" fontId="164" fillId="0" borderId="163" xfId="0" applyNumberFormat="1" applyFont="1" applyBorder="1" applyAlignment="1">
      <alignment horizontal="center" vertical="center"/>
    </xf>
    <xf numFmtId="49" fontId="164" fillId="0" borderId="164" xfId="0" applyNumberFormat="1" applyFont="1" applyBorder="1" applyAlignment="1">
      <alignment horizontal="center" vertical="center"/>
    </xf>
    <xf numFmtId="182" fontId="164" fillId="0" borderId="145" xfId="1" applyNumberFormat="1" applyFont="1" applyFill="1" applyBorder="1" applyAlignment="1">
      <alignment horizontal="center" vertical="center"/>
    </xf>
    <xf numFmtId="182" fontId="164" fillId="0" borderId="147" xfId="1" applyNumberFormat="1" applyFont="1" applyFill="1" applyBorder="1" applyAlignment="1">
      <alignment horizontal="center" vertical="center"/>
    </xf>
    <xf numFmtId="182" fontId="164" fillId="0" borderId="148" xfId="1" applyNumberFormat="1" applyFont="1" applyFill="1" applyBorder="1" applyAlignment="1">
      <alignment horizontal="center" vertical="center"/>
    </xf>
    <xf numFmtId="182" fontId="164" fillId="0" borderId="149" xfId="1" applyNumberFormat="1" applyFont="1" applyFill="1" applyBorder="1" applyAlignment="1">
      <alignment horizontal="center" vertical="center"/>
    </xf>
    <xf numFmtId="0" fontId="164" fillId="0" borderId="180" xfId="0" applyFont="1" applyBorder="1" applyAlignment="1">
      <alignment horizontal="center" vertical="center"/>
    </xf>
    <xf numFmtId="0" fontId="164" fillId="0" borderId="124" xfId="0" applyFont="1" applyBorder="1" applyAlignment="1">
      <alignment horizontal="center" vertical="center"/>
    </xf>
    <xf numFmtId="0" fontId="164" fillId="0" borderId="180" xfId="0" applyFont="1" applyBorder="1" applyAlignment="1">
      <alignment horizontal="left" vertical="center" wrapText="1"/>
    </xf>
    <xf numFmtId="0" fontId="164" fillId="0" borderId="100" xfId="0" applyFont="1" applyBorder="1" applyAlignment="1">
      <alignment horizontal="left" vertical="center" wrapText="1"/>
    </xf>
    <xf numFmtId="0" fontId="119" fillId="0" borderId="120" xfId="0" applyFont="1" applyBorder="1" applyAlignment="1">
      <alignment horizontal="center" vertical="center" wrapText="1"/>
    </xf>
    <xf numFmtId="0" fontId="119" fillId="0" borderId="100" xfId="0" applyFont="1" applyBorder="1" applyAlignment="1">
      <alignment horizontal="center" vertical="center" wrapText="1"/>
    </xf>
    <xf numFmtId="0" fontId="119" fillId="0" borderId="124" xfId="0" applyFont="1" applyBorder="1" applyAlignment="1">
      <alignment horizontal="center" vertical="center" wrapText="1"/>
    </xf>
    <xf numFmtId="0" fontId="164" fillId="0" borderId="180" xfId="0" applyFont="1" applyBorder="1" applyAlignment="1" applyProtection="1">
      <alignment horizontal="center" vertical="center"/>
      <protection locked="0"/>
    </xf>
    <xf numFmtId="0" fontId="164" fillId="0" borderId="124" xfId="0" applyFont="1" applyBorder="1" applyAlignment="1" applyProtection="1">
      <alignment horizontal="center" vertical="center"/>
      <protection locked="0"/>
    </xf>
    <xf numFmtId="49" fontId="164" fillId="0" borderId="180" xfId="0" applyNumberFormat="1" applyFont="1" applyBorder="1" applyAlignment="1">
      <alignment horizontal="center" vertical="center"/>
    </xf>
    <xf numFmtId="49" fontId="164" fillId="0" borderId="124" xfId="0" applyNumberFormat="1" applyFont="1" applyBorder="1" applyAlignment="1">
      <alignment horizontal="center" vertical="center"/>
    </xf>
    <xf numFmtId="182" fontId="164" fillId="0" borderId="119" xfId="1" applyNumberFormat="1" applyFont="1" applyFill="1" applyBorder="1" applyAlignment="1">
      <alignment horizontal="center" vertical="center"/>
    </xf>
    <xf numFmtId="182" fontId="164" fillId="0" borderId="123" xfId="1" applyNumberFormat="1" applyFont="1" applyFill="1" applyBorder="1" applyAlignment="1">
      <alignment horizontal="center" vertical="center"/>
    </xf>
    <xf numFmtId="182" fontId="164" fillId="0" borderId="122" xfId="1" applyNumberFormat="1" applyFont="1" applyFill="1" applyBorder="1" applyAlignment="1">
      <alignment horizontal="center" vertical="center"/>
    </xf>
    <xf numFmtId="182" fontId="164" fillId="0" borderId="150" xfId="1" applyNumberFormat="1" applyFont="1" applyFill="1" applyBorder="1" applyAlignment="1">
      <alignment horizontal="center" vertical="center"/>
    </xf>
    <xf numFmtId="0" fontId="164" fillId="0" borderId="167" xfId="0" applyFont="1" applyBorder="1" applyAlignment="1">
      <alignment horizontal="left" vertical="center" wrapText="1"/>
    </xf>
    <xf numFmtId="0" fontId="164" fillId="0" borderId="110" xfId="0" applyFont="1" applyBorder="1" applyAlignment="1">
      <alignment horizontal="left" vertical="center" wrapText="1"/>
    </xf>
    <xf numFmtId="0" fontId="119" fillId="0" borderId="109" xfId="0" applyFont="1" applyBorder="1" applyAlignment="1">
      <alignment horizontal="center" vertical="center" wrapText="1"/>
    </xf>
    <xf numFmtId="0" fontId="119" fillId="0" borderId="110" xfId="0" applyFont="1" applyBorder="1" applyAlignment="1">
      <alignment horizontal="center" vertical="center" wrapText="1"/>
    </xf>
    <xf numFmtId="0" fontId="119" fillId="0" borderId="112" xfId="0" applyFont="1" applyBorder="1" applyAlignment="1">
      <alignment horizontal="center" vertical="center" wrapText="1"/>
    </xf>
    <xf numFmtId="0" fontId="164" fillId="0" borderId="167" xfId="0" applyFont="1" applyBorder="1" applyAlignment="1" applyProtection="1">
      <alignment horizontal="center" vertical="center"/>
      <protection locked="0"/>
    </xf>
    <xf numFmtId="0" fontId="164" fillId="0" borderId="112" xfId="0" applyFont="1" applyBorder="1" applyAlignment="1" applyProtection="1">
      <alignment horizontal="center" vertical="center"/>
      <protection locked="0"/>
    </xf>
    <xf numFmtId="49" fontId="164" fillId="0" borderId="167" xfId="0" applyNumberFormat="1" applyFont="1" applyBorder="1" applyAlignment="1">
      <alignment horizontal="center" vertical="center"/>
    </xf>
    <xf numFmtId="182" fontId="164" fillId="0" borderId="126" xfId="1" applyNumberFormat="1" applyFont="1" applyFill="1" applyBorder="1" applyAlignment="1">
      <alignment horizontal="center" vertical="center"/>
    </xf>
    <xf numFmtId="182" fontId="164" fillId="0" borderId="111" xfId="1" applyNumberFormat="1" applyFont="1" applyFill="1" applyBorder="1" applyAlignment="1">
      <alignment horizontal="center" vertical="center"/>
    </xf>
    <xf numFmtId="182" fontId="164" fillId="0" borderId="127" xfId="1" applyNumberFormat="1" applyFont="1" applyFill="1" applyBorder="1" applyAlignment="1">
      <alignment horizontal="center" vertical="center"/>
    </xf>
    <xf numFmtId="182" fontId="164" fillId="0" borderId="162" xfId="1" applyNumberFormat="1" applyFont="1" applyFill="1" applyBorder="1" applyAlignment="1">
      <alignment horizontal="center" vertical="center"/>
    </xf>
    <xf numFmtId="0" fontId="164" fillId="0" borderId="181" xfId="0" applyFont="1" applyBorder="1" applyAlignment="1">
      <alignment horizontal="center" vertical="center"/>
    </xf>
    <xf numFmtId="0" fontId="164" fillId="0" borderId="182" xfId="0" applyFont="1" applyBorder="1" applyAlignment="1">
      <alignment horizontal="center" vertical="center"/>
    </xf>
    <xf numFmtId="0" fontId="164" fillId="0" borderId="181" xfId="0" applyFont="1" applyBorder="1" applyAlignment="1">
      <alignment horizontal="left" vertical="center" wrapText="1"/>
    </xf>
    <xf numFmtId="0" fontId="164" fillId="0" borderId="183" xfId="0" applyFont="1" applyBorder="1" applyAlignment="1">
      <alignment horizontal="left" vertical="center" wrapText="1"/>
    </xf>
    <xf numFmtId="0" fontId="119" fillId="0" borderId="184" xfId="0" applyFont="1" applyBorder="1" applyAlignment="1">
      <alignment horizontal="center" vertical="center" wrapText="1"/>
    </xf>
    <xf numFmtId="0" fontId="119" fillId="0" borderId="183" xfId="0" applyFont="1" applyBorder="1" applyAlignment="1">
      <alignment horizontal="center" vertical="center" wrapText="1"/>
    </xf>
    <xf numFmtId="0" fontId="119" fillId="0" borderId="182" xfId="0" applyFont="1" applyBorder="1" applyAlignment="1">
      <alignment horizontal="center" vertical="center" wrapText="1"/>
    </xf>
    <xf numFmtId="0" fontId="164" fillId="0" borderId="181" xfId="0" applyFont="1" applyBorder="1" applyAlignment="1" applyProtection="1">
      <alignment horizontal="center" vertical="center"/>
      <protection locked="0"/>
    </xf>
    <xf numFmtId="0" fontId="164" fillId="0" borderId="182" xfId="0" applyFont="1" applyBorder="1" applyAlignment="1" applyProtection="1">
      <alignment horizontal="center" vertical="center"/>
      <protection locked="0"/>
    </xf>
    <xf numFmtId="49" fontId="164" fillId="0" borderId="181" xfId="0" applyNumberFormat="1" applyFont="1" applyBorder="1" applyAlignment="1">
      <alignment horizontal="center" vertical="center"/>
    </xf>
    <xf numFmtId="49" fontId="164" fillId="0" borderId="182" xfId="0" applyNumberFormat="1" applyFont="1" applyBorder="1" applyAlignment="1">
      <alignment horizontal="center" vertical="center"/>
    </xf>
    <xf numFmtId="182" fontId="164" fillId="0" borderId="185" xfId="1" applyNumberFormat="1" applyFont="1" applyFill="1" applyBorder="1" applyAlignment="1">
      <alignment horizontal="center" vertical="center"/>
    </xf>
    <xf numFmtId="182" fontId="164" fillId="0" borderId="186" xfId="1" applyNumberFormat="1" applyFont="1" applyFill="1" applyBorder="1" applyAlignment="1">
      <alignment horizontal="center" vertical="center"/>
    </xf>
    <xf numFmtId="182" fontId="164" fillId="0" borderId="187" xfId="1" applyNumberFormat="1" applyFont="1" applyFill="1" applyBorder="1" applyAlignment="1">
      <alignment horizontal="center" vertical="center"/>
    </xf>
    <xf numFmtId="182" fontId="164" fillId="0" borderId="188" xfId="1" applyNumberFormat="1" applyFont="1" applyFill="1" applyBorder="1" applyAlignment="1">
      <alignment horizontal="center" vertical="center"/>
    </xf>
    <xf numFmtId="0" fontId="164" fillId="0" borderId="40" xfId="0" applyFont="1" applyBorder="1" applyAlignment="1">
      <alignment horizontal="center" vertical="center"/>
    </xf>
    <xf numFmtId="0" fontId="164" fillId="0" borderId="80" xfId="0" applyFont="1" applyBorder="1" applyAlignment="1">
      <alignment horizontal="center" vertical="center"/>
    </xf>
    <xf numFmtId="0" fontId="164" fillId="0" borderId="78" xfId="0" applyFont="1" applyBorder="1" applyAlignment="1">
      <alignment horizontal="center" vertical="center"/>
    </xf>
    <xf numFmtId="0" fontId="119" fillId="0" borderId="78" xfId="0" applyFont="1" applyBorder="1" applyAlignment="1">
      <alignment horizontal="center" vertical="center" wrapText="1"/>
    </xf>
    <xf numFmtId="0" fontId="119" fillId="0" borderId="79" xfId="0" applyFont="1" applyBorder="1" applyAlignment="1">
      <alignment horizontal="center" vertical="center" wrapText="1"/>
    </xf>
    <xf numFmtId="0" fontId="123" fillId="0" borderId="189" xfId="0" applyFont="1" applyBorder="1" applyAlignment="1">
      <alignment horizontal="center" vertical="center"/>
    </xf>
    <xf numFmtId="0" fontId="123" fillId="0" borderId="190" xfId="0" applyFont="1" applyBorder="1" applyAlignment="1">
      <alignment horizontal="center" vertical="center"/>
    </xf>
    <xf numFmtId="0" fontId="123" fillId="0" borderId="189" xfId="0" applyFont="1" applyBorder="1" applyAlignment="1">
      <alignment horizontal="left" vertical="center" wrapText="1"/>
    </xf>
    <xf numFmtId="0" fontId="123" fillId="0" borderId="191" xfId="0" applyFont="1" applyBorder="1" applyAlignment="1">
      <alignment horizontal="left" vertical="center" wrapText="1"/>
    </xf>
    <xf numFmtId="0" fontId="119" fillId="0" borderId="192" xfId="0" applyFont="1" applyBorder="1" applyAlignment="1">
      <alignment horizontal="center" vertical="center" wrapText="1"/>
    </xf>
    <xf numFmtId="0" fontId="119" fillId="0" borderId="191" xfId="0" applyFont="1" applyBorder="1" applyAlignment="1">
      <alignment horizontal="center" vertical="center" wrapText="1"/>
    </xf>
    <xf numFmtId="0" fontId="119" fillId="0" borderId="190" xfId="0" applyFont="1" applyBorder="1" applyAlignment="1">
      <alignment horizontal="center" vertical="center" wrapText="1"/>
    </xf>
    <xf numFmtId="0" fontId="123" fillId="0" borderId="189" xfId="0" applyFont="1" applyBorder="1" applyAlignment="1" applyProtection="1">
      <alignment horizontal="center" vertical="center"/>
      <protection locked="0"/>
    </xf>
    <xf numFmtId="0" fontId="123" fillId="0" borderId="190" xfId="0" applyFont="1" applyBorder="1" applyAlignment="1" applyProtection="1">
      <alignment horizontal="center" vertical="center"/>
      <protection locked="0"/>
    </xf>
    <xf numFmtId="49" fontId="164" fillId="0" borderId="189" xfId="0" applyNumberFormat="1" applyFont="1" applyBorder="1" applyAlignment="1">
      <alignment horizontal="center" vertical="center"/>
    </xf>
    <xf numFmtId="49" fontId="164" fillId="0" borderId="190" xfId="0" applyNumberFormat="1" applyFont="1" applyBorder="1" applyAlignment="1">
      <alignment horizontal="center" vertical="center"/>
    </xf>
    <xf numFmtId="182" fontId="123" fillId="0" borderId="193" xfId="1" applyNumberFormat="1" applyFont="1" applyFill="1" applyBorder="1" applyAlignment="1">
      <alignment horizontal="center" vertical="center"/>
    </xf>
    <xf numFmtId="182" fontId="123" fillId="0" borderId="194" xfId="1" applyNumberFormat="1" applyFont="1" applyFill="1" applyBorder="1" applyAlignment="1">
      <alignment horizontal="center" vertical="center"/>
    </xf>
    <xf numFmtId="182" fontId="123" fillId="0" borderId="195" xfId="1" applyNumberFormat="1" applyFont="1" applyFill="1" applyBorder="1" applyAlignment="1">
      <alignment horizontal="center" vertical="center"/>
    </xf>
    <xf numFmtId="182" fontId="123" fillId="0" borderId="196" xfId="1" applyNumberFormat="1" applyFont="1" applyFill="1" applyBorder="1" applyAlignment="1">
      <alignment horizontal="center" vertical="center"/>
    </xf>
    <xf numFmtId="0" fontId="123" fillId="0" borderId="197" xfId="0" applyFont="1" applyBorder="1" applyAlignment="1">
      <alignment horizontal="center" vertical="center"/>
    </xf>
    <xf numFmtId="0" fontId="123" fillId="0" borderId="198" xfId="0" applyFont="1" applyBorder="1" applyAlignment="1">
      <alignment horizontal="center" vertical="center"/>
    </xf>
    <xf numFmtId="0" fontId="123" fillId="0" borderId="197" xfId="0" applyFont="1" applyBorder="1" applyAlignment="1">
      <alignment horizontal="left" vertical="center" wrapText="1"/>
    </xf>
    <xf numFmtId="0" fontId="123" fillId="0" borderId="125" xfId="0" applyFont="1" applyBorder="1" applyAlignment="1">
      <alignment horizontal="left" vertical="center" wrapText="1"/>
    </xf>
    <xf numFmtId="0" fontId="119" fillId="0" borderId="199" xfId="0" applyFont="1" applyBorder="1" applyAlignment="1">
      <alignment horizontal="center" vertical="center" wrapText="1"/>
    </xf>
    <xf numFmtId="0" fontId="119" fillId="0" borderId="125" xfId="0" applyFont="1" applyBorder="1" applyAlignment="1">
      <alignment horizontal="center" vertical="center" wrapText="1"/>
    </xf>
    <xf numFmtId="0" fontId="119" fillId="0" borderId="198" xfId="0" applyFont="1" applyBorder="1" applyAlignment="1">
      <alignment horizontal="center" vertical="center" wrapText="1"/>
    </xf>
    <xf numFmtId="0" fontId="123" fillId="0" borderId="197" xfId="0" applyFont="1" applyBorder="1" applyAlignment="1" applyProtection="1">
      <alignment horizontal="center" vertical="center"/>
      <protection locked="0"/>
    </xf>
    <xf numFmtId="0" fontId="123" fillId="0" borderId="198" xfId="0" applyFont="1" applyBorder="1" applyAlignment="1" applyProtection="1">
      <alignment horizontal="center" vertical="center"/>
      <protection locked="0"/>
    </xf>
    <xf numFmtId="49" fontId="164" fillId="0" borderId="197" xfId="0" applyNumberFormat="1" applyFont="1" applyBorder="1" applyAlignment="1">
      <alignment horizontal="center" vertical="center"/>
    </xf>
    <xf numFmtId="49" fontId="164" fillId="0" borderId="198" xfId="0" applyNumberFormat="1" applyFont="1" applyBorder="1" applyAlignment="1">
      <alignment horizontal="center" vertical="center"/>
    </xf>
    <xf numFmtId="182" fontId="123" fillId="0" borderId="200" xfId="1" applyNumberFormat="1" applyFont="1" applyFill="1" applyBorder="1" applyAlignment="1">
      <alignment horizontal="center" vertical="center"/>
    </xf>
    <xf numFmtId="182" fontId="123" fillId="0" borderId="201" xfId="1" applyNumberFormat="1" applyFont="1" applyFill="1" applyBorder="1" applyAlignment="1">
      <alignment horizontal="center" vertical="center"/>
    </xf>
    <xf numFmtId="182" fontId="123" fillId="0" borderId="118" xfId="1" applyNumberFormat="1" applyFont="1" applyFill="1" applyBorder="1" applyAlignment="1">
      <alignment horizontal="center" vertical="center"/>
    </xf>
    <xf numFmtId="182" fontId="123" fillId="0" borderId="202" xfId="1" applyNumberFormat="1" applyFont="1" applyFill="1" applyBorder="1" applyAlignment="1">
      <alignment horizontal="center" vertical="center"/>
    </xf>
    <xf numFmtId="0" fontId="123" fillId="0" borderId="163" xfId="0" applyFont="1" applyBorder="1" applyAlignment="1">
      <alignment horizontal="center" vertical="center"/>
    </xf>
    <xf numFmtId="0" fontId="123" fillId="0" borderId="164" xfId="0" applyFont="1" applyBorder="1" applyAlignment="1">
      <alignment horizontal="center" vertical="center"/>
    </xf>
    <xf numFmtId="0" fontId="123" fillId="0" borderId="163" xfId="0" applyFont="1" applyBorder="1" applyAlignment="1">
      <alignment horizontal="left" vertical="center" wrapText="1"/>
    </xf>
    <xf numFmtId="0" fontId="123" fillId="0" borderId="146" xfId="0" applyFont="1" applyBorder="1" applyAlignment="1">
      <alignment horizontal="left" vertical="center" wrapText="1"/>
    </xf>
    <xf numFmtId="0" fontId="123" fillId="0" borderId="163" xfId="0" applyFont="1" applyBorder="1" applyAlignment="1" applyProtection="1">
      <alignment horizontal="center" vertical="center"/>
      <protection locked="0"/>
    </xf>
    <xf numFmtId="0" fontId="123" fillId="0" borderId="164" xfId="0" applyFont="1" applyBorder="1" applyAlignment="1" applyProtection="1">
      <alignment horizontal="center" vertical="center"/>
      <protection locked="0"/>
    </xf>
    <xf numFmtId="182" fontId="123" fillId="0" borderId="145" xfId="1" applyNumberFormat="1" applyFont="1" applyFill="1" applyBorder="1" applyAlignment="1">
      <alignment horizontal="center" vertical="center"/>
    </xf>
    <xf numFmtId="182" fontId="123" fillId="0" borderId="147" xfId="1" applyNumberFormat="1" applyFont="1" applyFill="1" applyBorder="1" applyAlignment="1">
      <alignment horizontal="center" vertical="center"/>
    </xf>
    <xf numFmtId="182" fontId="123" fillId="0" borderId="148" xfId="1" applyNumberFormat="1" applyFont="1" applyFill="1" applyBorder="1" applyAlignment="1">
      <alignment horizontal="center" vertical="center"/>
    </xf>
    <xf numFmtId="182" fontId="123" fillId="0" borderId="149" xfId="1" applyNumberFormat="1" applyFont="1" applyFill="1" applyBorder="1" applyAlignment="1">
      <alignment horizontal="center" vertical="center"/>
    </xf>
    <xf numFmtId="0" fontId="123" fillId="0" borderId="175" xfId="0" applyFont="1" applyBorder="1" applyAlignment="1">
      <alignment horizontal="center" vertical="center"/>
    </xf>
    <xf numFmtId="0" fontId="123" fillId="0" borderId="176" xfId="0" applyFont="1" applyBorder="1" applyAlignment="1">
      <alignment horizontal="center" vertical="center"/>
    </xf>
    <xf numFmtId="0" fontId="123" fillId="0" borderId="175" xfId="0" applyFont="1" applyBorder="1" applyAlignment="1">
      <alignment horizontal="left" vertical="center" wrapText="1"/>
    </xf>
    <xf numFmtId="0" fontId="123" fillId="0" borderId="99" xfId="0" applyFont="1" applyBorder="1" applyAlignment="1">
      <alignment horizontal="left" vertical="center" wrapText="1"/>
    </xf>
    <xf numFmtId="0" fontId="119" fillId="0" borderId="177" xfId="0" applyFont="1" applyBorder="1" applyAlignment="1">
      <alignment horizontal="center" vertical="center" wrapText="1"/>
    </xf>
    <xf numFmtId="0" fontId="119" fillId="0" borderId="99" xfId="0" applyFont="1" applyBorder="1" applyAlignment="1">
      <alignment horizontal="center" vertical="center" wrapText="1"/>
    </xf>
    <xf numFmtId="0" fontId="119" fillId="0" borderId="176" xfId="0" applyFont="1" applyBorder="1" applyAlignment="1">
      <alignment horizontal="center" vertical="center" wrapText="1"/>
    </xf>
    <xf numFmtId="0" fontId="123" fillId="0" borderId="175" xfId="0" applyFont="1" applyBorder="1" applyAlignment="1" applyProtection="1">
      <alignment horizontal="center" vertical="center"/>
      <protection locked="0"/>
    </xf>
    <xf numFmtId="0" fontId="123" fillId="0" borderId="176" xfId="0" applyFont="1" applyBorder="1" applyAlignment="1" applyProtection="1">
      <alignment horizontal="center" vertical="center"/>
      <protection locked="0"/>
    </xf>
    <xf numFmtId="49" fontId="164" fillId="0" borderId="175" xfId="0" applyNumberFormat="1" applyFont="1" applyBorder="1" applyAlignment="1">
      <alignment horizontal="center" vertical="center"/>
    </xf>
    <xf numFmtId="49" fontId="164" fillId="0" borderId="176" xfId="0" applyNumberFormat="1" applyFont="1" applyBorder="1" applyAlignment="1">
      <alignment horizontal="center" vertical="center"/>
    </xf>
    <xf numFmtId="182" fontId="123" fillId="0" borderId="203" xfId="1" applyNumberFormat="1" applyFont="1" applyFill="1" applyBorder="1" applyAlignment="1">
      <alignment horizontal="center" vertical="center"/>
    </xf>
    <xf numFmtId="182" fontId="123" fillId="0" borderId="121" xfId="1" applyNumberFormat="1" applyFont="1" applyFill="1" applyBorder="1" applyAlignment="1">
      <alignment horizontal="center" vertical="center"/>
    </xf>
    <xf numFmtId="182" fontId="123" fillId="0" borderId="116" xfId="1" applyNumberFormat="1" applyFont="1" applyFill="1" applyBorder="1" applyAlignment="1">
      <alignment horizontal="center" vertical="center"/>
    </xf>
    <xf numFmtId="182" fontId="123" fillId="0" borderId="204" xfId="1" applyNumberFormat="1" applyFont="1" applyFill="1" applyBorder="1" applyAlignment="1">
      <alignment horizontal="center" vertical="center"/>
    </xf>
    <xf numFmtId="0" fontId="123" fillId="0" borderId="181" xfId="0" applyFont="1" applyBorder="1" applyAlignment="1">
      <alignment horizontal="center" vertical="center"/>
    </xf>
    <xf numFmtId="0" fontId="123" fillId="0" borderId="182" xfId="0" applyFont="1" applyBorder="1" applyAlignment="1">
      <alignment horizontal="center" vertical="center"/>
    </xf>
    <xf numFmtId="0" fontId="123" fillId="0" borderId="181" xfId="0" applyFont="1" applyBorder="1" applyAlignment="1">
      <alignment horizontal="left" vertical="center" wrapText="1"/>
    </xf>
    <xf numFmtId="0" fontId="123" fillId="0" borderId="183" xfId="0" applyFont="1" applyBorder="1" applyAlignment="1">
      <alignment horizontal="left" vertical="center" wrapText="1"/>
    </xf>
    <xf numFmtId="0" fontId="123" fillId="0" borderId="181" xfId="0" applyFont="1" applyBorder="1" applyAlignment="1" applyProtection="1">
      <alignment horizontal="center" vertical="center"/>
      <protection locked="0"/>
    </xf>
    <xf numFmtId="0" fontId="123" fillId="0" borderId="182" xfId="0" applyFont="1" applyBorder="1" applyAlignment="1" applyProtection="1">
      <alignment horizontal="center" vertical="center"/>
      <protection locked="0"/>
    </xf>
    <xf numFmtId="182" fontId="123" fillId="0" borderId="185" xfId="1" applyNumberFormat="1" applyFont="1" applyFill="1" applyBorder="1" applyAlignment="1">
      <alignment horizontal="center" vertical="center"/>
    </xf>
    <xf numFmtId="182" fontId="123" fillId="0" borderId="186" xfId="1" applyNumberFormat="1" applyFont="1" applyFill="1" applyBorder="1" applyAlignment="1">
      <alignment horizontal="center" vertical="center"/>
    </xf>
    <xf numFmtId="182" fontId="123" fillId="0" borderId="187" xfId="1" applyNumberFormat="1" applyFont="1" applyFill="1" applyBorder="1" applyAlignment="1">
      <alignment horizontal="center" vertical="center"/>
    </xf>
    <xf numFmtId="182" fontId="123" fillId="0" borderId="188" xfId="1" applyNumberFormat="1" applyFont="1" applyFill="1" applyBorder="1" applyAlignment="1">
      <alignment horizontal="center" vertical="center"/>
    </xf>
    <xf numFmtId="0" fontId="123" fillId="0" borderId="84" xfId="0" applyFont="1" applyBorder="1" applyAlignment="1">
      <alignment horizontal="center" vertical="center"/>
    </xf>
    <xf numFmtId="0" fontId="123" fillId="0" borderId="83" xfId="0" applyFont="1" applyBorder="1" applyAlignment="1">
      <alignment horizontal="center" vertical="center"/>
    </xf>
    <xf numFmtId="0" fontId="164" fillId="0" borderId="84" xfId="0" applyFont="1" applyBorder="1" applyAlignment="1">
      <alignment horizontal="left" vertical="center" wrapText="1"/>
    </xf>
    <xf numFmtId="0" fontId="164" fillId="0" borderId="29" xfId="0" applyFont="1" applyBorder="1" applyAlignment="1">
      <alignment horizontal="left" vertical="center" wrapText="1"/>
    </xf>
    <xf numFmtId="0" fontId="119" fillId="0" borderId="165" xfId="0" applyFont="1" applyBorder="1" applyAlignment="1">
      <alignment horizontal="center" vertical="center" wrapText="1"/>
    </xf>
    <xf numFmtId="0" fontId="119" fillId="0" borderId="29" xfId="0" applyFont="1" applyBorder="1" applyAlignment="1">
      <alignment horizontal="center" vertical="center" wrapText="1"/>
    </xf>
    <xf numFmtId="0" fontId="119" fillId="0" borderId="83" xfId="0" applyFont="1" applyBorder="1" applyAlignment="1">
      <alignment horizontal="center" vertical="center" wrapText="1"/>
    </xf>
    <xf numFmtId="0" fontId="123" fillId="0" borderId="84" xfId="0" applyFont="1" applyBorder="1" applyAlignment="1" applyProtection="1">
      <alignment horizontal="center" vertical="center"/>
      <protection locked="0"/>
    </xf>
    <xf numFmtId="0" fontId="123" fillId="0" borderId="83" xfId="0" applyFont="1" applyBorder="1" applyAlignment="1" applyProtection="1">
      <alignment horizontal="center" vertical="center"/>
      <protection locked="0"/>
    </xf>
    <xf numFmtId="49" fontId="164" fillId="0" borderId="84" xfId="0" applyNumberFormat="1" applyFont="1" applyBorder="1" applyAlignment="1">
      <alignment horizontal="center" vertical="center"/>
    </xf>
    <xf numFmtId="49" fontId="164" fillId="0" borderId="83" xfId="0" applyNumberFormat="1" applyFont="1" applyBorder="1" applyAlignment="1">
      <alignment horizontal="center" vertical="center"/>
    </xf>
    <xf numFmtId="182" fontId="123" fillId="0" borderId="142" xfId="1" applyNumberFormat="1" applyFont="1" applyFill="1" applyBorder="1" applyAlignment="1">
      <alignment horizontal="center" vertical="center"/>
    </xf>
    <xf numFmtId="182" fontId="123" fillId="0" borderId="166" xfId="1" applyNumberFormat="1" applyFont="1" applyFill="1" applyBorder="1" applyAlignment="1">
      <alignment horizontal="center" vertical="center"/>
    </xf>
    <xf numFmtId="182" fontId="123" fillId="0" borderId="143" xfId="1" applyNumberFormat="1" applyFont="1" applyFill="1" applyBorder="1" applyAlignment="1">
      <alignment horizontal="center" vertical="center"/>
    </xf>
    <xf numFmtId="182" fontId="123" fillId="0" borderId="144" xfId="1" applyNumberFormat="1" applyFont="1" applyFill="1" applyBorder="1" applyAlignment="1">
      <alignment horizontal="center" vertical="center"/>
    </xf>
    <xf numFmtId="182" fontId="175" fillId="0" borderId="119" xfId="1" applyNumberFormat="1" applyFont="1" applyFill="1" applyBorder="1" applyAlignment="1">
      <alignment horizontal="center" vertical="center"/>
    </xf>
    <xf numFmtId="182" fontId="175" fillId="0" borderId="123" xfId="1" applyNumberFormat="1" applyFont="1" applyFill="1" applyBorder="1" applyAlignment="1">
      <alignment horizontal="center" vertical="center"/>
    </xf>
    <xf numFmtId="182" fontId="175" fillId="0" borderId="122" xfId="1" applyNumberFormat="1" applyFont="1" applyFill="1" applyBorder="1" applyAlignment="1">
      <alignment horizontal="center" vertical="center"/>
    </xf>
    <xf numFmtId="182" fontId="175" fillId="0" borderId="150" xfId="1" applyNumberFormat="1" applyFont="1" applyFill="1" applyBorder="1" applyAlignment="1">
      <alignment horizontal="center" vertical="center"/>
    </xf>
    <xf numFmtId="0" fontId="123" fillId="0" borderId="70" xfId="0" applyFont="1" applyBorder="1" applyAlignment="1">
      <alignment horizontal="center" vertical="center"/>
    </xf>
    <xf numFmtId="0" fontId="123" fillId="0" borderId="69" xfId="0" applyFont="1" applyBorder="1" applyAlignment="1">
      <alignment horizontal="center" vertical="center"/>
    </xf>
    <xf numFmtId="0" fontId="123" fillId="0" borderId="70" xfId="0" applyFont="1" applyBorder="1" applyAlignment="1">
      <alignment horizontal="left" vertical="center" wrapText="1"/>
    </xf>
    <xf numFmtId="0" fontId="123" fillId="0" borderId="68" xfId="0" applyFont="1" applyBorder="1" applyAlignment="1">
      <alignment horizontal="left" vertical="center" wrapText="1"/>
    </xf>
    <xf numFmtId="0" fontId="119" fillId="0" borderId="205" xfId="0" applyFont="1" applyBorder="1" applyAlignment="1">
      <alignment horizontal="center" vertical="center" wrapText="1"/>
    </xf>
    <xf numFmtId="0" fontId="119" fillId="0" borderId="68" xfId="0" applyFont="1" applyBorder="1" applyAlignment="1">
      <alignment horizontal="center" vertical="center" wrapText="1"/>
    </xf>
    <xf numFmtId="0" fontId="119" fillId="0" borderId="69" xfId="0" applyFont="1" applyBorder="1" applyAlignment="1">
      <alignment horizontal="center" vertical="center" wrapText="1"/>
    </xf>
    <xf numFmtId="0" fontId="123" fillId="0" borderId="70" xfId="0" applyFont="1" applyBorder="1" applyAlignment="1" applyProtection="1">
      <alignment horizontal="center" vertical="center"/>
      <protection locked="0"/>
    </xf>
    <xf numFmtId="0" fontId="123" fillId="0" borderId="69" xfId="0" applyFont="1" applyBorder="1" applyAlignment="1" applyProtection="1">
      <alignment horizontal="center" vertical="center"/>
      <protection locked="0"/>
    </xf>
    <xf numFmtId="49" fontId="164" fillId="0" borderId="70" xfId="0" applyNumberFormat="1" applyFont="1" applyBorder="1" applyAlignment="1">
      <alignment horizontal="center" vertical="center"/>
    </xf>
    <xf numFmtId="49" fontId="164" fillId="0" borderId="69" xfId="0" applyNumberFormat="1" applyFont="1" applyBorder="1" applyAlignment="1">
      <alignment horizontal="center" vertical="center"/>
    </xf>
    <xf numFmtId="182" fontId="123" fillId="0" borderId="206" xfId="1" applyNumberFormat="1" applyFont="1" applyFill="1" applyBorder="1" applyAlignment="1">
      <alignment horizontal="center" vertical="center"/>
    </xf>
    <xf numFmtId="182" fontId="123" fillId="0" borderId="207" xfId="1" applyNumberFormat="1" applyFont="1" applyFill="1" applyBorder="1" applyAlignment="1">
      <alignment horizontal="center" vertical="center"/>
    </xf>
    <xf numFmtId="182" fontId="123" fillId="0" borderId="208" xfId="1" applyNumberFormat="1" applyFont="1" applyFill="1" applyBorder="1" applyAlignment="1">
      <alignment horizontal="center" vertical="center"/>
    </xf>
    <xf numFmtId="182" fontId="123" fillId="0" borderId="209" xfId="1" applyNumberFormat="1" applyFont="1" applyFill="1" applyBorder="1" applyAlignment="1">
      <alignment horizontal="center" vertical="center"/>
    </xf>
    <xf numFmtId="0" fontId="176" fillId="0" borderId="0" xfId="52" applyFont="1"/>
    <xf numFmtId="0" fontId="116" fillId="0" borderId="0" xfId="52"/>
    <xf numFmtId="0" fontId="177" fillId="0" borderId="0" xfId="49" applyNumberFormat="1" applyFont="1" applyBorder="1" applyAlignment="1" applyProtection="1">
      <alignment horizontal="left"/>
      <protection locked="0"/>
    </xf>
    <xf numFmtId="0" fontId="178" fillId="0" borderId="0" xfId="49" applyNumberFormat="1" applyFont="1" applyBorder="1" applyAlignment="1" applyProtection="1">
      <alignment horizontal="left"/>
      <protection locked="0"/>
    </xf>
    <xf numFmtId="0" fontId="178" fillId="0" borderId="0" xfId="49" applyNumberFormat="1" applyFont="1" applyBorder="1" applyAlignment="1" applyProtection="1">
      <alignment horizontal="left"/>
    </xf>
    <xf numFmtId="0" fontId="179" fillId="0" borderId="0" xfId="50" applyFont="1"/>
    <xf numFmtId="1" fontId="180" fillId="0" borderId="0" xfId="50" applyNumberFormat="1" applyFont="1" applyAlignment="1">
      <alignment vertical="top" textRotation="90"/>
    </xf>
    <xf numFmtId="0" fontId="181" fillId="0" borderId="0" xfId="52" applyFont="1" applyAlignment="1">
      <alignment horizontal="center" vertical="top" textRotation="90"/>
    </xf>
    <xf numFmtId="0" fontId="182" fillId="0" borderId="0" xfId="50" applyFont="1" applyAlignment="1">
      <alignment horizontal="left" vertical="top"/>
    </xf>
    <xf numFmtId="0" fontId="183" fillId="0" borderId="0" xfId="50" applyFont="1" applyAlignment="1">
      <alignment horizontal="left" vertical="top"/>
    </xf>
    <xf numFmtId="0" fontId="184" fillId="0" borderId="0" xfId="49" applyNumberFormat="1" applyFont="1" applyBorder="1" applyAlignment="1" applyProtection="1">
      <alignment horizontal="left"/>
      <protection locked="0"/>
    </xf>
    <xf numFmtId="0" fontId="185" fillId="0" borderId="0" xfId="50" applyFont="1"/>
    <xf numFmtId="0" fontId="184" fillId="0" borderId="0" xfId="50" applyFont="1" applyAlignment="1" applyProtection="1">
      <alignment horizontal="left"/>
      <protection locked="0"/>
    </xf>
    <xf numFmtId="0" fontId="186" fillId="0" borderId="0" xfId="50" applyFont="1"/>
    <xf numFmtId="0" fontId="183" fillId="0" borderId="0" xfId="50" applyFont="1"/>
    <xf numFmtId="0" fontId="186" fillId="0" borderId="0" xfId="50" applyFont="1" applyAlignment="1">
      <alignment horizontal="right"/>
    </xf>
    <xf numFmtId="58" fontId="177" fillId="0" borderId="0" xfId="50" applyNumberFormat="1" applyFont="1" applyAlignment="1" applyProtection="1">
      <alignment horizontal="left"/>
      <protection locked="0"/>
    </xf>
    <xf numFmtId="0" fontId="187" fillId="0" borderId="0" xfId="50" applyFont="1"/>
    <xf numFmtId="0" fontId="183" fillId="0" borderId="0" xfId="50" applyFont="1" applyProtection="1">
      <protection locked="0"/>
    </xf>
    <xf numFmtId="0" fontId="187" fillId="0" borderId="0" xfId="50" applyFont="1" applyProtection="1">
      <protection locked="0"/>
    </xf>
    <xf numFmtId="0" fontId="188" fillId="0" borderId="0" xfId="50" applyFont="1" applyAlignment="1">
      <alignment horizontal="justify" vertical="center"/>
    </xf>
    <xf numFmtId="0" fontId="188" fillId="0" borderId="0" xfId="52" applyFont="1" applyAlignment="1">
      <alignment horizontal="justify" vertical="center"/>
    </xf>
    <xf numFmtId="0" fontId="188" fillId="0" borderId="0" xfId="52" applyFont="1" applyAlignment="1">
      <alignment horizontal="left" vertical="center" wrapText="1"/>
    </xf>
    <xf numFmtId="0" fontId="187" fillId="0" borderId="0" xfId="50" applyFont="1" applyAlignment="1">
      <alignment vertical="center"/>
    </xf>
    <xf numFmtId="0" fontId="186" fillId="0" borderId="0" xfId="50" applyFont="1" applyAlignment="1">
      <alignment vertical="center"/>
    </xf>
    <xf numFmtId="0" fontId="189" fillId="0" borderId="0" xfId="50" applyFont="1" applyAlignment="1">
      <alignment horizontal="center" vertical="center"/>
    </xf>
    <xf numFmtId="0" fontId="184" fillId="0" borderId="0" xfId="52" applyFont="1" applyAlignment="1" applyProtection="1">
      <alignment horizontal="center" vertical="top" shrinkToFit="1"/>
      <protection locked="0"/>
    </xf>
    <xf numFmtId="0" fontId="188" fillId="0" borderId="0" xfId="52" applyFont="1" applyAlignment="1">
      <alignment horizontal="left" wrapText="1"/>
    </xf>
    <xf numFmtId="0" fontId="190" fillId="0" borderId="0" xfId="52" applyFont="1"/>
    <xf numFmtId="0" fontId="188" fillId="0" borderId="0" xfId="52" applyFont="1"/>
    <xf numFmtId="188" fontId="191" fillId="0" borderId="0" xfId="50" applyNumberFormat="1" applyFont="1" applyAlignment="1" applyProtection="1">
      <alignment horizontal="right"/>
      <protection locked="0"/>
    </xf>
    <xf numFmtId="0" fontId="188" fillId="0" borderId="0" xfId="50" applyFont="1"/>
    <xf numFmtId="189" fontId="176" fillId="0" borderId="0" xfId="50" applyNumberFormat="1" applyFont="1"/>
    <xf numFmtId="0" fontId="176" fillId="0" borderId="0" xfId="50" applyFont="1"/>
    <xf numFmtId="3" fontId="191" fillId="0" borderId="0" xfId="50" applyNumberFormat="1" applyFont="1" applyProtection="1">
      <protection locked="0"/>
    </xf>
    <xf numFmtId="0" fontId="192" fillId="0" borderId="0" xfId="50" applyFont="1"/>
    <xf numFmtId="0" fontId="191" fillId="0" borderId="0" xfId="52" applyFont="1"/>
    <xf numFmtId="0" fontId="192" fillId="0" borderId="0" xfId="52" applyFont="1"/>
    <xf numFmtId="0" fontId="183" fillId="0" borderId="0" xfId="52" applyFont="1"/>
    <xf numFmtId="3" fontId="192" fillId="0" borderId="0" xfId="50" applyNumberFormat="1" applyFont="1"/>
    <xf numFmtId="0" fontId="193" fillId="0" borderId="0" xfId="50" applyFont="1" applyAlignment="1">
      <alignment horizontal="left" vertical="center"/>
    </xf>
    <xf numFmtId="0" fontId="192" fillId="0" borderId="0" xfId="50" applyFont="1" applyAlignment="1">
      <alignment horizontal="right" vertical="center"/>
    </xf>
    <xf numFmtId="3" fontId="192" fillId="0" borderId="0" xfId="52" applyNumberFormat="1" applyFont="1"/>
    <xf numFmtId="3" fontId="191" fillId="0" borderId="0" xfId="52" applyNumberFormat="1" applyFont="1" applyProtection="1">
      <protection locked="0"/>
    </xf>
    <xf numFmtId="0" fontId="177" fillId="0" borderId="0" xfId="52" applyFont="1" applyAlignment="1">
      <alignment horizontal="center" vertical="center"/>
    </xf>
    <xf numFmtId="0" fontId="176" fillId="0" borderId="29" xfId="52" applyFont="1" applyBorder="1" applyProtection="1">
      <protection locked="0"/>
    </xf>
    <xf numFmtId="0" fontId="184" fillId="0" borderId="0" xfId="52" applyFont="1" applyAlignment="1" applyProtection="1">
      <alignment horizontal="right"/>
      <protection locked="0"/>
    </xf>
    <xf numFmtId="0" fontId="182" fillId="0" borderId="0" xfId="52" applyFont="1" applyAlignment="1">
      <alignment horizontal="right"/>
    </xf>
    <xf numFmtId="0" fontId="194" fillId="0" borderId="0" xfId="52" applyFont="1"/>
    <xf numFmtId="0" fontId="195" fillId="0" borderId="0" xfId="52" applyFont="1" applyAlignment="1">
      <alignment horizontal="center" vertical="center"/>
    </xf>
    <xf numFmtId="0" fontId="176" fillId="0" borderId="0" xfId="0" applyFont="1"/>
    <xf numFmtId="0" fontId="181" fillId="0" borderId="0" xfId="0" applyFont="1" applyAlignment="1">
      <alignment horizontal="center" vertical="top" textRotation="90"/>
    </xf>
    <xf numFmtId="2" fontId="184" fillId="0" borderId="0" xfId="50" applyNumberFormat="1" applyFont="1" applyAlignment="1" applyProtection="1">
      <alignment horizontal="left"/>
      <protection locked="0"/>
    </xf>
    <xf numFmtId="0" fontId="188" fillId="0" borderId="0" xfId="0" applyFont="1" applyAlignment="1">
      <alignment horizontal="justify" vertical="center"/>
    </xf>
    <xf numFmtId="0" fontId="188" fillId="0" borderId="0" xfId="0" applyFont="1" applyAlignment="1">
      <alignment horizontal="left" vertical="center" wrapText="1"/>
    </xf>
    <xf numFmtId="0" fontId="184" fillId="0" borderId="0" xfId="0" applyFont="1" applyAlignment="1" applyProtection="1">
      <alignment horizontal="center" vertical="top" shrinkToFit="1"/>
      <protection locked="0"/>
    </xf>
    <xf numFmtId="0" fontId="188" fillId="0" borderId="0" xfId="0" applyFont="1" applyAlignment="1">
      <alignment horizontal="left" wrapText="1"/>
    </xf>
    <xf numFmtId="0" fontId="190" fillId="0" borderId="0" xfId="0" applyFont="1"/>
    <xf numFmtId="0" fontId="188" fillId="0" borderId="0" xfId="0" applyFont="1"/>
    <xf numFmtId="190" fontId="191" fillId="0" borderId="0" xfId="50" applyNumberFormat="1" applyFont="1" applyAlignment="1" applyProtection="1">
      <alignment horizontal="right"/>
      <protection locked="0"/>
    </xf>
    <xf numFmtId="0" fontId="191" fillId="0" borderId="0" xfId="0" applyFont="1"/>
    <xf numFmtId="0" fontId="192" fillId="0" borderId="0" xfId="0" applyFont="1"/>
    <xf numFmtId="0" fontId="183" fillId="0" borderId="0" xfId="0" applyFont="1"/>
    <xf numFmtId="3" fontId="192" fillId="0" borderId="0" xfId="0" applyNumberFormat="1" applyFont="1"/>
    <xf numFmtId="3" fontId="191" fillId="0" borderId="0" xfId="0" applyNumberFormat="1" applyFont="1" applyProtection="1">
      <protection locked="0"/>
    </xf>
    <xf numFmtId="0" fontId="177" fillId="0" borderId="0" xfId="0" applyFont="1" applyAlignment="1">
      <alignment horizontal="center" vertical="center"/>
    </xf>
    <xf numFmtId="0" fontId="176" fillId="0" borderId="29" xfId="0" applyFont="1" applyBorder="1" applyProtection="1">
      <protection locked="0"/>
    </xf>
    <xf numFmtId="0" fontId="184" fillId="0" borderId="0" xfId="0" applyFont="1" applyAlignment="1" applyProtection="1">
      <alignment horizontal="right"/>
      <protection locked="0"/>
    </xf>
    <xf numFmtId="0" fontId="182" fillId="0" borderId="0" xfId="0" applyFont="1" applyAlignment="1">
      <alignment horizontal="right"/>
    </xf>
    <xf numFmtId="0" fontId="194" fillId="0" borderId="0" xfId="0" applyFont="1"/>
    <xf numFmtId="0" fontId="195" fillId="0" borderId="0" xfId="0" applyFont="1" applyAlignment="1">
      <alignment horizontal="center" vertical="center"/>
    </xf>
    <xf numFmtId="0" fontId="80" fillId="0" borderId="0" xfId="0" applyFont="1" applyAlignment="1">
      <alignment horizontal="justify" vertical="center"/>
    </xf>
    <xf numFmtId="0" fontId="149" fillId="0" borderId="0" xfId="0" applyFont="1" applyAlignment="1">
      <alignment horizontal="center"/>
    </xf>
    <xf numFmtId="43" fontId="149" fillId="0" borderId="0" xfId="1" applyFont="1" applyBorder="1" applyAlignment="1">
      <alignment horizontal="left"/>
    </xf>
    <xf numFmtId="43" fontId="196" fillId="0" borderId="0" xfId="1" applyFont="1" applyBorder="1" applyAlignment="1">
      <alignment horizontal="left"/>
    </xf>
    <xf numFmtId="0" fontId="196" fillId="0" borderId="0" xfId="0" applyFont="1"/>
    <xf numFmtId="0" fontId="197" fillId="0" borderId="0" xfId="0" applyFont="1" applyAlignment="1">
      <alignment horizontal="right"/>
    </xf>
    <xf numFmtId="0" fontId="198" fillId="0" borderId="0" xfId="0" applyFont="1" applyAlignment="1">
      <alignment horizontal="center"/>
    </xf>
    <xf numFmtId="0" fontId="198" fillId="0" borderId="0" xfId="0" applyFont="1"/>
    <xf numFmtId="0" fontId="199" fillId="0" borderId="0" xfId="0" applyFont="1"/>
    <xf numFmtId="0" fontId="74" fillId="0" borderId="0" xfId="0" applyFont="1" applyAlignment="1">
      <alignment horizontal="justify" vertical="center" wrapText="1"/>
    </xf>
    <xf numFmtId="0" fontId="200" fillId="0" borderId="0" xfId="0" applyFont="1" applyAlignment="1">
      <alignment horizontal="left" wrapText="1"/>
    </xf>
    <xf numFmtId="0" fontId="201" fillId="14" borderId="101" xfId="0" applyFont="1" applyFill="1" applyBorder="1"/>
    <xf numFmtId="0" fontId="77" fillId="14" borderId="104" xfId="0" applyFont="1" applyFill="1" applyBorder="1" applyAlignment="1">
      <alignment horizontal="center"/>
    </xf>
    <xf numFmtId="0" fontId="73" fillId="14" borderId="104" xfId="0" applyFont="1" applyFill="1" applyBorder="1" applyAlignment="1">
      <alignment horizontal="center"/>
    </xf>
    <xf numFmtId="0" fontId="73" fillId="14" borderId="141" xfId="0" applyFont="1" applyFill="1" applyBorder="1" applyAlignment="1">
      <alignment horizontal="center"/>
    </xf>
    <xf numFmtId="0" fontId="201" fillId="14" borderId="142" xfId="0" applyFont="1" applyFill="1" applyBorder="1"/>
    <xf numFmtId="0" fontId="73" fillId="14" borderId="143" xfId="0" applyFont="1" applyFill="1" applyBorder="1" applyAlignment="1">
      <alignment horizontal="center"/>
    </xf>
    <xf numFmtId="0" fontId="73" fillId="14" borderId="144" xfId="0" applyFont="1" applyFill="1" applyBorder="1" applyAlignment="1">
      <alignment horizontal="center"/>
    </xf>
    <xf numFmtId="0" fontId="201" fillId="14" borderId="113" xfId="0" applyFont="1" applyFill="1" applyBorder="1" applyAlignment="1">
      <alignment horizontal="center"/>
    </xf>
    <xf numFmtId="0" fontId="201" fillId="14" borderId="114" xfId="0" applyFont="1" applyFill="1" applyBorder="1" applyAlignment="1">
      <alignment horizontal="center"/>
    </xf>
    <xf numFmtId="0" fontId="201" fillId="14" borderId="115" xfId="0" applyFont="1" applyFill="1" applyBorder="1" applyAlignment="1">
      <alignment horizontal="center"/>
    </xf>
    <xf numFmtId="0" fontId="202" fillId="0" borderId="145" xfId="0" applyFont="1" applyBorder="1"/>
    <xf numFmtId="0" fontId="202" fillId="0" borderId="146" xfId="0" applyFont="1" applyBorder="1" applyAlignment="1" applyProtection="1">
      <alignment horizontal="left"/>
      <protection locked="0"/>
    </xf>
    <xf numFmtId="0" fontId="98" fillId="0" borderId="146" xfId="0" applyFont="1" applyBorder="1"/>
    <xf numFmtId="0" fontId="202" fillId="0" borderId="146" xfId="0" applyFont="1" applyBorder="1"/>
    <xf numFmtId="0" fontId="203" fillId="0" borderId="146" xfId="0" applyFont="1" applyBorder="1" applyAlignment="1">
      <alignment horizontal="center"/>
    </xf>
    <xf numFmtId="0" fontId="203" fillId="0" borderId="147" xfId="0" applyFont="1" applyBorder="1" applyAlignment="1">
      <alignment horizontal="center"/>
    </xf>
    <xf numFmtId="182" fontId="202" fillId="0" borderId="148" xfId="1" applyNumberFormat="1" applyFont="1" applyFill="1" applyBorder="1" applyAlignment="1" applyProtection="1">
      <alignment horizontal="center"/>
      <protection locked="0"/>
    </xf>
    <xf numFmtId="182" fontId="202" fillId="0" borderId="148" xfId="1" applyNumberFormat="1" applyFont="1" applyBorder="1" applyAlignment="1">
      <alignment horizontal="center"/>
    </xf>
    <xf numFmtId="182" fontId="202" fillId="0" borderId="149" xfId="1" applyNumberFormat="1" applyFont="1" applyBorder="1" applyAlignment="1">
      <alignment horizontal="center"/>
    </xf>
    <xf numFmtId="0" fontId="202" fillId="0" borderId="119" xfId="0" applyFont="1" applyBorder="1"/>
    <xf numFmtId="0" fontId="202" fillId="0" borderId="100" xfId="0" applyFont="1" applyBorder="1" applyAlignment="1" applyProtection="1">
      <alignment horizontal="left"/>
      <protection locked="0"/>
    </xf>
    <xf numFmtId="0" fontId="98" fillId="0" borderId="100" xfId="0" applyFont="1" applyBorder="1"/>
    <xf numFmtId="0" fontId="202" fillId="0" borderId="100" xfId="0" applyFont="1" applyBorder="1"/>
    <xf numFmtId="0" fontId="203" fillId="0" borderId="100" xfId="0" applyFont="1" applyBorder="1" applyAlignment="1">
      <alignment horizontal="center"/>
    </xf>
    <xf numFmtId="0" fontId="203" fillId="0" borderId="123" xfId="0" applyFont="1" applyBorder="1" applyAlignment="1">
      <alignment horizontal="center"/>
    </xf>
    <xf numFmtId="182" fontId="202" fillId="0" borderId="122" xfId="1" applyNumberFormat="1" applyFont="1" applyFill="1" applyBorder="1" applyAlignment="1" applyProtection="1">
      <alignment horizontal="center"/>
      <protection locked="0"/>
    </xf>
    <xf numFmtId="182" fontId="202" fillId="0" borderId="122" xfId="1" applyNumberFormat="1" applyFont="1" applyBorder="1" applyAlignment="1">
      <alignment horizontal="center"/>
    </xf>
    <xf numFmtId="182" fontId="202" fillId="0" borderId="150" xfId="1" applyNumberFormat="1" applyFont="1" applyBorder="1" applyAlignment="1">
      <alignment horizontal="center"/>
    </xf>
    <xf numFmtId="0" fontId="202" fillId="0" borderId="126" xfId="0" applyFont="1" applyBorder="1"/>
    <xf numFmtId="0" fontId="202" fillId="0" borderId="110" xfId="0" applyFont="1" applyBorder="1" applyAlignment="1" applyProtection="1">
      <alignment horizontal="left"/>
      <protection locked="0"/>
    </xf>
    <xf numFmtId="0" fontId="98" fillId="0" borderId="110" xfId="0" applyFont="1" applyBorder="1"/>
    <xf numFmtId="0" fontId="202" fillId="0" borderId="110" xfId="0" applyFont="1" applyBorder="1"/>
    <xf numFmtId="0" fontId="203" fillId="0" borderId="110" xfId="0" applyFont="1" applyBorder="1" applyAlignment="1">
      <alignment horizontal="center"/>
    </xf>
    <xf numFmtId="0" fontId="203" fillId="0" borderId="111" xfId="0" applyFont="1" applyBorder="1" applyAlignment="1">
      <alignment horizontal="center"/>
    </xf>
    <xf numFmtId="182" fontId="202" fillId="0" borderId="127" xfId="1" applyNumberFormat="1" applyFont="1" applyFill="1" applyBorder="1" applyAlignment="1" applyProtection="1">
      <alignment horizontal="center"/>
      <protection locked="0"/>
    </xf>
    <xf numFmtId="182" fontId="202" fillId="0" borderId="127" xfId="1" applyNumberFormat="1" applyFont="1" applyBorder="1" applyAlignment="1">
      <alignment horizontal="center"/>
    </xf>
    <xf numFmtId="182" fontId="202" fillId="0" borderId="162" xfId="1" applyNumberFormat="1" applyFont="1" applyBorder="1" applyAlignment="1">
      <alignment horizontal="center"/>
    </xf>
    <xf numFmtId="0" fontId="200" fillId="0" borderId="0" xfId="0" applyFont="1"/>
    <xf numFmtId="0" fontId="200" fillId="0" borderId="0" xfId="0" applyFont="1" applyAlignment="1">
      <alignment horizontal="justify" vertical="top" wrapText="1"/>
    </xf>
    <xf numFmtId="0" fontId="76" fillId="0" borderId="0" xfId="0" applyFont="1"/>
    <xf numFmtId="0" fontId="73" fillId="0" borderId="99" xfId="0" applyFont="1" applyBorder="1"/>
    <xf numFmtId="43" fontId="204" fillId="0" borderId="125" xfId="1" applyFont="1" applyFill="1" applyBorder="1" applyAlignment="1">
      <alignment horizontal="left"/>
    </xf>
    <xf numFmtId="0" fontId="152" fillId="0" borderId="0" xfId="0" applyFont="1" applyAlignment="1">
      <alignment vertical="center"/>
    </xf>
    <xf numFmtId="0" fontId="80" fillId="0" borderId="0" xfId="0" applyFont="1" applyAlignment="1">
      <alignment vertical="center"/>
    </xf>
    <xf numFmtId="0" fontId="164" fillId="0" borderId="0" xfId="0" applyFont="1" applyAlignment="1">
      <alignment vertical="top"/>
    </xf>
    <xf numFmtId="0" fontId="172" fillId="0" borderId="0" xfId="0" applyFont="1" applyAlignment="1">
      <alignment vertical="top"/>
    </xf>
    <xf numFmtId="0" fontId="152" fillId="0" borderId="0" xfId="0" applyFont="1" applyAlignment="1">
      <alignment vertical="top"/>
    </xf>
    <xf numFmtId="0" fontId="122" fillId="0" borderId="0" xfId="0" applyFont="1" applyAlignment="1">
      <alignment vertical="top"/>
    </xf>
    <xf numFmtId="0" fontId="123" fillId="0" borderId="0" xfId="0" applyFont="1" applyAlignment="1">
      <alignment vertical="top"/>
    </xf>
    <xf numFmtId="0" fontId="120" fillId="0" borderId="0" xfId="0" applyFont="1" applyAlignment="1">
      <alignment horizontal="left" vertical="top"/>
    </xf>
    <xf numFmtId="0" fontId="162" fillId="0" borderId="0" xfId="0" applyFont="1" applyAlignment="1">
      <alignment horizontal="left" vertical="top"/>
    </xf>
    <xf numFmtId="0" fontId="120" fillId="0" borderId="0" xfId="0" applyFont="1" applyAlignment="1">
      <alignment vertical="top"/>
    </xf>
    <xf numFmtId="0" fontId="205" fillId="0" borderId="0" xfId="0" applyFont="1" applyAlignment="1">
      <alignment horizontal="right" vertical="top"/>
    </xf>
    <xf numFmtId="0" fontId="206" fillId="0" borderId="0" xfId="0" applyFont="1" applyAlignment="1">
      <alignment horizontal="right" vertical="top"/>
    </xf>
    <xf numFmtId="0" fontId="80" fillId="0" borderId="0" xfId="0" applyFont="1" applyAlignment="1">
      <alignment horizontal="right" vertical="top"/>
    </xf>
    <xf numFmtId="0" fontId="207" fillId="0" borderId="0" xfId="0" applyFont="1" applyAlignment="1">
      <alignment horizontal="center" vertical="top"/>
    </xf>
    <xf numFmtId="0" fontId="154" fillId="0" borderId="0" xfId="0" applyFont="1" applyAlignment="1">
      <alignment horizontal="center" vertical="top"/>
    </xf>
    <xf numFmtId="0" fontId="150" fillId="0" borderId="0" xfId="0" applyFont="1" applyAlignment="1">
      <alignment horizontal="center" vertical="center"/>
    </xf>
    <xf numFmtId="0" fontId="164" fillId="0" borderId="0" xfId="0" applyFont="1"/>
    <xf numFmtId="0" fontId="164" fillId="0" borderId="0" xfId="0" applyFont="1" applyAlignment="1">
      <alignment horizontal="right"/>
    </xf>
    <xf numFmtId="0" fontId="123" fillId="0" borderId="0" xfId="0" applyFont="1" applyAlignment="1">
      <alignment horizontal="right" vertical="top"/>
    </xf>
    <xf numFmtId="0" fontId="160" fillId="0" borderId="0" xfId="0" applyFont="1" applyAlignment="1">
      <alignment horizontal="right" vertical="top"/>
    </xf>
    <xf numFmtId="0" fontId="208" fillId="0" borderId="0" xfId="0" applyFont="1" applyAlignment="1">
      <alignment horizontal="left" vertical="center"/>
    </xf>
    <xf numFmtId="0" fontId="164" fillId="0" borderId="0" xfId="0" applyFont="1" applyAlignment="1">
      <alignment horizontal="justify" vertical="top"/>
    </xf>
    <xf numFmtId="0" fontId="164" fillId="0" borderId="0" xfId="0" applyFont="1" applyAlignment="1">
      <alignment horizontal="left" vertical="top"/>
    </xf>
    <xf numFmtId="0" fontId="164" fillId="0" borderId="0" xfId="0" applyFont="1" applyAlignment="1">
      <alignment horizontal="justify"/>
    </xf>
    <xf numFmtId="0" fontId="208" fillId="0" borderId="0" xfId="0" applyFont="1" applyAlignment="1">
      <alignment horizontal="left"/>
    </xf>
    <xf numFmtId="0" fontId="209" fillId="0" borderId="0" xfId="0" applyFont="1" applyAlignment="1">
      <alignment horizontal="left"/>
    </xf>
    <xf numFmtId="0" fontId="210" fillId="0" borderId="0" xfId="0" applyFont="1" applyAlignment="1">
      <alignment horizontal="left"/>
    </xf>
    <xf numFmtId="0" fontId="164" fillId="0" borderId="0" xfId="0" applyFont="1" applyAlignment="1">
      <alignment horizontal="justify" wrapText="1"/>
    </xf>
    <xf numFmtId="0" fontId="164" fillId="0" borderId="0" xfId="0" applyFont="1" applyAlignment="1">
      <alignment horizontal="left"/>
    </xf>
    <xf numFmtId="0" fontId="209" fillId="0" borderId="0" xfId="0" applyFont="1" applyAlignment="1">
      <alignment horizontal="left" vertical="center"/>
    </xf>
    <xf numFmtId="0" fontId="210" fillId="0" borderId="0" xfId="0" applyFont="1" applyAlignment="1">
      <alignment horizontal="justify" wrapText="1"/>
    </xf>
    <xf numFmtId="0" fontId="164" fillId="0" borderId="0" xfId="0" applyFont="1" applyAlignment="1">
      <alignment horizontal="justify" vertical="top" wrapText="1"/>
    </xf>
    <xf numFmtId="0" fontId="210" fillId="0" borderId="0" xfId="0" applyFont="1" applyAlignment="1">
      <alignment horizontal="justify" vertical="top" wrapText="1"/>
    </xf>
    <xf numFmtId="0" fontId="210" fillId="0" borderId="0" xfId="0" applyFont="1" applyAlignment="1">
      <alignment vertical="top"/>
    </xf>
    <xf numFmtId="0" fontId="210" fillId="0" borderId="0" xfId="0" applyFont="1" applyAlignment="1">
      <alignment horizontal="left" vertical="center"/>
    </xf>
    <xf numFmtId="0" fontId="209" fillId="0" borderId="0" xfId="0" applyFont="1" applyAlignment="1">
      <alignment horizontal="left" vertical="center" shrinkToFit="1"/>
    </xf>
    <xf numFmtId="0" fontId="209" fillId="0" borderId="0" xfId="0" applyFont="1" applyAlignment="1">
      <alignment horizontal="left" vertical="top" wrapText="1"/>
    </xf>
    <xf numFmtId="0" fontId="172" fillId="0" borderId="0" xfId="0" applyFont="1" applyAlignment="1">
      <alignment horizontal="justify" vertical="top" wrapText="1"/>
    </xf>
    <xf numFmtId="0" fontId="4" fillId="0" borderId="99" xfId="1" applyNumberFormat="1" applyFont="1" applyBorder="1" applyAlignment="1">
      <alignment horizontal="right"/>
    </xf>
    <xf numFmtId="182" fontId="4" fillId="0" borderId="100" xfId="1" applyNumberFormat="1" applyFont="1" applyBorder="1" applyAlignment="1">
      <alignment horizontal="center"/>
    </xf>
    <xf numFmtId="0" fontId="211" fillId="0" borderId="0" xfId="0" applyFont="1" applyAlignment="1">
      <alignment horizontal="left"/>
    </xf>
    <xf numFmtId="0" fontId="211" fillId="0" borderId="125" xfId="0" applyFont="1" applyBorder="1" applyAlignment="1">
      <alignment horizontal="right"/>
    </xf>
    <xf numFmtId="182" fontId="133" fillId="0" borderId="99" xfId="1" applyNumberFormat="1" applyFont="1" applyBorder="1" applyAlignment="1">
      <alignment horizontal="center"/>
    </xf>
    <xf numFmtId="0" fontId="39" fillId="17" borderId="0" xfId="0" applyFont="1" applyFill="1"/>
    <xf numFmtId="0" fontId="60" fillId="17" borderId="0" xfId="0" applyFont="1" applyFill="1"/>
    <xf numFmtId="0" fontId="4" fillId="17" borderId="0" xfId="0" applyFont="1" applyFill="1"/>
    <xf numFmtId="0" fontId="11" fillId="17" borderId="0" xfId="0" applyFont="1" applyFill="1" applyAlignment="1">
      <alignment horizontal="right"/>
    </xf>
    <xf numFmtId="0" fontId="44" fillId="17" borderId="125" xfId="0" applyFont="1" applyFill="1" applyBorder="1" applyAlignment="1">
      <alignment horizontal="center"/>
    </xf>
    <xf numFmtId="0" fontId="61" fillId="17" borderId="0" xfId="0" applyFont="1" applyFill="1"/>
    <xf numFmtId="0" fontId="11" fillId="17" borderId="99" xfId="0" applyFont="1" applyFill="1" applyBorder="1"/>
    <xf numFmtId="0" fontId="99" fillId="17" borderId="0" xfId="0" applyFont="1" applyFill="1" applyAlignment="1">
      <alignment horizontal="center"/>
    </xf>
    <xf numFmtId="0" fontId="39" fillId="17" borderId="99" xfId="0" applyFont="1" applyFill="1" applyBorder="1"/>
    <xf numFmtId="0" fontId="212" fillId="17" borderId="0" xfId="0" applyFont="1" applyFill="1" applyAlignment="1">
      <alignment horizontal="center"/>
    </xf>
    <xf numFmtId="0" fontId="44" fillId="17" borderId="0" xfId="0" applyFont="1" applyFill="1" applyAlignment="1">
      <alignment horizontal="center"/>
    </xf>
    <xf numFmtId="0" fontId="60" fillId="17" borderId="0" xfId="0" applyFont="1" applyFill="1" applyAlignment="1">
      <alignment horizontal="center"/>
    </xf>
    <xf numFmtId="0" fontId="39" fillId="17" borderId="46" xfId="0" applyFont="1" applyFill="1" applyBorder="1" applyAlignment="1">
      <alignment horizontal="center"/>
    </xf>
    <xf numFmtId="0" fontId="39" fillId="17" borderId="168" xfId="0" applyFont="1" applyFill="1" applyBorder="1" applyAlignment="1">
      <alignment horizontal="center"/>
    </xf>
    <xf numFmtId="0" fontId="39" fillId="17" borderId="52" xfId="0" applyFont="1" applyFill="1" applyBorder="1" applyAlignment="1">
      <alignment horizontal="center"/>
    </xf>
    <xf numFmtId="0" fontId="39" fillId="17" borderId="43" xfId="0" applyFont="1" applyFill="1" applyBorder="1" applyAlignment="1">
      <alignment horizontal="center"/>
    </xf>
    <xf numFmtId="0" fontId="61" fillId="17" borderId="75" xfId="0" applyFont="1" applyFill="1" applyBorder="1" applyAlignment="1">
      <alignment horizontal="center" textRotation="90"/>
    </xf>
    <xf numFmtId="0" fontId="61" fillId="17" borderId="146" xfId="0" applyFont="1" applyFill="1" applyBorder="1" applyAlignment="1">
      <alignment horizontal="center" textRotation="90"/>
    </xf>
    <xf numFmtId="0" fontId="39" fillId="17" borderId="149" xfId="0" applyFont="1" applyFill="1" applyBorder="1" applyAlignment="1">
      <alignment horizontal="left"/>
    </xf>
    <xf numFmtId="0" fontId="39" fillId="17" borderId="153" xfId="0" applyFont="1" applyFill="1" applyBorder="1" applyAlignment="1">
      <alignment horizontal="left"/>
    </xf>
    <xf numFmtId="0" fontId="39" fillId="17" borderId="153" xfId="0" applyFont="1" applyFill="1" applyBorder="1" applyAlignment="1">
      <alignment horizontal="center"/>
    </xf>
    <xf numFmtId="182" fontId="11" fillId="17" borderId="154" xfId="1" applyNumberFormat="1" applyFont="1" applyFill="1" applyBorder="1" applyAlignment="1">
      <alignment horizontal="center"/>
    </xf>
    <xf numFmtId="43" fontId="39" fillId="17" borderId="163" xfId="1" applyFont="1" applyFill="1" applyBorder="1" applyAlignment="1">
      <alignment horizontal="right"/>
    </xf>
    <xf numFmtId="43" fontId="39" fillId="17" borderId="146" xfId="1" applyFont="1" applyFill="1" applyBorder="1" applyAlignment="1">
      <alignment horizontal="right"/>
    </xf>
    <xf numFmtId="0" fontId="39" fillId="17" borderId="146" xfId="0" applyFont="1" applyFill="1" applyBorder="1" applyAlignment="1">
      <alignment horizontal="left"/>
    </xf>
    <xf numFmtId="0" fontId="39" fillId="17" borderId="164" xfId="0" applyFont="1" applyFill="1" applyBorder="1" applyAlignment="1">
      <alignment horizontal="left"/>
    </xf>
    <xf numFmtId="4" fontId="11" fillId="17" borderId="154" xfId="1" applyNumberFormat="1" applyFont="1" applyFill="1" applyBorder="1" applyAlignment="1">
      <alignment horizontal="right"/>
    </xf>
    <xf numFmtId="0" fontId="61" fillId="17" borderId="175" xfId="0" applyFont="1" applyFill="1" applyBorder="1" applyAlignment="1">
      <alignment horizontal="center" textRotation="90"/>
    </xf>
    <xf numFmtId="0" fontId="61" fillId="17" borderId="100" xfId="0" applyFont="1" applyFill="1" applyBorder="1" applyAlignment="1">
      <alignment horizontal="center" textRotation="90"/>
    </xf>
    <xf numFmtId="0" fontId="39" fillId="17" borderId="150" xfId="0" applyFont="1" applyFill="1" applyBorder="1" applyAlignment="1">
      <alignment horizontal="left"/>
    </xf>
    <xf numFmtId="0" fontId="39" fillId="17" borderId="154" xfId="0" applyFont="1" applyFill="1" applyBorder="1" applyAlignment="1">
      <alignment horizontal="left"/>
    </xf>
    <xf numFmtId="0" fontId="39" fillId="17" borderId="154" xfId="0" applyFont="1" applyFill="1" applyBorder="1" applyAlignment="1">
      <alignment horizontal="center"/>
    </xf>
    <xf numFmtId="43" fontId="39" fillId="17" borderId="180" xfId="1" applyFont="1" applyFill="1" applyBorder="1" applyAlignment="1">
      <alignment horizontal="right"/>
    </xf>
    <xf numFmtId="43" fontId="39" fillId="17" borderId="100" xfId="1" applyFont="1" applyFill="1" applyBorder="1" applyAlignment="1">
      <alignment horizontal="right"/>
    </xf>
    <xf numFmtId="0" fontId="39" fillId="17" borderId="100" xfId="0" applyFont="1" applyFill="1" applyBorder="1" applyAlignment="1">
      <alignment horizontal="left"/>
    </xf>
    <xf numFmtId="0" fontId="39" fillId="17" borderId="124" xfId="0" applyFont="1" applyFill="1" applyBorder="1" applyAlignment="1">
      <alignment horizontal="left"/>
    </xf>
    <xf numFmtId="0" fontId="39" fillId="17" borderId="155" xfId="0" applyFont="1" applyFill="1" applyBorder="1" applyAlignment="1">
      <alignment horizontal="center"/>
    </xf>
    <xf numFmtId="0" fontId="11" fillId="17" borderId="200" xfId="0" applyFont="1" applyFill="1" applyBorder="1" applyAlignment="1">
      <alignment horizontal="center" textRotation="90"/>
    </xf>
    <xf numFmtId="0" fontId="39" fillId="17" borderId="99" xfId="0" applyFont="1" applyFill="1" applyBorder="1" applyAlignment="1">
      <alignment horizontal="center" textRotation="90"/>
    </xf>
    <xf numFmtId="0" fontId="39" fillId="17" borderId="100" xfId="0" applyFont="1" applyFill="1" applyBorder="1" applyAlignment="1">
      <alignment horizontal="center" textRotation="90"/>
    </xf>
    <xf numFmtId="0" fontId="11" fillId="17" borderId="105" xfId="0" applyFont="1" applyFill="1" applyBorder="1" applyAlignment="1">
      <alignment horizontal="center" textRotation="90"/>
    </xf>
    <xf numFmtId="0" fontId="39" fillId="17" borderId="159" xfId="0" applyFont="1" applyFill="1" applyBorder="1" applyAlignment="1">
      <alignment horizontal="center"/>
    </xf>
    <xf numFmtId="191" fontId="39" fillId="17" borderId="180" xfId="1" applyNumberFormat="1" applyFont="1" applyFill="1" applyBorder="1" applyAlignment="1">
      <alignment horizontal="right"/>
    </xf>
    <xf numFmtId="191" fontId="39" fillId="17" borderId="100" xfId="1" applyNumberFormat="1" applyFont="1" applyFill="1" applyBorder="1" applyAlignment="1">
      <alignment horizontal="right"/>
    </xf>
    <xf numFmtId="182" fontId="11" fillId="0" borderId="154" xfId="1" applyNumberFormat="1" applyFont="1" applyFill="1" applyBorder="1" applyAlignment="1">
      <alignment horizontal="center"/>
    </xf>
    <xf numFmtId="4" fontId="11" fillId="0" borderId="154" xfId="1" applyNumberFormat="1" applyFont="1" applyFill="1" applyBorder="1" applyAlignment="1">
      <alignment horizontal="right"/>
    </xf>
    <xf numFmtId="0" fontId="39" fillId="0" borderId="150" xfId="0" applyFont="1" applyBorder="1" applyAlignment="1">
      <alignment horizontal="left"/>
    </xf>
    <xf numFmtId="0" fontId="39" fillId="0" borderId="154" xfId="0" applyFont="1" applyBorder="1" applyAlignment="1">
      <alignment horizontal="left"/>
    </xf>
    <xf numFmtId="0" fontId="39" fillId="17" borderId="0" xfId="0" applyFont="1" applyFill="1" applyAlignment="1">
      <alignment horizontal="center" textRotation="90"/>
    </xf>
    <xf numFmtId="0" fontId="39" fillId="17" borderId="150" xfId="0" applyFont="1" applyFill="1" applyBorder="1" applyAlignment="1">
      <alignment horizontal="justify"/>
    </xf>
    <xf numFmtId="0" fontId="39" fillId="17" borderId="154" xfId="0" applyFont="1" applyFill="1" applyBorder="1" applyAlignment="1">
      <alignment horizontal="justify"/>
    </xf>
    <xf numFmtId="182" fontId="11" fillId="17" borderId="159" xfId="1" applyNumberFormat="1" applyFont="1" applyFill="1" applyBorder="1" applyAlignment="1">
      <alignment horizontal="center"/>
    </xf>
    <xf numFmtId="43" fontId="39" fillId="17" borderId="175" xfId="1" applyFont="1" applyFill="1" applyBorder="1" applyAlignment="1">
      <alignment horizontal="right"/>
    </xf>
    <xf numFmtId="43" fontId="39" fillId="17" borderId="99" xfId="1" applyFont="1" applyFill="1" applyBorder="1" applyAlignment="1">
      <alignment horizontal="right"/>
    </xf>
    <xf numFmtId="0" fontId="39" fillId="17" borderId="99" xfId="0" applyFont="1" applyFill="1" applyBorder="1" applyAlignment="1">
      <alignment horizontal="left"/>
    </xf>
    <xf numFmtId="0" fontId="39" fillId="17" borderId="176" xfId="0" applyFont="1" applyFill="1" applyBorder="1" applyAlignment="1">
      <alignment horizontal="left"/>
    </xf>
    <xf numFmtId="4" fontId="11" fillId="17" borderId="159" xfId="1" applyNumberFormat="1" applyFont="1" applyFill="1" applyBorder="1" applyAlignment="1">
      <alignment horizontal="right"/>
    </xf>
    <xf numFmtId="0" fontId="11" fillId="17" borderId="142" xfId="0" applyFont="1" applyFill="1" applyBorder="1" applyAlignment="1">
      <alignment horizontal="center" textRotation="90"/>
    </xf>
    <xf numFmtId="0" fontId="39" fillId="17" borderId="29" xfId="0" applyFont="1" applyFill="1" applyBorder="1" applyAlignment="1">
      <alignment horizontal="center" textRotation="90"/>
    </xf>
    <xf numFmtId="0" fontId="39" fillId="17" borderId="162" xfId="0" applyFont="1" applyFill="1" applyBorder="1" applyAlignment="1">
      <alignment horizontal="left"/>
    </xf>
    <xf numFmtId="0" fontId="39" fillId="17" borderId="152" xfId="0" applyFont="1" applyFill="1" applyBorder="1" applyAlignment="1">
      <alignment horizontal="left"/>
    </xf>
    <xf numFmtId="0" fontId="39" fillId="17" borderId="152" xfId="0" applyFont="1" applyFill="1" applyBorder="1" applyAlignment="1">
      <alignment horizontal="center"/>
    </xf>
    <xf numFmtId="43" fontId="39" fillId="17" borderId="167" xfId="1" applyFont="1" applyFill="1" applyBorder="1" applyAlignment="1">
      <alignment horizontal="right"/>
    </xf>
    <xf numFmtId="43" fontId="39" fillId="17" borderId="110" xfId="1" applyFont="1" applyFill="1" applyBorder="1" applyAlignment="1">
      <alignment horizontal="right"/>
    </xf>
    <xf numFmtId="0" fontId="39" fillId="17" borderId="110" xfId="0" applyFont="1" applyFill="1" applyBorder="1" applyAlignment="1">
      <alignment horizontal="left"/>
    </xf>
    <xf numFmtId="0" fontId="39" fillId="17" borderId="112" xfId="0" applyFont="1" applyFill="1" applyBorder="1" applyAlignment="1">
      <alignment horizontal="left"/>
    </xf>
    <xf numFmtId="0" fontId="61" fillId="17" borderId="43" xfId="0" applyFont="1" applyFill="1" applyBorder="1" applyAlignment="1">
      <alignment horizontal="center"/>
    </xf>
    <xf numFmtId="4" fontId="11" fillId="17" borderId="43" xfId="1" applyNumberFormat="1" applyFont="1" applyFill="1" applyBorder="1" applyAlignment="1">
      <alignment horizontal="right"/>
    </xf>
    <xf numFmtId="0" fontId="44" fillId="17" borderId="0" xfId="0" applyFont="1" applyFill="1"/>
    <xf numFmtId="0" fontId="39" fillId="17" borderId="0" xfId="0" applyFont="1" applyFill="1" applyAlignment="1">
      <alignment horizontal="center"/>
    </xf>
    <xf numFmtId="49" fontId="82" fillId="17" borderId="125" xfId="0" applyNumberFormat="1" applyFont="1" applyFill="1" applyBorder="1" applyAlignment="1">
      <alignment horizontal="center"/>
    </xf>
    <xf numFmtId="0" fontId="213" fillId="0" borderId="0" xfId="0" applyFont="1" applyAlignment="1">
      <alignment horizontal="center"/>
    </xf>
    <xf numFmtId="0" fontId="99" fillId="0" borderId="99" xfId="0" applyFont="1" applyBorder="1" applyAlignment="1">
      <alignment horizontal="left"/>
    </xf>
    <xf numFmtId="0" fontId="1" fillId="0" borderId="100" xfId="0" applyFont="1" applyBorder="1"/>
    <xf numFmtId="0" fontId="1" fillId="0" borderId="0" xfId="0" applyFont="1" applyAlignment="1">
      <alignment horizontal="center"/>
    </xf>
    <xf numFmtId="0" fontId="1" fillId="0" borderId="125" xfId="0" applyFont="1" applyBorder="1" applyAlignment="1">
      <alignment horizontal="center"/>
    </xf>
    <xf numFmtId="0" fontId="1" fillId="0" borderId="125" xfId="0" applyFont="1" applyBorder="1"/>
    <xf numFmtId="49" fontId="1" fillId="0" borderId="0" xfId="0" applyNumberFormat="1" applyFont="1"/>
    <xf numFmtId="0" fontId="133" fillId="0" borderId="0" xfId="0" applyFont="1" applyAlignment="1">
      <alignment horizontal="right"/>
    </xf>
    <xf numFmtId="0" fontId="133" fillId="0" borderId="99" xfId="0" applyFont="1" applyBorder="1" applyAlignment="1">
      <alignment horizontal="center"/>
    </xf>
    <xf numFmtId="0" fontId="1" fillId="0" borderId="101" xfId="0" applyFont="1" applyBorder="1" applyAlignment="1">
      <alignment horizontal="center"/>
    </xf>
    <xf numFmtId="0" fontId="1" fillId="0" borderId="104" xfId="0" applyFont="1" applyBorder="1" applyAlignment="1">
      <alignment horizontal="center"/>
    </xf>
    <xf numFmtId="0" fontId="1" fillId="0" borderId="141" xfId="0" applyFont="1" applyBorder="1" applyAlignment="1">
      <alignment horizontal="center"/>
    </xf>
    <xf numFmtId="0" fontId="1" fillId="0" borderId="142" xfId="0" applyFont="1" applyBorder="1" applyAlignment="1">
      <alignment horizontal="center"/>
    </xf>
    <xf numFmtId="0" fontId="1" fillId="0" borderId="143" xfId="0" applyFont="1" applyBorder="1" applyAlignment="1">
      <alignment horizontal="center"/>
    </xf>
    <xf numFmtId="0" fontId="1" fillId="0" borderId="144" xfId="0" applyFont="1" applyBorder="1" applyAlignment="1">
      <alignment horizontal="center"/>
    </xf>
    <xf numFmtId="0" fontId="1" fillId="0" borderId="113" xfId="0" applyFont="1" applyBorder="1" applyAlignment="1">
      <alignment horizontal="center"/>
    </xf>
    <xf numFmtId="0" fontId="1" fillId="0" borderId="114" xfId="0" applyFont="1" applyBorder="1" applyAlignment="1">
      <alignment horizontal="center"/>
    </xf>
    <xf numFmtId="0" fontId="1" fillId="0" borderId="151" xfId="0" applyFont="1" applyBorder="1" applyAlignment="1">
      <alignment horizontal="center"/>
    </xf>
    <xf numFmtId="0" fontId="1" fillId="0" borderId="115" xfId="0" applyFont="1" applyBorder="1" applyAlignment="1">
      <alignment horizontal="center"/>
    </xf>
    <xf numFmtId="0" fontId="4" fillId="0" borderId="75" xfId="0" applyFont="1" applyBorder="1" applyAlignment="1">
      <alignment horizontal="left"/>
    </xf>
    <xf numFmtId="0" fontId="4" fillId="0" borderId="103" xfId="0" applyFont="1" applyBorder="1" applyAlignment="1">
      <alignment horizontal="left"/>
    </xf>
    <xf numFmtId="0" fontId="4" fillId="0" borderId="102" xfId="0" applyFont="1" applyBorder="1" applyAlignment="1">
      <alignment horizontal="left" vertical="top" wrapText="1"/>
    </xf>
    <xf numFmtId="0" fontId="4" fillId="0" borderId="73" xfId="0" applyFont="1" applyBorder="1" applyAlignment="1">
      <alignment horizontal="left" vertical="top" wrapText="1"/>
    </xf>
    <xf numFmtId="0" fontId="4" fillId="0" borderId="103" xfId="0" applyFont="1" applyBorder="1" applyAlignment="1">
      <alignment horizontal="left" vertical="top" wrapText="1"/>
    </xf>
    <xf numFmtId="0" fontId="4" fillId="0" borderId="156" xfId="0" applyFont="1" applyBorder="1" applyAlignment="1">
      <alignment horizontal="center"/>
    </xf>
    <xf numFmtId="0" fontId="4" fillId="0" borderId="146" xfId="0" applyFont="1" applyBorder="1" applyAlignment="1">
      <alignment horizontal="center"/>
    </xf>
    <xf numFmtId="0" fontId="4" fillId="0" borderId="147" xfId="0" applyFont="1" applyBorder="1" applyAlignment="1">
      <alignment horizontal="center"/>
    </xf>
    <xf numFmtId="192" fontId="4" fillId="0" borderId="156" xfId="1" applyNumberFormat="1" applyFont="1" applyBorder="1" applyAlignment="1">
      <alignment horizontal="right"/>
    </xf>
    <xf numFmtId="192" fontId="4" fillId="0" borderId="146" xfId="1" applyNumberFormat="1" applyFont="1" applyBorder="1" applyAlignment="1">
      <alignment horizontal="right"/>
    </xf>
    <xf numFmtId="192" fontId="4" fillId="0" borderId="164" xfId="1" applyNumberFormat="1" applyFont="1" applyBorder="1" applyAlignment="1">
      <alignment horizontal="right"/>
    </xf>
    <xf numFmtId="0" fontId="4" fillId="0" borderId="90" xfId="0" applyFont="1" applyBorder="1" applyAlignment="1">
      <alignment horizontal="left"/>
    </xf>
    <xf numFmtId="0" fontId="4" fillId="0" borderId="107" xfId="0" applyFont="1" applyBorder="1" applyAlignment="1">
      <alignment horizontal="left"/>
    </xf>
    <xf numFmtId="0" fontId="4" fillId="0" borderId="165" xfId="0" applyFont="1" applyBorder="1" applyAlignment="1">
      <alignment horizontal="left" vertical="top" wrapText="1"/>
    </xf>
    <xf numFmtId="0" fontId="4" fillId="0" borderId="29" xfId="0" applyFont="1" applyBorder="1" applyAlignment="1">
      <alignment horizontal="left" vertical="top" wrapText="1"/>
    </xf>
    <xf numFmtId="0" fontId="4" fillId="0" borderId="166" xfId="0" applyFont="1" applyBorder="1" applyAlignment="1">
      <alignment horizontal="left" vertical="top" wrapText="1"/>
    </xf>
    <xf numFmtId="0" fontId="4" fillId="0" borderId="120" xfId="0" applyFont="1" applyBorder="1" applyAlignment="1">
      <alignment horizontal="center"/>
    </xf>
    <xf numFmtId="0" fontId="4" fillId="0" borderId="100" xfId="0" applyFont="1" applyBorder="1" applyAlignment="1">
      <alignment horizontal="center"/>
    </xf>
    <xf numFmtId="0" fontId="4" fillId="0" borderId="123" xfId="0" applyFont="1" applyBorder="1" applyAlignment="1">
      <alignment horizontal="center"/>
    </xf>
    <xf numFmtId="192" fontId="4" fillId="0" borderId="120" xfId="1" applyNumberFormat="1" applyFont="1" applyBorder="1" applyAlignment="1">
      <alignment horizontal="right"/>
    </xf>
    <xf numFmtId="192" fontId="4" fillId="0" borderId="100" xfId="1" applyNumberFormat="1" applyFont="1" applyBorder="1" applyAlignment="1">
      <alignment horizontal="right"/>
    </xf>
    <xf numFmtId="192" fontId="4" fillId="0" borderId="124" xfId="1" applyNumberFormat="1" applyFont="1" applyBorder="1" applyAlignment="1">
      <alignment horizontal="right"/>
    </xf>
    <xf numFmtId="0" fontId="4" fillId="0" borderId="65" xfId="0" applyFont="1" applyBorder="1" applyAlignment="1">
      <alignment horizontal="left"/>
    </xf>
    <xf numFmtId="0" fontId="4" fillId="0" borderId="151" xfId="0" applyFont="1" applyBorder="1" applyAlignment="1">
      <alignment horizontal="left"/>
    </xf>
    <xf numFmtId="0" fontId="4" fillId="0" borderId="63" xfId="0" applyFont="1" applyBorder="1"/>
    <xf numFmtId="0" fontId="1" fillId="0" borderId="63" xfId="0" applyFont="1" applyBorder="1"/>
    <xf numFmtId="0" fontId="1" fillId="0" borderId="151" xfId="0" applyFont="1" applyBorder="1"/>
    <xf numFmtId="0" fontId="4" fillId="0" borderId="114" xfId="0" applyFont="1" applyBorder="1" applyAlignment="1">
      <alignment horizontal="center"/>
    </xf>
    <xf numFmtId="10" fontId="4" fillId="0" borderId="161" xfId="1" applyNumberFormat="1" applyFont="1" applyBorder="1" applyAlignment="1">
      <alignment horizontal="right"/>
    </xf>
    <xf numFmtId="10" fontId="4" fillId="0" borderId="63" xfId="1" applyNumberFormat="1" applyFont="1" applyBorder="1" applyAlignment="1">
      <alignment horizontal="right"/>
    </xf>
    <xf numFmtId="43" fontId="4" fillId="0" borderId="64" xfId="1" applyFont="1" applyBorder="1" applyAlignment="1"/>
    <xf numFmtId="0" fontId="1" fillId="0" borderId="90" xfId="0" applyFont="1" applyBorder="1"/>
    <xf numFmtId="4" fontId="4" fillId="0" borderId="156" xfId="1" applyNumberFormat="1" applyFont="1" applyBorder="1" applyAlignment="1">
      <alignment horizontal="right"/>
    </xf>
    <xf numFmtId="4" fontId="4" fillId="0" borderId="146" xfId="1" applyNumberFormat="1" applyFont="1" applyBorder="1" applyAlignment="1">
      <alignment horizontal="right"/>
    </xf>
    <xf numFmtId="4" fontId="4" fillId="0" borderId="164" xfId="1" applyNumberFormat="1" applyFont="1" applyBorder="1" applyAlignment="1">
      <alignment horizontal="right"/>
    </xf>
    <xf numFmtId="0" fontId="1" fillId="0" borderId="84" xfId="0" applyFont="1" applyBorder="1" applyAlignment="1">
      <alignment horizontal="center"/>
    </xf>
    <xf numFmtId="0" fontId="1" fillId="0" borderId="166" xfId="0" applyFont="1" applyBorder="1" applyAlignment="1">
      <alignment horizontal="center"/>
    </xf>
    <xf numFmtId="0" fontId="4" fillId="0" borderId="29" xfId="0" applyFont="1" applyBorder="1" applyAlignment="1">
      <alignment vertical="top"/>
    </xf>
    <xf numFmtId="0" fontId="4" fillId="0" borderId="29" xfId="0" applyFont="1" applyBorder="1"/>
    <xf numFmtId="0" fontId="4" fillId="0" borderId="109" xfId="0" applyFont="1" applyBorder="1" applyAlignment="1">
      <alignment horizontal="center"/>
    </xf>
    <xf numFmtId="0" fontId="4" fillId="0" borderId="110" xfId="0" applyFont="1" applyBorder="1" applyAlignment="1">
      <alignment horizontal="center"/>
    </xf>
    <xf numFmtId="0" fontId="4" fillId="0" borderId="111" xfId="0" applyFont="1" applyBorder="1" applyAlignment="1">
      <alignment horizontal="center"/>
    </xf>
    <xf numFmtId="4" fontId="4" fillId="0" borderId="109" xfId="1" applyNumberFormat="1" applyFont="1" applyBorder="1" applyAlignment="1">
      <alignment horizontal="right"/>
    </xf>
    <xf numFmtId="4" fontId="4" fillId="0" borderId="110" xfId="1" applyNumberFormat="1" applyFont="1" applyBorder="1" applyAlignment="1">
      <alignment horizontal="right"/>
    </xf>
    <xf numFmtId="4" fontId="4" fillId="0" borderId="112" xfId="1" applyNumberFormat="1" applyFont="1" applyBorder="1" applyAlignment="1">
      <alignment horizontal="right"/>
    </xf>
    <xf numFmtId="49" fontId="82" fillId="0" borderId="0" xfId="0" applyNumberFormat="1" applyFont="1"/>
    <xf numFmtId="0" fontId="1" fillId="0" borderId="99" xfId="0" applyFont="1" applyBorder="1"/>
    <xf numFmtId="0" fontId="18" fillId="0" borderId="0" xfId="0" applyFont="1"/>
    <xf numFmtId="0" fontId="11" fillId="0" borderId="75" xfId="0" applyFont="1" applyBorder="1" applyAlignment="1">
      <alignment horizontal="center" vertical="center"/>
    </xf>
    <xf numFmtId="0" fontId="11" fillId="0" borderId="73" xfId="0" applyFont="1" applyBorder="1" applyAlignment="1">
      <alignment horizontal="center" vertical="center"/>
    </xf>
    <xf numFmtId="0" fontId="11" fillId="0" borderId="74" xfId="0" applyFont="1" applyBorder="1" applyAlignment="1">
      <alignment horizontal="center" vertical="center"/>
    </xf>
    <xf numFmtId="0" fontId="11" fillId="0" borderId="163" xfId="0" applyFont="1" applyBorder="1"/>
    <xf numFmtId="0" fontId="4" fillId="0" borderId="146" xfId="0" applyFont="1" applyBorder="1"/>
    <xf numFmtId="0" fontId="4" fillId="0" borderId="147" xfId="0" applyFont="1" applyBorder="1"/>
    <xf numFmtId="0" fontId="133" fillId="0" borderId="156" xfId="0" applyFont="1" applyBorder="1" applyAlignment="1">
      <alignment horizontal="left"/>
    </xf>
    <xf numFmtId="0" fontId="133" fillId="0" borderId="146" xfId="0" applyFont="1" applyBorder="1" applyAlignment="1">
      <alignment horizontal="left"/>
    </xf>
    <xf numFmtId="0" fontId="133" fillId="0" borderId="164" xfId="0" applyFont="1" applyBorder="1" applyAlignment="1">
      <alignment horizontal="left"/>
    </xf>
    <xf numFmtId="0" fontId="11" fillId="0" borderId="84" xfId="0" applyFont="1" applyBorder="1" applyAlignment="1">
      <alignment horizontal="center" vertical="center"/>
    </xf>
    <xf numFmtId="0" fontId="11" fillId="0" borderId="29" xfId="0" applyFont="1" applyBorder="1" applyAlignment="1">
      <alignment horizontal="center" vertical="center"/>
    </xf>
    <xf numFmtId="0" fontId="11" fillId="0" borderId="83" xfId="0" applyFont="1" applyBorder="1" applyAlignment="1">
      <alignment horizontal="center" vertical="center"/>
    </xf>
    <xf numFmtId="0" fontId="11" fillId="0" borderId="180" xfId="0" applyFont="1" applyBorder="1"/>
    <xf numFmtId="0" fontId="4" fillId="0" borderId="100" xfId="0" applyFont="1" applyBorder="1"/>
    <xf numFmtId="0" fontId="4" fillId="0" borderId="123" xfId="0" applyFont="1" applyBorder="1"/>
    <xf numFmtId="0" fontId="133" fillId="0" borderId="120" xfId="0" applyFont="1" applyBorder="1" applyAlignment="1">
      <alignment horizontal="left"/>
    </xf>
    <xf numFmtId="0" fontId="133" fillId="0" borderId="100" xfId="0" applyFont="1" applyBorder="1" applyAlignment="1">
      <alignment horizontal="left"/>
    </xf>
    <xf numFmtId="0" fontId="133" fillId="0" borderId="124" xfId="0" applyFont="1" applyBorder="1" applyAlignment="1">
      <alignment horizontal="left"/>
    </xf>
    <xf numFmtId="49" fontId="4" fillId="0" borderId="100" xfId="0" applyNumberFormat="1" applyFont="1" applyBorder="1" applyAlignment="1">
      <alignment horizontal="center"/>
    </xf>
    <xf numFmtId="49" fontId="4" fillId="0" borderId="124" xfId="0" applyNumberFormat="1" applyFont="1" applyBorder="1" applyAlignment="1">
      <alignment horizontal="center"/>
    </xf>
    <xf numFmtId="0" fontId="4" fillId="0" borderId="124" xfId="0" applyFont="1" applyBorder="1" applyAlignment="1">
      <alignment horizontal="center"/>
    </xf>
    <xf numFmtId="0" fontId="11" fillId="0" borderId="167" xfId="0" applyFont="1" applyBorder="1"/>
    <xf numFmtId="0" fontId="11" fillId="0" borderId="110" xfId="0" applyFont="1" applyBorder="1"/>
    <xf numFmtId="0" fontId="4" fillId="0" borderId="110" xfId="0" applyFont="1" applyBorder="1"/>
    <xf numFmtId="0" fontId="4" fillId="0" borderId="111" xfId="0" applyFont="1" applyBorder="1"/>
    <xf numFmtId="0" fontId="4" fillId="0" borderId="162" xfId="0" applyFont="1" applyBorder="1" applyAlignment="1">
      <alignment horizontal="center"/>
    </xf>
    <xf numFmtId="0" fontId="18" fillId="0" borderId="0" xfId="0" applyFont="1" applyAlignment="1">
      <alignment horizontal="center"/>
    </xf>
    <xf numFmtId="0" fontId="11" fillId="0" borderId="46" xfId="0" applyFont="1" applyBorder="1" applyAlignment="1">
      <alignment horizontal="center"/>
    </xf>
    <xf numFmtId="0" fontId="11" fillId="0" borderId="101" xfId="0" applyFont="1" applyBorder="1" applyAlignment="1">
      <alignment horizontal="center"/>
    </xf>
    <xf numFmtId="0" fontId="11" fillId="0" borderId="104" xfId="0" applyFont="1" applyBorder="1" applyAlignment="1">
      <alignment horizontal="center"/>
    </xf>
    <xf numFmtId="0" fontId="11" fillId="0" borderId="141" xfId="0" applyFont="1" applyBorder="1" applyAlignment="1">
      <alignment horizontal="center"/>
    </xf>
    <xf numFmtId="0" fontId="11" fillId="0" borderId="103" xfId="0" applyFont="1" applyBorder="1" applyAlignment="1">
      <alignment horizontal="center"/>
    </xf>
    <xf numFmtId="0" fontId="11" fillId="0" borderId="168" xfId="0" applyFont="1" applyBorder="1" applyAlignment="1">
      <alignment horizontal="center"/>
    </xf>
    <xf numFmtId="0" fontId="11" fillId="0" borderId="200" xfId="0" applyFont="1" applyBorder="1" applyAlignment="1">
      <alignment horizontal="center"/>
    </xf>
    <xf numFmtId="0" fontId="11" fillId="0" borderId="118" xfId="0" applyFont="1" applyBorder="1" applyAlignment="1">
      <alignment horizontal="center"/>
    </xf>
    <xf numFmtId="0" fontId="11" fillId="0" borderId="202" xfId="0" applyFont="1" applyBorder="1" applyAlignment="1">
      <alignment horizontal="center"/>
    </xf>
    <xf numFmtId="0" fontId="22" fillId="0" borderId="107" xfId="0" applyFont="1" applyBorder="1" applyAlignment="1">
      <alignment horizontal="center"/>
    </xf>
    <xf numFmtId="0" fontId="22" fillId="0" borderId="108" xfId="0" applyFont="1" applyBorder="1" applyAlignment="1">
      <alignment horizontal="center"/>
    </xf>
    <xf numFmtId="0" fontId="22" fillId="0" borderId="171" xfId="0" applyFont="1" applyBorder="1" applyAlignment="1">
      <alignment horizontal="center"/>
    </xf>
    <xf numFmtId="0" fontId="11" fillId="0" borderId="105" xfId="0" applyFont="1" applyBorder="1" applyAlignment="1">
      <alignment horizontal="center"/>
    </xf>
    <xf numFmtId="0" fontId="11" fillId="0" borderId="108" xfId="0" applyFont="1" applyBorder="1" applyAlignment="1">
      <alignment horizontal="center"/>
    </xf>
    <xf numFmtId="0" fontId="11" fillId="0" borderId="171" xfId="0" applyFont="1" applyBorder="1" applyAlignment="1">
      <alignment horizontal="center"/>
    </xf>
    <xf numFmtId="0" fontId="11" fillId="0" borderId="107" xfId="0" applyFont="1" applyBorder="1" applyAlignment="1">
      <alignment horizontal="center"/>
    </xf>
    <xf numFmtId="0" fontId="11" fillId="0" borderId="43" xfId="0" applyFont="1" applyBorder="1" applyAlignment="1">
      <alignment horizontal="center"/>
    </xf>
    <xf numFmtId="0" fontId="11" fillId="0" borderId="113" xfId="0" applyFont="1" applyBorder="1" applyAlignment="1">
      <alignment horizontal="center"/>
    </xf>
    <xf numFmtId="0" fontId="11" fillId="0" borderId="114" xfId="0" applyFont="1" applyBorder="1" applyAlignment="1">
      <alignment horizontal="center"/>
    </xf>
    <xf numFmtId="0" fontId="11" fillId="0" borderId="115" xfId="0" applyFont="1" applyBorder="1" applyAlignment="1">
      <alignment horizontal="center"/>
    </xf>
    <xf numFmtId="0" fontId="11" fillId="0" borderId="151" xfId="0" applyFont="1" applyBorder="1" applyAlignment="1">
      <alignment horizontal="center"/>
    </xf>
    <xf numFmtId="0" fontId="11" fillId="0" borderId="145" xfId="0" applyFont="1" applyBorder="1" applyAlignment="1">
      <alignment horizontal="center" vertical="center"/>
    </xf>
    <xf numFmtId="0" fontId="11" fillId="0" borderId="156" xfId="0" applyFont="1" applyBorder="1" applyAlignment="1">
      <alignment horizontal="center" vertical="center"/>
    </xf>
    <xf numFmtId="0" fontId="11" fillId="0" borderId="113" xfId="0" applyFont="1" applyBorder="1" applyAlignment="1">
      <alignment horizontal="left"/>
    </xf>
    <xf numFmtId="0" fontId="11" fillId="0" borderId="114" xfId="0" applyFont="1" applyBorder="1" applyAlignment="1">
      <alignment horizontal="left"/>
    </xf>
    <xf numFmtId="0" fontId="11" fillId="0" borderId="115" xfId="0" applyFont="1" applyBorder="1" applyAlignment="1">
      <alignment horizontal="left"/>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64" xfId="0" applyFont="1" applyBorder="1"/>
    <xf numFmtId="0" fontId="11" fillId="0" borderId="159" xfId="0" applyFont="1" applyBorder="1" applyAlignment="1">
      <alignment horizontal="center"/>
    </xf>
    <xf numFmtId="9" fontId="11" fillId="0" borderId="159" xfId="0" applyNumberFormat="1" applyFont="1" applyBorder="1" applyAlignment="1">
      <alignment horizontal="center"/>
    </xf>
    <xf numFmtId="182" fontId="11" fillId="0" borderId="159" xfId="1" applyNumberFormat="1" applyFont="1" applyFill="1" applyBorder="1" applyAlignment="1">
      <alignment horizontal="right"/>
    </xf>
    <xf numFmtId="182" fontId="11" fillId="0" borderId="121" xfId="1" applyNumberFormat="1" applyFont="1" applyFill="1" applyBorder="1" applyAlignment="1">
      <alignment horizontal="right"/>
    </xf>
    <xf numFmtId="182" fontId="11" fillId="0" borderId="116" xfId="1" applyNumberFormat="1" applyFont="1" applyFill="1" applyBorder="1" applyAlignment="1">
      <alignment horizontal="right"/>
    </xf>
    <xf numFmtId="182" fontId="11" fillId="0" borderId="203" xfId="1" applyNumberFormat="1" applyFont="1" applyFill="1" applyBorder="1" applyAlignment="1">
      <alignment horizontal="right"/>
    </xf>
    <xf numFmtId="182" fontId="11" fillId="0" borderId="204" xfId="1" applyNumberFormat="1" applyFont="1" applyFill="1" applyBorder="1" applyAlignment="1">
      <alignment horizontal="right"/>
    </xf>
    <xf numFmtId="0" fontId="11" fillId="0" borderId="124" xfId="0" applyFont="1" applyBorder="1"/>
    <xf numFmtId="0" fontId="11" fillId="0" borderId="154" xfId="0" applyFont="1" applyBorder="1" applyAlignment="1">
      <alignment horizontal="center"/>
    </xf>
    <xf numFmtId="9" fontId="11" fillId="0" borderId="154" xfId="0" applyNumberFormat="1" applyFont="1" applyBorder="1" applyAlignment="1">
      <alignment horizontal="center"/>
    </xf>
    <xf numFmtId="0" fontId="11" fillId="0" borderId="126" xfId="0" applyFont="1" applyBorder="1" applyAlignment="1">
      <alignment horizontal="center" vertical="center"/>
    </xf>
    <xf numFmtId="0" fontId="11" fillId="0" borderId="109" xfId="0" applyFont="1" applyBorder="1" applyAlignment="1">
      <alignment horizontal="center" vertical="center"/>
    </xf>
    <xf numFmtId="0" fontId="11" fillId="0" borderId="112" xfId="0" applyFont="1" applyBorder="1"/>
    <xf numFmtId="0" fontId="11" fillId="0" borderId="152" xfId="0" applyFont="1" applyBorder="1" applyAlignment="1">
      <alignment horizontal="center"/>
    </xf>
    <xf numFmtId="9" fontId="11" fillId="0" borderId="152" xfId="0" applyNumberFormat="1" applyFont="1" applyBorder="1" applyAlignment="1">
      <alignment horizontal="center"/>
    </xf>
    <xf numFmtId="0" fontId="11" fillId="0" borderId="153" xfId="0" applyFont="1" applyBorder="1" applyAlignment="1">
      <alignment horizontal="center"/>
    </xf>
    <xf numFmtId="9" fontId="11" fillId="0" borderId="153" xfId="0" applyNumberFormat="1" applyFont="1" applyBorder="1" applyAlignment="1">
      <alignment horizontal="center"/>
    </xf>
    <xf numFmtId="182" fontId="11" fillId="0" borderId="153" xfId="1" applyNumberFormat="1" applyFont="1" applyFill="1" applyBorder="1" applyAlignment="1">
      <alignment horizontal="right"/>
    </xf>
    <xf numFmtId="182" fontId="11" fillId="0" borderId="147" xfId="1" applyNumberFormat="1" applyFont="1" applyFill="1" applyBorder="1" applyAlignment="1">
      <alignment horizontal="right"/>
    </xf>
    <xf numFmtId="182" fontId="11" fillId="0" borderId="148" xfId="1" applyNumberFormat="1" applyFont="1" applyFill="1" applyBorder="1" applyAlignment="1">
      <alignment horizontal="right"/>
    </xf>
    <xf numFmtId="182" fontId="11" fillId="0" borderId="145" xfId="1" applyNumberFormat="1" applyFont="1" applyFill="1" applyBorder="1" applyAlignment="1">
      <alignment horizontal="right"/>
    </xf>
    <xf numFmtId="182" fontId="11" fillId="0" borderId="149" xfId="1" applyNumberFormat="1" applyFont="1" applyFill="1" applyBorder="1" applyAlignment="1">
      <alignment horizontal="right"/>
    </xf>
    <xf numFmtId="182" fontId="11" fillId="0" borderId="152" xfId="1" applyNumberFormat="1" applyFont="1" applyFill="1" applyBorder="1" applyAlignment="1">
      <alignment horizontal="right"/>
    </xf>
    <xf numFmtId="182" fontId="11" fillId="0" borderId="111" xfId="1" applyNumberFormat="1" applyFont="1" applyFill="1" applyBorder="1" applyAlignment="1">
      <alignment horizontal="right"/>
    </xf>
    <xf numFmtId="182" fontId="11" fillId="0" borderId="127" xfId="1" applyNumberFormat="1" applyFont="1" applyFill="1" applyBorder="1" applyAlignment="1">
      <alignment horizontal="right"/>
    </xf>
    <xf numFmtId="182" fontId="11" fillId="0" borderId="126" xfId="1" applyNumberFormat="1" applyFont="1" applyFill="1" applyBorder="1" applyAlignment="1">
      <alignment horizontal="right"/>
    </xf>
    <xf numFmtId="182" fontId="11" fillId="0" borderId="162" xfId="1" applyNumberFormat="1" applyFont="1" applyFill="1" applyBorder="1" applyAlignment="1">
      <alignment horizontal="right"/>
    </xf>
    <xf numFmtId="0" fontId="11" fillId="0" borderId="99" xfId="0" applyFont="1" applyBorder="1" applyAlignment="1">
      <alignment horizontal="center"/>
    </xf>
    <xf numFmtId="0" fontId="11" fillId="0" borderId="0" xfId="0" applyFont="1" applyAlignment="1">
      <alignment horizontal="center"/>
    </xf>
    <xf numFmtId="0" fontId="11" fillId="0" borderId="99" xfId="0" applyFont="1" applyBorder="1"/>
    <xf numFmtId="0" fontId="82" fillId="0" borderId="125" xfId="0" applyFont="1" applyBorder="1" applyAlignment="1">
      <alignment horizontal="center"/>
    </xf>
    <xf numFmtId="0" fontId="214" fillId="0" borderId="169" xfId="0" applyFont="1" applyBorder="1" applyAlignment="1">
      <alignment horizontal="right" vertical="top"/>
    </xf>
    <xf numFmtId="0" fontId="44" fillId="0" borderId="169" xfId="0" applyFont="1" applyBorder="1"/>
    <xf numFmtId="0" fontId="11" fillId="0" borderId="169" xfId="0" applyFont="1" applyBorder="1"/>
    <xf numFmtId="0" fontId="214" fillId="0" borderId="0" xfId="0" applyFont="1" applyAlignment="1">
      <alignment horizontal="right" vertical="top"/>
    </xf>
    <xf numFmtId="43" fontId="215" fillId="0" borderId="99" xfId="1" applyFont="1" applyFill="1" applyBorder="1" applyAlignment="1">
      <alignment horizontal="center"/>
    </xf>
    <xf numFmtId="43" fontId="215" fillId="0" borderId="0" xfId="1" applyFont="1" applyFill="1" applyBorder="1" applyAlignment="1"/>
    <xf numFmtId="0" fontId="39" fillId="0" borderId="0" xfId="0" applyFont="1" applyAlignment="1">
      <alignment horizontal="right"/>
    </xf>
    <xf numFmtId="0" fontId="11" fillId="0" borderId="116" xfId="0" applyFont="1" applyBorder="1" applyAlignment="1">
      <alignment horizontal="center"/>
    </xf>
    <xf numFmtId="43" fontId="4" fillId="0" borderId="99" xfId="1" applyFont="1" applyFill="1" applyBorder="1" applyAlignment="1"/>
    <xf numFmtId="49" fontId="4" fillId="0" borderId="99" xfId="1" applyNumberFormat="1" applyFont="1" applyFill="1" applyBorder="1" applyAlignment="1"/>
    <xf numFmtId="0" fontId="39" fillId="0" borderId="125" xfId="0" applyFont="1" applyBorder="1" applyAlignment="1">
      <alignment horizontal="center"/>
    </xf>
    <xf numFmtId="43" fontId="11" fillId="0" borderId="99" xfId="1" applyFont="1" applyFill="1" applyBorder="1" applyAlignment="1">
      <alignment horizontal="center"/>
    </xf>
    <xf numFmtId="0" fontId="11" fillId="0" borderId="99" xfId="0" applyFont="1" applyBorder="1" applyAlignment="1" applyProtection="1">
      <alignment horizontal="center"/>
      <protection locked="0"/>
    </xf>
    <xf numFmtId="0" fontId="133" fillId="0" borderId="75" xfId="0" applyFont="1" applyBorder="1" applyAlignment="1">
      <alignment horizontal="center"/>
    </xf>
    <xf numFmtId="0" fontId="133" fillId="0" borderId="73" xfId="0" applyFont="1" applyBorder="1" applyAlignment="1">
      <alignment horizontal="center"/>
    </xf>
    <xf numFmtId="0" fontId="133" fillId="0" borderId="74" xfId="0" applyFont="1" applyBorder="1" applyAlignment="1">
      <alignment horizontal="center"/>
    </xf>
    <xf numFmtId="0" fontId="133" fillId="0" borderId="90" xfId="0" applyFont="1" applyBorder="1" applyAlignment="1">
      <alignment horizontal="center"/>
    </xf>
    <xf numFmtId="0" fontId="133" fillId="0" borderId="0" xfId="0" applyFont="1" applyAlignment="1">
      <alignment horizontal="center"/>
    </xf>
    <xf numFmtId="0" fontId="133" fillId="0" borderId="91" xfId="0" applyFont="1" applyBorder="1" applyAlignment="1">
      <alignment horizontal="center"/>
    </xf>
    <xf numFmtId="0" fontId="133" fillId="0" borderId="175" xfId="0" applyFont="1" applyBorder="1" applyAlignment="1">
      <alignment horizontal="center"/>
    </xf>
    <xf numFmtId="0" fontId="133" fillId="0" borderId="176" xfId="0" applyFont="1" applyBorder="1" applyAlignment="1">
      <alignment horizontal="center"/>
    </xf>
    <xf numFmtId="0" fontId="11" fillId="0" borderId="167" xfId="0" applyFont="1" applyBorder="1" applyAlignment="1">
      <alignment horizontal="center"/>
    </xf>
    <xf numFmtId="0" fontId="11" fillId="0" borderId="110" xfId="0" applyFont="1" applyBorder="1" applyAlignment="1">
      <alignment horizontal="center"/>
    </xf>
    <xf numFmtId="0" fontId="11" fillId="0" borderId="112" xfId="0" applyFont="1" applyBorder="1" applyAlignment="1">
      <alignment horizontal="center"/>
    </xf>
    <xf numFmtId="0" fontId="11" fillId="0" borderId="111" xfId="0" applyFont="1" applyBorder="1" applyAlignment="1">
      <alignment horizontal="center"/>
    </xf>
    <xf numFmtId="0" fontId="11" fillId="0" borderId="127" xfId="0" applyFont="1" applyBorder="1" applyAlignment="1">
      <alignment horizontal="center"/>
    </xf>
    <xf numFmtId="0" fontId="4" fillId="0" borderId="145" xfId="0" applyFont="1" applyBorder="1" applyAlignment="1">
      <alignment horizontal="center"/>
    </xf>
    <xf numFmtId="0" fontId="4" fillId="0" borderId="163" xfId="0" applyFont="1" applyBorder="1" applyAlignment="1">
      <alignment horizontal="left"/>
    </xf>
    <xf numFmtId="0" fontId="4" fillId="0" borderId="146" xfId="0" applyFont="1" applyBorder="1" applyAlignment="1">
      <alignment horizontal="left"/>
    </xf>
    <xf numFmtId="0" fontId="4" fillId="0" borderId="164" xfId="0" applyFont="1" applyBorder="1" applyAlignment="1">
      <alignment horizontal="left"/>
    </xf>
    <xf numFmtId="49" fontId="4" fillId="0" borderId="147" xfId="0" applyNumberFormat="1" applyFont="1" applyBorder="1" applyAlignment="1">
      <alignment horizontal="center"/>
    </xf>
    <xf numFmtId="49" fontId="4" fillId="0" borderId="148" xfId="0" applyNumberFormat="1" applyFont="1" applyBorder="1" applyAlignment="1">
      <alignment horizontal="center"/>
    </xf>
    <xf numFmtId="4" fontId="4" fillId="0" borderId="163" xfId="1" applyNumberFormat="1" applyFont="1" applyFill="1" applyBorder="1" applyAlignment="1">
      <alignment horizontal="right"/>
    </xf>
    <xf numFmtId="4" fontId="4" fillId="0" borderId="146" xfId="1" applyNumberFormat="1" applyFont="1" applyFill="1" applyBorder="1" applyAlignment="1">
      <alignment horizontal="right"/>
    </xf>
    <xf numFmtId="4" fontId="4" fillId="0" borderId="164" xfId="1" applyNumberFormat="1" applyFont="1" applyFill="1" applyBorder="1" applyAlignment="1">
      <alignment horizontal="right"/>
    </xf>
    <xf numFmtId="0" fontId="4" fillId="0" borderId="119" xfId="0" applyFont="1" applyBorder="1" applyAlignment="1">
      <alignment horizontal="center"/>
    </xf>
    <xf numFmtId="0" fontId="4" fillId="0" borderId="119" xfId="0" applyFont="1" applyBorder="1" applyAlignment="1">
      <alignment horizontal="left"/>
    </xf>
    <xf numFmtId="0" fontId="4" fillId="0" borderId="122" xfId="0" applyFont="1" applyBorder="1" applyAlignment="1">
      <alignment horizontal="left"/>
    </xf>
    <xf numFmtId="0" fontId="4" fillId="0" borderId="150" xfId="0" applyFont="1" applyBorder="1" applyAlignment="1">
      <alignment horizontal="left"/>
    </xf>
    <xf numFmtId="49" fontId="4" fillId="0" borderId="123" xfId="0" applyNumberFormat="1" applyFont="1" applyBorder="1" applyAlignment="1">
      <alignment horizontal="center"/>
    </xf>
    <xf numFmtId="49" fontId="4" fillId="0" borderId="122" xfId="0" applyNumberFormat="1" applyFont="1" applyBorder="1" applyAlignment="1">
      <alignment horizontal="center"/>
    </xf>
    <xf numFmtId="191" fontId="4" fillId="0" borderId="180" xfId="1" applyNumberFormat="1" applyFont="1" applyFill="1" applyBorder="1" applyAlignment="1">
      <alignment horizontal="center"/>
    </xf>
    <xf numFmtId="191" fontId="4" fillId="0" borderId="100" xfId="1" applyNumberFormat="1" applyFont="1" applyFill="1" applyBorder="1" applyAlignment="1">
      <alignment horizontal="center"/>
    </xf>
    <xf numFmtId="191" fontId="4" fillId="0" borderId="124" xfId="1" applyNumberFormat="1" applyFont="1" applyFill="1" applyBorder="1" applyAlignment="1">
      <alignment horizontal="center"/>
    </xf>
    <xf numFmtId="4" fontId="4" fillId="0" borderId="180" xfId="1" applyNumberFormat="1" applyFont="1" applyFill="1" applyBorder="1" applyAlignment="1">
      <alignment horizontal="right"/>
    </xf>
    <xf numFmtId="4" fontId="4" fillId="0" borderId="100" xfId="1" applyNumberFormat="1" applyFont="1" applyFill="1" applyBorder="1" applyAlignment="1">
      <alignment horizontal="right"/>
    </xf>
    <xf numFmtId="4" fontId="4" fillId="0" borderId="124" xfId="1" applyNumberFormat="1" applyFont="1" applyFill="1" applyBorder="1" applyAlignment="1">
      <alignment horizontal="right"/>
    </xf>
    <xf numFmtId="0" fontId="4" fillId="0" borderId="126" xfId="0" applyFont="1" applyBorder="1" applyAlignment="1">
      <alignment horizontal="center"/>
    </xf>
    <xf numFmtId="0" fontId="4" fillId="0" borderId="126" xfId="0" applyFont="1" applyBorder="1" applyAlignment="1">
      <alignment horizontal="left"/>
    </xf>
    <xf numFmtId="0" fontId="4" fillId="0" borderId="127" xfId="0" applyFont="1" applyBorder="1" applyAlignment="1">
      <alignment horizontal="left"/>
    </xf>
    <xf numFmtId="0" fontId="4" fillId="0" borderId="162" xfId="0" applyFont="1" applyBorder="1" applyAlignment="1">
      <alignment horizontal="left"/>
    </xf>
    <xf numFmtId="49" fontId="4" fillId="0" borderId="111" xfId="0" applyNumberFormat="1" applyFont="1" applyBorder="1" applyAlignment="1">
      <alignment horizontal="center"/>
    </xf>
    <xf numFmtId="4" fontId="4" fillId="0" borderId="167" xfId="1" applyNumberFormat="1" applyFont="1" applyFill="1" applyBorder="1" applyAlignment="1">
      <alignment horizontal="right"/>
    </xf>
    <xf numFmtId="4" fontId="4" fillId="0" borderId="110" xfId="1" applyNumberFormat="1" applyFont="1" applyFill="1" applyBorder="1" applyAlignment="1">
      <alignment horizontal="right"/>
    </xf>
    <xf numFmtId="4" fontId="4" fillId="0" borderId="112" xfId="1" applyNumberFormat="1" applyFont="1" applyFill="1" applyBorder="1" applyAlignment="1">
      <alignment horizontal="right"/>
    </xf>
    <xf numFmtId="0" fontId="82" fillId="0" borderId="99" xfId="0" applyFont="1" applyBorder="1" applyAlignment="1">
      <alignment horizontal="left"/>
    </xf>
    <xf numFmtId="43" fontId="82" fillId="0" borderId="99" xfId="1" applyFont="1" applyFill="1" applyBorder="1" applyAlignment="1">
      <alignment horizontal="left"/>
    </xf>
    <xf numFmtId="0" fontId="11" fillId="0" borderId="125" xfId="0" applyFont="1" applyBorder="1" applyAlignment="1">
      <alignment horizontal="center"/>
    </xf>
    <xf numFmtId="0" fontId="44" fillId="0" borderId="199" xfId="0" applyFont="1" applyBorder="1"/>
    <xf numFmtId="0" fontId="44" fillId="0" borderId="125" xfId="0" applyFont="1" applyBorder="1"/>
    <xf numFmtId="0" fontId="11" fillId="0" borderId="125" xfId="0" applyFont="1" applyBorder="1"/>
    <xf numFmtId="0" fontId="11" fillId="0" borderId="201" xfId="0" applyFont="1" applyBorder="1"/>
    <xf numFmtId="0" fontId="44" fillId="0" borderId="106" xfId="0" applyFont="1" applyBorder="1"/>
    <xf numFmtId="0" fontId="11" fillId="0" borderId="107" xfId="0" applyFont="1" applyBorder="1"/>
    <xf numFmtId="0" fontId="11" fillId="0" borderId="106" xfId="0" applyFont="1" applyBorder="1"/>
    <xf numFmtId="0" fontId="11" fillId="0" borderId="177" xfId="0" applyFont="1" applyBorder="1"/>
    <xf numFmtId="0" fontId="11" fillId="0" borderId="121" xfId="0" applyFont="1" applyBorder="1"/>
    <xf numFmtId="0" fontId="216" fillId="0" borderId="0" xfId="0" applyFont="1"/>
    <xf numFmtId="0" fontId="11" fillId="0" borderId="0" xfId="0" applyFont="1" applyAlignment="1">
      <alignment vertical="center"/>
    </xf>
    <xf numFmtId="49" fontId="11" fillId="0" borderId="0" xfId="0" applyNumberFormat="1" applyFont="1"/>
    <xf numFmtId="0" fontId="22" fillId="0" borderId="0" xfId="0" applyFont="1" applyAlignment="1">
      <alignment vertical="top"/>
    </xf>
    <xf numFmtId="0" fontId="217" fillId="0" borderId="0" xfId="0" applyFont="1"/>
    <xf numFmtId="49" fontId="11" fillId="0" borderId="36" xfId="0" applyNumberFormat="1" applyFont="1" applyBorder="1"/>
    <xf numFmtId="0" fontId="11" fillId="0" borderId="96" xfId="0" applyFont="1" applyBorder="1" applyAlignment="1">
      <alignment horizontal="center"/>
    </xf>
    <xf numFmtId="0" fontId="11" fillId="0" borderId="172" xfId="0" applyFont="1" applyBorder="1" applyAlignment="1">
      <alignment horizontal="center"/>
    </xf>
    <xf numFmtId="0" fontId="11" fillId="0" borderId="210" xfId="0" applyFont="1" applyBorder="1" applyAlignment="1">
      <alignment horizontal="center"/>
    </xf>
    <xf numFmtId="0" fontId="39" fillId="0" borderId="211" xfId="0" applyFont="1" applyBorder="1" applyAlignment="1">
      <alignment horizontal="center"/>
    </xf>
    <xf numFmtId="0" fontId="39" fillId="0" borderId="96" xfId="0" applyFont="1" applyBorder="1" applyAlignment="1">
      <alignment horizontal="center"/>
    </xf>
    <xf numFmtId="0" fontId="39" fillId="0" borderId="210" xfId="0" applyFont="1" applyBorder="1" applyAlignment="1">
      <alignment horizontal="center"/>
    </xf>
    <xf numFmtId="0" fontId="11" fillId="0" borderId="211" xfId="0" applyFont="1" applyBorder="1" applyAlignment="1">
      <alignment horizontal="center"/>
    </xf>
    <xf numFmtId="0" fontId="11" fillId="0" borderId="97" xfId="0" applyFont="1" applyBorder="1" applyAlignment="1">
      <alignment horizontal="center"/>
    </xf>
    <xf numFmtId="49" fontId="11" fillId="0" borderId="212" xfId="0" applyNumberFormat="1" applyFont="1" applyBorder="1"/>
    <xf numFmtId="0" fontId="11" fillId="0" borderId="90" xfId="0" applyFont="1" applyBorder="1" applyAlignment="1">
      <alignment horizontal="center"/>
    </xf>
    <xf numFmtId="0" fontId="11" fillId="0" borderId="213" xfId="0" applyFont="1" applyBorder="1" applyAlignment="1">
      <alignment horizontal="center"/>
    </xf>
    <xf numFmtId="0" fontId="39" fillId="0" borderId="214" xfId="0" applyFont="1" applyBorder="1" applyAlignment="1">
      <alignment horizontal="center"/>
    </xf>
    <xf numFmtId="0" fontId="39" fillId="0" borderId="213" xfId="0" applyFont="1" applyBorder="1" applyAlignment="1">
      <alignment horizontal="center"/>
    </xf>
    <xf numFmtId="0" fontId="11" fillId="0" borderId="214" xfId="0" applyFont="1" applyBorder="1" applyAlignment="1">
      <alignment horizontal="center"/>
    </xf>
    <xf numFmtId="0" fontId="11" fillId="0" borderId="93" xfId="0" applyFont="1" applyBorder="1" applyAlignment="1">
      <alignment horizontal="center"/>
    </xf>
    <xf numFmtId="49" fontId="11" fillId="0" borderId="48" xfId="0" applyNumberFormat="1" applyFont="1" applyBorder="1" applyAlignment="1">
      <alignment horizontal="center"/>
    </xf>
    <xf numFmtId="0" fontId="11" fillId="0" borderId="68" xfId="0" applyFont="1" applyBorder="1" applyAlignment="1">
      <alignment horizontal="center"/>
    </xf>
    <xf numFmtId="0" fontId="11" fillId="0" borderId="70" xfId="0" applyFont="1" applyBorder="1" applyAlignment="1">
      <alignment horizontal="center"/>
    </xf>
    <xf numFmtId="0" fontId="11" fillId="0" borderId="215" xfId="0" applyFont="1" applyBorder="1" applyAlignment="1">
      <alignment horizontal="center"/>
    </xf>
    <xf numFmtId="0" fontId="39" fillId="0" borderId="216" xfId="0" applyFont="1" applyBorder="1" applyAlignment="1">
      <alignment horizontal="center"/>
    </xf>
    <xf numFmtId="0" fontId="39" fillId="0" borderId="68" xfId="0" applyFont="1" applyBorder="1" applyAlignment="1">
      <alignment horizontal="center"/>
    </xf>
    <xf numFmtId="0" fontId="39" fillId="0" borderId="215" xfId="0" applyFont="1" applyBorder="1" applyAlignment="1">
      <alignment horizontal="center"/>
    </xf>
    <xf numFmtId="0" fontId="11" fillId="0" borderId="216" xfId="0" applyFont="1" applyBorder="1" applyAlignment="1">
      <alignment horizontal="center"/>
    </xf>
    <xf numFmtId="0" fontId="11" fillId="0" borderId="71" xfId="0" applyFont="1" applyBorder="1" applyAlignment="1">
      <alignment horizontal="center"/>
    </xf>
    <xf numFmtId="49" fontId="61" fillId="0" borderId="39" xfId="0" applyNumberFormat="1" applyFont="1" applyBorder="1" applyAlignment="1">
      <alignment vertical="center"/>
    </xf>
    <xf numFmtId="0" fontId="22" fillId="0" borderId="80" xfId="0" applyFont="1" applyBorder="1" applyAlignment="1">
      <alignment horizontal="justify" vertical="center" wrapText="1"/>
    </xf>
    <xf numFmtId="0" fontId="22" fillId="0" borderId="78" xfId="0" applyFont="1" applyBorder="1" applyAlignment="1">
      <alignment horizontal="justify" vertical="center" wrapText="1"/>
    </xf>
    <xf numFmtId="0" fontId="22" fillId="0" borderId="79" xfId="0" applyFont="1" applyBorder="1" applyAlignment="1">
      <alignment horizontal="justify" vertical="center" wrapText="1"/>
    </xf>
    <xf numFmtId="182" fontId="133" fillId="0" borderId="80" xfId="1" applyNumberFormat="1" applyFont="1" applyFill="1" applyBorder="1" applyAlignment="1">
      <alignment horizontal="center" vertical="center"/>
    </xf>
    <xf numFmtId="182" fontId="133" fillId="0" borderId="78" xfId="1" applyNumberFormat="1" applyFont="1" applyFill="1" applyBorder="1" applyAlignment="1">
      <alignment horizontal="center" vertical="center"/>
    </xf>
    <xf numFmtId="182" fontId="133" fillId="0" borderId="217" xfId="1" applyNumberFormat="1" applyFont="1" applyFill="1" applyBorder="1" applyAlignment="1">
      <alignment horizontal="center" vertical="center"/>
    </xf>
    <xf numFmtId="182" fontId="133" fillId="0" borderId="81" xfId="1" applyNumberFormat="1" applyFont="1" applyFill="1" applyBorder="1" applyAlignment="1">
      <alignment horizontal="center" vertical="center"/>
    </xf>
    <xf numFmtId="49" fontId="61" fillId="0" borderId="42" xfId="0" applyNumberFormat="1" applyFont="1" applyBorder="1"/>
    <xf numFmtId="0" fontId="22" fillId="0" borderId="63" xfId="0" applyFont="1" applyBorder="1" applyAlignment="1">
      <alignment horizontal="left"/>
    </xf>
    <xf numFmtId="182" fontId="133" fillId="0" borderId="65" xfId="1" applyNumberFormat="1" applyFont="1" applyFill="1" applyBorder="1" applyAlignment="1">
      <alignment horizontal="center"/>
    </xf>
    <xf numFmtId="182" fontId="133" fillId="0" borderId="63" xfId="1" applyNumberFormat="1" applyFont="1" applyFill="1" applyBorder="1" applyAlignment="1">
      <alignment horizontal="center"/>
    </xf>
    <xf numFmtId="182" fontId="133" fillId="0" borderId="218" xfId="1" applyNumberFormat="1" applyFont="1" applyFill="1" applyBorder="1" applyAlignment="1">
      <alignment horizontal="center"/>
    </xf>
    <xf numFmtId="182" fontId="133" fillId="0" borderId="219" xfId="1" applyNumberFormat="1" applyFont="1" applyFill="1" applyBorder="1" applyAlignment="1">
      <alignment horizontal="center"/>
    </xf>
    <xf numFmtId="182" fontId="133" fillId="0" borderId="66" xfId="1" applyNumberFormat="1" applyFont="1" applyFill="1" applyBorder="1" applyAlignment="1">
      <alignment horizontal="center"/>
    </xf>
    <xf numFmtId="49" fontId="39" fillId="0" borderId="42" xfId="0" applyNumberFormat="1" applyFont="1" applyBorder="1"/>
    <xf numFmtId="0" fontId="11" fillId="0" borderId="63" xfId="0" applyFont="1" applyBorder="1" applyAlignment="1">
      <alignment horizontal="center"/>
    </xf>
    <xf numFmtId="0" fontId="11" fillId="0" borderId="63" xfId="0" applyFont="1" applyBorder="1" applyAlignment="1">
      <alignment horizontal="left"/>
    </xf>
    <xf numFmtId="182" fontId="4" fillId="0" borderId="65" xfId="1" applyNumberFormat="1" applyFont="1" applyFill="1" applyBorder="1" applyAlignment="1">
      <alignment horizontal="center"/>
    </xf>
    <xf numFmtId="182" fontId="4" fillId="0" borderId="63" xfId="1" applyNumberFormat="1" applyFont="1" applyFill="1" applyBorder="1" applyAlignment="1">
      <alignment horizontal="center"/>
    </xf>
    <xf numFmtId="182" fontId="4" fillId="0" borderId="218" xfId="1" applyNumberFormat="1" applyFont="1" applyFill="1" applyBorder="1" applyAlignment="1">
      <alignment horizontal="center"/>
    </xf>
    <xf numFmtId="182" fontId="4" fillId="0" borderId="219" xfId="1" applyNumberFormat="1" applyFont="1" applyFill="1" applyBorder="1" applyAlignment="1">
      <alignment horizontal="center"/>
    </xf>
    <xf numFmtId="182" fontId="4" fillId="0" borderId="66" xfId="1" applyNumberFormat="1" applyFont="1" applyFill="1" applyBorder="1" applyAlignment="1">
      <alignment horizontal="center"/>
    </xf>
    <xf numFmtId="49" fontId="39" fillId="0" borderId="42" xfId="0" applyNumberFormat="1" applyFont="1" applyBorder="1" applyAlignment="1">
      <alignment vertical="top"/>
    </xf>
    <xf numFmtId="0" fontId="11" fillId="0" borderId="63" xfId="0" applyFont="1" applyBorder="1" applyAlignment="1">
      <alignment horizontal="center" vertical="top"/>
    </xf>
    <xf numFmtId="0" fontId="11" fillId="0" borderId="63" xfId="0" applyFont="1" applyBorder="1" applyAlignment="1">
      <alignment horizontal="justify"/>
    </xf>
    <xf numFmtId="0" fontId="11" fillId="0" borderId="64" xfId="0" applyFont="1" applyBorder="1" applyAlignment="1">
      <alignment horizontal="justify"/>
    </xf>
    <xf numFmtId="49" fontId="39" fillId="0" borderId="42" xfId="0" applyNumberFormat="1" applyFont="1" applyBorder="1" applyAlignment="1">
      <alignment vertical="center"/>
    </xf>
    <xf numFmtId="0" fontId="11" fillId="0" borderId="63" xfId="0" applyFont="1" applyBorder="1" applyAlignment="1">
      <alignment horizontal="justify" vertical="center"/>
    </xf>
    <xf numFmtId="0" fontId="11" fillId="0" borderId="64" xfId="0" applyFont="1" applyBorder="1" applyAlignment="1">
      <alignment horizontal="justify" vertical="center"/>
    </xf>
    <xf numFmtId="0" fontId="22" fillId="0" borderId="63" xfId="0" applyFont="1" applyBorder="1" applyAlignment="1">
      <alignment horizontal="justify"/>
    </xf>
    <xf numFmtId="0" fontId="22" fillId="0" borderId="64" xfId="0" applyFont="1" applyBorder="1" applyAlignment="1">
      <alignment horizontal="justify"/>
    </xf>
    <xf numFmtId="49" fontId="22" fillId="0" borderId="42" xfId="0" applyNumberFormat="1" applyFont="1" applyBorder="1"/>
    <xf numFmtId="49" fontId="11" fillId="0" borderId="42" xfId="0" applyNumberFormat="1" applyFont="1" applyBorder="1" applyAlignment="1">
      <alignment vertical="top"/>
    </xf>
    <xf numFmtId="49" fontId="11" fillId="0" borderId="42" xfId="0" applyNumberFormat="1" applyFont="1" applyBorder="1" applyAlignment="1">
      <alignment horizontal="left" vertical="top"/>
    </xf>
    <xf numFmtId="49" fontId="11" fillId="0" borderId="42" xfId="0" applyNumberFormat="1" applyFont="1" applyBorder="1"/>
    <xf numFmtId="0" fontId="22" fillId="0" borderId="64" xfId="0" applyFont="1" applyBorder="1" applyAlignment="1">
      <alignment horizontal="left"/>
    </xf>
    <xf numFmtId="0" fontId="11" fillId="0" borderId="63" xfId="0" applyFont="1" applyBorder="1" applyAlignment="1">
      <alignment horizontal="right"/>
    </xf>
    <xf numFmtId="0" fontId="43" fillId="0" borderId="73" xfId="0" applyFont="1" applyBorder="1"/>
    <xf numFmtId="49" fontId="22" fillId="0" borderId="48" xfId="0" applyNumberFormat="1" applyFont="1" applyBorder="1"/>
    <xf numFmtId="0" fontId="22" fillId="0" borderId="70" xfId="0" applyFont="1" applyBorder="1" applyAlignment="1">
      <alignment horizontal="justify"/>
    </xf>
    <xf numFmtId="0" fontId="22" fillId="0" borderId="68" xfId="0" applyFont="1" applyBorder="1" applyAlignment="1">
      <alignment horizontal="justify"/>
    </xf>
    <xf numFmtId="0" fontId="22" fillId="0" borderId="69" xfId="0" applyFont="1" applyBorder="1" applyAlignment="1">
      <alignment horizontal="justify"/>
    </xf>
    <xf numFmtId="182" fontId="4" fillId="0" borderId="70" xfId="1" applyNumberFormat="1" applyFont="1" applyFill="1" applyBorder="1" applyAlignment="1">
      <alignment horizontal="center"/>
    </xf>
    <xf numFmtId="182" fontId="4" fillId="0" borderId="68" xfId="1" applyNumberFormat="1" applyFont="1" applyFill="1" applyBorder="1" applyAlignment="1">
      <alignment horizontal="center"/>
    </xf>
    <xf numFmtId="182" fontId="4" fillId="0" borderId="215" xfId="1" applyNumberFormat="1" applyFont="1" applyFill="1" applyBorder="1" applyAlignment="1">
      <alignment horizontal="center"/>
    </xf>
    <xf numFmtId="182" fontId="133" fillId="0" borderId="216" xfId="1" applyNumberFormat="1" applyFont="1" applyFill="1" applyBorder="1" applyAlignment="1">
      <alignment horizontal="center"/>
    </xf>
    <xf numFmtId="182" fontId="133" fillId="0" borderId="68" xfId="1" applyNumberFormat="1" applyFont="1" applyFill="1" applyBorder="1" applyAlignment="1">
      <alignment horizontal="center"/>
    </xf>
    <xf numFmtId="182" fontId="133" fillId="0" borderId="215" xfId="1" applyNumberFormat="1" applyFont="1" applyFill="1" applyBorder="1" applyAlignment="1">
      <alignment horizontal="center"/>
    </xf>
    <xf numFmtId="182" fontId="4" fillId="0" borderId="216" xfId="1" applyNumberFormat="1" applyFont="1" applyFill="1" applyBorder="1" applyAlignment="1">
      <alignment horizontal="center"/>
    </xf>
    <xf numFmtId="182" fontId="4" fillId="0" borderId="71" xfId="1" applyNumberFormat="1" applyFont="1" applyFill="1" applyBorder="1" applyAlignment="1">
      <alignment horizontal="center"/>
    </xf>
    <xf numFmtId="49" fontId="11" fillId="0" borderId="96" xfId="0" applyNumberFormat="1" applyFont="1" applyBorder="1"/>
    <xf numFmtId="49" fontId="22" fillId="0" borderId="39" xfId="0" applyNumberFormat="1" applyFont="1" applyBorder="1"/>
    <xf numFmtId="0" fontId="22" fillId="0" borderId="80" xfId="0" applyFont="1" applyBorder="1" applyAlignment="1">
      <alignment horizontal="justify"/>
    </xf>
    <xf numFmtId="0" fontId="22" fillId="0" borderId="78" xfId="0" applyFont="1" applyBorder="1" applyAlignment="1">
      <alignment horizontal="justify"/>
    </xf>
    <xf numFmtId="0" fontId="22" fillId="0" borderId="79" xfId="0" applyFont="1" applyBorder="1" applyAlignment="1">
      <alignment horizontal="justify"/>
    </xf>
    <xf numFmtId="182" fontId="133" fillId="0" borderId="80" xfId="1" applyNumberFormat="1" applyFont="1" applyFill="1" applyBorder="1" applyAlignment="1">
      <alignment horizontal="center"/>
    </xf>
    <xf numFmtId="182" fontId="133" fillId="0" borderId="78" xfId="1" applyNumberFormat="1" applyFont="1" applyFill="1" applyBorder="1" applyAlignment="1">
      <alignment horizontal="center"/>
    </xf>
    <xf numFmtId="182" fontId="133" fillId="0" borderId="217" xfId="1" applyNumberFormat="1" applyFont="1" applyFill="1" applyBorder="1" applyAlignment="1">
      <alignment horizontal="center"/>
    </xf>
    <xf numFmtId="182" fontId="133" fillId="0" borderId="220" xfId="1" applyNumberFormat="1" applyFont="1" applyFill="1" applyBorder="1" applyAlignment="1">
      <alignment horizontal="center"/>
    </xf>
    <xf numFmtId="182" fontId="133" fillId="0" borderId="81" xfId="1" applyNumberFormat="1" applyFont="1" applyFill="1" applyBorder="1" applyAlignment="1">
      <alignment horizontal="center"/>
    </xf>
    <xf numFmtId="0" fontId="22" fillId="0" borderId="65" xfId="0" applyFont="1" applyBorder="1" applyAlignment="1">
      <alignment horizontal="justify"/>
    </xf>
    <xf numFmtId="182" fontId="133" fillId="0" borderId="70" xfId="1" applyNumberFormat="1" applyFont="1" applyFill="1" applyBorder="1" applyAlignment="1">
      <alignment horizontal="center"/>
    </xf>
    <xf numFmtId="182" fontId="133" fillId="0" borderId="71" xfId="1" applyNumberFormat="1" applyFont="1" applyFill="1" applyBorder="1" applyAlignment="1">
      <alignment horizontal="center"/>
    </xf>
    <xf numFmtId="0" fontId="214" fillId="0" borderId="0" xfId="0" applyFont="1" applyAlignment="1">
      <alignment horizontal="center"/>
    </xf>
    <xf numFmtId="0" fontId="44" fillId="0" borderId="0" xfId="0" applyFont="1" applyAlignment="1">
      <alignment horizontal="left"/>
    </xf>
    <xf numFmtId="43" fontId="4" fillId="0" borderId="0" xfId="1" applyFont="1" applyFill="1" applyBorder="1" applyAlignment="1">
      <alignment horizontal="center"/>
    </xf>
    <xf numFmtId="43" fontId="44" fillId="0" borderId="0" xfId="1" applyFont="1" applyFill="1" applyBorder="1" applyAlignment="1">
      <alignment horizontal="left"/>
    </xf>
    <xf numFmtId="43" fontId="44" fillId="0" borderId="0" xfId="1" applyFont="1" applyFill="1" applyBorder="1" applyAlignment="1"/>
    <xf numFmtId="43" fontId="44" fillId="0" borderId="0" xfId="1" applyFont="1" applyFill="1" applyBorder="1" applyAlignment="1">
      <alignment horizontal="center"/>
    </xf>
    <xf numFmtId="0" fontId="22" fillId="0" borderId="0" xfId="0" applyFont="1"/>
    <xf numFmtId="0" fontId="11" fillId="0" borderId="96" xfId="0" applyFont="1" applyBorder="1"/>
    <xf numFmtId="0" fontId="11" fillId="0" borderId="173" xfId="0" applyFont="1" applyBorder="1"/>
    <xf numFmtId="0" fontId="11" fillId="0" borderId="80" xfId="0" applyFont="1" applyBorder="1" applyAlignment="1">
      <alignment horizontal="center"/>
    </xf>
    <xf numFmtId="0" fontId="11" fillId="0" borderId="78" xfId="0" applyFont="1" applyBorder="1" applyAlignment="1">
      <alignment horizontal="center"/>
    </xf>
    <xf numFmtId="0" fontId="11" fillId="0" borderId="79" xfId="0" applyFont="1" applyBorder="1" applyAlignment="1">
      <alignment horizontal="center"/>
    </xf>
    <xf numFmtId="0" fontId="11" fillId="0" borderId="81" xfId="0" applyFont="1" applyBorder="1" applyAlignment="1">
      <alignment horizontal="center"/>
    </xf>
    <xf numFmtId="0" fontId="11" fillId="0" borderId="91" xfId="0" applyFont="1" applyBorder="1"/>
    <xf numFmtId="0" fontId="44" fillId="0" borderId="90" xfId="0" applyFont="1" applyBorder="1"/>
    <xf numFmtId="0" fontId="44" fillId="0" borderId="99" xfId="0" applyFont="1" applyBorder="1"/>
    <xf numFmtId="0" fontId="44" fillId="0" borderId="91" xfId="0" applyFont="1" applyBorder="1"/>
    <xf numFmtId="0" fontId="44" fillId="0" borderId="99" xfId="0" applyFont="1" applyBorder="1" applyAlignment="1">
      <alignment horizontal="center"/>
    </xf>
    <xf numFmtId="0" fontId="44" fillId="0" borderId="93" xfId="0" applyFont="1" applyBorder="1"/>
    <xf numFmtId="0" fontId="218" fillId="0" borderId="175" xfId="0" applyFont="1" applyBorder="1"/>
    <xf numFmtId="49" fontId="44" fillId="0" borderId="175" xfId="0" applyNumberFormat="1" applyFont="1" applyBorder="1"/>
    <xf numFmtId="0" fontId="44" fillId="0" borderId="175" xfId="0" applyFont="1" applyBorder="1"/>
    <xf numFmtId="0" fontId="44" fillId="0" borderId="91" xfId="0" applyFont="1" applyBorder="1" applyAlignment="1">
      <alignment horizontal="center"/>
    </xf>
    <xf numFmtId="0" fontId="44" fillId="0" borderId="93" xfId="0" applyFont="1" applyBorder="1" applyAlignment="1">
      <alignment horizontal="center"/>
    </xf>
    <xf numFmtId="0" fontId="44" fillId="0" borderId="90" xfId="0" applyFont="1" applyBorder="1" applyAlignment="1">
      <alignment horizontal="right"/>
    </xf>
    <xf numFmtId="0" fontId="44" fillId="0" borderId="0" xfId="0" applyFont="1" applyAlignment="1">
      <alignment horizontal="right"/>
    </xf>
    <xf numFmtId="0" fontId="44" fillId="0" borderId="91" xfId="0" applyFont="1" applyBorder="1" applyAlignment="1">
      <alignment horizontal="right"/>
    </xf>
    <xf numFmtId="0" fontId="44" fillId="0" borderId="93" xfId="0" applyFont="1" applyBorder="1" applyAlignment="1">
      <alignment horizontal="right"/>
    </xf>
    <xf numFmtId="0" fontId="44" fillId="0" borderId="122" xfId="0" applyFont="1" applyBorder="1"/>
    <xf numFmtId="0" fontId="44" fillId="0" borderId="122" xfId="0" applyFont="1" applyBorder="1" applyAlignment="1">
      <alignment horizontal="center"/>
    </xf>
    <xf numFmtId="49" fontId="11" fillId="0" borderId="212" xfId="0" applyNumberFormat="1" applyFont="1" applyBorder="1" applyAlignment="1">
      <alignment horizontal="center"/>
    </xf>
    <xf numFmtId="0" fontId="11" fillId="0" borderId="91" xfId="0" applyFont="1" applyBorder="1" applyAlignment="1">
      <alignment horizontal="center"/>
    </xf>
    <xf numFmtId="0" fontId="44" fillId="0" borderId="90" xfId="0" applyFont="1" applyBorder="1" applyAlignment="1">
      <alignment horizontal="center"/>
    </xf>
    <xf numFmtId="49" fontId="11" fillId="0" borderId="51" xfId="0" applyNumberFormat="1" applyFont="1" applyBorder="1"/>
    <xf numFmtId="0" fontId="11" fillId="0" borderId="29" xfId="0" applyFont="1" applyBorder="1"/>
    <xf numFmtId="0" fontId="11" fillId="0" borderId="83" xfId="0" applyFont="1" applyBorder="1"/>
    <xf numFmtId="0" fontId="44" fillId="0" borderId="84" xfId="0" applyFont="1" applyBorder="1"/>
    <xf numFmtId="0" fontId="44" fillId="0" borderId="29" xfId="0" applyFont="1" applyBorder="1"/>
    <xf numFmtId="0" fontId="44" fillId="0" borderId="110" xfId="0" applyFont="1" applyBorder="1" applyAlignment="1">
      <alignment horizontal="center"/>
    </xf>
    <xf numFmtId="0" fontId="44" fillId="0" borderId="83" xfId="0" applyFont="1" applyBorder="1" applyAlignment="1">
      <alignment horizontal="center"/>
    </xf>
    <xf numFmtId="0" fontId="44" fillId="0" borderId="85" xfId="0" applyFont="1" applyBorder="1" applyAlignment="1">
      <alignment horizontal="center"/>
    </xf>
    <xf numFmtId="49" fontId="11" fillId="0" borderId="221" xfId="0" applyNumberFormat="1" applyFont="1" applyBorder="1"/>
    <xf numFmtId="0" fontId="39" fillId="0" borderId="73" xfId="0" applyFont="1" applyBorder="1" applyAlignment="1">
      <alignment horizontal="justify"/>
    </xf>
    <xf numFmtId="0" fontId="39" fillId="0" borderId="103" xfId="0" applyFont="1" applyBorder="1" applyAlignment="1">
      <alignment horizontal="justify"/>
    </xf>
    <xf numFmtId="0" fontId="39" fillId="0" borderId="156" xfId="0" applyFont="1" applyBorder="1"/>
    <xf numFmtId="0" fontId="44" fillId="0" borderId="146" xfId="0" applyFont="1" applyBorder="1"/>
    <xf numFmtId="0" fontId="44" fillId="0" borderId="164" xfId="0" applyFont="1" applyBorder="1"/>
    <xf numFmtId="49" fontId="11" fillId="0" borderId="145" xfId="0" applyNumberFormat="1" applyFont="1" applyBorder="1" applyAlignment="1">
      <alignment horizontal="center"/>
    </xf>
    <xf numFmtId="182" fontId="4" fillId="0" borderId="156" xfId="1" applyNumberFormat="1" applyFont="1" applyFill="1" applyBorder="1" applyAlignment="1">
      <alignment horizontal="center"/>
    </xf>
    <xf numFmtId="182" fontId="4" fillId="0" borderId="146" xfId="1" applyNumberFormat="1" applyFont="1" applyFill="1" applyBorder="1" applyAlignment="1">
      <alignment horizontal="center"/>
    </xf>
    <xf numFmtId="182" fontId="4" fillId="0" borderId="164" xfId="1" applyNumberFormat="1" applyFont="1" applyFill="1" applyBorder="1" applyAlignment="1">
      <alignment horizontal="center"/>
    </xf>
    <xf numFmtId="182" fontId="4" fillId="0" borderId="222" xfId="1" applyNumberFormat="1" applyFont="1" applyFill="1" applyBorder="1" applyAlignment="1">
      <alignment horizontal="center"/>
    </xf>
    <xf numFmtId="49" fontId="11" fillId="0" borderId="223" xfId="0" applyNumberFormat="1" applyFont="1" applyBorder="1"/>
    <xf numFmtId="0" fontId="39" fillId="0" borderId="0" xfId="0" applyFont="1" applyAlignment="1">
      <alignment horizontal="justify"/>
    </xf>
    <xf numFmtId="0" fontId="39" fillId="0" borderId="107" xfId="0" applyFont="1" applyBorder="1" applyAlignment="1">
      <alignment horizontal="justify"/>
    </xf>
    <xf numFmtId="0" fontId="39" fillId="0" borderId="120" xfId="0" applyFont="1" applyBorder="1"/>
    <xf numFmtId="0" fontId="44" fillId="0" borderId="100" xfId="0" applyFont="1" applyBorder="1"/>
    <xf numFmtId="0" fontId="44" fillId="0" borderId="124" xfId="0" applyFont="1" applyBorder="1"/>
    <xf numFmtId="182" fontId="4" fillId="0" borderId="120" xfId="1" applyNumberFormat="1" applyFont="1" applyFill="1" applyBorder="1" applyAlignment="1">
      <alignment horizontal="center"/>
    </xf>
    <xf numFmtId="182" fontId="4" fillId="0" borderId="100" xfId="1" applyNumberFormat="1" applyFont="1" applyFill="1" applyBorder="1" applyAlignment="1">
      <alignment horizontal="center"/>
    </xf>
    <xf numFmtId="182" fontId="4" fillId="0" borderId="124" xfId="1" applyNumberFormat="1" applyFont="1" applyFill="1" applyBorder="1" applyAlignment="1">
      <alignment horizontal="center"/>
    </xf>
    <xf numFmtId="182" fontId="4" fillId="0" borderId="90" xfId="1" applyNumberFormat="1" applyFont="1" applyFill="1" applyBorder="1"/>
    <xf numFmtId="182" fontId="4" fillId="0" borderId="224" xfId="1" applyNumberFormat="1" applyFont="1" applyFill="1" applyBorder="1" applyAlignment="1">
      <alignment horizontal="center"/>
    </xf>
    <xf numFmtId="0" fontId="39" fillId="0" borderId="99" xfId="0" applyFont="1" applyBorder="1" applyAlignment="1">
      <alignment horizontal="justify"/>
    </xf>
    <xf numFmtId="0" fontId="39" fillId="0" borderId="121" xfId="0" applyFont="1" applyBorder="1" applyAlignment="1">
      <alignment horizontal="justify"/>
    </xf>
    <xf numFmtId="0" fontId="39" fillId="0" borderId="123" xfId="0" applyFont="1" applyBorder="1" applyAlignment="1">
      <alignment horizontal="left"/>
    </xf>
    <xf numFmtId="0" fontId="39" fillId="0" borderId="122" xfId="0" applyFont="1" applyBorder="1" applyAlignment="1">
      <alignment horizontal="left"/>
    </xf>
    <xf numFmtId="0" fontId="39" fillId="0" borderId="120" xfId="0" applyFont="1" applyBorder="1" applyAlignment="1">
      <alignment horizontal="left"/>
    </xf>
    <xf numFmtId="49" fontId="11" fillId="0" borderId="225" xfId="0" applyNumberFormat="1" applyFont="1" applyBorder="1" applyAlignment="1">
      <alignment vertical="center"/>
    </xf>
    <xf numFmtId="0" fontId="39" fillId="0" borderId="226" xfId="0" applyFont="1" applyBorder="1" applyAlignment="1">
      <alignment horizontal="left" vertical="center" wrapText="1"/>
    </xf>
    <xf numFmtId="0" fontId="39" fillId="0" borderId="227" xfId="0" applyFont="1" applyBorder="1" applyAlignment="1">
      <alignment horizontal="left" vertical="center" wrapText="1"/>
    </xf>
    <xf numFmtId="0" fontId="39" fillId="0" borderId="228" xfId="0" applyFont="1" applyBorder="1" applyAlignment="1">
      <alignment horizontal="left" vertical="center" wrapText="1"/>
    </xf>
    <xf numFmtId="182" fontId="4" fillId="0" borderId="199" xfId="1" applyNumberFormat="1" applyFont="1" applyFill="1" applyBorder="1" applyAlignment="1">
      <alignment horizontal="center"/>
    </xf>
    <xf numFmtId="182" fontId="4" fillId="0" borderId="198" xfId="1" applyNumberFormat="1" applyFont="1" applyFill="1" applyBorder="1" applyAlignment="1">
      <alignment horizontal="center"/>
    </xf>
    <xf numFmtId="182" fontId="4" fillId="0" borderId="229" xfId="1" applyNumberFormat="1" applyFont="1" applyFill="1" applyBorder="1" applyAlignment="1">
      <alignment horizontal="center"/>
    </xf>
    <xf numFmtId="182" fontId="4" fillId="0" borderId="227" xfId="1" applyNumberFormat="1" applyFont="1" applyFill="1" applyBorder="1" applyAlignment="1">
      <alignment horizontal="center"/>
    </xf>
    <xf numFmtId="182" fontId="4" fillId="0" borderId="228" xfId="1" applyNumberFormat="1" applyFont="1" applyFill="1" applyBorder="1" applyAlignment="1">
      <alignment horizontal="center"/>
    </xf>
    <xf numFmtId="182" fontId="4" fillId="0" borderId="230" xfId="1" applyNumberFormat="1" applyFont="1" applyFill="1" applyBorder="1" applyAlignment="1">
      <alignment horizontal="center"/>
    </xf>
    <xf numFmtId="49" fontId="11" fillId="0" borderId="231" xfId="0" applyNumberFormat="1" applyFont="1" applyBorder="1"/>
    <xf numFmtId="0" fontId="39" fillId="0" borderId="129" xfId="0" applyFont="1" applyBorder="1" applyAlignment="1">
      <alignment horizontal="center"/>
    </xf>
    <xf numFmtId="0" fontId="39" fillId="0" borderId="232" xfId="0" applyFont="1" applyBorder="1" applyAlignment="1">
      <alignment horizontal="center"/>
    </xf>
    <xf numFmtId="49" fontId="39" fillId="0" borderId="233" xfId="0" applyNumberFormat="1" applyFont="1" applyBorder="1" applyAlignment="1">
      <alignment horizontal="left"/>
    </xf>
    <xf numFmtId="49" fontId="39" fillId="0" borderId="234" xfId="0" applyNumberFormat="1" applyFont="1" applyBorder="1" applyAlignment="1">
      <alignment horizontal="left"/>
    </xf>
    <xf numFmtId="0" fontId="1" fillId="0" borderId="235" xfId="0" applyFont="1" applyBorder="1"/>
    <xf numFmtId="182" fontId="4" fillId="0" borderId="233" xfId="1" applyNumberFormat="1" applyFont="1" applyFill="1" applyBorder="1" applyAlignment="1">
      <alignment horizontal="center"/>
    </xf>
    <xf numFmtId="182" fontId="4" fillId="0" borderId="234" xfId="1" applyNumberFormat="1" applyFont="1" applyFill="1" applyBorder="1" applyAlignment="1">
      <alignment horizontal="center"/>
    </xf>
    <xf numFmtId="182" fontId="4" fillId="0" borderId="236" xfId="1" applyNumberFormat="1" applyFont="1" applyFill="1" applyBorder="1" applyAlignment="1">
      <alignment horizontal="center"/>
    </xf>
    <xf numFmtId="182" fontId="4" fillId="0" borderId="235" xfId="1" applyNumberFormat="1" applyFont="1" applyFill="1" applyBorder="1"/>
    <xf numFmtId="182" fontId="4" fillId="0" borderId="237" xfId="1" applyNumberFormat="1" applyFont="1" applyFill="1" applyBorder="1" applyAlignment="1">
      <alignment horizontal="center"/>
    </xf>
    <xf numFmtId="0" fontId="39" fillId="0" borderId="107" xfId="0" applyFont="1" applyBorder="1" applyAlignment="1">
      <alignment horizontal="center"/>
    </xf>
    <xf numFmtId="49" fontId="39" fillId="0" borderId="120" xfId="0" applyNumberFormat="1" applyFont="1" applyBorder="1" applyAlignment="1">
      <alignment horizontal="left"/>
    </xf>
    <xf numFmtId="49" fontId="39" fillId="0" borderId="100" xfId="0" applyNumberFormat="1" applyFont="1" applyBorder="1" applyAlignment="1">
      <alignment horizontal="left"/>
    </xf>
    <xf numFmtId="49" fontId="11" fillId="0" borderId="238" xfId="0" applyNumberFormat="1" applyFont="1" applyBorder="1"/>
    <xf numFmtId="0" fontId="39" fillId="0" borderId="239" xfId="0" applyFont="1" applyBorder="1" applyAlignment="1">
      <alignment horizontal="center"/>
    </xf>
    <xf numFmtId="0" fontId="39" fillId="0" borderId="240" xfId="0" applyFont="1" applyBorder="1" applyAlignment="1">
      <alignment horizontal="center"/>
    </xf>
    <xf numFmtId="49" fontId="39" fillId="0" borderId="229" xfId="0" applyNumberFormat="1" applyFont="1" applyBorder="1" applyAlignment="1">
      <alignment horizontal="left"/>
    </xf>
    <xf numFmtId="49" fontId="39" fillId="0" borderId="227" xfId="0" applyNumberFormat="1" applyFont="1" applyBorder="1" applyAlignment="1">
      <alignment horizontal="left"/>
    </xf>
    <xf numFmtId="0" fontId="1" fillId="0" borderId="241" xfId="0" applyFont="1" applyBorder="1"/>
    <xf numFmtId="182" fontId="4" fillId="0" borderId="241" xfId="1" applyNumberFormat="1" applyFont="1" applyFill="1" applyBorder="1"/>
    <xf numFmtId="49" fontId="11" fillId="0" borderId="212" xfId="0" applyNumberFormat="1" applyFont="1" applyBorder="1" applyAlignment="1">
      <alignment horizontal="left"/>
    </xf>
    <xf numFmtId="0" fontId="39" fillId="0" borderId="234" xfId="0" applyFont="1" applyBorder="1" applyAlignment="1">
      <alignment horizontal="left"/>
    </xf>
    <xf numFmtId="0" fontId="39" fillId="0" borderId="236" xfId="0" applyFont="1" applyBorder="1" applyAlignment="1">
      <alignment horizontal="left"/>
    </xf>
    <xf numFmtId="49" fontId="11" fillId="0" borderId="242" xfId="0" applyNumberFormat="1" applyFont="1" applyBorder="1"/>
    <xf numFmtId="0" fontId="39" fillId="0" borderId="186" xfId="0" applyFont="1" applyBorder="1" applyAlignment="1">
      <alignment horizontal="left"/>
    </xf>
    <xf numFmtId="0" fontId="39" fillId="0" borderId="187" xfId="0" applyFont="1" applyBorder="1" applyAlignment="1">
      <alignment horizontal="left"/>
    </xf>
    <xf numFmtId="0" fontId="39" fillId="0" borderId="184" xfId="0" applyFont="1" applyBorder="1" applyAlignment="1">
      <alignment horizontal="left"/>
    </xf>
    <xf numFmtId="0" fontId="1" fillId="0" borderId="243" xfId="0" applyFont="1" applyBorder="1"/>
    <xf numFmtId="182" fontId="4" fillId="0" borderId="184" xfId="1" applyNumberFormat="1" applyFont="1" applyFill="1" applyBorder="1" applyAlignment="1">
      <alignment horizontal="center"/>
    </xf>
    <xf numFmtId="182" fontId="4" fillId="0" borderId="183" xfId="1" applyNumberFormat="1" applyFont="1" applyFill="1" applyBorder="1" applyAlignment="1">
      <alignment horizontal="center"/>
    </xf>
    <xf numFmtId="182" fontId="4" fillId="0" borderId="182" xfId="1" applyNumberFormat="1" applyFont="1" applyFill="1" applyBorder="1" applyAlignment="1">
      <alignment horizontal="center"/>
    </xf>
    <xf numFmtId="182" fontId="4" fillId="0" borderId="243" xfId="1" applyNumberFormat="1" applyFont="1" applyFill="1" applyBorder="1"/>
    <xf numFmtId="182" fontId="4" fillId="0" borderId="244" xfId="1" applyNumberFormat="1" applyFont="1" applyFill="1" applyBorder="1" applyAlignment="1">
      <alignment horizontal="center"/>
    </xf>
    <xf numFmtId="49" fontId="44" fillId="0" borderId="0" xfId="0" applyNumberFormat="1" applyFont="1"/>
    <xf numFmtId="0" fontId="49" fillId="0" borderId="0" xfId="0" applyFont="1" applyAlignment="1">
      <alignment horizontal="center"/>
    </xf>
    <xf numFmtId="0" fontId="82" fillId="0" borderId="0" xfId="0" applyFont="1" applyAlignment="1">
      <alignment horizontal="left"/>
    </xf>
    <xf numFmtId="0" fontId="219" fillId="0" borderId="0" xfId="0" applyFont="1" applyAlignment="1">
      <alignment vertical="center"/>
    </xf>
    <xf numFmtId="49" fontId="204" fillId="0" borderId="29" xfId="0" applyNumberFormat="1" applyFont="1" applyBorder="1" applyAlignment="1">
      <alignment vertical="center"/>
    </xf>
    <xf numFmtId="0" fontId="0" fillId="0" borderId="29" xfId="0" applyBorder="1"/>
    <xf numFmtId="43" fontId="82" fillId="0" borderId="29" xfId="1" applyFont="1" applyFill="1" applyBorder="1" applyAlignment="1"/>
    <xf numFmtId="0" fontId="45" fillId="0" borderId="73" xfId="0" applyFont="1" applyBorder="1"/>
    <xf numFmtId="0" fontId="11" fillId="0" borderId="73" xfId="0" applyFont="1" applyBorder="1"/>
    <xf numFmtId="49" fontId="204" fillId="0" borderId="63" xfId="0" applyNumberFormat="1" applyFont="1" applyBorder="1" applyAlignment="1">
      <alignment vertical="center"/>
    </xf>
    <xf numFmtId="0" fontId="204" fillId="0" borderId="63" xfId="0" applyFont="1" applyBorder="1" applyAlignment="1">
      <alignment vertical="center"/>
    </xf>
    <xf numFmtId="49" fontId="0" fillId="0" borderId="63" xfId="0" applyNumberFormat="1" applyBorder="1"/>
    <xf numFmtId="49" fontId="216" fillId="0" borderId="0" xfId="0" applyNumberFormat="1" applyFont="1"/>
    <xf numFmtId="0" fontId="22" fillId="0" borderId="0" xfId="0" applyFont="1" applyAlignment="1">
      <alignment horizontal="center"/>
    </xf>
    <xf numFmtId="49" fontId="22" fillId="0" borderId="0" xfId="0" applyNumberFormat="1" applyFont="1" applyAlignment="1">
      <alignment horizontal="center"/>
    </xf>
    <xf numFmtId="0" fontId="39" fillId="0" borderId="75" xfId="0" applyFont="1" applyBorder="1" applyAlignment="1">
      <alignment horizontal="center"/>
    </xf>
    <xf numFmtId="0" fontId="39" fillId="0" borderId="73" xfId="0" applyFont="1" applyBorder="1" applyAlignment="1">
      <alignment horizontal="center"/>
    </xf>
    <xf numFmtId="0" fontId="39" fillId="0" borderId="74" xfId="0" applyFont="1" applyBorder="1" applyAlignment="1">
      <alignment horizontal="center"/>
    </xf>
    <xf numFmtId="0" fontId="39" fillId="0" borderId="29" xfId="0" applyFont="1" applyBorder="1" applyAlignment="1">
      <alignment horizontal="center"/>
    </xf>
    <xf numFmtId="0" fontId="39" fillId="0" borderId="83" xfId="0" applyFont="1" applyBorder="1" applyAlignment="1">
      <alignment horizontal="center"/>
    </xf>
    <xf numFmtId="0" fontId="220" fillId="0" borderId="0" xfId="0" applyFont="1" applyAlignment="1">
      <alignment vertical="center" wrapText="1"/>
    </xf>
    <xf numFmtId="0" fontId="220" fillId="0" borderId="65" xfId="0" applyFont="1" applyBorder="1" applyAlignment="1">
      <alignment horizontal="center" vertical="center" wrapText="1"/>
    </xf>
    <xf numFmtId="0" fontId="220" fillId="0" borderId="63" xfId="0" applyFont="1" applyBorder="1" applyAlignment="1">
      <alignment horizontal="center" vertical="center" wrapText="1"/>
    </xf>
    <xf numFmtId="0" fontId="220" fillId="0" borderId="64" xfId="0" applyFont="1" applyBorder="1" applyAlignment="1">
      <alignment horizontal="center" vertical="center" wrapText="1"/>
    </xf>
    <xf numFmtId="0" fontId="60" fillId="0" borderId="99" xfId="0" applyFont="1" applyBorder="1"/>
    <xf numFmtId="0" fontId="11" fillId="0" borderId="170" xfId="0" applyFont="1" applyBorder="1"/>
    <xf numFmtId="43" fontId="11" fillId="0" borderId="99" xfId="1" applyFont="1" applyFill="1" applyBorder="1"/>
    <xf numFmtId="49" fontId="11" fillId="0" borderId="99" xfId="0" applyNumberFormat="1" applyFont="1" applyBorder="1"/>
    <xf numFmtId="43" fontId="11" fillId="0" borderId="99" xfId="1" applyFont="1" applyFill="1" applyBorder="1" applyAlignment="1"/>
    <xf numFmtId="0" fontId="11" fillId="0" borderId="170" xfId="0" applyFont="1" applyBorder="1" applyAlignment="1">
      <alignment horizontal="center"/>
    </xf>
    <xf numFmtId="0" fontId="221" fillId="0" borderId="0" xfId="0" applyFont="1"/>
    <xf numFmtId="49" fontId="22" fillId="0" borderId="0" xfId="0" applyNumberFormat="1" applyFont="1"/>
    <xf numFmtId="49" fontId="11" fillId="0" borderId="46" xfId="0" applyNumberFormat="1" applyFont="1" applyBorder="1"/>
    <xf numFmtId="0" fontId="11" fillId="0" borderId="73" xfId="0" applyFont="1" applyBorder="1" applyAlignment="1">
      <alignment horizontal="center"/>
    </xf>
    <xf numFmtId="0" fontId="11" fillId="0" borderId="75" xfId="0" applyFont="1" applyBorder="1" applyAlignment="1">
      <alignment horizontal="center"/>
    </xf>
    <xf numFmtId="0" fontId="11" fillId="0" borderId="74" xfId="0" applyFont="1" applyBorder="1" applyAlignment="1">
      <alignment horizontal="center"/>
    </xf>
    <xf numFmtId="49" fontId="11" fillId="0" borderId="159" xfId="0" applyNumberFormat="1" applyFont="1" applyBorder="1" applyAlignment="1">
      <alignment horizontal="left"/>
    </xf>
    <xf numFmtId="0" fontId="11" fillId="0" borderId="175" xfId="0" applyFont="1" applyBorder="1" applyAlignment="1">
      <alignment horizontal="center"/>
    </xf>
    <xf numFmtId="0" fontId="11" fillId="0" borderId="176" xfId="0" applyFont="1" applyBorder="1" applyAlignment="1">
      <alignment horizontal="center"/>
    </xf>
    <xf numFmtId="49" fontId="22" fillId="0" borderId="155" xfId="0" applyNumberFormat="1" applyFont="1" applyBorder="1"/>
    <xf numFmtId="0" fontId="22" fillId="0" borderId="125" xfId="0" applyFont="1" applyBorder="1"/>
    <xf numFmtId="182" fontId="11" fillId="0" borderId="180" xfId="1" applyNumberFormat="1" applyFont="1" applyFill="1" applyBorder="1" applyAlignment="1">
      <alignment horizontal="center"/>
    </xf>
    <xf numFmtId="182" fontId="11" fillId="0" borderId="100" xfId="1" applyNumberFormat="1" applyFont="1" applyFill="1" applyBorder="1" applyAlignment="1">
      <alignment horizontal="center"/>
    </xf>
    <xf numFmtId="182" fontId="11" fillId="0" borderId="124" xfId="1" applyNumberFormat="1" applyFont="1" applyFill="1" applyBorder="1" applyAlignment="1">
      <alignment horizontal="center"/>
    </xf>
    <xf numFmtId="49" fontId="22" fillId="0" borderId="52" xfId="0" applyNumberFormat="1" applyFont="1" applyBorder="1"/>
    <xf numFmtId="182" fontId="11" fillId="0" borderId="197" xfId="1" applyNumberFormat="1" applyFont="1" applyFill="1" applyBorder="1" applyAlignment="1">
      <alignment horizontal="center"/>
    </xf>
    <xf numFmtId="182" fontId="11" fillId="0" borderId="125" xfId="1" applyNumberFormat="1" applyFont="1" applyFill="1" applyBorder="1" applyAlignment="1">
      <alignment horizontal="center"/>
    </xf>
    <xf numFmtId="182" fontId="11" fillId="0" borderId="198" xfId="1" applyNumberFormat="1" applyFont="1" applyFill="1" applyBorder="1" applyAlignment="1">
      <alignment horizontal="center"/>
    </xf>
    <xf numFmtId="49" fontId="22" fillId="0" borderId="43" xfId="0" applyNumberFormat="1" applyFont="1" applyBorder="1" applyAlignment="1">
      <alignment horizontal="left"/>
    </xf>
    <xf numFmtId="0" fontId="22" fillId="0" borderId="63" xfId="0" applyFont="1" applyBorder="1"/>
    <xf numFmtId="0" fontId="11" fillId="0" borderId="63" xfId="0" applyFont="1" applyBorder="1"/>
    <xf numFmtId="182" fontId="11" fillId="0" borderId="65" xfId="1" applyNumberFormat="1" applyFont="1" applyFill="1" applyBorder="1" applyAlignment="1">
      <alignment horizontal="center"/>
    </xf>
    <xf numFmtId="182" fontId="11" fillId="0" borderId="63" xfId="1" applyNumberFormat="1" applyFont="1" applyFill="1" applyBorder="1" applyAlignment="1">
      <alignment horizontal="center"/>
    </xf>
    <xf numFmtId="182" fontId="11" fillId="0" borderId="64" xfId="1" applyNumberFormat="1" applyFont="1" applyFill="1" applyBorder="1" applyAlignment="1">
      <alignment horizontal="center"/>
    </xf>
    <xf numFmtId="182" fontId="11" fillId="0" borderId="175" xfId="1" applyNumberFormat="1" applyFont="1" applyFill="1" applyBorder="1" applyAlignment="1">
      <alignment horizontal="center"/>
    </xf>
    <xf numFmtId="182" fontId="11" fillId="0" borderId="99" xfId="1" applyNumberFormat="1" applyFont="1" applyFill="1" applyBorder="1" applyAlignment="1">
      <alignment horizontal="center"/>
    </xf>
    <xf numFmtId="182" fontId="11" fillId="0" borderId="176" xfId="1" applyNumberFormat="1" applyFont="1" applyFill="1" applyBorder="1" applyAlignment="1">
      <alignment horizontal="center"/>
    </xf>
    <xf numFmtId="49" fontId="11" fillId="0" borderId="155" xfId="0" applyNumberFormat="1" applyFont="1" applyBorder="1" applyAlignment="1">
      <alignment horizontal="left"/>
    </xf>
    <xf numFmtId="49" fontId="11" fillId="0" borderId="154" xfId="0" applyNumberFormat="1" applyFont="1" applyBorder="1" applyAlignment="1">
      <alignment horizontal="left"/>
    </xf>
    <xf numFmtId="49" fontId="22" fillId="0" borderId="46" xfId="0" applyNumberFormat="1" applyFont="1" applyBorder="1" applyAlignment="1">
      <alignment vertical="center"/>
    </xf>
    <xf numFmtId="0" fontId="22" fillId="0" borderId="73" xfId="0" applyFont="1" applyBorder="1"/>
    <xf numFmtId="182" fontId="11" fillId="0" borderId="163" xfId="1" applyNumberFormat="1" applyFont="1" applyFill="1" applyBorder="1" applyAlignment="1">
      <alignment horizontal="center"/>
    </xf>
    <xf numFmtId="182" fontId="11" fillId="0" borderId="146" xfId="1" applyNumberFormat="1" applyFont="1" applyFill="1" applyBorder="1" applyAlignment="1">
      <alignment horizontal="center"/>
    </xf>
    <xf numFmtId="182" fontId="11" fillId="0" borderId="164" xfId="1" applyNumberFormat="1" applyFont="1" applyFill="1" applyBorder="1" applyAlignment="1">
      <alignment horizontal="center"/>
    </xf>
    <xf numFmtId="49" fontId="22" fillId="0" borderId="52" xfId="0" applyNumberFormat="1" applyFont="1" applyBorder="1" applyAlignment="1">
      <alignment vertical="center"/>
    </xf>
    <xf numFmtId="0" fontId="22" fillId="0" borderId="29" xfId="0" applyFont="1" applyBorder="1"/>
    <xf numFmtId="182" fontId="11" fillId="0" borderId="167" xfId="1" applyNumberFormat="1" applyFont="1" applyFill="1" applyBorder="1" applyAlignment="1">
      <alignment horizontal="center"/>
    </xf>
    <xf numFmtId="182" fontId="11" fillId="0" borderId="110" xfId="1" applyNumberFormat="1" applyFont="1" applyFill="1" applyBorder="1" applyAlignment="1">
      <alignment horizontal="center"/>
    </xf>
    <xf numFmtId="182" fontId="11" fillId="0" borderId="112" xfId="1" applyNumberFormat="1" applyFont="1" applyFill="1" applyBorder="1" applyAlignment="1">
      <alignment horizontal="center"/>
    </xf>
    <xf numFmtId="49" fontId="11" fillId="0" borderId="52" xfId="0" applyNumberFormat="1" applyFont="1" applyBorder="1" applyAlignment="1">
      <alignment horizontal="left"/>
    </xf>
    <xf numFmtId="182" fontId="11" fillId="0" borderId="84" xfId="1" applyNumberFormat="1" applyFont="1" applyFill="1" applyBorder="1" applyAlignment="1">
      <alignment horizontal="center"/>
    </xf>
    <xf numFmtId="182" fontId="11" fillId="0" borderId="29" xfId="1" applyNumberFormat="1" applyFont="1" applyFill="1" applyBorder="1" applyAlignment="1">
      <alignment horizontal="center"/>
    </xf>
    <xf numFmtId="182" fontId="11" fillId="0" borderId="83" xfId="1" applyNumberFormat="1" applyFont="1" applyFill="1" applyBorder="1" applyAlignment="1">
      <alignment horizontal="center"/>
    </xf>
    <xf numFmtId="49" fontId="61" fillId="0" borderId="0" xfId="0" applyNumberFormat="1" applyFont="1"/>
    <xf numFmtId="49" fontId="220" fillId="0" borderId="0" xfId="0" applyNumberFormat="1" applyFont="1"/>
    <xf numFmtId="49" fontId="11" fillId="0" borderId="168" xfId="0" applyNumberFormat="1" applyFont="1" applyBorder="1" applyAlignment="1">
      <alignment horizontal="left"/>
    </xf>
    <xf numFmtId="49" fontId="11" fillId="0" borderId="153" xfId="0" applyNumberFormat="1" applyFont="1" applyBorder="1" applyAlignment="1">
      <alignment horizontal="left"/>
    </xf>
    <xf numFmtId="49" fontId="11" fillId="0" borderId="152" xfId="0" applyNumberFormat="1" applyFont="1" applyBorder="1" applyAlignment="1">
      <alignment horizontal="left"/>
    </xf>
    <xf numFmtId="49" fontId="11" fillId="0" borderId="159" xfId="0" applyNumberFormat="1" applyFont="1" applyBorder="1"/>
    <xf numFmtId="49" fontId="11" fillId="0" borderId="155" xfId="0" applyNumberFormat="1" applyFont="1" applyBorder="1" applyAlignment="1">
      <alignment horizontal="center" vertical="center"/>
    </xf>
    <xf numFmtId="49" fontId="11" fillId="0" borderId="168" xfId="0" applyNumberFormat="1" applyFont="1" applyBorder="1" applyAlignment="1">
      <alignment horizontal="center" vertical="center"/>
    </xf>
    <xf numFmtId="49" fontId="11" fillId="0" borderId="159" xfId="0" applyNumberFormat="1" applyFont="1" applyBorder="1" applyAlignment="1">
      <alignment horizontal="center" vertical="center"/>
    </xf>
    <xf numFmtId="49" fontId="11" fillId="0" borderId="155" xfId="0" applyNumberFormat="1" applyFont="1" applyBorder="1" applyAlignment="1">
      <alignment horizontal="left" vertical="top"/>
    </xf>
    <xf numFmtId="49" fontId="11" fillId="0" borderId="168" xfId="0" applyNumberFormat="1" applyFont="1" applyBorder="1" applyAlignment="1">
      <alignment horizontal="left" vertical="top"/>
    </xf>
    <xf numFmtId="49" fontId="11" fillId="0" borderId="52" xfId="0" applyNumberFormat="1" applyFont="1" applyBorder="1" applyAlignment="1">
      <alignment horizontal="left" vertical="top"/>
    </xf>
    <xf numFmtId="49" fontId="11" fillId="0" borderId="43" xfId="0" applyNumberFormat="1" applyFont="1" applyBorder="1"/>
    <xf numFmtId="49" fontId="11" fillId="0" borderId="29" xfId="0" applyNumberFormat="1" applyFont="1" applyBorder="1"/>
    <xf numFmtId="0" fontId="123" fillId="0" borderId="0" xfId="0" applyFont="1" applyAlignment="1">
      <alignment horizontal="center" vertical="center"/>
    </xf>
    <xf numFmtId="0" fontId="119" fillId="0" borderId="0" xfId="0" applyFont="1" applyAlignment="1">
      <alignment horizontal="center"/>
    </xf>
    <xf numFmtId="0" fontId="123" fillId="0" borderId="0" xfId="0" applyFont="1" applyAlignment="1">
      <alignment horizontal="left" wrapText="1"/>
    </xf>
    <xf numFmtId="0" fontId="121" fillId="0" borderId="0" xfId="0" applyFont="1" applyAlignment="1">
      <alignment horizontal="left" vertical="top"/>
    </xf>
    <xf numFmtId="0" fontId="119" fillId="0" borderId="0" xfId="0" applyFont="1" applyAlignment="1">
      <alignment horizontal="center" vertical="top"/>
    </xf>
    <xf numFmtId="0" fontId="222" fillId="0" borderId="0" xfId="0" applyFont="1" applyAlignment="1">
      <alignment horizontal="center"/>
    </xf>
    <xf numFmtId="0" fontId="164" fillId="0" borderId="0" xfId="0" applyFont="1" applyAlignment="1">
      <alignment horizontal="center" vertical="top"/>
    </xf>
    <xf numFmtId="0" fontId="164" fillId="0" borderId="0" xfId="0" applyFont="1" applyAlignment="1">
      <alignment horizontal="center"/>
    </xf>
    <xf numFmtId="0" fontId="164" fillId="0" borderId="100" xfId="0" applyFont="1" applyBorder="1"/>
    <xf numFmtId="0" fontId="173" fillId="0" borderId="0" xfId="0" applyFont="1"/>
    <xf numFmtId="0" fontId="173" fillId="0" borderId="99" xfId="0" applyFont="1" applyBorder="1" applyAlignment="1">
      <alignment horizontal="center"/>
    </xf>
    <xf numFmtId="0" fontId="173" fillId="0" borderId="99" xfId="0" applyFont="1" applyBorder="1" applyAlignment="1">
      <alignment horizontal="center" vertical="top" shrinkToFit="1"/>
    </xf>
    <xf numFmtId="0" fontId="223" fillId="0" borderId="125" xfId="0" applyFont="1" applyBorder="1" applyAlignment="1">
      <alignment horizontal="center" vertical="top"/>
    </xf>
    <xf numFmtId="0" fontId="223" fillId="0" borderId="125" xfId="0" applyFont="1" applyBorder="1" applyAlignment="1">
      <alignment horizontal="center"/>
    </xf>
    <xf numFmtId="49" fontId="173" fillId="0" borderId="0" xfId="0" applyNumberFormat="1" applyFont="1" applyAlignment="1">
      <alignment horizontal="center" vertical="top"/>
    </xf>
    <xf numFmtId="0" fontId="173" fillId="0" borderId="0" xfId="0" applyFont="1" applyAlignment="1">
      <alignment horizontal="center" vertical="top"/>
    </xf>
    <xf numFmtId="0" fontId="223" fillId="0" borderId="0" xfId="0" applyFont="1" applyAlignment="1">
      <alignment horizontal="center" vertical="top"/>
    </xf>
    <xf numFmtId="0" fontId="171" fillId="0" borderId="0" xfId="0" applyFont="1" applyAlignment="1">
      <alignment horizontal="center"/>
    </xf>
    <xf numFmtId="0" fontId="172" fillId="0" borderId="0" xfId="0" applyFont="1" applyAlignment="1">
      <alignment horizontal="center"/>
    </xf>
    <xf numFmtId="0" fontId="165" fillId="0" borderId="36" xfId="0" applyFont="1" applyBorder="1" applyAlignment="1">
      <alignment horizontal="center"/>
    </xf>
    <xf numFmtId="0" fontId="165" fillId="0" borderId="172" xfId="0" applyFont="1" applyBorder="1" applyAlignment="1">
      <alignment horizontal="center"/>
    </xf>
    <xf numFmtId="0" fontId="165" fillId="0" borderId="173" xfId="0" applyFont="1" applyBorder="1" applyAlignment="1">
      <alignment horizontal="center"/>
    </xf>
    <xf numFmtId="0" fontId="165" fillId="0" borderId="37" xfId="0" applyFont="1" applyBorder="1" applyAlignment="1">
      <alignment horizontal="center"/>
    </xf>
    <xf numFmtId="0" fontId="160" fillId="0" borderId="172" xfId="0" applyFont="1" applyBorder="1" applyAlignment="1">
      <alignment vertical="center" textRotation="90"/>
    </xf>
    <xf numFmtId="0" fontId="160" fillId="0" borderId="96" xfId="0" applyFont="1" applyBorder="1" applyAlignment="1">
      <alignment vertical="center" textRotation="90"/>
    </xf>
    <xf numFmtId="0" fontId="160" fillId="0" borderId="173" xfId="0" applyFont="1" applyBorder="1" applyAlignment="1">
      <alignment vertical="center" textRotation="90"/>
    </xf>
    <xf numFmtId="0" fontId="160" fillId="0" borderId="95" xfId="0" applyFont="1" applyBorder="1" applyAlignment="1">
      <alignment vertical="center" textRotation="90"/>
    </xf>
    <xf numFmtId="0" fontId="119" fillId="0" borderId="96" xfId="0" applyFont="1" applyBorder="1" applyAlignment="1">
      <alignment vertical="center" textRotation="90"/>
    </xf>
    <xf numFmtId="0" fontId="160" fillId="0" borderId="97" xfId="0" applyFont="1" applyBorder="1" applyAlignment="1">
      <alignment vertical="center" textRotation="90"/>
    </xf>
    <xf numFmtId="0" fontId="165" fillId="0" borderId="212" xfId="0" applyFont="1" applyBorder="1" applyAlignment="1">
      <alignment horizontal="center"/>
    </xf>
    <xf numFmtId="0" fontId="165" fillId="0" borderId="90" xfId="0" applyFont="1" applyBorder="1" applyAlignment="1">
      <alignment horizontal="center"/>
    </xf>
    <xf numFmtId="0" fontId="165" fillId="0" borderId="91" xfId="0" applyFont="1" applyBorder="1" applyAlignment="1">
      <alignment horizontal="center"/>
    </xf>
    <xf numFmtId="0" fontId="165" fillId="0" borderId="168" xfId="0" applyFont="1" applyBorder="1" applyAlignment="1">
      <alignment horizontal="center"/>
    </xf>
    <xf numFmtId="0" fontId="164" fillId="0" borderId="90" xfId="0" applyFont="1" applyBorder="1" applyAlignment="1">
      <alignment vertical="center" textRotation="90"/>
    </xf>
    <xf numFmtId="0" fontId="164" fillId="0" borderId="0" xfId="0" applyFont="1" applyAlignment="1">
      <alignment vertical="center" textRotation="90"/>
    </xf>
    <xf numFmtId="0" fontId="164" fillId="0" borderId="91" xfId="0" applyFont="1" applyBorder="1" applyAlignment="1">
      <alignment vertical="center" textRotation="90"/>
    </xf>
    <xf numFmtId="0" fontId="119" fillId="0" borderId="75" xfId="0" applyFont="1" applyBorder="1" applyAlignment="1">
      <alignment horizontal="center" wrapText="1"/>
    </xf>
    <xf numFmtId="0" fontId="119" fillId="0" borderId="73" xfId="0" applyFont="1" applyBorder="1" applyAlignment="1">
      <alignment horizontal="center" wrapText="1"/>
    </xf>
    <xf numFmtId="0" fontId="119" fillId="0" borderId="74" xfId="0" applyFont="1" applyBorder="1" applyAlignment="1">
      <alignment horizontal="center" wrapText="1"/>
    </xf>
    <xf numFmtId="0" fontId="119" fillId="0" borderId="90" xfId="0" applyFont="1" applyBorder="1" applyAlignment="1">
      <alignment horizontal="center" wrapText="1"/>
    </xf>
    <xf numFmtId="0" fontId="119" fillId="0" borderId="0" xfId="0" applyFont="1" applyAlignment="1">
      <alignment horizontal="center" wrapText="1"/>
    </xf>
    <xf numFmtId="0" fontId="119" fillId="0" borderId="91" xfId="0" applyFont="1" applyBorder="1" applyAlignment="1">
      <alignment horizontal="center" wrapText="1"/>
    </xf>
    <xf numFmtId="0" fontId="119" fillId="0" borderId="92" xfId="0" applyFont="1" applyBorder="1" applyAlignment="1">
      <alignment horizontal="center" wrapText="1"/>
    </xf>
    <xf numFmtId="0" fontId="119" fillId="0" borderId="93" xfId="0" applyFont="1" applyBorder="1" applyAlignment="1">
      <alignment horizontal="center" wrapText="1"/>
    </xf>
    <xf numFmtId="0" fontId="172" fillId="0" borderId="92" xfId="0" applyFont="1" applyBorder="1" applyAlignment="1">
      <alignment horizontal="center"/>
    </xf>
    <xf numFmtId="0" fontId="172" fillId="0" borderId="91" xfId="0" applyFont="1" applyBorder="1" applyAlignment="1">
      <alignment horizontal="center"/>
    </xf>
    <xf numFmtId="0" fontId="164" fillId="0" borderId="90" xfId="0" applyFont="1" applyBorder="1" applyAlignment="1">
      <alignment horizontal="center" vertical="top" wrapText="1"/>
    </xf>
    <xf numFmtId="0" fontId="164" fillId="0" borderId="0" xfId="0" applyFont="1" applyAlignment="1">
      <alignment horizontal="center" vertical="top" wrapText="1"/>
    </xf>
    <xf numFmtId="0" fontId="164" fillId="0" borderId="91" xfId="0" applyFont="1" applyBorder="1" applyAlignment="1">
      <alignment horizontal="center" vertical="top" wrapText="1"/>
    </xf>
    <xf numFmtId="0" fontId="119" fillId="0" borderId="90" xfId="0" applyFont="1" applyBorder="1" applyAlignment="1">
      <alignment horizontal="center" vertical="top" wrapText="1"/>
    </xf>
    <xf numFmtId="0" fontId="119" fillId="0" borderId="0" xfId="0" applyFont="1" applyAlignment="1">
      <alignment horizontal="center" vertical="top" wrapText="1"/>
    </xf>
    <xf numFmtId="0" fontId="119" fillId="0" borderId="91" xfId="0" applyFont="1" applyBorder="1" applyAlignment="1">
      <alignment horizontal="center" vertical="top" wrapText="1"/>
    </xf>
    <xf numFmtId="0" fontId="165" fillId="0" borderId="92" xfId="0" applyFont="1" applyBorder="1" applyAlignment="1">
      <alignment horizontal="center"/>
    </xf>
    <xf numFmtId="0" fontId="165" fillId="0" borderId="0" xfId="0" applyFont="1" applyAlignment="1">
      <alignment horizontal="center"/>
    </xf>
    <xf numFmtId="0" fontId="119" fillId="0" borderId="90" xfId="0" applyFont="1" applyBorder="1" applyAlignment="1">
      <alignment horizontal="center" vertical="top" shrinkToFit="1"/>
    </xf>
    <xf numFmtId="0" fontId="119" fillId="0" borderId="0" xfId="0" applyFont="1" applyAlignment="1">
      <alignment horizontal="center" vertical="top" shrinkToFit="1"/>
    </xf>
    <xf numFmtId="0" fontId="119" fillId="0" borderId="93" xfId="0" applyFont="1" applyBorder="1" applyAlignment="1">
      <alignment horizontal="center" vertical="top" wrapText="1"/>
    </xf>
    <xf numFmtId="0" fontId="165" fillId="0" borderId="51" xfId="0" applyFont="1" applyBorder="1" applyAlignment="1">
      <alignment horizontal="center"/>
    </xf>
    <xf numFmtId="0" fontId="165" fillId="0" borderId="84" xfId="0" applyFont="1" applyBorder="1" applyAlignment="1">
      <alignment horizontal="center"/>
    </xf>
    <xf numFmtId="0" fontId="165" fillId="0" borderId="83" xfId="0" applyFont="1" applyBorder="1" applyAlignment="1">
      <alignment horizontal="center"/>
    </xf>
    <xf numFmtId="0" fontId="165" fillId="0" borderId="52" xfId="0" applyFont="1" applyBorder="1" applyAlignment="1">
      <alignment horizontal="center"/>
    </xf>
    <xf numFmtId="0" fontId="164" fillId="0" borderId="84" xfId="0" applyFont="1" applyBorder="1" applyAlignment="1">
      <alignment vertical="center" textRotation="90"/>
    </xf>
    <xf numFmtId="0" fontId="164" fillId="0" borderId="29" xfId="0" applyFont="1" applyBorder="1" applyAlignment="1">
      <alignment vertical="center" textRotation="90"/>
    </xf>
    <xf numFmtId="0" fontId="164" fillId="0" borderId="83" xfId="0" applyFont="1" applyBorder="1" applyAlignment="1">
      <alignment vertical="center" textRotation="90"/>
    </xf>
    <xf numFmtId="0" fontId="119" fillId="0" borderId="92" xfId="0" applyFont="1" applyBorder="1" applyAlignment="1">
      <alignment horizontal="center" vertical="top" wrapText="1"/>
    </xf>
    <xf numFmtId="0" fontId="164" fillId="0" borderId="48" xfId="0" applyFont="1" applyBorder="1" applyAlignment="1">
      <alignment horizontal="center"/>
    </xf>
    <xf numFmtId="0" fontId="164" fillId="0" borderId="70" xfId="0" applyFont="1" applyBorder="1" applyAlignment="1">
      <alignment horizontal="center"/>
    </xf>
    <xf numFmtId="0" fontId="164" fillId="0" borderId="69" xfId="0" applyFont="1" applyBorder="1" applyAlignment="1">
      <alignment horizontal="center"/>
    </xf>
    <xf numFmtId="0" fontId="164" fillId="0" borderId="49" xfId="0" applyFont="1" applyBorder="1" applyAlignment="1">
      <alignment horizontal="center"/>
    </xf>
    <xf numFmtId="0" fontId="164" fillId="0" borderId="68" xfId="0" applyFont="1" applyBorder="1" applyAlignment="1">
      <alignment horizontal="center"/>
    </xf>
    <xf numFmtId="0" fontId="164" fillId="0" borderId="206" xfId="0" applyFont="1" applyBorder="1" applyAlignment="1">
      <alignment horizontal="center"/>
    </xf>
    <xf numFmtId="0" fontId="164" fillId="0" borderId="208" xfId="0" applyFont="1" applyBorder="1" applyAlignment="1">
      <alignment horizontal="center"/>
    </xf>
    <xf numFmtId="0" fontId="164" fillId="0" borderId="205" xfId="0" applyFont="1" applyBorder="1" applyAlignment="1">
      <alignment horizontal="center"/>
    </xf>
    <xf numFmtId="0" fontId="164" fillId="0" borderId="245" xfId="0" applyFont="1" applyBorder="1" applyAlignment="1">
      <alignment horizontal="center"/>
    </xf>
    <xf numFmtId="0" fontId="164" fillId="0" borderId="246" xfId="0" applyFont="1" applyBorder="1" applyAlignment="1">
      <alignment horizontal="center"/>
    </xf>
    <xf numFmtId="0" fontId="123" fillId="17" borderId="95" xfId="0" applyFont="1" applyFill="1" applyBorder="1" applyAlignment="1">
      <alignment horizontal="right" vertical="center"/>
    </xf>
    <xf numFmtId="0" fontId="123" fillId="17" borderId="96" xfId="0" applyFont="1" applyFill="1" applyBorder="1" applyAlignment="1">
      <alignment horizontal="left" vertical="center" wrapText="1"/>
    </xf>
    <xf numFmtId="0" fontId="123" fillId="17" borderId="173" xfId="0" applyFont="1" applyFill="1" applyBorder="1" applyAlignment="1">
      <alignment horizontal="left" vertical="center" wrapText="1"/>
    </xf>
    <xf numFmtId="0" fontId="123" fillId="0" borderId="34" xfId="0" applyFont="1" applyBorder="1" applyAlignment="1">
      <alignment horizontal="center" vertical="center"/>
    </xf>
    <xf numFmtId="0" fontId="123" fillId="0" borderId="32" xfId="0" applyFont="1" applyBorder="1" applyAlignment="1">
      <alignment horizontal="center" vertical="center"/>
    </xf>
    <xf numFmtId="0" fontId="123" fillId="0" borderId="33" xfId="0" applyFont="1" applyBorder="1" applyAlignment="1">
      <alignment horizontal="center" vertical="center"/>
    </xf>
    <xf numFmtId="182" fontId="123" fillId="0" borderId="37" xfId="1" applyNumberFormat="1" applyFont="1" applyFill="1" applyBorder="1" applyAlignment="1" applyProtection="1">
      <alignment horizontal="center" vertical="center" shrinkToFit="1"/>
      <protection locked="0"/>
    </xf>
    <xf numFmtId="182" fontId="123" fillId="0" borderId="172" xfId="1" applyNumberFormat="1" applyFont="1" applyFill="1" applyBorder="1" applyAlignment="1" applyProtection="1">
      <alignment horizontal="center" vertical="center" shrinkToFit="1"/>
      <protection locked="0"/>
    </xf>
    <xf numFmtId="182" fontId="123" fillId="0" borderId="36" xfId="1" applyNumberFormat="1" applyFont="1" applyFill="1" applyBorder="1" applyAlignment="1" applyProtection="1">
      <alignment horizontal="center" vertical="center" shrinkToFit="1"/>
      <protection locked="0"/>
    </xf>
    <xf numFmtId="182" fontId="123" fillId="0" borderId="38" xfId="1" applyNumberFormat="1" applyFont="1" applyFill="1" applyBorder="1" applyAlignment="1" applyProtection="1">
      <alignment horizontal="center" vertical="center" shrinkToFit="1"/>
      <protection locked="0"/>
    </xf>
    <xf numFmtId="0" fontId="164" fillId="17" borderId="77" xfId="0" applyFont="1" applyFill="1" applyBorder="1" applyAlignment="1">
      <alignment horizontal="right" vertical="center"/>
    </xf>
    <xf numFmtId="0" fontId="164" fillId="17" borderId="78" xfId="0" applyFont="1" applyFill="1" applyBorder="1" applyAlignment="1">
      <alignment horizontal="left" vertical="center" wrapText="1"/>
    </xf>
    <xf numFmtId="0" fontId="164" fillId="17" borderId="79" xfId="0" applyFont="1" applyFill="1" applyBorder="1" applyAlignment="1">
      <alignment horizontal="left" vertical="center" wrapText="1"/>
    </xf>
    <xf numFmtId="0" fontId="164" fillId="0" borderId="79" xfId="0" applyFont="1" applyBorder="1" applyAlignment="1">
      <alignment horizontal="center" vertical="center"/>
    </xf>
    <xf numFmtId="182" fontId="164" fillId="0" borderId="40" xfId="1" applyNumberFormat="1" applyFont="1" applyFill="1" applyBorder="1" applyAlignment="1" applyProtection="1">
      <alignment horizontal="center" vertical="center" shrinkToFit="1"/>
      <protection locked="0"/>
    </xf>
    <xf numFmtId="182" fontId="164" fillId="0" borderId="80" xfId="1" applyNumberFormat="1" applyFont="1" applyFill="1" applyBorder="1" applyAlignment="1" applyProtection="1">
      <alignment horizontal="center" vertical="center" shrinkToFit="1"/>
      <protection locked="0"/>
    </xf>
    <xf numFmtId="182" fontId="164" fillId="0" borderId="39" xfId="1" applyNumberFormat="1" applyFont="1" applyFill="1" applyBorder="1" applyAlignment="1" applyProtection="1">
      <alignment horizontal="center" vertical="center" shrinkToFit="1"/>
      <protection locked="0"/>
    </xf>
    <xf numFmtId="182" fontId="164" fillId="0" borderId="41" xfId="1" applyNumberFormat="1" applyFont="1" applyFill="1" applyBorder="1" applyAlignment="1" applyProtection="1">
      <alignment horizontal="center" vertical="center" shrinkToFit="1"/>
      <protection locked="0"/>
    </xf>
    <xf numFmtId="0" fontId="164" fillId="17" borderId="62" xfId="0" applyFont="1" applyFill="1" applyBorder="1" applyAlignment="1">
      <alignment horizontal="right" vertical="center"/>
    </xf>
    <xf numFmtId="0" fontId="164" fillId="17" borderId="63" xfId="0" applyFont="1" applyFill="1" applyBorder="1" applyAlignment="1">
      <alignment horizontal="left" vertical="center" wrapText="1"/>
    </xf>
    <xf numFmtId="0" fontId="164" fillId="17" borderId="64" xfId="0" applyFont="1" applyFill="1" applyBorder="1" applyAlignment="1">
      <alignment horizontal="left" vertical="center" wrapText="1"/>
    </xf>
    <xf numFmtId="0" fontId="164" fillId="0" borderId="63" xfId="0" applyFont="1" applyBorder="1" applyAlignment="1">
      <alignment horizontal="center" vertical="center"/>
    </xf>
    <xf numFmtId="182" fontId="164" fillId="0" borderId="43" xfId="1" applyNumberFormat="1" applyFont="1" applyFill="1" applyBorder="1" applyAlignment="1" applyProtection="1">
      <alignment horizontal="center" vertical="center" shrinkToFit="1"/>
      <protection locked="0"/>
    </xf>
    <xf numFmtId="182" fontId="164" fillId="0" borderId="65" xfId="1" applyNumberFormat="1" applyFont="1" applyFill="1" applyBorder="1" applyAlignment="1" applyProtection="1">
      <alignment horizontal="center" vertical="center" shrinkToFit="1"/>
      <protection locked="0"/>
    </xf>
    <xf numFmtId="182" fontId="164" fillId="0" borderId="42" xfId="1" applyNumberFormat="1" applyFont="1" applyFill="1" applyBorder="1" applyAlignment="1" applyProtection="1">
      <alignment horizontal="center" vertical="center" shrinkToFit="1"/>
      <protection locked="0"/>
    </xf>
    <xf numFmtId="182" fontId="164" fillId="0" borderId="44" xfId="1" applyNumberFormat="1" applyFont="1" applyFill="1" applyBorder="1" applyAlignment="1" applyProtection="1">
      <alignment horizontal="center" vertical="center" shrinkToFit="1"/>
      <protection locked="0"/>
    </xf>
    <xf numFmtId="0" fontId="123" fillId="17" borderId="72" xfId="0" applyFont="1" applyFill="1" applyBorder="1" applyAlignment="1">
      <alignment horizontal="right" vertical="top"/>
    </xf>
    <xf numFmtId="0" fontId="123" fillId="17" borderId="73" xfId="0" applyFont="1" applyFill="1" applyBorder="1" applyAlignment="1">
      <alignment horizontal="left" vertical="top" wrapText="1"/>
    </xf>
    <xf numFmtId="0" fontId="123" fillId="17" borderId="74" xfId="0" applyFont="1" applyFill="1" applyBorder="1" applyAlignment="1">
      <alignment horizontal="left" vertical="top" wrapText="1"/>
    </xf>
    <xf numFmtId="0" fontId="164" fillId="0" borderId="75" xfId="0" applyFont="1" applyBorder="1" applyAlignment="1">
      <alignment horizontal="center" vertical="center"/>
    </xf>
    <xf numFmtId="0" fontId="164" fillId="0" borderId="73" xfId="0" applyFont="1" applyBorder="1" applyAlignment="1">
      <alignment horizontal="center" vertical="center"/>
    </xf>
    <xf numFmtId="0" fontId="164" fillId="0" borderId="74" xfId="0" applyFont="1" applyBorder="1" applyAlignment="1">
      <alignment horizontal="center" vertical="center"/>
    </xf>
    <xf numFmtId="182" fontId="123" fillId="0" borderId="46" xfId="1" applyNumberFormat="1" applyFont="1" applyFill="1" applyBorder="1" applyAlignment="1" applyProtection="1">
      <alignment horizontal="center" vertical="center" shrinkToFit="1"/>
      <protection locked="0"/>
    </xf>
    <xf numFmtId="182" fontId="123" fillId="0" borderId="75" xfId="1" applyNumberFormat="1" applyFont="1" applyFill="1" applyBorder="1" applyAlignment="1" applyProtection="1">
      <alignment horizontal="center" vertical="center" shrinkToFit="1"/>
      <protection locked="0"/>
    </xf>
    <xf numFmtId="182" fontId="123" fillId="0" borderId="45" xfId="1" applyNumberFormat="1" applyFont="1" applyFill="1" applyBorder="1" applyAlignment="1" applyProtection="1">
      <alignment horizontal="center" vertical="center" shrinkToFit="1"/>
      <protection locked="0"/>
    </xf>
    <xf numFmtId="182" fontId="123" fillId="0" borderId="47" xfId="1" applyNumberFormat="1" applyFont="1" applyFill="1" applyBorder="1" applyAlignment="1" applyProtection="1">
      <alignment horizontal="center" vertical="center" shrinkToFit="1"/>
      <protection locked="0"/>
    </xf>
    <xf numFmtId="0" fontId="123" fillId="17" borderId="67" xfId="0" applyFont="1" applyFill="1" applyBorder="1" applyAlignment="1">
      <alignment horizontal="right" vertical="center"/>
    </xf>
    <xf numFmtId="0" fontId="123" fillId="17" borderId="68" xfId="0" applyFont="1" applyFill="1" applyBorder="1" applyAlignment="1">
      <alignment horizontal="left" vertical="center" wrapText="1"/>
    </xf>
    <xf numFmtId="0" fontId="123" fillId="17" borderId="69" xfId="0" applyFont="1" applyFill="1" applyBorder="1" applyAlignment="1">
      <alignment horizontal="left" vertical="center" wrapText="1"/>
    </xf>
    <xf numFmtId="0" fontId="164" fillId="0" borderId="70" xfId="0" applyFont="1" applyBorder="1" applyAlignment="1">
      <alignment horizontal="center" vertical="center"/>
    </xf>
    <xf numFmtId="0" fontId="164" fillId="0" borderId="68" xfId="0" applyFont="1" applyBorder="1" applyAlignment="1">
      <alignment horizontal="center" vertical="center"/>
    </xf>
    <xf numFmtId="0" fontId="164" fillId="0" borderId="69" xfId="0" applyFont="1" applyBorder="1" applyAlignment="1">
      <alignment horizontal="center" vertical="center"/>
    </xf>
    <xf numFmtId="182" fontId="123" fillId="0" borderId="49" xfId="1" applyNumberFormat="1" applyFont="1" applyFill="1" applyBorder="1" applyAlignment="1" applyProtection="1">
      <alignment horizontal="center" vertical="center" shrinkToFit="1"/>
      <protection locked="0"/>
    </xf>
    <xf numFmtId="182" fontId="123" fillId="0" borderId="70" xfId="1" applyNumberFormat="1" applyFont="1" applyFill="1" applyBorder="1" applyAlignment="1" applyProtection="1">
      <alignment horizontal="center" vertical="center" shrinkToFit="1"/>
      <protection locked="0"/>
    </xf>
    <xf numFmtId="182" fontId="123" fillId="0" borderId="48" xfId="1" applyNumberFormat="1" applyFont="1" applyFill="1" applyBorder="1" applyAlignment="1" applyProtection="1">
      <alignment horizontal="center" vertical="center" shrinkToFit="1"/>
      <protection locked="0"/>
    </xf>
    <xf numFmtId="182" fontId="123" fillId="0" borderId="50" xfId="1" applyNumberFormat="1" applyFont="1" applyFill="1" applyBorder="1" applyAlignment="1" applyProtection="1">
      <alignment horizontal="center" vertical="center" shrinkToFit="1"/>
      <protection locked="0"/>
    </xf>
    <xf numFmtId="0" fontId="164" fillId="17" borderId="82" xfId="0" applyFont="1" applyFill="1" applyBorder="1" applyAlignment="1">
      <alignment horizontal="right" vertical="top"/>
    </xf>
    <xf numFmtId="0" fontId="164" fillId="17" borderId="29" xfId="0" applyFont="1" applyFill="1" applyBorder="1" applyAlignment="1">
      <alignment horizontal="left" vertical="top" wrapText="1"/>
    </xf>
    <xf numFmtId="0" fontId="164" fillId="17" borderId="83" xfId="0" applyFont="1" applyFill="1" applyBorder="1" applyAlignment="1">
      <alignment horizontal="left" vertical="top" wrapText="1"/>
    </xf>
    <xf numFmtId="0" fontId="164" fillId="0" borderId="84" xfId="0" applyFont="1" applyBorder="1" applyAlignment="1">
      <alignment horizontal="center" vertical="center"/>
    </xf>
    <xf numFmtId="0" fontId="164" fillId="0" borderId="29" xfId="0" applyFont="1" applyBorder="1" applyAlignment="1">
      <alignment horizontal="center" vertical="center"/>
    </xf>
    <xf numFmtId="0" fontId="164" fillId="0" borderId="83" xfId="0" applyFont="1" applyBorder="1" applyAlignment="1">
      <alignment horizontal="center" vertical="center"/>
    </xf>
    <xf numFmtId="182" fontId="164" fillId="0" borderId="52" xfId="1" applyNumberFormat="1" applyFont="1" applyFill="1" applyBorder="1" applyAlignment="1" applyProtection="1">
      <alignment horizontal="center" vertical="center" shrinkToFit="1"/>
      <protection locked="0"/>
    </xf>
    <xf numFmtId="182" fontId="164" fillId="0" borderId="84" xfId="1" applyNumberFormat="1" applyFont="1" applyFill="1" applyBorder="1" applyAlignment="1" applyProtection="1">
      <alignment horizontal="center" vertical="center" shrinkToFit="1"/>
      <protection locked="0"/>
    </xf>
    <xf numFmtId="182" fontId="164" fillId="0" borderId="51" xfId="1" applyNumberFormat="1" applyFont="1" applyFill="1" applyBorder="1" applyAlignment="1" applyProtection="1">
      <alignment horizontal="center" vertical="center" shrinkToFit="1"/>
      <protection locked="0"/>
    </xf>
    <xf numFmtId="182" fontId="164" fillId="0" borderId="53" xfId="1" applyNumberFormat="1" applyFont="1" applyFill="1" applyBorder="1" applyAlignment="1" applyProtection="1">
      <alignment horizontal="center" vertical="center" shrinkToFit="1"/>
      <protection locked="0"/>
    </xf>
    <xf numFmtId="0" fontId="164" fillId="17" borderId="62" xfId="0" applyFont="1" applyFill="1" applyBorder="1" applyAlignment="1">
      <alignment horizontal="right" vertical="top"/>
    </xf>
    <xf numFmtId="0" fontId="164" fillId="17" borderId="63" xfId="0" applyFont="1" applyFill="1" applyBorder="1" applyAlignment="1">
      <alignment horizontal="left" vertical="top" wrapText="1"/>
    </xf>
    <xf numFmtId="0" fontId="164" fillId="17" borderId="64" xfId="0" applyFont="1" applyFill="1" applyBorder="1" applyAlignment="1">
      <alignment horizontal="left" vertical="top" wrapText="1"/>
    </xf>
    <xf numFmtId="0" fontId="164" fillId="17" borderId="72" xfId="0" applyFont="1" applyFill="1" applyBorder="1" applyAlignment="1">
      <alignment horizontal="right" vertical="center"/>
    </xf>
    <xf numFmtId="0" fontId="164" fillId="17" borderId="73" xfId="0" applyFont="1" applyFill="1" applyBorder="1" applyAlignment="1">
      <alignment horizontal="left" vertical="center" wrapText="1"/>
    </xf>
    <xf numFmtId="0" fontId="164" fillId="17" borderId="74" xfId="0" applyFont="1" applyFill="1" applyBorder="1" applyAlignment="1">
      <alignment horizontal="left" vertical="center" wrapText="1"/>
    </xf>
    <xf numFmtId="182" fontId="164" fillId="0" borderId="46" xfId="1" applyNumberFormat="1" applyFont="1" applyFill="1" applyBorder="1" applyAlignment="1" applyProtection="1">
      <alignment horizontal="center" vertical="center" shrinkToFit="1"/>
      <protection locked="0"/>
    </xf>
    <xf numFmtId="182" fontId="164" fillId="0" borderId="75" xfId="1" applyNumberFormat="1" applyFont="1" applyFill="1" applyBorder="1" applyAlignment="1" applyProtection="1">
      <alignment horizontal="center" vertical="center" shrinkToFit="1"/>
      <protection locked="0"/>
    </xf>
    <xf numFmtId="182" fontId="164" fillId="0" borderId="45" xfId="1" applyNumberFormat="1" applyFont="1" applyFill="1" applyBorder="1" applyAlignment="1" applyProtection="1">
      <alignment horizontal="center" vertical="center" shrinkToFit="1"/>
      <protection locked="0"/>
    </xf>
    <xf numFmtId="182" fontId="164" fillId="0" borderId="47" xfId="1" applyNumberFormat="1" applyFont="1" applyFill="1" applyBorder="1" applyAlignment="1" applyProtection="1">
      <alignment horizontal="center" vertical="center" shrinkToFit="1"/>
      <protection locked="0"/>
    </xf>
    <xf numFmtId="0" fontId="123" fillId="17" borderId="31" xfId="0" applyFont="1" applyFill="1" applyBorder="1" applyAlignment="1">
      <alignment horizontal="center" vertical="top"/>
    </xf>
    <xf numFmtId="0" fontId="123" fillId="17" borderId="32" xfId="0" applyFont="1" applyFill="1" applyBorder="1" applyAlignment="1">
      <alignment horizontal="center" vertical="top" wrapText="1"/>
    </xf>
    <xf numFmtId="0" fontId="123" fillId="17" borderId="33" xfId="0" applyFont="1" applyFill="1" applyBorder="1" applyAlignment="1">
      <alignment horizontal="center" vertical="top" wrapText="1"/>
    </xf>
    <xf numFmtId="0" fontId="164" fillId="0" borderId="34" xfId="0" applyFont="1" applyBorder="1" applyAlignment="1">
      <alignment horizontal="center" vertical="center"/>
    </xf>
    <xf numFmtId="0" fontId="164" fillId="0" borderId="32" xfId="0" applyFont="1" applyBorder="1" applyAlignment="1">
      <alignment horizontal="center" vertical="center"/>
    </xf>
    <xf numFmtId="0" fontId="164" fillId="0" borderId="33" xfId="0" applyFont="1" applyBorder="1" applyAlignment="1">
      <alignment horizontal="center" vertical="center"/>
    </xf>
    <xf numFmtId="182" fontId="123" fillId="0" borderId="55" xfId="1" applyNumberFormat="1" applyFont="1" applyFill="1" applyBorder="1" applyAlignment="1" applyProtection="1">
      <alignment horizontal="center" vertical="center" shrinkToFit="1"/>
      <protection locked="0"/>
    </xf>
    <xf numFmtId="182" fontId="123" fillId="0" borderId="34" xfId="1" applyNumberFormat="1" applyFont="1" applyFill="1" applyBorder="1" applyAlignment="1" applyProtection="1">
      <alignment horizontal="center" vertical="center" shrinkToFit="1"/>
      <protection locked="0"/>
    </xf>
    <xf numFmtId="182" fontId="123" fillId="0" borderId="54" xfId="1" applyNumberFormat="1" applyFont="1" applyFill="1" applyBorder="1" applyAlignment="1" applyProtection="1">
      <alignment horizontal="center" vertical="center" shrinkToFit="1"/>
      <protection locked="0"/>
    </xf>
    <xf numFmtId="182" fontId="123" fillId="0" borderId="56" xfId="1" applyNumberFormat="1" applyFont="1" applyFill="1" applyBorder="1" applyAlignment="1" applyProtection="1">
      <alignment horizontal="center" vertical="center" shrinkToFit="1"/>
      <protection locked="0"/>
    </xf>
    <xf numFmtId="0" fontId="164" fillId="17" borderId="82" xfId="0" applyFont="1" applyFill="1" applyBorder="1" applyAlignment="1">
      <alignment horizontal="right" vertical="center"/>
    </xf>
    <xf numFmtId="0" fontId="164" fillId="17" borderId="29" xfId="0" applyFont="1" applyFill="1" applyBorder="1" applyAlignment="1">
      <alignment horizontal="left" vertical="center" wrapText="1"/>
    </xf>
    <xf numFmtId="0" fontId="164" fillId="17" borderId="83" xfId="0" applyFont="1" applyFill="1" applyBorder="1" applyAlignment="1">
      <alignment horizontal="left" vertical="center" wrapText="1"/>
    </xf>
    <xf numFmtId="0" fontId="123" fillId="17" borderId="31" xfId="0" applyFont="1" applyFill="1" applyBorder="1" applyAlignment="1">
      <alignment horizontal="right" vertical="top"/>
    </xf>
    <xf numFmtId="0" fontId="123" fillId="17" borderId="32" xfId="0" applyFont="1" applyFill="1" applyBorder="1" applyAlignment="1">
      <alignment horizontal="left" vertical="top" wrapText="1"/>
    </xf>
    <xf numFmtId="0" fontId="123" fillId="17" borderId="33" xfId="0" applyFont="1" applyFill="1" applyBorder="1" applyAlignment="1">
      <alignment horizontal="left" vertical="top" wrapText="1"/>
    </xf>
    <xf numFmtId="49" fontId="119" fillId="0" borderId="0" xfId="0" applyNumberFormat="1" applyFont="1" applyAlignment="1">
      <alignment horizontal="left" vertical="top"/>
    </xf>
    <xf numFmtId="0" fontId="224" fillId="0" borderId="0" xfId="0" applyFont="1" applyAlignment="1">
      <alignment horizontal="center" vertical="top"/>
    </xf>
    <xf numFmtId="0" fontId="172" fillId="0" borderId="0" xfId="0" applyFont="1" applyAlignment="1">
      <alignment horizontal="center" vertical="top"/>
    </xf>
    <xf numFmtId="0" fontId="164" fillId="0" borderId="75" xfId="0" applyFont="1" applyBorder="1" applyAlignment="1">
      <alignment horizontal="center" vertical="top" wrapText="1"/>
    </xf>
    <xf numFmtId="0" fontId="164" fillId="0" borderId="73" xfId="0" applyFont="1" applyBorder="1" applyAlignment="1">
      <alignment horizontal="center" vertical="top" wrapText="1"/>
    </xf>
    <xf numFmtId="0" fontId="164" fillId="0" borderId="74" xfId="0" applyFont="1" applyBorder="1" applyAlignment="1">
      <alignment horizontal="center" vertical="top" wrapText="1"/>
    </xf>
    <xf numFmtId="0" fontId="164" fillId="0" borderId="73" xfId="0" applyFont="1" applyBorder="1" applyAlignment="1">
      <alignment horizontal="center" vertical="top"/>
    </xf>
    <xf numFmtId="0" fontId="164" fillId="0" borderId="74" xfId="0" applyFont="1" applyBorder="1" applyAlignment="1">
      <alignment horizontal="center" vertical="top"/>
    </xf>
    <xf numFmtId="0" fontId="119" fillId="0" borderId="75" xfId="0" applyFont="1" applyBorder="1" applyAlignment="1">
      <alignment horizontal="center" vertical="top"/>
    </xf>
    <xf numFmtId="0" fontId="119" fillId="0" borderId="73" xfId="0" applyFont="1" applyBorder="1" applyAlignment="1">
      <alignment horizontal="center" vertical="top"/>
    </xf>
    <xf numFmtId="0" fontId="119" fillId="0" borderId="74" xfId="0" applyFont="1" applyBorder="1" applyAlignment="1">
      <alignment horizontal="center" vertical="top"/>
    </xf>
    <xf numFmtId="0" fontId="119" fillId="0" borderId="46" xfId="0" applyFont="1" applyBorder="1" applyAlignment="1">
      <alignment horizontal="center" vertical="top" shrinkToFit="1"/>
    </xf>
    <xf numFmtId="0" fontId="164" fillId="0" borderId="175" xfId="0" applyFont="1" applyBorder="1" applyAlignment="1">
      <alignment horizontal="center" vertical="top" wrapText="1"/>
    </xf>
    <xf numFmtId="0" fontId="164" fillId="0" borderId="99" xfId="0" applyFont="1" applyBorder="1" applyAlignment="1">
      <alignment horizontal="center" vertical="top" wrapText="1"/>
    </xf>
    <xf numFmtId="0" fontId="164" fillId="0" borderId="176" xfId="0" applyFont="1" applyBorder="1" applyAlignment="1">
      <alignment horizontal="center" vertical="top" wrapText="1"/>
    </xf>
    <xf numFmtId="0" fontId="164" fillId="0" borderId="91" xfId="0" applyFont="1" applyBorder="1" applyAlignment="1">
      <alignment horizontal="center" vertical="top"/>
    </xf>
    <xf numFmtId="0" fontId="119" fillId="0" borderId="90" xfId="0" applyFont="1" applyBorder="1" applyAlignment="1">
      <alignment horizontal="center" vertical="top"/>
    </xf>
    <xf numFmtId="0" fontId="119" fillId="0" borderId="91" xfId="0" applyFont="1" applyBorder="1" applyAlignment="1">
      <alignment horizontal="center" vertical="top"/>
    </xf>
    <xf numFmtId="0" fontId="119" fillId="0" borderId="175" xfId="0" applyFont="1" applyBorder="1" applyAlignment="1">
      <alignment horizontal="center" vertical="top"/>
    </xf>
    <xf numFmtId="0" fontId="119" fillId="0" borderId="99" xfId="0" applyFont="1" applyBorder="1" applyAlignment="1">
      <alignment horizontal="center" vertical="top"/>
    </xf>
    <xf numFmtId="0" fontId="119" fillId="0" borderId="176" xfId="0" applyFont="1" applyBorder="1" applyAlignment="1">
      <alignment horizontal="center" vertical="top"/>
    </xf>
    <xf numFmtId="0" fontId="119" fillId="0" borderId="168" xfId="0" applyFont="1" applyBorder="1" applyAlignment="1">
      <alignment horizontal="center" vertical="top"/>
    </xf>
    <xf numFmtId="0" fontId="164" fillId="0" borderId="152" xfId="0" applyFont="1" applyBorder="1" applyAlignment="1">
      <alignment horizontal="center" vertical="top"/>
    </xf>
    <xf numFmtId="0" fontId="164" fillId="0" borderId="112" xfId="0" applyFont="1" applyBorder="1" applyAlignment="1">
      <alignment horizontal="center" vertical="top"/>
    </xf>
    <xf numFmtId="49" fontId="123" fillId="0" borderId="43" xfId="0" applyNumberFormat="1" applyFont="1" applyBorder="1" applyAlignment="1">
      <alignment horizontal="center" vertical="center"/>
    </xf>
    <xf numFmtId="0" fontId="123" fillId="0" borderId="43" xfId="0" applyFont="1" applyBorder="1" applyAlignment="1">
      <alignment horizontal="center" vertical="center"/>
    </xf>
    <xf numFmtId="0" fontId="164" fillId="0" borderId="64" xfId="0" applyFont="1" applyBorder="1" applyAlignment="1">
      <alignment horizontal="left" vertical="center" wrapText="1"/>
    </xf>
    <xf numFmtId="0" fontId="123" fillId="0" borderId="63" xfId="0" applyFont="1" applyBorder="1" applyAlignment="1">
      <alignment horizontal="center" vertical="center"/>
    </xf>
    <xf numFmtId="182" fontId="123" fillId="0" borderId="43" xfId="1" applyNumberFormat="1" applyFont="1" applyFill="1" applyBorder="1" applyAlignment="1">
      <alignment horizontal="center" vertical="center"/>
    </xf>
    <xf numFmtId="0" fontId="164" fillId="0" borderId="43" xfId="0" applyFont="1" applyBorder="1" applyAlignment="1">
      <alignment horizontal="center" vertical="center"/>
    </xf>
    <xf numFmtId="0" fontId="164" fillId="0" borderId="64" xfId="0" applyFont="1" applyBorder="1" applyAlignment="1">
      <alignment horizontal="left" vertical="center" wrapText="1" indent="1"/>
    </xf>
    <xf numFmtId="0" fontId="164" fillId="0" borderId="43" xfId="0" applyFont="1" applyBorder="1" applyAlignment="1" applyProtection="1">
      <alignment horizontal="center" vertical="center"/>
      <protection locked="0"/>
    </xf>
    <xf numFmtId="0" fontId="119" fillId="0" borderId="43" xfId="0" applyFont="1" applyBorder="1" applyAlignment="1" applyProtection="1">
      <alignment horizontal="center" vertical="center"/>
      <protection locked="0"/>
    </xf>
    <xf numFmtId="49" fontId="164" fillId="0" borderId="63" xfId="0" applyNumberFormat="1" applyFont="1" applyBorder="1" applyAlignment="1">
      <alignment horizontal="center" vertical="center"/>
    </xf>
    <xf numFmtId="182" fontId="119" fillId="0" borderId="43" xfId="1" applyNumberFormat="1" applyFont="1" applyFill="1" applyBorder="1" applyAlignment="1">
      <alignment horizontal="center" vertical="center"/>
    </xf>
    <xf numFmtId="0" fontId="164" fillId="0" borderId="153" xfId="0" applyFont="1" applyBorder="1" applyAlignment="1">
      <alignment horizontal="center" vertical="center"/>
    </xf>
    <xf numFmtId="0" fontId="164" fillId="0" borderId="163" xfId="0" applyFont="1" applyBorder="1" applyAlignment="1">
      <alignment horizontal="left" vertical="center" wrapText="1" indent="2"/>
    </xf>
    <xf numFmtId="0" fontId="164" fillId="0" borderId="146" xfId="0" applyFont="1" applyBorder="1" applyAlignment="1">
      <alignment horizontal="left" vertical="center" wrapText="1" indent="2"/>
    </xf>
    <xf numFmtId="0" fontId="164" fillId="0" borderId="164" xfId="0" applyFont="1" applyBorder="1" applyAlignment="1">
      <alignment horizontal="left" vertical="center" wrapText="1" indent="2"/>
    </xf>
    <xf numFmtId="0" fontId="164" fillId="0" borderId="153" xfId="0" applyFont="1" applyBorder="1" applyAlignment="1" applyProtection="1">
      <alignment horizontal="center" vertical="center"/>
      <protection locked="0"/>
    </xf>
    <xf numFmtId="0" fontId="119" fillId="0" borderId="153" xfId="0" applyFont="1" applyBorder="1" applyAlignment="1" applyProtection="1">
      <alignment horizontal="center" vertical="center"/>
      <protection locked="0"/>
    </xf>
    <xf numFmtId="49" fontId="164" fillId="0" borderId="146" xfId="0" applyNumberFormat="1" applyFont="1" applyBorder="1" applyAlignment="1">
      <alignment horizontal="center" vertical="center"/>
    </xf>
    <xf numFmtId="182" fontId="119" fillId="0" borderId="153" xfId="1" applyNumberFormat="1" applyFont="1" applyFill="1" applyBorder="1" applyAlignment="1">
      <alignment horizontal="center" vertical="center"/>
    </xf>
    <xf numFmtId="0" fontId="164" fillId="0" borderId="154" xfId="0" applyFont="1" applyBorder="1" applyAlignment="1">
      <alignment horizontal="center" vertical="center"/>
    </xf>
    <xf numFmtId="0" fontId="164" fillId="0" borderId="180" xfId="0" applyFont="1" applyBorder="1" applyAlignment="1">
      <alignment horizontal="left" vertical="center" wrapText="1" indent="2"/>
    </xf>
    <xf numFmtId="0" fontId="164" fillId="0" borderId="100" xfId="0" applyFont="1" applyBorder="1" applyAlignment="1">
      <alignment horizontal="left" vertical="center" wrapText="1" indent="2"/>
    </xf>
    <xf numFmtId="0" fontId="164" fillId="0" borderId="124" xfId="0" applyFont="1" applyBorder="1" applyAlignment="1">
      <alignment horizontal="left" vertical="center" wrapText="1" indent="2"/>
    </xf>
    <xf numFmtId="0" fontId="164" fillId="0" borderId="154" xfId="0" applyFont="1" applyBorder="1" applyAlignment="1" applyProtection="1">
      <alignment horizontal="center" vertical="center"/>
      <protection locked="0"/>
    </xf>
    <xf numFmtId="0" fontId="119" fillId="0" borderId="154" xfId="0" applyFont="1" applyBorder="1" applyAlignment="1" applyProtection="1">
      <alignment horizontal="center" vertical="center"/>
      <protection locked="0"/>
    </xf>
    <xf numFmtId="49" fontId="164" fillId="0" borderId="100" xfId="0" applyNumberFormat="1" applyFont="1" applyBorder="1" applyAlignment="1">
      <alignment horizontal="center" vertical="center"/>
    </xf>
    <xf numFmtId="182" fontId="119" fillId="0" borderId="154" xfId="1" applyNumberFormat="1" applyFont="1" applyFill="1" applyBorder="1" applyAlignment="1">
      <alignment horizontal="center" vertical="center"/>
    </xf>
    <xf numFmtId="0" fontId="164" fillId="0" borderId="167" xfId="0" applyFont="1" applyBorder="1" applyAlignment="1">
      <alignment horizontal="left" vertical="center" wrapText="1" indent="2"/>
    </xf>
    <xf numFmtId="0" fontId="164" fillId="0" borderId="110" xfId="0" applyFont="1" applyBorder="1" applyAlignment="1">
      <alignment horizontal="left" vertical="center" wrapText="1" indent="2"/>
    </xf>
    <xf numFmtId="0" fontId="164" fillId="0" borderId="112" xfId="0" applyFont="1" applyBorder="1" applyAlignment="1">
      <alignment horizontal="left" vertical="center" wrapText="1" indent="2"/>
    </xf>
    <xf numFmtId="0" fontId="164" fillId="0" borderId="152" xfId="0" applyFont="1" applyBorder="1" applyAlignment="1" applyProtection="1">
      <alignment horizontal="center" vertical="center"/>
      <protection locked="0"/>
    </xf>
    <xf numFmtId="0" fontId="119" fillId="0" borderId="152" xfId="0" applyFont="1" applyBorder="1" applyAlignment="1" applyProtection="1">
      <alignment horizontal="center" vertical="center"/>
      <protection locked="0"/>
    </xf>
    <xf numFmtId="182" fontId="119" fillId="0" borderId="152" xfId="1" applyNumberFormat="1" applyFont="1" applyFill="1" applyBorder="1" applyAlignment="1">
      <alignment horizontal="center" vertical="center"/>
    </xf>
    <xf numFmtId="0" fontId="164" fillId="0" borderId="43" xfId="0" applyFont="1" applyBorder="1" applyAlignment="1">
      <alignment horizontal="center" vertical="top"/>
    </xf>
    <xf numFmtId="0" fontId="164" fillId="0" borderId="64" xfId="0" applyFont="1" applyBorder="1" applyAlignment="1">
      <alignment horizontal="center" vertical="top"/>
    </xf>
    <xf numFmtId="0" fontId="164" fillId="0" borderId="153" xfId="0" applyFont="1" applyBorder="1" applyAlignment="1">
      <alignment horizontal="center" vertical="top"/>
    </xf>
    <xf numFmtId="0" fontId="164" fillId="0" borderId="153" xfId="0" applyFont="1" applyBorder="1" applyAlignment="1" applyProtection="1">
      <alignment horizontal="center" vertical="top"/>
      <protection locked="0"/>
    </xf>
    <xf numFmtId="0" fontId="119" fillId="0" borderId="153" xfId="0" applyFont="1" applyBorder="1" applyAlignment="1" applyProtection="1">
      <alignment horizontal="center" vertical="top"/>
      <protection locked="0"/>
    </xf>
    <xf numFmtId="182" fontId="119" fillId="0" borderId="153" xfId="1" applyNumberFormat="1" applyFont="1" applyFill="1" applyBorder="1" applyAlignment="1">
      <alignment horizontal="center" vertical="top"/>
    </xf>
    <xf numFmtId="182" fontId="119" fillId="0" borderId="154" xfId="1" applyNumberFormat="1" applyFont="1" applyFill="1" applyBorder="1" applyAlignment="1">
      <alignment horizontal="center" vertical="top"/>
    </xf>
    <xf numFmtId="0" fontId="164" fillId="0" borderId="154" xfId="0" applyFont="1" applyBorder="1" applyAlignment="1">
      <alignment horizontal="center" vertical="top"/>
    </xf>
    <xf numFmtId="0" fontId="164" fillId="0" borderId="154" xfId="0" applyFont="1" applyBorder="1" applyAlignment="1" applyProtection="1">
      <alignment horizontal="center" vertical="top"/>
      <protection locked="0"/>
    </xf>
    <xf numFmtId="0" fontId="119" fillId="0" borderId="154" xfId="0" applyFont="1" applyBorder="1" applyAlignment="1" applyProtection="1">
      <alignment horizontal="center" vertical="top"/>
      <protection locked="0"/>
    </xf>
    <xf numFmtId="0" fontId="164" fillId="0" borderId="152" xfId="0" applyFont="1" applyBorder="1" applyAlignment="1" applyProtection="1">
      <alignment horizontal="center" vertical="top"/>
      <protection locked="0"/>
    </xf>
    <xf numFmtId="0" fontId="119" fillId="0" borderId="152" xfId="0" applyFont="1" applyBorder="1" applyAlignment="1" applyProtection="1">
      <alignment horizontal="center" vertical="top"/>
      <protection locked="0"/>
    </xf>
    <xf numFmtId="182" fontId="119" fillId="0" borderId="152" xfId="1" applyNumberFormat="1" applyFont="1" applyFill="1" applyBorder="1" applyAlignment="1">
      <alignment horizontal="center" vertical="top"/>
    </xf>
    <xf numFmtId="0" fontId="164" fillId="0" borderId="43" xfId="0" applyFont="1" applyBorder="1" applyAlignment="1" applyProtection="1">
      <alignment horizontal="center" vertical="top"/>
      <protection locked="0"/>
    </xf>
    <xf numFmtId="0" fontId="164" fillId="0" borderId="65" xfId="0" applyFont="1" applyBorder="1" applyAlignment="1">
      <alignment horizontal="center" vertical="top"/>
    </xf>
    <xf numFmtId="0" fontId="164" fillId="0" borderId="63" xfId="0" applyFont="1" applyBorder="1" applyAlignment="1">
      <alignment horizontal="center" vertical="top"/>
    </xf>
    <xf numFmtId="182" fontId="119" fillId="0" borderId="65" xfId="1" applyNumberFormat="1" applyFont="1" applyFill="1" applyBorder="1" applyAlignment="1">
      <alignment horizontal="center" vertical="top"/>
    </xf>
    <xf numFmtId="182" fontId="119" fillId="0" borderId="63" xfId="1" applyNumberFormat="1" applyFont="1" applyFill="1" applyBorder="1" applyAlignment="1">
      <alignment horizontal="center" vertical="top"/>
    </xf>
    <xf numFmtId="182" fontId="119" fillId="0" borderId="64" xfId="1" applyNumberFormat="1" applyFont="1" applyFill="1" applyBorder="1" applyAlignment="1">
      <alignment horizontal="center" vertical="top"/>
    </xf>
    <xf numFmtId="182" fontId="119" fillId="0" borderId="43" xfId="1" applyNumberFormat="1" applyFont="1" applyFill="1" applyBorder="1" applyAlignment="1">
      <alignment horizontal="center" vertical="top"/>
    </xf>
    <xf numFmtId="0" fontId="119" fillId="0" borderId="43" xfId="0" applyFont="1" applyBorder="1" applyAlignment="1" applyProtection="1">
      <alignment horizontal="center" vertical="top"/>
      <protection locked="0"/>
    </xf>
    <xf numFmtId="0" fontId="123" fillId="0" borderId="65" xfId="0" applyFont="1" applyBorder="1" applyAlignment="1">
      <alignment horizontal="left" vertical="center" shrinkToFit="1"/>
    </xf>
    <xf numFmtId="0" fontId="123" fillId="0" borderId="63" xfId="0" applyFont="1" applyBorder="1" applyAlignment="1">
      <alignment horizontal="left" vertical="center" shrinkToFit="1"/>
    </xf>
    <xf numFmtId="0" fontId="123" fillId="0" borderId="64" xfId="0" applyFont="1" applyBorder="1" applyAlignment="1">
      <alignment horizontal="left" vertical="center" shrinkToFit="1"/>
    </xf>
    <xf numFmtId="182" fontId="120" fillId="0" borderId="43" xfId="1" applyNumberFormat="1" applyFont="1" applyFill="1" applyBorder="1" applyAlignment="1">
      <alignment horizontal="left" vertical="center"/>
    </xf>
    <xf numFmtId="0" fontId="123" fillId="0" borderId="43" xfId="0" applyFont="1" applyBorder="1" applyAlignment="1">
      <alignment horizontal="center" vertical="top"/>
    </xf>
    <xf numFmtId="0" fontId="123" fillId="0" borderId="64" xfId="0" applyFont="1" applyBorder="1" applyAlignment="1">
      <alignment horizontal="left" vertical="center" wrapText="1"/>
    </xf>
    <xf numFmtId="0" fontId="123" fillId="0" borderId="43" xfId="0" applyFont="1" applyBorder="1" applyAlignment="1" applyProtection="1">
      <alignment horizontal="center" vertical="top"/>
      <protection locked="0"/>
    </xf>
    <xf numFmtId="0" fontId="120" fillId="0" borderId="43" xfId="0" applyFont="1" applyBorder="1" applyAlignment="1" applyProtection="1">
      <alignment horizontal="center" vertical="top"/>
      <protection locked="0"/>
    </xf>
    <xf numFmtId="0" fontId="123" fillId="0" borderId="65" xfId="0" applyFont="1" applyBorder="1" applyAlignment="1">
      <alignment horizontal="center" vertical="top"/>
    </xf>
    <xf numFmtId="0" fontId="123" fillId="0" borderId="63" xfId="0" applyFont="1" applyBorder="1" applyAlignment="1">
      <alignment horizontal="center" vertical="top"/>
    </xf>
    <xf numFmtId="0" fontId="123" fillId="0" borderId="64" xfId="0" applyFont="1" applyBorder="1" applyAlignment="1">
      <alignment horizontal="center" vertical="top"/>
    </xf>
    <xf numFmtId="182" fontId="120" fillId="0" borderId="43" xfId="1" applyNumberFormat="1" applyFont="1" applyFill="1" applyBorder="1" applyAlignment="1">
      <alignment horizontal="center" vertical="top"/>
    </xf>
    <xf numFmtId="0" fontId="120" fillId="0" borderId="43" xfId="0" applyFont="1" applyBorder="1" applyAlignment="1" applyProtection="1">
      <alignment horizontal="center" vertical="center"/>
      <protection locked="0"/>
    </xf>
    <xf numFmtId="182" fontId="120" fillId="0" borderId="43" xfId="1" applyNumberFormat="1" applyFont="1" applyFill="1" applyBorder="1" applyAlignment="1">
      <alignment horizontal="center" vertical="center"/>
    </xf>
    <xf numFmtId="182" fontId="120" fillId="9" borderId="43" xfId="1" applyNumberFormat="1" applyFont="1" applyFill="1" applyBorder="1" applyAlignment="1">
      <alignment horizontal="center" vertical="top"/>
    </xf>
    <xf numFmtId="182" fontId="119" fillId="9" borderId="43" xfId="1" applyNumberFormat="1" applyFont="1" applyFill="1" applyBorder="1" applyAlignment="1">
      <alignment horizontal="center" vertical="top"/>
    </xf>
    <xf numFmtId="182" fontId="119" fillId="0" borderId="73" xfId="0" applyNumberFormat="1" applyFont="1" applyBorder="1" applyAlignment="1">
      <alignment horizontal="center" vertical="top"/>
    </xf>
    <xf numFmtId="0" fontId="224" fillId="0" borderId="0" xfId="0" applyFont="1" applyAlignment="1">
      <alignment horizontal="center" vertical="center"/>
    </xf>
    <xf numFmtId="0" fontId="164" fillId="0" borderId="75" xfId="0" applyFont="1" applyBorder="1" applyAlignment="1">
      <alignment horizontal="center" vertical="top"/>
    </xf>
    <xf numFmtId="0" fontId="164" fillId="0" borderId="90" xfId="0" applyFont="1" applyBorder="1" applyAlignment="1">
      <alignment horizontal="center" vertical="top"/>
    </xf>
    <xf numFmtId="0" fontId="164" fillId="0" borderId="175" xfId="0" applyFont="1" applyBorder="1" applyAlignment="1">
      <alignment horizontal="center" vertical="top"/>
    </xf>
    <xf numFmtId="0" fontId="164" fillId="0" borderId="99" xfId="0" applyFont="1" applyBorder="1" applyAlignment="1">
      <alignment horizontal="center" vertical="top"/>
    </xf>
    <xf numFmtId="0" fontId="164" fillId="0" borderId="176" xfId="0" applyFont="1" applyBorder="1" applyAlignment="1">
      <alignment horizontal="center" vertical="top"/>
    </xf>
    <xf numFmtId="0" fontId="123" fillId="0" borderId="65" xfId="0" applyFont="1" applyBorder="1" applyAlignment="1">
      <alignment vertical="center"/>
    </xf>
    <xf numFmtId="0" fontId="123" fillId="0" borderId="63" xfId="0" applyFont="1" applyBorder="1" applyAlignment="1">
      <alignment vertical="center"/>
    </xf>
    <xf numFmtId="0" fontId="123" fillId="0" borderId="64" xfId="0" applyFont="1" applyBorder="1" applyAlignment="1">
      <alignment vertical="center"/>
    </xf>
    <xf numFmtId="182" fontId="225" fillId="0" borderId="43" xfId="1" applyNumberFormat="1" applyFont="1" applyFill="1" applyBorder="1" applyAlignment="1">
      <alignment horizontal="center" vertical="center"/>
    </xf>
    <xf numFmtId="182" fontId="226" fillId="0" borderId="43" xfId="1" applyNumberFormat="1" applyFont="1" applyFill="1" applyBorder="1" applyAlignment="1">
      <alignment horizontal="center" vertical="center"/>
    </xf>
    <xf numFmtId="0" fontId="164" fillId="0" borderId="65" xfId="0" applyFont="1" applyBorder="1" applyAlignment="1">
      <alignment horizontal="left" vertical="center" shrinkToFit="1"/>
    </xf>
    <xf numFmtId="0" fontId="164" fillId="0" borderId="63" xfId="0" applyFont="1" applyBorder="1" applyAlignment="1">
      <alignment horizontal="left" vertical="center" shrinkToFit="1"/>
    </xf>
    <xf numFmtId="0" fontId="164" fillId="0" borderId="64" xfId="0" applyFont="1" applyBorder="1" applyAlignment="1">
      <alignment horizontal="left" vertical="center" shrinkToFit="1"/>
    </xf>
    <xf numFmtId="0" fontId="160" fillId="0" borderId="43" xfId="0" applyFont="1" applyBorder="1" applyAlignment="1" applyProtection="1">
      <alignment horizontal="center" vertical="center"/>
      <protection locked="0"/>
    </xf>
    <xf numFmtId="0" fontId="166" fillId="0" borderId="0" xfId="0" applyFont="1" applyAlignment="1">
      <alignment horizontal="left" vertical="top"/>
    </xf>
    <xf numFmtId="182" fontId="161" fillId="0" borderId="65" xfId="1" applyNumberFormat="1" applyFont="1" applyFill="1" applyBorder="1" applyAlignment="1">
      <alignment horizontal="center" vertical="center"/>
    </xf>
    <xf numFmtId="182" fontId="160" fillId="0" borderId="65" xfId="1" applyNumberFormat="1" applyFont="1" applyFill="1" applyBorder="1" applyAlignment="1">
      <alignment horizontal="center" vertical="center"/>
    </xf>
    <xf numFmtId="0" fontId="227" fillId="0" borderId="0" xfId="0" applyFont="1" applyAlignment="1">
      <alignment horizontal="left" vertical="center"/>
    </xf>
    <xf numFmtId="0" fontId="227" fillId="20" borderId="0" xfId="0" applyFont="1" applyFill="1" applyAlignment="1">
      <alignment horizontal="left" vertical="center"/>
    </xf>
    <xf numFmtId="0" fontId="160" fillId="0" borderId="0" xfId="0" applyFont="1" applyAlignment="1">
      <alignment horizontal="left" vertical="center"/>
    </xf>
    <xf numFmtId="0" fontId="166" fillId="0" borderId="0" xfId="0" applyFont="1" applyAlignment="1">
      <alignment horizontal="left" vertical="top" wrapText="1"/>
    </xf>
    <xf numFmtId="0" fontId="99" fillId="0" borderId="0" xfId="0" applyFont="1" applyAlignment="1">
      <alignment horizontal="center"/>
    </xf>
    <xf numFmtId="0" fontId="39" fillId="0" borderId="101" xfId="0" applyFont="1" applyBorder="1" applyAlignment="1">
      <alignment horizontal="center"/>
    </xf>
    <xf numFmtId="0" fontId="39" fillId="0" borderId="104" xfId="0" applyFont="1" applyBorder="1" applyAlignment="1">
      <alignment horizontal="center"/>
    </xf>
    <xf numFmtId="0" fontId="39" fillId="0" borderId="104" xfId="0" applyFont="1" applyBorder="1" applyAlignment="1">
      <alignment horizontal="left"/>
    </xf>
    <xf numFmtId="0" fontId="39" fillId="0" borderId="141" xfId="0" applyFont="1" applyBorder="1" applyAlignment="1">
      <alignment horizontal="center"/>
    </xf>
    <xf numFmtId="0" fontId="39" fillId="0" borderId="105" xfId="0" applyFont="1" applyBorder="1" applyAlignment="1">
      <alignment horizontal="center"/>
    </xf>
    <xf numFmtId="0" fontId="39" fillId="0" borderId="108" xfId="0" applyFont="1" applyBorder="1" applyAlignment="1">
      <alignment horizontal="center"/>
    </xf>
    <xf numFmtId="0" fontId="39" fillId="0" borderId="171" xfId="0" applyFont="1" applyBorder="1" applyAlignment="1">
      <alignment horizontal="center"/>
    </xf>
    <xf numFmtId="0" fontId="39" fillId="0" borderId="142" xfId="0" applyFont="1" applyBorder="1" applyAlignment="1">
      <alignment horizontal="center"/>
    </xf>
    <xf numFmtId="0" fontId="39" fillId="0" borderId="143" xfId="0" applyFont="1" applyBorder="1" applyAlignment="1">
      <alignment horizontal="center"/>
    </xf>
    <xf numFmtId="0" fontId="39" fillId="0" borderId="143" xfId="0" applyFont="1" applyBorder="1" applyAlignment="1">
      <alignment horizontal="left"/>
    </xf>
    <xf numFmtId="0" fontId="39" fillId="0" borderId="144" xfId="0" applyFont="1" applyBorder="1" applyAlignment="1">
      <alignment horizontal="center"/>
    </xf>
    <xf numFmtId="0" fontId="39" fillId="0" borderId="113" xfId="0" applyFont="1" applyBorder="1" applyAlignment="1">
      <alignment horizontal="center"/>
    </xf>
    <xf numFmtId="0" fontId="39" fillId="0" borderId="114" xfId="0" applyFont="1" applyBorder="1" applyAlignment="1">
      <alignment horizontal="center"/>
    </xf>
    <xf numFmtId="0" fontId="39" fillId="0" borderId="161" xfId="0" applyFont="1" applyBorder="1" applyAlignment="1">
      <alignment horizontal="center"/>
    </xf>
    <xf numFmtId="0" fontId="39" fillId="0" borderId="151" xfId="0" applyFont="1" applyBorder="1" applyAlignment="1">
      <alignment horizontal="center"/>
    </xf>
    <xf numFmtId="0" fontId="39" fillId="0" borderId="115" xfId="0" applyFont="1" applyBorder="1" applyAlignment="1">
      <alignment horizontal="center"/>
    </xf>
    <xf numFmtId="49" fontId="4" fillId="0" borderId="145" xfId="0" applyNumberFormat="1" applyFont="1" applyBorder="1" applyAlignment="1">
      <alignment horizontal="center"/>
    </xf>
    <xf numFmtId="0" fontId="4" fillId="0" borderId="148" xfId="0" applyFont="1" applyBorder="1" applyAlignment="1">
      <alignment horizontal="left"/>
    </xf>
    <xf numFmtId="0" fontId="4" fillId="0" borderId="148" xfId="0" applyFont="1" applyBorder="1" applyAlignment="1">
      <alignment horizontal="center"/>
    </xf>
    <xf numFmtId="182" fontId="4" fillId="0" borderId="148" xfId="1" applyNumberFormat="1" applyFont="1" applyFill="1" applyBorder="1" applyAlignment="1">
      <alignment horizontal="center"/>
    </xf>
    <xf numFmtId="182" fontId="4" fillId="0" borderId="148" xfId="0" applyNumberFormat="1" applyFont="1" applyBorder="1" applyAlignment="1">
      <alignment horizontal="center"/>
    </xf>
    <xf numFmtId="182" fontId="4" fillId="0" borderId="149" xfId="0" applyNumberFormat="1" applyFont="1" applyBorder="1" applyAlignment="1">
      <alignment horizontal="center"/>
    </xf>
    <xf numFmtId="49" fontId="4" fillId="0" borderId="119" xfId="0" applyNumberFormat="1" applyFont="1" applyBorder="1" applyAlignment="1">
      <alignment horizontal="center"/>
    </xf>
    <xf numFmtId="0" fontId="4" fillId="0" borderId="122" xfId="0" applyFont="1" applyBorder="1" applyAlignment="1">
      <alignment horizontal="center"/>
    </xf>
    <xf numFmtId="182" fontId="4" fillId="0" borderId="122" xfId="1" applyNumberFormat="1" applyFont="1" applyFill="1" applyBorder="1" applyAlignment="1">
      <alignment horizontal="center"/>
    </xf>
    <xf numFmtId="182" fontId="4" fillId="0" borderId="122" xfId="0" applyNumberFormat="1" applyFont="1" applyBorder="1" applyAlignment="1">
      <alignment horizontal="center"/>
    </xf>
    <xf numFmtId="182" fontId="4" fillId="0" borderId="150" xfId="0" applyNumberFormat="1" applyFont="1" applyBorder="1" applyAlignment="1">
      <alignment horizontal="center"/>
    </xf>
    <xf numFmtId="0" fontId="228" fillId="0" borderId="0" xfId="0" applyFont="1"/>
    <xf numFmtId="182" fontId="4" fillId="0" borderId="150" xfId="1" applyNumberFormat="1" applyFont="1" applyFill="1" applyBorder="1" applyAlignment="1">
      <alignment horizontal="center"/>
    </xf>
    <xf numFmtId="182" fontId="4" fillId="0" borderId="162" xfId="1" applyNumberFormat="1" applyFont="1" applyFill="1" applyBorder="1" applyAlignment="1">
      <alignment horizontal="center"/>
    </xf>
    <xf numFmtId="0" fontId="131" fillId="0" borderId="99" xfId="0" applyFont="1" applyBorder="1"/>
    <xf numFmtId="49" fontId="216" fillId="0" borderId="99" xfId="0" applyNumberFormat="1" applyFont="1" applyBorder="1" applyAlignment="1">
      <alignment horizontal="center"/>
    </xf>
    <xf numFmtId="0" fontId="216" fillId="0" borderId="99" xfId="0" applyFont="1" applyBorder="1" applyAlignment="1">
      <alignment horizontal="center"/>
    </xf>
    <xf numFmtId="43" fontId="131" fillId="0" borderId="125" xfId="1" applyFont="1" applyFill="1" applyBorder="1" applyAlignment="1">
      <alignment horizontal="center"/>
    </xf>
    <xf numFmtId="0" fontId="82" fillId="0" borderId="0" xfId="0" applyFont="1" applyAlignment="1">
      <alignment horizontal="center"/>
    </xf>
    <xf numFmtId="49" fontId="216" fillId="0" borderId="100" xfId="0" applyNumberFormat="1" applyFont="1" applyBorder="1" applyAlignment="1">
      <alignment horizontal="center"/>
    </xf>
    <xf numFmtId="0" fontId="216" fillId="0" borderId="100" xfId="0" applyFont="1" applyBorder="1" applyAlignment="1">
      <alignment horizontal="center"/>
    </xf>
    <xf numFmtId="0" fontId="120" fillId="0" borderId="0" xfId="0" applyFont="1" applyAlignment="1">
      <alignment horizontal="right" vertical="center"/>
    </xf>
    <xf numFmtId="0" fontId="119" fillId="0" borderId="152" xfId="0" applyFont="1" applyBorder="1" applyAlignment="1">
      <alignment horizontal="center" vertical="center"/>
    </xf>
    <xf numFmtId="0" fontId="119" fillId="0" borderId="167" xfId="0" applyFont="1" applyBorder="1" applyAlignment="1">
      <alignment horizontal="center" vertical="center"/>
    </xf>
    <xf numFmtId="0" fontId="119" fillId="0" borderId="110" xfId="0" applyFont="1" applyBorder="1" applyAlignment="1">
      <alignment horizontal="center" vertical="center"/>
    </xf>
    <xf numFmtId="49" fontId="119" fillId="0" borderId="110" xfId="0" applyNumberFormat="1" applyFont="1" applyBorder="1" applyAlignment="1">
      <alignment horizontal="center" vertical="center" wrapText="1"/>
    </xf>
    <xf numFmtId="49" fontId="119" fillId="0" borderId="112" xfId="0" applyNumberFormat="1" applyFont="1" applyBorder="1" applyAlignment="1">
      <alignment horizontal="center" vertical="center" wrapText="1"/>
    </xf>
    <xf numFmtId="49" fontId="119" fillId="0" borderId="65" xfId="0" applyNumberFormat="1" applyFont="1" applyBorder="1" applyAlignment="1">
      <alignment horizontal="center" vertical="center"/>
    </xf>
    <xf numFmtId="0" fontId="119" fillId="0" borderId="64" xfId="0" applyFont="1" applyBorder="1" applyAlignment="1">
      <alignment horizontal="center" vertical="center"/>
    </xf>
    <xf numFmtId="0" fontId="120" fillId="0" borderId="65" xfId="0" applyFont="1" applyBorder="1" applyAlignment="1">
      <alignment horizontal="left" vertical="center" wrapText="1"/>
    </xf>
    <xf numFmtId="0" fontId="120" fillId="0" borderId="63" xfId="0" applyFont="1" applyBorder="1" applyAlignment="1">
      <alignment horizontal="left" vertical="center" wrapText="1"/>
    </xf>
    <xf numFmtId="49" fontId="120" fillId="0" borderId="161" xfId="0" applyNumberFormat="1" applyFont="1" applyBorder="1" applyAlignment="1">
      <alignment horizontal="left" vertical="center" wrapText="1"/>
    </xf>
    <xf numFmtId="49" fontId="120" fillId="0" borderId="63" xfId="0" applyNumberFormat="1" applyFont="1" applyBorder="1" applyAlignment="1">
      <alignment horizontal="left" vertical="center" wrapText="1"/>
    </xf>
    <xf numFmtId="49" fontId="120" fillId="0" borderId="64" xfId="0" applyNumberFormat="1" applyFont="1" applyBorder="1" applyAlignment="1">
      <alignment horizontal="left" vertical="center" wrapText="1"/>
    </xf>
    <xf numFmtId="0" fontId="119" fillId="0" borderId="65" xfId="0" applyFont="1" applyBorder="1" applyAlignment="1" applyProtection="1">
      <alignment horizontal="center" vertical="center"/>
      <protection locked="0"/>
    </xf>
    <xf numFmtId="0" fontId="119" fillId="0" borderId="64" xfId="0" applyFont="1" applyBorder="1" applyAlignment="1" applyProtection="1">
      <alignment horizontal="center" vertical="center"/>
      <protection locked="0"/>
    </xf>
    <xf numFmtId="0" fontId="119" fillId="0" borderId="65" xfId="0" applyFont="1" applyBorder="1" applyAlignment="1">
      <alignment vertical="center"/>
    </xf>
    <xf numFmtId="0" fontId="119" fillId="0" borderId="64" xfId="0" applyFont="1" applyBorder="1" applyAlignment="1">
      <alignment vertical="center"/>
    </xf>
    <xf numFmtId="49" fontId="120" fillId="0" borderId="65" xfId="0" applyNumberFormat="1" applyFont="1" applyBorder="1" applyAlignment="1">
      <alignment horizontal="center" vertical="center"/>
    </xf>
    <xf numFmtId="0" fontId="120" fillId="0" borderId="64" xfId="0" applyFont="1" applyBorder="1" applyAlignment="1">
      <alignment horizontal="center" vertical="center"/>
    </xf>
    <xf numFmtId="49" fontId="120" fillId="0" borderId="161" xfId="0" applyNumberFormat="1" applyFont="1" applyBorder="1" applyAlignment="1">
      <alignment horizontal="center" vertical="center" wrapText="1"/>
    </xf>
    <xf numFmtId="49" fontId="120" fillId="0" borderId="63" xfId="0" applyNumberFormat="1" applyFont="1" applyBorder="1" applyAlignment="1">
      <alignment horizontal="center" vertical="center" wrapText="1"/>
    </xf>
    <xf numFmtId="49" fontId="120" fillId="0" borderId="64" xfId="0" applyNumberFormat="1" applyFont="1" applyBorder="1" applyAlignment="1">
      <alignment horizontal="center" vertical="center" wrapText="1"/>
    </xf>
    <xf numFmtId="49" fontId="120" fillId="0" borderId="64" xfId="0" applyNumberFormat="1" applyFont="1" applyBorder="1" applyAlignment="1">
      <alignment horizontal="center" vertical="center"/>
    </xf>
    <xf numFmtId="0" fontId="119" fillId="0" borderId="65" xfId="0" applyFont="1" applyBorder="1" applyAlignment="1">
      <alignment horizontal="left" vertical="center" wrapText="1"/>
    </xf>
    <xf numFmtId="0" fontId="119" fillId="0" borderId="63" xfId="0" applyFont="1" applyBorder="1" applyAlignment="1">
      <alignment horizontal="left" vertical="center" wrapText="1"/>
    </xf>
    <xf numFmtId="49" fontId="119" fillId="0" borderId="64" xfId="0" applyNumberFormat="1" applyFont="1" applyBorder="1" applyAlignment="1">
      <alignment horizontal="center" vertical="center"/>
    </xf>
    <xf numFmtId="49" fontId="119" fillId="0" borderId="163" xfId="0" applyNumberFormat="1" applyFont="1" applyBorder="1" applyAlignment="1">
      <alignment horizontal="center" vertical="center"/>
    </xf>
    <xf numFmtId="0" fontId="119" fillId="0" borderId="164" xfId="0" applyFont="1" applyBorder="1" applyAlignment="1">
      <alignment horizontal="center" vertical="center"/>
    </xf>
    <xf numFmtId="0" fontId="119" fillId="0" borderId="163" xfId="0" applyFont="1" applyBorder="1" applyAlignment="1">
      <alignment horizontal="left" vertical="center" wrapText="1" indent="1"/>
    </xf>
    <xf numFmtId="0" fontId="119" fillId="0" borderId="146" xfId="0" applyFont="1" applyBorder="1" applyAlignment="1">
      <alignment horizontal="left" vertical="center" wrapText="1" indent="1"/>
    </xf>
    <xf numFmtId="49" fontId="119" fillId="0" borderId="156" xfId="0" applyNumberFormat="1" applyFont="1" applyBorder="1" applyAlignment="1">
      <alignment horizontal="center" vertical="center" wrapText="1"/>
    </xf>
    <xf numFmtId="49" fontId="119" fillId="0" borderId="146" xfId="0" applyNumberFormat="1" applyFont="1" applyBorder="1" applyAlignment="1">
      <alignment horizontal="center" vertical="center" wrapText="1"/>
    </xf>
    <xf numFmtId="49" fontId="119" fillId="0" borderId="164" xfId="0" applyNumberFormat="1" applyFont="1" applyBorder="1" applyAlignment="1">
      <alignment horizontal="center" vertical="center" wrapText="1"/>
    </xf>
    <xf numFmtId="0" fontId="119" fillId="0" borderId="163" xfId="0" applyFont="1" applyBorder="1" applyAlignment="1" applyProtection="1">
      <alignment horizontal="center" vertical="center"/>
      <protection locked="0"/>
    </xf>
    <xf numFmtId="0" fontId="119" fillId="0" borderId="164" xfId="0" applyFont="1" applyBorder="1" applyAlignment="1" applyProtection="1">
      <alignment horizontal="center" vertical="center"/>
      <protection locked="0"/>
    </xf>
    <xf numFmtId="49" fontId="119" fillId="0" borderId="164" xfId="0" applyNumberFormat="1" applyFont="1" applyBorder="1" applyAlignment="1">
      <alignment horizontal="center" vertical="center"/>
    </xf>
    <xf numFmtId="182" fontId="119" fillId="0" borderId="145" xfId="1" applyNumberFormat="1" applyFont="1" applyFill="1" applyBorder="1" applyAlignment="1">
      <alignment horizontal="center" vertical="center"/>
    </xf>
    <xf numFmtId="182" fontId="119" fillId="0" borderId="147" xfId="1" applyNumberFormat="1" applyFont="1" applyFill="1" applyBorder="1" applyAlignment="1">
      <alignment horizontal="center" vertical="center"/>
    </xf>
    <xf numFmtId="182" fontId="119" fillId="0" borderId="148" xfId="1" applyNumberFormat="1" applyFont="1" applyFill="1" applyBorder="1" applyAlignment="1">
      <alignment horizontal="center" vertical="center"/>
    </xf>
    <xf numFmtId="182" fontId="119" fillId="0" borderId="149" xfId="1" applyNumberFormat="1" applyFont="1" applyFill="1" applyBorder="1" applyAlignment="1">
      <alignment horizontal="center" vertical="center"/>
    </xf>
    <xf numFmtId="49" fontId="119" fillId="0" borderId="180" xfId="0" applyNumberFormat="1" applyFont="1" applyBorder="1" applyAlignment="1">
      <alignment horizontal="center" vertical="center"/>
    </xf>
    <xf numFmtId="0" fontId="119" fillId="0" borderId="124" xfId="0" applyFont="1" applyBorder="1" applyAlignment="1">
      <alignment horizontal="center" vertical="center"/>
    </xf>
    <xf numFmtId="0" fontId="119" fillId="0" borderId="180" xfId="0" applyFont="1" applyBorder="1" applyAlignment="1">
      <alignment horizontal="left" vertical="center" wrapText="1" indent="1"/>
    </xf>
    <xf numFmtId="0" fontId="119" fillId="0" borderId="100" xfId="0" applyFont="1" applyBorder="1" applyAlignment="1">
      <alignment horizontal="left" vertical="center" wrapText="1" indent="1"/>
    </xf>
    <xf numFmtId="49" fontId="119" fillId="0" borderId="120" xfId="0" applyNumberFormat="1" applyFont="1" applyBorder="1" applyAlignment="1">
      <alignment horizontal="center" vertical="center" wrapText="1"/>
    </xf>
    <xf numFmtId="49" fontId="119" fillId="0" borderId="100" xfId="0" applyNumberFormat="1" applyFont="1" applyBorder="1" applyAlignment="1">
      <alignment horizontal="center" vertical="center" wrapText="1"/>
    </xf>
    <xf numFmtId="49" fontId="119" fillId="0" borderId="124" xfId="0" applyNumberFormat="1" applyFont="1" applyBorder="1" applyAlignment="1">
      <alignment horizontal="center" vertical="center" wrapText="1"/>
    </xf>
    <xf numFmtId="0" fontId="119" fillId="0" borderId="180" xfId="0" applyFont="1" applyBorder="1" applyAlignment="1" applyProtection="1">
      <alignment horizontal="center" vertical="center"/>
      <protection locked="0"/>
    </xf>
    <xf numFmtId="0" fontId="119" fillId="0" borderId="124" xfId="0" applyFont="1" applyBorder="1" applyAlignment="1" applyProtection="1">
      <alignment horizontal="center" vertical="center"/>
      <protection locked="0"/>
    </xf>
    <xf numFmtId="49" fontId="119" fillId="0" borderId="124" xfId="0" applyNumberFormat="1" applyFont="1" applyBorder="1" applyAlignment="1">
      <alignment horizontal="center" vertical="center"/>
    </xf>
    <xf numFmtId="182" fontId="119" fillId="0" borderId="119" xfId="1" applyNumberFormat="1" applyFont="1" applyFill="1" applyBorder="1" applyAlignment="1">
      <alignment horizontal="center" vertical="center"/>
    </xf>
    <xf numFmtId="182" fontId="119" fillId="0" borderId="123" xfId="1" applyNumberFormat="1" applyFont="1" applyFill="1" applyBorder="1" applyAlignment="1">
      <alignment horizontal="center" vertical="center"/>
    </xf>
    <xf numFmtId="182" fontId="119" fillId="0" borderId="122" xfId="1" applyNumberFormat="1" applyFont="1" applyFill="1" applyBorder="1" applyAlignment="1">
      <alignment horizontal="center" vertical="center"/>
    </xf>
    <xf numFmtId="182" fontId="119" fillId="0" borderId="150" xfId="1" applyNumberFormat="1" applyFont="1" applyFill="1" applyBorder="1" applyAlignment="1">
      <alignment horizontal="center" vertical="center"/>
    </xf>
    <xf numFmtId="49" fontId="119" fillId="0" borderId="167" xfId="0" applyNumberFormat="1" applyFont="1" applyBorder="1" applyAlignment="1">
      <alignment horizontal="center" vertical="center"/>
    </xf>
    <xf numFmtId="0" fontId="119" fillId="0" borderId="112" xfId="0" applyFont="1" applyBorder="1" applyAlignment="1">
      <alignment horizontal="center" vertical="center"/>
    </xf>
    <xf numFmtId="0" fontId="119" fillId="0" borderId="167" xfId="0" applyFont="1" applyBorder="1" applyAlignment="1">
      <alignment horizontal="left" vertical="center" wrapText="1" indent="1"/>
    </xf>
    <xf numFmtId="0" fontId="119" fillId="0" borderId="110" xfId="0" applyFont="1" applyBorder="1" applyAlignment="1">
      <alignment horizontal="left" vertical="center" wrapText="1" indent="1"/>
    </xf>
    <xf numFmtId="49" fontId="119" fillId="0" borderId="109" xfId="0" applyNumberFormat="1" applyFont="1" applyBorder="1" applyAlignment="1">
      <alignment horizontal="center" vertical="center" wrapText="1"/>
    </xf>
    <xf numFmtId="0" fontId="119" fillId="0" borderId="167" xfId="0" applyFont="1" applyBorder="1" applyAlignment="1" applyProtection="1">
      <alignment horizontal="center" vertical="center"/>
      <protection locked="0"/>
    </xf>
    <xf numFmtId="0" fontId="119" fillId="0" borderId="112" xfId="0" applyFont="1" applyBorder="1" applyAlignment="1" applyProtection="1">
      <alignment horizontal="center" vertical="center"/>
      <protection locked="0"/>
    </xf>
    <xf numFmtId="49" fontId="119" fillId="0" borderId="112" xfId="0" applyNumberFormat="1" applyFont="1" applyBorder="1" applyAlignment="1">
      <alignment horizontal="center" vertical="center"/>
    </xf>
    <xf numFmtId="182" fontId="119" fillId="0" borderId="126" xfId="1" applyNumberFormat="1" applyFont="1" applyFill="1" applyBorder="1" applyAlignment="1">
      <alignment horizontal="center" vertical="center"/>
    </xf>
    <xf numFmtId="182" fontId="119" fillId="0" borderId="111" xfId="1" applyNumberFormat="1" applyFont="1" applyFill="1" applyBorder="1" applyAlignment="1">
      <alignment horizontal="center" vertical="center"/>
    </xf>
    <xf numFmtId="182" fontId="119" fillId="0" borderId="127" xfId="1" applyNumberFormat="1" applyFont="1" applyFill="1" applyBorder="1" applyAlignment="1">
      <alignment horizontal="center" vertical="center"/>
    </xf>
    <xf numFmtId="182" fontId="119" fillId="0" borderId="162" xfId="1" applyNumberFormat="1" applyFont="1" applyFill="1" applyBorder="1" applyAlignment="1">
      <alignment horizontal="center" vertical="center"/>
    </xf>
    <xf numFmtId="49" fontId="119" fillId="0" borderId="0" xfId="0" applyNumberFormat="1" applyFont="1" applyAlignment="1">
      <alignment vertical="center"/>
    </xf>
    <xf numFmtId="0" fontId="119" fillId="0" borderId="43" xfId="0" applyFont="1" applyBorder="1" applyAlignment="1">
      <alignment horizontal="center" vertical="center"/>
    </xf>
    <xf numFmtId="0" fontId="119" fillId="0" borderId="65" xfId="0" applyFont="1" applyBorder="1" applyAlignment="1">
      <alignment horizontal="center" vertical="center"/>
    </xf>
    <xf numFmtId="0" fontId="120" fillId="0" borderId="65" xfId="0" applyFont="1" applyBorder="1" applyAlignment="1" applyProtection="1">
      <alignment horizontal="center" vertical="center"/>
      <protection locked="0"/>
    </xf>
    <xf numFmtId="0" fontId="120" fillId="0" borderId="64" xfId="0" applyFont="1" applyBorder="1" applyAlignment="1" applyProtection="1">
      <alignment horizontal="center" vertical="center"/>
      <protection locked="0"/>
    </xf>
    <xf numFmtId="0" fontId="119" fillId="0" borderId="101" xfId="0" applyFont="1" applyBorder="1" applyAlignment="1">
      <alignment horizontal="center" vertical="center"/>
    </xf>
    <xf numFmtId="0" fontId="119" fillId="0" borderId="141" xfId="0" applyFont="1" applyBorder="1" applyAlignment="1">
      <alignment horizontal="center" vertical="center"/>
    </xf>
    <xf numFmtId="0" fontId="119" fillId="0" borderId="73" xfId="0" applyFont="1" applyBorder="1" applyAlignment="1">
      <alignment horizontal="center" vertical="center"/>
    </xf>
    <xf numFmtId="49" fontId="119" fillId="0" borderId="102" xfId="0" applyNumberFormat="1" applyFont="1" applyBorder="1" applyAlignment="1">
      <alignment horizontal="center" vertical="center"/>
    </xf>
    <xf numFmtId="49" fontId="119" fillId="0" borderId="73" xfId="0" applyNumberFormat="1" applyFont="1" applyBorder="1" applyAlignment="1">
      <alignment horizontal="center" vertical="center"/>
    </xf>
    <xf numFmtId="49" fontId="119" fillId="0" borderId="74" xfId="0" applyNumberFormat="1" applyFont="1" applyBorder="1" applyAlignment="1">
      <alignment horizontal="center" vertical="center"/>
    </xf>
    <xf numFmtId="0" fontId="119" fillId="0" borderId="75" xfId="0" applyFont="1" applyBorder="1" applyAlignment="1">
      <alignment horizontal="center" vertical="center"/>
    </xf>
    <xf numFmtId="0" fontId="119" fillId="0" borderId="74" xfId="0" applyFont="1" applyBorder="1" applyAlignment="1">
      <alignment horizontal="center" vertical="center"/>
    </xf>
    <xf numFmtId="0" fontId="119" fillId="0" borderId="75" xfId="0" applyFont="1" applyBorder="1" applyAlignment="1">
      <alignment horizontal="center" vertical="center" wrapText="1"/>
    </xf>
    <xf numFmtId="0" fontId="119" fillId="0" borderId="74" xfId="0" applyFont="1" applyBorder="1" applyAlignment="1">
      <alignment horizontal="center" vertical="center" wrapText="1"/>
    </xf>
    <xf numFmtId="0" fontId="119" fillId="0" borderId="46" xfId="0" applyFont="1" applyBorder="1" applyAlignment="1">
      <alignment horizontal="center" vertical="center"/>
    </xf>
    <xf numFmtId="0" fontId="119" fillId="0" borderId="46" xfId="0" applyFont="1" applyBorder="1" applyAlignment="1">
      <alignment horizontal="center" vertical="center" shrinkToFit="1"/>
    </xf>
    <xf numFmtId="0" fontId="119" fillId="0" borderId="105" xfId="0" applyFont="1" applyBorder="1" applyAlignment="1">
      <alignment horizontal="center" vertical="center"/>
    </xf>
    <xf numFmtId="0" fontId="119" fillId="0" borderId="171" xfId="0" applyFont="1" applyBorder="1" applyAlignment="1">
      <alignment horizontal="center" vertical="center"/>
    </xf>
    <xf numFmtId="0" fontId="119" fillId="0" borderId="0" xfId="0" applyFont="1" applyAlignment="1">
      <alignment horizontal="center" vertical="center"/>
    </xf>
    <xf numFmtId="49" fontId="119" fillId="0" borderId="165" xfId="0" applyNumberFormat="1" applyFont="1" applyBorder="1" applyAlignment="1">
      <alignment horizontal="center" vertical="center"/>
    </xf>
    <xf numFmtId="49" fontId="119" fillId="0" borderId="29" xfId="0" applyNumberFormat="1" applyFont="1" applyBorder="1" applyAlignment="1">
      <alignment horizontal="center" vertical="center"/>
    </xf>
    <xf numFmtId="49" fontId="119" fillId="0" borderId="83" xfId="0" applyNumberFormat="1" applyFont="1" applyBorder="1" applyAlignment="1">
      <alignment horizontal="center" vertical="center"/>
    </xf>
    <xf numFmtId="0" fontId="119" fillId="0" borderId="90" xfId="0" applyFont="1" applyBorder="1" applyAlignment="1">
      <alignment horizontal="center" vertical="center"/>
    </xf>
    <xf numFmtId="0" fontId="119" fillId="0" borderId="91" xfId="0" applyFont="1" applyBorder="1" applyAlignment="1">
      <alignment horizontal="center" vertical="center"/>
    </xf>
    <xf numFmtId="0" fontId="119" fillId="0" borderId="90" xfId="0" applyFont="1" applyBorder="1" applyAlignment="1">
      <alignment horizontal="center" vertical="center" wrapText="1"/>
    </xf>
    <xf numFmtId="0" fontId="119" fillId="0" borderId="91" xfId="0" applyFont="1" applyBorder="1" applyAlignment="1">
      <alignment horizontal="center" vertical="center" wrapText="1"/>
    </xf>
    <xf numFmtId="0" fontId="119" fillId="0" borderId="168" xfId="0" applyFont="1" applyBorder="1" applyAlignment="1">
      <alignment horizontal="center" vertical="center"/>
    </xf>
    <xf numFmtId="182" fontId="225" fillId="0" borderId="119" xfId="1" applyNumberFormat="1" applyFont="1" applyFill="1" applyBorder="1" applyAlignment="1">
      <alignment horizontal="center" vertical="center"/>
    </xf>
    <xf numFmtId="182" fontId="225" fillId="0" borderId="123" xfId="1" applyNumberFormat="1" applyFont="1" applyFill="1" applyBorder="1" applyAlignment="1">
      <alignment horizontal="center" vertical="center"/>
    </xf>
    <xf numFmtId="182" fontId="225" fillId="0" borderId="122" xfId="1" applyNumberFormat="1" applyFont="1" applyFill="1" applyBorder="1" applyAlignment="1">
      <alignment horizontal="center" vertical="center"/>
    </xf>
    <xf numFmtId="182" fontId="225" fillId="0" borderId="150" xfId="1" applyNumberFormat="1" applyFont="1" applyFill="1" applyBorder="1" applyAlignment="1">
      <alignment horizontal="center" vertical="center"/>
    </xf>
    <xf numFmtId="182" fontId="225" fillId="0" borderId="113" xfId="1" applyNumberFormat="1" applyFont="1" applyFill="1" applyBorder="1" applyAlignment="1">
      <alignment horizontal="center" vertical="center"/>
    </xf>
    <xf numFmtId="182" fontId="225" fillId="0" borderId="151" xfId="1" applyNumberFormat="1" applyFont="1" applyFill="1" applyBorder="1" applyAlignment="1">
      <alignment horizontal="center" vertical="center"/>
    </xf>
    <xf numFmtId="182" fontId="225" fillId="0" borderId="114" xfId="1" applyNumberFormat="1" applyFont="1" applyFill="1" applyBorder="1" applyAlignment="1">
      <alignment horizontal="center" vertical="center"/>
    </xf>
    <xf numFmtId="182" fontId="225" fillId="0" borderId="115" xfId="1" applyNumberFormat="1" applyFont="1" applyFill="1" applyBorder="1" applyAlignment="1">
      <alignment horizontal="center" vertical="center"/>
    </xf>
    <xf numFmtId="182" fontId="225" fillId="0" borderId="145" xfId="1" applyNumberFormat="1" applyFont="1" applyFill="1" applyBorder="1" applyAlignment="1">
      <alignment horizontal="center" vertical="center"/>
    </xf>
    <xf numFmtId="182" fontId="225" fillId="0" borderId="147" xfId="1" applyNumberFormat="1" applyFont="1" applyFill="1" applyBorder="1" applyAlignment="1">
      <alignment horizontal="center" vertical="center"/>
    </xf>
    <xf numFmtId="182" fontId="225" fillId="0" borderId="148" xfId="1" applyNumberFormat="1" applyFont="1" applyFill="1" applyBorder="1" applyAlignment="1">
      <alignment horizontal="center" vertical="center"/>
    </xf>
    <xf numFmtId="182" fontId="225" fillId="0" borderId="149" xfId="1" applyNumberFormat="1" applyFont="1" applyFill="1" applyBorder="1" applyAlignment="1">
      <alignment horizontal="center" vertical="center"/>
    </xf>
    <xf numFmtId="182" fontId="225" fillId="0" borderId="126" xfId="1" applyNumberFormat="1" applyFont="1" applyFill="1" applyBorder="1" applyAlignment="1">
      <alignment horizontal="center" vertical="center"/>
    </xf>
    <xf numFmtId="182" fontId="225" fillId="0" borderId="111" xfId="1" applyNumberFormat="1" applyFont="1" applyFill="1" applyBorder="1" applyAlignment="1">
      <alignment horizontal="center" vertical="center"/>
    </xf>
    <xf numFmtId="182" fontId="225" fillId="0" borderId="127" xfId="1" applyNumberFormat="1" applyFont="1" applyFill="1" applyBorder="1" applyAlignment="1">
      <alignment horizontal="center" vertical="center"/>
    </xf>
    <xf numFmtId="182" fontId="225" fillId="0" borderId="162" xfId="1" applyNumberFormat="1" applyFont="1" applyFill="1" applyBorder="1" applyAlignment="1">
      <alignment horizontal="center" vertical="center"/>
    </xf>
    <xf numFmtId="49" fontId="120" fillId="0" borderId="0" xfId="0" applyNumberFormat="1" applyFont="1" applyAlignment="1">
      <alignment vertical="center"/>
    </xf>
    <xf numFmtId="182" fontId="119" fillId="0" borderId="73" xfId="0" applyNumberFormat="1" applyFont="1" applyBorder="1" applyAlignment="1">
      <alignment horizontal="center" vertical="center"/>
    </xf>
    <xf numFmtId="0" fontId="160" fillId="0" borderId="75" xfId="0" applyFont="1" applyBorder="1" applyAlignment="1">
      <alignment horizontal="center" vertical="top" wrapText="1"/>
    </xf>
    <xf numFmtId="0" fontId="160" fillId="0" borderId="74" xfId="0" applyFont="1" applyBorder="1" applyAlignment="1">
      <alignment horizontal="center" vertical="top" wrapText="1"/>
    </xf>
    <xf numFmtId="0" fontId="119" fillId="0" borderId="102" xfId="0" applyFont="1" applyBorder="1" applyAlignment="1">
      <alignment horizontal="center" vertical="center" wrapText="1"/>
    </xf>
    <xf numFmtId="0" fontId="119" fillId="0" borderId="73" xfId="0" applyFont="1" applyBorder="1" applyAlignment="1">
      <alignment horizontal="center" vertical="center" wrapText="1"/>
    </xf>
    <xf numFmtId="0" fontId="160" fillId="0" borderId="175" xfId="0" applyFont="1" applyBorder="1" applyAlignment="1">
      <alignment horizontal="center" vertical="top" wrapText="1"/>
    </xf>
    <xf numFmtId="0" fontId="160" fillId="0" borderId="176" xfId="0" applyFont="1" applyBorder="1" applyAlignment="1">
      <alignment horizontal="center" vertical="top" wrapText="1"/>
    </xf>
    <xf numFmtId="0" fontId="119" fillId="0" borderId="175" xfId="0" applyFont="1" applyBorder="1" applyAlignment="1">
      <alignment horizontal="center" vertical="center" wrapText="1"/>
    </xf>
    <xf numFmtId="0" fontId="119" fillId="0" borderId="152" xfId="0" applyFont="1" applyBorder="1" applyAlignment="1">
      <alignment horizontal="center" vertical="top"/>
    </xf>
    <xf numFmtId="0" fontId="119" fillId="0" borderId="112" xfId="0" applyFont="1" applyBorder="1" applyAlignment="1">
      <alignment horizontal="center" vertical="top"/>
    </xf>
    <xf numFmtId="0" fontId="119" fillId="0" borderId="167" xfId="0" applyFont="1" applyBorder="1" applyAlignment="1">
      <alignment horizontal="center" vertical="top"/>
    </xf>
    <xf numFmtId="0" fontId="119" fillId="0" borderId="110" xfId="0" applyFont="1" applyBorder="1" applyAlignment="1">
      <alignment horizontal="center" vertical="top"/>
    </xf>
    <xf numFmtId="49" fontId="119" fillId="0" borderId="65" xfId="0" applyNumberFormat="1" applyFont="1" applyBorder="1" applyAlignment="1">
      <alignment horizontal="center" vertical="top"/>
    </xf>
    <xf numFmtId="0" fontId="119" fillId="0" borderId="64" xfId="0" applyFont="1" applyBorder="1" applyAlignment="1">
      <alignment horizontal="center" vertical="top"/>
    </xf>
    <xf numFmtId="0" fontId="120" fillId="0" borderId="65" xfId="0" applyFont="1" applyBorder="1" applyAlignment="1">
      <alignment horizontal="left" vertical="top" wrapText="1"/>
    </xf>
    <xf numFmtId="0" fontId="120" fillId="0" borderId="63" xfId="0" applyFont="1" applyBorder="1" applyAlignment="1">
      <alignment horizontal="left" vertical="top" wrapText="1"/>
    </xf>
    <xf numFmtId="0" fontId="120" fillId="0" borderId="161" xfId="0" applyFont="1" applyBorder="1" applyAlignment="1">
      <alignment horizontal="center" vertical="top" wrapText="1"/>
    </xf>
    <xf numFmtId="0" fontId="120" fillId="0" borderId="63" xfId="0" applyFont="1" applyBorder="1" applyAlignment="1">
      <alignment horizontal="center" vertical="top" wrapText="1"/>
    </xf>
    <xf numFmtId="0" fontId="120" fillId="0" borderId="64" xfId="0" applyFont="1" applyBorder="1" applyAlignment="1">
      <alignment horizontal="center" vertical="top" wrapText="1"/>
    </xf>
    <xf numFmtId="0" fontId="119" fillId="0" borderId="65" xfId="0" applyFont="1" applyBorder="1" applyAlignment="1" applyProtection="1">
      <alignment horizontal="center" vertical="top"/>
      <protection locked="0"/>
    </xf>
    <xf numFmtId="0" fontId="119" fillId="0" borderId="64" xfId="0" applyFont="1" applyBorder="1" applyAlignment="1" applyProtection="1">
      <alignment horizontal="center" vertical="top"/>
      <protection locked="0"/>
    </xf>
    <xf numFmtId="0" fontId="120" fillId="0" borderId="65" xfId="0" applyFont="1" applyBorder="1" applyAlignment="1">
      <alignment horizontal="center" vertical="top"/>
    </xf>
    <xf numFmtId="0" fontId="120" fillId="0" borderId="64" xfId="0" applyFont="1" applyBorder="1" applyAlignment="1">
      <alignment horizontal="center" vertical="top"/>
    </xf>
    <xf numFmtId="182" fontId="120" fillId="0" borderId="113" xfId="1" applyNumberFormat="1" applyFont="1" applyFill="1" applyBorder="1" applyAlignment="1">
      <alignment horizontal="center" vertical="top"/>
    </xf>
    <xf numFmtId="182" fontId="120" fillId="0" borderId="151" xfId="1" applyNumberFormat="1" applyFont="1" applyFill="1" applyBorder="1" applyAlignment="1">
      <alignment horizontal="center" vertical="top"/>
    </xf>
    <xf numFmtId="182" fontId="120" fillId="0" borderId="114" xfId="1" applyNumberFormat="1" applyFont="1" applyFill="1" applyBorder="1" applyAlignment="1">
      <alignment horizontal="center" vertical="top"/>
    </xf>
    <xf numFmtId="182" fontId="120" fillId="0" borderId="115" xfId="1" applyNumberFormat="1" applyFont="1" applyFill="1" applyBorder="1" applyAlignment="1">
      <alignment horizontal="center" vertical="top"/>
    </xf>
    <xf numFmtId="0" fontId="120" fillId="0" borderId="43" xfId="0" applyFont="1" applyBorder="1" applyAlignment="1">
      <alignment horizontal="center" vertical="top"/>
    </xf>
    <xf numFmtId="0" fontId="119" fillId="0" borderId="43" xfId="0" applyFont="1" applyBorder="1" applyAlignment="1">
      <alignment horizontal="center" vertical="top"/>
    </xf>
    <xf numFmtId="0" fontId="119" fillId="0" borderId="65" xfId="0" applyFont="1" applyBorder="1" applyAlignment="1">
      <alignment horizontal="left" vertical="top" wrapText="1"/>
    </xf>
    <xf numFmtId="0" fontId="119" fillId="0" borderId="63" xfId="0" applyFont="1" applyBorder="1" applyAlignment="1">
      <alignment horizontal="left" vertical="top" wrapText="1"/>
    </xf>
    <xf numFmtId="0" fontId="119" fillId="0" borderId="65" xfId="0" applyFont="1" applyBorder="1" applyAlignment="1">
      <alignment horizontal="center" vertical="top"/>
    </xf>
    <xf numFmtId="0" fontId="119" fillId="0" borderId="65" xfId="0" applyFont="1" applyBorder="1" applyAlignment="1">
      <alignment horizontal="left" vertical="top" wrapText="1" indent="1"/>
    </xf>
    <xf numFmtId="0" fontId="119" fillId="0" borderId="63" xfId="0" applyFont="1" applyBorder="1" applyAlignment="1">
      <alignment horizontal="left" vertical="top" wrapText="1" indent="1"/>
    </xf>
    <xf numFmtId="0" fontId="119" fillId="0" borderId="161" xfId="0" applyFont="1" applyBorder="1" applyAlignment="1">
      <alignment horizontal="center" vertical="top" wrapText="1"/>
    </xf>
    <xf numFmtId="0" fontId="119" fillId="0" borderId="63" xfId="0" applyFont="1" applyBorder="1" applyAlignment="1">
      <alignment horizontal="center" vertical="top" wrapText="1"/>
    </xf>
    <xf numFmtId="0" fontId="119" fillId="0" borderId="64" xfId="0" applyFont="1" applyBorder="1" applyAlignment="1">
      <alignment horizontal="center" vertical="top" wrapText="1"/>
    </xf>
    <xf numFmtId="0" fontId="119" fillId="0" borderId="65" xfId="0" applyFont="1" applyBorder="1" applyAlignment="1">
      <alignment horizontal="left" vertical="top"/>
    </xf>
    <xf numFmtId="0" fontId="119" fillId="0" borderId="63" xfId="0" applyFont="1" applyBorder="1" applyAlignment="1">
      <alignment horizontal="left" vertical="top"/>
    </xf>
    <xf numFmtId="0" fontId="119" fillId="0" borderId="75" xfId="0" applyFont="1" applyBorder="1" applyAlignment="1">
      <alignment vertical="center"/>
    </xf>
    <xf numFmtId="0" fontId="119" fillId="0" borderId="73" xfId="0" applyFont="1" applyBorder="1" applyAlignment="1">
      <alignment vertical="center"/>
    </xf>
    <xf numFmtId="0" fontId="119" fillId="0" borderId="73" xfId="0" applyFont="1" applyBorder="1" applyAlignment="1">
      <alignment vertical="center" wrapText="1"/>
    </xf>
    <xf numFmtId="0" fontId="119" fillId="0" borderId="46" xfId="0" applyFont="1" applyBorder="1" applyAlignment="1" applyProtection="1">
      <alignment horizontal="center" vertical="center"/>
      <protection locked="0"/>
    </xf>
    <xf numFmtId="182" fontId="119" fillId="0" borderId="46" xfId="1" applyNumberFormat="1" applyFont="1" applyFill="1" applyBorder="1" applyAlignment="1">
      <alignment horizontal="center" vertical="center"/>
    </xf>
    <xf numFmtId="0" fontId="120" fillId="0" borderId="49" xfId="0" applyFont="1" applyBorder="1" applyAlignment="1">
      <alignment horizontal="center" vertical="center"/>
    </xf>
    <xf numFmtId="0" fontId="120" fillId="0" borderId="70" xfId="0" applyFont="1" applyBorder="1" applyAlignment="1">
      <alignment horizontal="left" vertical="center" wrapText="1"/>
    </xf>
    <xf numFmtId="0" fontId="120" fillId="0" borderId="68" xfId="0" applyFont="1" applyBorder="1" applyAlignment="1">
      <alignment horizontal="left" vertical="center" wrapText="1"/>
    </xf>
    <xf numFmtId="0" fontId="120" fillId="0" borderId="205" xfId="0" applyFont="1" applyBorder="1" applyAlignment="1">
      <alignment horizontal="center" vertical="center" wrapText="1"/>
    </xf>
    <xf numFmtId="0" fontId="120" fillId="0" borderId="68" xfId="0" applyFont="1" applyBorder="1" applyAlignment="1">
      <alignment horizontal="center" vertical="center" wrapText="1"/>
    </xf>
    <xf numFmtId="0" fontId="120" fillId="0" borderId="69" xfId="0" applyFont="1" applyBorder="1" applyAlignment="1">
      <alignment horizontal="center" vertical="center" wrapText="1"/>
    </xf>
    <xf numFmtId="0" fontId="120" fillId="0" borderId="49" xfId="0" applyFont="1" applyBorder="1" applyAlignment="1" applyProtection="1">
      <alignment horizontal="center" vertical="center"/>
      <protection locked="0"/>
    </xf>
    <xf numFmtId="0" fontId="119" fillId="0" borderId="70" xfId="0" applyFont="1" applyBorder="1" applyAlignment="1">
      <alignment horizontal="center" vertical="center"/>
    </xf>
    <xf numFmtId="0" fontId="119" fillId="0" borderId="69" xfId="0" applyFont="1" applyBorder="1" applyAlignment="1">
      <alignment horizontal="center" vertical="center"/>
    </xf>
    <xf numFmtId="182" fontId="120" fillId="0" borderId="49" xfId="1" applyNumberFormat="1" applyFont="1" applyFill="1" applyBorder="1" applyAlignment="1">
      <alignment horizontal="center" vertical="center"/>
    </xf>
    <xf numFmtId="0" fontId="120" fillId="0" borderId="96" xfId="0" applyFont="1" applyBorder="1" applyAlignment="1">
      <alignment vertical="top"/>
    </xf>
    <xf numFmtId="0" fontId="120" fillId="0" borderId="52" xfId="0" applyFont="1" applyBorder="1" applyAlignment="1">
      <alignment horizontal="center" vertical="top"/>
    </xf>
    <xf numFmtId="0" fontId="120" fillId="0" borderId="52" xfId="0" applyFont="1" applyBorder="1" applyAlignment="1" applyProtection="1">
      <alignment horizontal="center" vertical="top"/>
      <protection locked="0"/>
    </xf>
    <xf numFmtId="182" fontId="120" fillId="0" borderId="52" xfId="1" applyNumberFormat="1" applyFont="1" applyFill="1" applyBorder="1" applyAlignment="1">
      <alignment horizontal="center" vertical="top"/>
    </xf>
    <xf numFmtId="0" fontId="120" fillId="0" borderId="46" xfId="0" applyFont="1" applyBorder="1" applyAlignment="1">
      <alignment horizontal="center" vertical="top"/>
    </xf>
    <xf numFmtId="0" fontId="120" fillId="0" borderId="75" xfId="0" applyFont="1" applyBorder="1" applyAlignment="1">
      <alignment horizontal="left" vertical="top" wrapText="1"/>
    </xf>
    <xf numFmtId="0" fontId="120" fillId="0" borderId="73" xfId="0" applyFont="1" applyBorder="1" applyAlignment="1">
      <alignment horizontal="left" vertical="top" wrapText="1"/>
    </xf>
    <xf numFmtId="0" fontId="120" fillId="0" borderId="102" xfId="0" applyFont="1" applyBorder="1" applyAlignment="1">
      <alignment horizontal="center" vertical="top" wrapText="1"/>
    </xf>
    <xf numFmtId="0" fontId="120" fillId="0" borderId="73" xfId="0" applyFont="1" applyBorder="1" applyAlignment="1">
      <alignment horizontal="center" vertical="top" wrapText="1"/>
    </xf>
    <xf numFmtId="0" fontId="120" fillId="0" borderId="74" xfId="0" applyFont="1" applyBorder="1" applyAlignment="1">
      <alignment horizontal="center" vertical="top" wrapText="1"/>
    </xf>
    <xf numFmtId="0" fontId="120" fillId="0" borderId="46" xfId="0" applyFont="1" applyBorder="1" applyAlignment="1" applyProtection="1">
      <alignment horizontal="center" vertical="top"/>
      <protection locked="0"/>
    </xf>
    <xf numFmtId="182" fontId="120" fillId="0" borderId="46" xfId="1" applyNumberFormat="1" applyFont="1" applyFill="1" applyBorder="1" applyAlignment="1">
      <alignment horizontal="center" vertical="top"/>
    </xf>
    <xf numFmtId="0" fontId="120" fillId="0" borderId="40" xfId="0" applyFont="1" applyBorder="1" applyAlignment="1">
      <alignment horizontal="center" vertical="top"/>
    </xf>
    <xf numFmtId="0" fontId="120" fillId="0" borderId="80" xfId="0" applyFont="1" applyBorder="1" applyAlignment="1">
      <alignment horizontal="left" vertical="top" wrapText="1"/>
    </xf>
    <xf numFmtId="0" fontId="120" fillId="0" borderId="78" xfId="0" applyFont="1" applyBorder="1" applyAlignment="1">
      <alignment horizontal="left" vertical="top" wrapText="1"/>
    </xf>
    <xf numFmtId="0" fontId="120" fillId="0" borderId="247" xfId="0" applyFont="1" applyBorder="1" applyAlignment="1">
      <alignment horizontal="center" vertical="top" wrapText="1"/>
    </xf>
    <xf numFmtId="0" fontId="120" fillId="0" borderId="78" xfId="0" applyFont="1" applyBorder="1" applyAlignment="1">
      <alignment horizontal="center" vertical="top" wrapText="1"/>
    </xf>
    <xf numFmtId="0" fontId="120" fillId="0" borderId="79" xfId="0" applyFont="1" applyBorder="1" applyAlignment="1">
      <alignment horizontal="center" vertical="top" wrapText="1"/>
    </xf>
    <xf numFmtId="0" fontId="120" fillId="0" borderId="40" xfId="0" applyFont="1" applyBorder="1" applyAlignment="1" applyProtection="1">
      <alignment horizontal="center" vertical="top"/>
      <protection locked="0"/>
    </xf>
    <xf numFmtId="0" fontId="119" fillId="0" borderId="80" xfId="0" applyFont="1" applyBorder="1" applyAlignment="1">
      <alignment horizontal="center" vertical="top"/>
    </xf>
    <xf numFmtId="0" fontId="119" fillId="0" borderId="79" xfId="0" applyFont="1" applyBorder="1" applyAlignment="1">
      <alignment horizontal="center" vertical="top"/>
    </xf>
    <xf numFmtId="182" fontId="120" fillId="0" borderId="40" xfId="1" applyNumberFormat="1" applyFont="1" applyFill="1" applyBorder="1" applyAlignment="1">
      <alignment horizontal="center" vertical="top"/>
    </xf>
    <xf numFmtId="0" fontId="120" fillId="0" borderId="49" xfId="0" applyFont="1" applyBorder="1" applyAlignment="1">
      <alignment horizontal="center" vertical="top"/>
    </xf>
    <xf numFmtId="0" fontId="120" fillId="0" borderId="70" xfId="0" applyFont="1" applyBorder="1" applyAlignment="1">
      <alignment horizontal="left" vertical="top" wrapText="1"/>
    </xf>
    <xf numFmtId="0" fontId="120" fillId="0" borderId="68" xfId="0" applyFont="1" applyBorder="1" applyAlignment="1">
      <alignment horizontal="left" vertical="top" wrapText="1"/>
    </xf>
    <xf numFmtId="0" fontId="120" fillId="0" borderId="205" xfId="0" applyFont="1" applyBorder="1" applyAlignment="1">
      <alignment horizontal="center" vertical="top" wrapText="1"/>
    </xf>
    <xf numFmtId="0" fontId="120" fillId="0" borderId="68" xfId="0" applyFont="1" applyBorder="1" applyAlignment="1">
      <alignment horizontal="center" vertical="top" wrapText="1"/>
    </xf>
    <xf numFmtId="0" fontId="120" fillId="0" borderId="69" xfId="0" applyFont="1" applyBorder="1" applyAlignment="1">
      <alignment horizontal="center" vertical="top" wrapText="1"/>
    </xf>
    <xf numFmtId="0" fontId="120" fillId="0" borderId="49" xfId="0" applyFont="1" applyBorder="1" applyAlignment="1" applyProtection="1">
      <alignment horizontal="center" vertical="top"/>
      <protection locked="0"/>
    </xf>
    <xf numFmtId="0" fontId="119" fillId="0" borderId="70" xfId="0" applyFont="1" applyBorder="1" applyAlignment="1">
      <alignment horizontal="center" vertical="top"/>
    </xf>
    <xf numFmtId="0" fontId="119" fillId="0" borderId="69" xfId="0" applyFont="1" applyBorder="1" applyAlignment="1">
      <alignment horizontal="center" vertical="top"/>
    </xf>
    <xf numFmtId="182" fontId="120" fillId="0" borderId="49" xfId="1" applyNumberFormat="1" applyFont="1" applyFill="1" applyBorder="1" applyAlignment="1">
      <alignment horizontal="center" vertical="top"/>
    </xf>
    <xf numFmtId="0" fontId="119" fillId="0" borderId="52" xfId="0" applyFont="1" applyBorder="1" applyAlignment="1">
      <alignment horizontal="center" vertical="top"/>
    </xf>
    <xf numFmtId="0" fontId="119" fillId="0" borderId="84" xfId="0" applyFont="1" applyBorder="1" applyAlignment="1">
      <alignment horizontal="left" vertical="top" wrapText="1"/>
    </xf>
    <xf numFmtId="0" fontId="119" fillId="0" borderId="29" xfId="0" applyFont="1" applyBorder="1" applyAlignment="1">
      <alignment horizontal="left" vertical="top" wrapText="1"/>
    </xf>
    <xf numFmtId="0" fontId="119" fillId="24" borderId="52" xfId="0" applyFont="1" applyFill="1" applyBorder="1" applyAlignment="1" applyProtection="1">
      <alignment horizontal="center" vertical="top"/>
      <protection locked="0"/>
    </xf>
    <xf numFmtId="0" fontId="119" fillId="0" borderId="84" xfId="0" applyFont="1" applyBorder="1" applyAlignment="1">
      <alignment horizontal="center" vertical="top"/>
    </xf>
    <xf numFmtId="0" fontId="119" fillId="0" borderId="83" xfId="0" applyFont="1" applyBorder="1" applyAlignment="1">
      <alignment horizontal="center" vertical="top"/>
    </xf>
    <xf numFmtId="182" fontId="119" fillId="0" borderId="52" xfId="1" applyNumberFormat="1" applyFont="1" applyFill="1" applyBorder="1" applyAlignment="1">
      <alignment horizontal="center" vertical="top"/>
    </xf>
    <xf numFmtId="0" fontId="119" fillId="0" borderId="52" xfId="0" applyFont="1" applyBorder="1" applyAlignment="1" applyProtection="1">
      <alignment horizontal="center" vertical="top"/>
      <protection locked="0"/>
    </xf>
    <xf numFmtId="0" fontId="119" fillId="0" borderId="46" xfId="0" applyFont="1" applyBorder="1" applyAlignment="1">
      <alignment horizontal="center" vertical="top"/>
    </xf>
    <xf numFmtId="0" fontId="119" fillId="0" borderId="75" xfId="0" applyFont="1" applyBorder="1" applyAlignment="1">
      <alignment horizontal="left" vertical="top" wrapText="1"/>
    </xf>
    <xf numFmtId="0" fontId="119" fillId="0" borderId="73" xfId="0" applyFont="1" applyBorder="1" applyAlignment="1">
      <alignment horizontal="left" vertical="top" wrapText="1"/>
    </xf>
    <xf numFmtId="0" fontId="119" fillId="0" borderId="102" xfId="0" applyFont="1" applyBorder="1" applyAlignment="1">
      <alignment horizontal="center" vertical="top" wrapText="1"/>
    </xf>
    <xf numFmtId="0" fontId="119" fillId="0" borderId="73" xfId="0" applyFont="1" applyBorder="1" applyAlignment="1">
      <alignment horizontal="center" vertical="top" wrapText="1"/>
    </xf>
    <xf numFmtId="0" fontId="119" fillId="0" borderId="74" xfId="0" applyFont="1" applyBorder="1" applyAlignment="1">
      <alignment horizontal="center" vertical="top" wrapText="1"/>
    </xf>
    <xf numFmtId="0" fontId="119" fillId="0" borderId="46" xfId="0" applyFont="1" applyBorder="1" applyAlignment="1" applyProtection="1">
      <alignment horizontal="center" vertical="top"/>
      <protection locked="0"/>
    </xf>
    <xf numFmtId="182" fontId="119" fillId="0" borderId="46" xfId="1" applyNumberFormat="1" applyFont="1" applyFill="1" applyBorder="1" applyAlignment="1">
      <alignment horizontal="center" vertical="top"/>
    </xf>
    <xf numFmtId="0" fontId="119" fillId="0" borderId="73" xfId="0" applyFont="1" applyBorder="1" applyAlignment="1">
      <alignment vertical="top"/>
    </xf>
    <xf numFmtId="182" fontId="119" fillId="0" borderId="73" xfId="1" applyNumberFormat="1" applyFont="1" applyFill="1" applyBorder="1" applyAlignment="1">
      <alignment horizontal="center" vertical="top"/>
    </xf>
    <xf numFmtId="182" fontId="119" fillId="0" borderId="0" xfId="1" applyNumberFormat="1" applyFont="1" applyFill="1" applyBorder="1" applyAlignment="1">
      <alignment horizontal="center" vertical="top"/>
    </xf>
    <xf numFmtId="0" fontId="110" fillId="0" borderId="65" xfId="0" applyFont="1" applyBorder="1" applyAlignment="1">
      <alignment horizontal="center" vertical="center"/>
    </xf>
    <xf numFmtId="0" fontId="110" fillId="0" borderId="63" xfId="0" applyFont="1" applyBorder="1" applyAlignment="1">
      <alignment horizontal="center" vertical="center"/>
    </xf>
    <xf numFmtId="0" fontId="110" fillId="0" borderId="64" xfId="0" applyFont="1" applyBorder="1" applyAlignment="1">
      <alignment horizontal="center" vertical="center"/>
    </xf>
    <xf numFmtId="0" fontId="111" fillId="0" borderId="75" xfId="0" applyFont="1" applyBorder="1" applyAlignment="1">
      <alignment horizontal="center" wrapText="1" shrinkToFit="1"/>
    </xf>
    <xf numFmtId="0" fontId="111" fillId="0" borderId="73" xfId="0" applyFont="1" applyBorder="1" applyAlignment="1">
      <alignment horizontal="center" wrapText="1" shrinkToFit="1"/>
    </xf>
    <xf numFmtId="0" fontId="111" fillId="0" borderId="74" xfId="0" applyFont="1" applyBorder="1" applyAlignment="1">
      <alignment horizontal="center" wrapText="1" shrinkToFit="1"/>
    </xf>
    <xf numFmtId="0" fontId="202" fillId="0" borderId="90" xfId="0" applyFont="1" applyBorder="1" applyAlignment="1">
      <alignment horizontal="left" shrinkToFit="1"/>
    </xf>
    <xf numFmtId="0" fontId="111" fillId="0" borderId="90" xfId="0" applyFont="1" applyBorder="1" applyAlignment="1">
      <alignment horizontal="center" wrapText="1" shrinkToFit="1"/>
    </xf>
    <xf numFmtId="0" fontId="111" fillId="0" borderId="0" xfId="0" applyFont="1" applyAlignment="1">
      <alignment horizontal="center" wrapText="1" shrinkToFit="1"/>
    </xf>
    <xf numFmtId="0" fontId="111" fillId="0" borderId="91" xfId="0" applyFont="1" applyBorder="1" applyAlignment="1">
      <alignment horizontal="center" wrapText="1" shrinkToFit="1"/>
    </xf>
    <xf numFmtId="0" fontId="111" fillId="0" borderId="84" xfId="0" applyFont="1" applyBorder="1" applyAlignment="1">
      <alignment horizontal="center" vertical="top" wrapText="1" shrinkToFit="1"/>
    </xf>
    <xf numFmtId="0" fontId="111" fillId="0" borderId="29" xfId="0" applyFont="1" applyBorder="1" applyAlignment="1">
      <alignment horizontal="center" vertical="top" wrapText="1" shrinkToFit="1"/>
    </xf>
    <xf numFmtId="0" fontId="111" fillId="0" borderId="83" xfId="0" applyFont="1" applyBorder="1" applyAlignment="1">
      <alignment horizontal="center" vertical="top" wrapText="1" shrinkToFit="1"/>
    </xf>
    <xf numFmtId="0" fontId="202" fillId="0" borderId="84" xfId="0" applyFont="1" applyBorder="1" applyAlignment="1">
      <alignment shrinkToFit="1"/>
    </xf>
    <xf numFmtId="0" fontId="229" fillId="0" borderId="128" xfId="0" applyFont="1" applyBorder="1" applyAlignment="1">
      <alignment horizontal="center" vertical="center"/>
    </xf>
    <xf numFmtId="0" fontId="230" fillId="8" borderId="29" xfId="0" applyFont="1" applyFill="1" applyBorder="1" applyAlignment="1">
      <alignment horizontal="center"/>
    </xf>
    <xf numFmtId="0" fontId="230" fillId="8" borderId="83" xfId="0" applyFont="1" applyFill="1" applyBorder="1" applyAlignment="1">
      <alignment horizontal="center"/>
    </xf>
    <xf numFmtId="0" fontId="230" fillId="8" borderId="84" xfId="0" applyFont="1" applyFill="1" applyBorder="1" applyAlignment="1">
      <alignment horizontal="center"/>
    </xf>
    <xf numFmtId="0" fontId="231" fillId="0" borderId="75" xfId="0" applyFont="1" applyBorder="1" applyAlignment="1">
      <alignment vertical="center"/>
    </xf>
    <xf numFmtId="0" fontId="110" fillId="0" borderId="73" xfId="0" applyFont="1" applyBorder="1" applyAlignment="1">
      <alignment vertical="center"/>
    </xf>
    <xf numFmtId="0" fontId="110" fillId="0" borderId="74" xfId="0" applyFont="1" applyBorder="1" applyAlignment="1">
      <alignment vertical="center"/>
    </xf>
    <xf numFmtId="0" fontId="230" fillId="0" borderId="90" xfId="0" applyFont="1" applyBorder="1" applyAlignment="1">
      <alignment horizontal="left" vertical="center" wrapText="1"/>
    </xf>
    <xf numFmtId="0" fontId="230" fillId="0" borderId="0" xfId="0" applyFont="1" applyAlignment="1">
      <alignment horizontal="left" vertical="center" wrapText="1"/>
    </xf>
    <xf numFmtId="0" fontId="230" fillId="0" borderId="84" xfId="0" applyFont="1" applyBorder="1" applyAlignment="1">
      <alignment horizontal="center" vertical="center"/>
    </xf>
    <xf numFmtId="0" fontId="230" fillId="0" borderId="83" xfId="0" applyFont="1" applyBorder="1" applyAlignment="1">
      <alignment horizontal="center" vertical="center"/>
    </xf>
    <xf numFmtId="0" fontId="110" fillId="8" borderId="75" xfId="0" applyFont="1" applyFill="1" applyBorder="1"/>
    <xf numFmtId="0" fontId="110" fillId="8" borderId="73" xfId="0" applyFont="1" applyFill="1" applyBorder="1"/>
    <xf numFmtId="0" fontId="110" fillId="8" borderId="74" xfId="0" applyFont="1" applyFill="1" applyBorder="1"/>
    <xf numFmtId="0" fontId="230" fillId="0" borderId="84" xfId="0" applyFont="1" applyBorder="1" applyAlignment="1">
      <alignment horizontal="left" vertical="center" wrapText="1"/>
    </xf>
    <xf numFmtId="0" fontId="230" fillId="0" borderId="29" xfId="0" applyFont="1" applyBorder="1" applyAlignment="1">
      <alignment horizontal="left" vertical="center" wrapText="1"/>
    </xf>
    <xf numFmtId="49" fontId="232" fillId="0" borderId="84" xfId="0" applyNumberFormat="1" applyFont="1" applyBorder="1" applyAlignment="1">
      <alignment horizontal="left" vertical="center" wrapText="1"/>
    </xf>
    <xf numFmtId="0" fontId="232" fillId="0" borderId="29" xfId="0" applyFont="1" applyBorder="1" applyAlignment="1">
      <alignment horizontal="left" vertical="center" wrapText="1"/>
    </xf>
    <xf numFmtId="0" fontId="232" fillId="0" borderId="83" xfId="0" applyFont="1" applyBorder="1" applyAlignment="1">
      <alignment horizontal="left" vertical="center" wrapText="1"/>
    </xf>
    <xf numFmtId="0" fontId="110" fillId="0" borderId="84" xfId="0" applyFont="1" applyBorder="1" applyAlignment="1">
      <alignment horizontal="left" vertical="center"/>
    </xf>
    <xf numFmtId="0" fontId="110" fillId="0" borderId="29" xfId="0" applyFont="1" applyBorder="1" applyAlignment="1">
      <alignment horizontal="left" vertical="center"/>
    </xf>
    <xf numFmtId="0" fontId="110" fillId="0" borderId="83" xfId="0" applyFont="1" applyBorder="1" applyAlignment="1">
      <alignment horizontal="left" vertical="center"/>
    </xf>
    <xf numFmtId="0" fontId="232" fillId="0" borderId="84" xfId="0" applyFont="1" applyBorder="1" applyAlignment="1">
      <alignment horizontal="left" vertical="center" wrapText="1"/>
    </xf>
    <xf numFmtId="0" fontId="231" fillId="0" borderId="65" xfId="0" applyFont="1" applyBorder="1" applyAlignment="1">
      <alignment vertical="center"/>
    </xf>
    <xf numFmtId="0" fontId="110" fillId="0" borderId="63" xfId="0" applyFont="1" applyBorder="1" applyAlignment="1">
      <alignment vertical="center"/>
    </xf>
    <xf numFmtId="0" fontId="110" fillId="0" borderId="64" xfId="0" applyFont="1" applyBorder="1" applyAlignment="1">
      <alignment vertical="center"/>
    </xf>
    <xf numFmtId="182" fontId="110" fillId="8" borderId="153" xfId="1" applyNumberFormat="1" applyFont="1" applyFill="1" applyBorder="1" applyAlignment="1">
      <alignment horizontal="left" vertical="center"/>
    </xf>
    <xf numFmtId="182" fontId="232" fillId="0" borderId="155" xfId="1" applyNumberFormat="1" applyFont="1" applyFill="1" applyBorder="1" applyAlignment="1">
      <alignment horizontal="left" vertical="center"/>
    </xf>
    <xf numFmtId="182" fontId="232" fillId="0" borderId="152" xfId="1" applyNumberFormat="1" applyFont="1" applyFill="1" applyBorder="1" applyAlignment="1">
      <alignment horizontal="left" vertical="center"/>
    </xf>
    <xf numFmtId="182" fontId="110" fillId="8" borderId="159" xfId="1" applyNumberFormat="1" applyFont="1" applyFill="1" applyBorder="1" applyAlignment="1">
      <alignment horizontal="left" vertical="center"/>
    </xf>
    <xf numFmtId="0" fontId="110" fillId="0" borderId="0" xfId="0" applyFont="1" applyAlignment="1">
      <alignment horizontal="right" vertical="center"/>
    </xf>
    <xf numFmtId="4" fontId="110" fillId="0" borderId="0" xfId="0" applyNumberFormat="1" applyFont="1" applyAlignment="1">
      <alignment horizontal="right" vertical="center"/>
    </xf>
    <xf numFmtId="49" fontId="110" fillId="0" borderId="0" xfId="0" applyNumberFormat="1" applyFont="1" applyAlignment="1">
      <alignment horizontal="center" vertical="center"/>
    </xf>
    <xf numFmtId="0" fontId="110" fillId="16" borderId="0" xfId="0" applyFont="1" applyFill="1" applyAlignment="1">
      <alignment vertical="center"/>
    </xf>
    <xf numFmtId="182" fontId="110" fillId="8" borderId="46" xfId="1" applyNumberFormat="1" applyFont="1" applyFill="1" applyBorder="1" applyAlignment="1">
      <alignment horizontal="left" vertical="center"/>
    </xf>
    <xf numFmtId="182" fontId="232" fillId="0" borderId="168" xfId="1" applyNumberFormat="1" applyFont="1" applyFill="1" applyBorder="1" applyAlignment="1">
      <alignment horizontal="left" vertical="center"/>
    </xf>
    <xf numFmtId="182" fontId="232" fillId="0" borderId="0" xfId="1" applyNumberFormat="1" applyFont="1" applyFill="1" applyBorder="1" applyAlignment="1">
      <alignment horizontal="left" vertical="center"/>
    </xf>
    <xf numFmtId="182" fontId="232" fillId="0" borderId="52" xfId="1" applyNumberFormat="1" applyFont="1" applyFill="1" applyBorder="1" applyAlignment="1">
      <alignment horizontal="left" vertical="center"/>
    </xf>
    <xf numFmtId="0" fontId="231" fillId="25" borderId="0" xfId="0" applyFont="1" applyFill="1"/>
    <xf numFmtId="0" fontId="111" fillId="0" borderId="248" xfId="0" applyFont="1" applyBorder="1" applyAlignment="1">
      <alignment horizontal="left" wrapText="1"/>
    </xf>
    <xf numFmtId="0" fontId="111" fillId="0" borderId="73" xfId="0" applyFont="1" applyBorder="1" applyAlignment="1">
      <alignment horizontal="left" wrapText="1"/>
    </xf>
    <xf numFmtId="0" fontId="111" fillId="0" borderId="74" xfId="0" applyFont="1" applyBorder="1" applyAlignment="1">
      <alignment horizontal="left" wrapText="1"/>
    </xf>
    <xf numFmtId="0" fontId="111" fillId="0" borderId="249" xfId="0" applyFont="1" applyBorder="1" applyAlignment="1">
      <alignment horizontal="left" wrapText="1"/>
    </xf>
    <xf numFmtId="0" fontId="111" fillId="0" borderId="0" xfId="0" applyFont="1" applyAlignment="1">
      <alignment horizontal="left" wrapText="1"/>
    </xf>
    <xf numFmtId="0" fontId="111" fillId="0" borderId="91" xfId="0" applyFont="1" applyBorder="1" applyAlignment="1">
      <alignment horizontal="left" wrapText="1"/>
    </xf>
    <xf numFmtId="0" fontId="233" fillId="0" borderId="90" xfId="0" applyFont="1" applyBorder="1" applyAlignment="1">
      <alignment horizontal="center" shrinkToFit="1"/>
    </xf>
    <xf numFmtId="0" fontId="233" fillId="0" borderId="0" xfId="0" applyFont="1" applyAlignment="1">
      <alignment horizontal="center" shrinkToFit="1"/>
    </xf>
    <xf numFmtId="0" fontId="233" fillId="0" borderId="91" xfId="0" applyFont="1" applyBorder="1" applyAlignment="1">
      <alignment horizontal="center" shrinkToFit="1"/>
    </xf>
    <xf numFmtId="0" fontId="116" fillId="0" borderId="90" xfId="0" applyFont="1" applyBorder="1" applyAlignment="1">
      <alignment horizontal="center" wrapText="1"/>
    </xf>
    <xf numFmtId="0" fontId="116" fillId="0" borderId="0" xfId="0" applyFont="1" applyAlignment="1">
      <alignment horizontal="center" wrapText="1"/>
    </xf>
    <xf numFmtId="0" fontId="111" fillId="0" borderId="168" xfId="0" applyFont="1" applyBorder="1" applyAlignment="1">
      <alignment horizontal="center" vertical="center"/>
    </xf>
    <xf numFmtId="0" fontId="233" fillId="0" borderId="29" xfId="0" applyFont="1" applyBorder="1" applyAlignment="1">
      <alignment horizontal="left" vertical="center"/>
    </xf>
    <xf numFmtId="0" fontId="233" fillId="0" borderId="84" xfId="0" applyFont="1" applyBorder="1" applyAlignment="1">
      <alignment horizontal="center" shrinkToFit="1"/>
    </xf>
    <xf numFmtId="0" fontId="233" fillId="0" borderId="29" xfId="0" applyFont="1" applyBorder="1" applyAlignment="1">
      <alignment horizontal="center" shrinkToFit="1"/>
    </xf>
    <xf numFmtId="0" fontId="233" fillId="0" borderId="83" xfId="0" applyFont="1" applyBorder="1" applyAlignment="1">
      <alignment horizontal="center" shrinkToFit="1"/>
    </xf>
    <xf numFmtId="0" fontId="116" fillId="0" borderId="84" xfId="0" applyFont="1" applyBorder="1" applyAlignment="1">
      <alignment horizontal="center" wrapText="1"/>
    </xf>
    <xf numFmtId="0" fontId="116" fillId="0" borderId="29" xfId="0" applyFont="1" applyBorder="1" applyAlignment="1">
      <alignment horizontal="center" wrapText="1"/>
    </xf>
    <xf numFmtId="0" fontId="116" fillId="0" borderId="168" xfId="0" applyFont="1" applyBorder="1" applyAlignment="1">
      <alignment vertical="center"/>
    </xf>
    <xf numFmtId="49" fontId="98" fillId="0" borderId="73" xfId="0" applyNumberFormat="1" applyFont="1" applyBorder="1" applyAlignment="1">
      <alignment horizontal="left" shrinkToFit="1"/>
    </xf>
    <xf numFmtId="49" fontId="98" fillId="0" borderId="74" xfId="0" applyNumberFormat="1" applyFont="1" applyBorder="1" applyAlignment="1">
      <alignment horizontal="left" shrinkToFit="1"/>
    </xf>
    <xf numFmtId="49" fontId="98" fillId="0" borderId="29" xfId="0" applyNumberFormat="1" applyFont="1" applyBorder="1" applyAlignment="1">
      <alignment horizontal="left" shrinkToFit="1"/>
    </xf>
    <xf numFmtId="49" fontId="98" fillId="0" borderId="83" xfId="0" applyNumberFormat="1" applyFont="1" applyBorder="1" applyAlignment="1">
      <alignment horizontal="left" shrinkToFit="1"/>
    </xf>
    <xf numFmtId="0" fontId="98" fillId="0" borderId="74" xfId="0" applyFont="1" applyBorder="1" applyAlignment="1">
      <alignment horizontal="left" shrinkToFit="1"/>
    </xf>
    <xf numFmtId="0" fontId="98" fillId="0" borderId="29" xfId="0" applyFont="1" applyBorder="1" applyAlignment="1">
      <alignment horizontal="left" shrinkToFit="1"/>
    </xf>
    <xf numFmtId="0" fontId="98" fillId="0" borderId="83" xfId="0" applyFont="1" applyBorder="1" applyAlignment="1">
      <alignment horizontal="left" shrinkToFit="1"/>
    </xf>
    <xf numFmtId="0" fontId="234" fillId="0" borderId="73" xfId="0" applyFont="1" applyBorder="1" applyAlignment="1">
      <alignment horizontal="center" vertical="center"/>
    </xf>
    <xf numFmtId="0" fontId="117" fillId="0" borderId="73" xfId="0" applyFont="1" applyBorder="1" applyAlignment="1">
      <alignment vertical="center"/>
    </xf>
    <xf numFmtId="0" fontId="111" fillId="9" borderId="43" xfId="0" applyFont="1" applyFill="1" applyBorder="1" applyAlignment="1">
      <alignment horizontal="center" vertical="center" wrapText="1" shrinkToFit="1"/>
    </xf>
    <xf numFmtId="0" fontId="111" fillId="9" borderId="65" xfId="0" applyFont="1" applyFill="1" applyBorder="1" applyAlignment="1">
      <alignment horizontal="left" vertical="center" wrapText="1" shrinkToFit="1"/>
    </xf>
    <xf numFmtId="0" fontId="111" fillId="9" borderId="63" xfId="0" applyFont="1" applyFill="1" applyBorder="1" applyAlignment="1">
      <alignment horizontal="left" vertical="center" wrapText="1" shrinkToFit="1"/>
    </xf>
    <xf numFmtId="0" fontId="111" fillId="9" borderId="64" xfId="0" applyFont="1" applyFill="1" applyBorder="1" applyAlignment="1">
      <alignment horizontal="left" vertical="center" wrapText="1" shrinkToFit="1"/>
    </xf>
    <xf numFmtId="0" fontId="112" fillId="9" borderId="43" xfId="0" applyFont="1" applyFill="1" applyBorder="1" applyAlignment="1">
      <alignment horizontal="center" vertical="center" wrapText="1" shrinkToFit="1"/>
    </xf>
    <xf numFmtId="0" fontId="110" fillId="16" borderId="90" xfId="0" applyFont="1" applyFill="1" applyBorder="1"/>
    <xf numFmtId="0" fontId="110" fillId="25" borderId="90" xfId="0" applyFont="1" applyFill="1" applyBorder="1"/>
    <xf numFmtId="43" fontId="115" fillId="0" borderId="65" xfId="1" applyFont="1" applyFill="1" applyBorder="1" applyAlignment="1">
      <alignment horizontal="center" vertical="center" shrinkToFit="1"/>
    </xf>
    <xf numFmtId="0" fontId="110" fillId="0" borderId="0" xfId="0" applyFont="1" applyAlignment="1">
      <alignment horizontal="center" vertical="center" shrinkToFit="1"/>
    </xf>
    <xf numFmtId="0" fontId="115" fillId="0" borderId="0" xfId="0" applyFont="1" applyAlignment="1">
      <alignment horizontal="center" vertical="center" shrinkToFit="1"/>
    </xf>
    <xf numFmtId="187" fontId="110" fillId="0" borderId="0" xfId="0" applyNumberFormat="1" applyFont="1" applyAlignment="1">
      <alignment horizontal="left" vertical="center" shrinkToFit="1"/>
    </xf>
    <xf numFmtId="3" fontId="110" fillId="0" borderId="0" xfId="0" applyNumberFormat="1" applyFont="1" applyAlignment="1">
      <alignment horizontal="right" vertical="center" shrinkToFit="1"/>
    </xf>
    <xf numFmtId="3" fontId="110" fillId="0" borderId="91" xfId="0" applyNumberFormat="1" applyFont="1" applyBorder="1" applyAlignment="1">
      <alignment horizontal="right" vertical="center" shrinkToFit="1"/>
    </xf>
    <xf numFmtId="187" fontId="110" fillId="0" borderId="0" xfId="0" applyNumberFormat="1" applyFont="1" applyAlignment="1">
      <alignment horizontal="right" shrinkToFit="1"/>
    </xf>
    <xf numFmtId="187" fontId="110" fillId="0" borderId="91" xfId="0" applyNumberFormat="1" applyFont="1" applyBorder="1" applyAlignment="1">
      <alignment horizontal="right" shrinkToFit="1"/>
    </xf>
    <xf numFmtId="43" fontId="235" fillId="0" borderId="46" xfId="1" applyFont="1" applyFill="1" applyBorder="1" applyAlignment="1">
      <alignment horizontal="right" vertical="center" shrinkToFit="1"/>
    </xf>
    <xf numFmtId="3" fontId="110" fillId="26" borderId="80" xfId="0" applyNumberFormat="1" applyFont="1" applyFill="1" applyBorder="1" applyAlignment="1">
      <alignment horizontal="right" vertical="center" shrinkToFit="1"/>
    </xf>
    <xf numFmtId="3" fontId="110" fillId="26" borderId="78" xfId="0" applyNumberFormat="1" applyFont="1" applyFill="1" applyBorder="1" applyAlignment="1">
      <alignment horizontal="right" vertical="center" shrinkToFit="1"/>
    </xf>
    <xf numFmtId="3" fontId="110" fillId="26" borderId="79" xfId="0" applyNumberFormat="1" applyFont="1" applyFill="1" applyBorder="1" applyAlignment="1">
      <alignment horizontal="right" vertical="center" shrinkToFit="1"/>
    </xf>
    <xf numFmtId="10" fontId="110" fillId="0" borderId="65" xfId="0" applyNumberFormat="1" applyFont="1" applyBorder="1" applyAlignment="1">
      <alignment horizontal="right" vertical="center" shrinkToFit="1"/>
    </xf>
    <xf numFmtId="10" fontId="110" fillId="0" borderId="63" xfId="0" applyNumberFormat="1" applyFont="1" applyBorder="1" applyAlignment="1">
      <alignment horizontal="right" vertical="center" shrinkToFit="1"/>
    </xf>
    <xf numFmtId="10" fontId="110" fillId="0" borderId="64" xfId="0" applyNumberFormat="1" applyFont="1" applyBorder="1" applyAlignment="1">
      <alignment horizontal="right" vertical="center" shrinkToFit="1"/>
    </xf>
    <xf numFmtId="43" fontId="235" fillId="0" borderId="43" xfId="1" applyFont="1" applyFill="1" applyBorder="1" applyAlignment="1">
      <alignment horizontal="right" vertical="center" shrinkToFit="1"/>
    </xf>
    <xf numFmtId="0" fontId="110" fillId="0" borderId="90" xfId="0" applyFont="1" applyBorder="1" applyAlignment="1">
      <alignment horizontal="center" vertical="center" shrinkToFit="1"/>
    </xf>
    <xf numFmtId="0" fontId="112" fillId="0" borderId="75" xfId="0" applyFont="1" applyBorder="1" applyAlignment="1">
      <alignment horizontal="center" vertical="center" textRotation="90" shrinkToFit="1"/>
    </xf>
    <xf numFmtId="0" fontId="112" fillId="0" borderId="74" xfId="0" applyFont="1" applyBorder="1" applyAlignment="1">
      <alignment horizontal="center" vertical="center" textRotation="90" shrinkToFit="1"/>
    </xf>
    <xf numFmtId="0" fontId="112" fillId="0" borderId="90" xfId="0" applyFont="1" applyBorder="1" applyAlignment="1">
      <alignment horizontal="center" vertical="center" textRotation="90" shrinkToFit="1"/>
    </xf>
    <xf numFmtId="0" fontId="112" fillId="0" borderId="91" xfId="0" applyFont="1" applyBorder="1" applyAlignment="1">
      <alignment horizontal="center" vertical="center" textRotation="90" shrinkToFit="1"/>
    </xf>
    <xf numFmtId="0" fontId="111" fillId="0" borderId="90" xfId="0" applyFont="1" applyBorder="1" applyAlignment="1">
      <alignment horizontal="left" wrapText="1"/>
    </xf>
    <xf numFmtId="0" fontId="111" fillId="0" borderId="90" xfId="0" applyFont="1" applyBorder="1" applyAlignment="1">
      <alignment horizontal="center" wrapText="1"/>
    </xf>
    <xf numFmtId="0" fontId="111" fillId="0" borderId="0" xfId="0" applyFont="1" applyAlignment="1">
      <alignment horizontal="center" wrapText="1"/>
    </xf>
    <xf numFmtId="0" fontId="111" fillId="0" borderId="91" xfId="0" applyFont="1" applyBorder="1" applyAlignment="1">
      <alignment horizontal="center" wrapText="1"/>
    </xf>
    <xf numFmtId="0" fontId="111" fillId="0" borderId="84" xfId="0" applyFont="1" applyBorder="1" applyAlignment="1">
      <alignment horizontal="left" wrapText="1"/>
    </xf>
    <xf numFmtId="0" fontId="111" fillId="0" borderId="29" xfId="0" applyFont="1" applyBorder="1" applyAlignment="1">
      <alignment horizontal="left" wrapText="1"/>
    </xf>
    <xf numFmtId="0" fontId="111" fillId="0" borderId="83" xfId="0" applyFont="1" applyBorder="1" applyAlignment="1">
      <alignment horizontal="left" wrapText="1"/>
    </xf>
    <xf numFmtId="0" fontId="111" fillId="0" borderId="84" xfId="0" applyFont="1" applyBorder="1" applyAlignment="1">
      <alignment horizontal="center" wrapText="1"/>
    </xf>
    <xf numFmtId="0" fontId="111" fillId="0" borderId="29" xfId="0" applyFont="1" applyBorder="1" applyAlignment="1">
      <alignment horizontal="center" wrapText="1"/>
    </xf>
    <xf numFmtId="0" fontId="111" fillId="0" borderId="83" xfId="0" applyFont="1" applyBorder="1" applyAlignment="1">
      <alignment horizontal="center" wrapText="1"/>
    </xf>
    <xf numFmtId="0" fontId="111" fillId="0" borderId="84" xfId="0" applyFont="1" applyBorder="1" applyAlignment="1">
      <alignment horizontal="center" vertical="center"/>
    </xf>
    <xf numFmtId="0" fontId="112" fillId="0" borderId="84" xfId="0" applyFont="1" applyBorder="1" applyAlignment="1">
      <alignment horizontal="center" vertical="center" textRotation="90" shrinkToFit="1"/>
    </xf>
    <xf numFmtId="0" fontId="112" fillId="0" borderId="83" xfId="0" applyFont="1" applyBorder="1" applyAlignment="1">
      <alignment horizontal="center" vertical="center" textRotation="90" shrinkToFit="1"/>
    </xf>
    <xf numFmtId="0" fontId="113" fillId="0" borderId="73" xfId="0" applyFont="1" applyBorder="1" applyAlignment="1">
      <alignment horizontal="center" vertical="center"/>
    </xf>
    <xf numFmtId="0" fontId="110" fillId="0" borderId="168" xfId="0" applyFont="1" applyBorder="1" applyAlignment="1">
      <alignment horizontal="center" vertical="center"/>
    </xf>
    <xf numFmtId="0" fontId="110" fillId="9" borderId="52" xfId="0" applyFont="1" applyFill="1" applyBorder="1" applyAlignment="1">
      <alignment horizontal="center" vertical="center" wrapText="1" shrinkToFit="1"/>
    </xf>
    <xf numFmtId="0" fontId="110" fillId="9" borderId="84" xfId="0" applyFont="1" applyFill="1" applyBorder="1" applyAlignment="1">
      <alignment horizontal="left" vertical="center" wrapText="1" shrinkToFit="1"/>
    </xf>
    <xf numFmtId="0" fontId="110" fillId="9" borderId="29" xfId="0" applyFont="1" applyFill="1" applyBorder="1" applyAlignment="1">
      <alignment horizontal="left" vertical="center" wrapText="1" shrinkToFit="1"/>
    </xf>
    <xf numFmtId="0" fontId="110" fillId="9" borderId="83" xfId="0" applyFont="1" applyFill="1" applyBorder="1" applyAlignment="1">
      <alignment horizontal="left" vertical="center" wrapText="1" shrinkToFit="1"/>
    </xf>
    <xf numFmtId="0" fontId="112" fillId="9" borderId="52" xfId="0" applyFont="1" applyFill="1" applyBorder="1" applyAlignment="1">
      <alignment horizontal="center" vertical="center" wrapText="1" shrinkToFit="1"/>
    </xf>
    <xf numFmtId="0" fontId="110" fillId="0" borderId="168" xfId="0" applyFont="1" applyBorder="1"/>
    <xf numFmtId="43" fontId="110" fillId="0" borderId="65" xfId="1" applyFont="1" applyFill="1" applyBorder="1" applyAlignment="1">
      <alignment horizontal="center" vertical="center" shrinkToFit="1"/>
    </xf>
    <xf numFmtId="43" fontId="110" fillId="0" borderId="63" xfId="1" applyFont="1" applyFill="1" applyBorder="1" applyAlignment="1">
      <alignment horizontal="center" vertical="center" shrinkToFit="1"/>
    </xf>
    <xf numFmtId="43" fontId="110" fillId="0" borderId="64" xfId="1" applyFont="1" applyFill="1" applyBorder="1" applyAlignment="1">
      <alignment horizontal="center" vertical="center" shrinkToFit="1"/>
    </xf>
    <xf numFmtId="0" fontId="110" fillId="16" borderId="168" xfId="0" applyFont="1" applyFill="1" applyBorder="1"/>
    <xf numFmtId="0" fontId="110" fillId="25" borderId="52" xfId="0" applyFont="1" applyFill="1" applyBorder="1"/>
    <xf numFmtId="0" fontId="111" fillId="0" borderId="75" xfId="0" applyFont="1" applyBorder="1"/>
    <xf numFmtId="0" fontId="110" fillId="0" borderId="75" xfId="0" applyFont="1" applyBorder="1" applyAlignment="1">
      <alignment horizontal="center" vertical="center" textRotation="90"/>
    </xf>
    <xf numFmtId="0" fontId="110" fillId="0" borderId="73" xfId="0" applyFont="1" applyBorder="1" applyAlignment="1">
      <alignment horizontal="center" vertical="center" textRotation="90"/>
    </xf>
    <xf numFmtId="0" fontId="110" fillId="0" borderId="74" xfId="0" applyFont="1" applyBorder="1" applyAlignment="1">
      <alignment horizontal="center" vertical="center" textRotation="90"/>
    </xf>
    <xf numFmtId="0" fontId="110" fillId="0" borderId="65" xfId="0" applyFont="1" applyBorder="1"/>
    <xf numFmtId="0" fontId="111" fillId="0" borderId="75" xfId="0" applyFont="1" applyBorder="1" applyAlignment="1">
      <alignment vertical="center" wrapText="1" shrinkToFit="1"/>
    </xf>
    <xf numFmtId="0" fontId="111" fillId="0" borderId="73" xfId="0" applyFont="1" applyBorder="1" applyAlignment="1">
      <alignment vertical="center" wrapText="1" shrinkToFit="1"/>
    </xf>
    <xf numFmtId="0" fontId="111" fillId="0" borderId="74" xfId="0" applyFont="1" applyBorder="1" applyAlignment="1">
      <alignment vertical="center" wrapText="1" shrinkToFit="1"/>
    </xf>
    <xf numFmtId="0" fontId="110" fillId="0" borderId="90" xfId="0" applyFont="1" applyBorder="1" applyAlignment="1">
      <alignment horizontal="center" vertical="center" textRotation="90"/>
    </xf>
    <xf numFmtId="0" fontId="110" fillId="0" borderId="0" xfId="0" applyFont="1" applyAlignment="1">
      <alignment horizontal="center" vertical="center" textRotation="90"/>
    </xf>
    <xf numFmtId="0" fontId="110" fillId="0" borderId="91" xfId="0" applyFont="1" applyBorder="1" applyAlignment="1">
      <alignment horizontal="center" vertical="center" textRotation="90"/>
    </xf>
    <xf numFmtId="0" fontId="110" fillId="0" borderId="90" xfId="0" applyFont="1" applyBorder="1" applyAlignment="1">
      <alignment horizontal="center" vertical="center" wrapText="1" shrinkToFit="1"/>
    </xf>
    <xf numFmtId="0" fontId="110" fillId="0" borderId="0" xfId="0" applyFont="1" applyAlignment="1">
      <alignment horizontal="center" vertical="center" wrapText="1" shrinkToFit="1"/>
    </xf>
    <xf numFmtId="0" fontId="110" fillId="0" borderId="91" xfId="0" applyFont="1" applyBorder="1" applyAlignment="1">
      <alignment horizontal="center" vertical="center" wrapText="1" shrinkToFit="1"/>
    </xf>
    <xf numFmtId="0" fontId="110" fillId="0" borderId="84" xfId="0" applyFont="1" applyBorder="1" applyAlignment="1">
      <alignment horizontal="center" vertical="center" wrapText="1" shrinkToFit="1"/>
    </xf>
    <xf numFmtId="0" fontId="110" fillId="0" borderId="29" xfId="0" applyFont="1" applyBorder="1" applyAlignment="1">
      <alignment horizontal="center" vertical="center" wrapText="1" shrinkToFit="1"/>
    </xf>
    <xf numFmtId="0" fontId="110" fillId="0" borderId="83" xfId="0" applyFont="1" applyBorder="1" applyAlignment="1">
      <alignment horizontal="center" vertical="center" wrapText="1" shrinkToFit="1"/>
    </xf>
    <xf numFmtId="0" fontId="110" fillId="0" borderId="84" xfId="0" applyFont="1" applyBorder="1" applyAlignment="1">
      <alignment horizontal="center" vertical="center" textRotation="90"/>
    </xf>
    <xf numFmtId="0" fontId="110" fillId="0" borderId="29" xfId="0" applyFont="1" applyBorder="1" applyAlignment="1">
      <alignment horizontal="center" vertical="center" textRotation="90"/>
    </xf>
    <xf numFmtId="0" fontId="110" fillId="0" borderId="83" xfId="0" applyFont="1" applyBorder="1" applyAlignment="1">
      <alignment horizontal="center" vertical="center" textRotation="90"/>
    </xf>
    <xf numFmtId="0" fontId="111" fillId="0" borderId="91" xfId="0" applyFont="1" applyBorder="1" applyAlignment="1">
      <alignment vertical="center"/>
    </xf>
    <xf numFmtId="0" fontId="22" fillId="26" borderId="46" xfId="0" applyFont="1" applyFill="1" applyBorder="1" applyAlignment="1">
      <alignment horizontal="center"/>
    </xf>
    <xf numFmtId="0" fontId="22" fillId="26" borderId="75" xfId="0" applyFont="1" applyFill="1" applyBorder="1" applyAlignment="1">
      <alignment horizontal="center"/>
    </xf>
    <xf numFmtId="0" fontId="22" fillId="26" borderId="73" xfId="0" applyFont="1" applyFill="1" applyBorder="1" applyAlignment="1">
      <alignment horizontal="center"/>
    </xf>
    <xf numFmtId="0" fontId="22" fillId="26" borderId="74" xfId="0" applyFont="1" applyFill="1" applyBorder="1" applyAlignment="1">
      <alignment horizontal="center"/>
    </xf>
    <xf numFmtId="0" fontId="11" fillId="26" borderId="46" xfId="0" applyFont="1" applyFill="1" applyBorder="1" applyAlignment="1">
      <alignment horizontal="center"/>
    </xf>
    <xf numFmtId="0" fontId="11" fillId="26" borderId="168" xfId="0" applyFont="1" applyFill="1" applyBorder="1" applyAlignment="1">
      <alignment horizontal="left" vertical="center"/>
    </xf>
    <xf numFmtId="0" fontId="11" fillId="26" borderId="90" xfId="0" applyFont="1" applyFill="1" applyBorder="1" applyAlignment="1">
      <alignment horizontal="center" vertical="center"/>
    </xf>
    <xf numFmtId="0" fontId="11" fillId="26" borderId="0" xfId="0" applyFont="1" applyFill="1" applyAlignment="1">
      <alignment horizontal="center" vertical="center"/>
    </xf>
    <xf numFmtId="0" fontId="11" fillId="26" borderId="91" xfId="0" applyFont="1" applyFill="1" applyBorder="1" applyAlignment="1">
      <alignment horizontal="center" vertical="center"/>
    </xf>
    <xf numFmtId="0" fontId="4" fillId="26" borderId="46" xfId="0" applyFont="1" applyFill="1" applyBorder="1" applyAlignment="1">
      <alignment horizontal="center" vertical="center"/>
    </xf>
    <xf numFmtId="0" fontId="11" fillId="26" borderId="168" xfId="0" applyFont="1" applyFill="1" applyBorder="1" applyAlignment="1">
      <alignment horizontal="center"/>
    </xf>
    <xf numFmtId="0" fontId="11" fillId="26" borderId="52" xfId="0" applyFont="1" applyFill="1" applyBorder="1" applyAlignment="1">
      <alignment horizontal="left"/>
    </xf>
    <xf numFmtId="0" fontId="11" fillId="26" borderId="84" xfId="0" applyFont="1" applyFill="1" applyBorder="1" applyAlignment="1">
      <alignment horizontal="center"/>
    </xf>
    <xf numFmtId="0" fontId="11" fillId="26" borderId="29" xfId="0" applyFont="1" applyFill="1" applyBorder="1" applyAlignment="1">
      <alignment horizontal="center"/>
    </xf>
    <xf numFmtId="0" fontId="11" fillId="26" borderId="83" xfId="0" applyFont="1" applyFill="1" applyBorder="1" applyAlignment="1">
      <alignment horizontal="center"/>
    </xf>
    <xf numFmtId="0" fontId="11" fillId="26" borderId="52" xfId="0" applyFont="1" applyFill="1" applyBorder="1" applyAlignment="1">
      <alignment horizontal="center"/>
    </xf>
    <xf numFmtId="0" fontId="11" fillId="26" borderId="43" xfId="0" applyFont="1" applyFill="1" applyBorder="1" applyAlignment="1">
      <alignment horizontal="right"/>
    </xf>
    <xf numFmtId="0" fontId="11" fillId="26" borderId="65" xfId="0" applyFont="1" applyFill="1" applyBorder="1"/>
    <xf numFmtId="0" fontId="11" fillId="26" borderId="63" xfId="0" applyFont="1" applyFill="1" applyBorder="1"/>
    <xf numFmtId="0" fontId="11" fillId="26" borderId="63" xfId="0" applyFont="1" applyFill="1" applyBorder="1" applyAlignment="1">
      <alignment horizontal="center"/>
    </xf>
    <xf numFmtId="0" fontId="11" fillId="26" borderId="64" xfId="0" applyFont="1" applyFill="1" applyBorder="1" applyAlignment="1">
      <alignment horizontal="center"/>
    </xf>
    <xf numFmtId="182" fontId="4" fillId="26" borderId="43" xfId="1" applyNumberFormat="1" applyFont="1" applyFill="1" applyBorder="1" applyAlignment="1">
      <alignment horizontal="center"/>
    </xf>
    <xf numFmtId="0" fontId="4" fillId="8" borderId="65" xfId="0" applyFont="1" applyFill="1" applyBorder="1" applyAlignment="1">
      <alignment horizontal="center"/>
    </xf>
    <xf numFmtId="0" fontId="4" fillId="8" borderId="63" xfId="0" applyFont="1" applyFill="1" applyBorder="1" applyAlignment="1">
      <alignment horizontal="center"/>
    </xf>
    <xf numFmtId="0" fontId="4" fillId="8" borderId="64" xfId="0" applyFont="1" applyFill="1" applyBorder="1" applyAlignment="1">
      <alignment horizontal="center"/>
    </xf>
    <xf numFmtId="0" fontId="4" fillId="8" borderId="75" xfId="0" applyFont="1" applyFill="1" applyBorder="1" applyAlignment="1">
      <alignment horizontal="center"/>
    </xf>
    <xf numFmtId="0" fontId="4" fillId="8" borderId="73" xfId="0" applyFont="1" applyFill="1" applyBorder="1" applyAlignment="1">
      <alignment horizontal="center"/>
    </xf>
    <xf numFmtId="0" fontId="4" fillId="8" borderId="74" xfId="0" applyFont="1" applyFill="1" applyBorder="1" applyAlignment="1">
      <alignment horizontal="center"/>
    </xf>
    <xf numFmtId="0" fontId="4" fillId="8" borderId="90" xfId="0" applyFont="1" applyFill="1" applyBorder="1" applyAlignment="1">
      <alignment horizontal="center"/>
    </xf>
    <xf numFmtId="0" fontId="4" fillId="8" borderId="0" xfId="0" applyFont="1" applyFill="1" applyAlignment="1">
      <alignment horizontal="center"/>
    </xf>
    <xf numFmtId="0" fontId="4" fillId="8" borderId="91" xfId="0" applyFont="1" applyFill="1" applyBorder="1" applyAlignment="1">
      <alignment horizontal="center"/>
    </xf>
    <xf numFmtId="0" fontId="4" fillId="8" borderId="84" xfId="0" applyFont="1" applyFill="1" applyBorder="1" applyAlignment="1">
      <alignment horizontal="center"/>
    </xf>
    <xf numFmtId="0" fontId="4" fillId="8" borderId="29" xfId="0" applyFont="1" applyFill="1" applyBorder="1" applyAlignment="1">
      <alignment horizontal="center"/>
    </xf>
    <xf numFmtId="0" fontId="4" fillId="8" borderId="83" xfId="0" applyFont="1" applyFill="1" applyBorder="1" applyAlignment="1">
      <alignment horizontal="center"/>
    </xf>
    <xf numFmtId="0" fontId="11" fillId="26" borderId="64" xfId="0" applyFont="1" applyFill="1" applyBorder="1"/>
    <xf numFmtId="0" fontId="4" fillId="8" borderId="43" xfId="0" applyFont="1" applyFill="1" applyBorder="1" applyAlignment="1">
      <alignment horizontal="center"/>
    </xf>
    <xf numFmtId="0" fontId="236" fillId="26" borderId="65" xfId="0" applyFont="1" applyFill="1" applyBorder="1" applyAlignment="1">
      <alignment horizontal="left" wrapText="1"/>
    </xf>
    <xf numFmtId="0" fontId="236" fillId="26" borderId="63" xfId="0" applyFont="1" applyFill="1" applyBorder="1" applyAlignment="1">
      <alignment horizontal="left" wrapText="1"/>
    </xf>
    <xf numFmtId="0" fontId="236" fillId="26" borderId="64" xfId="0" applyFont="1" applyFill="1" applyBorder="1" applyAlignment="1">
      <alignment horizontal="left" wrapText="1"/>
    </xf>
    <xf numFmtId="182" fontId="237" fillId="26" borderId="43" xfId="1" applyNumberFormat="1" applyFont="1" applyFill="1" applyBorder="1" applyAlignment="1">
      <alignment horizontal="center"/>
    </xf>
    <xf numFmtId="0" fontId="11" fillId="26" borderId="65" xfId="0" applyFont="1" applyFill="1" applyBorder="1" applyAlignment="1">
      <alignment horizontal="left" wrapText="1"/>
    </xf>
    <xf numFmtId="0" fontId="11" fillId="26" borderId="63" xfId="0" applyFont="1" applyFill="1" applyBorder="1" applyAlignment="1">
      <alignment horizontal="left" wrapText="1"/>
    </xf>
    <xf numFmtId="0" fontId="11" fillId="26" borderId="64" xfId="0" applyFont="1" applyFill="1" applyBorder="1" applyAlignment="1">
      <alignment horizontal="left" wrapText="1"/>
    </xf>
    <xf numFmtId="182" fontId="4" fillId="0" borderId="43" xfId="0" applyNumberFormat="1" applyFont="1" applyBorder="1" applyAlignment="1">
      <alignment horizontal="center"/>
    </xf>
    <xf numFmtId="0" fontId="4" fillId="0" borderId="43" xfId="0" applyFont="1" applyBorder="1" applyAlignment="1">
      <alignment horizontal="center"/>
    </xf>
    <xf numFmtId="0" fontId="115" fillId="0" borderId="75" xfId="0" applyFont="1" applyBorder="1" applyAlignment="1">
      <alignment vertical="center" textRotation="90"/>
    </xf>
    <xf numFmtId="0" fontId="116" fillId="0" borderId="73" xfId="0" applyFont="1" applyBorder="1" applyAlignment="1">
      <alignment horizontal="left" wrapText="1"/>
    </xf>
    <xf numFmtId="0" fontId="116" fillId="0" borderId="74" xfId="0" applyFont="1" applyBorder="1" applyAlignment="1">
      <alignment horizontal="left" wrapText="1"/>
    </xf>
    <xf numFmtId="0" fontId="115" fillId="0" borderId="90" xfId="0" applyFont="1" applyBorder="1" applyAlignment="1">
      <alignment vertical="center" textRotation="90"/>
    </xf>
    <xf numFmtId="0" fontId="116" fillId="0" borderId="91" xfId="0" applyFont="1" applyBorder="1" applyAlignment="1">
      <alignment horizontal="left" wrapText="1"/>
    </xf>
    <xf numFmtId="0" fontId="4" fillId="0" borderId="90" xfId="0" applyFont="1" applyBorder="1"/>
    <xf numFmtId="0" fontId="110" fillId="0" borderId="75" xfId="0" applyFont="1" applyBorder="1" applyAlignment="1">
      <alignment horizontal="center" vertical="center" textRotation="90" shrinkToFit="1"/>
    </xf>
    <xf numFmtId="0" fontId="110" fillId="0" borderId="74" xfId="0" applyFont="1" applyBorder="1" applyAlignment="1">
      <alignment horizontal="center" vertical="center" textRotation="90" shrinkToFit="1"/>
    </xf>
    <xf numFmtId="0" fontId="110" fillId="0" borderId="90" xfId="0" applyFont="1" applyBorder="1" applyAlignment="1">
      <alignment horizontal="center" vertical="center" textRotation="90" shrinkToFit="1"/>
    </xf>
    <xf numFmtId="0" fontId="110" fillId="0" borderId="91" xfId="0" applyFont="1" applyBorder="1" applyAlignment="1">
      <alignment horizontal="center" vertical="center" textRotation="90" shrinkToFit="1"/>
    </xf>
    <xf numFmtId="0" fontId="116" fillId="0" borderId="91" xfId="0" applyFont="1" applyBorder="1" applyAlignment="1">
      <alignment horizontal="center" wrapText="1"/>
    </xf>
    <xf numFmtId="0" fontId="116" fillId="0" borderId="83" xfId="0" applyFont="1" applyBorder="1" applyAlignment="1">
      <alignment horizontal="center" wrapText="1"/>
    </xf>
    <xf numFmtId="0" fontId="110" fillId="0" borderId="73" xfId="0" applyFont="1" applyBorder="1" applyAlignment="1">
      <alignment horizontal="center" vertical="top"/>
    </xf>
    <xf numFmtId="0" fontId="110" fillId="0" borderId="74" xfId="0" applyFont="1" applyBorder="1" applyAlignment="1">
      <alignment horizontal="center" vertical="top"/>
    </xf>
    <xf numFmtId="0" fontId="110" fillId="0" borderId="84" xfId="0" applyFont="1" applyBorder="1" applyAlignment="1">
      <alignment horizontal="center" vertical="center" textRotation="90" shrinkToFit="1"/>
    </xf>
    <xf numFmtId="0" fontId="110" fillId="0" borderId="83" xfId="0" applyFont="1" applyBorder="1" applyAlignment="1">
      <alignment horizontal="center" vertical="center" textRotation="90" shrinkToFit="1"/>
    </xf>
    <xf numFmtId="0" fontId="110" fillId="0" borderId="0" xfId="0" applyFont="1" applyAlignment="1">
      <alignment horizontal="center" vertical="top"/>
    </xf>
    <xf numFmtId="0" fontId="110" fillId="0" borderId="91" xfId="0" applyFont="1" applyBorder="1" applyAlignment="1">
      <alignment horizontal="center" vertical="top"/>
    </xf>
    <xf numFmtId="0" fontId="4" fillId="0" borderId="84" xfId="0" applyFont="1" applyBorder="1"/>
    <xf numFmtId="0" fontId="4" fillId="0" borderId="83" xfId="0" applyFont="1" applyBorder="1"/>
    <xf numFmtId="0" fontId="111" fillId="0" borderId="0" xfId="0" applyFont="1" applyAlignment="1">
      <alignment vertical="center"/>
    </xf>
    <xf numFmtId="0" fontId="111" fillId="0" borderId="65" xfId="0" applyFont="1" applyBorder="1"/>
    <xf numFmtId="0" fontId="238" fillId="0" borderId="63" xfId="0" applyFont="1" applyBorder="1" applyAlignment="1">
      <alignment horizontal="left" shrinkToFit="1"/>
    </xf>
    <xf numFmtId="0" fontId="238" fillId="0" borderId="64" xfId="0" applyFont="1" applyBorder="1" applyAlignment="1">
      <alignment horizontal="left" shrinkToFit="1"/>
    </xf>
    <xf numFmtId="0" fontId="239" fillId="0" borderId="90" xfId="0" applyFont="1" applyBorder="1" applyAlignment="1">
      <alignment horizontal="left"/>
    </xf>
    <xf numFmtId="0" fontId="240" fillId="0" borderId="90" xfId="0" applyFont="1" applyBorder="1" applyAlignment="1">
      <alignment horizontal="center" vertical="center" wrapText="1" shrinkToFit="1"/>
    </xf>
    <xf numFmtId="0" fontId="240" fillId="0" borderId="0" xfId="0" applyFont="1" applyAlignment="1">
      <alignment horizontal="center" vertical="center" wrapText="1" shrinkToFit="1"/>
    </xf>
    <xf numFmtId="0" fontId="240" fillId="0" borderId="91" xfId="0" applyFont="1" applyBorder="1" applyAlignment="1">
      <alignment horizontal="center" vertical="center" wrapText="1" shrinkToFit="1"/>
    </xf>
    <xf numFmtId="49" fontId="98" fillId="0" borderId="73" xfId="0" applyNumberFormat="1" applyFont="1" applyBorder="1" applyAlignment="1">
      <alignment horizontal="left" wrapText="1" shrinkToFit="1"/>
    </xf>
    <xf numFmtId="49" fontId="98" fillId="0" borderId="74" xfId="0" applyNumberFormat="1" applyFont="1" applyBorder="1" applyAlignment="1">
      <alignment horizontal="left" wrapText="1" shrinkToFit="1"/>
    </xf>
    <xf numFmtId="49" fontId="98" fillId="0" borderId="29" xfId="0" applyNumberFormat="1" applyFont="1" applyBorder="1" applyAlignment="1">
      <alignment horizontal="left" wrapText="1" shrinkToFit="1"/>
    </xf>
    <xf numFmtId="49" fontId="98" fillId="0" borderId="83" xfId="0" applyNumberFormat="1" applyFont="1" applyBorder="1" applyAlignment="1">
      <alignment horizontal="left" wrapText="1" shrinkToFit="1"/>
    </xf>
    <xf numFmtId="0" fontId="239" fillId="0" borderId="90" xfId="0" applyFont="1" applyBorder="1"/>
    <xf numFmtId="0" fontId="111" fillId="0" borderId="91" xfId="0" applyFont="1" applyBorder="1" applyAlignment="1">
      <alignment horizontal="right"/>
    </xf>
    <xf numFmtId="0" fontId="240" fillId="0" borderId="90" xfId="0" applyFont="1" applyBorder="1" applyAlignment="1">
      <alignment horizontal="center" vertical="center" shrinkToFit="1"/>
    </xf>
    <xf numFmtId="0" fontId="240" fillId="0" borderId="0" xfId="0" applyFont="1" applyAlignment="1">
      <alignment horizontal="center" vertical="center" shrinkToFit="1"/>
    </xf>
    <xf numFmtId="0" fontId="240" fillId="0" borderId="91" xfId="0" applyFont="1" applyBorder="1" applyAlignment="1">
      <alignment horizontal="center" vertical="center" shrinkToFit="1"/>
    </xf>
    <xf numFmtId="0" fontId="98" fillId="0" borderId="73" xfId="0" applyFont="1" applyBorder="1" applyAlignment="1">
      <alignment horizontal="left" wrapText="1" shrinkToFit="1"/>
    </xf>
    <xf numFmtId="0" fontId="98" fillId="0" borderId="74" xfId="0" applyFont="1" applyBorder="1" applyAlignment="1">
      <alignment horizontal="left" wrapText="1" shrinkToFit="1"/>
    </xf>
    <xf numFmtId="0" fontId="98" fillId="0" borderId="29" xfId="0" applyFont="1" applyBorder="1" applyAlignment="1">
      <alignment horizontal="left" wrapText="1" shrinkToFit="1"/>
    </xf>
    <xf numFmtId="0" fontId="98" fillId="0" borderId="83" xfId="0" applyFont="1" applyBorder="1" applyAlignment="1">
      <alignment horizontal="left" wrapText="1" shrinkToFit="1"/>
    </xf>
    <xf numFmtId="0" fontId="239" fillId="0" borderId="84" xfId="0" applyFont="1" applyBorder="1"/>
    <xf numFmtId="0" fontId="111" fillId="0" borderId="83" xfId="0" applyFont="1" applyBorder="1" applyAlignment="1">
      <alignment horizontal="right"/>
    </xf>
    <xf numFmtId="0" fontId="115" fillId="0" borderId="91" xfId="0" applyFont="1" applyBorder="1" applyAlignment="1">
      <alignment vertical="center"/>
    </xf>
    <xf numFmtId="0" fontId="111" fillId="9" borderId="43" xfId="0" applyFont="1" applyFill="1" applyBorder="1" applyAlignment="1">
      <alignment vertical="center"/>
    </xf>
    <xf numFmtId="0" fontId="118" fillId="0" borderId="43" xfId="0" applyFont="1" applyBorder="1" applyAlignment="1">
      <alignment horizontal="center" vertical="center"/>
    </xf>
    <xf numFmtId="0" fontId="118" fillId="0" borderId="65" xfId="0" applyFont="1" applyBorder="1" applyAlignment="1">
      <alignment vertical="center"/>
    </xf>
    <xf numFmtId="0" fontId="118" fillId="0" borderId="63" xfId="0" applyFont="1" applyBorder="1" applyAlignment="1">
      <alignment vertical="center"/>
    </xf>
    <xf numFmtId="0" fontId="118" fillId="0" borderId="63" xfId="0" applyFont="1" applyBorder="1" applyAlignment="1">
      <alignment horizontal="center" vertical="center"/>
    </xf>
    <xf numFmtId="0" fontId="118" fillId="0" borderId="64" xfId="0" applyFont="1" applyBorder="1" applyAlignment="1">
      <alignment horizontal="center" vertical="center"/>
    </xf>
    <xf numFmtId="0" fontId="111" fillId="0" borderId="43" xfId="0" applyFont="1" applyBorder="1" applyAlignment="1">
      <alignment horizontal="right" vertical="center"/>
    </xf>
    <xf numFmtId="0" fontId="111" fillId="0" borderId="65" xfId="0" applyFont="1" applyBorder="1" applyAlignment="1">
      <alignment horizontal="left" vertical="center"/>
    </xf>
    <xf numFmtId="0" fontId="111" fillId="0" borderId="63" xfId="0" applyFont="1" applyBorder="1" applyAlignment="1">
      <alignment horizontal="left" vertical="center"/>
    </xf>
    <xf numFmtId="0" fontId="111" fillId="0" borderId="64" xfId="0" applyFont="1" applyBorder="1" applyAlignment="1">
      <alignment horizontal="left" vertical="center"/>
    </xf>
    <xf numFmtId="0" fontId="241" fillId="0" borderId="43" xfId="0" applyFont="1" applyBorder="1" applyAlignment="1">
      <alignment horizontal="center" vertical="center"/>
    </xf>
    <xf numFmtId="182" fontId="98" fillId="0" borderId="43" xfId="1" applyNumberFormat="1" applyFont="1" applyFill="1" applyBorder="1" applyAlignment="1">
      <alignment horizontal="right" vertical="center"/>
    </xf>
    <xf numFmtId="0" fontId="111" fillId="0" borderId="75" xfId="0" applyFont="1" applyBorder="1" applyAlignment="1">
      <alignment horizontal="right" vertical="top"/>
    </xf>
    <xf numFmtId="0" fontId="111" fillId="0" borderId="74" xfId="0" applyFont="1" applyBorder="1" applyAlignment="1">
      <alignment horizontal="right" vertical="top"/>
    </xf>
    <xf numFmtId="0" fontId="111" fillId="0" borderId="75" xfId="0" applyFont="1" applyBorder="1" applyAlignment="1">
      <alignment horizontal="left" vertical="top" wrapText="1"/>
    </xf>
    <xf numFmtId="0" fontId="111" fillId="0" borderId="73" xfId="0" applyFont="1" applyBorder="1" applyAlignment="1">
      <alignment horizontal="left" vertical="top" wrapText="1"/>
    </xf>
    <xf numFmtId="0" fontId="111" fillId="0" borderId="153" xfId="0" applyFont="1" applyBorder="1" applyAlignment="1">
      <alignment horizontal="center" vertical="center"/>
    </xf>
    <xf numFmtId="0" fontId="111" fillId="0" borderId="163" xfId="0" applyFont="1" applyBorder="1" applyAlignment="1">
      <alignment horizontal="left" vertical="center" shrinkToFit="1"/>
    </xf>
    <xf numFmtId="0" fontId="111" fillId="0" borderId="146" xfId="0" applyFont="1" applyBorder="1" applyAlignment="1">
      <alignment horizontal="left" vertical="center" shrinkToFit="1"/>
    </xf>
    <xf numFmtId="0" fontId="111" fillId="0" borderId="164" xfId="0" applyFont="1" applyBorder="1" applyAlignment="1">
      <alignment horizontal="left" vertical="center" shrinkToFit="1"/>
    </xf>
    <xf numFmtId="0" fontId="241" fillId="0" borderId="153" xfId="0" applyFont="1" applyBorder="1" applyAlignment="1">
      <alignment horizontal="center" vertical="center"/>
    </xf>
    <xf numFmtId="182" fontId="98" fillId="0" borderId="153" xfId="1" applyNumberFormat="1" applyFont="1" applyFill="1" applyBorder="1" applyAlignment="1">
      <alignment horizontal="right" vertical="center"/>
    </xf>
    <xf numFmtId="0" fontId="111" fillId="0" borderId="90" xfId="0" applyFont="1" applyBorder="1" applyAlignment="1">
      <alignment horizontal="right" vertical="top"/>
    </xf>
    <xf numFmtId="0" fontId="111" fillId="0" borderId="91" xfId="0" applyFont="1" applyBorder="1" applyAlignment="1">
      <alignment horizontal="right" vertical="top"/>
    </xf>
    <xf numFmtId="0" fontId="111" fillId="0" borderId="90" xfId="0" applyFont="1" applyBorder="1" applyAlignment="1">
      <alignment horizontal="left" vertical="top" wrapText="1"/>
    </xf>
    <xf numFmtId="0" fontId="111" fillId="0" borderId="0" xfId="0" applyFont="1" applyAlignment="1">
      <alignment horizontal="left" vertical="top" wrapText="1"/>
    </xf>
    <xf numFmtId="0" fontId="111" fillId="0" borderId="154" xfId="0" applyFont="1" applyBorder="1" applyAlignment="1">
      <alignment horizontal="center" vertical="center"/>
    </xf>
    <xf numFmtId="0" fontId="111" fillId="0" borderId="180" xfId="0" applyFont="1" applyBorder="1" applyAlignment="1">
      <alignment horizontal="left" vertical="center" shrinkToFit="1"/>
    </xf>
    <xf numFmtId="0" fontId="111" fillId="0" borderId="100" xfId="0" applyFont="1" applyBorder="1" applyAlignment="1">
      <alignment horizontal="left" vertical="center" shrinkToFit="1"/>
    </xf>
    <xf numFmtId="0" fontId="111" fillId="0" borderId="124" xfId="0" applyFont="1" applyBorder="1" applyAlignment="1">
      <alignment horizontal="left" vertical="center" shrinkToFit="1"/>
    </xf>
    <xf numFmtId="0" fontId="241" fillId="0" borderId="154" xfId="0" applyFont="1" applyBorder="1" applyAlignment="1">
      <alignment horizontal="center" vertical="center"/>
    </xf>
    <xf numFmtId="182" fontId="98" fillId="0" borderId="154" xfId="1" applyNumberFormat="1" applyFont="1" applyFill="1" applyBorder="1" applyAlignment="1">
      <alignment horizontal="right" vertical="center"/>
    </xf>
    <xf numFmtId="0" fontId="240" fillId="0" borderId="0" xfId="0" applyFont="1"/>
    <xf numFmtId="0" fontId="111" fillId="0" borderId="152" xfId="0" applyFont="1" applyBorder="1" applyAlignment="1">
      <alignment horizontal="center" vertical="center"/>
    </xf>
    <xf numFmtId="0" fontId="111" fillId="0" borderId="167" xfId="0" applyFont="1" applyBorder="1" applyAlignment="1">
      <alignment horizontal="left" vertical="center" shrinkToFit="1"/>
    </xf>
    <xf numFmtId="0" fontId="111" fillId="0" borderId="110" xfId="0" applyFont="1" applyBorder="1" applyAlignment="1">
      <alignment horizontal="left" vertical="center" shrinkToFit="1"/>
    </xf>
    <xf numFmtId="0" fontId="111" fillId="0" borderId="112" xfId="0" applyFont="1" applyBorder="1" applyAlignment="1">
      <alignment horizontal="left" vertical="center" shrinkToFit="1"/>
    </xf>
    <xf numFmtId="0" fontId="241" fillId="0" borderId="152" xfId="0" applyFont="1" applyBorder="1" applyAlignment="1">
      <alignment horizontal="center" vertical="center"/>
    </xf>
    <xf numFmtId="182" fontId="98" fillId="0" borderId="152" xfId="1" applyNumberFormat="1" applyFont="1" applyFill="1" applyBorder="1" applyAlignment="1">
      <alignment horizontal="right" vertical="center"/>
    </xf>
    <xf numFmtId="0" fontId="111" fillId="0" borderId="84" xfId="0" applyFont="1" applyBorder="1" applyAlignment="1">
      <alignment horizontal="right" vertical="top"/>
    </xf>
    <xf numFmtId="0" fontId="111" fillId="0" borderId="83" xfId="0" applyFont="1" applyBorder="1" applyAlignment="1">
      <alignment horizontal="right" vertical="top"/>
    </xf>
    <xf numFmtId="0" fontId="111" fillId="0" borderId="84" xfId="0" applyFont="1" applyBorder="1" applyAlignment="1">
      <alignment horizontal="left" vertical="top" wrapText="1"/>
    </xf>
    <xf numFmtId="0" fontId="111" fillId="0" borderId="29" xfId="0" applyFont="1" applyBorder="1" applyAlignment="1">
      <alignment horizontal="left" vertical="top" wrapText="1"/>
    </xf>
    <xf numFmtId="0" fontId="112" fillId="0" borderId="43" xfId="0" applyFont="1" applyBorder="1" applyAlignment="1">
      <alignment horizontal="center" vertical="center"/>
    </xf>
    <xf numFmtId="0" fontId="111" fillId="0" borderId="65" xfId="0" applyFont="1" applyBorder="1" applyAlignment="1">
      <alignment horizontal="right" vertical="center"/>
    </xf>
    <xf numFmtId="0" fontId="111" fillId="0" borderId="64" xfId="0" applyFont="1" applyBorder="1" applyAlignment="1">
      <alignment horizontal="right" vertical="center"/>
    </xf>
    <xf numFmtId="0" fontId="242" fillId="0" borderId="63" xfId="0" applyFont="1" applyBorder="1" applyAlignment="1">
      <alignment vertical="center"/>
    </xf>
    <xf numFmtId="182" fontId="118" fillId="0" borderId="63" xfId="1" applyNumberFormat="1" applyFont="1" applyBorder="1" applyAlignment="1">
      <alignment horizontal="center" vertical="center"/>
    </xf>
    <xf numFmtId="182" fontId="118" fillId="0" borderId="64" xfId="1" applyNumberFormat="1" applyFont="1" applyBorder="1" applyAlignment="1">
      <alignment horizontal="center" vertical="center"/>
    </xf>
    <xf numFmtId="0" fontId="243" fillId="27" borderId="43" xfId="0" applyFont="1" applyFill="1" applyBorder="1" applyAlignment="1">
      <alignment horizontal="center" vertical="center"/>
    </xf>
    <xf numFmtId="0" fontId="111" fillId="0" borderId="75" xfId="0" applyFont="1" applyBorder="1" applyAlignment="1">
      <alignment horizontal="center" vertical="top"/>
    </xf>
    <xf numFmtId="0" fontId="111" fillId="0" borderId="74" xfId="0" applyFont="1" applyBorder="1" applyAlignment="1">
      <alignment horizontal="center" vertical="top"/>
    </xf>
    <xf numFmtId="0" fontId="112" fillId="0" borderId="153" xfId="0" applyFont="1" applyBorder="1" applyAlignment="1">
      <alignment horizontal="center" vertical="center"/>
    </xf>
    <xf numFmtId="0" fontId="243" fillId="27" borderId="46" xfId="0" applyFont="1" applyFill="1" applyBorder="1" applyAlignment="1">
      <alignment horizontal="center" vertical="center"/>
    </xf>
    <xf numFmtId="0" fontId="111" fillId="0" borderId="90" xfId="0" applyFont="1" applyBorder="1" applyAlignment="1">
      <alignment horizontal="center" vertical="top"/>
    </xf>
    <xf numFmtId="0" fontId="111" fillId="0" borderId="91" xfId="0" applyFont="1" applyBorder="1" applyAlignment="1">
      <alignment horizontal="center" vertical="top"/>
    </xf>
    <xf numFmtId="0" fontId="112" fillId="0" borderId="152" xfId="0" applyFont="1" applyBorder="1" applyAlignment="1">
      <alignment horizontal="center" vertical="center"/>
    </xf>
    <xf numFmtId="0" fontId="243" fillId="27" borderId="152" xfId="0" applyFont="1" applyFill="1" applyBorder="1" applyAlignment="1">
      <alignment horizontal="center" vertical="center"/>
    </xf>
    <xf numFmtId="182" fontId="117" fillId="0" borderId="63" xfId="1" applyNumberFormat="1" applyFont="1" applyBorder="1" applyAlignment="1">
      <alignment vertical="center"/>
    </xf>
    <xf numFmtId="182" fontId="117" fillId="0" borderId="64" xfId="1" applyNumberFormat="1" applyFont="1" applyBorder="1" applyAlignment="1">
      <alignment vertical="center"/>
    </xf>
    <xf numFmtId="182" fontId="244" fillId="0" borderId="43" xfId="1" applyNumberFormat="1" applyFont="1" applyFill="1" applyBorder="1" applyAlignment="1">
      <alignment horizontal="right" vertical="center"/>
    </xf>
    <xf numFmtId="0" fontId="118" fillId="0" borderId="0" xfId="0" applyFont="1" applyAlignment="1">
      <alignment vertical="center"/>
    </xf>
    <xf numFmtId="0" fontId="112" fillId="0" borderId="0" xfId="0" applyFont="1" applyAlignment="1">
      <alignment vertical="center"/>
    </xf>
    <xf numFmtId="182" fontId="111" fillId="0" borderId="0" xfId="1" applyNumberFormat="1" applyFont="1" applyFill="1" applyBorder="1" applyAlignment="1">
      <alignment vertical="center"/>
    </xf>
    <xf numFmtId="182" fontId="118" fillId="0" borderId="63" xfId="1" applyNumberFormat="1" applyFont="1" applyFill="1" applyBorder="1" applyAlignment="1">
      <alignment vertical="center"/>
    </xf>
    <xf numFmtId="182" fontId="118" fillId="0" borderId="64" xfId="1" applyNumberFormat="1" applyFont="1" applyFill="1" applyBorder="1" applyAlignment="1">
      <alignment vertical="center"/>
    </xf>
    <xf numFmtId="0" fontId="112" fillId="0" borderId="65" xfId="0" applyFont="1" applyBorder="1" applyAlignment="1">
      <alignment horizontal="center" vertical="center" wrapText="1"/>
    </xf>
    <xf numFmtId="0" fontId="112" fillId="0" borderId="63" xfId="0" applyFont="1" applyBorder="1" applyAlignment="1">
      <alignment horizontal="center" vertical="center" wrapText="1"/>
    </xf>
    <xf numFmtId="0" fontId="112" fillId="0" borderId="64" xfId="0" applyFont="1" applyBorder="1" applyAlignment="1">
      <alignment horizontal="center" vertical="center" wrapText="1"/>
    </xf>
    <xf numFmtId="0" fontId="240" fillId="0" borderId="65" xfId="0" applyFont="1" applyBorder="1" applyAlignment="1">
      <alignment horizontal="center" vertical="center" wrapText="1"/>
    </xf>
    <xf numFmtId="0" fontId="240" fillId="0" borderId="63" xfId="0" applyFont="1" applyBorder="1" applyAlignment="1">
      <alignment horizontal="center" vertical="center" wrapText="1"/>
    </xf>
    <xf numFmtId="0" fontId="240" fillId="0" borderId="64" xfId="0" applyFont="1" applyBorder="1" applyAlignment="1">
      <alignment horizontal="center" vertical="center" wrapText="1"/>
    </xf>
    <xf numFmtId="0" fontId="111" fillId="0" borderId="65" xfId="0" applyFont="1" applyBorder="1" applyAlignment="1">
      <alignment horizontal="left" vertical="center" shrinkToFit="1"/>
    </xf>
    <xf numFmtId="0" fontId="111" fillId="0" borderId="63" xfId="0" applyFont="1" applyBorder="1" applyAlignment="1">
      <alignment horizontal="left" vertical="center" shrinkToFit="1"/>
    </xf>
    <xf numFmtId="0" fontId="111" fillId="0" borderId="64" xfId="0" applyFont="1" applyBorder="1" applyAlignment="1">
      <alignment horizontal="left" vertical="center" shrinkToFit="1"/>
    </xf>
    <xf numFmtId="0" fontId="111" fillId="0" borderId="43" xfId="0" applyFont="1" applyBorder="1" applyAlignment="1">
      <alignment horizontal="right" vertical="top"/>
    </xf>
    <xf numFmtId="0" fontId="111" fillId="0" borderId="65" xfId="0" applyFont="1" applyBorder="1" applyAlignment="1">
      <alignment horizontal="left" vertical="top" wrapText="1"/>
    </xf>
    <xf numFmtId="0" fontId="111" fillId="0" borderId="63" xfId="0" applyFont="1" applyBorder="1" applyAlignment="1">
      <alignment horizontal="left" vertical="top" wrapText="1"/>
    </xf>
    <xf numFmtId="0" fontId="111" fillId="0" borderId="64" xfId="0" applyFont="1" applyBorder="1" applyAlignment="1">
      <alignment horizontal="left" vertical="top" wrapText="1"/>
    </xf>
    <xf numFmtId="0" fontId="111" fillId="0" borderId="65" xfId="0" applyFont="1" applyBorder="1" applyAlignment="1">
      <alignment horizontal="left" vertical="center" wrapText="1"/>
    </xf>
    <xf numFmtId="0" fontId="111" fillId="0" borderId="63" xfId="0" applyFont="1" applyBorder="1" applyAlignment="1">
      <alignment horizontal="left" vertical="center" wrapText="1"/>
    </xf>
    <xf numFmtId="0" fontId="111" fillId="0" borderId="64" xfId="0" applyFont="1" applyBorder="1" applyAlignment="1">
      <alignment horizontal="left" vertical="center" wrapText="1"/>
    </xf>
    <xf numFmtId="0" fontId="111" fillId="0" borderId="65" xfId="0" applyFont="1" applyBorder="1" applyAlignment="1">
      <alignment horizontal="left" vertical="top" shrinkToFit="1"/>
    </xf>
    <xf numFmtId="0" fontId="111" fillId="0" borderId="63" xfId="0" applyFont="1" applyBorder="1" applyAlignment="1">
      <alignment horizontal="left" vertical="top" shrinkToFit="1"/>
    </xf>
    <xf numFmtId="0" fontId="111" fillId="0" borderId="64" xfId="0" applyFont="1" applyBorder="1" applyAlignment="1">
      <alignment horizontal="left" vertical="top" shrinkToFit="1"/>
    </xf>
    <xf numFmtId="0" fontId="111" fillId="24" borderId="43" xfId="0" applyFont="1" applyFill="1" applyBorder="1" applyAlignment="1">
      <alignment horizontal="right" vertical="top"/>
    </xf>
    <xf numFmtId="0" fontId="111" fillId="24" borderId="65" xfId="0" applyFont="1" applyFill="1" applyBorder="1" applyAlignment="1">
      <alignment horizontal="left" vertical="top" shrinkToFit="1"/>
    </xf>
    <xf numFmtId="0" fontId="111" fillId="24" borderId="63" xfId="0" applyFont="1" applyFill="1" applyBorder="1" applyAlignment="1">
      <alignment horizontal="left" vertical="top" shrinkToFit="1"/>
    </xf>
    <xf numFmtId="0" fontId="111" fillId="24" borderId="64" xfId="0" applyFont="1" applyFill="1" applyBorder="1" applyAlignment="1">
      <alignment horizontal="left" vertical="top" shrinkToFit="1"/>
    </xf>
    <xf numFmtId="0" fontId="240" fillId="24" borderId="65" xfId="0" applyFont="1" applyFill="1" applyBorder="1" applyAlignment="1">
      <alignment horizontal="center" vertical="center" wrapText="1"/>
    </xf>
    <xf numFmtId="0" fontId="240" fillId="24" borderId="63" xfId="0" applyFont="1" applyFill="1" applyBorder="1" applyAlignment="1">
      <alignment horizontal="center" vertical="center" wrapText="1"/>
    </xf>
    <xf numFmtId="0" fontId="240" fillId="24" borderId="64" xfId="0" applyFont="1" applyFill="1" applyBorder="1" applyAlignment="1">
      <alignment horizontal="center" vertical="center" wrapText="1"/>
    </xf>
    <xf numFmtId="182" fontId="245" fillId="0" borderId="43" xfId="1" applyNumberFormat="1" applyFont="1" applyFill="1" applyBorder="1" applyAlignment="1">
      <alignment horizontal="right" vertical="center"/>
    </xf>
    <xf numFmtId="0" fontId="111" fillId="0" borderId="65" xfId="0" applyFont="1" applyBorder="1" applyAlignment="1">
      <alignment horizontal="left" vertical="top" wrapText="1" shrinkToFit="1"/>
    </xf>
    <xf numFmtId="0" fontId="111" fillId="0" borderId="63" xfId="0" applyFont="1" applyBorder="1" applyAlignment="1">
      <alignment horizontal="left" vertical="top" wrapText="1" shrinkToFit="1"/>
    </xf>
    <xf numFmtId="0" fontId="111" fillId="0" borderId="64" xfId="0" applyFont="1" applyBorder="1" applyAlignment="1">
      <alignment horizontal="left" vertical="top" wrapText="1" shrinkToFit="1"/>
    </xf>
    <xf numFmtId="49" fontId="111" fillId="0" borderId="43" xfId="0" applyNumberFormat="1" applyFont="1" applyBorder="1" applyAlignment="1">
      <alignment horizontal="center" vertical="center"/>
    </xf>
    <xf numFmtId="49" fontId="243" fillId="27" borderId="43" xfId="0" applyNumberFormat="1" applyFont="1" applyFill="1" applyBorder="1" applyAlignment="1">
      <alignment horizontal="center" vertical="center"/>
    </xf>
    <xf numFmtId="0" fontId="111" fillId="24" borderId="43" xfId="0" applyFont="1" applyFill="1" applyBorder="1" applyAlignment="1">
      <alignment horizontal="right" vertical="center"/>
    </xf>
    <xf numFmtId="0" fontId="111" fillId="24" borderId="65" xfId="0" applyFont="1" applyFill="1" applyBorder="1" applyAlignment="1">
      <alignment horizontal="left" vertical="center" wrapText="1"/>
    </xf>
    <xf numFmtId="0" fontId="111" fillId="24" borderId="63" xfId="0" applyFont="1" applyFill="1" applyBorder="1" applyAlignment="1">
      <alignment horizontal="left" vertical="center" wrapText="1"/>
    </xf>
    <xf numFmtId="0" fontId="111" fillId="24" borderId="64" xfId="0" applyFont="1" applyFill="1" applyBorder="1" applyAlignment="1">
      <alignment horizontal="left" vertical="center" wrapText="1"/>
    </xf>
    <xf numFmtId="0" fontId="112" fillId="0" borderId="65" xfId="0" applyFont="1" applyBorder="1" applyAlignment="1">
      <alignment horizontal="left" vertical="top" wrapText="1"/>
    </xf>
    <xf numFmtId="0" fontId="112" fillId="0" borderId="63" xfId="0" applyFont="1" applyBorder="1" applyAlignment="1">
      <alignment horizontal="left" vertical="top" wrapText="1"/>
    </xf>
    <xf numFmtId="0" fontId="112" fillId="0" borderId="64" xfId="0" applyFont="1" applyBorder="1" applyAlignment="1">
      <alignment horizontal="left" vertical="top" wrapText="1"/>
    </xf>
    <xf numFmtId="0" fontId="111" fillId="24" borderId="65" xfId="0" applyFont="1" applyFill="1" applyBorder="1" applyAlignment="1">
      <alignment horizontal="left" vertical="top" wrapText="1"/>
    </xf>
    <xf numFmtId="0" fontId="111" fillId="24" borderId="63" xfId="0" applyFont="1" applyFill="1" applyBorder="1" applyAlignment="1">
      <alignment horizontal="left" vertical="top" wrapText="1"/>
    </xf>
    <xf numFmtId="0" fontId="111" fillId="24" borderId="64" xfId="0" applyFont="1" applyFill="1" applyBorder="1" applyAlignment="1">
      <alignment horizontal="left" vertical="top" wrapText="1"/>
    </xf>
    <xf numFmtId="0" fontId="112" fillId="0" borderId="65" xfId="0" applyFont="1" applyBorder="1" applyAlignment="1">
      <alignment horizontal="center" vertical="center" shrinkToFit="1"/>
    </xf>
    <xf numFmtId="0" fontId="112" fillId="0" borderId="63" xfId="0" applyFont="1" applyBorder="1" applyAlignment="1">
      <alignment horizontal="center" vertical="center" shrinkToFit="1"/>
    </xf>
    <xf numFmtId="0" fontId="112" fillId="0" borderId="64" xfId="0" applyFont="1" applyBorder="1" applyAlignment="1">
      <alignment horizontal="center" vertical="center" shrinkToFit="1"/>
    </xf>
    <xf numFmtId="0" fontId="111" fillId="0" borderId="74" xfId="0" applyFont="1" applyBorder="1" applyAlignment="1">
      <alignment horizontal="left" vertical="top" wrapText="1"/>
    </xf>
    <xf numFmtId="0" fontId="111" fillId="0" borderId="91" xfId="0" applyFont="1" applyBorder="1" applyAlignment="1">
      <alignment horizontal="left" vertical="top" wrapText="1"/>
    </xf>
    <xf numFmtId="0" fontId="111" fillId="0" borderId="83" xfId="0" applyFont="1" applyBorder="1" applyAlignment="1">
      <alignment horizontal="left" vertical="top" wrapText="1"/>
    </xf>
    <xf numFmtId="0" fontId="111" fillId="0" borderId="43" xfId="0" applyFont="1" applyBorder="1" applyAlignment="1">
      <alignment horizontal="center" vertical="top"/>
    </xf>
    <xf numFmtId="182" fontId="77" fillId="0" borderId="43" xfId="1" applyNumberFormat="1" applyFont="1" applyFill="1" applyBorder="1" applyAlignment="1">
      <alignment horizontal="right" vertical="center"/>
    </xf>
    <xf numFmtId="0" fontId="112" fillId="0" borderId="65" xfId="0" applyFont="1" applyBorder="1" applyAlignment="1">
      <alignment horizontal="left" vertical="top" wrapText="1" shrinkToFit="1"/>
    </xf>
    <xf numFmtId="0" fontId="112" fillId="0" borderId="63" xfId="0" applyFont="1" applyBorder="1" applyAlignment="1">
      <alignment horizontal="left" vertical="top" wrapText="1" shrinkToFit="1"/>
    </xf>
    <xf numFmtId="0" fontId="112" fillId="0" borderId="64" xfId="0" applyFont="1" applyBorder="1" applyAlignment="1">
      <alignment horizontal="left" vertical="top" wrapText="1" shrinkToFit="1"/>
    </xf>
    <xf numFmtId="0" fontId="111" fillId="16" borderId="0" xfId="0" applyFont="1" applyFill="1"/>
    <xf numFmtId="182" fontId="111" fillId="0" borderId="0" xfId="1" applyNumberFormat="1" applyFont="1" applyBorder="1"/>
    <xf numFmtId="0" fontId="112" fillId="0" borderId="73" xfId="0" applyFont="1" applyBorder="1" applyAlignment="1">
      <alignment horizontal="left" vertical="center" textRotation="90" shrinkToFit="1"/>
    </xf>
    <xf numFmtId="0" fontId="112" fillId="0" borderId="73" xfId="0" applyFont="1" applyBorder="1" applyAlignment="1">
      <alignment horizontal="left" wrapText="1"/>
    </xf>
    <xf numFmtId="0" fontId="112" fillId="0" borderId="74" xfId="0" applyFont="1" applyBorder="1" applyAlignment="1">
      <alignment horizontal="left" wrapText="1"/>
    </xf>
    <xf numFmtId="0" fontId="112" fillId="0" borderId="0" xfId="0" applyFont="1" applyAlignment="1">
      <alignment horizontal="left" vertical="center" textRotation="90" shrinkToFit="1"/>
    </xf>
    <xf numFmtId="0" fontId="112" fillId="0" borderId="0" xfId="0" applyFont="1" applyAlignment="1">
      <alignment horizontal="left" wrapText="1"/>
    </xf>
    <xf numFmtId="0" fontId="112" fillId="0" borderId="91" xfId="0" applyFont="1" applyBorder="1" applyAlignment="1">
      <alignment horizontal="left" wrapText="1"/>
    </xf>
    <xf numFmtId="0" fontId="200" fillId="0" borderId="90" xfId="0" applyFont="1" applyBorder="1" applyAlignment="1">
      <alignment horizontal="center" shrinkToFit="1"/>
    </xf>
    <xf numFmtId="0" fontId="200" fillId="0" borderId="0" xfId="0" applyFont="1" applyAlignment="1">
      <alignment horizontal="center" shrinkToFit="1"/>
    </xf>
    <xf numFmtId="0" fontId="200" fillId="0" borderId="91" xfId="0" applyFont="1" applyBorder="1" applyAlignment="1">
      <alignment horizontal="center" shrinkToFit="1"/>
    </xf>
    <xf numFmtId="0" fontId="200" fillId="0" borderId="90" xfId="0" applyFont="1" applyBorder="1" applyAlignment="1">
      <alignment horizontal="left" wrapText="1"/>
    </xf>
    <xf numFmtId="0" fontId="200" fillId="0" borderId="91" xfId="0" applyFont="1" applyBorder="1" applyAlignment="1">
      <alignment horizontal="left" wrapText="1"/>
    </xf>
    <xf numFmtId="0" fontId="200" fillId="0" borderId="29" xfId="0" applyFont="1" applyBorder="1" applyAlignment="1">
      <alignment horizontal="left" vertical="center"/>
    </xf>
    <xf numFmtId="0" fontId="200" fillId="0" borderId="84" xfId="0" applyFont="1" applyBorder="1" applyAlignment="1">
      <alignment horizontal="center" shrinkToFit="1"/>
    </xf>
    <xf numFmtId="0" fontId="200" fillId="0" borderId="29" xfId="0" applyFont="1" applyBorder="1" applyAlignment="1">
      <alignment horizontal="center" shrinkToFit="1"/>
    </xf>
    <xf numFmtId="0" fontId="200" fillId="0" borderId="83" xfId="0" applyFont="1" applyBorder="1" applyAlignment="1">
      <alignment horizontal="center" shrinkToFit="1"/>
    </xf>
    <xf numFmtId="0" fontId="200" fillId="0" borderId="84" xfId="0" applyFont="1" applyBorder="1" applyAlignment="1">
      <alignment horizontal="left" wrapText="1"/>
    </xf>
    <xf numFmtId="0" fontId="200" fillId="0" borderId="29" xfId="0" applyFont="1" applyBorder="1" applyAlignment="1">
      <alignment horizontal="left" wrapText="1"/>
    </xf>
    <xf numFmtId="0" fontId="200" fillId="0" borderId="83" xfId="0" applyFont="1" applyBorder="1" applyAlignment="1">
      <alignment horizontal="left" wrapText="1"/>
    </xf>
    <xf numFmtId="0" fontId="112" fillId="0" borderId="137" xfId="0" applyFont="1" applyBorder="1" applyAlignment="1">
      <alignment horizontal="right" vertical="center" textRotation="90" shrinkToFit="1"/>
    </xf>
    <xf numFmtId="0" fontId="112" fillId="0" borderId="0" xfId="0" applyFont="1" applyAlignment="1">
      <alignment horizontal="right" vertical="center" textRotation="90" shrinkToFit="1"/>
    </xf>
    <xf numFmtId="0" fontId="116" fillId="0" borderId="91" xfId="0" applyFont="1" applyBorder="1" applyAlignment="1">
      <alignment vertical="center"/>
    </xf>
    <xf numFmtId="0" fontId="112" fillId="0" borderId="29" xfId="0" applyFont="1" applyBorder="1" applyAlignment="1">
      <alignment horizontal="right" vertical="center" textRotation="90" shrinkToFit="1"/>
    </xf>
    <xf numFmtId="0" fontId="110" fillId="0" borderId="75" xfId="0" applyFont="1" applyBorder="1" applyAlignment="1">
      <alignment horizontal="center" wrapText="1" shrinkToFit="1"/>
    </xf>
    <xf numFmtId="0" fontId="110" fillId="0" borderId="73" xfId="0" applyFont="1" applyBorder="1" applyAlignment="1">
      <alignment horizontal="center" wrapText="1" shrinkToFit="1"/>
    </xf>
    <xf numFmtId="0" fontId="110" fillId="0" borderId="74" xfId="0" applyFont="1" applyBorder="1" applyAlignment="1">
      <alignment horizontal="center" wrapText="1" shrinkToFit="1"/>
    </xf>
    <xf numFmtId="0" fontId="110" fillId="0" borderId="90" xfId="0" applyFont="1" applyBorder="1" applyAlignment="1">
      <alignment horizontal="center" wrapText="1" shrinkToFit="1"/>
    </xf>
    <xf numFmtId="0" fontId="110" fillId="0" borderId="0" xfId="0" applyFont="1" applyAlignment="1">
      <alignment horizontal="center" wrapText="1" shrinkToFit="1"/>
    </xf>
    <xf numFmtId="0" fontId="110" fillId="0" borderId="91" xfId="0" applyFont="1" applyBorder="1" applyAlignment="1">
      <alignment horizontal="center" wrapText="1" shrinkToFit="1"/>
    </xf>
    <xf numFmtId="0" fontId="110" fillId="0" borderId="84" xfId="0" applyFont="1" applyBorder="1" applyAlignment="1">
      <alignment horizontal="center" vertical="top" wrapText="1" shrinkToFit="1"/>
    </xf>
    <xf numFmtId="0" fontId="110" fillId="0" borderId="29" xfId="0" applyFont="1" applyBorder="1" applyAlignment="1">
      <alignment horizontal="center" vertical="top" wrapText="1" shrinkToFit="1"/>
    </xf>
    <xf numFmtId="0" fontId="110" fillId="0" borderId="83" xfId="0" applyFont="1" applyBorder="1" applyAlignment="1">
      <alignment horizontal="center" vertical="top" wrapText="1" shrinkToFit="1"/>
    </xf>
    <xf numFmtId="0" fontId="246" fillId="0" borderId="73" xfId="0" applyFont="1" applyBorder="1" applyAlignment="1">
      <alignment horizontal="center"/>
    </xf>
    <xf numFmtId="0" fontId="247" fillId="0" borderId="239" xfId="0" applyFont="1" applyBorder="1" applyAlignment="1">
      <alignment horizontal="center" vertical="center"/>
    </xf>
    <xf numFmtId="0" fontId="111" fillId="0" borderId="0" xfId="0" applyFont="1" applyAlignment="1">
      <alignment horizontal="right" vertical="center"/>
    </xf>
    <xf numFmtId="0" fontId="98" fillId="8" borderId="29" xfId="0" applyFont="1" applyFill="1" applyBorder="1" applyAlignment="1">
      <alignment horizontal="center"/>
    </xf>
    <xf numFmtId="0" fontId="98" fillId="8" borderId="83" xfId="0" applyFont="1" applyFill="1" applyBorder="1" applyAlignment="1">
      <alignment horizontal="center"/>
    </xf>
    <xf numFmtId="0" fontId="98" fillId="8" borderId="84" xfId="0" applyFont="1" applyFill="1" applyBorder="1" applyAlignment="1">
      <alignment horizontal="center"/>
    </xf>
    <xf numFmtId="0" fontId="118" fillId="0" borderId="75" xfId="0" applyFont="1" applyBorder="1"/>
    <xf numFmtId="0" fontId="238" fillId="0" borderId="90" xfId="0" applyFont="1" applyBorder="1" applyAlignment="1">
      <alignment horizontal="left" vertical="center" wrapText="1"/>
    </xf>
    <xf numFmtId="0" fontId="238" fillId="0" borderId="0" xfId="0" applyFont="1" applyAlignment="1">
      <alignment horizontal="left" vertical="center" wrapText="1"/>
    </xf>
    <xf numFmtId="0" fontId="117" fillId="0" borderId="168" xfId="0" applyFont="1" applyBorder="1" applyAlignment="1">
      <alignment vertical="center" wrapText="1"/>
    </xf>
    <xf numFmtId="0" fontId="98" fillId="0" borderId="65" xfId="0" applyFont="1" applyBorder="1" applyAlignment="1">
      <alignment horizontal="center" vertical="center"/>
    </xf>
    <xf numFmtId="0" fontId="98" fillId="0" borderId="64" xfId="0" applyFont="1" applyBorder="1" applyAlignment="1">
      <alignment horizontal="center" vertical="center"/>
    </xf>
    <xf numFmtId="0" fontId="110" fillId="0" borderId="63" xfId="0" applyFont="1" applyBorder="1"/>
    <xf numFmtId="0" fontId="110" fillId="0" borderId="64" xfId="0" applyFont="1" applyBorder="1"/>
    <xf numFmtId="0" fontId="111" fillId="0" borderId="64" xfId="0" applyFont="1" applyBorder="1"/>
    <xf numFmtId="0" fontId="238" fillId="0" borderId="84" xfId="0" applyFont="1" applyBorder="1" applyAlignment="1">
      <alignment horizontal="left" vertical="center" wrapText="1"/>
    </xf>
    <xf numFmtId="0" fontId="238" fillId="0" borderId="29" xfId="0" applyFont="1" applyBorder="1" applyAlignment="1">
      <alignment horizontal="left" vertical="center" wrapText="1"/>
    </xf>
    <xf numFmtId="49" fontId="202" fillId="0" borderId="65" xfId="0" applyNumberFormat="1" applyFont="1" applyBorder="1" applyAlignment="1">
      <alignment horizontal="left" vertical="center" wrapText="1"/>
    </xf>
    <xf numFmtId="0" fontId="202" fillId="0" borderId="63" xfId="0" applyFont="1" applyBorder="1" applyAlignment="1">
      <alignment horizontal="left" vertical="center" wrapText="1"/>
    </xf>
    <xf numFmtId="0" fontId="202" fillId="0" borderId="64" xfId="0" applyFont="1" applyBorder="1" applyAlignment="1">
      <alignment horizontal="left" vertical="center" wrapText="1"/>
    </xf>
    <xf numFmtId="0" fontId="202" fillId="0" borderId="65" xfId="0" applyFont="1" applyBorder="1" applyAlignment="1">
      <alignment horizontal="left" vertical="center"/>
    </xf>
    <xf numFmtId="0" fontId="202" fillId="0" borderId="63" xfId="0" applyFont="1" applyBorder="1" applyAlignment="1">
      <alignment horizontal="left" vertical="center"/>
    </xf>
    <xf numFmtId="0" fontId="202" fillId="0" borderId="64" xfId="0" applyFont="1" applyBorder="1" applyAlignment="1">
      <alignment horizontal="left" vertical="center"/>
    </xf>
    <xf numFmtId="0" fontId="202" fillId="0" borderId="65" xfId="0" applyFont="1" applyBorder="1" applyAlignment="1">
      <alignment horizontal="left" vertical="center" wrapText="1"/>
    </xf>
    <xf numFmtId="0" fontId="110" fillId="0" borderId="43" xfId="0" applyFont="1" applyBorder="1" applyAlignment="1">
      <alignment horizontal="center" vertical="center"/>
    </xf>
    <xf numFmtId="0" fontId="112" fillId="0" borderId="75" xfId="0" applyFont="1" applyBorder="1" applyAlignment="1">
      <alignment horizontal="left" vertical="top" wrapText="1"/>
    </xf>
    <xf numFmtId="0" fontId="112" fillId="0" borderId="73" xfId="0" applyFont="1" applyBorder="1" applyAlignment="1">
      <alignment horizontal="left" vertical="top" wrapText="1"/>
    </xf>
    <xf numFmtId="0" fontId="112" fillId="0" borderId="74" xfId="0" applyFont="1" applyBorder="1" applyAlignment="1">
      <alignment horizontal="left" vertical="top" wrapText="1"/>
    </xf>
    <xf numFmtId="0" fontId="202" fillId="0" borderId="75" xfId="0" applyFont="1" applyBorder="1" applyAlignment="1">
      <alignment horizontal="center" vertical="center"/>
    </xf>
    <xf numFmtId="0" fontId="202" fillId="0" borderId="73" xfId="0" applyFont="1" applyBorder="1" applyAlignment="1">
      <alignment horizontal="center" vertical="center"/>
    </xf>
    <xf numFmtId="0" fontId="202" fillId="0" borderId="74" xfId="0" applyFont="1" applyBorder="1" applyAlignment="1">
      <alignment horizontal="center" vertical="center"/>
    </xf>
    <xf numFmtId="0" fontId="112" fillId="0" borderId="90" xfId="0" applyFont="1" applyBorder="1" applyAlignment="1">
      <alignment horizontal="left" vertical="top" wrapText="1"/>
    </xf>
    <xf numFmtId="0" fontId="112" fillId="0" borderId="0" xfId="0" applyFont="1" applyAlignment="1">
      <alignment horizontal="left" vertical="top" wrapText="1"/>
    </xf>
    <xf numFmtId="0" fontId="112" fillId="0" borderId="91" xfId="0" applyFont="1" applyBorder="1" applyAlignment="1">
      <alignment horizontal="left" vertical="top" wrapText="1"/>
    </xf>
    <xf numFmtId="0" fontId="202" fillId="0" borderId="90" xfId="0" applyFont="1" applyBorder="1" applyAlignment="1">
      <alignment horizontal="center" vertical="center"/>
    </xf>
    <xf numFmtId="0" fontId="202" fillId="0" borderId="0" xfId="0" applyFont="1" applyAlignment="1">
      <alignment horizontal="center" vertical="center"/>
    </xf>
    <xf numFmtId="0" fontId="202" fillId="0" borderId="91" xfId="0" applyFont="1" applyBorder="1" applyAlignment="1">
      <alignment horizontal="center" vertical="center"/>
    </xf>
    <xf numFmtId="0" fontId="112" fillId="0" borderId="84" xfId="0" applyFont="1" applyBorder="1" applyAlignment="1">
      <alignment horizontal="left" vertical="top" wrapText="1"/>
    </xf>
    <xf numFmtId="0" fontId="112" fillId="0" borderId="29" xfId="0" applyFont="1" applyBorder="1" applyAlignment="1">
      <alignment horizontal="left" vertical="top" wrapText="1"/>
    </xf>
    <xf numFmtId="0" fontId="112" fillId="0" borderId="83" xfId="0" applyFont="1" applyBorder="1" applyAlignment="1">
      <alignment horizontal="left" vertical="top" wrapText="1"/>
    </xf>
    <xf numFmtId="0" fontId="202" fillId="0" borderId="84" xfId="0" applyFont="1" applyBorder="1" applyAlignment="1">
      <alignment horizontal="center" vertical="center"/>
    </xf>
    <xf numFmtId="0" fontId="202" fillId="0" borderId="29" xfId="0" applyFont="1" applyBorder="1" applyAlignment="1">
      <alignment horizontal="center" vertical="center"/>
    </xf>
    <xf numFmtId="0" fontId="202" fillId="0" borderId="83" xfId="0" applyFont="1" applyBorder="1" applyAlignment="1">
      <alignment horizontal="center" vertical="center"/>
    </xf>
    <xf numFmtId="0" fontId="112" fillId="0" borderId="63" xfId="0" applyFont="1" applyBorder="1" applyAlignment="1">
      <alignment vertical="top"/>
    </xf>
    <xf numFmtId="0" fontId="202" fillId="0" borderId="0" xfId="0" applyFont="1"/>
    <xf numFmtId="0" fontId="202" fillId="0" borderId="91" xfId="0" applyFont="1" applyBorder="1"/>
    <xf numFmtId="49" fontId="202" fillId="0" borderId="75" xfId="0" applyNumberFormat="1" applyFont="1" applyBorder="1" applyAlignment="1">
      <alignment horizontal="center" vertical="center"/>
    </xf>
    <xf numFmtId="0" fontId="111" fillId="8" borderId="43" xfId="0" applyFont="1" applyFill="1" applyBorder="1" applyAlignment="1">
      <alignment horizontal="center" vertical="center" wrapText="1"/>
    </xf>
    <xf numFmtId="0" fontId="111" fillId="0" borderId="43" xfId="0" applyFont="1" applyBorder="1" applyAlignment="1">
      <alignment horizontal="center" vertical="center" shrinkToFit="1"/>
    </xf>
    <xf numFmtId="43" fontId="200" fillId="0" borderId="43" xfId="1" applyFont="1" applyFill="1" applyBorder="1" applyAlignment="1">
      <alignment horizontal="left" vertical="center" shrinkToFit="1"/>
    </xf>
    <xf numFmtId="182" fontId="200" fillId="0" borderId="43" xfId="1" applyNumberFormat="1" applyFont="1" applyFill="1" applyBorder="1" applyAlignment="1">
      <alignment horizontal="center"/>
    </xf>
    <xf numFmtId="0" fontId="111" fillId="0" borderId="29" xfId="0" applyFont="1" applyBorder="1" applyAlignment="1">
      <alignment horizontal="left" shrinkToFit="1"/>
    </xf>
    <xf numFmtId="0" fontId="111" fillId="0" borderId="83" xfId="0" applyFont="1" applyBorder="1" applyAlignment="1">
      <alignment horizontal="left" shrinkToFit="1"/>
    </xf>
    <xf numFmtId="0" fontId="111" fillId="0" borderId="90" xfId="0" applyFont="1" applyBorder="1" applyAlignment="1">
      <alignment vertical="center"/>
    </xf>
    <xf numFmtId="0" fontId="111" fillId="0" borderId="52" xfId="0" applyFont="1" applyBorder="1" applyAlignment="1">
      <alignment horizontal="center" vertical="center" shrinkToFit="1"/>
    </xf>
    <xf numFmtId="43" fontId="200" fillId="0" borderId="65" xfId="1" applyFont="1" applyFill="1" applyBorder="1" applyAlignment="1">
      <alignment horizontal="left"/>
    </xf>
    <xf numFmtId="43" fontId="200" fillId="0" borderId="63" xfId="1" applyFont="1" applyFill="1" applyBorder="1" applyAlignment="1">
      <alignment horizontal="left"/>
    </xf>
    <xf numFmtId="43" fontId="200" fillId="0" borderId="64" xfId="1" applyFont="1" applyFill="1" applyBorder="1" applyAlignment="1">
      <alignment horizontal="left"/>
    </xf>
    <xf numFmtId="43" fontId="200" fillId="0" borderId="43" xfId="1" applyFont="1" applyFill="1" applyBorder="1" applyAlignment="1">
      <alignment horizontal="center"/>
    </xf>
    <xf numFmtId="182" fontId="200" fillId="0" borderId="43" xfId="1" applyNumberFormat="1" applyFont="1" applyFill="1" applyBorder="1" applyAlignment="1">
      <alignment horizontal="right"/>
    </xf>
    <xf numFmtId="0" fontId="111" fillId="8" borderId="75" xfId="0" applyFont="1" applyFill="1" applyBorder="1" applyAlignment="1">
      <alignment horizontal="center" vertical="center" shrinkToFit="1"/>
    </xf>
    <xf numFmtId="0" fontId="111" fillId="8" borderId="74" xfId="0" applyFont="1" applyFill="1" applyBorder="1" applyAlignment="1">
      <alignment horizontal="center" vertical="center" shrinkToFit="1"/>
    </xf>
    <xf numFmtId="0" fontId="111" fillId="8" borderId="65" xfId="0" applyFont="1" applyFill="1" applyBorder="1" applyAlignment="1">
      <alignment horizontal="center" vertical="center" shrinkToFit="1"/>
    </xf>
    <xf numFmtId="0" fontId="111" fillId="8" borderId="63" xfId="0" applyFont="1" applyFill="1" applyBorder="1" applyAlignment="1">
      <alignment horizontal="center" vertical="center" shrinkToFit="1"/>
    </xf>
    <xf numFmtId="0" fontId="111" fillId="8" borderId="64" xfId="0" applyFont="1" applyFill="1" applyBorder="1" applyAlignment="1">
      <alignment horizontal="center" vertical="center" shrinkToFit="1"/>
    </xf>
    <xf numFmtId="0" fontId="111" fillId="8" borderId="46" xfId="0" applyFont="1" applyFill="1" applyBorder="1" applyAlignment="1">
      <alignment horizontal="center" vertical="center" shrinkToFit="1"/>
    </xf>
    <xf numFmtId="3" fontId="111" fillId="8" borderId="75" xfId="0" applyNumberFormat="1" applyFont="1" applyFill="1" applyBorder="1" applyAlignment="1">
      <alignment horizontal="center" vertical="center" shrinkToFit="1"/>
    </xf>
    <xf numFmtId="3" fontId="111" fillId="8" borderId="73" xfId="0" applyNumberFormat="1" applyFont="1" applyFill="1" applyBorder="1" applyAlignment="1">
      <alignment horizontal="center" vertical="center" shrinkToFit="1"/>
    </xf>
    <xf numFmtId="3" fontId="111" fillId="8" borderId="74" xfId="0" applyNumberFormat="1" applyFont="1" applyFill="1" applyBorder="1" applyAlignment="1">
      <alignment horizontal="center" vertical="center" shrinkToFit="1"/>
    </xf>
    <xf numFmtId="0" fontId="111" fillId="8" borderId="84" xfId="0" applyFont="1" applyFill="1" applyBorder="1" applyAlignment="1">
      <alignment horizontal="center" vertical="center" shrinkToFit="1"/>
    </xf>
    <xf numFmtId="0" fontId="111" fillId="8" borderId="83" xfId="0" applyFont="1" applyFill="1" applyBorder="1" applyAlignment="1">
      <alignment horizontal="center" vertical="center" shrinkToFit="1"/>
    </xf>
    <xf numFmtId="0" fontId="111" fillId="8" borderId="52" xfId="0" applyFont="1" applyFill="1" applyBorder="1" applyAlignment="1">
      <alignment horizontal="center" vertical="center" shrinkToFit="1"/>
    </xf>
    <xf numFmtId="3" fontId="111" fillId="8" borderId="52" xfId="0" applyNumberFormat="1" applyFont="1" applyFill="1" applyBorder="1" applyAlignment="1">
      <alignment horizontal="right" vertical="center" shrinkToFit="1"/>
    </xf>
    <xf numFmtId="43" fontId="200" fillId="0" borderId="43" xfId="1" applyFont="1" applyFill="1" applyBorder="1" applyAlignment="1">
      <alignment horizontal="center" vertical="center" shrinkToFit="1"/>
    </xf>
    <xf numFmtId="43" fontId="200" fillId="0" borderId="52" xfId="1" applyFont="1" applyFill="1" applyBorder="1" applyAlignment="1">
      <alignment horizontal="center" vertical="center" shrinkToFit="1"/>
    </xf>
    <xf numFmtId="0" fontId="111" fillId="8" borderId="43" xfId="0" applyFont="1" applyFill="1" applyBorder="1" applyAlignment="1">
      <alignment horizontal="center" vertical="center"/>
    </xf>
    <xf numFmtId="0" fontId="111" fillId="8" borderId="43" xfId="0" applyFont="1" applyFill="1" applyBorder="1" applyAlignment="1">
      <alignment vertical="center"/>
    </xf>
    <xf numFmtId="0" fontId="248" fillId="0" borderId="65" xfId="0" applyFont="1" applyBorder="1" applyAlignment="1">
      <alignment horizontal="center" vertical="center" wrapText="1"/>
    </xf>
    <xf numFmtId="0" fontId="248" fillId="0" borderId="63" xfId="0" applyFont="1" applyBorder="1" applyAlignment="1">
      <alignment horizontal="center" vertical="center" wrapText="1"/>
    </xf>
    <xf numFmtId="0" fontId="248" fillId="0" borderId="64" xfId="0" applyFont="1" applyBorder="1" applyAlignment="1">
      <alignment horizontal="center" vertical="center" wrapText="1"/>
    </xf>
    <xf numFmtId="0" fontId="116" fillId="0" borderId="43" xfId="0" applyFont="1" applyBorder="1" applyAlignment="1">
      <alignment horizontal="center" vertical="center"/>
    </xf>
    <xf numFmtId="182" fontId="200" fillId="0" borderId="43" xfId="1" applyNumberFormat="1" applyFont="1" applyFill="1" applyBorder="1" applyAlignment="1">
      <alignment horizontal="right" vertical="center"/>
    </xf>
    <xf numFmtId="0" fontId="111" fillId="0" borderId="74" xfId="0" applyFont="1" applyBorder="1"/>
    <xf numFmtId="0" fontId="249" fillId="0" borderId="0" xfId="0" applyFont="1"/>
    <xf numFmtId="0" fontId="111" fillId="0" borderId="0" xfId="0" applyFont="1" applyAlignment="1">
      <alignment horizontal="center"/>
    </xf>
    <xf numFmtId="0" fontId="239" fillId="0" borderId="84" xfId="0" applyFont="1" applyBorder="1" applyAlignment="1">
      <alignment horizontal="center"/>
    </xf>
    <xf numFmtId="0" fontId="239" fillId="0" borderId="83" xfId="0" applyFont="1" applyBorder="1" applyAlignment="1">
      <alignment horizontal="center"/>
    </xf>
    <xf numFmtId="0" fontId="239" fillId="0" borderId="29" xfId="0" applyFont="1" applyBorder="1" applyAlignment="1">
      <alignment horizontal="center"/>
    </xf>
    <xf numFmtId="0" fontId="114" fillId="0" borderId="0" xfId="0" applyFont="1"/>
    <xf numFmtId="0" fontId="112" fillId="0" borderId="248" xfId="0" applyFont="1" applyBorder="1" applyAlignment="1">
      <alignment horizontal="left" vertical="top" wrapText="1"/>
    </xf>
    <xf numFmtId="0" fontId="112" fillId="0" borderId="249" xfId="0" applyFont="1" applyBorder="1" applyAlignment="1">
      <alignment horizontal="left" vertical="top" wrapText="1"/>
    </xf>
    <xf numFmtId="49" fontId="250" fillId="3" borderId="0" xfId="0" applyNumberFormat="1" applyFont="1" applyFill="1" applyAlignment="1" applyProtection="1">
      <alignment vertical="center"/>
      <protection locked="0"/>
    </xf>
    <xf numFmtId="0" fontId="251" fillId="3" borderId="0" xfId="0" applyFont="1" applyFill="1" applyAlignment="1" applyProtection="1">
      <alignment vertical="center"/>
      <protection locked="0"/>
    </xf>
    <xf numFmtId="0" fontId="11" fillId="3" borderId="0" xfId="0" applyFont="1" applyFill="1" applyAlignment="1" applyProtection="1">
      <alignment vertical="center"/>
      <protection locked="0"/>
    </xf>
    <xf numFmtId="0" fontId="11" fillId="20" borderId="0" xfId="0" applyFont="1" applyFill="1" applyProtection="1">
      <protection locked="0"/>
    </xf>
    <xf numFmtId="0" fontId="110" fillId="20" borderId="0" xfId="0" applyFont="1" applyFill="1"/>
    <xf numFmtId="49" fontId="6" fillId="28" borderId="0" xfId="0" applyNumberFormat="1" applyFont="1" applyFill="1" applyAlignment="1" applyProtection="1">
      <alignment horizontal="left" vertical="center"/>
      <protection locked="0"/>
    </xf>
    <xf numFmtId="0" fontId="11" fillId="28" borderId="0" xfId="0" applyFont="1" applyFill="1" applyAlignment="1" applyProtection="1">
      <alignment vertical="center"/>
      <protection locked="0"/>
    </xf>
    <xf numFmtId="49" fontId="44" fillId="28" borderId="0" xfId="0" applyNumberFormat="1" applyFont="1" applyFill="1" applyAlignment="1" applyProtection="1">
      <alignment horizontal="center" vertical="center"/>
      <protection locked="0"/>
    </xf>
    <xf numFmtId="43" fontId="11" fillId="28" borderId="0" xfId="1" applyFont="1" applyFill="1" applyBorder="1" applyAlignment="1" applyProtection="1">
      <alignment horizontal="center" vertical="center"/>
      <protection locked="0"/>
    </xf>
    <xf numFmtId="0" fontId="251" fillId="28" borderId="0" xfId="0" applyFont="1" applyFill="1" applyAlignment="1" applyProtection="1">
      <alignment vertical="center"/>
      <protection locked="0"/>
    </xf>
    <xf numFmtId="0" fontId="113" fillId="20" borderId="0" xfId="0" applyFont="1" applyFill="1"/>
    <xf numFmtId="0" fontId="252" fillId="20" borderId="0" xfId="0" applyFont="1" applyFill="1"/>
    <xf numFmtId="0" fontId="253" fillId="28" borderId="250" xfId="0" applyFont="1" applyFill="1" applyBorder="1" applyAlignment="1">
      <alignment horizontal="center" vertical="center" wrapText="1" shrinkToFit="1"/>
    </xf>
    <xf numFmtId="0" fontId="253" fillId="28" borderId="251" xfId="0" applyFont="1" applyFill="1" applyBorder="1" applyAlignment="1">
      <alignment horizontal="center" vertical="center" wrapText="1" shrinkToFit="1"/>
    </xf>
    <xf numFmtId="0" fontId="10" fillId="20" borderId="0" xfId="0" applyFont="1" applyFill="1" applyAlignment="1">
      <alignment horizontal="left" vertical="center" wrapText="1"/>
    </xf>
    <xf numFmtId="0" fontId="252" fillId="28" borderId="250" xfId="0" applyFont="1" applyFill="1" applyBorder="1" applyAlignment="1">
      <alignment horizontal="center" vertical="center" shrinkToFit="1"/>
    </xf>
    <xf numFmtId="49" fontId="110" fillId="0" borderId="250" xfId="0" applyNumberFormat="1" applyFont="1" applyBorder="1" applyAlignment="1">
      <alignment horizontal="right" vertical="center" shrinkToFit="1"/>
    </xf>
    <xf numFmtId="49" fontId="110" fillId="0" borderId="250" xfId="0" applyNumberFormat="1" applyFont="1" applyBorder="1" applyAlignment="1">
      <alignment horizontal="left" vertical="center" shrinkToFit="1"/>
    </xf>
    <xf numFmtId="4" fontId="110" fillId="0" borderId="250" xfId="0" applyNumberFormat="1" applyFont="1" applyBorder="1" applyAlignment="1">
      <alignment horizontal="right" vertical="center" shrinkToFit="1"/>
    </xf>
    <xf numFmtId="4" fontId="110" fillId="20" borderId="250" xfId="0" applyNumberFormat="1" applyFont="1" applyFill="1" applyBorder="1" applyAlignment="1">
      <alignment horizontal="right" vertical="center" shrinkToFit="1"/>
    </xf>
    <xf numFmtId="0" fontId="110" fillId="16" borderId="250" xfId="0" applyFont="1" applyFill="1" applyBorder="1" applyAlignment="1">
      <alignment horizontal="center" vertical="center" shrinkToFit="1"/>
    </xf>
    <xf numFmtId="0" fontId="252" fillId="25" borderId="251" xfId="0" applyFont="1" applyFill="1" applyBorder="1" applyAlignment="1">
      <alignment vertical="center" shrinkToFit="1"/>
    </xf>
    <xf numFmtId="0" fontId="254" fillId="28" borderId="252" xfId="0" applyFont="1" applyFill="1" applyBorder="1" applyAlignment="1">
      <alignment vertical="center" shrinkToFit="1"/>
    </xf>
    <xf numFmtId="0" fontId="254" fillId="28" borderId="251" xfId="0" applyFont="1" applyFill="1" applyBorder="1" applyAlignment="1">
      <alignment horizontal="right" vertical="center" shrinkToFit="1"/>
    </xf>
    <xf numFmtId="4" fontId="110" fillId="29" borderId="250" xfId="0" applyNumberFormat="1" applyFont="1" applyFill="1" applyBorder="1" applyAlignment="1">
      <alignment horizontal="right" vertical="center" shrinkToFit="1"/>
    </xf>
    <xf numFmtId="0" fontId="254" fillId="28" borderId="252" xfId="0" applyFont="1" applyFill="1" applyBorder="1" applyAlignment="1">
      <alignment horizontal="right" vertical="center" shrinkToFit="1"/>
    </xf>
    <xf numFmtId="0" fontId="0" fillId="20" borderId="0" xfId="0" applyFill="1"/>
    <xf numFmtId="187" fontId="253" fillId="28" borderId="253" xfId="0" applyNumberFormat="1" applyFont="1" applyFill="1" applyBorder="1" applyAlignment="1">
      <alignment horizontal="right" shrinkToFit="1"/>
    </xf>
    <xf numFmtId="187" fontId="253" fillId="28" borderId="254" xfId="0" applyNumberFormat="1" applyFont="1" applyFill="1" applyBorder="1" applyAlignment="1">
      <alignment horizontal="right" shrinkToFit="1"/>
    </xf>
    <xf numFmtId="4" fontId="110" fillId="29" borderId="255" xfId="0" applyNumberFormat="1" applyFont="1" applyFill="1" applyBorder="1" applyAlignment="1">
      <alignment horizontal="right" vertical="center" shrinkToFit="1"/>
    </xf>
    <xf numFmtId="187" fontId="253" fillId="28" borderId="252" xfId="0" applyNumberFormat="1" applyFont="1" applyFill="1" applyBorder="1" applyAlignment="1">
      <alignment horizontal="right" shrinkToFit="1"/>
    </xf>
    <xf numFmtId="187" fontId="253" fillId="28" borderId="256" xfId="0" applyNumberFormat="1" applyFont="1" applyFill="1" applyBorder="1" applyAlignment="1">
      <alignment horizontal="right" shrinkToFit="1"/>
    </xf>
    <xf numFmtId="4" fontId="110" fillId="29" borderId="257" xfId="0" applyNumberFormat="1" applyFont="1" applyFill="1" applyBorder="1" applyAlignment="1">
      <alignment horizontal="right" vertical="center" shrinkToFit="1"/>
    </xf>
    <xf numFmtId="187" fontId="253" fillId="28" borderId="258" xfId="0" applyNumberFormat="1" applyFont="1" applyFill="1" applyBorder="1" applyAlignment="1">
      <alignment horizontal="right" shrinkToFit="1"/>
    </xf>
    <xf numFmtId="187" fontId="253" fillId="28" borderId="259" xfId="0" applyNumberFormat="1" applyFont="1" applyFill="1" applyBorder="1" applyAlignment="1">
      <alignment horizontal="right" shrinkToFit="1"/>
    </xf>
    <xf numFmtId="4" fontId="110" fillId="29" borderId="260" xfId="0" applyNumberFormat="1" applyFont="1" applyFill="1" applyBorder="1" applyAlignment="1">
      <alignment horizontal="right" vertical="center" shrinkToFit="1"/>
    </xf>
    <xf numFmtId="0" fontId="6" fillId="25" borderId="0" xfId="0" applyFont="1" applyFill="1"/>
    <xf numFmtId="0" fontId="252" fillId="25" borderId="0" xfId="0" applyFont="1" applyFill="1"/>
    <xf numFmtId="4" fontId="110" fillId="0" borderId="251" xfId="0" applyNumberFormat="1" applyFont="1" applyBorder="1" applyAlignment="1">
      <alignment horizontal="right" vertical="center" shrinkToFit="1"/>
    </xf>
    <xf numFmtId="4" fontId="110" fillId="29" borderId="251" xfId="0" applyNumberFormat="1" applyFont="1" applyFill="1" applyBorder="1" applyAlignment="1">
      <alignment horizontal="right" vertical="center" shrinkToFit="1"/>
    </xf>
    <xf numFmtId="0" fontId="0" fillId="20" borderId="0" xfId="0" applyFill="1" applyAlignment="1">
      <alignment vertical="center"/>
    </xf>
    <xf numFmtId="187" fontId="16" fillId="28" borderId="0" xfId="0" applyNumberFormat="1" applyFont="1" applyFill="1" applyAlignment="1">
      <alignment horizontal="right" vertical="center" shrinkToFit="1"/>
    </xf>
    <xf numFmtId="4" fontId="235" fillId="20" borderId="261" xfId="0" applyNumberFormat="1" applyFont="1" applyFill="1" applyBorder="1" applyAlignment="1">
      <alignment horizontal="right" vertical="center" shrinkToFit="1"/>
    </xf>
    <xf numFmtId="0" fontId="110" fillId="20" borderId="0" xfId="0" applyFont="1" applyFill="1" applyAlignment="1">
      <alignment vertical="center"/>
    </xf>
    <xf numFmtId="0" fontId="113" fillId="20" borderId="0" xfId="0" applyFont="1" applyFill="1" applyAlignment="1">
      <alignment horizontal="right" vertical="center"/>
    </xf>
    <xf numFmtId="187" fontId="253" fillId="28" borderId="262" xfId="0" applyNumberFormat="1" applyFont="1" applyFill="1" applyBorder="1" applyAlignment="1">
      <alignment horizontal="right" vertical="center" shrinkToFit="1"/>
    </xf>
    <xf numFmtId="187" fontId="253" fillId="28" borderId="263" xfId="0" applyNumberFormat="1" applyFont="1" applyFill="1" applyBorder="1" applyAlignment="1">
      <alignment horizontal="right" vertical="center" shrinkToFit="1"/>
    </xf>
    <xf numFmtId="3" fontId="110" fillId="26" borderId="250" xfId="0" applyNumberFormat="1" applyFont="1" applyFill="1" applyBorder="1" applyAlignment="1">
      <alignment horizontal="right" vertical="center" shrinkToFit="1"/>
    </xf>
    <xf numFmtId="187" fontId="253" fillId="28" borderId="252" xfId="0" applyNumberFormat="1" applyFont="1" applyFill="1" applyBorder="1" applyAlignment="1">
      <alignment horizontal="right" vertical="center" shrinkToFit="1"/>
    </xf>
    <xf numFmtId="187" fontId="253" fillId="28" borderId="256" xfId="0" applyNumberFormat="1" applyFont="1" applyFill="1" applyBorder="1" applyAlignment="1">
      <alignment horizontal="right" vertical="center" shrinkToFit="1"/>
    </xf>
    <xf numFmtId="10" fontId="110" fillId="20" borderId="264" xfId="0" applyNumberFormat="1" applyFont="1" applyFill="1" applyBorder="1" applyAlignment="1">
      <alignment horizontal="right" vertical="center" shrinkToFit="1"/>
    </xf>
    <xf numFmtId="187" fontId="16" fillId="28" borderId="265" xfId="0" applyNumberFormat="1" applyFont="1" applyFill="1" applyBorder="1" applyAlignment="1">
      <alignment horizontal="right" vertical="center" shrinkToFit="1"/>
    </xf>
    <xf numFmtId="187" fontId="16" fillId="28" borderId="266" xfId="0" applyNumberFormat="1" applyFont="1" applyFill="1" applyBorder="1" applyAlignment="1">
      <alignment horizontal="right" vertical="center" shrinkToFit="1"/>
    </xf>
    <xf numFmtId="0" fontId="255" fillId="0" borderId="0" xfId="0" applyFont="1"/>
    <xf numFmtId="0" fontId="256" fillId="0" borderId="0" xfId="0" applyFont="1"/>
    <xf numFmtId="0" fontId="219" fillId="0" borderId="0" xfId="0" applyFont="1" applyAlignment="1">
      <alignment horizontal="right"/>
    </xf>
    <xf numFmtId="0" fontId="257" fillId="0" borderId="0" xfId="54" applyFont="1" applyAlignment="1">
      <alignment horizontal="center"/>
    </xf>
    <xf numFmtId="0" fontId="257" fillId="0" borderId="0" xfId="54" applyFont="1"/>
    <xf numFmtId="0" fontId="258" fillId="0" borderId="0" xfId="0" applyFont="1" applyAlignment="1">
      <alignment vertical="center" wrapText="1"/>
    </xf>
    <xf numFmtId="0" fontId="255" fillId="0" borderId="75" xfId="0" applyFont="1" applyBorder="1" applyAlignment="1">
      <alignment horizontal="center"/>
    </xf>
    <xf numFmtId="0" fontId="255" fillId="0" borderId="73" xfId="0" applyFont="1" applyBorder="1" applyAlignment="1">
      <alignment horizontal="center"/>
    </xf>
    <xf numFmtId="0" fontId="255" fillId="0" borderId="74" xfId="0" applyFont="1" applyBorder="1" applyAlignment="1">
      <alignment horizontal="center"/>
    </xf>
    <xf numFmtId="0" fontId="255" fillId="0" borderId="84" xfId="0" applyFont="1" applyBorder="1" applyAlignment="1">
      <alignment horizontal="center"/>
    </xf>
    <xf numFmtId="0" fontId="255" fillId="0" borderId="29" xfId="0" applyFont="1" applyBorder="1" applyAlignment="1">
      <alignment horizontal="center"/>
    </xf>
    <xf numFmtId="0" fontId="255" fillId="0" borderId="83" xfId="0" applyFont="1" applyBorder="1" applyAlignment="1">
      <alignment horizontal="center"/>
    </xf>
    <xf numFmtId="49" fontId="255" fillId="0" borderId="0" xfId="0" applyNumberFormat="1" applyFont="1" applyAlignment="1">
      <alignment horizontal="left"/>
    </xf>
    <xf numFmtId="49" fontId="255" fillId="0" borderId="0" xfId="0" applyNumberFormat="1" applyFont="1"/>
    <xf numFmtId="0" fontId="28" fillId="0" borderId="0" xfId="0" applyFont="1" applyAlignment="1">
      <alignment horizontal="center"/>
    </xf>
    <xf numFmtId="0" fontId="219" fillId="0" borderId="0" xfId="0" applyFont="1"/>
    <xf numFmtId="0" fontId="259" fillId="0" borderId="0" xfId="0" applyFont="1" applyAlignment="1">
      <alignment horizontal="center"/>
    </xf>
    <xf numFmtId="0" fontId="39" fillId="0" borderId="75" xfId="0" applyFont="1" applyBorder="1" applyAlignment="1">
      <alignment horizontal="left" vertical="center" wrapText="1"/>
    </xf>
    <xf numFmtId="0" fontId="39" fillId="0" borderId="73" xfId="0" applyFont="1" applyBorder="1" applyAlignment="1">
      <alignment horizontal="left" vertical="center" wrapText="1"/>
    </xf>
    <xf numFmtId="0" fontId="39" fillId="0" borderId="74" xfId="0" applyFont="1" applyBorder="1" applyAlignment="1">
      <alignment horizontal="left" vertical="center" wrapText="1"/>
    </xf>
    <xf numFmtId="0" fontId="255" fillId="0" borderId="0" xfId="0" applyFont="1" applyAlignment="1">
      <alignment vertical="center" wrapText="1"/>
    </xf>
    <xf numFmtId="0" fontId="39" fillId="0" borderId="90" xfId="0" applyFont="1" applyBorder="1" applyAlignment="1">
      <alignment horizontal="left" vertical="center" wrapText="1"/>
    </xf>
    <xf numFmtId="0" fontId="39" fillId="0" borderId="0" xfId="0" applyFont="1" applyAlignment="1">
      <alignment horizontal="left" vertical="center" wrapText="1"/>
    </xf>
    <xf numFmtId="0" fontId="39" fillId="0" borderId="91" xfId="0" applyFont="1" applyBorder="1" applyAlignment="1">
      <alignment horizontal="left" vertical="center" wrapText="1"/>
    </xf>
    <xf numFmtId="0" fontId="39" fillId="0" borderId="84" xfId="0" applyFont="1" applyBorder="1" applyAlignment="1">
      <alignment horizontal="left" vertical="center" wrapText="1"/>
    </xf>
    <xf numFmtId="0" fontId="39" fillId="0" borderId="29" xfId="0" applyFont="1" applyBorder="1" applyAlignment="1">
      <alignment horizontal="left" vertical="center" wrapText="1"/>
    </xf>
    <xf numFmtId="0" fontId="39" fillId="0" borderId="83" xfId="0" applyFont="1" applyBorder="1" applyAlignment="1">
      <alignment horizontal="left" vertical="center" wrapText="1"/>
    </xf>
    <xf numFmtId="0" fontId="255" fillId="0" borderId="0" xfId="0" applyFont="1" applyAlignment="1">
      <alignment horizontal="left" vertical="top" wrapText="1"/>
    </xf>
    <xf numFmtId="0" fontId="255" fillId="0" borderId="0" xfId="0" applyFont="1" applyAlignment="1">
      <alignment vertical="top" wrapText="1"/>
    </xf>
    <xf numFmtId="0" fontId="28" fillId="0" borderId="0" xfId="0" applyFont="1" applyAlignment="1">
      <alignment vertical="top" wrapText="1"/>
    </xf>
    <xf numFmtId="0" fontId="28" fillId="0" borderId="0" xfId="0" applyFont="1" applyAlignment="1">
      <alignment vertical="top"/>
    </xf>
    <xf numFmtId="0" fontId="28" fillId="0" borderId="0" xfId="0" applyFont="1" applyAlignment="1">
      <alignment horizontal="center" vertical="top"/>
    </xf>
    <xf numFmtId="0" fontId="260" fillId="0" borderId="0" xfId="0" applyFont="1"/>
    <xf numFmtId="0" fontId="219" fillId="0" borderId="29" xfId="0" applyFont="1" applyBorder="1"/>
    <xf numFmtId="0" fontId="261" fillId="0" borderId="29" xfId="0" applyFont="1" applyBorder="1"/>
    <xf numFmtId="0" fontId="255" fillId="0" borderId="29" xfId="0" applyFont="1" applyBorder="1"/>
    <xf numFmtId="0" fontId="219" fillId="0" borderId="73" xfId="0" applyFont="1" applyBorder="1"/>
    <xf numFmtId="0" fontId="255" fillId="0" borderId="73" xfId="0" applyFont="1" applyBorder="1"/>
    <xf numFmtId="0" fontId="255" fillId="0" borderId="0" xfId="0" applyFont="1" applyAlignment="1">
      <alignment horizontal="center"/>
    </xf>
    <xf numFmtId="0" fontId="262" fillId="0" borderId="52" xfId="0" applyFont="1" applyBorder="1" applyAlignment="1">
      <alignment horizontal="center"/>
    </xf>
    <xf numFmtId="0" fontId="263" fillId="0" borderId="0" xfId="0" applyFont="1"/>
    <xf numFmtId="0" fontId="262" fillId="0" borderId="29" xfId="0" applyFont="1" applyBorder="1"/>
    <xf numFmtId="0" fontId="74" fillId="0" borderId="29" xfId="0" applyFont="1" applyBorder="1"/>
    <xf numFmtId="0" fontId="264" fillId="0" borderId="0" xfId="0" applyFont="1"/>
    <xf numFmtId="0" fontId="263" fillId="0" borderId="29" xfId="0" applyFont="1" applyBorder="1"/>
    <xf numFmtId="0" fontId="131" fillId="0" borderId="0" xfId="0" applyFont="1" applyAlignment="1">
      <alignment horizontal="left" vertical="justify" wrapText="1"/>
    </xf>
    <xf numFmtId="0" fontId="61" fillId="0" borderId="0" xfId="0" applyFont="1" applyAlignment="1">
      <alignment horizontal="center"/>
    </xf>
    <xf numFmtId="0" fontId="131" fillId="0" borderId="0" xfId="0" applyFont="1" applyAlignment="1">
      <alignment horizontal="center" vertical="justify" wrapText="1"/>
    </xf>
    <xf numFmtId="0" fontId="219" fillId="0" borderId="0" xfId="0" applyFont="1" applyAlignment="1">
      <alignment wrapText="1"/>
    </xf>
    <xf numFmtId="0" fontId="265" fillId="0" borderId="0" xfId="0" applyFont="1"/>
    <xf numFmtId="0" fontId="219" fillId="0" borderId="267" xfId="0" applyFont="1" applyBorder="1"/>
    <xf numFmtId="0" fontId="219" fillId="0" borderId="84" xfId="0" applyFont="1" applyBorder="1" applyAlignment="1">
      <alignment horizontal="center"/>
    </xf>
    <xf numFmtId="0" fontId="219" fillId="0" borderId="83" xfId="0" applyFont="1" applyBorder="1" applyAlignment="1">
      <alignment horizontal="center"/>
    </xf>
    <xf numFmtId="0" fontId="255" fillId="0" borderId="52" xfId="0" applyFont="1" applyBorder="1"/>
    <xf numFmtId="0" fontId="28" fillId="0" borderId="0" xfId="0" applyFont="1"/>
    <xf numFmtId="0" fontId="131" fillId="0" borderId="0" xfId="0" applyFont="1" applyAlignment="1">
      <alignment horizontal="left"/>
    </xf>
    <xf numFmtId="0" fontId="131" fillId="0" borderId="0" xfId="0" applyFont="1" applyAlignment="1">
      <alignment horizontal="left" vertical="top" wrapText="1"/>
    </xf>
    <xf numFmtId="0" fontId="131" fillId="0" borderId="0" xfId="0" applyFont="1" applyAlignment="1">
      <alignment wrapText="1"/>
    </xf>
    <xf numFmtId="0" fontId="44" fillId="0" borderId="73" xfId="0" applyFont="1" applyBorder="1" applyAlignment="1">
      <alignment horizontal="left"/>
    </xf>
    <xf numFmtId="0" fontId="11" fillId="0" borderId="73" xfId="0" applyFont="1" applyBorder="1" applyAlignment="1">
      <alignment horizontal="left"/>
    </xf>
    <xf numFmtId="0" fontId="41" fillId="0" borderId="29" xfId="0" applyFont="1" applyBorder="1" applyAlignment="1">
      <alignment horizontal="left"/>
    </xf>
    <xf numFmtId="0" fontId="39" fillId="0" borderId="43" xfId="0" applyFont="1" applyBorder="1" applyAlignment="1">
      <alignment horizontal="center" vertical="center"/>
    </xf>
    <xf numFmtId="0" fontId="258" fillId="0" borderId="43" xfId="0" applyFont="1" applyBorder="1" applyAlignment="1">
      <alignment horizontal="center" vertical="center"/>
    </xf>
    <xf numFmtId="0" fontId="266" fillId="0" borderId="43" xfId="0" applyFont="1" applyBorder="1" applyAlignment="1">
      <alignment horizontal="center" vertical="center"/>
    </xf>
    <xf numFmtId="0" fontId="266" fillId="0" borderId="43" xfId="0" applyFont="1" applyBorder="1" applyAlignment="1">
      <alignment horizontal="center" vertical="center" wrapText="1"/>
    </xf>
    <xf numFmtId="0" fontId="266" fillId="0" borderId="65" xfId="0" applyFont="1" applyBorder="1" applyAlignment="1">
      <alignment horizontal="center" vertical="center" wrapText="1"/>
    </xf>
    <xf numFmtId="0" fontId="266" fillId="0" borderId="63" xfId="0" applyFont="1" applyBorder="1" applyAlignment="1">
      <alignment horizontal="center" vertical="center" wrapText="1"/>
    </xf>
    <xf numFmtId="0" fontId="266" fillId="0" borderId="64" xfId="0" applyFont="1" applyBorder="1" applyAlignment="1">
      <alignment horizontal="center" vertical="center" wrapText="1"/>
    </xf>
    <xf numFmtId="0" fontId="44" fillId="0" borderId="65" xfId="0" applyFont="1" applyBorder="1" applyAlignment="1">
      <alignment horizontal="center" vertical="center"/>
    </xf>
    <xf numFmtId="0" fontId="44" fillId="0" borderId="64" xfId="0" applyFont="1" applyBorder="1" applyAlignment="1">
      <alignment horizontal="center" vertical="center"/>
    </xf>
    <xf numFmtId="0" fontId="61" fillId="0" borderId="43" xfId="0" applyFont="1" applyBorder="1" applyAlignment="1">
      <alignment horizontal="left" vertical="center"/>
    </xf>
    <xf numFmtId="49" fontId="220" fillId="0" borderId="65" xfId="0" applyNumberFormat="1" applyFont="1" applyBorder="1" applyAlignment="1">
      <alignment horizontal="center" vertical="center"/>
    </xf>
    <xf numFmtId="49" fontId="220" fillId="0" borderId="63" xfId="0" applyNumberFormat="1" applyFont="1" applyBorder="1" applyAlignment="1">
      <alignment horizontal="center" vertical="center"/>
    </xf>
    <xf numFmtId="49" fontId="220" fillId="0" borderId="64" xfId="0" applyNumberFormat="1" applyFont="1" applyBorder="1" applyAlignment="1">
      <alignment horizontal="center" vertical="center"/>
    </xf>
    <xf numFmtId="0" fontId="255" fillId="0" borderId="43" xfId="0" applyFont="1" applyBorder="1" applyAlignment="1">
      <alignment horizontal="center" vertical="center" wrapText="1"/>
    </xf>
    <xf numFmtId="3" fontId="267" fillId="0" borderId="65" xfId="0" applyNumberFormat="1" applyFont="1" applyBorder="1" applyAlignment="1">
      <alignment horizontal="right" wrapText="1"/>
    </xf>
    <xf numFmtId="3" fontId="267" fillId="0" borderId="63" xfId="0" applyNumberFormat="1" applyFont="1" applyBorder="1" applyAlignment="1">
      <alignment horizontal="right" wrapText="1"/>
    </xf>
    <xf numFmtId="3" fontId="267" fillId="0" borderId="64" xfId="0" applyNumberFormat="1" applyFont="1" applyBorder="1" applyAlignment="1">
      <alignment horizontal="right" wrapText="1"/>
    </xf>
    <xf numFmtId="0" fontId="44" fillId="0" borderId="163" xfId="0" applyFont="1" applyBorder="1" applyAlignment="1">
      <alignment horizontal="center" vertical="center"/>
    </xf>
    <xf numFmtId="0" fontId="44" fillId="0" borderId="164" xfId="0" applyFont="1" applyBorder="1" applyAlignment="1">
      <alignment horizontal="center" vertical="center"/>
    </xf>
    <xf numFmtId="49" fontId="219" fillId="0" borderId="163" xfId="0" applyNumberFormat="1" applyFont="1" applyBorder="1" applyAlignment="1">
      <alignment horizontal="left" vertical="center"/>
    </xf>
    <xf numFmtId="49" fontId="219" fillId="0" borderId="146" xfId="0" applyNumberFormat="1" applyFont="1" applyBorder="1" applyAlignment="1">
      <alignment horizontal="left" vertical="center"/>
    </xf>
    <xf numFmtId="49" fontId="219" fillId="0" borderId="164" xfId="0" applyNumberFormat="1" applyFont="1" applyBorder="1" applyAlignment="1">
      <alignment horizontal="left" vertical="center"/>
    </xf>
    <xf numFmtId="49" fontId="44" fillId="0" borderId="163" xfId="0" applyNumberFormat="1" applyFont="1" applyBorder="1" applyAlignment="1">
      <alignment horizontal="center" vertical="center"/>
    </xf>
    <xf numFmtId="49" fontId="44" fillId="0" borderId="146" xfId="0" applyNumberFormat="1" applyFont="1" applyBorder="1" applyAlignment="1">
      <alignment horizontal="center" vertical="center"/>
    </xf>
    <xf numFmtId="49" fontId="44" fillId="0" borderId="164" xfId="0" applyNumberFormat="1" applyFont="1" applyBorder="1" applyAlignment="1">
      <alignment horizontal="center" vertical="center"/>
    </xf>
    <xf numFmtId="0" fontId="255" fillId="0" borderId="163" xfId="0" applyFont="1" applyBorder="1" applyAlignment="1">
      <alignment horizontal="center" vertical="center" wrapText="1"/>
    </xf>
    <xf numFmtId="0" fontId="255" fillId="0" borderId="146" xfId="0" applyFont="1" applyBorder="1" applyAlignment="1">
      <alignment horizontal="center" vertical="center" wrapText="1"/>
    </xf>
    <xf numFmtId="0" fontId="255" fillId="0" borderId="164" xfId="0" applyFont="1" applyBorder="1" applyAlignment="1">
      <alignment horizontal="center" vertical="center" wrapText="1"/>
    </xf>
    <xf numFmtId="3" fontId="267" fillId="30" borderId="163" xfId="0" applyNumberFormat="1" applyFont="1" applyFill="1" applyBorder="1" applyAlignment="1">
      <alignment horizontal="right" wrapText="1"/>
    </xf>
    <xf numFmtId="3" fontId="267" fillId="30" borderId="146" xfId="0" applyNumberFormat="1" applyFont="1" applyFill="1" applyBorder="1" applyAlignment="1">
      <alignment horizontal="right" wrapText="1"/>
    </xf>
    <xf numFmtId="3" fontId="267" fillId="30" borderId="164" xfId="0" applyNumberFormat="1" applyFont="1" applyFill="1" applyBorder="1" applyAlignment="1">
      <alignment horizontal="right" wrapText="1"/>
    </xf>
    <xf numFmtId="0" fontId="44" fillId="0" borderId="180" xfId="0" applyFont="1" applyBorder="1" applyAlignment="1">
      <alignment horizontal="center" vertical="center"/>
    </xf>
    <xf numFmtId="0" fontId="44" fillId="0" borderId="124" xfId="0" applyFont="1" applyBorder="1" applyAlignment="1">
      <alignment horizontal="center" vertical="center"/>
    </xf>
    <xf numFmtId="49" fontId="219" fillId="0" borderId="180" xfId="0" applyNumberFormat="1" applyFont="1" applyBorder="1" applyAlignment="1">
      <alignment horizontal="left" vertical="center"/>
    </xf>
    <xf numFmtId="49" fontId="219" fillId="0" borderId="100" xfId="0" applyNumberFormat="1" applyFont="1" applyBorder="1" applyAlignment="1">
      <alignment horizontal="left" vertical="center"/>
    </xf>
    <xf numFmtId="49" fontId="219" fillId="0" borderId="124" xfId="0" applyNumberFormat="1" applyFont="1" applyBorder="1" applyAlignment="1">
      <alignment horizontal="left" vertical="center"/>
    </xf>
    <xf numFmtId="49" fontId="44" fillId="0" borderId="180" xfId="0" applyNumberFormat="1" applyFont="1" applyBorder="1" applyAlignment="1">
      <alignment horizontal="center" vertical="center"/>
    </xf>
    <xf numFmtId="49" fontId="44" fillId="0" borderId="100" xfId="0" applyNumberFormat="1" applyFont="1" applyBorder="1" applyAlignment="1">
      <alignment horizontal="center" vertical="center"/>
    </xf>
    <xf numFmtId="49" fontId="44" fillId="0" borderId="124" xfId="0" applyNumberFormat="1" applyFont="1" applyBorder="1" applyAlignment="1">
      <alignment horizontal="center" vertical="center"/>
    </xf>
    <xf numFmtId="0" fontId="255" fillId="0" borderId="180" xfId="0" applyFont="1" applyBorder="1" applyAlignment="1">
      <alignment horizontal="center" vertical="center" wrapText="1"/>
    </xf>
    <xf numFmtId="0" fontId="255" fillId="0" borderId="100" xfId="0" applyFont="1" applyBorder="1" applyAlignment="1">
      <alignment horizontal="center" vertical="center" wrapText="1"/>
    </xf>
    <xf numFmtId="0" fontId="255" fillId="0" borderId="124" xfId="0" applyFont="1" applyBorder="1" applyAlignment="1">
      <alignment horizontal="center" vertical="center" wrapText="1"/>
    </xf>
    <xf numFmtId="3" fontId="267" fillId="30" borderId="180" xfId="0" applyNumberFormat="1" applyFont="1" applyFill="1" applyBorder="1" applyAlignment="1">
      <alignment horizontal="right" wrapText="1"/>
    </xf>
    <xf numFmtId="3" fontId="267" fillId="30" borderId="100" xfId="0" applyNumberFormat="1" applyFont="1" applyFill="1" applyBorder="1" applyAlignment="1">
      <alignment horizontal="right" wrapText="1"/>
    </xf>
    <xf numFmtId="3" fontId="267" fillId="30" borderId="124" xfId="0" applyNumberFormat="1" applyFont="1" applyFill="1" applyBorder="1" applyAlignment="1">
      <alignment horizontal="right" wrapText="1"/>
    </xf>
    <xf numFmtId="0" fontId="44" fillId="0" borderId="167" xfId="0" applyFont="1" applyBorder="1" applyAlignment="1">
      <alignment horizontal="center" vertical="center"/>
    </xf>
    <xf numFmtId="0" fontId="44" fillId="0" borderId="112" xfId="0" applyFont="1" applyBorder="1" applyAlignment="1">
      <alignment horizontal="center" vertical="center"/>
    </xf>
    <xf numFmtId="49" fontId="219" fillId="0" borderId="167" xfId="0" applyNumberFormat="1" applyFont="1" applyBorder="1" applyAlignment="1">
      <alignment horizontal="left" vertical="center"/>
    </xf>
    <xf numFmtId="49" fontId="219" fillId="0" borderId="110" xfId="0" applyNumberFormat="1" applyFont="1" applyBorder="1" applyAlignment="1">
      <alignment horizontal="left" vertical="center"/>
    </xf>
    <xf numFmtId="49" fontId="219" fillId="0" borderId="112" xfId="0" applyNumberFormat="1" applyFont="1" applyBorder="1" applyAlignment="1">
      <alignment horizontal="left" vertical="center"/>
    </xf>
    <xf numFmtId="49" fontId="44" fillId="0" borderId="167" xfId="0" applyNumberFormat="1" applyFont="1" applyBorder="1" applyAlignment="1">
      <alignment horizontal="center" vertical="center"/>
    </xf>
    <xf numFmtId="49" fontId="44" fillId="0" borderId="110" xfId="0" applyNumberFormat="1" applyFont="1" applyBorder="1" applyAlignment="1">
      <alignment horizontal="center" vertical="center"/>
    </xf>
    <xf numFmtId="49" fontId="44" fillId="0" borderId="112" xfId="0" applyNumberFormat="1" applyFont="1" applyBorder="1" applyAlignment="1">
      <alignment horizontal="center" vertical="center"/>
    </xf>
    <xf numFmtId="0" fontId="255" fillId="0" borderId="110" xfId="0" applyFont="1" applyBorder="1" applyAlignment="1">
      <alignment horizontal="center" vertical="center" wrapText="1"/>
    </xf>
    <xf numFmtId="0" fontId="255" fillId="0" borderId="112" xfId="0" applyFont="1" applyBorder="1" applyAlignment="1">
      <alignment horizontal="center" vertical="center" wrapText="1"/>
    </xf>
    <xf numFmtId="3" fontId="267" fillId="0" borderId="167" xfId="0" applyNumberFormat="1" applyFont="1" applyBorder="1" applyAlignment="1">
      <alignment horizontal="right" wrapText="1"/>
    </xf>
    <xf numFmtId="3" fontId="267" fillId="0" borderId="110" xfId="0" applyNumberFormat="1" applyFont="1" applyBorder="1" applyAlignment="1">
      <alignment horizontal="right" wrapText="1"/>
    </xf>
    <xf numFmtId="3" fontId="267" fillId="0" borderId="112" xfId="0" applyNumberFormat="1" applyFont="1" applyBorder="1" applyAlignment="1">
      <alignment horizontal="right" wrapText="1"/>
    </xf>
    <xf numFmtId="0" fontId="41" fillId="0" borderId="43" xfId="0" applyFont="1" applyBorder="1" applyAlignment="1">
      <alignment horizontal="left" vertical="center"/>
    </xf>
    <xf numFmtId="49" fontId="39" fillId="0" borderId="65" xfId="0" applyNumberFormat="1" applyFont="1" applyBorder="1" applyAlignment="1">
      <alignment horizontal="left" vertical="center" wrapText="1"/>
    </xf>
    <xf numFmtId="49" fontId="39" fillId="0" borderId="63" xfId="0" applyNumberFormat="1" applyFont="1" applyBorder="1" applyAlignment="1">
      <alignment horizontal="left" vertical="center" wrapText="1"/>
    </xf>
    <xf numFmtId="49" fontId="39" fillId="0" borderId="64" xfId="0" applyNumberFormat="1" applyFont="1" applyBorder="1" applyAlignment="1">
      <alignment horizontal="left" vertical="center" wrapText="1"/>
    </xf>
    <xf numFmtId="49" fontId="44" fillId="0" borderId="65" xfId="0" applyNumberFormat="1" applyFont="1" applyBorder="1" applyAlignment="1">
      <alignment horizontal="center" vertical="center"/>
    </xf>
    <xf numFmtId="49" fontId="44" fillId="0" borderId="63" xfId="0" applyNumberFormat="1" applyFont="1" applyBorder="1" applyAlignment="1">
      <alignment horizontal="center" vertical="center"/>
    </xf>
    <xf numFmtId="49" fontId="44" fillId="0" borderId="64" xfId="0" applyNumberFormat="1" applyFont="1" applyBorder="1" applyAlignment="1">
      <alignment horizontal="center" vertical="center"/>
    </xf>
    <xf numFmtId="0" fontId="255" fillId="0" borderId="65" xfId="0" applyFont="1" applyBorder="1" applyAlignment="1">
      <alignment horizontal="center" vertical="center" wrapText="1"/>
    </xf>
    <xf numFmtId="0" fontId="255" fillId="0" borderId="63" xfId="0" applyFont="1" applyBorder="1" applyAlignment="1">
      <alignment horizontal="center" vertical="center" wrapText="1"/>
    </xf>
    <xf numFmtId="0" fontId="255" fillId="0" borderId="64" xfId="0" applyFont="1" applyBorder="1" applyAlignment="1">
      <alignment horizontal="center" vertical="center" wrapText="1"/>
    </xf>
    <xf numFmtId="0" fontId="41" fillId="0" borderId="65" xfId="0" applyFont="1" applyBorder="1" applyAlignment="1">
      <alignment horizontal="left" vertical="center" wrapText="1"/>
    </xf>
    <xf numFmtId="0" fontId="41" fillId="0" borderId="63" xfId="0" applyFont="1" applyBorder="1" applyAlignment="1">
      <alignment horizontal="left" vertical="center" wrapText="1"/>
    </xf>
    <xf numFmtId="0" fontId="41" fillId="0" borderId="64" xfId="0" applyFont="1" applyBorder="1" applyAlignment="1">
      <alignment horizontal="left" vertical="center" wrapText="1"/>
    </xf>
    <xf numFmtId="0" fontId="41" fillId="0" borderId="43" xfId="0" applyFont="1" applyBorder="1" applyAlignment="1">
      <alignment horizontal="left" vertical="center" wrapText="1"/>
    </xf>
    <xf numFmtId="0" fontId="258" fillId="0" borderId="75" xfId="0" applyFont="1" applyBorder="1" applyAlignment="1">
      <alignment horizontal="center" vertical="center"/>
    </xf>
    <xf numFmtId="0" fontId="258" fillId="0" borderId="73" xfId="0" applyFont="1" applyBorder="1" applyAlignment="1">
      <alignment horizontal="center" vertical="center"/>
    </xf>
    <xf numFmtId="0" fontId="266" fillId="0" borderId="75" xfId="0" applyFont="1" applyBorder="1" applyAlignment="1">
      <alignment horizontal="center" vertical="center"/>
    </xf>
    <xf numFmtId="0" fontId="266" fillId="0" borderId="73" xfId="0" applyFont="1" applyBorder="1" applyAlignment="1">
      <alignment horizontal="center" vertical="center"/>
    </xf>
    <xf numFmtId="0" fontId="266" fillId="0" borderId="74" xfId="0" applyFont="1" applyBorder="1" applyAlignment="1">
      <alignment horizontal="center" vertical="center"/>
    </xf>
    <xf numFmtId="0" fontId="266" fillId="0" borderId="75" xfId="0" applyFont="1" applyBorder="1" applyAlignment="1">
      <alignment horizontal="center" vertical="center" wrapText="1"/>
    </xf>
    <xf numFmtId="0" fontId="266" fillId="0" borderId="73" xfId="0" applyFont="1" applyBorder="1" applyAlignment="1">
      <alignment horizontal="center" vertical="center" wrapText="1"/>
    </xf>
    <xf numFmtId="0" fontId="266" fillId="0" borderId="74" xfId="0" applyFont="1" applyBorder="1" applyAlignment="1">
      <alignment horizontal="center" vertical="center" wrapText="1"/>
    </xf>
    <xf numFmtId="0" fontId="258" fillId="0" borderId="84" xfId="0" applyFont="1" applyBorder="1" applyAlignment="1">
      <alignment horizontal="center" vertical="center"/>
    </xf>
    <xf numFmtId="0" fontId="258" fillId="0" borderId="29" xfId="0" applyFont="1" applyBorder="1" applyAlignment="1">
      <alignment horizontal="center" vertical="center"/>
    </xf>
    <xf numFmtId="0" fontId="266" fillId="0" borderId="84" xfId="0" applyFont="1" applyBorder="1" applyAlignment="1">
      <alignment horizontal="center" vertical="center"/>
    </xf>
    <xf numFmtId="0" fontId="266" fillId="0" borderId="29" xfId="0" applyFont="1" applyBorder="1" applyAlignment="1">
      <alignment horizontal="center" vertical="center"/>
    </xf>
    <xf numFmtId="0" fontId="266" fillId="0" borderId="83" xfId="0" applyFont="1" applyBorder="1" applyAlignment="1">
      <alignment horizontal="center" vertical="center"/>
    </xf>
    <xf numFmtId="0" fontId="266" fillId="0" borderId="84" xfId="0" applyFont="1" applyBorder="1" applyAlignment="1">
      <alignment horizontal="center" vertical="center" wrapText="1"/>
    </xf>
    <xf numFmtId="0" fontId="266" fillId="0" borderId="29" xfId="0" applyFont="1" applyBorder="1" applyAlignment="1">
      <alignment horizontal="center" vertical="center" wrapText="1"/>
    </xf>
    <xf numFmtId="0" fontId="266" fillId="0" borderId="83" xfId="0" applyFont="1" applyBorder="1" applyAlignment="1">
      <alignment horizontal="center" vertical="center" wrapText="1"/>
    </xf>
    <xf numFmtId="49" fontId="44" fillId="0" borderId="75" xfId="0" applyNumberFormat="1" applyFont="1" applyBorder="1" applyAlignment="1">
      <alignment horizontal="center" vertical="center"/>
    </xf>
    <xf numFmtId="49" fontId="44" fillId="0" borderId="74" xfId="0" applyNumberFormat="1" applyFont="1" applyBorder="1" applyAlignment="1">
      <alignment horizontal="center" vertical="center"/>
    </xf>
    <xf numFmtId="49" fontId="258" fillId="0" borderId="75" xfId="0" applyNumberFormat="1" applyFont="1" applyBorder="1" applyAlignment="1">
      <alignment horizontal="center" vertical="center" wrapText="1"/>
    </xf>
    <xf numFmtId="49" fontId="258" fillId="0" borderId="73" xfId="0" applyNumberFormat="1" applyFont="1" applyBorder="1" applyAlignment="1">
      <alignment horizontal="center" vertical="center" wrapText="1"/>
    </xf>
    <xf numFmtId="49" fontId="258" fillId="0" borderId="74" xfId="0" applyNumberFormat="1" applyFont="1" applyBorder="1" applyAlignment="1">
      <alignment horizontal="center" vertical="center" wrapText="1"/>
    </xf>
    <xf numFmtId="0" fontId="44" fillId="0" borderId="65" xfId="0" applyFont="1" applyBorder="1" applyAlignment="1">
      <alignment horizontal="center" vertical="center" wrapText="1"/>
    </xf>
    <xf numFmtId="0" fontId="44" fillId="0" borderId="63" xfId="0" applyFont="1" applyBorder="1" applyAlignment="1">
      <alignment horizontal="center" vertical="center" wrapText="1"/>
    </xf>
    <xf numFmtId="0" fontId="44" fillId="0" borderId="64" xfId="0" applyFont="1" applyBorder="1" applyAlignment="1">
      <alignment horizontal="center" vertical="center" wrapText="1"/>
    </xf>
    <xf numFmtId="3" fontId="268" fillId="0" borderId="65" xfId="0" applyNumberFormat="1" applyFont="1" applyBorder="1" applyAlignment="1">
      <alignment horizontal="right" wrapText="1"/>
    </xf>
    <xf numFmtId="3" fontId="268" fillId="0" borderId="63" xfId="0" applyNumberFormat="1" applyFont="1" applyBorder="1" applyAlignment="1">
      <alignment horizontal="right" wrapText="1"/>
    </xf>
    <xf numFmtId="3" fontId="268" fillId="0" borderId="64" xfId="0" applyNumberFormat="1" applyFont="1" applyBorder="1" applyAlignment="1">
      <alignment horizontal="right" wrapText="1"/>
    </xf>
    <xf numFmtId="0" fontId="44" fillId="0" borderId="63" xfId="0" applyFont="1" applyBorder="1" applyAlignment="1">
      <alignment horizontal="center" vertical="center"/>
    </xf>
    <xf numFmtId="0" fontId="61" fillId="0" borderId="65" xfId="0" applyFont="1" applyBorder="1" applyAlignment="1">
      <alignment horizontal="left" vertical="center" wrapText="1"/>
    </xf>
    <xf numFmtId="0" fontId="61" fillId="0" borderId="63" xfId="0" applyFont="1" applyBorder="1" applyAlignment="1">
      <alignment horizontal="left" vertical="center" wrapText="1"/>
    </xf>
    <xf numFmtId="0" fontId="61" fillId="0" borderId="64" xfId="0" applyFont="1" applyBorder="1" applyAlignment="1">
      <alignment horizontal="left" vertical="center" wrapText="1"/>
    </xf>
    <xf numFmtId="0" fontId="255" fillId="0" borderId="65" xfId="0" applyFont="1" applyBorder="1" applyAlignment="1">
      <alignment horizontal="center" vertical="center"/>
    </xf>
    <xf numFmtId="0" fontId="255" fillId="0" borderId="63" xfId="0" applyFont="1" applyBorder="1" applyAlignment="1">
      <alignment horizontal="center" vertical="center"/>
    </xf>
    <xf numFmtId="0" fontId="255" fillId="0" borderId="64" xfId="0" applyFont="1" applyBorder="1" applyAlignment="1">
      <alignment horizontal="center" vertical="center"/>
    </xf>
    <xf numFmtId="0" fontId="219" fillId="0" borderId="43" xfId="0" applyFont="1" applyBorder="1" applyAlignment="1">
      <alignment horizontal="left" vertical="center"/>
    </xf>
    <xf numFmtId="49" fontId="255" fillId="0" borderId="75" xfId="0" applyNumberFormat="1" applyFont="1" applyBorder="1" applyAlignment="1">
      <alignment horizontal="center" vertical="center" wrapText="1"/>
    </xf>
    <xf numFmtId="49" fontId="255" fillId="0" borderId="73" xfId="0" applyNumberFormat="1" applyFont="1" applyBorder="1" applyAlignment="1">
      <alignment horizontal="center" vertical="center" wrapText="1"/>
    </xf>
    <xf numFmtId="49" fontId="255" fillId="0" borderId="74" xfId="0" applyNumberFormat="1" applyFont="1" applyBorder="1" applyAlignment="1">
      <alignment horizontal="center" vertical="center" wrapText="1"/>
    </xf>
    <xf numFmtId="49" fontId="219" fillId="0" borderId="43" xfId="0" applyNumberFormat="1" applyFont="1" applyBorder="1" applyAlignment="1">
      <alignment horizontal="left" vertical="center"/>
    </xf>
    <xf numFmtId="49" fontId="219" fillId="0" borderId="65" xfId="0" applyNumberFormat="1" applyFont="1" applyBorder="1" applyAlignment="1">
      <alignment horizontal="left" vertical="center" wrapText="1"/>
    </xf>
    <xf numFmtId="49" fontId="219" fillId="0" borderId="63" xfId="0" applyNumberFormat="1" applyFont="1" applyBorder="1" applyAlignment="1">
      <alignment horizontal="left" vertical="center" wrapText="1"/>
    </xf>
    <xf numFmtId="49" fontId="219" fillId="0" borderId="64" xfId="0" applyNumberFormat="1" applyFont="1" applyBorder="1" applyAlignment="1">
      <alignment horizontal="left" vertical="center" wrapText="1"/>
    </xf>
    <xf numFmtId="0" fontId="219" fillId="0" borderId="43" xfId="0" applyFont="1" applyBorder="1" applyAlignment="1">
      <alignment horizontal="left" vertical="center" wrapText="1"/>
    </xf>
    <xf numFmtId="0" fontId="219" fillId="0" borderId="65" xfId="0" applyFont="1" applyBorder="1" applyAlignment="1">
      <alignment horizontal="left" vertical="center"/>
    </xf>
    <xf numFmtId="0" fontId="219" fillId="0" borderId="63" xfId="0" applyFont="1" applyBorder="1" applyAlignment="1">
      <alignment horizontal="left" vertical="center"/>
    </xf>
    <xf numFmtId="0" fontId="219" fillId="0" borderId="64" xfId="0" applyFont="1" applyBorder="1" applyAlignment="1">
      <alignment horizontal="left" vertical="center"/>
    </xf>
    <xf numFmtId="49" fontId="219" fillId="0" borderId="65" xfId="0" applyNumberFormat="1" applyFont="1" applyBorder="1" applyAlignment="1">
      <alignment horizontal="left" wrapText="1"/>
    </xf>
    <xf numFmtId="49" fontId="219" fillId="0" borderId="63" xfId="0" applyNumberFormat="1" applyFont="1" applyBorder="1" applyAlignment="1">
      <alignment horizontal="left" wrapText="1"/>
    </xf>
    <xf numFmtId="49" fontId="219" fillId="0" borderId="64" xfId="0" applyNumberFormat="1" applyFont="1" applyBorder="1" applyAlignment="1">
      <alignment horizontal="left" wrapText="1"/>
    </xf>
    <xf numFmtId="0" fontId="41" fillId="0" borderId="65" xfId="0" applyFont="1" applyBorder="1" applyAlignment="1">
      <alignment horizontal="left" vertical="top" wrapText="1"/>
    </xf>
    <xf numFmtId="0" fontId="41" fillId="0" borderId="63" xfId="0" applyFont="1" applyBorder="1" applyAlignment="1">
      <alignment horizontal="left" vertical="top" wrapText="1"/>
    </xf>
    <xf numFmtId="0" fontId="41" fillId="0" borderId="64" xfId="0" applyFont="1" applyBorder="1" applyAlignment="1">
      <alignment horizontal="left" vertical="top" wrapText="1"/>
    </xf>
    <xf numFmtId="0" fontId="39" fillId="0" borderId="65" xfId="0" applyFont="1" applyBorder="1" applyAlignment="1">
      <alignment horizontal="left" vertical="top" wrapText="1"/>
    </xf>
    <xf numFmtId="0" fontId="39" fillId="0" borderId="63" xfId="0" applyFont="1" applyBorder="1" applyAlignment="1">
      <alignment horizontal="left" vertical="top" wrapText="1"/>
    </xf>
    <xf numFmtId="0" fontId="39" fillId="0" borderId="64" xfId="0" applyFont="1" applyBorder="1" applyAlignment="1">
      <alignment horizontal="left" vertical="top" wrapText="1"/>
    </xf>
    <xf numFmtId="49" fontId="44" fillId="0" borderId="65" xfId="0" applyNumberFormat="1" applyFont="1" applyBorder="1" applyAlignment="1">
      <alignment horizontal="center" vertical="center" wrapText="1"/>
    </xf>
    <xf numFmtId="49" fontId="44" fillId="0" borderId="63" xfId="0" applyNumberFormat="1" applyFont="1" applyBorder="1" applyAlignment="1">
      <alignment horizontal="center" vertical="center" wrapText="1"/>
    </xf>
    <xf numFmtId="49" fontId="44" fillId="0" borderId="64" xfId="0" applyNumberFormat="1" applyFont="1" applyBorder="1" applyAlignment="1">
      <alignment horizontal="center" vertical="center" wrapText="1"/>
    </xf>
    <xf numFmtId="0" fontId="39" fillId="0" borderId="65" xfId="0" applyFont="1" applyBorder="1" applyAlignment="1">
      <alignment horizontal="left" vertical="center" wrapText="1"/>
    </xf>
    <xf numFmtId="0" fontId="39" fillId="0" borderId="63" xfId="0" applyFont="1" applyBorder="1" applyAlignment="1">
      <alignment horizontal="left" vertical="center" wrapText="1"/>
    </xf>
    <xf numFmtId="0" fontId="39" fillId="0" borderId="64" xfId="0" applyFont="1" applyBorder="1" applyAlignment="1">
      <alignment horizontal="left" vertical="center" wrapText="1"/>
    </xf>
    <xf numFmtId="0" fontId="269" fillId="0" borderId="65" xfId="0" applyFont="1" applyBorder="1" applyAlignment="1">
      <alignment horizontal="center" vertical="center"/>
    </xf>
    <xf numFmtId="0" fontId="269" fillId="0" borderId="63" xfId="0" applyFont="1" applyBorder="1" applyAlignment="1">
      <alignment horizontal="center" vertical="center"/>
    </xf>
    <xf numFmtId="0" fontId="269" fillId="0" borderId="64" xfId="0" applyFont="1" applyBorder="1" applyAlignment="1">
      <alignment horizontal="center" vertical="center"/>
    </xf>
    <xf numFmtId="0" fontId="219" fillId="0" borderId="65" xfId="0" applyFont="1" applyBorder="1" applyAlignment="1">
      <alignment horizontal="left" vertical="top" wrapText="1"/>
    </xf>
    <xf numFmtId="0" fontId="219" fillId="0" borderId="63" xfId="0" applyFont="1" applyBorder="1" applyAlignment="1">
      <alignment horizontal="left" vertical="top" wrapText="1"/>
    </xf>
    <xf numFmtId="0" fontId="219" fillId="0" borderId="64" xfId="0" applyFont="1" applyBorder="1" applyAlignment="1">
      <alignment horizontal="left" vertical="top" wrapText="1"/>
    </xf>
    <xf numFmtId="0" fontId="219" fillId="0" borderId="65" xfId="0" applyFont="1" applyBorder="1" applyAlignment="1">
      <alignment horizontal="left" vertical="center" wrapText="1"/>
    </xf>
    <xf numFmtId="0" fontId="219" fillId="0" borderId="63" xfId="0" applyFont="1" applyBorder="1" applyAlignment="1">
      <alignment horizontal="left" vertical="center" wrapText="1"/>
    </xf>
    <xf numFmtId="0" fontId="219" fillId="0" borderId="64" xfId="0" applyFont="1" applyBorder="1" applyAlignment="1">
      <alignment horizontal="left" vertical="center" wrapText="1"/>
    </xf>
    <xf numFmtId="0" fontId="255" fillId="0" borderId="65" xfId="0" applyFont="1" applyBorder="1" applyAlignment="1">
      <alignment horizontal="center"/>
    </xf>
    <xf numFmtId="0" fontId="255" fillId="0" borderId="63" xfId="0" applyFont="1" applyBorder="1" applyAlignment="1">
      <alignment horizontal="center"/>
    </xf>
    <xf numFmtId="0" fontId="255" fillId="0" borderId="64" xfId="0" applyFont="1" applyBorder="1" applyAlignment="1">
      <alignment horizontal="center"/>
    </xf>
    <xf numFmtId="0" fontId="61" fillId="0" borderId="65" xfId="0" applyFont="1" applyBorder="1" applyAlignment="1">
      <alignment horizontal="left" vertical="top" wrapText="1"/>
    </xf>
    <xf numFmtId="0" fontId="61" fillId="0" borderId="63" xfId="0" applyFont="1" applyBorder="1" applyAlignment="1">
      <alignment horizontal="left" vertical="top" wrapText="1"/>
    </xf>
    <xf numFmtId="0" fontId="61" fillId="0" borderId="64" xfId="0" applyFont="1" applyBorder="1" applyAlignment="1">
      <alignment horizontal="left" vertical="top" wrapText="1"/>
    </xf>
    <xf numFmtId="49" fontId="258" fillId="0" borderId="43" xfId="0" applyNumberFormat="1" applyFont="1" applyBorder="1" applyAlignment="1">
      <alignment horizontal="center" vertical="center" wrapText="1"/>
    </xf>
    <xf numFmtId="0" fontId="255" fillId="0" borderId="65" xfId="0" applyFont="1" applyBorder="1" applyAlignment="1">
      <alignment horizontal="center" wrapText="1"/>
    </xf>
    <xf numFmtId="0" fontId="255" fillId="0" borderId="63" xfId="0" applyFont="1" applyBorder="1" applyAlignment="1">
      <alignment horizontal="center" wrapText="1"/>
    </xf>
    <xf numFmtId="0" fontId="255" fillId="0" borderId="64" xfId="0" applyFont="1" applyBorder="1" applyAlignment="1">
      <alignment horizontal="center" wrapText="1"/>
    </xf>
    <xf numFmtId="0" fontId="270" fillId="0" borderId="0" xfId="0" applyFont="1" applyAlignment="1">
      <alignment horizontal="left"/>
    </xf>
    <xf numFmtId="0" fontId="269" fillId="0" borderId="0" xfId="0" applyFont="1"/>
    <xf numFmtId="0" fontId="41" fillId="0" borderId="29" xfId="0" applyFont="1" applyBorder="1"/>
    <xf numFmtId="0" fontId="266" fillId="0" borderId="29" xfId="0" applyFont="1" applyBorder="1" applyAlignment="1">
      <alignment horizontal="center" wrapText="1"/>
    </xf>
    <xf numFmtId="0" fontId="39" fillId="0" borderId="75" xfId="0" applyFont="1" applyBorder="1" applyAlignment="1">
      <alignment horizontal="center" vertical="center"/>
    </xf>
    <xf numFmtId="0" fontId="39" fillId="0" borderId="74" xfId="0" applyFont="1" applyBorder="1" applyAlignment="1">
      <alignment horizontal="center" vertical="center"/>
    </xf>
    <xf numFmtId="0" fontId="258" fillId="0" borderId="65" xfId="0" applyFont="1" applyBorder="1" applyAlignment="1">
      <alignment horizontal="center" vertical="center" wrapText="1"/>
    </xf>
    <xf numFmtId="0" fontId="258" fillId="0" borderId="63" xfId="0" applyFont="1" applyBorder="1" applyAlignment="1">
      <alignment horizontal="center" vertical="center" wrapText="1"/>
    </xf>
    <xf numFmtId="0" fontId="258" fillId="0" borderId="64" xfId="0" applyFont="1" applyBorder="1" applyAlignment="1">
      <alignment horizontal="center" vertical="center" wrapText="1"/>
    </xf>
    <xf numFmtId="58" fontId="258" fillId="0" borderId="65" xfId="0" applyNumberFormat="1" applyFont="1" applyBorder="1" applyAlignment="1">
      <alignment horizontal="center" vertical="center" wrapText="1"/>
    </xf>
    <xf numFmtId="58" fontId="258" fillId="0" borderId="63" xfId="0" applyNumberFormat="1" applyFont="1" applyBorder="1" applyAlignment="1">
      <alignment horizontal="center" vertical="center" wrapText="1"/>
    </xf>
    <xf numFmtId="58" fontId="258" fillId="0" borderId="64" xfId="0" applyNumberFormat="1" applyFont="1" applyBorder="1" applyAlignment="1">
      <alignment horizontal="center" vertical="center" wrapText="1"/>
    </xf>
    <xf numFmtId="49" fontId="255" fillId="0" borderId="43" xfId="0" applyNumberFormat="1" applyFont="1" applyBorder="1" applyAlignment="1">
      <alignment horizontal="center" vertical="center"/>
    </xf>
    <xf numFmtId="0" fontId="44" fillId="0" borderId="65" xfId="0" applyFont="1" applyBorder="1" applyAlignment="1">
      <alignment horizontal="center" wrapText="1"/>
    </xf>
    <xf numFmtId="0" fontId="44" fillId="0" borderId="63" xfId="0" applyFont="1" applyBorder="1" applyAlignment="1">
      <alignment horizontal="center" wrapText="1"/>
    </xf>
    <xf numFmtId="0" fontId="44" fillId="0" borderId="64" xfId="0" applyFont="1" applyBorder="1" applyAlignment="1">
      <alignment horizontal="center" wrapText="1"/>
    </xf>
    <xf numFmtId="0" fontId="264" fillId="0" borderId="43" xfId="0" applyFont="1" applyBorder="1" applyAlignment="1">
      <alignment horizontal="center" vertical="center"/>
    </xf>
    <xf numFmtId="3" fontId="267" fillId="0" borderId="43" xfId="0" applyNumberFormat="1" applyFont="1" applyBorder="1" applyAlignment="1">
      <alignment horizontal="right"/>
    </xf>
    <xf numFmtId="3" fontId="267" fillId="0" borderId="65" xfId="0" applyNumberFormat="1" applyFont="1" applyBorder="1" applyAlignment="1">
      <alignment horizontal="right"/>
    </xf>
    <xf numFmtId="3" fontId="267" fillId="0" borderId="63" xfId="0" applyNumberFormat="1" applyFont="1" applyBorder="1" applyAlignment="1">
      <alignment horizontal="right"/>
    </xf>
    <xf numFmtId="3" fontId="267" fillId="0" borderId="64" xfId="0" applyNumberFormat="1" applyFont="1" applyBorder="1" applyAlignment="1">
      <alignment horizontal="right"/>
    </xf>
    <xf numFmtId="0" fontId="44" fillId="0" borderId="65" xfId="0" applyFont="1" applyBorder="1" applyAlignment="1">
      <alignment horizontal="center"/>
    </xf>
    <xf numFmtId="0" fontId="44" fillId="0" borderId="63" xfId="0" applyFont="1" applyBorder="1" applyAlignment="1">
      <alignment horizontal="center"/>
    </xf>
    <xf numFmtId="0" fontId="44" fillId="0" borderId="64" xfId="0" applyFont="1" applyBorder="1" applyAlignment="1">
      <alignment horizontal="center"/>
    </xf>
    <xf numFmtId="0" fontId="39" fillId="0" borderId="65" xfId="0" applyFont="1" applyBorder="1" applyAlignment="1">
      <alignment horizontal="left" vertical="center"/>
    </xf>
    <xf numFmtId="0" fontId="39" fillId="0" borderId="63" xfId="0" applyFont="1" applyBorder="1" applyAlignment="1">
      <alignment horizontal="left" vertical="center"/>
    </xf>
    <xf numFmtId="0" fontId="39" fillId="0" borderId="64" xfId="0" applyFont="1" applyBorder="1" applyAlignment="1">
      <alignment horizontal="left" vertical="center"/>
    </xf>
    <xf numFmtId="49" fontId="39" fillId="0" borderId="75" xfId="0" applyNumberFormat="1" applyFont="1" applyBorder="1" applyAlignment="1">
      <alignment horizontal="center" vertical="center" wrapText="1"/>
    </xf>
    <xf numFmtId="49" fontId="39" fillId="0" borderId="74" xfId="0" applyNumberFormat="1" applyFont="1" applyBorder="1" applyAlignment="1">
      <alignment horizontal="center" vertical="center" wrapText="1"/>
    </xf>
    <xf numFmtId="0" fontId="258" fillId="0" borderId="75" xfId="0" applyFont="1" applyBorder="1" applyAlignment="1">
      <alignment horizontal="center" vertical="center" wrapText="1"/>
    </xf>
    <xf numFmtId="0" fontId="258" fillId="0" borderId="73" xfId="0" applyFont="1" applyBorder="1" applyAlignment="1">
      <alignment horizontal="center" vertical="center" wrapText="1"/>
    </xf>
    <xf numFmtId="0" fontId="264" fillId="0" borderId="43" xfId="0" applyFont="1" applyBorder="1" applyAlignment="1">
      <alignment horizontal="center" vertical="center" wrapText="1"/>
    </xf>
    <xf numFmtId="0" fontId="264" fillId="0" borderId="75" xfId="0" applyFont="1" applyBorder="1" applyAlignment="1">
      <alignment horizontal="center" vertical="center" wrapText="1"/>
    </xf>
    <xf numFmtId="0" fontId="264" fillId="0" borderId="73" xfId="0" applyFont="1" applyBorder="1" applyAlignment="1">
      <alignment horizontal="center" vertical="center" wrapText="1"/>
    </xf>
    <xf numFmtId="0" fontId="264" fillId="0" borderId="74" xfId="0" applyFont="1" applyBorder="1" applyAlignment="1">
      <alignment horizontal="center" vertical="center" wrapText="1"/>
    </xf>
    <xf numFmtId="49" fontId="39" fillId="0" borderId="90" xfId="0" applyNumberFormat="1" applyFont="1" applyBorder="1" applyAlignment="1">
      <alignment horizontal="center" vertical="center" wrapText="1"/>
    </xf>
    <xf numFmtId="49" fontId="39" fillId="0" borderId="91" xfId="0" applyNumberFormat="1" applyFont="1" applyBorder="1" applyAlignment="1">
      <alignment horizontal="center" vertical="center" wrapText="1"/>
    </xf>
    <xf numFmtId="0" fontId="258" fillId="0" borderId="84" xfId="0" applyFont="1" applyBorder="1" applyAlignment="1">
      <alignment horizontal="center" vertical="center" wrapText="1"/>
    </xf>
    <xf numFmtId="0" fontId="258" fillId="0" borderId="29" xfId="0" applyFont="1" applyBorder="1" applyAlignment="1">
      <alignment horizontal="center" vertical="center" wrapText="1"/>
    </xf>
    <xf numFmtId="0" fontId="264" fillId="0" borderId="84" xfId="0" applyFont="1" applyBorder="1" applyAlignment="1">
      <alignment horizontal="center" vertical="center" wrapText="1"/>
    </xf>
    <xf numFmtId="0" fontId="264" fillId="0" borderId="29" xfId="0" applyFont="1" applyBorder="1" applyAlignment="1">
      <alignment horizontal="center" vertical="center" wrapText="1"/>
    </xf>
    <xf numFmtId="0" fontId="264" fillId="0" borderId="83" xfId="0" applyFont="1" applyBorder="1" applyAlignment="1">
      <alignment horizontal="center" vertical="center" wrapText="1"/>
    </xf>
    <xf numFmtId="0" fontId="255" fillId="0" borderId="43" xfId="0" applyFont="1" applyBorder="1" applyAlignment="1">
      <alignment horizontal="center"/>
    </xf>
    <xf numFmtId="3" fontId="267" fillId="30" borderId="65" xfId="0" applyNumberFormat="1" applyFont="1" applyFill="1" applyBorder="1" applyAlignment="1">
      <alignment horizontal="right"/>
    </xf>
    <xf numFmtId="3" fontId="267" fillId="30" borderId="63" xfId="0" applyNumberFormat="1" applyFont="1" applyFill="1" applyBorder="1" applyAlignment="1">
      <alignment horizontal="right"/>
    </xf>
    <xf numFmtId="3" fontId="267" fillId="30" borderId="64" xfId="0" applyNumberFormat="1" applyFont="1" applyFill="1" applyBorder="1" applyAlignment="1">
      <alignment horizontal="right"/>
    </xf>
    <xf numFmtId="49" fontId="219" fillId="0" borderId="65" xfId="0" applyNumberFormat="1" applyFont="1" applyBorder="1" applyAlignment="1">
      <alignment horizontal="left" vertical="top" wrapText="1"/>
    </xf>
    <xf numFmtId="49" fontId="219" fillId="0" borderId="63" xfId="0" applyNumberFormat="1" applyFont="1" applyBorder="1" applyAlignment="1">
      <alignment horizontal="left" vertical="top" wrapText="1"/>
    </xf>
    <xf numFmtId="49" fontId="219" fillId="0" borderId="64" xfId="0" applyNumberFormat="1" applyFont="1" applyBorder="1" applyAlignment="1">
      <alignment horizontal="left" vertical="top" wrapText="1"/>
    </xf>
    <xf numFmtId="49" fontId="255" fillId="0" borderId="65" xfId="0" applyNumberFormat="1" applyFont="1" applyBorder="1" applyAlignment="1">
      <alignment horizontal="center" vertical="center"/>
    </xf>
    <xf numFmtId="49" fontId="255" fillId="0" borderId="63" xfId="0" applyNumberFormat="1" applyFont="1" applyBorder="1" applyAlignment="1">
      <alignment horizontal="center" vertical="center"/>
    </xf>
    <xf numFmtId="49" fontId="255" fillId="0" borderId="64" xfId="0" applyNumberFormat="1" applyFont="1" applyBorder="1" applyAlignment="1">
      <alignment horizontal="center" vertical="center"/>
    </xf>
    <xf numFmtId="0" fontId="41" fillId="0" borderId="65" xfId="0" applyFont="1" applyBorder="1" applyAlignment="1">
      <alignment horizontal="left" vertical="center"/>
    </xf>
    <xf numFmtId="0" fontId="41" fillId="0" borderId="63" xfId="0" applyFont="1" applyBorder="1" applyAlignment="1">
      <alignment horizontal="left" vertical="center"/>
    </xf>
    <xf numFmtId="0" fontId="41" fillId="0" borderId="64" xfId="0" applyFont="1" applyBorder="1" applyAlignment="1">
      <alignment horizontal="left" vertical="center"/>
    </xf>
    <xf numFmtId="49" fontId="220" fillId="0" borderId="43" xfId="0" applyNumberFormat="1" applyFont="1" applyBorder="1" applyAlignment="1">
      <alignment horizontal="center"/>
    </xf>
    <xf numFmtId="49" fontId="255" fillId="0" borderId="0" xfId="0" applyNumberFormat="1" applyFont="1" applyAlignment="1">
      <alignment horizontal="center" vertical="center"/>
    </xf>
    <xf numFmtId="0" fontId="41" fillId="0" borderId="0" xfId="0" applyFont="1" applyAlignment="1">
      <alignment horizontal="left" vertical="center"/>
    </xf>
    <xf numFmtId="49" fontId="220" fillId="0" borderId="0" xfId="0" applyNumberFormat="1" applyFont="1" applyAlignment="1">
      <alignment horizontal="center"/>
    </xf>
    <xf numFmtId="0" fontId="264" fillId="0" borderId="0" xfId="0" applyFont="1" applyAlignment="1">
      <alignment horizontal="center" vertical="center"/>
    </xf>
    <xf numFmtId="0" fontId="258" fillId="0" borderId="0" xfId="0" applyFont="1" applyAlignment="1">
      <alignment horizontal="center" vertical="center"/>
    </xf>
    <xf numFmtId="49" fontId="39" fillId="0" borderId="43" xfId="0" applyNumberFormat="1" applyFont="1" applyBorder="1" applyAlignment="1">
      <alignment horizontal="center" vertical="center" wrapText="1"/>
    </xf>
    <xf numFmtId="0" fontId="258" fillId="17" borderId="75" xfId="0" applyFont="1" applyFill="1" applyBorder="1" applyAlignment="1">
      <alignment horizontal="center" vertical="center" wrapText="1"/>
    </xf>
    <xf numFmtId="0" fontId="258" fillId="17" borderId="73" xfId="0" applyFont="1" applyFill="1" applyBorder="1" applyAlignment="1">
      <alignment horizontal="center" vertical="center" wrapText="1"/>
    </xf>
    <xf numFmtId="0" fontId="258" fillId="17" borderId="74" xfId="0" applyFont="1" applyFill="1" applyBorder="1" applyAlignment="1">
      <alignment horizontal="center" vertical="center" wrapText="1"/>
    </xf>
    <xf numFmtId="0" fontId="266" fillId="17" borderId="75" xfId="0" applyFont="1" applyFill="1" applyBorder="1" applyAlignment="1">
      <alignment horizontal="center" vertical="center" wrapText="1"/>
    </xf>
    <xf numFmtId="0" fontId="266" fillId="17" borderId="73" xfId="0" applyFont="1" applyFill="1" applyBorder="1" applyAlignment="1">
      <alignment horizontal="center" vertical="center" wrapText="1"/>
    </xf>
    <xf numFmtId="0" fontId="266" fillId="17" borderId="74" xfId="0" applyFont="1" applyFill="1" applyBorder="1" applyAlignment="1">
      <alignment horizontal="center" vertical="center" wrapText="1"/>
    </xf>
    <xf numFmtId="0" fontId="264" fillId="17" borderId="75" xfId="0" applyFont="1" applyFill="1" applyBorder="1" applyAlignment="1">
      <alignment horizontal="center" vertical="center" wrapText="1"/>
    </xf>
    <xf numFmtId="0" fontId="264" fillId="17" borderId="73" xfId="0" applyFont="1" applyFill="1" applyBorder="1" applyAlignment="1">
      <alignment horizontal="center" vertical="center" wrapText="1"/>
    </xf>
    <xf numFmtId="0" fontId="264" fillId="17" borderId="74" xfId="0" applyFont="1" applyFill="1" applyBorder="1" applyAlignment="1">
      <alignment horizontal="center" vertical="center" wrapText="1"/>
    </xf>
    <xf numFmtId="0" fontId="11" fillId="17" borderId="90" xfId="0" applyFont="1" applyFill="1" applyBorder="1"/>
    <xf numFmtId="0" fontId="258" fillId="17" borderId="84" xfId="0" applyFont="1" applyFill="1" applyBorder="1" applyAlignment="1">
      <alignment horizontal="center" vertical="center" wrapText="1"/>
    </xf>
    <xf numFmtId="0" fontId="258" fillId="17" borderId="29" xfId="0" applyFont="1" applyFill="1" applyBorder="1" applyAlignment="1">
      <alignment horizontal="center" vertical="center" wrapText="1"/>
    </xf>
    <xf numFmtId="0" fontId="258" fillId="17" borderId="83" xfId="0" applyFont="1" applyFill="1" applyBorder="1" applyAlignment="1">
      <alignment horizontal="center" vertical="center" wrapText="1"/>
    </xf>
    <xf numFmtId="0" fontId="266" fillId="17" borderId="84" xfId="0" applyFont="1" applyFill="1" applyBorder="1" applyAlignment="1">
      <alignment horizontal="center" vertical="center" wrapText="1"/>
    </xf>
    <xf numFmtId="0" fontId="266" fillId="17" borderId="29" xfId="0" applyFont="1" applyFill="1" applyBorder="1" applyAlignment="1">
      <alignment horizontal="center" vertical="center" wrapText="1"/>
    </xf>
    <xf numFmtId="0" fontId="266" fillId="17" borderId="83" xfId="0" applyFont="1" applyFill="1" applyBorder="1" applyAlignment="1">
      <alignment horizontal="center" vertical="center" wrapText="1"/>
    </xf>
    <xf numFmtId="0" fontId="264" fillId="17" borderId="84" xfId="0" applyFont="1" applyFill="1" applyBorder="1" applyAlignment="1">
      <alignment horizontal="center" vertical="center" wrapText="1"/>
    </xf>
    <xf numFmtId="0" fontId="264" fillId="17" borderId="29" xfId="0" applyFont="1" applyFill="1" applyBorder="1" applyAlignment="1">
      <alignment horizontal="center" vertical="center" wrapText="1"/>
    </xf>
    <xf numFmtId="0" fontId="264" fillId="17" borderId="83" xfId="0" applyFont="1" applyFill="1" applyBorder="1" applyAlignment="1">
      <alignment horizontal="center" vertical="center" wrapText="1"/>
    </xf>
    <xf numFmtId="49" fontId="255" fillId="17" borderId="43" xfId="0" applyNumberFormat="1" applyFont="1" applyFill="1" applyBorder="1" applyAlignment="1">
      <alignment horizontal="center" vertical="center" wrapText="1"/>
    </xf>
    <xf numFmtId="0" fontId="219" fillId="17" borderId="65" xfId="0" applyFont="1" applyFill="1" applyBorder="1" applyAlignment="1">
      <alignment horizontal="left" vertical="center" wrapText="1"/>
    </xf>
    <xf numFmtId="0" fontId="219" fillId="17" borderId="63" xfId="0" applyFont="1" applyFill="1" applyBorder="1" applyAlignment="1">
      <alignment horizontal="left" vertical="center" wrapText="1"/>
    </xf>
    <xf numFmtId="0" fontId="219" fillId="17" borderId="64" xfId="0" applyFont="1" applyFill="1" applyBorder="1" applyAlignment="1">
      <alignment horizontal="left" vertical="center" wrapText="1"/>
    </xf>
    <xf numFmtId="49" fontId="255" fillId="17" borderId="65" xfId="0" applyNumberFormat="1" applyFont="1" applyFill="1" applyBorder="1" applyAlignment="1">
      <alignment horizontal="center" vertical="center"/>
    </xf>
    <xf numFmtId="49" fontId="255" fillId="17" borderId="63" xfId="0" applyNumberFormat="1" applyFont="1" applyFill="1" applyBorder="1" applyAlignment="1">
      <alignment horizontal="center" vertical="center"/>
    </xf>
    <xf numFmtId="49" fontId="255" fillId="17" borderId="64" xfId="0" applyNumberFormat="1" applyFont="1" applyFill="1" applyBorder="1" applyAlignment="1">
      <alignment horizontal="center" vertical="center"/>
    </xf>
    <xf numFmtId="0" fontId="264" fillId="17" borderId="43" xfId="0" applyFont="1" applyFill="1" applyBorder="1" applyAlignment="1">
      <alignment horizontal="center" vertical="center"/>
    </xf>
    <xf numFmtId="0" fontId="255" fillId="17" borderId="43" xfId="0" applyFont="1" applyFill="1" applyBorder="1" applyAlignment="1">
      <alignment horizontal="center" vertical="center"/>
    </xf>
    <xf numFmtId="0" fontId="255" fillId="17" borderId="43" xfId="0" applyFont="1" applyFill="1" applyBorder="1" applyAlignment="1">
      <alignment horizontal="center"/>
    </xf>
    <xf numFmtId="0" fontId="256" fillId="17" borderId="65" xfId="0" applyFont="1" applyFill="1" applyBorder="1" applyAlignment="1">
      <alignment horizontal="center" vertical="center"/>
    </xf>
    <xf numFmtId="0" fontId="256" fillId="17" borderId="63" xfId="0" applyFont="1" applyFill="1" applyBorder="1" applyAlignment="1">
      <alignment horizontal="center" vertical="center"/>
    </xf>
    <xf numFmtId="0" fontId="256" fillId="17" borderId="64" xfId="0" applyFont="1" applyFill="1" applyBorder="1" applyAlignment="1">
      <alignment horizontal="center" vertical="center"/>
    </xf>
    <xf numFmtId="0" fontId="219" fillId="17" borderId="65" xfId="0" applyFont="1" applyFill="1" applyBorder="1" applyAlignment="1">
      <alignment horizontal="left" vertical="top" wrapText="1"/>
    </xf>
    <xf numFmtId="0" fontId="219" fillId="17" borderId="63" xfId="0" applyFont="1" applyFill="1" applyBorder="1" applyAlignment="1">
      <alignment horizontal="left" vertical="top" wrapText="1"/>
    </xf>
    <xf numFmtId="0" fontId="219" fillId="17" borderId="64" xfId="0" applyFont="1" applyFill="1" applyBorder="1" applyAlignment="1">
      <alignment horizontal="left" vertical="top" wrapText="1"/>
    </xf>
    <xf numFmtId="49" fontId="255" fillId="0" borderId="43" xfId="0" applyNumberFormat="1" applyFont="1" applyBorder="1" applyAlignment="1">
      <alignment horizontal="center" vertical="center" wrapText="1"/>
    </xf>
    <xf numFmtId="0" fontId="255" fillId="0" borderId="43" xfId="0" applyFont="1" applyBorder="1" applyAlignment="1">
      <alignment horizontal="center" vertical="center"/>
    </xf>
    <xf numFmtId="0" fontId="256" fillId="0" borderId="65" xfId="0" applyFont="1" applyBorder="1" applyAlignment="1">
      <alignment horizontal="center" vertical="center"/>
    </xf>
    <xf numFmtId="0" fontId="256" fillId="0" borderId="63" xfId="0" applyFont="1" applyBorder="1" applyAlignment="1">
      <alignment horizontal="center" vertical="center"/>
    </xf>
    <xf numFmtId="0" fontId="256" fillId="0" borderId="64" xfId="0" applyFont="1" applyBorder="1" applyAlignment="1">
      <alignment horizontal="center" vertical="center"/>
    </xf>
    <xf numFmtId="49" fontId="255" fillId="0" borderId="0" xfId="0" applyNumberFormat="1" applyFont="1" applyAlignment="1">
      <alignment horizontal="center" vertical="center" wrapText="1"/>
    </xf>
    <xf numFmtId="0" fontId="255" fillId="0" borderId="0" xfId="0" applyFont="1" applyAlignment="1">
      <alignment horizontal="center" vertical="center"/>
    </xf>
    <xf numFmtId="0" fontId="256" fillId="0" borderId="0" xfId="0" applyFont="1" applyAlignment="1">
      <alignment horizontal="center" vertical="center"/>
    </xf>
    <xf numFmtId="0" fontId="271" fillId="0" borderId="0" xfId="0" applyFont="1" applyAlignment="1">
      <alignment horizontal="left"/>
    </xf>
    <xf numFmtId="0" fontId="271" fillId="0" borderId="29" xfId="0" applyFont="1" applyBorder="1" applyAlignment="1">
      <alignment horizontal="left"/>
    </xf>
    <xf numFmtId="0" fontId="272" fillId="0" borderId="0" xfId="0" applyFont="1"/>
    <xf numFmtId="0" fontId="273" fillId="0" borderId="0" xfId="0" applyFont="1"/>
    <xf numFmtId="0" fontId="274" fillId="0" borderId="43" xfId="0" applyFont="1" applyBorder="1" applyAlignment="1">
      <alignment horizontal="center" vertical="center"/>
    </xf>
    <xf numFmtId="0" fontId="275" fillId="0" borderId="63" xfId="0" applyFont="1" applyBorder="1" applyAlignment="1">
      <alignment horizontal="center" vertical="center" wrapText="1"/>
    </xf>
    <xf numFmtId="0" fontId="275" fillId="0" borderId="64" xfId="0" applyFont="1" applyBorder="1" applyAlignment="1">
      <alignment horizontal="center" vertical="center" wrapText="1"/>
    </xf>
    <xf numFmtId="0" fontId="276" fillId="0" borderId="65" xfId="0" applyFont="1" applyBorder="1" applyAlignment="1">
      <alignment horizontal="center" vertical="center" wrapText="1"/>
    </xf>
    <xf numFmtId="0" fontId="276" fillId="0" borderId="63" xfId="0" applyFont="1" applyBorder="1" applyAlignment="1">
      <alignment horizontal="center" vertical="center" wrapText="1"/>
    </xf>
    <xf numFmtId="0" fontId="276" fillId="0" borderId="64" xfId="0" applyFont="1" applyBorder="1" applyAlignment="1">
      <alignment horizontal="center" vertical="center" wrapText="1"/>
    </xf>
    <xf numFmtId="49" fontId="277" fillId="0" borderId="52" xfId="0" applyNumberFormat="1" applyFont="1" applyBorder="1" applyAlignment="1">
      <alignment horizontal="center" vertical="center" wrapText="1"/>
    </xf>
    <xf numFmtId="0" fontId="271" fillId="0" borderId="65" xfId="0" applyFont="1" applyBorder="1" applyAlignment="1">
      <alignment horizontal="left" vertical="center" wrapText="1"/>
    </xf>
    <xf numFmtId="0" fontId="271" fillId="0" borderId="63" xfId="0" applyFont="1" applyBorder="1" applyAlignment="1">
      <alignment horizontal="left" vertical="center" wrapText="1"/>
    </xf>
    <xf numFmtId="0" fontId="271" fillId="0" borderId="64" xfId="0" applyFont="1" applyBorder="1" applyAlignment="1">
      <alignment horizontal="left" vertical="center" wrapText="1"/>
    </xf>
    <xf numFmtId="49" fontId="275" fillId="0" borderId="65" xfId="0" applyNumberFormat="1" applyFont="1" applyBorder="1" applyAlignment="1">
      <alignment horizontal="center" vertical="center" wrapText="1"/>
    </xf>
    <xf numFmtId="49" fontId="275" fillId="0" borderId="63" xfId="0" applyNumberFormat="1" applyFont="1" applyBorder="1" applyAlignment="1">
      <alignment horizontal="center" vertical="center" wrapText="1"/>
    </xf>
    <xf numFmtId="49" fontId="275" fillId="0" borderId="64" xfId="0" applyNumberFormat="1" applyFont="1" applyBorder="1" applyAlignment="1">
      <alignment horizontal="center" vertical="center" wrapText="1"/>
    </xf>
    <xf numFmtId="49" fontId="277" fillId="0" borderId="43" xfId="0" applyNumberFormat="1" applyFont="1" applyBorder="1" applyAlignment="1">
      <alignment horizontal="center" vertical="center" wrapText="1"/>
    </xf>
    <xf numFmtId="0" fontId="274" fillId="0" borderId="65" xfId="0" applyFont="1" applyBorder="1" applyAlignment="1">
      <alignment horizontal="left" vertical="center" wrapText="1"/>
    </xf>
    <xf numFmtId="0" fontId="274" fillId="0" borderId="63" xfId="0" applyFont="1" applyBorder="1" applyAlignment="1">
      <alignment horizontal="left" vertical="center" wrapText="1"/>
    </xf>
    <xf numFmtId="0" fontId="274" fillId="0" borderId="64" xfId="0" applyFont="1" applyBorder="1" applyAlignment="1">
      <alignment horizontal="left" vertical="center" wrapText="1"/>
    </xf>
    <xf numFmtId="49" fontId="277" fillId="0" borderId="65" xfId="0" applyNumberFormat="1" applyFont="1" applyBorder="1" applyAlignment="1">
      <alignment horizontal="center" vertical="center" wrapText="1"/>
    </xf>
    <xf numFmtId="49" fontId="277" fillId="0" borderId="63" xfId="0" applyNumberFormat="1" applyFont="1" applyBorder="1" applyAlignment="1">
      <alignment horizontal="center" vertical="center" wrapText="1"/>
    </xf>
    <xf numFmtId="49" fontId="277" fillId="0" borderId="64" xfId="0" applyNumberFormat="1" applyFont="1" applyBorder="1" applyAlignment="1">
      <alignment horizontal="center" vertical="center" wrapText="1"/>
    </xf>
    <xf numFmtId="0" fontId="271" fillId="0" borderId="65" xfId="0" applyFont="1" applyBorder="1" applyAlignment="1">
      <alignment horizontal="justify" vertical="justify" wrapText="1"/>
    </xf>
    <xf numFmtId="0" fontId="271" fillId="0" borderId="63" xfId="0" applyFont="1" applyBorder="1" applyAlignment="1">
      <alignment horizontal="justify" vertical="justify" wrapText="1"/>
    </xf>
    <xf numFmtId="0" fontId="271" fillId="0" borderId="64" xfId="0" applyFont="1" applyBorder="1" applyAlignment="1">
      <alignment horizontal="justify" vertical="justify" wrapText="1"/>
    </xf>
    <xf numFmtId="49" fontId="277" fillId="0" borderId="0" xfId="0" applyNumberFormat="1" applyFont="1" applyAlignment="1">
      <alignment horizontal="center" vertical="center" wrapText="1"/>
    </xf>
    <xf numFmtId="0" fontId="271" fillId="0" borderId="0" xfId="0" applyFont="1" applyAlignment="1">
      <alignment horizontal="left" vertical="center" wrapText="1"/>
    </xf>
    <xf numFmtId="49" fontId="275" fillId="0" borderId="0" xfId="0" applyNumberFormat="1" applyFont="1" applyAlignment="1">
      <alignment horizontal="center" vertical="center" wrapText="1"/>
    </xf>
    <xf numFmtId="0" fontId="275" fillId="0" borderId="0" xfId="0" applyFont="1" applyAlignment="1">
      <alignment horizontal="center" vertical="center" wrapText="1"/>
    </xf>
    <xf numFmtId="49" fontId="278" fillId="0" borderId="0" xfId="0" applyNumberFormat="1" applyFont="1" applyAlignment="1">
      <alignment horizontal="left" vertical="center" wrapText="1"/>
    </xf>
    <xf numFmtId="49" fontId="279" fillId="0" borderId="0" xfId="0" applyNumberFormat="1" applyFont="1" applyAlignment="1">
      <alignment horizontal="left" vertical="center" wrapText="1"/>
    </xf>
    <xf numFmtId="0" fontId="131" fillId="0" borderId="0" xfId="0" applyFont="1" applyAlignment="1">
      <alignment horizontal="left" vertical="center" wrapText="1"/>
    </xf>
    <xf numFmtId="0" fontId="258" fillId="0" borderId="64" xfId="0" applyFont="1" applyBorder="1" applyAlignment="1">
      <alignment horizontal="center" vertical="center"/>
    </xf>
    <xf numFmtId="0" fontId="266" fillId="0" borderId="65" xfId="0" applyFont="1" applyBorder="1" applyAlignment="1">
      <alignment horizontal="center" vertical="center"/>
    </xf>
    <xf numFmtId="0" fontId="266" fillId="0" borderId="63" xfId="0" applyFont="1" applyBorder="1" applyAlignment="1">
      <alignment horizontal="center" vertical="center"/>
    </xf>
    <xf numFmtId="0" fontId="266" fillId="0" borderId="64" xfId="0" applyFont="1" applyBorder="1" applyAlignment="1">
      <alignment horizontal="center" vertical="center"/>
    </xf>
    <xf numFmtId="49" fontId="255" fillId="17" borderId="52" xfId="0" applyNumberFormat="1" applyFont="1" applyFill="1" applyBorder="1" applyAlignment="1">
      <alignment horizontal="center" vertical="center" wrapText="1"/>
    </xf>
    <xf numFmtId="49" fontId="255" fillId="0" borderId="65" xfId="0" applyNumberFormat="1" applyFont="1" applyBorder="1" applyAlignment="1">
      <alignment horizontal="center" vertical="center" wrapText="1"/>
    </xf>
    <xf numFmtId="49" fontId="255" fillId="0" borderId="63" xfId="0" applyNumberFormat="1" applyFont="1" applyBorder="1" applyAlignment="1">
      <alignment horizontal="center" vertical="center" wrapText="1"/>
    </xf>
    <xf numFmtId="49" fontId="255" fillId="0" borderId="64" xfId="0" applyNumberFormat="1" applyFont="1" applyBorder="1" applyAlignment="1">
      <alignment horizontal="center" vertical="center" wrapText="1"/>
    </xf>
    <xf numFmtId="3" fontId="267" fillId="0" borderId="65" xfId="0" applyNumberFormat="1" applyFont="1" applyBorder="1" applyAlignment="1">
      <alignment horizontal="right" vertical="center" wrapText="1"/>
    </xf>
    <xf numFmtId="3" fontId="267" fillId="0" borderId="63" xfId="0" applyNumberFormat="1" applyFont="1" applyBorder="1" applyAlignment="1">
      <alignment horizontal="right" vertical="center" wrapText="1"/>
    </xf>
    <xf numFmtId="3" fontId="267" fillId="0" borderId="64" xfId="0" applyNumberFormat="1" applyFont="1" applyBorder="1" applyAlignment="1">
      <alignment horizontal="right" vertical="center" wrapText="1"/>
    </xf>
    <xf numFmtId="49" fontId="255" fillId="17" borderId="65" xfId="0" applyNumberFormat="1" applyFont="1" applyFill="1" applyBorder="1" applyAlignment="1">
      <alignment horizontal="center" vertical="center" wrapText="1"/>
    </xf>
    <xf numFmtId="49" fontId="255" fillId="17" borderId="64" xfId="0" applyNumberFormat="1" applyFont="1" applyFill="1" applyBorder="1" applyAlignment="1">
      <alignment horizontal="center" vertical="center" wrapText="1"/>
    </xf>
    <xf numFmtId="1" fontId="219" fillId="0" borderId="43" xfId="0" applyNumberFormat="1" applyFont="1" applyBorder="1" applyAlignment="1">
      <alignment horizontal="left" vertical="center"/>
    </xf>
    <xf numFmtId="1" fontId="219" fillId="0" borderId="43" xfId="0" applyNumberFormat="1" applyFont="1" applyBorder="1" applyAlignment="1">
      <alignment horizontal="left" vertical="center" wrapText="1"/>
    </xf>
    <xf numFmtId="0" fontId="219" fillId="0" borderId="73" xfId="0" applyFont="1" applyBorder="1" applyAlignment="1">
      <alignment horizontal="left" vertical="top" wrapText="1"/>
    </xf>
    <xf numFmtId="0" fontId="255" fillId="0" borderId="73" xfId="0" applyFont="1" applyBorder="1" applyAlignment="1">
      <alignment horizontal="center" vertical="center" wrapText="1"/>
    </xf>
    <xf numFmtId="0" fontId="255" fillId="0" borderId="0" xfId="0" applyFont="1" applyAlignment="1">
      <alignment horizontal="center" vertical="center" wrapText="1"/>
    </xf>
    <xf numFmtId="0" fontId="219" fillId="0" borderId="0" xfId="0" applyFont="1" applyAlignment="1">
      <alignment horizontal="left" vertical="top" wrapText="1"/>
    </xf>
    <xf numFmtId="3" fontId="280" fillId="0" borderId="65" xfId="0" applyNumberFormat="1" applyFont="1" applyBorder="1" applyAlignment="1">
      <alignment horizontal="center" vertical="center" wrapText="1"/>
    </xf>
    <xf numFmtId="3" fontId="280" fillId="0" borderId="63" xfId="0" applyNumberFormat="1" applyFont="1" applyBorder="1" applyAlignment="1">
      <alignment horizontal="center" vertical="center" wrapText="1"/>
    </xf>
    <xf numFmtId="3" fontId="280" fillId="0" borderId="64" xfId="0" applyNumberFormat="1" applyFont="1" applyBorder="1" applyAlignment="1">
      <alignment horizontal="center" vertical="center" wrapText="1"/>
    </xf>
    <xf numFmtId="3" fontId="280" fillId="0" borderId="65" xfId="0" applyNumberFormat="1" applyFont="1" applyBorder="1" applyAlignment="1">
      <alignment horizontal="right" vertical="center" wrapText="1"/>
    </xf>
    <xf numFmtId="3" fontId="280" fillId="0" borderId="63" xfId="0" applyNumberFormat="1" applyFont="1" applyBorder="1" applyAlignment="1">
      <alignment horizontal="right" vertical="center" wrapText="1"/>
    </xf>
    <xf numFmtId="3" fontId="280" fillId="0" borderId="64" xfId="0" applyNumberFormat="1" applyFont="1" applyBorder="1" applyAlignment="1">
      <alignment horizontal="right" vertical="center" wrapText="1"/>
    </xf>
    <xf numFmtId="49" fontId="255" fillId="17" borderId="0" xfId="0" applyNumberFormat="1" applyFont="1" applyFill="1" applyAlignment="1">
      <alignment horizontal="center" vertical="center" wrapText="1"/>
    </xf>
    <xf numFmtId="0" fontId="219" fillId="0" borderId="0" xfId="0" applyFont="1" applyAlignment="1">
      <alignment horizontal="left" vertical="center" wrapText="1"/>
    </xf>
    <xf numFmtId="0" fontId="219" fillId="0" borderId="0" xfId="0" applyFont="1" applyAlignment="1">
      <alignment horizontal="center" vertical="center" wrapText="1"/>
    </xf>
    <xf numFmtId="0" fontId="219" fillId="0" borderId="0" xfId="0" applyFont="1" applyAlignment="1">
      <alignment vertical="center" wrapText="1"/>
    </xf>
    <xf numFmtId="0" fontId="255" fillId="0" borderId="0" xfId="0" applyFont="1" applyAlignment="1">
      <alignment wrapText="1"/>
    </xf>
    <xf numFmtId="0" fontId="281" fillId="0" borderId="0" xfId="0" applyFont="1"/>
    <xf numFmtId="0" fontId="282" fillId="0" borderId="0" xfId="0" applyFont="1"/>
    <xf numFmtId="0" fontId="280" fillId="0" borderId="52" xfId="0" applyFont="1" applyBorder="1" applyAlignment="1">
      <alignment vertical="center"/>
    </xf>
    <xf numFmtId="0" fontId="219" fillId="0" borderId="90" xfId="0" applyFont="1" applyBorder="1" applyAlignment="1">
      <alignment horizontal="center" vertical="center"/>
    </xf>
    <xf numFmtId="0" fontId="219" fillId="0" borderId="91" xfId="0" applyFont="1" applyBorder="1" applyAlignment="1">
      <alignment horizontal="center" vertical="center"/>
    </xf>
    <xf numFmtId="0" fontId="255" fillId="0" borderId="0" xfId="0" applyFont="1" applyAlignment="1">
      <alignment vertical="center"/>
    </xf>
    <xf numFmtId="0" fontId="256" fillId="0" borderId="0" xfId="0" applyFont="1" applyAlignment="1">
      <alignment vertical="center"/>
    </xf>
    <xf numFmtId="0" fontId="219" fillId="0" borderId="52" xfId="0" applyFont="1" applyBorder="1" applyAlignment="1">
      <alignment vertical="center"/>
    </xf>
    <xf numFmtId="0" fontId="280" fillId="0" borderId="29" xfId="0" applyFont="1" applyBorder="1" applyAlignment="1">
      <alignment horizontal="center" vertical="center"/>
    </xf>
    <xf numFmtId="0" fontId="283" fillId="0" borderId="73" xfId="0" applyFont="1" applyBorder="1" applyAlignment="1">
      <alignment horizontal="center" vertical="center"/>
    </xf>
    <xf numFmtId="0" fontId="283" fillId="0" borderId="0" xfId="0" applyFont="1" applyAlignment="1">
      <alignment horizontal="center" vertical="center"/>
    </xf>
    <xf numFmtId="0" fontId="41" fillId="0" borderId="0" xfId="0" applyFont="1" applyAlignment="1">
      <alignment vertical="center"/>
    </xf>
    <xf numFmtId="0" fontId="255" fillId="0" borderId="0" xfId="0" applyFont="1" applyAlignment="1">
      <alignment horizontal="right" vertical="center"/>
    </xf>
    <xf numFmtId="0" fontId="265" fillId="0" borderId="0" xfId="0" applyFont="1" applyAlignment="1">
      <alignment vertical="center"/>
    </xf>
    <xf numFmtId="0" fontId="219" fillId="0" borderId="0" xfId="0" applyFont="1" applyAlignment="1">
      <alignment horizontal="right" vertical="center"/>
    </xf>
    <xf numFmtId="0" fontId="283" fillId="0" borderId="0" xfId="0" applyFont="1" applyAlignment="1">
      <alignment vertical="center"/>
    </xf>
    <xf numFmtId="0" fontId="11" fillId="0" borderId="75" xfId="0" applyFont="1" applyBorder="1"/>
    <xf numFmtId="0" fontId="11" fillId="0" borderId="74" xfId="0" applyFont="1" applyBorder="1"/>
    <xf numFmtId="0" fontId="11" fillId="0" borderId="90" xfId="0" applyFont="1" applyBorder="1"/>
    <xf numFmtId="0" fontId="11" fillId="0" borderId="84" xfId="0" applyFont="1" applyBorder="1"/>
    <xf numFmtId="0" fontId="219" fillId="0" borderId="0" xfId="0" applyFont="1" applyAlignment="1">
      <alignment horizontal="center" vertical="center"/>
    </xf>
    <xf numFmtId="0" fontId="219" fillId="0" borderId="29" xfId="0" applyFont="1" applyBorder="1" applyAlignment="1">
      <alignment horizontal="center" vertical="center"/>
    </xf>
    <xf numFmtId="0" fontId="280" fillId="0" borderId="29" xfId="0" applyFont="1" applyBorder="1" applyAlignment="1">
      <alignment horizontal="right" vertical="center" shrinkToFit="1"/>
    </xf>
    <xf numFmtId="49" fontId="280" fillId="0" borderId="29" xfId="0" applyNumberFormat="1" applyFont="1" applyBorder="1" applyAlignment="1">
      <alignment horizontal="left" vertical="center"/>
    </xf>
    <xf numFmtId="0" fontId="219" fillId="0" borderId="73" xfId="0" applyFont="1" applyBorder="1" applyAlignment="1">
      <alignment horizontal="center" vertical="center"/>
    </xf>
    <xf numFmtId="0" fontId="219" fillId="0" borderId="0" xfId="0" applyFont="1" applyAlignment="1">
      <alignment horizontal="center"/>
    </xf>
    <xf numFmtId="0" fontId="280" fillId="0" borderId="29" xfId="0" applyFont="1" applyBorder="1" applyAlignment="1">
      <alignment horizontal="right" shrinkToFit="1"/>
    </xf>
    <xf numFmtId="0" fontId="280" fillId="0" borderId="29" xfId="0" applyFont="1" applyBorder="1" applyAlignment="1">
      <alignment horizontal="left"/>
    </xf>
    <xf numFmtId="0" fontId="219" fillId="0" borderId="29" xfId="0" applyFont="1" applyBorder="1" applyAlignment="1">
      <alignment horizontal="center"/>
    </xf>
    <xf numFmtId="0" fontId="280" fillId="0" borderId="0" xfId="0" applyFont="1" applyAlignment="1">
      <alignment horizontal="right" vertical="center"/>
    </xf>
    <xf numFmtId="58" fontId="280" fillId="0" borderId="29" xfId="0" applyNumberFormat="1" applyFont="1" applyBorder="1" applyAlignment="1">
      <alignment horizontal="center" vertical="center"/>
    </xf>
    <xf numFmtId="0" fontId="41" fillId="0" borderId="0" xfId="0" applyFont="1" applyAlignment="1">
      <alignment horizontal="center" vertical="center"/>
    </xf>
    <xf numFmtId="0" fontId="219" fillId="0" borderId="52" xfId="0" applyFont="1" applyBorder="1"/>
    <xf numFmtId="49" fontId="220" fillId="0" borderId="43" xfId="0" applyNumberFormat="1" applyFont="1" applyBorder="1" applyAlignment="1">
      <alignment horizontal="center" vertical="center"/>
    </xf>
    <xf numFmtId="0" fontId="256" fillId="0" borderId="43" xfId="0" applyFont="1" applyBorder="1" applyAlignment="1">
      <alignment horizontal="center"/>
    </xf>
    <xf numFmtId="1" fontId="258" fillId="0" borderId="0" xfId="0" applyNumberFormat="1" applyFont="1" applyAlignment="1">
      <alignment horizontal="center"/>
    </xf>
    <xf numFmtId="1" fontId="28" fillId="0" borderId="0" xfId="0" applyNumberFormat="1" applyFont="1" applyAlignment="1">
      <alignment horizontal="center"/>
    </xf>
    <xf numFmtId="0" fontId="258" fillId="0" borderId="0" xfId="0" applyFont="1" applyAlignment="1">
      <alignment horizontal="left" vertical="center" wrapText="1"/>
    </xf>
    <xf numFmtId="49" fontId="284" fillId="0" borderId="0" xfId="0" applyNumberFormat="1" applyFont="1" applyAlignment="1">
      <alignment horizontal="left" vertical="center" wrapText="1"/>
    </xf>
    <xf numFmtId="3" fontId="267" fillId="30" borderId="65" xfId="0" applyNumberFormat="1" applyFont="1" applyFill="1" applyBorder="1" applyAlignment="1">
      <alignment horizontal="right" wrapText="1"/>
    </xf>
    <xf numFmtId="3" fontId="267" fillId="30" borderId="63" xfId="0" applyNumberFormat="1" applyFont="1" applyFill="1" applyBorder="1" applyAlignment="1">
      <alignment horizontal="right" wrapText="1"/>
    </xf>
    <xf numFmtId="3" fontId="267" fillId="30" borderId="64" xfId="0" applyNumberFormat="1" applyFont="1" applyFill="1" applyBorder="1" applyAlignment="1">
      <alignment horizontal="right" wrapText="1"/>
    </xf>
    <xf numFmtId="3" fontId="268" fillId="30" borderId="65" xfId="0" applyNumberFormat="1" applyFont="1" applyFill="1" applyBorder="1" applyAlignment="1">
      <alignment horizontal="right" wrapText="1"/>
    </xf>
    <xf numFmtId="3" fontId="268" fillId="30" borderId="63" xfId="0" applyNumberFormat="1" applyFont="1" applyFill="1" applyBorder="1" applyAlignment="1">
      <alignment horizontal="right" wrapText="1"/>
    </xf>
    <xf numFmtId="3" fontId="268" fillId="30" borderId="64" xfId="0" applyNumberFormat="1" applyFont="1" applyFill="1" applyBorder="1" applyAlignment="1">
      <alignment horizontal="right" wrapText="1"/>
    </xf>
    <xf numFmtId="0" fontId="44" fillId="30" borderId="65" xfId="0" applyFont="1" applyFill="1" applyBorder="1" applyAlignment="1">
      <alignment horizontal="center"/>
    </xf>
    <xf numFmtId="0" fontId="44" fillId="30" borderId="63" xfId="0" applyFont="1" applyFill="1" applyBorder="1" applyAlignment="1">
      <alignment horizontal="center"/>
    </xf>
    <xf numFmtId="0" fontId="44" fillId="30" borderId="64" xfId="0" applyFont="1" applyFill="1" applyBorder="1" applyAlignment="1">
      <alignment horizontal="center"/>
    </xf>
    <xf numFmtId="0" fontId="262" fillId="0" borderId="29" xfId="0" applyFont="1" applyBorder="1" applyAlignment="1">
      <alignment horizontal="right" vertical="center" shrinkToFit="1"/>
    </xf>
    <xf numFmtId="0" fontId="280" fillId="0" borderId="29" xfId="0" applyFont="1" applyBorder="1" applyAlignment="1">
      <alignment horizontal="left" vertical="center"/>
    </xf>
    <xf numFmtId="0" fontId="262" fillId="0" borderId="0" xfId="0" applyFont="1" applyAlignment="1">
      <alignment horizontal="right" vertical="center"/>
    </xf>
    <xf numFmtId="3" fontId="267" fillId="30" borderId="65" xfId="0" applyNumberFormat="1" applyFont="1" applyFill="1" applyBorder="1" applyAlignment="1">
      <alignment horizontal="right" vertical="center" wrapText="1"/>
    </xf>
    <xf numFmtId="3" fontId="267" fillId="30" borderId="63" xfId="0" applyNumberFormat="1" applyFont="1" applyFill="1" applyBorder="1" applyAlignment="1">
      <alignment horizontal="right" vertical="center" wrapText="1"/>
    </xf>
    <xf numFmtId="3" fontId="267" fillId="30" borderId="64" xfId="0" applyNumberFormat="1" applyFont="1" applyFill="1" applyBorder="1" applyAlignment="1">
      <alignment horizontal="right" vertical="center" wrapText="1"/>
    </xf>
    <xf numFmtId="0" fontId="11" fillId="0" borderId="0" xfId="0" applyFont="1" applyAlignment="1" applyProtection="1">
      <alignment vertical="center"/>
      <protection locked="0"/>
    </xf>
    <xf numFmtId="0" fontId="12" fillId="0" borderId="0" xfId="0" applyFont="1" applyProtection="1">
      <protection locked="0"/>
    </xf>
    <xf numFmtId="0" fontId="250" fillId="4" borderId="0" xfId="0" applyFont="1" applyFill="1" applyAlignment="1" applyProtection="1">
      <alignment horizontal="center" vertical="center" shrinkToFit="1"/>
      <protection locked="0"/>
    </xf>
    <xf numFmtId="49" fontId="285" fillId="28" borderId="0" xfId="0" applyNumberFormat="1" applyFont="1" applyFill="1" applyAlignment="1" applyProtection="1">
      <alignment horizontal="left" vertical="center"/>
      <protection locked="0"/>
    </xf>
    <xf numFmtId="0" fontId="286" fillId="0" borderId="0" xfId="0" applyFont="1" applyProtection="1">
      <protection locked="0"/>
    </xf>
    <xf numFmtId="0" fontId="254" fillId="28" borderId="264" xfId="0" applyFont="1" applyFill="1" applyBorder="1" applyAlignment="1" applyProtection="1">
      <alignment horizontal="center"/>
      <protection locked="0"/>
    </xf>
    <xf numFmtId="0" fontId="254" fillId="28" borderId="250" xfId="0" applyFont="1" applyFill="1" applyBorder="1" applyAlignment="1" applyProtection="1">
      <alignment horizontal="center" vertical="center"/>
      <protection locked="0"/>
    </xf>
    <xf numFmtId="0" fontId="254" fillId="28" borderId="264" xfId="0" applyFont="1" applyFill="1" applyBorder="1" applyAlignment="1" applyProtection="1">
      <alignment horizontal="center" shrinkToFit="1"/>
      <protection locked="0"/>
    </xf>
    <xf numFmtId="0" fontId="254" fillId="28" borderId="268" xfId="0" applyFont="1" applyFill="1" applyBorder="1" applyAlignment="1" applyProtection="1">
      <alignment horizontal="center" shrinkToFit="1"/>
      <protection locked="0"/>
    </xf>
    <xf numFmtId="0" fontId="254" fillId="28" borderId="269" xfId="0" applyFont="1" applyFill="1" applyBorder="1" applyAlignment="1" applyProtection="1">
      <alignment horizontal="center"/>
      <protection locked="0"/>
    </xf>
    <xf numFmtId="0" fontId="254" fillId="28" borderId="250" xfId="0" applyFont="1" applyFill="1" applyBorder="1" applyAlignment="1" applyProtection="1">
      <alignment horizontal="center"/>
      <protection locked="0"/>
    </xf>
    <xf numFmtId="0" fontId="254" fillId="28" borderId="270" xfId="0" applyFont="1" applyFill="1" applyBorder="1" applyAlignment="1" applyProtection="1">
      <alignment horizontal="center"/>
      <protection locked="0"/>
    </xf>
    <xf numFmtId="0" fontId="254" fillId="28" borderId="266" xfId="0" applyFont="1" applyFill="1" applyBorder="1" applyAlignment="1" applyProtection="1">
      <alignment horizontal="center"/>
      <protection locked="0"/>
    </xf>
    <xf numFmtId="0" fontId="254" fillId="28" borderId="271" xfId="0" applyFont="1" applyFill="1" applyBorder="1" applyAlignment="1" applyProtection="1">
      <alignment horizontal="center"/>
      <protection locked="0"/>
    </xf>
    <xf numFmtId="0" fontId="254" fillId="28" borderId="271" xfId="0" applyFont="1" applyFill="1" applyBorder="1" applyAlignment="1" applyProtection="1">
      <alignment horizontal="center" vertical="top" shrinkToFit="1"/>
      <protection locked="0"/>
    </xf>
    <xf numFmtId="0" fontId="254" fillId="28" borderId="272" xfId="0" applyFont="1" applyFill="1" applyBorder="1" applyAlignment="1" applyProtection="1">
      <alignment horizontal="center" vertical="top" shrinkToFit="1"/>
      <protection locked="0"/>
    </xf>
    <xf numFmtId="0" fontId="254" fillId="28" borderId="263" xfId="0" applyFont="1" applyFill="1" applyBorder="1" applyAlignment="1" applyProtection="1">
      <alignment horizontal="center"/>
      <protection locked="0"/>
    </xf>
    <xf numFmtId="182" fontId="254" fillId="28" borderId="271" xfId="1" applyNumberFormat="1" applyFont="1" applyFill="1" applyBorder="1" applyAlignment="1" applyProtection="1">
      <alignment horizontal="right"/>
      <protection locked="0"/>
    </xf>
    <xf numFmtId="185" fontId="11" fillId="18" borderId="250" xfId="1" applyNumberFormat="1" applyFont="1" applyFill="1" applyBorder="1" applyAlignment="1" applyProtection="1">
      <protection locked="0"/>
    </xf>
    <xf numFmtId="185" fontId="11" fillId="18" borderId="251" xfId="1" applyNumberFormat="1" applyFont="1" applyFill="1" applyBorder="1" applyAlignment="1" applyProtection="1">
      <protection locked="0"/>
    </xf>
    <xf numFmtId="185" fontId="12" fillId="28" borderId="250" xfId="1" applyNumberFormat="1" applyFont="1" applyFill="1" applyBorder="1" applyAlignment="1" applyProtection="1">
      <protection locked="0"/>
    </xf>
    <xf numFmtId="185" fontId="12" fillId="28" borderId="270" xfId="1" applyNumberFormat="1" applyFont="1" applyFill="1" applyBorder="1" applyAlignment="1" applyProtection="1">
      <protection locked="0"/>
    </xf>
    <xf numFmtId="185" fontId="12" fillId="25" borderId="256" xfId="1" applyNumberFormat="1" applyFont="1" applyFill="1" applyBorder="1" applyAlignment="1" applyProtection="1">
      <protection locked="0"/>
    </xf>
    <xf numFmtId="185" fontId="12" fillId="25" borderId="250" xfId="1" applyNumberFormat="1" applyFont="1" applyFill="1" applyBorder="1" applyAlignment="1" applyProtection="1">
      <protection locked="0"/>
    </xf>
    <xf numFmtId="182" fontId="12" fillId="28" borderId="250" xfId="1" applyNumberFormat="1" applyFont="1" applyFill="1" applyBorder="1" applyAlignment="1" applyProtection="1">
      <protection locked="0"/>
    </xf>
    <xf numFmtId="0" fontId="287" fillId="9" borderId="273" xfId="0" applyFont="1" applyFill="1" applyBorder="1" applyProtection="1">
      <protection locked="0"/>
    </xf>
    <xf numFmtId="0" fontId="287" fillId="9" borderId="264" xfId="0" applyFont="1" applyFill="1" applyBorder="1" applyProtection="1">
      <protection locked="0"/>
    </xf>
    <xf numFmtId="185" fontId="12" fillId="28" borderId="256" xfId="1" applyNumberFormat="1" applyFont="1" applyFill="1" applyBorder="1" applyAlignment="1" applyProtection="1">
      <protection locked="0"/>
    </xf>
    <xf numFmtId="0" fontId="287" fillId="9" borderId="274" xfId="0" applyFont="1" applyFill="1" applyBorder="1" applyProtection="1">
      <protection locked="0"/>
    </xf>
    <xf numFmtId="0" fontId="287" fillId="9" borderId="275" xfId="0" applyFont="1" applyFill="1" applyBorder="1" applyProtection="1">
      <protection locked="0"/>
    </xf>
    <xf numFmtId="0" fontId="287" fillId="9" borderId="276" xfId="0" applyFont="1" applyFill="1" applyBorder="1" applyProtection="1">
      <protection locked="0"/>
    </xf>
    <xf numFmtId="0" fontId="11" fillId="9" borderId="265" xfId="0" applyFont="1" applyFill="1" applyBorder="1" applyProtection="1">
      <protection locked="0"/>
    </xf>
    <xf numFmtId="0" fontId="11" fillId="9" borderId="266" xfId="0" applyFont="1" applyFill="1" applyBorder="1" applyProtection="1">
      <protection locked="0"/>
    </xf>
    <xf numFmtId="0" fontId="11" fillId="9" borderId="0" xfId="0" applyFont="1" applyFill="1" applyProtection="1">
      <protection locked="0"/>
    </xf>
    <xf numFmtId="193" fontId="287" fillId="9" borderId="274" xfId="1" applyNumberFormat="1" applyFont="1" applyFill="1" applyBorder="1" applyAlignment="1" applyProtection="1">
      <protection locked="0"/>
    </xf>
    <xf numFmtId="193" fontId="287" fillId="9" borderId="275" xfId="1" applyNumberFormat="1" applyFont="1" applyFill="1" applyBorder="1" applyAlignment="1" applyProtection="1">
      <protection locked="0"/>
    </xf>
    <xf numFmtId="193" fontId="287" fillId="9" borderId="276" xfId="1" applyNumberFormat="1" applyFont="1" applyFill="1" applyBorder="1" applyAlignment="1" applyProtection="1">
      <protection locked="0"/>
    </xf>
    <xf numFmtId="0" fontId="288" fillId="9" borderId="0" xfId="0" applyFont="1" applyFill="1" applyProtection="1">
      <protection locked="0"/>
    </xf>
    <xf numFmtId="193" fontId="287" fillId="9" borderId="277" xfId="1" applyNumberFormat="1" applyFont="1" applyFill="1" applyBorder="1" applyAlignment="1" applyProtection="1">
      <protection locked="0"/>
    </xf>
    <xf numFmtId="193" fontId="287" fillId="9" borderId="271" xfId="1" applyNumberFormat="1" applyFont="1" applyFill="1" applyBorder="1" applyAlignment="1" applyProtection="1">
      <protection locked="0"/>
    </xf>
    <xf numFmtId="193" fontId="287" fillId="9" borderId="272" xfId="1" applyNumberFormat="1" applyFont="1" applyFill="1" applyBorder="1" applyAlignment="1" applyProtection="1">
      <protection locked="0"/>
    </xf>
    <xf numFmtId="0" fontId="288" fillId="9" borderId="262" xfId="0" applyFont="1" applyFill="1" applyBorder="1" applyProtection="1">
      <protection locked="0"/>
    </xf>
    <xf numFmtId="0" fontId="11" fillId="9" borderId="262" xfId="0" applyFont="1" applyFill="1" applyBorder="1" applyProtection="1">
      <protection locked="0"/>
    </xf>
    <xf numFmtId="0" fontId="11" fillId="9" borderId="252" xfId="0" applyFont="1" applyFill="1" applyBorder="1" applyProtection="1">
      <protection locked="0"/>
    </xf>
    <xf numFmtId="0" fontId="11" fillId="9" borderId="278" xfId="0" applyFont="1" applyFill="1" applyBorder="1" applyProtection="1">
      <protection locked="0"/>
    </xf>
    <xf numFmtId="0" fontId="254" fillId="28" borderId="264" xfId="0" applyFont="1" applyFill="1" applyBorder="1" applyProtection="1">
      <protection locked="0"/>
    </xf>
    <xf numFmtId="185" fontId="12" fillId="28" borderId="264" xfId="1" applyNumberFormat="1" applyFont="1" applyFill="1" applyBorder="1" applyAlignment="1" applyProtection="1">
      <protection locked="0"/>
    </xf>
    <xf numFmtId="185" fontId="12" fillId="28" borderId="268" xfId="1" applyNumberFormat="1" applyFont="1" applyFill="1" applyBorder="1" applyAlignment="1" applyProtection="1">
      <protection locked="0"/>
    </xf>
    <xf numFmtId="185" fontId="12" fillId="28" borderId="273" xfId="1" applyNumberFormat="1" applyFont="1" applyFill="1" applyBorder="1" applyAlignment="1" applyProtection="1">
      <protection locked="0"/>
    </xf>
    <xf numFmtId="185" fontId="12" fillId="28" borderId="279" xfId="1" applyNumberFormat="1" applyFont="1" applyFill="1" applyBorder="1" applyAlignment="1" applyProtection="1">
      <protection locked="0"/>
    </xf>
    <xf numFmtId="0" fontId="289" fillId="20" borderId="0" xfId="0" applyFont="1" applyFill="1" applyAlignment="1" applyProtection="1">
      <alignment vertical="center"/>
      <protection locked="0"/>
    </xf>
    <xf numFmtId="0" fontId="254" fillId="28" borderId="280" xfId="0" applyFont="1" applyFill="1" applyBorder="1" applyAlignment="1" applyProtection="1">
      <alignment vertical="center"/>
      <protection locked="0"/>
    </xf>
    <xf numFmtId="0" fontId="254" fillId="28" borderId="281" xfId="0" applyFont="1" applyFill="1" applyBorder="1" applyAlignment="1" applyProtection="1">
      <alignment horizontal="left" vertical="center"/>
      <protection locked="0"/>
    </xf>
    <xf numFmtId="0" fontId="254" fillId="28" borderId="281" xfId="0" applyFont="1" applyFill="1" applyBorder="1" applyAlignment="1" applyProtection="1">
      <alignment horizontal="center" vertical="center"/>
      <protection locked="0"/>
    </xf>
    <xf numFmtId="185" fontId="12" fillId="28" borderId="281" xfId="1" applyNumberFormat="1" applyFont="1" applyFill="1" applyBorder="1" applyAlignment="1" applyProtection="1">
      <alignment vertical="center"/>
      <protection locked="0"/>
    </xf>
    <xf numFmtId="193" fontId="11" fillId="18" borderId="282" xfId="1" applyNumberFormat="1" applyFont="1" applyFill="1" applyBorder="1" applyAlignment="1" applyProtection="1">
      <alignment vertical="center"/>
      <protection locked="0"/>
    </xf>
    <xf numFmtId="193" fontId="11" fillId="18" borderId="280" xfId="1" applyNumberFormat="1" applyFont="1" applyFill="1" applyBorder="1" applyAlignment="1" applyProtection="1">
      <alignment vertical="center"/>
      <protection locked="0"/>
    </xf>
    <xf numFmtId="0" fontId="11" fillId="20" borderId="0" xfId="0" applyFont="1" applyFill="1" applyAlignment="1" applyProtection="1">
      <alignment vertical="center"/>
      <protection locked="0"/>
    </xf>
    <xf numFmtId="0" fontId="286" fillId="0" borderId="0" xfId="0" applyFont="1" applyAlignment="1" applyProtection="1">
      <alignment vertical="center"/>
      <protection locked="0"/>
    </xf>
    <xf numFmtId="49" fontId="44" fillId="20" borderId="0" xfId="0" applyNumberFormat="1" applyFont="1" applyFill="1" applyAlignment="1" applyProtection="1">
      <alignment horizontal="center"/>
      <protection locked="0"/>
    </xf>
    <xf numFmtId="49" fontId="133" fillId="20" borderId="0" xfId="0" applyNumberFormat="1" applyFont="1" applyFill="1" applyAlignment="1" applyProtection="1">
      <alignment horizontal="justify" vertical="top"/>
      <protection locked="0"/>
    </xf>
    <xf numFmtId="185" fontId="11" fillId="20" borderId="0" xfId="0" applyNumberFormat="1" applyFont="1" applyFill="1" applyAlignment="1" applyProtection="1">
      <alignment horizontal="center"/>
      <protection locked="0"/>
    </xf>
    <xf numFmtId="0" fontId="11" fillId="20" borderId="0" xfId="0" applyFont="1" applyFill="1" applyAlignment="1" applyProtection="1">
      <alignment horizontal="center"/>
      <protection locked="0"/>
    </xf>
    <xf numFmtId="0" fontId="12" fillId="20" borderId="0" xfId="0" applyFont="1" applyFill="1" applyProtection="1">
      <protection locked="0"/>
    </xf>
    <xf numFmtId="0" fontId="254" fillId="28" borderId="10" xfId="0" applyFont="1" applyFill="1" applyBorder="1" applyAlignment="1">
      <alignment horizontal="right" vertical="center"/>
    </xf>
    <xf numFmtId="180" fontId="115" fillId="9" borderId="10" xfId="0" applyNumberFormat="1" applyFont="1" applyFill="1" applyBorder="1" applyAlignment="1">
      <alignment horizontal="right" vertical="center"/>
    </xf>
    <xf numFmtId="0" fontId="11" fillId="20" borderId="0" xfId="0" applyFont="1" applyFill="1" applyAlignment="1">
      <alignment vertical="center"/>
    </xf>
    <xf numFmtId="0" fontId="12" fillId="20" borderId="0" xfId="0" applyFont="1" applyFill="1" applyAlignment="1">
      <alignment vertical="center"/>
    </xf>
    <xf numFmtId="0" fontId="254" fillId="28" borderId="21" xfId="0" applyFont="1" applyFill="1" applyBorder="1" applyAlignment="1">
      <alignment horizontal="center" vertical="center"/>
    </xf>
    <xf numFmtId="0" fontId="254" fillId="28" borderId="21" xfId="0" applyFont="1" applyFill="1" applyBorder="1" applyAlignment="1">
      <alignment vertical="center"/>
    </xf>
    <xf numFmtId="0" fontId="11" fillId="20" borderId="0" xfId="0" applyFont="1" applyFill="1"/>
    <xf numFmtId="0" fontId="73" fillId="20" borderId="0" xfId="0" applyFont="1" applyFill="1"/>
    <xf numFmtId="0" fontId="5" fillId="28" borderId="283" xfId="0" applyFont="1" applyFill="1" applyBorder="1" applyAlignment="1">
      <alignment horizontal="center" vertical="center"/>
    </xf>
    <xf numFmtId="0" fontId="5" fillId="28" borderId="16" xfId="0" applyFont="1" applyFill="1" applyBorder="1" applyAlignment="1">
      <alignment vertical="center"/>
    </xf>
    <xf numFmtId="0" fontId="5" fillId="28" borderId="0" xfId="0" applyFont="1" applyFill="1" applyAlignment="1">
      <alignment vertical="center"/>
    </xf>
    <xf numFmtId="0" fontId="5" fillId="28" borderId="284" xfId="0" applyFont="1" applyFill="1" applyBorder="1" applyAlignment="1">
      <alignment vertical="center"/>
    </xf>
    <xf numFmtId="0" fontId="254" fillId="28" borderId="285" xfId="0" applyFont="1" applyFill="1" applyBorder="1" applyAlignment="1">
      <alignment horizontal="center" vertical="center"/>
    </xf>
    <xf numFmtId="0" fontId="254" fillId="28" borderId="285" xfId="0" applyFont="1" applyFill="1" applyBorder="1" applyAlignment="1">
      <alignment horizontal="left" vertical="center"/>
    </xf>
    <xf numFmtId="182" fontId="115" fillId="9" borderId="285" xfId="1" applyNumberFormat="1" applyFont="1" applyFill="1" applyBorder="1" applyAlignment="1">
      <alignment horizontal="right" vertical="center"/>
    </xf>
    <xf numFmtId="0" fontId="5" fillId="28" borderId="286" xfId="0" applyFont="1" applyFill="1" applyBorder="1" applyAlignment="1">
      <alignment horizontal="center" vertical="center"/>
    </xf>
    <xf numFmtId="0" fontId="5" fillId="28" borderId="287" xfId="0" applyFont="1" applyFill="1" applyBorder="1" applyAlignment="1">
      <alignment vertical="center"/>
    </xf>
    <xf numFmtId="0" fontId="5" fillId="28" borderId="288" xfId="0" applyFont="1" applyFill="1" applyBorder="1" applyAlignment="1">
      <alignment vertical="center"/>
    </xf>
    <xf numFmtId="182" fontId="5" fillId="28" borderId="288" xfId="1" applyNumberFormat="1" applyFont="1" applyFill="1" applyBorder="1" applyAlignment="1">
      <alignment vertical="center"/>
    </xf>
    <xf numFmtId="182" fontId="5" fillId="28" borderId="289" xfId="1" applyNumberFormat="1" applyFont="1" applyFill="1" applyBorder="1" applyAlignment="1">
      <alignment vertical="center"/>
    </xf>
    <xf numFmtId="0" fontId="254" fillId="28" borderId="10" xfId="0" applyFont="1" applyFill="1" applyBorder="1" applyAlignment="1">
      <alignment horizontal="center" vertical="center"/>
    </xf>
    <xf numFmtId="0" fontId="254" fillId="28" borderId="10" xfId="0" applyFont="1" applyFill="1" applyBorder="1" applyAlignment="1">
      <alignment horizontal="left" vertical="center"/>
    </xf>
    <xf numFmtId="0" fontId="254" fillId="25" borderId="10" xfId="0" applyFont="1" applyFill="1" applyBorder="1" applyAlignment="1">
      <alignment horizontal="center" vertical="center"/>
    </xf>
    <xf numFmtId="182" fontId="244" fillId="9" borderId="10" xfId="1" applyNumberFormat="1" applyFont="1" applyFill="1" applyBorder="1" applyAlignment="1">
      <alignment horizontal="right" vertical="center"/>
    </xf>
    <xf numFmtId="0" fontId="5" fillId="28" borderId="6" xfId="0" applyFont="1" applyFill="1" applyBorder="1" applyAlignment="1">
      <alignment horizontal="center" vertical="center"/>
    </xf>
    <xf numFmtId="0" fontId="5" fillId="28" borderId="7" xfId="0" applyFont="1" applyFill="1" applyBorder="1" applyAlignment="1">
      <alignment vertical="center"/>
    </xf>
    <xf numFmtId="0" fontId="5" fillId="28" borderId="290" xfId="0" applyFont="1" applyFill="1" applyBorder="1" applyAlignment="1">
      <alignment vertical="center"/>
    </xf>
    <xf numFmtId="182" fontId="117" fillId="28" borderId="290" xfId="1" applyNumberFormat="1" applyFont="1" applyFill="1" applyBorder="1" applyAlignment="1">
      <alignment vertical="center"/>
    </xf>
    <xf numFmtId="182" fontId="117" fillId="28" borderId="291" xfId="1" applyNumberFormat="1" applyFont="1" applyFill="1" applyBorder="1" applyAlignment="1">
      <alignment vertical="center"/>
    </xf>
    <xf numFmtId="182" fontId="115" fillId="9" borderId="10" xfId="1" applyNumberFormat="1" applyFont="1" applyFill="1" applyBorder="1" applyAlignment="1">
      <alignment horizontal="right" vertical="center"/>
    </xf>
    <xf numFmtId="0" fontId="12" fillId="31" borderId="0" xfId="0" applyFont="1" applyFill="1" applyProtection="1">
      <protection locked="0"/>
    </xf>
    <xf numFmtId="182" fontId="12" fillId="31" borderId="0" xfId="1" applyNumberFormat="1" applyFont="1" applyFill="1" applyBorder="1" applyProtection="1">
      <protection locked="0"/>
    </xf>
    <xf numFmtId="0" fontId="5" fillId="28" borderId="10" xfId="0" applyFont="1" applyFill="1" applyBorder="1" applyAlignment="1">
      <alignment horizontal="center" vertical="center"/>
    </xf>
    <xf numFmtId="0" fontId="5" fillId="28" borderId="11" xfId="0" applyFont="1" applyFill="1" applyBorder="1" applyAlignment="1">
      <alignment vertical="center"/>
    </xf>
    <xf numFmtId="0" fontId="5" fillId="28" borderId="292" xfId="0" applyFont="1" applyFill="1" applyBorder="1" applyAlignment="1">
      <alignment vertical="center"/>
    </xf>
    <xf numFmtId="0" fontId="117" fillId="28" borderId="292" xfId="0" applyFont="1" applyFill="1" applyBorder="1" applyAlignment="1">
      <alignment vertical="center"/>
    </xf>
    <xf numFmtId="182" fontId="117" fillId="28" borderId="292" xfId="1" applyNumberFormat="1" applyFont="1" applyFill="1" applyBorder="1" applyAlignment="1">
      <alignment vertical="center"/>
    </xf>
    <xf numFmtId="182" fontId="117" fillId="28" borderId="23" xfId="1" applyNumberFormat="1" applyFont="1" applyFill="1" applyBorder="1" applyAlignment="1">
      <alignment vertical="center"/>
    </xf>
    <xf numFmtId="0" fontId="254" fillId="28" borderId="14" xfId="0" applyFont="1" applyFill="1" applyBorder="1" applyAlignment="1">
      <alignment horizontal="center" vertical="center"/>
    </xf>
    <xf numFmtId="182" fontId="115" fillId="9" borderId="14" xfId="1" applyNumberFormat="1" applyFont="1" applyFill="1" applyBorder="1" applyAlignment="1">
      <alignment horizontal="right" vertical="center"/>
    </xf>
    <xf numFmtId="182" fontId="244" fillId="9" borderId="14" xfId="1" applyNumberFormat="1" applyFont="1" applyFill="1" applyBorder="1" applyAlignment="1">
      <alignment horizontal="right" vertical="center"/>
    </xf>
    <xf numFmtId="182" fontId="5" fillId="28" borderId="290" xfId="1" applyNumberFormat="1" applyFont="1" applyFill="1" applyBorder="1" applyAlignment="1">
      <alignment vertical="center"/>
    </xf>
    <xf numFmtId="182" fontId="115" fillId="0" borderId="14" xfId="1" applyNumberFormat="1" applyFont="1" applyFill="1" applyBorder="1" applyAlignment="1">
      <alignment horizontal="right" vertical="center"/>
    </xf>
    <xf numFmtId="182" fontId="244" fillId="0" borderId="10" xfId="1" applyNumberFormat="1" applyFont="1" applyFill="1" applyBorder="1" applyAlignment="1">
      <alignment horizontal="right" vertical="center"/>
    </xf>
    <xf numFmtId="0" fontId="254" fillId="28" borderId="10" xfId="0" applyFont="1" applyFill="1" applyBorder="1" applyAlignment="1">
      <alignment horizontal="left" vertical="center" shrinkToFit="1"/>
    </xf>
    <xf numFmtId="182" fontId="115" fillId="0" borderId="10" xfId="1" applyNumberFormat="1" applyFont="1" applyFill="1" applyBorder="1" applyAlignment="1">
      <alignment horizontal="right" vertical="center"/>
    </xf>
    <xf numFmtId="0" fontId="11" fillId="20" borderId="0" xfId="0" applyFont="1" applyFill="1" applyAlignment="1" applyProtection="1">
      <alignment horizontal="right"/>
      <protection locked="0"/>
    </xf>
    <xf numFmtId="49" fontId="11" fillId="20" borderId="0" xfId="0" applyNumberFormat="1" applyFont="1" applyFill="1" applyAlignment="1" applyProtection="1">
      <alignment horizontal="left" indent="1"/>
      <protection locked="0"/>
    </xf>
    <xf numFmtId="0" fontId="11" fillId="20" borderId="0" xfId="0" applyFont="1" applyFill="1" applyAlignment="1" applyProtection="1">
      <alignment horizontal="left" indent="1"/>
      <protection locked="0"/>
    </xf>
    <xf numFmtId="0" fontId="254" fillId="28" borderId="10" xfId="0" applyFont="1" applyFill="1" applyBorder="1" applyAlignment="1">
      <alignment horizontal="left" vertical="center" wrapText="1"/>
    </xf>
    <xf numFmtId="0" fontId="11" fillId="20" borderId="16" xfId="0" applyFont="1" applyFill="1" applyBorder="1" applyAlignment="1" applyProtection="1">
      <alignment horizontal="right" vertical="center"/>
      <protection locked="0"/>
    </xf>
    <xf numFmtId="0" fontId="11" fillId="20" borderId="0" xfId="0" applyFont="1" applyFill="1" applyAlignment="1" applyProtection="1">
      <alignment horizontal="right" vertical="center"/>
      <protection locked="0"/>
    </xf>
    <xf numFmtId="49" fontId="11" fillId="20" borderId="0" xfId="0" applyNumberFormat="1" applyFont="1" applyFill="1" applyAlignment="1" applyProtection="1">
      <alignment horizontal="left" vertical="center" indent="1"/>
      <protection locked="0"/>
    </xf>
    <xf numFmtId="49" fontId="11" fillId="20" borderId="0" xfId="0" applyNumberFormat="1" applyFont="1" applyFill="1" applyProtection="1">
      <protection locked="0"/>
    </xf>
    <xf numFmtId="49" fontId="12" fillId="20" borderId="0" xfId="0" applyNumberFormat="1" applyFont="1" applyFill="1" applyProtection="1">
      <protection locked="0"/>
    </xf>
    <xf numFmtId="0" fontId="12" fillId="20" borderId="0" xfId="0" applyFont="1" applyFill="1" applyAlignment="1" applyProtection="1">
      <alignment vertical="center"/>
      <protection locked="0"/>
    </xf>
    <xf numFmtId="49" fontId="11" fillId="20" borderId="0" xfId="0" applyNumberFormat="1" applyFont="1" applyFill="1" applyAlignment="1" applyProtection="1">
      <alignment vertical="center"/>
      <protection locked="0"/>
    </xf>
    <xf numFmtId="0" fontId="73" fillId="20" borderId="0" xfId="0" applyFont="1" applyFill="1" applyAlignment="1">
      <alignment vertical="center"/>
    </xf>
    <xf numFmtId="0" fontId="254" fillId="28" borderId="14" xfId="0" applyFont="1" applyFill="1" applyBorder="1" applyAlignment="1">
      <alignment horizontal="left" vertical="center" shrinkToFit="1"/>
    </xf>
    <xf numFmtId="0" fontId="254" fillId="28" borderId="19" xfId="0" applyFont="1" applyFill="1" applyBorder="1" applyAlignment="1">
      <alignment horizontal="center" vertical="center"/>
    </xf>
    <xf numFmtId="0" fontId="254" fillId="28" borderId="19" xfId="0" applyFont="1" applyFill="1" applyBorder="1" applyAlignment="1">
      <alignment horizontal="left" vertical="center" shrinkToFit="1"/>
    </xf>
    <xf numFmtId="182" fontId="115" fillId="0" borderId="19" xfId="1" applyNumberFormat="1" applyFont="1" applyFill="1" applyBorder="1" applyAlignment="1">
      <alignment horizontal="right" vertical="center"/>
    </xf>
    <xf numFmtId="43" fontId="11" fillId="20" borderId="0" xfId="0" applyNumberFormat="1" applyFont="1" applyFill="1" applyAlignment="1" applyProtection="1">
      <alignment horizontal="right"/>
      <protection locked="0"/>
    </xf>
    <xf numFmtId="0" fontId="254" fillId="32" borderId="21" xfId="0" applyFont="1" applyFill="1" applyBorder="1" applyAlignment="1">
      <alignment horizontal="center" vertical="center"/>
    </xf>
    <xf numFmtId="0" fontId="254" fillId="32" borderId="21" xfId="0" applyFont="1" applyFill="1" applyBorder="1" applyAlignment="1">
      <alignment horizontal="left" vertical="center" shrinkToFit="1"/>
    </xf>
    <xf numFmtId="182" fontId="245" fillId="0" borderId="21" xfId="1" applyNumberFormat="1" applyFont="1" applyFill="1" applyBorder="1" applyAlignment="1">
      <alignment horizontal="right" vertical="center"/>
    </xf>
    <xf numFmtId="182" fontId="115" fillId="8" borderId="19" xfId="1" applyNumberFormat="1" applyFont="1" applyFill="1" applyBorder="1" applyAlignment="1">
      <alignment horizontal="right" vertical="center"/>
    </xf>
    <xf numFmtId="0" fontId="254" fillId="20" borderId="293" xfId="0" applyFont="1" applyFill="1" applyBorder="1" applyAlignment="1">
      <alignment horizontal="center" vertical="center"/>
    </xf>
    <xf numFmtId="0" fontId="11" fillId="20" borderId="294" xfId="0" applyFont="1" applyFill="1" applyBorder="1" applyAlignment="1" applyProtection="1">
      <alignment horizontal="center" vertical="center"/>
      <protection locked="0"/>
    </xf>
    <xf numFmtId="0" fontId="11" fillId="20" borderId="295" xfId="0" applyFont="1" applyFill="1" applyBorder="1" applyAlignment="1" applyProtection="1">
      <alignment horizontal="center" vertical="center"/>
      <protection locked="0"/>
    </xf>
    <xf numFmtId="182" fontId="11" fillId="8" borderId="294" xfId="1" applyNumberFormat="1" applyFont="1" applyFill="1" applyBorder="1" applyAlignment="1" applyProtection="1">
      <alignment horizontal="right" vertical="center"/>
      <protection locked="0"/>
    </xf>
    <xf numFmtId="182" fontId="290" fillId="24" borderId="294" xfId="1" applyNumberFormat="1" applyFont="1" applyFill="1" applyBorder="1" applyAlignment="1" applyProtection="1">
      <alignment horizontal="right" vertical="center"/>
      <protection locked="0"/>
    </xf>
    <xf numFmtId="182" fontId="245" fillId="24" borderId="21" xfId="1" applyNumberFormat="1" applyFont="1" applyFill="1" applyBorder="1" applyAlignment="1">
      <alignment horizontal="right" vertical="center"/>
    </xf>
    <xf numFmtId="0" fontId="254" fillId="20" borderId="296" xfId="0" applyFont="1" applyFill="1" applyBorder="1" applyAlignment="1">
      <alignment horizontal="center" vertical="center"/>
    </xf>
    <xf numFmtId="0" fontId="11" fillId="20" borderId="297" xfId="0" applyFont="1" applyFill="1" applyBorder="1" applyAlignment="1" applyProtection="1">
      <alignment horizontal="center" vertical="center"/>
      <protection locked="0"/>
    </xf>
    <xf numFmtId="0" fontId="11" fillId="20" borderId="298" xfId="0" applyFont="1" applyFill="1" applyBorder="1" applyAlignment="1" applyProtection="1">
      <alignment horizontal="center" vertical="center"/>
      <protection locked="0"/>
    </xf>
    <xf numFmtId="182" fontId="11" fillId="8" borderId="297" xfId="1" applyNumberFormat="1" applyFont="1" applyFill="1" applyBorder="1" applyAlignment="1" applyProtection="1">
      <alignment horizontal="right" vertical="center"/>
      <protection locked="0"/>
    </xf>
    <xf numFmtId="182" fontId="290" fillId="24" borderId="297" xfId="1" applyNumberFormat="1" applyFont="1" applyFill="1" applyBorder="1" applyAlignment="1" applyProtection="1">
      <alignment horizontal="right" vertical="center"/>
      <protection locked="0"/>
    </xf>
    <xf numFmtId="0" fontId="11" fillId="20" borderId="294" xfId="0" applyFont="1" applyFill="1" applyBorder="1" applyAlignment="1" applyProtection="1">
      <alignment horizontal="center"/>
      <protection locked="0"/>
    </xf>
    <xf numFmtId="0" fontId="11" fillId="20" borderId="295" xfId="0" applyFont="1" applyFill="1" applyBorder="1" applyAlignment="1" applyProtection="1">
      <alignment horizontal="center"/>
      <protection locked="0"/>
    </xf>
    <xf numFmtId="182" fontId="11" fillId="0" borderId="294" xfId="1" applyNumberFormat="1" applyFont="1" applyBorder="1" applyAlignment="1" applyProtection="1">
      <alignment horizontal="right" vertical="center"/>
      <protection locked="0"/>
    </xf>
    <xf numFmtId="0" fontId="11" fillId="20" borderId="0" xfId="0" applyFont="1" applyFill="1" applyAlignment="1">
      <alignment horizontal="left" indent="1"/>
    </xf>
    <xf numFmtId="0" fontId="11" fillId="20" borderId="297" xfId="0" applyFont="1" applyFill="1" applyBorder="1" applyProtection="1">
      <protection locked="0"/>
    </xf>
    <xf numFmtId="0" fontId="11" fillId="20" borderId="298" xfId="0" applyFont="1" applyFill="1" applyBorder="1" applyProtection="1">
      <protection locked="0"/>
    </xf>
    <xf numFmtId="182" fontId="11" fillId="0" borderId="297" xfId="1" applyNumberFormat="1" applyFont="1" applyBorder="1" applyAlignment="1" applyProtection="1">
      <alignment horizontal="right" vertical="center"/>
      <protection locked="0"/>
    </xf>
    <xf numFmtId="182" fontId="115" fillId="8" borderId="299" xfId="1" applyNumberFormat="1" applyFont="1" applyFill="1" applyBorder="1" applyAlignment="1">
      <alignment horizontal="right" vertical="center"/>
    </xf>
    <xf numFmtId="0" fontId="11" fillId="20" borderId="294" xfId="0" applyFont="1" applyFill="1" applyBorder="1" applyProtection="1">
      <protection locked="0"/>
    </xf>
    <xf numFmtId="0" fontId="11" fillId="20" borderId="295" xfId="0" applyFont="1" applyFill="1" applyBorder="1" applyProtection="1">
      <protection locked="0"/>
    </xf>
    <xf numFmtId="0" fontId="0" fillId="20" borderId="297" xfId="0" applyFill="1" applyBorder="1"/>
    <xf numFmtId="0" fontId="0" fillId="20" borderId="298" xfId="0" applyFill="1" applyBorder="1"/>
    <xf numFmtId="0" fontId="254" fillId="28" borderId="6" xfId="0" applyFont="1" applyFill="1" applyBorder="1" applyAlignment="1">
      <alignment horizontal="center" vertical="center"/>
    </xf>
    <xf numFmtId="0" fontId="254" fillId="28" borderId="6" xfId="0" applyFont="1" applyFill="1" applyBorder="1" applyAlignment="1">
      <alignment horizontal="left" vertical="center" wrapText="1"/>
    </xf>
    <xf numFmtId="182" fontId="115" fillId="0" borderId="6" xfId="1" applyNumberFormat="1" applyFont="1" applyFill="1" applyBorder="1" applyAlignment="1">
      <alignment horizontal="right" vertical="center"/>
    </xf>
    <xf numFmtId="0" fontId="11" fillId="33" borderId="0" xfId="0" applyFont="1" applyFill="1" applyProtection="1">
      <protection locked="0"/>
    </xf>
    <xf numFmtId="43" fontId="11" fillId="20" borderId="0" xfId="0" applyNumberFormat="1" applyFont="1" applyFill="1" applyProtection="1">
      <protection locked="0"/>
    </xf>
    <xf numFmtId="0" fontId="254" fillId="28" borderId="19" xfId="0" applyFont="1" applyFill="1" applyBorder="1" applyAlignment="1">
      <alignment horizontal="left" vertical="center" wrapText="1"/>
    </xf>
    <xf numFmtId="0" fontId="254" fillId="32" borderId="21" xfId="0" applyFont="1" applyFill="1" applyBorder="1" applyAlignment="1">
      <alignment horizontal="left" vertical="center" wrapText="1"/>
    </xf>
    <xf numFmtId="0" fontId="254" fillId="32" borderId="10" xfId="0" applyFont="1" applyFill="1" applyBorder="1" applyAlignment="1">
      <alignment horizontal="center" vertical="center"/>
    </xf>
    <xf numFmtId="0" fontId="254" fillId="32" borderId="10" xfId="0" applyFont="1" applyFill="1" applyBorder="1" applyAlignment="1">
      <alignment horizontal="left" vertical="center" wrapText="1"/>
    </xf>
    <xf numFmtId="182" fontId="245" fillId="0" borderId="10" xfId="1" applyNumberFormat="1" applyFont="1" applyFill="1" applyBorder="1" applyAlignment="1">
      <alignment horizontal="right" vertical="center"/>
    </xf>
    <xf numFmtId="0" fontId="1" fillId="20" borderId="0" xfId="0" applyFont="1" applyFill="1"/>
    <xf numFmtId="182" fontId="1" fillId="20" borderId="0" xfId="1" applyNumberFormat="1" applyFont="1" applyFill="1"/>
    <xf numFmtId="182" fontId="244" fillId="9" borderId="11" xfId="1" applyNumberFormat="1" applyFont="1" applyFill="1" applyBorder="1" applyAlignment="1">
      <alignment horizontal="right" vertical="center"/>
    </xf>
    <xf numFmtId="182" fontId="244" fillId="9" borderId="292" xfId="1" applyNumberFormat="1" applyFont="1" applyFill="1" applyBorder="1" applyAlignment="1">
      <alignment horizontal="right" vertical="center"/>
    </xf>
    <xf numFmtId="182" fontId="244" fillId="9" borderId="23" xfId="1" applyNumberFormat="1" applyFont="1" applyFill="1" applyBorder="1" applyAlignment="1">
      <alignment horizontal="right" vertical="center"/>
    </xf>
    <xf numFmtId="0" fontId="11" fillId="33" borderId="7" xfId="0" applyFont="1" applyFill="1" applyBorder="1" applyProtection="1">
      <protection locked="0"/>
    </xf>
    <xf numFmtId="0" fontId="11" fillId="33" borderId="15" xfId="0" applyFont="1" applyFill="1" applyBorder="1" applyProtection="1">
      <protection locked="0"/>
    </xf>
    <xf numFmtId="0" fontId="74" fillId="20" borderId="0" xfId="0" applyFont="1" applyFill="1" applyAlignment="1">
      <alignment vertical="center"/>
    </xf>
    <xf numFmtId="182" fontId="5" fillId="28" borderId="292" xfId="1" applyNumberFormat="1" applyFont="1" applyFill="1" applyBorder="1" applyAlignment="1">
      <alignment vertical="center"/>
    </xf>
    <xf numFmtId="182" fontId="5" fillId="28" borderId="23" xfId="1" applyNumberFormat="1" applyFont="1" applyFill="1" applyBorder="1" applyAlignment="1">
      <alignment vertical="center"/>
    </xf>
    <xf numFmtId="0" fontId="139" fillId="20" borderId="0" xfId="0" applyFont="1" applyFill="1" applyAlignment="1">
      <alignment vertical="center"/>
    </xf>
    <xf numFmtId="0" fontId="254" fillId="28" borderId="10" xfId="0" applyFont="1" applyFill="1" applyBorder="1" applyAlignment="1">
      <alignment horizontal="center" vertical="top"/>
    </xf>
    <xf numFmtId="0" fontId="254" fillId="28" borderId="10" xfId="0" applyFont="1" applyFill="1" applyBorder="1" applyAlignment="1">
      <alignment horizontal="left" vertical="top" wrapText="1"/>
    </xf>
    <xf numFmtId="0" fontId="254" fillId="28" borderId="14" xfId="0" applyFont="1" applyFill="1" applyBorder="1" applyAlignment="1">
      <alignment horizontal="left" vertical="center" wrapText="1"/>
    </xf>
    <xf numFmtId="0" fontId="254" fillId="28" borderId="19" xfId="0" applyFont="1" applyFill="1" applyBorder="1" applyAlignment="1">
      <alignment horizontal="center" vertical="top"/>
    </xf>
    <xf numFmtId="0" fontId="254" fillId="28" borderId="19" xfId="0" applyFont="1" applyFill="1" applyBorder="1" applyAlignment="1">
      <alignment horizontal="left" vertical="top" wrapText="1"/>
    </xf>
    <xf numFmtId="0" fontId="254" fillId="25" borderId="19" xfId="0" applyFont="1" applyFill="1" applyBorder="1" applyAlignment="1">
      <alignment horizontal="center" vertical="center"/>
    </xf>
    <xf numFmtId="182" fontId="244" fillId="0" borderId="19" xfId="1" applyNumberFormat="1" applyFont="1" applyFill="1" applyBorder="1" applyAlignment="1">
      <alignment horizontal="right" vertical="center"/>
    </xf>
    <xf numFmtId="0" fontId="254" fillId="28" borderId="21" xfId="0" applyFont="1" applyFill="1" applyBorder="1" applyAlignment="1">
      <alignment horizontal="center" vertical="top"/>
    </xf>
    <xf numFmtId="0" fontId="254" fillId="28" borderId="21" xfId="0" applyFont="1" applyFill="1" applyBorder="1" applyAlignment="1">
      <alignment horizontal="left" vertical="top" wrapText="1"/>
    </xf>
    <xf numFmtId="0" fontId="254" fillId="28" borderId="21" xfId="0" applyFont="1" applyFill="1" applyBorder="1" applyAlignment="1">
      <alignment horizontal="left" vertical="center" shrinkToFit="1"/>
    </xf>
    <xf numFmtId="0" fontId="254" fillId="25" borderId="21" xfId="0" applyFont="1" applyFill="1" applyBorder="1" applyAlignment="1">
      <alignment horizontal="center" vertical="center"/>
    </xf>
    <xf numFmtId="182" fontId="244" fillId="0" borderId="21" xfId="1" applyNumberFormat="1" applyFont="1" applyFill="1" applyBorder="1" applyAlignment="1">
      <alignment horizontal="right" vertical="center"/>
    </xf>
    <xf numFmtId="0" fontId="252" fillId="28" borderId="19" xfId="0" applyFont="1" applyFill="1" applyBorder="1" applyAlignment="1">
      <alignment horizontal="left" vertical="top" wrapText="1"/>
    </xf>
    <xf numFmtId="0" fontId="252" fillId="28" borderId="19" xfId="0" applyFont="1" applyFill="1" applyBorder="1" applyAlignment="1">
      <alignment horizontal="left" vertical="center" wrapText="1" shrinkToFit="1"/>
    </xf>
    <xf numFmtId="0" fontId="252" fillId="28" borderId="10" xfId="0" applyFont="1" applyFill="1" applyBorder="1" applyAlignment="1">
      <alignment horizontal="left" vertical="top" wrapText="1"/>
    </xf>
    <xf numFmtId="0" fontId="252" fillId="28" borderId="10" xfId="0" applyFont="1" applyFill="1" applyBorder="1" applyAlignment="1">
      <alignment horizontal="left" vertical="center" wrapText="1" shrinkToFit="1"/>
    </xf>
    <xf numFmtId="0" fontId="252" fillId="28" borderId="21" xfId="0" applyFont="1" applyFill="1" applyBorder="1" applyAlignment="1">
      <alignment horizontal="left" vertical="top" wrapText="1"/>
    </xf>
    <xf numFmtId="0" fontId="252" fillId="28" borderId="21" xfId="0" applyFont="1" applyFill="1" applyBorder="1" applyAlignment="1">
      <alignment horizontal="left" vertical="center" wrapText="1" shrinkToFit="1"/>
    </xf>
    <xf numFmtId="182" fontId="115" fillId="0" borderId="21" xfId="1" applyNumberFormat="1" applyFont="1" applyFill="1" applyBorder="1" applyAlignment="1">
      <alignment horizontal="right" vertical="center"/>
    </xf>
    <xf numFmtId="43" fontId="77" fillId="20" borderId="0" xfId="0" applyNumberFormat="1" applyFont="1" applyFill="1" applyAlignment="1" applyProtection="1">
      <alignment horizontal="center"/>
      <protection locked="0"/>
    </xf>
    <xf numFmtId="0" fontId="77" fillId="20" borderId="0" xfId="0" applyFont="1" applyFill="1" applyAlignment="1" applyProtection="1">
      <alignment horizontal="center"/>
      <protection locked="0"/>
    </xf>
    <xf numFmtId="0" fontId="12" fillId="16" borderId="0" xfId="0" applyFont="1" applyFill="1" applyProtection="1">
      <protection locked="0"/>
    </xf>
    <xf numFmtId="0" fontId="291" fillId="20" borderId="0" xfId="0" applyFont="1" applyFill="1"/>
    <xf numFmtId="0" fontId="253" fillId="28" borderId="10" xfId="0" applyFont="1" applyFill="1" applyBorder="1" applyAlignment="1">
      <alignment horizontal="center" vertical="center" wrapText="1"/>
    </xf>
    <xf numFmtId="0" fontId="253" fillId="28" borderId="10" xfId="0" applyFont="1" applyFill="1" applyBorder="1" applyAlignment="1">
      <alignment horizontal="center" vertical="center" shrinkToFit="1"/>
    </xf>
    <xf numFmtId="0" fontId="110" fillId="0" borderId="10" xfId="0" applyFont="1" applyBorder="1" applyAlignment="1">
      <alignment horizontal="left" vertical="center" shrinkToFit="1"/>
    </xf>
    <xf numFmtId="3" fontId="110" fillId="0" borderId="10" xfId="0" applyNumberFormat="1" applyFont="1" applyBorder="1" applyAlignment="1">
      <alignment horizontal="right" vertical="center" shrinkToFit="1"/>
    </xf>
    <xf numFmtId="0" fontId="116" fillId="0" borderId="10" xfId="0" applyFont="1" applyBorder="1" applyAlignment="1">
      <alignment horizontal="left"/>
    </xf>
    <xf numFmtId="0" fontId="116" fillId="0" borderId="10" xfId="0" applyFont="1" applyBorder="1" applyAlignment="1">
      <alignment horizontal="center" vertical="center" shrinkToFit="1"/>
    </xf>
    <xf numFmtId="3" fontId="116" fillId="0" borderId="10" xfId="0" applyNumberFormat="1" applyFont="1" applyBorder="1" applyAlignment="1">
      <alignment horizontal="right" vertical="center" shrinkToFit="1"/>
    </xf>
    <xf numFmtId="3" fontId="252" fillId="28" borderId="250" xfId="0" applyNumberFormat="1" applyFont="1" applyFill="1" applyBorder="1" applyAlignment="1">
      <alignment horizontal="center" vertical="center" shrinkToFit="1"/>
    </xf>
    <xf numFmtId="0" fontId="12" fillId="20" borderId="0" xfId="0" applyFont="1" applyFill="1"/>
    <xf numFmtId="3" fontId="252" fillId="28" borderId="250" xfId="0" applyNumberFormat="1" applyFont="1" applyFill="1" applyBorder="1" applyAlignment="1">
      <alignment horizontal="right" vertical="center" shrinkToFit="1"/>
    </xf>
    <xf numFmtId="0" fontId="110" fillId="0" borderId="250" xfId="0" applyFont="1" applyBorder="1" applyAlignment="1">
      <alignment horizontal="left" vertical="center" shrinkToFit="1"/>
    </xf>
    <xf numFmtId="0" fontId="110" fillId="0" borderId="250" xfId="0" applyFont="1" applyBorder="1" applyAlignment="1">
      <alignment horizontal="center" vertical="center" shrinkToFit="1"/>
    </xf>
    <xf numFmtId="3" fontId="110" fillId="0" borderId="250" xfId="0" applyNumberFormat="1" applyFont="1" applyBorder="1" applyAlignment="1">
      <alignment horizontal="center" vertical="center" shrinkToFit="1"/>
    </xf>
    <xf numFmtId="3" fontId="110" fillId="0" borderId="250" xfId="0" applyNumberFormat="1" applyFont="1" applyBorder="1" applyAlignment="1">
      <alignment horizontal="right" vertical="center" shrinkToFit="1"/>
    </xf>
    <xf numFmtId="0" fontId="78" fillId="20" borderId="0" xfId="0" applyFont="1" applyFill="1"/>
    <xf numFmtId="0" fontId="253" fillId="28" borderId="252" xfId="0" applyFont="1" applyFill="1" applyBorder="1" applyAlignment="1">
      <alignment horizontal="center" vertical="center" wrapText="1" shrinkToFit="1"/>
    </xf>
    <xf numFmtId="0" fontId="253" fillId="28" borderId="256" xfId="0" applyFont="1" applyFill="1" applyBorder="1" applyAlignment="1">
      <alignment horizontal="center" vertical="center" wrapText="1" shrinkToFit="1"/>
    </xf>
    <xf numFmtId="0" fontId="0" fillId="25" borderId="0" xfId="0" applyFill="1"/>
    <xf numFmtId="49" fontId="250" fillId="3" borderId="0" xfId="0" applyNumberFormat="1" applyFont="1" applyFill="1" applyAlignment="1" applyProtection="1">
      <alignment horizontal="center" vertical="center"/>
      <protection locked="0"/>
    </xf>
    <xf numFmtId="0" fontId="11" fillId="20" borderId="0" xfId="0" applyFont="1" applyFill="1" applyAlignment="1">
      <alignment horizontal="left" vertical="center" wrapText="1"/>
    </xf>
    <xf numFmtId="0" fontId="11" fillId="20" borderId="0" xfId="0" applyFont="1" applyFill="1" applyAlignment="1">
      <alignment vertical="top" wrapText="1"/>
    </xf>
    <xf numFmtId="3" fontId="110" fillId="0" borderId="250" xfId="0" applyNumberFormat="1" applyFont="1" applyBorder="1" applyAlignment="1">
      <alignment horizontal="left" vertical="center" shrinkToFit="1"/>
    </xf>
    <xf numFmtId="0" fontId="11" fillId="20" borderId="0" xfId="0" applyFont="1" applyFill="1" applyAlignment="1">
      <alignment vertical="top"/>
    </xf>
    <xf numFmtId="0" fontId="11" fillId="20" borderId="0" xfId="0" applyFont="1" applyFill="1" applyAlignment="1">
      <alignment horizontal="left" vertical="top" wrapText="1"/>
    </xf>
    <xf numFmtId="0" fontId="252" fillId="28" borderId="264" xfId="0" applyFont="1" applyFill="1" applyBorder="1" applyAlignment="1">
      <alignment horizontal="center" vertical="center" shrinkToFit="1"/>
    </xf>
    <xf numFmtId="3" fontId="110" fillId="0" borderId="264" xfId="0" applyNumberFormat="1" applyFont="1" applyBorder="1" applyAlignment="1">
      <alignment horizontal="right" vertical="center" shrinkToFit="1"/>
    </xf>
    <xf numFmtId="0" fontId="252" fillId="28" borderId="300" xfId="0" applyFont="1" applyFill="1" applyBorder="1" applyAlignment="1">
      <alignment horizontal="center" vertical="center" shrinkToFit="1"/>
    </xf>
    <xf numFmtId="0" fontId="254" fillId="28" borderId="300" xfId="0" applyFont="1" applyFill="1" applyBorder="1" applyAlignment="1">
      <alignment horizontal="center" vertical="center" shrinkToFit="1"/>
    </xf>
    <xf numFmtId="3" fontId="110" fillId="29" borderId="300" xfId="0" applyNumberFormat="1" applyFont="1" applyFill="1" applyBorder="1" applyAlignment="1">
      <alignment horizontal="right" vertical="center" shrinkToFit="1"/>
    </xf>
    <xf numFmtId="0" fontId="12" fillId="20" borderId="0" xfId="0" applyFont="1" applyFill="1" applyAlignment="1">
      <alignment vertical="top" wrapText="1"/>
    </xf>
    <xf numFmtId="0" fontId="12" fillId="28" borderId="301" xfId="0" applyFont="1" applyFill="1" applyBorder="1" applyProtection="1">
      <protection locked="0"/>
    </xf>
    <xf numFmtId="0" fontId="12" fillId="28" borderId="302" xfId="0" applyFont="1" applyFill="1" applyBorder="1" applyProtection="1">
      <protection locked="0"/>
    </xf>
    <xf numFmtId="0" fontId="12" fillId="28" borderId="303" xfId="0" applyFont="1" applyFill="1" applyBorder="1" applyProtection="1">
      <protection locked="0"/>
    </xf>
    <xf numFmtId="49" fontId="174" fillId="0" borderId="301" xfId="0" applyNumberFormat="1" applyFont="1" applyBorder="1" applyAlignment="1">
      <alignment horizontal="center" vertical="center" shrinkToFit="1"/>
    </xf>
    <xf numFmtId="49" fontId="174" fillId="0" borderId="302" xfId="0" applyNumberFormat="1" applyFont="1" applyBorder="1" applyAlignment="1">
      <alignment horizontal="center" vertical="center" shrinkToFit="1"/>
    </xf>
    <xf numFmtId="49" fontId="174" fillId="0" borderId="303" xfId="0" applyNumberFormat="1" applyFont="1" applyBorder="1" applyAlignment="1">
      <alignment horizontal="center" vertical="center" shrinkToFit="1"/>
    </xf>
    <xf numFmtId="0" fontId="253" fillId="28" borderId="272" xfId="0" applyFont="1" applyFill="1" applyBorder="1" applyAlignment="1">
      <alignment horizontal="left"/>
    </xf>
    <xf numFmtId="0" fontId="253" fillId="28" borderId="262" xfId="0" applyFont="1" applyFill="1" applyBorder="1" applyAlignment="1">
      <alignment horizontal="left"/>
    </xf>
    <xf numFmtId="0" fontId="253" fillId="28" borderId="263" xfId="0" applyFont="1" applyFill="1" applyBorder="1" applyAlignment="1">
      <alignment horizontal="left"/>
    </xf>
    <xf numFmtId="3" fontId="116" fillId="0" borderId="272" xfId="0" applyNumberFormat="1" applyFont="1" applyBorder="1" applyAlignment="1">
      <alignment horizontal="right" vertical="center" shrinkToFit="1"/>
    </xf>
    <xf numFmtId="3" fontId="116" fillId="0" borderId="262" xfId="0" applyNumberFormat="1" applyFont="1" applyBorder="1" applyAlignment="1">
      <alignment horizontal="right" vertical="center" shrinkToFit="1"/>
    </xf>
    <xf numFmtId="3" fontId="116" fillId="0" borderId="263" xfId="0" applyNumberFormat="1" applyFont="1" applyBorder="1" applyAlignment="1">
      <alignment horizontal="right" vertical="center" shrinkToFit="1"/>
    </xf>
    <xf numFmtId="0" fontId="253" fillId="28" borderId="251" xfId="0" applyFont="1" applyFill="1" applyBorder="1" applyAlignment="1">
      <alignment horizontal="left"/>
    </xf>
    <xf numFmtId="0" fontId="253" fillId="28" borderId="252" xfId="0" applyFont="1" applyFill="1" applyBorder="1" applyAlignment="1">
      <alignment horizontal="left"/>
    </xf>
    <xf numFmtId="0" fontId="253" fillId="28" borderId="256" xfId="0" applyFont="1" applyFill="1" applyBorder="1" applyAlignment="1">
      <alignment horizontal="left"/>
    </xf>
    <xf numFmtId="3" fontId="116" fillId="0" borderId="251" xfId="0" applyNumberFormat="1" applyFont="1" applyBorder="1" applyAlignment="1">
      <alignment horizontal="right" vertical="center" shrinkToFit="1"/>
    </xf>
    <xf numFmtId="3" fontId="116" fillId="0" borderId="252" xfId="0" applyNumberFormat="1" applyFont="1" applyBorder="1" applyAlignment="1">
      <alignment horizontal="right" vertical="center" shrinkToFit="1"/>
    </xf>
    <xf numFmtId="3" fontId="116" fillId="0" borderId="256" xfId="0" applyNumberFormat="1" applyFont="1" applyBorder="1" applyAlignment="1">
      <alignment horizontal="right" vertical="center" shrinkToFit="1"/>
    </xf>
    <xf numFmtId="4" fontId="110" fillId="29" borderId="300" xfId="0" applyNumberFormat="1" applyFont="1" applyFill="1" applyBorder="1" applyAlignment="1">
      <alignment horizontal="right" vertical="center" shrinkToFit="1"/>
    </xf>
    <xf numFmtId="0" fontId="0" fillId="31" borderId="0" xfId="0" applyFill="1"/>
    <xf numFmtId="0" fontId="252" fillId="0" borderId="0" xfId="0" applyFont="1" applyAlignment="1">
      <alignment vertical="center"/>
    </xf>
    <xf numFmtId="0" fontId="1" fillId="0" borderId="0" xfId="0" applyFont="1" applyProtection="1">
      <protection locked="0"/>
    </xf>
    <xf numFmtId="0" fontId="1" fillId="0" borderId="0" xfId="0" applyFont="1" applyAlignment="1" applyProtection="1">
      <alignment vertical="center"/>
      <protection locked="0"/>
    </xf>
    <xf numFmtId="0" fontId="164" fillId="0" borderId="0" xfId="0" applyFont="1" applyAlignment="1" applyProtection="1">
      <alignment vertical="center"/>
      <protection locked="0"/>
    </xf>
    <xf numFmtId="0" fontId="73" fillId="0" borderId="0" xfId="0" applyFont="1" applyProtection="1">
      <protection locked="0"/>
    </xf>
    <xf numFmtId="0" fontId="77" fillId="0" borderId="0" xfId="0" applyFont="1" applyProtection="1">
      <protection locked="0"/>
    </xf>
    <xf numFmtId="0" fontId="73" fillId="0" borderId="0" xfId="0" applyFont="1" applyAlignment="1" applyProtection="1">
      <alignment vertical="center"/>
      <protection locked="0"/>
    </xf>
    <xf numFmtId="0" fontId="77" fillId="0" borderId="0" xfId="0" applyFont="1" applyAlignment="1" applyProtection="1">
      <alignment vertical="center"/>
      <protection locked="0"/>
    </xf>
    <xf numFmtId="0" fontId="254" fillId="0" borderId="0" xfId="0" applyFont="1" applyAlignment="1" applyProtection="1">
      <alignment vertical="center"/>
      <protection locked="0"/>
    </xf>
    <xf numFmtId="0" fontId="77" fillId="0" borderId="0" xfId="0" applyFont="1" applyAlignment="1">
      <alignment vertical="top"/>
    </xf>
    <xf numFmtId="0" fontId="77" fillId="0" borderId="0" xfId="0" applyFont="1" applyAlignment="1">
      <alignment vertical="center"/>
    </xf>
    <xf numFmtId="0" fontId="75" fillId="0" borderId="0" xfId="0" applyFont="1" applyAlignment="1">
      <alignment vertical="top"/>
    </xf>
    <xf numFmtId="0" fontId="251" fillId="0" borderId="0" xfId="0" applyFont="1" applyProtection="1">
      <protection locked="0"/>
    </xf>
    <xf numFmtId="0" fontId="250" fillId="4" borderId="0" xfId="0" applyFont="1" applyFill="1" applyAlignment="1">
      <alignment vertical="center"/>
    </xf>
    <xf numFmtId="1" fontId="292" fillId="4" borderId="0" xfId="0" applyNumberFormat="1" applyFont="1" applyFill="1" applyAlignment="1">
      <alignment horizontal="right" vertical="center"/>
    </xf>
    <xf numFmtId="0" fontId="292" fillId="4" borderId="0" xfId="0" applyFont="1" applyFill="1" applyAlignment="1">
      <alignment horizontal="right" vertical="center"/>
    </xf>
    <xf numFmtId="0" fontId="250" fillId="4" borderId="0" xfId="0" applyFont="1" applyFill="1" applyAlignment="1">
      <alignment horizontal="left" vertical="center"/>
    </xf>
    <xf numFmtId="0" fontId="5" fillId="4" borderId="0" xfId="0" applyFont="1" applyFill="1" applyAlignment="1">
      <alignment vertical="center"/>
    </xf>
    <xf numFmtId="0" fontId="292" fillId="4" borderId="0" xfId="0" applyFont="1" applyFill="1" applyAlignment="1">
      <alignment horizontal="left" vertical="center"/>
    </xf>
    <xf numFmtId="0" fontId="293" fillId="4" borderId="0" xfId="0" applyFont="1" applyFill="1" applyAlignment="1">
      <alignment horizontal="left" vertical="top" wrapText="1"/>
    </xf>
    <xf numFmtId="0" fontId="6" fillId="4" borderId="0" xfId="0" applyFont="1" applyFill="1" applyAlignment="1">
      <alignment vertical="center"/>
    </xf>
    <xf numFmtId="0" fontId="254" fillId="4" borderId="0" xfId="0" applyFont="1" applyFill="1" applyAlignment="1">
      <alignment vertical="center"/>
    </xf>
    <xf numFmtId="0" fontId="254" fillId="3" borderId="0" xfId="0" applyFont="1" applyFill="1" applyAlignment="1">
      <alignment vertical="center"/>
    </xf>
    <xf numFmtId="0" fontId="294" fillId="28" borderId="304" xfId="0" applyFont="1" applyFill="1" applyBorder="1" applyAlignment="1" applyProtection="1">
      <alignment vertical="center"/>
      <protection locked="0"/>
    </xf>
    <xf numFmtId="0" fontId="295" fillId="28" borderId="0" xfId="0" applyFont="1" applyFill="1" applyProtection="1">
      <protection locked="0"/>
    </xf>
    <xf numFmtId="0" fontId="295" fillId="28" borderId="305" xfId="0" applyFont="1" applyFill="1" applyBorder="1" applyProtection="1">
      <protection locked="0"/>
    </xf>
    <xf numFmtId="0" fontId="1" fillId="20" borderId="0" xfId="0" applyFont="1" applyFill="1" applyAlignment="1" applyProtection="1">
      <alignment horizontal="left"/>
      <protection locked="0"/>
    </xf>
    <xf numFmtId="0" fontId="254" fillId="28" borderId="306" xfId="0" applyFont="1" applyFill="1" applyBorder="1" applyAlignment="1" applyProtection="1">
      <alignment horizontal="right" vertical="center"/>
      <protection locked="0"/>
    </xf>
    <xf numFmtId="43" fontId="77" fillId="0" borderId="306" xfId="1" applyFont="1" applyFill="1" applyBorder="1" applyAlignment="1" applyProtection="1">
      <alignment horizontal="left" vertical="center"/>
      <protection locked="0"/>
    </xf>
    <xf numFmtId="0" fontId="164" fillId="20" borderId="307" xfId="0" applyFont="1" applyFill="1" applyBorder="1" applyAlignment="1" applyProtection="1">
      <alignment horizontal="center" vertical="center"/>
      <protection locked="0"/>
    </xf>
    <xf numFmtId="0" fontId="254" fillId="28" borderId="308" xfId="0" applyFont="1" applyFill="1" applyBorder="1" applyAlignment="1" applyProtection="1">
      <alignment horizontal="right" vertical="center"/>
      <protection locked="0"/>
    </xf>
    <xf numFmtId="0" fontId="254" fillId="28" borderId="309" xfId="0" applyFont="1" applyFill="1" applyBorder="1" applyAlignment="1" applyProtection="1">
      <alignment horizontal="right" vertical="center"/>
      <protection locked="0"/>
    </xf>
    <xf numFmtId="0" fontId="254" fillId="28" borderId="310" xfId="0" applyFont="1" applyFill="1" applyBorder="1" applyAlignment="1" applyProtection="1">
      <alignment horizontal="right" vertical="center"/>
      <protection locked="0"/>
    </xf>
    <xf numFmtId="49" fontId="77" fillId="0" borderId="307" xfId="0" applyNumberFormat="1" applyFont="1" applyBorder="1" applyAlignment="1" applyProtection="1">
      <alignment horizontal="center" vertical="center"/>
      <protection locked="0"/>
    </xf>
    <xf numFmtId="0" fontId="254" fillId="28" borderId="311" xfId="0" applyFont="1" applyFill="1" applyBorder="1" applyAlignment="1" applyProtection="1">
      <alignment vertical="center"/>
      <protection locked="0"/>
    </xf>
    <xf numFmtId="0" fontId="296" fillId="28" borderId="312" xfId="0" applyFont="1" applyFill="1" applyBorder="1" applyAlignment="1" applyProtection="1">
      <alignment vertical="center"/>
      <protection locked="0"/>
    </xf>
    <xf numFmtId="0" fontId="296" fillId="28" borderId="313" xfId="0" applyFont="1" applyFill="1" applyBorder="1" applyAlignment="1" applyProtection="1">
      <alignment vertical="center"/>
      <protection locked="0"/>
    </xf>
    <xf numFmtId="0" fontId="137" fillId="20" borderId="0" xfId="0" applyFont="1" applyFill="1" applyAlignment="1" applyProtection="1">
      <alignment vertical="center"/>
      <protection locked="0"/>
    </xf>
    <xf numFmtId="0" fontId="1" fillId="20" borderId="0" xfId="0" applyFont="1" applyFill="1" applyAlignment="1" applyProtection="1">
      <alignment horizontal="left" vertical="center"/>
      <protection locked="0"/>
    </xf>
    <xf numFmtId="0" fontId="1" fillId="20" borderId="0" xfId="0" applyFont="1" applyFill="1" applyAlignment="1" applyProtection="1">
      <alignment vertical="center"/>
      <protection locked="0"/>
    </xf>
    <xf numFmtId="0" fontId="254" fillId="28" borderId="314" xfId="0" applyFont="1" applyFill="1" applyBorder="1" applyAlignment="1" applyProtection="1">
      <alignment horizontal="right" vertical="center"/>
      <protection locked="0"/>
    </xf>
    <xf numFmtId="43" fontId="77" fillId="0" borderId="314" xfId="1" applyFont="1" applyFill="1" applyBorder="1" applyAlignment="1" applyProtection="1">
      <alignment horizontal="left" vertical="center"/>
      <protection locked="0"/>
    </xf>
    <xf numFmtId="0" fontId="164" fillId="20" borderId="0" xfId="0" applyFont="1" applyFill="1" applyAlignment="1" applyProtection="1">
      <alignment horizontal="center" vertical="center"/>
      <protection locked="0"/>
    </xf>
    <xf numFmtId="0" fontId="297" fillId="20" borderId="0" xfId="0" applyFont="1" applyFill="1" applyAlignment="1" applyProtection="1">
      <alignment horizontal="center" vertical="center"/>
      <protection locked="0"/>
    </xf>
    <xf numFmtId="0" fontId="254" fillId="28" borderId="315" xfId="0" applyFont="1" applyFill="1" applyBorder="1" applyAlignment="1" applyProtection="1">
      <alignment vertical="center"/>
      <protection locked="0"/>
    </xf>
    <xf numFmtId="0" fontId="296" fillId="28" borderId="316" xfId="0" applyFont="1" applyFill="1" applyBorder="1" applyAlignment="1" applyProtection="1">
      <alignment vertical="center"/>
      <protection locked="0"/>
    </xf>
    <xf numFmtId="0" fontId="296" fillId="28" borderId="317" xfId="0" applyFont="1" applyFill="1" applyBorder="1" applyAlignment="1" applyProtection="1">
      <alignment vertical="center"/>
      <protection locked="0"/>
    </xf>
    <xf numFmtId="49" fontId="298" fillId="0" borderId="314" xfId="6" applyNumberFormat="1" applyFill="1" applyBorder="1" applyAlignment="1" applyProtection="1">
      <alignment horizontal="left" vertical="center" shrinkToFit="1"/>
      <protection locked="0"/>
    </xf>
    <xf numFmtId="49" fontId="299" fillId="0" borderId="314" xfId="6" applyNumberFormat="1" applyFont="1" applyFill="1" applyBorder="1" applyAlignment="1" applyProtection="1">
      <alignment horizontal="left" vertical="center" shrinkToFit="1"/>
      <protection locked="0"/>
    </xf>
    <xf numFmtId="49" fontId="299" fillId="0" borderId="315" xfId="6" applyNumberFormat="1" applyFont="1" applyFill="1" applyBorder="1" applyAlignment="1" applyProtection="1">
      <alignment horizontal="left" vertical="center" shrinkToFit="1"/>
      <protection locked="0"/>
    </xf>
    <xf numFmtId="0" fontId="254" fillId="28" borderId="318" xfId="0" applyFont="1" applyFill="1" applyBorder="1" applyAlignment="1" applyProtection="1">
      <alignment horizontal="right" vertical="center"/>
      <protection locked="0"/>
    </xf>
    <xf numFmtId="0" fontId="300" fillId="33" borderId="318" xfId="0" applyFont="1" applyFill="1" applyBorder="1" applyAlignment="1" applyProtection="1">
      <alignment horizontal="center" vertical="center"/>
      <protection locked="0"/>
    </xf>
    <xf numFmtId="0" fontId="77" fillId="20" borderId="0" xfId="0" applyFont="1" applyFill="1" applyAlignment="1" applyProtection="1">
      <alignment vertical="center"/>
      <protection locked="0"/>
    </xf>
    <xf numFmtId="0" fontId="77" fillId="20" borderId="314" xfId="0" applyFont="1" applyFill="1" applyBorder="1" applyAlignment="1" applyProtection="1">
      <alignment horizontal="center" vertical="center"/>
      <protection locked="0"/>
    </xf>
    <xf numFmtId="0" fontId="10" fillId="20" borderId="0" xfId="0" applyFont="1" applyFill="1" applyAlignment="1" applyProtection="1">
      <alignment horizontal="center" vertical="center"/>
      <protection locked="0"/>
    </xf>
    <xf numFmtId="194" fontId="301" fillId="20" borderId="0" xfId="0" applyNumberFormat="1" applyFont="1" applyFill="1" applyAlignment="1">
      <alignment horizontal="right" vertical="center"/>
    </xf>
    <xf numFmtId="0" fontId="254" fillId="28" borderId="315" xfId="0" applyFont="1" applyFill="1" applyBorder="1" applyAlignment="1" applyProtection="1">
      <alignment horizontal="right" vertical="center"/>
      <protection locked="0"/>
    </xf>
    <xf numFmtId="0" fontId="254" fillId="28" borderId="316" xfId="0" applyFont="1" applyFill="1" applyBorder="1" applyAlignment="1" applyProtection="1">
      <alignment horizontal="right" vertical="center"/>
      <protection locked="0"/>
    </xf>
    <xf numFmtId="0" fontId="254" fillId="28" borderId="317" xfId="0" applyFont="1" applyFill="1" applyBorder="1" applyAlignment="1" applyProtection="1">
      <alignment horizontal="right" vertical="center"/>
      <protection locked="0"/>
    </xf>
    <xf numFmtId="0" fontId="302" fillId="8" borderId="314" xfId="0" applyFont="1" applyFill="1" applyBorder="1" applyAlignment="1" applyProtection="1">
      <alignment horizontal="center" vertical="center"/>
      <protection locked="0"/>
    </xf>
    <xf numFmtId="0" fontId="302" fillId="8" borderId="315" xfId="0" applyFont="1" applyFill="1" applyBorder="1" applyAlignment="1" applyProtection="1">
      <alignment horizontal="center" vertical="center"/>
      <protection locked="0"/>
    </xf>
    <xf numFmtId="0" fontId="302" fillId="8" borderId="319" xfId="0" applyFont="1" applyFill="1" applyBorder="1" applyAlignment="1" applyProtection="1">
      <alignment horizontal="center" vertical="center"/>
      <protection locked="0"/>
    </xf>
    <xf numFmtId="0" fontId="302" fillId="8" borderId="320" xfId="0" applyFont="1" applyFill="1" applyBorder="1" applyAlignment="1" applyProtection="1">
      <alignment horizontal="center" vertical="center"/>
      <protection locked="0"/>
    </xf>
    <xf numFmtId="0" fontId="302" fillId="0" borderId="317" xfId="0" applyFont="1" applyBorder="1" applyAlignment="1" applyProtection="1">
      <alignment horizontal="center" vertical="center"/>
      <protection locked="0"/>
    </xf>
    <xf numFmtId="0" fontId="302" fillId="0" borderId="314" xfId="0" applyFont="1" applyBorder="1" applyAlignment="1" applyProtection="1">
      <alignment horizontal="center" vertical="center"/>
      <protection locked="0"/>
    </xf>
    <xf numFmtId="0" fontId="302" fillId="20" borderId="321" xfId="0" applyFont="1" applyFill="1" applyBorder="1" applyAlignment="1" applyProtection="1">
      <alignment horizontal="center" vertical="center"/>
      <protection locked="0"/>
    </xf>
    <xf numFmtId="194" fontId="301" fillId="20" borderId="0" xfId="0" applyNumberFormat="1" applyFont="1" applyFill="1" applyAlignment="1">
      <alignment vertical="center"/>
    </xf>
    <xf numFmtId="0" fontId="303" fillId="20" borderId="0" xfId="0" applyFont="1" applyFill="1" applyAlignment="1" applyProtection="1">
      <alignment horizontal="center"/>
      <protection locked="0"/>
    </xf>
    <xf numFmtId="0" fontId="297" fillId="28" borderId="0" xfId="0" applyFont="1" applyFill="1" applyAlignment="1" applyProtection="1">
      <alignment horizontal="center"/>
      <protection locked="0"/>
    </xf>
    <xf numFmtId="0" fontId="304" fillId="20" borderId="117" xfId="0" applyFont="1" applyFill="1" applyBorder="1" applyProtection="1">
      <protection locked="0"/>
    </xf>
    <xf numFmtId="0" fontId="10" fillId="20" borderId="0" xfId="0" applyFont="1" applyFill="1" applyAlignment="1" applyProtection="1">
      <alignment wrapText="1"/>
      <protection locked="0"/>
    </xf>
    <xf numFmtId="0" fontId="12" fillId="20" borderId="0" xfId="0" applyFont="1" applyFill="1" applyAlignment="1" applyProtection="1">
      <alignment wrapText="1"/>
      <protection locked="0"/>
    </xf>
    <xf numFmtId="0" fontId="137" fillId="20" borderId="0" xfId="0" applyFont="1" applyFill="1" applyProtection="1">
      <protection locked="0"/>
    </xf>
    <xf numFmtId="0" fontId="1" fillId="20" borderId="0" xfId="0" applyFont="1" applyFill="1" applyProtection="1">
      <protection locked="0"/>
    </xf>
    <xf numFmtId="0" fontId="75" fillId="0" borderId="314" xfId="1" applyNumberFormat="1" applyFont="1" applyFill="1" applyBorder="1" applyAlignment="1" applyProtection="1">
      <alignment horizontal="left" vertical="center"/>
      <protection locked="0"/>
    </xf>
    <xf numFmtId="43" fontId="123" fillId="20" borderId="0" xfId="1" applyFont="1" applyFill="1" applyBorder="1" applyAlignment="1" applyProtection="1">
      <alignment horizontal="center" vertical="center"/>
      <protection locked="0"/>
    </xf>
    <xf numFmtId="0" fontId="77" fillId="0" borderId="314" xfId="0" applyFont="1" applyBorder="1" applyAlignment="1" applyProtection="1">
      <alignment horizontal="center" vertical="center"/>
      <protection locked="0"/>
    </xf>
    <xf numFmtId="0" fontId="254" fillId="28" borderId="322" xfId="0" applyFont="1" applyFill="1" applyBorder="1" applyAlignment="1" applyProtection="1">
      <alignment horizontal="right" vertical="center"/>
      <protection locked="0"/>
    </xf>
    <xf numFmtId="0" fontId="254" fillId="28" borderId="323" xfId="0" applyFont="1" applyFill="1" applyBorder="1" applyAlignment="1" applyProtection="1">
      <alignment horizontal="right" vertical="center"/>
      <protection locked="0"/>
    </xf>
    <xf numFmtId="0" fontId="254" fillId="28" borderId="324" xfId="0" applyFont="1" applyFill="1" applyBorder="1" applyAlignment="1" applyProtection="1">
      <alignment horizontal="right" vertical="center"/>
      <protection locked="0"/>
    </xf>
    <xf numFmtId="0" fontId="77" fillId="33" borderId="325" xfId="1" applyNumberFormat="1" applyFont="1" applyFill="1" applyBorder="1" applyAlignment="1" applyProtection="1">
      <alignment horizontal="center" vertical="center"/>
      <protection locked="0"/>
    </xf>
    <xf numFmtId="0" fontId="77" fillId="33" borderId="326" xfId="1" applyNumberFormat="1" applyFont="1" applyFill="1" applyBorder="1" applyAlignment="1" applyProtection="1">
      <alignment horizontal="center" vertical="center"/>
      <protection locked="0"/>
    </xf>
    <xf numFmtId="0" fontId="305" fillId="20" borderId="0" xfId="0" applyFont="1" applyFill="1" applyAlignment="1" applyProtection="1">
      <alignment vertical="center"/>
      <protection locked="0"/>
    </xf>
    <xf numFmtId="0" fontId="164" fillId="20" borderId="0" xfId="0" applyFont="1" applyFill="1" applyAlignment="1" applyProtection="1">
      <alignment horizontal="left" vertical="center"/>
      <protection locked="0"/>
    </xf>
    <xf numFmtId="0" fontId="164" fillId="20" borderId="0" xfId="0" applyFont="1" applyFill="1" applyAlignment="1" applyProtection="1">
      <alignment vertical="center"/>
      <protection locked="0"/>
    </xf>
    <xf numFmtId="0" fontId="77" fillId="0" borderId="314" xfId="1" applyNumberFormat="1" applyFont="1" applyFill="1" applyBorder="1" applyAlignment="1" applyProtection="1">
      <alignment horizontal="left" vertical="center"/>
      <protection locked="0"/>
    </xf>
    <xf numFmtId="0" fontId="115" fillId="33" borderId="325" xfId="0" applyFont="1" applyFill="1" applyBorder="1" applyAlignment="1" applyProtection="1">
      <alignment horizontal="center" vertical="center"/>
      <protection locked="0"/>
    </xf>
    <xf numFmtId="0" fontId="115" fillId="33" borderId="326" xfId="0" applyFont="1" applyFill="1" applyBorder="1" applyAlignment="1" applyProtection="1">
      <alignment horizontal="center" vertical="center"/>
      <protection locked="0"/>
    </xf>
    <xf numFmtId="0" fontId="254" fillId="28" borderId="327" xfId="0" applyFont="1" applyFill="1" applyBorder="1" applyAlignment="1" applyProtection="1">
      <alignment horizontal="center" vertical="center"/>
      <protection locked="0"/>
    </xf>
    <xf numFmtId="0" fontId="254" fillId="28" borderId="328" xfId="0" applyFont="1" applyFill="1" applyBorder="1" applyAlignment="1" applyProtection="1">
      <alignment horizontal="center" vertical="center"/>
      <protection locked="0"/>
    </xf>
    <xf numFmtId="0" fontId="254" fillId="28" borderId="329" xfId="0" applyFont="1" applyFill="1" applyBorder="1" applyAlignment="1" applyProtection="1">
      <alignment horizontal="center" vertical="center"/>
      <protection locked="0"/>
    </xf>
    <xf numFmtId="0" fontId="115" fillId="20" borderId="0" xfId="0" applyFont="1" applyFill="1" applyAlignment="1" applyProtection="1">
      <alignment horizontal="left" vertical="center"/>
      <protection locked="0"/>
    </xf>
    <xf numFmtId="0" fontId="254" fillId="28" borderId="330" xfId="0" applyFont="1" applyFill="1" applyBorder="1" applyAlignment="1" applyProtection="1">
      <alignment horizontal="center" vertical="center"/>
      <protection locked="0"/>
    </xf>
    <xf numFmtId="0" fontId="115" fillId="33" borderId="330" xfId="1" applyNumberFormat="1" applyFont="1" applyFill="1" applyBorder="1" applyAlignment="1" applyProtection="1">
      <alignment horizontal="left" vertical="center"/>
      <protection locked="0"/>
    </xf>
    <xf numFmtId="0" fontId="305" fillId="20" borderId="0" xfId="0" applyFont="1" applyFill="1" applyAlignment="1" applyProtection="1">
      <alignment horizontal="left" vertical="center"/>
      <protection locked="0"/>
    </xf>
    <xf numFmtId="0" fontId="77" fillId="0" borderId="315" xfId="0" applyFont="1" applyBorder="1" applyAlignment="1" applyProtection="1">
      <alignment horizontal="center" vertical="center"/>
      <protection locked="0"/>
    </xf>
    <xf numFmtId="0" fontId="254" fillId="28" borderId="330" xfId="0" applyFont="1" applyFill="1" applyBorder="1" applyAlignment="1" applyProtection="1">
      <alignment horizontal="right" vertical="center"/>
      <protection locked="0"/>
    </xf>
    <xf numFmtId="0" fontId="306" fillId="33" borderId="330" xfId="0" applyFont="1" applyFill="1" applyBorder="1" applyAlignment="1" applyProtection="1">
      <alignment horizontal="left" vertical="center"/>
      <protection locked="0"/>
    </xf>
    <xf numFmtId="0" fontId="98" fillId="33" borderId="330" xfId="1" applyNumberFormat="1" applyFont="1" applyFill="1" applyBorder="1" applyAlignment="1" applyProtection="1">
      <alignment horizontal="center" vertical="center"/>
      <protection locked="0"/>
    </xf>
    <xf numFmtId="0" fontId="116" fillId="20" borderId="4" xfId="0" applyFont="1" applyFill="1" applyBorder="1" applyAlignment="1" applyProtection="1">
      <alignment vertical="top"/>
      <protection locked="0"/>
    </xf>
    <xf numFmtId="58" fontId="77" fillId="33" borderId="330" xfId="0" applyNumberFormat="1" applyFont="1" applyFill="1" applyBorder="1" applyAlignment="1" applyProtection="1">
      <alignment horizontal="left" vertical="center"/>
      <protection locked="0"/>
    </xf>
    <xf numFmtId="0" fontId="307" fillId="20" borderId="0" xfId="0" applyFont="1" applyFill="1" applyAlignment="1" applyProtection="1">
      <alignment vertical="center"/>
      <protection locked="0"/>
    </xf>
    <xf numFmtId="49" fontId="164" fillId="0" borderId="0" xfId="1" applyNumberFormat="1" applyFont="1" applyFill="1" applyBorder="1" applyAlignment="1" applyProtection="1">
      <alignment vertical="center"/>
      <protection locked="0"/>
    </xf>
    <xf numFmtId="0" fontId="77" fillId="33" borderId="331" xfId="1" applyNumberFormat="1" applyFont="1" applyFill="1" applyBorder="1" applyAlignment="1" applyProtection="1">
      <alignment horizontal="center" vertical="center"/>
      <protection locked="0"/>
    </xf>
    <xf numFmtId="0" fontId="77" fillId="33" borderId="332" xfId="1" applyNumberFormat="1" applyFont="1" applyFill="1" applyBorder="1" applyAlignment="1" applyProtection="1">
      <alignment horizontal="center" vertical="center"/>
      <protection locked="0"/>
    </xf>
    <xf numFmtId="0" fontId="77" fillId="33" borderId="333" xfId="1" applyNumberFormat="1" applyFont="1" applyFill="1" applyBorder="1" applyAlignment="1" applyProtection="1">
      <alignment horizontal="center" vertical="center"/>
      <protection locked="0"/>
    </xf>
    <xf numFmtId="0" fontId="254" fillId="28" borderId="334" xfId="0" applyFont="1" applyFill="1" applyBorder="1" applyAlignment="1" applyProtection="1">
      <alignment vertical="center"/>
      <protection locked="0"/>
    </xf>
    <xf numFmtId="0" fontId="254" fillId="28" borderId="0" xfId="0" applyFont="1" applyFill="1" applyAlignment="1" applyProtection="1">
      <alignment vertical="center"/>
      <protection locked="0"/>
    </xf>
    <xf numFmtId="0" fontId="297" fillId="20" borderId="0" xfId="0" applyFont="1" applyFill="1" applyAlignment="1" applyProtection="1">
      <alignment horizontal="center"/>
      <protection locked="0"/>
    </xf>
    <xf numFmtId="0" fontId="254" fillId="28" borderId="315" xfId="51" applyFont="1" applyFill="1" applyBorder="1" applyAlignment="1">
      <alignment vertical="center"/>
    </xf>
    <xf numFmtId="0" fontId="254" fillId="28" borderId="316" xfId="51" applyFont="1" applyFill="1" applyBorder="1" applyAlignment="1">
      <alignment vertical="center"/>
    </xf>
    <xf numFmtId="0" fontId="254" fillId="28" borderId="316" xfId="0" applyFont="1" applyFill="1" applyBorder="1" applyAlignment="1" applyProtection="1">
      <alignment vertical="center"/>
      <protection locked="0"/>
    </xf>
    <xf numFmtId="0" fontId="254" fillId="28" borderId="317" xfId="0" applyFont="1" applyFill="1" applyBorder="1" applyAlignment="1" applyProtection="1">
      <alignment vertical="center"/>
      <protection locked="0"/>
    </xf>
    <xf numFmtId="0" fontId="77" fillId="0" borderId="314" xfId="1" applyNumberFormat="1" applyFont="1" applyFill="1" applyBorder="1" applyAlignment="1" applyProtection="1">
      <alignment horizontal="center" vertical="center"/>
      <protection locked="0"/>
    </xf>
    <xf numFmtId="10" fontId="115" fillId="0" borderId="315" xfId="0" applyNumberFormat="1" applyFont="1" applyBorder="1" applyAlignment="1" applyProtection="1">
      <alignment horizontal="right" vertical="center"/>
      <protection locked="0"/>
    </xf>
    <xf numFmtId="10" fontId="115" fillId="0" borderId="316" xfId="0" applyNumberFormat="1" applyFont="1" applyBorder="1" applyAlignment="1" applyProtection="1">
      <alignment horizontal="right" vertical="center"/>
      <protection locked="0"/>
    </xf>
    <xf numFmtId="0" fontId="77" fillId="8" borderId="316" xfId="51" applyFont="1" applyFill="1" applyBorder="1" applyAlignment="1">
      <alignment vertical="center"/>
    </xf>
    <xf numFmtId="0" fontId="77" fillId="8" borderId="316" xfId="0" applyFont="1" applyFill="1" applyBorder="1" applyAlignment="1" applyProtection="1">
      <alignment vertical="center"/>
      <protection locked="0"/>
    </xf>
    <xf numFmtId="0" fontId="77" fillId="8" borderId="317" xfId="0" applyFont="1" applyFill="1" applyBorder="1" applyAlignment="1" applyProtection="1">
      <alignment vertical="center"/>
      <protection locked="0"/>
    </xf>
    <xf numFmtId="49" fontId="254" fillId="28" borderId="314" xfId="0" applyNumberFormat="1" applyFont="1" applyFill="1" applyBorder="1" applyAlignment="1" applyProtection="1">
      <alignment horizontal="right" vertical="center"/>
      <protection locked="0"/>
    </xf>
    <xf numFmtId="43" fontId="307" fillId="20" borderId="0" xfId="1" applyFont="1" applyFill="1" applyAlignment="1" applyProtection="1">
      <alignment vertical="center"/>
      <protection locked="0"/>
    </xf>
    <xf numFmtId="0" fontId="308" fillId="20" borderId="0" xfId="0" applyFont="1" applyFill="1" applyAlignment="1" applyProtection="1">
      <alignment horizontal="left" vertical="center"/>
      <protection locked="0"/>
    </xf>
    <xf numFmtId="0" fontId="77" fillId="8" borderId="316" xfId="0" applyFont="1" applyFill="1" applyBorder="1" applyAlignment="1" applyProtection="1">
      <alignment horizontal="left" vertical="center"/>
      <protection locked="0"/>
    </xf>
    <xf numFmtId="0" fontId="309" fillId="20" borderId="117" xfId="0" applyFont="1" applyFill="1" applyBorder="1" applyAlignment="1" applyProtection="1">
      <alignment horizontal="right" vertical="center"/>
      <protection locked="0"/>
    </xf>
    <xf numFmtId="0" fontId="289" fillId="20" borderId="0" xfId="0" applyFont="1" applyFill="1" applyAlignment="1" applyProtection="1">
      <alignment horizontal="left" vertical="center"/>
      <protection locked="0"/>
    </xf>
    <xf numFmtId="0" fontId="164" fillId="0" borderId="335" xfId="0" applyFont="1" applyBorder="1" applyAlignment="1" applyProtection="1">
      <alignment horizontal="center" vertical="center"/>
      <protection locked="0"/>
    </xf>
    <xf numFmtId="0" fontId="164" fillId="0" borderId="336" xfId="0" applyFont="1" applyBorder="1" applyAlignment="1" applyProtection="1">
      <alignment horizontal="center" vertical="center"/>
      <protection locked="0"/>
    </xf>
    <xf numFmtId="0" fontId="164" fillId="0" borderId="337" xfId="0" applyFont="1" applyBorder="1" applyAlignment="1" applyProtection="1">
      <alignment horizontal="center" vertical="center"/>
      <protection locked="0"/>
    </xf>
    <xf numFmtId="0" fontId="164" fillId="0" borderId="338" xfId="0" applyFont="1" applyBorder="1" applyAlignment="1" applyProtection="1">
      <alignment horizontal="center" vertical="center"/>
      <protection locked="0"/>
    </xf>
    <xf numFmtId="0" fontId="164" fillId="0" borderId="339" xfId="0" applyFont="1" applyBorder="1" applyAlignment="1" applyProtection="1">
      <alignment horizontal="center" vertical="center"/>
      <protection locked="0"/>
    </xf>
    <xf numFmtId="0" fontId="164" fillId="0" borderId="340" xfId="0" applyFont="1" applyBorder="1" applyAlignment="1" applyProtection="1">
      <alignment horizontal="center" vertical="center"/>
      <protection locked="0"/>
    </xf>
    <xf numFmtId="0" fontId="164" fillId="0" borderId="341" xfId="0" applyFont="1" applyBorder="1" applyAlignment="1" applyProtection="1">
      <alignment horizontal="center" vertical="center"/>
      <protection locked="0"/>
    </xf>
    <xf numFmtId="0" fontId="77" fillId="8" borderId="316" xfId="0" applyFont="1" applyFill="1" applyBorder="1" applyAlignment="1" applyProtection="1">
      <alignment horizontal="left"/>
      <protection locked="0"/>
    </xf>
    <xf numFmtId="0" fontId="254" fillId="28" borderId="314" xfId="0" applyFont="1" applyFill="1" applyBorder="1" applyAlignment="1">
      <alignment horizontal="right"/>
    </xf>
    <xf numFmtId="0" fontId="310" fillId="0" borderId="315" xfId="0" applyFont="1" applyBorder="1" applyAlignment="1">
      <alignment horizontal="center"/>
    </xf>
    <xf numFmtId="0" fontId="310" fillId="0" borderId="316" xfId="0" applyFont="1" applyBorder="1" applyAlignment="1">
      <alignment horizontal="center"/>
    </xf>
    <xf numFmtId="0" fontId="310" fillId="0" borderId="317" xfId="0" applyFont="1" applyBorder="1" applyAlignment="1">
      <alignment horizontal="center"/>
    </xf>
    <xf numFmtId="0" fontId="311" fillId="20" borderId="0" xfId="0" applyFont="1" applyFill="1" applyAlignment="1" applyProtection="1">
      <alignment horizontal="left"/>
      <protection locked="0"/>
    </xf>
    <xf numFmtId="0" fontId="312" fillId="20" borderId="0" xfId="0" applyFont="1" applyFill="1" applyAlignment="1" applyProtection="1">
      <alignment horizontal="left"/>
      <protection locked="0"/>
    </xf>
    <xf numFmtId="0" fontId="76" fillId="8" borderId="316" xfId="0" applyFont="1" applyFill="1" applyBorder="1" applyAlignment="1" applyProtection="1">
      <alignment horizontal="left"/>
      <protection locked="0"/>
    </xf>
    <xf numFmtId="0" fontId="291" fillId="9" borderId="315" xfId="60" applyFont="1" applyFill="1" applyBorder="1" applyAlignment="1">
      <alignment horizontal="center" vertical="center"/>
    </xf>
    <xf numFmtId="0" fontId="291" fillId="9" borderId="316" xfId="60" applyFont="1" applyFill="1" applyBorder="1" applyAlignment="1">
      <alignment horizontal="center" vertical="center"/>
    </xf>
    <xf numFmtId="0" fontId="291" fillId="9" borderId="317" xfId="60" applyFont="1" applyFill="1" applyBorder="1" applyAlignment="1">
      <alignment horizontal="center" vertical="center"/>
    </xf>
    <xf numFmtId="10" fontId="115" fillId="2" borderId="315" xfId="0" applyNumberFormat="1" applyFont="1" applyFill="1" applyBorder="1" applyAlignment="1" applyProtection="1">
      <alignment horizontal="right" vertical="center"/>
      <protection locked="0"/>
    </xf>
    <xf numFmtId="10" fontId="115" fillId="2" borderId="316" xfId="0" applyNumberFormat="1" applyFont="1" applyFill="1" applyBorder="1" applyAlignment="1" applyProtection="1">
      <alignment horizontal="right" vertical="center"/>
      <protection locked="0"/>
    </xf>
    <xf numFmtId="0" fontId="77" fillId="2" borderId="316" xfId="51" applyFont="1" applyFill="1" applyBorder="1" applyAlignment="1">
      <alignment vertical="center"/>
    </xf>
    <xf numFmtId="0" fontId="77" fillId="2" borderId="316" xfId="0" applyFont="1" applyFill="1" applyBorder="1" applyAlignment="1" applyProtection="1">
      <alignment horizontal="left"/>
      <protection locked="0"/>
    </xf>
    <xf numFmtId="0" fontId="76" fillId="2" borderId="316" xfId="0" applyFont="1" applyFill="1" applyBorder="1" applyAlignment="1" applyProtection="1">
      <alignment horizontal="left"/>
      <protection locked="0"/>
    </xf>
    <xf numFmtId="0" fontId="77" fillId="2" borderId="316" xfId="0" applyFont="1" applyFill="1" applyBorder="1" applyAlignment="1" applyProtection="1">
      <alignment vertical="center"/>
      <protection locked="0"/>
    </xf>
    <xf numFmtId="0" fontId="77" fillId="2" borderId="317" xfId="0" applyFont="1" applyFill="1" applyBorder="1" applyAlignment="1" applyProtection="1">
      <alignment vertical="center"/>
      <protection locked="0"/>
    </xf>
    <xf numFmtId="0" fontId="307" fillId="20" borderId="0" xfId="0" applyFont="1" applyFill="1" applyAlignment="1" applyProtection="1">
      <alignment horizontal="left"/>
      <protection locked="0"/>
    </xf>
    <xf numFmtId="0" fontId="251" fillId="20" borderId="0" xfId="0" applyFont="1" applyFill="1" applyProtection="1">
      <protection locked="0"/>
    </xf>
    <xf numFmtId="0" fontId="254" fillId="28" borderId="315" xfId="0" applyFont="1" applyFill="1" applyBorder="1" applyAlignment="1" applyProtection="1">
      <alignment horizontal="left" vertical="center"/>
      <protection locked="0"/>
    </xf>
    <xf numFmtId="0" fontId="254" fillId="28" borderId="316" xfId="0" applyFont="1" applyFill="1" applyBorder="1" applyAlignment="1" applyProtection="1">
      <alignment horizontal="left" vertical="center"/>
      <protection locked="0"/>
    </xf>
    <xf numFmtId="58" fontId="77" fillId="8" borderId="314" xfId="0" applyNumberFormat="1" applyFont="1" applyFill="1" applyBorder="1" applyAlignment="1" applyProtection="1">
      <alignment horizontal="center"/>
      <protection locked="0"/>
    </xf>
    <xf numFmtId="0" fontId="77" fillId="8" borderId="314" xfId="0" applyFont="1" applyFill="1" applyBorder="1" applyProtection="1">
      <protection locked="0"/>
    </xf>
    <xf numFmtId="58" fontId="77" fillId="8" borderId="314" xfId="0" applyNumberFormat="1" applyFont="1" applyFill="1" applyBorder="1" applyAlignment="1" applyProtection="1">
      <alignment horizontal="center" vertical="center"/>
      <protection locked="0"/>
    </xf>
    <xf numFmtId="3" fontId="77" fillId="8" borderId="314" xfId="0" applyNumberFormat="1" applyFont="1" applyFill="1" applyBorder="1" applyAlignment="1" applyProtection="1">
      <alignment horizontal="right"/>
      <protection locked="0"/>
    </xf>
    <xf numFmtId="0" fontId="19" fillId="28" borderId="342" xfId="0" applyFont="1" applyFill="1" applyBorder="1" applyAlignment="1" applyProtection="1">
      <alignment vertical="center"/>
      <protection locked="0"/>
    </xf>
    <xf numFmtId="0" fontId="295" fillId="28" borderId="0" xfId="0" applyFont="1" applyFill="1" applyAlignment="1" applyProtection="1">
      <alignment vertical="center"/>
      <protection locked="0"/>
    </xf>
    <xf numFmtId="43" fontId="247" fillId="20" borderId="0" xfId="1" applyFont="1" applyFill="1" applyBorder="1" applyAlignment="1" applyProtection="1">
      <alignment horizontal="left"/>
      <protection locked="0"/>
    </xf>
    <xf numFmtId="43" fontId="110" fillId="20" borderId="0" xfId="1" applyFont="1" applyFill="1" applyBorder="1" applyAlignment="1" applyProtection="1">
      <alignment horizontal="center"/>
      <protection locked="0"/>
    </xf>
    <xf numFmtId="0" fontId="229" fillId="20" borderId="0" xfId="0" applyFont="1" applyFill="1" applyAlignment="1" applyProtection="1">
      <alignment horizontal="center"/>
      <protection locked="0"/>
    </xf>
    <xf numFmtId="0" fontId="110" fillId="20" borderId="0" xfId="0" applyFont="1" applyFill="1" applyProtection="1">
      <protection locked="0"/>
    </xf>
    <xf numFmtId="0" fontId="5" fillId="28" borderId="343" xfId="0" applyFont="1" applyFill="1" applyBorder="1" applyAlignment="1" applyProtection="1">
      <alignment horizontal="center"/>
      <protection locked="0"/>
    </xf>
    <xf numFmtId="0" fontId="5" fillId="28" borderId="344" xfId="0" applyFont="1" applyFill="1" applyBorder="1" applyAlignment="1" applyProtection="1">
      <alignment horizontal="center" vertical="center"/>
      <protection locked="0"/>
    </xf>
    <xf numFmtId="0" fontId="73" fillId="20" borderId="0" xfId="0" applyFont="1" applyFill="1" applyProtection="1">
      <protection locked="0"/>
    </xf>
    <xf numFmtId="0" fontId="313" fillId="20" borderId="0" xfId="0" applyFont="1" applyFill="1" applyProtection="1">
      <protection locked="0"/>
    </xf>
    <xf numFmtId="49" fontId="5" fillId="28" borderId="345" xfId="0" applyNumberFormat="1" applyFont="1" applyFill="1" applyBorder="1" applyAlignment="1" applyProtection="1">
      <alignment horizontal="center" vertical="top"/>
      <protection locked="0"/>
    </xf>
    <xf numFmtId="49" fontId="254" fillId="28" borderId="344" xfId="0" applyNumberFormat="1" applyFont="1" applyFill="1" applyBorder="1" applyAlignment="1" applyProtection="1">
      <alignment horizontal="right" indent="1"/>
      <protection locked="0"/>
    </xf>
    <xf numFmtId="0" fontId="254" fillId="28" borderId="344" xfId="0" applyFont="1" applyFill="1" applyBorder="1" applyAlignment="1" applyProtection="1">
      <alignment horizontal="right" indent="1"/>
      <protection locked="0"/>
    </xf>
    <xf numFmtId="43" fontId="77" fillId="0" borderId="344" xfId="1" applyFont="1" applyFill="1" applyBorder="1" applyAlignment="1" applyProtection="1">
      <alignment horizontal="right"/>
      <protection locked="0"/>
    </xf>
    <xf numFmtId="0" fontId="74" fillId="33" borderId="0" xfId="0" applyFont="1" applyFill="1" applyAlignment="1" applyProtection="1">
      <alignment horizontal="center" vertical="center"/>
      <protection locked="0"/>
    </xf>
    <xf numFmtId="49" fontId="115" fillId="20" borderId="0" xfId="0" applyNumberFormat="1" applyFont="1" applyFill="1" applyAlignment="1">
      <alignment horizontal="left"/>
    </xf>
    <xf numFmtId="0" fontId="115" fillId="20" borderId="0" xfId="0" applyFont="1" applyFill="1" applyProtection="1">
      <protection locked="0"/>
    </xf>
    <xf numFmtId="49" fontId="254" fillId="28" borderId="344" xfId="0" applyNumberFormat="1" applyFont="1" applyFill="1" applyBorder="1" applyAlignment="1" applyProtection="1">
      <alignment horizontal="center"/>
      <protection locked="0"/>
    </xf>
    <xf numFmtId="0" fontId="254" fillId="28" borderId="344" xfId="0" applyFont="1" applyFill="1" applyBorder="1" applyProtection="1">
      <protection locked="0"/>
    </xf>
    <xf numFmtId="43" fontId="77" fillId="34" borderId="344" xfId="1" applyFont="1" applyFill="1" applyBorder="1" applyAlignment="1" applyProtection="1">
      <alignment horizontal="right"/>
      <protection locked="0"/>
    </xf>
    <xf numFmtId="49" fontId="117" fillId="20" borderId="0" xfId="0" applyNumberFormat="1" applyFont="1" applyFill="1" applyAlignment="1">
      <alignment horizontal="left"/>
    </xf>
    <xf numFmtId="49" fontId="117" fillId="20" borderId="0" xfId="0" applyNumberFormat="1" applyFont="1" applyFill="1"/>
    <xf numFmtId="43" fontId="244" fillId="0" borderId="344" xfId="1" applyFont="1" applyFill="1" applyBorder="1" applyAlignment="1" applyProtection="1">
      <alignment horizontal="right"/>
      <protection locked="0"/>
    </xf>
    <xf numFmtId="43" fontId="244" fillId="34" borderId="344" xfId="1" applyFont="1" applyFill="1" applyBorder="1" applyAlignment="1" applyProtection="1">
      <alignment horizontal="right"/>
      <protection locked="0"/>
    </xf>
    <xf numFmtId="49" fontId="115" fillId="20" borderId="0" xfId="0" applyNumberFormat="1" applyFont="1" applyFill="1"/>
    <xf numFmtId="49" fontId="254" fillId="28" borderId="344" xfId="0" applyNumberFormat="1" applyFont="1" applyFill="1" applyBorder="1" applyAlignment="1" applyProtection="1">
      <alignment horizontal="left" indent="1"/>
      <protection locked="0"/>
    </xf>
    <xf numFmtId="0" fontId="254" fillId="28" borderId="344" xfId="0" applyFont="1" applyFill="1" applyBorder="1" applyAlignment="1" applyProtection="1">
      <alignment horizontal="left" indent="1"/>
      <protection locked="0"/>
    </xf>
    <xf numFmtId="43" fontId="77" fillId="2" borderId="344" xfId="1" applyFont="1" applyFill="1" applyBorder="1" applyAlignment="1" applyProtection="1">
      <alignment horizontal="center"/>
      <protection locked="0"/>
    </xf>
    <xf numFmtId="49" fontId="314" fillId="20" borderId="0" xfId="0" applyNumberFormat="1" applyFont="1" applyFill="1" applyAlignment="1">
      <alignment horizontal="left"/>
    </xf>
    <xf numFmtId="49" fontId="77" fillId="20" borderId="0" xfId="0" applyNumberFormat="1" applyFont="1" applyFill="1" applyAlignment="1">
      <alignment horizontal="left"/>
    </xf>
    <xf numFmtId="0" fontId="77" fillId="20" borderId="0" xfId="0" applyFont="1" applyFill="1" applyProtection="1">
      <protection locked="0"/>
    </xf>
    <xf numFmtId="49" fontId="75" fillId="20" borderId="0" xfId="0" applyNumberFormat="1" applyFont="1" applyFill="1"/>
    <xf numFmtId="49" fontId="77" fillId="20" borderId="0" xfId="0" applyNumberFormat="1" applyFont="1" applyFill="1"/>
    <xf numFmtId="49" fontId="75" fillId="20" borderId="0" xfId="0" applyNumberFormat="1" applyFont="1" applyFill="1" applyAlignment="1">
      <alignment horizontal="left"/>
    </xf>
    <xf numFmtId="49" fontId="77" fillId="20" borderId="0" xfId="0" applyNumberFormat="1" applyFont="1" applyFill="1" applyAlignment="1" applyProtection="1">
      <alignment horizontal="left"/>
      <protection locked="0"/>
    </xf>
    <xf numFmtId="49" fontId="315" fillId="20" borderId="0" xfId="0" applyNumberFormat="1" applyFont="1" applyFill="1" applyAlignment="1">
      <alignment horizontal="left"/>
    </xf>
    <xf numFmtId="49" fontId="315" fillId="20" borderId="0" xfId="0" applyNumberFormat="1" applyFont="1" applyFill="1"/>
    <xf numFmtId="0" fontId="254" fillId="28" borderId="344" xfId="0" applyFont="1" applyFill="1" applyBorder="1" applyAlignment="1" applyProtection="1">
      <alignment horizontal="center"/>
      <protection locked="0"/>
    </xf>
    <xf numFmtId="49" fontId="254" fillId="28" borderId="344" xfId="0" applyNumberFormat="1" applyFont="1" applyFill="1" applyBorder="1" applyAlignment="1" applyProtection="1">
      <alignment horizontal="right" indent="2"/>
      <protection locked="0"/>
    </xf>
    <xf numFmtId="0" fontId="254" fillId="28" borderId="344" xfId="0" applyFont="1" applyFill="1" applyBorder="1" applyAlignment="1" applyProtection="1">
      <alignment horizontal="right" indent="2"/>
      <protection locked="0"/>
    </xf>
    <xf numFmtId="43" fontId="77" fillId="0" borderId="343" xfId="1" applyFont="1" applyFill="1" applyBorder="1" applyAlignment="1" applyProtection="1">
      <alignment horizontal="right"/>
      <protection locked="0"/>
    </xf>
    <xf numFmtId="43" fontId="77" fillId="0" borderId="346" xfId="1" applyFont="1" applyFill="1" applyBorder="1" applyAlignment="1" applyProtection="1">
      <alignment horizontal="right"/>
      <protection locked="0"/>
    </xf>
    <xf numFmtId="49" fontId="316" fillId="20" borderId="0" xfId="0" applyNumberFormat="1" applyFont="1" applyFill="1"/>
    <xf numFmtId="43" fontId="77" fillId="20" borderId="344" xfId="1" applyFont="1" applyFill="1" applyBorder="1" applyAlignment="1" applyProtection="1">
      <alignment horizontal="right"/>
      <protection locked="0"/>
    </xf>
    <xf numFmtId="43" fontId="77" fillId="8" borderId="344" xfId="1" applyFont="1" applyFill="1" applyBorder="1" applyAlignment="1" applyProtection="1">
      <alignment horizontal="right"/>
      <protection locked="0"/>
    </xf>
    <xf numFmtId="49" fontId="5" fillId="28" borderId="344" xfId="0" applyNumberFormat="1" applyFont="1" applyFill="1" applyBorder="1" applyAlignment="1" applyProtection="1">
      <alignment horizontal="right"/>
      <protection locked="0"/>
    </xf>
    <xf numFmtId="49" fontId="5" fillId="28" borderId="344" xfId="0" applyNumberFormat="1" applyFont="1" applyFill="1" applyBorder="1" applyAlignment="1" applyProtection="1">
      <alignment horizontal="center" vertical="center"/>
      <protection locked="0"/>
    </xf>
    <xf numFmtId="43" fontId="77" fillId="2" borderId="344" xfId="1" applyFont="1" applyFill="1" applyBorder="1" applyAlignment="1" applyProtection="1">
      <alignment horizontal="center" vertical="center"/>
      <protection locked="0"/>
    </xf>
    <xf numFmtId="0" fontId="317" fillId="20" borderId="0" xfId="0" applyFont="1" applyFill="1" applyAlignment="1" applyProtection="1">
      <alignment horizontal="center"/>
      <protection locked="0"/>
    </xf>
    <xf numFmtId="49" fontId="74" fillId="20" borderId="0" xfId="0" applyNumberFormat="1" applyFont="1" applyFill="1" applyAlignment="1" applyProtection="1">
      <alignment vertical="center"/>
      <protection locked="0"/>
    </xf>
    <xf numFmtId="0" fontId="73" fillId="20" borderId="0" xfId="0" applyFont="1" applyFill="1" applyAlignment="1" applyProtection="1">
      <alignment vertical="center"/>
      <protection locked="0"/>
    </xf>
    <xf numFmtId="49" fontId="77" fillId="20" borderId="0" xfId="0" applyNumberFormat="1" applyFont="1" applyFill="1" applyAlignment="1">
      <alignment vertical="center"/>
    </xf>
    <xf numFmtId="43" fontId="75" fillId="2" borderId="344" xfId="1" applyFont="1" applyFill="1" applyBorder="1" applyAlignment="1" applyProtection="1">
      <alignment horizontal="center"/>
      <protection locked="0"/>
    </xf>
    <xf numFmtId="49" fontId="77" fillId="20" borderId="0" xfId="0" applyNumberFormat="1" applyFont="1" applyFill="1" applyProtection="1">
      <protection locked="0"/>
    </xf>
    <xf numFmtId="43" fontId="115" fillId="2" borderId="344" xfId="1" applyFont="1" applyFill="1" applyBorder="1" applyAlignment="1" applyProtection="1">
      <alignment horizontal="center"/>
      <protection locked="0"/>
    </xf>
    <xf numFmtId="49" fontId="315" fillId="20" borderId="0" xfId="0" applyNumberFormat="1" applyFont="1" applyFill="1" applyProtection="1">
      <protection locked="0"/>
    </xf>
    <xf numFmtId="43" fontId="77" fillId="2" borderId="344" xfId="1" applyFont="1" applyFill="1" applyBorder="1" applyAlignment="1" applyProtection="1">
      <alignment horizontal="right"/>
      <protection locked="0"/>
    </xf>
    <xf numFmtId="49" fontId="254" fillId="28" borderId="344" xfId="0" applyNumberFormat="1" applyFont="1" applyFill="1" applyBorder="1" applyAlignment="1" applyProtection="1">
      <alignment horizontal="right"/>
      <protection locked="0"/>
    </xf>
    <xf numFmtId="0" fontId="254" fillId="28" borderId="344" xfId="0" applyFont="1" applyFill="1" applyBorder="1" applyAlignment="1" applyProtection="1">
      <alignment horizontal="right"/>
      <protection locked="0"/>
    </xf>
    <xf numFmtId="49" fontId="253" fillId="28" borderId="344" xfId="0" applyNumberFormat="1" applyFont="1" applyFill="1" applyBorder="1" applyAlignment="1" applyProtection="1">
      <alignment horizontal="left"/>
      <protection locked="0"/>
    </xf>
    <xf numFmtId="43" fontId="77" fillId="34" borderId="344" xfId="1" applyFont="1" applyFill="1" applyBorder="1" applyAlignment="1" applyProtection="1">
      <alignment horizontal="center"/>
      <protection locked="0"/>
    </xf>
    <xf numFmtId="0" fontId="318" fillId="20" borderId="0" xfId="0" applyFont="1" applyFill="1" applyProtection="1">
      <protection locked="0"/>
    </xf>
    <xf numFmtId="49" fontId="254" fillId="28" borderId="347" xfId="0" applyNumberFormat="1" applyFont="1" applyFill="1" applyBorder="1" applyAlignment="1" applyProtection="1">
      <alignment horizontal="right" indent="1"/>
      <protection locked="0"/>
    </xf>
    <xf numFmtId="49" fontId="254" fillId="28" borderId="348" xfId="0" applyNumberFormat="1" applyFont="1" applyFill="1" applyBorder="1" applyAlignment="1" applyProtection="1">
      <alignment horizontal="right" indent="1"/>
      <protection locked="0"/>
    </xf>
    <xf numFmtId="49" fontId="254" fillId="28" borderId="349" xfId="0" applyNumberFormat="1" applyFont="1" applyFill="1" applyBorder="1" applyAlignment="1" applyProtection="1">
      <alignment horizontal="right" indent="1"/>
      <protection locked="0"/>
    </xf>
    <xf numFmtId="43" fontId="115" fillId="2" borderId="344" xfId="1" applyFont="1" applyFill="1" applyBorder="1" applyAlignment="1" applyProtection="1">
      <alignment horizontal="right" indent="1"/>
      <protection locked="0"/>
    </xf>
    <xf numFmtId="49" fontId="75" fillId="20" borderId="0" xfId="0" applyNumberFormat="1" applyFont="1" applyFill="1" applyProtection="1">
      <protection locked="0"/>
    </xf>
    <xf numFmtId="0" fontId="315" fillId="20" borderId="0" xfId="0" applyFont="1" applyFill="1" applyAlignment="1" applyProtection="1">
      <alignment vertical="center"/>
      <protection locked="0"/>
    </xf>
    <xf numFmtId="0" fontId="75" fillId="20" borderId="0" xfId="0" applyFont="1" applyFill="1" applyAlignment="1" applyProtection="1">
      <alignment vertical="center"/>
      <protection locked="0"/>
    </xf>
    <xf numFmtId="0" fontId="77" fillId="20" borderId="347" xfId="0" applyFont="1" applyFill="1" applyBorder="1" applyProtection="1">
      <protection locked="0"/>
    </xf>
    <xf numFmtId="0" fontId="77" fillId="20" borderId="348" xfId="0" applyFont="1" applyFill="1" applyBorder="1" applyProtection="1">
      <protection locked="0"/>
    </xf>
    <xf numFmtId="43" fontId="254" fillId="20" borderId="348" xfId="1" applyFont="1" applyFill="1" applyBorder="1" applyAlignment="1" applyProtection="1">
      <alignment horizontal="center"/>
      <protection locked="0"/>
    </xf>
    <xf numFmtId="43" fontId="117" fillId="2" borderId="344" xfId="1" applyFont="1" applyFill="1" applyBorder="1" applyAlignment="1" applyProtection="1">
      <alignment horizontal="center"/>
      <protection locked="0"/>
    </xf>
    <xf numFmtId="43" fontId="75" fillId="8" borderId="347" xfId="1" applyFont="1" applyFill="1" applyBorder="1" applyAlignment="1" applyProtection="1">
      <alignment horizontal="center"/>
      <protection locked="0"/>
    </xf>
    <xf numFmtId="43" fontId="75" fillId="8" borderId="348" xfId="1" applyFont="1" applyFill="1" applyBorder="1" applyAlignment="1" applyProtection="1">
      <alignment horizontal="center"/>
      <protection locked="0"/>
    </xf>
    <xf numFmtId="49" fontId="5" fillId="28" borderId="344" xfId="0" applyNumberFormat="1" applyFont="1" applyFill="1" applyBorder="1" applyAlignment="1" applyProtection="1">
      <alignment horizontal="center"/>
      <protection locked="0"/>
    </xf>
    <xf numFmtId="195" fontId="77" fillId="20" borderId="0" xfId="0" applyNumberFormat="1" applyFont="1" applyFill="1" applyProtection="1">
      <protection locked="0"/>
    </xf>
    <xf numFmtId="0" fontId="319" fillId="20" borderId="0" xfId="0" applyFont="1" applyFill="1" applyProtection="1">
      <protection locked="0"/>
    </xf>
    <xf numFmtId="0" fontId="73" fillId="20" borderId="347" xfId="0" applyFont="1" applyFill="1" applyBorder="1" applyProtection="1">
      <protection locked="0"/>
    </xf>
    <xf numFmtId="0" fontId="73" fillId="20" borderId="348" xfId="0" applyFont="1" applyFill="1" applyBorder="1" applyProtection="1">
      <protection locked="0"/>
    </xf>
    <xf numFmtId="0" fontId="317" fillId="20" borderId="348" xfId="0" applyFont="1" applyFill="1" applyBorder="1" applyAlignment="1" applyProtection="1">
      <alignment horizontal="center"/>
      <protection locked="0"/>
    </xf>
    <xf numFmtId="0" fontId="78" fillId="20" borderId="0" xfId="0" applyFont="1" applyFill="1" applyProtection="1">
      <protection locked="0"/>
    </xf>
    <xf numFmtId="0" fontId="75" fillId="20" borderId="0" xfId="0" applyFont="1" applyFill="1" applyProtection="1">
      <protection locked="0"/>
    </xf>
    <xf numFmtId="49" fontId="77" fillId="20" borderId="347" xfId="0" applyNumberFormat="1" applyFont="1" applyFill="1" applyBorder="1" applyProtection="1">
      <protection locked="0"/>
    </xf>
    <xf numFmtId="49" fontId="75" fillId="20" borderId="348" xfId="0" applyNumberFormat="1" applyFont="1" applyFill="1" applyBorder="1" applyProtection="1">
      <protection locked="0"/>
    </xf>
    <xf numFmtId="49" fontId="75" fillId="20" borderId="349" xfId="0" applyNumberFormat="1" applyFont="1" applyFill="1" applyBorder="1" applyProtection="1">
      <protection locked="0"/>
    </xf>
    <xf numFmtId="49" fontId="254" fillId="28" borderId="347" xfId="0" applyNumberFormat="1" applyFont="1" applyFill="1" applyBorder="1" applyProtection="1">
      <protection locked="0"/>
    </xf>
    <xf numFmtId="49" fontId="5" fillId="28" borderId="348" xfId="0" applyNumberFormat="1" applyFont="1" applyFill="1" applyBorder="1" applyProtection="1">
      <protection locked="0"/>
    </xf>
    <xf numFmtId="49" fontId="5" fillId="28" borderId="349" xfId="0" applyNumberFormat="1" applyFont="1" applyFill="1" applyBorder="1" applyProtection="1">
      <protection locked="0"/>
    </xf>
    <xf numFmtId="0" fontId="77" fillId="20" borderId="0" xfId="0" applyFont="1" applyFill="1" applyAlignment="1" applyProtection="1">
      <alignment horizontal="left" indent="1"/>
      <protection locked="0"/>
    </xf>
    <xf numFmtId="10" fontId="77" fillId="0" borderId="344" xfId="1" applyNumberFormat="1" applyFont="1" applyFill="1" applyBorder="1" applyAlignment="1" applyProtection="1">
      <protection locked="0"/>
    </xf>
    <xf numFmtId="10" fontId="77" fillId="2" borderId="344" xfId="1" applyNumberFormat="1" applyFont="1" applyFill="1" applyBorder="1" applyAlignment="1" applyProtection="1">
      <protection locked="0"/>
    </xf>
    <xf numFmtId="10" fontId="77" fillId="2" borderId="344" xfId="0" applyNumberFormat="1" applyFont="1" applyFill="1" applyBorder="1" applyProtection="1">
      <protection locked="0"/>
    </xf>
    <xf numFmtId="0" fontId="77" fillId="33" borderId="0" xfId="0" applyFont="1" applyFill="1" applyProtection="1">
      <protection locked="0"/>
    </xf>
    <xf numFmtId="0" fontId="19" fillId="28" borderId="15" xfId="0" applyFont="1" applyFill="1" applyBorder="1" applyAlignment="1">
      <alignment vertical="center"/>
    </xf>
    <xf numFmtId="0" fontId="5" fillId="28" borderId="14" xfId="0" applyFont="1" applyFill="1" applyBorder="1" applyAlignment="1">
      <alignment vertical="center"/>
    </xf>
    <xf numFmtId="0" fontId="5" fillId="28" borderId="24" xfId="0" applyFont="1" applyFill="1" applyBorder="1" applyAlignment="1">
      <alignment vertical="center"/>
    </xf>
    <xf numFmtId="0" fontId="254" fillId="28" borderId="347" xfId="0" applyFont="1" applyFill="1" applyBorder="1" applyAlignment="1" applyProtection="1">
      <alignment horizontal="center"/>
      <protection locked="0"/>
    </xf>
    <xf numFmtId="0" fontId="254" fillId="28" borderId="348" xfId="0" applyFont="1" applyFill="1" applyBorder="1" applyAlignment="1" applyProtection="1">
      <alignment horizontal="center"/>
      <protection locked="0"/>
    </xf>
    <xf numFmtId="0" fontId="254" fillId="28" borderId="349" xfId="0" applyFont="1" applyFill="1" applyBorder="1" applyAlignment="1" applyProtection="1">
      <alignment horizontal="center"/>
      <protection locked="0"/>
    </xf>
    <xf numFmtId="43" fontId="77" fillId="0" borderId="349" xfId="1" applyFont="1" applyFill="1" applyBorder="1" applyAlignment="1" applyProtection="1">
      <alignment horizontal="right"/>
      <protection locked="0"/>
    </xf>
    <xf numFmtId="0" fontId="116" fillId="20" borderId="0" xfId="0" applyFont="1" applyFill="1" applyProtection="1">
      <protection locked="0"/>
    </xf>
    <xf numFmtId="0" fontId="254" fillId="28" borderId="350" xfId="0" applyFont="1" applyFill="1" applyBorder="1" applyAlignment="1" applyProtection="1">
      <alignment horizontal="center"/>
      <protection locked="0"/>
    </xf>
    <xf numFmtId="0" fontId="254" fillId="28" borderId="350" xfId="0" applyFont="1" applyFill="1" applyBorder="1" applyAlignment="1" applyProtection="1">
      <alignment horizontal="right" indent="1"/>
      <protection locked="0"/>
    </xf>
    <xf numFmtId="0" fontId="254" fillId="28" borderId="312" xfId="0" applyFont="1" applyFill="1" applyBorder="1" applyAlignment="1" applyProtection="1">
      <alignment horizontal="right" indent="1"/>
      <protection locked="0"/>
    </xf>
    <xf numFmtId="0" fontId="254" fillId="28" borderId="351" xfId="0" applyFont="1" applyFill="1" applyBorder="1" applyAlignment="1" applyProtection="1">
      <alignment horizontal="right" indent="1"/>
      <protection locked="0"/>
    </xf>
    <xf numFmtId="196" fontId="77" fillId="2" borderId="351" xfId="1" applyNumberFormat="1" applyFont="1" applyFill="1" applyBorder="1" applyAlignment="1" applyProtection="1">
      <alignment horizontal="right"/>
      <protection locked="0"/>
    </xf>
    <xf numFmtId="196" fontId="77" fillId="2" borderId="343" xfId="1" applyNumberFormat="1" applyFont="1" applyFill="1" applyBorder="1" applyAlignment="1" applyProtection="1">
      <alignment horizontal="right"/>
      <protection locked="0"/>
    </xf>
    <xf numFmtId="195" fontId="73" fillId="20" borderId="0" xfId="0" applyNumberFormat="1" applyFont="1" applyFill="1" applyAlignment="1" applyProtection="1">
      <alignment horizontal="center"/>
      <protection locked="0"/>
    </xf>
    <xf numFmtId="0" fontId="73" fillId="20" borderId="0" xfId="0" applyFont="1" applyFill="1" applyAlignment="1" applyProtection="1">
      <alignment horizontal="center"/>
      <protection locked="0"/>
    </xf>
    <xf numFmtId="0" fontId="73" fillId="33" borderId="0" xfId="0" applyFont="1" applyFill="1" applyProtection="1">
      <protection locked="0"/>
    </xf>
    <xf numFmtId="43" fontId="174" fillId="20" borderId="0" xfId="1" applyFont="1" applyFill="1" applyBorder="1" applyAlignment="1" applyProtection="1">
      <alignment horizontal="left"/>
      <protection locked="0"/>
    </xf>
    <xf numFmtId="0" fontId="247" fillId="20" borderId="0" xfId="0" applyFont="1" applyFill="1" applyAlignment="1" applyProtection="1">
      <alignment horizontal="center"/>
      <protection locked="0"/>
    </xf>
    <xf numFmtId="0" fontId="5" fillId="28" borderId="350" xfId="0" applyFont="1" applyFill="1" applyBorder="1" applyAlignment="1" applyProtection="1">
      <alignment horizontal="center" vertical="center"/>
      <protection locked="0"/>
    </xf>
    <xf numFmtId="0" fontId="5" fillId="28" borderId="312" xfId="0" applyFont="1" applyFill="1" applyBorder="1" applyAlignment="1" applyProtection="1">
      <alignment horizontal="center" vertical="center"/>
      <protection locked="0"/>
    </xf>
    <xf numFmtId="0" fontId="5" fillId="28" borderId="351" xfId="0" applyFont="1" applyFill="1" applyBorder="1" applyAlignment="1" applyProtection="1">
      <alignment horizontal="center" vertical="center"/>
      <protection locked="0"/>
    </xf>
    <xf numFmtId="0" fontId="5" fillId="28" borderId="352" xfId="0" applyFont="1" applyFill="1" applyBorder="1" applyAlignment="1" applyProtection="1">
      <alignment horizontal="center" vertical="center"/>
      <protection locked="0"/>
    </xf>
    <xf numFmtId="0" fontId="5" fillId="28" borderId="353" xfId="0" applyFont="1" applyFill="1" applyBorder="1" applyAlignment="1" applyProtection="1">
      <alignment horizontal="center" vertical="center"/>
      <protection locked="0"/>
    </xf>
    <xf numFmtId="0" fontId="5" fillId="28" borderId="354" xfId="0" applyFont="1" applyFill="1" applyBorder="1" applyAlignment="1" applyProtection="1">
      <alignment horizontal="center" vertical="center"/>
      <protection locked="0"/>
    </xf>
    <xf numFmtId="43" fontId="74" fillId="2" borderId="344" xfId="1" applyFont="1" applyFill="1" applyBorder="1" applyAlignment="1" applyProtection="1">
      <alignment horizontal="right"/>
      <protection locked="0"/>
    </xf>
    <xf numFmtId="0" fontId="115" fillId="20" borderId="0" xfId="0" applyFont="1" applyFill="1"/>
    <xf numFmtId="43" fontId="74" fillId="0" borderId="344" xfId="1" applyFont="1" applyFill="1" applyBorder="1" applyAlignment="1" applyProtection="1">
      <alignment horizontal="right"/>
      <protection locked="0"/>
    </xf>
    <xf numFmtId="0" fontId="254" fillId="28" borderId="344" xfId="0" applyFont="1" applyFill="1" applyBorder="1" applyAlignment="1" applyProtection="1">
      <alignment horizontal="center" vertical="center"/>
      <protection locked="0"/>
    </xf>
    <xf numFmtId="43" fontId="174" fillId="26" borderId="344" xfId="1" applyFont="1" applyFill="1" applyBorder="1" applyAlignment="1" applyProtection="1">
      <alignment horizontal="left" vertical="center"/>
      <protection locked="0"/>
    </xf>
    <xf numFmtId="0" fontId="110" fillId="20" borderId="0" xfId="0" applyFont="1" applyFill="1" applyAlignment="1" applyProtection="1">
      <alignment vertical="center"/>
      <protection locked="0"/>
    </xf>
    <xf numFmtId="0" fontId="174" fillId="20" borderId="0" xfId="0" applyFont="1" applyFill="1" applyAlignment="1" applyProtection="1">
      <alignment vertical="center"/>
      <protection locked="0"/>
    </xf>
    <xf numFmtId="0" fontId="253" fillId="20" borderId="0" xfId="0" applyFont="1" applyFill="1" applyAlignment="1" applyProtection="1">
      <alignment vertical="center"/>
      <protection locked="0"/>
    </xf>
    <xf numFmtId="0" fontId="254" fillId="20" borderId="0" xfId="0" applyFont="1" applyFill="1" applyAlignment="1">
      <alignment vertical="center"/>
    </xf>
    <xf numFmtId="0" fontId="254" fillId="20" borderId="0" xfId="0" applyFont="1" applyFill="1" applyAlignment="1" applyProtection="1">
      <alignment vertical="center"/>
      <protection locked="0"/>
    </xf>
    <xf numFmtId="196" fontId="77" fillId="20" borderId="0" xfId="1" applyNumberFormat="1" applyFont="1" applyFill="1" applyBorder="1" applyAlignment="1" applyProtection="1">
      <alignment horizontal="right"/>
      <protection locked="0"/>
    </xf>
    <xf numFmtId="0" fontId="320" fillId="20" borderId="0" xfId="0" applyFont="1" applyFill="1" applyProtection="1">
      <protection locked="0"/>
    </xf>
    <xf numFmtId="49" fontId="231" fillId="20" borderId="0" xfId="0" applyNumberFormat="1" applyFont="1" applyFill="1" applyProtection="1">
      <protection locked="0"/>
    </xf>
    <xf numFmtId="49" fontId="114" fillId="20" borderId="0" xfId="0" applyNumberFormat="1" applyFont="1" applyFill="1" applyProtection="1">
      <protection locked="0"/>
    </xf>
    <xf numFmtId="43" fontId="110" fillId="20" borderId="0" xfId="1" applyFont="1" applyFill="1" applyBorder="1" applyAlignment="1" applyProtection="1">
      <protection locked="0"/>
    </xf>
    <xf numFmtId="43" fontId="110" fillId="20" borderId="355" xfId="1" applyFont="1" applyFill="1" applyBorder="1" applyAlignment="1" applyProtection="1">
      <protection locked="0"/>
    </xf>
    <xf numFmtId="43" fontId="110" fillId="20" borderId="342" xfId="1" applyFont="1" applyFill="1" applyBorder="1" applyAlignment="1" applyProtection="1">
      <protection locked="0"/>
    </xf>
    <xf numFmtId="49" fontId="116" fillId="20" borderId="0" xfId="0" applyNumberFormat="1" applyFont="1" applyFill="1" applyProtection="1">
      <protection locked="0"/>
    </xf>
    <xf numFmtId="0" fontId="113" fillId="20" borderId="0" xfId="0" applyFont="1" applyFill="1" applyProtection="1">
      <protection locked="0"/>
    </xf>
    <xf numFmtId="0" fontId="254" fillId="28" borderId="350" xfId="0" applyFont="1" applyFill="1" applyBorder="1" applyAlignment="1" applyProtection="1">
      <alignment horizontal="right" vertical="center"/>
      <protection locked="0"/>
    </xf>
    <xf numFmtId="0" fontId="254" fillId="28" borderId="312" xfId="0" applyFont="1" applyFill="1" applyBorder="1" applyAlignment="1" applyProtection="1">
      <alignment horizontal="right" vertical="center"/>
      <protection locked="0"/>
    </xf>
    <xf numFmtId="0" fontId="254" fillId="28" borderId="312" xfId="0" applyFont="1" applyFill="1" applyBorder="1" applyAlignment="1" applyProtection="1">
      <alignment horizontal="left" vertical="center"/>
      <protection locked="0"/>
    </xf>
    <xf numFmtId="0" fontId="254" fillId="28" borderId="351" xfId="0" applyFont="1" applyFill="1" applyBorder="1" applyAlignment="1" applyProtection="1">
      <alignment horizontal="left" vertical="center"/>
      <protection locked="0"/>
    </xf>
    <xf numFmtId="182" fontId="254" fillId="28" borderId="344" xfId="1" applyNumberFormat="1" applyFont="1" applyFill="1" applyBorder="1" applyAlignment="1" applyProtection="1">
      <alignment horizontal="center" vertical="center" wrapText="1"/>
      <protection locked="0"/>
    </xf>
    <xf numFmtId="182" fontId="254" fillId="28" borderId="347" xfId="1" applyNumberFormat="1" applyFont="1" applyFill="1" applyBorder="1" applyAlignment="1" applyProtection="1">
      <alignment horizontal="center" vertical="center" wrapText="1"/>
      <protection locked="0"/>
    </xf>
    <xf numFmtId="182" fontId="254" fillId="28" borderId="356" xfId="1" applyNumberFormat="1" applyFont="1" applyFill="1" applyBorder="1" applyAlignment="1" applyProtection="1">
      <alignment horizontal="center" vertical="center" wrapText="1"/>
      <protection locked="0"/>
    </xf>
    <xf numFmtId="182" fontId="254" fillId="28" borderId="344" xfId="1" applyNumberFormat="1" applyFont="1" applyFill="1" applyBorder="1" applyAlignment="1" applyProtection="1">
      <alignment horizontal="right" vertical="center"/>
      <protection locked="0"/>
    </xf>
    <xf numFmtId="0" fontId="254" fillId="28" borderId="352" xfId="0" applyFont="1" applyFill="1" applyBorder="1" applyAlignment="1" applyProtection="1">
      <alignment horizontal="right" vertical="center"/>
      <protection locked="0"/>
    </xf>
    <xf numFmtId="0" fontId="254" fillId="28" borderId="353" xfId="0" applyFont="1" applyFill="1" applyBorder="1" applyAlignment="1" applyProtection="1">
      <alignment horizontal="right" vertical="center"/>
      <protection locked="0"/>
    </xf>
    <xf numFmtId="0" fontId="254" fillId="28" borderId="353" xfId="0" applyFont="1" applyFill="1" applyBorder="1" applyAlignment="1" applyProtection="1">
      <alignment horizontal="left" vertical="center"/>
      <protection locked="0"/>
    </xf>
    <xf numFmtId="0" fontId="254" fillId="28" borderId="354" xfId="0" applyFont="1" applyFill="1" applyBorder="1" applyAlignment="1" applyProtection="1">
      <alignment horizontal="left" vertical="center"/>
      <protection locked="0"/>
    </xf>
    <xf numFmtId="43" fontId="77" fillId="8" borderId="344" xfId="1" applyFont="1" applyFill="1" applyBorder="1" applyAlignment="1" applyProtection="1">
      <alignment horizontal="center"/>
      <protection locked="0"/>
    </xf>
    <xf numFmtId="0" fontId="115" fillId="20" borderId="0" xfId="0" applyFont="1" applyFill="1" applyAlignment="1" applyProtection="1">
      <alignment horizontal="left"/>
      <protection locked="0"/>
    </xf>
    <xf numFmtId="43" fontId="254" fillId="28" borderId="347" xfId="1" applyFont="1" applyFill="1" applyBorder="1" applyAlignment="1" applyProtection="1">
      <alignment horizontal="right"/>
      <protection locked="0"/>
    </xf>
    <xf numFmtId="43" fontId="254" fillId="28" borderId="348" xfId="1" applyFont="1" applyFill="1" applyBorder="1" applyAlignment="1" applyProtection="1">
      <alignment horizontal="right"/>
      <protection locked="0"/>
    </xf>
    <xf numFmtId="0" fontId="254" fillId="28" borderId="348" xfId="0" applyFont="1" applyFill="1" applyBorder="1" applyAlignment="1" applyProtection="1">
      <alignment horizontal="left"/>
      <protection locked="0"/>
    </xf>
    <xf numFmtId="0" fontId="254" fillId="28" borderId="349" xfId="0" applyFont="1" applyFill="1" applyBorder="1" applyAlignment="1" applyProtection="1">
      <alignment horizontal="left"/>
      <protection locked="0"/>
    </xf>
    <xf numFmtId="182" fontId="77" fillId="0" borderId="344" xfId="1" applyNumberFormat="1" applyFont="1" applyFill="1" applyBorder="1" applyAlignment="1" applyProtection="1">
      <alignment horizontal="center"/>
      <protection locked="0"/>
    </xf>
    <xf numFmtId="182" fontId="77" fillId="0" borderId="344" xfId="0" applyNumberFormat="1" applyFont="1" applyBorder="1" applyAlignment="1" applyProtection="1">
      <alignment horizontal="center"/>
      <protection locked="0"/>
    </xf>
    <xf numFmtId="0" fontId="77" fillId="0" borderId="344" xfId="0" applyFont="1" applyBorder="1" applyAlignment="1" applyProtection="1">
      <alignment horizontal="center"/>
      <protection locked="0"/>
    </xf>
    <xf numFmtId="0" fontId="77" fillId="8" borderId="344" xfId="0" applyFont="1" applyFill="1" applyBorder="1" applyAlignment="1" applyProtection="1">
      <alignment horizontal="center"/>
      <protection locked="0"/>
    </xf>
    <xf numFmtId="182" fontId="77" fillId="8" borderId="344" xfId="0" applyNumberFormat="1" applyFont="1" applyFill="1" applyBorder="1" applyAlignment="1" applyProtection="1">
      <alignment horizontal="center"/>
      <protection locked="0"/>
    </xf>
    <xf numFmtId="0" fontId="77" fillId="8" borderId="347" xfId="0" applyFont="1" applyFill="1" applyBorder="1" applyAlignment="1" applyProtection="1">
      <alignment horizontal="center"/>
      <protection locked="0"/>
    </xf>
    <xf numFmtId="0" fontId="115" fillId="8" borderId="356" xfId="0" applyFont="1" applyFill="1" applyBorder="1" applyAlignment="1" applyProtection="1">
      <alignment horizontal="right"/>
      <protection locked="0"/>
    </xf>
    <xf numFmtId="0" fontId="115" fillId="8" borderId="344" xfId="0" applyFont="1" applyFill="1" applyBorder="1" applyAlignment="1" applyProtection="1">
      <alignment horizontal="right"/>
      <protection locked="0"/>
    </xf>
    <xf numFmtId="0" fontId="115" fillId="8" borderId="347" xfId="0" applyFont="1" applyFill="1" applyBorder="1" applyAlignment="1" applyProtection="1">
      <alignment horizontal="right"/>
      <protection locked="0"/>
    </xf>
    <xf numFmtId="0" fontId="254" fillId="28" borderId="347" xfId="0" applyFont="1" applyFill="1" applyBorder="1" applyAlignment="1" applyProtection="1">
      <alignment horizontal="right"/>
      <protection locked="0"/>
    </xf>
    <xf numFmtId="0" fontId="254" fillId="28" borderId="348" xfId="0" applyFont="1" applyFill="1" applyBorder="1" applyAlignment="1" applyProtection="1">
      <alignment horizontal="right"/>
      <protection locked="0"/>
    </xf>
    <xf numFmtId="182" fontId="77" fillId="2" borderId="357" xfId="1" applyNumberFormat="1" applyFont="1" applyFill="1" applyBorder="1" applyAlignment="1" applyProtection="1">
      <alignment horizontal="center"/>
      <protection locked="0"/>
    </xf>
    <xf numFmtId="182" fontId="77" fillId="2" borderId="358" xfId="1" applyNumberFormat="1" applyFont="1" applyFill="1" applyBorder="1" applyAlignment="1" applyProtection="1">
      <alignment horizontal="center"/>
      <protection locked="0"/>
    </xf>
    <xf numFmtId="182" fontId="77" fillId="2" borderId="358" xfId="0" applyNumberFormat="1" applyFont="1" applyFill="1" applyBorder="1" applyAlignment="1" applyProtection="1">
      <alignment horizontal="center"/>
      <protection locked="0"/>
    </xf>
    <xf numFmtId="0" fontId="77" fillId="2" borderId="358" xfId="0" applyFont="1" applyFill="1" applyBorder="1" applyAlignment="1" applyProtection="1">
      <alignment horizontal="center"/>
      <protection locked="0"/>
    </xf>
    <xf numFmtId="1" fontId="77" fillId="2" borderId="359" xfId="0" applyNumberFormat="1" applyFont="1" applyFill="1" applyBorder="1" applyAlignment="1" applyProtection="1">
      <alignment horizontal="center"/>
      <protection locked="0"/>
    </xf>
    <xf numFmtId="182" fontId="77" fillId="2" borderId="359" xfId="0" applyNumberFormat="1" applyFont="1" applyFill="1" applyBorder="1" applyAlignment="1" applyProtection="1">
      <alignment horizontal="center"/>
      <protection locked="0"/>
    </xf>
    <xf numFmtId="0" fontId="77" fillId="2" borderId="359" xfId="0" applyFont="1" applyFill="1" applyBorder="1" applyAlignment="1" applyProtection="1">
      <alignment horizontal="center"/>
      <protection locked="0"/>
    </xf>
    <xf numFmtId="182" fontId="77" fillId="2" borderId="359" xfId="1" applyNumberFormat="1" applyFont="1" applyFill="1" applyBorder="1" applyAlignment="1" applyProtection="1">
      <alignment horizontal="center"/>
      <protection locked="0"/>
    </xf>
    <xf numFmtId="182" fontId="77" fillId="2" borderId="360" xfId="1" applyNumberFormat="1" applyFont="1" applyFill="1" applyBorder="1" applyAlignment="1" applyProtection="1">
      <alignment horizontal="center"/>
      <protection locked="0"/>
    </xf>
    <xf numFmtId="182" fontId="115" fillId="2" borderId="361" xfId="1" applyNumberFormat="1" applyFont="1" applyFill="1" applyBorder="1" applyAlignment="1" applyProtection="1">
      <alignment horizontal="right"/>
      <protection locked="0"/>
    </xf>
    <xf numFmtId="182" fontId="115" fillId="2" borderId="0" xfId="1" applyNumberFormat="1" applyFont="1" applyFill="1" applyBorder="1" applyAlignment="1" applyProtection="1">
      <alignment horizontal="right"/>
      <protection locked="0"/>
    </xf>
    <xf numFmtId="0" fontId="115" fillId="20" borderId="0" xfId="0" applyFont="1" applyFill="1" applyAlignment="1" applyProtection="1">
      <alignment horizontal="right"/>
      <protection locked="0"/>
    </xf>
    <xf numFmtId="0" fontId="117" fillId="20" borderId="0" xfId="0" applyFont="1" applyFill="1" applyProtection="1">
      <protection locked="0"/>
    </xf>
    <xf numFmtId="0" fontId="115" fillId="20" borderId="0" xfId="0" applyFont="1" applyFill="1" applyAlignment="1" applyProtection="1">
      <alignment horizontal="center"/>
      <protection locked="0"/>
    </xf>
    <xf numFmtId="49" fontId="254" fillId="28" borderId="344" xfId="0" applyNumberFormat="1" applyFont="1" applyFill="1" applyBorder="1" applyAlignment="1" applyProtection="1">
      <alignment horizontal="left"/>
      <protection locked="0"/>
    </xf>
    <xf numFmtId="43" fontId="77" fillId="2" borderId="362" xfId="1" applyFont="1" applyFill="1" applyBorder="1" applyAlignment="1" applyProtection="1">
      <alignment horizontal="right"/>
      <protection locked="0"/>
    </xf>
    <xf numFmtId="43" fontId="77" fillId="2" borderId="363" xfId="1" applyFont="1" applyFill="1" applyBorder="1" applyAlignment="1" applyProtection="1">
      <alignment horizontal="right"/>
      <protection locked="0"/>
    </xf>
    <xf numFmtId="0" fontId="254" fillId="28" borderId="344" xfId="0" applyFont="1" applyFill="1" applyBorder="1" applyAlignment="1" applyProtection="1">
      <alignment horizontal="left"/>
      <protection locked="0"/>
    </xf>
    <xf numFmtId="0" fontId="77" fillId="2" borderId="363" xfId="0" applyFont="1" applyFill="1" applyBorder="1" applyAlignment="1" applyProtection="1">
      <alignment horizontal="right"/>
      <protection locked="0"/>
    </xf>
    <xf numFmtId="43" fontId="77" fillId="2" borderId="363" xfId="1" applyFont="1" applyFill="1" applyBorder="1" applyAlignment="1" applyProtection="1">
      <alignment horizontal="center"/>
      <protection locked="0"/>
    </xf>
    <xf numFmtId="0" fontId="254" fillId="28" borderId="347" xfId="0" applyFont="1" applyFill="1" applyBorder="1" applyAlignment="1" applyProtection="1">
      <alignment horizontal="left"/>
      <protection locked="0"/>
    </xf>
    <xf numFmtId="197" fontId="77" fillId="2" borderId="364" xfId="0" applyNumberFormat="1" applyFont="1" applyFill="1" applyBorder="1" applyAlignment="1" applyProtection="1">
      <alignment horizontal="center"/>
      <protection locked="0"/>
    </xf>
    <xf numFmtId="198" fontId="115" fillId="20" borderId="0" xfId="0" applyNumberFormat="1" applyFont="1" applyFill="1" applyAlignment="1" applyProtection="1">
      <alignment horizontal="left"/>
      <protection locked="0"/>
    </xf>
    <xf numFmtId="43" fontId="115" fillId="20" borderId="0" xfId="1" applyFont="1" applyFill="1" applyBorder="1" applyAlignment="1" applyProtection="1">
      <alignment horizontal="left"/>
      <protection locked="0"/>
    </xf>
    <xf numFmtId="199" fontId="115" fillId="20" borderId="0" xfId="0" applyNumberFormat="1" applyFont="1" applyFill="1" applyAlignment="1" applyProtection="1">
      <alignment horizontal="left"/>
      <protection locked="0"/>
    </xf>
    <xf numFmtId="0" fontId="115" fillId="20" borderId="365" xfId="0" applyFont="1" applyFill="1" applyBorder="1" applyAlignment="1" applyProtection="1">
      <alignment horizontal="left"/>
      <protection locked="0"/>
    </xf>
    <xf numFmtId="43" fontId="77" fillId="2" borderId="364" xfId="1" applyFont="1" applyFill="1" applyBorder="1" applyAlignment="1" applyProtection="1">
      <alignment horizontal="right"/>
      <protection locked="0"/>
    </xf>
    <xf numFmtId="0" fontId="19" fillId="28" borderId="0" xfId="0" applyFont="1" applyFill="1" applyAlignment="1" applyProtection="1">
      <alignment vertical="center"/>
      <protection locked="0"/>
    </xf>
    <xf numFmtId="49" fontId="321" fillId="20" borderId="0" xfId="0" applyNumberFormat="1" applyFont="1" applyFill="1" applyProtection="1">
      <protection locked="0"/>
    </xf>
    <xf numFmtId="200" fontId="116" fillId="20" borderId="0" xfId="0" applyNumberFormat="1" applyFont="1" applyFill="1" applyProtection="1">
      <protection locked="0"/>
    </xf>
    <xf numFmtId="49" fontId="246" fillId="20" borderId="366" xfId="0" applyNumberFormat="1" applyFont="1" applyFill="1" applyBorder="1" applyProtection="1">
      <protection locked="0"/>
    </xf>
    <xf numFmtId="0" fontId="254" fillId="28" borderId="367" xfId="0" applyFont="1" applyFill="1" applyBorder="1" applyAlignment="1" applyProtection="1">
      <alignment vertical="center"/>
      <protection locked="0"/>
    </xf>
    <xf numFmtId="0" fontId="252" fillId="28" borderId="368" xfId="0" applyFont="1" applyFill="1" applyBorder="1" applyAlignment="1" applyProtection="1">
      <alignment vertical="center"/>
      <protection locked="0"/>
    </xf>
    <xf numFmtId="200" fontId="252" fillId="28" borderId="368" xfId="0" applyNumberFormat="1" applyFont="1" applyFill="1" applyBorder="1" applyAlignment="1" applyProtection="1">
      <alignment vertical="center"/>
      <protection locked="0"/>
    </xf>
    <xf numFmtId="0" fontId="252" fillId="28" borderId="369" xfId="0" applyFont="1" applyFill="1" applyBorder="1" applyAlignment="1" applyProtection="1">
      <alignment vertical="center"/>
      <protection locked="0"/>
    </xf>
    <xf numFmtId="43" fontId="77" fillId="2" borderId="370" xfId="1" applyFont="1" applyFill="1" applyBorder="1" applyAlignment="1" applyProtection="1">
      <alignment horizontal="center" vertical="center"/>
      <protection locked="0"/>
    </xf>
    <xf numFmtId="0" fontId="303" fillId="20" borderId="0" xfId="0" applyFont="1" applyFill="1" applyProtection="1">
      <protection locked="0"/>
    </xf>
    <xf numFmtId="0" fontId="115" fillId="20" borderId="0" xfId="0" applyFont="1" applyFill="1" applyAlignment="1" applyProtection="1">
      <alignment vertical="top"/>
      <protection locked="0"/>
    </xf>
    <xf numFmtId="0" fontId="322" fillId="28" borderId="368" xfId="0" applyFont="1" applyFill="1" applyBorder="1" applyProtection="1">
      <protection locked="0"/>
    </xf>
    <xf numFmtId="200" fontId="322" fillId="28" borderId="368" xfId="0" applyNumberFormat="1" applyFont="1" applyFill="1" applyBorder="1" applyProtection="1">
      <protection locked="0"/>
    </xf>
    <xf numFmtId="0" fontId="77" fillId="33" borderId="367" xfId="0" applyFont="1" applyFill="1" applyBorder="1" applyAlignment="1" applyProtection="1">
      <alignment horizontal="center" vertical="center"/>
      <protection locked="0"/>
    </xf>
    <xf numFmtId="0" fontId="77" fillId="33" borderId="369" xfId="0" applyFont="1" applyFill="1" applyBorder="1" applyAlignment="1" applyProtection="1">
      <alignment horizontal="center" vertical="center"/>
      <protection locked="0"/>
    </xf>
    <xf numFmtId="43" fontId="77" fillId="0" borderId="370" xfId="1" applyFont="1" applyFill="1" applyBorder="1" applyAlignment="1" applyProtection="1">
      <alignment horizontal="center" vertical="center"/>
      <protection locked="0"/>
    </xf>
    <xf numFmtId="0" fontId="254" fillId="28" borderId="371" xfId="0" applyFont="1" applyFill="1" applyBorder="1" applyAlignment="1" applyProtection="1">
      <alignment horizontal="left" vertical="center" wrapText="1"/>
      <protection locked="0"/>
    </xf>
    <xf numFmtId="0" fontId="254" fillId="28" borderId="372" xfId="0" applyFont="1" applyFill="1" applyBorder="1" applyAlignment="1" applyProtection="1">
      <alignment horizontal="left" vertical="center" wrapText="1"/>
      <protection locked="0"/>
    </xf>
    <xf numFmtId="0" fontId="254" fillId="28" borderId="373" xfId="0" applyFont="1" applyFill="1" applyBorder="1" applyAlignment="1" applyProtection="1">
      <alignment horizontal="left" vertical="center" wrapText="1"/>
      <protection locked="0"/>
    </xf>
    <xf numFmtId="0" fontId="323" fillId="28" borderId="367" xfId="0" applyFont="1" applyFill="1" applyBorder="1" applyAlignment="1" applyProtection="1">
      <alignment vertical="center"/>
      <protection locked="0"/>
    </xf>
    <xf numFmtId="0" fontId="323" fillId="28" borderId="369" xfId="0" applyFont="1" applyFill="1" applyBorder="1" applyAlignment="1" applyProtection="1">
      <alignment horizontal="right" vertical="center"/>
      <protection locked="0"/>
    </xf>
    <xf numFmtId="0" fontId="254" fillId="28" borderId="367" xfId="0" applyFont="1" applyFill="1" applyBorder="1" applyProtection="1">
      <protection locked="0"/>
    </xf>
    <xf numFmtId="0" fontId="252" fillId="28" borderId="368" xfId="0" applyFont="1" applyFill="1" applyBorder="1" applyProtection="1">
      <protection locked="0"/>
    </xf>
    <xf numFmtId="200" fontId="252" fillId="28" borderId="368" xfId="0" applyNumberFormat="1" applyFont="1" applyFill="1" applyBorder="1" applyProtection="1">
      <protection locked="0"/>
    </xf>
    <xf numFmtId="0" fontId="254" fillId="28" borderId="368" xfId="0" applyFont="1" applyFill="1" applyBorder="1" applyAlignment="1" applyProtection="1">
      <alignment horizontal="center" vertical="center"/>
      <protection locked="0"/>
    </xf>
    <xf numFmtId="0" fontId="254" fillId="28" borderId="369" xfId="0" applyFont="1" applyFill="1" applyBorder="1" applyAlignment="1" applyProtection="1">
      <alignment horizontal="center" vertical="center"/>
      <protection locked="0"/>
    </xf>
    <xf numFmtId="0" fontId="74" fillId="20" borderId="0" xfId="0" applyFont="1" applyFill="1" applyProtection="1">
      <protection locked="0"/>
    </xf>
    <xf numFmtId="0" fontId="73" fillId="20" borderId="374" xfId="0" applyFont="1" applyFill="1" applyBorder="1" applyProtection="1">
      <protection locked="0"/>
    </xf>
    <xf numFmtId="200" fontId="73" fillId="20" borderId="374" xfId="0" applyNumberFormat="1" applyFont="1" applyFill="1" applyBorder="1" applyProtection="1">
      <protection locked="0"/>
    </xf>
    <xf numFmtId="0" fontId="303" fillId="20" borderId="374" xfId="0" applyFont="1" applyFill="1" applyBorder="1" applyProtection="1">
      <protection locked="0"/>
    </xf>
    <xf numFmtId="0" fontId="74" fillId="20" borderId="374" xfId="0" applyFont="1" applyFill="1" applyBorder="1" applyProtection="1">
      <protection locked="0"/>
    </xf>
    <xf numFmtId="0" fontId="110" fillId="20" borderId="374" xfId="0" applyFont="1" applyFill="1" applyBorder="1" applyProtection="1">
      <protection locked="0"/>
    </xf>
    <xf numFmtId="49" fontId="246" fillId="20" borderId="0" xfId="0" applyNumberFormat="1" applyFont="1" applyFill="1" applyProtection="1">
      <protection locked="0"/>
    </xf>
    <xf numFmtId="49" fontId="324" fillId="20" borderId="0" xfId="0" applyNumberFormat="1" applyFont="1" applyFill="1" applyProtection="1">
      <protection locked="0"/>
    </xf>
    <xf numFmtId="200" fontId="324" fillId="20" borderId="0" xfId="0" applyNumberFormat="1" applyFont="1" applyFill="1" applyProtection="1">
      <protection locked="0"/>
    </xf>
    <xf numFmtId="0" fontId="254" fillId="28" borderId="375" xfId="0" applyFont="1" applyFill="1" applyBorder="1" applyProtection="1">
      <protection locked="0"/>
    </xf>
    <xf numFmtId="0" fontId="5" fillId="28" borderId="376" xfId="0" applyFont="1" applyFill="1" applyBorder="1" applyAlignment="1" applyProtection="1">
      <alignment horizontal="left" vertical="center"/>
      <protection locked="0"/>
    </xf>
    <xf numFmtId="0" fontId="5" fillId="28" borderId="377" xfId="0" applyFont="1" applyFill="1" applyBorder="1" applyAlignment="1" applyProtection="1">
      <alignment horizontal="left" vertical="center"/>
      <protection locked="0"/>
    </xf>
    <xf numFmtId="0" fontId="5" fillId="28" borderId="378" xfId="0" applyFont="1" applyFill="1" applyBorder="1" applyAlignment="1" applyProtection="1">
      <alignment horizontal="left" vertical="center"/>
      <protection locked="0"/>
    </xf>
    <xf numFmtId="0" fontId="254" fillId="28" borderId="375" xfId="0" applyFont="1" applyFill="1" applyBorder="1" applyAlignment="1" applyProtection="1">
      <alignment horizontal="center"/>
      <protection locked="0"/>
    </xf>
    <xf numFmtId="0" fontId="254" fillId="28" borderId="379" xfId="0" applyFont="1" applyFill="1" applyBorder="1" applyProtection="1">
      <protection locked="0"/>
    </xf>
    <xf numFmtId="0" fontId="5" fillId="28" borderId="380" xfId="0" applyFont="1" applyFill="1" applyBorder="1" applyAlignment="1" applyProtection="1">
      <alignment horizontal="left" vertical="center"/>
      <protection locked="0"/>
    </xf>
    <xf numFmtId="0" fontId="5" fillId="28" borderId="305" xfId="0" applyFont="1" applyFill="1" applyBorder="1" applyAlignment="1" applyProtection="1">
      <alignment horizontal="left" vertical="center"/>
      <protection locked="0"/>
    </xf>
    <xf numFmtId="0" fontId="5" fillId="28" borderId="381" xfId="0" applyFont="1" applyFill="1" applyBorder="1" applyAlignment="1" applyProtection="1">
      <alignment horizontal="left" vertical="center"/>
      <protection locked="0"/>
    </xf>
    <xf numFmtId="0" fontId="254" fillId="28" borderId="379" xfId="0" applyFont="1" applyFill="1" applyBorder="1" applyAlignment="1" applyProtection="1">
      <alignment horizontal="center"/>
      <protection locked="0"/>
    </xf>
    <xf numFmtId="0" fontId="254" fillId="28" borderId="382" xfId="0" applyFont="1" applyFill="1" applyBorder="1" applyAlignment="1" applyProtection="1">
      <alignment horizontal="center"/>
      <protection locked="0"/>
    </xf>
    <xf numFmtId="0" fontId="254" fillId="28" borderId="383" xfId="0" applyFont="1" applyFill="1" applyBorder="1" applyAlignment="1" applyProtection="1">
      <alignment horizontal="center" vertical="center"/>
      <protection locked="0"/>
    </xf>
    <xf numFmtId="0" fontId="254" fillId="28" borderId="384" xfId="0" applyFont="1" applyFill="1" applyBorder="1" applyAlignment="1" applyProtection="1">
      <alignment vertical="center"/>
      <protection locked="0"/>
    </xf>
    <xf numFmtId="0" fontId="254" fillId="28" borderId="385" xfId="0" applyFont="1" applyFill="1" applyBorder="1" applyAlignment="1" applyProtection="1">
      <alignment vertical="center"/>
      <protection locked="0"/>
    </xf>
    <xf numFmtId="200" fontId="254" fillId="28" borderId="385" xfId="0" applyNumberFormat="1" applyFont="1" applyFill="1" applyBorder="1" applyAlignment="1" applyProtection="1">
      <alignment vertical="center"/>
      <protection locked="0"/>
    </xf>
    <xf numFmtId="0" fontId="254" fillId="28" borderId="386" xfId="0" applyFont="1" applyFill="1" applyBorder="1" applyAlignment="1" applyProtection="1">
      <alignment vertical="center"/>
      <protection locked="0"/>
    </xf>
    <xf numFmtId="0" fontId="77" fillId="2" borderId="383" xfId="0" applyFont="1" applyFill="1" applyBorder="1" applyAlignment="1" applyProtection="1">
      <alignment horizontal="center" vertical="center"/>
      <protection locked="0"/>
    </xf>
    <xf numFmtId="0" fontId="77" fillId="2" borderId="384" xfId="0" applyFont="1" applyFill="1" applyBorder="1" applyAlignment="1" applyProtection="1">
      <alignment horizontal="center" vertical="center"/>
      <protection locked="0"/>
    </xf>
    <xf numFmtId="182" fontId="77" fillId="0" borderId="357" xfId="1" applyNumberFormat="1" applyFont="1" applyFill="1" applyBorder="1" applyAlignment="1" applyProtection="1">
      <alignment horizontal="center" vertical="center"/>
      <protection locked="0"/>
    </xf>
    <xf numFmtId="182" fontId="77" fillId="0" borderId="358" xfId="1" applyNumberFormat="1" applyFont="1" applyFill="1" applyBorder="1" applyAlignment="1" applyProtection="1">
      <alignment horizontal="center" vertical="center"/>
      <protection locked="0"/>
    </xf>
    <xf numFmtId="182" fontId="77" fillId="0" borderId="387" xfId="1" applyNumberFormat="1" applyFont="1" applyFill="1" applyBorder="1" applyAlignment="1" applyProtection="1">
      <alignment horizontal="center" vertical="center"/>
      <protection locked="0"/>
    </xf>
    <xf numFmtId="43" fontId="77" fillId="20" borderId="386" xfId="1" applyFont="1" applyFill="1" applyBorder="1" applyAlignment="1" applyProtection="1">
      <alignment horizontal="center" vertical="center"/>
      <protection locked="0"/>
    </xf>
    <xf numFmtId="43" fontId="77" fillId="20" borderId="383" xfId="1" applyFont="1" applyFill="1" applyBorder="1" applyAlignment="1" applyProtection="1">
      <alignment horizontal="center" vertical="center"/>
      <protection locked="0"/>
    </xf>
    <xf numFmtId="0" fontId="77" fillId="20" borderId="383" xfId="0" applyFont="1" applyFill="1" applyBorder="1" applyAlignment="1" applyProtection="1">
      <alignment horizontal="left" vertical="center"/>
      <protection locked="0"/>
    </xf>
    <xf numFmtId="182" fontId="77" fillId="2" borderId="383" xfId="1" applyNumberFormat="1" applyFont="1" applyFill="1" applyBorder="1" applyAlignment="1" applyProtection="1">
      <alignment horizontal="center" vertical="center"/>
      <protection locked="0"/>
    </xf>
    <xf numFmtId="182" fontId="77" fillId="2" borderId="384" xfId="1" applyNumberFormat="1" applyFont="1" applyFill="1" applyBorder="1" applyAlignment="1" applyProtection="1">
      <alignment horizontal="center" vertical="center"/>
      <protection locked="0"/>
    </xf>
    <xf numFmtId="182" fontId="77" fillId="0" borderId="357" xfId="1" applyNumberFormat="1" applyFont="1" applyBorder="1" applyAlignment="1" applyProtection="1">
      <alignment horizontal="center" vertical="center"/>
      <protection locked="0"/>
    </xf>
    <xf numFmtId="182" fontId="77" fillId="0" borderId="358" xfId="1" applyNumberFormat="1" applyFont="1" applyBorder="1" applyAlignment="1" applyProtection="1">
      <alignment horizontal="center" vertical="center"/>
      <protection locked="0"/>
    </xf>
    <xf numFmtId="182" fontId="77" fillId="0" borderId="387" xfId="1" applyNumberFormat="1" applyFont="1" applyBorder="1" applyAlignment="1" applyProtection="1">
      <alignment horizontal="center" vertical="center"/>
      <protection locked="0"/>
    </xf>
    <xf numFmtId="0" fontId="75" fillId="20" borderId="0" xfId="0" applyFont="1" applyFill="1" applyAlignment="1" applyProtection="1">
      <alignment horizontal="left"/>
      <protection locked="0"/>
    </xf>
    <xf numFmtId="0" fontId="325" fillId="20" borderId="0" xfId="0" applyFont="1" applyFill="1" applyAlignment="1" applyProtection="1">
      <alignment horizontal="center"/>
      <protection locked="0"/>
    </xf>
    <xf numFmtId="200" fontId="75" fillId="20" borderId="0" xfId="0" applyNumberFormat="1" applyFont="1" applyFill="1" applyProtection="1">
      <protection locked="0"/>
    </xf>
    <xf numFmtId="0" fontId="325" fillId="20" borderId="0" xfId="0" applyFont="1" applyFill="1" applyProtection="1">
      <protection locked="0"/>
    </xf>
    <xf numFmtId="0" fontId="254" fillId="28" borderId="375" xfId="0" applyFont="1" applyFill="1" applyBorder="1" applyAlignment="1" applyProtection="1">
      <alignment horizontal="center" vertical="center"/>
      <protection locked="0"/>
    </xf>
    <xf numFmtId="0" fontId="77" fillId="20" borderId="383" xfId="0" applyFont="1" applyFill="1" applyBorder="1" applyAlignment="1" applyProtection="1">
      <alignment horizontal="center" vertical="center"/>
      <protection locked="0"/>
    </xf>
    <xf numFmtId="49" fontId="324" fillId="20" borderId="0" xfId="0" applyNumberFormat="1" applyFont="1" applyFill="1" applyAlignment="1" applyProtection="1">
      <alignment vertical="center"/>
      <protection locked="0"/>
    </xf>
    <xf numFmtId="0" fontId="254" fillId="28" borderId="382" xfId="0" applyFont="1" applyFill="1" applyBorder="1" applyAlignment="1" applyProtection="1">
      <alignment horizontal="center" vertical="center"/>
      <protection locked="0"/>
    </xf>
    <xf numFmtId="182" fontId="77" fillId="20" borderId="383" xfId="1" applyNumberFormat="1" applyFont="1" applyFill="1" applyBorder="1" applyAlignment="1" applyProtection="1">
      <alignment horizontal="center" vertical="center"/>
      <protection locked="0"/>
    </xf>
    <xf numFmtId="0" fontId="254" fillId="28" borderId="379" xfId="0" applyFont="1" applyFill="1" applyBorder="1" applyAlignment="1" applyProtection="1">
      <alignment horizontal="center" vertical="center"/>
      <protection locked="0"/>
    </xf>
    <xf numFmtId="191" fontId="77" fillId="20" borderId="383" xfId="1" applyNumberFormat="1" applyFont="1" applyFill="1" applyBorder="1" applyAlignment="1" applyProtection="1">
      <alignment horizontal="center" vertical="center"/>
      <protection locked="0"/>
    </xf>
    <xf numFmtId="0" fontId="5" fillId="28" borderId="384" xfId="0" applyFont="1" applyFill="1" applyBorder="1" applyAlignment="1" applyProtection="1">
      <alignment vertical="center"/>
      <protection locked="0"/>
    </xf>
    <xf numFmtId="0" fontId="254" fillId="28" borderId="0" xfId="0" applyFont="1" applyFill="1" applyProtection="1">
      <protection locked="0"/>
    </xf>
    <xf numFmtId="0" fontId="5" fillId="28" borderId="0" xfId="0" applyFont="1" applyFill="1" applyAlignment="1" applyProtection="1">
      <alignment horizontal="left"/>
      <protection locked="0"/>
    </xf>
    <xf numFmtId="49" fontId="324" fillId="20" borderId="374" xfId="0" applyNumberFormat="1" applyFont="1" applyFill="1" applyBorder="1" applyProtection="1">
      <protection locked="0"/>
    </xf>
    <xf numFmtId="49" fontId="113" fillId="20" borderId="0" xfId="0" applyNumberFormat="1" applyFont="1" applyFill="1" applyProtection="1">
      <protection locked="0"/>
    </xf>
    <xf numFmtId="0" fontId="5" fillId="28" borderId="344" xfId="0" applyFont="1" applyFill="1" applyBorder="1" applyAlignment="1" applyProtection="1">
      <alignment horizontal="center"/>
      <protection locked="0"/>
    </xf>
    <xf numFmtId="0" fontId="110" fillId="20" borderId="0" xfId="0" applyFont="1" applyFill="1" applyAlignment="1" applyProtection="1">
      <alignment horizontal="left"/>
      <protection locked="0"/>
    </xf>
    <xf numFmtId="201" fontId="77" fillId="0" borderId="344" xfId="1" applyNumberFormat="1" applyFont="1" applyFill="1" applyBorder="1" applyAlignment="1" applyProtection="1">
      <alignment horizontal="right"/>
      <protection locked="0"/>
    </xf>
    <xf numFmtId="0" fontId="244" fillId="20" borderId="0" xfId="0" applyFont="1" applyFill="1" applyProtection="1">
      <protection locked="0"/>
    </xf>
    <xf numFmtId="43" fontId="77" fillId="0" borderId="344" xfId="1" applyFont="1" applyFill="1" applyBorder="1" applyAlignment="1" applyProtection="1">
      <alignment horizontal="center"/>
      <protection locked="0"/>
    </xf>
    <xf numFmtId="0" fontId="313" fillId="20" borderId="374" xfId="0" applyFont="1" applyFill="1" applyBorder="1" applyProtection="1">
      <protection locked="0"/>
    </xf>
    <xf numFmtId="0" fontId="254" fillId="28" borderId="383" xfId="0" applyFont="1" applyFill="1" applyBorder="1" applyAlignment="1" applyProtection="1">
      <alignment horizontal="center"/>
      <protection locked="0"/>
    </xf>
    <xf numFmtId="0" fontId="5" fillId="28" borderId="382" xfId="0" applyFont="1" applyFill="1" applyBorder="1" applyAlignment="1" applyProtection="1">
      <alignment horizontal="center"/>
      <protection locked="0"/>
    </xf>
    <xf numFmtId="0" fontId="252" fillId="28" borderId="383" xfId="0" applyFont="1" applyFill="1" applyBorder="1" applyAlignment="1" applyProtection="1">
      <alignment horizontal="center"/>
      <protection locked="0"/>
    </xf>
    <xf numFmtId="0" fontId="115" fillId="2" borderId="384" xfId="0" applyFont="1" applyFill="1" applyBorder="1" applyAlignment="1" applyProtection="1">
      <alignment horizontal="left"/>
      <protection locked="0"/>
    </xf>
    <xf numFmtId="0" fontId="110" fillId="2" borderId="385" xfId="0" applyFont="1" applyFill="1" applyBorder="1" applyAlignment="1" applyProtection="1">
      <alignment horizontal="left"/>
      <protection locked="0"/>
    </xf>
    <xf numFmtId="0" fontId="110" fillId="2" borderId="377" xfId="0" applyFont="1" applyFill="1" applyBorder="1" applyAlignment="1" applyProtection="1">
      <alignment horizontal="left"/>
      <protection locked="0"/>
    </xf>
    <xf numFmtId="0" fontId="252" fillId="28" borderId="384" xfId="0" applyFont="1" applyFill="1" applyBorder="1" applyProtection="1">
      <protection locked="0"/>
    </xf>
    <xf numFmtId="0" fontId="252" fillId="28" borderId="385" xfId="0" applyFont="1" applyFill="1" applyBorder="1" applyProtection="1">
      <protection locked="0"/>
    </xf>
    <xf numFmtId="0" fontId="254" fillId="28" borderId="386" xfId="0" applyFont="1" applyFill="1" applyBorder="1" applyAlignment="1" applyProtection="1">
      <alignment horizontal="right"/>
      <protection locked="0"/>
    </xf>
    <xf numFmtId="9" fontId="115" fillId="2" borderId="383" xfId="0" applyNumberFormat="1" applyFont="1" applyFill="1" applyBorder="1" applyAlignment="1" applyProtection="1">
      <alignment horizontal="center" vertical="center"/>
      <protection locked="0"/>
    </xf>
    <xf numFmtId="0" fontId="115" fillId="2" borderId="383" xfId="0" applyFont="1" applyFill="1" applyBorder="1" applyAlignment="1" applyProtection="1">
      <alignment horizontal="center" vertical="center"/>
      <protection locked="0"/>
    </xf>
    <xf numFmtId="0" fontId="115" fillId="2" borderId="384" xfId="0" applyFont="1" applyFill="1" applyBorder="1" applyAlignment="1" applyProtection="1">
      <alignment horizontal="center" vertical="center"/>
      <protection locked="0"/>
    </xf>
    <xf numFmtId="3" fontId="74" fillId="0" borderId="357" xfId="0" applyNumberFormat="1" applyFont="1" applyBorder="1" applyAlignment="1" applyProtection="1">
      <alignment vertical="center"/>
      <protection locked="0"/>
    </xf>
    <xf numFmtId="3" fontId="74" fillId="0" borderId="358" xfId="0" applyNumberFormat="1" applyFont="1" applyBorder="1" applyAlignment="1" applyProtection="1">
      <alignment vertical="center"/>
      <protection locked="0"/>
    </xf>
    <xf numFmtId="3" fontId="74" fillId="0" borderId="387" xfId="0" applyNumberFormat="1" applyFont="1" applyBorder="1" applyAlignment="1" applyProtection="1">
      <alignment vertical="center"/>
      <protection locked="0"/>
    </xf>
    <xf numFmtId="3" fontId="74" fillId="20" borderId="386" xfId="0" applyNumberFormat="1" applyFont="1" applyFill="1" applyBorder="1" applyAlignment="1" applyProtection="1">
      <alignment vertical="center"/>
      <protection locked="0"/>
    </xf>
    <xf numFmtId="3" fontId="74" fillId="20" borderId="383" xfId="0" applyNumberFormat="1" applyFont="1" applyFill="1" applyBorder="1" applyAlignment="1" applyProtection="1">
      <alignment vertical="center"/>
      <protection locked="0"/>
    </xf>
    <xf numFmtId="3" fontId="74" fillId="2" borderId="383" xfId="0" applyNumberFormat="1" applyFont="1" applyFill="1" applyBorder="1" applyAlignment="1" applyProtection="1">
      <alignment vertical="center"/>
      <protection locked="0"/>
    </xf>
    <xf numFmtId="3" fontId="74" fillId="2" borderId="383" xfId="0" applyNumberFormat="1" applyFont="1" applyFill="1" applyBorder="1" applyAlignment="1" applyProtection="1">
      <alignment horizontal="right" vertical="center"/>
      <protection locked="0"/>
    </xf>
    <xf numFmtId="0" fontId="115" fillId="20" borderId="388" xfId="0" applyFont="1" applyFill="1" applyBorder="1" applyAlignment="1" applyProtection="1">
      <alignment vertical="center"/>
      <protection locked="0"/>
    </xf>
    <xf numFmtId="200" fontId="110" fillId="20" borderId="0" xfId="0" applyNumberFormat="1" applyFont="1" applyFill="1" applyAlignment="1" applyProtection="1">
      <alignment vertical="center"/>
      <protection locked="0"/>
    </xf>
    <xf numFmtId="0" fontId="115" fillId="20" borderId="0" xfId="0" applyFont="1" applyFill="1" applyAlignment="1" applyProtection="1">
      <alignment vertical="center"/>
      <protection locked="0"/>
    </xf>
    <xf numFmtId="0" fontId="116" fillId="20" borderId="0" xfId="0" applyFont="1" applyFill="1" applyAlignment="1" applyProtection="1">
      <alignment vertical="center"/>
      <protection locked="0"/>
    </xf>
    <xf numFmtId="0" fontId="77" fillId="0" borderId="389" xfId="0" applyFont="1" applyBorder="1" applyAlignment="1" applyProtection="1">
      <alignment horizontal="center" vertical="center"/>
      <protection locked="0"/>
    </xf>
    <xf numFmtId="0" fontId="77" fillId="0" borderId="390" xfId="0" applyFont="1" applyBorder="1" applyAlignment="1" applyProtection="1">
      <alignment horizontal="center" vertical="center"/>
      <protection locked="0"/>
    </xf>
    <xf numFmtId="202" fontId="77" fillId="0" borderId="391" xfId="0" applyNumberFormat="1" applyFont="1" applyBorder="1" applyAlignment="1" applyProtection="1">
      <alignment horizontal="center" vertical="center"/>
      <protection locked="0"/>
    </xf>
    <xf numFmtId="202" fontId="77" fillId="0" borderId="383" xfId="0" applyNumberFormat="1" applyFont="1" applyBorder="1" applyAlignment="1" applyProtection="1">
      <alignment horizontal="center" vertical="center"/>
      <protection locked="0"/>
    </xf>
    <xf numFmtId="202" fontId="77" fillId="20" borderId="383" xfId="0" applyNumberFormat="1" applyFont="1" applyFill="1" applyBorder="1" applyAlignment="1" applyProtection="1">
      <alignment horizontal="center" vertical="center"/>
      <protection locked="0"/>
    </xf>
    <xf numFmtId="3" fontId="74" fillId="20" borderId="383" xfId="0" applyNumberFormat="1" applyFont="1" applyFill="1" applyBorder="1" applyAlignment="1" applyProtection="1">
      <alignment horizontal="right" vertical="center"/>
      <protection locked="0"/>
    </xf>
    <xf numFmtId="200" fontId="254" fillId="28" borderId="386" xfId="0" applyNumberFormat="1" applyFont="1" applyFill="1" applyBorder="1" applyAlignment="1" applyProtection="1">
      <alignment vertical="center"/>
      <protection locked="0"/>
    </xf>
    <xf numFmtId="0" fontId="77" fillId="0" borderId="392" xfId="0" applyFont="1" applyBorder="1" applyAlignment="1" applyProtection="1">
      <alignment horizontal="center" vertical="center"/>
      <protection locked="0"/>
    </xf>
    <xf numFmtId="0" fontId="77" fillId="0" borderId="393" xfId="0" applyFont="1" applyBorder="1" applyAlignment="1" applyProtection="1">
      <alignment horizontal="center" vertical="center"/>
      <protection locked="0"/>
    </xf>
    <xf numFmtId="3" fontId="74" fillId="0" borderId="375" xfId="0" applyNumberFormat="1" applyFont="1" applyBorder="1" applyAlignment="1" applyProtection="1">
      <alignment horizontal="right" vertical="center"/>
      <protection locked="0"/>
    </xf>
    <xf numFmtId="0" fontId="111" fillId="20" borderId="0" xfId="0" applyFont="1" applyFill="1" applyProtection="1">
      <protection locked="0"/>
    </xf>
    <xf numFmtId="200" fontId="111" fillId="20" borderId="0" xfId="0" applyNumberFormat="1" applyFont="1" applyFill="1" applyProtection="1">
      <protection locked="0"/>
    </xf>
    <xf numFmtId="43" fontId="111" fillId="20" borderId="0" xfId="0" applyNumberFormat="1" applyFont="1" applyFill="1" applyProtection="1">
      <protection locked="0"/>
    </xf>
    <xf numFmtId="200" fontId="115" fillId="20" borderId="0" xfId="0" applyNumberFormat="1" applyFont="1" applyFill="1" applyProtection="1">
      <protection locked="0"/>
    </xf>
    <xf numFmtId="43" fontId="115" fillId="20" borderId="0" xfId="0" applyNumberFormat="1" applyFont="1" applyFill="1" applyProtection="1">
      <protection locked="0"/>
    </xf>
    <xf numFmtId="49" fontId="117" fillId="20" borderId="0" xfId="0" applyNumberFormat="1" applyFont="1" applyFill="1" applyProtection="1">
      <protection locked="0"/>
    </xf>
    <xf numFmtId="0" fontId="326" fillId="20" borderId="0" xfId="0" applyFont="1" applyFill="1" applyProtection="1">
      <protection locked="0"/>
    </xf>
    <xf numFmtId="10" fontId="115" fillId="20" borderId="0" xfId="0" applyNumberFormat="1" applyFont="1" applyFill="1" applyAlignment="1" applyProtection="1">
      <alignment horizontal="right"/>
      <protection locked="0"/>
    </xf>
    <xf numFmtId="10" fontId="115" fillId="20" borderId="0" xfId="0" applyNumberFormat="1" applyFont="1" applyFill="1" applyProtection="1">
      <protection locked="0"/>
    </xf>
    <xf numFmtId="202" fontId="115" fillId="20" borderId="0" xfId="0" applyNumberFormat="1" applyFont="1" applyFill="1" applyAlignment="1" applyProtection="1">
      <alignment horizontal="right"/>
      <protection locked="0"/>
    </xf>
    <xf numFmtId="202" fontId="115" fillId="20" borderId="0" xfId="0" applyNumberFormat="1" applyFont="1" applyFill="1" applyProtection="1">
      <protection locked="0"/>
    </xf>
    <xf numFmtId="202" fontId="116" fillId="20" borderId="0" xfId="0" applyNumberFormat="1" applyFont="1" applyFill="1" applyAlignment="1" applyProtection="1">
      <alignment horizontal="right"/>
      <protection locked="0"/>
    </xf>
    <xf numFmtId="202" fontId="116" fillId="20" borderId="0" xfId="0" applyNumberFormat="1" applyFont="1" applyFill="1" applyProtection="1">
      <protection locked="0"/>
    </xf>
    <xf numFmtId="0" fontId="111" fillId="20" borderId="0" xfId="0" applyFont="1" applyFill="1" applyAlignment="1" applyProtection="1">
      <alignment vertical="center"/>
      <protection locked="0"/>
    </xf>
    <xf numFmtId="0" fontId="73" fillId="33" borderId="0" xfId="0" applyFont="1" applyFill="1"/>
    <xf numFmtId="0" fontId="252" fillId="20" borderId="0" xfId="0" applyFont="1" applyFill="1" applyProtection="1">
      <protection locked="0"/>
    </xf>
    <xf numFmtId="0" fontId="73" fillId="16" borderId="0" xfId="0" applyFont="1" applyFill="1"/>
    <xf numFmtId="49" fontId="324" fillId="8" borderId="0" xfId="0" applyNumberFormat="1" applyFont="1" applyFill="1" applyProtection="1">
      <protection locked="0"/>
    </xf>
    <xf numFmtId="49" fontId="78" fillId="8" borderId="394" xfId="0" applyNumberFormat="1" applyFont="1" applyFill="1" applyBorder="1" applyProtection="1">
      <protection locked="0"/>
    </xf>
    <xf numFmtId="49" fontId="138" fillId="8" borderId="394" xfId="0" applyNumberFormat="1" applyFont="1" applyFill="1" applyBorder="1" applyProtection="1">
      <protection locked="0"/>
    </xf>
    <xf numFmtId="49" fontId="138" fillId="20" borderId="394" xfId="0" applyNumberFormat="1" applyFont="1" applyFill="1" applyBorder="1" applyProtection="1">
      <protection locked="0"/>
    </xf>
    <xf numFmtId="49" fontId="77" fillId="20" borderId="384" xfId="0" applyNumberFormat="1" applyFont="1" applyFill="1" applyBorder="1" applyProtection="1">
      <protection locked="0"/>
    </xf>
    <xf numFmtId="49" fontId="77" fillId="20" borderId="385" xfId="0" applyNumberFormat="1" applyFont="1" applyFill="1" applyBorder="1" applyProtection="1">
      <protection locked="0"/>
    </xf>
    <xf numFmtId="49" fontId="77" fillId="20" borderId="386" xfId="0" applyNumberFormat="1" applyFont="1" applyFill="1" applyBorder="1" applyProtection="1">
      <protection locked="0"/>
    </xf>
    <xf numFmtId="200" fontId="77" fillId="20" borderId="383" xfId="0" applyNumberFormat="1" applyFont="1" applyFill="1" applyBorder="1" applyAlignment="1" applyProtection="1">
      <alignment horizontal="center"/>
      <protection locked="0"/>
    </xf>
    <xf numFmtId="0" fontId="77" fillId="20" borderId="383" xfId="0" applyFont="1" applyFill="1" applyBorder="1" applyAlignment="1" applyProtection="1">
      <alignment horizontal="center"/>
      <protection locked="0"/>
    </xf>
    <xf numFmtId="0" fontId="77" fillId="8" borderId="0" xfId="0" applyFont="1" applyFill="1" applyProtection="1">
      <protection locked="0"/>
    </xf>
    <xf numFmtId="178" fontId="77" fillId="8" borderId="0" xfId="0" applyNumberFormat="1" applyFont="1" applyFill="1" applyProtection="1">
      <protection locked="0"/>
    </xf>
    <xf numFmtId="49" fontId="77" fillId="20" borderId="395" xfId="0" applyNumberFormat="1" applyFont="1" applyFill="1" applyBorder="1" applyAlignment="1" applyProtection="1">
      <alignment horizontal="left"/>
      <protection locked="0"/>
    </xf>
    <xf numFmtId="49" fontId="77" fillId="20" borderId="168" xfId="0" applyNumberFormat="1" applyFont="1" applyFill="1" applyBorder="1" applyAlignment="1" applyProtection="1">
      <alignment horizontal="left"/>
      <protection locked="0"/>
    </xf>
    <xf numFmtId="49" fontId="77" fillId="20" borderId="90" xfId="0" applyNumberFormat="1" applyFont="1" applyFill="1" applyBorder="1" applyAlignment="1" applyProtection="1">
      <alignment horizontal="left"/>
      <protection locked="0"/>
    </xf>
    <xf numFmtId="182" fontId="77" fillId="0" borderId="396" xfId="1" applyNumberFormat="1" applyFont="1" applyFill="1" applyBorder="1" applyAlignment="1" applyProtection="1">
      <alignment horizontal="center"/>
      <protection locked="0"/>
    </xf>
    <xf numFmtId="182" fontId="77" fillId="0" borderId="397" xfId="1" applyNumberFormat="1" applyFont="1" applyFill="1" applyBorder="1" applyAlignment="1" applyProtection="1">
      <alignment horizontal="center"/>
      <protection locked="0"/>
    </xf>
    <xf numFmtId="0" fontId="77" fillId="20" borderId="397" xfId="0" applyFont="1" applyFill="1" applyBorder="1" applyProtection="1">
      <protection locked="0"/>
    </xf>
    <xf numFmtId="49" fontId="77" fillId="20" borderId="383" xfId="0" applyNumberFormat="1" applyFont="1" applyFill="1" applyBorder="1" applyAlignment="1" applyProtection="1">
      <alignment horizontal="left"/>
      <protection locked="0"/>
    </xf>
    <xf numFmtId="10" fontId="77" fillId="20" borderId="383" xfId="1" applyNumberFormat="1" applyFont="1" applyFill="1" applyBorder="1" applyAlignment="1" applyProtection="1">
      <alignment horizontal="right"/>
      <protection locked="0"/>
    </xf>
    <xf numFmtId="43" fontId="77" fillId="20" borderId="383" xfId="1" applyFont="1" applyFill="1" applyBorder="1" applyAlignment="1" applyProtection="1">
      <alignment horizontal="center"/>
      <protection locked="0"/>
    </xf>
    <xf numFmtId="43" fontId="77" fillId="0" borderId="383" xfId="1" applyFont="1" applyFill="1" applyBorder="1" applyAlignment="1" applyProtection="1">
      <alignment horizontal="center"/>
      <protection locked="0"/>
    </xf>
    <xf numFmtId="4" fontId="77" fillId="0" borderId="383" xfId="1" applyNumberFormat="1" applyFont="1" applyFill="1" applyBorder="1" applyAlignment="1" applyProtection="1">
      <alignment horizontal="right"/>
      <protection locked="0"/>
    </xf>
    <xf numFmtId="43" fontId="77" fillId="20" borderId="0" xfId="0" applyNumberFormat="1" applyFont="1" applyFill="1" applyProtection="1">
      <protection locked="0"/>
    </xf>
    <xf numFmtId="4" fontId="77" fillId="0" borderId="383" xfId="1" applyNumberFormat="1" applyFont="1" applyBorder="1" applyAlignment="1" applyProtection="1">
      <alignment horizontal="right"/>
      <protection locked="0"/>
    </xf>
    <xf numFmtId="200" fontId="77" fillId="8" borderId="0" xfId="0" applyNumberFormat="1" applyFont="1" applyFill="1" applyProtection="1">
      <protection locked="0"/>
    </xf>
    <xf numFmtId="0" fontId="77" fillId="8" borderId="0" xfId="0" applyFont="1" applyFill="1" applyAlignment="1" applyProtection="1">
      <alignment horizontal="left"/>
      <protection locked="0"/>
    </xf>
    <xf numFmtId="0" fontId="77" fillId="20" borderId="383" xfId="1" applyNumberFormat="1" applyFont="1" applyFill="1" applyBorder="1" applyAlignment="1">
      <alignment horizontal="center"/>
    </xf>
    <xf numFmtId="0" fontId="77" fillId="0" borderId="383" xfId="1" applyNumberFormat="1" applyFont="1" applyFill="1" applyBorder="1" applyAlignment="1">
      <alignment horizontal="center"/>
    </xf>
    <xf numFmtId="0" fontId="77" fillId="0" borderId="383" xfId="1" applyNumberFormat="1" applyFont="1" applyFill="1" applyBorder="1" applyAlignment="1">
      <alignment horizontal="center" shrinkToFit="1"/>
    </xf>
    <xf numFmtId="0" fontId="77" fillId="0" borderId="383" xfId="1" applyNumberFormat="1" applyFont="1" applyFill="1" applyBorder="1" applyAlignment="1">
      <alignment horizontal="right"/>
    </xf>
    <xf numFmtId="203" fontId="77" fillId="0" borderId="383" xfId="1" applyNumberFormat="1" applyFont="1" applyFill="1" applyBorder="1" applyAlignment="1">
      <alignment horizontal="center"/>
    </xf>
    <xf numFmtId="0" fontId="77" fillId="8" borderId="383" xfId="0" applyFont="1" applyFill="1" applyBorder="1" applyProtection="1">
      <protection locked="0"/>
    </xf>
    <xf numFmtId="43" fontId="77" fillId="8" borderId="383" xfId="1" applyFont="1" applyFill="1" applyBorder="1" applyAlignment="1" applyProtection="1">
      <alignment horizontal="center"/>
      <protection locked="0"/>
    </xf>
    <xf numFmtId="0" fontId="73" fillId="8" borderId="0" xfId="0" applyFont="1" applyFill="1"/>
    <xf numFmtId="0" fontId="252" fillId="8" borderId="0" xfId="0" applyFont="1" applyFill="1"/>
    <xf numFmtId="0" fontId="327" fillId="20" borderId="0" xfId="0" applyFont="1" applyFill="1" applyAlignment="1" applyProtection="1">
      <alignment horizontal="center"/>
      <protection locked="0"/>
    </xf>
    <xf numFmtId="0" fontId="317" fillId="20" borderId="0" xfId="0" applyFont="1" applyFill="1" applyProtection="1">
      <protection locked="0"/>
    </xf>
    <xf numFmtId="0" fontId="5" fillId="28" borderId="383" xfId="0" applyFont="1" applyFill="1" applyBorder="1" applyAlignment="1" applyProtection="1">
      <alignment horizontal="center" vertical="center"/>
      <protection locked="0"/>
    </xf>
    <xf numFmtId="43" fontId="323" fillId="28" borderId="383" xfId="0" applyNumberFormat="1" applyFont="1" applyFill="1" applyBorder="1" applyAlignment="1" applyProtection="1">
      <alignment horizontal="center"/>
      <protection locked="0"/>
    </xf>
    <xf numFmtId="0" fontId="328" fillId="20" borderId="0" xfId="0" applyFont="1" applyFill="1" applyProtection="1">
      <protection locked="0"/>
    </xf>
    <xf numFmtId="49" fontId="254" fillId="28" borderId="383" xfId="0" applyNumberFormat="1" applyFont="1" applyFill="1" applyBorder="1" applyAlignment="1" applyProtection="1">
      <alignment horizontal="center"/>
      <protection locked="0"/>
    </xf>
    <xf numFmtId="0" fontId="77" fillId="33" borderId="0" xfId="0" applyFont="1" applyFill="1" applyAlignment="1" applyProtection="1">
      <alignment horizontal="center"/>
      <protection locked="0"/>
    </xf>
    <xf numFmtId="49" fontId="254" fillId="28" borderId="383" xfId="0" applyNumberFormat="1" applyFont="1" applyFill="1" applyBorder="1" applyAlignment="1" applyProtection="1">
      <alignment horizontal="left" indent="1"/>
      <protection locked="0"/>
    </xf>
    <xf numFmtId="0" fontId="254" fillId="28" borderId="383" xfId="0" applyFont="1" applyFill="1" applyBorder="1" applyAlignment="1" applyProtection="1">
      <alignment horizontal="left" indent="1"/>
      <protection locked="0"/>
    </xf>
    <xf numFmtId="43" fontId="77" fillId="2" borderId="383" xfId="1" applyFont="1" applyFill="1" applyBorder="1" applyAlignment="1" applyProtection="1">
      <alignment horizontal="right"/>
      <protection locked="0"/>
    </xf>
    <xf numFmtId="49" fontId="254" fillId="28" borderId="383" xfId="0" applyNumberFormat="1" applyFont="1" applyFill="1" applyBorder="1" applyAlignment="1" applyProtection="1">
      <alignment horizontal="right" indent="1"/>
      <protection locked="0"/>
    </xf>
    <xf numFmtId="0" fontId="254" fillId="28" borderId="383" xfId="0" applyFont="1" applyFill="1" applyBorder="1" applyAlignment="1" applyProtection="1">
      <alignment horizontal="right" indent="1"/>
      <protection locked="0"/>
    </xf>
    <xf numFmtId="43" fontId="77" fillId="34" borderId="383" xfId="1" applyFont="1" applyFill="1" applyBorder="1" applyAlignment="1" applyProtection="1">
      <alignment horizontal="right"/>
      <protection locked="0"/>
    </xf>
    <xf numFmtId="43" fontId="77" fillId="20" borderId="383" xfId="1" applyFont="1" applyFill="1" applyBorder="1" applyAlignment="1" applyProtection="1">
      <alignment horizontal="right"/>
      <protection locked="0"/>
    </xf>
    <xf numFmtId="49" fontId="254" fillId="28" borderId="375" xfId="0" applyNumberFormat="1" applyFont="1" applyFill="1" applyBorder="1" applyAlignment="1" applyProtection="1">
      <alignment horizontal="left" indent="1"/>
      <protection locked="0"/>
    </xf>
    <xf numFmtId="0" fontId="254" fillId="28" borderId="375" xfId="0" applyFont="1" applyFill="1" applyBorder="1" applyAlignment="1" applyProtection="1">
      <alignment horizontal="left" indent="1"/>
      <protection locked="0"/>
    </xf>
    <xf numFmtId="43" fontId="77" fillId="2" borderId="375" xfId="1" applyFont="1" applyFill="1" applyBorder="1" applyAlignment="1" applyProtection="1">
      <alignment horizontal="right"/>
      <protection locked="0"/>
    </xf>
    <xf numFmtId="49" fontId="254" fillId="28" borderId="398" xfId="0" applyNumberFormat="1" applyFont="1" applyFill="1" applyBorder="1" applyAlignment="1" applyProtection="1">
      <alignment horizontal="right" vertical="center" indent="1"/>
      <protection locked="0"/>
    </xf>
    <xf numFmtId="0" fontId="254" fillId="28" borderId="398" xfId="0" applyFont="1" applyFill="1" applyBorder="1" applyAlignment="1" applyProtection="1">
      <alignment horizontal="right" vertical="center" indent="1"/>
      <protection locked="0"/>
    </xf>
    <xf numFmtId="43" fontId="77" fillId="2" borderId="398" xfId="1" applyFont="1" applyFill="1" applyBorder="1" applyAlignment="1" applyProtection="1">
      <alignment horizontal="right" vertical="center"/>
      <protection locked="0"/>
    </xf>
    <xf numFmtId="49" fontId="315" fillId="20" borderId="0" xfId="0" applyNumberFormat="1" applyFont="1" applyFill="1" applyAlignment="1">
      <alignment horizontal="left" vertical="center"/>
    </xf>
    <xf numFmtId="49" fontId="254" fillId="28" borderId="379" xfId="0" applyNumberFormat="1" applyFont="1" applyFill="1" applyBorder="1" applyAlignment="1" applyProtection="1">
      <alignment horizontal="center"/>
      <protection locked="0"/>
    </xf>
    <xf numFmtId="182" fontId="77" fillId="0" borderId="399" xfId="1" applyNumberFormat="1" applyFont="1" applyFill="1" applyBorder="1" applyAlignment="1" applyProtection="1">
      <alignment horizontal="center" vertical="center"/>
      <protection locked="0"/>
    </xf>
    <xf numFmtId="182" fontId="77" fillId="0" borderId="359" xfId="1" applyNumberFormat="1" applyFont="1" applyFill="1" applyBorder="1" applyAlignment="1" applyProtection="1">
      <alignment horizontal="center" vertical="center"/>
      <protection locked="0"/>
    </xf>
    <xf numFmtId="182" fontId="77" fillId="0" borderId="400" xfId="1" applyNumberFormat="1" applyFont="1" applyFill="1" applyBorder="1" applyAlignment="1" applyProtection="1">
      <alignment horizontal="center" vertical="center"/>
      <protection locked="0"/>
    </xf>
    <xf numFmtId="49" fontId="254" fillId="28" borderId="375" xfId="0" applyNumberFormat="1" applyFont="1" applyFill="1" applyBorder="1" applyAlignment="1" applyProtection="1">
      <alignment horizontal="center"/>
      <protection locked="0"/>
    </xf>
    <xf numFmtId="182" fontId="77" fillId="0" borderId="401" xfId="1" applyNumberFormat="1" applyFont="1" applyFill="1" applyBorder="1" applyAlignment="1" applyProtection="1">
      <alignment horizontal="center" vertical="center"/>
      <protection locked="0"/>
    </xf>
    <xf numFmtId="182" fontId="77" fillId="0" borderId="402" xfId="1" applyNumberFormat="1" applyFont="1" applyFill="1" applyBorder="1" applyAlignment="1" applyProtection="1">
      <alignment horizontal="center" vertical="center"/>
      <protection locked="0"/>
    </xf>
    <xf numFmtId="182" fontId="77" fillId="0" borderId="403" xfId="1" applyNumberFormat="1" applyFont="1" applyFill="1" applyBorder="1" applyAlignment="1" applyProtection="1">
      <alignment horizontal="center" vertical="center"/>
      <protection locked="0"/>
    </xf>
    <xf numFmtId="49" fontId="315" fillId="20" borderId="0" xfId="0" applyNumberFormat="1" applyFont="1" applyFill="1" applyAlignment="1">
      <alignment vertical="center"/>
    </xf>
    <xf numFmtId="4" fontId="77" fillId="20" borderId="0" xfId="0" applyNumberFormat="1" applyFont="1" applyFill="1" applyAlignment="1" applyProtection="1">
      <alignment vertical="center"/>
      <protection locked="0"/>
    </xf>
    <xf numFmtId="49" fontId="254" fillId="28" borderId="383" xfId="0" applyNumberFormat="1" applyFont="1" applyFill="1" applyBorder="1" applyAlignment="1" applyProtection="1">
      <alignment horizontal="right" vertical="center" indent="1"/>
      <protection locked="0"/>
    </xf>
    <xf numFmtId="0" fontId="254" fillId="28" borderId="383" xfId="0" applyFont="1" applyFill="1" applyBorder="1" applyAlignment="1" applyProtection="1">
      <alignment horizontal="right" vertical="center" indent="1"/>
      <protection locked="0"/>
    </xf>
    <xf numFmtId="43" fontId="77" fillId="2" borderId="383" xfId="1" applyFont="1" applyFill="1" applyBorder="1" applyAlignment="1" applyProtection="1">
      <alignment horizontal="right" vertical="center"/>
      <protection locked="0"/>
    </xf>
    <xf numFmtId="0" fontId="325" fillId="8" borderId="0" xfId="0" applyFont="1" applyFill="1" applyProtection="1">
      <protection locked="0"/>
    </xf>
    <xf numFmtId="49" fontId="254" fillId="28" borderId="383" xfId="0" applyNumberFormat="1" applyFont="1" applyFill="1" applyBorder="1" applyAlignment="1" applyProtection="1">
      <alignment horizontal="right"/>
      <protection locked="0"/>
    </xf>
    <xf numFmtId="0" fontId="5" fillId="28" borderId="376" xfId="0" applyFont="1" applyFill="1" applyBorder="1" applyAlignment="1" applyProtection="1">
      <alignment horizontal="center" vertical="center"/>
      <protection locked="0"/>
    </xf>
    <xf numFmtId="0" fontId="5" fillId="28" borderId="377" xfId="0" applyFont="1" applyFill="1" applyBorder="1" applyAlignment="1" applyProtection="1">
      <alignment horizontal="center" vertical="center"/>
      <protection locked="0"/>
    </xf>
    <xf numFmtId="0" fontId="5" fillId="28" borderId="378" xfId="0" applyFont="1" applyFill="1" applyBorder="1" applyAlignment="1" applyProtection="1">
      <alignment horizontal="center" vertical="center"/>
      <protection locked="0"/>
    </xf>
    <xf numFmtId="43" fontId="5" fillId="28" borderId="375" xfId="0" applyNumberFormat="1" applyFont="1" applyFill="1" applyBorder="1" applyAlignment="1" applyProtection="1">
      <alignment horizontal="center"/>
      <protection locked="0"/>
    </xf>
    <xf numFmtId="0" fontId="5" fillId="28" borderId="380" xfId="0" applyFont="1" applyFill="1" applyBorder="1" applyAlignment="1" applyProtection="1">
      <alignment horizontal="center" vertical="center"/>
      <protection locked="0"/>
    </xf>
    <xf numFmtId="0" fontId="5" fillId="28" borderId="305" xfId="0" applyFont="1" applyFill="1" applyBorder="1" applyAlignment="1" applyProtection="1">
      <alignment horizontal="center" vertical="center"/>
      <protection locked="0"/>
    </xf>
    <xf numFmtId="0" fontId="5" fillId="28" borderId="381" xfId="0" applyFont="1" applyFill="1" applyBorder="1" applyAlignment="1" applyProtection="1">
      <alignment horizontal="center" vertical="center"/>
      <protection locked="0"/>
    </xf>
    <xf numFmtId="178" fontId="77" fillId="20" borderId="0" xfId="185" applyFont="1" applyFill="1" applyBorder="1" applyAlignment="1" applyProtection="1">
      <alignment horizontal="right"/>
      <protection locked="0"/>
    </xf>
    <xf numFmtId="49" fontId="254" fillId="28" borderId="404" xfId="0" applyNumberFormat="1" applyFont="1" applyFill="1" applyBorder="1" applyAlignment="1" applyProtection="1">
      <alignment horizontal="center"/>
      <protection locked="0"/>
    </xf>
    <xf numFmtId="0" fontId="254" fillId="28" borderId="404" xfId="0" applyFont="1" applyFill="1" applyBorder="1" applyAlignment="1" applyProtection="1">
      <alignment horizontal="center"/>
      <protection locked="0"/>
    </xf>
    <xf numFmtId="49" fontId="254" fillId="28" borderId="404" xfId="0" applyNumberFormat="1" applyFont="1" applyFill="1" applyBorder="1" applyAlignment="1" applyProtection="1">
      <alignment horizontal="right" indent="1"/>
      <protection locked="0"/>
    </xf>
    <xf numFmtId="0" fontId="254" fillId="28" borderId="404" xfId="0" applyFont="1" applyFill="1" applyBorder="1" applyAlignment="1" applyProtection="1">
      <alignment horizontal="right" indent="1"/>
      <protection locked="0"/>
    </xf>
    <xf numFmtId="43" fontId="77" fillId="34" borderId="404" xfId="1" applyFont="1" applyFill="1" applyBorder="1" applyAlignment="1" applyProtection="1">
      <alignment horizontal="right"/>
      <protection locked="0"/>
    </xf>
    <xf numFmtId="49" fontId="254" fillId="28" borderId="404" xfId="0" applyNumberFormat="1" applyFont="1" applyFill="1" applyBorder="1" applyAlignment="1" applyProtection="1">
      <alignment horizontal="left" indent="1"/>
      <protection locked="0"/>
    </xf>
    <xf numFmtId="0" fontId="254" fillId="28" borderId="404" xfId="0" applyFont="1" applyFill="1" applyBorder="1" applyAlignment="1" applyProtection="1">
      <alignment horizontal="left" indent="1"/>
      <protection locked="0"/>
    </xf>
    <xf numFmtId="43" fontId="77" fillId="2" borderId="404" xfId="1" applyFont="1" applyFill="1" applyBorder="1" applyAlignment="1" applyProtection="1">
      <alignment horizontal="right"/>
      <protection locked="0"/>
    </xf>
    <xf numFmtId="43" fontId="77" fillId="0" borderId="404" xfId="1" applyFont="1" applyFill="1" applyBorder="1" applyAlignment="1" applyProtection="1">
      <alignment horizontal="right"/>
      <protection locked="0"/>
    </xf>
    <xf numFmtId="49" fontId="254" fillId="28" borderId="404" xfId="0" applyNumberFormat="1" applyFont="1" applyFill="1" applyBorder="1" applyAlignment="1" applyProtection="1">
      <alignment horizontal="right" vertical="center"/>
      <protection locked="0"/>
    </xf>
    <xf numFmtId="0" fontId="254" fillId="28" borderId="404" xfId="0" applyFont="1" applyFill="1" applyBorder="1" applyAlignment="1" applyProtection="1">
      <alignment horizontal="right" vertical="center"/>
      <protection locked="0"/>
    </xf>
    <xf numFmtId="43" fontId="77" fillId="2" borderId="404" xfId="1" applyFont="1" applyFill="1" applyBorder="1" applyAlignment="1" applyProtection="1">
      <alignment horizontal="right" vertical="center"/>
      <protection locked="0"/>
    </xf>
    <xf numFmtId="43" fontId="77" fillId="0" borderId="383" xfId="1" applyFont="1" applyFill="1" applyBorder="1" applyAlignment="1" applyProtection="1">
      <alignment horizontal="right"/>
      <protection locked="0"/>
    </xf>
    <xf numFmtId="43" fontId="77" fillId="20" borderId="0" xfId="1" applyFont="1" applyFill="1" applyBorder="1" applyProtection="1">
      <protection locked="0"/>
    </xf>
    <xf numFmtId="43" fontId="77" fillId="20" borderId="0" xfId="1" applyFont="1" applyFill="1" applyBorder="1" applyAlignment="1" applyProtection="1">
      <alignment horizontal="right"/>
      <protection locked="0"/>
    </xf>
    <xf numFmtId="43" fontId="16" fillId="20" borderId="0" xfId="1" applyFont="1" applyFill="1" applyBorder="1" applyProtection="1">
      <protection locked="0"/>
    </xf>
    <xf numFmtId="0" fontId="20" fillId="28" borderId="0" xfId="0" applyFont="1" applyFill="1" applyAlignment="1" applyProtection="1">
      <alignment vertical="center"/>
      <protection locked="0"/>
    </xf>
    <xf numFmtId="0" fontId="138" fillId="20" borderId="0" xfId="1" applyNumberFormat="1" applyFont="1" applyFill="1" applyBorder="1" applyAlignment="1" applyProtection="1">
      <protection locked="0"/>
    </xf>
    <xf numFmtId="0" fontId="138" fillId="20" borderId="0" xfId="0" applyFont="1" applyFill="1" applyProtection="1">
      <protection locked="0"/>
    </xf>
    <xf numFmtId="0" fontId="317" fillId="20" borderId="0" xfId="1" applyNumberFormat="1" applyFont="1" applyFill="1" applyBorder="1" applyAlignment="1" applyProtection="1">
      <protection locked="0"/>
    </xf>
    <xf numFmtId="0" fontId="75" fillId="20" borderId="0" xfId="0" applyFont="1" applyFill="1" applyAlignment="1" applyProtection="1">
      <alignment horizontal="right"/>
      <protection locked="0"/>
    </xf>
    <xf numFmtId="0" fontId="319" fillId="20" borderId="0" xfId="1" applyNumberFormat="1" applyFont="1" applyFill="1" applyBorder="1" applyAlignment="1" applyProtection="1">
      <protection locked="0"/>
    </xf>
    <xf numFmtId="0" fontId="74" fillId="20" borderId="0" xfId="0" applyFont="1" applyFill="1" applyAlignment="1" applyProtection="1">
      <alignment horizontal="right"/>
      <protection locked="0"/>
    </xf>
    <xf numFmtId="0" fontId="254" fillId="28" borderId="405" xfId="1" applyNumberFormat="1" applyFont="1" applyFill="1" applyBorder="1" applyAlignment="1" applyProtection="1">
      <protection locked="0"/>
    </xf>
    <xf numFmtId="0" fontId="254" fillId="28" borderId="368" xfId="0" applyFont="1" applyFill="1" applyBorder="1" applyProtection="1">
      <protection locked="0"/>
    </xf>
    <xf numFmtId="43" fontId="74" fillId="0" borderId="406" xfId="1" applyFont="1" applyFill="1" applyBorder="1" applyAlignment="1" applyProtection="1">
      <alignment horizontal="center"/>
      <protection locked="0"/>
    </xf>
    <xf numFmtId="43" fontId="74" fillId="0" borderId="407" xfId="1" applyFont="1" applyFill="1" applyBorder="1" applyAlignment="1" applyProtection="1">
      <alignment horizontal="center"/>
      <protection locked="0"/>
    </xf>
    <xf numFmtId="43" fontId="74" fillId="0" borderId="408" xfId="1" applyFont="1" applyFill="1" applyBorder="1" applyAlignment="1" applyProtection="1">
      <alignment horizontal="center"/>
      <protection locked="0"/>
    </xf>
    <xf numFmtId="43" fontId="74" fillId="0" borderId="409" xfId="1" applyFont="1" applyFill="1" applyBorder="1" applyAlignment="1" applyProtection="1">
      <alignment horizontal="center"/>
      <protection locked="0"/>
    </xf>
    <xf numFmtId="43" fontId="74" fillId="0" borderId="368" xfId="1" applyFont="1" applyFill="1" applyBorder="1" applyAlignment="1" applyProtection="1">
      <alignment horizontal="center"/>
      <protection locked="0"/>
    </xf>
    <xf numFmtId="43" fontId="74" fillId="0" borderId="410" xfId="1" applyFont="1" applyFill="1" applyBorder="1" applyAlignment="1" applyProtection="1">
      <alignment horizontal="center"/>
      <protection locked="0"/>
    </xf>
    <xf numFmtId="43" fontId="74" fillId="2" borderId="411" xfId="1" applyFont="1" applyFill="1" applyBorder="1" applyAlignment="1" applyProtection="1">
      <alignment horizontal="center"/>
      <protection locked="0"/>
    </xf>
    <xf numFmtId="43" fontId="74" fillId="2" borderId="412" xfId="1" applyFont="1" applyFill="1" applyBorder="1" applyAlignment="1" applyProtection="1">
      <alignment horizontal="center"/>
      <protection locked="0"/>
    </xf>
    <xf numFmtId="43" fontId="74" fillId="2" borderId="413" xfId="1" applyFont="1" applyFill="1" applyBorder="1" applyAlignment="1" applyProtection="1">
      <alignment horizontal="center"/>
      <protection locked="0"/>
    </xf>
    <xf numFmtId="0" fontId="77" fillId="20" borderId="0" xfId="1" applyNumberFormat="1" applyFont="1" applyFill="1" applyBorder="1" applyAlignment="1" applyProtection="1">
      <protection locked="0"/>
    </xf>
    <xf numFmtId="0" fontId="315" fillId="20" borderId="0" xfId="1" applyNumberFormat="1" applyFont="1" applyFill="1" applyBorder="1" applyAlignment="1" applyProtection="1">
      <protection locked="0"/>
    </xf>
    <xf numFmtId="0" fontId="77" fillId="20" borderId="0" xfId="0" applyFont="1" applyFill="1" applyAlignment="1" applyProtection="1">
      <alignment horizontal="right"/>
      <protection locked="0"/>
    </xf>
    <xf numFmtId="204" fontId="139" fillId="20" borderId="0" xfId="0" applyNumberFormat="1" applyFont="1" applyFill="1" applyAlignment="1" applyProtection="1">
      <alignment horizontal="center"/>
      <protection locked="0"/>
    </xf>
    <xf numFmtId="43" fontId="75" fillId="20" borderId="0" xfId="1" applyFont="1" applyFill="1" applyBorder="1" applyProtection="1">
      <protection locked="0"/>
    </xf>
    <xf numFmtId="0" fontId="75" fillId="20" borderId="0" xfId="1" applyNumberFormat="1" applyFont="1" applyFill="1" applyBorder="1" applyAlignment="1" applyProtection="1">
      <protection locked="0"/>
    </xf>
    <xf numFmtId="0" fontId="5" fillId="28" borderId="405" xfId="1" applyNumberFormat="1" applyFont="1" applyFill="1" applyBorder="1" applyAlignment="1" applyProtection="1">
      <protection locked="0"/>
    </xf>
    <xf numFmtId="43" fontId="73" fillId="2" borderId="404" xfId="1" applyFont="1" applyFill="1" applyBorder="1" applyAlignment="1" applyProtection="1">
      <alignment horizontal="center"/>
      <protection locked="0"/>
    </xf>
    <xf numFmtId="43" fontId="73" fillId="0" borderId="404" xfId="1" applyFont="1" applyFill="1" applyBorder="1" applyAlignment="1" applyProtection="1">
      <alignment horizontal="center"/>
      <protection locked="0"/>
    </xf>
    <xf numFmtId="43" fontId="77" fillId="8" borderId="404" xfId="1" applyFont="1" applyFill="1" applyBorder="1" applyAlignment="1" applyProtection="1">
      <alignment horizontal="center"/>
      <protection locked="0"/>
    </xf>
    <xf numFmtId="0" fontId="16" fillId="28" borderId="405" xfId="1" applyNumberFormat="1" applyFont="1" applyFill="1" applyBorder="1" applyAlignment="1" applyProtection="1">
      <protection locked="0"/>
    </xf>
    <xf numFmtId="43" fontId="73" fillId="16" borderId="404" xfId="1" applyFont="1" applyFill="1" applyBorder="1" applyAlignment="1" applyProtection="1">
      <alignment horizontal="center"/>
      <protection locked="0"/>
    </xf>
    <xf numFmtId="0" fontId="77" fillId="16" borderId="0" xfId="0" applyFont="1" applyFill="1" applyProtection="1">
      <protection locked="0"/>
    </xf>
    <xf numFmtId="0" fontId="254" fillId="28" borderId="405" xfId="0" applyFont="1" applyFill="1" applyBorder="1" applyAlignment="1" applyProtection="1">
      <alignment horizontal="right"/>
      <protection locked="0"/>
    </xf>
    <xf numFmtId="43" fontId="73" fillId="2" borderId="414" xfId="1" applyFont="1" applyFill="1" applyBorder="1" applyAlignment="1" applyProtection="1">
      <alignment horizontal="center"/>
      <protection locked="0"/>
    </xf>
    <xf numFmtId="43" fontId="73" fillId="2" borderId="415" xfId="1" applyFont="1" applyFill="1" applyBorder="1" applyAlignment="1" applyProtection="1">
      <alignment horizontal="center"/>
      <protection locked="0"/>
    </xf>
    <xf numFmtId="43" fontId="73" fillId="2" borderId="416" xfId="1" applyFont="1" applyFill="1" applyBorder="1" applyAlignment="1" applyProtection="1">
      <alignment horizontal="center"/>
      <protection locked="0"/>
    </xf>
    <xf numFmtId="43" fontId="73" fillId="2" borderId="417" xfId="1" applyFont="1" applyFill="1" applyBorder="1" applyAlignment="1" applyProtection="1">
      <alignment horizontal="center"/>
      <protection locked="0"/>
    </xf>
    <xf numFmtId="43" fontId="73" fillId="0" borderId="418" xfId="1" applyFont="1" applyFill="1" applyBorder="1" applyAlignment="1" applyProtection="1">
      <alignment horizontal="center"/>
      <protection locked="0"/>
    </xf>
    <xf numFmtId="43" fontId="77" fillId="8" borderId="418" xfId="1" applyFont="1" applyFill="1" applyBorder="1" applyAlignment="1" applyProtection="1">
      <alignment horizontal="center"/>
      <protection locked="0"/>
    </xf>
    <xf numFmtId="43" fontId="73" fillId="2" borderId="418" xfId="1" applyFont="1" applyFill="1" applyBorder="1" applyAlignment="1" applyProtection="1">
      <alignment horizontal="center"/>
      <protection locked="0"/>
    </xf>
    <xf numFmtId="0" fontId="5" fillId="28" borderId="0" xfId="1" applyNumberFormat="1" applyFont="1" applyFill="1" applyBorder="1" applyAlignment="1" applyProtection="1">
      <alignment horizontal="right"/>
      <protection locked="0"/>
    </xf>
    <xf numFmtId="43" fontId="252" fillId="2" borderId="419" xfId="1" applyFont="1" applyFill="1" applyBorder="1" applyAlignment="1" applyProtection="1">
      <alignment horizontal="center"/>
      <protection locked="0"/>
    </xf>
    <xf numFmtId="43" fontId="252" fillId="2" borderId="420" xfId="1" applyFont="1" applyFill="1" applyBorder="1" applyAlignment="1" applyProtection="1">
      <alignment horizontal="center"/>
      <protection locked="0"/>
    </xf>
    <xf numFmtId="43" fontId="252" fillId="2" borderId="421" xfId="1" applyFont="1" applyFill="1" applyBorder="1" applyAlignment="1" applyProtection="1">
      <alignment horizontal="center"/>
      <protection locked="0"/>
    </xf>
    <xf numFmtId="43" fontId="235" fillId="2" borderId="419" xfId="1" applyFont="1" applyFill="1" applyBorder="1" applyAlignment="1" applyProtection="1">
      <alignment horizontal="center"/>
      <protection locked="0"/>
    </xf>
    <xf numFmtId="43" fontId="235" fillId="2" borderId="420" xfId="1" applyFont="1" applyFill="1" applyBorder="1" applyAlignment="1" applyProtection="1">
      <alignment horizontal="center"/>
      <protection locked="0"/>
    </xf>
    <xf numFmtId="43" fontId="235" fillId="2" borderId="421" xfId="1" applyFont="1" applyFill="1" applyBorder="1" applyAlignment="1" applyProtection="1">
      <alignment horizontal="center"/>
      <protection locked="0"/>
    </xf>
    <xf numFmtId="0" fontId="254" fillId="28" borderId="405" xfId="0" applyFont="1" applyFill="1" applyBorder="1" applyProtection="1">
      <protection locked="0"/>
    </xf>
    <xf numFmtId="43" fontId="73" fillId="0" borderId="406" xfId="1" applyFont="1" applyFill="1" applyBorder="1" applyAlignment="1" applyProtection="1">
      <alignment horizontal="center"/>
      <protection locked="0"/>
    </xf>
    <xf numFmtId="43" fontId="73" fillId="0" borderId="407" xfId="1" applyFont="1" applyFill="1" applyBorder="1" applyAlignment="1" applyProtection="1">
      <alignment horizontal="center"/>
      <protection locked="0"/>
    </xf>
    <xf numFmtId="43" fontId="73" fillId="0" borderId="408" xfId="1" applyFont="1" applyFill="1" applyBorder="1" applyAlignment="1" applyProtection="1">
      <alignment horizontal="center"/>
      <protection locked="0"/>
    </xf>
    <xf numFmtId="43" fontId="73" fillId="20" borderId="0" xfId="1" applyFont="1" applyFill="1" applyBorder="1" applyAlignment="1" applyProtection="1">
      <alignment horizontal="center"/>
      <protection locked="0"/>
    </xf>
    <xf numFmtId="43" fontId="73" fillId="2" borderId="409" xfId="1" applyFont="1" applyFill="1" applyBorder="1" applyAlignment="1" applyProtection="1">
      <alignment horizontal="center"/>
      <protection locked="0"/>
    </xf>
    <xf numFmtId="43" fontId="73" fillId="2" borderId="368" xfId="1" applyFont="1" applyFill="1" applyBorder="1" applyAlignment="1" applyProtection="1">
      <alignment horizontal="center"/>
      <protection locked="0"/>
    </xf>
    <xf numFmtId="43" fontId="73" fillId="2" borderId="410" xfId="1" applyFont="1" applyFill="1" applyBorder="1" applyAlignment="1" applyProtection="1">
      <alignment horizontal="center"/>
      <protection locked="0"/>
    </xf>
    <xf numFmtId="43" fontId="73" fillId="0" borderId="409" xfId="1" applyFont="1" applyFill="1" applyBorder="1" applyAlignment="1" applyProtection="1">
      <alignment horizontal="center"/>
      <protection locked="0"/>
    </xf>
    <xf numFmtId="43" fontId="73" fillId="0" borderId="368" xfId="1" applyFont="1" applyFill="1" applyBorder="1" applyAlignment="1" applyProtection="1">
      <alignment horizontal="center"/>
      <protection locked="0"/>
    </xf>
    <xf numFmtId="43" fontId="73" fillId="0" borderId="410" xfId="1" applyFont="1" applyFill="1" applyBorder="1" applyAlignment="1" applyProtection="1">
      <alignment horizontal="center"/>
      <protection locked="0"/>
    </xf>
    <xf numFmtId="43" fontId="73" fillId="0" borderId="411" xfId="1" applyFont="1" applyFill="1" applyBorder="1" applyAlignment="1" applyProtection="1">
      <alignment horizontal="center"/>
      <protection locked="0"/>
    </xf>
    <xf numFmtId="43" fontId="73" fillId="0" borderId="412" xfId="1" applyFont="1" applyFill="1" applyBorder="1" applyAlignment="1" applyProtection="1">
      <alignment horizontal="center"/>
      <protection locked="0"/>
    </xf>
    <xf numFmtId="43" fontId="73" fillId="0" borderId="413" xfId="1" applyFont="1" applyFill="1" applyBorder="1" applyAlignment="1" applyProtection="1">
      <alignment horizontal="center"/>
      <protection locked="0"/>
    </xf>
    <xf numFmtId="0" fontId="139" fillId="20" borderId="0" xfId="1" applyNumberFormat="1" applyFont="1" applyFill="1" applyBorder="1" applyAlignment="1" applyProtection="1">
      <protection locked="0"/>
    </xf>
    <xf numFmtId="0" fontId="139" fillId="20" borderId="0" xfId="0" applyFont="1" applyFill="1" applyProtection="1">
      <protection locked="0"/>
    </xf>
    <xf numFmtId="43" fontId="138" fillId="20" borderId="0" xfId="1" applyFont="1" applyFill="1" applyBorder="1" applyProtection="1">
      <protection locked="0"/>
    </xf>
    <xf numFmtId="0" fontId="252" fillId="28" borderId="0" xfId="0" applyFont="1" applyFill="1" applyAlignment="1" applyProtection="1">
      <alignment vertical="center"/>
      <protection locked="0"/>
    </xf>
    <xf numFmtId="0" fontId="315" fillId="20" borderId="0" xfId="0" applyFont="1" applyFill="1" applyProtection="1">
      <protection locked="0"/>
    </xf>
    <xf numFmtId="49" fontId="306" fillId="20" borderId="0" xfId="0" applyNumberFormat="1" applyFont="1" applyFill="1" applyAlignment="1" applyProtection="1">
      <alignment horizontal="left"/>
      <protection locked="0"/>
    </xf>
    <xf numFmtId="49" fontId="306" fillId="20" borderId="0" xfId="0" applyNumberFormat="1" applyFont="1" applyFill="1" applyProtection="1">
      <protection locked="0"/>
    </xf>
    <xf numFmtId="0" fontId="322" fillId="28" borderId="422" xfId="0" applyFont="1" applyFill="1" applyBorder="1" applyAlignment="1">
      <alignment horizontal="center"/>
    </xf>
    <xf numFmtId="0" fontId="322" fillId="28" borderId="423" xfId="0" applyFont="1" applyFill="1" applyBorder="1" applyAlignment="1">
      <alignment horizontal="center"/>
    </xf>
    <xf numFmtId="0" fontId="322" fillId="28" borderId="424" xfId="0" applyFont="1" applyFill="1" applyBorder="1" applyAlignment="1">
      <alignment horizontal="center"/>
    </xf>
    <xf numFmtId="0" fontId="322" fillId="28" borderId="425" xfId="0" applyFont="1" applyFill="1" applyBorder="1" applyAlignment="1">
      <alignment horizontal="center"/>
    </xf>
    <xf numFmtId="0" fontId="252" fillId="28" borderId="426" xfId="0" applyFont="1" applyFill="1" applyBorder="1" applyAlignment="1">
      <alignment vertical="center" textRotation="90"/>
    </xf>
    <xf numFmtId="0" fontId="252" fillId="28" borderId="372" xfId="0" applyFont="1" applyFill="1" applyBorder="1" applyAlignment="1">
      <alignment vertical="center" textRotation="90"/>
    </xf>
    <xf numFmtId="0" fontId="254" fillId="28" borderId="427" xfId="0" applyFont="1" applyFill="1" applyBorder="1" applyAlignment="1">
      <alignment horizontal="center" vertical="center"/>
    </xf>
    <xf numFmtId="0" fontId="322" fillId="28" borderId="428" xfId="0" applyFont="1" applyFill="1" applyBorder="1" applyAlignment="1">
      <alignment horizontal="center"/>
    </xf>
    <xf numFmtId="0" fontId="322" fillId="28" borderId="90" xfId="0" applyFont="1" applyFill="1" applyBorder="1" applyAlignment="1">
      <alignment horizontal="center"/>
    </xf>
    <xf numFmtId="0" fontId="322" fillId="28" borderId="91" xfId="0" applyFont="1" applyFill="1" applyBorder="1" applyAlignment="1">
      <alignment horizontal="center"/>
    </xf>
    <xf numFmtId="0" fontId="322" fillId="28" borderId="168" xfId="0" applyFont="1" applyFill="1" applyBorder="1" applyAlignment="1">
      <alignment horizontal="center"/>
    </xf>
    <xf numFmtId="0" fontId="254" fillId="28" borderId="429" xfId="0" applyFont="1" applyFill="1" applyBorder="1" applyAlignment="1">
      <alignment vertical="center" textRotation="90"/>
    </xf>
    <xf numFmtId="0" fontId="254" fillId="28" borderId="0" xfId="0" applyFont="1" applyFill="1" applyAlignment="1">
      <alignment vertical="center" textRotation="90"/>
    </xf>
    <xf numFmtId="0" fontId="254" fillId="28" borderId="430" xfId="0" applyFont="1" applyFill="1" applyBorder="1" applyAlignment="1">
      <alignment vertical="center" textRotation="90"/>
    </xf>
    <xf numFmtId="0" fontId="253" fillId="28" borderId="431" xfId="0" applyFont="1" applyFill="1" applyBorder="1" applyAlignment="1">
      <alignment horizontal="center" wrapText="1"/>
    </xf>
    <xf numFmtId="0" fontId="253" fillId="28" borderId="432" xfId="0" applyFont="1" applyFill="1" applyBorder="1" applyAlignment="1">
      <alignment horizontal="center" wrapText="1"/>
    </xf>
    <xf numFmtId="0" fontId="253" fillId="28" borderId="433" xfId="0" applyFont="1" applyFill="1" applyBorder="1" applyAlignment="1">
      <alignment horizontal="center" wrapText="1"/>
    </xf>
    <xf numFmtId="0" fontId="323" fillId="28" borderId="429" xfId="0" applyFont="1" applyFill="1" applyBorder="1" applyAlignment="1">
      <alignment horizontal="center"/>
    </xf>
    <xf numFmtId="0" fontId="323" fillId="28" borderId="0" xfId="0" applyFont="1" applyFill="1" applyAlignment="1">
      <alignment horizontal="center"/>
    </xf>
    <xf numFmtId="0" fontId="254" fillId="28" borderId="429" xfId="0" applyFont="1" applyFill="1" applyBorder="1" applyAlignment="1">
      <alignment horizontal="center" vertical="top" wrapText="1"/>
    </xf>
    <xf numFmtId="0" fontId="254" fillId="28" borderId="0" xfId="0" applyFont="1" applyFill="1" applyAlignment="1">
      <alignment horizontal="center" vertical="top" wrapText="1"/>
    </xf>
    <xf numFmtId="0" fontId="254" fillId="28" borderId="430" xfId="0" applyFont="1" applyFill="1" applyBorder="1" applyAlignment="1">
      <alignment horizontal="center" vertical="top" wrapText="1"/>
    </xf>
    <xf numFmtId="0" fontId="253" fillId="28" borderId="432" xfId="0" applyFont="1" applyFill="1" applyBorder="1" applyAlignment="1">
      <alignment horizontal="center" vertical="top" wrapText="1"/>
    </xf>
    <xf numFmtId="0" fontId="322" fillId="28" borderId="429" xfId="0" applyFont="1" applyFill="1" applyBorder="1" applyAlignment="1">
      <alignment horizontal="center"/>
    </xf>
    <xf numFmtId="0" fontId="322" fillId="28" borderId="0" xfId="0" applyFont="1" applyFill="1" applyAlignment="1">
      <alignment horizontal="center"/>
    </xf>
    <xf numFmtId="0" fontId="253" fillId="28" borderId="432" xfId="0" applyFont="1" applyFill="1" applyBorder="1" applyAlignment="1">
      <alignment horizontal="center" vertical="top" shrinkToFit="1"/>
    </xf>
    <xf numFmtId="0" fontId="253" fillId="28" borderId="433" xfId="0" applyFont="1" applyFill="1" applyBorder="1" applyAlignment="1">
      <alignment horizontal="center" vertical="top" shrinkToFit="1"/>
    </xf>
    <xf numFmtId="0" fontId="254" fillId="28" borderId="434" xfId="0" applyFont="1" applyFill="1" applyBorder="1" applyAlignment="1">
      <alignment vertical="center" textRotation="90"/>
    </xf>
    <xf numFmtId="0" fontId="254" fillId="28" borderId="366" xfId="0" applyFont="1" applyFill="1" applyBorder="1" applyAlignment="1">
      <alignment vertical="center" textRotation="90"/>
    </xf>
    <xf numFmtId="0" fontId="254" fillId="28" borderId="435" xfId="0" applyFont="1" applyFill="1" applyBorder="1" applyAlignment="1">
      <alignment vertical="center" textRotation="90"/>
    </xf>
    <xf numFmtId="0" fontId="253" fillId="28" borderId="436" xfId="0" applyFont="1" applyFill="1" applyBorder="1" applyAlignment="1">
      <alignment horizontal="center" vertical="top" wrapText="1"/>
    </xf>
    <xf numFmtId="0" fontId="253" fillId="28" borderId="437" xfId="0" applyFont="1" applyFill="1" applyBorder="1" applyAlignment="1">
      <alignment horizontal="center" vertical="top" wrapText="1"/>
    </xf>
    <xf numFmtId="0" fontId="253" fillId="28" borderId="438" xfId="0" applyFont="1" applyFill="1" applyBorder="1" applyAlignment="1">
      <alignment horizontal="center" vertical="top" wrapText="1"/>
    </xf>
    <xf numFmtId="0" fontId="254" fillId="28" borderId="439" xfId="0" applyFont="1" applyFill="1" applyBorder="1"/>
    <xf numFmtId="0" fontId="254" fillId="28" borderId="421" xfId="0" applyFont="1" applyFill="1" applyBorder="1" applyAlignment="1">
      <alignment horizontal="center"/>
    </xf>
    <xf numFmtId="0" fontId="254" fillId="28" borderId="427" xfId="0" applyFont="1" applyFill="1" applyBorder="1" applyAlignment="1">
      <alignment horizontal="center"/>
    </xf>
    <xf numFmtId="0" fontId="254" fillId="28" borderId="437" xfId="0" applyFont="1" applyFill="1" applyBorder="1" applyAlignment="1">
      <alignment horizontal="center"/>
    </xf>
    <xf numFmtId="0" fontId="254" fillId="28" borderId="440" xfId="0" applyFont="1" applyFill="1" applyBorder="1" applyAlignment="1">
      <alignment horizontal="right" vertical="top"/>
    </xf>
    <xf numFmtId="0" fontId="5" fillId="28" borderId="441" xfId="0" applyFont="1" applyFill="1" applyBorder="1" applyAlignment="1">
      <alignment horizontal="left" vertical="top" wrapText="1"/>
    </xf>
    <xf numFmtId="0" fontId="5" fillId="28" borderId="442" xfId="0" applyFont="1" applyFill="1" applyBorder="1" applyAlignment="1">
      <alignment horizontal="left" vertical="top" wrapText="1"/>
    </xf>
    <xf numFmtId="0" fontId="5" fillId="28" borderId="443" xfId="0" applyFont="1" applyFill="1" applyBorder="1" applyAlignment="1">
      <alignment horizontal="left" vertical="top" wrapText="1"/>
    </xf>
    <xf numFmtId="0" fontId="254" fillId="28" borderId="434" xfId="0" applyFont="1" applyFill="1" applyBorder="1" applyAlignment="1">
      <alignment horizontal="center" vertical="top"/>
    </xf>
    <xf numFmtId="0" fontId="254" fillId="28" borderId="366" xfId="0" applyFont="1" applyFill="1" applyBorder="1" applyAlignment="1">
      <alignment horizontal="center" vertical="top"/>
    </xf>
    <xf numFmtId="182" fontId="116" fillId="2" borderId="437" xfId="1" applyNumberFormat="1" applyFont="1" applyFill="1" applyBorder="1" applyAlignment="1" applyProtection="1">
      <alignment horizontal="center"/>
      <protection locked="0"/>
    </xf>
    <xf numFmtId="3" fontId="116" fillId="2" borderId="437" xfId="1" applyNumberFormat="1" applyFont="1" applyFill="1" applyBorder="1" applyAlignment="1" applyProtection="1">
      <alignment horizontal="right"/>
      <protection locked="0"/>
    </xf>
    <xf numFmtId="0" fontId="116" fillId="2" borderId="437" xfId="1" applyNumberFormat="1" applyFont="1" applyFill="1" applyBorder="1" applyAlignment="1" applyProtection="1">
      <alignment horizontal="right"/>
      <protection locked="0"/>
    </xf>
    <xf numFmtId="0" fontId="254" fillId="28" borderId="444" xfId="0" applyFont="1" applyFill="1" applyBorder="1" applyAlignment="1">
      <alignment horizontal="right" vertical="top"/>
    </xf>
    <xf numFmtId="0" fontId="254" fillId="28" borderId="445" xfId="0" applyFont="1" applyFill="1" applyBorder="1" applyAlignment="1">
      <alignment horizontal="left" vertical="top" wrapText="1"/>
    </xf>
    <xf numFmtId="0" fontId="254" fillId="28" borderId="446" xfId="0" applyFont="1" applyFill="1" applyBorder="1" applyAlignment="1">
      <alignment horizontal="left" vertical="top" wrapText="1"/>
    </xf>
    <xf numFmtId="0" fontId="254" fillId="28" borderId="447" xfId="0" applyFont="1" applyFill="1" applyBorder="1" applyAlignment="1">
      <alignment horizontal="left" vertical="top" wrapText="1"/>
    </xf>
    <xf numFmtId="0" fontId="254" fillId="28" borderId="405" xfId="0" applyFont="1" applyFill="1" applyBorder="1" applyAlignment="1">
      <alignment horizontal="center" vertical="top"/>
    </xf>
    <xf numFmtId="0" fontId="254" fillId="28" borderId="368" xfId="0" applyFont="1" applyFill="1" applyBorder="1" applyAlignment="1">
      <alignment horizontal="center" vertical="top"/>
    </xf>
    <xf numFmtId="182" fontId="74" fillId="0" borderId="427" xfId="1" applyNumberFormat="1" applyFont="1" applyFill="1" applyBorder="1" applyAlignment="1" applyProtection="1">
      <alignment horizontal="center"/>
      <protection locked="0"/>
    </xf>
    <xf numFmtId="182" fontId="74" fillId="2" borderId="427" xfId="1" applyNumberFormat="1" applyFont="1" applyFill="1" applyBorder="1" applyAlignment="1" applyProtection="1">
      <alignment horizontal="center"/>
      <protection locked="0"/>
    </xf>
    <xf numFmtId="0" fontId="254" fillId="28" borderId="444" xfId="0" applyFont="1" applyFill="1" applyBorder="1" applyAlignment="1">
      <alignment horizontal="right" vertical="center"/>
    </xf>
    <xf numFmtId="0" fontId="5" fillId="28" borderId="445" xfId="0" applyFont="1" applyFill="1" applyBorder="1" applyAlignment="1">
      <alignment horizontal="left" vertical="center" wrapText="1"/>
    </xf>
    <xf numFmtId="0" fontId="5" fillId="28" borderId="446" xfId="0" applyFont="1" applyFill="1" applyBorder="1" applyAlignment="1">
      <alignment horizontal="left" vertical="center" wrapText="1"/>
    </xf>
    <xf numFmtId="0" fontId="5" fillId="28" borderId="447" xfId="0" applyFont="1" applyFill="1" applyBorder="1" applyAlignment="1">
      <alignment horizontal="left" vertical="center" wrapText="1"/>
    </xf>
    <xf numFmtId="0" fontId="254" fillId="28" borderId="405" xfId="0" applyFont="1" applyFill="1" applyBorder="1" applyAlignment="1">
      <alignment horizontal="center" vertical="center"/>
    </xf>
    <xf numFmtId="0" fontId="254" fillId="28" borderId="368" xfId="0" applyFont="1" applyFill="1" applyBorder="1" applyAlignment="1">
      <alignment horizontal="center" vertical="center"/>
    </xf>
    <xf numFmtId="182" fontId="116" fillId="2" borderId="427" xfId="1" applyNumberFormat="1" applyFont="1" applyFill="1" applyBorder="1" applyAlignment="1" applyProtection="1">
      <alignment horizontal="center" vertical="center"/>
      <protection locked="0"/>
    </xf>
    <xf numFmtId="182" fontId="74" fillId="0" borderId="427" xfId="1" applyNumberFormat="1" applyFont="1" applyFill="1" applyBorder="1" applyAlignment="1" applyProtection="1">
      <alignment horizontal="center" shrinkToFit="1"/>
      <protection locked="0"/>
    </xf>
    <xf numFmtId="0" fontId="5" fillId="28" borderId="444" xfId="0" applyFont="1" applyFill="1" applyBorder="1" applyAlignment="1">
      <alignment horizontal="right" vertical="top"/>
    </xf>
    <xf numFmtId="0" fontId="5" fillId="28" borderId="445" xfId="0" applyFont="1" applyFill="1" applyBorder="1" applyAlignment="1">
      <alignment horizontal="left" vertical="top" wrapText="1"/>
    </xf>
    <xf numFmtId="0" fontId="5" fillId="28" borderId="446" xfId="0" applyFont="1" applyFill="1" applyBorder="1" applyAlignment="1">
      <alignment horizontal="left" vertical="top" wrapText="1"/>
    </xf>
    <xf numFmtId="0" fontId="5" fillId="28" borderId="447" xfId="0" applyFont="1" applyFill="1" applyBorder="1" applyAlignment="1">
      <alignment horizontal="left" vertical="top" wrapText="1"/>
    </xf>
    <xf numFmtId="0" fontId="5" fillId="28" borderId="405" xfId="0" applyFont="1" applyFill="1" applyBorder="1" applyAlignment="1">
      <alignment horizontal="center" vertical="top"/>
    </xf>
    <xf numFmtId="0" fontId="5" fillId="28" borderId="368" xfId="0" applyFont="1" applyFill="1" applyBorder="1" applyAlignment="1">
      <alignment horizontal="center" vertical="top"/>
    </xf>
    <xf numFmtId="182" fontId="231" fillId="2" borderId="427" xfId="1" applyNumberFormat="1" applyFont="1" applyFill="1" applyBorder="1" applyAlignment="1" applyProtection="1">
      <alignment horizontal="center" shrinkToFit="1"/>
      <protection locked="0"/>
    </xf>
    <xf numFmtId="0" fontId="5" fillId="28" borderId="444" xfId="0" applyFont="1" applyFill="1" applyBorder="1" applyAlignment="1">
      <alignment horizontal="right" vertical="center"/>
    </xf>
    <xf numFmtId="182" fontId="116" fillId="2" borderId="427" xfId="1" applyNumberFormat="1" applyFont="1" applyFill="1" applyBorder="1" applyAlignment="1" applyProtection="1">
      <alignment horizontal="center" vertical="center" shrinkToFit="1"/>
      <protection locked="0"/>
    </xf>
    <xf numFmtId="0" fontId="5" fillId="28" borderId="448" xfId="0" applyFont="1" applyFill="1" applyBorder="1" applyAlignment="1">
      <alignment horizontal="right" vertical="center"/>
    </xf>
    <xf numFmtId="182" fontId="235" fillId="20" borderId="0" xfId="0" applyNumberFormat="1" applyFont="1" applyFill="1" applyAlignment="1" applyProtection="1">
      <alignment horizontal="center"/>
      <protection locked="0"/>
    </xf>
    <xf numFmtId="0" fontId="235" fillId="20" borderId="0" xfId="0" applyFont="1" applyFill="1" applyAlignment="1" applyProtection="1">
      <alignment horizontal="center"/>
      <protection locked="0"/>
    </xf>
    <xf numFmtId="0" fontId="73" fillId="8" borderId="0" xfId="0" applyFont="1" applyFill="1" applyProtection="1">
      <protection locked="0"/>
    </xf>
    <xf numFmtId="0" fontId="329" fillId="20" borderId="0" xfId="0" applyFont="1" applyFill="1" applyAlignment="1" applyProtection="1">
      <alignment horizontal="center"/>
      <protection locked="0"/>
    </xf>
    <xf numFmtId="0" fontId="77" fillId="2" borderId="0" xfId="0" applyFont="1" applyFill="1" applyAlignment="1" applyProtection="1">
      <alignment horizontal="left"/>
      <protection locked="0"/>
    </xf>
    <xf numFmtId="0" fontId="77" fillId="2" borderId="0" xfId="0" applyFont="1" applyFill="1" applyAlignment="1" applyProtection="1">
      <alignment horizontal="left" vertical="top" wrapText="1"/>
      <protection locked="0"/>
    </xf>
    <xf numFmtId="0" fontId="247" fillId="20" borderId="0" xfId="0" applyFont="1" applyFill="1" applyProtection="1">
      <protection locked="0"/>
    </xf>
    <xf numFmtId="0" fontId="174" fillId="20" borderId="0" xfId="0" applyFont="1" applyFill="1" applyProtection="1">
      <protection locked="0"/>
    </xf>
    <xf numFmtId="0" fontId="115" fillId="2" borderId="0" xfId="0" applyFont="1" applyFill="1" applyProtection="1">
      <protection locked="0"/>
    </xf>
    <xf numFmtId="0" fontId="247" fillId="2" borderId="0" xfId="0" applyFont="1" applyFill="1" applyAlignment="1" applyProtection="1">
      <alignment horizontal="center"/>
      <protection locked="0"/>
    </xf>
    <xf numFmtId="0" fontId="110" fillId="2" borderId="0" xfId="0" applyFont="1" applyFill="1" applyProtection="1">
      <protection locked="0"/>
    </xf>
    <xf numFmtId="0" fontId="5" fillId="28" borderId="404" xfId="0" applyFont="1" applyFill="1" applyBorder="1" applyAlignment="1" applyProtection="1">
      <alignment horizontal="center" vertical="center"/>
      <protection locked="0"/>
    </xf>
    <xf numFmtId="0" fontId="5" fillId="28" borderId="405" xfId="0" applyFont="1" applyFill="1" applyBorder="1" applyAlignment="1" applyProtection="1">
      <alignment horizontal="center" vertical="center"/>
      <protection locked="0"/>
    </xf>
    <xf numFmtId="0" fontId="254" fillId="28" borderId="449" xfId="0" applyFont="1" applyFill="1" applyBorder="1" applyAlignment="1" applyProtection="1">
      <alignment horizontal="center" vertical="center"/>
      <protection locked="0"/>
    </xf>
    <xf numFmtId="0" fontId="254" fillId="28" borderId="450" xfId="0" applyFont="1" applyFill="1" applyBorder="1" applyAlignment="1" applyProtection="1">
      <alignment horizontal="center" vertical="center"/>
      <protection locked="0"/>
    </xf>
    <xf numFmtId="0" fontId="5" fillId="28" borderId="418" xfId="0" applyFont="1" applyFill="1" applyBorder="1" applyAlignment="1" applyProtection="1">
      <alignment horizontal="center" vertical="center"/>
      <protection locked="0"/>
    </xf>
    <xf numFmtId="0" fontId="252" fillId="28" borderId="451" xfId="0" applyFont="1" applyFill="1" applyBorder="1" applyAlignment="1" applyProtection="1">
      <alignment horizontal="center" vertical="center"/>
      <protection locked="0"/>
    </xf>
    <xf numFmtId="0" fontId="252" fillId="28" borderId="452" xfId="0" applyFont="1" applyFill="1" applyBorder="1" applyAlignment="1" applyProtection="1">
      <alignment horizontal="center" vertical="center"/>
      <protection locked="0"/>
    </xf>
    <xf numFmtId="0" fontId="5" fillId="28" borderId="414" xfId="0" applyFont="1" applyFill="1" applyBorder="1" applyAlignment="1" applyProtection="1">
      <alignment horizontal="center" vertical="center"/>
      <protection locked="0"/>
    </xf>
    <xf numFmtId="0" fontId="5" fillId="28" borderId="426" xfId="0" applyFont="1" applyFill="1" applyBorder="1" applyAlignment="1" applyProtection="1">
      <alignment horizontal="center" vertical="center"/>
      <protection locked="0"/>
    </xf>
    <xf numFmtId="0" fontId="254" fillId="28" borderId="433" xfId="0" applyFont="1" applyFill="1" applyBorder="1" applyAlignment="1" applyProtection="1">
      <alignment horizontal="center" vertical="center"/>
      <protection locked="0"/>
    </xf>
    <xf numFmtId="0" fontId="254" fillId="28" borderId="431" xfId="0" applyFont="1" applyFill="1" applyBorder="1" applyAlignment="1" applyProtection="1">
      <alignment horizontal="center" vertical="center"/>
      <protection locked="0"/>
    </xf>
    <xf numFmtId="0" fontId="254" fillId="28" borderId="453" xfId="0" applyFont="1" applyFill="1" applyBorder="1" applyAlignment="1" applyProtection="1">
      <alignment horizontal="center" vertical="center"/>
      <protection locked="0"/>
    </xf>
    <xf numFmtId="0" fontId="254" fillId="28" borderId="414" xfId="0" applyFont="1" applyFill="1" applyBorder="1" applyAlignment="1" applyProtection="1">
      <alignment horizontal="center" vertical="center"/>
      <protection locked="0"/>
    </xf>
    <xf numFmtId="0" fontId="254" fillId="28" borderId="454" xfId="0" applyFont="1" applyFill="1" applyBorder="1" applyAlignment="1" applyProtection="1">
      <alignment horizontal="center" vertical="center"/>
      <protection locked="0"/>
    </xf>
    <xf numFmtId="0" fontId="254" fillId="28" borderId="455" xfId="0" applyFont="1" applyFill="1" applyBorder="1" applyAlignment="1" applyProtection="1">
      <alignment horizontal="center" vertical="center"/>
      <protection locked="0"/>
    </xf>
    <xf numFmtId="0" fontId="254" fillId="28" borderId="456" xfId="0" applyFont="1" applyFill="1" applyBorder="1" applyAlignment="1" applyProtection="1">
      <alignment horizontal="center" vertical="center"/>
      <protection locked="0"/>
    </xf>
    <xf numFmtId="0" fontId="5" fillId="28" borderId="0" xfId="0" applyFont="1" applyFill="1" applyAlignment="1" applyProtection="1">
      <alignment horizontal="center" vertical="center"/>
      <protection locked="0"/>
    </xf>
    <xf numFmtId="0" fontId="254" fillId="28" borderId="457" xfId="0" applyFont="1" applyFill="1" applyBorder="1" applyAlignment="1" applyProtection="1">
      <alignment horizontal="center" vertical="center"/>
      <protection locked="0"/>
    </xf>
    <xf numFmtId="0" fontId="254" fillId="28" borderId="458" xfId="0" applyFont="1" applyFill="1" applyBorder="1" applyAlignment="1" applyProtection="1">
      <alignment horizontal="center" vertical="center"/>
      <protection locked="0"/>
    </xf>
    <xf numFmtId="0" fontId="20" fillId="28" borderId="459" xfId="0" applyFont="1" applyFill="1" applyBorder="1" applyAlignment="1" applyProtection="1">
      <alignment horizontal="center" vertical="center"/>
      <protection locked="0"/>
    </xf>
    <xf numFmtId="0" fontId="20" fillId="28" borderId="460" xfId="0" applyFont="1" applyFill="1" applyBorder="1" applyAlignment="1" applyProtection="1">
      <alignment horizontal="center" vertical="center"/>
      <protection locked="0"/>
    </xf>
    <xf numFmtId="0" fontId="20" fillId="28" borderId="461" xfId="0" applyFont="1" applyFill="1" applyBorder="1" applyAlignment="1" applyProtection="1">
      <alignment horizontal="center" vertical="center"/>
      <protection locked="0"/>
    </xf>
    <xf numFmtId="0" fontId="254" fillId="28" borderId="462" xfId="0" applyFont="1" applyFill="1" applyBorder="1" applyAlignment="1" applyProtection="1">
      <alignment horizontal="center" vertical="center"/>
      <protection locked="0"/>
    </xf>
    <xf numFmtId="0" fontId="254" fillId="28" borderId="463" xfId="0" applyFont="1" applyFill="1" applyBorder="1" applyAlignment="1" applyProtection="1">
      <alignment horizontal="center" vertical="center"/>
      <protection locked="0"/>
    </xf>
    <xf numFmtId="49" fontId="254" fillId="28" borderId="419" xfId="0" applyNumberFormat="1" applyFont="1" applyFill="1" applyBorder="1" applyAlignment="1" applyProtection="1">
      <alignment horizontal="right" indent="1"/>
      <protection locked="0"/>
    </xf>
    <xf numFmtId="0" fontId="254" fillId="28" borderId="420" xfId="0" applyFont="1" applyFill="1" applyBorder="1" applyAlignment="1" applyProtection="1">
      <alignment horizontal="right" indent="1"/>
      <protection locked="0"/>
    </xf>
    <xf numFmtId="0" fontId="254" fillId="28" borderId="421" xfId="0" applyFont="1" applyFill="1" applyBorder="1" applyAlignment="1" applyProtection="1">
      <alignment horizontal="right" indent="1"/>
      <protection locked="0"/>
    </xf>
    <xf numFmtId="0" fontId="254" fillId="28" borderId="435" xfId="0" applyFont="1" applyFill="1" applyBorder="1" applyAlignment="1" applyProtection="1">
      <alignment horizontal="center"/>
      <protection locked="0"/>
    </xf>
    <xf numFmtId="0" fontId="254" fillId="28" borderId="460" xfId="0" applyFont="1" applyFill="1" applyBorder="1" applyAlignment="1" applyProtection="1">
      <alignment horizontal="center"/>
      <protection locked="0"/>
    </xf>
    <xf numFmtId="43" fontId="244" fillId="0" borderId="460" xfId="1" applyFont="1" applyFill="1" applyBorder="1" applyAlignment="1" applyProtection="1">
      <alignment horizontal="center"/>
      <protection locked="0"/>
    </xf>
    <xf numFmtId="43" fontId="98" fillId="0" borderId="460" xfId="1" applyFont="1" applyFill="1" applyBorder="1" applyAlignment="1" applyProtection="1">
      <alignment horizontal="center"/>
      <protection locked="0"/>
    </xf>
    <xf numFmtId="0" fontId="115" fillId="33" borderId="0" xfId="0" applyFont="1" applyFill="1" applyAlignment="1" applyProtection="1">
      <alignment horizontal="center"/>
      <protection locked="0"/>
    </xf>
    <xf numFmtId="0" fontId="254" fillId="28" borderId="418" xfId="0" applyFont="1" applyFill="1" applyBorder="1" applyAlignment="1" applyProtection="1">
      <alignment horizontal="center"/>
      <protection locked="0"/>
    </xf>
    <xf numFmtId="43" fontId="244" fillId="0" borderId="404" xfId="1" applyFont="1" applyFill="1" applyBorder="1" applyAlignment="1" applyProtection="1">
      <alignment horizontal="center"/>
      <protection locked="0"/>
    </xf>
    <xf numFmtId="43" fontId="98" fillId="0" borderId="404" xfId="1" applyFont="1" applyFill="1" applyBorder="1" applyAlignment="1" applyProtection="1">
      <alignment horizontal="center"/>
      <protection locked="0"/>
    </xf>
    <xf numFmtId="49" fontId="254" fillId="28" borderId="420" xfId="0" applyNumberFormat="1" applyFont="1" applyFill="1" applyBorder="1" applyAlignment="1" applyProtection="1">
      <alignment horizontal="right" indent="1"/>
      <protection locked="0"/>
    </xf>
    <xf numFmtId="49" fontId="254" fillId="28" borderId="421" xfId="0" applyNumberFormat="1" applyFont="1" applyFill="1" applyBorder="1" applyAlignment="1" applyProtection="1">
      <alignment horizontal="right" indent="1"/>
      <protection locked="0"/>
    </xf>
    <xf numFmtId="0" fontId="77" fillId="20" borderId="426" xfId="0" applyFont="1" applyFill="1" applyBorder="1" applyProtection="1">
      <protection locked="0"/>
    </xf>
    <xf numFmtId="0" fontId="77" fillId="20" borderId="372" xfId="0" applyFont="1" applyFill="1" applyBorder="1" applyProtection="1">
      <protection locked="0"/>
    </xf>
    <xf numFmtId="0" fontId="77" fillId="20" borderId="464" xfId="0" applyFont="1" applyFill="1" applyBorder="1" applyProtection="1">
      <protection locked="0"/>
    </xf>
    <xf numFmtId="49" fontId="254" fillId="28" borderId="419" xfId="0" applyNumberFormat="1" applyFont="1" applyFill="1" applyBorder="1" applyAlignment="1" applyProtection="1">
      <alignment horizontal="center"/>
      <protection locked="0"/>
    </xf>
    <xf numFmtId="0" fontId="254" fillId="28" borderId="420" xfId="0" applyFont="1" applyFill="1" applyBorder="1" applyAlignment="1" applyProtection="1">
      <alignment horizontal="center"/>
      <protection locked="0"/>
    </xf>
    <xf numFmtId="0" fontId="254" fillId="28" borderId="421" xfId="0" applyFont="1" applyFill="1" applyBorder="1" applyAlignment="1" applyProtection="1">
      <alignment horizontal="center"/>
      <protection locked="0"/>
    </xf>
    <xf numFmtId="0" fontId="77" fillId="20" borderId="429" xfId="0" applyFont="1" applyFill="1" applyBorder="1" applyProtection="1">
      <protection locked="0"/>
    </xf>
    <xf numFmtId="0" fontId="77" fillId="20" borderId="430" xfId="0" applyFont="1" applyFill="1" applyBorder="1" applyProtection="1">
      <protection locked="0"/>
    </xf>
    <xf numFmtId="49" fontId="77" fillId="2" borderId="419" xfId="0" applyNumberFormat="1" applyFont="1" applyFill="1" applyBorder="1" applyAlignment="1" applyProtection="1">
      <alignment horizontal="right"/>
      <protection locked="0"/>
    </xf>
    <xf numFmtId="49" fontId="77" fillId="2" borderId="420" xfId="0" applyNumberFormat="1" applyFont="1" applyFill="1" applyBorder="1" applyAlignment="1" applyProtection="1">
      <alignment horizontal="right"/>
      <protection locked="0"/>
    </xf>
    <xf numFmtId="49" fontId="77" fillId="2" borderId="421" xfId="0" applyNumberFormat="1" applyFont="1" applyFill="1" applyBorder="1" applyAlignment="1" applyProtection="1">
      <alignment horizontal="right"/>
      <protection locked="0"/>
    </xf>
    <xf numFmtId="0" fontId="77" fillId="2" borderId="418" xfId="0" applyFont="1" applyFill="1" applyBorder="1" applyAlignment="1" applyProtection="1">
      <alignment horizontal="center"/>
      <protection locked="0"/>
    </xf>
    <xf numFmtId="0" fontId="77" fillId="2" borderId="404" xfId="0" applyFont="1" applyFill="1" applyBorder="1" applyAlignment="1" applyProtection="1">
      <alignment horizontal="center"/>
      <protection locked="0"/>
    </xf>
    <xf numFmtId="0" fontId="115" fillId="2" borderId="0" xfId="0" applyFont="1" applyFill="1"/>
    <xf numFmtId="0" fontId="77" fillId="20" borderId="434" xfId="0" applyFont="1" applyFill="1" applyBorder="1" applyProtection="1">
      <protection locked="0"/>
    </xf>
    <xf numFmtId="0" fontId="77" fillId="20" borderId="366" xfId="0" applyFont="1" applyFill="1" applyBorder="1" applyProtection="1">
      <protection locked="0"/>
    </xf>
    <xf numFmtId="0" fontId="77" fillId="20" borderId="435" xfId="0" applyFont="1" applyFill="1" applyBorder="1" applyProtection="1">
      <protection locked="0"/>
    </xf>
    <xf numFmtId="49" fontId="254" fillId="28" borderId="420" xfId="0" applyNumberFormat="1" applyFont="1" applyFill="1" applyBorder="1" applyAlignment="1" applyProtection="1">
      <alignment horizontal="center"/>
      <protection locked="0"/>
    </xf>
    <xf numFmtId="49" fontId="254" fillId="28" borderId="421" xfId="0" applyNumberFormat="1" applyFont="1" applyFill="1" applyBorder="1" applyAlignment="1" applyProtection="1">
      <alignment horizontal="center"/>
      <protection locked="0"/>
    </xf>
    <xf numFmtId="0" fontId="77" fillId="20" borderId="404" xfId="0" applyFont="1" applyFill="1" applyBorder="1" applyAlignment="1" applyProtection="1">
      <alignment horizontal="center"/>
      <protection locked="0"/>
    </xf>
    <xf numFmtId="49" fontId="254" fillId="28" borderId="465" xfId="0" applyNumberFormat="1" applyFont="1" applyFill="1" applyBorder="1" applyAlignment="1" applyProtection="1">
      <alignment horizontal="center"/>
      <protection locked="0"/>
    </xf>
    <xf numFmtId="0" fontId="254" fillId="28" borderId="466" xfId="0" applyFont="1" applyFill="1" applyBorder="1" applyAlignment="1" applyProtection="1">
      <alignment horizontal="center"/>
      <protection locked="0"/>
    </xf>
    <xf numFmtId="0" fontId="254" fillId="28" borderId="467" xfId="0" applyFont="1" applyFill="1" applyBorder="1" applyAlignment="1" applyProtection="1">
      <alignment horizontal="center"/>
      <protection locked="0"/>
    </xf>
    <xf numFmtId="49" fontId="254" fillId="28" borderId="468" xfId="0" applyNumberFormat="1" applyFont="1" applyFill="1" applyBorder="1" applyAlignment="1" applyProtection="1">
      <alignment horizontal="center"/>
      <protection locked="0"/>
    </xf>
    <xf numFmtId="0" fontId="254" fillId="28" borderId="469" xfId="0" applyFont="1" applyFill="1" applyBorder="1" applyAlignment="1" applyProtection="1">
      <alignment horizontal="center"/>
      <protection locked="0"/>
    </xf>
    <xf numFmtId="0" fontId="254" fillId="28" borderId="470" xfId="0" applyFont="1" applyFill="1" applyBorder="1" applyAlignment="1" applyProtection="1">
      <alignment horizontal="center"/>
      <protection locked="0"/>
    </xf>
    <xf numFmtId="49" fontId="254" fillId="28" borderId="468" xfId="0" applyNumberFormat="1" applyFont="1" applyFill="1" applyBorder="1" applyAlignment="1" applyProtection="1">
      <alignment horizontal="right" indent="1"/>
      <protection locked="0"/>
    </xf>
    <xf numFmtId="0" fontId="254" fillId="28" borderId="469" xfId="0" applyFont="1" applyFill="1" applyBorder="1" applyAlignment="1" applyProtection="1">
      <alignment horizontal="right" indent="1"/>
      <protection locked="0"/>
    </xf>
    <xf numFmtId="0" fontId="254" fillId="28" borderId="470" xfId="0" applyFont="1" applyFill="1" applyBorder="1" applyAlignment="1" applyProtection="1">
      <alignment horizontal="right" indent="1"/>
      <protection locked="0"/>
    </xf>
    <xf numFmtId="1" fontId="254" fillId="28" borderId="418" xfId="0" applyNumberFormat="1" applyFont="1" applyFill="1" applyBorder="1" applyAlignment="1" applyProtection="1">
      <alignment horizontal="center"/>
      <protection locked="0"/>
    </xf>
    <xf numFmtId="1" fontId="254" fillId="28" borderId="404" xfId="0" applyNumberFormat="1" applyFont="1" applyFill="1" applyBorder="1" applyAlignment="1" applyProtection="1">
      <alignment horizontal="center"/>
      <protection locked="0"/>
    </xf>
    <xf numFmtId="49" fontId="254" fillId="28" borderId="419" xfId="0" applyNumberFormat="1" applyFont="1" applyFill="1" applyBorder="1" applyProtection="1">
      <protection locked="0"/>
    </xf>
    <xf numFmtId="49" fontId="254" fillId="28" borderId="420" xfId="0" applyNumberFormat="1" applyFont="1" applyFill="1" applyBorder="1" applyProtection="1">
      <protection locked="0"/>
    </xf>
    <xf numFmtId="49" fontId="254" fillId="28" borderId="421" xfId="0" applyNumberFormat="1" applyFont="1" applyFill="1" applyBorder="1" applyProtection="1">
      <protection locked="0"/>
    </xf>
    <xf numFmtId="1" fontId="254" fillId="28" borderId="418" xfId="1" applyNumberFormat="1" applyFont="1" applyFill="1" applyBorder="1" applyAlignment="1" applyProtection="1">
      <alignment horizontal="center"/>
      <protection locked="0"/>
    </xf>
    <xf numFmtId="1" fontId="254" fillId="28" borderId="404" xfId="1" applyNumberFormat="1" applyFont="1" applyFill="1" applyBorder="1" applyAlignment="1" applyProtection="1">
      <alignment horizontal="center"/>
      <protection locked="0"/>
    </xf>
    <xf numFmtId="0" fontId="77" fillId="20" borderId="405" xfId="0" applyFont="1" applyFill="1" applyBorder="1" applyProtection="1">
      <protection locked="0"/>
    </xf>
    <xf numFmtId="0" fontId="77" fillId="20" borderId="368" xfId="0" applyFont="1" applyFill="1" applyBorder="1" applyProtection="1">
      <protection locked="0"/>
    </xf>
    <xf numFmtId="0" fontId="77" fillId="20" borderId="418" xfId="0" applyFont="1" applyFill="1" applyBorder="1" applyProtection="1">
      <protection locked="0"/>
    </xf>
    <xf numFmtId="43" fontId="77" fillId="0" borderId="404" xfId="1" applyFont="1" applyFill="1" applyBorder="1" applyAlignment="1" applyProtection="1">
      <alignment horizontal="center"/>
      <protection locked="0"/>
    </xf>
    <xf numFmtId="49" fontId="115" fillId="20" borderId="0" xfId="0" applyNumberFormat="1" applyFont="1" applyFill="1" applyProtection="1">
      <protection locked="0"/>
    </xf>
    <xf numFmtId="49" fontId="254" fillId="28" borderId="419" xfId="0" applyNumberFormat="1" applyFont="1" applyFill="1" applyBorder="1" applyAlignment="1" applyProtection="1">
      <alignment horizontal="left"/>
      <protection locked="0"/>
    </xf>
    <xf numFmtId="49" fontId="254" fillId="28" borderId="420" xfId="0" applyNumberFormat="1" applyFont="1" applyFill="1" applyBorder="1" applyAlignment="1" applyProtection="1">
      <alignment horizontal="left"/>
      <protection locked="0"/>
    </xf>
    <xf numFmtId="49" fontId="254" fillId="28" borderId="421" xfId="0" applyNumberFormat="1" applyFont="1" applyFill="1" applyBorder="1" applyAlignment="1" applyProtection="1">
      <alignment horizontal="left"/>
      <protection locked="0"/>
    </xf>
    <xf numFmtId="49" fontId="326" fillId="20" borderId="0" xfId="0" applyNumberFormat="1" applyFont="1" applyFill="1" applyProtection="1">
      <protection locked="0"/>
    </xf>
    <xf numFmtId="49" fontId="254" fillId="28" borderId="419" xfId="0" applyNumberFormat="1" applyFont="1" applyFill="1" applyBorder="1" applyAlignment="1" applyProtection="1">
      <alignment horizontal="right"/>
      <protection locked="0"/>
    </xf>
    <xf numFmtId="49" fontId="254" fillId="28" borderId="420" xfId="0" applyNumberFormat="1" applyFont="1" applyFill="1" applyBorder="1" applyAlignment="1" applyProtection="1">
      <alignment horizontal="right"/>
      <protection locked="0"/>
    </xf>
    <xf numFmtId="49" fontId="254" fillId="28" borderId="421" xfId="0" applyNumberFormat="1" applyFont="1" applyFill="1" applyBorder="1" applyAlignment="1" applyProtection="1">
      <alignment horizontal="right"/>
      <protection locked="0"/>
    </xf>
    <xf numFmtId="43" fontId="244" fillId="2" borderId="404" xfId="1" applyFont="1" applyFill="1" applyBorder="1" applyAlignment="1" applyProtection="1">
      <alignment horizontal="center"/>
      <protection locked="0"/>
    </xf>
    <xf numFmtId="43" fontId="77" fillId="2" borderId="404" xfId="1" applyFont="1" applyFill="1" applyBorder="1" applyAlignment="1" applyProtection="1">
      <alignment horizontal="center"/>
      <protection locked="0"/>
    </xf>
    <xf numFmtId="43" fontId="254" fillId="35" borderId="419" xfId="1" applyFont="1" applyFill="1" applyBorder="1" applyAlignment="1" applyProtection="1">
      <alignment horizontal="right"/>
      <protection locked="0"/>
    </xf>
    <xf numFmtId="43" fontId="254" fillId="35" borderId="420" xfId="1" applyFont="1" applyFill="1" applyBorder="1" applyAlignment="1" applyProtection="1">
      <alignment horizontal="right"/>
      <protection locked="0"/>
    </xf>
    <xf numFmtId="43" fontId="254" fillId="35" borderId="421" xfId="1" applyFont="1" applyFill="1" applyBorder="1" applyAlignment="1" applyProtection="1">
      <alignment horizontal="right"/>
      <protection locked="0"/>
    </xf>
    <xf numFmtId="43" fontId="254" fillId="35" borderId="404" xfId="1" applyFont="1" applyFill="1" applyBorder="1" applyAlignment="1" applyProtection="1">
      <alignment horizontal="center"/>
      <protection locked="0"/>
    </xf>
    <xf numFmtId="43" fontId="115" fillId="20" borderId="420" xfId="1" applyFont="1" applyFill="1" applyBorder="1" applyAlignment="1" applyProtection="1">
      <protection locked="0"/>
    </xf>
    <xf numFmtId="1" fontId="115" fillId="20" borderId="368" xfId="1" applyNumberFormat="1" applyFont="1" applyFill="1" applyBorder="1" applyAlignment="1" applyProtection="1">
      <alignment horizontal="center"/>
      <protection locked="0"/>
    </xf>
    <xf numFmtId="43" fontId="115" fillId="20" borderId="368" xfId="1" applyFont="1" applyFill="1" applyBorder="1" applyAlignment="1" applyProtection="1">
      <alignment horizontal="center"/>
      <protection locked="0"/>
    </xf>
    <xf numFmtId="43" fontId="115" fillId="20" borderId="372" xfId="1" applyFont="1" applyFill="1" applyBorder="1" applyAlignment="1" applyProtection="1">
      <alignment horizontal="center"/>
      <protection locked="0"/>
    </xf>
    <xf numFmtId="0" fontId="115" fillId="20" borderId="372" xfId="0" applyFont="1" applyFill="1" applyBorder="1" applyAlignment="1" applyProtection="1">
      <alignment horizontal="center"/>
      <protection locked="0"/>
    </xf>
    <xf numFmtId="43" fontId="254" fillId="28" borderId="419" xfId="1" applyFont="1" applyFill="1" applyBorder="1" applyAlignment="1" applyProtection="1">
      <protection locked="0"/>
    </xf>
    <xf numFmtId="43" fontId="254" fillId="28" borderId="420" xfId="1" applyFont="1" applyFill="1" applyBorder="1" applyAlignment="1" applyProtection="1">
      <protection locked="0"/>
    </xf>
    <xf numFmtId="43" fontId="254" fillId="28" borderId="368" xfId="1" applyFont="1" applyFill="1" applyBorder="1" applyAlignment="1" applyProtection="1">
      <protection locked="0"/>
    </xf>
    <xf numFmtId="43" fontId="254" fillId="28" borderId="418" xfId="1" applyFont="1" applyFill="1" applyBorder="1" applyAlignment="1" applyProtection="1">
      <alignment horizontal="left"/>
      <protection locked="0"/>
    </xf>
    <xf numFmtId="43" fontId="77" fillId="2" borderId="405" xfId="1" applyFont="1" applyFill="1" applyBorder="1" applyAlignment="1" applyProtection="1">
      <alignment horizontal="center"/>
      <protection locked="0"/>
    </xf>
    <xf numFmtId="43" fontId="115" fillId="20" borderId="471" xfId="1" applyFont="1" applyFill="1" applyBorder="1" applyAlignment="1" applyProtection="1">
      <alignment horizontal="center"/>
      <protection locked="0"/>
    </xf>
    <xf numFmtId="43" fontId="115" fillId="20" borderId="0" xfId="1" applyFont="1" applyFill="1" applyBorder="1" applyAlignment="1" applyProtection="1">
      <alignment horizontal="center"/>
      <protection locked="0"/>
    </xf>
    <xf numFmtId="43" fontId="115" fillId="20" borderId="0" xfId="1" applyFont="1" applyFill="1" applyBorder="1" applyAlignment="1" applyProtection="1">
      <protection locked="0"/>
    </xf>
    <xf numFmtId="43" fontId="115" fillId="20" borderId="0" xfId="1" applyFont="1" applyFill="1" applyBorder="1" applyProtection="1">
      <protection locked="0"/>
    </xf>
    <xf numFmtId="43" fontId="115" fillId="20" borderId="0" xfId="1" applyFont="1" applyFill="1" applyBorder="1" applyAlignment="1" applyProtection="1">
      <alignment horizontal="right"/>
      <protection locked="0"/>
    </xf>
    <xf numFmtId="43" fontId="110" fillId="20" borderId="0" xfId="1" applyFont="1" applyFill="1" applyBorder="1" applyProtection="1">
      <protection locked="0"/>
    </xf>
    <xf numFmtId="0" fontId="114" fillId="20" borderId="0" xfId="1" applyNumberFormat="1" applyFont="1" applyFill="1" applyBorder="1" applyAlignment="1" applyProtection="1">
      <protection locked="0"/>
    </xf>
    <xf numFmtId="0" fontId="114" fillId="20" borderId="0" xfId="0" applyFont="1" applyFill="1" applyProtection="1">
      <protection locked="0"/>
    </xf>
    <xf numFmtId="0" fontId="329" fillId="20" borderId="0" xfId="0" applyFont="1" applyFill="1" applyProtection="1">
      <protection locked="0"/>
    </xf>
    <xf numFmtId="49" fontId="5" fillId="28" borderId="472" xfId="0" applyNumberFormat="1" applyFont="1" applyFill="1" applyBorder="1" applyAlignment="1" applyProtection="1">
      <alignment horizontal="center" vertical="center"/>
      <protection locked="0"/>
    </xf>
    <xf numFmtId="49" fontId="5" fillId="28" borderId="473" xfId="0" applyNumberFormat="1" applyFont="1" applyFill="1" applyBorder="1" applyAlignment="1" applyProtection="1">
      <alignment horizontal="center" vertical="center"/>
      <protection locked="0"/>
    </xf>
    <xf numFmtId="49" fontId="5" fillId="28" borderId="474" xfId="0" applyNumberFormat="1" applyFont="1" applyFill="1" applyBorder="1" applyAlignment="1" applyProtection="1">
      <alignment horizontal="center" vertical="center"/>
      <protection locked="0"/>
    </xf>
    <xf numFmtId="49" fontId="5" fillId="28" borderId="404" xfId="0" applyNumberFormat="1" applyFont="1" applyFill="1" applyBorder="1" applyAlignment="1" applyProtection="1">
      <alignment horizontal="center"/>
      <protection locked="0"/>
    </xf>
    <xf numFmtId="0" fontId="5" fillId="28" borderId="404" xfId="0" applyFont="1" applyFill="1" applyBorder="1" applyAlignment="1" applyProtection="1">
      <alignment horizontal="center"/>
      <protection locked="0"/>
    </xf>
    <xf numFmtId="182" fontId="117" fillId="2" borderId="404" xfId="1" applyNumberFormat="1" applyFont="1" applyFill="1" applyBorder="1" applyAlignment="1" applyProtection="1">
      <alignment horizontal="center"/>
      <protection locked="0"/>
    </xf>
    <xf numFmtId="49" fontId="115" fillId="20" borderId="368" xfId="0" applyNumberFormat="1" applyFont="1" applyFill="1" applyBorder="1" applyProtection="1">
      <protection locked="0"/>
    </xf>
    <xf numFmtId="49" fontId="88" fillId="20" borderId="368" xfId="0" applyNumberFormat="1" applyFont="1" applyFill="1" applyBorder="1" applyProtection="1">
      <protection locked="0"/>
    </xf>
    <xf numFmtId="49" fontId="115" fillId="20" borderId="368" xfId="0" applyNumberFormat="1" applyFont="1" applyFill="1" applyBorder="1" applyAlignment="1" applyProtection="1">
      <alignment horizontal="center"/>
      <protection locked="0"/>
    </xf>
    <xf numFmtId="0" fontId="330" fillId="20" borderId="0" xfId="0" applyFont="1" applyFill="1" applyProtection="1">
      <protection locked="0"/>
    </xf>
    <xf numFmtId="16" fontId="254" fillId="28" borderId="404" xfId="0" applyNumberFormat="1" applyFont="1" applyFill="1" applyBorder="1" applyAlignment="1" applyProtection="1">
      <alignment horizontal="center"/>
      <protection locked="0"/>
    </xf>
    <xf numFmtId="182" fontId="115" fillId="2" borderId="404" xfId="1" applyNumberFormat="1" applyFont="1" applyFill="1" applyBorder="1" applyAlignment="1" applyProtection="1">
      <alignment horizontal="center"/>
      <protection locked="0"/>
    </xf>
    <xf numFmtId="182" fontId="77" fillId="0" borderId="404" xfId="1" applyNumberFormat="1" applyFont="1" applyFill="1" applyBorder="1" applyAlignment="1" applyProtection="1">
      <alignment horizontal="center"/>
      <protection locked="0"/>
    </xf>
    <xf numFmtId="182" fontId="77" fillId="20" borderId="404" xfId="1" applyNumberFormat="1" applyFont="1" applyFill="1" applyBorder="1" applyAlignment="1" applyProtection="1">
      <alignment horizontal="center"/>
      <protection locked="0"/>
    </xf>
    <xf numFmtId="182" fontId="77" fillId="2" borderId="404" xfId="1" applyNumberFormat="1" applyFont="1" applyFill="1" applyBorder="1" applyAlignment="1" applyProtection="1">
      <alignment horizontal="center"/>
      <protection locked="0"/>
    </xf>
    <xf numFmtId="182" fontId="75" fillId="2" borderId="404" xfId="1" applyNumberFormat="1" applyFont="1" applyFill="1" applyBorder="1" applyAlignment="1" applyProtection="1">
      <alignment horizontal="center"/>
      <protection locked="0"/>
    </xf>
    <xf numFmtId="0" fontId="244" fillId="16" borderId="404" xfId="0" applyFont="1" applyFill="1" applyBorder="1" applyAlignment="1" applyProtection="1">
      <alignment horizontal="center"/>
      <protection locked="0"/>
    </xf>
    <xf numFmtId="0" fontId="254" fillId="28" borderId="404" xfId="0" applyFont="1" applyFill="1" applyBorder="1" applyAlignment="1" applyProtection="1">
      <alignment horizontal="center" vertical="center"/>
      <protection locked="0"/>
    </xf>
    <xf numFmtId="182" fontId="75" fillId="2" borderId="404" xfId="1" applyNumberFormat="1" applyFont="1" applyFill="1" applyBorder="1" applyAlignment="1" applyProtection="1">
      <alignment horizontal="center" vertical="center"/>
      <protection locked="0"/>
    </xf>
    <xf numFmtId="0" fontId="117" fillId="20" borderId="0" xfId="0" applyFont="1" applyFill="1" applyAlignment="1" applyProtection="1">
      <alignment vertical="center"/>
      <protection locked="0"/>
    </xf>
    <xf numFmtId="0" fontId="113" fillId="20" borderId="0" xfId="0" applyFont="1" applyFill="1" applyAlignment="1" applyProtection="1">
      <alignment horizontal="center"/>
      <protection locked="0"/>
    </xf>
    <xf numFmtId="182" fontId="307" fillId="2" borderId="404" xfId="1" applyNumberFormat="1" applyFont="1" applyFill="1" applyBorder="1" applyAlignment="1" applyProtection="1">
      <alignment horizontal="center"/>
      <protection locked="0"/>
    </xf>
    <xf numFmtId="0" fontId="5" fillId="28" borderId="366" xfId="0" applyFont="1" applyFill="1" applyBorder="1" applyProtection="1">
      <protection locked="0"/>
    </xf>
    <xf numFmtId="0" fontId="254" fillId="28" borderId="366" xfId="0" applyFont="1" applyFill="1" applyBorder="1" applyProtection="1">
      <protection locked="0"/>
    </xf>
    <xf numFmtId="0" fontId="115" fillId="2" borderId="0" xfId="0" applyFont="1" applyFill="1" applyAlignment="1" applyProtection="1">
      <alignment horizontal="left"/>
      <protection locked="0"/>
    </xf>
    <xf numFmtId="0" fontId="5" fillId="28" borderId="372" xfId="0" applyFont="1" applyFill="1" applyBorder="1" applyProtection="1">
      <protection locked="0"/>
    </xf>
    <xf numFmtId="0" fontId="254" fillId="28" borderId="372" xfId="0" applyFont="1" applyFill="1" applyBorder="1" applyProtection="1">
      <protection locked="0"/>
    </xf>
    <xf numFmtId="0" fontId="115" fillId="2" borderId="0" xfId="0" applyFont="1" applyFill="1" applyAlignment="1" applyProtection="1">
      <alignment horizontal="justify" vertical="top"/>
      <protection locked="0"/>
    </xf>
    <xf numFmtId="0" fontId="320" fillId="20" borderId="0" xfId="0" applyFont="1" applyFill="1" applyAlignment="1" applyProtection="1">
      <alignment horizontal="center"/>
      <protection locked="0"/>
    </xf>
    <xf numFmtId="0" fontId="254" fillId="28" borderId="475" xfId="0" applyFont="1" applyFill="1" applyBorder="1" applyAlignment="1" applyProtection="1">
      <alignment horizontal="center" vertical="center"/>
      <protection locked="0"/>
    </xf>
    <xf numFmtId="0" fontId="254" fillId="28" borderId="476" xfId="0" applyFont="1" applyFill="1" applyBorder="1" applyAlignment="1" applyProtection="1">
      <alignment horizontal="center" vertical="center"/>
      <protection locked="0"/>
    </xf>
    <xf numFmtId="0" fontId="5" fillId="28" borderId="368" xfId="0" applyFont="1" applyFill="1" applyBorder="1" applyAlignment="1" applyProtection="1">
      <alignment horizontal="center" vertical="center"/>
      <protection locked="0"/>
    </xf>
    <xf numFmtId="0" fontId="254" fillId="28" borderId="471" xfId="0" applyFont="1" applyFill="1" applyBorder="1" applyAlignment="1" applyProtection="1">
      <alignment horizontal="center" vertical="center"/>
      <protection locked="0"/>
    </xf>
    <xf numFmtId="0" fontId="254" fillId="28" borderId="477" xfId="0" applyFont="1" applyFill="1" applyBorder="1" applyAlignment="1" applyProtection="1">
      <alignment horizontal="center" vertical="center"/>
      <protection locked="0"/>
    </xf>
    <xf numFmtId="0" fontId="254" fillId="28" borderId="478" xfId="0" applyFont="1" applyFill="1" applyBorder="1" applyAlignment="1" applyProtection="1">
      <alignment horizontal="center" vertical="center"/>
      <protection locked="0"/>
    </xf>
    <xf numFmtId="0" fontId="20" fillId="28" borderId="438" xfId="0" applyFont="1" applyFill="1" applyBorder="1" applyAlignment="1" applyProtection="1">
      <alignment horizontal="center" vertical="center"/>
      <protection locked="0"/>
    </xf>
    <xf numFmtId="0" fontId="20" fillId="28" borderId="479" xfId="0" applyFont="1" applyFill="1" applyBorder="1" applyAlignment="1" applyProtection="1">
      <alignment horizontal="center" vertical="center"/>
      <protection locked="0"/>
    </xf>
    <xf numFmtId="0" fontId="20" fillId="28" borderId="436" xfId="0" applyFont="1" applyFill="1" applyBorder="1" applyAlignment="1" applyProtection="1">
      <alignment horizontal="center" vertical="center"/>
      <protection locked="0"/>
    </xf>
    <xf numFmtId="49" fontId="254" fillId="28" borderId="427" xfId="0" applyNumberFormat="1" applyFont="1" applyFill="1" applyBorder="1" applyAlignment="1" applyProtection="1">
      <alignment horizontal="right" indent="1"/>
      <protection locked="0"/>
    </xf>
    <xf numFmtId="0" fontId="254" fillId="28" borderId="427" xfId="0" applyFont="1" applyFill="1" applyBorder="1" applyAlignment="1" applyProtection="1">
      <alignment horizontal="right" indent="1"/>
      <protection locked="0"/>
    </xf>
    <xf numFmtId="0" fontId="254" fillId="28" borderId="427" xfId="0" applyFont="1" applyFill="1" applyBorder="1" applyAlignment="1" applyProtection="1">
      <alignment horizontal="center"/>
      <protection locked="0"/>
    </xf>
    <xf numFmtId="43" fontId="244" fillId="0" borderId="427" xfId="1" applyFont="1" applyFill="1" applyBorder="1" applyAlignment="1" applyProtection="1">
      <alignment horizontal="center"/>
      <protection locked="0"/>
    </xf>
    <xf numFmtId="43" fontId="98" fillId="0" borderId="427" xfId="1" applyFont="1" applyFill="1" applyBorder="1" applyAlignment="1" applyProtection="1">
      <alignment horizontal="center"/>
      <protection locked="0"/>
    </xf>
    <xf numFmtId="0" fontId="115" fillId="20" borderId="475" xfId="0" applyFont="1" applyFill="1" applyBorder="1" applyProtection="1">
      <protection locked="0"/>
    </xf>
    <xf numFmtId="0" fontId="115" fillId="20" borderId="480" xfId="0" applyFont="1" applyFill="1" applyBorder="1" applyProtection="1">
      <protection locked="0"/>
    </xf>
    <xf numFmtId="0" fontId="115" fillId="20" borderId="476" xfId="0" applyFont="1" applyFill="1" applyBorder="1" applyProtection="1">
      <protection locked="0"/>
    </xf>
    <xf numFmtId="49" fontId="115" fillId="2" borderId="427" xfId="0" applyNumberFormat="1" applyFont="1" applyFill="1" applyBorder="1" applyAlignment="1" applyProtection="1">
      <alignment horizontal="right"/>
      <protection locked="0"/>
    </xf>
    <xf numFmtId="0" fontId="88" fillId="20" borderId="427" xfId="0" applyFont="1" applyFill="1" applyBorder="1" applyAlignment="1" applyProtection="1">
      <alignment horizontal="center"/>
      <protection locked="0"/>
    </xf>
    <xf numFmtId="0" fontId="115" fillId="20" borderId="471" xfId="0" applyFont="1" applyFill="1" applyBorder="1" applyProtection="1">
      <protection locked="0"/>
    </xf>
    <xf numFmtId="0" fontId="115" fillId="20" borderId="477" xfId="0" applyFont="1" applyFill="1" applyBorder="1" applyProtection="1">
      <protection locked="0"/>
    </xf>
    <xf numFmtId="49" fontId="254" fillId="28" borderId="427" xfId="0" applyNumberFormat="1" applyFont="1" applyFill="1" applyBorder="1" applyAlignment="1" applyProtection="1">
      <alignment horizontal="center"/>
      <protection locked="0"/>
    </xf>
    <xf numFmtId="0" fontId="115" fillId="20" borderId="457" xfId="0" applyFont="1" applyFill="1" applyBorder="1" applyProtection="1">
      <protection locked="0"/>
    </xf>
    <xf numFmtId="0" fontId="115" fillId="20" borderId="481" xfId="0" applyFont="1" applyFill="1" applyBorder="1" applyProtection="1">
      <protection locked="0"/>
    </xf>
    <xf numFmtId="0" fontId="115" fillId="20" borderId="458" xfId="0" applyFont="1" applyFill="1" applyBorder="1" applyProtection="1">
      <protection locked="0"/>
    </xf>
    <xf numFmtId="0" fontId="115" fillId="2" borderId="427" xfId="0" applyFont="1" applyFill="1" applyBorder="1" applyAlignment="1" applyProtection="1">
      <alignment horizontal="center"/>
      <protection locked="0"/>
    </xf>
    <xf numFmtId="49" fontId="253" fillId="28" borderId="427" xfId="0" applyNumberFormat="1" applyFont="1" applyFill="1" applyBorder="1" applyProtection="1">
      <protection locked="0"/>
    </xf>
    <xf numFmtId="1" fontId="254" fillId="28" borderId="427" xfId="1" applyNumberFormat="1" applyFont="1" applyFill="1" applyBorder="1" applyAlignment="1" applyProtection="1">
      <alignment horizontal="center"/>
      <protection locked="0"/>
    </xf>
    <xf numFmtId="0" fontId="244" fillId="20" borderId="471" xfId="0" applyFont="1" applyFill="1" applyBorder="1" applyProtection="1">
      <protection locked="0"/>
    </xf>
    <xf numFmtId="43" fontId="77" fillId="0" borderId="427" xfId="1" applyFont="1" applyFill="1" applyBorder="1" applyAlignment="1" applyProtection="1">
      <alignment horizontal="center"/>
      <protection locked="0"/>
    </xf>
    <xf numFmtId="0" fontId="77" fillId="20" borderId="419" xfId="0" applyFont="1" applyFill="1" applyBorder="1" applyProtection="1">
      <protection locked="0"/>
    </xf>
    <xf numFmtId="0" fontId="77" fillId="20" borderId="420" xfId="0" applyFont="1" applyFill="1" applyBorder="1" applyProtection="1">
      <protection locked="0"/>
    </xf>
    <xf numFmtId="49" fontId="253" fillId="28" borderId="427" xfId="0" applyNumberFormat="1" applyFont="1" applyFill="1" applyBorder="1" applyAlignment="1" applyProtection="1">
      <alignment horizontal="left"/>
      <protection locked="0"/>
    </xf>
    <xf numFmtId="49" fontId="254" fillId="28" borderId="427" xfId="0" applyNumberFormat="1" applyFont="1" applyFill="1" applyBorder="1" applyAlignment="1" applyProtection="1">
      <alignment horizontal="right"/>
      <protection locked="0"/>
    </xf>
    <xf numFmtId="43" fontId="244" fillId="2" borderId="427" xfId="1" applyFont="1" applyFill="1" applyBorder="1" applyAlignment="1" applyProtection="1">
      <alignment horizontal="center"/>
      <protection locked="0"/>
    </xf>
    <xf numFmtId="43" fontId="77" fillId="2" borderId="427" xfId="1" applyFont="1" applyFill="1" applyBorder="1" applyAlignment="1" applyProtection="1">
      <alignment horizontal="center"/>
      <protection locked="0"/>
    </xf>
    <xf numFmtId="43" fontId="254" fillId="35" borderId="427" xfId="1" applyFont="1" applyFill="1" applyBorder="1" applyAlignment="1" applyProtection="1">
      <alignment horizontal="right"/>
      <protection locked="0"/>
    </xf>
    <xf numFmtId="1" fontId="254" fillId="28" borderId="419" xfId="1" applyNumberFormat="1" applyFont="1" applyFill="1" applyBorder="1" applyAlignment="1" applyProtection="1">
      <alignment horizontal="center"/>
      <protection locked="0"/>
    </xf>
    <xf numFmtId="43" fontId="254" fillId="35" borderId="482" xfId="1" applyFont="1" applyFill="1" applyBorder="1" applyAlignment="1" applyProtection="1">
      <alignment horizontal="center"/>
      <protection locked="0"/>
    </xf>
    <xf numFmtId="43" fontId="254" fillId="35" borderId="483" xfId="1" applyFont="1" applyFill="1" applyBorder="1" applyAlignment="1" applyProtection="1">
      <alignment horizontal="center"/>
      <protection locked="0"/>
    </xf>
    <xf numFmtId="43" fontId="254" fillId="35" borderId="484" xfId="1" applyFont="1" applyFill="1" applyBorder="1" applyAlignment="1" applyProtection="1">
      <alignment horizontal="center"/>
      <protection locked="0"/>
    </xf>
    <xf numFmtId="43" fontId="254" fillId="35" borderId="421" xfId="1" applyFont="1" applyFill="1" applyBorder="1" applyAlignment="1" applyProtection="1">
      <alignment horizontal="center"/>
      <protection locked="0"/>
    </xf>
    <xf numFmtId="43" fontId="254" fillId="35" borderId="427" xfId="1" applyFont="1" applyFill="1" applyBorder="1" applyAlignment="1" applyProtection="1">
      <alignment horizontal="center"/>
      <protection locked="0"/>
    </xf>
    <xf numFmtId="43" fontId="254" fillId="20" borderId="0" xfId="1" applyFont="1" applyFill="1" applyBorder="1" applyAlignment="1" applyProtection="1">
      <protection locked="0"/>
    </xf>
    <xf numFmtId="43" fontId="254" fillId="20" borderId="485" xfId="1" applyFont="1" applyFill="1" applyBorder="1" applyAlignment="1" applyProtection="1">
      <alignment horizontal="center"/>
      <protection locked="0"/>
    </xf>
    <xf numFmtId="0" fontId="244" fillId="20" borderId="0" xfId="0" applyFont="1" applyFill="1" applyAlignment="1" applyProtection="1">
      <alignment horizontal="center"/>
      <protection locked="0"/>
    </xf>
    <xf numFmtId="43" fontId="88" fillId="20" borderId="0" xfId="1" applyFont="1" applyFill="1" applyBorder="1" applyAlignment="1" applyProtection="1">
      <protection locked="0"/>
    </xf>
    <xf numFmtId="43" fontId="254" fillId="28" borderId="405" xfId="1" applyFont="1" applyFill="1" applyBorder="1" applyAlignment="1" applyProtection="1">
      <protection locked="0"/>
    </xf>
    <xf numFmtId="43" fontId="254" fillId="28" borderId="368" xfId="1" applyFont="1" applyFill="1" applyBorder="1" applyAlignment="1" applyProtection="1">
      <alignment horizontal="left"/>
      <protection locked="0"/>
    </xf>
    <xf numFmtId="43" fontId="77" fillId="2" borderId="486" xfId="1" applyFont="1" applyFill="1" applyBorder="1" applyAlignment="1" applyProtection="1">
      <alignment horizontal="center"/>
      <protection locked="0"/>
    </xf>
    <xf numFmtId="43" fontId="77" fillId="2" borderId="487" xfId="1" applyFont="1" applyFill="1" applyBorder="1" applyAlignment="1" applyProtection="1">
      <alignment horizontal="center"/>
      <protection locked="0"/>
    </xf>
    <xf numFmtId="43" fontId="77" fillId="2" borderId="488" xfId="1" applyFont="1" applyFill="1" applyBorder="1" applyAlignment="1" applyProtection="1">
      <alignment horizontal="center"/>
      <protection locked="0"/>
    </xf>
    <xf numFmtId="43" fontId="77" fillId="2" borderId="489" xfId="1" applyFont="1" applyFill="1" applyBorder="1" applyAlignment="1" applyProtection="1">
      <alignment horizontal="center"/>
      <protection locked="0"/>
    </xf>
    <xf numFmtId="43" fontId="77" fillId="2" borderId="490" xfId="1" applyFont="1" applyFill="1" applyBorder="1" applyAlignment="1" applyProtection="1">
      <alignment horizontal="center"/>
      <protection locked="0"/>
    </xf>
    <xf numFmtId="43" fontId="77" fillId="2" borderId="491" xfId="1" applyFont="1" applyFill="1" applyBorder="1" applyAlignment="1" applyProtection="1">
      <alignment horizontal="center"/>
      <protection locked="0"/>
    </xf>
    <xf numFmtId="0" fontId="110" fillId="20" borderId="0" xfId="0" applyFont="1" applyFill="1" applyAlignment="1" applyProtection="1">
      <alignment horizontal="center"/>
      <protection locked="0"/>
    </xf>
    <xf numFmtId="49" fontId="331" fillId="20" borderId="0" xfId="0" applyNumberFormat="1" applyFont="1" applyFill="1" applyProtection="1">
      <protection locked="0"/>
    </xf>
    <xf numFmtId="0" fontId="139" fillId="33" borderId="0" xfId="1" applyNumberFormat="1" applyFont="1" applyFill="1" applyBorder="1" applyAlignment="1" applyProtection="1">
      <protection locked="0"/>
    </xf>
    <xf numFmtId="0" fontId="252" fillId="28" borderId="0" xfId="0" applyFont="1" applyFill="1" applyProtection="1">
      <protection locked="0"/>
    </xf>
    <xf numFmtId="0" fontId="113" fillId="2" borderId="0" xfId="0" applyFont="1" applyFill="1" applyAlignment="1">
      <alignment vertical="center"/>
    </xf>
    <xf numFmtId="0" fontId="246" fillId="2" borderId="0" xfId="0" applyFont="1" applyFill="1" applyAlignment="1">
      <alignment vertical="center"/>
    </xf>
    <xf numFmtId="0" fontId="174" fillId="2" borderId="0" xfId="0" applyFont="1" applyFill="1" applyAlignment="1">
      <alignment vertical="center"/>
    </xf>
    <xf numFmtId="0" fontId="116" fillId="2" borderId="0" xfId="0" applyFont="1" applyFill="1" applyAlignment="1">
      <alignment vertical="center"/>
    </xf>
    <xf numFmtId="0" fontId="110" fillId="2" borderId="0" xfId="0" applyFont="1" applyFill="1" applyAlignment="1">
      <alignment vertical="center"/>
    </xf>
    <xf numFmtId="0" fontId="252" fillId="2" borderId="0" xfId="0" applyFont="1" applyFill="1" applyAlignment="1">
      <alignment vertical="center"/>
    </xf>
    <xf numFmtId="0" fontId="139" fillId="8" borderId="0" xfId="1" applyNumberFormat="1" applyFont="1" applyFill="1" applyBorder="1" applyAlignment="1" applyProtection="1">
      <protection locked="0"/>
    </xf>
    <xf numFmtId="0" fontId="139" fillId="8" borderId="0" xfId="0" applyFont="1" applyFill="1" applyProtection="1">
      <protection locked="0"/>
    </xf>
    <xf numFmtId="0" fontId="75" fillId="8" borderId="0" xfId="0" applyFont="1" applyFill="1" applyProtection="1">
      <protection locked="0"/>
    </xf>
    <xf numFmtId="0" fontId="77" fillId="8" borderId="0" xfId="0" applyFont="1" applyFill="1" applyAlignment="1">
      <alignment horizontal="justify"/>
    </xf>
    <xf numFmtId="0" fontId="77" fillId="2" borderId="0" xfId="0" applyFont="1" applyFill="1" applyAlignment="1">
      <alignment horizontal="justify"/>
    </xf>
    <xf numFmtId="43" fontId="77" fillId="0" borderId="0" xfId="1" applyFont="1" applyFill="1" applyBorder="1" applyAlignment="1">
      <alignment horizontal="justify" vertical="top" wrapText="1"/>
    </xf>
    <xf numFmtId="0" fontId="77" fillId="20" borderId="0" xfId="0" applyFont="1" applyFill="1" applyAlignment="1">
      <alignment horizontal="justify"/>
    </xf>
    <xf numFmtId="0" fontId="78" fillId="2" borderId="0" xfId="0" applyFont="1" applyFill="1" applyAlignment="1">
      <alignment vertical="center"/>
    </xf>
    <xf numFmtId="0" fontId="291" fillId="2" borderId="0" xfId="0" applyFont="1" applyFill="1" applyAlignment="1">
      <alignment vertical="center"/>
    </xf>
    <xf numFmtId="0" fontId="74" fillId="2" borderId="0" xfId="0" applyFont="1" applyFill="1" applyAlignment="1">
      <alignment vertical="center"/>
    </xf>
    <xf numFmtId="0" fontId="73" fillId="2" borderId="0" xfId="0" applyFont="1" applyFill="1" applyAlignment="1">
      <alignment vertical="center"/>
    </xf>
    <xf numFmtId="0" fontId="77" fillId="20" borderId="0" xfId="0" applyFont="1" applyFill="1" applyAlignment="1">
      <alignment horizontal="left" wrapText="1"/>
    </xf>
    <xf numFmtId="43" fontId="98" fillId="0" borderId="0" xfId="1" applyFont="1" applyFill="1" applyBorder="1" applyAlignment="1">
      <alignment horizontal="justify" vertical="top" wrapText="1"/>
    </xf>
    <xf numFmtId="0" fontId="22" fillId="20" borderId="0" xfId="1" applyNumberFormat="1" applyFont="1" applyFill="1" applyBorder="1" applyAlignment="1" applyProtection="1">
      <protection locked="0"/>
    </xf>
    <xf numFmtId="0" fontId="22" fillId="20" borderId="0" xfId="0" applyFont="1" applyFill="1" applyProtection="1">
      <protection locked="0"/>
    </xf>
    <xf numFmtId="0" fontId="332" fillId="36" borderId="0" xfId="0" applyFont="1" applyFill="1" applyAlignment="1" applyProtection="1">
      <alignment horizontal="center"/>
      <protection locked="0"/>
    </xf>
    <xf numFmtId="0" fontId="11" fillId="37" borderId="0" xfId="0" applyFont="1" applyFill="1" applyProtection="1">
      <protection locked="0"/>
    </xf>
    <xf numFmtId="0" fontId="251" fillId="37" borderId="0" xfId="0" applyFont="1" applyFill="1" applyProtection="1">
      <protection locked="0"/>
    </xf>
    <xf numFmtId="0" fontId="1" fillId="37" borderId="0" xfId="0" applyFont="1" applyFill="1" applyProtection="1">
      <protection locked="0"/>
    </xf>
    <xf numFmtId="0" fontId="0" fillId="30" borderId="0" xfId="0" applyFill="1"/>
    <xf numFmtId="3" fontId="0" fillId="3" borderId="0" xfId="0" applyNumberFormat="1" applyFill="1"/>
    <xf numFmtId="3" fontId="0" fillId="30" borderId="0" xfId="0" applyNumberFormat="1" applyFill="1"/>
    <xf numFmtId="0" fontId="2" fillId="30" borderId="1" xfId="0" applyFont="1" applyFill="1" applyBorder="1"/>
    <xf numFmtId="193" fontId="0" fillId="2" borderId="0" xfId="0" applyNumberFormat="1" applyFill="1"/>
    <xf numFmtId="43" fontId="36" fillId="0" borderId="0" xfId="1" applyFont="1" applyFill="1" applyProtection="1">
      <protection locked="0"/>
    </xf>
    <xf numFmtId="0" fontId="3" fillId="6" borderId="0" xfId="0" applyFont="1" applyFill="1" applyAlignment="1">
      <alignment vertical="center"/>
    </xf>
    <xf numFmtId="3" fontId="3" fillId="6" borderId="0" xfId="0" applyNumberFormat="1" applyFont="1" applyFill="1" applyAlignment="1">
      <alignment vertical="center"/>
    </xf>
    <xf numFmtId="3" fontId="0" fillId="6" borderId="0" xfId="0" applyNumberFormat="1" applyFill="1" applyAlignment="1">
      <alignment vertical="center"/>
    </xf>
    <xf numFmtId="0" fontId="2" fillId="6" borderId="0" xfId="0" applyFont="1" applyFill="1" applyAlignment="1">
      <alignment vertical="center"/>
    </xf>
    <xf numFmtId="0" fontId="4" fillId="6" borderId="0" xfId="0" applyFont="1" applyFill="1" applyAlignment="1">
      <alignment vertical="center"/>
    </xf>
    <xf numFmtId="0" fontId="0" fillId="6" borderId="1" xfId="0" applyFill="1" applyBorder="1" applyAlignment="1">
      <alignment vertical="center"/>
    </xf>
    <xf numFmtId="49" fontId="16" fillId="38" borderId="14" xfId="0" applyNumberFormat="1" applyFont="1" applyFill="1" applyBorder="1" applyAlignment="1">
      <alignment horizontal="center" vertical="center"/>
    </xf>
    <xf numFmtId="1" fontId="285" fillId="38" borderId="14" xfId="0" applyNumberFormat="1" applyFont="1" applyFill="1" applyBorder="1" applyAlignment="1">
      <alignment horizontal="center" vertical="center"/>
    </xf>
    <xf numFmtId="1" fontId="285" fillId="38" borderId="14" xfId="0" applyNumberFormat="1" applyFont="1" applyFill="1" applyBorder="1" applyAlignment="1">
      <alignment vertical="center"/>
    </xf>
    <xf numFmtId="0" fontId="9" fillId="38" borderId="10" xfId="0" applyFont="1" applyFill="1" applyBorder="1" applyAlignment="1">
      <alignment horizontal="right"/>
    </xf>
    <xf numFmtId="0" fontId="0" fillId="38" borderId="0" xfId="0" applyFill="1"/>
    <xf numFmtId="0" fontId="0" fillId="30" borderId="1" xfId="0" applyFill="1" applyBorder="1"/>
    <xf numFmtId="49" fontId="16" fillId="5" borderId="10" xfId="0" applyNumberFormat="1" applyFont="1" applyFill="1" applyBorder="1" applyAlignment="1">
      <alignment vertical="center"/>
    </xf>
    <xf numFmtId="49" fontId="16" fillId="38" borderId="6" xfId="0" applyNumberFormat="1" applyFont="1" applyFill="1" applyBorder="1" applyAlignment="1">
      <alignment horizontal="center" vertical="center"/>
    </xf>
    <xf numFmtId="3" fontId="16" fillId="38" borderId="6" xfId="0" applyNumberFormat="1" applyFont="1" applyFill="1" applyBorder="1" applyAlignment="1">
      <alignment horizontal="center" vertical="center"/>
    </xf>
    <xf numFmtId="0" fontId="10" fillId="24" borderId="10" xfId="0" applyFont="1" applyFill="1" applyBorder="1"/>
    <xf numFmtId="0" fontId="0" fillId="24" borderId="10" xfId="0" applyFill="1" applyBorder="1" applyAlignment="1">
      <alignment horizontal="center"/>
    </xf>
    <xf numFmtId="0" fontId="12" fillId="38" borderId="10" xfId="0" applyFont="1" applyFill="1" applyBorder="1" applyAlignment="1">
      <alignment horizontal="center"/>
    </xf>
    <xf numFmtId="3" fontId="0" fillId="24" borderId="10" xfId="0" applyNumberFormat="1" applyFill="1" applyBorder="1"/>
    <xf numFmtId="3" fontId="0" fillId="24" borderId="17" xfId="0" applyNumberFormat="1" applyFill="1" applyBorder="1"/>
    <xf numFmtId="0" fontId="11" fillId="24" borderId="10" xfId="0" applyFont="1" applyFill="1" applyBorder="1"/>
    <xf numFmtId="0" fontId="1" fillId="30" borderId="0" xfId="0" applyFont="1" applyFill="1"/>
    <xf numFmtId="3" fontId="0" fillId="0" borderId="10" xfId="0" applyNumberFormat="1" applyBorder="1" applyAlignment="1">
      <alignment horizontal="right"/>
    </xf>
    <xf numFmtId="3" fontId="0" fillId="0" borderId="10" xfId="0" applyNumberFormat="1" applyBorder="1"/>
    <xf numFmtId="0" fontId="1" fillId="24" borderId="10" xfId="0" applyFont="1" applyFill="1" applyBorder="1" applyAlignment="1">
      <alignment horizontal="center"/>
    </xf>
    <xf numFmtId="0" fontId="298" fillId="24" borderId="10" xfId="6" applyFill="1" applyBorder="1" applyAlignment="1" applyProtection="1"/>
    <xf numFmtId="0" fontId="0" fillId="24" borderId="10" xfId="0" applyFill="1" applyBorder="1"/>
    <xf numFmtId="0" fontId="0" fillId="24" borderId="0" xfId="0" applyFill="1"/>
    <xf numFmtId="3" fontId="0" fillId="24" borderId="0" xfId="0" applyNumberFormat="1" applyFill="1"/>
    <xf numFmtId="3" fontId="0" fillId="6" borderId="0" xfId="0" applyNumberFormat="1" applyFill="1"/>
    <xf numFmtId="0" fontId="0" fillId="6" borderId="0" xfId="0" applyFill="1" applyAlignment="1">
      <alignment vertical="center"/>
    </xf>
    <xf numFmtId="0" fontId="14" fillId="6" borderId="0" xfId="0" applyFont="1" applyFill="1" applyAlignment="1">
      <alignment horizontal="right"/>
    </xf>
    <xf numFmtId="0" fontId="2" fillId="6" borderId="0" xfId="0" applyFont="1" applyFill="1" applyAlignment="1">
      <alignment horizontal="left"/>
    </xf>
    <xf numFmtId="0" fontId="15" fillId="6" borderId="0" xfId="0" applyFont="1" applyFill="1" applyAlignment="1">
      <alignment horizontal="center" vertical="center"/>
    </xf>
    <xf numFmtId="0" fontId="15" fillId="6" borderId="0" xfId="0" applyFont="1" applyFill="1" applyAlignment="1">
      <alignment vertical="center"/>
    </xf>
    <xf numFmtId="0" fontId="2" fillId="6" borderId="1" xfId="0" applyFont="1" applyFill="1" applyBorder="1"/>
    <xf numFmtId="3" fontId="285" fillId="38" borderId="14" xfId="0" applyNumberFormat="1" applyFont="1" applyFill="1" applyBorder="1" applyAlignment="1">
      <alignment vertical="center"/>
    </xf>
    <xf numFmtId="49" fontId="333" fillId="30" borderId="0" xfId="0" applyNumberFormat="1" applyFont="1" applyFill="1" applyAlignment="1">
      <alignment horizontal="center" vertical="center"/>
    </xf>
    <xf numFmtId="0" fontId="4" fillId="30" borderId="1" xfId="0" applyFont="1" applyFill="1" applyBorder="1"/>
    <xf numFmtId="49" fontId="16" fillId="39" borderId="492" xfId="0" applyNumberFormat="1" applyFont="1" applyFill="1" applyBorder="1" applyAlignment="1">
      <alignment horizontal="center" vertical="center"/>
    </xf>
    <xf numFmtId="49" fontId="12" fillId="38" borderId="10" xfId="0" applyNumberFormat="1" applyFont="1" applyFill="1" applyBorder="1" applyAlignment="1">
      <alignment horizontal="center"/>
    </xf>
    <xf numFmtId="3" fontId="0" fillId="24" borderId="10" xfId="0" applyNumberFormat="1" applyFill="1" applyBorder="1" applyAlignment="1">
      <alignment horizontal="right"/>
    </xf>
    <xf numFmtId="3" fontId="0" fillId="24" borderId="493" xfId="0" applyNumberFormat="1" applyFill="1" applyBorder="1"/>
    <xf numFmtId="3" fontId="334" fillId="30" borderId="0" xfId="0" applyNumberFormat="1" applyFont="1" applyFill="1"/>
    <xf numFmtId="193" fontId="0" fillId="9" borderId="10" xfId="0" applyNumberFormat="1" applyFill="1" applyBorder="1" applyAlignment="1">
      <alignment horizontal="right"/>
    </xf>
    <xf numFmtId="3" fontId="0" fillId="27" borderId="492" xfId="0" applyNumberFormat="1" applyFill="1" applyBorder="1"/>
    <xf numFmtId="3" fontId="0" fillId="0" borderId="492" xfId="0" applyNumberFormat="1" applyBorder="1"/>
    <xf numFmtId="193" fontId="0" fillId="0" borderId="10" xfId="0" applyNumberFormat="1" applyBorder="1" applyAlignment="1">
      <alignment horizontal="right"/>
    </xf>
    <xf numFmtId="3" fontId="0" fillId="27" borderId="494" xfId="0" applyNumberFormat="1" applyFill="1" applyBorder="1"/>
    <xf numFmtId="3" fontId="0" fillId="0" borderId="495" xfId="0" applyNumberFormat="1" applyBorder="1"/>
    <xf numFmtId="0" fontId="334" fillId="30" borderId="0" xfId="0" applyFont="1" applyFill="1"/>
    <xf numFmtId="0" fontId="0" fillId="2" borderId="496" xfId="0" applyFill="1" applyBorder="1"/>
    <xf numFmtId="193" fontId="334" fillId="30" borderId="0" xfId="0" applyNumberFormat="1" applyFont="1" applyFill="1" applyAlignment="1">
      <alignment horizontal="right"/>
    </xf>
    <xf numFmtId="193" fontId="335" fillId="2" borderId="492" xfId="0" applyNumberFormat="1" applyFont="1" applyFill="1" applyBorder="1" applyAlignment="1">
      <alignment horizontal="right"/>
    </xf>
    <xf numFmtId="1" fontId="18" fillId="24" borderId="0" xfId="0" applyNumberFormat="1" applyFont="1" applyFill="1" applyAlignment="1">
      <alignment horizontal="center"/>
    </xf>
    <xf numFmtId="0" fontId="336" fillId="30" borderId="0" xfId="0" applyFont="1" applyFill="1" applyAlignment="1">
      <alignment horizontal="left" vertical="center"/>
    </xf>
    <xf numFmtId="49" fontId="333" fillId="30" borderId="0" xfId="0" applyNumberFormat="1" applyFont="1" applyFill="1" applyAlignment="1">
      <alignment horizontal="right" vertical="center"/>
    </xf>
    <xf numFmtId="49" fontId="333" fillId="30" borderId="1" xfId="0" applyNumberFormat="1" applyFont="1" applyFill="1" applyBorder="1" applyAlignment="1">
      <alignment horizontal="right" vertical="center"/>
    </xf>
    <xf numFmtId="0" fontId="6" fillId="39" borderId="497" xfId="0" applyFont="1" applyFill="1" applyBorder="1" applyAlignment="1">
      <alignment horizontal="left" vertical="center"/>
    </xf>
    <xf numFmtId="3" fontId="0" fillId="24" borderId="498" xfId="0" applyNumberFormat="1" applyFill="1" applyBorder="1" applyAlignment="1">
      <alignment horizontal="right"/>
    </xf>
    <xf numFmtId="3" fontId="0" fillId="24" borderId="499" xfId="0" applyNumberFormat="1" applyFill="1" applyBorder="1"/>
    <xf numFmtId="0" fontId="334" fillId="30" borderId="1" xfId="0" applyFont="1" applyFill="1" applyBorder="1"/>
    <xf numFmtId="3" fontId="0" fillId="0" borderId="498" xfId="0" applyNumberFormat="1" applyBorder="1" applyAlignment="1">
      <alignment horizontal="right"/>
    </xf>
    <xf numFmtId="3" fontId="0" fillId="0" borderId="500" xfId="0" applyNumberFormat="1" applyBorder="1" applyAlignment="1">
      <alignment horizontal="right"/>
    </xf>
    <xf numFmtId="49" fontId="12" fillId="38" borderId="14" xfId="0" applyNumberFormat="1" applyFont="1" applyFill="1" applyBorder="1" applyAlignment="1">
      <alignment horizontal="center"/>
    </xf>
    <xf numFmtId="3" fontId="0" fillId="24" borderId="501" xfId="0" applyNumberFormat="1" applyFill="1" applyBorder="1" applyAlignment="1">
      <alignment horizontal="right"/>
    </xf>
    <xf numFmtId="3" fontId="0" fillId="24" borderId="502" xfId="0" applyNumberFormat="1" applyFill="1" applyBorder="1"/>
    <xf numFmtId="49" fontId="12" fillId="38" borderId="19" xfId="0" applyNumberFormat="1" applyFont="1" applyFill="1" applyBorder="1" applyAlignment="1">
      <alignment horizontal="center"/>
    </xf>
    <xf numFmtId="3" fontId="0" fillId="24" borderId="19" xfId="0" applyNumberFormat="1" applyFill="1" applyBorder="1" applyAlignment="1">
      <alignment horizontal="right"/>
    </xf>
    <xf numFmtId="3" fontId="0" fillId="24" borderId="503" xfId="0" applyNumberFormat="1" applyFill="1" applyBorder="1"/>
    <xf numFmtId="193" fontId="335" fillId="30" borderId="24" xfId="0" applyNumberFormat="1" applyFont="1" applyFill="1" applyBorder="1" applyAlignment="1">
      <alignment horizontal="right" shrinkToFit="1"/>
    </xf>
    <xf numFmtId="196" fontId="0" fillId="2" borderId="0" xfId="0" applyNumberFormat="1" applyFill="1"/>
    <xf numFmtId="49" fontId="16" fillId="38" borderId="10" xfId="0" applyNumberFormat="1" applyFont="1" applyFill="1" applyBorder="1" applyAlignment="1">
      <alignment horizontal="center" vertical="center"/>
    </xf>
    <xf numFmtId="3" fontId="16" fillId="38" borderId="10" xfId="0" applyNumberFormat="1" applyFont="1" applyFill="1" applyBorder="1" applyAlignment="1">
      <alignment horizontal="center" vertical="center"/>
    </xf>
    <xf numFmtId="49" fontId="333" fillId="30" borderId="16" xfId="0" applyNumberFormat="1" applyFont="1" applyFill="1" applyBorder="1" applyAlignment="1">
      <alignment horizontal="center" vertical="center"/>
    </xf>
    <xf numFmtId="49" fontId="16" fillId="39" borderId="10" xfId="0" applyNumberFormat="1" applyFont="1" applyFill="1" applyBorder="1" applyAlignment="1">
      <alignment horizontal="center" vertical="center"/>
    </xf>
    <xf numFmtId="3" fontId="334" fillId="30" borderId="16" xfId="0" applyNumberFormat="1" applyFont="1" applyFill="1" applyBorder="1"/>
    <xf numFmtId="3" fontId="0" fillId="27" borderId="10" xfId="0" applyNumberFormat="1" applyFill="1" applyBorder="1"/>
    <xf numFmtId="3" fontId="0" fillId="0" borderId="14" xfId="0" applyNumberFormat="1" applyBorder="1" applyAlignment="1">
      <alignment horizontal="right"/>
    </xf>
    <xf numFmtId="3" fontId="0" fillId="0" borderId="14" xfId="0" applyNumberFormat="1" applyBorder="1"/>
    <xf numFmtId="3" fontId="0" fillId="0" borderId="19" xfId="0" applyNumberFormat="1" applyBorder="1" applyAlignment="1">
      <alignment horizontal="right"/>
    </xf>
    <xf numFmtId="3" fontId="0" fillId="0" borderId="19" xfId="0" applyNumberFormat="1" applyBorder="1"/>
    <xf numFmtId="3" fontId="0" fillId="0" borderId="21" xfId="0" applyNumberFormat="1" applyBorder="1"/>
    <xf numFmtId="3" fontId="4" fillId="30" borderId="0" xfId="0" applyNumberFormat="1" applyFont="1" applyFill="1"/>
    <xf numFmtId="0" fontId="4" fillId="30" borderId="0" xfId="0" applyFont="1" applyFill="1"/>
    <xf numFmtId="3" fontId="12" fillId="6" borderId="0" xfId="0" applyNumberFormat="1" applyFont="1" applyFill="1" applyAlignment="1">
      <alignment vertical="center"/>
    </xf>
    <xf numFmtId="0" fontId="12" fillId="6" borderId="0" xfId="0" applyFont="1" applyFill="1" applyProtection="1">
      <protection locked="0"/>
    </xf>
    <xf numFmtId="0" fontId="12" fillId="6" borderId="1" xfId="0" applyFont="1" applyFill="1" applyBorder="1"/>
    <xf numFmtId="0" fontId="19" fillId="6" borderId="0" xfId="0" applyFont="1" applyFill="1" applyAlignment="1" applyProtection="1">
      <alignment vertical="center"/>
      <protection locked="0"/>
    </xf>
    <xf numFmtId="3" fontId="20" fillId="6" borderId="0" xfId="0" applyNumberFormat="1" applyFont="1" applyFill="1" applyAlignment="1" applyProtection="1">
      <alignment vertical="center"/>
      <protection locked="0"/>
    </xf>
    <xf numFmtId="3" fontId="21" fillId="6" borderId="0" xfId="0" applyNumberFormat="1" applyFont="1" applyFill="1" applyAlignment="1" applyProtection="1">
      <alignment vertical="center"/>
      <protection locked="0"/>
    </xf>
    <xf numFmtId="0" fontId="21" fillId="6" borderId="0" xfId="0" applyFont="1" applyFill="1" applyAlignment="1" applyProtection="1">
      <alignment vertical="center"/>
      <protection locked="0"/>
    </xf>
    <xf numFmtId="0" fontId="337" fillId="38" borderId="11" xfId="0" applyFont="1" applyFill="1" applyBorder="1" applyAlignment="1">
      <alignment horizontal="center"/>
    </xf>
    <xf numFmtId="3" fontId="337" fillId="38" borderId="23" xfId="0" applyNumberFormat="1" applyFont="1" applyFill="1" applyBorder="1" applyAlignment="1">
      <alignment horizontal="center"/>
    </xf>
    <xf numFmtId="0" fontId="0" fillId="24" borderId="11" xfId="0" applyFill="1" applyBorder="1" applyAlignment="1">
      <alignment horizontal="center"/>
    </xf>
    <xf numFmtId="3" fontId="0" fillId="24" borderId="23" xfId="0" applyNumberFormat="1" applyFill="1" applyBorder="1"/>
    <xf numFmtId="3" fontId="16" fillId="38" borderId="10" xfId="0" applyNumberFormat="1" applyFont="1" applyFill="1" applyBorder="1" applyAlignment="1">
      <alignment vertical="center"/>
    </xf>
    <xf numFmtId="180" fontId="0" fillId="0" borderId="10" xfId="0" applyNumberFormat="1" applyBorder="1"/>
    <xf numFmtId="180" fontId="0" fillId="9" borderId="10" xfId="0" applyNumberFormat="1" applyFill="1" applyBorder="1"/>
    <xf numFmtId="180" fontId="0" fillId="2" borderId="0" xfId="0" applyNumberFormat="1" applyFill="1"/>
    <xf numFmtId="3" fontId="11" fillId="0" borderId="10" xfId="0" applyNumberFormat="1" applyFont="1" applyBorder="1" applyAlignment="1">
      <alignment horizontal="right"/>
    </xf>
    <xf numFmtId="3" fontId="338" fillId="30" borderId="0" xfId="0" applyNumberFormat="1" applyFont="1" applyFill="1" applyAlignment="1">
      <alignment shrinkToFit="1"/>
    </xf>
    <xf numFmtId="180" fontId="335" fillId="30" borderId="0" xfId="0" applyNumberFormat="1" applyFont="1" applyFill="1" applyAlignment="1">
      <alignment shrinkToFit="1"/>
    </xf>
    <xf numFmtId="0" fontId="4" fillId="24" borderId="0" xfId="0" applyFont="1" applyFill="1"/>
    <xf numFmtId="3" fontId="4" fillId="24" borderId="0" xfId="0" applyNumberFormat="1" applyFont="1" applyFill="1"/>
    <xf numFmtId="0" fontId="0" fillId="24" borderId="1" xfId="0" applyFill="1" applyBorder="1"/>
    <xf numFmtId="0" fontId="339" fillId="40" borderId="504" xfId="0" applyFont="1" applyFill="1" applyBorder="1" applyAlignment="1">
      <alignment horizontal="center" vertical="center"/>
    </xf>
    <xf numFmtId="0" fontId="339" fillId="40" borderId="505" xfId="0" applyFont="1" applyFill="1" applyBorder="1" applyAlignment="1">
      <alignment horizontal="center" vertical="center"/>
    </xf>
    <xf numFmtId="0" fontId="339" fillId="40" borderId="506" xfId="0" applyFont="1" applyFill="1" applyBorder="1" applyAlignment="1">
      <alignment horizontal="center" vertical="center"/>
    </xf>
    <xf numFmtId="0" fontId="340" fillId="40" borderId="507" xfId="0" applyFont="1" applyFill="1" applyBorder="1" applyAlignment="1">
      <alignment horizontal="center" vertical="center"/>
    </xf>
    <xf numFmtId="0" fontId="340" fillId="40" borderId="508" xfId="0" applyFont="1" applyFill="1" applyBorder="1" applyAlignment="1">
      <alignment vertical="center"/>
    </xf>
    <xf numFmtId="0" fontId="340" fillId="40" borderId="509" xfId="0" applyFont="1" applyFill="1" applyBorder="1" applyAlignment="1">
      <alignment horizontal="center" vertical="center"/>
    </xf>
    <xf numFmtId="0" fontId="339" fillId="40" borderId="508" xfId="0" applyFont="1" applyFill="1" applyBorder="1" applyAlignment="1">
      <alignment vertical="center"/>
    </xf>
    <xf numFmtId="0" fontId="341" fillId="40" borderId="508" xfId="0" applyFont="1" applyFill="1" applyBorder="1" applyAlignment="1">
      <alignment horizontal="center" vertical="center"/>
    </xf>
    <xf numFmtId="0" fontId="340" fillId="40" borderId="508" xfId="0" applyFont="1" applyFill="1" applyBorder="1" applyAlignment="1">
      <alignment horizontal="center" vertical="center"/>
    </xf>
    <xf numFmtId="0" fontId="339" fillId="40" borderId="507" xfId="0" applyFont="1" applyFill="1" applyBorder="1" applyAlignment="1">
      <alignment horizontal="center" vertical="center"/>
    </xf>
    <xf numFmtId="0" fontId="342" fillId="40" borderId="508" xfId="0" applyFont="1" applyFill="1" applyBorder="1" applyAlignment="1">
      <alignment horizontal="center" vertical="center"/>
    </xf>
    <xf numFmtId="0" fontId="342" fillId="40" borderId="507" xfId="0" applyFont="1" applyFill="1" applyBorder="1" applyAlignment="1">
      <alignment horizontal="center" vertical="center"/>
    </xf>
    <xf numFmtId="0" fontId="342" fillId="40" borderId="508" xfId="0" applyFont="1" applyFill="1" applyBorder="1" applyAlignment="1">
      <alignment vertical="center"/>
    </xf>
    <xf numFmtId="0" fontId="342" fillId="40" borderId="508" xfId="0" applyFont="1" applyFill="1" applyBorder="1" applyAlignment="1">
      <alignment horizontal="left" vertical="center" indent="2"/>
    </xf>
    <xf numFmtId="0" fontId="342" fillId="40" borderId="510" xfId="0" applyFont="1" applyFill="1" applyBorder="1" applyAlignment="1">
      <alignment horizontal="center" vertical="center"/>
    </xf>
    <xf numFmtId="0" fontId="342" fillId="40" borderId="510" xfId="0" applyFont="1" applyFill="1" applyBorder="1" applyAlignment="1">
      <alignment vertical="center"/>
    </xf>
    <xf numFmtId="0" fontId="342" fillId="40" borderId="511" xfId="0" applyFont="1" applyFill="1" applyBorder="1" applyAlignment="1">
      <alignment horizontal="center" vertical="center"/>
    </xf>
    <xf numFmtId="0" fontId="342" fillId="40" borderId="507" xfId="0" applyFont="1" applyFill="1" applyBorder="1" applyAlignment="1">
      <alignment vertical="center"/>
    </xf>
    <xf numFmtId="0" fontId="342" fillId="40" borderId="510" xfId="0" applyFont="1" applyFill="1" applyBorder="1" applyAlignment="1">
      <alignment horizontal="left" vertical="center" indent="2"/>
    </xf>
    <xf numFmtId="0" fontId="342" fillId="40" borderId="507" xfId="0" applyFont="1" applyFill="1" applyBorder="1" applyAlignment="1">
      <alignment horizontal="left" vertical="center" indent="2"/>
    </xf>
    <xf numFmtId="16" fontId="342" fillId="40" borderId="507" xfId="0" applyNumberFormat="1" applyFont="1" applyFill="1" applyBorder="1" applyAlignment="1">
      <alignment horizontal="center" vertical="center"/>
    </xf>
    <xf numFmtId="0" fontId="343" fillId="0" borderId="0" xfId="0" applyFont="1" applyAlignment="1">
      <alignment vertical="center"/>
    </xf>
    <xf numFmtId="0" fontId="339" fillId="40" borderId="509" xfId="0" applyFont="1" applyFill="1" applyBorder="1" applyAlignment="1">
      <alignment vertical="center"/>
    </xf>
    <xf numFmtId="0" fontId="342" fillId="40" borderId="509" xfId="0" applyFont="1" applyFill="1" applyBorder="1" applyAlignment="1">
      <alignment vertical="center"/>
    </xf>
    <xf numFmtId="0" fontId="342" fillId="40" borderId="512" xfId="0" applyFont="1" applyFill="1" applyBorder="1" applyAlignment="1">
      <alignment horizontal="center" vertical="center"/>
    </xf>
    <xf numFmtId="0" fontId="341" fillId="40" borderId="507" xfId="0" applyFont="1" applyFill="1" applyBorder="1" applyAlignment="1">
      <alignment horizontal="center" vertical="center"/>
    </xf>
    <xf numFmtId="0" fontId="340" fillId="40" borderId="510" xfId="0" applyFont="1" applyFill="1" applyBorder="1" applyAlignment="1">
      <alignment horizontal="center" vertical="center"/>
    </xf>
    <xf numFmtId="0" fontId="340" fillId="40" borderId="513" xfId="0" applyFont="1" applyFill="1" applyBorder="1" applyAlignment="1">
      <alignment horizontal="center" vertical="center"/>
    </xf>
    <xf numFmtId="0" fontId="342" fillId="40" borderId="513" xfId="0" applyFont="1" applyFill="1" applyBorder="1" applyAlignment="1">
      <alignment horizontal="left" vertical="center" indent="2"/>
    </xf>
    <xf numFmtId="0" fontId="342" fillId="40" borderId="513" xfId="0" applyFont="1" applyFill="1" applyBorder="1" applyAlignment="1">
      <alignment horizontal="center" vertical="center"/>
    </xf>
    <xf numFmtId="0" fontId="339" fillId="40" borderId="512" xfId="0" applyFont="1" applyFill="1" applyBorder="1" applyAlignment="1">
      <alignment horizontal="center" vertical="center"/>
    </xf>
    <xf numFmtId="0" fontId="339" fillId="0" borderId="508" xfId="0" applyFont="1" applyBorder="1" applyAlignment="1">
      <alignment vertical="center"/>
    </xf>
    <xf numFmtId="0" fontId="342" fillId="0" borderId="508" xfId="0" applyFont="1" applyBorder="1" applyAlignment="1">
      <alignment vertical="center"/>
    </xf>
    <xf numFmtId="0" fontId="342" fillId="0" borderId="508" xfId="0" applyFont="1" applyBorder="1" applyAlignment="1">
      <alignment horizontal="center" vertical="center"/>
    </xf>
    <xf numFmtId="0" fontId="340" fillId="0" borderId="508" xfId="0" applyFont="1" applyBorder="1" applyAlignment="1">
      <alignment horizontal="center" vertical="center"/>
    </xf>
    <xf numFmtId="0" fontId="342" fillId="0" borderId="508" xfId="0" applyFont="1" applyBorder="1" applyAlignment="1">
      <alignment horizontal="left" vertical="center" indent="2"/>
    </xf>
    <xf numFmtId="58" fontId="342" fillId="40" borderId="507" xfId="0" applyNumberFormat="1" applyFont="1" applyFill="1" applyBorder="1" applyAlignment="1">
      <alignment horizontal="center" vertical="center"/>
    </xf>
    <xf numFmtId="0" fontId="342" fillId="0" borderId="0" xfId="0" applyFont="1" applyAlignment="1">
      <alignment vertical="center"/>
    </xf>
    <xf numFmtId="0" fontId="344" fillId="0" borderId="0" xfId="0" applyFont="1" applyAlignment="1">
      <alignment horizontal="center" vertical="center"/>
    </xf>
    <xf numFmtId="0" fontId="343" fillId="0" borderId="0" xfId="0" applyFont="1"/>
    <xf numFmtId="49" fontId="0" fillId="0" borderId="0" xfId="0" applyNumberFormat="1" applyAlignment="1">
      <alignment wrapText="1"/>
    </xf>
    <xf numFmtId="0" fontId="345" fillId="40" borderId="507" xfId="0" applyFont="1" applyFill="1" applyBorder="1" applyAlignment="1">
      <alignment horizontal="center" vertical="center"/>
    </xf>
    <xf numFmtId="0" fontId="345" fillId="40" borderId="508" xfId="0" applyFont="1" applyFill="1" applyBorder="1" applyAlignment="1">
      <alignment vertical="center"/>
    </xf>
    <xf numFmtId="49" fontId="346" fillId="40" borderId="509" xfId="0" applyNumberFormat="1" applyFont="1" applyFill="1" applyBorder="1" applyAlignment="1">
      <alignment horizontal="center" vertical="center" wrapText="1"/>
    </xf>
    <xf numFmtId="0" fontId="345" fillId="40" borderId="507" xfId="0" applyFont="1" applyFill="1" applyBorder="1" applyAlignment="1">
      <alignment horizontal="center" vertical="center" wrapText="1"/>
    </xf>
    <xf numFmtId="0" fontId="347" fillId="40" borderId="508" xfId="0" applyFont="1" applyFill="1" applyBorder="1" applyAlignment="1">
      <alignment vertical="center"/>
    </xf>
    <xf numFmtId="49" fontId="348" fillId="40" borderId="508" xfId="0" applyNumberFormat="1" applyFont="1" applyFill="1" applyBorder="1" applyAlignment="1">
      <alignment horizontal="center" vertical="center" wrapText="1"/>
    </xf>
    <xf numFmtId="0" fontId="345" fillId="40" borderId="508" xfId="0" applyFont="1" applyFill="1" applyBorder="1" applyAlignment="1">
      <alignment horizontal="center" vertical="center" wrapText="1"/>
    </xf>
    <xf numFmtId="0" fontId="347" fillId="40" borderId="507" xfId="0" applyFont="1" applyFill="1" applyBorder="1" applyAlignment="1">
      <alignment horizontal="center" vertical="center"/>
    </xf>
    <xf numFmtId="49" fontId="346" fillId="40" borderId="508" xfId="0" applyNumberFormat="1" applyFont="1" applyFill="1" applyBorder="1" applyAlignment="1">
      <alignment horizontal="center" vertical="center" wrapText="1"/>
    </xf>
    <xf numFmtId="0" fontId="346" fillId="40" borderId="508" xfId="0" applyFont="1" applyFill="1" applyBorder="1" applyAlignment="1">
      <alignment horizontal="left" vertical="center" indent="2"/>
    </xf>
    <xf numFmtId="0" fontId="0" fillId="0" borderId="0" xfId="0" applyAlignment="1">
      <alignment horizontal="center"/>
    </xf>
    <xf numFmtId="0" fontId="345" fillId="40" borderId="514" xfId="0" applyFont="1" applyFill="1" applyBorder="1" applyAlignment="1">
      <alignment horizontal="center" vertical="center"/>
    </xf>
    <xf numFmtId="0" fontId="345" fillId="40" borderId="514" xfId="0" applyFont="1" applyFill="1" applyBorder="1" applyAlignment="1">
      <alignment vertical="center"/>
    </xf>
    <xf numFmtId="49" fontId="346" fillId="40" borderId="514" xfId="0" applyNumberFormat="1" applyFont="1" applyFill="1" applyBorder="1" applyAlignment="1">
      <alignment horizontal="center" vertical="center" wrapText="1"/>
    </xf>
    <xf numFmtId="0" fontId="345" fillId="40" borderId="515" xfId="0" applyFont="1" applyFill="1" applyBorder="1" applyAlignment="1">
      <alignment horizontal="center" vertical="center" wrapText="1"/>
    </xf>
    <xf numFmtId="0" fontId="345" fillId="40" borderId="516" xfId="0" applyFont="1" applyFill="1" applyBorder="1" applyAlignment="1">
      <alignment horizontal="center" vertical="center"/>
    </xf>
    <xf numFmtId="0" fontId="345" fillId="40" borderId="517" xfId="0" applyFont="1" applyFill="1" applyBorder="1" applyAlignment="1">
      <alignment vertical="center"/>
    </xf>
    <xf numFmtId="49" fontId="346" fillId="40" borderId="517" xfId="0" applyNumberFormat="1" applyFont="1" applyFill="1" applyBorder="1" applyAlignment="1">
      <alignment horizontal="center" vertical="center" wrapText="1"/>
    </xf>
    <xf numFmtId="0" fontId="345" fillId="40" borderId="517" xfId="0" applyFont="1" applyFill="1" applyBorder="1" applyAlignment="1">
      <alignment horizontal="center" vertical="center" wrapText="1"/>
    </xf>
    <xf numFmtId="0" fontId="346" fillId="40" borderId="514" xfId="0" applyFont="1" applyFill="1" applyBorder="1" applyAlignment="1">
      <alignment horizontal="left" vertical="center" indent="2"/>
    </xf>
    <xf numFmtId="0" fontId="346" fillId="40" borderId="517" xfId="0" applyFont="1" applyFill="1" applyBorder="1" applyAlignment="1">
      <alignment horizontal="left" vertical="center" indent="2"/>
    </xf>
    <xf numFmtId="16" fontId="345" fillId="40" borderId="507" xfId="0" applyNumberFormat="1" applyFont="1" applyFill="1" applyBorder="1" applyAlignment="1">
      <alignment horizontal="center" vertical="center"/>
    </xf>
    <xf numFmtId="0" fontId="347" fillId="40" borderId="516" xfId="0" applyFont="1" applyFill="1" applyBorder="1" applyAlignment="1">
      <alignment horizontal="center" vertical="center"/>
    </xf>
    <xf numFmtId="0" fontId="347" fillId="40" borderId="517" xfId="0" applyFont="1" applyFill="1" applyBorder="1" applyAlignment="1">
      <alignment vertical="center"/>
    </xf>
    <xf numFmtId="0" fontId="345" fillId="40" borderId="505" xfId="0" applyFont="1" applyFill="1" applyBorder="1" applyAlignment="1">
      <alignment horizontal="center" vertical="center"/>
    </xf>
    <xf numFmtId="0" fontId="347" fillId="40" borderId="512" xfId="0" applyFont="1" applyFill="1" applyBorder="1" applyAlignment="1">
      <alignment vertical="center"/>
    </xf>
    <xf numFmtId="49" fontId="346" fillId="40" borderId="512" xfId="0" applyNumberFormat="1" applyFont="1" applyFill="1" applyBorder="1" applyAlignment="1">
      <alignment horizontal="center" vertical="center" wrapText="1"/>
    </xf>
    <xf numFmtId="0" fontId="345" fillId="40" borderId="512" xfId="0" applyFont="1" applyFill="1" applyBorder="1" applyAlignment="1">
      <alignment horizontal="center" vertical="center" wrapText="1"/>
    </xf>
    <xf numFmtId="0" fontId="345" fillId="40" borderId="510" xfId="0" applyFont="1" applyFill="1" applyBorder="1" applyAlignment="1">
      <alignment horizontal="center" vertical="center"/>
    </xf>
    <xf numFmtId="0" fontId="345" fillId="40" borderId="510" xfId="0" applyFont="1" applyFill="1" applyBorder="1" applyAlignment="1">
      <alignment vertical="center"/>
    </xf>
    <xf numFmtId="49" fontId="346" fillId="40" borderId="510" xfId="0" applyNumberFormat="1" applyFont="1" applyFill="1" applyBorder="1" applyAlignment="1">
      <alignment vertical="center" wrapText="1"/>
    </xf>
    <xf numFmtId="0" fontId="345" fillId="40" borderId="511" xfId="0" applyFont="1" applyFill="1" applyBorder="1" applyAlignment="1">
      <alignment horizontal="center" vertical="center" wrapText="1"/>
    </xf>
    <xf numFmtId="0" fontId="347" fillId="40" borderId="505" xfId="0" applyFont="1" applyFill="1" applyBorder="1" applyAlignment="1">
      <alignment horizontal="center" vertical="center"/>
    </xf>
    <xf numFmtId="0" fontId="345" fillId="0" borderId="0" xfId="0" applyFont="1" applyAlignment="1">
      <alignment vertical="center"/>
    </xf>
    <xf numFmtId="0" fontId="346" fillId="0" borderId="0" xfId="0" applyFont="1" applyAlignment="1">
      <alignment vertical="center"/>
    </xf>
    <xf numFmtId="0" fontId="347" fillId="40" borderId="504" xfId="0" applyFont="1" applyFill="1" applyBorder="1" applyAlignment="1">
      <alignment horizontal="center" vertical="center"/>
    </xf>
    <xf numFmtId="49" fontId="348" fillId="40" borderId="506" xfId="0" applyNumberFormat="1" applyFont="1" applyFill="1" applyBorder="1" applyAlignment="1">
      <alignment horizontal="center" vertical="center" wrapText="1"/>
    </xf>
    <xf numFmtId="0" fontId="347" fillId="40" borderId="505" xfId="0" applyFont="1" applyFill="1" applyBorder="1" applyAlignment="1">
      <alignment horizontal="center" vertical="center" wrapText="1"/>
    </xf>
    <xf numFmtId="0" fontId="347" fillId="40" borderId="509" xfId="0" applyFont="1" applyFill="1" applyBorder="1" applyAlignment="1">
      <alignment vertical="center"/>
    </xf>
    <xf numFmtId="49" fontId="346" fillId="40" borderId="507" xfId="0" applyNumberFormat="1" applyFont="1" applyFill="1" applyBorder="1" applyAlignment="1">
      <alignment horizontal="center" vertical="center" wrapText="1"/>
    </xf>
    <xf numFmtId="0" fontId="345" fillId="40" borderId="509" xfId="0" applyFont="1" applyFill="1" applyBorder="1" applyAlignment="1">
      <alignment horizontal="left" vertical="center"/>
    </xf>
    <xf numFmtId="0" fontId="345" fillId="40" borderId="509" xfId="0" applyFont="1" applyFill="1" applyBorder="1" applyAlignment="1">
      <alignment vertical="center"/>
    </xf>
    <xf numFmtId="49" fontId="346" fillId="40" borderId="511" xfId="0" applyNumberFormat="1" applyFont="1" applyFill="1" applyBorder="1" applyAlignment="1">
      <alignment horizontal="center" vertical="center" wrapText="1"/>
    </xf>
    <xf numFmtId="0" fontId="345" fillId="40" borderId="505" xfId="0" applyFont="1" applyFill="1" applyBorder="1" applyAlignment="1">
      <alignment vertical="center"/>
    </xf>
    <xf numFmtId="0" fontId="346" fillId="40" borderId="505" xfId="0" applyFont="1" applyFill="1" applyBorder="1" applyAlignment="1">
      <alignment vertical="center"/>
    </xf>
    <xf numFmtId="49" fontId="346" fillId="40" borderId="505" xfId="0" applyNumberFormat="1" applyFont="1" applyFill="1" applyBorder="1" applyAlignment="1">
      <alignment vertical="center" wrapText="1"/>
    </xf>
    <xf numFmtId="0" fontId="345" fillId="40" borderId="505" xfId="0" applyFont="1" applyFill="1" applyBorder="1" applyAlignment="1">
      <alignment horizontal="center" vertical="center" wrapText="1"/>
    </xf>
    <xf numFmtId="49" fontId="346" fillId="40" borderId="505" xfId="0" applyNumberFormat="1" applyFont="1" applyFill="1" applyBorder="1" applyAlignment="1">
      <alignment horizontal="center" vertical="center" wrapText="1"/>
    </xf>
    <xf numFmtId="49" fontId="346" fillId="40" borderId="508" xfId="0" applyNumberFormat="1" applyFont="1" applyFill="1" applyBorder="1" applyAlignment="1">
      <alignment vertical="center" wrapText="1"/>
    </xf>
    <xf numFmtId="0" fontId="347" fillId="40" borderId="512" xfId="0" applyFont="1" applyFill="1" applyBorder="1" applyAlignment="1">
      <alignment horizontal="center" vertical="center" wrapText="1"/>
    </xf>
    <xf numFmtId="49" fontId="348" fillId="40" borderId="512" xfId="0" applyNumberFormat="1" applyFont="1" applyFill="1" applyBorder="1" applyAlignment="1">
      <alignment horizontal="center" vertical="center" wrapText="1"/>
    </xf>
    <xf numFmtId="0" fontId="345" fillId="40" borderId="508" xfId="0" applyFont="1" applyFill="1" applyBorder="1" applyAlignment="1">
      <alignment vertical="center" wrapText="1"/>
    </xf>
    <xf numFmtId="0" fontId="347" fillId="40" borderId="507" xfId="0" applyFont="1" applyFill="1" applyBorder="1" applyAlignment="1">
      <alignment horizontal="center" vertical="center" wrapText="1"/>
    </xf>
    <xf numFmtId="0" fontId="347" fillId="40" borderId="508" xfId="0" applyFont="1" applyFill="1" applyBorder="1" applyAlignment="1">
      <alignment vertical="center" wrapText="1"/>
    </xf>
    <xf numFmtId="0" fontId="347" fillId="0" borderId="508" xfId="0" applyFont="1" applyBorder="1" applyAlignment="1">
      <alignment vertical="center" wrapText="1"/>
    </xf>
    <xf numFmtId="0" fontId="345" fillId="0" borderId="508" xfId="0" applyFont="1" applyBorder="1" applyAlignment="1">
      <alignment vertical="center" wrapText="1"/>
    </xf>
    <xf numFmtId="49" fontId="346" fillId="0" borderId="508" xfId="0" applyNumberFormat="1" applyFont="1" applyBorder="1" applyAlignment="1">
      <alignment horizontal="center" vertical="center" wrapText="1"/>
    </xf>
    <xf numFmtId="0" fontId="347" fillId="40" borderId="512" xfId="0" applyFont="1" applyFill="1" applyBorder="1" applyAlignment="1">
      <alignment horizontal="center" vertical="center"/>
    </xf>
    <xf numFmtId="49" fontId="345" fillId="40" borderId="508" xfId="0" applyNumberFormat="1" applyFont="1" applyFill="1" applyBorder="1" applyAlignment="1">
      <alignment horizontal="center" vertical="center" wrapText="1"/>
    </xf>
    <xf numFmtId="0" fontId="345" fillId="0" borderId="508" xfId="0" applyFont="1" applyBorder="1" applyAlignment="1">
      <alignment vertical="center"/>
    </xf>
    <xf numFmtId="49" fontId="345" fillId="0" borderId="508" xfId="0" applyNumberFormat="1" applyFont="1" applyBorder="1" applyAlignment="1">
      <alignment horizontal="center" vertical="center" wrapText="1"/>
    </xf>
    <xf numFmtId="0" fontId="346" fillId="0" borderId="508" xfId="0" applyFont="1" applyBorder="1" applyAlignment="1">
      <alignment horizontal="left" vertical="center" indent="2"/>
    </xf>
    <xf numFmtId="58" fontId="345" fillId="40" borderId="507" xfId="0" applyNumberFormat="1" applyFont="1" applyFill="1" applyBorder="1" applyAlignment="1">
      <alignment horizontal="center" vertical="center"/>
    </xf>
    <xf numFmtId="0" fontId="345" fillId="40" borderId="510" xfId="0" applyFont="1" applyFill="1" applyBorder="1" applyAlignment="1">
      <alignment horizontal="center" vertical="center" wrapText="1"/>
    </xf>
    <xf numFmtId="0" fontId="345" fillId="40" borderId="513" xfId="0" applyFont="1" applyFill="1" applyBorder="1" applyAlignment="1">
      <alignment horizontal="center" vertical="center" wrapText="1"/>
    </xf>
    <xf numFmtId="0" fontId="347" fillId="0" borderId="508" xfId="0" applyFont="1" applyBorder="1" applyAlignment="1">
      <alignment vertical="center"/>
    </xf>
    <xf numFmtId="0" fontId="345" fillId="0" borderId="508" xfId="0" applyFont="1" applyBorder="1" applyAlignment="1">
      <alignment horizontal="center" vertical="center" wrapText="1"/>
    </xf>
    <xf numFmtId="0" fontId="347" fillId="40" borderId="508" xfId="0" applyFont="1" applyFill="1" applyBorder="1" applyAlignment="1">
      <alignment horizontal="center" vertical="center" wrapText="1"/>
    </xf>
    <xf numFmtId="49" fontId="346" fillId="40" borderId="510" xfId="0" applyNumberFormat="1" applyFont="1" applyFill="1" applyBorder="1" applyAlignment="1">
      <alignment horizontal="center" vertical="center" wrapText="1"/>
    </xf>
    <xf numFmtId="0" fontId="345" fillId="40" borderId="507" xfId="0" applyFont="1" applyFill="1" applyBorder="1" applyAlignment="1">
      <alignment vertical="center"/>
    </xf>
    <xf numFmtId="0" fontId="349" fillId="0" borderId="0" xfId="0" applyFont="1" applyAlignment="1">
      <alignment vertical="center"/>
    </xf>
    <xf numFmtId="0" fontId="349" fillId="0" borderId="0" xfId="0" applyFont="1"/>
    <xf numFmtId="0" fontId="112" fillId="0" borderId="0" xfId="0" applyFont="1" applyAlignment="1">
      <alignment wrapText="1"/>
    </xf>
    <xf numFmtId="0" fontId="350" fillId="0" borderId="0" xfId="0" applyFont="1" applyAlignment="1">
      <alignment wrapText="1"/>
    </xf>
    <xf numFmtId="0" fontId="351" fillId="0" borderId="0" xfId="0" applyFont="1" applyAlignment="1">
      <alignment wrapText="1"/>
    </xf>
    <xf numFmtId="0" fontId="352" fillId="0" borderId="0" xfId="0" applyFont="1"/>
    <xf numFmtId="0" fontId="349" fillId="20" borderId="0" xfId="0" applyFont="1" applyFill="1" applyAlignment="1">
      <alignment horizontal="center"/>
    </xf>
    <xf numFmtId="0" fontId="112" fillId="41" borderId="0" xfId="0" applyFont="1" applyFill="1" applyAlignment="1">
      <alignment horizontal="center" wrapText="1"/>
    </xf>
    <xf numFmtId="0" fontId="353" fillId="24" borderId="0" xfId="0" applyFont="1" applyFill="1" applyAlignment="1">
      <alignment horizontal="center" wrapText="1"/>
    </xf>
    <xf numFmtId="0" fontId="354" fillId="20" borderId="0" xfId="0" applyFont="1" applyFill="1" applyAlignment="1">
      <alignment horizontal="center" wrapText="1"/>
    </xf>
    <xf numFmtId="0" fontId="310" fillId="41" borderId="0" xfId="0" applyFont="1" applyFill="1" applyAlignment="1">
      <alignment horizontal="center" wrapText="1"/>
    </xf>
    <xf numFmtId="0" fontId="112" fillId="42" borderId="0" xfId="0" applyFont="1" applyFill="1" applyAlignment="1">
      <alignment wrapText="1"/>
    </xf>
    <xf numFmtId="0" fontId="349" fillId="16" borderId="0" xfId="0" applyFont="1" applyFill="1"/>
    <xf numFmtId="0" fontId="116" fillId="41" borderId="0" xfId="0" applyFont="1" applyFill="1" applyAlignment="1">
      <alignment wrapText="1"/>
    </xf>
    <xf numFmtId="0" fontId="355" fillId="24" borderId="0" xfId="0" applyFont="1" applyFill="1" applyAlignment="1">
      <alignment wrapText="1"/>
    </xf>
    <xf numFmtId="0" fontId="262" fillId="20" borderId="0" xfId="0" applyFont="1" applyFill="1" applyAlignment="1">
      <alignment wrapText="1"/>
    </xf>
    <xf numFmtId="0" fontId="356" fillId="27" borderId="0" xfId="0" applyFont="1" applyFill="1"/>
    <xf numFmtId="0" fontId="357" fillId="16" borderId="0" xfId="0" applyFont="1" applyFill="1"/>
    <xf numFmtId="0" fontId="358" fillId="24" borderId="0" xfId="0" applyFont="1" applyFill="1" applyAlignment="1">
      <alignment wrapText="1"/>
    </xf>
    <xf numFmtId="0" fontId="112" fillId="42" borderId="518" xfId="0" applyFont="1" applyFill="1" applyBorder="1" applyAlignment="1">
      <alignment wrapText="1"/>
    </xf>
    <xf numFmtId="0" fontId="350" fillId="0" borderId="518" xfId="0" applyFont="1" applyBorder="1" applyAlignment="1">
      <alignment vertical="center" wrapText="1"/>
    </xf>
    <xf numFmtId="0" fontId="351" fillId="0" borderId="518" xfId="0" applyFont="1" applyBorder="1" applyAlignment="1">
      <alignment vertical="center" wrapText="1"/>
    </xf>
    <xf numFmtId="0" fontId="352" fillId="0" borderId="518" xfId="0" applyFont="1" applyBorder="1"/>
    <xf numFmtId="0" fontId="349" fillId="0" borderId="0" xfId="0" applyFont="1" applyAlignment="1">
      <alignment horizontal="center"/>
    </xf>
    <xf numFmtId="0" fontId="352" fillId="0" borderId="518" xfId="0" applyFont="1" applyBorder="1" applyAlignment="1">
      <alignment horizontal="left" vertical="center"/>
    </xf>
    <xf numFmtId="0" fontId="352" fillId="43" borderId="518" xfId="0" applyFont="1" applyFill="1" applyBorder="1" applyAlignment="1">
      <alignment horizontal="left" vertical="center"/>
    </xf>
    <xf numFmtId="0" fontId="116" fillId="0" borderId="0" xfId="0" applyFont="1" applyAlignment="1">
      <alignment wrapText="1"/>
    </xf>
    <xf numFmtId="0" fontId="358" fillId="0" borderId="0" xfId="0" applyFont="1" applyAlignment="1">
      <alignment wrapText="1"/>
    </xf>
    <xf numFmtId="0" fontId="262" fillId="0" borderId="0" xfId="0" applyFont="1" applyAlignment="1">
      <alignment wrapText="1"/>
    </xf>
    <xf numFmtId="0" fontId="244" fillId="41" borderId="0" xfId="0" applyFont="1" applyFill="1" applyAlignment="1">
      <alignment horizontal="left" vertical="center"/>
    </xf>
    <xf numFmtId="0" fontId="243" fillId="0" borderId="518" xfId="0" applyFont="1" applyBorder="1" applyAlignment="1">
      <alignment horizontal="left" vertical="center"/>
    </xf>
    <xf numFmtId="49" fontId="349" fillId="0" borderId="0" xfId="0" applyNumberFormat="1" applyFont="1" applyAlignment="1">
      <alignment horizontal="center"/>
    </xf>
    <xf numFmtId="0" fontId="243" fillId="43" borderId="518" xfId="0" applyFont="1" applyFill="1" applyBorder="1" applyAlignment="1">
      <alignment horizontal="left" vertical="center"/>
    </xf>
    <xf numFmtId="0" fontId="357" fillId="16" borderId="0" xfId="0" applyFont="1" applyFill="1" applyAlignment="1">
      <alignment horizontal="center"/>
    </xf>
    <xf numFmtId="0" fontId="359" fillId="0" borderId="518" xfId="0" applyFont="1" applyBorder="1" applyAlignment="1">
      <alignment horizontal="left" vertical="center"/>
    </xf>
    <xf numFmtId="0" fontId="359" fillId="43" borderId="518" xfId="0" applyFont="1" applyFill="1" applyBorder="1" applyAlignment="1">
      <alignment horizontal="left" vertical="center"/>
    </xf>
    <xf numFmtId="0" fontId="355" fillId="24" borderId="519" xfId="0" applyFont="1" applyFill="1" applyBorder="1" applyAlignment="1">
      <alignment wrapText="1"/>
    </xf>
    <xf numFmtId="0" fontId="262" fillId="20" borderId="519" xfId="0" applyFont="1" applyFill="1" applyBorder="1" applyAlignment="1">
      <alignment vertical="center" wrapText="1"/>
    </xf>
    <xf numFmtId="0" fontId="116" fillId="41" borderId="518" xfId="0" applyFont="1" applyFill="1" applyBorder="1" applyAlignment="1">
      <alignment wrapText="1"/>
    </xf>
    <xf numFmtId="0" fontId="351" fillId="0" borderId="518" xfId="0" applyFont="1" applyBorder="1" applyAlignment="1">
      <alignment wrapText="1"/>
    </xf>
    <xf numFmtId="0" fontId="267" fillId="0" borderId="0" xfId="0" applyFont="1" applyAlignment="1">
      <alignment wrapText="1"/>
    </xf>
    <xf numFmtId="0" fontId="352" fillId="0" borderId="0" xfId="0" applyFont="1" applyAlignment="1">
      <alignment wrapText="1"/>
    </xf>
    <xf numFmtId="0" fontId="356" fillId="41" borderId="73" xfId="0" applyFont="1" applyFill="1" applyBorder="1"/>
    <xf numFmtId="49" fontId="349" fillId="16" borderId="0" xfId="0" applyNumberFormat="1" applyFont="1" applyFill="1" applyAlignment="1">
      <alignment horizontal="center"/>
    </xf>
    <xf numFmtId="0" fontId="351" fillId="16" borderId="518" xfId="0" applyFont="1" applyFill="1" applyBorder="1" applyAlignment="1">
      <alignment wrapText="1"/>
    </xf>
    <xf numFmtId="0" fontId="358" fillId="24" borderId="0" xfId="0" applyFont="1" applyFill="1" applyAlignment="1">
      <alignment vertical="center" wrapText="1"/>
    </xf>
    <xf numFmtId="0" fontId="267" fillId="20" borderId="0" xfId="0" applyFont="1" applyFill="1" applyAlignment="1">
      <alignment wrapText="1"/>
    </xf>
    <xf numFmtId="0" fontId="352" fillId="41" borderId="0" xfId="0" applyFont="1" applyFill="1"/>
    <xf numFmtId="0" fontId="358" fillId="0" borderId="0" xfId="0" applyFont="1" applyAlignment="1">
      <alignment vertical="center" wrapText="1"/>
    </xf>
    <xf numFmtId="0" fontId="116" fillId="42" borderId="0" xfId="0" applyFont="1" applyFill="1" applyAlignment="1">
      <alignment wrapText="1"/>
    </xf>
    <xf numFmtId="0" fontId="116" fillId="42" borderId="518" xfId="0" applyFont="1" applyFill="1" applyBorder="1" applyAlignment="1">
      <alignment wrapText="1"/>
    </xf>
    <xf numFmtId="0" fontId="356" fillId="24" borderId="0" xfId="0" applyFont="1" applyFill="1" applyAlignment="1">
      <alignment wrapText="1"/>
    </xf>
    <xf numFmtId="0" fontId="349" fillId="0" borderId="0" xfId="0" applyFont="1" applyAlignment="1">
      <alignment horizontal="center" vertical="center"/>
    </xf>
    <xf numFmtId="0" fontId="350" fillId="0" borderId="518" xfId="0" applyFont="1" applyBorder="1" applyAlignment="1">
      <alignment wrapText="1"/>
    </xf>
    <xf numFmtId="0" fontId="349" fillId="0" borderId="0" xfId="0" applyFont="1" applyAlignment="1">
      <alignment horizontal="right" vertical="center"/>
    </xf>
    <xf numFmtId="0" fontId="349" fillId="0" borderId="0" xfId="0" applyFont="1" applyAlignment="1">
      <alignment horizontal="right"/>
    </xf>
    <xf numFmtId="0" fontId="0" fillId="0" borderId="0" xfId="0" applyAlignment="1">
      <alignment horizontal="left" vertical="center"/>
    </xf>
    <xf numFmtId="0" fontId="0" fillId="44" borderId="0" xfId="0" applyFill="1"/>
    <xf numFmtId="0" fontId="360" fillId="0" borderId="0" xfId="0" applyFont="1"/>
    <xf numFmtId="0" fontId="3" fillId="4" borderId="520" xfId="0" applyFont="1" applyFill="1" applyBorder="1" applyAlignment="1">
      <alignment horizontal="right"/>
    </xf>
    <xf numFmtId="0" fontId="3" fillId="4" borderId="521" xfId="0" applyFont="1" applyFill="1" applyBorder="1" applyAlignment="1">
      <alignment horizontal="right"/>
    </xf>
    <xf numFmtId="1" fontId="18" fillId="0" borderId="520" xfId="0" applyNumberFormat="1" applyFont="1" applyBorder="1" applyAlignment="1">
      <alignment horizontal="center"/>
    </xf>
    <xf numFmtId="3" fontId="295" fillId="19" borderId="0" xfId="0" applyNumberFormat="1" applyFont="1" applyFill="1" applyAlignment="1">
      <alignment horizontal="right"/>
    </xf>
    <xf numFmtId="1" fontId="18" fillId="0" borderId="13" xfId="0" applyNumberFormat="1" applyFont="1" applyBorder="1" applyAlignment="1">
      <alignment horizontal="center"/>
    </xf>
    <xf numFmtId="0" fontId="361" fillId="29" borderId="0" xfId="0" applyFont="1" applyFill="1"/>
    <xf numFmtId="0" fontId="0" fillId="29" borderId="0" xfId="0" applyFill="1"/>
    <xf numFmtId="0" fontId="3" fillId="4" borderId="522" xfId="0" applyFont="1" applyFill="1" applyBorder="1" applyAlignment="1">
      <alignment horizontal="right"/>
    </xf>
    <xf numFmtId="0" fontId="3" fillId="4" borderId="523" xfId="0" applyFont="1" applyFill="1" applyBorder="1" applyAlignment="1">
      <alignment horizontal="right"/>
    </xf>
    <xf numFmtId="1" fontId="3" fillId="2" borderId="524" xfId="0" applyNumberFormat="1" applyFont="1" applyFill="1" applyBorder="1" applyAlignment="1">
      <alignment horizontal="center"/>
    </xf>
    <xf numFmtId="3" fontId="12" fillId="19" borderId="0" xfId="0" applyNumberFormat="1" applyFont="1" applyFill="1"/>
    <xf numFmtId="0" fontId="12" fillId="19" borderId="13" xfId="0" applyFont="1" applyFill="1" applyBorder="1" applyAlignment="1">
      <alignment horizontal="center" vertical="top"/>
    </xf>
    <xf numFmtId="0" fontId="3" fillId="4" borderId="525" xfId="0" applyFont="1" applyFill="1" applyBorder="1" applyAlignment="1">
      <alignment horizontal="right"/>
    </xf>
    <xf numFmtId="0" fontId="3" fillId="4" borderId="526" xfId="0" applyFont="1" applyFill="1" applyBorder="1" applyAlignment="1">
      <alignment horizontal="right"/>
    </xf>
    <xf numFmtId="0" fontId="362" fillId="4" borderId="527" xfId="0" applyFont="1" applyFill="1" applyBorder="1" applyAlignment="1" applyProtection="1">
      <alignment horizontal="center"/>
      <protection hidden="1"/>
    </xf>
    <xf numFmtId="3" fontId="362" fillId="4" borderId="527" xfId="0" applyNumberFormat="1" applyFont="1" applyFill="1" applyBorder="1" applyAlignment="1" applyProtection="1">
      <alignment horizontal="right"/>
      <protection hidden="1"/>
    </xf>
    <xf numFmtId="0" fontId="11" fillId="44" borderId="0" xfId="0" applyFont="1" applyFill="1"/>
    <xf numFmtId="0" fontId="363" fillId="4" borderId="0" xfId="0" applyFont="1" applyFill="1" applyAlignment="1">
      <alignment horizontal="center"/>
    </xf>
    <xf numFmtId="3" fontId="364" fillId="4" borderId="527" xfId="0" applyNumberFormat="1" applyFont="1" applyFill="1" applyBorder="1" applyAlignment="1" applyProtection="1">
      <alignment horizontal="right"/>
      <protection hidden="1"/>
    </xf>
    <xf numFmtId="0" fontId="364" fillId="4" borderId="527" xfId="0" applyFont="1" applyFill="1" applyBorder="1" applyAlignment="1" applyProtection="1">
      <alignment horizontal="right"/>
      <protection hidden="1"/>
    </xf>
    <xf numFmtId="205" fontId="0" fillId="44" borderId="0" xfId="0" applyNumberFormat="1" applyFill="1"/>
    <xf numFmtId="0" fontId="3" fillId="4" borderId="525" xfId="0" applyFont="1" applyFill="1" applyBorder="1" applyAlignment="1">
      <alignment horizontal="right" vertical="center"/>
    </xf>
    <xf numFmtId="0" fontId="3" fillId="4" borderId="526" xfId="0" applyFont="1" applyFill="1" applyBorder="1" applyAlignment="1">
      <alignment horizontal="right" vertical="center"/>
    </xf>
    <xf numFmtId="0" fontId="364" fillId="4" borderId="528" xfId="0" applyFont="1" applyFill="1" applyBorder="1" applyAlignment="1" applyProtection="1">
      <alignment horizontal="left"/>
      <protection hidden="1"/>
    </xf>
    <xf numFmtId="3" fontId="364" fillId="4" borderId="529" xfId="0" applyNumberFormat="1" applyFont="1" applyFill="1" applyBorder="1" applyAlignment="1" applyProtection="1">
      <alignment horizontal="right"/>
      <protection hidden="1"/>
    </xf>
    <xf numFmtId="0" fontId="0" fillId="44" borderId="0" xfId="0" applyFill="1" applyAlignment="1">
      <alignment vertical="center"/>
    </xf>
    <xf numFmtId="58" fontId="18" fillId="45" borderId="0" xfId="0" applyNumberFormat="1" applyFont="1" applyFill="1" applyAlignment="1">
      <alignment horizontal="center"/>
    </xf>
    <xf numFmtId="3" fontId="0" fillId="44" borderId="0" xfId="0" applyNumberFormat="1" applyFill="1"/>
    <xf numFmtId="0" fontId="295" fillId="4" borderId="530" xfId="0" applyFont="1" applyFill="1" applyBorder="1" applyAlignment="1" applyProtection="1">
      <alignment horizontal="center"/>
      <protection hidden="1"/>
    </xf>
    <xf numFmtId="3" fontId="1" fillId="44" borderId="0" xfId="0" applyNumberFormat="1" applyFont="1" applyFill="1"/>
    <xf numFmtId="43" fontId="295" fillId="46" borderId="531" xfId="1" applyFont="1" applyFill="1" applyBorder="1" applyAlignment="1" applyProtection="1">
      <alignment horizontal="right" vertical="center"/>
      <protection locked="0"/>
    </xf>
    <xf numFmtId="43" fontId="295" fillId="46" borderId="532" xfId="1" applyFont="1" applyFill="1" applyBorder="1" applyAlignment="1" applyProtection="1">
      <alignment horizontal="right" vertical="center"/>
      <protection locked="0"/>
    </xf>
    <xf numFmtId="0" fontId="365" fillId="4" borderId="533" xfId="0" applyFont="1" applyFill="1" applyBorder="1" applyAlignment="1" applyProtection="1">
      <alignment horizontal="right"/>
      <protection hidden="1"/>
    </xf>
    <xf numFmtId="0" fontId="3" fillId="4" borderId="529" xfId="0" applyFont="1" applyFill="1" applyBorder="1" applyAlignment="1">
      <alignment horizontal="right"/>
    </xf>
    <xf numFmtId="0" fontId="365" fillId="4" borderId="524" xfId="0" applyFont="1" applyFill="1" applyBorder="1" applyAlignment="1" applyProtection="1">
      <alignment horizontal="right"/>
      <protection hidden="1"/>
    </xf>
    <xf numFmtId="0" fontId="3" fillId="4" borderId="529" xfId="0" applyFont="1" applyFill="1" applyBorder="1" applyAlignment="1">
      <alignment horizontal="right" vertical="center"/>
    </xf>
    <xf numFmtId="0" fontId="365" fillId="4" borderId="522" xfId="0" applyFont="1" applyFill="1" applyBorder="1" applyAlignment="1" applyProtection="1">
      <alignment horizontal="right" vertical="center"/>
      <protection hidden="1"/>
    </xf>
    <xf numFmtId="0" fontId="3" fillId="4" borderId="525" xfId="0" applyFont="1" applyFill="1" applyBorder="1" applyAlignment="1">
      <alignment horizontal="left" vertical="center"/>
    </xf>
    <xf numFmtId="0" fontId="365" fillId="4" borderId="522" xfId="0" applyFont="1" applyFill="1" applyBorder="1" applyAlignment="1" applyProtection="1">
      <alignment horizontal="left" vertical="center"/>
      <protection hidden="1"/>
    </xf>
    <xf numFmtId="0" fontId="0" fillId="44" borderId="0" xfId="0" applyFill="1" applyAlignment="1">
      <alignment horizontal="left" vertical="center"/>
    </xf>
    <xf numFmtId="0" fontId="364" fillId="7" borderId="534" xfId="0" applyFont="1" applyFill="1" applyBorder="1" applyAlignment="1" applyProtection="1">
      <alignment horizontal="left" vertical="center"/>
      <protection hidden="1"/>
    </xf>
    <xf numFmtId="0" fontId="364" fillId="7" borderId="0" xfId="0" applyFont="1" applyFill="1" applyAlignment="1" applyProtection="1">
      <alignment horizontal="left" vertical="center"/>
      <protection hidden="1"/>
    </xf>
    <xf numFmtId="0" fontId="365" fillId="4" borderId="535" xfId="0" applyFont="1" applyFill="1" applyBorder="1" applyAlignment="1" applyProtection="1">
      <alignment horizontal="center" vertical="center"/>
      <protection hidden="1"/>
    </xf>
    <xf numFmtId="0" fontId="12" fillId="4" borderId="536" xfId="0" applyFont="1" applyFill="1" applyBorder="1" applyAlignment="1">
      <alignment vertical="center"/>
    </xf>
    <xf numFmtId="0" fontId="12" fillId="4" borderId="537" xfId="0" applyFont="1" applyFill="1" applyBorder="1" applyAlignment="1">
      <alignment vertical="center"/>
    </xf>
    <xf numFmtId="49" fontId="365" fillId="4" borderId="535" xfId="0" applyNumberFormat="1" applyFont="1" applyFill="1" applyBorder="1" applyAlignment="1" applyProtection="1">
      <alignment horizontal="center" vertical="center"/>
      <protection hidden="1"/>
    </xf>
    <xf numFmtId="0" fontId="2" fillId="4" borderId="538" xfId="0" applyFont="1" applyFill="1" applyBorder="1" applyAlignment="1">
      <alignment vertical="center"/>
    </xf>
    <xf numFmtId="0" fontId="12" fillId="4" borderId="539" xfId="0" applyFont="1" applyFill="1" applyBorder="1" applyAlignment="1">
      <alignment vertical="center"/>
    </xf>
    <xf numFmtId="0" fontId="3" fillId="4" borderId="540" xfId="0" applyFont="1" applyFill="1" applyBorder="1" applyAlignment="1">
      <alignment horizontal="right"/>
    </xf>
    <xf numFmtId="0" fontId="366" fillId="0" borderId="0" xfId="0" applyFont="1" applyAlignment="1">
      <alignment horizontal="center" vertical="center"/>
    </xf>
    <xf numFmtId="0" fontId="295" fillId="44" borderId="0" xfId="0" applyFont="1" applyFill="1"/>
    <xf numFmtId="0" fontId="3" fillId="44" borderId="0" xfId="0" applyFont="1" applyFill="1" applyAlignment="1">
      <alignment horizontal="right"/>
    </xf>
    <xf numFmtId="0" fontId="367" fillId="44" borderId="0" xfId="0" applyFont="1" applyFill="1" applyAlignment="1">
      <alignment horizontal="right"/>
    </xf>
    <xf numFmtId="0" fontId="22" fillId="47" borderId="0" xfId="0" applyFont="1" applyFill="1" applyAlignment="1">
      <alignment horizontal="center"/>
    </xf>
    <xf numFmtId="3" fontId="0" fillId="47" borderId="0" xfId="0" applyNumberFormat="1" applyFill="1" applyAlignment="1">
      <alignment horizontal="center"/>
    </xf>
    <xf numFmtId="3" fontId="11" fillId="47" borderId="0" xfId="0" applyNumberFormat="1" applyFont="1" applyFill="1" applyAlignment="1">
      <alignment horizontal="center"/>
    </xf>
    <xf numFmtId="16" fontId="11" fillId="27" borderId="145" xfId="0" applyNumberFormat="1" applyFont="1" applyFill="1" applyBorder="1" applyAlignment="1">
      <alignment horizontal="center"/>
    </xf>
    <xf numFmtId="0" fontId="11" fillId="27" borderId="146" xfId="0" applyFont="1" applyFill="1" applyBorder="1"/>
    <xf numFmtId="3" fontId="0" fillId="27" borderId="148" xfId="0" applyNumberFormat="1" applyFill="1" applyBorder="1"/>
    <xf numFmtId="3" fontId="12" fillId="44" borderId="148" xfId="0" applyNumberFormat="1" applyFont="1" applyFill="1" applyBorder="1"/>
    <xf numFmtId="9" fontId="0" fillId="27" borderId="148" xfId="0" applyNumberFormat="1" applyFill="1" applyBorder="1"/>
    <xf numFmtId="16" fontId="11" fillId="27" borderId="119" xfId="0" applyNumberFormat="1" applyFont="1" applyFill="1" applyBorder="1" applyAlignment="1">
      <alignment horizontal="center"/>
    </xf>
    <xf numFmtId="0" fontId="11" fillId="27" borderId="100" xfId="0" applyFont="1" applyFill="1" applyBorder="1"/>
    <xf numFmtId="3" fontId="0" fillId="27" borderId="122" xfId="0" applyNumberFormat="1" applyFill="1" applyBorder="1"/>
    <xf numFmtId="3" fontId="12" fillId="44" borderId="122" xfId="0" applyNumberFormat="1" applyFont="1" applyFill="1" applyBorder="1"/>
    <xf numFmtId="9" fontId="0" fillId="27" borderId="122" xfId="0" applyNumberFormat="1" applyFill="1" applyBorder="1"/>
    <xf numFmtId="16" fontId="11" fillId="27" borderId="126" xfId="0" applyNumberFormat="1" applyFont="1" applyFill="1" applyBorder="1" applyAlignment="1">
      <alignment horizontal="center"/>
    </xf>
    <xf numFmtId="0" fontId="11" fillId="27" borderId="125" xfId="0" applyFont="1" applyFill="1" applyBorder="1"/>
    <xf numFmtId="3" fontId="0" fillId="27" borderId="118" xfId="0" applyNumberFormat="1" applyFill="1" applyBorder="1"/>
    <xf numFmtId="3" fontId="0" fillId="27" borderId="127" xfId="0" applyNumberFormat="1" applyFill="1" applyBorder="1"/>
    <xf numFmtId="3" fontId="12" fillId="44" borderId="118" xfId="0" applyNumberFormat="1" applyFont="1" applyFill="1" applyBorder="1"/>
    <xf numFmtId="9" fontId="0" fillId="27" borderId="118" xfId="0" applyNumberFormat="1" applyFill="1" applyBorder="1"/>
    <xf numFmtId="0" fontId="0" fillId="27" borderId="113" xfId="0" applyFill="1" applyBorder="1" applyAlignment="1">
      <alignment horizontal="center"/>
    </xf>
    <xf numFmtId="0" fontId="11" fillId="27" borderId="63" xfId="0" applyFont="1" applyFill="1" applyBorder="1"/>
    <xf numFmtId="3" fontId="0" fillId="27" borderId="114" xfId="0" applyNumberFormat="1" applyFill="1" applyBorder="1"/>
    <xf numFmtId="3" fontId="12" fillId="44" borderId="114" xfId="0" applyNumberFormat="1" applyFont="1" applyFill="1" applyBorder="1"/>
    <xf numFmtId="9" fontId="0" fillId="27" borderId="114" xfId="0" applyNumberFormat="1" applyFill="1" applyBorder="1"/>
    <xf numFmtId="16" fontId="0" fillId="27" borderId="145" xfId="0" applyNumberFormat="1" applyFill="1" applyBorder="1" applyAlignment="1">
      <alignment horizontal="center"/>
    </xf>
    <xf numFmtId="3" fontId="12" fillId="44" borderId="116" xfId="0" applyNumberFormat="1" applyFont="1" applyFill="1" applyBorder="1"/>
    <xf numFmtId="9" fontId="0" fillId="27" borderId="116" xfId="0" applyNumberFormat="1" applyFill="1" applyBorder="1"/>
    <xf numFmtId="3" fontId="0" fillId="27" borderId="116" xfId="0" applyNumberFormat="1" applyFill="1" applyBorder="1"/>
    <xf numFmtId="0" fontId="0" fillId="27" borderId="119" xfId="0" applyFill="1" applyBorder="1" applyAlignment="1">
      <alignment horizontal="center"/>
    </xf>
    <xf numFmtId="183" fontId="0" fillId="27" borderId="122" xfId="0" applyNumberFormat="1" applyFill="1" applyBorder="1"/>
    <xf numFmtId="182" fontId="77" fillId="8" borderId="99" xfId="1" applyNumberFormat="1" applyFont="1" applyFill="1" applyBorder="1" applyAlignment="1">
      <alignment horizontal="center"/>
    </xf>
    <xf numFmtId="0" fontId="0" fillId="0" borderId="99" xfId="0" applyBorder="1" applyAlignment="1">
      <alignment horizontal="center"/>
    </xf>
    <xf numFmtId="0" fontId="0" fillId="27" borderId="65" xfId="0" applyFill="1" applyBorder="1" applyAlignment="1">
      <alignment horizontal="center"/>
    </xf>
    <xf numFmtId="182" fontId="74" fillId="8" borderId="0" xfId="1" applyNumberFormat="1" applyFont="1" applyFill="1" applyBorder="1" applyAlignment="1">
      <alignment horizontal="center"/>
    </xf>
    <xf numFmtId="0" fontId="74" fillId="44" borderId="0" xfId="0" applyFont="1" applyFill="1"/>
    <xf numFmtId="0" fontId="11" fillId="27" borderId="147" xfId="0" applyFont="1" applyFill="1" applyBorder="1"/>
    <xf numFmtId="183" fontId="0" fillId="27" borderId="148" xfId="0" applyNumberFormat="1" applyFill="1" applyBorder="1"/>
    <xf numFmtId="0" fontId="11" fillId="27" borderId="123" xfId="0" applyFont="1" applyFill="1" applyBorder="1"/>
    <xf numFmtId="0" fontId="0" fillId="27" borderId="180" xfId="0" applyFill="1" applyBorder="1" applyAlignment="1">
      <alignment horizontal="center"/>
    </xf>
    <xf numFmtId="0" fontId="0" fillId="27" borderId="167" xfId="0" applyFill="1" applyBorder="1" applyAlignment="1">
      <alignment horizontal="center"/>
    </xf>
    <xf numFmtId="0" fontId="22" fillId="27" borderId="110" xfId="0" applyFont="1" applyFill="1" applyBorder="1"/>
    <xf numFmtId="3" fontId="22" fillId="27" borderId="127" xfId="0" applyNumberFormat="1" applyFont="1" applyFill="1" applyBorder="1"/>
    <xf numFmtId="183" fontId="0" fillId="27" borderId="127" xfId="0" applyNumberFormat="1" applyFill="1" applyBorder="1"/>
    <xf numFmtId="3" fontId="12" fillId="44" borderId="127" xfId="0" applyNumberFormat="1" applyFont="1" applyFill="1" applyBorder="1"/>
    <xf numFmtId="0" fontId="22" fillId="27" borderId="111" xfId="0" applyFont="1" applyFill="1" applyBorder="1"/>
    <xf numFmtId="3" fontId="11" fillId="47" borderId="0" xfId="0" applyNumberFormat="1" applyFont="1" applyFill="1" applyAlignment="1">
      <alignment horizontal="right"/>
    </xf>
    <xf numFmtId="3" fontId="0" fillId="47" borderId="0" xfId="0" applyNumberFormat="1" applyFill="1" applyAlignment="1">
      <alignment horizontal="right"/>
    </xf>
    <xf numFmtId="3" fontId="0" fillId="27" borderId="146" xfId="0" applyNumberFormat="1" applyFill="1" applyBorder="1"/>
    <xf numFmtId="3" fontId="0" fillId="27" borderId="147" xfId="0" applyNumberFormat="1" applyFill="1" applyBorder="1"/>
    <xf numFmtId="4" fontId="0" fillId="27" borderId="148" xfId="0" applyNumberFormat="1" applyFill="1" applyBorder="1"/>
    <xf numFmtId="3" fontId="0" fillId="27" borderId="100" xfId="0" applyNumberFormat="1" applyFill="1" applyBorder="1"/>
    <xf numFmtId="3" fontId="0" fillId="27" borderId="123" xfId="0" applyNumberFormat="1" applyFill="1" applyBorder="1"/>
    <xf numFmtId="4" fontId="0" fillId="27" borderId="122" xfId="0" applyNumberFormat="1" applyFill="1" applyBorder="1"/>
    <xf numFmtId="0" fontId="11" fillId="27" borderId="180" xfId="0" applyFont="1" applyFill="1" applyBorder="1" applyAlignment="1">
      <alignment horizontal="center"/>
    </xf>
    <xf numFmtId="3" fontId="22" fillId="27" borderId="110" xfId="0" applyNumberFormat="1" applyFont="1" applyFill="1" applyBorder="1"/>
    <xf numFmtId="9" fontId="0" fillId="27" borderId="127" xfId="0" applyNumberFormat="1" applyFill="1" applyBorder="1"/>
    <xf numFmtId="4" fontId="0" fillId="27" borderId="127" xfId="0" applyNumberFormat="1" applyFill="1" applyBorder="1"/>
    <xf numFmtId="0" fontId="0" fillId="44" borderId="73" xfId="0" applyFill="1" applyBorder="1"/>
    <xf numFmtId="0" fontId="0" fillId="41" borderId="167" xfId="0" applyFill="1" applyBorder="1" applyAlignment="1">
      <alignment horizontal="center"/>
    </xf>
    <xf numFmtId="0" fontId="22" fillId="41" borderId="110" xfId="0" applyFont="1" applyFill="1" applyBorder="1"/>
    <xf numFmtId="3" fontId="22" fillId="41" borderId="110" xfId="0" applyNumberFormat="1" applyFont="1" applyFill="1" applyBorder="1"/>
    <xf numFmtId="0" fontId="0" fillId="16" borderId="70" xfId="0" applyFill="1" applyBorder="1" applyAlignment="1">
      <alignment horizontal="center"/>
    </xf>
    <xf numFmtId="0" fontId="22" fillId="16" borderId="68" xfId="0" applyFont="1" applyFill="1" applyBorder="1"/>
    <xf numFmtId="9" fontId="0" fillId="16" borderId="68" xfId="0" applyNumberFormat="1" applyFill="1" applyBorder="1"/>
    <xf numFmtId="3" fontId="22" fillId="16" borderId="68" xfId="0" applyNumberFormat="1" applyFont="1" applyFill="1" applyBorder="1"/>
    <xf numFmtId="0" fontId="0" fillId="27" borderId="163" xfId="0" applyFill="1" applyBorder="1" applyAlignment="1">
      <alignment horizontal="center"/>
    </xf>
    <xf numFmtId="0" fontId="0" fillId="27" borderId="197" xfId="0" applyFill="1" applyBorder="1" applyAlignment="1">
      <alignment horizontal="center"/>
    </xf>
    <xf numFmtId="3" fontId="0" fillId="27" borderId="125" xfId="0" applyNumberFormat="1" applyFill="1" applyBorder="1"/>
    <xf numFmtId="4" fontId="0" fillId="27" borderId="118" xfId="0" applyNumberFormat="1" applyFill="1" applyBorder="1"/>
    <xf numFmtId="0" fontId="22" fillId="27" borderId="63" xfId="0" applyFont="1" applyFill="1" applyBorder="1"/>
    <xf numFmtId="3" fontId="22" fillId="27" borderId="63" xfId="0" applyNumberFormat="1" applyFont="1" applyFill="1" applyBorder="1"/>
    <xf numFmtId="4" fontId="0" fillId="27" borderId="114" xfId="0" applyNumberFormat="1" applyFill="1" applyBorder="1"/>
    <xf numFmtId="3" fontId="0" fillId="27" borderId="63" xfId="0" applyNumberFormat="1" applyFill="1" applyBorder="1"/>
    <xf numFmtId="3" fontId="0" fillId="27" borderId="63" xfId="0" applyNumberFormat="1" applyFill="1" applyBorder="1" applyAlignment="1">
      <alignment horizontal="right"/>
    </xf>
    <xf numFmtId="3" fontId="0" fillId="44" borderId="63" xfId="0" applyNumberFormat="1" applyFill="1" applyBorder="1"/>
    <xf numFmtId="3" fontId="22" fillId="47" borderId="0" xfId="0" applyNumberFormat="1" applyFont="1" applyFill="1" applyAlignment="1">
      <alignment horizontal="center"/>
    </xf>
    <xf numFmtId="0" fontId="11" fillId="0" borderId="129" xfId="0" applyFont="1" applyBorder="1"/>
    <xf numFmtId="3" fontId="0" fillId="0" borderId="129" xfId="0" applyNumberFormat="1" applyBorder="1"/>
    <xf numFmtId="0" fontId="0" fillId="0" borderId="129" xfId="0" applyBorder="1" applyAlignment="1">
      <alignment horizontal="center"/>
    </xf>
    <xf numFmtId="3" fontId="0" fillId="0" borderId="73" xfId="0" applyNumberFormat="1" applyBorder="1"/>
    <xf numFmtId="0" fontId="0" fillId="0" borderId="73" xfId="0" applyBorder="1" applyAlignment="1">
      <alignment horizontal="center"/>
    </xf>
    <xf numFmtId="3" fontId="0" fillId="0" borderId="29" xfId="0" applyNumberFormat="1" applyBorder="1"/>
    <xf numFmtId="0" fontId="0" fillId="0" borderId="29" xfId="0" applyBorder="1" applyAlignment="1">
      <alignment horizontal="center"/>
    </xf>
    <xf numFmtId="3" fontId="0" fillId="0" borderId="0" xfId="0" applyNumberFormat="1" applyAlignment="1">
      <alignment vertical="center"/>
    </xf>
    <xf numFmtId="3" fontId="0" fillId="0" borderId="29" xfId="0" applyNumberFormat="1" applyBorder="1" applyAlignment="1">
      <alignment vertical="center"/>
    </xf>
    <xf numFmtId="0" fontId="12" fillId="44" borderId="0" xfId="0" applyFont="1" applyFill="1"/>
    <xf numFmtId="3" fontId="0" fillId="0" borderId="91" xfId="0" applyNumberFormat="1" applyBorder="1"/>
    <xf numFmtId="0" fontId="11" fillId="27" borderId="110" xfId="0" applyFont="1" applyFill="1" applyBorder="1"/>
    <xf numFmtId="3" fontId="0" fillId="27" borderId="110" xfId="0" applyNumberFormat="1" applyFill="1" applyBorder="1"/>
    <xf numFmtId="3" fontId="0" fillId="0" borderId="74" xfId="0" applyNumberFormat="1" applyBorder="1"/>
    <xf numFmtId="3" fontId="0" fillId="0" borderId="83" xfId="0" applyNumberFormat="1" applyBorder="1"/>
    <xf numFmtId="3" fontId="0" fillId="0" borderId="99" xfId="0" applyNumberFormat="1" applyBorder="1"/>
    <xf numFmtId="0" fontId="0" fillId="44" borderId="99" xfId="0" applyFill="1" applyBorder="1"/>
    <xf numFmtId="0" fontId="22" fillId="47" borderId="0" xfId="0" applyFont="1" applyFill="1" applyAlignment="1">
      <alignment horizontal="left" vertical="center"/>
    </xf>
    <xf numFmtId="0" fontId="74" fillId="0" borderId="0" xfId="0" applyFont="1" applyProtection="1">
      <protection hidden="1"/>
    </xf>
    <xf numFmtId="182" fontId="74" fillId="0" borderId="0" xfId="1" applyNumberFormat="1" applyFont="1" applyFill="1" applyBorder="1" applyAlignment="1" applyProtection="1">
      <alignment horizontal="center"/>
      <protection locked="0" hidden="1"/>
    </xf>
    <xf numFmtId="0" fontId="0" fillId="47" borderId="0" xfId="0" applyFill="1" applyAlignment="1">
      <alignment vertical="center"/>
    </xf>
    <xf numFmtId="0" fontId="22" fillId="47" borderId="0" xfId="0" applyFont="1" applyFill="1" applyAlignment="1">
      <alignment vertical="center"/>
    </xf>
    <xf numFmtId="0" fontId="73" fillId="0" borderId="99" xfId="0" applyFont="1" applyBorder="1" applyAlignment="1">
      <alignment horizontal="center"/>
    </xf>
    <xf numFmtId="0" fontId="77" fillId="0" borderId="99" xfId="0" applyFont="1" applyBorder="1" applyAlignment="1">
      <alignment horizontal="left"/>
    </xf>
    <xf numFmtId="182" fontId="12" fillId="44" borderId="0" xfId="0" applyNumberFormat="1" applyFont="1" applyFill="1"/>
    <xf numFmtId="0" fontId="0" fillId="47" borderId="0" xfId="0" applyFill="1"/>
    <xf numFmtId="3" fontId="12" fillId="44" borderId="0" xfId="0" applyNumberFormat="1" applyFont="1" applyFill="1"/>
    <xf numFmtId="0" fontId="12" fillId="44" borderId="0" xfId="0" applyFont="1" applyFill="1" applyAlignment="1">
      <alignment vertical="center"/>
    </xf>
    <xf numFmtId="3" fontId="11" fillId="2" borderId="541" xfId="0" applyNumberFormat="1" applyFont="1" applyFill="1" applyBorder="1" applyAlignment="1">
      <alignment horizontal="center" vertical="center"/>
    </xf>
    <xf numFmtId="0" fontId="11" fillId="2" borderId="541" xfId="0" applyFont="1" applyFill="1" applyBorder="1" applyAlignment="1">
      <alignment horizontal="center" vertical="center"/>
    </xf>
    <xf numFmtId="0" fontId="4" fillId="0" borderId="542" xfId="0" applyFont="1" applyBorder="1" applyAlignment="1">
      <alignment horizontal="left"/>
    </xf>
    <xf numFmtId="3" fontId="0" fillId="33" borderId="542" xfId="0" applyNumberFormat="1" applyFill="1" applyBorder="1"/>
    <xf numFmtId="3" fontId="0" fillId="22" borderId="541" xfId="0" applyNumberFormat="1" applyFill="1" applyBorder="1"/>
    <xf numFmtId="3" fontId="0" fillId="47" borderId="541" xfId="0" applyNumberFormat="1" applyFill="1" applyBorder="1"/>
    <xf numFmtId="3" fontId="0" fillId="38" borderId="541" xfId="0" applyNumberFormat="1" applyFill="1" applyBorder="1"/>
    <xf numFmtId="3" fontId="0" fillId="33" borderId="543" xfId="0" applyNumberFormat="1" applyFill="1" applyBorder="1"/>
    <xf numFmtId="3" fontId="0" fillId="22" borderId="544" xfId="0" applyNumberFormat="1" applyFill="1" applyBorder="1"/>
    <xf numFmtId="3" fontId="0" fillId="47" borderId="544" xfId="0" applyNumberFormat="1" applyFill="1" applyBorder="1"/>
    <xf numFmtId="3" fontId="0" fillId="38" borderId="544" xfId="0" applyNumberFormat="1" applyFill="1" applyBorder="1"/>
    <xf numFmtId="0" fontId="11" fillId="33" borderId="545" xfId="0" applyFont="1" applyFill="1" applyBorder="1" applyAlignment="1">
      <alignment horizontal="right"/>
    </xf>
    <xf numFmtId="3" fontId="0" fillId="22" borderId="546" xfId="0" applyNumberFormat="1" applyFill="1" applyBorder="1"/>
    <xf numFmtId="3" fontId="0" fillId="47" borderId="546" xfId="0" applyNumberFormat="1" applyFill="1" applyBorder="1"/>
    <xf numFmtId="3" fontId="0" fillId="38" borderId="546" xfId="0" applyNumberFormat="1" applyFill="1" applyBorder="1"/>
    <xf numFmtId="43" fontId="0" fillId="29" borderId="547" xfId="1" applyFont="1" applyFill="1" applyBorder="1" applyAlignment="1">
      <alignment horizontal="right"/>
    </xf>
    <xf numFmtId="3" fontId="0" fillId="9" borderId="43" xfId="0" applyNumberFormat="1" applyFill="1" applyBorder="1"/>
    <xf numFmtId="3" fontId="11" fillId="9" borderId="43" xfId="0" applyNumberFormat="1" applyFont="1" applyFill="1" applyBorder="1"/>
    <xf numFmtId="0" fontId="139" fillId="44" borderId="0" xfId="1" applyNumberFormat="1" applyFont="1" applyFill="1" applyBorder="1" applyAlignment="1" applyProtection="1">
      <protection locked="0"/>
    </xf>
    <xf numFmtId="0" fontId="139" fillId="44" borderId="0" xfId="0" applyFont="1" applyFill="1" applyProtection="1">
      <protection locked="0"/>
    </xf>
    <xf numFmtId="0" fontId="73" fillId="44" borderId="0" xfId="0" applyFont="1" applyFill="1" applyProtection="1">
      <protection locked="0"/>
    </xf>
    <xf numFmtId="0" fontId="75" fillId="44" borderId="0" xfId="1" applyNumberFormat="1" applyFont="1" applyFill="1" applyBorder="1" applyAlignment="1" applyProtection="1">
      <protection locked="0"/>
    </xf>
    <xf numFmtId="0" fontId="75" fillId="44" borderId="0" xfId="0" applyFont="1" applyFill="1" applyProtection="1">
      <protection locked="0"/>
    </xf>
    <xf numFmtId="0" fontId="77" fillId="44" borderId="0" xfId="0" applyFont="1" applyFill="1" applyProtection="1">
      <protection locked="0"/>
    </xf>
    <xf numFmtId="49" fontId="136" fillId="48" borderId="548" xfId="0" applyNumberFormat="1" applyFont="1" applyFill="1" applyBorder="1" applyProtection="1">
      <protection locked="0"/>
    </xf>
    <xf numFmtId="49" fontId="136" fillId="48" borderId="549" xfId="0" applyNumberFormat="1" applyFont="1" applyFill="1" applyBorder="1" applyProtection="1">
      <protection locked="0"/>
    </xf>
    <xf numFmtId="0" fontId="75" fillId="0" borderId="0" xfId="0" applyFont="1" applyAlignment="1" applyProtection="1">
      <alignment horizontal="center" vertical="center"/>
      <protection locked="0"/>
    </xf>
    <xf numFmtId="0" fontId="254" fillId="44" borderId="0" xfId="0" applyFont="1" applyFill="1" applyAlignment="1" applyProtection="1">
      <alignment horizontal="center" vertical="center"/>
      <protection locked="0"/>
    </xf>
    <xf numFmtId="0" fontId="254" fillId="4" borderId="550" xfId="0" applyFont="1" applyFill="1" applyBorder="1" applyAlignment="1" applyProtection="1">
      <alignment vertical="center"/>
      <protection locked="0"/>
    </xf>
    <xf numFmtId="0" fontId="77" fillId="44" borderId="0" xfId="0" applyFont="1" applyFill="1" applyAlignment="1" applyProtection="1">
      <alignment vertical="center"/>
      <protection locked="0"/>
    </xf>
    <xf numFmtId="0" fontId="75" fillId="9" borderId="0" xfId="0" applyFont="1" applyFill="1" applyAlignment="1" applyProtection="1">
      <alignment horizontal="center" vertical="center"/>
      <protection locked="0"/>
    </xf>
    <xf numFmtId="0" fontId="254" fillId="4" borderId="551" xfId="0" applyFont="1" applyFill="1" applyBorder="1" applyAlignment="1" applyProtection="1">
      <alignment vertical="center"/>
      <protection locked="0"/>
    </xf>
    <xf numFmtId="0" fontId="75" fillId="44" borderId="0" xfId="1" applyNumberFormat="1" applyFont="1" applyFill="1" applyBorder="1" applyAlignment="1" applyProtection="1">
      <alignment vertical="center"/>
      <protection locked="0"/>
    </xf>
    <xf numFmtId="0" fontId="75" fillId="44" borderId="0" xfId="0" applyFont="1" applyFill="1" applyAlignment="1" applyProtection="1">
      <alignment vertical="center"/>
      <protection locked="0"/>
    </xf>
    <xf numFmtId="0" fontId="244" fillId="2" borderId="0" xfId="0" applyFont="1" applyFill="1" applyAlignment="1" applyProtection="1">
      <alignment vertical="center"/>
      <protection locked="0"/>
    </xf>
    <xf numFmtId="0" fontId="77" fillId="2" borderId="0" xfId="0" applyFont="1" applyFill="1" applyProtection="1">
      <protection locked="0"/>
    </xf>
    <xf numFmtId="0" fontId="77" fillId="2" borderId="0" xfId="0" applyFont="1" applyFill="1" applyAlignment="1" applyProtection="1">
      <alignment vertical="center"/>
      <protection locked="0"/>
    </xf>
    <xf numFmtId="0" fontId="254" fillId="44" borderId="0" xfId="0" applyFont="1" applyFill="1" applyAlignment="1" applyProtection="1">
      <alignment vertical="center"/>
      <protection locked="0"/>
    </xf>
    <xf numFmtId="0" fontId="254" fillId="4" borderId="550" xfId="0" applyFont="1" applyFill="1" applyBorder="1" applyAlignment="1" applyProtection="1">
      <alignment horizontal="left" vertical="center" wrapText="1"/>
      <protection locked="0"/>
    </xf>
    <xf numFmtId="0" fontId="254" fillId="4" borderId="551" xfId="0" applyFont="1" applyFill="1" applyBorder="1" applyAlignment="1" applyProtection="1">
      <alignment horizontal="left" vertical="center" wrapText="1"/>
      <protection locked="0"/>
    </xf>
    <xf numFmtId="0" fontId="323" fillId="44" borderId="0" xfId="0" applyFont="1" applyFill="1" applyAlignment="1" applyProtection="1">
      <alignment vertical="center"/>
      <protection locked="0"/>
    </xf>
    <xf numFmtId="0" fontId="291" fillId="0" borderId="29" xfId="0" applyFont="1" applyBorder="1" applyAlignment="1" applyProtection="1">
      <alignment vertical="center"/>
      <protection locked="0"/>
    </xf>
    <xf numFmtId="0" fontId="291" fillId="0" borderId="63" xfId="0" applyFont="1" applyBorder="1" applyAlignment="1" applyProtection="1">
      <alignment vertical="center"/>
      <protection locked="0"/>
    </xf>
    <xf numFmtId="0" fontId="291" fillId="0" borderId="73" xfId="0" applyFont="1" applyBorder="1" applyAlignment="1" applyProtection="1">
      <alignment vertical="center"/>
      <protection locked="0"/>
    </xf>
    <xf numFmtId="0" fontId="368" fillId="0" borderId="0" xfId="51"/>
    <xf numFmtId="0" fontId="369" fillId="0" borderId="0" xfId="51" applyFont="1"/>
    <xf numFmtId="49" fontId="369" fillId="0" borderId="0" xfId="51" applyNumberFormat="1" applyFont="1"/>
    <xf numFmtId="0" fontId="370" fillId="0" borderId="0" xfId="51" applyFont="1"/>
    <xf numFmtId="202" fontId="368" fillId="0" borderId="0" xfId="51" applyNumberFormat="1"/>
    <xf numFmtId="1" fontId="368" fillId="0" borderId="0" xfId="51" applyNumberFormat="1"/>
    <xf numFmtId="0" fontId="368" fillId="16" borderId="0" xfId="51" applyFill="1"/>
    <xf numFmtId="0" fontId="368" fillId="16" borderId="0" xfId="51" applyFill="1" applyAlignment="1">
      <alignment horizontal="left"/>
    </xf>
    <xf numFmtId="0" fontId="369" fillId="16" borderId="0" xfId="51" applyFont="1" applyFill="1" applyAlignment="1">
      <alignment horizontal="right"/>
    </xf>
    <xf numFmtId="0" fontId="369" fillId="16" borderId="0" xfId="51" applyFont="1" applyFill="1"/>
    <xf numFmtId="0" fontId="370" fillId="16" borderId="0" xfId="51" applyFont="1" applyFill="1"/>
    <xf numFmtId="202" fontId="368" fillId="16" borderId="0" xfId="51" applyNumberFormat="1" applyFill="1"/>
    <xf numFmtId="1" fontId="368" fillId="16" borderId="0" xfId="51" applyNumberFormat="1" applyFill="1"/>
    <xf numFmtId="0" fontId="368" fillId="0" borderId="0" xfId="51" applyAlignment="1">
      <alignment horizontal="right"/>
    </xf>
    <xf numFmtId="0" fontId="369" fillId="0" borderId="0" xfId="51" applyFont="1" applyAlignment="1">
      <alignment horizontal="right"/>
    </xf>
    <xf numFmtId="49" fontId="369" fillId="0" borderId="0" xfId="51" applyNumberFormat="1" applyFont="1" applyAlignment="1">
      <alignment horizontal="right"/>
    </xf>
    <xf numFmtId="202" fontId="368" fillId="0" borderId="0" xfId="51" applyNumberFormat="1" applyAlignment="1">
      <alignment horizontal="right"/>
    </xf>
    <xf numFmtId="0" fontId="45" fillId="0" borderId="0" xfId="54"/>
    <xf numFmtId="199" fontId="370" fillId="0" borderId="0" xfId="55" applyNumberFormat="1" applyFont="1"/>
    <xf numFmtId="0" fontId="370" fillId="0" borderId="0" xfId="55" applyFont="1"/>
    <xf numFmtId="49" fontId="368" fillId="0" borderId="0" xfId="51" applyNumberFormat="1"/>
    <xf numFmtId="0" fontId="370" fillId="0" borderId="0" xfId="51" applyFont="1" applyAlignment="1">
      <alignment horizontal="left"/>
    </xf>
    <xf numFmtId="0" fontId="371" fillId="0" borderId="0" xfId="51" applyFont="1"/>
    <xf numFmtId="43" fontId="295" fillId="46" borderId="552" xfId="1" applyFont="1" applyFill="1" applyBorder="1" applyAlignment="1" applyProtection="1">
      <alignment horizontal="right" vertical="center"/>
      <protection locked="0"/>
    </xf>
    <xf numFmtId="43" fontId="295" fillId="46" borderId="553" xfId="1" applyFont="1" applyFill="1" applyBorder="1" applyAlignment="1" applyProtection="1">
      <alignment horizontal="right" vertical="center"/>
      <protection locked="0"/>
    </xf>
    <xf numFmtId="0" fontId="365" fillId="4" borderId="527" xfId="0" applyFont="1" applyFill="1" applyBorder="1" applyAlignment="1" applyProtection="1">
      <alignment horizontal="left"/>
      <protection hidden="1"/>
    </xf>
    <xf numFmtId="0" fontId="73" fillId="0" borderId="100" xfId="0" applyFont="1" applyBorder="1"/>
    <xf numFmtId="182" fontId="77" fillId="8" borderId="100" xfId="1" applyNumberFormat="1" applyFont="1" applyFill="1" applyBorder="1" applyAlignment="1">
      <alignment horizontal="center"/>
    </xf>
    <xf numFmtId="182" fontId="74" fillId="8" borderId="100" xfId="1" applyNumberFormat="1" applyFont="1" applyFill="1" applyBorder="1" applyAlignment="1">
      <alignment horizontal="center"/>
    </xf>
    <xf numFmtId="0" fontId="73" fillId="0" borderId="125" xfId="0" applyFont="1" applyBorder="1"/>
    <xf numFmtId="0" fontId="11" fillId="16" borderId="100" xfId="0" applyFont="1" applyFill="1" applyBorder="1"/>
    <xf numFmtId="0" fontId="11" fillId="27" borderId="163" xfId="0" applyFont="1" applyFill="1" applyBorder="1" applyAlignment="1">
      <alignment horizontal="center"/>
    </xf>
    <xf numFmtId="58" fontId="11" fillId="27" borderId="180" xfId="0" applyNumberFormat="1" applyFont="1" applyFill="1" applyBorder="1" applyAlignment="1">
      <alignment horizontal="center"/>
    </xf>
    <xf numFmtId="0" fontId="0" fillId="41" borderId="70" xfId="0" applyFill="1" applyBorder="1" applyAlignment="1">
      <alignment horizontal="center"/>
    </xf>
    <xf numFmtId="0" fontId="22" fillId="41" borderId="68" xfId="0" applyFont="1" applyFill="1" applyBorder="1"/>
    <xf numFmtId="9" fontId="0" fillId="41" borderId="68" xfId="0" applyNumberFormat="1" applyFill="1" applyBorder="1"/>
    <xf numFmtId="3" fontId="22" fillId="41" borderId="68" xfId="0" applyNumberFormat="1" applyFont="1" applyFill="1" applyBorder="1"/>
    <xf numFmtId="3" fontId="0" fillId="0" borderId="63" xfId="0" applyNumberFormat="1" applyBorder="1"/>
    <xf numFmtId="0" fontId="0" fillId="0" borderId="63" xfId="0" applyBorder="1" applyAlignment="1">
      <alignment horizontal="center"/>
    </xf>
    <xf numFmtId="0" fontId="11" fillId="0" borderId="241" xfId="0" applyFont="1" applyBorder="1"/>
    <xf numFmtId="3" fontId="0" fillId="0" borderId="554" xfId="0" applyNumberFormat="1" applyBorder="1"/>
    <xf numFmtId="3" fontId="0" fillId="0" borderId="239" xfId="0" applyNumberFormat="1" applyBorder="1"/>
    <xf numFmtId="49" fontId="77" fillId="0" borderId="99" xfId="0" applyNumberFormat="1" applyFont="1" applyBorder="1" applyAlignment="1">
      <alignment horizontal="center"/>
    </xf>
    <xf numFmtId="49" fontId="77" fillId="0" borderId="100" xfId="0" applyNumberFormat="1" applyFont="1" applyBorder="1" applyAlignment="1">
      <alignment horizontal="center"/>
    </xf>
    <xf numFmtId="0" fontId="77" fillId="0" borderId="100" xfId="0" applyFont="1" applyBorder="1" applyAlignment="1">
      <alignment horizontal="left"/>
    </xf>
    <xf numFmtId="182" fontId="77" fillId="0" borderId="100" xfId="1" applyNumberFormat="1" applyFont="1" applyFill="1" applyBorder="1" applyAlignment="1">
      <alignment horizontal="center"/>
    </xf>
    <xf numFmtId="0" fontId="77" fillId="0" borderId="100" xfId="0" applyFont="1" applyBorder="1" applyAlignment="1">
      <alignment horizontal="justify"/>
    </xf>
    <xf numFmtId="49" fontId="77" fillId="0" borderId="100" xfId="0" applyNumberFormat="1" applyFont="1" applyBorder="1" applyAlignment="1" applyProtection="1">
      <alignment horizontal="center"/>
      <protection hidden="1"/>
    </xf>
    <xf numFmtId="0" fontId="77" fillId="0" borderId="100" xfId="0" applyFont="1" applyBorder="1" applyAlignment="1" applyProtection="1">
      <alignment horizontal="left"/>
      <protection hidden="1"/>
    </xf>
    <xf numFmtId="49" fontId="77" fillId="0" borderId="125" xfId="0" applyNumberFormat="1" applyFont="1" applyBorder="1" applyAlignment="1" applyProtection="1">
      <alignment horizontal="center"/>
      <protection hidden="1"/>
    </xf>
    <xf numFmtId="0" fontId="77" fillId="0" borderId="125" xfId="0" applyFont="1" applyBorder="1" applyAlignment="1" applyProtection="1">
      <alignment horizontal="left"/>
      <protection hidden="1"/>
    </xf>
    <xf numFmtId="182" fontId="77" fillId="0" borderId="100" xfId="1" applyNumberFormat="1" applyFont="1" applyFill="1" applyBorder="1" applyAlignment="1" applyProtection="1">
      <alignment horizontal="center"/>
      <protection locked="0" hidden="1"/>
    </xf>
    <xf numFmtId="0" fontId="4" fillId="0" borderId="43" xfId="0" applyFont="1" applyBorder="1" applyAlignment="1">
      <alignment horizontal="left"/>
    </xf>
    <xf numFmtId="3" fontId="0" fillId="9" borderId="0" xfId="0" applyNumberFormat="1" applyFill="1"/>
    <xf numFmtId="0" fontId="0" fillId="44" borderId="0" xfId="0" applyFill="1" applyAlignment="1">
      <alignment horizontal="center"/>
    </xf>
  </cellXfs>
  <cellStyles count="188">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Comma 2" xfId="49"/>
    <cellStyle name="Normal 2" xfId="50"/>
    <cellStyle name="Normal 2 2" xfId="51"/>
    <cellStyle name="Normal 3" xfId="52"/>
    <cellStyle name="Normal 3 2" xfId="53"/>
    <cellStyle name="Normal 4" xfId="54"/>
    <cellStyle name="Normal 5" xfId="55"/>
    <cellStyle name="Normalno 2" xfId="56"/>
    <cellStyle name="Normalno 2 2" xfId="57"/>
    <cellStyle name="Normalno 2 2 2" xfId="58"/>
    <cellStyle name="Normalno 2 3" xfId="59"/>
    <cellStyle name="Normalno 3" xfId="60"/>
    <cellStyle name="Normalno 4" xfId="61"/>
    <cellStyle name="Normalno 4 2" xfId="62"/>
    <cellStyle name="Normalno 4 2 2" xfId="63"/>
    <cellStyle name="Normalno 4 3" xfId="64"/>
    <cellStyle name="Normalno 5" xfId="65"/>
    <cellStyle name="Normalno 5 2" xfId="66"/>
    <cellStyle name="Normalno 6" xfId="67"/>
    <cellStyle name="Normalno 7" xfId="68"/>
    <cellStyle name="Obično 2" xfId="69"/>
    <cellStyle name="Obično 2 2" xfId="70"/>
    <cellStyle name="Obično 2 2 2" xfId="71"/>
    <cellStyle name="Obično 2 2 2 2" xfId="72"/>
    <cellStyle name="Obično 2 2 3" xfId="73"/>
    <cellStyle name="Obično 2 3" xfId="74"/>
    <cellStyle name="Obično 2 3 2" xfId="75"/>
    <cellStyle name="Obično 2 4" xfId="76"/>
    <cellStyle name="Obično 3" xfId="77"/>
    <cellStyle name="Obično 3 2" xfId="78"/>
    <cellStyle name="Obično 3 2 2" xfId="79"/>
    <cellStyle name="Obično 3 2 2 2" xfId="80"/>
    <cellStyle name="Obično 3 2 3" xfId="81"/>
    <cellStyle name="Obično 3 3" xfId="82"/>
    <cellStyle name="Obično 3 3 2" xfId="83"/>
    <cellStyle name="Obično 3 4" xfId="84"/>
    <cellStyle name="Obično 4" xfId="85"/>
    <cellStyle name="Obično 4 2" xfId="86"/>
    <cellStyle name="Obično 4 2 2" xfId="87"/>
    <cellStyle name="Obično 4 2 2 2" xfId="88"/>
    <cellStyle name="Obično 4 2 3" xfId="89"/>
    <cellStyle name="Obično 4 3" xfId="90"/>
    <cellStyle name="Obično 4 3 2" xfId="91"/>
    <cellStyle name="Obično 4 4" xfId="92"/>
    <cellStyle name="Obično 5" xfId="93"/>
    <cellStyle name="Obično 5 2" xfId="94"/>
    <cellStyle name="Obično 5 2 2" xfId="95"/>
    <cellStyle name="Obično 5 2 2 2" xfId="96"/>
    <cellStyle name="Obično 5 2 3" xfId="97"/>
    <cellStyle name="Obično 5 3" xfId="98"/>
    <cellStyle name="Obično 5 3 2" xfId="99"/>
    <cellStyle name="Obično 5 4" xfId="100"/>
    <cellStyle name="Obično 6" xfId="101"/>
    <cellStyle name="Obično 6 2" xfId="102"/>
    <cellStyle name="Obično 6 2 2" xfId="103"/>
    <cellStyle name="Obično 6 2 2 2" xfId="104"/>
    <cellStyle name="Obično 6 2 3" xfId="105"/>
    <cellStyle name="Obično 6 3" xfId="106"/>
    <cellStyle name="Obično 6 3 2" xfId="107"/>
    <cellStyle name="Obično 6 4" xfId="108"/>
    <cellStyle name="Percent 2 3" xfId="109"/>
    <cellStyle name="S0" xfId="110"/>
    <cellStyle name="S1" xfId="111"/>
    <cellStyle name="S1 2" xfId="112"/>
    <cellStyle name="S10" xfId="113"/>
    <cellStyle name="S10 2" xfId="114"/>
    <cellStyle name="S10 3" xfId="115"/>
    <cellStyle name="S10 4" xfId="116"/>
    <cellStyle name="S10 5" xfId="117"/>
    <cellStyle name="S10 6" xfId="118"/>
    <cellStyle name="S10 7" xfId="119"/>
    <cellStyle name="S10 8" xfId="120"/>
    <cellStyle name="S10 9" xfId="121"/>
    <cellStyle name="S11" xfId="122"/>
    <cellStyle name="S11 2" xfId="123"/>
    <cellStyle name="S11 3" xfId="124"/>
    <cellStyle name="S11 4" xfId="125"/>
    <cellStyle name="S12" xfId="126"/>
    <cellStyle name="S12 2" xfId="127"/>
    <cellStyle name="S12 3" xfId="128"/>
    <cellStyle name="S12 4" xfId="129"/>
    <cellStyle name="S13" xfId="130"/>
    <cellStyle name="S13 2" xfId="131"/>
    <cellStyle name="S14" xfId="132"/>
    <cellStyle name="S14 2" xfId="133"/>
    <cellStyle name="S15" xfId="134"/>
    <cellStyle name="S16" xfId="135"/>
    <cellStyle name="S2" xfId="136"/>
    <cellStyle name="S2 2" xfId="137"/>
    <cellStyle name="S2 3" xfId="138"/>
    <cellStyle name="S3" xfId="139"/>
    <cellStyle name="S3 2" xfId="140"/>
    <cellStyle name="S3 3" xfId="141"/>
    <cellStyle name="S4" xfId="142"/>
    <cellStyle name="S4 2" xfId="143"/>
    <cellStyle name="S4 3" xfId="144"/>
    <cellStyle name="S4 4" xfId="145"/>
    <cellStyle name="S4 5" xfId="146"/>
    <cellStyle name="S4 6" xfId="147"/>
    <cellStyle name="S5" xfId="148"/>
    <cellStyle name="S5 2" xfId="149"/>
    <cellStyle name="S5 3" xfId="150"/>
    <cellStyle name="S5 4" xfId="151"/>
    <cellStyle name="S5 5" xfId="152"/>
    <cellStyle name="S5 6" xfId="153"/>
    <cellStyle name="S6" xfId="154"/>
    <cellStyle name="S6 2" xfId="155"/>
    <cellStyle name="S6 3" xfId="156"/>
    <cellStyle name="S6 4" xfId="157"/>
    <cellStyle name="S6 5" xfId="158"/>
    <cellStyle name="S6 6" xfId="159"/>
    <cellStyle name="S6 7" xfId="160"/>
    <cellStyle name="S7" xfId="161"/>
    <cellStyle name="S7 2" xfId="162"/>
    <cellStyle name="S7 3" xfId="163"/>
    <cellStyle name="S7 4" xfId="164"/>
    <cellStyle name="S7 5" xfId="165"/>
    <cellStyle name="S7 6" xfId="166"/>
    <cellStyle name="S7 7" xfId="167"/>
    <cellStyle name="S7 8" xfId="168"/>
    <cellStyle name="S8" xfId="169"/>
    <cellStyle name="S8 2" xfId="170"/>
    <cellStyle name="S8 3" xfId="171"/>
    <cellStyle name="S8 4" xfId="172"/>
    <cellStyle name="S8 5" xfId="173"/>
    <cellStyle name="S8 6" xfId="174"/>
    <cellStyle name="S8 7" xfId="175"/>
    <cellStyle name="S8 8" xfId="176"/>
    <cellStyle name="S9" xfId="177"/>
    <cellStyle name="S9 2" xfId="178"/>
    <cellStyle name="S9 3" xfId="179"/>
    <cellStyle name="S9 4" xfId="180"/>
    <cellStyle name="S9 5" xfId="181"/>
    <cellStyle name="S9 6" xfId="182"/>
    <cellStyle name="S9 7" xfId="183"/>
    <cellStyle name="S9 8" xfId="184"/>
    <cellStyle name="Zarez 2" xfId="185"/>
    <cellStyle name="Zarez 2 2" xfId="186"/>
    <cellStyle name="Zarez 3" xfId="187"/>
  </cellStyles>
  <dxfs count="13">
    <dxf>
      <font>
        <color theme="3" tint="0.399945066682943"/>
      </font>
      <fill>
        <patternFill patternType="solid">
          <bgColor theme="3" tint="0.399945066682943"/>
        </patternFill>
      </fill>
      <border>
        <left style="thin">
          <color theme="3" tint="0.399945066682943"/>
        </left>
        <right style="thin">
          <color theme="3" tint="0.399945066682943"/>
        </right>
        <top style="thin">
          <color theme="3" tint="0.399945066682943"/>
        </top>
        <bottom style="thin">
          <color theme="3" tint="0.399945066682943"/>
        </bottom>
      </border>
    </dxf>
    <dxf>
      <font>
        <color rgb="FF9C0006"/>
      </font>
      <fill>
        <patternFill patternType="solid">
          <bgColor rgb="FFFFC7CE"/>
        </patternFill>
      </fill>
    </dxf>
    <dxf>
      <font>
        <color rgb="FF9C0006"/>
      </font>
    </dxf>
    <dxf>
      <fill>
        <patternFill patternType="solid">
          <bgColor rgb="FFFF0000"/>
        </patternFill>
      </fill>
    </dxf>
    <dxf>
      <font>
        <color rgb="FF9C6500"/>
      </font>
      <fill>
        <patternFill patternType="solid">
          <bgColor rgb="FFFFEB9C"/>
        </patternFill>
      </fill>
    </dxf>
    <dxf>
      <fill>
        <patternFill patternType="solid">
          <bgColor rgb="FFFF0000"/>
        </patternFill>
      </fill>
    </dxf>
    <dxf>
      <fill>
        <patternFill patternType="solid">
          <bgColor rgb="FFFF0000"/>
        </patternFill>
      </fill>
    </dxf>
    <dxf>
      <font>
        <color rgb="FF9C0006"/>
      </font>
    </dxf>
    <dxf>
      <font>
        <color rgb="FF9C5700"/>
      </font>
      <fill>
        <patternFill patternType="solid">
          <bgColor theme="4" tint="0.599963377788629"/>
        </patternFill>
      </fill>
      <border>
        <left/>
        <right/>
        <top/>
        <bottom/>
      </border>
    </dxf>
    <dxf>
      <font>
        <color rgb="FF3366FF"/>
      </font>
      <fill>
        <patternFill patternType="solid">
          <bgColor rgb="FF3366FF"/>
        </patternFill>
      </fill>
      <border>
        <left/>
        <right/>
        <top/>
        <bottom/>
      </border>
    </dxf>
    <dxf>
      <font>
        <color rgb="FFFF0000"/>
      </font>
    </dxf>
    <dxf>
      <fill>
        <patternFill patternType="solid">
          <bgColor rgb="FFFFC000"/>
        </patternFill>
      </fill>
    </dxf>
    <dxf>
      <font>
        <b val="1"/>
        <i val="0"/>
        <color rgb="FFFF0000"/>
      </font>
    </dxf>
  </dxfs>
  <tableStyles count="0" defaultTableStyle="TableStyleMedium9" defaultPivotStyle="PivotStyleLight16"/>
  <colors>
    <mruColors>
      <color rgb="00396499"/>
      <color rgb="00FF0000"/>
      <color rgb="00008000"/>
      <color rgb="00333399"/>
      <color rgb="000000FF"/>
      <color rgb="003366FF"/>
      <color rgb="00FFEB9C"/>
      <color rgb="00008E40"/>
      <color rgb="00C35D09"/>
      <color rgb="00FF696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tyles" Target="styles.xml"/><Relationship Id="rId63" Type="http://schemas.openxmlformats.org/officeDocument/2006/relationships/sharedStrings" Target="sharedStrings.xml"/><Relationship Id="rId62" Type="http://schemas.openxmlformats.org/officeDocument/2006/relationships/theme" Target="theme/theme1.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10"/>
    </mc:Choice>
    <mc:Fallback>
      <c:style val="10"/>
    </mc:Fallback>
  </mc:AlternateContent>
  <c:chart>
    <c:title>
      <c:layout/>
      <c:overlay val="0"/>
      <c:txPr>
        <a:bodyPr rot="0" spcFirstLastPara="0" vertOverflow="ellipsis" vert="horz" wrap="square" anchor="ctr" anchorCtr="1"/>
        <a:lstStyle/>
        <a:p>
          <a:pPr>
            <a:defRPr lang="hr-BA" sz="1800" b="1" i="0" u="none" strike="noStrike" kern="1200" baseline="0">
              <a:solidFill>
                <a:schemeClr val="tx1"/>
              </a:solidFill>
              <a:latin typeface="+mn-lt"/>
              <a:ea typeface="+mn-ea"/>
              <a:cs typeface="+mn-cs"/>
            </a:defRPr>
          </a:pPr>
        </a:p>
      </c:txPr>
    </c:title>
    <c:autoTitleDeleted val="0"/>
    <c:view3D>
      <c:rotX val="30"/>
      <c:rotY val="0"/>
      <c:depthPercent val="100"/>
      <c:rAngAx val="0"/>
      <c:perspective val="0"/>
    </c:view3D>
    <c:floor>
      <c:thickness val="0"/>
    </c:floor>
    <c:sideWall>
      <c:thickness val="0"/>
    </c:sideWall>
    <c:backWall>
      <c:thickness val="0"/>
    </c:backWall>
    <c:plotArea>
      <c:layout/>
      <c:pie3DChart>
        <c:varyColors val="1"/>
        <c:ser>
          <c:idx val="0"/>
          <c:order val="0"/>
          <c:tx>
            <c:strRef>
              <c:f>Analiza!$AK$408</c:f>
              <c:strCache>
                <c:ptCount val="1"/>
                <c:pt idx="0">
                  <c:v>2025</c:v>
                </c:pt>
              </c:strCache>
            </c:strRef>
          </c:tx>
          <c:explosion val="25"/>
          <c:dPt>
            <c:idx val="0"/>
            <c:bubble3D val="0"/>
          </c:dPt>
          <c:dPt>
            <c:idx val="1"/>
            <c:bubble3D val="0"/>
          </c:dPt>
          <c:dPt>
            <c:idx val="2"/>
            <c:bubble3D val="0"/>
          </c:dPt>
          <c:dLbls>
            <c:dLbl>
              <c:idx val="0"/>
              <c:layout>
                <c:manualLayout>
                  <c:x val="0.0549915916199098"/>
                  <c:y val="0.000421757625124446"/>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ext>
            </c:extLst>
          </c:dLbls>
          <c:cat>
            <c:strRef>
              <c:f>Analiza!$AJ$409:$AJ$411</c:f>
              <c:strCache>
                <c:ptCount val="3"/>
                <c:pt idx="0">
                  <c:v>Dugoročna imovina</c:v>
                </c:pt>
                <c:pt idx="1">
                  <c:v>kratkoročna imovina</c:v>
                </c:pt>
              </c:strCache>
            </c:strRef>
          </c:cat>
          <c:val>
            <c:numRef>
              <c:f>Analiza!$AK$409:$AK$411</c:f>
              <c:numCache>
                <c:formatCode>_(* #,##0_);_(* \(#,##0\);_(* "-"??_);_(@_)</c:formatCode>
                <c:ptCount val="3"/>
                <c:pt idx="0">
                  <c:v>22107</c:v>
                </c:pt>
                <c:pt idx="1">
                  <c:v>577192</c:v>
                </c:pt>
              </c:numCache>
            </c:numRef>
          </c:val>
        </c:ser>
        <c:dLbls>
          <c:showLegendKey val="0"/>
          <c:showVal val="0"/>
          <c:showCatName val="0"/>
          <c:showSerName val="0"/>
          <c:showPercent val="1"/>
          <c:showBubbleSize val="0"/>
        </c:dLbls>
      </c:pie3DChart>
    </c:plotArea>
    <c:legend>
      <c:legendPos val="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676ac000-e857-4915-8cf4-fbc9b9146526}"/>
      </c:ext>
    </c:extLst>
  </c:chart>
  <c:txPr>
    <a:bodyPr/>
    <a:lstStyle/>
    <a:p>
      <a:pPr>
        <a:defRPr lang="en-US"/>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r>
              <a:rPr lang="bs-Latn-BA"/>
              <a:t>Tekuća sredstva</a:t>
            </a:r>
            <a:endParaRPr lang="bs-Latn-BA"/>
          </a:p>
        </c:rich>
      </c:tx>
      <c:layout>
        <c:manualLayout>
          <c:xMode val="edge"/>
          <c:yMode val="edge"/>
          <c:x val="0.538789571694601"/>
          <c:y val="0.013888888888889"/>
        </c:manualLayout>
      </c:layout>
      <c:overlay val="1"/>
    </c:title>
    <c:autoTitleDeleted val="0"/>
    <c:view3D>
      <c:rotX val="30"/>
      <c:rotY val="0"/>
      <c:depthPercent val="100"/>
      <c:rAngAx val="0"/>
      <c:perspective val="30"/>
    </c:view3D>
    <c:floor>
      <c:thickness val="0"/>
    </c:floor>
    <c:sideWall>
      <c:thickness val="0"/>
    </c:sideWall>
    <c:backWall>
      <c:thickness val="0"/>
    </c:backWall>
    <c:plotArea>
      <c:layout>
        <c:manualLayout>
          <c:layoutTarget val="inner"/>
          <c:xMode val="edge"/>
          <c:yMode val="edge"/>
          <c:x val="0.0671591262956537"/>
          <c:y val="0.085389476530026"/>
          <c:w val="0.529683111644943"/>
          <c:h val="0.749106597726786"/>
        </c:manualLayout>
      </c:layout>
      <c:pie3DChart>
        <c:varyColors val="1"/>
        <c:ser>
          <c:idx val="0"/>
          <c:order val="0"/>
          <c:explosion val="25"/>
          <c:dPt>
            <c:idx val="0"/>
            <c:bubble3D val="0"/>
          </c:dPt>
          <c:dPt>
            <c:idx val="1"/>
            <c:bubble3D val="0"/>
          </c:dPt>
          <c:dPt>
            <c:idx val="2"/>
            <c:bubble3D val="0"/>
          </c:dPt>
          <c:dPt>
            <c:idx val="3"/>
            <c:bubble3D val="0"/>
          </c:dPt>
          <c:dPt>
            <c:idx val="4"/>
            <c:bubble3D val="0"/>
          </c:dPt>
          <c:dPt>
            <c:idx val="5"/>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Analiza!$AB$371:$AB$376</c:f>
              <c:strCache>
                <c:ptCount val="6"/>
                <c:pt idx="0">
                  <c:v>Dati krediti  (AOP 051)</c:v>
                </c:pt>
                <c:pt idx="1">
                  <c:v>Ostala imovina i potraživanja, uključujući i razgraničenja (AOP 059)</c:v>
                </c:pt>
                <c:pt idx="2">
                  <c:v>Kupci u zemlji (AOP 047)</c:v>
                </c:pt>
                <c:pt idx="3">
                  <c:v>-</c:v>
                </c:pt>
                <c:pt idx="4">
                  <c:v>-</c:v>
                </c:pt>
                <c:pt idx="5">
                  <c:v>0</c:v>
                </c:pt>
              </c:strCache>
            </c:strRef>
          </c:cat>
          <c:val>
            <c:numRef>
              <c:f>Analiza!$AC$371:$AC$376</c:f>
              <c:numCache>
                <c:formatCode>_(* #,##0_);_(* \(#,##0\);_(* "-"??_);_(@_)</c:formatCode>
                <c:ptCount val="6"/>
                <c:pt idx="0">
                  <c:v>427682</c:v>
                </c:pt>
                <c:pt idx="1">
                  <c:v>126871</c:v>
                </c:pt>
                <c:pt idx="2">
                  <c:v>20312</c:v>
                </c:pt>
                <c:pt idx="3">
                  <c:v>0</c:v>
                </c:pt>
                <c:pt idx="4">
                  <c:v>0</c:v>
                </c:pt>
                <c:pt idx="5">
                  <c:v>0</c:v>
                </c:pt>
              </c:numCache>
            </c:numRef>
          </c:val>
        </c:ser>
        <c:dLbls>
          <c:showLegendKey val="0"/>
          <c:showVal val="1"/>
          <c:showCatName val="0"/>
          <c:showSerName val="0"/>
          <c:showPercent val="0"/>
          <c:showBubbleSize val="0"/>
        </c:dLbls>
      </c:pie3DChart>
    </c:plotArea>
    <c:legend>
      <c:legendPos val="r"/>
      <c:layout>
        <c:manualLayout>
          <c:xMode val="edge"/>
          <c:yMode val="edge"/>
          <c:x val="0.649793838619341"/>
          <c:y val="0.14584499854185"/>
          <c:w val="0.327085755969881"/>
          <c:h val="0.780992278877762"/>
        </c:manualLayou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cf064c95-67c8-4b7e-bedc-3a301df9219b}"/>
      </c:ext>
    </c:extLst>
  </c:chart>
  <c:txPr>
    <a:bodyPr/>
    <a:lstStyle/>
    <a:p>
      <a:pPr>
        <a:defRPr lang="en-US"/>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r>
              <a:rPr lang="bs-Latn-BA"/>
              <a:t>Kapital</a:t>
            </a:r>
            <a:r>
              <a:rPr lang="bs-Latn-BA" baseline="0"/>
              <a:t> - vlastita sredstva</a:t>
            </a:r>
            <a:endParaRPr lang="bs-Latn-BA"/>
          </a:p>
        </c:rich>
      </c:tx>
      <c:layout>
        <c:manualLayout>
          <c:xMode val="edge"/>
          <c:yMode val="edge"/>
          <c:x val="0.541414894566751"/>
          <c:y val="0.0277777777777781"/>
        </c:manualLayout>
      </c:layout>
      <c:overlay val="1"/>
    </c:title>
    <c:autoTitleDeleted val="0"/>
    <c:view3D>
      <c:rotX val="30"/>
      <c:rotY val="0"/>
      <c:depthPercent val="100"/>
      <c:rAngAx val="0"/>
      <c:perspective val="30"/>
    </c:view3D>
    <c:floor>
      <c:thickness val="0"/>
    </c:floor>
    <c:sideWall>
      <c:thickness val="0"/>
    </c:sideWall>
    <c:backWall>
      <c:thickness val="0"/>
    </c:backWall>
    <c:plotArea>
      <c:layout/>
      <c:pie3DChart>
        <c:varyColors val="1"/>
        <c:ser>
          <c:idx val="0"/>
          <c:order val="0"/>
          <c:explosion val="25"/>
          <c:dPt>
            <c:idx val="0"/>
            <c:bubble3D val="0"/>
            <c:explosion val="23"/>
          </c:dPt>
          <c:dPt>
            <c:idx val="1"/>
            <c:bubble3D val="0"/>
          </c:dPt>
          <c:dPt>
            <c:idx val="2"/>
            <c:bubble3D val="0"/>
          </c:dPt>
          <c:dPt>
            <c:idx val="3"/>
            <c:bubble3D val="0"/>
          </c:dPt>
          <c:dPt>
            <c:idx val="4"/>
            <c:bubble3D val="0"/>
          </c:dPt>
          <c:dPt>
            <c:idx val="5"/>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Analiza!$AB$593:$AB$598</c:f>
              <c:strCache>
                <c:ptCount val="6"/>
                <c:pt idx="0">
                  <c:v>Udjeli članova društva sa ograničenom odgovornošću (AOP 104)</c:v>
                </c:pt>
                <c:pt idx="1">
                  <c:v>Ostale rezerve (AOP 110)</c:v>
                </c:pt>
                <c:pt idx="2">
                  <c:v>-</c:v>
                </c:pt>
                <c:pt idx="3">
                  <c:v>-</c:v>
                </c:pt>
                <c:pt idx="4">
                  <c:v>-</c:v>
                </c:pt>
                <c:pt idx="5">
                  <c:v>Ostalo iz kapitala</c:v>
                </c:pt>
              </c:strCache>
            </c:strRef>
          </c:cat>
          <c:val>
            <c:numRef>
              <c:f>Analiza!$AC$593:$AC$598</c:f>
              <c:numCache>
                <c:formatCode>_(* #,##0_);_(* \(#,##0\);_(* "-"??_);_(@_)</c:formatCode>
                <c:ptCount val="6"/>
                <c:pt idx="0">
                  <c:v>350000</c:v>
                </c:pt>
                <c:pt idx="1">
                  <c:v>18462</c:v>
                </c:pt>
                <c:pt idx="2">
                  <c:v>0</c:v>
                </c:pt>
                <c:pt idx="3">
                  <c:v>0</c:v>
                </c:pt>
                <c:pt idx="4">
                  <c:v>0</c:v>
                </c:pt>
                <c:pt idx="5">
                  <c:v>-59197</c:v>
                </c:pt>
              </c:numCache>
            </c:numRef>
          </c:val>
        </c:ser>
        <c:dLbls>
          <c:showLegendKey val="0"/>
          <c:showVal val="1"/>
          <c:showCatName val="0"/>
          <c:showSerName val="0"/>
          <c:showPercent val="0"/>
          <c:showBubbleSize val="0"/>
        </c:dLbls>
      </c:pie3DChart>
    </c:plotArea>
    <c:legend>
      <c:legendPos val="r"/>
      <c:layout>
        <c:manualLayout>
          <c:xMode val="edge"/>
          <c:yMode val="edge"/>
          <c:x val="0.669742425054015"/>
          <c:y val="0.155104257801109"/>
          <c:w val="0.32118728016141"/>
          <c:h val="0.837939632545936"/>
        </c:manualLayou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4cb9e2c7-d205-49fd-a3e4-f3de8361eaec}"/>
      </c:ext>
    </c:extLst>
  </c:chart>
  <c:txPr>
    <a:bodyPr/>
    <a:lstStyle/>
    <a:p>
      <a:pPr>
        <a:defRPr lang="en-US"/>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r>
              <a:rPr lang="bs-Latn-BA"/>
              <a:t>Obaveze - zaduženost</a:t>
            </a:r>
            <a:endParaRPr lang="bs-Latn-BA"/>
          </a:p>
        </c:rich>
      </c:tx>
      <c:layout>
        <c:manualLayout>
          <c:xMode val="edge"/>
          <c:yMode val="edge"/>
          <c:x val="0.523242753623193"/>
          <c:y val="0.0277777777777781"/>
        </c:manualLayout>
      </c:layout>
      <c:overlay val="1"/>
    </c:title>
    <c:autoTitleDeleted val="0"/>
    <c:view3D>
      <c:rotX val="30"/>
      <c:rotY val="0"/>
      <c:depthPercent val="100"/>
      <c:rAngAx val="0"/>
      <c:perspective val="30"/>
    </c:view3D>
    <c:floor>
      <c:thickness val="0"/>
    </c:floor>
    <c:sideWall>
      <c:thickness val="0"/>
    </c:sideWall>
    <c:backWall>
      <c:thickness val="0"/>
    </c:backWall>
    <c:plotArea>
      <c:layout/>
      <c:pie3DChart>
        <c:varyColors val="1"/>
        <c:ser>
          <c:idx val="0"/>
          <c:order val="0"/>
          <c:explosion val="25"/>
          <c:dPt>
            <c:idx val="0"/>
            <c:bubble3D val="0"/>
          </c:dPt>
          <c:dPt>
            <c:idx val="1"/>
            <c:bubble3D val="0"/>
          </c:dPt>
          <c:dPt>
            <c:idx val="2"/>
            <c:bubble3D val="0"/>
          </c:dPt>
          <c:dPt>
            <c:idx val="3"/>
            <c:bubble3D val="0"/>
          </c:dPt>
          <c:dPt>
            <c:idx val="4"/>
            <c:bubble3D val="0"/>
          </c:dPt>
          <c:dPt>
            <c:idx val="5"/>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Analiza!$AC$606:$AC$611</c:f>
              <c:strCache>
                <c:ptCount val="6"/>
                <c:pt idx="0" c:formatCode="_(* #,##0_);_(* \(#,##0\);_(* &quot;-&quot;??_);_(@_)">
                  <c:v>Kratkoročne ostale obaveze, uključujući i razgraničenja (AOP 147)</c:v>
                </c:pt>
                <c:pt idx="1" c:formatCode="_(* #,##0_);_(* \(#,##0\);_(* &quot;-&quot;??_);_(@_)">
                  <c:v>Obaveze prema dobavljačima (AOP 136)</c:v>
                </c:pt>
                <c:pt idx="2" c:formatCode="_(* #,##0_);_(* \(#,##0\);_(* &quot;-&quot;??_);_(@_)">
                  <c:v>Obaveze za porez na dobit (AOP 146)</c:v>
                </c:pt>
                <c:pt idx="3" c:formatCode="_(* #,##0_);_(* \(#,##0\);_(* &quot;-&quot;??_);_(@_)">
                  <c:v>-</c:v>
                </c:pt>
                <c:pt idx="4" c:formatCode="_(* #,##0_);_(* \(#,##0\);_(* &quot;-&quot;??_);_(@_)">
                  <c:v>-</c:v>
                </c:pt>
                <c:pt idx="5" c:formatCode="_(* #,##0_);_(* \(#,##0\);_(* &quot;-&quot;??_);_(@_)">
                  <c:v>-</c:v>
                </c:pt>
              </c:strCache>
            </c:strRef>
          </c:cat>
          <c:val>
            <c:numRef>
              <c:f>Analiza!$AD$606:$AD$611</c:f>
              <c:numCache>
                <c:formatCode>_(* #,##0_);_(* \(#,##0\);_(* "-"??_);_(@_)</c:formatCode>
                <c:ptCount val="6"/>
                <c:pt idx="0">
                  <c:v>244741</c:v>
                </c:pt>
                <c:pt idx="1">
                  <c:v>22856</c:v>
                </c:pt>
                <c:pt idx="2">
                  <c:v>22437</c:v>
                </c:pt>
                <c:pt idx="3">
                  <c:v>0</c:v>
                </c:pt>
                <c:pt idx="4">
                  <c:v>0</c:v>
                </c:pt>
                <c:pt idx="5">
                  <c:v>0</c:v>
                </c:pt>
              </c:numCache>
            </c:numRef>
          </c:val>
        </c:ser>
        <c:dLbls>
          <c:showLegendKey val="0"/>
          <c:showVal val="1"/>
          <c:showCatName val="0"/>
          <c:showSerName val="0"/>
          <c:showPercent val="0"/>
          <c:showBubbleSize val="0"/>
        </c:dLbls>
      </c:pie3DChart>
    </c:plotArea>
    <c:legend>
      <c:legendPos val="r"/>
      <c:layout>
        <c:manualLayout>
          <c:xMode val="edge"/>
          <c:yMode val="edge"/>
          <c:x val="0.656548128494811"/>
          <c:y val="0.14584499854185"/>
          <c:w val="0.332582306287805"/>
          <c:h val="0.837939632545936"/>
        </c:manualLayou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3942ad14-a41c-495f-b86f-be90a294bf31}"/>
      </c:ext>
    </c:extLst>
  </c:chart>
  <c:txPr>
    <a:bodyPr/>
    <a:lstStyle/>
    <a:p>
      <a:pPr>
        <a:defRPr lang="en-US"/>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p>
      </c:txPr>
    </c:title>
    <c:autoTitleDeleted val="0"/>
    <c:view3D>
      <c:rotX val="30"/>
      <c:rotY val="0"/>
      <c:depthPercent val="100"/>
      <c:rAngAx val="0"/>
      <c:perspective val="30"/>
    </c:view3D>
    <c:floor>
      <c:thickness val="0"/>
    </c:floor>
    <c:sideWall>
      <c:thickness val="0"/>
    </c:sideWall>
    <c:backWall>
      <c:thickness val="0"/>
    </c:backWall>
    <c:plotArea>
      <c:layout/>
      <c:pie3DChart>
        <c:varyColors val="1"/>
        <c:ser>
          <c:idx val="0"/>
          <c:order val="0"/>
          <c:tx>
            <c:strRef>
              <c:f>Analiza!$AC$492</c:f>
              <c:strCache>
                <c:ptCount val="1"/>
                <c:pt idx="0">
                  <c:v>Porosječno korištena tekuća sredstva</c:v>
                </c:pt>
              </c:strCache>
            </c:strRef>
          </c:tx>
          <c:explosion val="25"/>
          <c:dPt>
            <c:idx val="0"/>
            <c:bubble3D val="0"/>
          </c:dPt>
          <c:dPt>
            <c:idx val="1"/>
            <c:bubble3D val="0"/>
          </c:dPt>
          <c:dPt>
            <c:idx val="2"/>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Analiza!$AB$493:$AB$495</c:f>
              <c:strCache>
                <c:ptCount val="3"/>
                <c:pt idx="0">
                  <c:v>Potraživanja</c:v>
                </c:pt>
                <c:pt idx="1">
                  <c:v>Gotovina -novčana sredstva</c:v>
                </c:pt>
                <c:pt idx="2">
                  <c:v>-</c:v>
                </c:pt>
              </c:strCache>
            </c:strRef>
          </c:cat>
          <c:val>
            <c:numRef>
              <c:f>Analiza!$AC$493:$AC$495</c:f>
              <c:numCache>
                <c:formatCode>#,##0</c:formatCode>
                <c:ptCount val="3"/>
                <c:pt idx="0">
                  <c:v>596021.5</c:v>
                </c:pt>
                <c:pt idx="1">
                  <c:v>1187</c:v>
                </c:pt>
                <c:pt idx="2">
                  <c:v>0</c:v>
                </c:pt>
              </c:numCache>
            </c:numRef>
          </c:val>
        </c:ser>
        <c:dLbls>
          <c:showLegendKey val="0"/>
          <c:showVal val="1"/>
          <c:showCatName val="0"/>
          <c:showSerName val="0"/>
          <c:showPercent val="0"/>
          <c:showBubbleSize val="0"/>
        </c:dLbls>
      </c:pie3DChart>
    </c:plotArea>
    <c:legend>
      <c:legendPos val="r"/>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e945afaf-fe78-4e78-95f6-969cf9d1bc4d}"/>
      </c:ext>
    </c:extLst>
  </c:chart>
  <c:txPr>
    <a:bodyPr/>
    <a:lstStyle/>
    <a:p>
      <a:pPr>
        <a:defRPr lang="en-US"/>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p>
      </c:txPr>
    </c:title>
    <c:autoTitleDeleted val="0"/>
    <c:view3D>
      <c:rotX val="30"/>
      <c:rotY val="0"/>
      <c:depthPercent val="100"/>
      <c:rAngAx val="0"/>
      <c:perspective val="30"/>
    </c:view3D>
    <c:floor>
      <c:thickness val="0"/>
    </c:floor>
    <c:sideWall>
      <c:thickness val="0"/>
    </c:sideWall>
    <c:backWall>
      <c:thickness val="0"/>
    </c:backWall>
    <c:plotArea>
      <c:layout/>
      <c:pie3DChart>
        <c:varyColors val="1"/>
        <c:ser>
          <c:idx val="0"/>
          <c:order val="0"/>
          <c:tx>
            <c:strRef>
              <c:f>Analiza!$AC$478</c:f>
              <c:strCache>
                <c:ptCount val="1"/>
                <c:pt idx="0">
                  <c:v>Porosječno korištena tekuća sredstva</c:v>
                </c:pt>
              </c:strCache>
            </c:strRef>
          </c:tx>
          <c:explosion val="25"/>
          <c:dPt>
            <c:idx val="0"/>
            <c:bubble3D val="0"/>
          </c:dPt>
          <c:dPt>
            <c:idx val="1"/>
            <c:bubble3D val="0"/>
          </c:dPt>
          <c:dPt>
            <c:idx val="2"/>
            <c:bubble3D val="0"/>
          </c:dPt>
          <c:dPt>
            <c:idx val="3"/>
            <c:bubble3D val="0"/>
          </c:dPt>
          <c:dPt>
            <c:idx val="4"/>
            <c:bubble3D val="0"/>
          </c:dPt>
          <c:dPt>
            <c:idx val="5"/>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Analiza!$AB$479:$AB$484</c:f>
              <c:strCache>
                <c:ptCount val="6"/>
                <c:pt idx="0">
                  <c:v>Dati krediti  (AOP 051)</c:v>
                </c:pt>
                <c:pt idx="1">
                  <c:v>Ostala imovina i potraživanja, uključujući i razgraničenja (AOP 059)</c:v>
                </c:pt>
                <c:pt idx="2">
                  <c:v>Kupci u zemlji (AOP 047)</c:v>
                </c:pt>
                <c:pt idx="3">
                  <c:v>-</c:v>
                </c:pt>
                <c:pt idx="4">
                  <c:v>-</c:v>
                </c:pt>
                <c:pt idx="5">
                  <c:v>Ostala tekuća (obrtna) sredstva</c:v>
                </c:pt>
              </c:strCache>
            </c:strRef>
          </c:cat>
          <c:val>
            <c:numRef>
              <c:f>Analiza!$AC$479:$AC$484</c:f>
              <c:numCache>
                <c:formatCode>#,##0</c:formatCode>
                <c:ptCount val="6"/>
                <c:pt idx="0">
                  <c:v>477303.5</c:v>
                </c:pt>
                <c:pt idx="1">
                  <c:v>97975.5</c:v>
                </c:pt>
                <c:pt idx="2">
                  <c:v>20742.5</c:v>
                </c:pt>
                <c:pt idx="3">
                  <c:v>0</c:v>
                </c:pt>
                <c:pt idx="4">
                  <c:v>0</c:v>
                </c:pt>
                <c:pt idx="5">
                  <c:v>0</c:v>
                </c:pt>
              </c:numCache>
            </c:numRef>
          </c:val>
        </c:ser>
        <c:dLbls>
          <c:showLegendKey val="0"/>
          <c:showVal val="1"/>
          <c:showCatName val="0"/>
          <c:showSerName val="0"/>
          <c:showPercent val="0"/>
          <c:showBubbleSize val="0"/>
        </c:dLbls>
      </c:pie3DChart>
    </c:plotArea>
    <c:legend>
      <c:legendPos val="r"/>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158e2fdd-5544-4a27-97cc-62ced13e9e9e}"/>
      </c:ext>
    </c:extLst>
  </c:chart>
  <c:txPr>
    <a:bodyPr/>
    <a:lstStyle/>
    <a:p>
      <a:pPr>
        <a:defRPr lang="en-US"/>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800" b="0" i="0" u="none" strike="noStrike" kern="1200" cap="none" spc="50" normalizeH="0" baseline="0">
                <a:solidFill>
                  <a:sysClr val="windowText" lastClr="000000"/>
                </a:solidFill>
                <a:latin typeface="+mn-lt"/>
                <a:ea typeface="+mj-ea"/>
                <a:cs typeface="+mj-cs"/>
              </a:defRPr>
            </a:pPr>
            <a:r>
              <a:rPr lang="en-US" sz="1800" b="1">
                <a:solidFill>
                  <a:sysClr val="windowText" lastClr="000000"/>
                </a:solidFill>
                <a:latin typeface="+mn-lt"/>
              </a:rPr>
              <a:t>Ukupno prihodi</a:t>
            </a:r>
            <a:endParaRPr lang="en-US" sz="1800" b="1">
              <a:solidFill>
                <a:sysClr val="windowText" lastClr="000000"/>
              </a:solidFill>
              <a:latin typeface="+mn-lt"/>
            </a:endParaRPr>
          </a:p>
        </c:rich>
      </c:tx>
      <c:layout/>
      <c:overlay val="0"/>
      <c:spPr>
        <a:noFill/>
        <a:ln>
          <a:noFill/>
        </a:ln>
        <a:effectLst/>
      </c:spPr>
    </c:title>
    <c:autoTitleDeleted val="0"/>
    <c:plotArea>
      <c:layout/>
      <c:barChart>
        <c:barDir val="col"/>
        <c:grouping val="clustered"/>
        <c:varyColors val="0"/>
        <c:ser>
          <c:idx val="0"/>
          <c:order val="0"/>
          <c:tx>
            <c:strRef>
              <c:f>Analiza!$AI$97</c:f>
              <c:strCache>
                <c:ptCount val="1"/>
                <c:pt idx="0">
                  <c:v>Ukupno prihodi</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Analiza!$AJ$96:$AK$96</c:f>
              <c:numCache>
                <c:formatCode>General</c:formatCode>
                <c:ptCount val="2"/>
                <c:pt idx="0">
                  <c:v>2025</c:v>
                </c:pt>
                <c:pt idx="1">
                  <c:v>2024</c:v>
                </c:pt>
              </c:numCache>
            </c:numRef>
          </c:cat>
          <c:val>
            <c:numRef>
              <c:f>Analiza!$AJ$97:$AK$97</c:f>
              <c:numCache>
                <c:formatCode>_(* #,##0_);_(* \(#,##0\);_(* "-"??_);_(@_)</c:formatCode>
                <c:ptCount val="2"/>
                <c:pt idx="0">
                  <c:v>247772</c:v>
                </c:pt>
                <c:pt idx="1">
                  <c:v>384523</c:v>
                </c:pt>
              </c:numCache>
            </c:numRef>
          </c:val>
        </c:ser>
        <c:dLbls>
          <c:showLegendKey val="0"/>
          <c:showVal val="1"/>
          <c:showCatName val="0"/>
          <c:showSerName val="0"/>
          <c:showPercent val="0"/>
          <c:showBubbleSize val="0"/>
        </c:dLbls>
        <c:gapWidth val="80"/>
        <c:overlap val="25"/>
        <c:axId val="90252032"/>
        <c:axId val="90253568"/>
      </c:barChart>
      <c:catAx>
        <c:axId val="90252032"/>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100" b="0" i="0" u="none" strike="noStrike" kern="1200" cap="none" spc="20" normalizeH="0" baseline="0">
                <a:solidFill>
                  <a:schemeClr val="tx1"/>
                </a:solidFill>
                <a:latin typeface="+mn-lt"/>
                <a:ea typeface="+mn-ea"/>
                <a:cs typeface="+mn-cs"/>
              </a:defRPr>
            </a:pPr>
          </a:p>
        </c:txPr>
        <c:crossAx val="90253568"/>
        <c:crosses val="autoZero"/>
        <c:auto val="1"/>
        <c:lblAlgn val="ctr"/>
        <c:lblOffset val="100"/>
        <c:noMultiLvlLbl val="0"/>
      </c:catAx>
      <c:valAx>
        <c:axId val="90253568"/>
        <c:scaling>
          <c:orientation val="minMax"/>
          <c:min val="0"/>
        </c:scaling>
        <c:delete val="0"/>
        <c:axPos val="l"/>
        <c:majorGridlines>
          <c:spPr>
            <a:ln w="9525" cap="flat" cmpd="sng" algn="ctr">
              <a:solidFill>
                <a:schemeClr val="tx1">
                  <a:lumMod val="5000"/>
                  <a:lumOff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spc="20" baseline="0">
                <a:solidFill>
                  <a:schemeClr val="tx1">
                    <a:lumMod val="65000"/>
                    <a:lumOff val="35000"/>
                  </a:schemeClr>
                </a:solidFill>
                <a:latin typeface="+mn-lt"/>
                <a:ea typeface="+mn-ea"/>
                <a:cs typeface="+mn-cs"/>
              </a:defRPr>
            </a:pPr>
          </a:p>
        </c:txPr>
        <c:crossAx val="90252032"/>
        <c:crosses val="autoZero"/>
        <c:crossBetween val="between"/>
      </c:valAx>
      <c:spPr>
        <a:noFill/>
        <a:ln>
          <a:noFill/>
        </a:ln>
        <a:effectLst/>
      </c:spPr>
    </c:plotArea>
    <c:plotVisOnly val="1"/>
    <c:dispBlanksAs val="gap"/>
    <c:showDLblsOverMax val="0"/>
    <c:extLst>
      <c:ext uri="{0b15fc19-7d7d-44ad-8c2d-2c3a37ce22c3}">
        <chartProps xmlns="https://web.wps.cn/et/2018/main" chartId="{d51008b5-68a8-43a2-8a09-57ba1dc54f96}"/>
      </c:ext>
    </c:extLst>
  </c:chart>
  <c:spPr>
    <a:solidFill>
      <a:schemeClr val="lt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4"/>
    </mc:Choice>
    <mc:Fallback>
      <c:style val="4"/>
    </mc:Fallback>
  </mc:AlternateContent>
  <c:chart>
    <c:title>
      <c:layout/>
      <c:overlay val="0"/>
      <c:spPr>
        <a:noFill/>
        <a:ln>
          <a:noFill/>
        </a:ln>
        <a:effectLst/>
      </c:spPr>
      <c:txPr>
        <a:bodyPr rot="0" spcFirstLastPara="1" vertOverflow="ellipsis" vert="horz" wrap="square" anchor="ctr" anchorCtr="1"/>
        <a:lstStyle/>
        <a:p>
          <a:pPr>
            <a:defRPr lang="en-US" sz="1800" b="1" i="0" u="none" strike="noStrike" kern="1200" cap="none" spc="50" normalizeH="0" baseline="0">
              <a:solidFill>
                <a:schemeClr val="tx1"/>
              </a:solidFill>
              <a:latin typeface="+mn-lt"/>
              <a:ea typeface="+mj-ea"/>
              <a:cs typeface="+mj-cs"/>
            </a:defRPr>
          </a:pPr>
        </a:p>
      </c:txPr>
    </c:title>
    <c:autoTitleDeleted val="0"/>
    <c:plotArea>
      <c:layout/>
      <c:barChart>
        <c:barDir val="col"/>
        <c:grouping val="clustered"/>
        <c:varyColors val="0"/>
        <c:ser>
          <c:idx val="0"/>
          <c:order val="0"/>
          <c:tx>
            <c:strRef>
              <c:f>Analiza!$AH$210</c:f>
              <c:strCache>
                <c:ptCount val="1"/>
                <c:pt idx="0">
                  <c:v>Ukupni rashodi</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Analiza!$AI$209:$AJ$209</c:f>
              <c:numCache>
                <c:formatCode>General</c:formatCode>
                <c:ptCount val="2"/>
                <c:pt idx="0">
                  <c:v>2025</c:v>
                </c:pt>
                <c:pt idx="1">
                  <c:v>2024</c:v>
                </c:pt>
              </c:numCache>
            </c:numRef>
          </c:cat>
          <c:val>
            <c:numRef>
              <c:f>Analiza!$AI$210:$AJ$210</c:f>
              <c:numCache>
                <c:formatCode>_(* #,##0_);_(* \(#,##0\);_(* "-"??_);_(@_)</c:formatCode>
                <c:ptCount val="2"/>
                <c:pt idx="0">
                  <c:v>306969</c:v>
                </c:pt>
                <c:pt idx="1">
                  <c:v>285281</c:v>
                </c:pt>
              </c:numCache>
            </c:numRef>
          </c:val>
        </c:ser>
        <c:dLbls>
          <c:showLegendKey val="0"/>
          <c:showVal val="1"/>
          <c:showCatName val="0"/>
          <c:showSerName val="0"/>
          <c:showPercent val="0"/>
          <c:showBubbleSize val="0"/>
        </c:dLbls>
        <c:gapWidth val="80"/>
        <c:overlap val="25"/>
        <c:axId val="90307584"/>
        <c:axId val="90182400"/>
      </c:barChart>
      <c:catAx>
        <c:axId val="9030758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100" b="0" i="0" u="none" strike="noStrike" kern="1200" cap="none" spc="20" normalizeH="0" baseline="0">
                <a:solidFill>
                  <a:schemeClr val="tx1"/>
                </a:solidFill>
                <a:latin typeface="+mn-lt"/>
                <a:ea typeface="+mn-ea"/>
                <a:cs typeface="+mn-cs"/>
              </a:defRPr>
            </a:pPr>
          </a:p>
        </c:txPr>
        <c:crossAx val="90182400"/>
        <c:crosses val="autoZero"/>
        <c:auto val="1"/>
        <c:lblAlgn val="ctr"/>
        <c:lblOffset val="100"/>
        <c:noMultiLvlLbl val="0"/>
      </c:catAx>
      <c:valAx>
        <c:axId val="90182400"/>
        <c:scaling>
          <c:orientation val="minMax"/>
          <c:min val="0"/>
        </c:scaling>
        <c:delete val="0"/>
        <c:axPos val="l"/>
        <c:majorGridlines>
          <c:spPr>
            <a:ln w="9525" cap="flat" cmpd="sng" algn="ctr">
              <a:solidFill>
                <a:schemeClr val="tx1">
                  <a:lumMod val="5000"/>
                  <a:lumOff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spc="20" baseline="0">
                <a:solidFill>
                  <a:schemeClr val="tx1">
                    <a:lumMod val="65000"/>
                    <a:lumOff val="35000"/>
                  </a:schemeClr>
                </a:solidFill>
                <a:latin typeface="+mn-lt"/>
                <a:ea typeface="+mn-ea"/>
                <a:cs typeface="+mn-cs"/>
              </a:defRPr>
            </a:pPr>
          </a:p>
        </c:txPr>
        <c:crossAx val="90307584"/>
        <c:crosses val="autoZero"/>
        <c:crossBetween val="between"/>
      </c:valAx>
      <c:spPr>
        <a:noFill/>
        <a:ln>
          <a:noFill/>
        </a:ln>
        <a:effectLst/>
      </c:spPr>
    </c:plotArea>
    <c:plotVisOnly val="1"/>
    <c:dispBlanksAs val="gap"/>
    <c:showDLblsOverMax val="0"/>
    <c:extLst>
      <c:ext uri="{0b15fc19-7d7d-44ad-8c2d-2c3a37ce22c3}">
        <chartProps xmlns="https://web.wps.cn/et/2018/main" chartId="{1355a6d7-c060-4ec7-86b6-2f30ad61ff54}"/>
      </c:ext>
    </c:extLst>
  </c:chart>
  <c:spPr>
    <a:solidFill>
      <a:schemeClr val="lt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sz="1800" b="1">
                <a:solidFill>
                  <a:schemeClr val="tx1"/>
                </a:solidFill>
              </a:rPr>
              <a:t>Struktura</a:t>
            </a:r>
            <a:r>
              <a:rPr lang="bs-Latn-BA" sz="1800" b="1">
                <a:solidFill>
                  <a:schemeClr val="tx1"/>
                </a:solidFill>
              </a:rPr>
              <a:t> rashoda</a:t>
            </a:r>
            <a:r>
              <a:rPr lang="en-US" sz="1800" b="1">
                <a:solidFill>
                  <a:schemeClr val="tx1"/>
                </a:solidFill>
              </a:rPr>
              <a:t> </a:t>
            </a:r>
            <a:endParaRPr lang="en-US" sz="1800" b="1">
              <a:solidFill>
                <a:schemeClr val="tx1"/>
              </a:solidFill>
            </a:endParaRPr>
          </a:p>
        </c:rich>
      </c:tx>
      <c:layout/>
      <c:overlay val="0"/>
      <c:spPr>
        <a:noFill/>
        <a:ln>
          <a:noFill/>
        </a:ln>
        <a:effectLst/>
      </c:spPr>
    </c:title>
    <c:autoTitleDeleted val="0"/>
    <c:view3D>
      <c:rotX val="30"/>
      <c:rotY val="0"/>
      <c:depthPercent val="100"/>
      <c:rAngAx val="0"/>
      <c:perspective val="30"/>
    </c:view3D>
    <c:floor>
      <c:thickness val="0"/>
      <c:spPr>
        <a:noFill/>
        <a:ln>
          <a:noFill/>
        </a:ln>
        <a:effectLst/>
      </c:spPr>
    </c:floor>
    <c:sideWall>
      <c:thickness val="0"/>
      <c:spPr>
        <a:noFill/>
        <a:ln>
          <a:noFill/>
        </a:ln>
        <a:effectLst/>
      </c:spPr>
    </c:sideWall>
    <c:backWall>
      <c:thickness val="0"/>
      <c:spPr>
        <a:noFill/>
        <a:ln>
          <a:noFill/>
        </a:ln>
        <a:effectLst/>
      </c:spPr>
    </c:backWall>
    <c:plotArea>
      <c:layout/>
      <c:pie3DChart>
        <c:varyColors val="1"/>
        <c:ser>
          <c:idx val="0"/>
          <c:order val="0"/>
          <c:explosion val="0"/>
          <c:dPt>
            <c:idx val="0"/>
            <c:bubble3D val="0"/>
            <c:spPr>
              <a:solidFill>
                <a:schemeClr val="accent1"/>
              </a:solidFill>
              <a:ln w="25400">
                <a:solidFill>
                  <a:schemeClr val="lt1"/>
                </a:solidFill>
              </a:ln>
              <a:effectLst/>
              <a:scene3d>
                <a:camera prst="orthographicFront"/>
                <a:lightRig rig="threePt" dir="t"/>
              </a:scene3d>
              <a:sp3d contourW="25400">
                <a:contourClr>
                  <a:schemeClr val="lt1"/>
                </a:contourClr>
              </a:sp3d>
            </c:spPr>
          </c:dPt>
          <c:dPt>
            <c:idx val="1"/>
            <c:bubble3D val="0"/>
            <c:spPr>
              <a:solidFill>
                <a:schemeClr val="accent2"/>
              </a:solidFill>
              <a:ln w="25400">
                <a:solidFill>
                  <a:schemeClr val="lt1"/>
                </a:solidFill>
              </a:ln>
              <a:effectLst/>
              <a:scene3d>
                <a:camera prst="orthographicFront"/>
                <a:lightRig rig="threePt" dir="t"/>
              </a:scene3d>
              <a:sp3d contourW="25400">
                <a:contourClr>
                  <a:schemeClr val="lt1"/>
                </a:contourClr>
              </a:sp3d>
            </c:spPr>
          </c:dPt>
          <c:dPt>
            <c:idx val="2"/>
            <c:bubble3D val="0"/>
            <c:spPr>
              <a:solidFill>
                <a:schemeClr val="accent3"/>
              </a:solidFill>
              <a:ln w="25400">
                <a:solidFill>
                  <a:schemeClr val="lt1"/>
                </a:solidFill>
              </a:ln>
              <a:effectLst/>
              <a:scene3d>
                <a:camera prst="orthographicFront"/>
                <a:lightRig rig="threePt" dir="t"/>
              </a:scene3d>
              <a:sp3d contourW="25400">
                <a:contourClr>
                  <a:schemeClr val="lt1"/>
                </a:contourClr>
              </a:sp3d>
            </c:spPr>
          </c:dPt>
          <c:dLbls>
            <c:delete val="1"/>
          </c:dLbls>
          <c:cat>
            <c:strRef>
              <c:f>Analiza!$AH$213:$AH$215</c:f>
              <c:strCache>
                <c:ptCount val="3"/>
                <c:pt idx="0">
                  <c:v>Poslovni</c:v>
                </c:pt>
                <c:pt idx="1">
                  <c:v>Ostali rashodi</c:v>
                </c:pt>
              </c:strCache>
            </c:strRef>
          </c:cat>
          <c:val>
            <c:numRef>
              <c:f>Analiza!$AI$213:$AI$215</c:f>
              <c:numCache>
                <c:formatCode>_(* #,##0_);_(* \(#,##0\);_(* "-"??_);_(@_)</c:formatCode>
                <c:ptCount val="3"/>
                <c:pt idx="0">
                  <c:v>292171</c:v>
                </c:pt>
                <c:pt idx="1">
                  <c:v>14798</c:v>
                </c:pt>
              </c:numCache>
            </c:numRef>
          </c:val>
        </c:ser>
        <c:dLbls>
          <c:showLegendKey val="0"/>
          <c:showVal val="0"/>
          <c:showCatName val="0"/>
          <c:showSerName val="0"/>
          <c:showPercent val="0"/>
          <c:showBubbleSize val="0"/>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c74ce07e-a49f-47e0-aebc-722611d9b220}"/>
      </c:ext>
    </c:extLst>
  </c:chart>
  <c:spPr>
    <a:solidFill>
      <a:schemeClr val="bg1"/>
    </a:solidFill>
    <a:ln w="9525" cap="flat" cmpd="sng" algn="ctr">
      <a:solidFill>
        <a:schemeClr val="tx1">
          <a:lumMod val="15000"/>
          <a:lumOff val="85000"/>
        </a:schemeClr>
      </a:solidFill>
      <a:prstDash val="solid"/>
      <a:round/>
    </a:ln>
    <a:effectLst/>
  </c:spPr>
  <c:txPr>
    <a:bodyPr/>
    <a:lstStyle/>
    <a:p>
      <a:pPr>
        <a:defRPr lang="en-US"/>
      </a:pP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800" b="1" i="0" u="none" strike="noStrike" kern="1200" spc="0" baseline="0">
                <a:solidFill>
                  <a:schemeClr val="tx1"/>
                </a:solidFill>
                <a:latin typeface="+mn-lt"/>
                <a:ea typeface="+mn-ea"/>
                <a:cs typeface="+mn-cs"/>
              </a:defRPr>
            </a:pPr>
            <a:r>
              <a:rPr lang="en-US" sz="1800" b="1">
                <a:solidFill>
                  <a:schemeClr val="tx1"/>
                </a:solidFill>
                <a:latin typeface="+mn-lt"/>
              </a:rPr>
              <a:t>Struktura prihoda</a:t>
            </a:r>
            <a:endParaRPr lang="en-US" sz="1800" b="1">
              <a:solidFill>
                <a:schemeClr val="tx1"/>
              </a:solidFill>
              <a:latin typeface="+mn-lt"/>
            </a:endParaRPr>
          </a:p>
        </c:rich>
      </c:tx>
      <c:layout/>
      <c:overlay val="0"/>
      <c:spPr>
        <a:noFill/>
        <a:ln>
          <a:noFill/>
        </a:ln>
        <a:effectLst/>
      </c:spPr>
    </c:title>
    <c:autoTitleDeleted val="0"/>
    <c:view3D>
      <c:rotX val="30"/>
      <c:rotY val="0"/>
      <c:depthPercent val="100"/>
      <c:rAngAx val="0"/>
      <c:perspective val="30"/>
    </c:view3D>
    <c:floor>
      <c:thickness val="0"/>
      <c:spPr>
        <a:noFill/>
        <a:ln>
          <a:noFill/>
        </a:ln>
        <a:effectLst/>
      </c:spPr>
    </c:floor>
    <c:sideWall>
      <c:thickness val="0"/>
      <c:spPr>
        <a:noFill/>
        <a:ln>
          <a:noFill/>
        </a:ln>
        <a:effectLst/>
      </c:spPr>
    </c:sideWall>
    <c:backWall>
      <c:thickness val="0"/>
      <c:spPr>
        <a:noFill/>
        <a:ln>
          <a:noFill/>
        </a:ln>
        <a:effectLst/>
      </c:spPr>
    </c:backWall>
    <c:plotArea>
      <c:layout/>
      <c:pie3DChart>
        <c:varyColors val="1"/>
        <c:ser>
          <c:idx val="0"/>
          <c:order val="0"/>
          <c:explosion val="0"/>
          <c:dPt>
            <c:idx val="0"/>
            <c:bubble3D val="0"/>
            <c:spPr>
              <a:solidFill>
                <a:schemeClr val="accent1"/>
              </a:solidFill>
              <a:ln w="25400">
                <a:solidFill>
                  <a:schemeClr val="lt1"/>
                </a:solidFill>
              </a:ln>
              <a:effectLst/>
              <a:scene3d>
                <a:camera prst="orthographicFront"/>
                <a:lightRig rig="threePt" dir="t"/>
              </a:scene3d>
              <a:sp3d contourW="25400">
                <a:contourClr>
                  <a:schemeClr val="lt1"/>
                </a:contourClr>
              </a:sp3d>
            </c:spPr>
          </c:dPt>
          <c:dPt>
            <c:idx val="1"/>
            <c:bubble3D val="0"/>
            <c:spPr>
              <a:solidFill>
                <a:schemeClr val="accent2"/>
              </a:solidFill>
              <a:ln w="25400">
                <a:solidFill>
                  <a:schemeClr val="lt1"/>
                </a:solidFill>
              </a:ln>
              <a:effectLst/>
              <a:scene3d>
                <a:camera prst="orthographicFront"/>
                <a:lightRig rig="threePt" dir="t"/>
              </a:scene3d>
              <a:sp3d contourW="25400">
                <a:contourClr>
                  <a:schemeClr val="lt1"/>
                </a:contourClr>
              </a:sp3d>
            </c:spPr>
          </c:dPt>
          <c:dPt>
            <c:idx val="2"/>
            <c:bubble3D val="0"/>
            <c:spPr>
              <a:solidFill>
                <a:schemeClr val="accent3"/>
              </a:solidFill>
              <a:ln w="25400">
                <a:solidFill>
                  <a:schemeClr val="lt1"/>
                </a:solidFill>
              </a:ln>
              <a:effectLst/>
              <a:scene3d>
                <a:camera prst="orthographicFront"/>
                <a:lightRig rig="threePt" dir="t"/>
              </a:scene3d>
              <a:sp3d contourW="25400">
                <a:contourClr>
                  <a:schemeClr val="lt1"/>
                </a:contourClr>
              </a:sp3d>
            </c:spPr>
          </c:dPt>
          <c:dLbls>
            <c:delete val="1"/>
          </c:dLbls>
          <c:cat>
            <c:strRef>
              <c:f>Analiza!$AI$100:$AI$102</c:f>
              <c:strCache>
                <c:ptCount val="3"/>
                <c:pt idx="0">
                  <c:v>Poslovni</c:v>
                </c:pt>
                <c:pt idx="1">
                  <c:v>Ostali prihodi</c:v>
                </c:pt>
              </c:strCache>
            </c:strRef>
          </c:cat>
          <c:val>
            <c:numRef>
              <c:f>Analiza!$AJ$100:$AJ$102</c:f>
              <c:numCache>
                <c:formatCode>_(* #,##0_);_(* \(#,##0\);_(* "-"??_);_(@_)</c:formatCode>
                <c:ptCount val="3"/>
                <c:pt idx="0">
                  <c:v>245707</c:v>
                </c:pt>
                <c:pt idx="1">
                  <c:v>2065</c:v>
                </c:pt>
              </c:numCache>
            </c:numRef>
          </c:val>
        </c:ser>
        <c:dLbls>
          <c:showLegendKey val="0"/>
          <c:showVal val="0"/>
          <c:showCatName val="0"/>
          <c:showSerName val="0"/>
          <c:showPercent val="0"/>
          <c:showBubbleSize val="0"/>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f72df07f-6cc3-41b4-9725-36beb9edbf1b}"/>
      </c:ext>
    </c:extLst>
  </c:chart>
  <c:spPr>
    <a:solidFill>
      <a:schemeClr val="bg1"/>
    </a:solidFill>
    <a:ln w="9525" cap="flat" cmpd="sng" algn="ctr">
      <a:solidFill>
        <a:schemeClr val="tx1">
          <a:lumMod val="15000"/>
          <a:lumOff val="85000"/>
        </a:schemeClr>
      </a:solidFill>
      <a:prstDash val="solid"/>
      <a:round/>
    </a:ln>
    <a:effectLst/>
  </c:spPr>
  <c:txPr>
    <a:bodyPr/>
    <a:lstStyle/>
    <a:p>
      <a:pPr>
        <a:defRPr lang="en-US"/>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10"/>
    </mc:Choice>
    <mc:Fallback>
      <c:style val="10"/>
    </mc:Fallback>
  </mc:AlternateContent>
  <c:chart>
    <c:title>
      <c:layout/>
      <c:overlay val="0"/>
      <c:txPr>
        <a:bodyPr rot="0" spcFirstLastPara="0" vertOverflow="ellipsis" vert="horz" wrap="square" anchor="ctr" anchorCtr="1"/>
        <a:lstStyle/>
        <a:p>
          <a:pPr>
            <a:defRPr lang="hr-BA" sz="1800" b="1" i="0" u="none" strike="noStrike" kern="1200" baseline="0">
              <a:solidFill>
                <a:schemeClr val="tx1"/>
              </a:solidFill>
              <a:latin typeface="+mn-lt"/>
              <a:ea typeface="+mn-ea"/>
              <a:cs typeface="+mn-cs"/>
            </a:defRPr>
          </a:pPr>
        </a:p>
      </c:txPr>
    </c:title>
    <c:autoTitleDeleted val="0"/>
    <c:view3D>
      <c:rotX val="30"/>
      <c:rotY val="0"/>
      <c:depthPercent val="100"/>
      <c:rAngAx val="0"/>
      <c:perspective val="0"/>
    </c:view3D>
    <c:floor>
      <c:thickness val="0"/>
    </c:floor>
    <c:sideWall>
      <c:thickness val="0"/>
    </c:sideWall>
    <c:backWall>
      <c:thickness val="0"/>
    </c:backWall>
    <c:plotArea>
      <c:layout/>
      <c:pie3DChart>
        <c:varyColors val="1"/>
        <c:ser>
          <c:idx val="0"/>
          <c:order val="0"/>
          <c:tx>
            <c:strRef>
              <c:f>Analiza!$AK$413</c:f>
              <c:strCache>
                <c:ptCount val="1"/>
                <c:pt idx="0">
                  <c:v>2024</c:v>
                </c:pt>
              </c:strCache>
            </c:strRef>
          </c:tx>
          <c:explosion val="25"/>
          <c:dPt>
            <c:idx val="0"/>
            <c:bubble3D val="0"/>
          </c:dPt>
          <c:dPt>
            <c:idx val="1"/>
            <c:bubble3D val="0"/>
          </c:dPt>
          <c:dPt>
            <c:idx val="2"/>
            <c:bubble3D val="0"/>
          </c:dPt>
          <c:dLbls>
            <c:dLbl>
              <c:idx val="0"/>
              <c:layout>
                <c:manualLayout>
                  <c:x val="0.0239065254108583"/>
                  <c:y val="-0.00387870201345939"/>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0.078083796234509"/>
                  <c:y val="0.00073490813648294"/>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ext>
            </c:extLst>
          </c:dLbls>
          <c:cat>
            <c:strRef>
              <c:f>Analiza!$AJ$414:$AJ$416</c:f>
              <c:strCache>
                <c:ptCount val="3"/>
                <c:pt idx="0">
                  <c:v>Dugoročna imovina</c:v>
                </c:pt>
                <c:pt idx="1">
                  <c:v>Kratkoročna imovina</c:v>
                </c:pt>
              </c:strCache>
            </c:strRef>
          </c:cat>
          <c:val>
            <c:numRef>
              <c:f>Analiza!$AK$414:$AK$416</c:f>
              <c:numCache>
                <c:formatCode>_(* #,##0_);_(* \(#,##0\);_(* "-"??_);_(@_)</c:formatCode>
                <c:ptCount val="3"/>
                <c:pt idx="0">
                  <c:v>151656</c:v>
                </c:pt>
                <c:pt idx="1">
                  <c:v>617225</c:v>
                </c:pt>
              </c:numCache>
            </c:numRef>
          </c:val>
        </c:ser>
        <c:dLbls>
          <c:showLegendKey val="0"/>
          <c:showVal val="0"/>
          <c:showCatName val="0"/>
          <c:showSerName val="0"/>
          <c:showPercent val="1"/>
          <c:showBubbleSize val="0"/>
        </c:dLbls>
      </c:pie3DChart>
    </c:plotArea>
    <c:legend>
      <c:legendPos val="t"/>
      <c:layout/>
      <c:overlay val="0"/>
      <c:txPr>
        <a:bodyPr rot="0" spcFirstLastPara="0" vertOverflow="ellipsis" vert="horz" wrap="square" anchor="ctr" anchorCtr="1"/>
        <a:lstStyle/>
        <a:p>
          <a:pPr>
            <a:defRPr lang="hr-BA"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da807619-a42f-49e9-a4be-78c831377ba7}"/>
      </c:ext>
    </c:extLst>
  </c:chart>
  <c:txPr>
    <a:bodyPr/>
    <a:lstStyle/>
    <a:p>
      <a:pPr>
        <a:defRPr lang="en-US"/>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10"/>
    </mc:Choice>
    <mc:Fallback>
      <c:style val="10"/>
    </mc:Fallback>
  </mc:AlternateContent>
  <c:chart>
    <c:title>
      <c:layout/>
      <c:overlay val="0"/>
      <c:txPr>
        <a:bodyPr rot="0" spcFirstLastPara="0" vertOverflow="ellipsis" vert="horz" wrap="square" anchor="ctr" anchorCtr="1"/>
        <a:lstStyle/>
        <a:p>
          <a:pPr>
            <a:defRPr lang="hr-BA" sz="1800" b="1" i="0" u="none" strike="noStrike" kern="1200" baseline="0">
              <a:solidFill>
                <a:schemeClr val="tx1"/>
              </a:solidFill>
              <a:latin typeface="+mn-lt"/>
              <a:ea typeface="+mn-ea"/>
              <a:cs typeface="+mn-cs"/>
            </a:defRPr>
          </a:pPr>
        </a:p>
      </c:txPr>
    </c:title>
    <c:autoTitleDeleted val="0"/>
    <c:view3D>
      <c:rotX val="30"/>
      <c:rotY val="0"/>
      <c:depthPercent val="100"/>
      <c:rAngAx val="0"/>
      <c:perspective val="0"/>
    </c:view3D>
    <c:floor>
      <c:thickness val="0"/>
    </c:floor>
    <c:sideWall>
      <c:thickness val="0"/>
    </c:sideWall>
    <c:backWall>
      <c:thickness val="0"/>
    </c:backWall>
    <c:plotArea>
      <c:layout/>
      <c:pie3DChart>
        <c:varyColors val="1"/>
        <c:ser>
          <c:idx val="0"/>
          <c:order val="0"/>
          <c:tx>
            <c:strRef>
              <c:f>Analiza!$AM$556</c:f>
              <c:strCache>
                <c:ptCount val="1"/>
                <c:pt idx="0">
                  <c:v>2025</c:v>
                </c:pt>
              </c:strCache>
            </c:strRef>
          </c:tx>
          <c:explosion val="25"/>
          <c:dPt>
            <c:idx val="0"/>
            <c:bubble3D val="0"/>
          </c:dPt>
          <c:dPt>
            <c:idx val="1"/>
            <c:bubble3D val="0"/>
          </c:dPt>
          <c:dPt>
            <c:idx val="2"/>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ext>
            </c:extLst>
          </c:dLbls>
          <c:cat>
            <c:strRef>
              <c:f>Analiza!$AL$557:$AL$559</c:f>
              <c:strCache>
                <c:ptCount val="3"/>
                <c:pt idx="0">
                  <c:v>Vl.kapital</c:v>
                </c:pt>
                <c:pt idx="1">
                  <c:v>Dug.obav.</c:v>
                </c:pt>
                <c:pt idx="2">
                  <c:v>Kratk. obav.</c:v>
                </c:pt>
              </c:strCache>
            </c:strRef>
          </c:cat>
          <c:val>
            <c:numRef>
              <c:f>Analiza!$AM$557:$AM$559</c:f>
              <c:numCache>
                <c:formatCode>_(* #,##0_);_(* \(#,##0\);_(* "-"??_);_(@_)</c:formatCode>
                <c:ptCount val="3"/>
                <c:pt idx="0">
                  <c:v>309265</c:v>
                </c:pt>
                <c:pt idx="1">
                  <c:v>0</c:v>
                </c:pt>
                <c:pt idx="2">
                  <c:v>290034</c:v>
                </c:pt>
              </c:numCache>
            </c:numRef>
          </c:val>
        </c:ser>
        <c:dLbls>
          <c:showLegendKey val="0"/>
          <c:showVal val="0"/>
          <c:showCatName val="0"/>
          <c:showSerName val="0"/>
          <c:showPercent val="1"/>
          <c:showBubbleSize val="0"/>
        </c:dLbls>
      </c:pie3DChart>
    </c:plotArea>
    <c:legend>
      <c:legendPos val="t"/>
      <c:layout/>
      <c:overlay val="0"/>
      <c:txPr>
        <a:bodyPr rot="0" spcFirstLastPara="0" vertOverflow="ellipsis" vert="horz" wrap="square" anchor="ctr" anchorCtr="1"/>
        <a:lstStyle/>
        <a:p>
          <a:pPr>
            <a:defRPr lang="hr-BA"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ddc32e34-10c7-4428-a696-bb8a782a2b20}"/>
      </c:ext>
    </c:extLst>
  </c:chart>
  <c:txPr>
    <a:bodyPr/>
    <a:lstStyle/>
    <a:p>
      <a:pPr>
        <a:defRPr lang="en-US"/>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10"/>
    </mc:Choice>
    <mc:Fallback>
      <c:style val="10"/>
    </mc:Fallback>
  </mc:AlternateContent>
  <c:chart>
    <c:title>
      <c:layout/>
      <c:overlay val="0"/>
      <c:txPr>
        <a:bodyPr rot="0" spcFirstLastPara="0" vertOverflow="ellipsis" vert="horz" wrap="square" anchor="ctr" anchorCtr="1"/>
        <a:lstStyle/>
        <a:p>
          <a:pPr>
            <a:defRPr lang="hr-BA" sz="1800" b="1" i="0" u="none" strike="noStrike" kern="1200" baseline="0">
              <a:solidFill>
                <a:schemeClr val="tx1"/>
              </a:solidFill>
              <a:latin typeface="+mn-lt"/>
              <a:ea typeface="+mn-ea"/>
              <a:cs typeface="+mn-cs"/>
            </a:defRPr>
          </a:pPr>
        </a:p>
      </c:txPr>
    </c:title>
    <c:autoTitleDeleted val="0"/>
    <c:view3D>
      <c:rotX val="30"/>
      <c:rotY val="0"/>
      <c:depthPercent val="100"/>
      <c:rAngAx val="0"/>
      <c:perspective val="0"/>
    </c:view3D>
    <c:floor>
      <c:thickness val="0"/>
    </c:floor>
    <c:sideWall>
      <c:thickness val="0"/>
    </c:sideWall>
    <c:backWall>
      <c:thickness val="0"/>
    </c:backWall>
    <c:plotArea>
      <c:layout/>
      <c:pie3DChart>
        <c:varyColors val="1"/>
        <c:ser>
          <c:idx val="0"/>
          <c:order val="0"/>
          <c:tx>
            <c:strRef>
              <c:f>Analiza!$AM$561</c:f>
              <c:strCache>
                <c:ptCount val="1"/>
                <c:pt idx="0">
                  <c:v>2024</c:v>
                </c:pt>
              </c:strCache>
            </c:strRef>
          </c:tx>
          <c:explosion val="25"/>
          <c:dPt>
            <c:idx val="0"/>
            <c:bubble3D val="0"/>
          </c:dPt>
          <c:dPt>
            <c:idx val="1"/>
            <c:bubble3D val="0"/>
          </c:dPt>
          <c:dPt>
            <c:idx val="2"/>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ext>
            </c:extLst>
          </c:dLbls>
          <c:cat>
            <c:strRef>
              <c:f>Analiza!$AL$562:$AL$564</c:f>
              <c:strCache>
                <c:ptCount val="3"/>
                <c:pt idx="0">
                  <c:v>Vl.kapital</c:v>
                </c:pt>
                <c:pt idx="1">
                  <c:v>Dug. obav.</c:v>
                </c:pt>
                <c:pt idx="2">
                  <c:v>Kratk.obav.</c:v>
                </c:pt>
              </c:strCache>
            </c:strRef>
          </c:cat>
          <c:val>
            <c:numRef>
              <c:f>Analiza!$AM$562:$AM$564</c:f>
              <c:numCache>
                <c:formatCode>_(* #,##0_);_(* \(#,##0\);_(* "-"??_);_(@_)</c:formatCode>
                <c:ptCount val="3"/>
                <c:pt idx="0">
                  <c:v>459768</c:v>
                </c:pt>
                <c:pt idx="1">
                  <c:v>16678</c:v>
                </c:pt>
                <c:pt idx="2">
                  <c:v>292435</c:v>
                </c:pt>
              </c:numCache>
            </c:numRef>
          </c:val>
        </c:ser>
        <c:dLbls>
          <c:showLegendKey val="0"/>
          <c:showVal val="0"/>
          <c:showCatName val="0"/>
          <c:showSerName val="0"/>
          <c:showPercent val="1"/>
          <c:showBubbleSize val="0"/>
        </c:dLbls>
      </c:pie3DChart>
    </c:plotArea>
    <c:legend>
      <c:legendPos val="t"/>
      <c:layout/>
      <c:overlay val="0"/>
      <c:txPr>
        <a:bodyPr rot="0" spcFirstLastPara="0" vertOverflow="ellipsis" vert="horz" wrap="square" anchor="ctr" anchorCtr="1"/>
        <a:lstStyle/>
        <a:p>
          <a:pPr>
            <a:defRPr lang="hr-BA"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1526c098-36cb-467b-82a3-ddc1caf03a9b}"/>
      </c:ext>
    </c:extLst>
  </c:chart>
  <c:txPr>
    <a:bodyPr/>
    <a:lstStyle/>
    <a:p>
      <a:pPr>
        <a:defRPr lang="en-US"/>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r>
              <a:rPr lang="hr-BA"/>
              <a:t>Struktura pasive</a:t>
            </a:r>
            <a:endParaRPr lang="hr-BA"/>
          </a:p>
        </c:rich>
      </c:tx>
      <c:layout/>
      <c:overlay val="0"/>
    </c:title>
    <c:autoTitleDeleted val="0"/>
    <c:plotArea>
      <c:layout>
        <c:manualLayout>
          <c:layoutTarget val="inner"/>
          <c:xMode val="edge"/>
          <c:yMode val="edge"/>
          <c:x val="0.039426523297491"/>
          <c:y val="0.221285553591515"/>
          <c:w val="0.921146953405018"/>
          <c:h val="0.690103379934637"/>
        </c:manualLayout>
      </c:layout>
      <c:barChart>
        <c:barDir val="col"/>
        <c:grouping val="stacked"/>
        <c:varyColors val="0"/>
        <c:ser>
          <c:idx val="0"/>
          <c:order val="0"/>
          <c:tx>
            <c:strRef>
              <c:f>Analiza!$AK$435</c:f>
              <c:strCache>
                <c:ptCount val="1"/>
                <c:pt idx="0">
                  <c:v>Kapital</c:v>
                </c:pt>
              </c:strCache>
            </c:strRef>
          </c:tx>
          <c:invertIfNegative val="0"/>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Analiza!$AL$434:$AM$434</c:f>
              <c:numCache>
                <c:formatCode>General</c:formatCode>
                <c:ptCount val="2"/>
                <c:pt idx="0">
                  <c:v>2025</c:v>
                </c:pt>
                <c:pt idx="1">
                  <c:v>2024</c:v>
                </c:pt>
              </c:numCache>
            </c:numRef>
          </c:cat>
          <c:val>
            <c:numRef>
              <c:f>Analiza!$AL$435:$AM$435</c:f>
              <c:numCache>
                <c:formatCode>_(* #,##0_);_(* \(#,##0\);_(* "-"??_);_(@_)</c:formatCode>
                <c:ptCount val="2"/>
                <c:pt idx="0">
                  <c:v>309265</c:v>
                </c:pt>
                <c:pt idx="1">
                  <c:v>459768</c:v>
                </c:pt>
              </c:numCache>
            </c:numRef>
          </c:val>
        </c:ser>
        <c:ser>
          <c:idx val="1"/>
          <c:order val="1"/>
          <c:tx>
            <c:strRef>
              <c:f>Analiza!$AK$436</c:f>
              <c:strCache>
                <c:ptCount val="1"/>
                <c:pt idx="0">
                  <c:v>Dugor. obaveze</c:v>
                </c:pt>
              </c:strCache>
            </c:strRef>
          </c:tx>
          <c:invertIfNegative val="0"/>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Analiza!$AL$434:$AM$434</c:f>
              <c:numCache>
                <c:formatCode>General</c:formatCode>
                <c:ptCount val="2"/>
                <c:pt idx="0">
                  <c:v>2025</c:v>
                </c:pt>
                <c:pt idx="1">
                  <c:v>2024</c:v>
                </c:pt>
              </c:numCache>
            </c:numRef>
          </c:cat>
          <c:val>
            <c:numRef>
              <c:f>Analiza!$AL$436:$AM$436</c:f>
              <c:numCache>
                <c:formatCode>_(* #,##0_);_(* \(#,##0\);_(* "-"??_);_(@_)</c:formatCode>
                <c:ptCount val="2"/>
                <c:pt idx="0">
                  <c:v>0</c:v>
                </c:pt>
                <c:pt idx="1">
                  <c:v>16678</c:v>
                </c:pt>
              </c:numCache>
            </c:numRef>
          </c:val>
        </c:ser>
        <c:ser>
          <c:idx val="2"/>
          <c:order val="2"/>
          <c:tx>
            <c:strRef>
              <c:f>Analiza!$AK$437</c:f>
              <c:strCache>
                <c:ptCount val="1"/>
                <c:pt idx="0">
                  <c:v>Kratkor.  obaveze</c:v>
                </c:pt>
              </c:strCache>
            </c:strRef>
          </c:tx>
          <c:invertIfNegative val="0"/>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Analiza!$AL$434:$AM$434</c:f>
              <c:numCache>
                <c:formatCode>General</c:formatCode>
                <c:ptCount val="2"/>
                <c:pt idx="0">
                  <c:v>2025</c:v>
                </c:pt>
                <c:pt idx="1">
                  <c:v>2024</c:v>
                </c:pt>
              </c:numCache>
            </c:numRef>
          </c:cat>
          <c:val>
            <c:numRef>
              <c:f>Analiza!$AL$437:$AM$437</c:f>
              <c:numCache>
                <c:formatCode>_(* #,##0_);_(* \(#,##0\);_(* "-"??_);_(@_)</c:formatCode>
                <c:ptCount val="2"/>
                <c:pt idx="0">
                  <c:v>290034</c:v>
                </c:pt>
                <c:pt idx="1">
                  <c:v>292435</c:v>
                </c:pt>
              </c:numCache>
            </c:numRef>
          </c:val>
        </c:ser>
        <c:dLbls>
          <c:showLegendKey val="0"/>
          <c:showVal val="1"/>
          <c:showCatName val="0"/>
          <c:showSerName val="0"/>
          <c:showPercent val="0"/>
          <c:showBubbleSize val="0"/>
        </c:dLbls>
        <c:gapWidth val="95"/>
        <c:overlap val="100"/>
        <c:axId val="89779584"/>
        <c:axId val="89662592"/>
      </c:barChart>
      <c:catAx>
        <c:axId val="8977958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89662592"/>
        <c:crosses val="autoZero"/>
        <c:auto val="1"/>
        <c:lblAlgn val="ctr"/>
        <c:lblOffset val="100"/>
        <c:tickLblSkip val="1"/>
        <c:noMultiLvlLbl val="0"/>
      </c:catAx>
      <c:valAx>
        <c:axId val="89662592"/>
        <c:scaling>
          <c:orientation val="minMax"/>
        </c:scaling>
        <c:delete val="1"/>
        <c:axPos val="l"/>
        <c:numFmt formatCode="_(* #,##0_);_(* \(#,##0\);_(* &quot;-&quot;??_);_(@_)"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89779584"/>
        <c:crosses val="autoZero"/>
        <c:crossBetween val="between"/>
      </c:valAx>
    </c:plotArea>
    <c:legend>
      <c:legendPos val="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gap"/>
    <c:showDLblsOverMax val="0"/>
    <c:extLst>
      <c:ext uri="{0b15fc19-7d7d-44ad-8c2d-2c3a37ce22c3}">
        <chartProps xmlns="https://web.wps.cn/et/2018/main" chartId="{22de4287-fea2-4a59-80b9-70eae2bfc3c2}"/>
      </c:ext>
    </c:extLst>
  </c:chart>
  <c:txPr>
    <a:bodyPr/>
    <a:lstStyle/>
    <a:p>
      <a:pPr>
        <a:defRPr lang="en-US"/>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r>
              <a:rPr lang="hr-BA"/>
              <a:t>Struktura aktive</a:t>
            </a:r>
            <a:endParaRPr lang="hr-BA"/>
          </a:p>
        </c:rich>
      </c:tx>
      <c:layout/>
      <c:overlay val="0"/>
    </c:title>
    <c:autoTitleDeleted val="0"/>
    <c:plotArea>
      <c:layout/>
      <c:barChart>
        <c:barDir val="col"/>
        <c:grouping val="stacked"/>
        <c:varyColors val="0"/>
        <c:ser>
          <c:idx val="0"/>
          <c:order val="0"/>
          <c:tx>
            <c:strRef>
              <c:f>Analiza!$AK$429</c:f>
              <c:strCache>
                <c:ptCount val="1"/>
                <c:pt idx="0">
                  <c:v>Dugoročna imovina</c:v>
                </c:pt>
              </c:strCache>
            </c:strRef>
          </c:tx>
          <c:invertIfNegative val="0"/>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Analiza!$AL$428:$AM$428</c:f>
              <c:numCache>
                <c:formatCode>General</c:formatCode>
                <c:ptCount val="2"/>
                <c:pt idx="0">
                  <c:v>2025</c:v>
                </c:pt>
                <c:pt idx="1">
                  <c:v>2024</c:v>
                </c:pt>
              </c:numCache>
            </c:numRef>
          </c:cat>
          <c:val>
            <c:numRef>
              <c:f>Analiza!$AL$429:$AM$429</c:f>
              <c:numCache>
                <c:formatCode>_(* #,##0_);_(* \(#,##0\);_(* "-"??_);_(@_)</c:formatCode>
                <c:ptCount val="2"/>
                <c:pt idx="0">
                  <c:v>22107</c:v>
                </c:pt>
                <c:pt idx="1">
                  <c:v>151656</c:v>
                </c:pt>
              </c:numCache>
            </c:numRef>
          </c:val>
        </c:ser>
        <c:ser>
          <c:idx val="1"/>
          <c:order val="1"/>
          <c:tx>
            <c:strRef>
              <c:f>Analiza!$AK$430</c:f>
              <c:strCache>
                <c:ptCount val="1"/>
                <c:pt idx="0">
                  <c:v>Kratkoročna imovina</c:v>
                </c:pt>
              </c:strCache>
            </c:strRef>
          </c:tx>
          <c:invertIfNegative val="0"/>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Analiza!$AL$428:$AM$428</c:f>
              <c:numCache>
                <c:formatCode>General</c:formatCode>
                <c:ptCount val="2"/>
                <c:pt idx="0">
                  <c:v>2025</c:v>
                </c:pt>
                <c:pt idx="1">
                  <c:v>2024</c:v>
                </c:pt>
              </c:numCache>
            </c:numRef>
          </c:cat>
          <c:val>
            <c:numRef>
              <c:f>Analiza!$AL$430:$AM$430</c:f>
              <c:numCache>
                <c:formatCode>_(* #,##0_);_(* \(#,##0\);_(* "-"??_);_(@_)</c:formatCode>
                <c:ptCount val="2"/>
                <c:pt idx="0">
                  <c:v>577192</c:v>
                </c:pt>
                <c:pt idx="1">
                  <c:v>617225</c:v>
                </c:pt>
              </c:numCache>
            </c:numRef>
          </c:val>
        </c:ser>
        <c:ser>
          <c:idx val="2"/>
          <c:order val="2"/>
          <c:tx>
            <c:strRef>
              <c:f>Analiza!$AK$431</c:f>
              <c:strCache>
                <c:ptCount val="1"/>
                <c:pt idx="0">
                  <c:v/>
                </c:pt>
              </c:strCache>
            </c:strRef>
          </c:tx>
          <c:invertIfNegative val="0"/>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Analiza!$AL$428:$AM$428</c:f>
              <c:numCache>
                <c:formatCode>General</c:formatCode>
                <c:ptCount val="2"/>
                <c:pt idx="0">
                  <c:v>2025</c:v>
                </c:pt>
                <c:pt idx="1">
                  <c:v>2024</c:v>
                </c:pt>
              </c:numCache>
            </c:numRef>
          </c:cat>
          <c:val>
            <c:numRef>
              <c:f>Analiza!$AL$431:$AM$431</c:f>
              <c:numCache>
                <c:formatCode>_(* #,##0_);_(* \(#,##0\);_(* "-"??_);_(@_)</c:formatCode>
                <c:ptCount val="2"/>
              </c:numCache>
            </c:numRef>
          </c:val>
        </c:ser>
        <c:dLbls>
          <c:showLegendKey val="0"/>
          <c:showVal val="1"/>
          <c:showCatName val="0"/>
          <c:showSerName val="0"/>
          <c:showPercent val="0"/>
          <c:showBubbleSize val="0"/>
        </c:dLbls>
        <c:gapWidth val="95"/>
        <c:overlap val="100"/>
        <c:axId val="89707264"/>
        <c:axId val="89708800"/>
      </c:barChart>
      <c:catAx>
        <c:axId val="897072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89708800"/>
        <c:crosses val="autoZero"/>
        <c:auto val="1"/>
        <c:lblAlgn val="ctr"/>
        <c:lblOffset val="100"/>
        <c:tickLblSkip val="1"/>
        <c:noMultiLvlLbl val="0"/>
      </c:catAx>
      <c:valAx>
        <c:axId val="89708800"/>
        <c:scaling>
          <c:orientation val="minMax"/>
        </c:scaling>
        <c:delete val="1"/>
        <c:axPos val="l"/>
        <c:numFmt formatCode="_(* #,##0_);_(* \(#,##0\);_(* &quot;-&quot;??_);_(@_)"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89707264"/>
        <c:crosses val="autoZero"/>
        <c:crossBetween val="between"/>
      </c:valAx>
    </c:plotArea>
    <c:legend>
      <c:legendPos val="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gap"/>
    <c:showDLblsOverMax val="0"/>
    <c:extLst>
      <c:ext uri="{0b15fc19-7d7d-44ad-8c2d-2c3a37ce22c3}">
        <chartProps xmlns="https://web.wps.cn/et/2018/main" chartId="{a07ae0c9-12f3-4d70-bdb2-3308540c90d7}"/>
      </c:ext>
    </c:extLst>
  </c:chart>
  <c:txPr>
    <a:bodyPr/>
    <a:lstStyle/>
    <a:p>
      <a:pPr>
        <a:defRPr lang="en-US"/>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perspective val="30"/>
    </c:view3D>
    <c:floor>
      <c:thickness val="0"/>
    </c:floor>
    <c:sideWall>
      <c:thickness val="0"/>
    </c:sideWall>
    <c:backWall>
      <c:thickness val="0"/>
    </c:backWall>
    <c:plotArea>
      <c:layout/>
      <c:pie3DChart>
        <c:varyColors val="1"/>
        <c:ser>
          <c:idx val="0"/>
          <c:order val="0"/>
          <c:explosion val="25"/>
          <c:dPt>
            <c:idx val="0"/>
            <c:bubble3D val="0"/>
            <c:explosion val="26"/>
          </c:dPt>
          <c:dPt>
            <c:idx val="1"/>
            <c:bubble3D val="0"/>
          </c:dPt>
          <c:dPt>
            <c:idx val="2"/>
            <c:bubble3D val="0"/>
          </c:dPt>
          <c:dPt>
            <c:idx val="3"/>
            <c:bubble3D val="0"/>
          </c:dPt>
          <c:dPt>
            <c:idx val="4"/>
            <c:bubble3D val="0"/>
          </c:dPt>
          <c:dPt>
            <c:idx val="5"/>
            <c:bubble3D val="0"/>
          </c:dPt>
          <c:dLbls>
            <c:dLbl>
              <c:idx val="0"/>
              <c:layout/>
              <c:dLblPos val="bestFit"/>
              <c:showLegendKey val="0"/>
              <c:showVal val="1"/>
              <c:showCatName val="0"/>
              <c:showSerName val="0"/>
              <c:showPercent val="0"/>
              <c:showBubbleSize val="0"/>
              <c:extLst>
                <c:ext xmlns:c15="http://schemas.microsoft.com/office/drawing/2012/chart" uri="{CE6537A1-D6FC-4f65-9D91-7224C49458BB}"/>
              </c:extLst>
            </c:dLbl>
            <c:dLbl>
              <c:idx val="1"/>
              <c:layout/>
              <c:dLblPos val="bestFit"/>
              <c:showLegendKey val="0"/>
              <c:showVal val="1"/>
              <c:showCatName val="0"/>
              <c:showSerName val="0"/>
              <c:showPercent val="0"/>
              <c:showBubbleSize val="0"/>
              <c:extLst>
                <c:ext xmlns:c15="http://schemas.microsoft.com/office/drawing/2012/chart" uri="{CE6537A1-D6FC-4f65-9D91-7224C49458BB}"/>
              </c:extLst>
            </c:dLbl>
            <c:dLbl>
              <c:idx val="2"/>
              <c:layout/>
              <c:dLblPos val="bestFit"/>
              <c:showLegendKey val="0"/>
              <c:showVal val="1"/>
              <c:showCatName val="0"/>
              <c:showSerName val="0"/>
              <c:showPercent val="0"/>
              <c:showBubbleSize val="0"/>
              <c:extLst>
                <c:ext xmlns:c15="http://schemas.microsoft.com/office/drawing/2012/chart" uri="{CE6537A1-D6FC-4f65-9D91-7224C49458BB}"/>
              </c:extLst>
            </c:dLbl>
            <c:dLbl>
              <c:idx val="3"/>
              <c:layout/>
              <c:dLblPos val="bestFit"/>
              <c:showLegendKey val="0"/>
              <c:showVal val="1"/>
              <c:showCatName val="0"/>
              <c:showSerName val="0"/>
              <c:showPercent val="0"/>
              <c:showBubbleSize val="0"/>
              <c:extLst>
                <c:ext xmlns:c15="http://schemas.microsoft.com/office/drawing/2012/chart" uri="{CE6537A1-D6FC-4f65-9D91-7224C49458BB}"/>
              </c:extLst>
            </c:dLbl>
            <c:dLbl>
              <c:idx val="4"/>
              <c:layout/>
              <c:dLblPos val="bestFit"/>
              <c:showLegendKey val="0"/>
              <c:showVal val="1"/>
              <c:showCatName val="0"/>
              <c:showSerName val="0"/>
              <c:showPercent val="0"/>
              <c:showBubbleSize val="0"/>
              <c:extLst>
                <c:ext xmlns:c15="http://schemas.microsoft.com/office/drawing/2012/chart" uri="{CE6537A1-D6FC-4f65-9D91-7224C49458BB}"/>
              </c:extLst>
            </c:dLbl>
            <c:dLbl>
              <c:idx val="5"/>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0"/>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Analiza!$AB$134:$AB$139</c:f>
              <c:strCache>
                <c:ptCount val="6"/>
                <c:pt idx="0">
                  <c:v>Prihodi od pruženih usluga na domaćem tržištu (AOP 209)</c:v>
                </c:pt>
                <c:pt idx="1">
                  <c:v>Finansijski rashodi (AOP 247)</c:v>
                </c:pt>
                <c:pt idx="2">
                  <c:v>Ostali prihodi i dobici (AOP 251)</c:v>
                </c:pt>
                <c:pt idx="3">
                  <c:v>-</c:v>
                </c:pt>
                <c:pt idx="4">
                  <c:v>-</c:v>
                </c:pt>
                <c:pt idx="5">
                  <c:v>-</c:v>
                </c:pt>
              </c:strCache>
            </c:strRef>
          </c:cat>
          <c:val>
            <c:numRef>
              <c:f>Analiza!$AC$134:$AC$139</c:f>
              <c:numCache>
                <c:formatCode>_(* #,##0_);_(* \(#,##0\);_(* "-"??_);_(@_)</c:formatCode>
                <c:ptCount val="6"/>
                <c:pt idx="0">
                  <c:v>245707</c:v>
                </c:pt>
                <c:pt idx="1">
                  <c:v>1319</c:v>
                </c:pt>
                <c:pt idx="2">
                  <c:v>746</c:v>
                </c:pt>
                <c:pt idx="3">
                  <c:v>0</c:v>
                </c:pt>
                <c:pt idx="4">
                  <c:v>0</c:v>
                </c:pt>
                <c:pt idx="5">
                  <c:v>0</c:v>
                </c:pt>
              </c:numCache>
            </c:numRef>
          </c:val>
        </c:ser>
        <c:dLbls>
          <c:showLegendKey val="0"/>
          <c:showVal val="0"/>
          <c:showCatName val="0"/>
          <c:showSerName val="0"/>
          <c:showPercent val="0"/>
          <c:showBubbleSize val="0"/>
        </c:dLbls>
      </c:pie3DChart>
    </c:plotArea>
    <c:legend>
      <c:legendPos val="r"/>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40ab7f31-fd4b-479a-b005-285440ad6111}"/>
      </c:ext>
    </c:extLst>
  </c:chart>
  <c:txPr>
    <a:bodyPr/>
    <a:lstStyle/>
    <a:p>
      <a:pPr>
        <a:defRPr lang="en-US"/>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perspective val="30"/>
    </c:view3D>
    <c:floor>
      <c:thickness val="0"/>
    </c:floor>
    <c:sideWall>
      <c:thickness val="0"/>
    </c:sideWall>
    <c:backWall>
      <c:thickness val="0"/>
    </c:backWall>
    <c:plotArea>
      <c:layout>
        <c:manualLayout>
          <c:layoutTarget val="inner"/>
          <c:xMode val="edge"/>
          <c:yMode val="edge"/>
          <c:x val="0.0275836889103946"/>
          <c:y val="0.028370284772424"/>
          <c:w val="0.596601709702488"/>
          <c:h val="0.927332240466529"/>
        </c:manualLayout>
      </c:layout>
      <c:pie3DChart>
        <c:varyColors val="1"/>
        <c:ser>
          <c:idx val="0"/>
          <c:order val="0"/>
          <c:explosion val="25"/>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Analiza!$AB$250:$AB$260</c:f>
              <c:strCache>
                <c:ptCount val="11"/>
                <c:pt idx="0">
                  <c:v>Troškovi plaća i ostalih ličnih primanja (AOP 258)</c:v>
                </c:pt>
                <c:pt idx="1">
                  <c:v>Ostali poslovni rashodi i troškovi (AOP 270)</c:v>
                </c:pt>
                <c:pt idx="2">
                  <c:v>Troškovi primljenih usluga (AOP 269)</c:v>
                </c:pt>
                <c:pt idx="3">
                  <c:v>Ostali rashodi i gubici (AOP 308)</c:v>
                </c:pt>
                <c:pt idx="4">
                  <c:v>Troškovi energije i goriva (AOP 257)</c:v>
                </c:pt>
                <c:pt idx="5">
                  <c:v>Amortizacija (AOP 262)</c:v>
                </c:pt>
                <c:pt idx="6">
                  <c:v>Troškovi sirovina i materijala (AOP 256)</c:v>
                </c:pt>
                <c:pt idx="7">
                  <c:v>-</c:v>
                </c:pt>
                <c:pt idx="8">
                  <c:v>-</c:v>
                </c:pt>
                <c:pt idx="9">
                  <c:v>-</c:v>
                </c:pt>
                <c:pt idx="10">
                  <c:v>-</c:v>
                </c:pt>
              </c:strCache>
            </c:strRef>
          </c:cat>
          <c:val>
            <c:numRef>
              <c:f>Analiza!$AC$250:$AC$260</c:f>
              <c:numCache>
                <c:formatCode>_(* #,##0_);_(* \(#,##0\);_(* "-"??_);_(@_)</c:formatCode>
                <c:ptCount val="11"/>
                <c:pt idx="0">
                  <c:v>206367</c:v>
                </c:pt>
                <c:pt idx="1">
                  <c:v>41433</c:v>
                </c:pt>
                <c:pt idx="2">
                  <c:v>31427</c:v>
                </c:pt>
                <c:pt idx="3">
                  <c:v>14798</c:v>
                </c:pt>
                <c:pt idx="4">
                  <c:v>7591</c:v>
                </c:pt>
                <c:pt idx="5">
                  <c:v>4549</c:v>
                </c:pt>
                <c:pt idx="6">
                  <c:v>804</c:v>
                </c:pt>
                <c:pt idx="7">
                  <c:v>0</c:v>
                </c:pt>
                <c:pt idx="8">
                  <c:v>0</c:v>
                </c:pt>
                <c:pt idx="9">
                  <c:v>0</c:v>
                </c:pt>
                <c:pt idx="10">
                  <c:v>0</c:v>
                </c:pt>
              </c:numCache>
            </c:numRef>
          </c:val>
        </c:ser>
        <c:dLbls>
          <c:showLegendKey val="0"/>
          <c:showVal val="0"/>
          <c:showCatName val="0"/>
          <c:showSerName val="0"/>
          <c:showPercent val="0"/>
          <c:showBubbleSize val="0"/>
        </c:dLbls>
      </c:pie3DChart>
    </c:plotArea>
    <c:legend>
      <c:legendPos val="r"/>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3470a218-d575-4116-9a7a-ad5797099e78}"/>
      </c:ext>
    </c:extLst>
  </c:chart>
  <c:txPr>
    <a:bodyPr/>
    <a:lstStyle/>
    <a:p>
      <a:pPr>
        <a:defRPr lang="en-US"/>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r>
              <a:rPr lang="bs-Latn-BA"/>
              <a:t>Stalna sredstva</a:t>
            </a:r>
            <a:endParaRPr lang="bs-Latn-BA"/>
          </a:p>
        </c:rich>
      </c:tx>
      <c:layout>
        <c:manualLayout>
          <c:xMode val="edge"/>
          <c:yMode val="edge"/>
          <c:x val="0.532643963437625"/>
          <c:y val="0.013888888888889"/>
        </c:manualLayout>
      </c:layout>
      <c:overlay val="1"/>
    </c:title>
    <c:autoTitleDeleted val="0"/>
    <c:view3D>
      <c:rotX val="30"/>
      <c:rotY val="0"/>
      <c:depthPercent val="100"/>
      <c:rAngAx val="0"/>
      <c:perspective val="30"/>
    </c:view3D>
    <c:floor>
      <c:thickness val="0"/>
    </c:floor>
    <c:sideWall>
      <c:thickness val="0"/>
    </c:sideWall>
    <c:backWall>
      <c:thickness val="0"/>
    </c:backWall>
    <c:plotArea>
      <c:layout/>
      <c:pie3DChart>
        <c:varyColors val="1"/>
        <c:ser>
          <c:idx val="0"/>
          <c:order val="0"/>
          <c:explosion val="25"/>
          <c:dPt>
            <c:idx val="0"/>
            <c:bubble3D val="0"/>
          </c:dPt>
          <c:dPt>
            <c:idx val="1"/>
            <c:bubble3D val="0"/>
          </c:dPt>
          <c:dPt>
            <c:idx val="2"/>
            <c:bubble3D val="0"/>
          </c:dPt>
          <c:dPt>
            <c:idx val="3"/>
            <c:bubble3D val="0"/>
          </c:dPt>
          <c:dPt>
            <c:idx val="4"/>
            <c:bubble3D val="0"/>
          </c:dPt>
          <c:dPt>
            <c:idx val="5"/>
            <c:bubble3D val="0"/>
          </c:dPt>
          <c:dLbls>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chemeClr val="tx1"/>
                    </a:solidFill>
                    <a:latin typeface="+mn-lt"/>
                    <a:ea typeface="+mn-ea"/>
                    <a:cs typeface="+mn-cs"/>
                  </a:defRPr>
                </a:pPr>
              </a:p>
            </c:txPr>
            <c:dLblPos val="bestFit"/>
            <c:showLegendKey val="0"/>
            <c:showVal val="1"/>
            <c:showCatName val="0"/>
            <c:showSerName val="0"/>
            <c:showPercent val="0"/>
            <c:showBubbleSize val="0"/>
            <c:showLeaderLines val="1"/>
            <c:extLst>
              <c:ext xmlns:c15="http://schemas.microsoft.com/office/drawing/2012/chart" uri="{CE6537A1-D6FC-4f65-9D91-7224C49458BB}">
                <c15:layout/>
                <c15:showLeaderLines val="1"/>
                <c15:leaderLines/>
              </c:ext>
            </c:extLst>
          </c:dLbls>
          <c:cat>
            <c:strRef>
              <c:f>Analiza!$AB$360:$AB$365</c:f>
              <c:strCache>
                <c:ptCount val="6"/>
                <c:pt idx="0">
                  <c:v>Transportna sredstva (AOP 006)</c:v>
                </c:pt>
                <c:pt idx="1">
                  <c:v>-</c:v>
                </c:pt>
                <c:pt idx="2">
                  <c:v>-</c:v>
                </c:pt>
                <c:pt idx="3">
                  <c:v>-</c:v>
                </c:pt>
                <c:pt idx="4">
                  <c:v>-</c:v>
                </c:pt>
                <c:pt idx="5">
                  <c:v>Ostala dugoročna imovina</c:v>
                </c:pt>
              </c:strCache>
            </c:strRef>
          </c:cat>
          <c:val>
            <c:numRef>
              <c:f>Analiza!$AC$360:$AC$365</c:f>
              <c:numCache>
                <c:formatCode>_(* #,##0_);_(* \(#,##0\);_(* "-"??_);_(@_)</c:formatCode>
                <c:ptCount val="6"/>
                <c:pt idx="0">
                  <c:v>22107</c:v>
                </c:pt>
                <c:pt idx="1">
                  <c:v>0</c:v>
                </c:pt>
                <c:pt idx="2">
                  <c:v>0</c:v>
                </c:pt>
                <c:pt idx="3">
                  <c:v>0</c:v>
                </c:pt>
                <c:pt idx="4">
                  <c:v>0</c:v>
                </c:pt>
                <c:pt idx="5">
                  <c:v>44214</c:v>
                </c:pt>
              </c:numCache>
            </c:numRef>
          </c:val>
        </c:ser>
        <c:dLbls>
          <c:showLegendKey val="0"/>
          <c:showVal val="1"/>
          <c:showCatName val="0"/>
          <c:showSerName val="0"/>
          <c:showPercent val="0"/>
          <c:showBubbleSize val="0"/>
        </c:dLbls>
      </c:pie3DChart>
    </c:plotArea>
    <c:legend>
      <c:legendPos val="r"/>
      <c:layout>
        <c:manualLayout>
          <c:xMode val="edge"/>
          <c:yMode val="edge"/>
          <c:x val="0.650322823571108"/>
          <c:y val="0.14584499854185"/>
          <c:w val="0.327374792436663"/>
          <c:h val="0.837939632545936"/>
        </c:manualLayou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zero"/>
    <c:showDLblsOverMax val="0"/>
    <c:extLst>
      <c:ext uri="{0b15fc19-7d7d-44ad-8c2d-2c3a37ce22c3}">
        <chartProps xmlns="https://web.wps.cn/et/2018/main" chartId="{9bd1808e-cbd2-4a89-a701-598b91bcf0ff}"/>
      </c:ext>
    </c:extLst>
  </c:chart>
  <c:txPr>
    <a:bodyPr/>
    <a:lstStyle/>
    <a:p>
      <a:pPr>
        <a:defRPr lang="en-US"/>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9" Type="http://schemas.openxmlformats.org/officeDocument/2006/relationships/chart" Target="../charts/chart9.xml"/><Relationship Id="rId8" Type="http://schemas.openxmlformats.org/officeDocument/2006/relationships/chart" Target="../charts/chart8.xml"/><Relationship Id="rId7" Type="http://schemas.openxmlformats.org/officeDocument/2006/relationships/chart" Target="../charts/chart7.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8" Type="http://schemas.openxmlformats.org/officeDocument/2006/relationships/chart" Target="../charts/chart18.xml"/><Relationship Id="rId17" Type="http://schemas.openxmlformats.org/officeDocument/2006/relationships/chart" Target="../charts/chart17.xml"/><Relationship Id="rId16" Type="http://schemas.openxmlformats.org/officeDocument/2006/relationships/chart" Target="../charts/chart16.xml"/><Relationship Id="rId15" Type="http://schemas.openxmlformats.org/officeDocument/2006/relationships/chart" Target="../charts/chart15.xml"/><Relationship Id="rId14" Type="http://schemas.openxmlformats.org/officeDocument/2006/relationships/chart" Target="../charts/chart14.xml"/><Relationship Id="rId13" Type="http://schemas.openxmlformats.org/officeDocument/2006/relationships/chart" Target="../charts/chart13.xml"/><Relationship Id="rId12" Type="http://schemas.openxmlformats.org/officeDocument/2006/relationships/chart" Target="../charts/chart12.xml"/><Relationship Id="rId11" Type="http://schemas.openxmlformats.org/officeDocument/2006/relationships/chart" Target="../charts/chart11.xml"/><Relationship Id="rId10" Type="http://schemas.openxmlformats.org/officeDocument/2006/relationships/chart" Target="../charts/chart10.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14</xdr:col>
      <xdr:colOff>211231</xdr:colOff>
      <xdr:row>539</xdr:row>
      <xdr:rowOff>145676</xdr:rowOff>
    </xdr:from>
    <xdr:to>
      <xdr:col>15</xdr:col>
      <xdr:colOff>224118</xdr:colOff>
      <xdr:row>539</xdr:row>
      <xdr:rowOff>154081</xdr:rowOff>
    </xdr:to>
    <xdr:cxnSp>
      <xdr:nvCxnSpPr>
        <xdr:cNvPr id="7" name="Ravni poveznik sa strelicom 6"/>
        <xdr:cNvCxnSpPr/>
      </xdr:nvCxnSpPr>
      <xdr:spPr>
        <a:xfrm flipH="1">
          <a:off x="4211320" y="103024940"/>
          <a:ext cx="260350" cy="825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84605</xdr:colOff>
      <xdr:row>553</xdr:row>
      <xdr:rowOff>224119</xdr:rowOff>
    </xdr:from>
    <xdr:to>
      <xdr:col>10</xdr:col>
      <xdr:colOff>94129</xdr:colOff>
      <xdr:row>555</xdr:row>
      <xdr:rowOff>2802</xdr:rowOff>
    </xdr:to>
    <xdr:cxnSp>
      <xdr:nvCxnSpPr>
        <xdr:cNvPr id="16" name="Ravni poveznik sa strelicom 15"/>
        <xdr:cNvCxnSpPr/>
      </xdr:nvCxnSpPr>
      <xdr:spPr>
        <a:xfrm flipH="1" flipV="1">
          <a:off x="3094355" y="106379645"/>
          <a:ext cx="9525" cy="22669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17</xdr:col>
      <xdr:colOff>38100</xdr:colOff>
      <xdr:row>554</xdr:row>
      <xdr:rowOff>2801</xdr:rowOff>
    </xdr:from>
    <xdr:to>
      <xdr:col>17</xdr:col>
      <xdr:colOff>47624</xdr:colOff>
      <xdr:row>555</xdr:row>
      <xdr:rowOff>28574</xdr:rowOff>
    </xdr:to>
    <xdr:cxnSp>
      <xdr:nvCxnSpPr>
        <xdr:cNvPr id="18" name="Ravni poveznik sa strelicom 17"/>
        <xdr:cNvCxnSpPr/>
      </xdr:nvCxnSpPr>
      <xdr:spPr>
        <a:xfrm flipH="1" flipV="1">
          <a:off x="4781550" y="106425365"/>
          <a:ext cx="8890" cy="20637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20</xdr:col>
      <xdr:colOff>142876</xdr:colOff>
      <xdr:row>1194</xdr:row>
      <xdr:rowOff>152400</xdr:rowOff>
    </xdr:from>
    <xdr:to>
      <xdr:col>23</xdr:col>
      <xdr:colOff>95250</xdr:colOff>
      <xdr:row>1196</xdr:row>
      <xdr:rowOff>76200</xdr:rowOff>
    </xdr:to>
    <xdr:cxnSp>
      <xdr:nvCxnSpPr>
        <xdr:cNvPr id="9" name="Ravni poveznik sa strelicom 8"/>
        <xdr:cNvCxnSpPr/>
      </xdr:nvCxnSpPr>
      <xdr:spPr>
        <a:xfrm flipH="1">
          <a:off x="5534025" y="233114850"/>
          <a:ext cx="581025" cy="47625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22</xdr:col>
      <xdr:colOff>113739</xdr:colOff>
      <xdr:row>1265</xdr:row>
      <xdr:rowOff>56590</xdr:rowOff>
    </xdr:from>
    <xdr:to>
      <xdr:col>23</xdr:col>
      <xdr:colOff>134470</xdr:colOff>
      <xdr:row>1265</xdr:row>
      <xdr:rowOff>56590</xdr:rowOff>
    </xdr:to>
    <xdr:cxnSp>
      <xdr:nvCxnSpPr>
        <xdr:cNvPr id="11" name="Ravni poveznik sa strelicom 10"/>
        <xdr:cNvCxnSpPr/>
      </xdr:nvCxnSpPr>
      <xdr:spPr>
        <a:xfrm>
          <a:off x="5923915" y="249992515"/>
          <a:ext cx="229870" cy="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22</xdr:col>
      <xdr:colOff>180975</xdr:colOff>
      <xdr:row>1108</xdr:row>
      <xdr:rowOff>123825</xdr:rowOff>
    </xdr:from>
    <xdr:to>
      <xdr:col>23</xdr:col>
      <xdr:colOff>190500</xdr:colOff>
      <xdr:row>1108</xdr:row>
      <xdr:rowOff>123825</xdr:rowOff>
    </xdr:to>
    <xdr:cxnSp>
      <xdr:nvCxnSpPr>
        <xdr:cNvPr id="15" name="Ravni poveznik sa strelicom 14"/>
        <xdr:cNvCxnSpPr/>
      </xdr:nvCxnSpPr>
      <xdr:spPr>
        <a:xfrm>
          <a:off x="5991225" y="219779850"/>
          <a:ext cx="219075" cy="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31</xdr:col>
      <xdr:colOff>67235</xdr:colOff>
      <xdr:row>0</xdr:row>
      <xdr:rowOff>0</xdr:rowOff>
    </xdr:from>
    <xdr:to>
      <xdr:col>33</xdr:col>
      <xdr:colOff>156883</xdr:colOff>
      <xdr:row>1</xdr:row>
      <xdr:rowOff>9183</xdr:rowOff>
    </xdr:to>
    <xdr:pic>
      <xdr:nvPicPr>
        <xdr:cNvPr id="3" name="Slika 2"/>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762875" y="0"/>
          <a:ext cx="509270" cy="437515"/>
        </a:xfrm>
        <a:prstGeom prst="rect">
          <a:avLst/>
        </a:prstGeom>
      </xdr:spPr>
    </xdr:pic>
    <xdr:clientData/>
  </xdr:twoCellAnchor>
  <xdr:twoCellAnchor>
    <xdr:from>
      <xdr:col>60</xdr:col>
      <xdr:colOff>11206</xdr:colOff>
      <xdr:row>3</xdr:row>
      <xdr:rowOff>112059</xdr:rowOff>
    </xdr:from>
    <xdr:to>
      <xdr:col>60</xdr:col>
      <xdr:colOff>240191</xdr:colOff>
      <xdr:row>3</xdr:row>
      <xdr:rowOff>112299</xdr:rowOff>
    </xdr:to>
    <xdr:cxnSp>
      <xdr:nvCxnSpPr>
        <xdr:cNvPr id="2" name="Ravni poveznik sa strelicom 1"/>
        <xdr:cNvCxnSpPr/>
      </xdr:nvCxnSpPr>
      <xdr:spPr>
        <a:xfrm flipH="1" flipV="1">
          <a:off x="13917295" y="1045210"/>
          <a:ext cx="19875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41</xdr:col>
      <xdr:colOff>152400</xdr:colOff>
      <xdr:row>24</xdr:row>
      <xdr:rowOff>0</xdr:rowOff>
    </xdr:from>
    <xdr:to>
      <xdr:col>41</xdr:col>
      <xdr:colOff>152400</xdr:colOff>
      <xdr:row>24</xdr:row>
      <xdr:rowOff>0</xdr:rowOff>
    </xdr:to>
    <xdr:sp>
      <xdr:nvSpPr>
        <xdr:cNvPr id="22" name="Line 1188"/>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23" name="Line 1189"/>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24" name="Line 1190"/>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25" name="Line 1192"/>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26" name="Line 1193"/>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24</xdr:row>
      <xdr:rowOff>0</xdr:rowOff>
    </xdr:from>
    <xdr:to>
      <xdr:col>38</xdr:col>
      <xdr:colOff>152400</xdr:colOff>
      <xdr:row>24</xdr:row>
      <xdr:rowOff>0</xdr:rowOff>
    </xdr:to>
    <xdr:sp>
      <xdr:nvSpPr>
        <xdr:cNvPr id="27" name="Line 1194"/>
        <xdr:cNvSpPr>
          <a:spLocks noChangeShapeType="1"/>
        </xdr:cNvSpPr>
      </xdr:nvSpPr>
      <xdr:spPr>
        <a:xfrm>
          <a:off x="58007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28" name="Line 1195"/>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24</xdr:row>
      <xdr:rowOff>0</xdr:rowOff>
    </xdr:from>
    <xdr:to>
      <xdr:col>40</xdr:col>
      <xdr:colOff>152400</xdr:colOff>
      <xdr:row>24</xdr:row>
      <xdr:rowOff>0</xdr:rowOff>
    </xdr:to>
    <xdr:sp>
      <xdr:nvSpPr>
        <xdr:cNvPr id="29" name="Line 1196"/>
        <xdr:cNvSpPr>
          <a:spLocks noChangeShapeType="1"/>
        </xdr:cNvSpPr>
      </xdr:nvSpPr>
      <xdr:spPr>
        <a:xfrm>
          <a:off x="61150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30" name="Line 1204"/>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24</xdr:row>
      <xdr:rowOff>0</xdr:rowOff>
    </xdr:from>
    <xdr:to>
      <xdr:col>42</xdr:col>
      <xdr:colOff>152400</xdr:colOff>
      <xdr:row>24</xdr:row>
      <xdr:rowOff>0</xdr:rowOff>
    </xdr:to>
    <xdr:sp>
      <xdr:nvSpPr>
        <xdr:cNvPr id="31" name="Line 1205"/>
        <xdr:cNvSpPr>
          <a:spLocks noChangeShapeType="1"/>
        </xdr:cNvSpPr>
      </xdr:nvSpPr>
      <xdr:spPr>
        <a:xfrm>
          <a:off x="64198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24</xdr:row>
      <xdr:rowOff>0</xdr:rowOff>
    </xdr:from>
    <xdr:to>
      <xdr:col>42</xdr:col>
      <xdr:colOff>152400</xdr:colOff>
      <xdr:row>24</xdr:row>
      <xdr:rowOff>0</xdr:rowOff>
    </xdr:to>
    <xdr:sp>
      <xdr:nvSpPr>
        <xdr:cNvPr id="32" name="Line 1206"/>
        <xdr:cNvSpPr>
          <a:spLocks noChangeShapeType="1"/>
        </xdr:cNvSpPr>
      </xdr:nvSpPr>
      <xdr:spPr>
        <a:xfrm>
          <a:off x="64198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33" name="Line 1207"/>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24</xdr:row>
      <xdr:rowOff>0</xdr:rowOff>
    </xdr:from>
    <xdr:to>
      <xdr:col>42</xdr:col>
      <xdr:colOff>152400</xdr:colOff>
      <xdr:row>24</xdr:row>
      <xdr:rowOff>0</xdr:rowOff>
    </xdr:to>
    <xdr:sp>
      <xdr:nvSpPr>
        <xdr:cNvPr id="34" name="Line 1208"/>
        <xdr:cNvSpPr>
          <a:spLocks noChangeShapeType="1"/>
        </xdr:cNvSpPr>
      </xdr:nvSpPr>
      <xdr:spPr>
        <a:xfrm>
          <a:off x="64198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24</xdr:row>
      <xdr:rowOff>0</xdr:rowOff>
    </xdr:from>
    <xdr:to>
      <xdr:col>43</xdr:col>
      <xdr:colOff>152400</xdr:colOff>
      <xdr:row>24</xdr:row>
      <xdr:rowOff>0</xdr:rowOff>
    </xdr:to>
    <xdr:sp>
      <xdr:nvSpPr>
        <xdr:cNvPr id="35" name="Line 1209"/>
        <xdr:cNvSpPr>
          <a:spLocks noChangeShapeType="1"/>
        </xdr:cNvSpPr>
      </xdr:nvSpPr>
      <xdr:spPr>
        <a:xfrm>
          <a:off x="65722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9525</xdr:colOff>
      <xdr:row>39</xdr:row>
      <xdr:rowOff>85725</xdr:rowOff>
    </xdr:from>
    <xdr:to>
      <xdr:col>38</xdr:col>
      <xdr:colOff>9525</xdr:colOff>
      <xdr:row>40</xdr:row>
      <xdr:rowOff>0</xdr:rowOff>
    </xdr:to>
    <xdr:sp>
      <xdr:nvSpPr>
        <xdr:cNvPr id="36" name="Line 1211"/>
        <xdr:cNvSpPr>
          <a:spLocks noChangeShapeType="1"/>
        </xdr:cNvSpPr>
      </xdr:nvSpPr>
      <xdr:spPr>
        <a:xfrm>
          <a:off x="5657850" y="6209030"/>
          <a:ext cx="0" cy="787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114300</xdr:rowOff>
    </xdr:from>
    <xdr:to>
      <xdr:col>36</xdr:col>
      <xdr:colOff>0</xdr:colOff>
      <xdr:row>39</xdr:row>
      <xdr:rowOff>0</xdr:rowOff>
    </xdr:to>
    <xdr:sp>
      <xdr:nvSpPr>
        <xdr:cNvPr id="37" name="Line 1212"/>
        <xdr:cNvSpPr>
          <a:spLocks noChangeShapeType="1"/>
        </xdr:cNvSpPr>
      </xdr:nvSpPr>
      <xdr:spPr>
        <a:xfrm>
          <a:off x="5343525" y="6073140"/>
          <a:ext cx="0" cy="5016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85725</xdr:rowOff>
    </xdr:from>
    <xdr:to>
      <xdr:col>36</xdr:col>
      <xdr:colOff>0</xdr:colOff>
      <xdr:row>39</xdr:row>
      <xdr:rowOff>0</xdr:rowOff>
    </xdr:to>
    <xdr:sp>
      <xdr:nvSpPr>
        <xdr:cNvPr id="38" name="Line 1213"/>
        <xdr:cNvSpPr>
          <a:spLocks noChangeShapeType="1"/>
        </xdr:cNvSpPr>
      </xdr:nvSpPr>
      <xdr:spPr>
        <a:xfrm>
          <a:off x="5343525" y="6044565"/>
          <a:ext cx="0" cy="787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133350</xdr:rowOff>
    </xdr:from>
    <xdr:to>
      <xdr:col>36</xdr:col>
      <xdr:colOff>0</xdr:colOff>
      <xdr:row>39</xdr:row>
      <xdr:rowOff>0</xdr:rowOff>
    </xdr:to>
    <xdr:sp>
      <xdr:nvSpPr>
        <xdr:cNvPr id="39" name="Line 1214"/>
        <xdr:cNvSpPr>
          <a:spLocks noChangeShapeType="1"/>
        </xdr:cNvSpPr>
      </xdr:nvSpPr>
      <xdr:spPr>
        <a:xfrm>
          <a:off x="5343525" y="6092190"/>
          <a:ext cx="0" cy="3111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85725</xdr:rowOff>
    </xdr:from>
    <xdr:to>
      <xdr:col>37</xdr:col>
      <xdr:colOff>0</xdr:colOff>
      <xdr:row>39</xdr:row>
      <xdr:rowOff>0</xdr:rowOff>
    </xdr:to>
    <xdr:sp>
      <xdr:nvSpPr>
        <xdr:cNvPr id="40" name="Line 1215"/>
        <xdr:cNvSpPr>
          <a:spLocks noChangeShapeType="1"/>
        </xdr:cNvSpPr>
      </xdr:nvSpPr>
      <xdr:spPr>
        <a:xfrm>
          <a:off x="5495925" y="6044565"/>
          <a:ext cx="0" cy="787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0</xdr:colOff>
      <xdr:row>38</xdr:row>
      <xdr:rowOff>85725</xdr:rowOff>
    </xdr:from>
    <xdr:to>
      <xdr:col>35</xdr:col>
      <xdr:colOff>0</xdr:colOff>
      <xdr:row>38</xdr:row>
      <xdr:rowOff>200025</xdr:rowOff>
    </xdr:to>
    <xdr:sp>
      <xdr:nvSpPr>
        <xdr:cNvPr id="41" name="Line 1216"/>
        <xdr:cNvSpPr>
          <a:spLocks noChangeShapeType="1"/>
        </xdr:cNvSpPr>
      </xdr:nvSpPr>
      <xdr:spPr>
        <a:xfrm flipH="1">
          <a:off x="5191125" y="6044565"/>
          <a:ext cx="0" cy="787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38</xdr:row>
      <xdr:rowOff>66675</xdr:rowOff>
    </xdr:from>
    <xdr:to>
      <xdr:col>39</xdr:col>
      <xdr:colOff>152400</xdr:colOff>
      <xdr:row>39</xdr:row>
      <xdr:rowOff>0</xdr:rowOff>
    </xdr:to>
    <xdr:sp>
      <xdr:nvSpPr>
        <xdr:cNvPr id="42" name="Line 1217"/>
        <xdr:cNvSpPr>
          <a:spLocks noChangeShapeType="1"/>
        </xdr:cNvSpPr>
      </xdr:nvSpPr>
      <xdr:spPr>
        <a:xfrm>
          <a:off x="59626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38</xdr:row>
      <xdr:rowOff>66675</xdr:rowOff>
    </xdr:from>
    <xdr:to>
      <xdr:col>39</xdr:col>
      <xdr:colOff>152400</xdr:colOff>
      <xdr:row>39</xdr:row>
      <xdr:rowOff>0</xdr:rowOff>
    </xdr:to>
    <xdr:sp>
      <xdr:nvSpPr>
        <xdr:cNvPr id="43" name="Line 1218"/>
        <xdr:cNvSpPr>
          <a:spLocks noChangeShapeType="1"/>
        </xdr:cNvSpPr>
      </xdr:nvSpPr>
      <xdr:spPr>
        <a:xfrm>
          <a:off x="59626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38</xdr:row>
      <xdr:rowOff>66675</xdr:rowOff>
    </xdr:from>
    <xdr:to>
      <xdr:col>39</xdr:col>
      <xdr:colOff>152400</xdr:colOff>
      <xdr:row>39</xdr:row>
      <xdr:rowOff>0</xdr:rowOff>
    </xdr:to>
    <xdr:sp>
      <xdr:nvSpPr>
        <xdr:cNvPr id="44" name="Line 1219"/>
        <xdr:cNvSpPr>
          <a:spLocks noChangeShapeType="1"/>
        </xdr:cNvSpPr>
      </xdr:nvSpPr>
      <xdr:spPr>
        <a:xfrm>
          <a:off x="59626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38</xdr:row>
      <xdr:rowOff>66675</xdr:rowOff>
    </xdr:from>
    <xdr:to>
      <xdr:col>40</xdr:col>
      <xdr:colOff>152400</xdr:colOff>
      <xdr:row>39</xdr:row>
      <xdr:rowOff>0</xdr:rowOff>
    </xdr:to>
    <xdr:sp>
      <xdr:nvSpPr>
        <xdr:cNvPr id="45" name="Line 1220"/>
        <xdr:cNvSpPr>
          <a:spLocks noChangeShapeType="1"/>
        </xdr:cNvSpPr>
      </xdr:nvSpPr>
      <xdr:spPr>
        <a:xfrm>
          <a:off x="61150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38</xdr:row>
      <xdr:rowOff>66675</xdr:rowOff>
    </xdr:from>
    <xdr:to>
      <xdr:col>42</xdr:col>
      <xdr:colOff>152400</xdr:colOff>
      <xdr:row>39</xdr:row>
      <xdr:rowOff>0</xdr:rowOff>
    </xdr:to>
    <xdr:sp>
      <xdr:nvSpPr>
        <xdr:cNvPr id="46" name="Line 1221"/>
        <xdr:cNvSpPr>
          <a:spLocks noChangeShapeType="1"/>
        </xdr:cNvSpPr>
      </xdr:nvSpPr>
      <xdr:spPr>
        <a:xfrm>
          <a:off x="64198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38</xdr:row>
      <xdr:rowOff>66675</xdr:rowOff>
    </xdr:from>
    <xdr:to>
      <xdr:col>42</xdr:col>
      <xdr:colOff>152400</xdr:colOff>
      <xdr:row>39</xdr:row>
      <xdr:rowOff>0</xdr:rowOff>
    </xdr:to>
    <xdr:sp>
      <xdr:nvSpPr>
        <xdr:cNvPr id="47" name="Line 1222"/>
        <xdr:cNvSpPr>
          <a:spLocks noChangeShapeType="1"/>
        </xdr:cNvSpPr>
      </xdr:nvSpPr>
      <xdr:spPr>
        <a:xfrm>
          <a:off x="64198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38</xdr:row>
      <xdr:rowOff>66675</xdr:rowOff>
    </xdr:from>
    <xdr:to>
      <xdr:col>41</xdr:col>
      <xdr:colOff>152400</xdr:colOff>
      <xdr:row>39</xdr:row>
      <xdr:rowOff>0</xdr:rowOff>
    </xdr:to>
    <xdr:sp>
      <xdr:nvSpPr>
        <xdr:cNvPr id="48" name="Line 1223"/>
        <xdr:cNvSpPr>
          <a:spLocks noChangeShapeType="1"/>
        </xdr:cNvSpPr>
      </xdr:nvSpPr>
      <xdr:spPr>
        <a:xfrm>
          <a:off x="62674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38</xdr:row>
      <xdr:rowOff>66675</xdr:rowOff>
    </xdr:from>
    <xdr:to>
      <xdr:col>42</xdr:col>
      <xdr:colOff>152400</xdr:colOff>
      <xdr:row>39</xdr:row>
      <xdr:rowOff>0</xdr:rowOff>
    </xdr:to>
    <xdr:sp>
      <xdr:nvSpPr>
        <xdr:cNvPr id="49" name="Line 1224"/>
        <xdr:cNvSpPr>
          <a:spLocks noChangeShapeType="1"/>
        </xdr:cNvSpPr>
      </xdr:nvSpPr>
      <xdr:spPr>
        <a:xfrm>
          <a:off x="64198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38</xdr:row>
      <xdr:rowOff>66675</xdr:rowOff>
    </xdr:from>
    <xdr:to>
      <xdr:col>43</xdr:col>
      <xdr:colOff>152400</xdr:colOff>
      <xdr:row>39</xdr:row>
      <xdr:rowOff>0</xdr:rowOff>
    </xdr:to>
    <xdr:sp>
      <xdr:nvSpPr>
        <xdr:cNvPr id="50" name="Line 1225"/>
        <xdr:cNvSpPr>
          <a:spLocks noChangeShapeType="1"/>
        </xdr:cNvSpPr>
      </xdr:nvSpPr>
      <xdr:spPr>
        <a:xfrm>
          <a:off x="6572250"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9525</xdr:colOff>
      <xdr:row>38</xdr:row>
      <xdr:rowOff>66675</xdr:rowOff>
    </xdr:from>
    <xdr:to>
      <xdr:col>39</xdr:col>
      <xdr:colOff>9525</xdr:colOff>
      <xdr:row>39</xdr:row>
      <xdr:rowOff>0</xdr:rowOff>
    </xdr:to>
    <xdr:sp>
      <xdr:nvSpPr>
        <xdr:cNvPr id="51" name="Line 1226"/>
        <xdr:cNvSpPr>
          <a:spLocks noChangeShapeType="1"/>
        </xdr:cNvSpPr>
      </xdr:nvSpPr>
      <xdr:spPr>
        <a:xfrm>
          <a:off x="5838825" y="602551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40</xdr:row>
      <xdr:rowOff>66675</xdr:rowOff>
    </xdr:from>
    <xdr:to>
      <xdr:col>39</xdr:col>
      <xdr:colOff>152400</xdr:colOff>
      <xdr:row>41</xdr:row>
      <xdr:rowOff>0</xdr:rowOff>
    </xdr:to>
    <xdr:sp>
      <xdr:nvSpPr>
        <xdr:cNvPr id="52" name="Line 1227"/>
        <xdr:cNvSpPr>
          <a:spLocks noChangeShapeType="1"/>
        </xdr:cNvSpPr>
      </xdr:nvSpPr>
      <xdr:spPr>
        <a:xfrm>
          <a:off x="59626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40</xdr:row>
      <xdr:rowOff>66675</xdr:rowOff>
    </xdr:from>
    <xdr:to>
      <xdr:col>39</xdr:col>
      <xdr:colOff>152400</xdr:colOff>
      <xdr:row>41</xdr:row>
      <xdr:rowOff>0</xdr:rowOff>
    </xdr:to>
    <xdr:sp>
      <xdr:nvSpPr>
        <xdr:cNvPr id="53" name="Line 1228"/>
        <xdr:cNvSpPr>
          <a:spLocks noChangeShapeType="1"/>
        </xdr:cNvSpPr>
      </xdr:nvSpPr>
      <xdr:spPr>
        <a:xfrm>
          <a:off x="59626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161925</xdr:colOff>
      <xdr:row>40</xdr:row>
      <xdr:rowOff>66675</xdr:rowOff>
    </xdr:from>
    <xdr:to>
      <xdr:col>38</xdr:col>
      <xdr:colOff>161925</xdr:colOff>
      <xdr:row>41</xdr:row>
      <xdr:rowOff>0</xdr:rowOff>
    </xdr:to>
    <xdr:sp>
      <xdr:nvSpPr>
        <xdr:cNvPr id="54" name="Line 1229"/>
        <xdr:cNvSpPr>
          <a:spLocks noChangeShapeType="1"/>
        </xdr:cNvSpPr>
      </xdr:nvSpPr>
      <xdr:spPr>
        <a:xfrm>
          <a:off x="58102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40</xdr:row>
      <xdr:rowOff>66675</xdr:rowOff>
    </xdr:from>
    <xdr:to>
      <xdr:col>39</xdr:col>
      <xdr:colOff>152400</xdr:colOff>
      <xdr:row>41</xdr:row>
      <xdr:rowOff>0</xdr:rowOff>
    </xdr:to>
    <xdr:sp>
      <xdr:nvSpPr>
        <xdr:cNvPr id="55" name="Line 1230"/>
        <xdr:cNvSpPr>
          <a:spLocks noChangeShapeType="1"/>
        </xdr:cNvSpPr>
      </xdr:nvSpPr>
      <xdr:spPr>
        <a:xfrm>
          <a:off x="59626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40</xdr:row>
      <xdr:rowOff>66675</xdr:rowOff>
    </xdr:from>
    <xdr:to>
      <xdr:col>40</xdr:col>
      <xdr:colOff>152400</xdr:colOff>
      <xdr:row>41</xdr:row>
      <xdr:rowOff>0</xdr:rowOff>
    </xdr:to>
    <xdr:sp>
      <xdr:nvSpPr>
        <xdr:cNvPr id="56" name="Line 1231"/>
        <xdr:cNvSpPr>
          <a:spLocks noChangeShapeType="1"/>
        </xdr:cNvSpPr>
      </xdr:nvSpPr>
      <xdr:spPr>
        <a:xfrm>
          <a:off x="61150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40</xdr:row>
      <xdr:rowOff>66675</xdr:rowOff>
    </xdr:from>
    <xdr:to>
      <xdr:col>42</xdr:col>
      <xdr:colOff>152400</xdr:colOff>
      <xdr:row>41</xdr:row>
      <xdr:rowOff>0</xdr:rowOff>
    </xdr:to>
    <xdr:sp>
      <xdr:nvSpPr>
        <xdr:cNvPr id="57" name="Line 1232"/>
        <xdr:cNvSpPr>
          <a:spLocks noChangeShapeType="1"/>
        </xdr:cNvSpPr>
      </xdr:nvSpPr>
      <xdr:spPr>
        <a:xfrm>
          <a:off x="64198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40</xdr:row>
      <xdr:rowOff>66675</xdr:rowOff>
    </xdr:from>
    <xdr:to>
      <xdr:col>42</xdr:col>
      <xdr:colOff>152400</xdr:colOff>
      <xdr:row>41</xdr:row>
      <xdr:rowOff>0</xdr:rowOff>
    </xdr:to>
    <xdr:sp>
      <xdr:nvSpPr>
        <xdr:cNvPr id="58" name="Line 1233"/>
        <xdr:cNvSpPr>
          <a:spLocks noChangeShapeType="1"/>
        </xdr:cNvSpPr>
      </xdr:nvSpPr>
      <xdr:spPr>
        <a:xfrm>
          <a:off x="64198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40</xdr:row>
      <xdr:rowOff>66675</xdr:rowOff>
    </xdr:from>
    <xdr:to>
      <xdr:col>41</xdr:col>
      <xdr:colOff>152400</xdr:colOff>
      <xdr:row>41</xdr:row>
      <xdr:rowOff>0</xdr:rowOff>
    </xdr:to>
    <xdr:sp>
      <xdr:nvSpPr>
        <xdr:cNvPr id="59" name="Line 1234"/>
        <xdr:cNvSpPr>
          <a:spLocks noChangeShapeType="1"/>
        </xdr:cNvSpPr>
      </xdr:nvSpPr>
      <xdr:spPr>
        <a:xfrm>
          <a:off x="62674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40</xdr:row>
      <xdr:rowOff>66675</xdr:rowOff>
    </xdr:from>
    <xdr:to>
      <xdr:col>42</xdr:col>
      <xdr:colOff>152400</xdr:colOff>
      <xdr:row>41</xdr:row>
      <xdr:rowOff>0</xdr:rowOff>
    </xdr:to>
    <xdr:sp>
      <xdr:nvSpPr>
        <xdr:cNvPr id="60" name="Line 1235"/>
        <xdr:cNvSpPr>
          <a:spLocks noChangeShapeType="1"/>
        </xdr:cNvSpPr>
      </xdr:nvSpPr>
      <xdr:spPr>
        <a:xfrm>
          <a:off x="64198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40</xdr:row>
      <xdr:rowOff>66675</xdr:rowOff>
    </xdr:from>
    <xdr:to>
      <xdr:col>43</xdr:col>
      <xdr:colOff>152400</xdr:colOff>
      <xdr:row>41</xdr:row>
      <xdr:rowOff>0</xdr:rowOff>
    </xdr:to>
    <xdr:sp>
      <xdr:nvSpPr>
        <xdr:cNvPr id="61" name="Line 1236"/>
        <xdr:cNvSpPr>
          <a:spLocks noChangeShapeType="1"/>
        </xdr:cNvSpPr>
      </xdr:nvSpPr>
      <xdr:spPr>
        <a:xfrm>
          <a:off x="65722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40</xdr:row>
      <xdr:rowOff>66675</xdr:rowOff>
    </xdr:from>
    <xdr:to>
      <xdr:col>33</xdr:col>
      <xdr:colOff>152400</xdr:colOff>
      <xdr:row>41</xdr:row>
      <xdr:rowOff>0</xdr:rowOff>
    </xdr:to>
    <xdr:sp>
      <xdr:nvSpPr>
        <xdr:cNvPr id="62" name="Line 1237"/>
        <xdr:cNvSpPr>
          <a:spLocks noChangeShapeType="1"/>
        </xdr:cNvSpPr>
      </xdr:nvSpPr>
      <xdr:spPr>
        <a:xfrm>
          <a:off x="50387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40</xdr:row>
      <xdr:rowOff>66675</xdr:rowOff>
    </xdr:from>
    <xdr:to>
      <xdr:col>33</xdr:col>
      <xdr:colOff>152400</xdr:colOff>
      <xdr:row>41</xdr:row>
      <xdr:rowOff>0</xdr:rowOff>
    </xdr:to>
    <xdr:sp>
      <xdr:nvSpPr>
        <xdr:cNvPr id="63" name="Line 1238"/>
        <xdr:cNvSpPr>
          <a:spLocks noChangeShapeType="1"/>
        </xdr:cNvSpPr>
      </xdr:nvSpPr>
      <xdr:spPr>
        <a:xfrm>
          <a:off x="50387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40</xdr:row>
      <xdr:rowOff>66675</xdr:rowOff>
    </xdr:from>
    <xdr:to>
      <xdr:col>33</xdr:col>
      <xdr:colOff>152400</xdr:colOff>
      <xdr:row>41</xdr:row>
      <xdr:rowOff>0</xdr:rowOff>
    </xdr:to>
    <xdr:sp>
      <xdr:nvSpPr>
        <xdr:cNvPr id="64" name="Line 1239"/>
        <xdr:cNvSpPr>
          <a:spLocks noChangeShapeType="1"/>
        </xdr:cNvSpPr>
      </xdr:nvSpPr>
      <xdr:spPr>
        <a:xfrm>
          <a:off x="50387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40</xdr:row>
      <xdr:rowOff>66675</xdr:rowOff>
    </xdr:from>
    <xdr:to>
      <xdr:col>34</xdr:col>
      <xdr:colOff>152400</xdr:colOff>
      <xdr:row>41</xdr:row>
      <xdr:rowOff>0</xdr:rowOff>
    </xdr:to>
    <xdr:sp>
      <xdr:nvSpPr>
        <xdr:cNvPr id="65" name="Line 1240"/>
        <xdr:cNvSpPr>
          <a:spLocks noChangeShapeType="1"/>
        </xdr:cNvSpPr>
      </xdr:nvSpPr>
      <xdr:spPr>
        <a:xfrm>
          <a:off x="51911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40</xdr:row>
      <xdr:rowOff>66675</xdr:rowOff>
    </xdr:from>
    <xdr:to>
      <xdr:col>36</xdr:col>
      <xdr:colOff>152400</xdr:colOff>
      <xdr:row>41</xdr:row>
      <xdr:rowOff>0</xdr:rowOff>
    </xdr:to>
    <xdr:sp>
      <xdr:nvSpPr>
        <xdr:cNvPr id="66" name="Line 1241"/>
        <xdr:cNvSpPr>
          <a:spLocks noChangeShapeType="1"/>
        </xdr:cNvSpPr>
      </xdr:nvSpPr>
      <xdr:spPr>
        <a:xfrm>
          <a:off x="54959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40</xdr:row>
      <xdr:rowOff>66675</xdr:rowOff>
    </xdr:from>
    <xdr:to>
      <xdr:col>36</xdr:col>
      <xdr:colOff>152400</xdr:colOff>
      <xdr:row>41</xdr:row>
      <xdr:rowOff>0</xdr:rowOff>
    </xdr:to>
    <xdr:sp>
      <xdr:nvSpPr>
        <xdr:cNvPr id="67" name="Line 1242"/>
        <xdr:cNvSpPr>
          <a:spLocks noChangeShapeType="1"/>
        </xdr:cNvSpPr>
      </xdr:nvSpPr>
      <xdr:spPr>
        <a:xfrm>
          <a:off x="54959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152400</xdr:colOff>
      <xdr:row>40</xdr:row>
      <xdr:rowOff>66675</xdr:rowOff>
    </xdr:from>
    <xdr:to>
      <xdr:col>35</xdr:col>
      <xdr:colOff>152400</xdr:colOff>
      <xdr:row>41</xdr:row>
      <xdr:rowOff>0</xdr:rowOff>
    </xdr:to>
    <xdr:sp>
      <xdr:nvSpPr>
        <xdr:cNvPr id="68" name="Line 1243"/>
        <xdr:cNvSpPr>
          <a:spLocks noChangeShapeType="1"/>
        </xdr:cNvSpPr>
      </xdr:nvSpPr>
      <xdr:spPr>
        <a:xfrm>
          <a:off x="53435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40</xdr:row>
      <xdr:rowOff>66675</xdr:rowOff>
    </xdr:from>
    <xdr:to>
      <xdr:col>36</xdr:col>
      <xdr:colOff>152400</xdr:colOff>
      <xdr:row>41</xdr:row>
      <xdr:rowOff>0</xdr:rowOff>
    </xdr:to>
    <xdr:sp>
      <xdr:nvSpPr>
        <xdr:cNvPr id="69" name="Line 1244"/>
        <xdr:cNvSpPr>
          <a:spLocks noChangeShapeType="1"/>
        </xdr:cNvSpPr>
      </xdr:nvSpPr>
      <xdr:spPr>
        <a:xfrm>
          <a:off x="54959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0</xdr:colOff>
      <xdr:row>40</xdr:row>
      <xdr:rowOff>66675</xdr:rowOff>
    </xdr:from>
    <xdr:to>
      <xdr:col>38</xdr:col>
      <xdr:colOff>0</xdr:colOff>
      <xdr:row>41</xdr:row>
      <xdr:rowOff>0</xdr:rowOff>
    </xdr:to>
    <xdr:sp>
      <xdr:nvSpPr>
        <xdr:cNvPr id="70" name="Line 1245"/>
        <xdr:cNvSpPr>
          <a:spLocks noChangeShapeType="1"/>
        </xdr:cNvSpPr>
      </xdr:nvSpPr>
      <xdr:spPr>
        <a:xfrm>
          <a:off x="5648325"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0</xdr:colOff>
      <xdr:row>40</xdr:row>
      <xdr:rowOff>66675</xdr:rowOff>
    </xdr:from>
    <xdr:to>
      <xdr:col>33</xdr:col>
      <xdr:colOff>0</xdr:colOff>
      <xdr:row>41</xdr:row>
      <xdr:rowOff>0</xdr:rowOff>
    </xdr:to>
    <xdr:sp>
      <xdr:nvSpPr>
        <xdr:cNvPr id="71" name="Line 1246"/>
        <xdr:cNvSpPr>
          <a:spLocks noChangeShapeType="1"/>
        </xdr:cNvSpPr>
      </xdr:nvSpPr>
      <xdr:spPr>
        <a:xfrm>
          <a:off x="4895850" y="635444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69</xdr:row>
      <xdr:rowOff>0</xdr:rowOff>
    </xdr:from>
    <xdr:to>
      <xdr:col>38</xdr:col>
      <xdr:colOff>152400</xdr:colOff>
      <xdr:row>69</xdr:row>
      <xdr:rowOff>0</xdr:rowOff>
    </xdr:to>
    <xdr:sp>
      <xdr:nvSpPr>
        <xdr:cNvPr id="72" name="Line 1358"/>
        <xdr:cNvSpPr>
          <a:spLocks noChangeShapeType="1"/>
        </xdr:cNvSpPr>
      </xdr:nvSpPr>
      <xdr:spPr>
        <a:xfrm>
          <a:off x="5800725"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69</xdr:row>
      <xdr:rowOff>0</xdr:rowOff>
    </xdr:from>
    <xdr:to>
      <xdr:col>38</xdr:col>
      <xdr:colOff>152400</xdr:colOff>
      <xdr:row>69</xdr:row>
      <xdr:rowOff>0</xdr:rowOff>
    </xdr:to>
    <xdr:sp>
      <xdr:nvSpPr>
        <xdr:cNvPr id="73" name="Line 1359"/>
        <xdr:cNvSpPr>
          <a:spLocks noChangeShapeType="1"/>
        </xdr:cNvSpPr>
      </xdr:nvSpPr>
      <xdr:spPr>
        <a:xfrm>
          <a:off x="5800725"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69</xdr:row>
      <xdr:rowOff>0</xdr:rowOff>
    </xdr:from>
    <xdr:to>
      <xdr:col>37</xdr:col>
      <xdr:colOff>152400</xdr:colOff>
      <xdr:row>69</xdr:row>
      <xdr:rowOff>0</xdr:rowOff>
    </xdr:to>
    <xdr:sp>
      <xdr:nvSpPr>
        <xdr:cNvPr id="74" name="Line 1360"/>
        <xdr:cNvSpPr>
          <a:spLocks noChangeShapeType="1"/>
        </xdr:cNvSpPr>
      </xdr:nvSpPr>
      <xdr:spPr>
        <a:xfrm>
          <a:off x="5648325"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69</xdr:row>
      <xdr:rowOff>0</xdr:rowOff>
    </xdr:from>
    <xdr:to>
      <xdr:col>38</xdr:col>
      <xdr:colOff>152400</xdr:colOff>
      <xdr:row>69</xdr:row>
      <xdr:rowOff>0</xdr:rowOff>
    </xdr:to>
    <xdr:sp>
      <xdr:nvSpPr>
        <xdr:cNvPr id="75" name="Line 1361"/>
        <xdr:cNvSpPr>
          <a:spLocks noChangeShapeType="1"/>
        </xdr:cNvSpPr>
      </xdr:nvSpPr>
      <xdr:spPr>
        <a:xfrm>
          <a:off x="5800725"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69</xdr:row>
      <xdr:rowOff>0</xdr:rowOff>
    </xdr:from>
    <xdr:to>
      <xdr:col>39</xdr:col>
      <xdr:colOff>152400</xdr:colOff>
      <xdr:row>69</xdr:row>
      <xdr:rowOff>0</xdr:rowOff>
    </xdr:to>
    <xdr:sp>
      <xdr:nvSpPr>
        <xdr:cNvPr id="76" name="Line 1362"/>
        <xdr:cNvSpPr>
          <a:spLocks noChangeShapeType="1"/>
        </xdr:cNvSpPr>
      </xdr:nvSpPr>
      <xdr:spPr>
        <a:xfrm>
          <a:off x="5962650"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69</xdr:row>
      <xdr:rowOff>0</xdr:rowOff>
    </xdr:from>
    <xdr:to>
      <xdr:col>41</xdr:col>
      <xdr:colOff>152400</xdr:colOff>
      <xdr:row>69</xdr:row>
      <xdr:rowOff>0</xdr:rowOff>
    </xdr:to>
    <xdr:sp>
      <xdr:nvSpPr>
        <xdr:cNvPr id="77" name="Line 1363"/>
        <xdr:cNvSpPr>
          <a:spLocks noChangeShapeType="1"/>
        </xdr:cNvSpPr>
      </xdr:nvSpPr>
      <xdr:spPr>
        <a:xfrm>
          <a:off x="6267450"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69</xdr:row>
      <xdr:rowOff>0</xdr:rowOff>
    </xdr:from>
    <xdr:to>
      <xdr:col>41</xdr:col>
      <xdr:colOff>152400</xdr:colOff>
      <xdr:row>69</xdr:row>
      <xdr:rowOff>0</xdr:rowOff>
    </xdr:to>
    <xdr:sp>
      <xdr:nvSpPr>
        <xdr:cNvPr id="78" name="Line 1364"/>
        <xdr:cNvSpPr>
          <a:spLocks noChangeShapeType="1"/>
        </xdr:cNvSpPr>
      </xdr:nvSpPr>
      <xdr:spPr>
        <a:xfrm>
          <a:off x="6267450"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69</xdr:row>
      <xdr:rowOff>0</xdr:rowOff>
    </xdr:from>
    <xdr:to>
      <xdr:col>40</xdr:col>
      <xdr:colOff>152400</xdr:colOff>
      <xdr:row>69</xdr:row>
      <xdr:rowOff>0</xdr:rowOff>
    </xdr:to>
    <xdr:sp>
      <xdr:nvSpPr>
        <xdr:cNvPr id="79" name="Line 1365"/>
        <xdr:cNvSpPr>
          <a:spLocks noChangeShapeType="1"/>
        </xdr:cNvSpPr>
      </xdr:nvSpPr>
      <xdr:spPr>
        <a:xfrm>
          <a:off x="6115050"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69</xdr:row>
      <xdr:rowOff>0</xdr:rowOff>
    </xdr:from>
    <xdr:to>
      <xdr:col>41</xdr:col>
      <xdr:colOff>152400</xdr:colOff>
      <xdr:row>69</xdr:row>
      <xdr:rowOff>0</xdr:rowOff>
    </xdr:to>
    <xdr:sp>
      <xdr:nvSpPr>
        <xdr:cNvPr id="80" name="Line 1366"/>
        <xdr:cNvSpPr>
          <a:spLocks noChangeShapeType="1"/>
        </xdr:cNvSpPr>
      </xdr:nvSpPr>
      <xdr:spPr>
        <a:xfrm>
          <a:off x="6267450"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69</xdr:row>
      <xdr:rowOff>0</xdr:rowOff>
    </xdr:from>
    <xdr:to>
      <xdr:col>42</xdr:col>
      <xdr:colOff>152400</xdr:colOff>
      <xdr:row>69</xdr:row>
      <xdr:rowOff>0</xdr:rowOff>
    </xdr:to>
    <xdr:sp>
      <xdr:nvSpPr>
        <xdr:cNvPr id="81" name="Line 1367"/>
        <xdr:cNvSpPr>
          <a:spLocks noChangeShapeType="1"/>
        </xdr:cNvSpPr>
      </xdr:nvSpPr>
      <xdr:spPr>
        <a:xfrm>
          <a:off x="6419850" y="1123823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44</xdr:col>
      <xdr:colOff>0</xdr:colOff>
      <xdr:row>39</xdr:row>
      <xdr:rowOff>85725</xdr:rowOff>
    </xdr:from>
    <xdr:to>
      <xdr:col>44</xdr:col>
      <xdr:colOff>0</xdr:colOff>
      <xdr:row>40</xdr:row>
      <xdr:rowOff>19050</xdr:rowOff>
    </xdr:to>
    <xdr:sp>
      <xdr:nvSpPr>
        <xdr:cNvPr id="90" name="Line 1436"/>
        <xdr:cNvSpPr>
          <a:spLocks noChangeShapeType="1"/>
        </xdr:cNvSpPr>
      </xdr:nvSpPr>
      <xdr:spPr>
        <a:xfrm>
          <a:off x="6572250" y="6209030"/>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0</xdr:colOff>
      <xdr:row>39</xdr:row>
      <xdr:rowOff>76200</xdr:rowOff>
    </xdr:from>
    <xdr:to>
      <xdr:col>41</xdr:col>
      <xdr:colOff>0</xdr:colOff>
      <xdr:row>40</xdr:row>
      <xdr:rowOff>9525</xdr:rowOff>
    </xdr:to>
    <xdr:sp>
      <xdr:nvSpPr>
        <xdr:cNvPr id="91" name="Line 1437"/>
        <xdr:cNvSpPr>
          <a:spLocks noChangeShapeType="1"/>
        </xdr:cNvSpPr>
      </xdr:nvSpPr>
      <xdr:spPr>
        <a:xfrm flipH="1">
          <a:off x="6115050" y="619950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9525</xdr:colOff>
      <xdr:row>39</xdr:row>
      <xdr:rowOff>76200</xdr:rowOff>
    </xdr:from>
    <xdr:to>
      <xdr:col>43</xdr:col>
      <xdr:colOff>9525</xdr:colOff>
      <xdr:row>40</xdr:row>
      <xdr:rowOff>9525</xdr:rowOff>
    </xdr:to>
    <xdr:sp>
      <xdr:nvSpPr>
        <xdr:cNvPr id="92" name="Line 1438"/>
        <xdr:cNvSpPr>
          <a:spLocks noChangeShapeType="1"/>
        </xdr:cNvSpPr>
      </xdr:nvSpPr>
      <xdr:spPr>
        <a:xfrm>
          <a:off x="6429375" y="6199505"/>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0</xdr:colOff>
      <xdr:row>39</xdr:row>
      <xdr:rowOff>95250</xdr:rowOff>
    </xdr:from>
    <xdr:to>
      <xdr:col>42</xdr:col>
      <xdr:colOff>0</xdr:colOff>
      <xdr:row>40</xdr:row>
      <xdr:rowOff>0</xdr:rowOff>
    </xdr:to>
    <xdr:sp>
      <xdr:nvSpPr>
        <xdr:cNvPr id="93" name="Line 1439"/>
        <xdr:cNvSpPr>
          <a:spLocks noChangeShapeType="1"/>
        </xdr:cNvSpPr>
      </xdr:nvSpPr>
      <xdr:spPr>
        <a:xfrm>
          <a:off x="6267450" y="6218555"/>
          <a:ext cx="0" cy="6921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0</xdr:colOff>
      <xdr:row>39</xdr:row>
      <xdr:rowOff>85725</xdr:rowOff>
    </xdr:from>
    <xdr:to>
      <xdr:col>42</xdr:col>
      <xdr:colOff>0</xdr:colOff>
      <xdr:row>39</xdr:row>
      <xdr:rowOff>152400</xdr:rowOff>
    </xdr:to>
    <xdr:sp>
      <xdr:nvSpPr>
        <xdr:cNvPr id="94" name="Line 1440"/>
        <xdr:cNvSpPr>
          <a:spLocks noChangeShapeType="1"/>
        </xdr:cNvSpPr>
      </xdr:nvSpPr>
      <xdr:spPr>
        <a:xfrm>
          <a:off x="6267450" y="6209030"/>
          <a:ext cx="0" cy="666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24</xdr:row>
      <xdr:rowOff>0</xdr:rowOff>
    </xdr:from>
    <xdr:to>
      <xdr:col>39</xdr:col>
      <xdr:colOff>152400</xdr:colOff>
      <xdr:row>24</xdr:row>
      <xdr:rowOff>0</xdr:rowOff>
    </xdr:to>
    <xdr:sp>
      <xdr:nvSpPr>
        <xdr:cNvPr id="95" name="Line 1585"/>
        <xdr:cNvSpPr>
          <a:spLocks noChangeShapeType="1"/>
        </xdr:cNvSpPr>
      </xdr:nvSpPr>
      <xdr:spPr>
        <a:xfrm>
          <a:off x="59626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24</xdr:row>
      <xdr:rowOff>0</xdr:rowOff>
    </xdr:from>
    <xdr:to>
      <xdr:col>39</xdr:col>
      <xdr:colOff>152400</xdr:colOff>
      <xdr:row>24</xdr:row>
      <xdr:rowOff>0</xdr:rowOff>
    </xdr:to>
    <xdr:sp>
      <xdr:nvSpPr>
        <xdr:cNvPr id="96" name="Line 1586"/>
        <xdr:cNvSpPr>
          <a:spLocks noChangeShapeType="1"/>
        </xdr:cNvSpPr>
      </xdr:nvSpPr>
      <xdr:spPr>
        <a:xfrm>
          <a:off x="59626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24</xdr:row>
      <xdr:rowOff>0</xdr:rowOff>
    </xdr:from>
    <xdr:to>
      <xdr:col>39</xdr:col>
      <xdr:colOff>152400</xdr:colOff>
      <xdr:row>24</xdr:row>
      <xdr:rowOff>0</xdr:rowOff>
    </xdr:to>
    <xdr:sp>
      <xdr:nvSpPr>
        <xdr:cNvPr id="97" name="Line 1587"/>
        <xdr:cNvSpPr>
          <a:spLocks noChangeShapeType="1"/>
        </xdr:cNvSpPr>
      </xdr:nvSpPr>
      <xdr:spPr>
        <a:xfrm>
          <a:off x="59626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0</xdr:colOff>
      <xdr:row>39</xdr:row>
      <xdr:rowOff>66675</xdr:rowOff>
    </xdr:from>
    <xdr:to>
      <xdr:col>40</xdr:col>
      <xdr:colOff>0</xdr:colOff>
      <xdr:row>40</xdr:row>
      <xdr:rowOff>0</xdr:rowOff>
    </xdr:to>
    <xdr:sp>
      <xdr:nvSpPr>
        <xdr:cNvPr id="98" name="Line 1684"/>
        <xdr:cNvSpPr>
          <a:spLocks noChangeShapeType="1"/>
        </xdr:cNvSpPr>
      </xdr:nvSpPr>
      <xdr:spPr>
        <a:xfrm>
          <a:off x="5962650" y="6189980"/>
          <a:ext cx="0" cy="977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99" name="Line 1686"/>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100" name="Line 1687"/>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101" name="Line 1688"/>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102" name="Line 1690"/>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103" name="Line 1691"/>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24</xdr:row>
      <xdr:rowOff>0</xdr:rowOff>
    </xdr:from>
    <xdr:to>
      <xdr:col>38</xdr:col>
      <xdr:colOff>152400</xdr:colOff>
      <xdr:row>24</xdr:row>
      <xdr:rowOff>0</xdr:rowOff>
    </xdr:to>
    <xdr:sp>
      <xdr:nvSpPr>
        <xdr:cNvPr id="104" name="Line 1692"/>
        <xdr:cNvSpPr>
          <a:spLocks noChangeShapeType="1"/>
        </xdr:cNvSpPr>
      </xdr:nvSpPr>
      <xdr:spPr>
        <a:xfrm>
          <a:off x="58007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105" name="Line 1693"/>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24</xdr:row>
      <xdr:rowOff>0</xdr:rowOff>
    </xdr:from>
    <xdr:to>
      <xdr:col>40</xdr:col>
      <xdr:colOff>152400</xdr:colOff>
      <xdr:row>24</xdr:row>
      <xdr:rowOff>0</xdr:rowOff>
    </xdr:to>
    <xdr:sp>
      <xdr:nvSpPr>
        <xdr:cNvPr id="106" name="Line 1694"/>
        <xdr:cNvSpPr>
          <a:spLocks noChangeShapeType="1"/>
        </xdr:cNvSpPr>
      </xdr:nvSpPr>
      <xdr:spPr>
        <a:xfrm>
          <a:off x="61150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24</xdr:row>
      <xdr:rowOff>0</xdr:rowOff>
    </xdr:from>
    <xdr:to>
      <xdr:col>37</xdr:col>
      <xdr:colOff>152400</xdr:colOff>
      <xdr:row>24</xdr:row>
      <xdr:rowOff>0</xdr:rowOff>
    </xdr:to>
    <xdr:sp>
      <xdr:nvSpPr>
        <xdr:cNvPr id="107" name="Line 1702"/>
        <xdr:cNvSpPr>
          <a:spLocks noChangeShapeType="1"/>
        </xdr:cNvSpPr>
      </xdr:nvSpPr>
      <xdr:spPr>
        <a:xfrm>
          <a:off x="5648325"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24</xdr:row>
      <xdr:rowOff>0</xdr:rowOff>
    </xdr:from>
    <xdr:to>
      <xdr:col>42</xdr:col>
      <xdr:colOff>152400</xdr:colOff>
      <xdr:row>24</xdr:row>
      <xdr:rowOff>0</xdr:rowOff>
    </xdr:to>
    <xdr:sp>
      <xdr:nvSpPr>
        <xdr:cNvPr id="108" name="Line 1703"/>
        <xdr:cNvSpPr>
          <a:spLocks noChangeShapeType="1"/>
        </xdr:cNvSpPr>
      </xdr:nvSpPr>
      <xdr:spPr>
        <a:xfrm>
          <a:off x="64198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24</xdr:row>
      <xdr:rowOff>0</xdr:rowOff>
    </xdr:from>
    <xdr:to>
      <xdr:col>42</xdr:col>
      <xdr:colOff>152400</xdr:colOff>
      <xdr:row>24</xdr:row>
      <xdr:rowOff>0</xdr:rowOff>
    </xdr:to>
    <xdr:sp>
      <xdr:nvSpPr>
        <xdr:cNvPr id="109" name="Line 1704"/>
        <xdr:cNvSpPr>
          <a:spLocks noChangeShapeType="1"/>
        </xdr:cNvSpPr>
      </xdr:nvSpPr>
      <xdr:spPr>
        <a:xfrm>
          <a:off x="64198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24</xdr:row>
      <xdr:rowOff>0</xdr:rowOff>
    </xdr:from>
    <xdr:to>
      <xdr:col>41</xdr:col>
      <xdr:colOff>152400</xdr:colOff>
      <xdr:row>24</xdr:row>
      <xdr:rowOff>0</xdr:rowOff>
    </xdr:to>
    <xdr:sp>
      <xdr:nvSpPr>
        <xdr:cNvPr id="110" name="Line 1705"/>
        <xdr:cNvSpPr>
          <a:spLocks noChangeShapeType="1"/>
        </xdr:cNvSpPr>
      </xdr:nvSpPr>
      <xdr:spPr>
        <a:xfrm>
          <a:off x="62674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24</xdr:row>
      <xdr:rowOff>0</xdr:rowOff>
    </xdr:from>
    <xdr:to>
      <xdr:col>42</xdr:col>
      <xdr:colOff>152400</xdr:colOff>
      <xdr:row>24</xdr:row>
      <xdr:rowOff>0</xdr:rowOff>
    </xdr:to>
    <xdr:sp>
      <xdr:nvSpPr>
        <xdr:cNvPr id="111" name="Line 1706"/>
        <xdr:cNvSpPr>
          <a:spLocks noChangeShapeType="1"/>
        </xdr:cNvSpPr>
      </xdr:nvSpPr>
      <xdr:spPr>
        <a:xfrm>
          <a:off x="64198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24</xdr:row>
      <xdr:rowOff>0</xdr:rowOff>
    </xdr:from>
    <xdr:to>
      <xdr:col>43</xdr:col>
      <xdr:colOff>152400</xdr:colOff>
      <xdr:row>24</xdr:row>
      <xdr:rowOff>0</xdr:rowOff>
    </xdr:to>
    <xdr:sp>
      <xdr:nvSpPr>
        <xdr:cNvPr id="112" name="Line 1707"/>
        <xdr:cNvSpPr>
          <a:spLocks noChangeShapeType="1"/>
        </xdr:cNvSpPr>
      </xdr:nvSpPr>
      <xdr:spPr>
        <a:xfrm>
          <a:off x="65722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24</xdr:row>
      <xdr:rowOff>0</xdr:rowOff>
    </xdr:from>
    <xdr:to>
      <xdr:col>39</xdr:col>
      <xdr:colOff>152400</xdr:colOff>
      <xdr:row>24</xdr:row>
      <xdr:rowOff>0</xdr:rowOff>
    </xdr:to>
    <xdr:sp>
      <xdr:nvSpPr>
        <xdr:cNvPr id="113" name="Line 1708"/>
        <xdr:cNvSpPr>
          <a:spLocks noChangeShapeType="1"/>
        </xdr:cNvSpPr>
      </xdr:nvSpPr>
      <xdr:spPr>
        <a:xfrm>
          <a:off x="59626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24</xdr:row>
      <xdr:rowOff>0</xdr:rowOff>
    </xdr:from>
    <xdr:to>
      <xdr:col>39</xdr:col>
      <xdr:colOff>152400</xdr:colOff>
      <xdr:row>24</xdr:row>
      <xdr:rowOff>0</xdr:rowOff>
    </xdr:to>
    <xdr:sp>
      <xdr:nvSpPr>
        <xdr:cNvPr id="114" name="Line 1709"/>
        <xdr:cNvSpPr>
          <a:spLocks noChangeShapeType="1"/>
        </xdr:cNvSpPr>
      </xdr:nvSpPr>
      <xdr:spPr>
        <a:xfrm>
          <a:off x="59626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24</xdr:row>
      <xdr:rowOff>0</xdr:rowOff>
    </xdr:from>
    <xdr:to>
      <xdr:col>39</xdr:col>
      <xdr:colOff>152400</xdr:colOff>
      <xdr:row>24</xdr:row>
      <xdr:rowOff>0</xdr:rowOff>
    </xdr:to>
    <xdr:sp>
      <xdr:nvSpPr>
        <xdr:cNvPr id="115" name="Line 1710"/>
        <xdr:cNvSpPr>
          <a:spLocks noChangeShapeType="1"/>
        </xdr:cNvSpPr>
      </xdr:nvSpPr>
      <xdr:spPr>
        <a:xfrm>
          <a:off x="5962650" y="376364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161925</xdr:colOff>
      <xdr:row>39</xdr:row>
      <xdr:rowOff>85725</xdr:rowOff>
    </xdr:from>
    <xdr:to>
      <xdr:col>38</xdr:col>
      <xdr:colOff>161925</xdr:colOff>
      <xdr:row>40</xdr:row>
      <xdr:rowOff>0</xdr:rowOff>
    </xdr:to>
    <xdr:sp>
      <xdr:nvSpPr>
        <xdr:cNvPr id="136" name="Line 1731"/>
        <xdr:cNvSpPr>
          <a:spLocks noChangeShapeType="1"/>
        </xdr:cNvSpPr>
      </xdr:nvSpPr>
      <xdr:spPr>
        <a:xfrm>
          <a:off x="5810250" y="6209030"/>
          <a:ext cx="0" cy="7874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9525</xdr:colOff>
      <xdr:row>87</xdr:row>
      <xdr:rowOff>0</xdr:rowOff>
    </xdr:from>
    <xdr:to>
      <xdr:col>38</xdr:col>
      <xdr:colOff>9525</xdr:colOff>
      <xdr:row>87</xdr:row>
      <xdr:rowOff>0</xdr:rowOff>
    </xdr:to>
    <xdr:sp>
      <xdr:nvSpPr>
        <xdr:cNvPr id="137" name="Line 2003"/>
        <xdr:cNvSpPr>
          <a:spLocks noChangeShapeType="1"/>
        </xdr:cNvSpPr>
      </xdr:nvSpPr>
      <xdr:spPr>
        <a:xfrm>
          <a:off x="5657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87</xdr:row>
      <xdr:rowOff>0</xdr:rowOff>
    </xdr:from>
    <xdr:to>
      <xdr:col>36</xdr:col>
      <xdr:colOff>0</xdr:colOff>
      <xdr:row>87</xdr:row>
      <xdr:rowOff>0</xdr:rowOff>
    </xdr:to>
    <xdr:sp>
      <xdr:nvSpPr>
        <xdr:cNvPr id="138" name="Line 2004"/>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87</xdr:row>
      <xdr:rowOff>0</xdr:rowOff>
    </xdr:from>
    <xdr:to>
      <xdr:col>36</xdr:col>
      <xdr:colOff>0</xdr:colOff>
      <xdr:row>87</xdr:row>
      <xdr:rowOff>0</xdr:rowOff>
    </xdr:to>
    <xdr:sp>
      <xdr:nvSpPr>
        <xdr:cNvPr id="139" name="Line 2005"/>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87</xdr:row>
      <xdr:rowOff>0</xdr:rowOff>
    </xdr:from>
    <xdr:to>
      <xdr:col>36</xdr:col>
      <xdr:colOff>0</xdr:colOff>
      <xdr:row>87</xdr:row>
      <xdr:rowOff>0</xdr:rowOff>
    </xdr:to>
    <xdr:sp>
      <xdr:nvSpPr>
        <xdr:cNvPr id="140" name="Line 2006"/>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0</xdr:colOff>
      <xdr:row>87</xdr:row>
      <xdr:rowOff>0</xdr:rowOff>
    </xdr:from>
    <xdr:to>
      <xdr:col>37</xdr:col>
      <xdr:colOff>0</xdr:colOff>
      <xdr:row>87</xdr:row>
      <xdr:rowOff>0</xdr:rowOff>
    </xdr:to>
    <xdr:sp>
      <xdr:nvSpPr>
        <xdr:cNvPr id="141" name="Line 2007"/>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0</xdr:colOff>
      <xdr:row>87</xdr:row>
      <xdr:rowOff>0</xdr:rowOff>
    </xdr:from>
    <xdr:to>
      <xdr:col>35</xdr:col>
      <xdr:colOff>0</xdr:colOff>
      <xdr:row>87</xdr:row>
      <xdr:rowOff>0</xdr:rowOff>
    </xdr:to>
    <xdr:sp>
      <xdr:nvSpPr>
        <xdr:cNvPr id="142" name="Line 2008"/>
        <xdr:cNvSpPr>
          <a:spLocks noChangeShapeType="1"/>
        </xdr:cNvSpPr>
      </xdr:nvSpPr>
      <xdr:spPr>
        <a:xfrm flipH="1">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43" name="Line 2009"/>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44" name="Line 2010"/>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45" name="Line 2011"/>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146" name="Line 2012"/>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47" name="Line 2013"/>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48" name="Line 2014"/>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149" name="Line 2015"/>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50" name="Line 2016"/>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151" name="Line 2017"/>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9525</xdr:colOff>
      <xdr:row>87</xdr:row>
      <xdr:rowOff>0</xdr:rowOff>
    </xdr:from>
    <xdr:to>
      <xdr:col>39</xdr:col>
      <xdr:colOff>9525</xdr:colOff>
      <xdr:row>87</xdr:row>
      <xdr:rowOff>0</xdr:rowOff>
    </xdr:to>
    <xdr:sp>
      <xdr:nvSpPr>
        <xdr:cNvPr id="152" name="Line 2018"/>
        <xdr:cNvSpPr>
          <a:spLocks noChangeShapeType="1"/>
        </xdr:cNvSpPr>
      </xdr:nvSpPr>
      <xdr:spPr>
        <a:xfrm>
          <a:off x="58388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53" name="Line 2019"/>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54" name="Line 2020"/>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87</xdr:row>
      <xdr:rowOff>0</xdr:rowOff>
    </xdr:from>
    <xdr:to>
      <xdr:col>38</xdr:col>
      <xdr:colOff>152400</xdr:colOff>
      <xdr:row>87</xdr:row>
      <xdr:rowOff>0</xdr:rowOff>
    </xdr:to>
    <xdr:sp>
      <xdr:nvSpPr>
        <xdr:cNvPr id="155" name="Line 2021"/>
        <xdr:cNvSpPr>
          <a:spLocks noChangeShapeType="1"/>
        </xdr:cNvSpPr>
      </xdr:nvSpPr>
      <xdr:spPr>
        <a:xfrm>
          <a:off x="5800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56" name="Line 2022"/>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157" name="Line 2023"/>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58" name="Line 2024"/>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59" name="Line 2025"/>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160" name="Line 2026"/>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61" name="Line 2027"/>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162" name="Line 2028"/>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163" name="Line 2029"/>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164" name="Line 2030"/>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165" name="Line 2031"/>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166" name="Line 2032"/>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167" name="Line 2033"/>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168" name="Line 2034"/>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152400</xdr:colOff>
      <xdr:row>87</xdr:row>
      <xdr:rowOff>0</xdr:rowOff>
    </xdr:from>
    <xdr:to>
      <xdr:col>35</xdr:col>
      <xdr:colOff>152400</xdr:colOff>
      <xdr:row>87</xdr:row>
      <xdr:rowOff>0</xdr:rowOff>
    </xdr:to>
    <xdr:sp>
      <xdr:nvSpPr>
        <xdr:cNvPr id="169" name="Line 2035"/>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170" name="Line 2036"/>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87</xdr:row>
      <xdr:rowOff>0</xdr:rowOff>
    </xdr:from>
    <xdr:to>
      <xdr:col>37</xdr:col>
      <xdr:colOff>152400</xdr:colOff>
      <xdr:row>87</xdr:row>
      <xdr:rowOff>0</xdr:rowOff>
    </xdr:to>
    <xdr:sp>
      <xdr:nvSpPr>
        <xdr:cNvPr id="171" name="Line 2037"/>
        <xdr:cNvSpPr>
          <a:spLocks noChangeShapeType="1"/>
        </xdr:cNvSpPr>
      </xdr:nvSpPr>
      <xdr:spPr>
        <a:xfrm>
          <a:off x="56483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0</xdr:colOff>
      <xdr:row>87</xdr:row>
      <xdr:rowOff>0</xdr:rowOff>
    </xdr:from>
    <xdr:to>
      <xdr:col>33</xdr:col>
      <xdr:colOff>0</xdr:colOff>
      <xdr:row>87</xdr:row>
      <xdr:rowOff>0</xdr:rowOff>
    </xdr:to>
    <xdr:sp>
      <xdr:nvSpPr>
        <xdr:cNvPr id="172" name="Line 2038"/>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44</xdr:col>
      <xdr:colOff>0</xdr:colOff>
      <xdr:row>87</xdr:row>
      <xdr:rowOff>0</xdr:rowOff>
    </xdr:from>
    <xdr:to>
      <xdr:col>44</xdr:col>
      <xdr:colOff>0</xdr:colOff>
      <xdr:row>87</xdr:row>
      <xdr:rowOff>0</xdr:rowOff>
    </xdr:to>
    <xdr:sp>
      <xdr:nvSpPr>
        <xdr:cNvPr id="173" name="Line 2050"/>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0</xdr:colOff>
      <xdr:row>87</xdr:row>
      <xdr:rowOff>0</xdr:rowOff>
    </xdr:from>
    <xdr:to>
      <xdr:col>41</xdr:col>
      <xdr:colOff>0</xdr:colOff>
      <xdr:row>87</xdr:row>
      <xdr:rowOff>0</xdr:rowOff>
    </xdr:to>
    <xdr:sp>
      <xdr:nvSpPr>
        <xdr:cNvPr id="174" name="Line 2051"/>
        <xdr:cNvSpPr>
          <a:spLocks noChangeShapeType="1"/>
        </xdr:cNvSpPr>
      </xdr:nvSpPr>
      <xdr:spPr>
        <a:xfrm flipH="1">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9525</xdr:colOff>
      <xdr:row>87</xdr:row>
      <xdr:rowOff>0</xdr:rowOff>
    </xdr:from>
    <xdr:to>
      <xdr:col>43</xdr:col>
      <xdr:colOff>9525</xdr:colOff>
      <xdr:row>87</xdr:row>
      <xdr:rowOff>0</xdr:rowOff>
    </xdr:to>
    <xdr:sp>
      <xdr:nvSpPr>
        <xdr:cNvPr id="175" name="Line 2052"/>
        <xdr:cNvSpPr>
          <a:spLocks noChangeShapeType="1"/>
        </xdr:cNvSpPr>
      </xdr:nvSpPr>
      <xdr:spPr>
        <a:xfrm>
          <a:off x="64293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0</xdr:colOff>
      <xdr:row>87</xdr:row>
      <xdr:rowOff>0</xdr:rowOff>
    </xdr:from>
    <xdr:to>
      <xdr:col>42</xdr:col>
      <xdr:colOff>0</xdr:colOff>
      <xdr:row>87</xdr:row>
      <xdr:rowOff>0</xdr:rowOff>
    </xdr:to>
    <xdr:sp>
      <xdr:nvSpPr>
        <xdr:cNvPr id="176" name="Line 2053"/>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0</xdr:colOff>
      <xdr:row>87</xdr:row>
      <xdr:rowOff>0</xdr:rowOff>
    </xdr:from>
    <xdr:to>
      <xdr:col>42</xdr:col>
      <xdr:colOff>0</xdr:colOff>
      <xdr:row>87</xdr:row>
      <xdr:rowOff>0</xdr:rowOff>
    </xdr:to>
    <xdr:sp>
      <xdr:nvSpPr>
        <xdr:cNvPr id="177" name="Line 2054"/>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0</xdr:colOff>
      <xdr:row>87</xdr:row>
      <xdr:rowOff>0</xdr:rowOff>
    </xdr:from>
    <xdr:to>
      <xdr:col>40</xdr:col>
      <xdr:colOff>0</xdr:colOff>
      <xdr:row>87</xdr:row>
      <xdr:rowOff>0</xdr:rowOff>
    </xdr:to>
    <xdr:sp>
      <xdr:nvSpPr>
        <xdr:cNvPr id="178" name="Line 2055"/>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9525</xdr:colOff>
      <xdr:row>87</xdr:row>
      <xdr:rowOff>0</xdr:rowOff>
    </xdr:from>
    <xdr:to>
      <xdr:col>39</xdr:col>
      <xdr:colOff>9525</xdr:colOff>
      <xdr:row>87</xdr:row>
      <xdr:rowOff>0</xdr:rowOff>
    </xdr:to>
    <xdr:sp>
      <xdr:nvSpPr>
        <xdr:cNvPr id="179" name="Line 2056"/>
        <xdr:cNvSpPr>
          <a:spLocks noChangeShapeType="1"/>
        </xdr:cNvSpPr>
      </xdr:nvSpPr>
      <xdr:spPr>
        <a:xfrm>
          <a:off x="58388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152400</xdr:colOff>
      <xdr:row>87</xdr:row>
      <xdr:rowOff>0</xdr:rowOff>
    </xdr:from>
    <xdr:to>
      <xdr:col>31</xdr:col>
      <xdr:colOff>152400</xdr:colOff>
      <xdr:row>87</xdr:row>
      <xdr:rowOff>0</xdr:rowOff>
    </xdr:to>
    <xdr:sp>
      <xdr:nvSpPr>
        <xdr:cNvPr id="180" name="Line 2057"/>
        <xdr:cNvSpPr>
          <a:spLocks noChangeShapeType="1"/>
        </xdr:cNvSpPr>
      </xdr:nvSpPr>
      <xdr:spPr>
        <a:xfrm>
          <a:off x="47529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181" name="Line 2058"/>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182" name="Line 2059"/>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183" name="Line 2060"/>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152400</xdr:colOff>
      <xdr:row>87</xdr:row>
      <xdr:rowOff>0</xdr:rowOff>
    </xdr:from>
    <xdr:to>
      <xdr:col>31</xdr:col>
      <xdr:colOff>152400</xdr:colOff>
      <xdr:row>87</xdr:row>
      <xdr:rowOff>0</xdr:rowOff>
    </xdr:to>
    <xdr:sp>
      <xdr:nvSpPr>
        <xdr:cNvPr id="184" name="Line 2061"/>
        <xdr:cNvSpPr>
          <a:spLocks noChangeShapeType="1"/>
        </xdr:cNvSpPr>
      </xdr:nvSpPr>
      <xdr:spPr>
        <a:xfrm>
          <a:off x="47529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185" name="Line 2062"/>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186" name="Line 2063"/>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187" name="Line 2064"/>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188" name="Line 2065"/>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189" name="Line 2066"/>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152400</xdr:colOff>
      <xdr:row>87</xdr:row>
      <xdr:rowOff>0</xdr:rowOff>
    </xdr:from>
    <xdr:to>
      <xdr:col>35</xdr:col>
      <xdr:colOff>152400</xdr:colOff>
      <xdr:row>87</xdr:row>
      <xdr:rowOff>0</xdr:rowOff>
    </xdr:to>
    <xdr:sp>
      <xdr:nvSpPr>
        <xdr:cNvPr id="190" name="Line 2067"/>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9525</xdr:colOff>
      <xdr:row>87</xdr:row>
      <xdr:rowOff>0</xdr:rowOff>
    </xdr:from>
    <xdr:to>
      <xdr:col>31</xdr:col>
      <xdr:colOff>9525</xdr:colOff>
      <xdr:row>87</xdr:row>
      <xdr:rowOff>0</xdr:rowOff>
    </xdr:to>
    <xdr:sp>
      <xdr:nvSpPr>
        <xdr:cNvPr id="191" name="Line 2068"/>
        <xdr:cNvSpPr>
          <a:spLocks noChangeShapeType="1"/>
        </xdr:cNvSpPr>
      </xdr:nvSpPr>
      <xdr:spPr>
        <a:xfrm>
          <a:off x="46291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92" name="Line 2069"/>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93" name="Line 2070"/>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194" name="Line 2071"/>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195" name="Line 2072"/>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196" name="Line 2073"/>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197" name="Line 2074"/>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198" name="Line 2075"/>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199" name="Line 2076"/>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00" name="Line 2077"/>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87</xdr:row>
      <xdr:rowOff>0</xdr:rowOff>
    </xdr:from>
    <xdr:to>
      <xdr:col>38</xdr:col>
      <xdr:colOff>152400</xdr:colOff>
      <xdr:row>87</xdr:row>
      <xdr:rowOff>0</xdr:rowOff>
    </xdr:to>
    <xdr:sp>
      <xdr:nvSpPr>
        <xdr:cNvPr id="201" name="Line 2078"/>
        <xdr:cNvSpPr>
          <a:spLocks noChangeShapeType="1"/>
        </xdr:cNvSpPr>
      </xdr:nvSpPr>
      <xdr:spPr>
        <a:xfrm>
          <a:off x="5800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202" name="Line 2079"/>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03" name="Line 2080"/>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04" name="Line 2081"/>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05" name="Line 2082"/>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87</xdr:row>
      <xdr:rowOff>0</xdr:rowOff>
    </xdr:from>
    <xdr:to>
      <xdr:col>37</xdr:col>
      <xdr:colOff>152400</xdr:colOff>
      <xdr:row>87</xdr:row>
      <xdr:rowOff>0</xdr:rowOff>
    </xdr:to>
    <xdr:sp>
      <xdr:nvSpPr>
        <xdr:cNvPr id="206" name="Line 2083"/>
        <xdr:cNvSpPr>
          <a:spLocks noChangeShapeType="1"/>
        </xdr:cNvSpPr>
      </xdr:nvSpPr>
      <xdr:spPr>
        <a:xfrm>
          <a:off x="56483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0</xdr:colOff>
      <xdr:row>87</xdr:row>
      <xdr:rowOff>0</xdr:rowOff>
    </xdr:from>
    <xdr:to>
      <xdr:col>36</xdr:col>
      <xdr:colOff>0</xdr:colOff>
      <xdr:row>87</xdr:row>
      <xdr:rowOff>0</xdr:rowOff>
    </xdr:to>
    <xdr:sp>
      <xdr:nvSpPr>
        <xdr:cNvPr id="207" name="Line 2084"/>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208" name="Line 2085"/>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09" name="Line 2086"/>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10" name="Line 2087"/>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11" name="Line 2088"/>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212" name="Line 2089"/>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13" name="Line 2090"/>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14" name="Line 2091"/>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215" name="Line 2092"/>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16" name="Line 2093"/>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87</xdr:row>
      <xdr:rowOff>0</xdr:rowOff>
    </xdr:from>
    <xdr:to>
      <xdr:col>38</xdr:col>
      <xdr:colOff>152400</xdr:colOff>
      <xdr:row>87</xdr:row>
      <xdr:rowOff>0</xdr:rowOff>
    </xdr:to>
    <xdr:sp>
      <xdr:nvSpPr>
        <xdr:cNvPr id="217" name="Line 2094"/>
        <xdr:cNvSpPr>
          <a:spLocks noChangeShapeType="1"/>
        </xdr:cNvSpPr>
      </xdr:nvSpPr>
      <xdr:spPr>
        <a:xfrm>
          <a:off x="5800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218" name="Line 2095"/>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19" name="Line 2096"/>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20" name="Line 2097"/>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21" name="Line 2098"/>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87</xdr:row>
      <xdr:rowOff>0</xdr:rowOff>
    </xdr:from>
    <xdr:to>
      <xdr:col>37</xdr:col>
      <xdr:colOff>152400</xdr:colOff>
      <xdr:row>87</xdr:row>
      <xdr:rowOff>0</xdr:rowOff>
    </xdr:to>
    <xdr:sp>
      <xdr:nvSpPr>
        <xdr:cNvPr id="222" name="Line 2099"/>
        <xdr:cNvSpPr>
          <a:spLocks noChangeShapeType="1"/>
        </xdr:cNvSpPr>
      </xdr:nvSpPr>
      <xdr:spPr>
        <a:xfrm>
          <a:off x="56483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223" name="Line 2100"/>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24" name="Line 2101"/>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25" name="Line 2102"/>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26" name="Line 2103"/>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27" name="Line 2104"/>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28" name="Line 2105"/>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29" name="Line 2106"/>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230" name="Line 2107"/>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31" name="Line 2108"/>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232" name="Line 2109"/>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152400</xdr:colOff>
      <xdr:row>41</xdr:row>
      <xdr:rowOff>66675</xdr:rowOff>
    </xdr:from>
    <xdr:to>
      <xdr:col>9</xdr:col>
      <xdr:colOff>152400</xdr:colOff>
      <xdr:row>42</xdr:row>
      <xdr:rowOff>0</xdr:rowOff>
    </xdr:to>
    <xdr:sp>
      <xdr:nvSpPr>
        <xdr:cNvPr id="233" name="Line 2187"/>
        <xdr:cNvSpPr>
          <a:spLocks noChangeShapeType="1"/>
        </xdr:cNvSpPr>
      </xdr:nvSpPr>
      <xdr:spPr>
        <a:xfrm>
          <a:off x="160972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152400</xdr:colOff>
      <xdr:row>41</xdr:row>
      <xdr:rowOff>66675</xdr:rowOff>
    </xdr:from>
    <xdr:to>
      <xdr:col>9</xdr:col>
      <xdr:colOff>152400</xdr:colOff>
      <xdr:row>42</xdr:row>
      <xdr:rowOff>0</xdr:rowOff>
    </xdr:to>
    <xdr:sp>
      <xdr:nvSpPr>
        <xdr:cNvPr id="234" name="Line 2188"/>
        <xdr:cNvSpPr>
          <a:spLocks noChangeShapeType="1"/>
        </xdr:cNvSpPr>
      </xdr:nvSpPr>
      <xdr:spPr>
        <a:xfrm>
          <a:off x="160972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152400</xdr:colOff>
      <xdr:row>41</xdr:row>
      <xdr:rowOff>66675</xdr:rowOff>
    </xdr:from>
    <xdr:to>
      <xdr:col>9</xdr:col>
      <xdr:colOff>152400</xdr:colOff>
      <xdr:row>42</xdr:row>
      <xdr:rowOff>0</xdr:rowOff>
    </xdr:to>
    <xdr:sp>
      <xdr:nvSpPr>
        <xdr:cNvPr id="235" name="Line 2189"/>
        <xdr:cNvSpPr>
          <a:spLocks noChangeShapeType="1"/>
        </xdr:cNvSpPr>
      </xdr:nvSpPr>
      <xdr:spPr>
        <a:xfrm>
          <a:off x="160972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10</xdr:col>
      <xdr:colOff>152400</xdr:colOff>
      <xdr:row>41</xdr:row>
      <xdr:rowOff>66675</xdr:rowOff>
    </xdr:from>
    <xdr:to>
      <xdr:col>10</xdr:col>
      <xdr:colOff>152400</xdr:colOff>
      <xdr:row>42</xdr:row>
      <xdr:rowOff>0</xdr:rowOff>
    </xdr:to>
    <xdr:sp>
      <xdr:nvSpPr>
        <xdr:cNvPr id="236" name="Line 2190"/>
        <xdr:cNvSpPr>
          <a:spLocks noChangeShapeType="1"/>
        </xdr:cNvSpPr>
      </xdr:nvSpPr>
      <xdr:spPr>
        <a:xfrm>
          <a:off x="176212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152400</xdr:colOff>
      <xdr:row>41</xdr:row>
      <xdr:rowOff>66675</xdr:rowOff>
    </xdr:from>
    <xdr:to>
      <xdr:col>12</xdr:col>
      <xdr:colOff>152400</xdr:colOff>
      <xdr:row>42</xdr:row>
      <xdr:rowOff>0</xdr:rowOff>
    </xdr:to>
    <xdr:sp>
      <xdr:nvSpPr>
        <xdr:cNvPr id="237" name="Line 2191"/>
        <xdr:cNvSpPr>
          <a:spLocks noChangeShapeType="1"/>
        </xdr:cNvSpPr>
      </xdr:nvSpPr>
      <xdr:spPr>
        <a:xfrm>
          <a:off x="200977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152400</xdr:colOff>
      <xdr:row>41</xdr:row>
      <xdr:rowOff>66675</xdr:rowOff>
    </xdr:from>
    <xdr:to>
      <xdr:col>12</xdr:col>
      <xdr:colOff>152400</xdr:colOff>
      <xdr:row>42</xdr:row>
      <xdr:rowOff>0</xdr:rowOff>
    </xdr:to>
    <xdr:sp>
      <xdr:nvSpPr>
        <xdr:cNvPr id="238" name="Line 2192"/>
        <xdr:cNvSpPr>
          <a:spLocks noChangeShapeType="1"/>
        </xdr:cNvSpPr>
      </xdr:nvSpPr>
      <xdr:spPr>
        <a:xfrm>
          <a:off x="200977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11</xdr:col>
      <xdr:colOff>152400</xdr:colOff>
      <xdr:row>41</xdr:row>
      <xdr:rowOff>66675</xdr:rowOff>
    </xdr:from>
    <xdr:to>
      <xdr:col>11</xdr:col>
      <xdr:colOff>152400</xdr:colOff>
      <xdr:row>42</xdr:row>
      <xdr:rowOff>0</xdr:rowOff>
    </xdr:to>
    <xdr:sp>
      <xdr:nvSpPr>
        <xdr:cNvPr id="239" name="Line 2193"/>
        <xdr:cNvSpPr>
          <a:spLocks noChangeShapeType="1"/>
        </xdr:cNvSpPr>
      </xdr:nvSpPr>
      <xdr:spPr>
        <a:xfrm>
          <a:off x="1885950"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152400</xdr:colOff>
      <xdr:row>41</xdr:row>
      <xdr:rowOff>66675</xdr:rowOff>
    </xdr:from>
    <xdr:to>
      <xdr:col>12</xdr:col>
      <xdr:colOff>152400</xdr:colOff>
      <xdr:row>42</xdr:row>
      <xdr:rowOff>0</xdr:rowOff>
    </xdr:to>
    <xdr:sp>
      <xdr:nvSpPr>
        <xdr:cNvPr id="240" name="Line 2194"/>
        <xdr:cNvSpPr>
          <a:spLocks noChangeShapeType="1"/>
        </xdr:cNvSpPr>
      </xdr:nvSpPr>
      <xdr:spPr>
        <a:xfrm>
          <a:off x="2009775"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13</xdr:col>
      <xdr:colOff>152400</xdr:colOff>
      <xdr:row>41</xdr:row>
      <xdr:rowOff>66675</xdr:rowOff>
    </xdr:from>
    <xdr:to>
      <xdr:col>13</xdr:col>
      <xdr:colOff>152400</xdr:colOff>
      <xdr:row>42</xdr:row>
      <xdr:rowOff>0</xdr:rowOff>
    </xdr:to>
    <xdr:sp>
      <xdr:nvSpPr>
        <xdr:cNvPr id="241" name="Line 2195"/>
        <xdr:cNvSpPr>
          <a:spLocks noChangeShapeType="1"/>
        </xdr:cNvSpPr>
      </xdr:nvSpPr>
      <xdr:spPr>
        <a:xfrm>
          <a:off x="2133600"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9525</xdr:colOff>
      <xdr:row>41</xdr:row>
      <xdr:rowOff>66675</xdr:rowOff>
    </xdr:from>
    <xdr:to>
      <xdr:col>9</xdr:col>
      <xdr:colOff>9525</xdr:colOff>
      <xdr:row>42</xdr:row>
      <xdr:rowOff>0</xdr:rowOff>
    </xdr:to>
    <xdr:sp>
      <xdr:nvSpPr>
        <xdr:cNvPr id="242" name="Line 2196"/>
        <xdr:cNvSpPr>
          <a:spLocks noChangeShapeType="1"/>
        </xdr:cNvSpPr>
      </xdr:nvSpPr>
      <xdr:spPr>
        <a:xfrm>
          <a:off x="1466850" y="6518910"/>
          <a:ext cx="0" cy="1428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152400</xdr:colOff>
      <xdr:row>87</xdr:row>
      <xdr:rowOff>0</xdr:rowOff>
    </xdr:from>
    <xdr:to>
      <xdr:col>9</xdr:col>
      <xdr:colOff>152400</xdr:colOff>
      <xdr:row>87</xdr:row>
      <xdr:rowOff>0</xdr:rowOff>
    </xdr:to>
    <xdr:sp>
      <xdr:nvSpPr>
        <xdr:cNvPr id="243" name="Line 2197"/>
        <xdr:cNvSpPr>
          <a:spLocks noChangeShapeType="1"/>
        </xdr:cNvSpPr>
      </xdr:nvSpPr>
      <xdr:spPr>
        <a:xfrm>
          <a:off x="1609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152400</xdr:colOff>
      <xdr:row>87</xdr:row>
      <xdr:rowOff>0</xdr:rowOff>
    </xdr:from>
    <xdr:to>
      <xdr:col>9</xdr:col>
      <xdr:colOff>152400</xdr:colOff>
      <xdr:row>87</xdr:row>
      <xdr:rowOff>0</xdr:rowOff>
    </xdr:to>
    <xdr:sp>
      <xdr:nvSpPr>
        <xdr:cNvPr id="244" name="Line 2198"/>
        <xdr:cNvSpPr>
          <a:spLocks noChangeShapeType="1"/>
        </xdr:cNvSpPr>
      </xdr:nvSpPr>
      <xdr:spPr>
        <a:xfrm>
          <a:off x="1609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152400</xdr:colOff>
      <xdr:row>87</xdr:row>
      <xdr:rowOff>0</xdr:rowOff>
    </xdr:from>
    <xdr:to>
      <xdr:col>9</xdr:col>
      <xdr:colOff>152400</xdr:colOff>
      <xdr:row>87</xdr:row>
      <xdr:rowOff>0</xdr:rowOff>
    </xdr:to>
    <xdr:sp>
      <xdr:nvSpPr>
        <xdr:cNvPr id="245" name="Line 2199"/>
        <xdr:cNvSpPr>
          <a:spLocks noChangeShapeType="1"/>
        </xdr:cNvSpPr>
      </xdr:nvSpPr>
      <xdr:spPr>
        <a:xfrm>
          <a:off x="1609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10</xdr:col>
      <xdr:colOff>152400</xdr:colOff>
      <xdr:row>87</xdr:row>
      <xdr:rowOff>0</xdr:rowOff>
    </xdr:from>
    <xdr:to>
      <xdr:col>10</xdr:col>
      <xdr:colOff>152400</xdr:colOff>
      <xdr:row>87</xdr:row>
      <xdr:rowOff>0</xdr:rowOff>
    </xdr:to>
    <xdr:sp>
      <xdr:nvSpPr>
        <xdr:cNvPr id="246" name="Line 2200"/>
        <xdr:cNvSpPr>
          <a:spLocks noChangeShapeType="1"/>
        </xdr:cNvSpPr>
      </xdr:nvSpPr>
      <xdr:spPr>
        <a:xfrm>
          <a:off x="1762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152400</xdr:colOff>
      <xdr:row>87</xdr:row>
      <xdr:rowOff>0</xdr:rowOff>
    </xdr:from>
    <xdr:to>
      <xdr:col>12</xdr:col>
      <xdr:colOff>152400</xdr:colOff>
      <xdr:row>87</xdr:row>
      <xdr:rowOff>0</xdr:rowOff>
    </xdr:to>
    <xdr:sp>
      <xdr:nvSpPr>
        <xdr:cNvPr id="247" name="Line 2201"/>
        <xdr:cNvSpPr>
          <a:spLocks noChangeShapeType="1"/>
        </xdr:cNvSpPr>
      </xdr:nvSpPr>
      <xdr:spPr>
        <a:xfrm>
          <a:off x="20097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152400</xdr:colOff>
      <xdr:row>87</xdr:row>
      <xdr:rowOff>0</xdr:rowOff>
    </xdr:from>
    <xdr:to>
      <xdr:col>12</xdr:col>
      <xdr:colOff>152400</xdr:colOff>
      <xdr:row>87</xdr:row>
      <xdr:rowOff>0</xdr:rowOff>
    </xdr:to>
    <xdr:sp>
      <xdr:nvSpPr>
        <xdr:cNvPr id="248" name="Line 2202"/>
        <xdr:cNvSpPr>
          <a:spLocks noChangeShapeType="1"/>
        </xdr:cNvSpPr>
      </xdr:nvSpPr>
      <xdr:spPr>
        <a:xfrm>
          <a:off x="20097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11</xdr:col>
      <xdr:colOff>152400</xdr:colOff>
      <xdr:row>87</xdr:row>
      <xdr:rowOff>0</xdr:rowOff>
    </xdr:from>
    <xdr:to>
      <xdr:col>11</xdr:col>
      <xdr:colOff>152400</xdr:colOff>
      <xdr:row>87</xdr:row>
      <xdr:rowOff>0</xdr:rowOff>
    </xdr:to>
    <xdr:sp>
      <xdr:nvSpPr>
        <xdr:cNvPr id="249" name="Line 2203"/>
        <xdr:cNvSpPr>
          <a:spLocks noChangeShapeType="1"/>
        </xdr:cNvSpPr>
      </xdr:nvSpPr>
      <xdr:spPr>
        <a:xfrm>
          <a:off x="18859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152400</xdr:colOff>
      <xdr:row>87</xdr:row>
      <xdr:rowOff>0</xdr:rowOff>
    </xdr:from>
    <xdr:to>
      <xdr:col>12</xdr:col>
      <xdr:colOff>152400</xdr:colOff>
      <xdr:row>87</xdr:row>
      <xdr:rowOff>0</xdr:rowOff>
    </xdr:to>
    <xdr:sp>
      <xdr:nvSpPr>
        <xdr:cNvPr id="250" name="Line 2204"/>
        <xdr:cNvSpPr>
          <a:spLocks noChangeShapeType="1"/>
        </xdr:cNvSpPr>
      </xdr:nvSpPr>
      <xdr:spPr>
        <a:xfrm>
          <a:off x="20097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13</xdr:col>
      <xdr:colOff>152400</xdr:colOff>
      <xdr:row>87</xdr:row>
      <xdr:rowOff>0</xdr:rowOff>
    </xdr:from>
    <xdr:to>
      <xdr:col>13</xdr:col>
      <xdr:colOff>152400</xdr:colOff>
      <xdr:row>87</xdr:row>
      <xdr:rowOff>0</xdr:rowOff>
    </xdr:to>
    <xdr:sp>
      <xdr:nvSpPr>
        <xdr:cNvPr id="251" name="Line 2205"/>
        <xdr:cNvSpPr>
          <a:spLocks noChangeShapeType="1"/>
        </xdr:cNvSpPr>
      </xdr:nvSpPr>
      <xdr:spPr>
        <a:xfrm>
          <a:off x="213360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9525</xdr:colOff>
      <xdr:row>87</xdr:row>
      <xdr:rowOff>0</xdr:rowOff>
    </xdr:from>
    <xdr:to>
      <xdr:col>9</xdr:col>
      <xdr:colOff>9525</xdr:colOff>
      <xdr:row>87</xdr:row>
      <xdr:rowOff>0</xdr:rowOff>
    </xdr:to>
    <xdr:sp>
      <xdr:nvSpPr>
        <xdr:cNvPr id="252" name="Line 2206"/>
        <xdr:cNvSpPr>
          <a:spLocks noChangeShapeType="1"/>
        </xdr:cNvSpPr>
      </xdr:nvSpPr>
      <xdr:spPr>
        <a:xfrm>
          <a:off x="1466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152400</xdr:colOff>
      <xdr:row>87</xdr:row>
      <xdr:rowOff>0</xdr:rowOff>
    </xdr:from>
    <xdr:to>
      <xdr:col>31</xdr:col>
      <xdr:colOff>152400</xdr:colOff>
      <xdr:row>87</xdr:row>
      <xdr:rowOff>0</xdr:rowOff>
    </xdr:to>
    <xdr:sp>
      <xdr:nvSpPr>
        <xdr:cNvPr id="253" name="Line 2207"/>
        <xdr:cNvSpPr>
          <a:spLocks noChangeShapeType="1"/>
        </xdr:cNvSpPr>
      </xdr:nvSpPr>
      <xdr:spPr>
        <a:xfrm>
          <a:off x="47529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254" name="Line 2208"/>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255" name="Line 2209"/>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256" name="Line 2210"/>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152400</xdr:colOff>
      <xdr:row>87</xdr:row>
      <xdr:rowOff>0</xdr:rowOff>
    </xdr:from>
    <xdr:to>
      <xdr:col>31</xdr:col>
      <xdr:colOff>152400</xdr:colOff>
      <xdr:row>87</xdr:row>
      <xdr:rowOff>0</xdr:rowOff>
    </xdr:to>
    <xdr:sp>
      <xdr:nvSpPr>
        <xdr:cNvPr id="257" name="Line 2211"/>
        <xdr:cNvSpPr>
          <a:spLocks noChangeShapeType="1"/>
        </xdr:cNvSpPr>
      </xdr:nvSpPr>
      <xdr:spPr>
        <a:xfrm>
          <a:off x="47529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258" name="Line 2212"/>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259" name="Line 2213"/>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260" name="Line 2214"/>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261" name="Line 2215"/>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262" name="Line 2216"/>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152400</xdr:colOff>
      <xdr:row>87</xdr:row>
      <xdr:rowOff>0</xdr:rowOff>
    </xdr:from>
    <xdr:to>
      <xdr:col>35</xdr:col>
      <xdr:colOff>152400</xdr:colOff>
      <xdr:row>87</xdr:row>
      <xdr:rowOff>0</xdr:rowOff>
    </xdr:to>
    <xdr:sp>
      <xdr:nvSpPr>
        <xdr:cNvPr id="263" name="Line 2217"/>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9525</xdr:colOff>
      <xdr:row>87</xdr:row>
      <xdr:rowOff>0</xdr:rowOff>
    </xdr:from>
    <xdr:to>
      <xdr:col>31</xdr:col>
      <xdr:colOff>9525</xdr:colOff>
      <xdr:row>87</xdr:row>
      <xdr:rowOff>0</xdr:rowOff>
    </xdr:to>
    <xdr:sp>
      <xdr:nvSpPr>
        <xdr:cNvPr id="264" name="Line 2218"/>
        <xdr:cNvSpPr>
          <a:spLocks noChangeShapeType="1"/>
        </xdr:cNvSpPr>
      </xdr:nvSpPr>
      <xdr:spPr>
        <a:xfrm>
          <a:off x="46291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265" name="Line 2219"/>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66" name="Line 2220"/>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67" name="Line 2221"/>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68" name="Line 2222"/>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269" name="Line 2223"/>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70" name="Line 2224"/>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71" name="Line 2225"/>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272" name="Line 2226"/>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73" name="Line 2227"/>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87</xdr:row>
      <xdr:rowOff>0</xdr:rowOff>
    </xdr:from>
    <xdr:to>
      <xdr:col>38</xdr:col>
      <xdr:colOff>152400</xdr:colOff>
      <xdr:row>87</xdr:row>
      <xdr:rowOff>0</xdr:rowOff>
    </xdr:to>
    <xdr:sp>
      <xdr:nvSpPr>
        <xdr:cNvPr id="274" name="Line 2228"/>
        <xdr:cNvSpPr>
          <a:spLocks noChangeShapeType="1"/>
        </xdr:cNvSpPr>
      </xdr:nvSpPr>
      <xdr:spPr>
        <a:xfrm>
          <a:off x="5800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275" name="Line 2229"/>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76" name="Line 2230"/>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77" name="Line 2231"/>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278" name="Line 2232"/>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87</xdr:row>
      <xdr:rowOff>0</xdr:rowOff>
    </xdr:from>
    <xdr:to>
      <xdr:col>37</xdr:col>
      <xdr:colOff>152400</xdr:colOff>
      <xdr:row>87</xdr:row>
      <xdr:rowOff>0</xdr:rowOff>
    </xdr:to>
    <xdr:sp>
      <xdr:nvSpPr>
        <xdr:cNvPr id="279" name="Line 2233"/>
        <xdr:cNvSpPr>
          <a:spLocks noChangeShapeType="1"/>
        </xdr:cNvSpPr>
      </xdr:nvSpPr>
      <xdr:spPr>
        <a:xfrm>
          <a:off x="56483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152400</xdr:colOff>
      <xdr:row>87</xdr:row>
      <xdr:rowOff>0</xdr:rowOff>
    </xdr:from>
    <xdr:to>
      <xdr:col>31</xdr:col>
      <xdr:colOff>152400</xdr:colOff>
      <xdr:row>87</xdr:row>
      <xdr:rowOff>0</xdr:rowOff>
    </xdr:to>
    <xdr:sp>
      <xdr:nvSpPr>
        <xdr:cNvPr id="280" name="Line 2234"/>
        <xdr:cNvSpPr>
          <a:spLocks noChangeShapeType="1"/>
        </xdr:cNvSpPr>
      </xdr:nvSpPr>
      <xdr:spPr>
        <a:xfrm>
          <a:off x="47529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281" name="Line 2235"/>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282" name="Line 2236"/>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283" name="Line 2237"/>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152400</xdr:colOff>
      <xdr:row>87</xdr:row>
      <xdr:rowOff>0</xdr:rowOff>
    </xdr:from>
    <xdr:to>
      <xdr:col>31</xdr:col>
      <xdr:colOff>152400</xdr:colOff>
      <xdr:row>87</xdr:row>
      <xdr:rowOff>0</xdr:rowOff>
    </xdr:to>
    <xdr:sp>
      <xdr:nvSpPr>
        <xdr:cNvPr id="284" name="Line 2238"/>
        <xdr:cNvSpPr>
          <a:spLocks noChangeShapeType="1"/>
        </xdr:cNvSpPr>
      </xdr:nvSpPr>
      <xdr:spPr>
        <a:xfrm>
          <a:off x="475297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32</xdr:col>
      <xdr:colOff>152400</xdr:colOff>
      <xdr:row>87</xdr:row>
      <xdr:rowOff>0</xdr:rowOff>
    </xdr:from>
    <xdr:to>
      <xdr:col>32</xdr:col>
      <xdr:colOff>152400</xdr:colOff>
      <xdr:row>87</xdr:row>
      <xdr:rowOff>0</xdr:rowOff>
    </xdr:to>
    <xdr:sp>
      <xdr:nvSpPr>
        <xdr:cNvPr id="285" name="Line 2239"/>
        <xdr:cNvSpPr>
          <a:spLocks noChangeShapeType="1"/>
        </xdr:cNvSpPr>
      </xdr:nvSpPr>
      <xdr:spPr>
        <a:xfrm>
          <a:off x="4895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286" name="Line 2240"/>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287" name="Line 2241"/>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34</xdr:col>
      <xdr:colOff>152400</xdr:colOff>
      <xdr:row>87</xdr:row>
      <xdr:rowOff>0</xdr:rowOff>
    </xdr:from>
    <xdr:to>
      <xdr:col>34</xdr:col>
      <xdr:colOff>152400</xdr:colOff>
      <xdr:row>87</xdr:row>
      <xdr:rowOff>0</xdr:rowOff>
    </xdr:to>
    <xdr:sp>
      <xdr:nvSpPr>
        <xdr:cNvPr id="288" name="Line 2242"/>
        <xdr:cNvSpPr>
          <a:spLocks noChangeShapeType="1"/>
        </xdr:cNvSpPr>
      </xdr:nvSpPr>
      <xdr:spPr>
        <a:xfrm>
          <a:off x="51911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33</xdr:col>
      <xdr:colOff>152400</xdr:colOff>
      <xdr:row>87</xdr:row>
      <xdr:rowOff>0</xdr:rowOff>
    </xdr:from>
    <xdr:to>
      <xdr:col>33</xdr:col>
      <xdr:colOff>152400</xdr:colOff>
      <xdr:row>87</xdr:row>
      <xdr:rowOff>0</xdr:rowOff>
    </xdr:to>
    <xdr:sp>
      <xdr:nvSpPr>
        <xdr:cNvPr id="289" name="Line 2243"/>
        <xdr:cNvSpPr>
          <a:spLocks noChangeShapeType="1"/>
        </xdr:cNvSpPr>
      </xdr:nvSpPr>
      <xdr:spPr>
        <a:xfrm>
          <a:off x="5038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35</xdr:col>
      <xdr:colOff>152400</xdr:colOff>
      <xdr:row>87</xdr:row>
      <xdr:rowOff>0</xdr:rowOff>
    </xdr:from>
    <xdr:to>
      <xdr:col>35</xdr:col>
      <xdr:colOff>152400</xdr:colOff>
      <xdr:row>87</xdr:row>
      <xdr:rowOff>0</xdr:rowOff>
    </xdr:to>
    <xdr:sp>
      <xdr:nvSpPr>
        <xdr:cNvPr id="290" name="Line 2244"/>
        <xdr:cNvSpPr>
          <a:spLocks noChangeShapeType="1"/>
        </xdr:cNvSpPr>
      </xdr:nvSpPr>
      <xdr:spPr>
        <a:xfrm>
          <a:off x="53435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31</xdr:col>
      <xdr:colOff>9525</xdr:colOff>
      <xdr:row>87</xdr:row>
      <xdr:rowOff>0</xdr:rowOff>
    </xdr:from>
    <xdr:to>
      <xdr:col>31</xdr:col>
      <xdr:colOff>9525</xdr:colOff>
      <xdr:row>87</xdr:row>
      <xdr:rowOff>0</xdr:rowOff>
    </xdr:to>
    <xdr:sp>
      <xdr:nvSpPr>
        <xdr:cNvPr id="291" name="Line 2245"/>
        <xdr:cNvSpPr>
          <a:spLocks noChangeShapeType="1"/>
        </xdr:cNvSpPr>
      </xdr:nvSpPr>
      <xdr:spPr>
        <a:xfrm>
          <a:off x="46291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292" name="Line 2246"/>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93" name="Line 2247"/>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94" name="Line 2248"/>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95" name="Line 2249"/>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87</xdr:row>
      <xdr:rowOff>0</xdr:rowOff>
    </xdr:from>
    <xdr:to>
      <xdr:col>39</xdr:col>
      <xdr:colOff>152400</xdr:colOff>
      <xdr:row>87</xdr:row>
      <xdr:rowOff>0</xdr:rowOff>
    </xdr:to>
    <xdr:sp>
      <xdr:nvSpPr>
        <xdr:cNvPr id="296" name="Line 2250"/>
        <xdr:cNvSpPr>
          <a:spLocks noChangeShapeType="1"/>
        </xdr:cNvSpPr>
      </xdr:nvSpPr>
      <xdr:spPr>
        <a:xfrm>
          <a:off x="59626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87</xdr:row>
      <xdr:rowOff>0</xdr:rowOff>
    </xdr:from>
    <xdr:to>
      <xdr:col>40</xdr:col>
      <xdr:colOff>152400</xdr:colOff>
      <xdr:row>87</xdr:row>
      <xdr:rowOff>0</xdr:rowOff>
    </xdr:to>
    <xdr:sp>
      <xdr:nvSpPr>
        <xdr:cNvPr id="297" name="Line 2251"/>
        <xdr:cNvSpPr>
          <a:spLocks noChangeShapeType="1"/>
        </xdr:cNvSpPr>
      </xdr:nvSpPr>
      <xdr:spPr>
        <a:xfrm>
          <a:off x="61150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298" name="Line 2252"/>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87</xdr:row>
      <xdr:rowOff>0</xdr:rowOff>
    </xdr:from>
    <xdr:to>
      <xdr:col>41</xdr:col>
      <xdr:colOff>152400</xdr:colOff>
      <xdr:row>87</xdr:row>
      <xdr:rowOff>0</xdr:rowOff>
    </xdr:to>
    <xdr:sp>
      <xdr:nvSpPr>
        <xdr:cNvPr id="299" name="Line 2253"/>
        <xdr:cNvSpPr>
          <a:spLocks noChangeShapeType="1"/>
        </xdr:cNvSpPr>
      </xdr:nvSpPr>
      <xdr:spPr>
        <a:xfrm>
          <a:off x="62674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87</xdr:row>
      <xdr:rowOff>0</xdr:rowOff>
    </xdr:from>
    <xdr:to>
      <xdr:col>42</xdr:col>
      <xdr:colOff>152400</xdr:colOff>
      <xdr:row>87</xdr:row>
      <xdr:rowOff>0</xdr:rowOff>
    </xdr:to>
    <xdr:sp>
      <xdr:nvSpPr>
        <xdr:cNvPr id="300" name="Line 2254"/>
        <xdr:cNvSpPr>
          <a:spLocks noChangeShapeType="1"/>
        </xdr:cNvSpPr>
      </xdr:nvSpPr>
      <xdr:spPr>
        <a:xfrm>
          <a:off x="64198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152400</xdr:colOff>
      <xdr:row>87</xdr:row>
      <xdr:rowOff>0</xdr:rowOff>
    </xdr:from>
    <xdr:to>
      <xdr:col>38</xdr:col>
      <xdr:colOff>152400</xdr:colOff>
      <xdr:row>87</xdr:row>
      <xdr:rowOff>0</xdr:rowOff>
    </xdr:to>
    <xdr:sp>
      <xdr:nvSpPr>
        <xdr:cNvPr id="301" name="Line 2255"/>
        <xdr:cNvSpPr>
          <a:spLocks noChangeShapeType="1"/>
        </xdr:cNvSpPr>
      </xdr:nvSpPr>
      <xdr:spPr>
        <a:xfrm>
          <a:off x="58007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87</xdr:row>
      <xdr:rowOff>0</xdr:rowOff>
    </xdr:from>
    <xdr:to>
      <xdr:col>43</xdr:col>
      <xdr:colOff>152400</xdr:colOff>
      <xdr:row>87</xdr:row>
      <xdr:rowOff>0</xdr:rowOff>
    </xdr:to>
    <xdr:sp>
      <xdr:nvSpPr>
        <xdr:cNvPr id="302" name="Line 2256"/>
        <xdr:cNvSpPr>
          <a:spLocks noChangeShapeType="1"/>
        </xdr:cNvSpPr>
      </xdr:nvSpPr>
      <xdr:spPr>
        <a:xfrm>
          <a:off x="6572250"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303" name="Line 2257"/>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304" name="Line 2258"/>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36</xdr:col>
      <xdr:colOff>152400</xdr:colOff>
      <xdr:row>87</xdr:row>
      <xdr:rowOff>0</xdr:rowOff>
    </xdr:from>
    <xdr:to>
      <xdr:col>36</xdr:col>
      <xdr:colOff>152400</xdr:colOff>
      <xdr:row>87</xdr:row>
      <xdr:rowOff>0</xdr:rowOff>
    </xdr:to>
    <xdr:sp>
      <xdr:nvSpPr>
        <xdr:cNvPr id="305" name="Line 2259"/>
        <xdr:cNvSpPr>
          <a:spLocks noChangeShapeType="1"/>
        </xdr:cNvSpPr>
      </xdr:nvSpPr>
      <xdr:spPr>
        <a:xfrm>
          <a:off x="54959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87</xdr:row>
      <xdr:rowOff>0</xdr:rowOff>
    </xdr:from>
    <xdr:to>
      <xdr:col>37</xdr:col>
      <xdr:colOff>152400</xdr:colOff>
      <xdr:row>87</xdr:row>
      <xdr:rowOff>0</xdr:rowOff>
    </xdr:to>
    <xdr:sp>
      <xdr:nvSpPr>
        <xdr:cNvPr id="306" name="Line 2260"/>
        <xdr:cNvSpPr>
          <a:spLocks noChangeShapeType="1"/>
        </xdr:cNvSpPr>
      </xdr:nvSpPr>
      <xdr:spPr>
        <a:xfrm>
          <a:off x="5648325" y="1468056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59</xdr:row>
      <xdr:rowOff>66675</xdr:rowOff>
    </xdr:from>
    <xdr:to>
      <xdr:col>39</xdr:col>
      <xdr:colOff>152400</xdr:colOff>
      <xdr:row>60</xdr:row>
      <xdr:rowOff>0</xdr:rowOff>
    </xdr:to>
    <xdr:sp>
      <xdr:nvSpPr>
        <xdr:cNvPr id="349" name="Line 1217"/>
        <xdr:cNvSpPr>
          <a:spLocks noChangeShapeType="1"/>
        </xdr:cNvSpPr>
      </xdr:nvSpPr>
      <xdr:spPr>
        <a:xfrm>
          <a:off x="59626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59</xdr:row>
      <xdr:rowOff>66675</xdr:rowOff>
    </xdr:from>
    <xdr:to>
      <xdr:col>39</xdr:col>
      <xdr:colOff>152400</xdr:colOff>
      <xdr:row>60</xdr:row>
      <xdr:rowOff>0</xdr:rowOff>
    </xdr:to>
    <xdr:sp>
      <xdr:nvSpPr>
        <xdr:cNvPr id="350" name="Line 1218"/>
        <xdr:cNvSpPr>
          <a:spLocks noChangeShapeType="1"/>
        </xdr:cNvSpPr>
      </xdr:nvSpPr>
      <xdr:spPr>
        <a:xfrm>
          <a:off x="59626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59</xdr:row>
      <xdr:rowOff>66675</xdr:rowOff>
    </xdr:from>
    <xdr:to>
      <xdr:col>39</xdr:col>
      <xdr:colOff>152400</xdr:colOff>
      <xdr:row>60</xdr:row>
      <xdr:rowOff>0</xdr:rowOff>
    </xdr:to>
    <xdr:sp>
      <xdr:nvSpPr>
        <xdr:cNvPr id="351" name="Line 1219"/>
        <xdr:cNvSpPr>
          <a:spLocks noChangeShapeType="1"/>
        </xdr:cNvSpPr>
      </xdr:nvSpPr>
      <xdr:spPr>
        <a:xfrm>
          <a:off x="59626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59</xdr:row>
      <xdr:rowOff>66675</xdr:rowOff>
    </xdr:from>
    <xdr:to>
      <xdr:col>40</xdr:col>
      <xdr:colOff>152400</xdr:colOff>
      <xdr:row>60</xdr:row>
      <xdr:rowOff>0</xdr:rowOff>
    </xdr:to>
    <xdr:sp>
      <xdr:nvSpPr>
        <xdr:cNvPr id="352" name="Line 1220"/>
        <xdr:cNvSpPr>
          <a:spLocks noChangeShapeType="1"/>
        </xdr:cNvSpPr>
      </xdr:nvSpPr>
      <xdr:spPr>
        <a:xfrm>
          <a:off x="61150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59</xdr:row>
      <xdr:rowOff>66675</xdr:rowOff>
    </xdr:from>
    <xdr:to>
      <xdr:col>42</xdr:col>
      <xdr:colOff>152400</xdr:colOff>
      <xdr:row>60</xdr:row>
      <xdr:rowOff>0</xdr:rowOff>
    </xdr:to>
    <xdr:sp>
      <xdr:nvSpPr>
        <xdr:cNvPr id="353" name="Line 1221"/>
        <xdr:cNvSpPr>
          <a:spLocks noChangeShapeType="1"/>
        </xdr:cNvSpPr>
      </xdr:nvSpPr>
      <xdr:spPr>
        <a:xfrm>
          <a:off x="64198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59</xdr:row>
      <xdr:rowOff>66675</xdr:rowOff>
    </xdr:from>
    <xdr:to>
      <xdr:col>42</xdr:col>
      <xdr:colOff>152400</xdr:colOff>
      <xdr:row>60</xdr:row>
      <xdr:rowOff>0</xdr:rowOff>
    </xdr:to>
    <xdr:sp>
      <xdr:nvSpPr>
        <xdr:cNvPr id="354" name="Line 1222"/>
        <xdr:cNvSpPr>
          <a:spLocks noChangeShapeType="1"/>
        </xdr:cNvSpPr>
      </xdr:nvSpPr>
      <xdr:spPr>
        <a:xfrm>
          <a:off x="64198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59</xdr:row>
      <xdr:rowOff>66675</xdr:rowOff>
    </xdr:from>
    <xdr:to>
      <xdr:col>41</xdr:col>
      <xdr:colOff>152400</xdr:colOff>
      <xdr:row>60</xdr:row>
      <xdr:rowOff>0</xdr:rowOff>
    </xdr:to>
    <xdr:sp>
      <xdr:nvSpPr>
        <xdr:cNvPr id="355" name="Line 1223"/>
        <xdr:cNvSpPr>
          <a:spLocks noChangeShapeType="1"/>
        </xdr:cNvSpPr>
      </xdr:nvSpPr>
      <xdr:spPr>
        <a:xfrm>
          <a:off x="62674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59</xdr:row>
      <xdr:rowOff>66675</xdr:rowOff>
    </xdr:from>
    <xdr:to>
      <xdr:col>42</xdr:col>
      <xdr:colOff>152400</xdr:colOff>
      <xdr:row>60</xdr:row>
      <xdr:rowOff>0</xdr:rowOff>
    </xdr:to>
    <xdr:sp>
      <xdr:nvSpPr>
        <xdr:cNvPr id="356" name="Line 1224"/>
        <xdr:cNvSpPr>
          <a:spLocks noChangeShapeType="1"/>
        </xdr:cNvSpPr>
      </xdr:nvSpPr>
      <xdr:spPr>
        <a:xfrm>
          <a:off x="64198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59</xdr:row>
      <xdr:rowOff>66675</xdr:rowOff>
    </xdr:from>
    <xdr:to>
      <xdr:col>43</xdr:col>
      <xdr:colOff>152400</xdr:colOff>
      <xdr:row>60</xdr:row>
      <xdr:rowOff>0</xdr:rowOff>
    </xdr:to>
    <xdr:sp>
      <xdr:nvSpPr>
        <xdr:cNvPr id="357" name="Line 1225"/>
        <xdr:cNvSpPr>
          <a:spLocks noChangeShapeType="1"/>
        </xdr:cNvSpPr>
      </xdr:nvSpPr>
      <xdr:spPr>
        <a:xfrm>
          <a:off x="6572250"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9525</xdr:colOff>
      <xdr:row>59</xdr:row>
      <xdr:rowOff>66675</xdr:rowOff>
    </xdr:from>
    <xdr:to>
      <xdr:col>39</xdr:col>
      <xdr:colOff>9525</xdr:colOff>
      <xdr:row>60</xdr:row>
      <xdr:rowOff>0</xdr:rowOff>
    </xdr:to>
    <xdr:sp>
      <xdr:nvSpPr>
        <xdr:cNvPr id="358" name="Line 1226"/>
        <xdr:cNvSpPr>
          <a:spLocks noChangeShapeType="1"/>
        </xdr:cNvSpPr>
      </xdr:nvSpPr>
      <xdr:spPr>
        <a:xfrm>
          <a:off x="5838825" y="9377680"/>
          <a:ext cx="0" cy="13843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59" name="Line 1237"/>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60" name="Line 1238"/>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61" name="Line 1239"/>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38</xdr:col>
      <xdr:colOff>161925</xdr:colOff>
      <xdr:row>71</xdr:row>
      <xdr:rowOff>66675</xdr:rowOff>
    </xdr:from>
    <xdr:to>
      <xdr:col>38</xdr:col>
      <xdr:colOff>161925</xdr:colOff>
      <xdr:row>72</xdr:row>
      <xdr:rowOff>0</xdr:rowOff>
    </xdr:to>
    <xdr:sp>
      <xdr:nvSpPr>
        <xdr:cNvPr id="362" name="Line 1240"/>
        <xdr:cNvSpPr>
          <a:spLocks noChangeShapeType="1"/>
        </xdr:cNvSpPr>
      </xdr:nvSpPr>
      <xdr:spPr>
        <a:xfrm>
          <a:off x="58102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71</xdr:row>
      <xdr:rowOff>66675</xdr:rowOff>
    </xdr:from>
    <xdr:to>
      <xdr:col>40</xdr:col>
      <xdr:colOff>152400</xdr:colOff>
      <xdr:row>72</xdr:row>
      <xdr:rowOff>0</xdr:rowOff>
    </xdr:to>
    <xdr:sp>
      <xdr:nvSpPr>
        <xdr:cNvPr id="363" name="Line 1241"/>
        <xdr:cNvSpPr>
          <a:spLocks noChangeShapeType="1"/>
        </xdr:cNvSpPr>
      </xdr:nvSpPr>
      <xdr:spPr>
        <a:xfrm>
          <a:off x="61150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71</xdr:row>
      <xdr:rowOff>66675</xdr:rowOff>
    </xdr:from>
    <xdr:to>
      <xdr:col>40</xdr:col>
      <xdr:colOff>152400</xdr:colOff>
      <xdr:row>72</xdr:row>
      <xdr:rowOff>0</xdr:rowOff>
    </xdr:to>
    <xdr:sp>
      <xdr:nvSpPr>
        <xdr:cNvPr id="364" name="Line 1242"/>
        <xdr:cNvSpPr>
          <a:spLocks noChangeShapeType="1"/>
        </xdr:cNvSpPr>
      </xdr:nvSpPr>
      <xdr:spPr>
        <a:xfrm>
          <a:off x="61150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39</xdr:col>
      <xdr:colOff>152400</xdr:colOff>
      <xdr:row>71</xdr:row>
      <xdr:rowOff>66675</xdr:rowOff>
    </xdr:from>
    <xdr:to>
      <xdr:col>39</xdr:col>
      <xdr:colOff>152400</xdr:colOff>
      <xdr:row>72</xdr:row>
      <xdr:rowOff>0</xdr:rowOff>
    </xdr:to>
    <xdr:sp>
      <xdr:nvSpPr>
        <xdr:cNvPr id="365" name="Line 1243"/>
        <xdr:cNvSpPr>
          <a:spLocks noChangeShapeType="1"/>
        </xdr:cNvSpPr>
      </xdr:nvSpPr>
      <xdr:spPr>
        <a:xfrm>
          <a:off x="59626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40</xdr:col>
      <xdr:colOff>152400</xdr:colOff>
      <xdr:row>71</xdr:row>
      <xdr:rowOff>66675</xdr:rowOff>
    </xdr:from>
    <xdr:to>
      <xdr:col>40</xdr:col>
      <xdr:colOff>152400</xdr:colOff>
      <xdr:row>72</xdr:row>
      <xdr:rowOff>0</xdr:rowOff>
    </xdr:to>
    <xdr:sp>
      <xdr:nvSpPr>
        <xdr:cNvPr id="366" name="Line 1244"/>
        <xdr:cNvSpPr>
          <a:spLocks noChangeShapeType="1"/>
        </xdr:cNvSpPr>
      </xdr:nvSpPr>
      <xdr:spPr>
        <a:xfrm>
          <a:off x="61150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71</xdr:row>
      <xdr:rowOff>66675</xdr:rowOff>
    </xdr:from>
    <xdr:to>
      <xdr:col>41</xdr:col>
      <xdr:colOff>152400</xdr:colOff>
      <xdr:row>72</xdr:row>
      <xdr:rowOff>0</xdr:rowOff>
    </xdr:to>
    <xdr:sp>
      <xdr:nvSpPr>
        <xdr:cNvPr id="367" name="Line 1237"/>
        <xdr:cNvSpPr>
          <a:spLocks noChangeShapeType="1"/>
        </xdr:cNvSpPr>
      </xdr:nvSpPr>
      <xdr:spPr>
        <a:xfrm>
          <a:off x="62674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71</xdr:row>
      <xdr:rowOff>66675</xdr:rowOff>
    </xdr:from>
    <xdr:to>
      <xdr:col>41</xdr:col>
      <xdr:colOff>152400</xdr:colOff>
      <xdr:row>72</xdr:row>
      <xdr:rowOff>0</xdr:rowOff>
    </xdr:to>
    <xdr:sp>
      <xdr:nvSpPr>
        <xdr:cNvPr id="368" name="Line 1238"/>
        <xdr:cNvSpPr>
          <a:spLocks noChangeShapeType="1"/>
        </xdr:cNvSpPr>
      </xdr:nvSpPr>
      <xdr:spPr>
        <a:xfrm>
          <a:off x="62674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41</xdr:col>
      <xdr:colOff>152400</xdr:colOff>
      <xdr:row>71</xdr:row>
      <xdr:rowOff>66675</xdr:rowOff>
    </xdr:from>
    <xdr:to>
      <xdr:col>41</xdr:col>
      <xdr:colOff>152400</xdr:colOff>
      <xdr:row>72</xdr:row>
      <xdr:rowOff>0</xdr:rowOff>
    </xdr:to>
    <xdr:sp>
      <xdr:nvSpPr>
        <xdr:cNvPr id="369" name="Line 1239"/>
        <xdr:cNvSpPr>
          <a:spLocks noChangeShapeType="1"/>
        </xdr:cNvSpPr>
      </xdr:nvSpPr>
      <xdr:spPr>
        <a:xfrm>
          <a:off x="62674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42</xdr:col>
      <xdr:colOff>152400</xdr:colOff>
      <xdr:row>71</xdr:row>
      <xdr:rowOff>66675</xdr:rowOff>
    </xdr:from>
    <xdr:to>
      <xdr:col>42</xdr:col>
      <xdr:colOff>152400</xdr:colOff>
      <xdr:row>72</xdr:row>
      <xdr:rowOff>0</xdr:rowOff>
    </xdr:to>
    <xdr:sp>
      <xdr:nvSpPr>
        <xdr:cNvPr id="370" name="Line 1240"/>
        <xdr:cNvSpPr>
          <a:spLocks noChangeShapeType="1"/>
        </xdr:cNvSpPr>
      </xdr:nvSpPr>
      <xdr:spPr>
        <a:xfrm>
          <a:off x="64198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43</xdr:col>
      <xdr:colOff>152400</xdr:colOff>
      <xdr:row>71</xdr:row>
      <xdr:rowOff>66675</xdr:rowOff>
    </xdr:from>
    <xdr:to>
      <xdr:col>43</xdr:col>
      <xdr:colOff>152400</xdr:colOff>
      <xdr:row>72</xdr:row>
      <xdr:rowOff>0</xdr:rowOff>
    </xdr:to>
    <xdr:sp>
      <xdr:nvSpPr>
        <xdr:cNvPr id="371" name="Line 1243"/>
        <xdr:cNvSpPr>
          <a:spLocks noChangeShapeType="1"/>
        </xdr:cNvSpPr>
      </xdr:nvSpPr>
      <xdr:spPr>
        <a:xfrm>
          <a:off x="65722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2" name="Line 1237"/>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3" name="Line 1238"/>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4" name="Line 1239"/>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5" name="Line 1240"/>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6" name="Line 1217"/>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7" name="Line 1218"/>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152400</xdr:colOff>
      <xdr:row>71</xdr:row>
      <xdr:rowOff>66675</xdr:rowOff>
    </xdr:from>
    <xdr:to>
      <xdr:col>37</xdr:col>
      <xdr:colOff>152400</xdr:colOff>
      <xdr:row>72</xdr:row>
      <xdr:rowOff>0</xdr:rowOff>
    </xdr:to>
    <xdr:sp>
      <xdr:nvSpPr>
        <xdr:cNvPr id="378" name="Line 1219"/>
        <xdr:cNvSpPr>
          <a:spLocks noChangeShapeType="1"/>
        </xdr:cNvSpPr>
      </xdr:nvSpPr>
      <xdr:spPr>
        <a:xfrm>
          <a:off x="5648325"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37</xdr:col>
      <xdr:colOff>9525</xdr:colOff>
      <xdr:row>71</xdr:row>
      <xdr:rowOff>66675</xdr:rowOff>
    </xdr:from>
    <xdr:to>
      <xdr:col>37</xdr:col>
      <xdr:colOff>9525</xdr:colOff>
      <xdr:row>72</xdr:row>
      <xdr:rowOff>0</xdr:rowOff>
    </xdr:to>
    <xdr:sp>
      <xdr:nvSpPr>
        <xdr:cNvPr id="379" name="Line 1226"/>
        <xdr:cNvSpPr>
          <a:spLocks noChangeShapeType="1"/>
        </xdr:cNvSpPr>
      </xdr:nvSpPr>
      <xdr:spPr>
        <a:xfrm>
          <a:off x="5505450" y="11666855"/>
          <a:ext cx="0" cy="1238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19</xdr:col>
          <xdr:colOff>600075</xdr:colOff>
          <xdr:row>0</xdr:row>
          <xdr:rowOff>28575</xdr:rowOff>
        </xdr:from>
        <xdr:to>
          <xdr:col>22</xdr:col>
          <xdr:colOff>114300</xdr:colOff>
          <xdr:row>2</xdr:row>
          <xdr:rowOff>38100</xdr:rowOff>
        </xdr:to>
        <xdr:sp>
          <xdr:nvSpPr>
            <xdr:cNvPr id="14337" name="Object 1" hidden="1">
              <a:extLst>
                <a:ext uri="{63B3BB69-23CF-44E3-9099-C40C66FF867C}">
                  <a14:compatExt spid="_x0000_s14337"/>
                </a:ext>
              </a:extLst>
            </xdr:cNvPr>
            <xdr:cNvSpPr/>
          </xdr:nvSpPr>
          <xdr:spPr>
            <a:xfrm>
              <a:off x="11096625" y="28575"/>
              <a:ext cx="1343025" cy="4286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552450</xdr:colOff>
          <xdr:row>41</xdr:row>
          <xdr:rowOff>66675</xdr:rowOff>
        </xdr:from>
        <xdr:to>
          <xdr:col>22</xdr:col>
          <xdr:colOff>114300</xdr:colOff>
          <xdr:row>43</xdr:row>
          <xdr:rowOff>95250</xdr:rowOff>
        </xdr:to>
        <xdr:sp>
          <xdr:nvSpPr>
            <xdr:cNvPr id="14338" name="Object 2" hidden="1">
              <a:extLst>
                <a:ext uri="{63B3BB69-23CF-44E3-9099-C40C66FF867C}">
                  <a14:compatExt spid="_x0000_s14338"/>
                </a:ext>
              </a:extLst>
            </xdr:cNvPr>
            <xdr:cNvSpPr/>
          </xdr:nvSpPr>
          <xdr:spPr>
            <a:xfrm>
              <a:off x="11049000" y="8877300"/>
              <a:ext cx="1390650" cy="447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523875</xdr:colOff>
          <xdr:row>79</xdr:row>
          <xdr:rowOff>66675</xdr:rowOff>
        </xdr:from>
        <xdr:to>
          <xdr:col>22</xdr:col>
          <xdr:colOff>123825</xdr:colOff>
          <xdr:row>81</xdr:row>
          <xdr:rowOff>38100</xdr:rowOff>
        </xdr:to>
        <xdr:sp>
          <xdr:nvSpPr>
            <xdr:cNvPr id="14339" name="Object 3" hidden="1">
              <a:extLst>
                <a:ext uri="{63B3BB69-23CF-44E3-9099-C40C66FF867C}">
                  <a14:compatExt spid="_x0000_s14339"/>
                </a:ext>
              </a:extLst>
            </xdr:cNvPr>
            <xdr:cNvSpPr/>
          </xdr:nvSpPr>
          <xdr:spPr>
            <a:xfrm>
              <a:off x="11020425" y="17202150"/>
              <a:ext cx="1428750" cy="45720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32</xdr:col>
      <xdr:colOff>47625</xdr:colOff>
      <xdr:row>57</xdr:row>
      <xdr:rowOff>28575</xdr:rowOff>
    </xdr:from>
    <xdr:to>
      <xdr:col>32</xdr:col>
      <xdr:colOff>85725</xdr:colOff>
      <xdr:row>60</xdr:row>
      <xdr:rowOff>9525</xdr:rowOff>
    </xdr:to>
    <xdr:sp>
      <xdr:nvSpPr>
        <xdr:cNvPr id="2" name="AutoShape 3"/>
        <xdr:cNvSpPr/>
      </xdr:nvSpPr>
      <xdr:spPr>
        <a:xfrm>
          <a:off x="4619625" y="9763125"/>
          <a:ext cx="38100" cy="466725"/>
        </a:xfrm>
        <a:prstGeom prst="rightBrace">
          <a:avLst>
            <a:gd name="adj1" fmla="val 175002"/>
            <a:gd name="adj2" fmla="val 50000"/>
          </a:avLst>
        </a:prstGeom>
        <a:solidFill>
          <a:srgbClr val="C0504D"/>
        </a:solidFill>
        <a:ln w="9525">
          <a:solidFill>
            <a:srgbClr val="000000"/>
          </a:solidFill>
          <a:round/>
        </a:ln>
      </xdr:spPr>
    </xdr:sp>
    <xdr:clientData/>
  </xdr:twoCellAnchor>
  <xdr:twoCellAnchor>
    <xdr:from>
      <xdr:col>23</xdr:col>
      <xdr:colOff>0</xdr:colOff>
      <xdr:row>48</xdr:row>
      <xdr:rowOff>0</xdr:rowOff>
    </xdr:from>
    <xdr:to>
      <xdr:col>23</xdr:col>
      <xdr:colOff>47625</xdr:colOff>
      <xdr:row>49</xdr:row>
      <xdr:rowOff>104775</xdr:rowOff>
    </xdr:to>
    <xdr:sp>
      <xdr:nvSpPr>
        <xdr:cNvPr id="3" name="AutoShape 3"/>
        <xdr:cNvSpPr/>
      </xdr:nvSpPr>
      <xdr:spPr>
        <a:xfrm>
          <a:off x="3286125" y="8277225"/>
          <a:ext cx="47625" cy="266700"/>
        </a:xfrm>
        <a:prstGeom prst="rightBrace">
          <a:avLst>
            <a:gd name="adj1" fmla="val 137563"/>
            <a:gd name="adj2" fmla="val 50000"/>
          </a:avLst>
        </a:prstGeom>
        <a:solidFill>
          <a:srgbClr val="FFFFFF"/>
        </a:solidFill>
        <a:ln w="9525">
          <a:solidFill>
            <a:srgbClr val="000000"/>
          </a:solidFill>
          <a:round/>
        </a:ln>
      </xdr:spPr>
    </xdr:sp>
    <xdr:clientData/>
  </xdr:twoCellAnchor>
  <xdr:twoCellAnchor editAs="oneCell">
    <xdr:from>
      <xdr:col>0</xdr:col>
      <xdr:colOff>0</xdr:colOff>
      <xdr:row>0</xdr:row>
      <xdr:rowOff>9525</xdr:rowOff>
    </xdr:from>
    <xdr:to>
      <xdr:col>4</xdr:col>
      <xdr:colOff>28574</xdr:colOff>
      <xdr:row>3</xdr:row>
      <xdr:rowOff>95250</xdr:rowOff>
    </xdr:to>
    <xdr:pic>
      <xdr:nvPicPr>
        <xdr:cNvPr id="4" name="Picture 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0" y="9525"/>
          <a:ext cx="5994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32</xdr:col>
      <xdr:colOff>47625</xdr:colOff>
      <xdr:row>57</xdr:row>
      <xdr:rowOff>28575</xdr:rowOff>
    </xdr:from>
    <xdr:to>
      <xdr:col>32</xdr:col>
      <xdr:colOff>85725</xdr:colOff>
      <xdr:row>60</xdr:row>
      <xdr:rowOff>9525</xdr:rowOff>
    </xdr:to>
    <xdr:sp>
      <xdr:nvSpPr>
        <xdr:cNvPr id="5" name="AutoShape 3"/>
        <xdr:cNvSpPr/>
      </xdr:nvSpPr>
      <xdr:spPr>
        <a:xfrm>
          <a:off x="4619625" y="9763125"/>
          <a:ext cx="38100" cy="466725"/>
        </a:xfrm>
        <a:prstGeom prst="rightBrace">
          <a:avLst>
            <a:gd name="adj1" fmla="val 175002"/>
            <a:gd name="adj2" fmla="val 50000"/>
          </a:avLst>
        </a:prstGeom>
        <a:solidFill>
          <a:srgbClr val="C0504D"/>
        </a:solidFill>
        <a:ln w="9525">
          <a:solidFill>
            <a:srgbClr val="000000"/>
          </a:solidFill>
          <a:round/>
        </a:ln>
      </xdr:spPr>
    </xdr:sp>
    <xdr:clientData/>
  </xdr:twoCellAnchor>
  <xdr:twoCellAnchor>
    <xdr:from>
      <xdr:col>23</xdr:col>
      <xdr:colOff>0</xdr:colOff>
      <xdr:row>48</xdr:row>
      <xdr:rowOff>0</xdr:rowOff>
    </xdr:from>
    <xdr:to>
      <xdr:col>23</xdr:col>
      <xdr:colOff>47625</xdr:colOff>
      <xdr:row>49</xdr:row>
      <xdr:rowOff>104775</xdr:rowOff>
    </xdr:to>
    <xdr:sp>
      <xdr:nvSpPr>
        <xdr:cNvPr id="6" name="AutoShape 3"/>
        <xdr:cNvSpPr/>
      </xdr:nvSpPr>
      <xdr:spPr>
        <a:xfrm>
          <a:off x="3286125" y="8277225"/>
          <a:ext cx="47625" cy="266700"/>
        </a:xfrm>
        <a:prstGeom prst="rightBrace">
          <a:avLst>
            <a:gd name="adj1" fmla="val 137563"/>
            <a:gd name="adj2" fmla="val 50000"/>
          </a:avLst>
        </a:prstGeom>
        <a:solidFill>
          <a:srgbClr val="FFFFFF"/>
        </a:solidFill>
        <a:ln w="9525">
          <a:solidFill>
            <a:srgbClr val="000000"/>
          </a:solidFill>
          <a:round/>
        </a:ln>
      </xdr:spPr>
    </xdr:sp>
    <xdr:clientData/>
  </xdr:twoCellAnchor>
  <xdr:twoCellAnchor editAs="oneCell">
    <xdr:from>
      <xdr:col>0</xdr:col>
      <xdr:colOff>0</xdr:colOff>
      <xdr:row>0</xdr:row>
      <xdr:rowOff>9525</xdr:rowOff>
    </xdr:from>
    <xdr:to>
      <xdr:col>4</xdr:col>
      <xdr:colOff>47625</xdr:colOff>
      <xdr:row>3</xdr:row>
      <xdr:rowOff>95250</xdr:rowOff>
    </xdr:to>
    <xdr:pic>
      <xdr:nvPicPr>
        <xdr:cNvPr id="7" name="Picture 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0" y="9525"/>
          <a:ext cx="6191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32</xdr:col>
      <xdr:colOff>47625</xdr:colOff>
      <xdr:row>57</xdr:row>
      <xdr:rowOff>28575</xdr:rowOff>
    </xdr:from>
    <xdr:to>
      <xdr:col>32</xdr:col>
      <xdr:colOff>85725</xdr:colOff>
      <xdr:row>60</xdr:row>
      <xdr:rowOff>9525</xdr:rowOff>
    </xdr:to>
    <xdr:sp>
      <xdr:nvSpPr>
        <xdr:cNvPr id="2" name="AutoShape 3"/>
        <xdr:cNvSpPr/>
      </xdr:nvSpPr>
      <xdr:spPr>
        <a:xfrm>
          <a:off x="4619625" y="9763125"/>
          <a:ext cx="38100" cy="466725"/>
        </a:xfrm>
        <a:prstGeom prst="rightBrace">
          <a:avLst>
            <a:gd name="adj1" fmla="val 175002"/>
            <a:gd name="adj2" fmla="val 50000"/>
          </a:avLst>
        </a:prstGeom>
        <a:solidFill>
          <a:srgbClr val="C0504D"/>
        </a:solidFill>
        <a:ln w="9525">
          <a:solidFill>
            <a:srgbClr val="000000"/>
          </a:solidFill>
          <a:round/>
        </a:ln>
      </xdr:spPr>
    </xdr:sp>
    <xdr:clientData/>
  </xdr:twoCellAnchor>
  <xdr:twoCellAnchor>
    <xdr:from>
      <xdr:col>23</xdr:col>
      <xdr:colOff>0</xdr:colOff>
      <xdr:row>48</xdr:row>
      <xdr:rowOff>0</xdr:rowOff>
    </xdr:from>
    <xdr:to>
      <xdr:col>23</xdr:col>
      <xdr:colOff>47625</xdr:colOff>
      <xdr:row>49</xdr:row>
      <xdr:rowOff>104775</xdr:rowOff>
    </xdr:to>
    <xdr:sp>
      <xdr:nvSpPr>
        <xdr:cNvPr id="3" name="AutoShape 3"/>
        <xdr:cNvSpPr/>
      </xdr:nvSpPr>
      <xdr:spPr>
        <a:xfrm>
          <a:off x="3286125" y="8277225"/>
          <a:ext cx="47625" cy="266700"/>
        </a:xfrm>
        <a:prstGeom prst="rightBrace">
          <a:avLst>
            <a:gd name="adj1" fmla="val 137563"/>
            <a:gd name="adj2" fmla="val 50000"/>
          </a:avLst>
        </a:prstGeom>
        <a:solidFill>
          <a:srgbClr val="FFFFFF"/>
        </a:solidFill>
        <a:ln w="9525">
          <a:solidFill>
            <a:srgbClr val="000000"/>
          </a:solidFill>
          <a:round/>
        </a:ln>
      </xdr:spPr>
    </xdr:sp>
    <xdr:clientData/>
  </xdr:twoCellAnchor>
  <xdr:twoCellAnchor editAs="oneCell">
    <xdr:from>
      <xdr:col>0</xdr:col>
      <xdr:colOff>0</xdr:colOff>
      <xdr:row>0</xdr:row>
      <xdr:rowOff>9525</xdr:rowOff>
    </xdr:from>
    <xdr:to>
      <xdr:col>4</xdr:col>
      <xdr:colOff>0</xdr:colOff>
      <xdr:row>3</xdr:row>
      <xdr:rowOff>95250</xdr:rowOff>
    </xdr:to>
    <xdr:pic>
      <xdr:nvPicPr>
        <xdr:cNvPr id="4" name="Picture 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0" y="9525"/>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32</xdr:col>
      <xdr:colOff>47625</xdr:colOff>
      <xdr:row>57</xdr:row>
      <xdr:rowOff>28575</xdr:rowOff>
    </xdr:from>
    <xdr:to>
      <xdr:col>32</xdr:col>
      <xdr:colOff>85725</xdr:colOff>
      <xdr:row>60</xdr:row>
      <xdr:rowOff>9525</xdr:rowOff>
    </xdr:to>
    <xdr:sp>
      <xdr:nvSpPr>
        <xdr:cNvPr id="2" name="AutoShape 3"/>
        <xdr:cNvSpPr/>
      </xdr:nvSpPr>
      <xdr:spPr>
        <a:xfrm>
          <a:off x="4619625" y="9763125"/>
          <a:ext cx="38100" cy="466725"/>
        </a:xfrm>
        <a:prstGeom prst="rightBrace">
          <a:avLst>
            <a:gd name="adj1" fmla="val 175002"/>
            <a:gd name="adj2" fmla="val 50000"/>
          </a:avLst>
        </a:prstGeom>
        <a:solidFill>
          <a:srgbClr val="C0504D"/>
        </a:solidFill>
        <a:ln w="9525">
          <a:solidFill>
            <a:srgbClr val="000000"/>
          </a:solidFill>
          <a:round/>
        </a:ln>
      </xdr:spPr>
    </xdr:sp>
    <xdr:clientData/>
  </xdr:twoCellAnchor>
  <xdr:twoCellAnchor>
    <xdr:from>
      <xdr:col>23</xdr:col>
      <xdr:colOff>0</xdr:colOff>
      <xdr:row>48</xdr:row>
      <xdr:rowOff>0</xdr:rowOff>
    </xdr:from>
    <xdr:to>
      <xdr:col>23</xdr:col>
      <xdr:colOff>47625</xdr:colOff>
      <xdr:row>49</xdr:row>
      <xdr:rowOff>104775</xdr:rowOff>
    </xdr:to>
    <xdr:sp>
      <xdr:nvSpPr>
        <xdr:cNvPr id="3" name="AutoShape 3"/>
        <xdr:cNvSpPr/>
      </xdr:nvSpPr>
      <xdr:spPr>
        <a:xfrm>
          <a:off x="3286125" y="8277225"/>
          <a:ext cx="47625" cy="266700"/>
        </a:xfrm>
        <a:prstGeom prst="rightBrace">
          <a:avLst>
            <a:gd name="adj1" fmla="val 137563"/>
            <a:gd name="adj2" fmla="val 50000"/>
          </a:avLst>
        </a:prstGeom>
        <a:solidFill>
          <a:srgbClr val="FFFFFF"/>
        </a:solidFill>
        <a:ln w="9525">
          <a:solidFill>
            <a:srgbClr val="000000"/>
          </a:solidFill>
          <a:round/>
        </a:ln>
      </xdr:spPr>
    </xdr:sp>
    <xdr:clientData/>
  </xdr:twoCellAnchor>
  <xdr:twoCellAnchor editAs="oneCell">
    <xdr:from>
      <xdr:col>0</xdr:col>
      <xdr:colOff>0</xdr:colOff>
      <xdr:row>0</xdr:row>
      <xdr:rowOff>9525</xdr:rowOff>
    </xdr:from>
    <xdr:to>
      <xdr:col>3</xdr:col>
      <xdr:colOff>123825</xdr:colOff>
      <xdr:row>3</xdr:row>
      <xdr:rowOff>95250</xdr:rowOff>
    </xdr:to>
    <xdr:pic>
      <xdr:nvPicPr>
        <xdr:cNvPr id="4" name="Picture 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0" y="9525"/>
          <a:ext cx="5524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xdr:colOff>
      <xdr:row>0</xdr:row>
      <xdr:rowOff>0</xdr:rowOff>
    </xdr:from>
    <xdr:to>
      <xdr:col>2</xdr:col>
      <xdr:colOff>165984</xdr:colOff>
      <xdr:row>2</xdr:row>
      <xdr:rowOff>57149</xdr:rowOff>
    </xdr:to>
    <xdr:pic>
      <xdr:nvPicPr>
        <xdr:cNvPr id="3" name="Picture 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114300" y="0"/>
          <a:ext cx="518160" cy="380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406</xdr:row>
      <xdr:rowOff>95251</xdr:rowOff>
    </xdr:from>
    <xdr:to>
      <xdr:col>23</xdr:col>
      <xdr:colOff>85725</xdr:colOff>
      <xdr:row>423</xdr:row>
      <xdr:rowOff>38100</xdr:rowOff>
    </xdr:to>
    <xdr:graphicFrame>
      <xdr:nvGraphicFramePr>
        <xdr:cNvPr id="1065555" name="Chart 2"/>
        <xdr:cNvGraphicFramePr/>
      </xdr:nvGraphicFramePr>
      <xdr:xfrm>
        <a:off x="0" y="83343750"/>
        <a:ext cx="3333750" cy="26955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9525</xdr:colOff>
      <xdr:row>406</xdr:row>
      <xdr:rowOff>85725</xdr:rowOff>
    </xdr:from>
    <xdr:to>
      <xdr:col>45</xdr:col>
      <xdr:colOff>66675</xdr:colOff>
      <xdr:row>423</xdr:row>
      <xdr:rowOff>57150</xdr:rowOff>
    </xdr:to>
    <xdr:graphicFrame>
      <xdr:nvGraphicFramePr>
        <xdr:cNvPr id="1065556" name="Chart 3"/>
        <xdr:cNvGraphicFramePr/>
      </xdr:nvGraphicFramePr>
      <xdr:xfrm>
        <a:off x="3390900" y="83334225"/>
        <a:ext cx="3495675" cy="272415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554</xdr:row>
      <xdr:rowOff>19053</xdr:rowOff>
    </xdr:from>
    <xdr:to>
      <xdr:col>24</xdr:col>
      <xdr:colOff>0</xdr:colOff>
      <xdr:row>564</xdr:row>
      <xdr:rowOff>95251</xdr:rowOff>
    </xdr:to>
    <xdr:graphicFrame>
      <xdr:nvGraphicFramePr>
        <xdr:cNvPr id="1065557" name="Chart 4"/>
        <xdr:cNvGraphicFramePr/>
      </xdr:nvGraphicFramePr>
      <xdr:xfrm>
        <a:off x="0" y="110690025"/>
        <a:ext cx="3381375" cy="169545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66675</xdr:colOff>
      <xdr:row>554</xdr:row>
      <xdr:rowOff>28577</xdr:rowOff>
    </xdr:from>
    <xdr:to>
      <xdr:col>46</xdr:col>
      <xdr:colOff>19050</xdr:colOff>
      <xdr:row>564</xdr:row>
      <xdr:rowOff>95251</xdr:rowOff>
    </xdr:to>
    <xdr:graphicFrame>
      <xdr:nvGraphicFramePr>
        <xdr:cNvPr id="1065558" name="Chart 5"/>
        <xdr:cNvGraphicFramePr/>
      </xdr:nvGraphicFramePr>
      <xdr:xfrm>
        <a:off x="3448050" y="110699550"/>
        <a:ext cx="3571875" cy="16859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9524</xdr:colOff>
      <xdr:row>425</xdr:row>
      <xdr:rowOff>85726</xdr:rowOff>
    </xdr:from>
    <xdr:to>
      <xdr:col>45</xdr:col>
      <xdr:colOff>161924</xdr:colOff>
      <xdr:row>442</xdr:row>
      <xdr:rowOff>123825</xdr:rowOff>
    </xdr:to>
    <xdr:graphicFrame>
      <xdr:nvGraphicFramePr>
        <xdr:cNvPr id="1065560" name="Chart 7"/>
        <xdr:cNvGraphicFramePr/>
      </xdr:nvGraphicFramePr>
      <xdr:xfrm>
        <a:off x="3390265" y="86429850"/>
        <a:ext cx="3590925" cy="27908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425</xdr:row>
      <xdr:rowOff>85724</xdr:rowOff>
    </xdr:from>
    <xdr:to>
      <xdr:col>23</xdr:col>
      <xdr:colOff>85724</xdr:colOff>
      <xdr:row>442</xdr:row>
      <xdr:rowOff>95250</xdr:rowOff>
    </xdr:to>
    <xdr:graphicFrame>
      <xdr:nvGraphicFramePr>
        <xdr:cNvPr id="17" name="Chart 6"/>
        <xdr:cNvGraphicFramePr/>
      </xdr:nvGraphicFramePr>
      <xdr:xfrm>
        <a:off x="0" y="86429215"/>
        <a:ext cx="3333115" cy="276288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129</xdr:row>
      <xdr:rowOff>57150</xdr:rowOff>
    </xdr:from>
    <xdr:to>
      <xdr:col>46</xdr:col>
      <xdr:colOff>66674</xdr:colOff>
      <xdr:row>153</xdr:row>
      <xdr:rowOff>28575</xdr:rowOff>
    </xdr:to>
    <xdr:graphicFrame>
      <xdr:nvGraphicFramePr>
        <xdr:cNvPr id="19" name="Grafikon 18"/>
        <xdr:cNvGraphicFramePr/>
      </xdr:nvGraphicFramePr>
      <xdr:xfrm>
        <a:off x="8890" y="26327100"/>
        <a:ext cx="7058025" cy="44672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244</xdr:row>
      <xdr:rowOff>161926</xdr:rowOff>
    </xdr:from>
    <xdr:to>
      <xdr:col>46</xdr:col>
      <xdr:colOff>9525</xdr:colOff>
      <xdr:row>274</xdr:row>
      <xdr:rowOff>19050</xdr:rowOff>
    </xdr:to>
    <xdr:graphicFrame>
      <xdr:nvGraphicFramePr>
        <xdr:cNvPr id="27" name="Grafikon 26"/>
        <xdr:cNvGraphicFramePr/>
      </xdr:nvGraphicFramePr>
      <xdr:xfrm>
        <a:off x="9525" y="49844325"/>
        <a:ext cx="7000875" cy="528637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xdr:colOff>
      <xdr:row>356</xdr:row>
      <xdr:rowOff>47625</xdr:rowOff>
    </xdr:from>
    <xdr:to>
      <xdr:col>43</xdr:col>
      <xdr:colOff>123826</xdr:colOff>
      <xdr:row>366</xdr:row>
      <xdr:rowOff>161925</xdr:rowOff>
    </xdr:to>
    <xdr:graphicFrame>
      <xdr:nvGraphicFramePr>
        <xdr:cNvPr id="6" name="Grafikon 5"/>
        <xdr:cNvGraphicFramePr/>
      </xdr:nvGraphicFramePr>
      <xdr:xfrm>
        <a:off x="0" y="72209025"/>
        <a:ext cx="6581775" cy="230505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366</xdr:row>
      <xdr:rowOff>152399</xdr:rowOff>
    </xdr:from>
    <xdr:to>
      <xdr:col>43</xdr:col>
      <xdr:colOff>104775</xdr:colOff>
      <xdr:row>376</xdr:row>
      <xdr:rowOff>180974</xdr:rowOff>
    </xdr:to>
    <xdr:graphicFrame>
      <xdr:nvGraphicFramePr>
        <xdr:cNvPr id="7" name="Grafikon 6"/>
        <xdr:cNvGraphicFramePr/>
      </xdr:nvGraphicFramePr>
      <xdr:xfrm>
        <a:off x="0" y="74503915"/>
        <a:ext cx="6562725" cy="22193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590</xdr:row>
      <xdr:rowOff>47625</xdr:rowOff>
    </xdr:from>
    <xdr:to>
      <xdr:col>42</xdr:col>
      <xdr:colOff>76200</xdr:colOff>
      <xdr:row>600</xdr:row>
      <xdr:rowOff>123825</xdr:rowOff>
    </xdr:to>
    <xdr:graphicFrame>
      <xdr:nvGraphicFramePr>
        <xdr:cNvPr id="5" name="Grafikon 4"/>
        <xdr:cNvGraphicFramePr/>
      </xdr:nvGraphicFramePr>
      <xdr:xfrm>
        <a:off x="0" y="118290975"/>
        <a:ext cx="6353175" cy="226695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xdr:colOff>
      <xdr:row>601</xdr:row>
      <xdr:rowOff>161926</xdr:rowOff>
    </xdr:from>
    <xdr:to>
      <xdr:col>42</xdr:col>
      <xdr:colOff>38100</xdr:colOff>
      <xdr:row>611</xdr:row>
      <xdr:rowOff>47626</xdr:rowOff>
    </xdr:to>
    <xdr:graphicFrame>
      <xdr:nvGraphicFramePr>
        <xdr:cNvPr id="8" name="Grafikon 7"/>
        <xdr:cNvGraphicFramePr/>
      </xdr:nvGraphicFramePr>
      <xdr:xfrm>
        <a:off x="0" y="120815100"/>
        <a:ext cx="6315075" cy="207645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9526</xdr:colOff>
      <xdr:row>489</xdr:row>
      <xdr:rowOff>95250</xdr:rowOff>
    </xdr:from>
    <xdr:to>
      <xdr:col>45</xdr:col>
      <xdr:colOff>171450</xdr:colOff>
      <xdr:row>506</xdr:row>
      <xdr:rowOff>152400</xdr:rowOff>
    </xdr:to>
    <xdr:graphicFrame>
      <xdr:nvGraphicFramePr>
        <xdr:cNvPr id="2" name="Grafikon 1"/>
        <xdr:cNvGraphicFramePr/>
      </xdr:nvGraphicFramePr>
      <xdr:xfrm>
        <a:off x="9525" y="98164650"/>
        <a:ext cx="6981825" cy="280987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9525</xdr:colOff>
      <xdr:row>472</xdr:row>
      <xdr:rowOff>0</xdr:rowOff>
    </xdr:from>
    <xdr:to>
      <xdr:col>45</xdr:col>
      <xdr:colOff>171450</xdr:colOff>
      <xdr:row>488</xdr:row>
      <xdr:rowOff>152400</xdr:rowOff>
    </xdr:to>
    <xdr:graphicFrame>
      <xdr:nvGraphicFramePr>
        <xdr:cNvPr id="3" name="Grafikon 2"/>
        <xdr:cNvGraphicFramePr/>
      </xdr:nvGraphicFramePr>
      <xdr:xfrm>
        <a:off x="9525" y="95316675"/>
        <a:ext cx="6981825" cy="274320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xdr:colOff>
      <xdr:row>94</xdr:row>
      <xdr:rowOff>57150</xdr:rowOff>
    </xdr:from>
    <xdr:to>
      <xdr:col>24</xdr:col>
      <xdr:colOff>104776</xdr:colOff>
      <xdr:row>109</xdr:row>
      <xdr:rowOff>152400</xdr:rowOff>
    </xdr:to>
    <xdr:graphicFrame>
      <xdr:nvGraphicFramePr>
        <xdr:cNvPr id="4" name="Grafikon 3"/>
        <xdr:cNvGraphicFramePr/>
      </xdr:nvGraphicFramePr>
      <xdr:xfrm>
        <a:off x="0" y="18821400"/>
        <a:ext cx="3486150" cy="30956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205</xdr:row>
      <xdr:rowOff>38100</xdr:rowOff>
    </xdr:from>
    <xdr:to>
      <xdr:col>23</xdr:col>
      <xdr:colOff>47625</xdr:colOff>
      <xdr:row>220</xdr:row>
      <xdr:rowOff>38100</xdr:rowOff>
    </xdr:to>
    <xdr:graphicFrame>
      <xdr:nvGraphicFramePr>
        <xdr:cNvPr id="9" name="Grafikon 8"/>
        <xdr:cNvGraphicFramePr/>
      </xdr:nvGraphicFramePr>
      <xdr:xfrm>
        <a:off x="0" y="41709975"/>
        <a:ext cx="3295650" cy="27146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95250</xdr:colOff>
      <xdr:row>205</xdr:row>
      <xdr:rowOff>38100</xdr:rowOff>
    </xdr:from>
    <xdr:to>
      <xdr:col>46</xdr:col>
      <xdr:colOff>38100</xdr:colOff>
      <xdr:row>220</xdr:row>
      <xdr:rowOff>38100</xdr:rowOff>
    </xdr:to>
    <xdr:graphicFrame>
      <xdr:nvGraphicFramePr>
        <xdr:cNvPr id="10" name="Grafikon 9"/>
        <xdr:cNvGraphicFramePr/>
      </xdr:nvGraphicFramePr>
      <xdr:xfrm>
        <a:off x="3343275" y="41709975"/>
        <a:ext cx="3695700" cy="27146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104775</xdr:colOff>
      <xdr:row>94</xdr:row>
      <xdr:rowOff>57150</xdr:rowOff>
    </xdr:from>
    <xdr:to>
      <xdr:col>44</xdr:col>
      <xdr:colOff>38100</xdr:colOff>
      <xdr:row>109</xdr:row>
      <xdr:rowOff>171450</xdr:rowOff>
    </xdr:to>
    <xdr:graphicFrame>
      <xdr:nvGraphicFramePr>
        <xdr:cNvPr id="11" name="Grafikon 10"/>
        <xdr:cNvGraphicFramePr/>
      </xdr:nvGraphicFramePr>
      <xdr:xfrm>
        <a:off x="3619500" y="18821400"/>
        <a:ext cx="3057525" cy="3114675"/>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95</xdr:row>
      <xdr:rowOff>38100</xdr:rowOff>
    </xdr:from>
    <xdr:to>
      <xdr:col>0</xdr:col>
      <xdr:colOff>866775</xdr:colOff>
      <xdr:row>98</xdr:row>
      <xdr:rowOff>152400</xdr:rowOff>
    </xdr:to>
    <xdr:pic>
      <xdr:nvPicPr>
        <xdr:cNvPr id="2" name="Slika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21193125"/>
          <a:ext cx="866775" cy="60007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114300</xdr:colOff>
      <xdr:row>2</xdr:row>
      <xdr:rowOff>0</xdr:rowOff>
    </xdr:from>
    <xdr:to>
      <xdr:col>14</xdr:col>
      <xdr:colOff>178435</xdr:colOff>
      <xdr:row>5</xdr:row>
      <xdr:rowOff>0</xdr:rowOff>
    </xdr:to>
    <xdr:pic>
      <xdr:nvPicPr>
        <xdr:cNvPr id="2" name="Picture 31"/>
        <xdr:cNvPicPr/>
      </xdr:nvPicPr>
      <xdr:blipFill>
        <a:blip r:embed="rId1" cstate="print">
          <a:extLst>
            <a:ext uri="{28A0092B-C50C-407E-A947-70E740481C1C}">
              <a14:useLocalDpi xmlns:a14="http://schemas.microsoft.com/office/drawing/2010/main" val="0"/>
            </a:ext>
          </a:extLst>
        </a:blip>
        <a:srcRect/>
        <a:stretch>
          <a:fillRect/>
        </a:stretch>
      </xdr:blipFill>
      <xdr:spPr>
        <a:xfrm>
          <a:off x="2771775" y="323850"/>
          <a:ext cx="502285" cy="638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senad.h\Documents\1.VAZNA%20DOKUMENTA\Godi&#353;nji%20obra&#269;un\2022\FIA%20Predlo&#353;ci\Privredna%20dru&#353;tva%20MSV%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enad.h\Documents\1.VAZNA%20DOKUMENTA\Godi&#353;nji%20obra&#269;un\2021\01.GODI&#352;NJI%2012%202021\1.PREDUZE&#262;E_12_20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onverter"/>
      <sheetName val="#UNOS"/>
      <sheetName val="Uputstvo"/>
      <sheetName val="OsnPodaci"/>
      <sheetName val="BS"/>
      <sheetName val="BU"/>
      <sheetName val="GTDIR"/>
      <sheetName val="GTIND"/>
      <sheetName val="PPP"/>
      <sheetName val="ANEKS"/>
      <sheetName val="IPK"/>
      <sheetName val="STANEX"/>
      <sheetName val="INV01-1"/>
      <sheetName val="INV01-2"/>
      <sheetName val="ZS"/>
      <sheetName val="OVN"/>
      <sheetName val="ONŠ"/>
      <sheetName val="TZ"/>
      <sheetName val="ObavijRazvrst"/>
      <sheetName val="IzjStandard"/>
      <sheetName val="Lis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zvoz_FIA"/>
      <sheetName val="EnBaza"/>
      <sheetName val="Data"/>
      <sheetName val="UnosUgovRacun"/>
      <sheetName val="Baza"/>
      <sheetName val="Text"/>
      <sheetName val="BAZA_FIA"/>
      <sheetName val="Kontrola"/>
      <sheetName val="PretGod"/>
      <sheetName val="UnosPod"/>
      <sheetName val="UnosPorBilan"/>
      <sheetName val="Biljeske_FIA_PDF"/>
      <sheetName val="Biljeske"/>
      <sheetName val="OdlUtv_FIA_PDF"/>
      <sheetName val="OdlRasDob_PokGub_FIA_PDF"/>
      <sheetName val="GodIzvj_FIA_PDF"/>
      <sheetName val="PorPrijava"/>
      <sheetName val="PorBil"/>
      <sheetName val="PorGub"/>
      <sheetName val="IzjIspDivDob"/>
      <sheetName val="NovoZap"/>
      <sheetName val="InvPrOpr"/>
      <sheetName val="InvStSred"/>
      <sheetName val="PlanInv"/>
      <sheetName val="ZahZaPovr"/>
      <sheetName val="ZahZaAkont"/>
      <sheetName val="UgEKONOMIKA"/>
      <sheetName val="UgUNIKOS"/>
      <sheetName val="B.Uspjeha"/>
      <sheetName val="B.Stanja"/>
      <sheetName val="ANEKSpd"/>
      <sheetName val="P.Podaci"/>
      <sheetName val="GotT_Direkt"/>
      <sheetName val="GotT_Indir"/>
      <sheetName val="PromjKapitala"/>
      <sheetName val="ObavRazv"/>
      <sheetName val="StatAneks"/>
      <sheetName val="INV 1"/>
      <sheetName val="INV 2"/>
      <sheetName val="ObrTZ"/>
      <sheetName val="ObrONS"/>
      <sheetName val="ObrZS"/>
      <sheetName val="ObrOVN"/>
      <sheetName val="AktFIA"/>
      <sheetName val="Omot"/>
      <sheetName val="FIA_IZJAVA"/>
      <sheetName val="ZahtjevFIA"/>
      <sheetName val="Analiza"/>
      <sheetName val="Odl_MSFI za MSS"/>
      <sheetName val="ObrP GKF"/>
      <sheetName val="ObrKOC"/>
      <sheetName val="ObrPAOC"/>
      <sheetName val="ObrTZ TK"/>
      <sheetName val="ObrONS TK"/>
      <sheetName val="USL SPS-S"/>
      <sheetName val="USL SPS-D"/>
      <sheetName val="TRG SPS-S"/>
      <sheetName val="TRG SPS-D"/>
      <sheetName val="GRAD SPS-S"/>
      <sheetName val="GRAD SPS-D"/>
      <sheetName val="IND SPS-S"/>
      <sheetName val="IND SPS-D"/>
      <sheetName val="ObrONS ZZH"/>
      <sheetName val="ProcRizika"/>
      <sheetName val="PromjDjelatnosti"/>
      <sheetName val="Tabela-PK-1"/>
      <sheetName val="BU i BS SkrSema"/>
      <sheetName val="Narudzba"/>
      <sheetName val="En_B.Uspjeha"/>
      <sheetName val="En_B.Stanja"/>
      <sheetName val="En_GotT_Indir"/>
      <sheetName val="En_GotT_Direkt"/>
      <sheetName val="En_PromjKapitala"/>
      <sheetName val="En_Analiza"/>
      <sheetName val="Izvoz_za_202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9" Type="http://schemas.openxmlformats.org/officeDocument/2006/relationships/hyperlink" Target="https://sh.wikipedia.org/wiki/Cazin" TargetMode="External"/><Relationship Id="rId8" Type="http://schemas.openxmlformats.org/officeDocument/2006/relationships/hyperlink" Target="https://sh.wikipedia.org/wiki/Kiseljak" TargetMode="External"/><Relationship Id="rId7" Type="http://schemas.openxmlformats.org/officeDocument/2006/relationships/hyperlink" Target="https://sh.wikipedia.org/wiki/Travnik" TargetMode="External"/><Relationship Id="rId6" Type="http://schemas.openxmlformats.org/officeDocument/2006/relationships/hyperlink" Target="https://sh.wikipedia.org/wiki/Biha%C4%87" TargetMode="External"/><Relationship Id="rId5" Type="http://schemas.openxmlformats.org/officeDocument/2006/relationships/hyperlink" Target="https://sh.wikipedia.org/wiki/Srebrenik" TargetMode="External"/><Relationship Id="rId4" Type="http://schemas.openxmlformats.org/officeDocument/2006/relationships/hyperlink" Target="https://sh.wikipedia.org/wiki/Mostar" TargetMode="External"/><Relationship Id="rId3" Type="http://schemas.openxmlformats.org/officeDocument/2006/relationships/hyperlink" Target="https://sh.wikipedia.org/wiki/Zenica" TargetMode="External"/><Relationship Id="rId21" Type="http://schemas.openxmlformats.org/officeDocument/2006/relationships/hyperlink" Target="https://sh.wikipedia.org/wiki/Lukavac" TargetMode="External"/><Relationship Id="rId20" Type="http://schemas.openxmlformats.org/officeDocument/2006/relationships/hyperlink" Target="https://sh.wikipedia.org/wiki/Sanski_Most" TargetMode="External"/><Relationship Id="rId2" Type="http://schemas.openxmlformats.org/officeDocument/2006/relationships/hyperlink" Target="https://sh.wikipedia.org/wiki/Tuzla" TargetMode="External"/><Relationship Id="rId19" Type="http://schemas.openxmlformats.org/officeDocument/2006/relationships/hyperlink" Target="https://sh.wikipedia.org/wiki/%C5%BDivinice" TargetMode="External"/><Relationship Id="rId18" Type="http://schemas.openxmlformats.org/officeDocument/2006/relationships/hyperlink" Target="https://sh.wikipedia.org/wiki/Zavidovi%C4%87i" TargetMode="External"/><Relationship Id="rId17" Type="http://schemas.openxmlformats.org/officeDocument/2006/relationships/hyperlink" Target="https://sh.wikipedia.org/wiki/Bosanska_Krupa" TargetMode="External"/><Relationship Id="rId16" Type="http://schemas.openxmlformats.org/officeDocument/2006/relationships/hyperlink" Target="https://sh.wikipedia.org/wiki/Grada%C4%8Dac" TargetMode="External"/><Relationship Id="rId15" Type="http://schemas.openxmlformats.org/officeDocument/2006/relationships/hyperlink" Target="https://sh.wikipedia.org/wiki/Gra%C4%8Danica" TargetMode="External"/><Relationship Id="rId14" Type="http://schemas.openxmlformats.org/officeDocument/2006/relationships/hyperlink" Target="https://sh.wikipedia.org/wiki/Konjic" TargetMode="External"/><Relationship Id="rId13" Type="http://schemas.openxmlformats.org/officeDocument/2006/relationships/hyperlink" Target="https://sh.wikipedia.org/wiki/Gora%C5%BEde" TargetMode="External"/><Relationship Id="rId12" Type="http://schemas.openxmlformats.org/officeDocument/2006/relationships/hyperlink" Target="https://sh.wikipedia.org/wiki/Visoko" TargetMode="External"/><Relationship Id="rId11" Type="http://schemas.openxmlformats.org/officeDocument/2006/relationships/hyperlink" Target="https://sh.wikipedia.org/wiki/Velika_Kladu%C5%A1a" TargetMode="External"/><Relationship Id="rId10" Type="http://schemas.openxmlformats.org/officeDocument/2006/relationships/hyperlink" Target="https://sh.wikipedia.org/wiki/Bugojno" TargetMode="External"/><Relationship Id="rId1" Type="http://schemas.openxmlformats.org/officeDocument/2006/relationships/hyperlink" Target="https://sh.wikipedia.org/wiki/Sarajevo"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7.xml.rels><?xml version="1.0" encoding="UTF-8" standalone="yes"?>
<Relationships xmlns="http://schemas.openxmlformats.org/package/2006/relationships"><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image" Target="../media/image6.emf"/><Relationship Id="rId3" Type="http://schemas.openxmlformats.org/officeDocument/2006/relationships/oleObject" Target="../embeddings/oleObject1.bin"/><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2" Type="http://schemas.openxmlformats.org/officeDocument/2006/relationships/hyperlink" Target="http://www.lilium-dzu.ba/" TargetMode="External"/><Relationship Id="rId1" Type="http://schemas.openxmlformats.org/officeDocument/2006/relationships/hyperlink" Target="mailto:info@lilium_dzu.ba" TargetMode="External"/></Relationships>
</file>

<file path=xl/worksheets/_rels/sheet8.xml.rels><?xml version="1.0" encoding="UTF-8" standalone="yes"?>
<Relationships xmlns="http://schemas.openxmlformats.org/package/2006/relationships"><Relationship Id="rId4" Type="http://schemas.openxmlformats.org/officeDocument/2006/relationships/hyperlink" Target="mailto:xxxxxxxxxo@gmail.com"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8">
    <tabColor rgb="FFFFFF00"/>
  </sheetPr>
  <dimension ref="A1:P447"/>
  <sheetViews>
    <sheetView workbookViewId="0">
      <selection activeCell="E2" sqref="E2"/>
    </sheetView>
  </sheetViews>
  <sheetFormatPr defaultColWidth="4.42857142857143" defaultRowHeight="12.75"/>
  <cols>
    <col min="1" max="1" width="6.71428571428571" customWidth="1"/>
    <col min="2" max="2" width="59.2857142857143" customWidth="1"/>
    <col min="3" max="3" width="16.4285714285714" style="1112" customWidth="1"/>
    <col min="4" max="4" width="15.7142857142857" style="1112" customWidth="1"/>
    <col min="5" max="5" width="14.2857142857143" customWidth="1"/>
    <col min="6" max="6" width="14.4285714285714" customWidth="1"/>
    <col min="7" max="7" width="11.5714285714286" customWidth="1"/>
    <col min="8" max="8" width="11.8571428571429" customWidth="1"/>
    <col min="9" max="9" width="13.5714285714286" customWidth="1"/>
    <col min="10" max="10" width="11.5714285714286" customWidth="1"/>
    <col min="11" max="11" width="13.2857142857143" customWidth="1"/>
    <col min="12" max="12" width="8.57142857142857" customWidth="1"/>
    <col min="16" max="16" width="38.5714285714286" customWidth="1"/>
    <col min="17" max="18" width="2.57142857142857" customWidth="1"/>
    <col min="19" max="19" width="16.4285714285714" customWidth="1"/>
    <col min="20" max="20" width="11.8571428571429" customWidth="1"/>
    <col min="21" max="21" width="10.5714285714286" customWidth="1"/>
    <col min="22" max="22" width="2.57142857142857" customWidth="1"/>
    <col min="23" max="23" width="8.28571428571429" customWidth="1"/>
    <col min="24" max="24" width="8.85714285714286" customWidth="1"/>
    <col min="25" max="37" width="2.57142857142857" customWidth="1"/>
  </cols>
  <sheetData>
    <row r="1" spans="1:16">
      <c r="A1" s="5365"/>
      <c r="B1" s="5365"/>
      <c r="C1" s="5365"/>
      <c r="D1" s="5365"/>
      <c r="E1" s="5365"/>
      <c r="F1" s="5365"/>
      <c r="G1" s="5365"/>
      <c r="H1" s="5365"/>
      <c r="I1" s="5365"/>
      <c r="J1" s="5365"/>
      <c r="K1" s="5365"/>
      <c r="L1" s="5365"/>
      <c r="M1" s="5365"/>
      <c r="N1" s="5365"/>
      <c r="O1" s="5365"/>
      <c r="P1" s="5365"/>
    </row>
    <row r="2" ht="15" customHeight="1" spans="1:16">
      <c r="A2" s="5365"/>
      <c r="B2" s="5365"/>
      <c r="C2" s="5366"/>
      <c r="D2" s="5365"/>
      <c r="E2" s="5365"/>
      <c r="F2" s="5365"/>
      <c r="G2" s="5365"/>
      <c r="H2" s="5365"/>
      <c r="I2" s="5365"/>
      <c r="J2" s="5365"/>
      <c r="K2" s="5365"/>
      <c r="L2" s="5365"/>
      <c r="M2" s="5365"/>
      <c r="N2" s="5365"/>
      <c r="O2" s="5365"/>
      <c r="P2" s="5365"/>
    </row>
    <row r="3" spans="1:16">
      <c r="A3" s="5365"/>
      <c r="B3" s="5365"/>
      <c r="C3" s="5365"/>
      <c r="D3" s="5365"/>
      <c r="E3" s="5365"/>
      <c r="F3" s="5365"/>
      <c r="G3" s="5365"/>
      <c r="H3" s="5365"/>
      <c r="I3" s="5365"/>
      <c r="J3" s="5365"/>
      <c r="K3" s="5365"/>
      <c r="L3" s="5365"/>
      <c r="M3" s="5365"/>
      <c r="N3" s="5365"/>
      <c r="O3" s="5365"/>
      <c r="P3" s="5365"/>
    </row>
    <row r="4" ht="18" spans="1:16">
      <c r="A4" s="5367"/>
      <c r="B4" s="5368" t="s">
        <v>0</v>
      </c>
      <c r="C4" s="5369">
        <f>Baza!C4</f>
        <v>2025</v>
      </c>
      <c r="D4" s="5370" t="s">
        <v>1</v>
      </c>
      <c r="E4" s="5370"/>
      <c r="F4" s="5371">
        <f>Baza!F4</f>
        <v>2026</v>
      </c>
      <c r="G4" s="5371">
        <f>Baza!G4</f>
        <v>12</v>
      </c>
      <c r="H4" s="5371">
        <f>Baza!H4</f>
        <v>30</v>
      </c>
      <c r="I4" s="5372" t="str">
        <f ca="1">IF(TODAY()&gt;DATE(F4,G4,H4),"Neovlašteno korištenje","")</f>
        <v/>
      </c>
      <c r="J4" s="5373"/>
      <c r="K4" s="5373"/>
      <c r="L4" s="5373"/>
      <c r="M4" s="5365"/>
      <c r="N4" s="5365"/>
      <c r="O4" s="5365"/>
      <c r="P4" s="5365"/>
    </row>
    <row r="5" ht="18" spans="1:16">
      <c r="A5" s="5374"/>
      <c r="B5" s="5375" t="s">
        <v>2</v>
      </c>
      <c r="C5" s="5376">
        <f>UnosPod!P1</f>
        <v>2025</v>
      </c>
      <c r="D5" s="5377"/>
      <c r="E5" s="903"/>
      <c r="F5" s="5378" t="s">
        <v>3</v>
      </c>
      <c r="G5" s="5378" t="s">
        <v>4</v>
      </c>
      <c r="H5" s="5378" t="s">
        <v>5</v>
      </c>
      <c r="I5" s="5372" t="str">
        <f ca="1">IF(TODAY()&gt;DATE(2015,1,25),"Neovlašteno korištenje","")</f>
        <v>Neovlašteno korištenje</v>
      </c>
      <c r="J5" s="5373"/>
      <c r="K5" s="5373"/>
      <c r="L5" s="5373"/>
      <c r="M5" s="5365"/>
      <c r="N5" s="5365"/>
      <c r="O5" s="5365"/>
      <c r="P5" s="5365"/>
    </row>
    <row r="6" ht="20.25" spans="1:16">
      <c r="A6" s="5379"/>
      <c r="B6" s="5380" t="s">
        <v>6</v>
      </c>
      <c r="C6" s="5381">
        <f ca="1">IF(TODAY()&gt;DATE(F4,G4,H4),C4,C5)</f>
        <v>2025</v>
      </c>
      <c r="D6" s="5382"/>
      <c r="E6" s="5365"/>
      <c r="F6" s="5365"/>
      <c r="G6" s="5383"/>
      <c r="H6" s="5365"/>
      <c r="I6" s="5365"/>
      <c r="J6" s="5365"/>
      <c r="K6" s="5365"/>
      <c r="L6" s="5365"/>
      <c r="M6" s="5365"/>
      <c r="N6" s="5365"/>
      <c r="O6" s="5365"/>
      <c r="P6" s="5365"/>
    </row>
    <row r="7" ht="18.75" customHeight="1" spans="1:16">
      <c r="A7" s="5379"/>
      <c r="B7" s="5380" t="s">
        <v>7</v>
      </c>
      <c r="C7" s="5384" t="str">
        <f ca="1">IF(TODAY()&gt;DATE(F4,G4,H4),"NE","DA")</f>
        <v>DA</v>
      </c>
      <c r="D7" s="5385">
        <f ca="1">IF(C7="DA",0,1)</f>
        <v>0</v>
      </c>
      <c r="E7" s="5365"/>
      <c r="F7" s="5365"/>
      <c r="G7" s="5365"/>
      <c r="H7" s="5365"/>
      <c r="I7" s="5365"/>
      <c r="J7" s="5365"/>
      <c r="K7" s="5365"/>
      <c r="L7" s="5365"/>
      <c r="M7" s="5365"/>
      <c r="N7" s="5365"/>
      <c r="O7" s="5365"/>
      <c r="P7" s="5365"/>
    </row>
    <row r="8" ht="18" spans="1:16">
      <c r="A8" s="5379"/>
      <c r="B8" s="5380" t="s">
        <v>8</v>
      </c>
      <c r="C8" s="5385" t="e">
        <f>UKUPNO_PRIHODI_TEKUCA+UKUPNO_PRIHODI_PROSLA+C82+D82+#REF!+#REF!</f>
        <v>#REF!</v>
      </c>
      <c r="D8" s="5385" t="e">
        <f>IF(C8&lt;1,1,0)</f>
        <v>#REF!</v>
      </c>
      <c r="E8" s="5365"/>
      <c r="F8" s="5365"/>
      <c r="G8" s="5365"/>
      <c r="H8" s="5365"/>
      <c r="I8" s="5365"/>
      <c r="J8" s="5365"/>
      <c r="K8" s="5365"/>
      <c r="L8" s="5365"/>
      <c r="M8" s="5365"/>
      <c r="N8" s="5365"/>
      <c r="O8" s="5365"/>
      <c r="P8" s="5365"/>
    </row>
    <row r="9" ht="18.75" customHeight="1" spans="1:16">
      <c r="A9" s="5379"/>
      <c r="B9" s="5380"/>
      <c r="C9" s="5386"/>
      <c r="D9" s="5385" t="e">
        <f ca="1">SUM(D7:D8)</f>
        <v>#REF!</v>
      </c>
      <c r="E9" s="5365"/>
      <c r="F9" s="5365"/>
      <c r="G9" s="5365"/>
      <c r="H9" s="5365"/>
      <c r="I9" s="5365"/>
      <c r="J9" s="5365"/>
      <c r="K9" s="5365"/>
      <c r="L9" s="5365"/>
      <c r="M9" s="5365"/>
      <c r="N9" s="5365"/>
      <c r="O9" s="5365"/>
      <c r="P9" s="5387"/>
    </row>
    <row r="10" ht="18" spans="1:16">
      <c r="A10" s="5379"/>
      <c r="B10" s="5380" t="s">
        <v>9</v>
      </c>
      <c r="C10" s="5393">
        <f ca="1">NOW()</f>
        <v>46120.4752662037</v>
      </c>
      <c r="D10" s="5394"/>
      <c r="E10" s="5365"/>
      <c r="F10" s="5365"/>
      <c r="G10" s="5365"/>
      <c r="H10" s="5365"/>
      <c r="I10" s="5365"/>
      <c r="J10" s="5365"/>
      <c r="K10" s="5365"/>
      <c r="L10" s="5365"/>
      <c r="M10" s="5365"/>
      <c r="N10" s="5365"/>
      <c r="O10" s="5365"/>
      <c r="P10" s="5365"/>
    </row>
    <row r="11" ht="16.5" customHeight="1" spans="1:16">
      <c r="A11" s="5379"/>
      <c r="B11" s="5380" t="s">
        <v>10</v>
      </c>
      <c r="C11" s="5395" t="str">
        <f>UnosPod!O6&amp;UnosPod!P6</f>
        <v>12</v>
      </c>
      <c r="D11" s="5396"/>
      <c r="E11" s="5365"/>
      <c r="F11" s="5365"/>
      <c r="G11" s="5365"/>
      <c r="H11" s="5365"/>
      <c r="I11" s="5365"/>
      <c r="J11" s="5365"/>
      <c r="K11" s="5365"/>
      <c r="L11" s="5365"/>
      <c r="M11" s="5365"/>
      <c r="N11" s="5365"/>
      <c r="O11" s="5365"/>
      <c r="P11" s="5365"/>
    </row>
    <row r="12" ht="16.5" customHeight="1" spans="1:16">
      <c r="A12" s="5379"/>
      <c r="B12" s="5380" t="s">
        <v>11</v>
      </c>
      <c r="C12" s="5591" t="str">
        <f>UnosPod!F6&amp;UnosPod!G6&amp;"."&amp;UnosPod!H6&amp;UnosPod!I6&amp;"."&amp;UnosPod!J6</f>
        <v>01.01.2025</v>
      </c>
      <c r="D12" s="5365"/>
      <c r="E12" s="5365"/>
      <c r="F12" s="5365"/>
      <c r="G12" s="5365"/>
      <c r="H12" s="5365"/>
      <c r="I12" s="5365"/>
      <c r="J12" s="5365"/>
      <c r="K12" s="5365"/>
      <c r="L12" s="5365"/>
      <c r="M12" s="5365"/>
      <c r="N12" s="5365"/>
      <c r="O12" s="5365"/>
      <c r="P12" s="5365"/>
    </row>
    <row r="13" ht="16.5" customHeight="1" spans="1:16">
      <c r="A13" s="5379"/>
      <c r="B13" s="5380" t="s">
        <v>12</v>
      </c>
      <c r="C13" s="5592" t="str">
        <f ca="1">UnosPod!M6&amp;UnosPod!N6&amp;"."&amp;UnosPod!O6&amp;UnosPod!P6&amp;"."&amp;PoslGod</f>
        <v>31.12.2025</v>
      </c>
      <c r="D13" s="5365"/>
      <c r="E13" s="5365"/>
      <c r="F13" s="5365"/>
      <c r="G13" s="5365"/>
      <c r="H13" s="5365"/>
      <c r="I13" s="5365"/>
      <c r="J13" s="5365"/>
      <c r="K13" s="5365"/>
      <c r="L13" s="5365"/>
      <c r="M13" s="5365"/>
      <c r="N13" s="5365"/>
      <c r="O13" s="5365"/>
      <c r="P13" s="5365"/>
    </row>
    <row r="14" ht="15" customHeight="1" spans="1:16">
      <c r="A14" s="5365"/>
      <c r="B14" s="5365"/>
      <c r="C14" s="5365"/>
      <c r="D14" s="5365"/>
      <c r="E14" s="5365"/>
      <c r="F14" s="5365"/>
      <c r="G14" s="5365"/>
      <c r="H14" s="5365"/>
      <c r="I14" s="5365"/>
      <c r="J14" s="5365"/>
      <c r="K14" s="5365"/>
      <c r="L14" s="5365"/>
      <c r="M14" s="5365"/>
      <c r="N14" s="5365"/>
      <c r="O14" s="5365"/>
      <c r="P14" s="5365"/>
    </row>
    <row r="15" ht="21" customHeight="1" spans="1:16">
      <c r="A15" s="5379"/>
      <c r="B15" s="5380" t="s">
        <v>13</v>
      </c>
      <c r="C15" s="5593" t="str">
        <f>UnosPod!AA8&amp;UnosPod!AB8&amp;UnosPod!AC8&amp;UnosPod!AD8&amp;UnosPod!AE8&amp;UnosPod!AF8&amp;UnosPod!AG8&amp;UnosPod!AH8&amp;UnosPod!AI8&amp;UnosPod!AJ8&amp;UnosPod!AK8&amp;UnosPod!AL8&amp;UnosPod!AM8</f>
        <v>4201337670009</v>
      </c>
      <c r="D15" s="5365"/>
      <c r="E15" s="5365"/>
      <c r="F15" s="5365"/>
      <c r="G15" s="5365"/>
      <c r="H15" s="5365"/>
      <c r="I15" s="5365"/>
      <c r="J15" s="5365"/>
      <c r="K15" s="5365"/>
      <c r="L15" s="5365"/>
      <c r="M15" s="5365"/>
      <c r="N15" s="5365"/>
      <c r="O15" s="5365"/>
      <c r="P15" s="5365"/>
    </row>
    <row r="16" ht="15" customHeight="1" spans="1:16">
      <c r="A16" s="5365"/>
      <c r="B16" s="5365"/>
      <c r="C16" s="5365"/>
      <c r="D16" s="5365"/>
      <c r="E16" s="5365"/>
      <c r="F16" s="5365"/>
      <c r="G16" s="5365"/>
      <c r="H16" s="5365"/>
      <c r="I16" s="5365"/>
      <c r="J16" s="5365"/>
      <c r="K16" s="5365"/>
      <c r="L16" s="5365"/>
      <c r="M16" s="5365"/>
      <c r="N16" s="5365"/>
      <c r="O16" s="5365"/>
      <c r="P16" s="5365"/>
    </row>
    <row r="17" ht="15" customHeight="1" spans="1:16">
      <c r="A17" s="5365"/>
      <c r="B17" s="5365"/>
      <c r="C17" s="5365"/>
      <c r="D17" s="5365"/>
      <c r="E17" s="5365"/>
      <c r="F17" s="5365"/>
      <c r="G17" s="5365"/>
      <c r="H17" s="5365"/>
      <c r="I17" s="5365"/>
      <c r="J17" s="5365"/>
      <c r="K17" s="5365"/>
      <c r="L17" s="5365"/>
      <c r="M17" s="5365"/>
      <c r="N17" s="5365"/>
      <c r="O17" s="5365"/>
      <c r="P17" s="5365"/>
    </row>
    <row r="18" ht="15" customHeight="1" spans="1:16">
      <c r="A18" s="5417" t="s">
        <v>14</v>
      </c>
      <c r="B18" s="5418"/>
      <c r="C18" s="5419"/>
      <c r="D18" s="5394"/>
      <c r="E18" s="5365"/>
      <c r="F18" s="5365"/>
      <c r="G18" s="5365"/>
      <c r="H18" s="5365"/>
      <c r="I18" s="5365"/>
      <c r="J18" s="5365"/>
      <c r="K18" s="5365"/>
      <c r="L18" s="5365"/>
      <c r="M18" s="5365"/>
      <c r="N18" s="5365"/>
      <c r="O18" s="5365"/>
      <c r="P18" s="5365"/>
    </row>
    <row r="19" ht="15" customHeight="1" spans="1:16">
      <c r="A19" s="5420"/>
      <c r="B19" s="5420" t="s">
        <v>15</v>
      </c>
      <c r="C19" s="5421" t="s">
        <v>16</v>
      </c>
      <c r="D19" s="5421" t="s">
        <v>17</v>
      </c>
      <c r="E19" s="5422" t="s">
        <v>18</v>
      </c>
      <c r="F19" s="5422" t="s">
        <v>19</v>
      </c>
      <c r="G19" s="5422" t="s">
        <v>20</v>
      </c>
      <c r="H19" s="5422"/>
      <c r="I19" s="5365"/>
      <c r="J19" s="5365"/>
      <c r="K19" s="5365"/>
      <c r="L19" s="5365"/>
      <c r="M19" s="5365"/>
      <c r="N19" s="5365"/>
      <c r="O19" s="5365"/>
      <c r="P19" s="5365"/>
    </row>
    <row r="20" ht="15" customHeight="1" spans="1:16">
      <c r="A20" s="5423" t="e">
        <f>IF(C20=0,"-","1.1.1.")</f>
        <v>#REF!</v>
      </c>
      <c r="B20" s="5424" t="e">
        <f>INDEX($B$31:$B$121,MATCH(C20,$C$31:$C$121,0))</f>
        <v>#REF!</v>
      </c>
      <c r="C20" s="5425" t="e">
        <f>MAX($C$31:$C$65)</f>
        <v>#REF!</v>
      </c>
      <c r="D20" s="5425" t="e">
        <f>INDEX($D$31:$D$65,MATCH(C20,$C$31:$C$65,0))</f>
        <v>#REF!</v>
      </c>
      <c r="E20" s="5425" t="e">
        <f t="shared" ref="E20:E27" si="0">C20-D20</f>
        <v>#REF!</v>
      </c>
      <c r="F20" s="5426" t="e">
        <f t="shared" ref="F20:F27" si="1">IF(E20&lt;0,E20*-1,E20)</f>
        <v>#REF!</v>
      </c>
      <c r="G20" s="5427">
        <f t="shared" ref="G20:G27" si="2">IFERROR(F20/D20,0)</f>
        <v>0</v>
      </c>
      <c r="H20" s="5425" t="e">
        <f>IF(E20&lt;=0,"DECREASE","INCREASE")</f>
        <v>#REF!</v>
      </c>
      <c r="I20" s="5365"/>
      <c r="J20" s="5365"/>
      <c r="K20" s="5365"/>
      <c r="L20" s="5365"/>
      <c r="M20" s="5365"/>
      <c r="N20" s="5365"/>
      <c r="O20" s="5365"/>
      <c r="P20" s="5365"/>
    </row>
    <row r="21" ht="15" customHeight="1" spans="1:16">
      <c r="A21" s="5428" t="e">
        <f>IF(C21=0,"-","1.1.2.")</f>
        <v>#REF!</v>
      </c>
      <c r="B21" s="5429" t="e">
        <f>INDEX($B$31:$B$121,MATCH(C21,$C$31:$C$121,0))</f>
        <v>#REF!</v>
      </c>
      <c r="C21" s="5430" t="e">
        <f>LARGE($C$31:$C$65,2)</f>
        <v>#REF!</v>
      </c>
      <c r="D21" s="5430" t="e">
        <f>INDEX($D$31:$D$65,MATCH(C21,$C$31:$C$65,0))</f>
        <v>#REF!</v>
      </c>
      <c r="E21" s="5430" t="e">
        <f t="shared" si="0"/>
        <v>#REF!</v>
      </c>
      <c r="F21" s="5431" t="e">
        <f t="shared" si="1"/>
        <v>#REF!</v>
      </c>
      <c r="G21" s="5432">
        <f t="shared" si="2"/>
        <v>0</v>
      </c>
      <c r="H21" s="5430" t="e">
        <f t="shared" ref="H21:H27" si="3">IF(E21&lt;=0,"DECREASE","INCREASE")</f>
        <v>#REF!</v>
      </c>
      <c r="I21" s="5365"/>
      <c r="J21" s="5365"/>
      <c r="K21" s="5365"/>
      <c r="L21" s="5365"/>
      <c r="M21" s="5365"/>
      <c r="N21" s="5365"/>
      <c r="O21" s="5365"/>
      <c r="P21" s="5365"/>
    </row>
    <row r="22" ht="15" customHeight="1" spans="1:16">
      <c r="A22" s="5428" t="e">
        <f>IF(C22=0,"-","1.1.3.")</f>
        <v>#REF!</v>
      </c>
      <c r="B22" s="5429" t="e">
        <f>INDEX($B$31:$B$121,MATCH(C22,$C$31:$C$121,0))</f>
        <v>#REF!</v>
      </c>
      <c r="C22" s="5430" t="e">
        <f>LARGE($C$31:$C$65,3)</f>
        <v>#REF!</v>
      </c>
      <c r="D22" s="5430" t="e">
        <f>INDEX($D$31:$D$65,MATCH(C22,$C$31:$C$65,0))</f>
        <v>#REF!</v>
      </c>
      <c r="E22" s="5430" t="e">
        <f t="shared" si="0"/>
        <v>#REF!</v>
      </c>
      <c r="F22" s="5431" t="e">
        <f t="shared" si="1"/>
        <v>#REF!</v>
      </c>
      <c r="G22" s="5432">
        <f t="shared" si="2"/>
        <v>0</v>
      </c>
      <c r="H22" s="5430" t="e">
        <f t="shared" si="3"/>
        <v>#REF!</v>
      </c>
      <c r="I22" s="5365"/>
      <c r="J22" s="5365"/>
      <c r="K22" s="5365"/>
      <c r="L22" s="5365"/>
      <c r="M22" s="5365"/>
      <c r="N22" s="5365"/>
      <c r="O22" s="5365"/>
      <c r="P22" s="5365"/>
    </row>
    <row r="23" ht="15" customHeight="1" spans="1:16">
      <c r="A23" s="5428" t="e">
        <f>IF(C23=0,"-","1.1.4.")</f>
        <v>#REF!</v>
      </c>
      <c r="B23" s="5429" t="e">
        <f>INDEX($B$31:$B$121,MATCH(C23,$C$31:$C$121,0))</f>
        <v>#REF!</v>
      </c>
      <c r="C23" s="5430" t="e">
        <f>LARGE($C$31:$C$65,4)</f>
        <v>#REF!</v>
      </c>
      <c r="D23" s="5430" t="e">
        <f>INDEX($D$31:$D$65,MATCH(C23,$C$31:$C$65,0))</f>
        <v>#REF!</v>
      </c>
      <c r="E23" s="5430" t="e">
        <f t="shared" si="0"/>
        <v>#REF!</v>
      </c>
      <c r="F23" s="5431" t="e">
        <f t="shared" si="1"/>
        <v>#REF!</v>
      </c>
      <c r="G23" s="5432">
        <f t="shared" si="2"/>
        <v>0</v>
      </c>
      <c r="H23" s="5430" t="e">
        <f t="shared" si="3"/>
        <v>#REF!</v>
      </c>
      <c r="I23" s="5365"/>
      <c r="J23" s="5365"/>
      <c r="K23" s="5365"/>
      <c r="L23" s="5365"/>
      <c r="M23" s="5365"/>
      <c r="N23" s="5365"/>
      <c r="O23" s="5365"/>
      <c r="P23" s="5365"/>
    </row>
    <row r="24" ht="15" customHeight="1" spans="1:16">
      <c r="A24" s="5428"/>
      <c r="B24" s="5429" t="e">
        <f>INDEX($B$31:$B$121,MATCH(C24,$C$31:$C$121,0))</f>
        <v>#REF!</v>
      </c>
      <c r="C24" s="5430" t="e">
        <f>LARGE($C$31:$C$65,5)</f>
        <v>#REF!</v>
      </c>
      <c r="D24" s="5430" t="e">
        <f>INDEX($D$31:$D$65,MATCH(C24,$C$31:$C$65,0))</f>
        <v>#REF!</v>
      </c>
      <c r="E24" s="5430" t="e">
        <f t="shared" si="0"/>
        <v>#REF!</v>
      </c>
      <c r="F24" s="5431" t="e">
        <f t="shared" si="1"/>
        <v>#REF!</v>
      </c>
      <c r="G24" s="5432">
        <f t="shared" si="2"/>
        <v>0</v>
      </c>
      <c r="H24" s="5430" t="e">
        <f t="shared" si="3"/>
        <v>#REF!</v>
      </c>
      <c r="I24" s="5365"/>
      <c r="J24" s="5365"/>
      <c r="K24" s="5365"/>
      <c r="L24" s="5365"/>
      <c r="M24" s="5365"/>
      <c r="N24" s="5365"/>
      <c r="O24" s="5365"/>
      <c r="P24" s="5365"/>
    </row>
    <row r="25" ht="15" customHeight="1" spans="1:16">
      <c r="A25" s="5433"/>
      <c r="B25" s="5434" t="s">
        <v>21</v>
      </c>
      <c r="C25" s="5435" t="e">
        <f>C26-SUM(C20:C24)</f>
        <v>#REF!</v>
      </c>
      <c r="D25" s="5436" t="e">
        <f>D26-SUM(D20:D24)</f>
        <v>#REF!</v>
      </c>
      <c r="E25" s="5436" t="e">
        <f t="shared" si="0"/>
        <v>#REF!</v>
      </c>
      <c r="F25" s="5437" t="e">
        <f t="shared" si="1"/>
        <v>#REF!</v>
      </c>
      <c r="G25" s="5438">
        <f t="shared" si="2"/>
        <v>0</v>
      </c>
      <c r="H25" s="5435" t="e">
        <f t="shared" si="3"/>
        <v>#REF!</v>
      </c>
      <c r="I25" s="5365"/>
      <c r="J25" s="5365"/>
      <c r="K25" s="5365"/>
      <c r="L25" s="5365"/>
      <c r="M25" s="5365"/>
      <c r="N25" s="5365"/>
      <c r="O25" s="5365"/>
      <c r="P25" s="5365"/>
    </row>
    <row r="26" ht="15" customHeight="1" spans="1:16">
      <c r="A26" s="5439"/>
      <c r="B26" s="5440" t="s">
        <v>22</v>
      </c>
      <c r="C26" s="5441" t="e">
        <f>#REF!+#REF!+#REF!+#REF!+#REF!+#REF!+#REF!</f>
        <v>#REF!</v>
      </c>
      <c r="D26" s="5441" t="e">
        <f>#REF!+#REF!+#REF!+#REF!+#REF!+#REF!+#REF!</f>
        <v>#REF!</v>
      </c>
      <c r="E26" s="5441" t="e">
        <f t="shared" si="0"/>
        <v>#REF!</v>
      </c>
      <c r="F26" s="5442" t="e">
        <f t="shared" si="1"/>
        <v>#REF!</v>
      </c>
      <c r="G26" s="5443">
        <f t="shared" si="2"/>
        <v>0</v>
      </c>
      <c r="H26" s="5441" t="e">
        <f t="shared" si="3"/>
        <v>#REF!</v>
      </c>
      <c r="I26" s="5365"/>
      <c r="J26" s="5365"/>
      <c r="K26" s="5365"/>
      <c r="L26" s="5365"/>
      <c r="M26" s="5365"/>
      <c r="N26" s="5365"/>
      <c r="O26" s="5365"/>
      <c r="P26" s="5365"/>
    </row>
    <row r="27" ht="15" customHeight="1" spans="1:16">
      <c r="A27" s="5444"/>
      <c r="B27" s="5424" t="s">
        <v>23</v>
      </c>
      <c r="C27" s="5425" t="e">
        <f>#REF!</f>
        <v>#REF!</v>
      </c>
      <c r="D27" s="5425" t="e">
        <f>#REF!</f>
        <v>#REF!</v>
      </c>
      <c r="E27" s="5425" t="e">
        <f t="shared" si="0"/>
        <v>#REF!</v>
      </c>
      <c r="F27" s="5445" t="e">
        <f t="shared" si="1"/>
        <v>#REF!</v>
      </c>
      <c r="G27" s="5446">
        <f t="shared" si="2"/>
        <v>0</v>
      </c>
      <c r="H27" s="5447" t="e">
        <f t="shared" si="3"/>
        <v>#REF!</v>
      </c>
      <c r="I27" s="5365"/>
      <c r="J27" s="5365"/>
      <c r="K27" s="5365"/>
      <c r="L27" s="5365"/>
      <c r="M27" s="5365"/>
      <c r="N27" s="5365"/>
      <c r="O27" s="5365"/>
      <c r="P27" s="5365"/>
    </row>
    <row r="28" ht="15" customHeight="1" spans="1:16">
      <c r="A28" s="5448"/>
      <c r="B28" s="5429" t="s">
        <v>24</v>
      </c>
      <c r="C28" s="5449">
        <f>IFERROR(C27/C26,0)</f>
        <v>0</v>
      </c>
      <c r="D28" s="5449">
        <f>IFERROR(D27/D26,0)</f>
        <v>0</v>
      </c>
      <c r="E28" s="5430"/>
      <c r="F28" s="5431"/>
      <c r="G28" s="5432"/>
      <c r="H28" s="5430"/>
      <c r="I28" s="5365"/>
      <c r="J28" s="5365"/>
      <c r="K28" s="5365"/>
      <c r="L28" s="5365"/>
      <c r="M28" s="5365"/>
      <c r="N28" s="5365"/>
      <c r="O28" s="5365"/>
      <c r="P28" s="5365"/>
    </row>
    <row r="29" ht="15" customHeight="1" spans="1:16">
      <c r="A29" s="5418"/>
      <c r="B29" s="5418"/>
      <c r="C29" s="5419"/>
      <c r="D29" s="5394"/>
      <c r="E29" s="5365"/>
      <c r="F29" s="5365"/>
      <c r="G29" s="5365"/>
      <c r="H29" s="5365"/>
      <c r="I29" s="5365"/>
      <c r="J29" s="5365"/>
      <c r="K29" s="5365"/>
      <c r="L29" s="5365"/>
      <c r="M29" s="5365"/>
      <c r="N29" s="5365"/>
      <c r="O29" s="5365"/>
      <c r="P29" s="5365"/>
    </row>
    <row r="30" ht="18" customHeight="1" spans="1:16">
      <c r="A30" s="5420"/>
      <c r="B30" s="5420" t="s">
        <v>15</v>
      </c>
      <c r="C30" s="5421" t="s">
        <v>16</v>
      </c>
      <c r="D30" s="5421" t="s">
        <v>17</v>
      </c>
      <c r="E30" s="5421" t="s">
        <v>25</v>
      </c>
      <c r="F30" s="5365"/>
      <c r="G30" s="5365"/>
      <c r="H30" s="5365"/>
      <c r="I30" s="5365"/>
      <c r="J30" s="5365"/>
      <c r="K30" s="5365"/>
      <c r="L30" s="5365"/>
      <c r="M30" s="5365"/>
      <c r="N30" s="5365"/>
      <c r="O30" s="5365"/>
      <c r="P30" s="5365"/>
    </row>
    <row r="31" ht="15.75" spans="1:16">
      <c r="A31" s="653"/>
      <c r="B31" s="1746" t="s">
        <v>26</v>
      </c>
      <c r="C31" s="5450" t="e">
        <f>ROUND(#REF!,0)</f>
        <v>#REF!</v>
      </c>
      <c r="D31" s="5450" t="e">
        <f>ROUND(#REF!,0)</f>
        <v>#REF!</v>
      </c>
      <c r="E31" s="5451" t="str">
        <f t="shared" ref="E31:E65" si="4">IFERROR(INDEX($A$20:$A$23,MATCH(C31,$C$20:$C$23,0)),"-")</f>
        <v>-</v>
      </c>
      <c r="F31" s="5383"/>
      <c r="G31" s="5365"/>
      <c r="H31" s="5365"/>
      <c r="I31" s="5365"/>
      <c r="J31" s="5365"/>
      <c r="K31" s="5365"/>
      <c r="L31" s="5365"/>
      <c r="M31" s="5365"/>
      <c r="N31" s="5365"/>
      <c r="O31" s="5365"/>
      <c r="P31" s="5365"/>
    </row>
    <row r="32" ht="15.75" spans="1:16">
      <c r="A32" s="1054"/>
      <c r="B32" s="5594" t="s">
        <v>27</v>
      </c>
      <c r="C32" s="5450" t="e">
        <f>ROUND(#REF!,0)</f>
        <v>#REF!</v>
      </c>
      <c r="D32" s="5450" t="e">
        <f>ROUND(#REF!,0)</f>
        <v>#REF!</v>
      </c>
      <c r="E32" s="5451" t="str">
        <f t="shared" si="4"/>
        <v>-</v>
      </c>
      <c r="F32" s="5383"/>
      <c r="G32" s="5365"/>
      <c r="H32" s="5365"/>
      <c r="I32" s="5365"/>
      <c r="J32" s="5365"/>
      <c r="K32" s="5365"/>
      <c r="L32" s="5365"/>
      <c r="M32" s="5365"/>
      <c r="N32" s="5365"/>
      <c r="O32" s="5365"/>
      <c r="P32" s="5365"/>
    </row>
    <row r="33" ht="15.75" spans="1:16">
      <c r="A33" s="1054"/>
      <c r="B33" s="5594" t="s">
        <v>28</v>
      </c>
      <c r="C33" s="5450" t="e">
        <f>ROUND(#REF!,0)</f>
        <v>#REF!</v>
      </c>
      <c r="D33" s="5450" t="e">
        <f>ROUND(#REF!,0)</f>
        <v>#REF!</v>
      </c>
      <c r="E33" s="5451" t="str">
        <f t="shared" si="4"/>
        <v>-</v>
      </c>
      <c r="F33" s="5383"/>
      <c r="G33" s="5365"/>
      <c r="H33" s="5365"/>
      <c r="I33" s="5365"/>
      <c r="J33" s="5365"/>
      <c r="K33" s="5365"/>
      <c r="L33" s="5365"/>
      <c r="M33" s="5365"/>
      <c r="N33" s="5365"/>
      <c r="O33" s="5365"/>
      <c r="P33" s="5365"/>
    </row>
    <row r="34" ht="15.75" spans="1:16">
      <c r="A34" s="1054"/>
      <c r="B34" s="5594" t="s">
        <v>29</v>
      </c>
      <c r="C34" s="5595" t="e">
        <f>#REF!</f>
        <v>#REF!</v>
      </c>
      <c r="D34" s="5595" t="e">
        <f>#REF!</f>
        <v>#REF!</v>
      </c>
      <c r="E34" s="5451" t="str">
        <f t="shared" si="4"/>
        <v>-</v>
      </c>
      <c r="F34" s="5383"/>
      <c r="G34" s="5365"/>
      <c r="H34" s="5365"/>
      <c r="I34" s="5365"/>
      <c r="J34" s="5365"/>
      <c r="K34" s="5365"/>
      <c r="L34" s="5365"/>
      <c r="M34" s="5365"/>
      <c r="N34" s="5365"/>
      <c r="O34" s="5365"/>
      <c r="P34" s="5365"/>
    </row>
    <row r="35" ht="15.75" spans="1:16">
      <c r="A35" s="1054"/>
      <c r="B35" s="5594" t="s">
        <v>30</v>
      </c>
      <c r="C35" s="5595" t="e">
        <f>#REF!</f>
        <v>#REF!</v>
      </c>
      <c r="D35" s="5595" t="e">
        <f>#REF!</f>
        <v>#REF!</v>
      </c>
      <c r="E35" s="5451" t="str">
        <f t="shared" si="4"/>
        <v>-</v>
      </c>
      <c r="F35" s="5383"/>
      <c r="G35" s="5365"/>
      <c r="H35" s="5365"/>
      <c r="I35" s="5365"/>
      <c r="J35" s="5365"/>
      <c r="K35" s="5365"/>
      <c r="L35" s="5365"/>
      <c r="M35" s="5365"/>
      <c r="N35" s="5365"/>
      <c r="O35" s="5365"/>
      <c r="P35" s="5365"/>
    </row>
    <row r="36" ht="15.75" spans="1:16">
      <c r="A36" s="1054"/>
      <c r="B36" s="5594" t="s">
        <v>31</v>
      </c>
      <c r="C36" s="5595" t="e">
        <f>#REF!</f>
        <v>#REF!</v>
      </c>
      <c r="D36" s="5595" t="e">
        <f>#REF!</f>
        <v>#REF!</v>
      </c>
      <c r="E36" s="5451" t="str">
        <f t="shared" si="4"/>
        <v>-</v>
      </c>
      <c r="F36" s="5383"/>
      <c r="G36" s="5365"/>
      <c r="H36" s="5365"/>
      <c r="I36" s="5365"/>
      <c r="J36" s="5365"/>
      <c r="K36" s="5365"/>
      <c r="L36" s="5365"/>
      <c r="M36" s="5365"/>
      <c r="N36" s="5365"/>
      <c r="O36" s="5365"/>
      <c r="P36" s="5365"/>
    </row>
    <row r="37" ht="15.75" spans="1:16">
      <c r="A37" s="1054"/>
      <c r="B37" s="5594" t="s">
        <v>32</v>
      </c>
      <c r="C37" s="5595" t="e">
        <f>#REF!</f>
        <v>#REF!</v>
      </c>
      <c r="D37" s="5595" t="e">
        <f>#REF!</f>
        <v>#REF!</v>
      </c>
      <c r="E37" s="5451" t="str">
        <f t="shared" si="4"/>
        <v>-</v>
      </c>
      <c r="F37" s="5365"/>
      <c r="G37" s="5365"/>
      <c r="H37" s="5365"/>
      <c r="I37" s="5365"/>
      <c r="J37" s="5365"/>
      <c r="K37" s="5365"/>
      <c r="L37" s="5365"/>
      <c r="M37" s="5365"/>
      <c r="N37" s="5365"/>
      <c r="O37" s="5365"/>
      <c r="P37" s="5365"/>
    </row>
    <row r="38" ht="15.75" spans="1:16">
      <c r="A38" s="1054"/>
      <c r="B38" s="5594" t="s">
        <v>33</v>
      </c>
      <c r="C38" s="5595" t="e">
        <f>#REF!</f>
        <v>#REF!</v>
      </c>
      <c r="D38" s="5595" t="e">
        <f>#REF!</f>
        <v>#REF!</v>
      </c>
      <c r="E38" s="5451" t="str">
        <f t="shared" si="4"/>
        <v>-</v>
      </c>
      <c r="F38" s="5383"/>
      <c r="G38" s="5365"/>
      <c r="H38" s="5365"/>
      <c r="I38" s="5365"/>
      <c r="J38" s="5365"/>
      <c r="K38" s="5365"/>
      <c r="L38" s="5365"/>
      <c r="M38" s="5365"/>
      <c r="N38" s="5365"/>
      <c r="O38" s="5365"/>
      <c r="P38" s="5365"/>
    </row>
    <row r="39" ht="15.75" spans="1:16">
      <c r="A39" s="1054"/>
      <c r="B39" s="5594" t="s">
        <v>34</v>
      </c>
      <c r="C39" s="5595" t="e">
        <f>#REF!</f>
        <v>#REF!</v>
      </c>
      <c r="D39" s="5595" t="e">
        <f>#REF!</f>
        <v>#REF!</v>
      </c>
      <c r="E39" s="5451" t="str">
        <f t="shared" si="4"/>
        <v>-</v>
      </c>
      <c r="F39" s="5365"/>
      <c r="G39" s="5365"/>
      <c r="H39" s="5365"/>
      <c r="I39" s="5365"/>
      <c r="J39" s="5365"/>
      <c r="K39" s="5365"/>
      <c r="L39" s="5365"/>
      <c r="M39" s="5365"/>
      <c r="N39" s="5365"/>
      <c r="O39" s="5365"/>
      <c r="P39" s="5365"/>
    </row>
    <row r="40" ht="15.75" spans="1:16">
      <c r="A40" s="1054"/>
      <c r="B40" s="5594" t="s">
        <v>35</v>
      </c>
      <c r="C40" s="5595" t="e">
        <f>#REF!</f>
        <v>#REF!</v>
      </c>
      <c r="D40" s="5595" t="e">
        <f>#REF!</f>
        <v>#REF!</v>
      </c>
      <c r="E40" s="5451" t="str">
        <f t="shared" si="4"/>
        <v>-</v>
      </c>
      <c r="F40" s="5365"/>
      <c r="G40" s="5365"/>
      <c r="H40" s="5365"/>
      <c r="I40" s="5365"/>
      <c r="J40" s="5365"/>
      <c r="K40" s="5365"/>
      <c r="L40" s="5365"/>
      <c r="M40" s="5365"/>
      <c r="N40" s="5365"/>
      <c r="O40" s="5365"/>
      <c r="P40" s="5365"/>
    </row>
    <row r="41" ht="15.75" spans="1:16">
      <c r="A41" s="1054"/>
      <c r="B41" s="5594" t="s">
        <v>36</v>
      </c>
      <c r="C41" s="5595" t="e">
        <f>#REF!</f>
        <v>#REF!</v>
      </c>
      <c r="D41" s="5595" t="e">
        <f>#REF!</f>
        <v>#REF!</v>
      </c>
      <c r="E41" s="5451" t="str">
        <f t="shared" si="4"/>
        <v>-</v>
      </c>
      <c r="F41" s="5365"/>
      <c r="G41" s="5365"/>
      <c r="H41" s="5365"/>
      <c r="I41" s="5365"/>
      <c r="J41" s="5365"/>
      <c r="K41" s="5365"/>
      <c r="L41" s="5365"/>
      <c r="M41" s="5365"/>
      <c r="N41" s="5365"/>
      <c r="O41" s="5365"/>
      <c r="P41" s="5365"/>
    </row>
    <row r="42" ht="15.75" spans="1:16">
      <c r="A42" s="1054"/>
      <c r="B42" s="5594" t="s">
        <v>37</v>
      </c>
      <c r="C42" s="5595" t="e">
        <f>#REF!</f>
        <v>#REF!</v>
      </c>
      <c r="D42" s="5595" t="e">
        <f>#REF!</f>
        <v>#REF!</v>
      </c>
      <c r="E42" s="5451" t="str">
        <f t="shared" si="4"/>
        <v>-</v>
      </c>
      <c r="F42" s="5365"/>
      <c r="G42" s="5365"/>
      <c r="H42" s="5365"/>
      <c r="I42" s="5365"/>
      <c r="J42" s="5365"/>
      <c r="K42" s="5365"/>
      <c r="L42" s="5365"/>
      <c r="M42" s="5365"/>
      <c r="N42" s="5365"/>
      <c r="O42" s="5365"/>
      <c r="P42" s="5365"/>
    </row>
    <row r="43" ht="15.75" spans="1:16">
      <c r="A43" s="1054"/>
      <c r="B43" s="5594" t="s">
        <v>38</v>
      </c>
      <c r="C43" s="5595" t="e">
        <f>#REF!</f>
        <v>#REF!</v>
      </c>
      <c r="D43" s="5595" t="e">
        <f>#REF!</f>
        <v>#REF!</v>
      </c>
      <c r="E43" s="5451" t="str">
        <f t="shared" si="4"/>
        <v>-</v>
      </c>
      <c r="F43" s="5365"/>
      <c r="G43" s="5365"/>
      <c r="H43" s="5365"/>
      <c r="I43" s="5365"/>
      <c r="J43" s="5365"/>
      <c r="K43" s="5365"/>
      <c r="L43" s="5365"/>
      <c r="M43" s="5365"/>
      <c r="N43" s="5365"/>
      <c r="O43" s="5365"/>
      <c r="P43" s="5365"/>
    </row>
    <row r="44" ht="15.75" spans="1:16">
      <c r="A44" s="1054"/>
      <c r="B44" s="5594" t="s">
        <v>39</v>
      </c>
      <c r="C44" s="5595" t="e">
        <f>#REF!</f>
        <v>#REF!</v>
      </c>
      <c r="D44" s="5595" t="e">
        <f>#REF!</f>
        <v>#REF!</v>
      </c>
      <c r="E44" s="5451" t="str">
        <f t="shared" si="4"/>
        <v>-</v>
      </c>
      <c r="F44" s="5365"/>
      <c r="G44" s="5365"/>
      <c r="H44" s="5365"/>
      <c r="I44" s="5365"/>
      <c r="J44" s="5365"/>
      <c r="K44" s="5365"/>
      <c r="L44" s="5365"/>
      <c r="M44" s="5365"/>
      <c r="N44" s="5365"/>
      <c r="O44" s="5365"/>
      <c r="P44" s="5365"/>
    </row>
    <row r="45" ht="15" spans="1:16">
      <c r="A45" s="1054"/>
      <c r="B45" s="5594" t="s">
        <v>40</v>
      </c>
      <c r="C45" s="5596" t="e">
        <f>#REF!</f>
        <v>#REF!</v>
      </c>
      <c r="D45" s="5596" t="e">
        <f>#REF!</f>
        <v>#REF!</v>
      </c>
      <c r="E45" s="5451" t="str">
        <f t="shared" si="4"/>
        <v>-</v>
      </c>
      <c r="F45" s="5365"/>
      <c r="G45" s="5365"/>
      <c r="H45" s="5365"/>
      <c r="I45" s="5365"/>
      <c r="J45" s="5365"/>
      <c r="K45" s="5365"/>
      <c r="L45" s="5365"/>
      <c r="M45" s="5365"/>
      <c r="N45" s="5365"/>
      <c r="O45" s="5365"/>
      <c r="P45" s="5365"/>
    </row>
    <row r="46" ht="15" spans="1:16">
      <c r="A46" s="1054"/>
      <c r="B46" s="5594" t="s">
        <v>41</v>
      </c>
      <c r="C46" s="5596" t="e">
        <f>#REF!</f>
        <v>#REF!</v>
      </c>
      <c r="D46" s="5596" t="e">
        <f>#REF!</f>
        <v>#REF!</v>
      </c>
      <c r="E46" s="5451" t="str">
        <f t="shared" si="4"/>
        <v>-</v>
      </c>
      <c r="F46" s="5365"/>
      <c r="G46" s="5365"/>
      <c r="H46" s="5365"/>
      <c r="I46" s="5365"/>
      <c r="J46" s="5365"/>
      <c r="K46" s="5365"/>
      <c r="L46" s="5365"/>
      <c r="M46" s="5365"/>
      <c r="N46" s="5365"/>
      <c r="O46" s="5365"/>
      <c r="P46" s="5365"/>
    </row>
    <row r="47" ht="15" spans="1:16">
      <c r="A47" s="1054"/>
      <c r="B47" s="5594" t="s">
        <v>42</v>
      </c>
      <c r="C47" s="5596" t="e">
        <f>#REF!</f>
        <v>#REF!</v>
      </c>
      <c r="D47" s="5596" t="e">
        <f>#REF!</f>
        <v>#REF!</v>
      </c>
      <c r="E47" s="5451" t="str">
        <f t="shared" si="4"/>
        <v>-</v>
      </c>
      <c r="F47" s="5365"/>
      <c r="G47" s="5365"/>
      <c r="H47" s="5365"/>
      <c r="I47" s="5365"/>
      <c r="J47" s="5365"/>
      <c r="K47" s="5365"/>
      <c r="L47" s="5365"/>
      <c r="M47" s="5365"/>
      <c r="N47" s="5365"/>
      <c r="O47" s="5365"/>
      <c r="P47" s="5365"/>
    </row>
    <row r="48" ht="15" spans="1:16">
      <c r="A48" s="1054"/>
      <c r="B48" s="5594" t="s">
        <v>43</v>
      </c>
      <c r="C48" s="5596" t="e">
        <f>#REF!</f>
        <v>#REF!</v>
      </c>
      <c r="D48" s="5596" t="e">
        <f>#REF!</f>
        <v>#REF!</v>
      </c>
      <c r="E48" s="5451" t="str">
        <f t="shared" si="4"/>
        <v>-</v>
      </c>
      <c r="F48" s="5365"/>
      <c r="G48" s="5365"/>
      <c r="H48" s="5365"/>
      <c r="I48" s="5365"/>
      <c r="J48" s="5365"/>
      <c r="K48" s="5365"/>
      <c r="L48" s="5365"/>
      <c r="M48" s="5365"/>
      <c r="N48" s="5365"/>
      <c r="O48" s="5365"/>
      <c r="P48" s="5365"/>
    </row>
    <row r="49" ht="15" spans="1:16">
      <c r="A49" s="1054"/>
      <c r="B49" s="5594" t="s">
        <v>44</v>
      </c>
      <c r="C49" s="5596" t="e">
        <f>#REF!</f>
        <v>#REF!</v>
      </c>
      <c r="D49" s="5596" t="e">
        <f>#REF!</f>
        <v>#REF!</v>
      </c>
      <c r="E49" s="5451" t="str">
        <f t="shared" si="4"/>
        <v>-</v>
      </c>
      <c r="F49" s="5365"/>
      <c r="G49" s="5365"/>
      <c r="H49" s="5365"/>
      <c r="I49" s="5365"/>
      <c r="J49" s="5365"/>
      <c r="K49" s="5365"/>
      <c r="L49" s="5365"/>
      <c r="M49" s="5365"/>
      <c r="N49" s="5365"/>
      <c r="O49" s="5365"/>
      <c r="P49" s="5365"/>
    </row>
    <row r="50" ht="15" spans="1:16">
      <c r="A50" s="1054"/>
      <c r="B50" s="5594" t="s">
        <v>45</v>
      </c>
      <c r="C50" s="5596" t="e">
        <f>#REF!</f>
        <v>#REF!</v>
      </c>
      <c r="D50" s="5596" t="e">
        <f>#REF!</f>
        <v>#REF!</v>
      </c>
      <c r="E50" s="5451" t="str">
        <f t="shared" si="4"/>
        <v>-</v>
      </c>
      <c r="F50" s="5365"/>
      <c r="G50" s="5365"/>
      <c r="H50" s="5365"/>
      <c r="I50" s="5365"/>
      <c r="J50" s="5365"/>
      <c r="K50" s="5365"/>
      <c r="L50" s="5365"/>
      <c r="M50" s="5365"/>
      <c r="N50" s="5365"/>
      <c r="O50" s="5365"/>
      <c r="P50" s="5365"/>
    </row>
    <row r="51" ht="15" spans="1:16">
      <c r="A51" s="1054"/>
      <c r="B51" s="5594" t="s">
        <v>46</v>
      </c>
      <c r="C51" s="5596" t="e">
        <f>#REF!</f>
        <v>#REF!</v>
      </c>
      <c r="D51" s="5596" t="e">
        <f>#REF!</f>
        <v>#REF!</v>
      </c>
      <c r="E51" s="5451" t="str">
        <f t="shared" si="4"/>
        <v>-</v>
      </c>
      <c r="F51" s="5365"/>
      <c r="G51" s="5365"/>
      <c r="H51" s="5365"/>
      <c r="I51" s="5365"/>
      <c r="J51" s="5365"/>
      <c r="K51" s="5365"/>
      <c r="L51" s="5365"/>
      <c r="M51" s="5365"/>
      <c r="N51" s="5365"/>
      <c r="O51" s="5365"/>
      <c r="P51" s="5365"/>
    </row>
    <row r="52" ht="15" spans="1:16">
      <c r="A52" s="1054"/>
      <c r="B52" s="5594" t="s">
        <v>47</v>
      </c>
      <c r="C52" s="5596" t="e">
        <f>#REF!</f>
        <v>#REF!</v>
      </c>
      <c r="D52" s="5596" t="e">
        <f>#REF!</f>
        <v>#REF!</v>
      </c>
      <c r="E52" s="5451" t="str">
        <f t="shared" si="4"/>
        <v>-</v>
      </c>
      <c r="F52" s="5383"/>
      <c r="G52" s="5365"/>
      <c r="H52" s="5365"/>
      <c r="I52" s="5365"/>
      <c r="J52" s="5365"/>
      <c r="K52" s="5365"/>
      <c r="L52" s="5365"/>
      <c r="M52" s="5365"/>
      <c r="N52" s="5365"/>
      <c r="O52" s="5365"/>
      <c r="P52" s="5365"/>
    </row>
    <row r="53" ht="15" spans="1:16">
      <c r="A53" s="1054"/>
      <c r="B53" s="5594" t="s">
        <v>48</v>
      </c>
      <c r="C53" s="5596" t="e">
        <f>#REF!</f>
        <v>#REF!</v>
      </c>
      <c r="D53" s="5596" t="e">
        <f>#REF!</f>
        <v>#REF!</v>
      </c>
      <c r="E53" s="5451" t="str">
        <f t="shared" si="4"/>
        <v>-</v>
      </c>
      <c r="F53" s="5365"/>
      <c r="G53" s="5365"/>
      <c r="H53" s="5365"/>
      <c r="I53" s="5365"/>
      <c r="J53" s="5365"/>
      <c r="K53" s="5365"/>
      <c r="L53" s="5365"/>
      <c r="M53" s="5365"/>
      <c r="N53" s="5365"/>
      <c r="O53" s="5365"/>
      <c r="P53" s="5365"/>
    </row>
    <row r="54" ht="15" spans="1:16">
      <c r="A54" s="1054"/>
      <c r="B54" s="5594" t="s">
        <v>49</v>
      </c>
      <c r="C54" s="5596" t="e">
        <f>#REF!</f>
        <v>#REF!</v>
      </c>
      <c r="D54" s="5596" t="e">
        <f>#REF!</f>
        <v>#REF!</v>
      </c>
      <c r="E54" s="5451" t="str">
        <f t="shared" si="4"/>
        <v>-</v>
      </c>
      <c r="F54" s="5365"/>
      <c r="G54" s="5365"/>
      <c r="H54" s="5365"/>
      <c r="I54" s="5365"/>
      <c r="J54" s="5365"/>
      <c r="K54" s="5365"/>
      <c r="L54" s="5365"/>
      <c r="M54" s="5365"/>
      <c r="N54" s="5365"/>
      <c r="O54" s="5365"/>
      <c r="P54" s="5365"/>
    </row>
    <row r="55" ht="15" spans="1:16">
      <c r="A55" s="1054"/>
      <c r="B55" s="5594" t="s">
        <v>50</v>
      </c>
      <c r="C55" s="5596" t="e">
        <f>#REF!</f>
        <v>#REF!</v>
      </c>
      <c r="D55" s="5596" t="e">
        <f>#REF!</f>
        <v>#REF!</v>
      </c>
      <c r="E55" s="5451" t="str">
        <f t="shared" si="4"/>
        <v>-</v>
      </c>
      <c r="F55" s="5365"/>
      <c r="G55" s="5365"/>
      <c r="H55" s="5365"/>
      <c r="I55" s="5365"/>
      <c r="J55" s="5365"/>
      <c r="K55" s="5365"/>
      <c r="L55" s="5365"/>
      <c r="M55" s="5365"/>
      <c r="N55" s="5365"/>
      <c r="O55" s="5365"/>
      <c r="P55" s="5365"/>
    </row>
    <row r="56" ht="15" spans="1:16">
      <c r="A56" s="1054"/>
      <c r="B56" s="5594" t="s">
        <v>51</v>
      </c>
      <c r="C56" s="5596" t="e">
        <f>#REF!</f>
        <v>#REF!</v>
      </c>
      <c r="D56" s="5596" t="e">
        <f>#REF!</f>
        <v>#REF!</v>
      </c>
      <c r="E56" s="5451" t="str">
        <f t="shared" si="4"/>
        <v>-</v>
      </c>
      <c r="F56" s="5365"/>
      <c r="G56" s="5365"/>
      <c r="H56" s="5365"/>
      <c r="I56" s="5365"/>
      <c r="J56" s="5365"/>
      <c r="K56" s="5365"/>
      <c r="L56" s="5365"/>
      <c r="M56" s="5365"/>
      <c r="N56" s="5365"/>
      <c r="O56" s="5365"/>
      <c r="P56" s="5365"/>
    </row>
    <row r="57" ht="15" spans="1:16">
      <c r="A57" s="1054"/>
      <c r="B57" s="5594" t="s">
        <v>52</v>
      </c>
      <c r="C57" s="5596" t="e">
        <f>#REF!</f>
        <v>#REF!</v>
      </c>
      <c r="D57" s="5596" t="e">
        <f>#REF!</f>
        <v>#REF!</v>
      </c>
      <c r="E57" s="5451" t="str">
        <f t="shared" si="4"/>
        <v>-</v>
      </c>
      <c r="F57" s="5365"/>
      <c r="G57" s="5365"/>
      <c r="H57" s="5365"/>
      <c r="I57" s="5365"/>
      <c r="J57" s="5365"/>
      <c r="K57" s="5365"/>
      <c r="L57" s="5365"/>
      <c r="M57" s="5365"/>
      <c r="N57" s="5365"/>
      <c r="O57" s="5365"/>
      <c r="P57" s="5365"/>
    </row>
    <row r="58" ht="15" spans="1:16">
      <c r="A58" s="1054"/>
      <c r="B58" s="5594" t="s">
        <v>53</v>
      </c>
      <c r="C58" s="5596" t="e">
        <f>#REF!</f>
        <v>#REF!</v>
      </c>
      <c r="D58" s="5596" t="e">
        <f>#REF!</f>
        <v>#REF!</v>
      </c>
      <c r="E58" s="5451" t="str">
        <f t="shared" si="4"/>
        <v>-</v>
      </c>
      <c r="F58" s="5365"/>
      <c r="G58" s="5365"/>
      <c r="H58" s="5365"/>
      <c r="I58" s="5365"/>
      <c r="J58" s="5365"/>
      <c r="K58" s="5365"/>
      <c r="L58" s="5365"/>
      <c r="M58" s="5365"/>
      <c r="N58" s="5365"/>
      <c r="O58" s="5365"/>
      <c r="P58" s="5365"/>
    </row>
    <row r="59" ht="15" spans="1:16">
      <c r="A59" s="1054"/>
      <c r="B59" s="5594" t="s">
        <v>54</v>
      </c>
      <c r="C59" s="5596" t="e">
        <f>#REF!</f>
        <v>#REF!</v>
      </c>
      <c r="D59" s="5596" t="e">
        <f>#REF!</f>
        <v>#REF!</v>
      </c>
      <c r="E59" s="5451" t="str">
        <f t="shared" si="4"/>
        <v>-</v>
      </c>
      <c r="F59" s="5365"/>
      <c r="G59" s="5365"/>
      <c r="H59" s="5365"/>
      <c r="I59" s="5365"/>
      <c r="J59" s="5365"/>
      <c r="K59" s="5365"/>
      <c r="L59" s="5365"/>
      <c r="M59" s="5365"/>
      <c r="N59" s="5365"/>
      <c r="O59" s="5365"/>
      <c r="P59" s="5365"/>
    </row>
    <row r="60" ht="15" spans="1:16">
      <c r="A60" s="1054"/>
      <c r="B60" s="5594" t="s">
        <v>55</v>
      </c>
      <c r="C60" s="5596" t="e">
        <f>#REF!</f>
        <v>#REF!</v>
      </c>
      <c r="D60" s="5596" t="e">
        <f>#REF!</f>
        <v>#REF!</v>
      </c>
      <c r="E60" s="5451" t="str">
        <f t="shared" si="4"/>
        <v>-</v>
      </c>
      <c r="F60" s="5365"/>
      <c r="G60" s="5365"/>
      <c r="H60" s="5365"/>
      <c r="I60" s="5365"/>
      <c r="J60" s="5365"/>
      <c r="K60" s="5365"/>
      <c r="L60" s="5365"/>
      <c r="M60" s="5365"/>
      <c r="N60" s="5365"/>
      <c r="O60" s="5365"/>
      <c r="P60" s="5365"/>
    </row>
    <row r="61" ht="15" spans="1:16">
      <c r="A61" s="1054"/>
      <c r="B61" s="5594" t="s">
        <v>56</v>
      </c>
      <c r="C61" s="5596" t="e">
        <f>#REF!</f>
        <v>#REF!</v>
      </c>
      <c r="D61" s="5596" t="e">
        <f>#REF!</f>
        <v>#REF!</v>
      </c>
      <c r="E61" s="5451" t="str">
        <f t="shared" si="4"/>
        <v>-</v>
      </c>
      <c r="F61" s="5365"/>
      <c r="G61" s="5365"/>
      <c r="H61" s="5365"/>
      <c r="I61" s="5365"/>
      <c r="J61" s="5365"/>
      <c r="K61" s="5365"/>
      <c r="L61" s="5365"/>
      <c r="M61" s="5365"/>
      <c r="N61" s="5365"/>
      <c r="O61" s="5365"/>
      <c r="P61" s="5365"/>
    </row>
    <row r="62" ht="15" spans="1:16">
      <c r="A62" s="1054"/>
      <c r="B62" s="5594" t="s">
        <v>57</v>
      </c>
      <c r="C62" s="5596" t="e">
        <f>#REF!</f>
        <v>#REF!</v>
      </c>
      <c r="D62" s="5596" t="e">
        <f>#REF!</f>
        <v>#REF!</v>
      </c>
      <c r="E62" s="5451" t="str">
        <f t="shared" si="4"/>
        <v>-</v>
      </c>
      <c r="F62" s="5365"/>
      <c r="G62" s="5365"/>
      <c r="H62" s="5365"/>
      <c r="I62" s="5365"/>
      <c r="J62" s="5365"/>
      <c r="K62" s="5365"/>
      <c r="L62" s="5365"/>
      <c r="M62" s="5365"/>
      <c r="N62" s="5365"/>
      <c r="O62" s="5365"/>
      <c r="P62" s="5365"/>
    </row>
    <row r="63" ht="15" spans="1:16">
      <c r="A63" s="1054"/>
      <c r="B63" s="5594" t="s">
        <v>58</v>
      </c>
      <c r="C63" s="5596" t="e">
        <f>#REF!</f>
        <v>#REF!</v>
      </c>
      <c r="D63" s="5596" t="e">
        <f>#REF!</f>
        <v>#REF!</v>
      </c>
      <c r="E63" s="5451" t="str">
        <f t="shared" si="4"/>
        <v>-</v>
      </c>
      <c r="F63" s="5365"/>
      <c r="G63" s="5365"/>
      <c r="H63" s="5365"/>
      <c r="I63" s="5365"/>
      <c r="J63" s="5365"/>
      <c r="K63" s="5365"/>
      <c r="L63" s="5365"/>
      <c r="M63" s="5365"/>
      <c r="N63" s="5365"/>
      <c r="O63" s="5365"/>
      <c r="P63" s="5365"/>
    </row>
    <row r="64" ht="15" spans="1:16">
      <c r="A64" s="1054"/>
      <c r="B64" s="5594" t="s">
        <v>59</v>
      </c>
      <c r="C64" s="5596" t="e">
        <f>#REF!</f>
        <v>#REF!</v>
      </c>
      <c r="D64" s="5596" t="e">
        <f>#REF!</f>
        <v>#REF!</v>
      </c>
      <c r="E64" s="5451" t="str">
        <f t="shared" si="4"/>
        <v>-</v>
      </c>
      <c r="F64" s="5365"/>
      <c r="G64" s="5365"/>
      <c r="H64" s="5365"/>
      <c r="I64" s="5365"/>
      <c r="J64" s="5365"/>
      <c r="K64" s="5365"/>
      <c r="L64" s="5365"/>
      <c r="M64" s="5365"/>
      <c r="N64" s="5365"/>
      <c r="O64" s="5365"/>
      <c r="P64" s="5365"/>
    </row>
    <row r="65" ht="15" spans="1:16">
      <c r="A65" s="651"/>
      <c r="B65" s="5597" t="s">
        <v>60</v>
      </c>
      <c r="C65" s="5596" t="e">
        <f>#REF!</f>
        <v>#REF!</v>
      </c>
      <c r="D65" s="5596" t="e">
        <f>#REF!</f>
        <v>#REF!</v>
      </c>
      <c r="E65" s="5451" t="str">
        <f t="shared" si="4"/>
        <v>-</v>
      </c>
      <c r="F65" s="5365"/>
      <c r="G65" s="5365"/>
      <c r="H65" s="5365"/>
      <c r="I65" s="5365"/>
      <c r="J65" s="5365"/>
      <c r="K65" s="5365"/>
      <c r="L65" s="5365"/>
      <c r="M65" s="5365"/>
      <c r="N65" s="5365"/>
      <c r="O65" s="5365"/>
      <c r="P65" s="5365"/>
    </row>
    <row r="66" spans="1:16">
      <c r="A66" s="5365"/>
      <c r="B66" s="5365"/>
      <c r="C66" s="5365"/>
      <c r="D66" s="5365"/>
      <c r="E66" s="5365"/>
      <c r="F66" s="5365"/>
      <c r="G66" s="5365"/>
      <c r="H66" s="5365"/>
      <c r="I66" s="5365"/>
      <c r="J66" s="5365"/>
      <c r="K66" s="5365"/>
      <c r="L66" s="5365"/>
      <c r="M66" s="5365"/>
      <c r="N66" s="5365"/>
      <c r="O66" s="5365"/>
      <c r="P66" s="5365"/>
    </row>
    <row r="67" spans="1:16">
      <c r="A67" s="5365"/>
      <c r="B67" s="5365"/>
      <c r="C67" s="5365"/>
      <c r="D67" s="5365"/>
      <c r="E67" s="5365"/>
      <c r="F67" s="5365"/>
      <c r="G67" s="5365"/>
      <c r="H67" s="5365"/>
      <c r="I67" s="5365"/>
      <c r="J67" s="5365"/>
      <c r="K67" s="5365"/>
      <c r="L67" s="5365"/>
      <c r="M67" s="5365"/>
      <c r="N67" s="5365"/>
      <c r="O67" s="5365"/>
      <c r="P67" s="5365"/>
    </row>
    <row r="68" spans="1:16">
      <c r="A68" s="5365"/>
      <c r="B68" s="5365"/>
      <c r="C68" s="5365"/>
      <c r="D68" s="5365"/>
      <c r="E68" s="5365"/>
      <c r="F68" s="5365"/>
      <c r="G68" s="5365"/>
      <c r="H68" s="5365"/>
      <c r="I68" s="5365"/>
      <c r="J68" s="5365"/>
      <c r="K68" s="5365"/>
      <c r="L68" s="5365"/>
      <c r="M68" s="5365"/>
      <c r="N68" s="5365"/>
      <c r="O68" s="5365"/>
      <c r="P68" s="5365"/>
    </row>
    <row r="69" ht="15" spans="1:16">
      <c r="A69" s="5417" t="s">
        <v>61</v>
      </c>
      <c r="B69" s="5365"/>
      <c r="C69" s="5365"/>
      <c r="D69" s="5365"/>
      <c r="E69" s="5365"/>
      <c r="F69" s="5365"/>
      <c r="G69" s="5365"/>
      <c r="H69" s="5365"/>
      <c r="I69" s="5365"/>
      <c r="J69" s="5365"/>
      <c r="K69" s="5365"/>
      <c r="L69" s="5365"/>
      <c r="M69" s="5365"/>
      <c r="N69" s="5365"/>
      <c r="O69" s="5365"/>
      <c r="P69" s="5365"/>
    </row>
    <row r="70" ht="17.25" customHeight="1" spans="1:16">
      <c r="A70" s="5420"/>
      <c r="B70" s="5420" t="s">
        <v>62</v>
      </c>
      <c r="C70" s="5421" t="s">
        <v>16</v>
      </c>
      <c r="D70" s="5421" t="s">
        <v>17</v>
      </c>
      <c r="E70" s="5422" t="s">
        <v>18</v>
      </c>
      <c r="F70" s="5422" t="s">
        <v>19</v>
      </c>
      <c r="G70" s="5422" t="s">
        <v>20</v>
      </c>
      <c r="H70" s="5422"/>
      <c r="I70" s="5365"/>
      <c r="J70" s="5365"/>
      <c r="K70" s="5365"/>
      <c r="L70" s="5365"/>
      <c r="M70" s="5365"/>
      <c r="N70" s="5365"/>
      <c r="O70" s="5365"/>
      <c r="P70" s="5365"/>
    </row>
    <row r="71" ht="14.25" customHeight="1" spans="1:16">
      <c r="A71" s="5423" t="e">
        <f>IF(C71=0,"-","1.2.1.")</f>
        <v>#REF!</v>
      </c>
      <c r="B71" s="5424" t="e">
        <f t="shared" ref="B71:B80" si="5">INDEX($B$88:$B$123,MATCH(C71,$C$88:$C$123,0))</f>
        <v>#REF!</v>
      </c>
      <c r="C71" s="5425" t="e">
        <f>MAX($C$88:$C$123)</f>
        <v>#REF!</v>
      </c>
      <c r="D71" s="5425" t="e">
        <f t="shared" ref="D71:D80" si="6">INDEX($D$88:$D$123,MATCH(C71,$C$88:$C$123,0))</f>
        <v>#REF!</v>
      </c>
      <c r="E71" s="5425" t="e">
        <f t="shared" ref="E71:E83" si="7">C71-D71</f>
        <v>#REF!</v>
      </c>
      <c r="F71" s="5426" t="e">
        <f t="shared" ref="F71:F83" si="8">IF(E71&lt;0,E71*-1,E71)</f>
        <v>#REF!</v>
      </c>
      <c r="G71" s="5427">
        <f t="shared" ref="G71:G83" si="9">IFERROR(F71/D71,0)</f>
        <v>0</v>
      </c>
      <c r="H71" s="5425" t="e">
        <f t="shared" ref="H71:H82" si="10">IF(E71&lt;0,"DECREASE","INCREASE")</f>
        <v>#REF!</v>
      </c>
      <c r="I71" s="5365"/>
      <c r="J71" s="5365"/>
      <c r="K71" s="5365"/>
      <c r="L71" s="5365"/>
      <c r="M71" s="5365"/>
      <c r="N71" s="5365"/>
      <c r="O71" s="5365"/>
      <c r="P71" s="5365"/>
    </row>
    <row r="72" ht="14.25" customHeight="1" spans="1:16">
      <c r="A72" s="5428" t="e">
        <f>IF(C72=0,"-","1.2.2.")</f>
        <v>#REF!</v>
      </c>
      <c r="B72" s="5429" t="e">
        <f t="shared" si="5"/>
        <v>#REF!</v>
      </c>
      <c r="C72" s="5430" t="e">
        <f>LARGE($C$88:$C$123,2)</f>
        <v>#REF!</v>
      </c>
      <c r="D72" s="5430" t="e">
        <f t="shared" si="6"/>
        <v>#REF!</v>
      </c>
      <c r="E72" s="5430" t="e">
        <f t="shared" si="7"/>
        <v>#REF!</v>
      </c>
      <c r="F72" s="5431" t="e">
        <f t="shared" si="8"/>
        <v>#REF!</v>
      </c>
      <c r="G72" s="5432">
        <f t="shared" si="9"/>
        <v>0</v>
      </c>
      <c r="H72" s="5430" t="e">
        <f t="shared" si="10"/>
        <v>#REF!</v>
      </c>
      <c r="I72" s="5365"/>
      <c r="J72" s="5365"/>
      <c r="K72" s="5365"/>
      <c r="L72" s="5365"/>
      <c r="M72" s="5365"/>
      <c r="N72" s="5365"/>
      <c r="O72" s="5365"/>
      <c r="P72" s="5365"/>
    </row>
    <row r="73" ht="14.25" customHeight="1" spans="1:16">
      <c r="A73" s="5428" t="e">
        <f>IF(C73=0,"-","1.2.3.")</f>
        <v>#REF!</v>
      </c>
      <c r="B73" s="5429" t="e">
        <f t="shared" si="5"/>
        <v>#REF!</v>
      </c>
      <c r="C73" s="5430" t="e">
        <f>LARGE($C$88:$C$123,3)</f>
        <v>#REF!</v>
      </c>
      <c r="D73" s="5430" t="e">
        <f t="shared" si="6"/>
        <v>#REF!</v>
      </c>
      <c r="E73" s="5430" t="e">
        <f t="shared" si="7"/>
        <v>#REF!</v>
      </c>
      <c r="F73" s="5431" t="e">
        <f t="shared" si="8"/>
        <v>#REF!</v>
      </c>
      <c r="G73" s="5432">
        <f t="shared" si="9"/>
        <v>0</v>
      </c>
      <c r="H73" s="5430" t="e">
        <f t="shared" si="10"/>
        <v>#REF!</v>
      </c>
      <c r="I73" s="5365"/>
      <c r="J73" s="5365"/>
      <c r="K73" s="5365"/>
      <c r="L73" s="5365"/>
      <c r="M73" s="5365"/>
      <c r="N73" s="5365"/>
      <c r="O73" s="5365"/>
      <c r="P73" s="5365"/>
    </row>
    <row r="74" ht="14.25" customHeight="1" spans="1:16">
      <c r="A74" s="5428" t="e">
        <f>IF(C74=0,"-","1.2.4.")</f>
        <v>#REF!</v>
      </c>
      <c r="B74" s="5429" t="e">
        <f t="shared" si="5"/>
        <v>#REF!</v>
      </c>
      <c r="C74" s="5430" t="e">
        <f>LARGE($C$88:$C$123,4)</f>
        <v>#REF!</v>
      </c>
      <c r="D74" s="5430" t="e">
        <f t="shared" si="6"/>
        <v>#REF!</v>
      </c>
      <c r="E74" s="5430" t="e">
        <f t="shared" si="7"/>
        <v>#REF!</v>
      </c>
      <c r="F74" s="5431" t="e">
        <f t="shared" si="8"/>
        <v>#REF!</v>
      </c>
      <c r="G74" s="5432">
        <f t="shared" si="9"/>
        <v>0</v>
      </c>
      <c r="H74" s="5430" t="e">
        <f t="shared" si="10"/>
        <v>#REF!</v>
      </c>
      <c r="I74" s="5365"/>
      <c r="J74" s="5365"/>
      <c r="K74" s="5365"/>
      <c r="L74" s="5365"/>
      <c r="M74" s="5365"/>
      <c r="N74" s="5365"/>
      <c r="O74" s="5365"/>
      <c r="P74" s="5365"/>
    </row>
    <row r="75" ht="14.25" customHeight="1" spans="1:16">
      <c r="A75" s="5428" t="e">
        <f>IF(C75=0,"-","1.2.5.")</f>
        <v>#REF!</v>
      </c>
      <c r="B75" s="5429" t="e">
        <f t="shared" si="5"/>
        <v>#REF!</v>
      </c>
      <c r="C75" s="5430" t="e">
        <f>LARGE($C$88:$C$123,5)</f>
        <v>#REF!</v>
      </c>
      <c r="D75" s="5430" t="e">
        <f t="shared" si="6"/>
        <v>#REF!</v>
      </c>
      <c r="E75" s="5430" t="e">
        <f t="shared" si="7"/>
        <v>#REF!</v>
      </c>
      <c r="F75" s="5431" t="e">
        <f t="shared" si="8"/>
        <v>#REF!</v>
      </c>
      <c r="G75" s="5432">
        <f t="shared" si="9"/>
        <v>0</v>
      </c>
      <c r="H75" s="5430" t="e">
        <f t="shared" si="10"/>
        <v>#REF!</v>
      </c>
      <c r="I75" s="5365"/>
      <c r="J75" s="5365"/>
      <c r="K75" s="5365"/>
      <c r="L75" s="5365"/>
      <c r="M75" s="5365"/>
      <c r="N75" s="5365"/>
      <c r="O75" s="5365"/>
      <c r="P75" s="5365"/>
    </row>
    <row r="76" ht="14.25" customHeight="1" spans="1:16">
      <c r="A76" s="5428" t="e">
        <f>IF(C76=0,"-","1.2.6.")</f>
        <v>#REF!</v>
      </c>
      <c r="B76" s="5429" t="e">
        <f t="shared" si="5"/>
        <v>#REF!</v>
      </c>
      <c r="C76" s="5430" t="e">
        <f>LARGE($C$88:$C$123,6)</f>
        <v>#REF!</v>
      </c>
      <c r="D76" s="5430" t="e">
        <f t="shared" si="6"/>
        <v>#REF!</v>
      </c>
      <c r="E76" s="5430" t="e">
        <f t="shared" si="7"/>
        <v>#REF!</v>
      </c>
      <c r="F76" s="5431" t="e">
        <f t="shared" si="8"/>
        <v>#REF!</v>
      </c>
      <c r="G76" s="5432">
        <f t="shared" si="9"/>
        <v>0</v>
      </c>
      <c r="H76" s="5430" t="e">
        <f t="shared" si="10"/>
        <v>#REF!</v>
      </c>
      <c r="I76" s="5365"/>
      <c r="J76" s="5365"/>
      <c r="K76" s="5365"/>
      <c r="L76" s="5365"/>
      <c r="M76" s="5365"/>
      <c r="N76" s="5365"/>
      <c r="O76" s="5365"/>
      <c r="P76" s="5365"/>
    </row>
    <row r="77" ht="14.25" customHeight="1" spans="1:16">
      <c r="A77" s="5428"/>
      <c r="B77" s="5429" t="e">
        <f t="shared" si="5"/>
        <v>#REF!</v>
      </c>
      <c r="C77" s="5430" t="e">
        <f>LARGE($C$88:$C$123,7)</f>
        <v>#REF!</v>
      </c>
      <c r="D77" s="5430" t="e">
        <f t="shared" si="6"/>
        <v>#REF!</v>
      </c>
      <c r="E77" s="5430" t="e">
        <f t="shared" si="7"/>
        <v>#REF!</v>
      </c>
      <c r="F77" s="5431" t="e">
        <f t="shared" si="8"/>
        <v>#REF!</v>
      </c>
      <c r="G77" s="5432">
        <f t="shared" si="9"/>
        <v>0</v>
      </c>
      <c r="H77" s="5430" t="e">
        <f t="shared" si="10"/>
        <v>#REF!</v>
      </c>
      <c r="I77" s="5365"/>
      <c r="J77" s="5365"/>
      <c r="K77" s="5365"/>
      <c r="L77" s="5365"/>
      <c r="M77" s="5365"/>
      <c r="N77" s="5365"/>
      <c r="O77" s="5365"/>
      <c r="P77" s="5365"/>
    </row>
    <row r="78" ht="14.25" customHeight="1" spans="1:16">
      <c r="A78" s="5428"/>
      <c r="B78" s="5429" t="e">
        <f t="shared" si="5"/>
        <v>#REF!</v>
      </c>
      <c r="C78" s="5430" t="e">
        <f>LARGE($C$88:$C$123,8)</f>
        <v>#REF!</v>
      </c>
      <c r="D78" s="5430" t="e">
        <f t="shared" si="6"/>
        <v>#REF!</v>
      </c>
      <c r="E78" s="5430" t="e">
        <f t="shared" si="7"/>
        <v>#REF!</v>
      </c>
      <c r="F78" s="5431" t="e">
        <f t="shared" si="8"/>
        <v>#REF!</v>
      </c>
      <c r="G78" s="5432">
        <f t="shared" si="9"/>
        <v>0</v>
      </c>
      <c r="H78" s="5430" t="e">
        <f t="shared" si="10"/>
        <v>#REF!</v>
      </c>
      <c r="I78" s="5365"/>
      <c r="J78" s="5365"/>
      <c r="K78" s="5365"/>
      <c r="L78" s="5365"/>
      <c r="M78" s="5365"/>
      <c r="N78" s="5365"/>
      <c r="O78" s="5365"/>
      <c r="P78" s="5365"/>
    </row>
    <row r="79" ht="14.25" customHeight="1" spans="1:16">
      <c r="A79" s="5428"/>
      <c r="B79" s="5429" t="e">
        <f t="shared" si="5"/>
        <v>#REF!</v>
      </c>
      <c r="C79" s="5430" t="e">
        <f>LARGE($C$88:$C$123,9)</f>
        <v>#REF!</v>
      </c>
      <c r="D79" s="5430" t="e">
        <f t="shared" si="6"/>
        <v>#REF!</v>
      </c>
      <c r="E79" s="5430" t="e">
        <f t="shared" si="7"/>
        <v>#REF!</v>
      </c>
      <c r="F79" s="5431" t="e">
        <f t="shared" si="8"/>
        <v>#REF!</v>
      </c>
      <c r="G79" s="5432">
        <f t="shared" si="9"/>
        <v>0</v>
      </c>
      <c r="H79" s="5430" t="e">
        <f t="shared" si="10"/>
        <v>#REF!</v>
      </c>
      <c r="I79" s="5365"/>
      <c r="J79" s="5365"/>
      <c r="K79" s="5365"/>
      <c r="L79" s="5365"/>
      <c r="M79" s="5365"/>
      <c r="N79" s="5365"/>
      <c r="O79" s="5365"/>
      <c r="P79" s="5365"/>
    </row>
    <row r="80" ht="14.25" customHeight="1" spans="1:16">
      <c r="A80" s="5428"/>
      <c r="B80" s="5429" t="e">
        <f t="shared" si="5"/>
        <v>#REF!</v>
      </c>
      <c r="C80" s="5430" t="e">
        <f>LARGE($C$88:$C$123,10)</f>
        <v>#REF!</v>
      </c>
      <c r="D80" s="5430" t="e">
        <f t="shared" si="6"/>
        <v>#REF!</v>
      </c>
      <c r="E80" s="5430" t="e">
        <f t="shared" si="7"/>
        <v>#REF!</v>
      </c>
      <c r="F80" s="5431" t="e">
        <f t="shared" si="8"/>
        <v>#REF!</v>
      </c>
      <c r="G80" s="5432">
        <f t="shared" si="9"/>
        <v>0</v>
      </c>
      <c r="H80" s="5430" t="e">
        <f t="shared" si="10"/>
        <v>#REF!</v>
      </c>
      <c r="I80" s="5365"/>
      <c r="J80" s="5365"/>
      <c r="K80" s="5365"/>
      <c r="L80" s="5365"/>
      <c r="M80" s="5365"/>
      <c r="N80" s="5365"/>
      <c r="O80" s="5365"/>
      <c r="P80" s="5365"/>
    </row>
    <row r="81" ht="14.25" customHeight="1" spans="1:16">
      <c r="A81" s="5486"/>
      <c r="B81" s="5434" t="s">
        <v>63</v>
      </c>
      <c r="C81" s="5435" t="e">
        <f>C82-SUM(C71:C80)</f>
        <v>#REF!</v>
      </c>
      <c r="D81" s="5436" t="e">
        <f>D82-SUM(D71:D80)</f>
        <v>#REF!</v>
      </c>
      <c r="E81" s="5436" t="e">
        <f t="shared" si="7"/>
        <v>#REF!</v>
      </c>
      <c r="F81" s="5437" t="e">
        <f t="shared" si="8"/>
        <v>#REF!</v>
      </c>
      <c r="G81" s="5438">
        <f t="shared" si="9"/>
        <v>0</v>
      </c>
      <c r="H81" s="5435" t="e">
        <f t="shared" si="10"/>
        <v>#REF!</v>
      </c>
      <c r="I81" s="5365"/>
      <c r="J81" s="5365"/>
      <c r="K81" s="5365"/>
      <c r="L81" s="5365"/>
      <c r="M81" s="5365"/>
      <c r="N81" s="5365"/>
      <c r="O81" s="5365"/>
      <c r="P81" s="5365"/>
    </row>
    <row r="82" ht="18" customHeight="1" spans="1:16">
      <c r="A82" s="5452"/>
      <c r="B82" s="5440" t="s">
        <v>64</v>
      </c>
      <c r="C82" s="5441" t="e">
        <f>#REF!+#REF!+#REF!+#REF!+#REF!+#REF!+#REF!</f>
        <v>#REF!</v>
      </c>
      <c r="D82" s="5441" t="e">
        <f>#REF!+#REF!+#REF!+#REF!+#REF!+#REF!+#REF!</f>
        <v>#REF!</v>
      </c>
      <c r="E82" s="5441" t="e">
        <f t="shared" si="7"/>
        <v>#REF!</v>
      </c>
      <c r="F82" s="5442" t="e">
        <f t="shared" si="8"/>
        <v>#REF!</v>
      </c>
      <c r="G82" s="5443">
        <f t="shared" si="9"/>
        <v>0</v>
      </c>
      <c r="H82" s="5441" t="e">
        <f t="shared" si="10"/>
        <v>#REF!</v>
      </c>
      <c r="I82" s="5365"/>
      <c r="J82" s="5365"/>
      <c r="K82" s="5365"/>
      <c r="L82" s="5365"/>
      <c r="M82" s="5365"/>
      <c r="N82" s="5365"/>
      <c r="O82" s="5365"/>
      <c r="P82" s="5365"/>
    </row>
    <row r="83" spans="1:16">
      <c r="A83" s="5444"/>
      <c r="B83" s="5424" t="s">
        <v>65</v>
      </c>
      <c r="C83" s="5425" t="e">
        <f>#REF!</f>
        <v>#REF!</v>
      </c>
      <c r="D83" s="5425" t="e">
        <f>#REF!</f>
        <v>#REF!</v>
      </c>
      <c r="E83" s="5425" t="e">
        <f t="shared" si="7"/>
        <v>#REF!</v>
      </c>
      <c r="F83" s="5445" t="e">
        <f t="shared" si="8"/>
        <v>#REF!</v>
      </c>
      <c r="G83" s="5446">
        <f t="shared" si="9"/>
        <v>0</v>
      </c>
      <c r="H83" s="5447" t="e">
        <f>IF(E83&lt;=0,"DECREASE","INCREASE")</f>
        <v>#REF!</v>
      </c>
      <c r="I83" s="5365"/>
      <c r="J83" s="5365"/>
      <c r="K83" s="5365"/>
      <c r="L83" s="5365"/>
      <c r="M83" s="5365"/>
      <c r="N83" s="5365"/>
      <c r="O83" s="5365"/>
      <c r="P83" s="5365"/>
    </row>
    <row r="84" spans="1:16">
      <c r="A84" s="5448"/>
      <c r="B84" s="5429" t="s">
        <v>66</v>
      </c>
      <c r="C84" s="5449">
        <f>IFERROR(C83/C82,0)</f>
        <v>0</v>
      </c>
      <c r="D84" s="5449">
        <f>IFERROR(D83/D82,0)</f>
        <v>0</v>
      </c>
      <c r="E84" s="5430"/>
      <c r="F84" s="5431"/>
      <c r="G84" s="5432"/>
      <c r="H84" s="5430"/>
      <c r="I84" s="5365"/>
      <c r="J84" s="5365"/>
      <c r="K84" s="5365"/>
      <c r="L84" s="5365"/>
      <c r="M84" s="5365"/>
      <c r="N84" s="5365"/>
      <c r="O84" s="5365"/>
      <c r="P84" s="5365"/>
    </row>
    <row r="85" spans="1:16">
      <c r="A85" s="5365"/>
      <c r="B85" s="5365"/>
      <c r="C85" s="5365"/>
      <c r="D85" s="5365"/>
      <c r="E85" s="5365"/>
      <c r="F85" s="5365"/>
      <c r="G85" s="5365"/>
      <c r="H85" s="5365"/>
      <c r="I85" s="5365"/>
      <c r="J85" s="5365"/>
      <c r="K85" s="5365"/>
      <c r="L85" s="5365"/>
      <c r="M85" s="5365"/>
      <c r="N85" s="5365"/>
      <c r="O85" s="5365"/>
      <c r="P85" s="5365"/>
    </row>
    <row r="86" spans="1:16">
      <c r="A86" s="5365"/>
      <c r="B86" s="5365"/>
      <c r="C86" s="5365"/>
      <c r="D86" s="5365"/>
      <c r="E86" s="5365"/>
      <c r="F86" s="5365"/>
      <c r="G86" s="5365"/>
      <c r="H86" s="5365"/>
      <c r="I86" s="5365"/>
      <c r="J86" s="5365"/>
      <c r="K86" s="5365"/>
      <c r="L86" s="5365"/>
      <c r="M86" s="5365"/>
      <c r="N86" s="5365"/>
      <c r="O86" s="5365"/>
      <c r="P86" s="5365"/>
    </row>
    <row r="87" ht="15.75" customHeight="1" spans="1:16">
      <c r="A87" s="5420"/>
      <c r="B87" s="5420" t="s">
        <v>62</v>
      </c>
      <c r="C87" s="5421" t="s">
        <v>16</v>
      </c>
      <c r="D87" s="5421" t="s">
        <v>17</v>
      </c>
      <c r="E87" s="5421" t="s">
        <v>25</v>
      </c>
      <c r="F87" s="5383"/>
      <c r="G87" s="5383"/>
      <c r="H87" s="5383"/>
      <c r="I87" s="5383"/>
      <c r="J87" s="5365"/>
      <c r="K87" s="5365"/>
      <c r="L87" s="5365"/>
      <c r="M87" s="5365"/>
      <c r="N87" s="5365"/>
      <c r="O87" s="5365"/>
      <c r="P87" s="5365"/>
    </row>
    <row r="88" s="491" customFormat="1" ht="15" spans="1:16">
      <c r="B88" s="491" t="s">
        <v>67</v>
      </c>
      <c r="C88" s="5453" t="e">
        <f>#REF!</f>
        <v>#REF!</v>
      </c>
      <c r="D88" s="5453" t="e">
        <f>#REF!</f>
        <v>#REF!</v>
      </c>
      <c r="E88" s="503" t="str">
        <f t="shared" ref="E88:E123" si="11">IFERROR(INDEX($A$71:$A$76,MATCH(C88,$C$71:$C$76,0)),"-")</f>
        <v>-</v>
      </c>
      <c r="F88" s="5454"/>
      <c r="G88" s="5454"/>
      <c r="H88" s="5454"/>
      <c r="I88" s="5454"/>
      <c r="J88" s="5454"/>
      <c r="K88" s="5454"/>
      <c r="L88" s="5454"/>
      <c r="M88" s="5454"/>
      <c r="N88" s="5454"/>
      <c r="O88" s="5454"/>
      <c r="P88" s="5454"/>
    </row>
    <row r="89" s="491" customFormat="1" ht="15" spans="1:16">
      <c r="B89" s="491" t="s">
        <v>68</v>
      </c>
      <c r="C89" s="5453" t="e">
        <f>#REF!</f>
        <v>#REF!</v>
      </c>
      <c r="D89" s="5453" t="e">
        <f>#REF!</f>
        <v>#REF!</v>
      </c>
      <c r="E89" s="503" t="str">
        <f t="shared" si="11"/>
        <v>-</v>
      </c>
      <c r="F89" s="5454"/>
      <c r="G89" s="5454"/>
      <c r="H89" s="5454"/>
      <c r="I89" s="5454"/>
      <c r="J89" s="5454"/>
      <c r="K89" s="5454"/>
      <c r="L89" s="5454"/>
      <c r="M89" s="5454"/>
      <c r="N89" s="5454"/>
      <c r="O89" s="5454"/>
      <c r="P89" s="5454"/>
    </row>
    <row r="90" s="491" customFormat="1" ht="15" spans="1:16">
      <c r="B90" s="491" t="s">
        <v>69</v>
      </c>
      <c r="C90" s="5453" t="e">
        <f>#REF!</f>
        <v>#REF!</v>
      </c>
      <c r="D90" s="5453" t="e">
        <f>#REF!</f>
        <v>#REF!</v>
      </c>
      <c r="E90" s="503" t="str">
        <f t="shared" si="11"/>
        <v>-</v>
      </c>
      <c r="F90" s="5454"/>
      <c r="G90" s="5454"/>
      <c r="H90" s="5454"/>
      <c r="I90" s="5454"/>
      <c r="J90" s="5454"/>
      <c r="K90" s="5454"/>
      <c r="L90" s="5454"/>
      <c r="M90" s="5454"/>
      <c r="N90" s="5454"/>
      <c r="O90" s="5454"/>
      <c r="P90" s="5454"/>
    </row>
    <row r="91" s="491" customFormat="1" ht="15" spans="1:16">
      <c r="B91" s="491" t="s">
        <v>70</v>
      </c>
      <c r="C91" s="5453" t="e">
        <f>#REF!</f>
        <v>#REF!</v>
      </c>
      <c r="D91" s="5453" t="e">
        <f>#REF!</f>
        <v>#REF!</v>
      </c>
      <c r="E91" s="503" t="str">
        <f t="shared" si="11"/>
        <v>-</v>
      </c>
      <c r="F91" s="5454"/>
      <c r="G91" s="5454"/>
      <c r="H91" s="5454"/>
      <c r="I91" s="5454"/>
      <c r="J91" s="5454"/>
      <c r="K91" s="5454"/>
      <c r="L91" s="5454"/>
      <c r="M91" s="5454"/>
      <c r="N91" s="5454"/>
      <c r="O91" s="5454"/>
      <c r="P91" s="5454"/>
    </row>
    <row r="92" s="491" customFormat="1" ht="15" spans="1:16">
      <c r="B92" s="491" t="s">
        <v>71</v>
      </c>
      <c r="C92" s="5453" t="e">
        <f>#REF!</f>
        <v>#REF!</v>
      </c>
      <c r="D92" s="5453" t="e">
        <f>#REF!</f>
        <v>#REF!</v>
      </c>
      <c r="E92" s="503" t="str">
        <f t="shared" si="11"/>
        <v>-</v>
      </c>
      <c r="F92" s="5454"/>
      <c r="G92" s="5454"/>
      <c r="H92" s="5454"/>
      <c r="I92" s="5454"/>
      <c r="J92" s="5454"/>
      <c r="K92" s="5454"/>
      <c r="L92" s="5454"/>
      <c r="M92" s="5454"/>
      <c r="N92" s="5454"/>
      <c r="O92" s="5454"/>
      <c r="P92" s="5454"/>
    </row>
    <row r="93" s="491" customFormat="1" ht="15" spans="1:16">
      <c r="B93" s="491" t="s">
        <v>72</v>
      </c>
      <c r="C93" s="5453" t="e">
        <f>#REF!</f>
        <v>#REF!</v>
      </c>
      <c r="D93" s="5453" t="e">
        <f>#REF!</f>
        <v>#REF!</v>
      </c>
      <c r="E93" s="503" t="str">
        <f t="shared" si="11"/>
        <v>-</v>
      </c>
      <c r="F93" s="5454"/>
      <c r="G93" s="5454"/>
      <c r="H93" s="5454"/>
      <c r="I93" s="5454"/>
      <c r="J93" s="5454"/>
      <c r="K93" s="5454"/>
      <c r="L93" s="5454"/>
      <c r="M93" s="5454"/>
      <c r="N93" s="5454"/>
      <c r="O93" s="5454"/>
      <c r="P93" s="5454"/>
    </row>
    <row r="94" s="491" customFormat="1" ht="15" spans="1:16">
      <c r="B94" s="491" t="s">
        <v>73</v>
      </c>
      <c r="C94" s="5453" t="e">
        <f>#REF!</f>
        <v>#REF!</v>
      </c>
      <c r="D94" s="5453" t="e">
        <f>#REF!</f>
        <v>#REF!</v>
      </c>
      <c r="E94" s="503" t="str">
        <f t="shared" si="11"/>
        <v>-</v>
      </c>
      <c r="F94" s="5454"/>
      <c r="G94" s="5454"/>
      <c r="H94" s="5454"/>
      <c r="I94" s="5454"/>
      <c r="J94" s="5454"/>
      <c r="K94" s="5454"/>
      <c r="L94" s="5454"/>
      <c r="M94" s="5454"/>
      <c r="N94" s="5454"/>
      <c r="O94" s="5454"/>
      <c r="P94" s="5454"/>
    </row>
    <row r="95" s="491" customFormat="1" ht="15" spans="1:16">
      <c r="B95" s="491" t="s">
        <v>74</v>
      </c>
      <c r="C95" s="5453" t="e">
        <f>#REF!</f>
        <v>#REF!</v>
      </c>
      <c r="D95" s="5453" t="e">
        <f>#REF!</f>
        <v>#REF!</v>
      </c>
      <c r="E95" s="503" t="str">
        <f t="shared" si="11"/>
        <v>-</v>
      </c>
      <c r="F95" s="5454"/>
      <c r="G95" s="5454"/>
      <c r="H95" s="5454"/>
      <c r="I95" s="5454"/>
      <c r="J95" s="5454"/>
      <c r="K95" s="5454"/>
      <c r="L95" s="5454"/>
      <c r="M95" s="5454"/>
      <c r="N95" s="5454"/>
      <c r="O95" s="5454"/>
      <c r="P95" s="5454"/>
    </row>
    <row r="96" s="491" customFormat="1" ht="15" spans="1:16">
      <c r="B96" s="491" t="s">
        <v>75</v>
      </c>
      <c r="C96" s="5453" t="e">
        <f>#REF!</f>
        <v>#REF!</v>
      </c>
      <c r="D96" s="5453" t="e">
        <f>#REF!</f>
        <v>#REF!</v>
      </c>
      <c r="E96" s="503" t="str">
        <f t="shared" si="11"/>
        <v>-</v>
      </c>
      <c r="F96" s="5454"/>
      <c r="G96" s="5454"/>
      <c r="H96" s="5454"/>
      <c r="I96" s="5454"/>
      <c r="J96" s="5454"/>
      <c r="K96" s="5454"/>
      <c r="L96" s="5454"/>
      <c r="M96" s="5454"/>
      <c r="N96" s="5454"/>
      <c r="O96" s="5454"/>
      <c r="P96" s="5454"/>
    </row>
    <row r="97" s="491" customFormat="1" ht="15" spans="2:16">
      <c r="B97" s="491" t="s">
        <v>76</v>
      </c>
      <c r="C97" s="5453" t="e">
        <f>#REF!</f>
        <v>#REF!</v>
      </c>
      <c r="D97" s="5453" t="e">
        <f>#REF!</f>
        <v>#REF!</v>
      </c>
      <c r="E97" s="503" t="str">
        <f t="shared" si="11"/>
        <v>-</v>
      </c>
      <c r="F97" s="5454"/>
      <c r="G97" s="5454"/>
      <c r="H97" s="5454"/>
      <c r="I97" s="5454"/>
      <c r="J97" s="5454"/>
      <c r="K97" s="5454"/>
      <c r="L97" s="5454"/>
      <c r="M97" s="5454"/>
      <c r="N97" s="5454"/>
      <c r="O97" s="5454"/>
      <c r="P97" s="5454"/>
    </row>
    <row r="98" s="491" customFormat="1" ht="15" spans="2:16">
      <c r="B98" s="491" t="s">
        <v>77</v>
      </c>
      <c r="C98" s="5453" t="e">
        <f>#REF!</f>
        <v>#REF!</v>
      </c>
      <c r="D98" s="5453" t="e">
        <f>#REF!</f>
        <v>#REF!</v>
      </c>
      <c r="E98" s="503" t="str">
        <f t="shared" si="11"/>
        <v>-</v>
      </c>
      <c r="F98" s="5454"/>
      <c r="G98" s="5454"/>
      <c r="H98" s="5454"/>
      <c r="I98" s="5454"/>
      <c r="J98" s="5454"/>
      <c r="K98" s="5454"/>
      <c r="L98" s="5454"/>
      <c r="M98" s="5454"/>
      <c r="N98" s="5454"/>
      <c r="O98" s="5454"/>
      <c r="P98" s="5454"/>
    </row>
    <row r="99" s="491" customFormat="1" ht="15" spans="2:16">
      <c r="B99" s="491" t="s">
        <v>78</v>
      </c>
      <c r="C99" s="5453" t="e">
        <f>#REF!</f>
        <v>#REF!</v>
      </c>
      <c r="D99" s="5453" t="e">
        <f>#REF!</f>
        <v>#REF!</v>
      </c>
      <c r="E99" s="503" t="str">
        <f t="shared" si="11"/>
        <v>-</v>
      </c>
      <c r="F99" s="5454"/>
      <c r="G99" s="5454"/>
      <c r="H99" s="5454"/>
      <c r="I99" s="5454"/>
      <c r="J99" s="5454"/>
      <c r="K99" s="5454"/>
      <c r="L99" s="5454"/>
      <c r="M99" s="5454"/>
      <c r="N99" s="5454"/>
      <c r="O99" s="5454"/>
      <c r="P99" s="5454"/>
    </row>
    <row r="100" s="491" customFormat="1" ht="15" spans="2:16">
      <c r="B100" s="491" t="s">
        <v>79</v>
      </c>
      <c r="C100" s="5453" t="e">
        <f>#REF!</f>
        <v>#REF!</v>
      </c>
      <c r="D100" s="5453" t="e">
        <f>#REF!</f>
        <v>#REF!</v>
      </c>
      <c r="E100" s="503" t="str">
        <f t="shared" si="11"/>
        <v>-</v>
      </c>
      <c r="F100" s="5454"/>
      <c r="G100" s="5454"/>
      <c r="H100" s="5454"/>
      <c r="I100" s="5454"/>
      <c r="J100" s="5454"/>
      <c r="K100" s="5454"/>
      <c r="L100" s="5454"/>
      <c r="M100" s="5454"/>
      <c r="N100" s="5454"/>
      <c r="O100" s="5454"/>
      <c r="P100" s="5454"/>
    </row>
    <row r="101" s="491" customFormat="1" ht="15" spans="2:16">
      <c r="B101" s="491" t="s">
        <v>80</v>
      </c>
      <c r="C101" s="5453" t="e">
        <f>#REF!</f>
        <v>#REF!</v>
      </c>
      <c r="D101" s="5453" t="e">
        <f>#REF!</f>
        <v>#REF!</v>
      </c>
      <c r="E101" s="503" t="str">
        <f t="shared" si="11"/>
        <v>-</v>
      </c>
      <c r="F101" s="5454"/>
      <c r="G101" s="5454"/>
      <c r="H101" s="5454"/>
      <c r="I101" s="5454"/>
      <c r="J101" s="5454"/>
      <c r="K101" s="5454"/>
      <c r="L101" s="5454"/>
      <c r="M101" s="5454"/>
      <c r="N101" s="5454"/>
      <c r="O101" s="5454"/>
      <c r="P101" s="5454"/>
    </row>
    <row r="102" s="491" customFormat="1" ht="15" spans="2:16">
      <c r="B102" s="491" t="s">
        <v>81</v>
      </c>
      <c r="C102" s="5453" t="e">
        <f>#REF!</f>
        <v>#REF!</v>
      </c>
      <c r="D102" s="5453" t="e">
        <f>#REF!</f>
        <v>#REF!</v>
      </c>
      <c r="E102" s="503" t="str">
        <f t="shared" si="11"/>
        <v>-</v>
      </c>
      <c r="F102" s="5454"/>
      <c r="G102" s="5454"/>
      <c r="H102" s="5454"/>
      <c r="I102" s="5454"/>
      <c r="J102" s="5454"/>
      <c r="K102" s="5454"/>
      <c r="L102" s="5454"/>
      <c r="M102" s="5454"/>
      <c r="N102" s="5454"/>
      <c r="O102" s="5454"/>
      <c r="P102" s="5454"/>
    </row>
    <row r="103" s="491" customFormat="1" ht="15" spans="2:16">
      <c r="B103" s="491" t="s">
        <v>82</v>
      </c>
      <c r="C103" s="5453" t="e">
        <f>#REF!</f>
        <v>#REF!</v>
      </c>
      <c r="D103" s="5453" t="e">
        <f>#REF!</f>
        <v>#REF!</v>
      </c>
      <c r="E103" s="503" t="str">
        <f t="shared" si="11"/>
        <v>-</v>
      </c>
      <c r="F103" s="5454"/>
      <c r="G103" s="5454"/>
      <c r="H103" s="5454"/>
      <c r="I103" s="5454"/>
      <c r="J103" s="5454"/>
      <c r="K103" s="5454"/>
      <c r="L103" s="5454"/>
      <c r="M103" s="5454"/>
      <c r="N103" s="5454"/>
      <c r="O103" s="5454"/>
      <c r="P103" s="5454"/>
    </row>
    <row r="104" s="491" customFormat="1" ht="15" spans="2:16">
      <c r="B104" s="491" t="s">
        <v>83</v>
      </c>
      <c r="C104" s="5453" t="e">
        <f>#REF!</f>
        <v>#REF!</v>
      </c>
      <c r="D104" s="5453" t="e">
        <f>#REF!</f>
        <v>#REF!</v>
      </c>
      <c r="E104" s="503" t="str">
        <f t="shared" si="11"/>
        <v>-</v>
      </c>
      <c r="F104" s="5454"/>
      <c r="G104" s="5454"/>
      <c r="H104" s="5454"/>
      <c r="I104" s="5454"/>
      <c r="J104" s="5454"/>
      <c r="K104" s="5454"/>
      <c r="L104" s="5454"/>
      <c r="M104" s="5454"/>
      <c r="N104" s="5454"/>
      <c r="O104" s="5454"/>
      <c r="P104" s="5454"/>
    </row>
    <row r="105" s="491" customFormat="1" ht="15" spans="2:16">
      <c r="B105" s="491" t="s">
        <v>84</v>
      </c>
      <c r="C105" s="5453" t="e">
        <f>#REF!</f>
        <v>#REF!</v>
      </c>
      <c r="D105" s="5453" t="e">
        <f>#REF!</f>
        <v>#REF!</v>
      </c>
      <c r="E105" s="503" t="str">
        <f t="shared" si="11"/>
        <v>-</v>
      </c>
      <c r="F105" s="5454"/>
      <c r="G105" s="5454"/>
      <c r="H105" s="5454"/>
      <c r="I105" s="5454"/>
      <c r="J105" s="5454"/>
      <c r="K105" s="5454"/>
      <c r="L105" s="5454"/>
      <c r="M105" s="5454"/>
      <c r="N105" s="5454"/>
      <c r="O105" s="5454"/>
      <c r="P105" s="5454"/>
    </row>
    <row r="106" s="491" customFormat="1" ht="15" spans="2:16">
      <c r="B106" s="491" t="s">
        <v>85</v>
      </c>
      <c r="C106" s="5453" t="e">
        <f>#REF!</f>
        <v>#REF!</v>
      </c>
      <c r="D106" s="5453" t="e">
        <f>#REF!</f>
        <v>#REF!</v>
      </c>
      <c r="E106" s="503" t="str">
        <f t="shared" si="11"/>
        <v>-</v>
      </c>
      <c r="F106" s="5454"/>
      <c r="G106" s="5454"/>
      <c r="H106" s="5454"/>
      <c r="I106" s="5454"/>
      <c r="J106" s="5454"/>
      <c r="K106" s="5454"/>
      <c r="L106" s="5454"/>
      <c r="M106" s="5454"/>
      <c r="N106" s="5454"/>
      <c r="O106" s="5454"/>
      <c r="P106" s="5454"/>
    </row>
    <row r="107" s="491" customFormat="1" ht="15" spans="2:16">
      <c r="B107" s="491" t="s">
        <v>86</v>
      </c>
      <c r="C107" s="5453" t="e">
        <f>#REF!</f>
        <v>#REF!</v>
      </c>
      <c r="D107" s="5453" t="e">
        <f>#REF!</f>
        <v>#REF!</v>
      </c>
      <c r="E107" s="503" t="str">
        <f t="shared" si="11"/>
        <v>-</v>
      </c>
      <c r="F107" s="5454"/>
      <c r="G107" s="5454"/>
      <c r="H107" s="5454"/>
      <c r="I107" s="5454"/>
      <c r="J107" s="5454"/>
      <c r="K107" s="5454"/>
      <c r="L107" s="5454"/>
      <c r="M107" s="5454"/>
      <c r="N107" s="5454"/>
      <c r="O107" s="5454"/>
      <c r="P107" s="5454"/>
    </row>
    <row r="108" s="491" customFormat="1" ht="15" spans="2:16">
      <c r="B108" s="491" t="s">
        <v>87</v>
      </c>
      <c r="C108" s="5453" t="e">
        <f>#REF!</f>
        <v>#REF!</v>
      </c>
      <c r="D108" s="5453" t="e">
        <f>#REF!</f>
        <v>#REF!</v>
      </c>
      <c r="E108" s="503" t="str">
        <f t="shared" si="11"/>
        <v>-</v>
      </c>
      <c r="F108" s="5454"/>
      <c r="G108" s="5454"/>
      <c r="H108" s="5454"/>
      <c r="I108" s="5454"/>
      <c r="J108" s="5454"/>
      <c r="K108" s="5454"/>
      <c r="L108" s="5454"/>
      <c r="M108" s="5454"/>
      <c r="N108" s="5454"/>
      <c r="O108" s="5454"/>
      <c r="P108" s="5454"/>
    </row>
    <row r="109" s="491" customFormat="1" ht="15" spans="2:16">
      <c r="B109" s="491" t="s">
        <v>88</v>
      </c>
      <c r="C109" s="5453" t="e">
        <f>#REF!</f>
        <v>#REF!</v>
      </c>
      <c r="D109" s="5453" t="e">
        <f>#REF!</f>
        <v>#REF!</v>
      </c>
      <c r="E109" s="503" t="str">
        <f t="shared" si="11"/>
        <v>-</v>
      </c>
      <c r="F109" s="5454"/>
      <c r="G109" s="5454"/>
      <c r="H109" s="5454"/>
      <c r="I109" s="5454"/>
      <c r="J109" s="5454"/>
      <c r="K109" s="5454"/>
      <c r="L109" s="5454"/>
      <c r="M109" s="5454"/>
      <c r="N109" s="5454"/>
      <c r="O109" s="5454"/>
      <c r="P109" s="5454"/>
    </row>
    <row r="110" s="491" customFormat="1" ht="15" spans="2:16">
      <c r="B110" s="491" t="s">
        <v>89</v>
      </c>
      <c r="C110" s="5453" t="e">
        <f>#REF!</f>
        <v>#REF!</v>
      </c>
      <c r="D110" s="5453" t="e">
        <f>#REF!</f>
        <v>#REF!</v>
      </c>
      <c r="E110" s="503" t="str">
        <f t="shared" si="11"/>
        <v>-</v>
      </c>
      <c r="F110" s="5454"/>
      <c r="G110" s="5454"/>
      <c r="H110" s="5454"/>
      <c r="I110" s="5454"/>
      <c r="J110" s="5454"/>
      <c r="K110" s="5454"/>
      <c r="L110" s="5454"/>
      <c r="M110" s="5454"/>
      <c r="N110" s="5454"/>
      <c r="O110" s="5454"/>
      <c r="P110" s="5454"/>
    </row>
    <row r="111" s="491" customFormat="1" ht="15" spans="2:16">
      <c r="B111" s="491" t="s">
        <v>90</v>
      </c>
      <c r="C111" s="5453" t="e">
        <f>#REF!</f>
        <v>#REF!</v>
      </c>
      <c r="D111" s="5453" t="e">
        <f>#REF!</f>
        <v>#REF!</v>
      </c>
      <c r="E111" s="503" t="str">
        <f t="shared" si="11"/>
        <v>-</v>
      </c>
      <c r="F111" s="5454"/>
      <c r="G111" s="5454"/>
      <c r="H111" s="5454"/>
      <c r="I111" s="5454"/>
      <c r="J111" s="5454"/>
      <c r="K111" s="5454"/>
      <c r="L111" s="5454"/>
      <c r="M111" s="5454"/>
      <c r="N111" s="5454"/>
      <c r="O111" s="5454"/>
      <c r="P111" s="5454"/>
    </row>
    <row r="112" s="491" customFormat="1" ht="15" spans="2:16">
      <c r="B112" s="491" t="s">
        <v>91</v>
      </c>
      <c r="C112" s="5453" t="e">
        <f>#REF!</f>
        <v>#REF!</v>
      </c>
      <c r="D112" s="5453" t="e">
        <f>#REF!</f>
        <v>#REF!</v>
      </c>
      <c r="E112" s="503" t="str">
        <f t="shared" si="11"/>
        <v>-</v>
      </c>
      <c r="F112" s="5454"/>
      <c r="G112" s="5454"/>
      <c r="H112" s="5454"/>
      <c r="I112" s="5454"/>
      <c r="J112" s="5454"/>
      <c r="K112" s="5454"/>
      <c r="L112" s="5454"/>
      <c r="M112" s="5454"/>
      <c r="N112" s="5454"/>
      <c r="O112" s="5454"/>
      <c r="P112" s="5454"/>
    </row>
    <row r="113" s="491" customFormat="1" ht="15" spans="1:16">
      <c r="B113" s="491" t="s">
        <v>92</v>
      </c>
      <c r="C113" s="5453" t="e">
        <f>#REF!</f>
        <v>#REF!</v>
      </c>
      <c r="D113" s="5453" t="e">
        <f>#REF!</f>
        <v>#REF!</v>
      </c>
      <c r="E113" s="503" t="str">
        <f t="shared" si="11"/>
        <v>-</v>
      </c>
      <c r="F113" s="5454"/>
      <c r="G113" s="5454"/>
      <c r="H113" s="5454"/>
      <c r="I113" s="5454"/>
      <c r="J113" s="5454"/>
      <c r="K113" s="5454"/>
      <c r="L113" s="5454"/>
      <c r="M113" s="5454"/>
      <c r="N113" s="5454"/>
      <c r="O113" s="5454"/>
      <c r="P113" s="5454"/>
    </row>
    <row r="114" s="491" customFormat="1" ht="15" spans="1:16">
      <c r="B114" s="491" t="s">
        <v>93</v>
      </c>
      <c r="C114" s="5453" t="e">
        <f>#REF!</f>
        <v>#REF!</v>
      </c>
      <c r="D114" s="5453" t="e">
        <f>#REF!</f>
        <v>#REF!</v>
      </c>
      <c r="E114" s="503" t="str">
        <f t="shared" si="11"/>
        <v>-</v>
      </c>
      <c r="F114" s="5454"/>
      <c r="G114" s="5454"/>
      <c r="H114" s="5454"/>
      <c r="I114" s="5454"/>
      <c r="J114" s="5454"/>
      <c r="K114" s="5454"/>
      <c r="L114" s="5454"/>
      <c r="M114" s="5454"/>
      <c r="N114" s="5454"/>
      <c r="O114" s="5454"/>
      <c r="P114" s="5454"/>
    </row>
    <row r="115" s="491" customFormat="1" ht="15" spans="1:16">
      <c r="B115" s="491" t="s">
        <v>94</v>
      </c>
      <c r="C115" s="5453" t="e">
        <f>#REF!</f>
        <v>#REF!</v>
      </c>
      <c r="D115" s="5453" t="e">
        <f>#REF!</f>
        <v>#REF!</v>
      </c>
      <c r="E115" s="503" t="str">
        <f t="shared" si="11"/>
        <v>-</v>
      </c>
      <c r="F115" s="5454"/>
      <c r="G115" s="5454"/>
      <c r="H115" s="5454"/>
      <c r="I115" s="5454"/>
      <c r="J115" s="5454"/>
      <c r="K115" s="5454"/>
      <c r="L115" s="5454"/>
      <c r="M115" s="5454"/>
      <c r="N115" s="5454"/>
      <c r="O115" s="5454"/>
      <c r="P115" s="5454"/>
    </row>
    <row r="116" s="491" customFormat="1" ht="15" spans="1:16">
      <c r="B116" s="491" t="s">
        <v>95</v>
      </c>
      <c r="C116" s="5453" t="e">
        <f>#REF!</f>
        <v>#REF!</v>
      </c>
      <c r="D116" s="5453" t="e">
        <f>#REF!</f>
        <v>#REF!</v>
      </c>
      <c r="E116" s="503" t="str">
        <f t="shared" si="11"/>
        <v>-</v>
      </c>
      <c r="F116" s="5454"/>
      <c r="G116" s="5454"/>
      <c r="H116" s="5454"/>
      <c r="I116" s="5454"/>
      <c r="J116" s="5454"/>
      <c r="K116" s="5454"/>
      <c r="L116" s="5454"/>
      <c r="M116" s="5454"/>
      <c r="N116" s="5454"/>
      <c r="O116" s="5454"/>
      <c r="P116" s="5454"/>
    </row>
    <row r="117" s="491" customFormat="1" ht="15" spans="1:16">
      <c r="B117" s="491" t="s">
        <v>96</v>
      </c>
      <c r="C117" s="5453" t="e">
        <f>#REF!</f>
        <v>#REF!</v>
      </c>
      <c r="D117" s="5453" t="e">
        <f>#REF!</f>
        <v>#REF!</v>
      </c>
      <c r="E117" s="503" t="str">
        <f t="shared" si="11"/>
        <v>-</v>
      </c>
      <c r="F117" s="5454"/>
      <c r="G117" s="5454"/>
      <c r="H117" s="5454"/>
      <c r="I117" s="5454"/>
      <c r="J117" s="5454"/>
      <c r="K117" s="5454"/>
      <c r="L117" s="5454"/>
      <c r="M117" s="5454"/>
      <c r="N117" s="5454"/>
      <c r="O117" s="5454"/>
      <c r="P117" s="5454"/>
    </row>
    <row r="118" s="491" customFormat="1" ht="15" spans="1:16">
      <c r="B118" s="491" t="s">
        <v>97</v>
      </c>
      <c r="C118" s="5453" t="e">
        <f>#REF!</f>
        <v>#REF!</v>
      </c>
      <c r="D118" s="5453" t="e">
        <f>#REF!</f>
        <v>#REF!</v>
      </c>
      <c r="E118" s="503" t="str">
        <f t="shared" si="11"/>
        <v>-</v>
      </c>
      <c r="F118" s="5454"/>
      <c r="G118" s="5454"/>
      <c r="H118" s="5454"/>
      <c r="I118" s="5454"/>
      <c r="J118" s="5454"/>
      <c r="K118" s="5454"/>
      <c r="L118" s="5454"/>
      <c r="M118" s="5454"/>
      <c r="N118" s="5454"/>
      <c r="O118" s="5454"/>
      <c r="P118" s="5454"/>
    </row>
    <row r="119" s="491" customFormat="1" ht="15" spans="1:16">
      <c r="B119" s="491" t="s">
        <v>98</v>
      </c>
      <c r="C119" s="5453" t="e">
        <f>#REF!</f>
        <v>#REF!</v>
      </c>
      <c r="D119" s="5453" t="e">
        <f>#REF!</f>
        <v>#REF!</v>
      </c>
      <c r="E119" s="503" t="str">
        <f t="shared" si="11"/>
        <v>-</v>
      </c>
      <c r="F119" s="5454"/>
      <c r="G119" s="5454"/>
      <c r="H119" s="5454"/>
      <c r="I119" s="5454"/>
      <c r="J119" s="5454"/>
      <c r="K119" s="5454"/>
      <c r="L119" s="5454"/>
      <c r="M119" s="5454"/>
      <c r="N119" s="5454"/>
      <c r="O119" s="5454"/>
      <c r="P119" s="5454"/>
    </row>
    <row r="120" s="491" customFormat="1" ht="15" spans="1:16">
      <c r="B120" s="491" t="s">
        <v>99</v>
      </c>
      <c r="C120" s="5453" t="e">
        <f>#REF!</f>
        <v>#REF!</v>
      </c>
      <c r="D120" s="5453" t="e">
        <f>#REF!</f>
        <v>#REF!</v>
      </c>
      <c r="E120" s="503" t="str">
        <f t="shared" si="11"/>
        <v>-</v>
      </c>
      <c r="F120" s="5454"/>
      <c r="G120" s="5454"/>
      <c r="H120" s="5454"/>
      <c r="I120" s="5454"/>
      <c r="J120" s="5454"/>
      <c r="K120" s="5454"/>
      <c r="L120" s="5454"/>
      <c r="M120" s="5454"/>
      <c r="N120" s="5454"/>
      <c r="O120" s="5454"/>
      <c r="P120" s="5454"/>
    </row>
    <row r="121" s="491" customFormat="1" ht="15" spans="1:16">
      <c r="B121" s="491" t="s">
        <v>100</v>
      </c>
      <c r="C121" s="5453" t="e">
        <f>#REF!</f>
        <v>#REF!</v>
      </c>
      <c r="D121" s="5453" t="e">
        <f>#REF!</f>
        <v>#REF!</v>
      </c>
      <c r="E121" s="503" t="str">
        <f t="shared" si="11"/>
        <v>-</v>
      </c>
      <c r="F121" s="5454"/>
      <c r="G121" s="5454"/>
      <c r="H121" s="5454"/>
      <c r="I121" s="5454"/>
      <c r="J121" s="5454"/>
      <c r="K121" s="5454"/>
      <c r="L121" s="5454"/>
      <c r="M121" s="5454"/>
      <c r="N121" s="5454"/>
      <c r="O121" s="5454"/>
      <c r="P121" s="5454"/>
    </row>
    <row r="122" s="491" customFormat="1" ht="15" spans="1:16">
      <c r="B122" s="491" t="s">
        <v>101</v>
      </c>
      <c r="C122" s="5453" t="e">
        <f>#REF!</f>
        <v>#REF!</v>
      </c>
      <c r="D122" s="5453" t="e">
        <f>#REF!</f>
        <v>#REF!</v>
      </c>
      <c r="E122" s="503" t="str">
        <f t="shared" si="11"/>
        <v>-</v>
      </c>
      <c r="F122" s="5454"/>
      <c r="G122" s="5454"/>
      <c r="H122" s="5454"/>
      <c r="I122" s="5454"/>
      <c r="J122" s="5454"/>
      <c r="K122" s="5454"/>
      <c r="L122" s="5454"/>
      <c r="M122" s="5454"/>
      <c r="N122" s="5454"/>
      <c r="O122" s="5454"/>
      <c r="P122" s="5454"/>
    </row>
    <row r="123" s="491" customFormat="1" ht="15" spans="1:16">
      <c r="B123" s="491" t="s">
        <v>102</v>
      </c>
      <c r="C123" s="5453" t="e">
        <f>#REF!</f>
        <v>#REF!</v>
      </c>
      <c r="D123" s="5453" t="e">
        <f>#REF!</f>
        <v>#REF!</v>
      </c>
      <c r="E123" s="503" t="str">
        <f t="shared" si="11"/>
        <v>-</v>
      </c>
      <c r="F123" s="5454"/>
      <c r="G123" s="5454"/>
      <c r="H123" s="5454"/>
      <c r="I123" s="5454"/>
      <c r="J123" s="5454"/>
      <c r="K123" s="5454"/>
      <c r="L123" s="5454"/>
      <c r="M123" s="5454"/>
      <c r="N123" s="5454"/>
      <c r="O123" s="5454"/>
      <c r="P123" s="5454"/>
    </row>
    <row r="124" spans="1:16">
      <c r="A124" s="5365"/>
      <c r="B124" s="5365"/>
      <c r="C124" s="5365"/>
      <c r="D124" s="5365"/>
      <c r="E124" s="5365"/>
      <c r="F124" s="5365"/>
      <c r="G124" s="5365"/>
      <c r="H124" s="5365"/>
      <c r="I124" s="5365"/>
      <c r="J124" s="5365"/>
      <c r="K124" s="5365"/>
      <c r="L124" s="5365"/>
      <c r="M124" s="5365"/>
      <c r="N124" s="5365"/>
      <c r="O124" s="5365"/>
      <c r="P124" s="5365"/>
    </row>
    <row r="125" spans="1:16">
      <c r="A125" s="5365"/>
      <c r="B125" s="5365"/>
      <c r="C125" s="5365"/>
      <c r="D125" s="5365"/>
      <c r="E125" s="5365"/>
      <c r="F125" s="5365"/>
      <c r="G125" s="5365"/>
      <c r="H125" s="5365"/>
      <c r="I125" s="5365"/>
      <c r="J125" s="5365"/>
      <c r="K125" s="5365"/>
      <c r="L125" s="5365"/>
      <c r="M125" s="5365"/>
      <c r="N125" s="5365"/>
      <c r="O125" s="5365"/>
      <c r="P125" s="5365"/>
    </row>
    <row r="126" spans="1:16">
      <c r="A126" s="5365"/>
      <c r="B126" s="5365"/>
      <c r="C126" s="5365"/>
      <c r="D126" s="5365"/>
      <c r="E126" s="5365"/>
      <c r="F126" s="5365"/>
      <c r="G126" s="5365"/>
      <c r="H126" s="5365"/>
      <c r="I126" s="5365"/>
      <c r="J126" s="5365"/>
      <c r="K126" s="5365"/>
      <c r="L126" s="5365"/>
      <c r="M126" s="5365"/>
      <c r="N126" s="5365"/>
      <c r="O126" s="5365"/>
      <c r="P126" s="5365"/>
    </row>
    <row r="127" ht="17.25" customHeight="1" spans="1:16">
      <c r="A127" s="5420"/>
      <c r="B127" s="5420" t="s">
        <v>103</v>
      </c>
      <c r="C127" s="5422" t="s">
        <v>104</v>
      </c>
      <c r="D127" s="5422" t="s">
        <v>105</v>
      </c>
      <c r="E127" s="5422" t="s">
        <v>106</v>
      </c>
      <c r="F127" s="5422" t="s">
        <v>107</v>
      </c>
      <c r="G127" s="5421" t="s">
        <v>17</v>
      </c>
      <c r="H127" s="5422" t="s">
        <v>18</v>
      </c>
      <c r="I127" s="5422" t="s">
        <v>19</v>
      </c>
      <c r="J127" s="5422" t="s">
        <v>108</v>
      </c>
      <c r="K127" s="5422" t="s">
        <v>109</v>
      </c>
      <c r="L127" s="5422" t="s">
        <v>110</v>
      </c>
      <c r="M127" s="5365"/>
      <c r="N127" s="5365"/>
      <c r="O127" s="5365"/>
      <c r="P127" s="5365"/>
    </row>
    <row r="128" ht="14.25" customHeight="1" spans="1:16">
      <c r="A128" s="5423" t="e">
        <f>IF(C128=0,"-","2.1.1.")</f>
        <v>#REF!</v>
      </c>
      <c r="B128" s="5455" t="e">
        <f>INDEX($B$172:$B$207,MATCH(C128,$D$172:$D$207,0))</f>
        <v>#REF!</v>
      </c>
      <c r="C128" s="5425" t="e">
        <f>MAX($D$172:$D$187)</f>
        <v>#REF!</v>
      </c>
      <c r="D128" s="5425" t="e">
        <f t="shared" ref="D128:D134" si="12">F128-C128</f>
        <v>#REF!</v>
      </c>
      <c r="E128" s="5456">
        <f>IFERROR(D128/F128,0)</f>
        <v>0</v>
      </c>
      <c r="F128" s="5425" t="e">
        <f>INDEX($C$172:$C$187,MATCH(C128,$D$172:$D$187,0))</f>
        <v>#REF!</v>
      </c>
      <c r="G128" s="5425" t="e">
        <f>INDEX($E$172:$E$187,MATCH(C128,$D$172:$D$187,0))</f>
        <v>#REF!</v>
      </c>
      <c r="H128" s="5425" t="e">
        <f t="shared" ref="H128:H134" si="13">C128-G128</f>
        <v>#REF!</v>
      </c>
      <c r="I128" s="5426" t="e">
        <f t="shared" ref="I128:I134" si="14">IF(H128&lt;0,H128*-1,H128)</f>
        <v>#REF!</v>
      </c>
      <c r="J128" s="5427">
        <f>IFERROR(C128/$C$134,0)</f>
        <v>0</v>
      </c>
      <c r="K128" s="5425" t="e">
        <f>IF(H128&lt;0,"DECREASE","INCREASE")</f>
        <v>#REF!</v>
      </c>
      <c r="L128" s="5365"/>
      <c r="M128" s="5365"/>
      <c r="N128" s="5365"/>
      <c r="O128" s="5365"/>
      <c r="P128" s="5365"/>
    </row>
    <row r="129" ht="14.25" customHeight="1" spans="1:16">
      <c r="A129" s="5428" t="e">
        <f>IF(C129=0,"-","2.1.2.")</f>
        <v>#REF!</v>
      </c>
      <c r="B129" s="5457" t="e">
        <f>INDEX($B$172:$B$207,MATCH(C129,$D$172:$D$207,0))</f>
        <v>#REF!</v>
      </c>
      <c r="C129" s="5430" t="e">
        <f>LARGE($D$172:$D$187,2)</f>
        <v>#REF!</v>
      </c>
      <c r="D129" s="5430" t="e">
        <f t="shared" si="12"/>
        <v>#REF!</v>
      </c>
      <c r="E129" s="5449">
        <f t="shared" ref="E129:E134" si="15">IFERROR(D129/F129,0)</f>
        <v>0</v>
      </c>
      <c r="F129" s="5430" t="e">
        <f>INDEX($C$172:$C$187,MATCH(C129,$D$172:$D$187,0))</f>
        <v>#REF!</v>
      </c>
      <c r="G129" s="5430" t="e">
        <f>INDEX($E$172:$E$187,MATCH(C129,$D$172:$D$187,0))</f>
        <v>#REF!</v>
      </c>
      <c r="H129" s="5430" t="e">
        <f t="shared" si="13"/>
        <v>#REF!</v>
      </c>
      <c r="I129" s="5431" t="e">
        <f t="shared" si="14"/>
        <v>#REF!</v>
      </c>
      <c r="J129" s="5432">
        <f t="shared" ref="J129:J134" si="16">IFERROR(C129/$C$134,0)</f>
        <v>0</v>
      </c>
      <c r="K129" s="5430" t="e">
        <f>IF(H129&lt;0,"DECREASE","INCREASE")</f>
        <v>#REF!</v>
      </c>
      <c r="L129" s="5365"/>
      <c r="M129" s="5365"/>
      <c r="N129" s="5365"/>
      <c r="O129" s="5365"/>
      <c r="P129" s="5365"/>
    </row>
    <row r="130" spans="1:16">
      <c r="A130" s="5458"/>
      <c r="B130" s="5457" t="e">
        <f>INDEX($B$172:$B$207,MATCH(C130,$D$172:$D$207,0))</f>
        <v>#REF!</v>
      </c>
      <c r="C130" s="5430" t="e">
        <f>LARGE($D$172:$D$187,3)</f>
        <v>#REF!</v>
      </c>
      <c r="D130" s="5430" t="e">
        <f t="shared" si="12"/>
        <v>#REF!</v>
      </c>
      <c r="E130" s="5449">
        <f t="shared" si="15"/>
        <v>0</v>
      </c>
      <c r="F130" s="5430" t="e">
        <f>INDEX($C$172:$C$187,MATCH(C130,$D$172:$D$187,0))</f>
        <v>#REF!</v>
      </c>
      <c r="G130" s="5430" t="e">
        <f>INDEX($E$172:$E$187,MATCH(C130,$D$172:$D$187,0))</f>
        <v>#REF!</v>
      </c>
      <c r="H130" s="5430" t="e">
        <f t="shared" si="13"/>
        <v>#REF!</v>
      </c>
      <c r="I130" s="5431" t="e">
        <f t="shared" si="14"/>
        <v>#REF!</v>
      </c>
      <c r="J130" s="5432">
        <f t="shared" si="16"/>
        <v>0</v>
      </c>
      <c r="K130" s="5430" t="e">
        <f>IF(H130&lt;0,"DECREASE","INCREASE")</f>
        <v>#REF!</v>
      </c>
      <c r="L130" s="5365"/>
      <c r="M130" s="5365"/>
      <c r="N130" s="5365"/>
      <c r="O130" s="5365"/>
      <c r="P130" s="5365"/>
    </row>
    <row r="131" spans="1:16">
      <c r="A131" s="5458"/>
      <c r="B131" s="5457" t="e">
        <f>INDEX($B$172:$B$207,MATCH(C131,$D$172:$D$207,0))</f>
        <v>#REF!</v>
      </c>
      <c r="C131" s="5430" t="e">
        <f>LARGE($D$172:$D$187,4)</f>
        <v>#REF!</v>
      </c>
      <c r="D131" s="5430" t="e">
        <f t="shared" si="12"/>
        <v>#REF!</v>
      </c>
      <c r="E131" s="5449">
        <f t="shared" si="15"/>
        <v>0</v>
      </c>
      <c r="F131" s="5430" t="e">
        <f>INDEX($C$172:$C$187,MATCH(C131,$D$172:$D$187,0))</f>
        <v>#REF!</v>
      </c>
      <c r="G131" s="5430" t="e">
        <f>INDEX($E$172:$E$187,MATCH(C131,$D$172:$D$187,0))</f>
        <v>#REF!</v>
      </c>
      <c r="H131" s="5430" t="e">
        <f t="shared" si="13"/>
        <v>#REF!</v>
      </c>
      <c r="I131" s="5431" t="e">
        <f t="shared" si="14"/>
        <v>#REF!</v>
      </c>
      <c r="J131" s="5432">
        <f t="shared" si="16"/>
        <v>0</v>
      </c>
      <c r="K131" s="5430" t="e">
        <f t="shared" ref="K131:K134" si="17">IF(H131&lt;0,"DECREASE","INCREASE")</f>
        <v>#REF!</v>
      </c>
      <c r="L131" s="5365"/>
      <c r="M131" s="5365"/>
      <c r="N131" s="5365"/>
      <c r="O131" s="5365"/>
      <c r="P131" s="5365"/>
    </row>
    <row r="132" spans="1:16">
      <c r="A132" s="5458"/>
      <c r="B132" s="5457" t="e">
        <f>INDEX($B$172:$B$207,MATCH(C132,$D$172:$D$207,0))</f>
        <v>#REF!</v>
      </c>
      <c r="C132" s="5430" t="e">
        <f>LARGE($D$172:$D$187,5)</f>
        <v>#REF!</v>
      </c>
      <c r="D132" s="5430" t="e">
        <f t="shared" si="12"/>
        <v>#REF!</v>
      </c>
      <c r="E132" s="5449">
        <f t="shared" si="15"/>
        <v>0</v>
      </c>
      <c r="F132" s="5430" t="e">
        <f>INDEX($C$172:$C$187,MATCH(C132,$D$172:$D$187,0))</f>
        <v>#REF!</v>
      </c>
      <c r="G132" s="5430" t="e">
        <f>INDEX($E$172:$E$187,MATCH(C132,$D$172:$D$187,0))</f>
        <v>#REF!</v>
      </c>
      <c r="H132" s="5430" t="e">
        <f t="shared" si="13"/>
        <v>#REF!</v>
      </c>
      <c r="I132" s="5431" t="e">
        <f t="shared" si="14"/>
        <v>#REF!</v>
      </c>
      <c r="J132" s="5432">
        <f t="shared" si="16"/>
        <v>0</v>
      </c>
      <c r="K132" s="5430" t="e">
        <f t="shared" si="17"/>
        <v>#REF!</v>
      </c>
      <c r="L132" s="5365"/>
      <c r="M132" s="5365"/>
      <c r="N132" s="5365"/>
      <c r="O132" s="5365"/>
      <c r="P132" s="5365"/>
    </row>
    <row r="133" spans="1:16">
      <c r="A133" s="5458"/>
      <c r="B133" s="5598" t="s">
        <v>111</v>
      </c>
      <c r="C133" s="5430" t="e">
        <f>C134-SUM(C128:C132)</f>
        <v>#REF!</v>
      </c>
      <c r="D133" s="5430" t="e">
        <f t="shared" si="12"/>
        <v>#REF!</v>
      </c>
      <c r="E133" s="5449">
        <f t="shared" si="15"/>
        <v>0</v>
      </c>
      <c r="F133" s="5430" t="e">
        <f>F134-SUM(F128:F132)</f>
        <v>#REF!</v>
      </c>
      <c r="G133" s="5430" t="e">
        <f>G134-SUM(G128:G132)</f>
        <v>#REF!</v>
      </c>
      <c r="H133" s="5430" t="e">
        <f t="shared" si="13"/>
        <v>#REF!</v>
      </c>
      <c r="I133" s="5431" t="e">
        <f t="shared" si="14"/>
        <v>#REF!</v>
      </c>
      <c r="J133" s="5432">
        <f t="shared" si="16"/>
        <v>0</v>
      </c>
      <c r="K133" s="5430" t="e">
        <f t="shared" si="17"/>
        <v>#REF!</v>
      </c>
      <c r="L133" s="5365"/>
      <c r="M133" s="5365"/>
      <c r="N133" s="5365"/>
      <c r="O133" s="5365"/>
      <c r="P133" s="5365"/>
    </row>
    <row r="134" spans="1:16">
      <c r="A134" s="5459"/>
      <c r="B134" s="5460" t="s">
        <v>112</v>
      </c>
      <c r="C134" s="5461" t="e">
        <f>#REF!</f>
        <v>#REF!</v>
      </c>
      <c r="D134" s="5436" t="e">
        <f t="shared" si="12"/>
        <v>#REF!</v>
      </c>
      <c r="E134" s="5462">
        <f t="shared" si="15"/>
        <v>0</v>
      </c>
      <c r="F134" s="5461" t="e">
        <f>#REF!</f>
        <v>#REF!</v>
      </c>
      <c r="G134" s="5461" t="e">
        <f>SUM(E172:E187)</f>
        <v>#REF!</v>
      </c>
      <c r="H134" s="5436" t="e">
        <f t="shared" si="13"/>
        <v>#REF!</v>
      </c>
      <c r="I134" s="5463" t="e">
        <f t="shared" si="14"/>
        <v>#REF!</v>
      </c>
      <c r="J134" s="5432">
        <f t="shared" si="16"/>
        <v>0</v>
      </c>
      <c r="K134" s="5430" t="e">
        <f t="shared" si="17"/>
        <v>#REF!</v>
      </c>
      <c r="L134" s="5365"/>
      <c r="M134" s="5365"/>
      <c r="N134" s="5365"/>
      <c r="O134" s="5365"/>
      <c r="P134" s="5365"/>
    </row>
    <row r="135" spans="1:16">
      <c r="A135" s="5365"/>
      <c r="B135" s="5365"/>
      <c r="C135" s="5365"/>
      <c r="D135" s="5365"/>
      <c r="E135" s="5365"/>
      <c r="F135" s="5365"/>
      <c r="G135" s="5365"/>
      <c r="H135" s="5365"/>
      <c r="I135" s="5365"/>
      <c r="J135" s="5365"/>
      <c r="K135" s="5365"/>
      <c r="L135" s="5365"/>
      <c r="M135" s="5365"/>
      <c r="N135" s="5365"/>
      <c r="O135" s="5365"/>
      <c r="P135" s="5365"/>
    </row>
    <row r="136" ht="17.25" customHeight="1" spans="1:16">
      <c r="A136" s="5420"/>
      <c r="B136" s="5420" t="s">
        <v>113</v>
      </c>
      <c r="C136" s="5422" t="s">
        <v>104</v>
      </c>
      <c r="D136" s="5422" t="s">
        <v>105</v>
      </c>
      <c r="E136" s="5422" t="s">
        <v>106</v>
      </c>
      <c r="F136" s="5422" t="s">
        <v>107</v>
      </c>
      <c r="G136" s="5421" t="s">
        <v>17</v>
      </c>
      <c r="H136" s="5422" t="s">
        <v>18</v>
      </c>
      <c r="I136" s="5422" t="s">
        <v>19</v>
      </c>
      <c r="J136" s="5422" t="s">
        <v>108</v>
      </c>
      <c r="K136" s="5422" t="s">
        <v>109</v>
      </c>
      <c r="L136" s="5422" t="s">
        <v>110</v>
      </c>
      <c r="M136" s="5365"/>
      <c r="N136" s="5365"/>
      <c r="O136" s="5365"/>
      <c r="P136" s="5365"/>
    </row>
    <row r="137" ht="14.25" customHeight="1" spans="1:16">
      <c r="A137" s="5423" t="e">
        <f>IF(C137=0,"-","2.1.3.")</f>
        <v>#REF!</v>
      </c>
      <c r="B137" s="5455" t="e">
        <f>INDEX($B$188:$B$207,MATCH(C137,$D$188:$D$207,0))</f>
        <v>#REF!</v>
      </c>
      <c r="C137" s="5425" t="e">
        <f>MAX($D$188:$D$197)</f>
        <v>#REF!</v>
      </c>
      <c r="D137" s="5425" t="e">
        <f t="shared" ref="D137:D140" si="18">F137-C137</f>
        <v>#REF!</v>
      </c>
      <c r="E137" s="5456">
        <f>IFERROR(D137/F137,0)</f>
        <v>0</v>
      </c>
      <c r="F137" s="5425" t="e">
        <f>INDEX($C$172:$C$197,MATCH(C137,$D$172:$D$197,0))</f>
        <v>#REF!</v>
      </c>
      <c r="G137" s="5425" t="e">
        <f>INDEX($E$172:$E$197,MATCH(C137,$D$172:$D$197,0))</f>
        <v>#REF!</v>
      </c>
      <c r="H137" s="5425" t="e">
        <f t="shared" ref="H137:H140" si="19">C137-G137</f>
        <v>#REF!</v>
      </c>
      <c r="I137" s="5426" t="e">
        <f t="shared" ref="I137:I140" si="20">IF(H137&lt;0,H137*-1,H137)</f>
        <v>#REF!</v>
      </c>
      <c r="J137" s="5432">
        <f t="shared" ref="J137:J140" si="21">IFERROR(I137/G137,0)</f>
        <v>0</v>
      </c>
      <c r="K137" s="5425" t="e">
        <f>IF(H137&lt;0,"DECREASE","INCREASE")</f>
        <v>#REF!</v>
      </c>
      <c r="L137" s="5365"/>
      <c r="M137" s="5365"/>
      <c r="N137" s="5365"/>
      <c r="O137" s="5365"/>
      <c r="P137" s="5365"/>
    </row>
    <row r="138" ht="14.25" customHeight="1" spans="1:16">
      <c r="A138" s="5428" t="e">
        <f>IF(C138=0,"-","2.1.3.")</f>
        <v>#REF!</v>
      </c>
      <c r="B138" s="5457" t="e">
        <f>INDEX($B$172:$B$207,MATCH(C138,$D$172:$D$207,0))</f>
        <v>#REF!</v>
      </c>
      <c r="C138" s="5430" t="e">
        <f>LARGE($D$188:$D$197,2)</f>
        <v>#REF!</v>
      </c>
      <c r="D138" s="5430" t="e">
        <f t="shared" si="18"/>
        <v>#REF!</v>
      </c>
      <c r="E138" s="5449">
        <f t="shared" ref="E138:E140" si="22">IFERROR(D138/F138,0)</f>
        <v>0</v>
      </c>
      <c r="F138" s="5430" t="e">
        <f>INDEX($C$172:$C$197,MATCH(C138,$D$172:$D$197,0))</f>
        <v>#REF!</v>
      </c>
      <c r="G138" s="5430" t="e">
        <f>INDEX($E$172:$E$197,MATCH(C138,$D$172:$D$197,0))</f>
        <v>#REF!</v>
      </c>
      <c r="H138" s="5430" t="e">
        <f t="shared" si="19"/>
        <v>#REF!</v>
      </c>
      <c r="I138" s="5431" t="e">
        <f t="shared" si="20"/>
        <v>#REF!</v>
      </c>
      <c r="J138" s="5432">
        <f t="shared" si="21"/>
        <v>0</v>
      </c>
      <c r="K138" s="5430" t="e">
        <f>IF(H138&lt;0,"DECREASE","INCREASE")</f>
        <v>#REF!</v>
      </c>
      <c r="L138" s="5365"/>
      <c r="M138" s="5365"/>
      <c r="N138" s="5365"/>
      <c r="O138" s="5365"/>
      <c r="P138" s="5365"/>
    </row>
    <row r="139" spans="1:16">
      <c r="A139" s="5458"/>
      <c r="B139" s="5598" t="s">
        <v>114</v>
      </c>
      <c r="C139" s="5430" t="e">
        <f>C140-SUM(C137:C138)</f>
        <v>#REF!</v>
      </c>
      <c r="D139" s="5430" t="e">
        <f t="shared" si="18"/>
        <v>#REF!</v>
      </c>
      <c r="E139" s="5449">
        <f t="shared" si="22"/>
        <v>0</v>
      </c>
      <c r="F139" s="5430" t="e">
        <f>F140-SUM(F137:F138)</f>
        <v>#REF!</v>
      </c>
      <c r="G139" s="5430" t="e">
        <f>G140-SUM(G137:G138)</f>
        <v>#REF!</v>
      </c>
      <c r="H139" s="5430" t="e">
        <f t="shared" si="19"/>
        <v>#REF!</v>
      </c>
      <c r="I139" s="5431" t="e">
        <f t="shared" si="20"/>
        <v>#REF!</v>
      </c>
      <c r="J139" s="5432">
        <f t="shared" si="21"/>
        <v>0</v>
      </c>
      <c r="K139" s="5430" t="e">
        <f t="shared" ref="K139:K140" si="23">IF(H139&lt;0,"DECREASE","INCREASE")</f>
        <v>#REF!</v>
      </c>
      <c r="L139" s="5365"/>
      <c r="M139" s="5365"/>
      <c r="N139" s="5365"/>
      <c r="O139" s="5365"/>
      <c r="P139" s="5365"/>
    </row>
    <row r="140" spans="1:16">
      <c r="A140" s="5459"/>
      <c r="B140" s="5460" t="s">
        <v>115</v>
      </c>
      <c r="C140" s="5461" t="e">
        <f>SUM(D188:D198)</f>
        <v>#REF!</v>
      </c>
      <c r="D140" s="5436" t="e">
        <f t="shared" si="18"/>
        <v>#REF!</v>
      </c>
      <c r="E140" s="5462">
        <f t="shared" si="22"/>
        <v>0</v>
      </c>
      <c r="F140" s="5461" t="e">
        <f>SUM(C188:C198)</f>
        <v>#REF!</v>
      </c>
      <c r="G140" s="5461" t="e">
        <f>SUM(E188:E198)</f>
        <v>#REF!</v>
      </c>
      <c r="H140" s="5436" t="e">
        <f t="shared" si="19"/>
        <v>#REF!</v>
      </c>
      <c r="I140" s="5463" t="e">
        <f t="shared" si="20"/>
        <v>#REF!</v>
      </c>
      <c r="J140" s="5432">
        <f t="shared" si="21"/>
        <v>0</v>
      </c>
      <c r="K140" s="5430" t="e">
        <f t="shared" si="23"/>
        <v>#REF!</v>
      </c>
      <c r="L140" s="5365"/>
      <c r="M140" s="5365"/>
      <c r="N140" s="5365"/>
      <c r="O140" s="5365"/>
      <c r="P140" s="5365"/>
    </row>
    <row r="141" spans="1:16">
      <c r="A141" s="5365"/>
      <c r="B141" s="5365"/>
      <c r="C141" s="5365"/>
      <c r="D141" s="5365"/>
      <c r="E141" s="5365"/>
      <c r="F141" s="5365"/>
      <c r="G141" s="5365"/>
      <c r="H141" s="5365"/>
      <c r="I141" s="5365"/>
      <c r="J141" s="5365"/>
      <c r="K141" s="5365"/>
      <c r="L141" s="5365"/>
      <c r="M141" s="5365"/>
      <c r="N141" s="5365"/>
      <c r="O141" s="5365"/>
      <c r="P141" s="5365"/>
    </row>
    <row r="142" spans="1:16">
      <c r="A142" s="5365"/>
      <c r="B142" s="5365"/>
      <c r="C142" s="5365"/>
      <c r="D142" s="5365"/>
      <c r="E142" s="5365"/>
      <c r="F142" s="5365"/>
      <c r="G142" s="5365"/>
      <c r="H142" s="5365"/>
      <c r="I142" s="5365"/>
      <c r="J142" s="5365"/>
      <c r="K142" s="5365"/>
      <c r="L142" s="5365"/>
      <c r="M142" s="5365"/>
      <c r="N142" s="5365"/>
      <c r="O142" s="5365"/>
      <c r="P142" s="5365"/>
    </row>
    <row r="143" ht="17.25" customHeight="1" spans="1:16">
      <c r="A143" s="5420"/>
      <c r="B143" s="5420" t="s">
        <v>116</v>
      </c>
      <c r="C143" s="5421" t="s">
        <v>16</v>
      </c>
      <c r="D143" s="5421" t="s">
        <v>17</v>
      </c>
      <c r="E143" s="5422" t="s">
        <v>18</v>
      </c>
      <c r="F143" s="5422" t="s">
        <v>19</v>
      </c>
      <c r="G143" s="5422" t="s">
        <v>20</v>
      </c>
      <c r="H143" s="5422"/>
      <c r="I143" s="5465" t="s">
        <v>117</v>
      </c>
      <c r="J143" s="5466" t="s">
        <v>118</v>
      </c>
      <c r="K143" s="5466" t="s">
        <v>119</v>
      </c>
      <c r="L143" s="5365"/>
      <c r="M143" s="5365"/>
      <c r="N143" s="5365"/>
      <c r="O143" s="5365"/>
      <c r="P143" s="5365"/>
    </row>
    <row r="144" ht="14.25" customHeight="1" spans="1:16">
      <c r="A144" s="5599" t="s">
        <v>120</v>
      </c>
      <c r="B144" s="5424" t="e">
        <f>INDEX($B$199:$B$219,MATCH(C144,$D$199:$D$219,0))</f>
        <v>#REF!</v>
      </c>
      <c r="C144" s="5467" t="e">
        <f>MAX($D$199:$D$219)</f>
        <v>#REF!</v>
      </c>
      <c r="D144" s="5468" t="e">
        <f>INDEX($E$199:$E$219,MATCH(C144,$D$199:$D$219,0))</f>
        <v>#REF!</v>
      </c>
      <c r="E144" s="5425" t="e">
        <f t="shared" ref="E144:E150" si="24">C144-D144</f>
        <v>#REF!</v>
      </c>
      <c r="F144" s="5426" t="e">
        <f t="shared" ref="F144:F150" si="25">IF(E144&lt;0,E144*-1,E144)</f>
        <v>#REF!</v>
      </c>
      <c r="G144" s="5427">
        <f t="shared" ref="G144:G150" si="26">IFERROR(F144/D144,0)</f>
        <v>0</v>
      </c>
      <c r="H144" s="5425" t="e">
        <f>IF(E144&lt;0,"DECREASE","INCREASE")</f>
        <v>#REF!</v>
      </c>
      <c r="I144" s="5425" t="e">
        <f t="shared" ref="I144:I150" si="27">(C144+D144)/2</f>
        <v>#REF!</v>
      </c>
      <c r="J144" s="5469">
        <f>IFERROR((#REF!/Baza!$C$12*12)/I144,0)</f>
        <v>0</v>
      </c>
      <c r="K144" s="5425">
        <f t="shared" ref="K144:K149" si="28">IFERROR(ROUND(365/J144,0),0)</f>
        <v>0</v>
      </c>
      <c r="L144" s="5365"/>
      <c r="M144" s="5365"/>
      <c r="N144" s="5365"/>
      <c r="O144" s="5365"/>
      <c r="P144" s="5365"/>
    </row>
    <row r="145" ht="14.25" customHeight="1" spans="1:16">
      <c r="A145" s="5473" t="s">
        <v>121</v>
      </c>
      <c r="B145" s="5429" t="e">
        <f>INDEX($B$199:$B$219,MATCH(C145,$D$199:$D$219,0))</f>
        <v>#REF!</v>
      </c>
      <c r="C145" s="5470" t="e">
        <f>LARGE($D$199:$D$219,2)</f>
        <v>#REF!</v>
      </c>
      <c r="D145" s="5471" t="e">
        <f>INDEX($E$199:$E$219,MATCH(C145,$D$199:$D$219,0))</f>
        <v>#REF!</v>
      </c>
      <c r="E145" s="5430" t="e">
        <f t="shared" si="24"/>
        <v>#REF!</v>
      </c>
      <c r="F145" s="5431" t="e">
        <f t="shared" si="25"/>
        <v>#REF!</v>
      </c>
      <c r="G145" s="5432">
        <f t="shared" si="26"/>
        <v>0</v>
      </c>
      <c r="H145" s="5430" t="e">
        <f>IF(E145&lt;0,"DECREASE","INCREASE")</f>
        <v>#REF!</v>
      </c>
      <c r="I145" s="5430" t="e">
        <f t="shared" si="27"/>
        <v>#REF!</v>
      </c>
      <c r="J145" s="5472">
        <f>IFERROR((#REF!/Baza!$C$12*12)/I145,0)</f>
        <v>0</v>
      </c>
      <c r="K145" s="5430">
        <f t="shared" si="28"/>
        <v>0</v>
      </c>
      <c r="L145" s="5365"/>
      <c r="M145" s="5365"/>
      <c r="N145" s="5365"/>
      <c r="O145" s="5365"/>
      <c r="P145" s="5365"/>
    </row>
    <row r="146" spans="1:16">
      <c r="A146" s="5473" t="s">
        <v>122</v>
      </c>
      <c r="B146" s="5429" t="e">
        <f>INDEX($B$199:$B$219,MATCH(C146,$D$199:$D$219,0))</f>
        <v>#REF!</v>
      </c>
      <c r="C146" s="5470" t="e">
        <f>LARGE($D$199:$D$219,3)</f>
        <v>#REF!</v>
      </c>
      <c r="D146" s="5471" t="e">
        <f>INDEX($E$199:$E$219,MATCH(C146,$D$199:$D$219,0))</f>
        <v>#REF!</v>
      </c>
      <c r="E146" s="5430" t="e">
        <f t="shared" si="24"/>
        <v>#REF!</v>
      </c>
      <c r="F146" s="5431" t="e">
        <f t="shared" si="25"/>
        <v>#REF!</v>
      </c>
      <c r="G146" s="5432">
        <f t="shared" si="26"/>
        <v>0</v>
      </c>
      <c r="H146" s="5430" t="e">
        <f t="shared" ref="H146:H150" si="29">IF(E146&lt;0,"DECREASE","INCREASE")</f>
        <v>#REF!</v>
      </c>
      <c r="I146" s="5430" t="e">
        <f t="shared" si="27"/>
        <v>#REF!</v>
      </c>
      <c r="J146" s="5472">
        <f>IFERROR((#REF!/Baza!$C$12*12)/I146,0)</f>
        <v>0</v>
      </c>
      <c r="K146" s="5430">
        <f t="shared" si="28"/>
        <v>0</v>
      </c>
      <c r="L146" s="5365"/>
      <c r="M146" s="5365"/>
      <c r="N146" s="5365"/>
      <c r="O146" s="5365"/>
      <c r="P146" s="5365"/>
    </row>
    <row r="147" spans="1:16">
      <c r="A147" s="5600"/>
      <c r="B147" s="5429" t="e">
        <f>INDEX($B$199:$B$219,MATCH(C147,$D$199:$D$219,0))</f>
        <v>#REF!</v>
      </c>
      <c r="C147" s="5470" t="e">
        <f>LARGE($D$199:$D$219,4)</f>
        <v>#REF!</v>
      </c>
      <c r="D147" s="5471" t="e">
        <f>INDEX($E$199:$E$219,MATCH(C147,$D$199:$D$219,0))</f>
        <v>#REF!</v>
      </c>
      <c r="E147" s="5430" t="e">
        <f t="shared" si="24"/>
        <v>#REF!</v>
      </c>
      <c r="F147" s="5431" t="e">
        <f t="shared" si="25"/>
        <v>#REF!</v>
      </c>
      <c r="G147" s="5432">
        <f t="shared" si="26"/>
        <v>0</v>
      </c>
      <c r="H147" s="5430" t="e">
        <f t="shared" si="29"/>
        <v>#REF!</v>
      </c>
      <c r="I147" s="5430" t="e">
        <f t="shared" si="27"/>
        <v>#REF!</v>
      </c>
      <c r="J147" s="5472">
        <f>IFERROR((#REF!/Baza!$C$12*12)/I147,0)</f>
        <v>0</v>
      </c>
      <c r="K147" s="5430">
        <f t="shared" si="28"/>
        <v>0</v>
      </c>
      <c r="L147" s="5365"/>
      <c r="M147" s="5365"/>
      <c r="N147" s="5365"/>
      <c r="O147" s="5365"/>
      <c r="P147" s="5365"/>
    </row>
    <row r="148" spans="1:16">
      <c r="A148" s="5473"/>
      <c r="B148" s="5429" t="e">
        <f>INDEX($B$199:$B$219,MATCH(C148,$D$199:$D$219,0))</f>
        <v>#REF!</v>
      </c>
      <c r="C148" s="5470" t="e">
        <f>LARGE($D$199:$D$219,5)</f>
        <v>#REF!</v>
      </c>
      <c r="D148" s="5471" t="e">
        <f>INDEX($E$199:$E$219,MATCH(C148,$D$199:$D$219,0))</f>
        <v>#REF!</v>
      </c>
      <c r="E148" s="5430" t="e">
        <f t="shared" si="24"/>
        <v>#REF!</v>
      </c>
      <c r="F148" s="5431" t="e">
        <f t="shared" si="25"/>
        <v>#REF!</v>
      </c>
      <c r="G148" s="5432">
        <f t="shared" si="26"/>
        <v>0</v>
      </c>
      <c r="H148" s="5430" t="e">
        <f t="shared" si="29"/>
        <v>#REF!</v>
      </c>
      <c r="I148" s="5430" t="e">
        <f t="shared" si="27"/>
        <v>#REF!</v>
      </c>
      <c r="J148" s="5472">
        <f>IFERROR((#REF!/Baza!$C$12*12)/I148,0)</f>
        <v>0</v>
      </c>
      <c r="K148" s="5430">
        <f t="shared" si="28"/>
        <v>0</v>
      </c>
      <c r="L148" s="5365"/>
      <c r="M148" s="5365"/>
      <c r="N148" s="5365"/>
      <c r="O148" s="5365"/>
      <c r="P148" s="5365"/>
    </row>
    <row r="149" spans="1:16">
      <c r="A149" s="5458"/>
      <c r="B149" s="5598" t="s">
        <v>123</v>
      </c>
      <c r="C149" s="5470" t="e">
        <f>C150-SUM(C144:C148)</f>
        <v>#REF!</v>
      </c>
      <c r="D149" s="5470" t="e">
        <f>D150-SUM(D144:D148)</f>
        <v>#REF!</v>
      </c>
      <c r="E149" s="5430" t="e">
        <f t="shared" si="24"/>
        <v>#REF!</v>
      </c>
      <c r="F149" s="5431" t="e">
        <f t="shared" si="25"/>
        <v>#REF!</v>
      </c>
      <c r="G149" s="5432">
        <f t="shared" si="26"/>
        <v>0</v>
      </c>
      <c r="H149" s="5430" t="e">
        <f t="shared" si="29"/>
        <v>#REF!</v>
      </c>
      <c r="I149" s="5430" t="e">
        <f t="shared" si="27"/>
        <v>#REF!</v>
      </c>
      <c r="J149" s="5472">
        <f>IFERROR((#REF!/Baza!$C$12*12)/I149,0)</f>
        <v>0</v>
      </c>
      <c r="K149" s="5430">
        <f t="shared" si="28"/>
        <v>0</v>
      </c>
      <c r="L149" s="5365"/>
      <c r="M149" s="5365"/>
      <c r="N149" s="5365"/>
      <c r="O149" s="5365"/>
      <c r="P149" s="5365"/>
    </row>
    <row r="150" spans="1:16">
      <c r="A150" s="5459"/>
      <c r="B150" s="5460" t="s">
        <v>124</v>
      </c>
      <c r="C150" s="5474" t="e">
        <f>SUM(D199:D219)</f>
        <v>#REF!</v>
      </c>
      <c r="D150" s="5474" t="e">
        <f>SUM(E199:E219)</f>
        <v>#REF!</v>
      </c>
      <c r="E150" s="5436" t="e">
        <f t="shared" si="24"/>
        <v>#REF!</v>
      </c>
      <c r="F150" s="5463" t="e">
        <f t="shared" si="25"/>
        <v>#REF!</v>
      </c>
      <c r="G150" s="5475">
        <f t="shared" si="26"/>
        <v>0</v>
      </c>
      <c r="H150" s="5430" t="e">
        <f t="shared" si="29"/>
        <v>#REF!</v>
      </c>
      <c r="I150" s="5436" t="e">
        <f t="shared" si="27"/>
        <v>#REF!</v>
      </c>
      <c r="J150" s="5476">
        <f>IFERROR((#REF!/Baza!$C$12*12)/I150,0)</f>
        <v>0</v>
      </c>
      <c r="K150" s="5436">
        <f>SUM(K144:K149)</f>
        <v>0</v>
      </c>
      <c r="L150" s="5365"/>
      <c r="M150" s="5365"/>
      <c r="N150" s="5365"/>
      <c r="O150" s="5365"/>
      <c r="P150" s="5365"/>
    </row>
    <row r="151" spans="1:16">
      <c r="A151" s="5365"/>
      <c r="B151" s="5365"/>
      <c r="C151" s="5365"/>
      <c r="D151" s="5365"/>
      <c r="E151" s="5365"/>
      <c r="F151" s="5365"/>
      <c r="G151" s="5365"/>
      <c r="H151" s="5365"/>
      <c r="I151" s="5365"/>
      <c r="J151" s="5365"/>
      <c r="K151" s="5365"/>
      <c r="L151" s="5365"/>
      <c r="M151" s="5365"/>
      <c r="N151" s="5365"/>
      <c r="O151" s="5365"/>
      <c r="P151" s="5365"/>
    </row>
    <row r="152" ht="17.25" customHeight="1" spans="1:16">
      <c r="A152" s="5420"/>
      <c r="B152" s="5420" t="s">
        <v>125</v>
      </c>
      <c r="C152" s="5421" t="s">
        <v>16</v>
      </c>
      <c r="D152" s="5421" t="s">
        <v>17</v>
      </c>
      <c r="E152" s="5422" t="s">
        <v>18</v>
      </c>
      <c r="F152" s="5422" t="s">
        <v>19</v>
      </c>
      <c r="G152" s="5422" t="s">
        <v>20</v>
      </c>
      <c r="H152" s="5422"/>
      <c r="I152" s="5465" t="s">
        <v>117</v>
      </c>
      <c r="J152" s="5466" t="s">
        <v>118</v>
      </c>
      <c r="K152" s="5466" t="s">
        <v>119</v>
      </c>
      <c r="L152" s="5365"/>
      <c r="M152" s="5365"/>
      <c r="N152" s="5365"/>
      <c r="O152" s="5365"/>
      <c r="P152" s="5365"/>
    </row>
    <row r="153" ht="14.25" customHeight="1" spans="1:16">
      <c r="A153" s="5485" t="s">
        <v>120</v>
      </c>
      <c r="B153" s="5424" t="e">
        <f>INDEX($B$199:$B$204,MATCH(C153,$D$199:$D$204,0))</f>
        <v>#REF!</v>
      </c>
      <c r="C153" s="5467" t="e">
        <f>MAX($D$199:$D$202)</f>
        <v>#REF!</v>
      </c>
      <c r="D153" s="5467" t="e">
        <f>INDEX($E$172:$E$219,MATCH(C153,$D$172:$D$219,0))</f>
        <v>#REF!</v>
      </c>
      <c r="E153" s="5425" t="e">
        <f>C153-D153</f>
        <v>#REF!</v>
      </c>
      <c r="F153" s="5426" t="e">
        <f>IF(E153&lt;0,E153*-1,E153)</f>
        <v>#REF!</v>
      </c>
      <c r="G153" s="5427">
        <f>IFERROR(F153/D153,0)</f>
        <v>0</v>
      </c>
      <c r="H153" s="5425" t="e">
        <f>IF(E153&lt;0,"DECREASE","INCREASE")</f>
        <v>#REF!</v>
      </c>
      <c r="I153" s="5425" t="e">
        <f>(C153+D153)/2</f>
        <v>#REF!</v>
      </c>
      <c r="J153" s="5469">
        <f>IFERROR((#REF!/Baza!$C$12*12)/I153,0)</f>
        <v>0</v>
      </c>
      <c r="K153" s="5425">
        <f>IFERROR(ROUND(365/J153,0),0)</f>
        <v>0</v>
      </c>
      <c r="L153" s="5365" t="e">
        <f>INDEX($G$199:$G$202,MATCH(C153,$D$199:$D$202,0))</f>
        <v>#REF!</v>
      </c>
      <c r="M153" s="5365"/>
      <c r="N153" s="5365"/>
      <c r="O153" s="5365"/>
      <c r="P153" s="5365"/>
    </row>
    <row r="154" ht="14.25" customHeight="1" spans="1:16">
      <c r="A154" s="5458">
        <v>2</v>
      </c>
      <c r="B154" s="5429" t="e">
        <f>INDEX($B$199:$B$204,MATCH(C154,$D$199:$D$204,0))</f>
        <v>#REF!</v>
      </c>
      <c r="C154" s="5470" t="e">
        <f>LARGE($D$199:$D$204,2)</f>
        <v>#REF!</v>
      </c>
      <c r="D154" s="5470" t="e">
        <f>INDEX($E$172:$E$219,MATCH(C154,$D$172:$D$219,0))</f>
        <v>#REF!</v>
      </c>
      <c r="E154" s="5430" t="e">
        <f>C154-D154</f>
        <v>#REF!</v>
      </c>
      <c r="F154" s="5431" t="e">
        <f>IF(E154&lt;0,E154*-1,E154)</f>
        <v>#REF!</v>
      </c>
      <c r="G154" s="5432">
        <f>IFERROR(F154/D154,0)</f>
        <v>0</v>
      </c>
      <c r="H154" s="5430" t="e">
        <f>IF(E154&lt;0,"DECREASE","INCREASE")</f>
        <v>#REF!</v>
      </c>
      <c r="I154" s="5430" t="e">
        <f>(C154+D154)/2</f>
        <v>#REF!</v>
      </c>
      <c r="J154" s="5472">
        <f>IFERROR((#REF!/Baza!$C$12*12)/I154,0)</f>
        <v>0</v>
      </c>
      <c r="K154" s="5430">
        <f>IFERROR(ROUND(365/J154,0),0)</f>
        <v>0</v>
      </c>
      <c r="L154" s="5365" t="e">
        <f>INDEX($G$199:$G$202,MATCH(C154,$D$199:$D$202,0))</f>
        <v>#REF!</v>
      </c>
      <c r="M154" s="5365"/>
      <c r="N154" s="5365"/>
      <c r="O154" s="5365"/>
      <c r="P154" s="5365"/>
    </row>
    <row r="155" spans="1:16">
      <c r="A155" s="5458">
        <v>3</v>
      </c>
      <c r="B155" s="5598" t="s">
        <v>126</v>
      </c>
      <c r="C155" s="5470" t="e">
        <f>C156-SUM(C152:C153)</f>
        <v>#REF!</v>
      </c>
      <c r="D155" s="5470" t="e">
        <f>D156-SUM(D153:D154)</f>
        <v>#REF!</v>
      </c>
      <c r="E155" s="5430" t="e">
        <f>C155-D155</f>
        <v>#REF!</v>
      </c>
      <c r="F155" s="5431" t="e">
        <f>IF(E155&lt;0,E155*-1,E155)</f>
        <v>#REF!</v>
      </c>
      <c r="G155" s="5432">
        <f>IFERROR(F155/D155,0)</f>
        <v>0</v>
      </c>
      <c r="H155" s="5430" t="e">
        <f t="shared" ref="H155:H156" si="30">IF(E155&lt;0,"DECREASE","INCREASE")</f>
        <v>#REF!</v>
      </c>
      <c r="I155" s="5430" t="e">
        <f>(C155+D155)/2</f>
        <v>#REF!</v>
      </c>
      <c r="J155" s="5472">
        <f>IFERROR((#REF!/Baza!$C$12*12)/I155,0)</f>
        <v>0</v>
      </c>
      <c r="K155" s="5430">
        <f>IFERROR(ROUND(365/J155,0),0)</f>
        <v>0</v>
      </c>
      <c r="L155" s="5365"/>
      <c r="M155" s="5365"/>
      <c r="N155" s="5365"/>
      <c r="O155" s="5365"/>
      <c r="P155" s="5365"/>
    </row>
    <row r="156" spans="1:16">
      <c r="A156" s="5459">
        <v>4</v>
      </c>
      <c r="B156" s="5460" t="s">
        <v>127</v>
      </c>
      <c r="C156" s="5474" t="e">
        <f>#REF!</f>
        <v>#REF!</v>
      </c>
      <c r="D156" s="5474" t="e">
        <f>#REF!</f>
        <v>#REF!</v>
      </c>
      <c r="E156" s="5436" t="e">
        <f>C156-D156</f>
        <v>#REF!</v>
      </c>
      <c r="F156" s="5463" t="e">
        <f>IF(E156&lt;0,E156*-1,E156)</f>
        <v>#REF!</v>
      </c>
      <c r="G156" s="5432">
        <f>IFERROR(F156/D156,0)</f>
        <v>0</v>
      </c>
      <c r="H156" s="5430" t="e">
        <f t="shared" si="30"/>
        <v>#REF!</v>
      </c>
      <c r="I156" s="5436" t="e">
        <f>(C156+D156)/2</f>
        <v>#REF!</v>
      </c>
      <c r="J156" s="5476">
        <f>IFERROR((#REF!/Baza!$C$12*12)/I156,0)</f>
        <v>0</v>
      </c>
      <c r="K156" s="5436">
        <f>IFERROR(ROUND(365/J156,0),0)</f>
        <v>0</v>
      </c>
      <c r="L156" s="5365"/>
      <c r="M156" s="5365"/>
      <c r="N156" s="5365"/>
      <c r="O156" s="5365"/>
      <c r="P156" s="5365"/>
    </row>
    <row r="157" spans="1:16">
      <c r="A157" s="5365"/>
      <c r="B157" s="5365"/>
      <c r="C157" s="5365"/>
      <c r="D157" s="5365"/>
      <c r="E157" s="5365"/>
      <c r="F157" s="5477"/>
      <c r="G157" s="5477"/>
      <c r="H157" s="5365"/>
      <c r="I157" s="5365"/>
      <c r="J157" s="5365"/>
      <c r="K157" s="5365"/>
      <c r="L157" s="5365"/>
      <c r="M157" s="5365"/>
      <c r="N157" s="5365"/>
      <c r="O157" s="5365"/>
      <c r="P157" s="5365"/>
    </row>
    <row r="158" ht="17.25" customHeight="1" spans="1:16">
      <c r="A158" s="5420"/>
      <c r="B158" s="5420" t="s">
        <v>128</v>
      </c>
      <c r="C158" s="5421" t="s">
        <v>16</v>
      </c>
      <c r="D158" s="5421" t="s">
        <v>17</v>
      </c>
      <c r="E158" s="5422" t="s">
        <v>18</v>
      </c>
      <c r="F158" s="5422" t="s">
        <v>19</v>
      </c>
      <c r="G158" s="5422" t="s">
        <v>20</v>
      </c>
      <c r="H158" s="5422"/>
      <c r="I158" s="5465" t="s">
        <v>117</v>
      </c>
      <c r="J158" s="5466" t="s">
        <v>118</v>
      </c>
      <c r="K158" s="5466" t="s">
        <v>119</v>
      </c>
      <c r="L158" s="5365"/>
      <c r="M158" s="5365"/>
      <c r="N158" s="5365"/>
      <c r="O158" s="5365"/>
      <c r="P158" s="5365"/>
    </row>
    <row r="159" ht="14.25" customHeight="1" spans="1:16">
      <c r="A159" s="5485" t="s">
        <v>121</v>
      </c>
      <c r="B159" s="5424" t="e">
        <f>INDEX($B$206:$B$219,MATCH(C159,$D$206:$D$219,0))</f>
        <v>#REF!</v>
      </c>
      <c r="C159" s="5467" t="e">
        <f>MAX($D$206:$D$219)</f>
        <v>#REF!</v>
      </c>
      <c r="D159" s="5467" t="e">
        <f>INDEX($E$206:$E$219,MATCH(C159,$D$206:$D$219,0))</f>
        <v>#REF!</v>
      </c>
      <c r="E159" s="5425" t="e">
        <f>C159-D159</f>
        <v>#REF!</v>
      </c>
      <c r="F159" s="5426" t="e">
        <f>IF(E159&lt;0,E159*-1,E159)</f>
        <v>#REF!</v>
      </c>
      <c r="G159" s="5427">
        <f>IFERROR(F159/D159,0)</f>
        <v>0</v>
      </c>
      <c r="H159" s="5430" t="e">
        <f>IF(E159&lt;0,"DECREASE","INCREASE")</f>
        <v>#REF!</v>
      </c>
      <c r="I159" s="5425" t="e">
        <f>(C159+D159)/2</f>
        <v>#REF!</v>
      </c>
      <c r="J159" s="5469">
        <f>IFERROR((#REF!/Baza!$C$12*12)/I159,0)</f>
        <v>0</v>
      </c>
      <c r="K159" s="5425">
        <f>IFERROR(ROUND(365/J159,0),0)</f>
        <v>0</v>
      </c>
      <c r="L159" s="5365" t="e">
        <f>INDEX($G$206:$G$219,MATCH(C159,$D$206:$D$219,0))</f>
        <v>#REF!</v>
      </c>
      <c r="M159" s="5365"/>
      <c r="N159" s="5365"/>
      <c r="O159" s="5365"/>
      <c r="P159" s="5365"/>
    </row>
    <row r="160" ht="14.25" customHeight="1" spans="1:16">
      <c r="A160" s="5458" t="s">
        <v>122</v>
      </c>
      <c r="B160" s="5429" t="e">
        <f>INDEX($B$206:$B$219,MATCH(C160,$D$206:$D$219,0))</f>
        <v>#REF!</v>
      </c>
      <c r="C160" s="5470" t="e">
        <f>LARGE($D$206:$D$219,2)</f>
        <v>#REF!</v>
      </c>
      <c r="D160" s="5470" t="e">
        <f>INDEX($E$206:$E$219,MATCH(C160,$D$206:$D$219,0))</f>
        <v>#REF!</v>
      </c>
      <c r="E160" s="5430" t="e">
        <f>C160-D160</f>
        <v>#REF!</v>
      </c>
      <c r="F160" s="5431" t="e">
        <f>IF(E160&lt;0,E160*-1,E160)</f>
        <v>#REF!</v>
      </c>
      <c r="G160" s="5432">
        <f>IFERROR(F160/D160,0)</f>
        <v>0</v>
      </c>
      <c r="H160" s="5430" t="e">
        <f>IF(E160&lt;0,"DECREASE","INCREASE")</f>
        <v>#REF!</v>
      </c>
      <c r="I160" s="5430" t="e">
        <f>(C160+D160)/2</f>
        <v>#REF!</v>
      </c>
      <c r="J160" s="5472">
        <f>IFERROR((#REF!/Baza!$C$12*12)/I160,0)</f>
        <v>0</v>
      </c>
      <c r="K160" s="5430">
        <f>IFERROR(ROUND(365/J160,0),0)</f>
        <v>0</v>
      </c>
      <c r="L160" s="5365" t="e">
        <f>INDEX($G$206:$G$219,MATCH(C160,$D$206:$D$219,0))</f>
        <v>#REF!</v>
      </c>
      <c r="M160" s="5365"/>
      <c r="N160" s="5365"/>
      <c r="O160" s="5365"/>
      <c r="P160" s="5365"/>
    </row>
    <row r="161" spans="1:16">
      <c r="A161" s="5458">
        <v>3</v>
      </c>
      <c r="B161" s="5598" t="s">
        <v>129</v>
      </c>
      <c r="C161" s="5470" t="e">
        <f>C162-SUM(C159:C160)</f>
        <v>#REF!</v>
      </c>
      <c r="D161" s="5470" t="e">
        <f>D162-SUM(D159:D160)</f>
        <v>#REF!</v>
      </c>
      <c r="E161" s="5430" t="e">
        <f>C161-D161</f>
        <v>#REF!</v>
      </c>
      <c r="F161" s="5431" t="e">
        <f>IF(E161&lt;0,E161*-1,E161)</f>
        <v>#REF!</v>
      </c>
      <c r="G161" s="5432">
        <f>IFERROR(F161/D161,0)</f>
        <v>0</v>
      </c>
      <c r="H161" s="5430" t="e">
        <f t="shared" ref="H161:H162" si="31">IF(E161&lt;0,"DECREASE","INCREASE")</f>
        <v>#REF!</v>
      </c>
      <c r="I161" s="5430" t="e">
        <f>(C161+D161)/2</f>
        <v>#REF!</v>
      </c>
      <c r="J161" s="5472">
        <f>IFERROR((#REF!/Baza!$C$12*12)/I161,0)</f>
        <v>0</v>
      </c>
      <c r="K161" s="5430">
        <f>IFERROR(ROUND(365/J161,0),0)</f>
        <v>0</v>
      </c>
      <c r="L161" s="5365"/>
      <c r="M161" s="5365"/>
      <c r="N161" s="5365"/>
      <c r="O161" s="5365"/>
      <c r="P161" s="5365"/>
    </row>
    <row r="162" spans="1:16">
      <c r="A162" s="5459">
        <v>4</v>
      </c>
      <c r="B162" s="5460" t="s">
        <v>130</v>
      </c>
      <c r="C162" s="5474" t="e">
        <f>#REF!+#REF!</f>
        <v>#REF!</v>
      </c>
      <c r="D162" s="5474" t="e">
        <f>SUM(E206:E219)</f>
        <v>#REF!</v>
      </c>
      <c r="E162" s="5436" t="e">
        <f>C162-D162</f>
        <v>#REF!</v>
      </c>
      <c r="F162" s="5463" t="e">
        <f>IF(E162&lt;0,E162*-1,E162)</f>
        <v>#REF!</v>
      </c>
      <c r="G162" s="5475">
        <f>IFERROR(F162/D162,0)</f>
        <v>0</v>
      </c>
      <c r="H162" s="5430" t="e">
        <f t="shared" si="31"/>
        <v>#REF!</v>
      </c>
      <c r="I162" s="5436" t="e">
        <f>(C162+D162)/2</f>
        <v>#REF!</v>
      </c>
      <c r="J162" s="5476">
        <f>IFERROR((#REF!/Baza!$C$12*12)/I162,0)</f>
        <v>0</v>
      </c>
      <c r="K162" s="5436">
        <f>SUM(K159:K161)</f>
        <v>0</v>
      </c>
      <c r="L162" s="5365"/>
      <c r="M162" s="5365"/>
      <c r="N162" s="5365"/>
      <c r="O162" s="5365"/>
      <c r="P162" s="5365"/>
    </row>
    <row r="163" spans="1:16">
      <c r="A163" s="5478">
        <v>5</v>
      </c>
      <c r="B163" s="5479" t="s">
        <v>131</v>
      </c>
      <c r="C163" s="5480" t="e">
        <f>#REF!+#REF!</f>
        <v>#REF!</v>
      </c>
      <c r="D163" s="5480"/>
      <c r="E163" s="5365"/>
      <c r="F163" s="5365"/>
      <c r="G163" s="5365"/>
      <c r="H163" s="5365"/>
      <c r="I163" s="5365"/>
      <c r="J163" s="5365"/>
      <c r="K163" s="5365"/>
      <c r="L163" s="5365"/>
      <c r="M163" s="5365"/>
      <c r="N163" s="5365"/>
      <c r="O163" s="5365"/>
      <c r="P163" s="5365"/>
    </row>
    <row r="164" spans="1:16">
      <c r="A164" s="5478">
        <v>6</v>
      </c>
      <c r="B164" s="5479" t="s">
        <v>132</v>
      </c>
      <c r="C164" s="5480" t="e">
        <f>#REF!+#REF!</f>
        <v>#REF!</v>
      </c>
      <c r="D164" s="5480"/>
      <c r="E164" s="5365"/>
      <c r="F164" s="5365"/>
      <c r="G164" s="5365"/>
      <c r="H164" s="5365"/>
      <c r="I164" s="5365"/>
      <c r="J164" s="5365"/>
      <c r="K164" s="5365"/>
      <c r="L164" s="5365"/>
      <c r="M164" s="5365"/>
      <c r="N164" s="5365"/>
      <c r="O164" s="5365"/>
      <c r="P164" s="5365"/>
    </row>
    <row r="165" ht="13.5" spans="1:16">
      <c r="A165" s="5601">
        <v>7</v>
      </c>
      <c r="B165" s="5602" t="s">
        <v>133</v>
      </c>
      <c r="C165" s="5603" t="e">
        <f>C164/C163</f>
        <v>#REF!</v>
      </c>
      <c r="D165" s="5604"/>
      <c r="E165" s="5365"/>
      <c r="F165" s="5365"/>
      <c r="G165" s="5365"/>
      <c r="H165" s="5365"/>
      <c r="I165" s="5365"/>
      <c r="J165" s="5365"/>
      <c r="K165" s="5365"/>
      <c r="L165" s="5365"/>
      <c r="M165" s="5365"/>
      <c r="N165" s="5365"/>
      <c r="O165" s="5365"/>
      <c r="P165" s="5365"/>
    </row>
    <row r="166" spans="1:16">
      <c r="A166" s="5365"/>
      <c r="B166" s="5365"/>
      <c r="C166" s="5365"/>
      <c r="D166" s="5365"/>
      <c r="E166" s="5365"/>
      <c r="F166" s="5365"/>
      <c r="G166" s="5365"/>
      <c r="H166" s="5365"/>
      <c r="I166" s="5365"/>
      <c r="J166" s="5365"/>
      <c r="K166" s="5365"/>
      <c r="L166" s="5365"/>
      <c r="M166" s="5365"/>
      <c r="N166" s="5365"/>
      <c r="O166" s="5365"/>
      <c r="P166" s="5365"/>
    </row>
    <row r="167" ht="17.25" customHeight="1" spans="1:16">
      <c r="A167" s="5420"/>
      <c r="B167" s="5420" t="s">
        <v>134</v>
      </c>
      <c r="C167" s="5421" t="s">
        <v>16</v>
      </c>
      <c r="D167" s="5421" t="s">
        <v>17</v>
      </c>
      <c r="E167" s="5422" t="s">
        <v>18</v>
      </c>
      <c r="F167" s="5422" t="s">
        <v>19</v>
      </c>
      <c r="G167" s="5422" t="s">
        <v>20</v>
      </c>
      <c r="H167" s="5422"/>
      <c r="I167" s="5465" t="s">
        <v>117</v>
      </c>
      <c r="J167" s="5466" t="s">
        <v>118</v>
      </c>
      <c r="K167" s="5466" t="s">
        <v>119</v>
      </c>
      <c r="L167" s="5365"/>
      <c r="M167" s="5365"/>
      <c r="N167" s="5365"/>
      <c r="O167" s="5365"/>
      <c r="P167" s="5365"/>
    </row>
    <row r="168" ht="14.25" customHeight="1" spans="1:16">
      <c r="A168" s="5452">
        <v>1</v>
      </c>
      <c r="B168" s="5440" t="e">
        <f>INDEX($B$205:$B$205,MATCH(C168,$D$205:$D$205,0))</f>
        <v>#REF!</v>
      </c>
      <c r="C168" s="5492" t="e">
        <f>D205</f>
        <v>#REF!</v>
      </c>
      <c r="D168" s="5492" t="e">
        <f>E205</f>
        <v>#REF!</v>
      </c>
      <c r="E168" s="5493" t="e">
        <f>C168-D168</f>
        <v>#REF!</v>
      </c>
      <c r="F168" s="5494" t="e">
        <f>IF(E168&lt;0,E168*-1,E168)</f>
        <v>#REF!</v>
      </c>
      <c r="G168" s="5443">
        <f>IFERROR(F168/D168,0)</f>
        <v>0</v>
      </c>
      <c r="H168" s="5492" t="e">
        <f>IF(E168&lt;0,"DECREASE","INCREASE")</f>
        <v>#REF!</v>
      </c>
      <c r="I168" s="5441" t="e">
        <f>(C168+D168)/2</f>
        <v>#REF!</v>
      </c>
      <c r="J168" s="5491">
        <f>IFERROR((#REF!/Baza!$C$12*12)/I168,0)</f>
        <v>0</v>
      </c>
      <c r="K168" s="5441">
        <f>IFERROR(ROUND(365/J168,0),0)</f>
        <v>0</v>
      </c>
      <c r="L168" s="5365"/>
      <c r="M168" s="5365"/>
      <c r="N168" s="5365"/>
      <c r="O168" s="5365"/>
      <c r="P168" s="5365"/>
    </row>
    <row r="169" spans="1:16">
      <c r="A169" s="5365"/>
      <c r="B169" s="5365"/>
      <c r="C169" s="5365"/>
      <c r="D169" s="5365"/>
      <c r="E169" s="5365"/>
      <c r="F169" s="5365"/>
      <c r="G169" s="5365"/>
      <c r="H169" s="5365"/>
      <c r="I169" s="5365"/>
      <c r="J169" s="5365"/>
      <c r="K169" s="5365"/>
      <c r="L169" s="5365"/>
      <c r="M169" s="5365"/>
      <c r="N169" s="5365"/>
      <c r="O169" s="5365"/>
      <c r="P169" s="5365"/>
    </row>
    <row r="170" spans="1:16">
      <c r="A170" s="5365"/>
      <c r="B170" s="5365"/>
      <c r="C170" s="5365"/>
      <c r="D170" s="5365"/>
      <c r="E170" s="5365"/>
      <c r="F170" s="5365"/>
      <c r="G170" s="5365"/>
      <c r="H170" s="5365"/>
      <c r="I170" s="5365"/>
      <c r="J170" s="5365"/>
      <c r="K170" s="5365"/>
      <c r="L170" s="5365"/>
      <c r="M170" s="5365"/>
      <c r="N170" s="5365"/>
      <c r="O170" s="5365"/>
      <c r="P170" s="5365"/>
    </row>
    <row r="171" ht="15.75" customHeight="1" spans="1:16">
      <c r="A171" s="5420"/>
      <c r="B171" s="5495" t="s">
        <v>135</v>
      </c>
      <c r="C171" s="5422" t="s">
        <v>107</v>
      </c>
      <c r="D171" s="5421" t="s">
        <v>104</v>
      </c>
      <c r="E171" s="5421" t="s">
        <v>17</v>
      </c>
      <c r="F171" s="5421" t="s">
        <v>25</v>
      </c>
      <c r="G171" s="5365"/>
      <c r="H171" s="5365"/>
      <c r="I171" s="5365"/>
      <c r="J171" s="5365"/>
      <c r="K171" s="5365"/>
      <c r="L171" s="5365"/>
      <c r="M171" s="5365"/>
      <c r="N171" s="5365"/>
      <c r="O171" s="5365"/>
      <c r="P171" s="5365"/>
    </row>
    <row r="172" spans="1:16">
      <c r="B172" s="572" t="s">
        <v>136</v>
      </c>
      <c r="C172" s="1112" t="e">
        <f>#REF!</f>
        <v>#REF!</v>
      </c>
      <c r="D172" s="1112" t="e">
        <f>#REF!</f>
        <v>#REF!</v>
      </c>
      <c r="E172" s="1112" t="e">
        <f>#REF!</f>
        <v>#REF!</v>
      </c>
      <c r="F172" s="5248" t="e">
        <f t="shared" ref="F172:F178" si="32">IF(D172=0,"-",IFERROR(INDEX($A$128:$A$129,MATCH(D172,$C$128:$C$129,0)),"-"))</f>
        <v>#REF!</v>
      </c>
      <c r="G172" s="5365"/>
      <c r="H172" s="5365"/>
      <c r="I172" s="5365"/>
      <c r="J172" s="5365"/>
      <c r="K172" s="5365"/>
      <c r="L172" s="5365"/>
      <c r="M172" s="5365"/>
      <c r="N172" s="5365"/>
      <c r="O172" s="5365"/>
      <c r="P172" s="5365"/>
    </row>
    <row r="173" spans="1:16">
      <c r="B173" s="572" t="s">
        <v>137</v>
      </c>
      <c r="C173" s="1112" t="e">
        <f>#REF!</f>
        <v>#REF!</v>
      </c>
      <c r="D173" s="1112" t="e">
        <f>#REF!</f>
        <v>#REF!</v>
      </c>
      <c r="E173" s="1112" t="e">
        <f>#REF!</f>
        <v>#REF!</v>
      </c>
      <c r="F173" s="5248" t="e">
        <f t="shared" si="32"/>
        <v>#REF!</v>
      </c>
      <c r="G173" s="5365"/>
      <c r="H173" s="5365"/>
      <c r="I173" s="5365"/>
      <c r="J173" s="5365"/>
      <c r="K173" s="5365"/>
      <c r="L173" s="5365"/>
      <c r="M173" s="5365"/>
      <c r="N173" s="5365"/>
      <c r="O173" s="5365"/>
      <c r="P173" s="5365"/>
    </row>
    <row r="174" spans="1:16">
      <c r="B174" s="572" t="s">
        <v>138</v>
      </c>
      <c r="C174" s="1112" t="e">
        <f>#REF!</f>
        <v>#REF!</v>
      </c>
      <c r="D174" s="1112" t="e">
        <f>#REF!</f>
        <v>#REF!</v>
      </c>
      <c r="E174" s="1112" t="e">
        <f>#REF!</f>
        <v>#REF!</v>
      </c>
      <c r="F174" s="5248" t="e">
        <f t="shared" si="32"/>
        <v>#REF!</v>
      </c>
      <c r="G174" s="5365"/>
      <c r="H174" s="5365"/>
      <c r="I174" s="5365"/>
      <c r="J174" s="5365"/>
      <c r="K174" s="5365"/>
      <c r="L174" s="5365"/>
      <c r="M174" s="5365"/>
      <c r="N174" s="5365"/>
      <c r="O174" s="5365"/>
      <c r="P174" s="5365"/>
    </row>
    <row r="175" spans="1:16">
      <c r="B175" s="572" t="s">
        <v>139</v>
      </c>
      <c r="C175" s="1112" t="e">
        <f>#REF!</f>
        <v>#REF!</v>
      </c>
      <c r="D175" s="1112" t="e">
        <f>#REF!</f>
        <v>#REF!</v>
      </c>
      <c r="E175" s="1112" t="e">
        <f>#REF!</f>
        <v>#REF!</v>
      </c>
      <c r="F175" s="5248" t="e">
        <f t="shared" si="32"/>
        <v>#REF!</v>
      </c>
      <c r="G175" s="5365"/>
      <c r="H175" s="5365"/>
      <c r="I175" s="5365"/>
      <c r="J175" s="5365"/>
      <c r="K175" s="5365"/>
      <c r="L175" s="5365"/>
      <c r="M175" s="5365"/>
      <c r="N175" s="5365"/>
      <c r="O175" s="5365"/>
      <c r="P175" s="5365"/>
    </row>
    <row r="176" spans="1:16">
      <c r="B176" s="572" t="s">
        <v>140</v>
      </c>
      <c r="C176" s="1112" t="e">
        <f>#REF!</f>
        <v>#REF!</v>
      </c>
      <c r="D176" s="1112" t="e">
        <f>#REF!</f>
        <v>#REF!</v>
      </c>
      <c r="E176" s="1112" t="e">
        <f>#REF!</f>
        <v>#REF!</v>
      </c>
      <c r="F176" s="5248" t="e">
        <f t="shared" si="32"/>
        <v>#REF!</v>
      </c>
      <c r="G176" s="5365"/>
      <c r="H176" s="5365"/>
      <c r="I176" s="5365"/>
      <c r="J176" s="5365"/>
      <c r="K176" s="5365"/>
      <c r="L176" s="5365"/>
      <c r="M176" s="5365"/>
      <c r="N176" s="5365"/>
      <c r="O176" s="5365"/>
      <c r="P176" s="5365"/>
    </row>
    <row r="177" spans="2:16">
      <c r="B177" s="572" t="s">
        <v>141</v>
      </c>
      <c r="C177" s="1112" t="e">
        <f>#REF!</f>
        <v>#REF!</v>
      </c>
      <c r="D177" s="1112" t="e">
        <f>#REF!</f>
        <v>#REF!</v>
      </c>
      <c r="E177" s="1112" t="e">
        <f>#REF!</f>
        <v>#REF!</v>
      </c>
      <c r="F177" s="5248" t="e">
        <f t="shared" si="32"/>
        <v>#REF!</v>
      </c>
      <c r="G177" s="5365"/>
      <c r="H177" s="5365"/>
      <c r="I177" s="5365"/>
      <c r="J177" s="5365"/>
      <c r="K177" s="5365"/>
      <c r="L177" s="5365"/>
      <c r="M177" s="5365"/>
      <c r="N177" s="5365"/>
      <c r="O177" s="5365"/>
      <c r="P177" s="5365"/>
    </row>
    <row r="178" spans="2:16">
      <c r="B178" s="572" t="s">
        <v>142</v>
      </c>
      <c r="C178" s="1112" t="e">
        <f>#REF!</f>
        <v>#REF!</v>
      </c>
      <c r="D178" s="1112" t="e">
        <f>#REF!</f>
        <v>#REF!</v>
      </c>
      <c r="E178" s="1112" t="e">
        <f>#REF!</f>
        <v>#REF!</v>
      </c>
      <c r="F178" s="5248" t="e">
        <f t="shared" si="32"/>
        <v>#REF!</v>
      </c>
      <c r="G178" s="5365"/>
      <c r="H178" s="5365"/>
      <c r="I178" s="5365"/>
      <c r="J178" s="5365"/>
      <c r="K178" s="5365"/>
      <c r="L178" s="5365"/>
      <c r="M178" s="5365"/>
      <c r="N178" s="5365"/>
      <c r="O178" s="5365"/>
      <c r="P178" s="5365"/>
    </row>
    <row r="179" spans="2:16">
      <c r="B179" s="572" t="s">
        <v>143</v>
      </c>
      <c r="C179" s="1112" t="e">
        <f>#REF!</f>
        <v>#REF!</v>
      </c>
      <c r="D179" s="1112" t="e">
        <f>#REF!</f>
        <v>#REF!</v>
      </c>
      <c r="E179" s="1112" t="e">
        <f>#REF!</f>
        <v>#REF!</v>
      </c>
      <c r="F179" s="5248" t="e">
        <f t="shared" ref="F179:F187" si="33">IF(D179=0,"-",IFERROR(INDEX($A$128:$A$129,MATCH(D179,$C$128:$C$129,0)),"-"))</f>
        <v>#REF!</v>
      </c>
      <c r="G179" s="5365"/>
      <c r="H179" s="5365"/>
      <c r="I179" s="5365"/>
      <c r="J179" s="5365"/>
      <c r="K179" s="5365"/>
      <c r="L179" s="5365"/>
      <c r="M179" s="5365"/>
      <c r="N179" s="5365"/>
      <c r="O179" s="5365"/>
      <c r="P179" s="5365"/>
    </row>
    <row r="180" spans="2:16">
      <c r="B180" s="572" t="s">
        <v>144</v>
      </c>
      <c r="C180" s="1112" t="e">
        <f>#REF!</f>
        <v>#REF!</v>
      </c>
      <c r="D180" s="1112" t="e">
        <f>#REF!</f>
        <v>#REF!</v>
      </c>
      <c r="E180" s="1112" t="e">
        <f>#REF!</f>
        <v>#REF!</v>
      </c>
      <c r="F180" s="5248" t="e">
        <f t="shared" si="33"/>
        <v>#REF!</v>
      </c>
      <c r="G180" s="5365"/>
      <c r="H180" s="5365"/>
      <c r="I180" s="5365"/>
      <c r="J180" s="5365"/>
      <c r="K180" s="5365"/>
      <c r="L180" s="5365"/>
      <c r="M180" s="5365"/>
      <c r="N180" s="5365"/>
      <c r="O180" s="5365"/>
      <c r="P180" s="5365"/>
    </row>
    <row r="181" spans="2:16">
      <c r="B181" s="572" t="s">
        <v>145</v>
      </c>
      <c r="C181" s="1112" t="e">
        <f>#REF!</f>
        <v>#REF!</v>
      </c>
      <c r="D181" s="1112" t="e">
        <f>#REF!</f>
        <v>#REF!</v>
      </c>
      <c r="E181" s="1112" t="e">
        <f>#REF!</f>
        <v>#REF!</v>
      </c>
      <c r="F181" s="5248" t="e">
        <f t="shared" si="33"/>
        <v>#REF!</v>
      </c>
      <c r="G181" s="5365"/>
      <c r="H181" s="5365"/>
      <c r="I181" s="5365"/>
      <c r="J181" s="5365"/>
      <c r="K181" s="5365"/>
      <c r="L181" s="5365"/>
      <c r="M181" s="5365"/>
      <c r="N181" s="5365"/>
      <c r="O181" s="5365"/>
      <c r="P181" s="5365"/>
    </row>
    <row r="182" spans="2:16">
      <c r="B182" t="s">
        <v>146</v>
      </c>
      <c r="C182" s="1112" t="e">
        <f>#REF!</f>
        <v>#REF!</v>
      </c>
      <c r="D182" s="1112" t="e">
        <f>#REF!</f>
        <v>#REF!</v>
      </c>
      <c r="E182" s="1112" t="e">
        <f>#REF!</f>
        <v>#REF!</v>
      </c>
      <c r="F182" s="5248" t="e">
        <f t="shared" si="33"/>
        <v>#REF!</v>
      </c>
      <c r="G182" s="5365"/>
      <c r="H182" s="5365"/>
      <c r="I182" s="5365"/>
      <c r="J182" s="5365"/>
      <c r="K182" s="5365"/>
      <c r="L182" s="5365"/>
      <c r="M182" s="5365"/>
      <c r="N182" s="5365"/>
      <c r="O182" s="5365"/>
      <c r="P182" s="5365"/>
    </row>
    <row r="183" spans="2:16">
      <c r="B183" s="572" t="s">
        <v>147</v>
      </c>
      <c r="C183" s="1112" t="e">
        <f>#REF!</f>
        <v>#REF!</v>
      </c>
      <c r="D183" s="1112" t="e">
        <f>#REF!</f>
        <v>#REF!</v>
      </c>
      <c r="E183" s="1112" t="e">
        <f>#REF!</f>
        <v>#REF!</v>
      </c>
      <c r="F183" s="5248" t="e">
        <f t="shared" si="33"/>
        <v>#REF!</v>
      </c>
      <c r="G183" s="5365"/>
      <c r="H183" s="5365"/>
      <c r="I183" s="5365"/>
      <c r="J183" s="5365"/>
      <c r="K183" s="5365"/>
      <c r="L183" s="5365"/>
      <c r="M183" s="5365"/>
      <c r="N183" s="5365"/>
      <c r="O183" s="5365"/>
      <c r="P183" s="5365"/>
    </row>
    <row r="184" spans="2:16">
      <c r="B184" s="572" t="s">
        <v>148</v>
      </c>
      <c r="C184" s="1112" t="e">
        <f>#REF!</f>
        <v>#REF!</v>
      </c>
      <c r="D184" s="1112" t="e">
        <f>#REF!</f>
        <v>#REF!</v>
      </c>
      <c r="E184" s="1112" t="e">
        <f>#REF!</f>
        <v>#REF!</v>
      </c>
      <c r="F184" s="5248" t="e">
        <f t="shared" si="33"/>
        <v>#REF!</v>
      </c>
      <c r="G184" s="5365"/>
      <c r="H184" s="5365"/>
      <c r="I184" s="5365"/>
      <c r="J184" s="5365"/>
      <c r="K184" s="5365"/>
      <c r="L184" s="5365"/>
      <c r="M184" s="5365"/>
      <c r="N184" s="5365"/>
      <c r="O184" s="5365"/>
      <c r="P184" s="5365"/>
    </row>
    <row r="185" spans="2:16">
      <c r="B185" s="572" t="s">
        <v>149</v>
      </c>
      <c r="C185" s="1112" t="e">
        <f>#REF!</f>
        <v>#REF!</v>
      </c>
      <c r="D185" s="1112" t="e">
        <f>#REF!</f>
        <v>#REF!</v>
      </c>
      <c r="E185" s="1112" t="e">
        <f>#REF!</f>
        <v>#REF!</v>
      </c>
      <c r="F185" s="5248" t="e">
        <f t="shared" si="33"/>
        <v>#REF!</v>
      </c>
      <c r="G185" s="5365"/>
      <c r="H185" s="5365"/>
      <c r="I185" s="5365"/>
      <c r="J185" s="5365"/>
      <c r="K185" s="5365"/>
      <c r="L185" s="5365"/>
      <c r="M185" s="5365"/>
      <c r="N185" s="5365"/>
      <c r="O185" s="5365"/>
      <c r="P185" s="5365"/>
    </row>
    <row r="186" spans="2:16">
      <c r="B186" t="s">
        <v>150</v>
      </c>
      <c r="C186" s="1112" t="e">
        <f>#REF!</f>
        <v>#REF!</v>
      </c>
      <c r="D186" s="1112" t="e">
        <f>#REF!</f>
        <v>#REF!</v>
      </c>
      <c r="E186" s="1112" t="e">
        <f>#REF!</f>
        <v>#REF!</v>
      </c>
      <c r="F186" s="5248" t="e">
        <f t="shared" si="33"/>
        <v>#REF!</v>
      </c>
      <c r="G186" s="5365"/>
      <c r="H186" s="5365"/>
      <c r="I186" s="5365"/>
      <c r="J186" s="5365"/>
      <c r="K186" s="5365"/>
      <c r="L186" s="5365"/>
      <c r="M186" s="5365"/>
      <c r="N186" s="5365"/>
      <c r="O186" s="5365"/>
      <c r="P186" s="5365"/>
    </row>
    <row r="187" ht="13.5" spans="2:16">
      <c r="B187" t="s">
        <v>151</v>
      </c>
      <c r="C187" s="1112" t="e">
        <f>#REF!</f>
        <v>#REF!</v>
      </c>
      <c r="D187" s="1112" t="e">
        <f>#REF!</f>
        <v>#REF!</v>
      </c>
      <c r="E187" s="1112" t="e">
        <f>#REF!</f>
        <v>#REF!</v>
      </c>
      <c r="F187" s="5248" t="e">
        <f t="shared" si="33"/>
        <v>#REF!</v>
      </c>
      <c r="G187" s="5365"/>
      <c r="H187" s="5365"/>
      <c r="I187" s="5365"/>
      <c r="J187" s="5365"/>
      <c r="K187" s="5365"/>
      <c r="L187" s="5365"/>
      <c r="M187" s="5365"/>
      <c r="N187" s="5365"/>
      <c r="O187" s="5365"/>
      <c r="P187" s="5365"/>
    </row>
    <row r="188" ht="13.5" spans="2:16">
      <c r="B188" s="5496" t="s">
        <v>152</v>
      </c>
      <c r="C188" s="5497" t="e">
        <f>#REF!</f>
        <v>#REF!</v>
      </c>
      <c r="D188" s="5497" t="e">
        <f>#REF!</f>
        <v>#REF!</v>
      </c>
      <c r="E188" s="5497" t="e">
        <f>#REF!</f>
        <v>#REF!</v>
      </c>
      <c r="F188" s="5498" t="e">
        <f>IF(D188=0,"-",IFERROR(INDEX($A$137:$A$138,MATCH(D188,$C$137:$C$138,0)),"-"))</f>
        <v>#REF!</v>
      </c>
      <c r="G188" s="5365"/>
      <c r="H188" s="5365"/>
      <c r="I188" s="5365"/>
      <c r="J188" s="5365"/>
      <c r="K188" s="5365"/>
      <c r="L188" s="5365"/>
      <c r="M188" s="5365"/>
      <c r="N188" s="5365"/>
      <c r="O188" s="5365"/>
      <c r="P188" s="5365"/>
    </row>
    <row r="189" spans="2:16">
      <c r="B189" s="572" t="s">
        <v>153</v>
      </c>
      <c r="C189" s="1112" t="e">
        <f>#REF!</f>
        <v>#REF!</v>
      </c>
      <c r="D189" s="1112" t="e">
        <f>#REF!</f>
        <v>#REF!</v>
      </c>
      <c r="E189" s="1112" t="e">
        <f>#REF!</f>
        <v>#REF!</v>
      </c>
      <c r="F189" s="5248" t="e">
        <f t="shared" ref="F189:F198" si="34">IF(D189=0,"-",IFERROR(INDEX($A$137:$A$138,MATCH(D189,$C$137:$C$138,0)),"-"))</f>
        <v>#REF!</v>
      </c>
      <c r="G189" s="5365"/>
      <c r="H189" s="5365"/>
      <c r="I189" s="5365"/>
      <c r="J189" s="5365"/>
      <c r="K189" s="5365"/>
      <c r="L189" s="5365"/>
      <c r="M189" s="5365"/>
      <c r="N189" s="5365"/>
      <c r="O189" s="5365"/>
      <c r="P189" s="5365"/>
    </row>
    <row r="190" spans="2:16">
      <c r="B190" s="572" t="s">
        <v>154</v>
      </c>
      <c r="C190" s="1112" t="e">
        <f>#REF!</f>
        <v>#REF!</v>
      </c>
      <c r="D190" s="1112" t="e">
        <f>#REF!</f>
        <v>#REF!</v>
      </c>
      <c r="E190" s="1112" t="e">
        <f>#REF!</f>
        <v>#REF!</v>
      </c>
      <c r="F190" s="5248" t="e">
        <f t="shared" si="34"/>
        <v>#REF!</v>
      </c>
      <c r="G190" s="5365"/>
      <c r="H190" s="5365"/>
      <c r="I190" s="5365"/>
      <c r="J190" s="5365"/>
      <c r="K190" s="5365"/>
      <c r="L190" s="5365"/>
      <c r="M190" s="5365"/>
      <c r="N190" s="5365"/>
      <c r="O190" s="5365"/>
      <c r="P190" s="5365"/>
    </row>
    <row r="191" spans="2:16">
      <c r="B191" s="572" t="s">
        <v>155</v>
      </c>
      <c r="C191" s="1112" t="e">
        <f>#REF!</f>
        <v>#REF!</v>
      </c>
      <c r="D191" s="1112" t="e">
        <f>#REF!</f>
        <v>#REF!</v>
      </c>
      <c r="E191" s="1112" t="e">
        <f>#REF!</f>
        <v>#REF!</v>
      </c>
      <c r="F191" s="5248" t="e">
        <f t="shared" si="34"/>
        <v>#REF!</v>
      </c>
      <c r="G191" s="5365"/>
      <c r="H191" s="5365"/>
      <c r="I191" s="5365"/>
      <c r="J191" s="5365"/>
      <c r="K191" s="5365"/>
      <c r="L191" s="5365"/>
      <c r="M191" s="5365"/>
      <c r="N191" s="5365"/>
      <c r="O191" s="5365"/>
      <c r="P191" s="5365"/>
    </row>
    <row r="192" spans="2:16">
      <c r="B192" s="572" t="s">
        <v>156</v>
      </c>
      <c r="C192" s="1112" t="e">
        <f>#REF!</f>
        <v>#REF!</v>
      </c>
      <c r="D192" s="1112" t="e">
        <f>#REF!</f>
        <v>#REF!</v>
      </c>
      <c r="E192" s="1112" t="e">
        <f>#REF!</f>
        <v>#REF!</v>
      </c>
      <c r="F192" s="5248" t="e">
        <f t="shared" si="34"/>
        <v>#REF!</v>
      </c>
      <c r="G192" s="5365"/>
      <c r="H192" s="5365"/>
      <c r="I192" s="5365"/>
      <c r="J192" s="5365"/>
      <c r="K192" s="5365"/>
      <c r="L192" s="5365"/>
      <c r="M192" s="5365"/>
      <c r="N192" s="5365"/>
      <c r="O192" s="5365"/>
      <c r="P192" s="5365"/>
    </row>
    <row r="193" spans="2:16">
      <c r="B193" s="572" t="s">
        <v>157</v>
      </c>
      <c r="C193" s="1112" t="e">
        <f>#REF!</f>
        <v>#REF!</v>
      </c>
      <c r="D193" s="1112" t="e">
        <f>#REF!</f>
        <v>#REF!</v>
      </c>
      <c r="E193" s="1112" t="e">
        <f>#REF!</f>
        <v>#REF!</v>
      </c>
      <c r="F193" s="5248" t="e">
        <f t="shared" si="34"/>
        <v>#REF!</v>
      </c>
      <c r="G193" s="5365"/>
      <c r="H193" s="5365"/>
      <c r="I193" s="5365"/>
      <c r="J193" s="5365"/>
      <c r="K193" s="5365"/>
      <c r="L193" s="5365"/>
      <c r="M193" s="5365"/>
      <c r="N193" s="5365"/>
      <c r="O193" s="5365"/>
      <c r="P193" s="5365"/>
    </row>
    <row r="194" spans="2:16">
      <c r="B194" s="572" t="s">
        <v>158</v>
      </c>
      <c r="C194" s="1112" t="e">
        <f>#REF!</f>
        <v>#REF!</v>
      </c>
      <c r="D194" s="1112" t="e">
        <f>#REF!</f>
        <v>#REF!</v>
      </c>
      <c r="E194" s="1112" t="e">
        <f>#REF!</f>
        <v>#REF!</v>
      </c>
      <c r="F194" s="5248" t="e">
        <f t="shared" si="34"/>
        <v>#REF!</v>
      </c>
      <c r="G194" s="5365"/>
      <c r="H194" s="5365"/>
      <c r="I194" s="5365"/>
      <c r="J194" s="5365"/>
      <c r="K194" s="5365"/>
      <c r="L194" s="5365"/>
      <c r="M194" s="5365"/>
      <c r="N194" s="5365"/>
      <c r="O194" s="5365"/>
      <c r="P194" s="5365"/>
    </row>
    <row r="195" spans="2:16">
      <c r="B195" s="572" t="s">
        <v>159</v>
      </c>
      <c r="C195" s="1112" t="e">
        <f>#REF!</f>
        <v>#REF!</v>
      </c>
      <c r="D195" s="1112" t="e">
        <f>#REF!</f>
        <v>#REF!</v>
      </c>
      <c r="E195" s="1112" t="e">
        <f>#REF!</f>
        <v>#REF!</v>
      </c>
      <c r="F195" s="5248" t="e">
        <f t="shared" si="34"/>
        <v>#REF!</v>
      </c>
      <c r="G195" s="5365"/>
      <c r="H195" s="5365"/>
      <c r="I195" s="5365"/>
      <c r="J195" s="5365"/>
      <c r="K195" s="5365"/>
      <c r="L195" s="5365"/>
      <c r="M195" s="5365"/>
      <c r="N195" s="5365"/>
      <c r="O195" s="5365"/>
      <c r="P195" s="5365"/>
    </row>
    <row r="196" spans="2:16">
      <c r="B196" s="572" t="s">
        <v>160</v>
      </c>
      <c r="C196" s="1112" t="e">
        <f>#REF!</f>
        <v>#REF!</v>
      </c>
      <c r="D196" s="1112" t="e">
        <f>#REF!</f>
        <v>#REF!</v>
      </c>
      <c r="E196" s="1112" t="e">
        <f>#REF!</f>
        <v>#REF!</v>
      </c>
      <c r="F196" s="5248" t="e">
        <f t="shared" si="34"/>
        <v>#REF!</v>
      </c>
      <c r="G196" s="5365"/>
      <c r="H196" s="5365"/>
      <c r="I196" s="5365"/>
      <c r="J196" s="5365"/>
      <c r="K196" s="5365"/>
      <c r="L196" s="5365"/>
      <c r="M196" s="5365"/>
      <c r="N196" s="5365"/>
      <c r="O196" s="5365"/>
      <c r="P196" s="5365"/>
    </row>
    <row r="197" spans="2:16">
      <c r="B197" t="s">
        <v>161</v>
      </c>
      <c r="C197" s="1112" t="e">
        <f>#REF!</f>
        <v>#REF!</v>
      </c>
      <c r="D197" s="1112" t="e">
        <f>#REF!</f>
        <v>#REF!</v>
      </c>
      <c r="E197" s="1112" t="e">
        <f>#REF!</f>
        <v>#REF!</v>
      </c>
      <c r="F197" s="5248" t="e">
        <f t="shared" si="34"/>
        <v>#REF!</v>
      </c>
      <c r="G197" s="5365"/>
      <c r="H197" s="5365"/>
      <c r="I197" s="5365"/>
      <c r="J197" s="5365"/>
      <c r="K197" s="5365"/>
      <c r="L197" s="5365"/>
      <c r="M197" s="5365"/>
      <c r="N197" s="5365"/>
      <c r="O197" s="5365"/>
      <c r="P197" s="5365"/>
    </row>
    <row r="198" spans="2:16">
      <c r="B198" s="2294" t="s">
        <v>162</v>
      </c>
      <c r="C198" s="5501" t="e">
        <f>#REF!</f>
        <v>#REF!</v>
      </c>
      <c r="D198" s="5501" t="e">
        <f>#REF!</f>
        <v>#REF!</v>
      </c>
      <c r="E198" s="5501" t="e">
        <f>#REF!</f>
        <v>#REF!</v>
      </c>
      <c r="F198" s="5502" t="e">
        <f t="shared" si="34"/>
        <v>#REF!</v>
      </c>
      <c r="G198" s="5365"/>
      <c r="H198" s="5365"/>
      <c r="I198" s="5365"/>
      <c r="J198" s="5365"/>
      <c r="K198" s="5365"/>
      <c r="L198" s="5365"/>
      <c r="M198" s="5365"/>
      <c r="N198" s="5365"/>
      <c r="O198" s="5365"/>
      <c r="P198" s="5365"/>
    </row>
    <row r="199" spans="2:16">
      <c r="B199" s="3843" t="s">
        <v>163</v>
      </c>
      <c r="C199" s="1032"/>
      <c r="D199" s="5509" t="e">
        <f>#REF!</f>
        <v>#REF!</v>
      </c>
      <c r="E199" s="5499" t="e">
        <f>#REF!</f>
        <v>#REF!</v>
      </c>
      <c r="F199" s="5500" t="e">
        <f t="shared" ref="F199:F204" si="35">IF(D199=0,"-",IFERROR(INDEX($A$144:$A$146,MATCH(D199,$C$144:$C$146,0)),"-"))</f>
        <v>#REF!</v>
      </c>
      <c r="G199" s="5365"/>
      <c r="H199" s="5365"/>
      <c r="I199" s="5365"/>
      <c r="J199" s="5365"/>
      <c r="K199" s="5365"/>
      <c r="L199" s="5365"/>
      <c r="M199" s="5365"/>
      <c r="N199" s="5365"/>
      <c r="O199" s="5365"/>
      <c r="P199" s="5365"/>
    </row>
    <row r="200" spans="2:16">
      <c r="B200" s="415" t="s">
        <v>164</v>
      </c>
      <c r="D200" s="5506" t="e">
        <f>#REF!</f>
        <v>#REF!</v>
      </c>
      <c r="E200" s="1112" t="e">
        <f>#REF!</f>
        <v>#REF!</v>
      </c>
      <c r="F200" s="5248" t="e">
        <f t="shared" si="35"/>
        <v>#REF!</v>
      </c>
      <c r="G200" s="5365"/>
      <c r="H200" s="5365"/>
      <c r="I200" s="5365"/>
      <c r="J200" s="5365"/>
      <c r="K200" s="5365"/>
      <c r="L200" s="5365"/>
      <c r="M200" s="5365"/>
      <c r="N200" s="5365"/>
      <c r="O200" s="5365"/>
      <c r="P200" s="5365"/>
    </row>
    <row r="201" spans="2:16">
      <c r="B201" s="415" t="s">
        <v>165</v>
      </c>
      <c r="D201" s="5506" t="e">
        <f>#REF!</f>
        <v>#REF!</v>
      </c>
      <c r="E201" s="1112" t="e">
        <f>#REF!</f>
        <v>#REF!</v>
      </c>
      <c r="F201" s="5248" t="e">
        <f t="shared" si="35"/>
        <v>#REF!</v>
      </c>
      <c r="G201" s="5365"/>
      <c r="H201" s="5365"/>
      <c r="I201" s="5365"/>
      <c r="J201" s="5365"/>
      <c r="K201" s="5365"/>
      <c r="L201" s="5365"/>
      <c r="M201" s="5365"/>
      <c r="N201" s="5365"/>
      <c r="O201" s="5365"/>
      <c r="P201" s="5365"/>
    </row>
    <row r="202" spans="2:16">
      <c r="B202" s="415" t="s">
        <v>166</v>
      </c>
      <c r="D202" s="5506" t="e">
        <f>#REF!</f>
        <v>#REF!</v>
      </c>
      <c r="E202" s="1112" t="e">
        <f>#REF!</f>
        <v>#REF!</v>
      </c>
      <c r="F202" s="5248" t="e">
        <f t="shared" si="35"/>
        <v>#REF!</v>
      </c>
      <c r="G202" s="5365"/>
      <c r="H202" s="5365"/>
      <c r="I202" s="5365"/>
      <c r="J202" s="5365"/>
      <c r="K202" s="5365"/>
      <c r="L202" s="5365"/>
      <c r="M202" s="5365"/>
      <c r="N202" s="5365"/>
      <c r="O202" s="5365"/>
      <c r="P202" s="5365"/>
    </row>
    <row r="203" spans="2:16">
      <c r="B203" s="415" t="s">
        <v>167</v>
      </c>
      <c r="D203" s="5506" t="e">
        <f>#REF!</f>
        <v>#REF!</v>
      </c>
      <c r="E203" s="1112" t="e">
        <f>#REF!</f>
        <v>#REF!</v>
      </c>
      <c r="F203" s="5248" t="e">
        <f t="shared" si="35"/>
        <v>#REF!</v>
      </c>
      <c r="G203" s="5365"/>
      <c r="H203" s="5365"/>
      <c r="I203" s="5365"/>
      <c r="J203" s="5365"/>
      <c r="K203" s="5365"/>
      <c r="L203" s="5365"/>
      <c r="M203" s="5365"/>
      <c r="N203" s="5365"/>
      <c r="O203" s="5365"/>
      <c r="P203" s="5365"/>
    </row>
    <row r="204" spans="2:16">
      <c r="B204" s="421" t="s">
        <v>168</v>
      </c>
      <c r="C204" s="5501"/>
      <c r="D204" s="5510" t="e">
        <f>#REF!</f>
        <v>#REF!</v>
      </c>
      <c r="E204" s="1112" t="e">
        <f>#REF!</f>
        <v>#REF!</v>
      </c>
      <c r="F204" s="5502" t="e">
        <f t="shared" si="35"/>
        <v>#REF!</v>
      </c>
      <c r="G204" s="5365"/>
      <c r="H204" s="5365"/>
      <c r="I204" s="5365"/>
      <c r="J204" s="5365"/>
      <c r="K204" s="5365"/>
      <c r="L204" s="5365"/>
      <c r="M204" s="5365"/>
      <c r="N204" s="5365"/>
      <c r="O204" s="5365"/>
      <c r="P204" s="5365"/>
    </row>
    <row r="205" spans="2:16">
      <c r="B205" s="572" t="s">
        <v>169</v>
      </c>
      <c r="D205" s="1112" t="e">
        <f>#REF!</f>
        <v>#REF!</v>
      </c>
      <c r="E205" s="5605" t="e">
        <f>#REF!</f>
        <v>#REF!</v>
      </c>
      <c r="F205" s="5606"/>
      <c r="G205" s="5365"/>
      <c r="H205" s="5365"/>
      <c r="I205" s="5365"/>
      <c r="J205" s="5365"/>
      <c r="K205" s="5365"/>
      <c r="L205" s="5365"/>
      <c r="M205" s="5365"/>
      <c r="N205" s="5365"/>
      <c r="O205" s="5365"/>
      <c r="P205" s="5365"/>
    </row>
    <row r="206" spans="2:16">
      <c r="B206" s="3843" t="s">
        <v>170</v>
      </c>
      <c r="C206" s="5499"/>
      <c r="D206" s="5509" t="e">
        <f>#REF!</f>
        <v>#REF!</v>
      </c>
      <c r="E206" s="1112" t="e">
        <f>#REF!</f>
        <v>#REF!</v>
      </c>
      <c r="F206" s="5248" t="e">
        <f t="shared" ref="F206:F219" si="36">IF(D206=0,"-",IFERROR(INDEX($A$144:$A$146,MATCH(D206,$C$144:$C$146,0)),"-"))</f>
        <v>#REF!</v>
      </c>
      <c r="G206" s="5365"/>
      <c r="H206" s="5365"/>
      <c r="I206" s="5365"/>
      <c r="J206" s="5365"/>
      <c r="K206" s="5365"/>
      <c r="L206" s="5365"/>
      <c r="M206" s="5365"/>
      <c r="N206" s="5365"/>
      <c r="O206" s="5365"/>
      <c r="P206" s="5365"/>
    </row>
    <row r="207" spans="2:16">
      <c r="B207" s="3845" t="s">
        <v>171</v>
      </c>
      <c r="D207" s="5506" t="e">
        <f>#REF!</f>
        <v>#REF!</v>
      </c>
      <c r="E207" s="1112" t="e">
        <f>#REF!</f>
        <v>#REF!</v>
      </c>
      <c r="F207" s="5248" t="e">
        <f t="shared" si="36"/>
        <v>#REF!</v>
      </c>
      <c r="G207" s="5365"/>
      <c r="H207" s="5365"/>
      <c r="I207" s="5365"/>
      <c r="J207" s="5365"/>
      <c r="K207" s="5365"/>
      <c r="L207" s="5365"/>
      <c r="M207" s="5365"/>
      <c r="N207" s="5365"/>
      <c r="O207" s="5365"/>
      <c r="P207" s="5365"/>
    </row>
    <row r="208" spans="2:16">
      <c r="B208" s="3845" t="s">
        <v>172</v>
      </c>
      <c r="D208" s="5506" t="e">
        <f>#REF!</f>
        <v>#REF!</v>
      </c>
      <c r="E208" s="1112" t="e">
        <f>#REF!</f>
        <v>#REF!</v>
      </c>
      <c r="F208" s="5248" t="e">
        <f t="shared" si="36"/>
        <v>#REF!</v>
      </c>
      <c r="G208" s="5365"/>
      <c r="H208" s="5365"/>
      <c r="I208" s="5365"/>
      <c r="J208" s="5365"/>
      <c r="K208" s="5365"/>
      <c r="L208" s="5365"/>
      <c r="M208" s="5365"/>
      <c r="N208" s="5365"/>
      <c r="O208" s="5365"/>
      <c r="P208" s="5365"/>
    </row>
    <row r="209" spans="1:16">
      <c r="B209" s="415" t="s">
        <v>173</v>
      </c>
      <c r="D209" s="5506" t="e">
        <f>#REF!</f>
        <v>#REF!</v>
      </c>
      <c r="E209" s="1112" t="e">
        <f>#REF!</f>
        <v>#REF!</v>
      </c>
      <c r="F209" s="5248" t="e">
        <f t="shared" si="36"/>
        <v>#REF!</v>
      </c>
      <c r="G209" s="5365"/>
      <c r="H209" s="5365"/>
      <c r="I209" s="5365"/>
      <c r="J209" s="5365"/>
      <c r="K209" s="5365"/>
      <c r="L209" s="5365"/>
      <c r="M209" s="5365"/>
      <c r="N209" s="5365"/>
      <c r="O209" s="5365"/>
      <c r="P209" s="5365"/>
    </row>
    <row r="210" spans="1:16">
      <c r="B210" s="415" t="s">
        <v>174</v>
      </c>
      <c r="D210" s="5506" t="e">
        <f>#REF!</f>
        <v>#REF!</v>
      </c>
      <c r="E210" s="1112" t="e">
        <f>#REF!</f>
        <v>#REF!</v>
      </c>
      <c r="F210" s="5248" t="e">
        <f t="shared" si="36"/>
        <v>#REF!</v>
      </c>
      <c r="G210" s="5365"/>
      <c r="H210" s="5365"/>
      <c r="I210" s="5365"/>
      <c r="J210" s="5365"/>
      <c r="K210" s="5365"/>
      <c r="L210" s="5365"/>
      <c r="M210" s="5365"/>
      <c r="N210" s="5365"/>
      <c r="O210" s="5365"/>
      <c r="P210" s="5365"/>
    </row>
    <row r="211" spans="1:16">
      <c r="B211" s="3845" t="s">
        <v>175</v>
      </c>
      <c r="D211" s="5506" t="e">
        <f>#REF!</f>
        <v>#REF!</v>
      </c>
      <c r="E211" s="1112" t="e">
        <f>#REF!</f>
        <v>#REF!</v>
      </c>
      <c r="F211" s="5248" t="e">
        <f t="shared" si="36"/>
        <v>#REF!</v>
      </c>
      <c r="G211" s="5365"/>
      <c r="H211" s="5365"/>
      <c r="I211" s="5365"/>
      <c r="J211" s="5365"/>
      <c r="K211" s="5365"/>
      <c r="L211" s="5365"/>
      <c r="M211" s="5365"/>
      <c r="N211" s="5365"/>
      <c r="O211" s="5365"/>
      <c r="P211" s="5365"/>
    </row>
    <row r="212" spans="1:16">
      <c r="B212" s="3845" t="s">
        <v>176</v>
      </c>
      <c r="D212" s="5506" t="e">
        <f>#REF!</f>
        <v>#REF!</v>
      </c>
      <c r="E212" s="1112" t="e">
        <f>#REF!</f>
        <v>#REF!</v>
      </c>
      <c r="F212" s="5248" t="e">
        <f t="shared" si="36"/>
        <v>#REF!</v>
      </c>
      <c r="G212" s="5365"/>
      <c r="H212" s="5365"/>
      <c r="I212" s="5365"/>
      <c r="J212" s="5365"/>
      <c r="K212" s="5365"/>
      <c r="L212" s="5365"/>
      <c r="M212" s="5365"/>
      <c r="N212" s="5365"/>
      <c r="O212" s="5365"/>
      <c r="P212" s="5365"/>
    </row>
    <row r="213" spans="1:16">
      <c r="B213" s="3845" t="s">
        <v>177</v>
      </c>
      <c r="D213" s="5506" t="e">
        <f>#REF!</f>
        <v>#REF!</v>
      </c>
      <c r="E213" s="1112" t="e">
        <f>#REF!</f>
        <v>#REF!</v>
      </c>
      <c r="F213" s="5248" t="e">
        <f t="shared" si="36"/>
        <v>#REF!</v>
      </c>
      <c r="G213" s="5365"/>
      <c r="H213" s="5365"/>
      <c r="I213" s="5365"/>
      <c r="J213" s="5365"/>
      <c r="K213" s="5365"/>
      <c r="L213" s="5365"/>
      <c r="M213" s="5365"/>
      <c r="N213" s="5365"/>
      <c r="O213" s="5365"/>
      <c r="P213" s="5365"/>
    </row>
    <row r="214" spans="1:16">
      <c r="B214" s="415" t="s">
        <v>178</v>
      </c>
      <c r="D214" s="5506" t="e">
        <f>#REF!</f>
        <v>#REF!</v>
      </c>
      <c r="E214" s="1112" t="e">
        <f>#REF!</f>
        <v>#REF!</v>
      </c>
      <c r="F214" s="5248" t="e">
        <f t="shared" si="36"/>
        <v>#REF!</v>
      </c>
      <c r="G214" s="5365"/>
      <c r="H214" s="5365"/>
      <c r="I214" s="5365"/>
      <c r="J214" s="5365"/>
      <c r="K214" s="5365"/>
      <c r="L214" s="5365"/>
      <c r="M214" s="5365"/>
      <c r="N214" s="5365"/>
      <c r="O214" s="5365"/>
      <c r="P214" s="5365"/>
    </row>
    <row r="215" spans="1:16">
      <c r="B215" s="3845" t="s">
        <v>179</v>
      </c>
      <c r="D215" s="5506" t="e">
        <f>#REF!</f>
        <v>#REF!</v>
      </c>
      <c r="E215" s="1112" t="e">
        <f>#REF!</f>
        <v>#REF!</v>
      </c>
      <c r="F215" s="5248" t="e">
        <f t="shared" si="36"/>
        <v>#REF!</v>
      </c>
      <c r="G215" s="5365"/>
      <c r="H215" s="5365"/>
      <c r="I215" s="5365"/>
      <c r="J215" s="5365"/>
      <c r="K215" s="5365"/>
      <c r="L215" s="5365"/>
      <c r="M215" s="5365"/>
      <c r="N215" s="5365"/>
      <c r="O215" s="5365"/>
      <c r="P215" s="5365"/>
    </row>
    <row r="216" spans="1:16">
      <c r="B216" s="3845" t="s">
        <v>180</v>
      </c>
      <c r="D216" s="5506" t="e">
        <f>#REF!</f>
        <v>#REF!</v>
      </c>
      <c r="E216" s="1112" t="e">
        <f>#REF!</f>
        <v>#REF!</v>
      </c>
      <c r="F216" s="5248" t="e">
        <f t="shared" si="36"/>
        <v>#REF!</v>
      </c>
      <c r="G216" s="5365"/>
      <c r="H216" s="5365"/>
      <c r="I216" s="5365"/>
      <c r="J216" s="5365"/>
      <c r="K216" s="5365"/>
      <c r="L216" s="5365"/>
      <c r="M216" s="5365"/>
      <c r="N216" s="5365"/>
      <c r="O216" s="5365"/>
      <c r="P216" s="5365"/>
    </row>
    <row r="217" spans="1:16">
      <c r="B217" s="3845" t="s">
        <v>181</v>
      </c>
      <c r="D217" s="5506" t="e">
        <f>#REF!</f>
        <v>#REF!</v>
      </c>
      <c r="E217" s="1112" t="e">
        <f>#REF!</f>
        <v>#REF!</v>
      </c>
      <c r="F217" s="5248" t="e">
        <f t="shared" si="36"/>
        <v>#REF!</v>
      </c>
      <c r="G217" s="5365"/>
      <c r="H217" s="5365"/>
      <c r="I217" s="5365"/>
      <c r="J217" s="5365"/>
      <c r="K217" s="5365"/>
      <c r="L217" s="5365"/>
      <c r="M217" s="5365"/>
      <c r="N217" s="5365"/>
      <c r="O217" s="5365"/>
      <c r="P217" s="5365"/>
    </row>
    <row r="218" spans="1:16">
      <c r="B218" s="3845" t="s">
        <v>182</v>
      </c>
      <c r="D218" s="5506" t="e">
        <f>#REF!</f>
        <v>#REF!</v>
      </c>
      <c r="E218" s="1112" t="e">
        <f>#REF!</f>
        <v>#REF!</v>
      </c>
      <c r="F218" s="5248" t="e">
        <f t="shared" si="36"/>
        <v>#REF!</v>
      </c>
      <c r="G218" s="5365"/>
      <c r="H218" s="5365"/>
      <c r="I218" s="5365"/>
      <c r="J218" s="5365"/>
      <c r="K218" s="5365"/>
      <c r="L218" s="5365"/>
      <c r="M218" s="5365"/>
      <c r="N218" s="5365"/>
      <c r="O218" s="5365"/>
      <c r="P218" s="5365"/>
    </row>
    <row r="219" spans="1:16">
      <c r="B219" s="415" t="s">
        <v>183</v>
      </c>
      <c r="D219" s="5506" t="e">
        <f>#REF!</f>
        <v>#REF!</v>
      </c>
      <c r="E219" s="1112" t="e">
        <f>#REF!</f>
        <v>#REF!</v>
      </c>
      <c r="F219" s="5248" t="e">
        <f t="shared" si="36"/>
        <v>#REF!</v>
      </c>
      <c r="G219" s="5365"/>
      <c r="H219" s="5365"/>
      <c r="I219" s="5365"/>
      <c r="J219" s="5365"/>
      <c r="K219" s="5365"/>
      <c r="L219" s="5365"/>
      <c r="M219" s="5365"/>
      <c r="N219" s="5365"/>
      <c r="O219" s="5365"/>
      <c r="P219" s="5365"/>
    </row>
    <row r="220" spans="1:16">
      <c r="A220" s="5365"/>
      <c r="B220" s="5365"/>
      <c r="C220" s="5365"/>
      <c r="D220" s="5365"/>
      <c r="E220" s="5365"/>
      <c r="F220" s="5365"/>
      <c r="G220" s="5365"/>
      <c r="H220" s="5365"/>
      <c r="I220" s="5505"/>
      <c r="J220" s="5505"/>
      <c r="K220" s="5505"/>
      <c r="L220" s="5505"/>
      <c r="M220" s="5505"/>
      <c r="N220" s="5505"/>
      <c r="O220" s="5505"/>
      <c r="P220" s="5505"/>
    </row>
    <row r="221" spans="1:16">
      <c r="B221" s="3845" t="s">
        <v>184</v>
      </c>
      <c r="D221" s="5506" t="e">
        <f>SUM(D199:D204)</f>
        <v>#REF!</v>
      </c>
      <c r="E221" s="5506" t="e">
        <f>SUM(E199:E204)</f>
        <v>#REF!</v>
      </c>
      <c r="F221" s="5365"/>
      <c r="G221" s="5365"/>
      <c r="H221" s="5365"/>
      <c r="I221" s="5365"/>
      <c r="J221" s="5365"/>
      <c r="K221" s="5365"/>
      <c r="L221" s="5365"/>
      <c r="M221" s="5365"/>
      <c r="N221" s="5365"/>
      <c r="O221" s="5365"/>
      <c r="P221" s="5365"/>
    </row>
    <row r="222" spans="1:16">
      <c r="B222" s="3845" t="s">
        <v>185</v>
      </c>
      <c r="D222" s="5506" t="e">
        <f>SUM(D206:D219)</f>
        <v>#REF!</v>
      </c>
      <c r="E222" s="5506" t="e">
        <f>SUM(E206:E219)</f>
        <v>#REF!</v>
      </c>
      <c r="F222" s="5365"/>
      <c r="G222" s="5365"/>
      <c r="H222" s="5365"/>
      <c r="I222" s="5365"/>
      <c r="J222" s="5365"/>
      <c r="K222" s="5365"/>
      <c r="L222" s="5365"/>
      <c r="M222" s="5365"/>
      <c r="N222" s="5365"/>
      <c r="O222" s="5365"/>
      <c r="P222" s="5365"/>
    </row>
    <row r="223" spans="1:16">
      <c r="B223" s="415" t="s">
        <v>186</v>
      </c>
      <c r="D223" s="5506" t="e">
        <f>D205</f>
        <v>#REF!</v>
      </c>
      <c r="E223" s="5506" t="e">
        <f>E205</f>
        <v>#REF!</v>
      </c>
      <c r="F223" s="5365"/>
      <c r="G223" s="5365"/>
      <c r="H223" s="5365"/>
      <c r="I223" s="5365"/>
      <c r="J223" s="5365"/>
      <c r="K223" s="5365"/>
      <c r="L223" s="5365"/>
      <c r="M223" s="5365"/>
      <c r="N223" s="5365"/>
      <c r="O223" s="5365"/>
      <c r="P223" s="5365"/>
    </row>
    <row r="224" spans="1:16">
      <c r="A224" s="5365"/>
      <c r="B224" s="5365"/>
      <c r="C224" s="5365"/>
      <c r="D224" s="5365"/>
      <c r="E224" s="5365"/>
      <c r="F224" s="5365"/>
      <c r="G224" s="5365"/>
      <c r="H224" s="5365"/>
      <c r="I224" s="5365"/>
      <c r="J224" s="5365"/>
      <c r="K224" s="5365"/>
      <c r="L224" s="5365"/>
      <c r="M224" s="5365"/>
      <c r="N224" s="5365"/>
      <c r="O224" s="5365"/>
      <c r="P224" s="5365"/>
    </row>
    <row r="225" ht="17.25" customHeight="1" spans="1:16">
      <c r="A225" s="5420"/>
      <c r="B225" s="5420" t="s">
        <v>128</v>
      </c>
      <c r="C225" s="5421" t="s">
        <v>16</v>
      </c>
      <c r="D225" s="5421" t="s">
        <v>17</v>
      </c>
      <c r="E225" s="5422" t="s">
        <v>18</v>
      </c>
      <c r="F225" s="5422" t="s">
        <v>19</v>
      </c>
      <c r="G225" s="5422" t="s">
        <v>20</v>
      </c>
      <c r="H225" s="5422"/>
      <c r="I225" s="5465" t="s">
        <v>117</v>
      </c>
      <c r="J225" s="5466" t="s">
        <v>118</v>
      </c>
      <c r="K225" s="5466" t="s">
        <v>119</v>
      </c>
      <c r="L225" s="5365"/>
      <c r="M225" s="5365"/>
      <c r="N225" s="5365"/>
      <c r="O225" s="5365"/>
      <c r="P225" s="5365"/>
    </row>
    <row r="226" ht="14.25" customHeight="1" spans="1:16">
      <c r="A226" s="5485">
        <v>1</v>
      </c>
      <c r="B226" s="5424" t="e">
        <f>INDEX($B$221:$B$223,MATCH(C226,$D$221:$D$223,0))</f>
        <v>#REF!</v>
      </c>
      <c r="C226" s="5467" t="e">
        <f>MAX(D221:D223)</f>
        <v>#REF!</v>
      </c>
      <c r="D226" s="5467" t="e">
        <f>INDEX($E$221:$E$223,MATCH(C226,$D$221:$D$223,0))</f>
        <v>#REF!</v>
      </c>
      <c r="E226" s="5425" t="e">
        <f t="shared" ref="E226:E229" si="37">C226-D226</f>
        <v>#REF!</v>
      </c>
      <c r="F226" s="5426" t="e">
        <f t="shared" ref="F226:F229" si="38">IF(E226&lt;0,E226*-1,E226)</f>
        <v>#REF!</v>
      </c>
      <c r="G226" s="5427">
        <f>IFERROR(F226/D226,0)</f>
        <v>0</v>
      </c>
      <c r="H226" s="5430" t="e">
        <f>IF(E226&lt;0,"DECREASE","INCREASE")</f>
        <v>#REF!</v>
      </c>
      <c r="I226" s="5425" t="e">
        <f>(C226+D226)/2</f>
        <v>#REF!</v>
      </c>
      <c r="J226" s="5469">
        <f>IFERROR((#REF!/Baza!$C$12*12)/I226,0)</f>
        <v>0</v>
      </c>
      <c r="K226" s="5425">
        <f t="shared" ref="K226:K228" si="39">IFERROR(ROUND(365/J226,0),0)</f>
        <v>0</v>
      </c>
      <c r="L226" s="5365"/>
      <c r="M226" s="5365"/>
      <c r="N226" s="5365"/>
      <c r="O226" s="5365"/>
      <c r="P226" s="5365"/>
    </row>
    <row r="227" ht="14.25" customHeight="1" spans="1:16">
      <c r="A227" s="5458">
        <v>2</v>
      </c>
      <c r="B227" s="5429" t="e">
        <f>INDEX($B$221:$B$223,MATCH(C227,$D$221:$D$223,0))</f>
        <v>#REF!</v>
      </c>
      <c r="C227" s="5470" t="e">
        <f>LARGE($D$221:$D$223,2)</f>
        <v>#REF!</v>
      </c>
      <c r="D227" s="5470" t="e">
        <f>INDEX($E$221:$E$223,MATCH(C227,$D$221:$D$223,0))</f>
        <v>#REF!</v>
      </c>
      <c r="E227" s="5430" t="e">
        <f t="shared" si="37"/>
        <v>#REF!</v>
      </c>
      <c r="F227" s="5431" t="e">
        <f t="shared" si="38"/>
        <v>#REF!</v>
      </c>
      <c r="G227" s="5432">
        <f t="shared" ref="G227:G229" si="40">IFERROR(F227/D227,0)</f>
        <v>0</v>
      </c>
      <c r="H227" s="5430" t="e">
        <f>IF(E227&lt;0,"DECREASE","INCREASE")</f>
        <v>#REF!</v>
      </c>
      <c r="I227" s="5430" t="e">
        <f t="shared" ref="I227:I229" si="41">(C227+D227)/2</f>
        <v>#REF!</v>
      </c>
      <c r="J227" s="5472">
        <f>IFERROR((#REF!/Baza!$C$12*12)/I227,0)</f>
        <v>0</v>
      </c>
      <c r="K227" s="5430">
        <f t="shared" si="39"/>
        <v>0</v>
      </c>
      <c r="L227" s="5365"/>
      <c r="M227" s="5365"/>
      <c r="N227" s="5365"/>
      <c r="O227" s="5365"/>
      <c r="P227" s="5365"/>
    </row>
    <row r="228" spans="1:16">
      <c r="A228" s="5486">
        <v>3</v>
      </c>
      <c r="B228" s="5434" t="e">
        <f>INDEX($B$221:$B$223,MATCH(C228,$D$221:$D$223,0))</f>
        <v>#REF!</v>
      </c>
      <c r="C228" s="5487" t="e">
        <f>LARGE($D$221:$D$223,3)</f>
        <v>#REF!</v>
      </c>
      <c r="D228" s="5487" t="e">
        <f>INDEX($E$221:$E$223,MATCH(C228,$D$221:$D$223,0))</f>
        <v>#REF!</v>
      </c>
      <c r="E228" s="5435" t="e">
        <f t="shared" si="37"/>
        <v>#REF!</v>
      </c>
      <c r="F228" s="5437" t="e">
        <f t="shared" si="38"/>
        <v>#REF!</v>
      </c>
      <c r="G228" s="5438">
        <f t="shared" si="40"/>
        <v>0</v>
      </c>
      <c r="H228" s="5430" t="e">
        <f t="shared" ref="H228:H229" si="42">IF(E228&lt;0,"DECREASE","INCREASE")</f>
        <v>#REF!</v>
      </c>
      <c r="I228" s="5435" t="e">
        <f t="shared" si="41"/>
        <v>#REF!</v>
      </c>
      <c r="J228" s="5488">
        <f>IFERROR((#REF!/Baza!$C$12*12)/I228,0)</f>
        <v>0</v>
      </c>
      <c r="K228" s="5435">
        <f t="shared" si="39"/>
        <v>0</v>
      </c>
      <c r="L228" s="5365"/>
      <c r="M228" s="5365"/>
      <c r="N228" s="5365"/>
      <c r="O228" s="5365"/>
      <c r="P228" s="5365"/>
    </row>
    <row r="229" spans="1:16">
      <c r="A229" s="5452">
        <v>4</v>
      </c>
      <c r="B229" s="5489" t="s">
        <v>187</v>
      </c>
      <c r="C229" s="5490" t="e">
        <f>SUM(C226:C228)</f>
        <v>#REF!</v>
      </c>
      <c r="D229" s="5490" t="e">
        <f>SUM(D226:D228)</f>
        <v>#REF!</v>
      </c>
      <c r="E229" s="5441" t="e">
        <f t="shared" si="37"/>
        <v>#REF!</v>
      </c>
      <c r="F229" s="5442" t="e">
        <f t="shared" si="38"/>
        <v>#REF!</v>
      </c>
      <c r="G229" s="5443">
        <f t="shared" si="40"/>
        <v>0</v>
      </c>
      <c r="H229" s="5430" t="e">
        <f t="shared" si="42"/>
        <v>#REF!</v>
      </c>
      <c r="I229" s="5441" t="e">
        <f t="shared" si="41"/>
        <v>#REF!</v>
      </c>
      <c r="J229" s="5491">
        <f>IFERROR((#REF!/Baza!$C$12*12)/I229,0)</f>
        <v>0</v>
      </c>
      <c r="K229" s="5441">
        <f>SUM(K226:K228)</f>
        <v>0</v>
      </c>
      <c r="L229" s="5365"/>
      <c r="M229" s="5365"/>
      <c r="N229" s="5365"/>
      <c r="O229" s="5365"/>
      <c r="P229" s="5365"/>
    </row>
    <row r="230" spans="1:16">
      <c r="A230" s="5365"/>
      <c r="B230" s="5365"/>
      <c r="C230" s="5365"/>
      <c r="D230" s="5365"/>
      <c r="E230" s="5365"/>
      <c r="F230" s="5365"/>
      <c r="G230" s="5365"/>
      <c r="H230" s="5365"/>
      <c r="I230" s="5365"/>
      <c r="J230" s="5365"/>
      <c r="K230" s="5365"/>
      <c r="L230" s="5365"/>
      <c r="M230" s="5365"/>
      <c r="N230" s="5365"/>
      <c r="O230" s="5365"/>
      <c r="P230" s="5365"/>
    </row>
    <row r="231" spans="1:16">
      <c r="A231" s="5365"/>
      <c r="B231" s="5365"/>
      <c r="C231" s="5365"/>
      <c r="D231" s="5365"/>
      <c r="E231" s="5365"/>
      <c r="F231" s="5365"/>
      <c r="G231" s="5365"/>
      <c r="H231" s="5365"/>
      <c r="I231" s="5505"/>
      <c r="J231" s="5505"/>
      <c r="K231" s="5505"/>
      <c r="L231" s="5505"/>
      <c r="M231" s="5505"/>
      <c r="N231" s="5505"/>
      <c r="O231" s="5505"/>
      <c r="P231" s="5505"/>
    </row>
    <row r="232" ht="17.25" customHeight="1" spans="1:16">
      <c r="A232" s="5420"/>
      <c r="B232" s="5420" t="s">
        <v>188</v>
      </c>
      <c r="C232" s="5421" t="s">
        <v>16</v>
      </c>
      <c r="D232" s="5421" t="s">
        <v>17</v>
      </c>
      <c r="E232" s="5422" t="s">
        <v>18</v>
      </c>
      <c r="F232" s="5422" t="s">
        <v>19</v>
      </c>
      <c r="G232" s="5422" t="s">
        <v>20</v>
      </c>
      <c r="H232" s="5422"/>
      <c r="I232" s="5365"/>
      <c r="J232" s="5365"/>
      <c r="K232" s="5365"/>
      <c r="L232" s="5365"/>
      <c r="M232" s="5365"/>
      <c r="N232" s="5365"/>
      <c r="O232" s="5365"/>
      <c r="P232" s="5365"/>
    </row>
    <row r="233" ht="14.25" customHeight="1" spans="1:16">
      <c r="A233" s="5485">
        <v>1</v>
      </c>
      <c r="B233" s="5424" t="e">
        <f>INDEX($B$252:$B$302,MATCH(C233,$C$252:$C$302,0))</f>
        <v>#REF!</v>
      </c>
      <c r="C233" s="5467" t="e">
        <f>MAX($C$252:$C$274)</f>
        <v>#REF!</v>
      </c>
      <c r="D233" s="5467" t="e">
        <f>INDEX($D$252:$D$302,MATCH(C233,$C$252:$C$302,0))</f>
        <v>#REF!</v>
      </c>
      <c r="E233" s="5425" t="e">
        <f>C233-D233</f>
        <v>#REF!</v>
      </c>
      <c r="F233" s="5426" t="e">
        <f t="shared" ref="F233:F239" si="43">IF(E233&lt;0,E233*-1,E233)</f>
        <v>#REF!</v>
      </c>
      <c r="G233" s="5427">
        <f>IFERROR(F233/D233,0)</f>
        <v>0</v>
      </c>
      <c r="H233" s="5430" t="e">
        <f>IF(E233&lt;0,"DECREASE","INCREASE")</f>
        <v>#REF!</v>
      </c>
      <c r="I233" s="5365"/>
      <c r="J233" s="5365"/>
      <c r="K233" s="5365"/>
      <c r="L233" s="5365"/>
      <c r="M233" s="5365"/>
      <c r="N233" s="5365"/>
      <c r="O233" s="5365"/>
      <c r="P233" s="5365"/>
    </row>
    <row r="234" ht="14.25" customHeight="1" spans="1:16">
      <c r="A234" s="5458">
        <v>2</v>
      </c>
      <c r="B234" s="5429" t="e">
        <f>INDEX($B$252:$B$302,MATCH(C234,$C$252:$C$302,0))</f>
        <v>#REF!</v>
      </c>
      <c r="C234" s="5470" t="e">
        <f>LARGE($C$252:$C$274,2)</f>
        <v>#REF!</v>
      </c>
      <c r="D234" s="5470" t="e">
        <f>INDEX($D$252:$D$302,MATCH(C234,$C$252:$C$302,0))</f>
        <v>#REF!</v>
      </c>
      <c r="E234" s="5430" t="e">
        <f t="shared" ref="E234:E239" si="44">C234-D234</f>
        <v>#REF!</v>
      </c>
      <c r="F234" s="5431" t="e">
        <f t="shared" si="43"/>
        <v>#REF!</v>
      </c>
      <c r="G234" s="5432">
        <f>IFERROR(F234/D234,0)</f>
        <v>0</v>
      </c>
      <c r="H234" s="5430" t="e">
        <f>IF(E234&lt;0,"DECREASE","INCREASE")</f>
        <v>#REF!</v>
      </c>
      <c r="I234" s="5365"/>
      <c r="J234" s="5365"/>
      <c r="K234" s="5365"/>
      <c r="L234" s="5365"/>
      <c r="M234" s="5365"/>
      <c r="N234" s="5365"/>
      <c r="O234" s="5365"/>
      <c r="P234" s="5365"/>
    </row>
    <row r="235" spans="1:16">
      <c r="A235" s="5458">
        <v>3</v>
      </c>
      <c r="B235" s="5429" t="e">
        <f>INDEX($B$252:$B$302,MATCH(C235,$C$252:$C$302,0))</f>
        <v>#REF!</v>
      </c>
      <c r="C235" s="5470" t="e">
        <f>LARGE($C$252:$C$274,3)</f>
        <v>#REF!</v>
      </c>
      <c r="D235" s="5470" t="e">
        <f>INDEX($D$252:$D$302,MATCH(C235,$C$252:$C$302,0))</f>
        <v>#REF!</v>
      </c>
      <c r="E235" s="5430" t="e">
        <f t="shared" si="44"/>
        <v>#REF!</v>
      </c>
      <c r="F235" s="5431" t="e">
        <f t="shared" si="43"/>
        <v>#REF!</v>
      </c>
      <c r="G235" s="5432">
        <f t="shared" ref="G235:G239" si="45">IFERROR(F235/D235,0)</f>
        <v>0</v>
      </c>
      <c r="H235" s="5430" t="e">
        <f t="shared" ref="H235:H239" si="46">IF(E235&lt;0,"DECREASE","INCREASE")</f>
        <v>#REF!</v>
      </c>
      <c r="I235" s="5365"/>
      <c r="J235" s="5365"/>
      <c r="K235" s="5365"/>
      <c r="L235" s="5365"/>
      <c r="M235" s="5365"/>
      <c r="N235" s="5365"/>
      <c r="O235" s="5365"/>
      <c r="P235" s="5365"/>
    </row>
    <row r="236" spans="1:16">
      <c r="A236" s="5458">
        <v>4</v>
      </c>
      <c r="B236" s="5429" t="e">
        <f>INDEX($B$252:$B$302,MATCH(C236,$C$252:$C$302,0))</f>
        <v>#REF!</v>
      </c>
      <c r="C236" s="5470" t="e">
        <f>LARGE($C$252:$C$274,4)</f>
        <v>#REF!</v>
      </c>
      <c r="D236" s="5470" t="e">
        <f>INDEX($D$252:$D$302,MATCH(C236,$C$252:$C$302,0))</f>
        <v>#REF!</v>
      </c>
      <c r="E236" s="5430" t="e">
        <f t="shared" si="44"/>
        <v>#REF!</v>
      </c>
      <c r="F236" s="5431" t="e">
        <f t="shared" si="43"/>
        <v>#REF!</v>
      </c>
      <c r="G236" s="5432">
        <f t="shared" si="45"/>
        <v>0</v>
      </c>
      <c r="H236" s="5430" t="e">
        <f t="shared" si="46"/>
        <v>#REF!</v>
      </c>
      <c r="I236" s="5365"/>
      <c r="J236" s="5365"/>
      <c r="K236" s="5365"/>
      <c r="L236" s="5365"/>
      <c r="M236" s="5365"/>
      <c r="N236" s="5365"/>
      <c r="O236" s="5365"/>
      <c r="P236" s="5365"/>
    </row>
    <row r="237" spans="1:16">
      <c r="A237" s="5458">
        <v>5</v>
      </c>
      <c r="B237" s="5429" t="e">
        <f>INDEX($B$252:$B$302,MATCH(C237,$C$252:$C$302,0))</f>
        <v>#REF!</v>
      </c>
      <c r="C237" s="5470" t="e">
        <f>LARGE($C$252:$C$274,5)</f>
        <v>#REF!</v>
      </c>
      <c r="D237" s="5470" t="e">
        <f>INDEX($D$252:$D$302,MATCH(C237,$C$252:$C$302,0))</f>
        <v>#REF!</v>
      </c>
      <c r="E237" s="5430" t="e">
        <f t="shared" si="44"/>
        <v>#REF!</v>
      </c>
      <c r="F237" s="5431" t="e">
        <f t="shared" si="43"/>
        <v>#REF!</v>
      </c>
      <c r="G237" s="5432">
        <f t="shared" si="45"/>
        <v>0</v>
      </c>
      <c r="H237" s="5430" t="e">
        <f t="shared" si="46"/>
        <v>#REF!</v>
      </c>
      <c r="I237" s="5365"/>
      <c r="J237" s="5365"/>
      <c r="K237" s="5365"/>
      <c r="L237" s="5365"/>
      <c r="M237" s="5365"/>
      <c r="N237" s="5365"/>
      <c r="O237" s="5365"/>
      <c r="P237" s="5365"/>
    </row>
    <row r="238" spans="1:16">
      <c r="A238" s="5458">
        <v>6</v>
      </c>
      <c r="B238" s="5598" t="s">
        <v>189</v>
      </c>
      <c r="C238" s="5470" t="e">
        <f>C239-SUM(C233:C237)</f>
        <v>#REF!</v>
      </c>
      <c r="D238" s="5470" t="e">
        <f>D239-SUM(D233:D237)</f>
        <v>#REF!</v>
      </c>
      <c r="E238" s="5430" t="e">
        <f t="shared" si="44"/>
        <v>#REF!</v>
      </c>
      <c r="F238" s="5431" t="e">
        <f t="shared" si="43"/>
        <v>#REF!</v>
      </c>
      <c r="G238" s="5432">
        <f t="shared" si="45"/>
        <v>0</v>
      </c>
      <c r="H238" s="5430" t="e">
        <f t="shared" si="46"/>
        <v>#REF!</v>
      </c>
      <c r="I238" s="5365"/>
      <c r="J238" s="5365"/>
      <c r="K238" s="5365"/>
      <c r="L238" s="5365"/>
      <c r="M238" s="5365"/>
      <c r="N238" s="5365"/>
      <c r="O238" s="5365"/>
      <c r="P238" s="5365"/>
    </row>
    <row r="239" spans="1:16">
      <c r="A239" s="5459">
        <v>7</v>
      </c>
      <c r="B239" s="5507" t="s">
        <v>190</v>
      </c>
      <c r="C239" s="5508" t="e">
        <f>SUM(C252:C274)</f>
        <v>#REF!</v>
      </c>
      <c r="D239" s="5508" t="e">
        <f>#REF!</f>
        <v>#REF!</v>
      </c>
      <c r="E239" s="5436" t="e">
        <f t="shared" si="44"/>
        <v>#REF!</v>
      </c>
      <c r="F239" s="5463" t="e">
        <f t="shared" si="43"/>
        <v>#REF!</v>
      </c>
      <c r="G239" s="5475">
        <f t="shared" si="45"/>
        <v>0</v>
      </c>
      <c r="H239" s="5430" t="e">
        <f t="shared" si="46"/>
        <v>#REF!</v>
      </c>
      <c r="I239" s="5365"/>
      <c r="J239" s="5365"/>
      <c r="K239" s="5365"/>
      <c r="L239" s="5365"/>
      <c r="M239" s="5365"/>
      <c r="N239" s="5365"/>
      <c r="O239" s="5365"/>
      <c r="P239" s="5365"/>
    </row>
    <row r="240" ht="16.5" customHeight="1" spans="1:16">
      <c r="A240" s="5365"/>
      <c r="B240" s="5365"/>
      <c r="C240" s="5365"/>
      <c r="D240" s="5365"/>
      <c r="E240" s="5365"/>
      <c r="F240" s="5365"/>
      <c r="G240" s="5365"/>
      <c r="H240" s="5365"/>
      <c r="I240" s="5505"/>
      <c r="J240" s="5505"/>
      <c r="K240" s="5505"/>
      <c r="L240" s="5505"/>
      <c r="M240" s="5505"/>
      <c r="N240" s="5505"/>
      <c r="O240" s="5505"/>
      <c r="P240" s="5505"/>
    </row>
    <row r="241" ht="17.25" customHeight="1" spans="1:16">
      <c r="A241" s="5420"/>
      <c r="B241" s="5420" t="s">
        <v>191</v>
      </c>
      <c r="C241" s="5421" t="s">
        <v>16</v>
      </c>
      <c r="D241" s="5421" t="s">
        <v>17</v>
      </c>
      <c r="E241" s="5422" t="s">
        <v>18</v>
      </c>
      <c r="F241" s="5422" t="s">
        <v>19</v>
      </c>
      <c r="G241" s="5422" t="s">
        <v>20</v>
      </c>
      <c r="H241" s="5422"/>
      <c r="I241" s="5365"/>
      <c r="J241" s="5365"/>
      <c r="K241" s="5365"/>
      <c r="L241" s="5365"/>
      <c r="M241" s="5365"/>
      <c r="N241" s="5365"/>
      <c r="O241" s="5365"/>
      <c r="P241" s="5365"/>
    </row>
    <row r="242" ht="14.25" customHeight="1" spans="1:16">
      <c r="A242" s="5599" t="s">
        <v>192</v>
      </c>
      <c r="B242" s="5424" t="e">
        <f>INDEX($B$252:$B$302,MATCH(C242,$C$252:$C$302,0))</f>
        <v>#REF!</v>
      </c>
      <c r="C242" s="5467" t="e">
        <f>MAX($C$276:$C$302)</f>
        <v>#REF!</v>
      </c>
      <c r="D242" s="5467" t="e">
        <f>INDEX($D$252:$D$302,MATCH(C242,$C$252:$C$302,0))</f>
        <v>#REF!</v>
      </c>
      <c r="E242" s="5425" t="e">
        <f>C242-D242</f>
        <v>#REF!</v>
      </c>
      <c r="F242" s="5426" t="e">
        <f t="shared" ref="F242:F248" si="47">IF(E242&lt;0,E242*-1,E242)</f>
        <v>#REF!</v>
      </c>
      <c r="G242" s="5427">
        <f t="shared" ref="G242:G248" si="48">IFERROR(F242/D242,0)</f>
        <v>0</v>
      </c>
      <c r="H242" s="5430" t="e">
        <f>IF(E242&lt;0,"DECREASE","INCREASE")</f>
        <v>#REF!</v>
      </c>
      <c r="I242" s="5365"/>
      <c r="J242" s="5365"/>
      <c r="K242" s="5365"/>
      <c r="L242" s="5365"/>
      <c r="M242" s="5365"/>
      <c r="N242" s="5365"/>
      <c r="O242" s="5365"/>
      <c r="P242" s="5365"/>
    </row>
    <row r="243" ht="14.25" customHeight="1" spans="1:16">
      <c r="A243" s="5473" t="s">
        <v>193</v>
      </c>
      <c r="B243" s="5429" t="e">
        <f>INDEX($B$252:$B$302,MATCH(C243,$C$252:$C$302,0))</f>
        <v>#REF!</v>
      </c>
      <c r="C243" s="5470" t="e">
        <f>LARGE($C$276:$C$302,2)</f>
        <v>#REF!</v>
      </c>
      <c r="D243" s="5470" t="e">
        <f>INDEX($D$252:$D$302,MATCH(C243,$C$252:$C$302,0))</f>
        <v>#REF!</v>
      </c>
      <c r="E243" s="5430" t="e">
        <f t="shared" ref="E243:E248" si="49">C243-D243</f>
        <v>#REF!</v>
      </c>
      <c r="F243" s="5431" t="e">
        <f t="shared" si="47"/>
        <v>#REF!</v>
      </c>
      <c r="G243" s="5432">
        <f t="shared" si="48"/>
        <v>0</v>
      </c>
      <c r="H243" s="5430" t="e">
        <f>IF(E243&lt;0,"DECREASE","INCREASE")</f>
        <v>#REF!</v>
      </c>
      <c r="I243" s="5365"/>
      <c r="J243" s="5365"/>
      <c r="K243" s="5365"/>
      <c r="L243" s="5365"/>
      <c r="M243" s="5365"/>
      <c r="N243" s="5365"/>
      <c r="O243" s="5365"/>
      <c r="P243" s="5365"/>
    </row>
    <row r="244" spans="1:16">
      <c r="A244" s="5473" t="s">
        <v>194</v>
      </c>
      <c r="B244" s="5429" t="e">
        <f>INDEX($B$252:$B$302,MATCH(C244,$C$252:$C$302,0))</f>
        <v>#REF!</v>
      </c>
      <c r="C244" s="5470" t="e">
        <f>LARGE($C$276:$C$302,3)</f>
        <v>#REF!</v>
      </c>
      <c r="D244" s="5470" t="e">
        <f>INDEX($D$252:$D$302,MATCH(C244,$C$252:$C$302,0))</f>
        <v>#REF!</v>
      </c>
      <c r="E244" s="5430" t="e">
        <f t="shared" si="49"/>
        <v>#REF!</v>
      </c>
      <c r="F244" s="5431" t="e">
        <f t="shared" si="47"/>
        <v>#REF!</v>
      </c>
      <c r="G244" s="5432">
        <f t="shared" si="48"/>
        <v>0</v>
      </c>
      <c r="H244" s="5430" t="e">
        <f t="shared" ref="H244:H248" si="50">IF(E244&lt;0,"DECREASE","INCREASE")</f>
        <v>#REF!</v>
      </c>
      <c r="I244" s="5365"/>
      <c r="J244" s="5365"/>
      <c r="K244" s="5365"/>
      <c r="L244" s="5365"/>
      <c r="M244" s="5365"/>
      <c r="N244" s="5365"/>
      <c r="O244" s="5365"/>
      <c r="P244" s="5365"/>
    </row>
    <row r="245" spans="1:16">
      <c r="A245" s="5473" t="s">
        <v>195</v>
      </c>
      <c r="B245" s="5429" t="e">
        <f>INDEX($B$252:$B$302,MATCH(C245,$C$252:$C$302,0))</f>
        <v>#REF!</v>
      </c>
      <c r="C245" s="5470" t="e">
        <f>LARGE($C$276:$C$302,4)</f>
        <v>#REF!</v>
      </c>
      <c r="D245" s="5470" t="e">
        <f>INDEX($D$252:$D$302,MATCH(C245,$C$252:$C$302,0))</f>
        <v>#REF!</v>
      </c>
      <c r="E245" s="5430" t="e">
        <f t="shared" si="49"/>
        <v>#REF!</v>
      </c>
      <c r="F245" s="5431" t="e">
        <f t="shared" si="47"/>
        <v>#REF!</v>
      </c>
      <c r="G245" s="5432">
        <f t="shared" si="48"/>
        <v>0</v>
      </c>
      <c r="H245" s="5430" t="e">
        <f t="shared" si="50"/>
        <v>#REF!</v>
      </c>
      <c r="I245" s="5365"/>
      <c r="J245" s="5365"/>
      <c r="K245" s="5365"/>
      <c r="L245" s="5365"/>
      <c r="M245" s="5365"/>
      <c r="N245" s="5365"/>
      <c r="O245" s="5365"/>
      <c r="P245" s="5365"/>
    </row>
    <row r="246" spans="1:16">
      <c r="A246" s="5473"/>
      <c r="B246" s="5429" t="e">
        <f>INDEX($B$252:$B$302,MATCH(C246,$C$252:$C$302,0))</f>
        <v>#REF!</v>
      </c>
      <c r="C246" s="5470" t="e">
        <f>LARGE($C$276:$C$302,5)</f>
        <v>#REF!</v>
      </c>
      <c r="D246" s="5470" t="e">
        <f>INDEX($D$252:$D$302,MATCH(C246,$C$252:$C$302,0))</f>
        <v>#REF!</v>
      </c>
      <c r="E246" s="5430" t="e">
        <f t="shared" si="49"/>
        <v>#REF!</v>
      </c>
      <c r="F246" s="5431" t="e">
        <f t="shared" si="47"/>
        <v>#REF!</v>
      </c>
      <c r="G246" s="5432">
        <f t="shared" si="48"/>
        <v>0</v>
      </c>
      <c r="H246" s="5430" t="e">
        <f t="shared" si="50"/>
        <v>#REF!</v>
      </c>
      <c r="I246" s="5365"/>
      <c r="J246" s="5365"/>
      <c r="K246" s="5365"/>
      <c r="L246" s="5365"/>
      <c r="M246" s="5365"/>
      <c r="N246" s="5365"/>
      <c r="O246" s="5365"/>
      <c r="P246" s="5365"/>
    </row>
    <row r="247" spans="1:16">
      <c r="A247" s="5458"/>
      <c r="B247" s="5598" t="s">
        <v>196</v>
      </c>
      <c r="C247" s="5470" t="e">
        <f>C248-SUM(C242:C246)</f>
        <v>#REF!</v>
      </c>
      <c r="D247" s="5470" t="e">
        <f>D248-SUM(D242:D246)</f>
        <v>#REF!</v>
      </c>
      <c r="E247" s="5430" t="e">
        <f t="shared" si="49"/>
        <v>#REF!</v>
      </c>
      <c r="F247" s="5431" t="e">
        <f t="shared" si="47"/>
        <v>#REF!</v>
      </c>
      <c r="G247" s="5432">
        <f t="shared" si="48"/>
        <v>0</v>
      </c>
      <c r="H247" s="5430" t="e">
        <f t="shared" si="50"/>
        <v>#REF!</v>
      </c>
      <c r="I247" s="5365"/>
      <c r="J247" s="5365"/>
      <c r="K247" s="5365"/>
      <c r="L247" s="5365"/>
      <c r="M247" s="5365"/>
      <c r="N247" s="5365"/>
      <c r="O247" s="5365"/>
      <c r="P247" s="5365"/>
    </row>
    <row r="248" spans="1:16">
      <c r="A248" s="5459"/>
      <c r="B248" s="5507" t="s">
        <v>197</v>
      </c>
      <c r="C248" s="5508" t="e">
        <f>SUM(C276:C302)</f>
        <v>#REF!</v>
      </c>
      <c r="D248" s="5508" t="e">
        <f>#REF!-#REF!-#REF!</f>
        <v>#REF!</v>
      </c>
      <c r="E248" s="5436" t="e">
        <f t="shared" si="49"/>
        <v>#REF!</v>
      </c>
      <c r="F248" s="5463" t="e">
        <f t="shared" si="47"/>
        <v>#REF!</v>
      </c>
      <c r="G248" s="5475">
        <f t="shared" si="48"/>
        <v>0</v>
      </c>
      <c r="H248" s="5430" t="e">
        <f t="shared" si="50"/>
        <v>#REF!</v>
      </c>
      <c r="I248" s="5365"/>
      <c r="J248" s="5365"/>
      <c r="K248" s="5365"/>
      <c r="L248" s="5365"/>
      <c r="M248" s="5365"/>
      <c r="N248" s="5365"/>
      <c r="O248" s="5365"/>
      <c r="P248" s="5365"/>
    </row>
    <row r="249" spans="1:16">
      <c r="A249" s="5365"/>
      <c r="B249" s="5365"/>
      <c r="C249" s="5365"/>
      <c r="D249" s="5365"/>
      <c r="E249" s="5365"/>
      <c r="F249" s="5365"/>
      <c r="G249" s="5365"/>
      <c r="H249" s="5365"/>
      <c r="I249" s="5505"/>
      <c r="J249" s="5505"/>
      <c r="K249" s="5505"/>
      <c r="L249" s="5505"/>
      <c r="M249" s="5505"/>
      <c r="N249" s="5505"/>
      <c r="O249" s="5505"/>
      <c r="P249" s="5505"/>
    </row>
    <row r="250" spans="1:16">
      <c r="A250" s="5365"/>
      <c r="B250" s="5365"/>
      <c r="C250" s="5365"/>
      <c r="D250" s="5365"/>
      <c r="E250" s="5365"/>
      <c r="F250" s="5365"/>
      <c r="G250" s="5365"/>
      <c r="H250" s="5365"/>
      <c r="I250" s="5505"/>
      <c r="J250" s="5505"/>
      <c r="K250" s="5505"/>
      <c r="L250" s="5505"/>
      <c r="M250" s="5505"/>
      <c r="N250" s="5505"/>
      <c r="O250" s="5505"/>
      <c r="P250" s="5505"/>
    </row>
    <row r="251" ht="15" customHeight="1" spans="1:16">
      <c r="A251" s="5420"/>
      <c r="B251" s="5420" t="s">
        <v>198</v>
      </c>
      <c r="C251" s="5421" t="s">
        <v>16</v>
      </c>
      <c r="D251" s="5421" t="s">
        <v>17</v>
      </c>
      <c r="E251" s="5421" t="s">
        <v>25</v>
      </c>
      <c r="F251" s="5365"/>
      <c r="G251" s="5365"/>
      <c r="H251" s="5365"/>
      <c r="I251" s="5505"/>
      <c r="J251" s="5505"/>
      <c r="K251" s="5505"/>
      <c r="L251" s="5505"/>
      <c r="M251" s="5505"/>
      <c r="N251" s="5505"/>
      <c r="O251" s="5505"/>
      <c r="P251" s="5505"/>
    </row>
    <row r="252" spans="1:16">
      <c r="B252" s="3843" t="s">
        <v>199</v>
      </c>
      <c r="C252" s="5509" t="e">
        <f>#REF!</f>
        <v>#REF!</v>
      </c>
      <c r="D252" s="5499" t="e">
        <f>#REF!</f>
        <v>#REF!</v>
      </c>
      <c r="E252" s="5365"/>
      <c r="F252" s="5365"/>
      <c r="G252" s="5365"/>
      <c r="H252" s="5365"/>
      <c r="I252" s="5365"/>
      <c r="J252" s="5365"/>
      <c r="K252" s="5365"/>
      <c r="L252" s="5365"/>
      <c r="M252" s="5365"/>
      <c r="N252" s="5365"/>
      <c r="O252" s="5365"/>
      <c r="P252" s="5365"/>
    </row>
    <row r="253" spans="1:16">
      <c r="B253" s="3845" t="s">
        <v>200</v>
      </c>
      <c r="C253" s="5506" t="e">
        <f>#REF!</f>
        <v>#REF!</v>
      </c>
      <c r="D253" s="1112" t="e">
        <f>#REF!</f>
        <v>#REF!</v>
      </c>
      <c r="E253" s="5365"/>
      <c r="F253" s="5365"/>
      <c r="G253" s="5365"/>
      <c r="H253" s="5365"/>
      <c r="I253" s="5365"/>
      <c r="J253" s="5365"/>
      <c r="K253" s="5365"/>
      <c r="L253" s="5365"/>
      <c r="M253" s="5365"/>
      <c r="N253" s="5365"/>
      <c r="O253" s="5365"/>
      <c r="P253" s="5365"/>
    </row>
    <row r="254" spans="1:16">
      <c r="B254" s="3845" t="s">
        <v>201</v>
      </c>
      <c r="C254" s="5506" t="e">
        <f>#REF!</f>
        <v>#REF!</v>
      </c>
      <c r="D254" s="1112" t="e">
        <f>#REF!</f>
        <v>#REF!</v>
      </c>
      <c r="E254" s="5365"/>
      <c r="F254" s="5365"/>
      <c r="G254" s="5365"/>
      <c r="H254" s="5365"/>
      <c r="I254" s="5365"/>
      <c r="J254" s="5365"/>
      <c r="K254" s="5365"/>
      <c r="L254" s="5365"/>
      <c r="M254" s="5365"/>
      <c r="N254" s="5365"/>
      <c r="O254" s="5365"/>
      <c r="P254" s="5365"/>
    </row>
    <row r="255" spans="1:16">
      <c r="B255" s="3845" t="s">
        <v>202</v>
      </c>
      <c r="C255" s="5506" t="e">
        <f>#REF!</f>
        <v>#REF!</v>
      </c>
      <c r="D255" s="1112" t="e">
        <f>#REF!</f>
        <v>#REF!</v>
      </c>
      <c r="E255" s="5365"/>
      <c r="F255" s="5365"/>
      <c r="G255" s="5365"/>
      <c r="H255" s="5365"/>
      <c r="I255" s="5365"/>
      <c r="J255" s="5365"/>
      <c r="K255" s="5365"/>
      <c r="L255" s="5365"/>
      <c r="M255" s="5365"/>
      <c r="N255" s="5365"/>
      <c r="O255" s="5365"/>
      <c r="P255" s="5365"/>
    </row>
    <row r="256" spans="1:16">
      <c r="B256" s="3845" t="s">
        <v>203</v>
      </c>
      <c r="C256" s="5506" t="e">
        <f>#REF!</f>
        <v>#REF!</v>
      </c>
      <c r="D256" s="1112" t="e">
        <f>#REF!</f>
        <v>#REF!</v>
      </c>
      <c r="E256" s="5365"/>
      <c r="F256" s="5365"/>
      <c r="G256" s="5365"/>
      <c r="H256" s="5365"/>
      <c r="I256" s="5365"/>
      <c r="J256" s="5365"/>
      <c r="K256" s="5365"/>
      <c r="L256" s="5365"/>
      <c r="M256" s="5365"/>
      <c r="N256" s="5365"/>
      <c r="O256" s="5365"/>
      <c r="P256" s="5365"/>
    </row>
    <row r="257" spans="2:16">
      <c r="B257" s="3845" t="s">
        <v>204</v>
      </c>
      <c r="C257" s="5506" t="e">
        <f>#REF!</f>
        <v>#REF!</v>
      </c>
      <c r="D257" s="1112" t="e">
        <f>#REF!</f>
        <v>#REF!</v>
      </c>
      <c r="E257" s="5365"/>
      <c r="F257" s="5365"/>
      <c r="G257" s="5365"/>
      <c r="H257" s="5365"/>
      <c r="I257" s="5365"/>
      <c r="J257" s="5365"/>
      <c r="K257" s="5365"/>
      <c r="L257" s="5365"/>
      <c r="M257" s="5365"/>
      <c r="N257" s="5365"/>
      <c r="O257" s="5365"/>
      <c r="P257" s="5365"/>
    </row>
    <row r="258" spans="2:16">
      <c r="B258" s="415" t="s">
        <v>205</v>
      </c>
      <c r="C258" s="5506" t="e">
        <f>#REF!</f>
        <v>#REF!</v>
      </c>
      <c r="D258" s="1112" t="e">
        <f>#REF!</f>
        <v>#REF!</v>
      </c>
      <c r="E258" s="5365"/>
      <c r="F258" s="5365"/>
      <c r="G258" s="5365"/>
      <c r="H258" s="5365"/>
      <c r="I258" s="5365"/>
      <c r="J258" s="5365"/>
      <c r="K258" s="5365"/>
      <c r="L258" s="5365"/>
      <c r="M258" s="5365"/>
      <c r="N258" s="5365"/>
      <c r="O258" s="5365"/>
      <c r="P258" s="5365"/>
    </row>
    <row r="259" spans="2:16">
      <c r="B259" s="3845" t="s">
        <v>206</v>
      </c>
      <c r="C259" s="5506" t="e">
        <f>#REF!</f>
        <v>#REF!</v>
      </c>
      <c r="D259" s="1112" t="e">
        <f>#REF!</f>
        <v>#REF!</v>
      </c>
      <c r="E259" s="5365"/>
      <c r="F259" s="5365"/>
      <c r="G259" s="5365"/>
      <c r="H259" s="5365"/>
      <c r="I259" s="5365"/>
      <c r="J259" s="5365"/>
      <c r="K259" s="5365"/>
      <c r="L259" s="5365"/>
      <c r="M259" s="5365"/>
      <c r="N259" s="5365"/>
      <c r="O259" s="5365"/>
      <c r="P259" s="5365"/>
    </row>
    <row r="260" spans="2:16">
      <c r="B260" s="3845" t="s">
        <v>207</v>
      </c>
      <c r="C260" s="5506" t="e">
        <f>#REF!</f>
        <v>#REF!</v>
      </c>
      <c r="D260" s="1112" t="e">
        <f>#REF!</f>
        <v>#REF!</v>
      </c>
      <c r="E260" s="5365"/>
      <c r="F260" s="5365"/>
      <c r="G260" s="5365"/>
      <c r="H260" s="5365"/>
      <c r="I260" s="5365"/>
      <c r="J260" s="5365"/>
      <c r="K260" s="5365"/>
      <c r="L260" s="5365"/>
      <c r="M260" s="5365"/>
      <c r="N260" s="5365"/>
      <c r="O260" s="5365"/>
      <c r="P260" s="5365"/>
    </row>
    <row r="261" spans="2:16">
      <c r="B261" s="415" t="s">
        <v>208</v>
      </c>
      <c r="C261" s="5506" t="e">
        <f>#REF!</f>
        <v>#REF!</v>
      </c>
      <c r="D261" s="1112" t="e">
        <f>#REF!</f>
        <v>#REF!</v>
      </c>
      <c r="E261" s="5365"/>
      <c r="F261" s="5365"/>
      <c r="G261" s="5365"/>
      <c r="H261" s="5365"/>
      <c r="I261" s="5365"/>
      <c r="J261" s="5365"/>
      <c r="K261" s="5365"/>
      <c r="L261" s="5365"/>
      <c r="M261" s="5365"/>
      <c r="N261" s="5365"/>
      <c r="O261" s="5365"/>
      <c r="P261" s="5365"/>
    </row>
    <row r="262" spans="2:16">
      <c r="B262" s="415" t="s">
        <v>209</v>
      </c>
      <c r="C262" s="5506" t="e">
        <f>#REF!</f>
        <v>#REF!</v>
      </c>
      <c r="D262" s="1112" t="e">
        <f>#REF!</f>
        <v>#REF!</v>
      </c>
      <c r="E262" s="5365"/>
      <c r="F262" s="5365"/>
      <c r="G262" s="5365"/>
      <c r="H262" s="5365"/>
      <c r="I262" s="5365"/>
      <c r="J262" s="5365"/>
      <c r="K262" s="5365"/>
      <c r="L262" s="5365"/>
      <c r="M262" s="5365"/>
      <c r="N262" s="5365"/>
      <c r="O262" s="5365"/>
      <c r="P262" s="5365"/>
    </row>
    <row r="263" spans="2:16">
      <c r="B263" s="415" t="s">
        <v>210</v>
      </c>
      <c r="C263" s="5506" t="e">
        <f>#REF!</f>
        <v>#REF!</v>
      </c>
      <c r="D263" s="1112" t="e">
        <f>#REF!</f>
        <v>#REF!</v>
      </c>
      <c r="E263" s="5365"/>
      <c r="F263" s="5365"/>
      <c r="G263" s="5365"/>
      <c r="H263" s="5365"/>
      <c r="I263" s="5365"/>
      <c r="J263" s="5365"/>
      <c r="K263" s="5365"/>
      <c r="L263" s="5365"/>
      <c r="M263" s="5365"/>
      <c r="N263" s="5365"/>
      <c r="O263" s="5365"/>
      <c r="P263" s="5365"/>
    </row>
    <row r="264" spans="2:16">
      <c r="B264" s="415" t="s">
        <v>211</v>
      </c>
      <c r="C264" s="5506" t="e">
        <f>#REF!</f>
        <v>#REF!</v>
      </c>
      <c r="D264" s="1112" t="e">
        <f>#REF!</f>
        <v>#REF!</v>
      </c>
      <c r="E264" s="5365"/>
      <c r="F264" s="5365"/>
      <c r="G264" s="5365"/>
      <c r="H264" s="5365"/>
      <c r="I264" s="5365"/>
      <c r="J264" s="5365"/>
      <c r="K264" s="5365"/>
      <c r="L264" s="5365"/>
      <c r="M264" s="5365"/>
      <c r="N264" s="5365"/>
      <c r="O264" s="5365"/>
      <c r="P264" s="5365"/>
    </row>
    <row r="265" spans="2:16">
      <c r="B265" s="3845" t="s">
        <v>212</v>
      </c>
      <c r="C265" s="5506" t="e">
        <f>#REF!</f>
        <v>#REF!</v>
      </c>
      <c r="D265" s="1112" t="e">
        <f>#REF!</f>
        <v>#REF!</v>
      </c>
      <c r="E265" s="5365"/>
      <c r="F265" s="5365"/>
      <c r="G265" s="5365"/>
      <c r="H265" s="5365"/>
      <c r="I265" s="5365"/>
      <c r="J265" s="5365"/>
      <c r="K265" s="5365"/>
      <c r="L265" s="5365"/>
      <c r="M265" s="5365"/>
      <c r="N265" s="5365"/>
      <c r="O265" s="5365"/>
      <c r="P265" s="5365"/>
    </row>
    <row r="266" spans="2:16">
      <c r="B266" s="3845" t="s">
        <v>213</v>
      </c>
      <c r="C266" s="5506" t="e">
        <f>#REF!</f>
        <v>#REF!</v>
      </c>
      <c r="D266" s="1112" t="e">
        <f>#REF!</f>
        <v>#REF!</v>
      </c>
      <c r="E266" s="5365"/>
      <c r="F266" s="5365"/>
      <c r="G266" s="5365"/>
      <c r="H266" s="5365"/>
      <c r="I266" s="5365"/>
      <c r="J266" s="5365"/>
      <c r="K266" s="5365"/>
      <c r="L266" s="5365"/>
      <c r="M266" s="5365"/>
      <c r="N266" s="5365"/>
      <c r="O266" s="5365"/>
      <c r="P266" s="5365"/>
    </row>
    <row r="267" spans="2:16">
      <c r="B267" s="3845" t="s">
        <v>214</v>
      </c>
      <c r="C267" s="5506" t="e">
        <f>#REF!</f>
        <v>#REF!</v>
      </c>
      <c r="D267" s="1112" t="e">
        <f>#REF!</f>
        <v>#REF!</v>
      </c>
      <c r="E267" s="5365"/>
      <c r="F267" s="5365"/>
      <c r="G267" s="5365"/>
      <c r="H267" s="5365"/>
      <c r="I267" s="5365"/>
      <c r="J267" s="5365"/>
      <c r="K267" s="5365"/>
      <c r="L267" s="5365"/>
      <c r="M267" s="5365"/>
      <c r="N267" s="5365"/>
      <c r="O267" s="5365"/>
      <c r="P267" s="5365"/>
    </row>
    <row r="268" spans="2:16">
      <c r="B268" s="3845" t="s">
        <v>215</v>
      </c>
      <c r="C268" s="5506" t="e">
        <f>#REF!</f>
        <v>#REF!</v>
      </c>
      <c r="D268" s="1112" t="e">
        <f>#REF!</f>
        <v>#REF!</v>
      </c>
      <c r="E268" s="5365"/>
      <c r="F268" s="5365"/>
      <c r="G268" s="5365"/>
      <c r="H268" s="5365"/>
      <c r="I268" s="5365"/>
      <c r="J268" s="5365"/>
      <c r="K268" s="5365"/>
      <c r="L268" s="5365"/>
      <c r="M268" s="5365"/>
      <c r="N268" s="5365"/>
      <c r="O268" s="5365"/>
      <c r="P268" s="5365"/>
    </row>
    <row r="269" spans="2:16">
      <c r="B269" s="3845" t="s">
        <v>216</v>
      </c>
      <c r="C269" s="5506" t="e">
        <f>#REF!*-1</f>
        <v>#REF!</v>
      </c>
      <c r="D269" s="1112" t="e">
        <f>#REF!*-1</f>
        <v>#REF!</v>
      </c>
      <c r="E269" s="5365"/>
      <c r="F269" s="5365"/>
      <c r="G269" s="5365"/>
      <c r="H269" s="5365"/>
      <c r="I269" s="5365"/>
      <c r="J269" s="5365"/>
      <c r="K269" s="5365"/>
      <c r="L269" s="5365"/>
      <c r="M269" s="5365"/>
      <c r="N269" s="5365"/>
      <c r="O269" s="5365"/>
      <c r="P269" s="5365"/>
    </row>
    <row r="270" spans="2:16">
      <c r="B270" s="3845" t="s">
        <v>217</v>
      </c>
      <c r="C270" s="5506" t="e">
        <f>#REF!*-1</f>
        <v>#REF!</v>
      </c>
      <c r="D270" s="1112" t="e">
        <f>#REF!*-1</f>
        <v>#REF!</v>
      </c>
      <c r="E270" s="5365"/>
      <c r="F270" s="5365"/>
      <c r="G270" s="5365"/>
      <c r="H270" s="5365"/>
      <c r="I270" s="5365"/>
      <c r="J270" s="5365"/>
      <c r="K270" s="5365"/>
      <c r="L270" s="5365"/>
      <c r="M270" s="5365"/>
      <c r="N270" s="5365"/>
      <c r="O270" s="5365"/>
      <c r="P270" s="5365"/>
    </row>
    <row r="271" spans="2:16">
      <c r="B271" s="3845" t="s">
        <v>218</v>
      </c>
      <c r="C271" s="5506" t="e">
        <f>#REF!</f>
        <v>#REF!</v>
      </c>
      <c r="D271" s="1112" t="e">
        <f>#REF!</f>
        <v>#REF!</v>
      </c>
      <c r="E271" s="5365"/>
      <c r="F271" s="5365"/>
      <c r="G271" s="5365"/>
      <c r="H271" s="5365"/>
      <c r="I271" s="5365"/>
      <c r="J271" s="5365"/>
      <c r="K271" s="5365"/>
      <c r="L271" s="5365"/>
      <c r="M271" s="5365"/>
      <c r="N271" s="5365"/>
      <c r="O271" s="5365"/>
      <c r="P271" s="5365"/>
    </row>
    <row r="272" spans="2:16">
      <c r="B272" s="3845" t="s">
        <v>219</v>
      </c>
      <c r="C272" s="5506" t="e">
        <f>#REF!</f>
        <v>#REF!</v>
      </c>
      <c r="D272" s="1112" t="e">
        <f>#REF!</f>
        <v>#REF!</v>
      </c>
      <c r="E272" s="5365"/>
      <c r="F272" s="5365"/>
      <c r="G272" s="5365"/>
      <c r="H272" s="5365"/>
      <c r="I272" s="5365"/>
      <c r="J272" s="5365"/>
      <c r="K272" s="5365"/>
      <c r="L272" s="5365"/>
      <c r="M272" s="5365"/>
      <c r="N272" s="5365"/>
      <c r="O272" s="5365"/>
      <c r="P272" s="5365"/>
    </row>
    <row r="273" spans="2:16">
      <c r="B273" s="3845" t="s">
        <v>220</v>
      </c>
      <c r="C273" s="5506" t="e">
        <f>#REF!</f>
        <v>#REF!</v>
      </c>
      <c r="D273" s="1112" t="e">
        <f>#REF!</f>
        <v>#REF!</v>
      </c>
      <c r="E273" s="5365"/>
      <c r="F273" s="5365"/>
      <c r="G273" s="5365"/>
      <c r="H273" s="5365"/>
      <c r="I273" s="5365"/>
      <c r="J273" s="5365"/>
      <c r="K273" s="5365"/>
      <c r="L273" s="5365"/>
      <c r="M273" s="5365"/>
      <c r="N273" s="5365"/>
      <c r="O273" s="5365"/>
      <c r="P273" s="5365"/>
    </row>
    <row r="274" spans="2:16">
      <c r="B274" s="3845" t="s">
        <v>221</v>
      </c>
      <c r="C274" s="5506" t="e">
        <f>#REF!</f>
        <v>#REF!</v>
      </c>
      <c r="D274" s="1112" t="e">
        <f>#REF!</f>
        <v>#REF!</v>
      </c>
      <c r="E274" s="5365"/>
      <c r="F274" s="5365"/>
      <c r="G274" s="5365"/>
      <c r="H274" s="5365"/>
      <c r="I274" s="5365"/>
      <c r="J274" s="5365"/>
      <c r="K274" s="5365"/>
      <c r="L274" s="5365"/>
      <c r="M274" s="5365"/>
      <c r="N274" s="5365"/>
      <c r="O274" s="5365"/>
      <c r="P274" s="5365"/>
    </row>
    <row r="275" ht="13.5" spans="2:16">
      <c r="B275" s="5607" t="s">
        <v>222</v>
      </c>
      <c r="C275" s="5608" t="e">
        <f>#REF!</f>
        <v>#REF!</v>
      </c>
      <c r="D275" s="5609" t="e">
        <f>#REF!</f>
        <v>#REF!</v>
      </c>
      <c r="E275" s="5365"/>
      <c r="F275" s="5365"/>
      <c r="G275" s="5365"/>
      <c r="H275" s="5365"/>
      <c r="I275" s="5365"/>
      <c r="J275" s="5365"/>
      <c r="K275" s="5365"/>
      <c r="L275" s="5365"/>
      <c r="M275" s="5365"/>
      <c r="N275" s="5365"/>
      <c r="O275" s="5365"/>
      <c r="P275" s="5365"/>
    </row>
    <row r="276" ht="13.5" spans="2:16">
      <c r="B276" s="572" t="s">
        <v>223</v>
      </c>
      <c r="C276" s="1112" t="e">
        <f>#REF!</f>
        <v>#REF!</v>
      </c>
      <c r="D276" s="1112" t="e">
        <f>#REF!</f>
        <v>#REF!</v>
      </c>
      <c r="E276" s="5248" t="e">
        <f>IF(C276=0,"-",IFERROR(INDEX($A$242:$A$245,MATCH(C276,$C$242:$C$245,0)),"-"))</f>
        <v>#REF!</v>
      </c>
      <c r="F276" s="5365"/>
      <c r="G276" s="5365"/>
      <c r="H276" s="5365"/>
      <c r="I276" s="5365"/>
      <c r="J276" s="5365"/>
      <c r="K276" s="5365"/>
      <c r="L276" s="5365"/>
      <c r="M276" s="5365"/>
      <c r="N276" s="5365"/>
      <c r="O276" s="5365"/>
      <c r="P276" s="5365"/>
    </row>
    <row r="277" spans="2:16">
      <c r="B277" s="572" t="s">
        <v>224</v>
      </c>
      <c r="C277" s="1112" t="e">
        <f>#REF!</f>
        <v>#REF!</v>
      </c>
      <c r="D277" s="1112" t="e">
        <f>#REF!</f>
        <v>#REF!</v>
      </c>
      <c r="E277" s="5248" t="e">
        <f t="shared" ref="E277:E302" si="51">IF(C277=0,"-",IFERROR(INDEX($A$242:$A$245,MATCH(C277,$C$242:$C$245,0)),"-"))</f>
        <v>#REF!</v>
      </c>
      <c r="F277" s="5365"/>
      <c r="G277" s="5365"/>
      <c r="H277" s="5365"/>
      <c r="I277" s="5365"/>
      <c r="J277" s="5365"/>
      <c r="K277" s="5365"/>
      <c r="L277" s="5365"/>
      <c r="M277" s="5365"/>
      <c r="N277" s="5365"/>
      <c r="O277" s="5365"/>
      <c r="P277" s="5365"/>
    </row>
    <row r="278" spans="2:16">
      <c r="B278" s="572" t="s">
        <v>225</v>
      </c>
      <c r="C278" s="1112" t="e">
        <f>#REF!</f>
        <v>#REF!</v>
      </c>
      <c r="D278" s="1112" t="e">
        <f>#REF!</f>
        <v>#REF!</v>
      </c>
      <c r="E278" s="5248" t="e">
        <f t="shared" si="51"/>
        <v>#REF!</v>
      </c>
      <c r="F278" s="5365"/>
      <c r="G278" s="5365"/>
      <c r="H278" s="5365"/>
      <c r="I278" s="5365"/>
      <c r="J278" s="5365"/>
      <c r="K278" s="5365"/>
      <c r="L278" s="5365"/>
      <c r="M278" s="5365"/>
      <c r="N278" s="5365"/>
      <c r="O278" s="5365"/>
      <c r="P278" s="5365"/>
    </row>
    <row r="279" spans="2:16">
      <c r="B279" s="572" t="s">
        <v>226</v>
      </c>
      <c r="C279" s="1112" t="e">
        <f>#REF!</f>
        <v>#REF!</v>
      </c>
      <c r="D279" s="1112" t="e">
        <f>#REF!</f>
        <v>#REF!</v>
      </c>
      <c r="E279" s="5248" t="e">
        <f t="shared" si="51"/>
        <v>#REF!</v>
      </c>
      <c r="F279" s="5365"/>
      <c r="G279" s="5365"/>
      <c r="H279" s="5365"/>
      <c r="I279" s="5365"/>
      <c r="J279" s="5365"/>
      <c r="K279" s="5365"/>
      <c r="L279" s="5365"/>
      <c r="M279" s="5365"/>
      <c r="N279" s="5365"/>
      <c r="O279" s="5365"/>
      <c r="P279" s="5365"/>
    </row>
    <row r="280" spans="2:16">
      <c r="B280" s="572" t="s">
        <v>227</v>
      </c>
      <c r="C280" s="1112" t="e">
        <f>#REF!</f>
        <v>#REF!</v>
      </c>
      <c r="D280" s="1112" t="e">
        <f>#REF!</f>
        <v>#REF!</v>
      </c>
      <c r="E280" s="5248" t="e">
        <f t="shared" si="51"/>
        <v>#REF!</v>
      </c>
      <c r="F280" s="5365"/>
      <c r="G280" s="5365"/>
      <c r="H280" s="5365"/>
      <c r="I280" s="5365"/>
      <c r="J280" s="5365"/>
      <c r="K280" s="5365"/>
      <c r="L280" s="5365"/>
      <c r="M280" s="5365"/>
      <c r="N280" s="5365"/>
      <c r="O280" s="5365"/>
      <c r="P280" s="5365"/>
    </row>
    <row r="281" spans="2:16">
      <c r="B281" s="572" t="s">
        <v>228</v>
      </c>
      <c r="C281" s="1112" t="e">
        <f>#REF!</f>
        <v>#REF!</v>
      </c>
      <c r="D281" s="1112" t="e">
        <f>#REF!</f>
        <v>#REF!</v>
      </c>
      <c r="E281" s="5248" t="e">
        <f t="shared" si="51"/>
        <v>#REF!</v>
      </c>
      <c r="F281" s="5365"/>
      <c r="G281" s="5365"/>
      <c r="H281" s="5365"/>
      <c r="I281" s="5365"/>
      <c r="J281" s="5365"/>
      <c r="K281" s="5365"/>
      <c r="L281" s="5365"/>
      <c r="M281" s="5365"/>
      <c r="N281" s="5365"/>
      <c r="O281" s="5365"/>
      <c r="P281" s="5365"/>
    </row>
    <row r="282" spans="2:16">
      <c r="B282" s="2014" t="s">
        <v>229</v>
      </c>
      <c r="C282" s="5511" t="e">
        <f>#REF!</f>
        <v>#REF!</v>
      </c>
      <c r="D282" s="5511" t="e">
        <f>#REF!</f>
        <v>#REF!</v>
      </c>
      <c r="E282" s="5451" t="e">
        <f t="shared" si="51"/>
        <v>#REF!</v>
      </c>
      <c r="F282" s="5512"/>
      <c r="G282" s="5512"/>
      <c r="H282" s="5512"/>
      <c r="I282" s="5512"/>
      <c r="J282" s="5512"/>
      <c r="K282" s="5512"/>
      <c r="L282" s="5512"/>
      <c r="M282" s="5512"/>
      <c r="N282" s="5512"/>
      <c r="O282" s="5512"/>
      <c r="P282" s="5512"/>
    </row>
    <row r="283" spans="2:16">
      <c r="B283" s="572" t="s">
        <v>230</v>
      </c>
      <c r="C283" s="1112" t="e">
        <f>#REF!</f>
        <v>#REF!</v>
      </c>
      <c r="D283" s="1112" t="e">
        <f>#REF!</f>
        <v>#REF!</v>
      </c>
      <c r="E283" s="5248" t="e">
        <f t="shared" si="51"/>
        <v>#REF!</v>
      </c>
      <c r="F283" s="5365"/>
      <c r="G283" s="5365"/>
      <c r="H283" s="5365"/>
      <c r="I283" s="5365"/>
      <c r="J283" s="5365"/>
      <c r="K283" s="5365"/>
      <c r="L283" s="5365"/>
      <c r="M283" s="5365"/>
      <c r="N283" s="5365"/>
      <c r="O283" s="5365"/>
      <c r="P283" s="5365"/>
    </row>
    <row r="284" spans="2:16">
      <c r="B284" s="572" t="s">
        <v>231</v>
      </c>
      <c r="C284" s="1112" t="e">
        <f>#REF!</f>
        <v>#REF!</v>
      </c>
      <c r="D284" s="1112" t="e">
        <f>#REF!</f>
        <v>#REF!</v>
      </c>
      <c r="E284" s="5248" t="e">
        <f t="shared" si="51"/>
        <v>#REF!</v>
      </c>
      <c r="F284" s="5365"/>
      <c r="G284" s="5365"/>
      <c r="H284" s="5365"/>
      <c r="I284" s="5365"/>
      <c r="J284" s="5365"/>
      <c r="K284" s="5365"/>
      <c r="L284" s="5365"/>
      <c r="M284" s="5365"/>
      <c r="N284" s="5365"/>
      <c r="O284" s="5365"/>
      <c r="P284" s="5365"/>
    </row>
    <row r="285" spans="2:16">
      <c r="B285" s="572" t="s">
        <v>232</v>
      </c>
      <c r="C285" s="1112" t="e">
        <f>#REF!</f>
        <v>#REF!</v>
      </c>
      <c r="D285" s="1112" t="e">
        <f>#REF!</f>
        <v>#REF!</v>
      </c>
      <c r="E285" s="5248" t="e">
        <f t="shared" si="51"/>
        <v>#REF!</v>
      </c>
      <c r="F285" s="5365"/>
      <c r="G285" s="5365"/>
      <c r="H285" s="5365"/>
      <c r="I285" s="5365"/>
      <c r="J285" s="5365"/>
      <c r="K285" s="5365"/>
      <c r="L285" s="5365"/>
      <c r="M285" s="5365"/>
      <c r="N285" s="5365"/>
      <c r="O285" s="5365"/>
      <c r="P285" s="5365"/>
    </row>
    <row r="286" spans="2:16">
      <c r="B286" s="572" t="s">
        <v>233</v>
      </c>
      <c r="C286" s="1112" t="e">
        <f>#REF!</f>
        <v>#REF!</v>
      </c>
      <c r="D286" s="1112" t="e">
        <f>#REF!</f>
        <v>#REF!</v>
      </c>
      <c r="E286" s="5248" t="e">
        <f t="shared" si="51"/>
        <v>#REF!</v>
      </c>
      <c r="F286" s="5365"/>
      <c r="G286" s="5365"/>
      <c r="H286" s="5365"/>
      <c r="I286" s="5365"/>
      <c r="J286" s="5365"/>
      <c r="K286" s="5365"/>
      <c r="L286" s="5365"/>
      <c r="M286" s="5365"/>
      <c r="N286" s="5365"/>
      <c r="O286" s="5365"/>
      <c r="P286" s="5365"/>
    </row>
    <row r="287" spans="2:16">
      <c r="B287" s="572" t="s">
        <v>234</v>
      </c>
      <c r="C287" s="1112" t="e">
        <f>#REF!</f>
        <v>#REF!</v>
      </c>
      <c r="D287" s="1112" t="e">
        <f>#REF!</f>
        <v>#REF!</v>
      </c>
      <c r="E287" s="5248" t="e">
        <f t="shared" si="51"/>
        <v>#REF!</v>
      </c>
      <c r="F287" s="5365"/>
      <c r="G287" s="5365"/>
      <c r="H287" s="5365"/>
      <c r="I287" s="5365"/>
      <c r="J287" s="5365"/>
      <c r="K287" s="5365"/>
      <c r="L287" s="5365"/>
      <c r="M287" s="5365"/>
      <c r="N287" s="5365"/>
      <c r="O287" s="5365"/>
      <c r="P287" s="5365"/>
    </row>
    <row r="288" spans="2:16">
      <c r="B288" s="572" t="s">
        <v>235</v>
      </c>
      <c r="C288" s="1112" t="e">
        <f>#REF!</f>
        <v>#REF!</v>
      </c>
      <c r="D288" s="1112" t="e">
        <f>#REF!</f>
        <v>#REF!</v>
      </c>
      <c r="E288" s="5248" t="e">
        <f t="shared" si="51"/>
        <v>#REF!</v>
      </c>
      <c r="F288" s="5365"/>
      <c r="G288" s="5365"/>
      <c r="H288" s="5365"/>
      <c r="I288" s="5365"/>
      <c r="J288" s="5365"/>
      <c r="K288" s="5365"/>
      <c r="L288" s="5365"/>
      <c r="M288" s="5365"/>
      <c r="N288" s="5365"/>
      <c r="O288" s="5365"/>
      <c r="P288" s="5365"/>
    </row>
    <row r="289" spans="1:16">
      <c r="B289" s="572" t="s">
        <v>236</v>
      </c>
      <c r="C289" s="1112" t="e">
        <f>#REF!</f>
        <v>#REF!</v>
      </c>
      <c r="D289" s="1112" t="e">
        <f>#REF!</f>
        <v>#REF!</v>
      </c>
      <c r="E289" s="5248" t="e">
        <f t="shared" si="51"/>
        <v>#REF!</v>
      </c>
      <c r="F289" s="5365"/>
      <c r="G289" s="5365"/>
      <c r="H289" s="5365"/>
      <c r="I289" s="5365"/>
      <c r="J289" s="5365"/>
      <c r="K289" s="5365"/>
      <c r="L289" s="5365"/>
      <c r="M289" s="5365"/>
      <c r="N289" s="5365"/>
      <c r="O289" s="5365"/>
      <c r="P289" s="5365"/>
    </row>
    <row r="290" spans="1:16">
      <c r="B290" s="572" t="s">
        <v>237</v>
      </c>
      <c r="C290" s="1112" t="e">
        <f>#REF!</f>
        <v>#REF!</v>
      </c>
      <c r="D290" s="1112" t="e">
        <f>#REF!</f>
        <v>#REF!</v>
      </c>
      <c r="E290" s="5248" t="e">
        <f t="shared" si="51"/>
        <v>#REF!</v>
      </c>
      <c r="F290" s="5365"/>
      <c r="G290" s="5365"/>
      <c r="H290" s="5365"/>
      <c r="I290" s="5365"/>
      <c r="J290" s="5365"/>
      <c r="K290" s="5365"/>
      <c r="L290" s="5365"/>
      <c r="M290" s="5365"/>
      <c r="N290" s="5365"/>
      <c r="O290" s="5365"/>
      <c r="P290" s="5365"/>
    </row>
    <row r="291" spans="1:16">
      <c r="B291" s="572" t="s">
        <v>238</v>
      </c>
      <c r="C291" s="1112" t="e">
        <f>#REF!</f>
        <v>#REF!</v>
      </c>
      <c r="D291" s="1112" t="e">
        <f>#REF!</f>
        <v>#REF!</v>
      </c>
      <c r="E291" s="5248" t="e">
        <f t="shared" si="51"/>
        <v>#REF!</v>
      </c>
      <c r="F291" s="5365"/>
      <c r="G291" s="5365"/>
      <c r="H291" s="5365"/>
      <c r="I291" s="5365"/>
      <c r="J291" s="5365"/>
      <c r="K291" s="5365"/>
      <c r="L291" s="5365"/>
      <c r="M291" s="5365"/>
      <c r="N291" s="5365"/>
      <c r="O291" s="5365"/>
      <c r="P291" s="5365"/>
    </row>
    <row r="292" spans="1:16">
      <c r="B292" s="572" t="s">
        <v>239</v>
      </c>
      <c r="C292" s="1112" t="e">
        <f>#REF!</f>
        <v>#REF!</v>
      </c>
      <c r="D292" s="1112" t="e">
        <f>#REF!</f>
        <v>#REF!</v>
      </c>
      <c r="E292" s="5248" t="e">
        <f t="shared" si="51"/>
        <v>#REF!</v>
      </c>
      <c r="F292" s="5365"/>
      <c r="G292" s="5365"/>
      <c r="H292" s="5365"/>
      <c r="I292" s="5365"/>
      <c r="J292" s="5365"/>
      <c r="K292" s="5365"/>
      <c r="L292" s="5365"/>
      <c r="M292" s="5365"/>
      <c r="N292" s="5365"/>
      <c r="O292" s="5365"/>
      <c r="P292" s="5365"/>
    </row>
    <row r="293" spans="1:16">
      <c r="B293" s="572" t="s">
        <v>240</v>
      </c>
      <c r="C293" s="1112" t="e">
        <f>#REF!</f>
        <v>#REF!</v>
      </c>
      <c r="D293" s="1112" t="e">
        <f>#REF!</f>
        <v>#REF!</v>
      </c>
      <c r="E293" s="5248" t="e">
        <f t="shared" si="51"/>
        <v>#REF!</v>
      </c>
      <c r="F293" s="5365"/>
      <c r="G293" s="5365"/>
      <c r="H293" s="5365"/>
      <c r="I293" s="5365"/>
      <c r="J293" s="5365"/>
      <c r="K293" s="5365"/>
      <c r="L293" s="5365"/>
      <c r="M293" s="5365"/>
      <c r="N293" s="5365"/>
      <c r="O293" s="5365"/>
      <c r="P293" s="5365"/>
    </row>
    <row r="294" spans="1:16">
      <c r="B294" s="572" t="s">
        <v>241</v>
      </c>
      <c r="C294" s="1112" t="e">
        <f>#REF!</f>
        <v>#REF!</v>
      </c>
      <c r="D294" s="1112" t="e">
        <f>#REF!</f>
        <v>#REF!</v>
      </c>
      <c r="E294" s="5248" t="e">
        <f t="shared" si="51"/>
        <v>#REF!</v>
      </c>
      <c r="F294" s="5365"/>
      <c r="G294" s="5365"/>
      <c r="H294" s="5365"/>
      <c r="I294" s="5365"/>
      <c r="J294" s="5365"/>
      <c r="K294" s="5365"/>
      <c r="L294" s="5365"/>
      <c r="M294" s="5365"/>
      <c r="N294" s="5365"/>
      <c r="O294" s="5365"/>
      <c r="P294" s="5365"/>
    </row>
    <row r="295" spans="1:16">
      <c r="B295" s="572" t="s">
        <v>242</v>
      </c>
      <c r="C295" s="1112" t="e">
        <f>#REF!</f>
        <v>#REF!</v>
      </c>
      <c r="D295" s="1112" t="e">
        <f>#REF!</f>
        <v>#REF!</v>
      </c>
      <c r="E295" s="5248" t="e">
        <f t="shared" si="51"/>
        <v>#REF!</v>
      </c>
      <c r="F295" s="5365"/>
      <c r="G295" s="5365"/>
      <c r="H295" s="5365"/>
      <c r="I295" s="5365"/>
      <c r="J295" s="5365"/>
      <c r="K295" s="5365"/>
      <c r="L295" s="5365"/>
      <c r="M295" s="5365"/>
      <c r="N295" s="5365"/>
      <c r="O295" s="5365"/>
      <c r="P295" s="5365"/>
    </row>
    <row r="296" spans="1:16">
      <c r="B296" s="572" t="s">
        <v>243</v>
      </c>
      <c r="C296" s="1112" t="e">
        <f>#REF!</f>
        <v>#REF!</v>
      </c>
      <c r="D296" s="1112" t="e">
        <f>#REF!</f>
        <v>#REF!</v>
      </c>
      <c r="E296" s="5248" t="e">
        <f t="shared" si="51"/>
        <v>#REF!</v>
      </c>
      <c r="F296" s="5365"/>
      <c r="G296" s="5365"/>
      <c r="H296" s="5365"/>
      <c r="I296" s="5365"/>
      <c r="J296" s="5365"/>
      <c r="K296" s="5365"/>
      <c r="L296" s="5365"/>
      <c r="M296" s="5365"/>
      <c r="N296" s="5365"/>
      <c r="O296" s="5365"/>
      <c r="P296" s="5365"/>
    </row>
    <row r="297" spans="1:16">
      <c r="B297" s="572" t="s">
        <v>244</v>
      </c>
      <c r="C297" s="1112" t="e">
        <f>#REF!</f>
        <v>#REF!</v>
      </c>
      <c r="D297" s="1112" t="e">
        <f>#REF!</f>
        <v>#REF!</v>
      </c>
      <c r="E297" s="5248" t="e">
        <f t="shared" si="51"/>
        <v>#REF!</v>
      </c>
      <c r="F297" s="5365"/>
      <c r="G297" s="5365"/>
      <c r="H297" s="5365"/>
      <c r="I297" s="5365"/>
      <c r="J297" s="5365"/>
      <c r="K297" s="5365"/>
      <c r="L297" s="5365"/>
      <c r="M297" s="5365"/>
      <c r="N297" s="5365"/>
      <c r="O297" s="5365"/>
      <c r="P297" s="5365"/>
    </row>
    <row r="298" spans="1:16">
      <c r="B298" s="572" t="s">
        <v>245</v>
      </c>
      <c r="C298" s="1112" t="e">
        <f>#REF!</f>
        <v>#REF!</v>
      </c>
      <c r="D298" s="1112" t="e">
        <f>#REF!</f>
        <v>#REF!</v>
      </c>
      <c r="E298" s="5248" t="e">
        <f t="shared" si="51"/>
        <v>#REF!</v>
      </c>
      <c r="F298" s="5365"/>
      <c r="G298" s="5365"/>
      <c r="H298" s="5365"/>
      <c r="I298" s="5365"/>
      <c r="J298" s="5365"/>
      <c r="K298" s="5365"/>
      <c r="L298" s="5365"/>
      <c r="M298" s="5365"/>
      <c r="N298" s="5365"/>
      <c r="O298" s="5365"/>
      <c r="P298" s="5365"/>
    </row>
    <row r="299" spans="1:16">
      <c r="B299" s="572" t="s">
        <v>246</v>
      </c>
      <c r="C299" s="1112" t="e">
        <f>#REF!</f>
        <v>#REF!</v>
      </c>
      <c r="D299" s="1112" t="e">
        <f>#REF!</f>
        <v>#REF!</v>
      </c>
      <c r="E299" s="5248" t="e">
        <f t="shared" si="51"/>
        <v>#REF!</v>
      </c>
      <c r="F299" s="5365"/>
      <c r="G299" s="5365"/>
      <c r="H299" s="5365"/>
      <c r="I299" s="5365"/>
      <c r="J299" s="5365"/>
      <c r="K299" s="5365"/>
      <c r="L299" s="5365"/>
      <c r="M299" s="5365"/>
      <c r="N299" s="5365"/>
      <c r="O299" s="5365"/>
      <c r="P299" s="5365"/>
    </row>
    <row r="300" spans="1:16">
      <c r="B300" s="572" t="s">
        <v>247</v>
      </c>
      <c r="C300" s="1112" t="e">
        <f>#REF!</f>
        <v>#REF!</v>
      </c>
      <c r="D300" s="1112" t="e">
        <f>#REF!</f>
        <v>#REF!</v>
      </c>
      <c r="E300" s="5248" t="e">
        <f t="shared" si="51"/>
        <v>#REF!</v>
      </c>
      <c r="F300" s="5365"/>
      <c r="G300" s="5365"/>
      <c r="H300" s="5365"/>
      <c r="I300" s="5365"/>
      <c r="J300" s="5365"/>
      <c r="K300" s="5365"/>
      <c r="L300" s="5365"/>
      <c r="M300" s="5365"/>
      <c r="N300" s="5365"/>
      <c r="O300" s="5365"/>
      <c r="P300" s="5365"/>
    </row>
    <row r="301" spans="1:16">
      <c r="B301" s="572" t="s">
        <v>248</v>
      </c>
      <c r="C301" s="1112" t="e">
        <f>#REF!</f>
        <v>#REF!</v>
      </c>
      <c r="D301" s="1112" t="e">
        <f>#REF!</f>
        <v>#REF!</v>
      </c>
      <c r="E301" s="5248" t="e">
        <f t="shared" si="51"/>
        <v>#REF!</v>
      </c>
      <c r="F301" s="5365"/>
      <c r="G301" s="5365"/>
      <c r="H301" s="5365"/>
      <c r="I301" s="5365"/>
      <c r="J301" s="5365"/>
      <c r="K301" s="5365"/>
      <c r="L301" s="5365"/>
      <c r="M301" s="5365"/>
      <c r="N301" s="5365"/>
      <c r="O301" s="5365"/>
      <c r="P301" s="5365"/>
    </row>
    <row r="302" spans="1:16">
      <c r="B302" s="572" t="s">
        <v>249</v>
      </c>
      <c r="C302" s="1112" t="e">
        <f>#REF!</f>
        <v>#REF!</v>
      </c>
      <c r="D302" s="1112" t="e">
        <f>#REF!</f>
        <v>#REF!</v>
      </c>
      <c r="E302" s="5248" t="e">
        <f t="shared" si="51"/>
        <v>#REF!</v>
      </c>
      <c r="F302" s="5365"/>
      <c r="G302" s="5365"/>
      <c r="H302" s="5365"/>
      <c r="I302" s="5365"/>
      <c r="J302" s="5365"/>
      <c r="K302" s="5365"/>
      <c r="L302" s="5365"/>
      <c r="M302" s="5365"/>
      <c r="N302" s="5365"/>
      <c r="O302" s="5365"/>
      <c r="P302" s="5365"/>
    </row>
    <row r="303" spans="1:16">
      <c r="A303" s="5365"/>
      <c r="B303" s="5365"/>
      <c r="C303" s="5394"/>
      <c r="D303" s="5394"/>
      <c r="E303" s="5365"/>
      <c r="F303" s="5365"/>
      <c r="G303" s="5365"/>
      <c r="H303" s="5365"/>
      <c r="I303" s="5365"/>
      <c r="J303" s="5365"/>
      <c r="K303" s="5365"/>
      <c r="L303" s="5365"/>
      <c r="M303" s="5365"/>
      <c r="N303" s="5365"/>
      <c r="O303" s="5365"/>
      <c r="P303" s="5365"/>
    </row>
    <row r="304" ht="15" spans="1:16">
      <c r="A304" s="5417" t="s">
        <v>250</v>
      </c>
      <c r="B304" s="5365"/>
      <c r="C304" s="5394"/>
      <c r="D304" s="5394"/>
      <c r="E304" s="5365"/>
      <c r="F304" s="5365"/>
      <c r="G304" s="5365"/>
      <c r="H304" s="5365"/>
      <c r="I304" s="5365"/>
      <c r="J304" s="5365"/>
      <c r="K304" s="5365"/>
      <c r="L304" s="5365"/>
      <c r="M304" s="5365"/>
      <c r="N304" s="5365"/>
      <c r="O304" s="5365"/>
      <c r="P304" s="5365"/>
    </row>
    <row r="305" ht="17.25" customHeight="1" spans="1:16">
      <c r="A305" s="5420"/>
      <c r="B305" s="5420" t="s">
        <v>251</v>
      </c>
      <c r="C305" s="5421" t="s">
        <v>16</v>
      </c>
      <c r="D305" s="5421" t="s">
        <v>17</v>
      </c>
      <c r="E305" s="5422" t="s">
        <v>18</v>
      </c>
      <c r="F305" s="5422" t="s">
        <v>19</v>
      </c>
      <c r="G305" s="5422" t="s">
        <v>20</v>
      </c>
      <c r="H305" s="5422"/>
      <c r="I305" s="5365"/>
      <c r="J305" s="5365"/>
      <c r="K305" s="5365"/>
      <c r="L305" s="5365"/>
      <c r="M305" s="5365"/>
      <c r="N305" s="5365"/>
      <c r="O305" s="5365"/>
      <c r="P305" s="5365"/>
    </row>
    <row r="306" ht="14.25" customHeight="1" spans="1:16">
      <c r="A306" s="5599" t="s">
        <v>252</v>
      </c>
      <c r="B306" s="5424" t="e">
        <f>INDEX($B$325:$B$337,MATCH(C306,$C$325:$C$337,0))</f>
        <v>#REF!</v>
      </c>
      <c r="C306" s="5467" t="e">
        <f>MAX($C$325:$C$337)</f>
        <v>#REF!</v>
      </c>
      <c r="D306" s="5467" t="e">
        <f>INDEX($D$325:$D$337,MATCH(C306,$C$325:$C$337,0))</f>
        <v>#REF!</v>
      </c>
      <c r="E306" s="5425" t="e">
        <f>C306-D306</f>
        <v>#REF!</v>
      </c>
      <c r="F306" s="5426" t="e">
        <f t="shared" ref="F306:F312" si="52">IF(E306&lt;0,E306*-1,E306)</f>
        <v>#REF!</v>
      </c>
      <c r="G306" s="5427">
        <f>IFERROR(F306/D306,0)</f>
        <v>0</v>
      </c>
      <c r="H306" s="5430" t="e">
        <f>IF(E306&lt;0,"DECREASE","INCREASE")</f>
        <v>#REF!</v>
      </c>
      <c r="I306" s="5365"/>
      <c r="J306" s="5365"/>
      <c r="K306" s="5365"/>
      <c r="L306" s="5365"/>
      <c r="M306" s="5365"/>
      <c r="N306" s="5365"/>
      <c r="O306" s="5365"/>
      <c r="P306" s="5365"/>
    </row>
    <row r="307" ht="14.25" customHeight="1" spans="1:16">
      <c r="A307" s="5473" t="s">
        <v>253</v>
      </c>
      <c r="B307" s="5429" t="e">
        <f>INDEX($B$325:$B$337,MATCH(C307,$C$325:$C$337,0))</f>
        <v>#REF!</v>
      </c>
      <c r="C307" s="5470" t="e">
        <f>LARGE($C$325:$C$337,2)</f>
        <v>#REF!</v>
      </c>
      <c r="D307" s="5470" t="e">
        <f t="shared" ref="D307:D310" si="53">INDEX($D$325:$D$337,MATCH(C307,$C$325:$C$337,0))</f>
        <v>#REF!</v>
      </c>
      <c r="E307" s="5430" t="e">
        <f t="shared" ref="E307:E312" si="54">C307-D307</f>
        <v>#REF!</v>
      </c>
      <c r="F307" s="5431" t="e">
        <f t="shared" si="52"/>
        <v>#REF!</v>
      </c>
      <c r="G307" s="5432">
        <f>IFERROR(F307/D307,0)</f>
        <v>0</v>
      </c>
      <c r="H307" s="5430" t="e">
        <f>IF(E307&lt;0,"DECREASE","INCREASE")</f>
        <v>#REF!</v>
      </c>
      <c r="I307" s="5365"/>
      <c r="J307" s="5365"/>
      <c r="K307" s="5365"/>
      <c r="L307" s="5365"/>
      <c r="M307" s="5365"/>
      <c r="N307" s="5365"/>
      <c r="O307" s="5365"/>
      <c r="P307" s="5365"/>
    </row>
    <row r="308" spans="1:16">
      <c r="A308" s="5473" t="s">
        <v>254</v>
      </c>
      <c r="B308" s="5429" t="e">
        <f>INDEX($B$325:$B$337,MATCH(C308,$C$325:$C$337,0))</f>
        <v>#REF!</v>
      </c>
      <c r="C308" s="5470" t="e">
        <f>LARGE($C$325:$C$337,3)</f>
        <v>#REF!</v>
      </c>
      <c r="D308" s="5470" t="e">
        <f t="shared" si="53"/>
        <v>#REF!</v>
      </c>
      <c r="E308" s="5430" t="e">
        <f t="shared" si="54"/>
        <v>#REF!</v>
      </c>
      <c r="F308" s="5431" t="e">
        <f t="shared" si="52"/>
        <v>#REF!</v>
      </c>
      <c r="G308" s="5432">
        <f t="shared" ref="G308:G312" si="55">IFERROR(F308/D308,0)</f>
        <v>0</v>
      </c>
      <c r="H308" s="5430" t="e">
        <f t="shared" ref="H308:H312" si="56">IF(E308&lt;0,"DECREASE","INCREASE")</f>
        <v>#REF!</v>
      </c>
      <c r="I308" s="5365"/>
      <c r="J308" s="5365"/>
      <c r="K308" s="5365"/>
      <c r="L308" s="5365"/>
      <c r="M308" s="5365"/>
      <c r="N308" s="5365"/>
      <c r="O308" s="5365"/>
      <c r="P308" s="5365"/>
    </row>
    <row r="309" spans="1:16">
      <c r="A309" s="5458"/>
      <c r="B309" s="5429" t="e">
        <f>INDEX($B$325:$B$337,MATCH(C309,$C$325:$C$337,0))</f>
        <v>#REF!</v>
      </c>
      <c r="C309" s="5470" t="e">
        <f>LARGE($C$325:$C$337,4)</f>
        <v>#REF!</v>
      </c>
      <c r="D309" s="5470" t="e">
        <f t="shared" si="53"/>
        <v>#REF!</v>
      </c>
      <c r="E309" s="5430" t="e">
        <f t="shared" si="54"/>
        <v>#REF!</v>
      </c>
      <c r="F309" s="5431" t="e">
        <f t="shared" si="52"/>
        <v>#REF!</v>
      </c>
      <c r="G309" s="5432">
        <f t="shared" si="55"/>
        <v>0</v>
      </c>
      <c r="H309" s="5430" t="e">
        <f t="shared" si="56"/>
        <v>#REF!</v>
      </c>
      <c r="I309" s="5365"/>
      <c r="J309" s="5365"/>
      <c r="K309" s="5365"/>
      <c r="L309" s="5365"/>
      <c r="M309" s="5365"/>
      <c r="N309" s="5365"/>
      <c r="O309" s="5365"/>
      <c r="P309" s="5365"/>
    </row>
    <row r="310" spans="1:16">
      <c r="A310" s="5458"/>
      <c r="B310" s="5429" t="e">
        <f>INDEX($B$325:$B$337,MATCH(C310,$C$325:$C$337,0))</f>
        <v>#REF!</v>
      </c>
      <c r="C310" s="5470" t="e">
        <f>LARGE($C$325:$C$337,5)</f>
        <v>#REF!</v>
      </c>
      <c r="D310" s="5470" t="e">
        <f t="shared" si="53"/>
        <v>#REF!</v>
      </c>
      <c r="E310" s="5430" t="e">
        <f t="shared" si="54"/>
        <v>#REF!</v>
      </c>
      <c r="F310" s="5431" t="e">
        <f t="shared" si="52"/>
        <v>#REF!</v>
      </c>
      <c r="G310" s="5432">
        <f t="shared" si="55"/>
        <v>0</v>
      </c>
      <c r="H310" s="5430" t="e">
        <f t="shared" si="56"/>
        <v>#REF!</v>
      </c>
      <c r="I310" s="5365"/>
      <c r="J310" s="5365"/>
      <c r="K310" s="5365"/>
      <c r="L310" s="5365"/>
      <c r="M310" s="5365"/>
      <c r="N310" s="5365"/>
      <c r="O310" s="5365"/>
      <c r="P310" s="5365"/>
    </row>
    <row r="311" spans="1:16">
      <c r="A311" s="5458"/>
      <c r="B311" s="5598" t="s">
        <v>255</v>
      </c>
      <c r="C311" s="5470" t="e">
        <f>C312-SUM(C306:C310)</f>
        <v>#REF!</v>
      </c>
      <c r="D311" s="5470" t="e">
        <f>D312-SUM(D306:D310)</f>
        <v>#REF!</v>
      </c>
      <c r="E311" s="5430" t="e">
        <f t="shared" si="54"/>
        <v>#REF!</v>
      </c>
      <c r="F311" s="5431" t="e">
        <f t="shared" si="52"/>
        <v>#REF!</v>
      </c>
      <c r="G311" s="5432">
        <f t="shared" si="55"/>
        <v>0</v>
      </c>
      <c r="H311" s="5430" t="e">
        <f t="shared" si="56"/>
        <v>#REF!</v>
      </c>
      <c r="I311" s="5365"/>
      <c r="J311" s="5365"/>
      <c r="K311" s="5365"/>
      <c r="L311" s="5365"/>
      <c r="M311" s="5365"/>
      <c r="N311" s="5365"/>
      <c r="O311" s="5365"/>
      <c r="P311" s="5365"/>
    </row>
    <row r="312" spans="1:16">
      <c r="A312" s="5459"/>
      <c r="B312" s="5507" t="s">
        <v>256</v>
      </c>
      <c r="C312" s="5474" t="e">
        <f>#REF!</f>
        <v>#REF!</v>
      </c>
      <c r="D312" s="5474" t="e">
        <f>#REF!</f>
        <v>#REF!</v>
      </c>
      <c r="E312" s="5436" t="e">
        <f t="shared" si="54"/>
        <v>#REF!</v>
      </c>
      <c r="F312" s="5463" t="e">
        <f t="shared" si="52"/>
        <v>#REF!</v>
      </c>
      <c r="G312" s="5475">
        <f t="shared" si="55"/>
        <v>0</v>
      </c>
      <c r="H312" s="5430" t="e">
        <f t="shared" si="56"/>
        <v>#REF!</v>
      </c>
      <c r="I312" s="5365"/>
      <c r="J312" s="5365"/>
      <c r="K312" s="5365"/>
      <c r="L312" s="5365"/>
      <c r="M312" s="5365"/>
      <c r="N312" s="5365"/>
      <c r="O312" s="5365"/>
      <c r="P312" s="5365"/>
    </row>
    <row r="313" ht="15" spans="1:16">
      <c r="A313" s="5417" t="s">
        <v>257</v>
      </c>
      <c r="B313" s="5365"/>
      <c r="C313" s="5394"/>
      <c r="D313" s="5394"/>
      <c r="E313" s="5365"/>
      <c r="F313" s="5365"/>
      <c r="G313" s="5365"/>
      <c r="H313" s="5365"/>
      <c r="I313" s="5365"/>
      <c r="J313" s="5365"/>
      <c r="K313" s="5365"/>
      <c r="L313" s="5365"/>
      <c r="M313" s="5365"/>
      <c r="N313" s="5365"/>
      <c r="O313" s="5365"/>
      <c r="P313" s="5365"/>
    </row>
    <row r="314" ht="17.25" customHeight="1" spans="1:16">
      <c r="A314" s="5420"/>
      <c r="B314" s="5420" t="s">
        <v>258</v>
      </c>
      <c r="C314" s="5421" t="s">
        <v>16</v>
      </c>
      <c r="D314" s="5421" t="s">
        <v>17</v>
      </c>
      <c r="E314" s="5422" t="s">
        <v>18</v>
      </c>
      <c r="F314" s="5422" t="s">
        <v>19</v>
      </c>
      <c r="G314" s="5422" t="s">
        <v>20</v>
      </c>
      <c r="H314" s="5422"/>
      <c r="I314" s="5365"/>
      <c r="J314" s="5365"/>
      <c r="K314" s="5365"/>
      <c r="L314" s="5365"/>
      <c r="M314" s="5365"/>
      <c r="N314" s="5365"/>
      <c r="O314" s="5365"/>
      <c r="P314" s="5365"/>
    </row>
    <row r="315" ht="14.25" customHeight="1" spans="1:16">
      <c r="A315" s="5599" t="s">
        <v>259</v>
      </c>
      <c r="B315" s="5424" t="e">
        <f>INDEX($B$339:$B$353,MATCH(C315,$C$339:$C$353,0))</f>
        <v>#REF!</v>
      </c>
      <c r="C315" s="5467" t="e">
        <f>MAX($C$339:$C$353)</f>
        <v>#REF!</v>
      </c>
      <c r="D315" s="5467" t="e">
        <f>INDEX($D$339:$D$353,MATCH(C315,$C$339:$C$353,0))</f>
        <v>#REF!</v>
      </c>
      <c r="E315" s="5425" t="e">
        <f>C315-D315</f>
        <v>#REF!</v>
      </c>
      <c r="F315" s="5426" t="e">
        <f t="shared" ref="F315:F321" si="57">IF(E315&lt;0,E315*-1,E315)</f>
        <v>#REF!</v>
      </c>
      <c r="G315" s="5427">
        <f t="shared" ref="G315:G321" si="58">IFERROR(F315/D315,0)</f>
        <v>0</v>
      </c>
      <c r="H315" s="5430" t="e">
        <f>IF(E315&lt;0,"DECREASE","INCREASE")</f>
        <v>#REF!</v>
      </c>
      <c r="I315" s="5365"/>
      <c r="J315" s="5365"/>
      <c r="K315" s="5365"/>
      <c r="L315" s="5365"/>
      <c r="M315" s="5365"/>
      <c r="N315" s="5365"/>
      <c r="O315" s="5365"/>
      <c r="P315" s="5365"/>
    </row>
    <row r="316" ht="14.25" customHeight="1" spans="1:16">
      <c r="A316" s="5473" t="s">
        <v>260</v>
      </c>
      <c r="B316" s="5429" t="e">
        <f>INDEX($B$339:$B$353,MATCH(C316,$C$339:$C$353,0))</f>
        <v>#REF!</v>
      </c>
      <c r="C316" s="5470" t="e">
        <f>LARGE($C$339:$C$353,2)</f>
        <v>#REF!</v>
      </c>
      <c r="D316" s="5470" t="e">
        <f t="shared" ref="D316:D319" si="59">INDEX($D$339:$D$353,MATCH(C316,$C$339:$C$353,0))</f>
        <v>#REF!</v>
      </c>
      <c r="E316" s="5430" t="e">
        <f t="shared" ref="E316:E321" si="60">C316-D316</f>
        <v>#REF!</v>
      </c>
      <c r="F316" s="5431" t="e">
        <f t="shared" si="57"/>
        <v>#REF!</v>
      </c>
      <c r="G316" s="5432">
        <f t="shared" si="58"/>
        <v>0</v>
      </c>
      <c r="H316" s="5430" t="e">
        <f>IF(E316&lt;0,"DECREASE","INCREASE")</f>
        <v>#REF!</v>
      </c>
      <c r="I316" s="5365"/>
      <c r="J316" s="5365"/>
      <c r="K316" s="5365"/>
      <c r="L316" s="5365"/>
      <c r="M316" s="5365"/>
      <c r="N316" s="5365"/>
      <c r="O316" s="5365"/>
      <c r="P316" s="5365"/>
    </row>
    <row r="317" spans="1:16">
      <c r="A317" s="5473" t="s">
        <v>261</v>
      </c>
      <c r="B317" s="5429" t="e">
        <f>INDEX($B$339:$B$353,MATCH(C317,$C$339:$C$353,0))</f>
        <v>#REF!</v>
      </c>
      <c r="C317" s="5470" t="e">
        <f>LARGE($C$339:$C$353,3)</f>
        <v>#REF!</v>
      </c>
      <c r="D317" s="5470" t="e">
        <f t="shared" si="59"/>
        <v>#REF!</v>
      </c>
      <c r="E317" s="5430" t="e">
        <f t="shared" si="60"/>
        <v>#REF!</v>
      </c>
      <c r="F317" s="5431" t="e">
        <f t="shared" si="57"/>
        <v>#REF!</v>
      </c>
      <c r="G317" s="5432">
        <f t="shared" si="58"/>
        <v>0</v>
      </c>
      <c r="H317" s="5430" t="e">
        <f t="shared" ref="H317:H321" si="61">IF(E317&lt;0,"DECREASE","INCREASE")</f>
        <v>#REF!</v>
      </c>
      <c r="I317" s="5365"/>
      <c r="J317" s="5365"/>
      <c r="K317" s="5365"/>
      <c r="L317" s="5365"/>
      <c r="M317" s="5365"/>
      <c r="N317" s="5365"/>
      <c r="O317" s="5365"/>
      <c r="P317" s="5365"/>
    </row>
    <row r="318" spans="1:16">
      <c r="A318" s="5458"/>
      <c r="B318" s="5429" t="e">
        <f>INDEX($B$339:$B$353,MATCH(C318,$C$339:$C$353,0))</f>
        <v>#REF!</v>
      </c>
      <c r="C318" s="5470" t="e">
        <f>LARGE($C$339:$C$353,4)</f>
        <v>#REF!</v>
      </c>
      <c r="D318" s="5470" t="e">
        <f t="shared" si="59"/>
        <v>#REF!</v>
      </c>
      <c r="E318" s="5430" t="e">
        <f t="shared" si="60"/>
        <v>#REF!</v>
      </c>
      <c r="F318" s="5431" t="e">
        <f t="shared" si="57"/>
        <v>#REF!</v>
      </c>
      <c r="G318" s="5432">
        <f t="shared" si="58"/>
        <v>0</v>
      </c>
      <c r="H318" s="5430" t="e">
        <f t="shared" si="61"/>
        <v>#REF!</v>
      </c>
      <c r="I318" s="5365"/>
      <c r="J318" s="5365"/>
      <c r="K318" s="5365"/>
      <c r="L318" s="5365"/>
      <c r="M318" s="5365"/>
      <c r="N318" s="5365"/>
      <c r="O318" s="5365"/>
      <c r="P318" s="5365"/>
    </row>
    <row r="319" spans="1:16">
      <c r="A319" s="5458"/>
      <c r="B319" s="5429" t="e">
        <f>INDEX($B$339:$B$353,MATCH(C319,$C$339:$C$353,0))</f>
        <v>#REF!</v>
      </c>
      <c r="C319" s="5470" t="e">
        <f>LARGE($C$339:$C$353,5)</f>
        <v>#REF!</v>
      </c>
      <c r="D319" s="5470" t="e">
        <f t="shared" si="59"/>
        <v>#REF!</v>
      </c>
      <c r="E319" s="5430" t="e">
        <f t="shared" si="60"/>
        <v>#REF!</v>
      </c>
      <c r="F319" s="5431" t="e">
        <f t="shared" si="57"/>
        <v>#REF!</v>
      </c>
      <c r="G319" s="5432">
        <f t="shared" si="58"/>
        <v>0</v>
      </c>
      <c r="H319" s="5430" t="e">
        <f t="shared" si="61"/>
        <v>#REF!</v>
      </c>
      <c r="I319" s="5365"/>
      <c r="J319" s="5365"/>
      <c r="K319" s="5365"/>
      <c r="L319" s="5365"/>
      <c r="M319" s="5365"/>
      <c r="N319" s="5365"/>
      <c r="O319" s="5365"/>
      <c r="P319" s="5365"/>
    </row>
    <row r="320" spans="1:16">
      <c r="A320" s="5458"/>
      <c r="B320" s="5598" t="s">
        <v>262</v>
      </c>
      <c r="C320" s="5470" t="e">
        <f>C321-SUM(C315:C319)</f>
        <v>#REF!</v>
      </c>
      <c r="D320" s="5470" t="e">
        <f>D321-SUM(D315:D319)</f>
        <v>#REF!</v>
      </c>
      <c r="E320" s="5430" t="e">
        <f t="shared" si="60"/>
        <v>#REF!</v>
      </c>
      <c r="F320" s="5431" t="e">
        <f t="shared" si="57"/>
        <v>#REF!</v>
      </c>
      <c r="G320" s="5432">
        <f t="shared" si="58"/>
        <v>0</v>
      </c>
      <c r="H320" s="5430" t="e">
        <f t="shared" si="61"/>
        <v>#REF!</v>
      </c>
      <c r="I320" s="5365"/>
      <c r="J320" s="5365"/>
      <c r="K320" s="5365"/>
      <c r="L320" s="5365"/>
      <c r="M320" s="5365"/>
      <c r="N320" s="5365"/>
      <c r="O320" s="5365"/>
      <c r="P320" s="5365"/>
    </row>
    <row r="321" spans="1:16">
      <c r="A321" s="5459"/>
      <c r="B321" s="5507" t="s">
        <v>263</v>
      </c>
      <c r="C321" s="5474" t="e">
        <f>#REF!</f>
        <v>#REF!</v>
      </c>
      <c r="D321" s="5474" t="e">
        <f>#REF!</f>
        <v>#REF!</v>
      </c>
      <c r="E321" s="5436" t="e">
        <f t="shared" si="60"/>
        <v>#REF!</v>
      </c>
      <c r="F321" s="5463" t="e">
        <f t="shared" si="57"/>
        <v>#REF!</v>
      </c>
      <c r="G321" s="5475">
        <f t="shared" si="58"/>
        <v>0</v>
      </c>
      <c r="H321" s="5430" t="e">
        <f t="shared" si="61"/>
        <v>#REF!</v>
      </c>
      <c r="I321" s="5365"/>
      <c r="J321" s="5365"/>
      <c r="K321" s="5365"/>
      <c r="L321" s="5365"/>
      <c r="M321" s="5365"/>
      <c r="N321" s="5365"/>
      <c r="O321" s="5365"/>
      <c r="P321" s="5365"/>
    </row>
    <row r="322" spans="1:16">
      <c r="A322" s="5365"/>
      <c r="B322" s="5365"/>
      <c r="C322" s="5394"/>
      <c r="D322" s="5394"/>
      <c r="E322" s="5365"/>
      <c r="F322" s="5365"/>
      <c r="G322" s="5365"/>
      <c r="H322" s="5365"/>
      <c r="I322" s="5365"/>
      <c r="J322" s="5365"/>
      <c r="K322" s="5365"/>
      <c r="L322" s="5365"/>
      <c r="M322" s="5365"/>
      <c r="N322" s="5365"/>
      <c r="O322" s="5365"/>
      <c r="P322" s="5365"/>
    </row>
    <row r="323" spans="1:16">
      <c r="A323" s="5365"/>
      <c r="B323" s="5365"/>
      <c r="C323" s="5394"/>
      <c r="D323" s="5394"/>
      <c r="E323" s="5365"/>
      <c r="F323" s="5365"/>
      <c r="G323" s="5365"/>
      <c r="H323" s="5365"/>
      <c r="I323" s="5365"/>
      <c r="J323" s="5365"/>
      <c r="K323" s="5365"/>
      <c r="L323" s="5365"/>
      <c r="M323" s="5365"/>
      <c r="N323" s="5365"/>
      <c r="O323" s="5365"/>
      <c r="P323" s="5365"/>
    </row>
    <row r="324" s="5364" customFormat="1" ht="18" customHeight="1" spans="1:16">
      <c r="A324" s="5420"/>
      <c r="B324" s="5513" t="s">
        <v>264</v>
      </c>
      <c r="C324" s="5421" t="s">
        <v>16</v>
      </c>
      <c r="D324" s="5421" t="s">
        <v>17</v>
      </c>
      <c r="E324" s="5421" t="s">
        <v>25</v>
      </c>
      <c r="F324" s="5365"/>
      <c r="G324" s="5365"/>
      <c r="H324" s="5365"/>
      <c r="I324" s="5365"/>
      <c r="J324" s="5365"/>
      <c r="K324" s="5365"/>
      <c r="L324" s="5365"/>
      <c r="M324" s="5365"/>
      <c r="N324" s="5365"/>
      <c r="O324" s="5365"/>
      <c r="P324" s="5365"/>
    </row>
    <row r="325" ht="15" spans="1:16">
      <c r="B325" s="5514" t="s">
        <v>265</v>
      </c>
      <c r="C325" s="5515" t="e">
        <f>#REF!</f>
        <v>#REF!</v>
      </c>
      <c r="D325" s="5515" t="e">
        <f>#REF!</f>
        <v>#REF!</v>
      </c>
      <c r="E325" s="5248" t="e">
        <f>IF(C325=0,"-",IFERROR(INDEX($A$306:$A$308,MATCH(C325,$C$306:$C$308,0)),"-"))</f>
        <v>#REF!</v>
      </c>
      <c r="F325" s="5365"/>
      <c r="G325" s="5365"/>
      <c r="H325" s="5365"/>
      <c r="I325" s="5365"/>
      <c r="J325" s="5365"/>
      <c r="K325" s="5365"/>
      <c r="L325" s="5365"/>
      <c r="M325" s="5365"/>
      <c r="N325" s="5365"/>
      <c r="O325" s="5365"/>
      <c r="P325" s="5365"/>
    </row>
    <row r="326" ht="15" spans="1:16">
      <c r="B326" s="5514" t="s">
        <v>266</v>
      </c>
      <c r="C326" s="5515" t="e">
        <f>#REF!</f>
        <v>#REF!</v>
      </c>
      <c r="D326" s="5515" t="e">
        <f>#REF!</f>
        <v>#REF!</v>
      </c>
      <c r="E326" s="5248" t="e">
        <f>IF(C326=0,"-",IFERROR(INDEX($A$306:$A$308,MATCH(C326,$C$306:$C$308,0)),"-"))</f>
        <v>#REF!</v>
      </c>
      <c r="F326" s="5365"/>
      <c r="G326" s="5365"/>
      <c r="H326" s="5365"/>
      <c r="I326" s="5365"/>
      <c r="J326" s="5365"/>
      <c r="K326" s="5365"/>
      <c r="L326" s="5365"/>
      <c r="M326" s="5365"/>
      <c r="N326" s="5365"/>
      <c r="O326" s="5365"/>
      <c r="P326" s="5365"/>
    </row>
    <row r="327" ht="15" spans="1:16">
      <c r="B327" s="5514" t="s">
        <v>267</v>
      </c>
      <c r="C327" s="5515" t="e">
        <f>#REF!</f>
        <v>#REF!</v>
      </c>
      <c r="D327" s="5515" t="e">
        <f>#REF!</f>
        <v>#REF!</v>
      </c>
      <c r="E327" s="5248" t="e">
        <f t="shared" ref="E327:E337" si="62">IF(C327=0,"-",IFERROR(INDEX($A$306:$A$308,MATCH(C327,$C$306:$C$308,0)),"-"))</f>
        <v>#REF!</v>
      </c>
      <c r="F327" s="5365"/>
      <c r="G327" s="5365"/>
      <c r="H327" s="5365"/>
      <c r="I327" s="5365"/>
      <c r="J327" s="5365"/>
      <c r="K327" s="5365"/>
      <c r="L327" s="5365"/>
      <c r="M327" s="5365"/>
      <c r="N327" s="5365"/>
      <c r="O327" s="5365"/>
      <c r="P327" s="5365"/>
    </row>
    <row r="328" ht="15" spans="1:16">
      <c r="B328" s="5514" t="s">
        <v>268</v>
      </c>
      <c r="C328" s="5515" t="e">
        <f>#REF!</f>
        <v>#REF!</v>
      </c>
      <c r="D328" s="5515" t="e">
        <f>#REF!</f>
        <v>#REF!</v>
      </c>
      <c r="E328" s="5248" t="e">
        <f t="shared" si="62"/>
        <v>#REF!</v>
      </c>
      <c r="F328" s="5365"/>
      <c r="G328" s="5365"/>
      <c r="H328" s="5365"/>
      <c r="I328" s="5365"/>
      <c r="J328" s="5365"/>
      <c r="K328" s="5365"/>
      <c r="L328" s="5365"/>
      <c r="M328" s="5365"/>
      <c r="N328" s="5365"/>
      <c r="O328" s="5365"/>
      <c r="P328" s="5365"/>
    </row>
    <row r="329" ht="15" spans="1:16">
      <c r="B329" s="5514" t="s">
        <v>269</v>
      </c>
      <c r="C329" s="5515" t="e">
        <f>#REF!</f>
        <v>#REF!</v>
      </c>
      <c r="D329" s="5515" t="e">
        <f>#REF!</f>
        <v>#REF!</v>
      </c>
      <c r="E329" s="5248" t="e">
        <f t="shared" si="62"/>
        <v>#REF!</v>
      </c>
      <c r="F329" s="5365"/>
      <c r="G329" s="5365"/>
      <c r="H329" s="5365"/>
      <c r="I329" s="5365"/>
      <c r="J329" s="5365"/>
      <c r="K329" s="5365"/>
      <c r="L329" s="5365"/>
      <c r="M329" s="5365"/>
      <c r="N329" s="5365"/>
      <c r="O329" s="5365"/>
      <c r="P329" s="5365"/>
    </row>
    <row r="330" ht="15" spans="1:16">
      <c r="B330" s="5514" t="s">
        <v>270</v>
      </c>
      <c r="C330" s="5515" t="e">
        <f>#REF!</f>
        <v>#REF!</v>
      </c>
      <c r="D330" s="5515" t="e">
        <f>#REF!</f>
        <v>#REF!</v>
      </c>
      <c r="E330" s="5248" t="e">
        <f t="shared" si="62"/>
        <v>#REF!</v>
      </c>
      <c r="F330" s="5365"/>
      <c r="G330" s="5365"/>
      <c r="H330" s="5365"/>
      <c r="I330" s="5365"/>
      <c r="J330" s="5365"/>
      <c r="K330" s="5365"/>
      <c r="L330" s="5365"/>
      <c r="M330" s="5365"/>
      <c r="N330" s="5365"/>
      <c r="O330" s="5365"/>
      <c r="P330" s="5365"/>
    </row>
    <row r="331" ht="15" spans="1:16">
      <c r="B331" s="5514" t="s">
        <v>271</v>
      </c>
      <c r="C331" s="5515" t="e">
        <f>#REF!</f>
        <v>#REF!</v>
      </c>
      <c r="D331" s="5515" t="e">
        <f>#REF!</f>
        <v>#REF!</v>
      </c>
      <c r="E331" s="5248" t="e">
        <f t="shared" si="62"/>
        <v>#REF!</v>
      </c>
      <c r="F331" s="5365"/>
      <c r="G331" s="5365"/>
      <c r="H331" s="5365"/>
      <c r="I331" s="5365"/>
      <c r="J331" s="5365"/>
      <c r="K331" s="5365"/>
      <c r="L331" s="5365"/>
      <c r="M331" s="5365"/>
      <c r="N331" s="5365"/>
      <c r="O331" s="5365"/>
      <c r="P331" s="5365"/>
    </row>
    <row r="332" ht="15" spans="1:16">
      <c r="B332" s="5514" t="s">
        <v>272</v>
      </c>
      <c r="C332" s="5515" t="e">
        <f>#REF!</f>
        <v>#REF!</v>
      </c>
      <c r="D332" s="5515" t="e">
        <f>#REF!</f>
        <v>#REF!</v>
      </c>
      <c r="E332" s="5248" t="e">
        <f t="shared" si="62"/>
        <v>#REF!</v>
      </c>
      <c r="F332" s="5365"/>
      <c r="G332" s="5365"/>
      <c r="H332" s="5365"/>
      <c r="I332" s="5365"/>
      <c r="J332" s="5365"/>
      <c r="K332" s="5365"/>
      <c r="L332" s="5365"/>
      <c r="M332" s="5365"/>
      <c r="N332" s="5365"/>
      <c r="O332" s="5365"/>
      <c r="P332" s="5365"/>
    </row>
    <row r="333" ht="15" spans="1:16">
      <c r="B333" s="5514" t="s">
        <v>273</v>
      </c>
      <c r="C333" s="5515" t="e">
        <f>#REF!</f>
        <v>#REF!</v>
      </c>
      <c r="D333" s="5515" t="e">
        <f>#REF!</f>
        <v>#REF!</v>
      </c>
      <c r="E333" s="5248" t="e">
        <f t="shared" si="62"/>
        <v>#REF!</v>
      </c>
      <c r="F333" s="5365"/>
      <c r="G333" s="5365"/>
      <c r="H333" s="5365"/>
      <c r="I333" s="5365"/>
      <c r="J333" s="5365"/>
      <c r="K333" s="5365"/>
      <c r="L333" s="5365"/>
      <c r="M333" s="5365"/>
      <c r="N333" s="5365"/>
      <c r="O333" s="5365"/>
      <c r="P333" s="5365"/>
    </row>
    <row r="334" ht="15" spans="1:16">
      <c r="B334" s="5514" t="s">
        <v>274</v>
      </c>
      <c r="C334" s="5515" t="e">
        <f>#REF!</f>
        <v>#REF!</v>
      </c>
      <c r="D334" s="5515" t="e">
        <f>#REF!</f>
        <v>#REF!</v>
      </c>
      <c r="E334" s="5248" t="e">
        <f t="shared" si="62"/>
        <v>#REF!</v>
      </c>
      <c r="F334" s="5365"/>
      <c r="G334" s="5365"/>
      <c r="H334" s="5365"/>
      <c r="I334" s="5365"/>
      <c r="J334" s="5365"/>
      <c r="K334" s="5365"/>
      <c r="L334" s="5365"/>
      <c r="M334" s="5365"/>
      <c r="N334" s="5365"/>
      <c r="O334" s="5365"/>
      <c r="P334" s="5365"/>
    </row>
    <row r="335" ht="15" spans="1:16">
      <c r="B335" s="5514" t="s">
        <v>275</v>
      </c>
      <c r="C335" s="5515" t="e">
        <f>#REF!</f>
        <v>#REF!</v>
      </c>
      <c r="D335" s="5515" t="e">
        <f>#REF!</f>
        <v>#REF!</v>
      </c>
      <c r="E335" s="5248" t="e">
        <f t="shared" si="62"/>
        <v>#REF!</v>
      </c>
      <c r="F335" s="5365"/>
      <c r="G335" s="5365"/>
      <c r="H335" s="5365"/>
      <c r="I335" s="5365"/>
      <c r="J335" s="5365"/>
      <c r="K335" s="5365"/>
      <c r="L335" s="5365"/>
      <c r="M335" s="5365"/>
      <c r="N335" s="5365"/>
      <c r="O335" s="5365"/>
      <c r="P335" s="5365"/>
    </row>
    <row r="336" ht="15" spans="1:16">
      <c r="B336" s="5514" t="s">
        <v>276</v>
      </c>
      <c r="C336" s="5515" t="e">
        <f>#REF!</f>
        <v>#REF!</v>
      </c>
      <c r="D336" s="5515" t="e">
        <f>#REF!</f>
        <v>#REF!</v>
      </c>
      <c r="E336" s="5248" t="e">
        <f t="shared" si="62"/>
        <v>#REF!</v>
      </c>
      <c r="F336" s="5365"/>
      <c r="G336" s="5365"/>
      <c r="H336" s="5365"/>
      <c r="I336" s="5365"/>
      <c r="J336" s="5365"/>
      <c r="K336" s="5365"/>
      <c r="L336" s="5365"/>
      <c r="M336" s="5365"/>
      <c r="N336" s="5365"/>
      <c r="O336" s="5365"/>
      <c r="P336" s="5365"/>
    </row>
    <row r="337" ht="15" spans="1:16">
      <c r="B337" s="5514" t="s">
        <v>277</v>
      </c>
      <c r="C337" s="5515" t="e">
        <f>#REF!</f>
        <v>#REF!</v>
      </c>
      <c r="D337" s="5515" t="e">
        <f>#REF!</f>
        <v>#REF!</v>
      </c>
      <c r="E337" s="5248" t="e">
        <f t="shared" si="62"/>
        <v>#REF!</v>
      </c>
      <c r="F337" s="5365"/>
      <c r="G337" s="5365"/>
      <c r="H337" s="5365"/>
      <c r="I337" s="5365"/>
      <c r="J337" s="5365"/>
      <c r="K337" s="5365"/>
      <c r="L337" s="5365"/>
      <c r="M337" s="5365"/>
      <c r="N337" s="5365"/>
      <c r="O337" s="5365"/>
      <c r="P337" s="5365"/>
    </row>
    <row r="338" spans="1:16">
      <c r="A338" s="5365"/>
      <c r="B338" s="5365"/>
      <c r="C338" s="5365"/>
      <c r="D338" s="5365"/>
      <c r="E338" s="5365"/>
      <c r="F338" s="5365"/>
      <c r="G338" s="5365"/>
      <c r="H338" s="5365"/>
      <c r="I338" s="5365"/>
      <c r="J338" s="5365"/>
      <c r="K338" s="5365"/>
      <c r="L338" s="5365"/>
      <c r="M338" s="5365"/>
      <c r="N338" s="5365"/>
      <c r="O338" s="5365"/>
      <c r="P338" s="5365"/>
    </row>
    <row r="339" ht="15" spans="1:16">
      <c r="B339" s="5514" t="s">
        <v>278</v>
      </c>
      <c r="C339" s="5515" t="e">
        <f>#REF!</f>
        <v>#REF!</v>
      </c>
      <c r="D339" s="5515" t="e">
        <f>#REF!</f>
        <v>#REF!</v>
      </c>
      <c r="E339" s="5248" t="e">
        <f>IF(C339=0,"-",IFERROR(INDEX($A$315:$A$317,MATCH(C339,$C$315:$C$317,0)),"-"))</f>
        <v>#REF!</v>
      </c>
      <c r="F339" s="5365"/>
      <c r="G339" s="5365"/>
      <c r="H339" s="5365"/>
      <c r="I339" s="5365"/>
      <c r="J339" s="5365"/>
      <c r="K339" s="5365"/>
      <c r="L339" s="5365"/>
      <c r="M339" s="5365"/>
      <c r="N339" s="5365"/>
      <c r="O339" s="5365"/>
      <c r="P339" s="5365"/>
    </row>
    <row r="340" ht="15" spans="1:16">
      <c r="B340" s="5514" t="s">
        <v>279</v>
      </c>
      <c r="C340" s="5515" t="e">
        <f>#REF!</f>
        <v>#REF!</v>
      </c>
      <c r="D340" s="5515" t="e">
        <f>#REF!</f>
        <v>#REF!</v>
      </c>
      <c r="E340" s="5248" t="e">
        <f>IF(C340=0,"-",IFERROR(INDEX($A$315:$A$317,MATCH(C340,$C$315:$C$317,0)),"-"))</f>
        <v>#REF!</v>
      </c>
      <c r="F340" s="5365"/>
      <c r="G340" s="5365"/>
      <c r="H340" s="5365"/>
      <c r="I340" s="5365"/>
      <c r="J340" s="5365"/>
      <c r="K340" s="5365"/>
      <c r="L340" s="5365"/>
      <c r="M340" s="5365"/>
      <c r="N340" s="5365"/>
      <c r="O340" s="5365"/>
      <c r="P340" s="5365"/>
    </row>
    <row r="341" ht="15" spans="1:16">
      <c r="B341" s="5514" t="s">
        <v>280</v>
      </c>
      <c r="C341" s="5515" t="e">
        <f>#REF!</f>
        <v>#REF!</v>
      </c>
      <c r="D341" s="5515" t="e">
        <f>#REF!</f>
        <v>#REF!</v>
      </c>
      <c r="E341" s="5248" t="e">
        <f t="shared" ref="E341:E353" si="63">IF(C341=0,"-",IFERROR(INDEX($A$315:$A$317,MATCH(C341,$C$315:$C$317,0)),"-"))</f>
        <v>#REF!</v>
      </c>
      <c r="F341" s="5365"/>
      <c r="G341" s="5365"/>
      <c r="H341" s="5365"/>
      <c r="I341" s="5365"/>
      <c r="J341" s="5365"/>
      <c r="K341" s="5365"/>
      <c r="L341" s="5365"/>
      <c r="M341" s="5365"/>
      <c r="N341" s="5365"/>
      <c r="O341" s="5365"/>
      <c r="P341" s="5365"/>
    </row>
    <row r="342" ht="15" spans="1:16">
      <c r="B342" s="5514" t="s">
        <v>281</v>
      </c>
      <c r="C342" s="5515" t="e">
        <f>#REF!</f>
        <v>#REF!</v>
      </c>
      <c r="D342" s="5515" t="e">
        <f>#REF!</f>
        <v>#REF!</v>
      </c>
      <c r="E342" s="5248" t="e">
        <f t="shared" si="63"/>
        <v>#REF!</v>
      </c>
      <c r="F342" s="5365"/>
      <c r="G342" s="5365"/>
      <c r="H342" s="5365"/>
      <c r="I342" s="5365"/>
      <c r="J342" s="5365"/>
      <c r="K342" s="5365"/>
      <c r="L342" s="5365"/>
      <c r="M342" s="5365"/>
      <c r="N342" s="5365"/>
      <c r="O342" s="5365"/>
      <c r="P342" s="5365"/>
    </row>
    <row r="343" ht="15" spans="1:16">
      <c r="B343" s="5514" t="s">
        <v>282</v>
      </c>
      <c r="C343" s="5515" t="e">
        <f>#REF!</f>
        <v>#REF!</v>
      </c>
      <c r="D343" s="5515" t="e">
        <f>#REF!</f>
        <v>#REF!</v>
      </c>
      <c r="E343" s="5248" t="e">
        <f t="shared" si="63"/>
        <v>#REF!</v>
      </c>
      <c r="F343" s="5365"/>
      <c r="G343" s="5365"/>
      <c r="H343" s="5365"/>
      <c r="I343" s="5365"/>
      <c r="J343" s="5365"/>
      <c r="K343" s="5365"/>
      <c r="L343" s="5365"/>
      <c r="M343" s="5365"/>
      <c r="N343" s="5365"/>
      <c r="O343" s="5365"/>
      <c r="P343" s="5365"/>
    </row>
    <row r="344" ht="15" spans="1:16">
      <c r="B344" s="5514" t="s">
        <v>283</v>
      </c>
      <c r="C344" s="5515" t="e">
        <f>#REF!</f>
        <v>#REF!</v>
      </c>
      <c r="D344" s="5515" t="e">
        <f>#REF!</f>
        <v>#REF!</v>
      </c>
      <c r="E344" s="5248" t="e">
        <f t="shared" si="63"/>
        <v>#REF!</v>
      </c>
      <c r="F344" s="5365"/>
      <c r="G344" s="5365"/>
      <c r="H344" s="5365"/>
      <c r="I344" s="5365"/>
      <c r="J344" s="5365"/>
      <c r="K344" s="5365"/>
      <c r="L344" s="5365"/>
      <c r="M344" s="5365"/>
      <c r="N344" s="5365"/>
      <c r="O344" s="5365"/>
      <c r="P344" s="5365"/>
    </row>
    <row r="345" ht="15" spans="1:16">
      <c r="B345" s="5514" t="s">
        <v>284</v>
      </c>
      <c r="C345" s="5515" t="e">
        <f>#REF!</f>
        <v>#REF!</v>
      </c>
      <c r="D345" s="5515" t="e">
        <f>#REF!</f>
        <v>#REF!</v>
      </c>
      <c r="E345" s="5248" t="e">
        <f t="shared" si="63"/>
        <v>#REF!</v>
      </c>
      <c r="F345" s="5365"/>
      <c r="G345" s="5365"/>
      <c r="H345" s="5365"/>
      <c r="I345" s="5365"/>
      <c r="J345" s="5365"/>
      <c r="K345" s="5365"/>
      <c r="L345" s="5365"/>
      <c r="M345" s="5365"/>
      <c r="N345" s="5365"/>
      <c r="O345" s="5365"/>
      <c r="P345" s="5365"/>
    </row>
    <row r="346" ht="15" spans="1:16">
      <c r="B346" s="5514" t="s">
        <v>285</v>
      </c>
      <c r="C346" s="5515" t="e">
        <f>#REF!</f>
        <v>#REF!</v>
      </c>
      <c r="D346" s="5515" t="e">
        <f>#REF!</f>
        <v>#REF!</v>
      </c>
      <c r="E346" s="5248" t="e">
        <f t="shared" si="63"/>
        <v>#REF!</v>
      </c>
      <c r="F346" s="5365"/>
      <c r="G346" s="5365"/>
      <c r="H346" s="5365"/>
      <c r="I346" s="5365"/>
      <c r="J346" s="5365"/>
      <c r="K346" s="5365"/>
      <c r="L346" s="5365"/>
      <c r="M346" s="5365"/>
      <c r="N346" s="5365"/>
      <c r="O346" s="5365"/>
      <c r="P346" s="5365"/>
    </row>
    <row r="347" ht="15" spans="1:16">
      <c r="B347" s="5514" t="s">
        <v>286</v>
      </c>
      <c r="C347" s="5515" t="e">
        <f>#REF!</f>
        <v>#REF!</v>
      </c>
      <c r="D347" s="5515" t="e">
        <f>#REF!</f>
        <v>#REF!</v>
      </c>
      <c r="E347" s="5248" t="e">
        <f t="shared" si="63"/>
        <v>#REF!</v>
      </c>
      <c r="F347" s="5365"/>
      <c r="G347" s="5365"/>
      <c r="H347" s="5365"/>
      <c r="I347" s="5365"/>
      <c r="J347" s="5365"/>
      <c r="K347" s="5365"/>
      <c r="L347" s="5365"/>
      <c r="M347" s="5365"/>
      <c r="N347" s="5365"/>
      <c r="O347" s="5365"/>
      <c r="P347" s="5365"/>
    </row>
    <row r="348" ht="15" spans="1:16">
      <c r="B348" s="5514" t="s">
        <v>287</v>
      </c>
      <c r="C348" s="5515" t="e">
        <f>#REF!</f>
        <v>#REF!</v>
      </c>
      <c r="D348" s="5515" t="e">
        <f>#REF!</f>
        <v>#REF!</v>
      </c>
      <c r="E348" s="5248" t="e">
        <f t="shared" si="63"/>
        <v>#REF!</v>
      </c>
      <c r="F348" s="5365"/>
      <c r="G348" s="5365"/>
      <c r="H348" s="5365"/>
      <c r="I348" s="5365"/>
      <c r="J348" s="5365"/>
      <c r="K348" s="5365"/>
      <c r="L348" s="5365"/>
      <c r="M348" s="5365"/>
      <c r="N348" s="5365"/>
      <c r="O348" s="5365"/>
      <c r="P348" s="5365"/>
    </row>
    <row r="349" ht="15" spans="1:16">
      <c r="B349" s="5514" t="s">
        <v>288</v>
      </c>
      <c r="C349" s="5515" t="e">
        <f>#REF!</f>
        <v>#REF!</v>
      </c>
      <c r="D349" s="5515" t="e">
        <f>#REF!</f>
        <v>#REF!</v>
      </c>
      <c r="E349" s="5248" t="e">
        <f t="shared" si="63"/>
        <v>#REF!</v>
      </c>
      <c r="F349" s="5365"/>
      <c r="G349" s="5365"/>
      <c r="H349" s="5365"/>
      <c r="I349" s="5365"/>
      <c r="J349" s="5365"/>
      <c r="K349" s="5365"/>
      <c r="L349" s="5365"/>
      <c r="M349" s="5365"/>
      <c r="N349" s="5365"/>
      <c r="O349" s="5365"/>
      <c r="P349" s="5365"/>
    </row>
    <row r="350" ht="15" spans="1:16">
      <c r="B350" s="5514" t="s">
        <v>289</v>
      </c>
      <c r="C350" s="5515" t="e">
        <f>#REF!</f>
        <v>#REF!</v>
      </c>
      <c r="D350" s="5515" t="e">
        <f>#REF!</f>
        <v>#REF!</v>
      </c>
      <c r="E350" s="5248" t="e">
        <f t="shared" si="63"/>
        <v>#REF!</v>
      </c>
      <c r="F350" s="5365"/>
      <c r="G350" s="5365"/>
      <c r="H350" s="5365"/>
      <c r="I350" s="5365"/>
      <c r="J350" s="5365"/>
      <c r="K350" s="5365"/>
      <c r="L350" s="5365"/>
      <c r="M350" s="5365"/>
      <c r="N350" s="5365"/>
      <c r="O350" s="5365"/>
      <c r="P350" s="5365"/>
    </row>
    <row r="351" ht="15" spans="1:16">
      <c r="B351" s="5514" t="s">
        <v>290</v>
      </c>
      <c r="C351" s="5515" t="e">
        <f>#REF!</f>
        <v>#REF!</v>
      </c>
      <c r="D351" s="5515" t="e">
        <f>#REF!</f>
        <v>#REF!</v>
      </c>
      <c r="E351" s="5248" t="e">
        <f t="shared" si="63"/>
        <v>#REF!</v>
      </c>
      <c r="F351" s="5365"/>
      <c r="G351" s="5365"/>
      <c r="H351" s="5365"/>
      <c r="I351" s="5365"/>
      <c r="J351" s="5365"/>
      <c r="K351" s="5365"/>
      <c r="L351" s="5365"/>
      <c r="M351" s="5365"/>
      <c r="N351" s="5365"/>
      <c r="O351" s="5365"/>
      <c r="P351" s="5365"/>
    </row>
    <row r="352" ht="15" spans="1:16">
      <c r="B352" s="5514" t="s">
        <v>291</v>
      </c>
      <c r="C352" s="5515" t="e">
        <f>#REF!</f>
        <v>#REF!</v>
      </c>
      <c r="D352" s="5515" t="e">
        <f>#REF!</f>
        <v>#REF!</v>
      </c>
      <c r="E352" s="5248" t="e">
        <f t="shared" si="63"/>
        <v>#REF!</v>
      </c>
      <c r="F352" s="5365"/>
      <c r="G352" s="5365"/>
      <c r="H352" s="5365"/>
      <c r="I352" s="5365"/>
      <c r="J352" s="5365"/>
      <c r="K352" s="5365"/>
      <c r="L352" s="5365"/>
      <c r="M352" s="5365"/>
      <c r="N352" s="5365"/>
      <c r="O352" s="5365"/>
      <c r="P352" s="5365"/>
    </row>
    <row r="353" ht="15" spans="1:16">
      <c r="B353" s="5514" t="s">
        <v>292</v>
      </c>
      <c r="C353" s="5515" t="e">
        <f>#REF!</f>
        <v>#REF!</v>
      </c>
      <c r="D353" s="5515" t="e">
        <f>#REF!</f>
        <v>#REF!</v>
      </c>
      <c r="E353" s="5248" t="e">
        <f t="shared" si="63"/>
        <v>#REF!</v>
      </c>
      <c r="F353" s="5365"/>
      <c r="G353" s="5365"/>
      <c r="H353" s="5365"/>
      <c r="I353" s="5365"/>
      <c r="J353" s="5365"/>
      <c r="K353" s="5365"/>
      <c r="L353" s="5365"/>
      <c r="M353" s="5365"/>
      <c r="N353" s="5365"/>
      <c r="O353" s="5365"/>
      <c r="P353" s="5365"/>
    </row>
    <row r="354" spans="1:16">
      <c r="A354" s="5365"/>
      <c r="B354" s="5365"/>
      <c r="C354" s="5394"/>
      <c r="D354" s="5394"/>
      <c r="E354" s="5365"/>
      <c r="F354" s="5365"/>
      <c r="G354" s="5365"/>
      <c r="H354" s="5365"/>
      <c r="I354" s="5365"/>
      <c r="J354" s="5365"/>
      <c r="K354" s="5365"/>
      <c r="L354" s="5365"/>
      <c r="M354" s="5365"/>
      <c r="N354" s="5365"/>
      <c r="O354" s="5365"/>
      <c r="P354" s="5365"/>
    </row>
    <row r="355" spans="1:16">
      <c r="A355" s="5365"/>
      <c r="B355" s="5365"/>
      <c r="C355" s="5394"/>
      <c r="D355" s="5394"/>
      <c r="E355" s="5365"/>
      <c r="F355" s="5365"/>
      <c r="G355" s="5365"/>
      <c r="H355" s="5365"/>
      <c r="I355" s="5365"/>
      <c r="J355" s="5365"/>
      <c r="K355" s="5365"/>
      <c r="L355" s="5365"/>
      <c r="M355" s="5365"/>
      <c r="N355" s="5365"/>
      <c r="O355" s="5365"/>
      <c r="P355" s="5365"/>
    </row>
    <row r="356" spans="1:16">
      <c r="A356" s="5365"/>
      <c r="B356" s="5365"/>
      <c r="C356" s="5394"/>
      <c r="D356" s="5394"/>
      <c r="E356" s="5365"/>
      <c r="F356" s="5365"/>
      <c r="G356" s="5365"/>
      <c r="H356" s="5365"/>
      <c r="I356" s="5365"/>
      <c r="J356" s="5365"/>
      <c r="K356" s="5365"/>
      <c r="L356" s="5365"/>
      <c r="M356" s="5365"/>
      <c r="N356" s="5365"/>
      <c r="O356" s="5365"/>
      <c r="P356" s="5365"/>
    </row>
    <row r="357" ht="15" spans="1:16">
      <c r="A357" s="5417" t="s">
        <v>250</v>
      </c>
      <c r="B357" s="5365"/>
      <c r="C357" s="5394"/>
      <c r="D357" s="5394"/>
      <c r="E357" s="5365"/>
      <c r="F357" s="5365"/>
      <c r="G357" s="5365"/>
      <c r="H357" s="5365"/>
      <c r="I357" s="5365"/>
      <c r="J357" s="5365"/>
      <c r="K357" s="5365"/>
      <c r="L357" s="5365"/>
      <c r="M357" s="5365"/>
      <c r="N357" s="5365"/>
      <c r="O357" s="5365"/>
      <c r="P357" s="5365"/>
    </row>
    <row r="358" ht="17.25" customHeight="1" spans="1:16">
      <c r="A358" s="5420"/>
      <c r="B358" s="5420" t="s">
        <v>251</v>
      </c>
      <c r="C358" s="5421" t="s">
        <v>16</v>
      </c>
      <c r="D358" s="5421" t="s">
        <v>17</v>
      </c>
      <c r="E358" s="5422" t="s">
        <v>18</v>
      </c>
      <c r="F358" s="5422" t="s">
        <v>19</v>
      </c>
      <c r="G358" s="5422" t="s">
        <v>20</v>
      </c>
      <c r="H358" s="5422"/>
      <c r="I358" s="5365"/>
      <c r="J358" s="5365"/>
      <c r="K358" s="5365"/>
      <c r="L358" s="5365"/>
      <c r="M358" s="5365"/>
      <c r="N358" s="5365"/>
      <c r="O358" s="5365"/>
      <c r="P358" s="5365"/>
    </row>
    <row r="359" ht="14.25" customHeight="1" spans="1:16">
      <c r="A359" s="5599" t="s">
        <v>293</v>
      </c>
      <c r="B359" s="5424" t="e">
        <f>INDEX($B$378:$B$395,MATCH(C359,$C$378:$C$395,0))</f>
        <v>#REF!</v>
      </c>
      <c r="C359" s="5467" t="e">
        <f>MAX($C$378:$C$395)</f>
        <v>#REF!</v>
      </c>
      <c r="D359" s="5468" t="e">
        <f>INDEX($D$378:$D$395,MATCH(C359,$C$378:$C$395,0))</f>
        <v>#REF!</v>
      </c>
      <c r="E359" s="5425" t="e">
        <f>C359-D359</f>
        <v>#REF!</v>
      </c>
      <c r="F359" s="5426" t="e">
        <f t="shared" ref="F359:F365" si="64">IF(E359&lt;0,E359*-1,E359)</f>
        <v>#REF!</v>
      </c>
      <c r="G359" s="5427">
        <f>IFERROR(F359/D359,0)</f>
        <v>0</v>
      </c>
      <c r="H359" s="5430" t="e">
        <f>IF(E359&lt;0,"DECREASE","INCREASE")</f>
        <v>#REF!</v>
      </c>
      <c r="I359" s="5365"/>
      <c r="J359" s="5365"/>
      <c r="K359" s="5365"/>
      <c r="L359" s="5365"/>
      <c r="M359" s="5365"/>
      <c r="N359" s="5365"/>
      <c r="O359" s="5365"/>
      <c r="P359" s="5365"/>
    </row>
    <row r="360" ht="14.25" customHeight="1" spans="1:16">
      <c r="A360" s="5473" t="s">
        <v>294</v>
      </c>
      <c r="B360" s="5429" t="e">
        <f>INDEX($B$378:$B$395,MATCH(C360,$C$378:$C$395,0))</f>
        <v>#REF!</v>
      </c>
      <c r="C360" s="5470" t="e">
        <f>LARGE($C$378:$C$395,2)</f>
        <v>#REF!</v>
      </c>
      <c r="D360" s="5471" t="e">
        <f t="shared" ref="D360:D363" si="65">INDEX($D$378:$D$395,MATCH(C360,$C$378:$C$395,0))</f>
        <v>#REF!</v>
      </c>
      <c r="E360" s="5430" t="e">
        <f t="shared" ref="E360:E365" si="66">C360-D360</f>
        <v>#REF!</v>
      </c>
      <c r="F360" s="5431" t="e">
        <f t="shared" si="64"/>
        <v>#REF!</v>
      </c>
      <c r="G360" s="5432">
        <f>IFERROR(F360/D360,0)</f>
        <v>0</v>
      </c>
      <c r="H360" s="5430" t="e">
        <f>IF(E360&lt;0,"DECREASE","INCREASE")</f>
        <v>#REF!</v>
      </c>
      <c r="I360" s="5365"/>
      <c r="J360" s="5365"/>
      <c r="K360" s="5365"/>
      <c r="L360" s="5365"/>
      <c r="M360" s="5365"/>
      <c r="N360" s="5365"/>
      <c r="O360" s="5365"/>
      <c r="P360" s="5365"/>
    </row>
    <row r="361" spans="1:16">
      <c r="A361" s="5473" t="s">
        <v>295</v>
      </c>
      <c r="B361" s="5429" t="e">
        <f>INDEX($B$378:$B$395,MATCH(C361,$C$378:$C$395,0))</f>
        <v>#REF!</v>
      </c>
      <c r="C361" s="5470" t="e">
        <f>LARGE($C$378:$C$395,3)</f>
        <v>#REF!</v>
      </c>
      <c r="D361" s="5471" t="e">
        <f t="shared" si="65"/>
        <v>#REF!</v>
      </c>
      <c r="E361" s="5430" t="e">
        <f t="shared" si="66"/>
        <v>#REF!</v>
      </c>
      <c r="F361" s="5431" t="e">
        <f t="shared" si="64"/>
        <v>#REF!</v>
      </c>
      <c r="G361" s="5432">
        <f t="shared" ref="G361:G365" si="67">IFERROR(F361/D361,0)</f>
        <v>0</v>
      </c>
      <c r="H361" s="5430" t="e">
        <f t="shared" ref="H361:H365" si="68">IF(E361&lt;0,"DECREASE","INCREASE")</f>
        <v>#REF!</v>
      </c>
      <c r="I361" s="5365"/>
      <c r="J361" s="5365"/>
      <c r="K361" s="5365"/>
      <c r="L361" s="5365"/>
      <c r="M361" s="5365"/>
      <c r="N361" s="5365"/>
      <c r="O361" s="5365"/>
      <c r="P361" s="5365"/>
    </row>
    <row r="362" spans="1:16">
      <c r="A362" s="5458"/>
      <c r="B362" s="5429" t="e">
        <f>INDEX($B$378:$B$395,MATCH(C362,$C$378:$C$395,0))</f>
        <v>#REF!</v>
      </c>
      <c r="C362" s="5470" t="e">
        <f>LARGE($C$378:$C$395,4)</f>
        <v>#REF!</v>
      </c>
      <c r="D362" s="5471" t="e">
        <f t="shared" si="65"/>
        <v>#REF!</v>
      </c>
      <c r="E362" s="5430" t="e">
        <f t="shared" si="66"/>
        <v>#REF!</v>
      </c>
      <c r="F362" s="5431" t="e">
        <f t="shared" si="64"/>
        <v>#REF!</v>
      </c>
      <c r="G362" s="5432">
        <f t="shared" si="67"/>
        <v>0</v>
      </c>
      <c r="H362" s="5430" t="e">
        <f t="shared" si="68"/>
        <v>#REF!</v>
      </c>
      <c r="I362" s="5365"/>
      <c r="J362" s="5365"/>
      <c r="K362" s="5365"/>
      <c r="L362" s="5365"/>
      <c r="M362" s="5365"/>
      <c r="N362" s="5365"/>
      <c r="O362" s="5365"/>
      <c r="P362" s="5365"/>
    </row>
    <row r="363" spans="1:16">
      <c r="A363" s="5458"/>
      <c r="B363" s="5429" t="e">
        <f>INDEX($B$378:$B$395,MATCH(C363,$C$378:$C$395,0))</f>
        <v>#REF!</v>
      </c>
      <c r="C363" s="5470" t="e">
        <f>LARGE($C$378:$C$395,5)</f>
        <v>#REF!</v>
      </c>
      <c r="D363" s="5471" t="e">
        <f t="shared" si="65"/>
        <v>#REF!</v>
      </c>
      <c r="E363" s="5430" t="e">
        <f t="shared" si="66"/>
        <v>#REF!</v>
      </c>
      <c r="F363" s="5431" t="e">
        <f t="shared" si="64"/>
        <v>#REF!</v>
      </c>
      <c r="G363" s="5432">
        <f t="shared" si="67"/>
        <v>0</v>
      </c>
      <c r="H363" s="5430" t="e">
        <f t="shared" si="68"/>
        <v>#REF!</v>
      </c>
      <c r="I363" s="5365"/>
      <c r="J363" s="5365"/>
      <c r="K363" s="5365"/>
      <c r="L363" s="5365"/>
      <c r="M363" s="5365"/>
      <c r="N363" s="5365"/>
      <c r="O363" s="5365"/>
      <c r="P363" s="5365"/>
    </row>
    <row r="364" spans="1:16">
      <c r="A364" s="5458"/>
      <c r="B364" s="5598" t="s">
        <v>255</v>
      </c>
      <c r="C364" s="5470" t="e">
        <f>C365-SUM(C359:C363)</f>
        <v>#REF!</v>
      </c>
      <c r="D364" s="5470" t="e">
        <f>D365-SUM(D359:D363)</f>
        <v>#REF!</v>
      </c>
      <c r="E364" s="5430" t="e">
        <f t="shared" si="66"/>
        <v>#REF!</v>
      </c>
      <c r="F364" s="5431" t="e">
        <f t="shared" si="64"/>
        <v>#REF!</v>
      </c>
      <c r="G364" s="5432">
        <f t="shared" si="67"/>
        <v>0</v>
      </c>
      <c r="H364" s="5430" t="e">
        <f t="shared" si="68"/>
        <v>#REF!</v>
      </c>
      <c r="I364" s="5365"/>
      <c r="J364" s="5365"/>
      <c r="K364" s="5365"/>
      <c r="L364" s="5365"/>
      <c r="M364" s="5365"/>
      <c r="N364" s="5365"/>
      <c r="O364" s="5365"/>
      <c r="P364" s="5365"/>
    </row>
    <row r="365" spans="1:16">
      <c r="A365" s="5459"/>
      <c r="B365" s="5507" t="s">
        <v>256</v>
      </c>
      <c r="C365" s="5474" t="e">
        <f>C396</f>
        <v>#REF!</v>
      </c>
      <c r="D365" s="5474" t="e">
        <f>D396</f>
        <v>#REF!</v>
      </c>
      <c r="E365" s="5436" t="e">
        <f t="shared" si="66"/>
        <v>#REF!</v>
      </c>
      <c r="F365" s="5463" t="e">
        <f t="shared" si="64"/>
        <v>#REF!</v>
      </c>
      <c r="G365" s="5475">
        <f t="shared" si="67"/>
        <v>0</v>
      </c>
      <c r="H365" s="5430" t="e">
        <f t="shared" si="68"/>
        <v>#REF!</v>
      </c>
      <c r="I365" s="5365"/>
      <c r="J365" s="5365"/>
      <c r="K365" s="5365"/>
      <c r="L365" s="5365"/>
      <c r="M365" s="5365"/>
      <c r="N365" s="5365"/>
      <c r="O365" s="5365"/>
      <c r="P365" s="5365"/>
    </row>
    <row r="366" ht="15" spans="1:16">
      <c r="A366" s="5417" t="s">
        <v>257</v>
      </c>
      <c r="B366" s="5365"/>
      <c r="C366" s="5394"/>
      <c r="D366" s="5394"/>
      <c r="E366" s="5365"/>
      <c r="F366" s="5365"/>
      <c r="G366" s="5365"/>
      <c r="H366" s="5365"/>
      <c r="I366" s="5365"/>
      <c r="J366" s="5365"/>
      <c r="K366" s="5365"/>
      <c r="L366" s="5365"/>
      <c r="M366" s="5365"/>
      <c r="N366" s="5365"/>
      <c r="O366" s="5365"/>
      <c r="P366" s="5365"/>
    </row>
    <row r="367" ht="17.25" customHeight="1" spans="1:16">
      <c r="A367" s="5420"/>
      <c r="B367" s="5420" t="s">
        <v>258</v>
      </c>
      <c r="C367" s="5421" t="s">
        <v>16</v>
      </c>
      <c r="D367" s="5421" t="s">
        <v>17</v>
      </c>
      <c r="E367" s="5422" t="s">
        <v>18</v>
      </c>
      <c r="F367" s="5422" t="s">
        <v>19</v>
      </c>
      <c r="G367" s="5422" t="s">
        <v>20</v>
      </c>
      <c r="H367" s="5422"/>
      <c r="I367" s="5365"/>
      <c r="J367" s="5365"/>
      <c r="K367" s="5365"/>
      <c r="L367" s="5365"/>
      <c r="M367" s="5365"/>
      <c r="N367" s="5365"/>
      <c r="O367" s="5365"/>
      <c r="P367" s="5365"/>
    </row>
    <row r="368" ht="14.25" customHeight="1" spans="1:16">
      <c r="A368" s="5599" t="s">
        <v>296</v>
      </c>
      <c r="B368" s="5424" t="e">
        <f>INDEX($B$398:$B$415,MATCH(C368,$C$398:$C$415,0))</f>
        <v>#REF!</v>
      </c>
      <c r="C368" s="5467" t="e">
        <f>MAX(C398:C415)</f>
        <v>#REF!</v>
      </c>
      <c r="D368" s="5467" t="e">
        <f>INDEX($D$398:D$415,MATCH(C368,$C$398:$C$415,0))</f>
        <v>#REF!</v>
      </c>
      <c r="E368" s="5425" t="e">
        <f>C368-D368</f>
        <v>#REF!</v>
      </c>
      <c r="F368" s="5426" t="e">
        <f t="shared" ref="F368:F374" si="69">IF(E368&lt;0,E368*-1,E368)</f>
        <v>#REF!</v>
      </c>
      <c r="G368" s="5427">
        <f t="shared" ref="G368:G374" si="70">IFERROR(F368/D368,0)</f>
        <v>0</v>
      </c>
      <c r="H368" s="5430" t="e">
        <f>IF(E368&lt;0,"DECREASE","INCREASE")</f>
        <v>#REF!</v>
      </c>
      <c r="I368" s="5365"/>
      <c r="J368" s="5365"/>
      <c r="K368" s="5365"/>
      <c r="L368" s="5365"/>
      <c r="M368" s="5365"/>
      <c r="N368" s="5365"/>
      <c r="O368" s="5365"/>
      <c r="P368" s="5365"/>
    </row>
    <row r="369" ht="14.25" customHeight="1" spans="1:16">
      <c r="A369" s="5473" t="s">
        <v>297</v>
      </c>
      <c r="B369" s="5429" t="e">
        <f>INDEX($B$398:$B$415,MATCH(C369,$C$398:$C$415,0))</f>
        <v>#REF!</v>
      </c>
      <c r="C369" s="5470" t="e">
        <f>LARGE($C$398:C$415,2)</f>
        <v>#REF!</v>
      </c>
      <c r="D369" s="5470" t="e">
        <f>INDEX($D$398:D$415,MATCH(C369,$C$398:$C$415,0))</f>
        <v>#REF!</v>
      </c>
      <c r="E369" s="5430" t="e">
        <f t="shared" ref="E369:E374" si="71">C369-D369</f>
        <v>#REF!</v>
      </c>
      <c r="F369" s="5431" t="e">
        <f t="shared" si="69"/>
        <v>#REF!</v>
      </c>
      <c r="G369" s="5432">
        <f t="shared" si="70"/>
        <v>0</v>
      </c>
      <c r="H369" s="5430" t="e">
        <f>IF(E369&lt;0,"DECREASE","INCREASE")</f>
        <v>#REF!</v>
      </c>
      <c r="I369" s="5365"/>
      <c r="J369" s="5365"/>
      <c r="K369" s="5365"/>
      <c r="L369" s="5365"/>
      <c r="M369" s="5365"/>
      <c r="N369" s="5365"/>
      <c r="O369" s="5365"/>
      <c r="P369" s="5365"/>
    </row>
    <row r="370" spans="1:16">
      <c r="A370" s="5473" t="s">
        <v>298</v>
      </c>
      <c r="B370" s="5429" t="e">
        <f>INDEX($B$398:$B$415,MATCH(C370,$C$398:$C$415,0))</f>
        <v>#REF!</v>
      </c>
      <c r="C370" s="5470" t="e">
        <f>LARGE($C$398:C$415,3)</f>
        <v>#REF!</v>
      </c>
      <c r="D370" s="5470" t="e">
        <f>INDEX($D$398:D$415,MATCH(C370,$C$398:$C$415,0))</f>
        <v>#REF!</v>
      </c>
      <c r="E370" s="5430" t="e">
        <f t="shared" si="71"/>
        <v>#REF!</v>
      </c>
      <c r="F370" s="5431" t="e">
        <f t="shared" si="69"/>
        <v>#REF!</v>
      </c>
      <c r="G370" s="5432">
        <f t="shared" si="70"/>
        <v>0</v>
      </c>
      <c r="H370" s="5430" t="e">
        <f t="shared" ref="H370:H374" si="72">IF(E370&lt;0,"DECREASE","INCREASE")</f>
        <v>#REF!</v>
      </c>
      <c r="I370" s="5365"/>
      <c r="J370" s="5365"/>
      <c r="K370" s="5365"/>
      <c r="L370" s="5365"/>
      <c r="M370" s="5365"/>
      <c r="N370" s="5365"/>
      <c r="O370" s="5365"/>
      <c r="P370" s="5365"/>
    </row>
    <row r="371" spans="1:16">
      <c r="A371" s="5458"/>
      <c r="B371" s="5429" t="e">
        <f>INDEX($B$398:$B$415,MATCH(C371,$C$398:$C$415,0))</f>
        <v>#REF!</v>
      </c>
      <c r="C371" s="5470" t="e">
        <f>LARGE($C$398:C$415,4)</f>
        <v>#REF!</v>
      </c>
      <c r="D371" s="5470" t="e">
        <f>INDEX($D$398:D$415,MATCH(C371,$C$398:$C$415,0))</f>
        <v>#REF!</v>
      </c>
      <c r="E371" s="5430" t="e">
        <f t="shared" si="71"/>
        <v>#REF!</v>
      </c>
      <c r="F371" s="5431" t="e">
        <f t="shared" si="69"/>
        <v>#REF!</v>
      </c>
      <c r="G371" s="5432">
        <f t="shared" si="70"/>
        <v>0</v>
      </c>
      <c r="H371" s="5430" t="e">
        <f t="shared" si="72"/>
        <v>#REF!</v>
      </c>
      <c r="I371" s="5365"/>
      <c r="J371" s="5365"/>
      <c r="K371" s="5365"/>
      <c r="L371" s="5365"/>
      <c r="M371" s="5365"/>
      <c r="N371" s="5365"/>
      <c r="O371" s="5365"/>
      <c r="P371" s="5365"/>
    </row>
    <row r="372" spans="1:16">
      <c r="A372" s="5458"/>
      <c r="B372" s="5429" t="e">
        <f>INDEX($B$398:$B$415,MATCH(C372,$C$398:$C$415,0))</f>
        <v>#REF!</v>
      </c>
      <c r="C372" s="5470" t="e">
        <f>LARGE($C$398:C$415,5)</f>
        <v>#REF!</v>
      </c>
      <c r="D372" s="5470" t="e">
        <f>INDEX($D$398:D$415,MATCH(C372,$C$398:$C$415,0))</f>
        <v>#REF!</v>
      </c>
      <c r="E372" s="5430" t="e">
        <f t="shared" si="71"/>
        <v>#REF!</v>
      </c>
      <c r="F372" s="5431" t="e">
        <f t="shared" si="69"/>
        <v>#REF!</v>
      </c>
      <c r="G372" s="5432">
        <f t="shared" si="70"/>
        <v>0</v>
      </c>
      <c r="H372" s="5430" t="e">
        <f t="shared" si="72"/>
        <v>#REF!</v>
      </c>
      <c r="I372" s="5365"/>
      <c r="J372" s="5365"/>
      <c r="K372" s="5365"/>
      <c r="L372" s="5365"/>
      <c r="M372" s="5365"/>
      <c r="N372" s="5365"/>
      <c r="O372" s="5365"/>
      <c r="P372" s="5365"/>
    </row>
    <row r="373" spans="1:16">
      <c r="A373" s="5458"/>
      <c r="B373" s="5598" t="s">
        <v>262</v>
      </c>
      <c r="C373" s="5470" t="e">
        <f>C374-SUM(C368:C372)</f>
        <v>#REF!</v>
      </c>
      <c r="D373" s="5470" t="e">
        <f>D374-SUM(D368:D372)</f>
        <v>#REF!</v>
      </c>
      <c r="E373" s="5430" t="e">
        <f t="shared" si="71"/>
        <v>#REF!</v>
      </c>
      <c r="F373" s="5431" t="e">
        <f t="shared" si="69"/>
        <v>#REF!</v>
      </c>
      <c r="G373" s="5432">
        <f t="shared" si="70"/>
        <v>0</v>
      </c>
      <c r="H373" s="5430" t="e">
        <f t="shared" si="72"/>
        <v>#REF!</v>
      </c>
      <c r="I373" s="5365"/>
      <c r="J373" s="5365"/>
      <c r="K373" s="5365"/>
      <c r="L373" s="5365"/>
      <c r="M373" s="5365"/>
      <c r="N373" s="5365"/>
      <c r="O373" s="5365"/>
      <c r="P373" s="5365"/>
    </row>
    <row r="374" spans="1:16">
      <c r="A374" s="5459"/>
      <c r="B374" s="5507" t="s">
        <v>263</v>
      </c>
      <c r="C374" s="5474" t="e">
        <f>C416</f>
        <v>#REF!</v>
      </c>
      <c r="D374" s="5474" t="e">
        <f>D416</f>
        <v>#REF!</v>
      </c>
      <c r="E374" s="5436" t="e">
        <f t="shared" si="71"/>
        <v>#REF!</v>
      </c>
      <c r="F374" s="5463" t="e">
        <f t="shared" si="69"/>
        <v>#REF!</v>
      </c>
      <c r="G374" s="5475">
        <f t="shared" si="70"/>
        <v>0</v>
      </c>
      <c r="H374" s="5430" t="e">
        <f t="shared" si="72"/>
        <v>#REF!</v>
      </c>
      <c r="I374" s="5365"/>
      <c r="J374" s="5365"/>
      <c r="K374" s="5365"/>
      <c r="L374" s="5365"/>
      <c r="M374" s="5365"/>
      <c r="N374" s="5365"/>
      <c r="O374" s="5365"/>
      <c r="P374" s="5365"/>
    </row>
    <row r="375" spans="1:16">
      <c r="A375" s="5365"/>
      <c r="B375" s="5365"/>
      <c r="C375" s="5394"/>
      <c r="D375" s="5394"/>
      <c r="E375" s="5365"/>
      <c r="F375" s="5365"/>
      <c r="G375" s="5365"/>
      <c r="H375" s="5365"/>
      <c r="I375" s="5365"/>
      <c r="J375" s="5365"/>
      <c r="K375" s="5365"/>
      <c r="L375" s="5365"/>
      <c r="M375" s="5365"/>
      <c r="N375" s="5365"/>
      <c r="O375" s="5365"/>
      <c r="P375" s="5365"/>
    </row>
    <row r="376" spans="1:16">
      <c r="A376" s="5365"/>
      <c r="B376" s="5365"/>
      <c r="C376" s="5394"/>
      <c r="D376" s="5394"/>
      <c r="E376" s="5365"/>
      <c r="F376" s="5365"/>
      <c r="G376" s="5365"/>
      <c r="H376" s="5365"/>
      <c r="I376" s="5365"/>
      <c r="J376" s="5365"/>
      <c r="K376" s="5365"/>
      <c r="L376" s="5365"/>
      <c r="M376" s="5365"/>
      <c r="N376" s="5365"/>
      <c r="O376" s="5365"/>
      <c r="P376" s="5365"/>
    </row>
    <row r="377" s="5364" customFormat="1" ht="18" customHeight="1" spans="1:16">
      <c r="A377" s="5420"/>
      <c r="B377" s="5513" t="s">
        <v>299</v>
      </c>
      <c r="C377" s="5421" t="s">
        <v>16</v>
      </c>
      <c r="D377" s="5421" t="s">
        <v>17</v>
      </c>
      <c r="E377" s="5421" t="s">
        <v>25</v>
      </c>
      <c r="F377" s="5365"/>
      <c r="G377" s="5365"/>
      <c r="H377" s="5365"/>
      <c r="I377" s="5365"/>
      <c r="J377" s="5365"/>
      <c r="K377" s="5365"/>
      <c r="L377" s="5365"/>
      <c r="M377" s="5365"/>
      <c r="N377" s="5365"/>
      <c r="O377" s="5365"/>
      <c r="P377" s="5365"/>
    </row>
    <row r="378" ht="15.75" spans="1:16">
      <c r="A378" s="5610"/>
      <c r="B378" s="5519" t="s">
        <v>300</v>
      </c>
      <c r="C378" s="496" t="e">
        <f>IF(#REF!&lt;0,0,#REF!)</f>
        <v>#REF!</v>
      </c>
      <c r="D378" s="496" t="e">
        <f>IF(#REF!&lt;0,0,#REF!)</f>
        <v>#REF!</v>
      </c>
      <c r="E378" s="5451" t="e">
        <f>IF(C378=0,"-",IFERROR(INDEX($A$359:$A$361,MATCH(C378,$C$359:$C$361,0)),"-"))</f>
        <v>#REF!</v>
      </c>
      <c r="F378" s="5365"/>
      <c r="G378" s="5365"/>
      <c r="H378" s="5365"/>
      <c r="I378" s="5365"/>
      <c r="J378" s="5365"/>
      <c r="K378" s="5365"/>
      <c r="L378" s="5365"/>
      <c r="M378" s="5365"/>
      <c r="N378" s="5365"/>
      <c r="O378" s="5365"/>
      <c r="P378" s="5365"/>
    </row>
    <row r="379" ht="15.75" spans="1:16">
      <c r="A379" s="5611" t="s">
        <v>301</v>
      </c>
      <c r="B379" s="5612" t="s">
        <v>302</v>
      </c>
      <c r="C379" s="5613" t="e">
        <f>IF(#REF!&lt;0,0,#REF!)</f>
        <v>#REF!</v>
      </c>
      <c r="D379" s="5613" t="e">
        <f>IF(#REF!&lt;0,0,#REF!)</f>
        <v>#REF!</v>
      </c>
      <c r="E379" s="5451" t="e">
        <f t="shared" ref="E379:E395" si="73">IF(C379=0,"-",IFERROR(INDEX($A$359:$A$361,MATCH(C379,$C$359:$C$361,0)),"-"))</f>
        <v>#REF!</v>
      </c>
      <c r="F379" s="5365"/>
      <c r="G379" s="5365"/>
      <c r="H379" s="5365"/>
      <c r="I379" s="5365"/>
      <c r="J379" s="5365"/>
      <c r="K379" s="5365"/>
      <c r="L379" s="5365"/>
      <c r="M379" s="5365"/>
      <c r="N379" s="5365"/>
      <c r="O379" s="5365"/>
      <c r="P379" s="5365"/>
    </row>
    <row r="380" ht="15.75" spans="1:16">
      <c r="A380" s="5611" t="s">
        <v>303</v>
      </c>
      <c r="B380" s="5612" t="s">
        <v>304</v>
      </c>
      <c r="C380" s="5613" t="e">
        <f>IF(#REF!&lt;0,0,#REF!)</f>
        <v>#REF!</v>
      </c>
      <c r="D380" s="5613" t="e">
        <f>IF(#REF!&lt;0,0,#REF!)</f>
        <v>#REF!</v>
      </c>
      <c r="E380" s="5451" t="e">
        <f t="shared" si="73"/>
        <v>#REF!</v>
      </c>
      <c r="F380" s="5365"/>
      <c r="G380" s="5365"/>
      <c r="H380" s="5365"/>
      <c r="I380" s="5365"/>
      <c r="J380" s="5365"/>
      <c r="K380" s="5365"/>
      <c r="L380" s="5365"/>
      <c r="M380" s="5365"/>
      <c r="N380" s="5365"/>
      <c r="O380" s="5365"/>
      <c r="P380" s="5365"/>
    </row>
    <row r="381" ht="15.75" spans="1:16">
      <c r="A381" s="5611" t="s">
        <v>305</v>
      </c>
      <c r="B381" s="5612" t="s">
        <v>306</v>
      </c>
      <c r="C381" s="5613" t="e">
        <f>IF(#REF!&lt;0,0,#REF!)</f>
        <v>#REF!</v>
      </c>
      <c r="D381" s="5613" t="e">
        <f>IF(#REF!&lt;0,0,#REF!)</f>
        <v>#REF!</v>
      </c>
      <c r="E381" s="5451" t="e">
        <f t="shared" si="73"/>
        <v>#REF!</v>
      </c>
      <c r="F381" s="5365"/>
      <c r="G381" s="5365"/>
      <c r="H381" s="5365"/>
      <c r="I381" s="5365"/>
      <c r="J381" s="5365"/>
      <c r="K381" s="5365"/>
      <c r="L381" s="5365"/>
      <c r="M381" s="5365"/>
      <c r="N381" s="5365"/>
      <c r="O381" s="5365"/>
      <c r="P381" s="5365"/>
    </row>
    <row r="382" ht="15.75" spans="1:16">
      <c r="A382" s="5611" t="s">
        <v>307</v>
      </c>
      <c r="B382" s="5612" t="s">
        <v>308</v>
      </c>
      <c r="C382" s="5613" t="e">
        <f>IF(#REF!&lt;0,0,#REF!)</f>
        <v>#REF!</v>
      </c>
      <c r="D382" s="5613" t="e">
        <f>IF(#REF!&lt;0,0,#REF!)</f>
        <v>#REF!</v>
      </c>
      <c r="E382" s="5451" t="e">
        <f t="shared" si="73"/>
        <v>#REF!</v>
      </c>
      <c r="F382" s="5365"/>
      <c r="G382" s="5365"/>
      <c r="H382" s="5365"/>
      <c r="I382" s="5365"/>
      <c r="J382" s="5365"/>
      <c r="K382" s="5365"/>
      <c r="L382" s="5365"/>
      <c r="M382" s="5365"/>
      <c r="N382" s="5365"/>
      <c r="O382" s="5365"/>
      <c r="P382" s="5365"/>
    </row>
    <row r="383" ht="15.75" spans="1:16">
      <c r="A383" s="5611" t="s">
        <v>309</v>
      </c>
      <c r="B383" s="5612" t="s">
        <v>310</v>
      </c>
      <c r="C383" s="5613" t="e">
        <f>IF(#REF!&lt;0,0,#REF!)</f>
        <v>#REF!</v>
      </c>
      <c r="D383" s="5613" t="e">
        <f>IF(#REF!&lt;0,0,#REF!)</f>
        <v>#REF!</v>
      </c>
      <c r="E383" s="5451" t="e">
        <f t="shared" si="73"/>
        <v>#REF!</v>
      </c>
      <c r="F383" s="5365"/>
      <c r="G383" s="5365"/>
      <c r="H383" s="5365"/>
      <c r="I383" s="5365"/>
      <c r="J383" s="5365"/>
      <c r="K383" s="5365"/>
      <c r="L383" s="5365"/>
      <c r="M383" s="5365"/>
      <c r="N383" s="5365"/>
      <c r="O383" s="5365"/>
      <c r="P383" s="5365"/>
    </row>
    <row r="384" ht="15.75" spans="1:16">
      <c r="A384" s="5611" t="s">
        <v>311</v>
      </c>
      <c r="B384" s="5612" t="s">
        <v>312</v>
      </c>
      <c r="C384" s="5613" t="e">
        <f>IF(#REF!&lt;0,0,#REF!)</f>
        <v>#REF!</v>
      </c>
      <c r="D384" s="5613" t="e">
        <f>IF(#REF!&lt;0,0,#REF!)</f>
        <v>#REF!</v>
      </c>
      <c r="E384" s="5451" t="e">
        <f t="shared" si="73"/>
        <v>#REF!</v>
      </c>
      <c r="F384" s="5365"/>
      <c r="G384" s="5365"/>
      <c r="H384" s="5365"/>
      <c r="I384" s="5365"/>
      <c r="J384" s="5365"/>
      <c r="K384" s="5365"/>
      <c r="L384" s="5365"/>
      <c r="M384" s="5365"/>
      <c r="N384" s="5365"/>
      <c r="O384" s="5365"/>
      <c r="P384" s="5365"/>
    </row>
    <row r="385" ht="15.75" spans="1:16">
      <c r="A385" s="5611" t="s">
        <v>313</v>
      </c>
      <c r="B385" s="5614" t="s">
        <v>314</v>
      </c>
      <c r="C385" s="5613" t="e">
        <f>IF(#REF!&lt;0,0,#REF!)</f>
        <v>#REF!</v>
      </c>
      <c r="D385" s="5613" t="e">
        <f>IF(#REF!&lt;0,0,#REF!)</f>
        <v>#REF!</v>
      </c>
      <c r="E385" s="5451" t="e">
        <f t="shared" si="73"/>
        <v>#REF!</v>
      </c>
      <c r="F385" s="5365"/>
      <c r="G385" s="5365"/>
      <c r="H385" s="5365"/>
      <c r="I385" s="5365"/>
      <c r="J385" s="5365"/>
      <c r="K385" s="5365"/>
      <c r="L385" s="5365"/>
      <c r="M385" s="5365"/>
      <c r="N385" s="5365"/>
      <c r="O385" s="5365"/>
      <c r="P385" s="5365"/>
    </row>
    <row r="386" ht="15.75" spans="1:16">
      <c r="A386" s="5615"/>
      <c r="B386" s="5616" t="s">
        <v>315</v>
      </c>
      <c r="C386" s="5613" t="e">
        <f>#REF!</f>
        <v>#REF!</v>
      </c>
      <c r="D386" s="5613" t="e">
        <f>#REF!</f>
        <v>#REF!</v>
      </c>
      <c r="E386" s="5451" t="e">
        <f t="shared" si="73"/>
        <v>#REF!</v>
      </c>
      <c r="F386" s="5365"/>
      <c r="G386" s="5365"/>
      <c r="H386" s="5365"/>
      <c r="I386" s="5365"/>
      <c r="J386" s="5365"/>
      <c r="K386" s="5365"/>
      <c r="L386" s="5365"/>
      <c r="M386" s="5365"/>
      <c r="N386" s="5365"/>
      <c r="O386" s="5365"/>
      <c r="P386" s="5365"/>
    </row>
    <row r="387" ht="15.75" spans="1:16">
      <c r="A387" s="5615"/>
      <c r="B387" s="5616" t="s">
        <v>316</v>
      </c>
      <c r="C387" s="5613" t="e">
        <f>#REF!</f>
        <v>#REF!</v>
      </c>
      <c r="D387" s="5613" t="e">
        <f>#REF!</f>
        <v>#REF!</v>
      </c>
      <c r="E387" s="5451" t="e">
        <f t="shared" si="73"/>
        <v>#REF!</v>
      </c>
      <c r="F387" s="5365"/>
      <c r="G387" s="5365"/>
      <c r="H387" s="5365"/>
      <c r="I387" s="5365"/>
      <c r="J387" s="5365"/>
      <c r="K387" s="5365"/>
      <c r="L387" s="5365"/>
      <c r="M387" s="5365"/>
      <c r="N387" s="5365"/>
      <c r="O387" s="5365"/>
      <c r="P387" s="5365"/>
    </row>
    <row r="388" ht="15.75" spans="1:16">
      <c r="A388" s="5615"/>
      <c r="B388" s="5616" t="s">
        <v>317</v>
      </c>
      <c r="C388" s="5613" t="e">
        <f>#REF!</f>
        <v>#REF!</v>
      </c>
      <c r="D388" s="5613" t="e">
        <f>#REF!</f>
        <v>#REF!</v>
      </c>
      <c r="E388" s="5451" t="e">
        <f t="shared" si="73"/>
        <v>#REF!</v>
      </c>
      <c r="F388" s="5365"/>
      <c r="G388" s="5365"/>
      <c r="H388" s="5365"/>
      <c r="I388" s="5365"/>
      <c r="J388" s="5365"/>
      <c r="K388" s="5365"/>
      <c r="L388" s="5365"/>
      <c r="M388" s="5365"/>
      <c r="N388" s="5365"/>
      <c r="O388" s="5365"/>
      <c r="P388" s="5365"/>
    </row>
    <row r="389" ht="15.75" spans="1:16">
      <c r="A389" s="5615"/>
      <c r="B389" s="5616" t="s">
        <v>318</v>
      </c>
      <c r="C389" s="5613" t="e">
        <f>#REF!</f>
        <v>#REF!</v>
      </c>
      <c r="D389" s="5613" t="e">
        <f>#REF!</f>
        <v>#REF!</v>
      </c>
      <c r="E389" s="5451" t="e">
        <f t="shared" si="73"/>
        <v>#REF!</v>
      </c>
      <c r="F389" s="5365"/>
      <c r="G389" s="5365"/>
      <c r="H389" s="5365"/>
      <c r="I389" s="5365"/>
      <c r="J389" s="5365"/>
      <c r="K389" s="5365"/>
      <c r="L389" s="5365"/>
      <c r="M389" s="5365"/>
      <c r="N389" s="5365"/>
      <c r="O389" s="5365"/>
      <c r="P389" s="5365"/>
    </row>
    <row r="390" ht="15.75" spans="1:16">
      <c r="A390" s="5615"/>
      <c r="B390" s="5616" t="s">
        <v>319</v>
      </c>
      <c r="C390" s="5613" t="e">
        <f>#REF!</f>
        <v>#REF!</v>
      </c>
      <c r="D390" s="5613" t="e">
        <f>#REF!</f>
        <v>#REF!</v>
      </c>
      <c r="E390" s="5451" t="e">
        <f t="shared" si="73"/>
        <v>#REF!</v>
      </c>
      <c r="F390" s="5365"/>
      <c r="G390" s="5365"/>
      <c r="H390" s="5365"/>
      <c r="I390" s="5365"/>
      <c r="J390" s="5365"/>
      <c r="K390" s="5365"/>
      <c r="L390" s="5365"/>
      <c r="M390" s="5365"/>
      <c r="N390" s="5365"/>
      <c r="O390" s="5365"/>
      <c r="P390" s="5365"/>
    </row>
    <row r="391" ht="15.75" spans="1:16">
      <c r="A391" s="5615"/>
      <c r="B391" s="5616" t="s">
        <v>320</v>
      </c>
      <c r="C391" s="5613" t="e">
        <f>#REF!</f>
        <v>#REF!</v>
      </c>
      <c r="D391" s="5613" t="e">
        <f>#REF!</f>
        <v>#REF!</v>
      </c>
      <c r="E391" s="5451" t="e">
        <f t="shared" si="73"/>
        <v>#REF!</v>
      </c>
      <c r="F391" s="5365"/>
      <c r="G391" s="5365"/>
      <c r="H391" s="5365"/>
      <c r="I391" s="5365"/>
      <c r="J391" s="5365"/>
      <c r="K391" s="5365"/>
      <c r="L391" s="5365"/>
      <c r="M391" s="5365"/>
      <c r="N391" s="5365"/>
      <c r="O391" s="5365"/>
      <c r="P391" s="5365"/>
    </row>
    <row r="392" ht="15.75" spans="1:16">
      <c r="A392" s="5615"/>
      <c r="B392" s="5616" t="s">
        <v>321</v>
      </c>
      <c r="C392" s="5613" t="e">
        <f>#REF!</f>
        <v>#REF!</v>
      </c>
      <c r="D392" s="5613" t="e">
        <f>#REF!</f>
        <v>#REF!</v>
      </c>
      <c r="E392" s="5451" t="e">
        <f t="shared" si="73"/>
        <v>#REF!</v>
      </c>
      <c r="F392" s="5365"/>
      <c r="G392" s="5365"/>
      <c r="H392" s="5365"/>
      <c r="I392" s="5365"/>
      <c r="J392" s="5365"/>
      <c r="K392" s="5365"/>
      <c r="L392" s="5365"/>
      <c r="M392" s="5365"/>
      <c r="N392" s="5365"/>
      <c r="O392" s="5365"/>
      <c r="P392" s="5365"/>
    </row>
    <row r="393" ht="15.75" spans="1:16">
      <c r="A393" s="5615"/>
      <c r="B393" s="5616" t="s">
        <v>322</v>
      </c>
      <c r="C393" s="5613" t="e">
        <f>#REF!</f>
        <v>#REF!</v>
      </c>
      <c r="D393" s="5613" t="e">
        <f>#REF!</f>
        <v>#REF!</v>
      </c>
      <c r="E393" s="5451" t="e">
        <f t="shared" si="73"/>
        <v>#REF!</v>
      </c>
      <c r="F393" s="5365"/>
      <c r="G393" s="5365"/>
      <c r="H393" s="5365"/>
      <c r="I393" s="5365"/>
      <c r="J393" s="5365"/>
      <c r="K393" s="5365"/>
      <c r="L393" s="5365"/>
      <c r="M393" s="5365"/>
      <c r="N393" s="5365"/>
      <c r="O393" s="5365"/>
      <c r="P393" s="5365"/>
    </row>
    <row r="394" ht="15.75" spans="1:16">
      <c r="A394" s="5615"/>
      <c r="B394" s="5616" t="s">
        <v>323</v>
      </c>
      <c r="C394" s="5613" t="e">
        <f>#REF!</f>
        <v>#REF!</v>
      </c>
      <c r="D394" s="5613" t="e">
        <f>#REF!</f>
        <v>#REF!</v>
      </c>
      <c r="E394" s="5451" t="e">
        <f t="shared" si="73"/>
        <v>#REF!</v>
      </c>
      <c r="F394" s="5365"/>
      <c r="G394" s="5365"/>
      <c r="H394" s="5365"/>
      <c r="I394" s="5365"/>
      <c r="J394" s="5365"/>
      <c r="K394" s="5365"/>
      <c r="L394" s="5365"/>
      <c r="M394" s="5365"/>
      <c r="N394" s="5365"/>
      <c r="O394" s="5365"/>
      <c r="P394" s="5365"/>
    </row>
    <row r="395" ht="15.75" spans="1:16">
      <c r="A395" s="5617"/>
      <c r="B395" s="5618" t="s">
        <v>324</v>
      </c>
      <c r="C395" s="5613" t="e">
        <f>#REF!</f>
        <v>#REF!</v>
      </c>
      <c r="D395" s="5613" t="e">
        <f>#REF!</f>
        <v>#REF!</v>
      </c>
      <c r="E395" s="5451" t="e">
        <f t="shared" si="73"/>
        <v>#REF!</v>
      </c>
      <c r="F395" s="5365"/>
      <c r="G395" s="5365"/>
      <c r="H395" s="5365"/>
      <c r="I395" s="5365"/>
      <c r="J395" s="5365"/>
      <c r="K395" s="5365"/>
      <c r="L395" s="5365"/>
      <c r="M395" s="5365"/>
      <c r="N395" s="5365"/>
      <c r="O395" s="5365"/>
      <c r="P395" s="5365"/>
    </row>
    <row r="396" spans="1:16">
      <c r="A396" s="5365"/>
      <c r="B396" s="5365"/>
      <c r="C396" s="5520" t="e">
        <f>SUM(C378:C395)</f>
        <v>#REF!</v>
      </c>
      <c r="D396" s="5520" t="e">
        <f>SUM(D378:D395)</f>
        <v>#REF!</v>
      </c>
      <c r="E396" s="5365"/>
      <c r="F396" s="5365"/>
      <c r="G396" s="5365"/>
      <c r="H396" s="5365"/>
      <c r="I396" s="5365"/>
      <c r="J396" s="5365"/>
      <c r="K396" s="5365"/>
      <c r="L396" s="5365"/>
      <c r="M396" s="5365"/>
      <c r="N396" s="5365"/>
      <c r="O396" s="5365"/>
      <c r="P396" s="5365"/>
    </row>
    <row r="397" spans="1:16">
      <c r="A397" s="5365"/>
      <c r="B397" s="5365"/>
      <c r="C397" s="5365"/>
      <c r="D397" s="5365"/>
      <c r="E397" s="5365"/>
      <c r="F397" s="5365"/>
      <c r="G397" s="5365"/>
      <c r="H397" s="5365"/>
      <c r="I397" s="5365"/>
      <c r="J397" s="5365"/>
      <c r="K397" s="5365"/>
      <c r="L397" s="5365"/>
      <c r="M397" s="5365"/>
      <c r="N397" s="5365"/>
      <c r="O397" s="5365"/>
      <c r="P397" s="5365"/>
    </row>
    <row r="398" ht="15.75" spans="1:16">
      <c r="A398" s="5610"/>
      <c r="B398" s="5519" t="s">
        <v>325</v>
      </c>
      <c r="C398" s="496" t="e">
        <f>IF(#REF!&gt;0,0,#REF!*-1)</f>
        <v>#REF!</v>
      </c>
      <c r="D398" s="496" t="e">
        <f>IF(#REF!&gt;0,0,#REF!*-1)</f>
        <v>#REF!</v>
      </c>
      <c r="E398" s="5451" t="e">
        <f>IF(C398=0,"-",IFERROR(INDEX($A$368:$A$370,MATCH(C398,$C$368:$C$370,0)),"-"))</f>
        <v>#REF!</v>
      </c>
      <c r="F398" s="5365"/>
      <c r="G398" s="5365"/>
      <c r="H398" s="5365"/>
      <c r="I398" s="5365"/>
      <c r="J398" s="5365"/>
      <c r="K398" s="5365"/>
      <c r="L398" s="5365"/>
      <c r="M398" s="5365"/>
      <c r="N398" s="5365"/>
      <c r="O398" s="5365"/>
      <c r="P398" s="5365"/>
    </row>
    <row r="399" ht="15.75" spans="1:16">
      <c r="A399" s="5611" t="s">
        <v>301</v>
      </c>
      <c r="B399" s="5612" t="s">
        <v>326</v>
      </c>
      <c r="C399" s="5613" t="e">
        <f>IF(#REF!&gt;0,0,#REF!*-1)</f>
        <v>#REF!</v>
      </c>
      <c r="D399" s="5613" t="e">
        <f>IF(#REF!&gt;0,0,#REF!*-1)</f>
        <v>#REF!</v>
      </c>
      <c r="E399" s="5451" t="e">
        <f t="shared" ref="E399:E415" si="74">IF(C399=0,"-",IFERROR(INDEX($A$368:$A$370,MATCH(C399,$C$368:$C$370,0)),"-"))</f>
        <v>#REF!</v>
      </c>
      <c r="F399" s="5365"/>
      <c r="G399" s="5365"/>
      <c r="H399" s="5365"/>
      <c r="I399" s="5365"/>
      <c r="J399" s="5365"/>
      <c r="K399" s="5365"/>
      <c r="L399" s="5365"/>
      <c r="M399" s="5365"/>
      <c r="N399" s="5365"/>
      <c r="O399" s="5365"/>
      <c r="P399" s="5365"/>
    </row>
    <row r="400" ht="15.75" spans="1:16">
      <c r="A400" s="5611" t="s">
        <v>303</v>
      </c>
      <c r="B400" s="5612" t="s">
        <v>327</v>
      </c>
      <c r="C400" s="5613" t="e">
        <f>IF(#REF!&gt;0,0,#REF!*-1)</f>
        <v>#REF!</v>
      </c>
      <c r="D400" s="5613" t="e">
        <f>IF(#REF!&gt;0,0,#REF!*-1)</f>
        <v>#REF!</v>
      </c>
      <c r="E400" s="5451" t="e">
        <f t="shared" si="74"/>
        <v>#REF!</v>
      </c>
      <c r="F400" s="5365"/>
      <c r="G400" s="5365"/>
      <c r="H400" s="5365"/>
      <c r="I400" s="5365"/>
      <c r="J400" s="5365"/>
      <c r="K400" s="5365"/>
      <c r="L400" s="5365"/>
      <c r="M400" s="5365"/>
      <c r="N400" s="5365"/>
      <c r="O400" s="5365"/>
      <c r="P400" s="5365"/>
    </row>
    <row r="401" ht="15.75" spans="1:16">
      <c r="A401" s="5611" t="s">
        <v>305</v>
      </c>
      <c r="B401" s="5612" t="s">
        <v>328</v>
      </c>
      <c r="C401" s="5613" t="e">
        <f>IF(#REF!&gt;0,0,#REF!*-1)</f>
        <v>#REF!</v>
      </c>
      <c r="D401" s="5613" t="e">
        <f>IF(#REF!&gt;0,0,#REF!*-1)</f>
        <v>#REF!</v>
      </c>
      <c r="E401" s="5451" t="e">
        <f t="shared" si="74"/>
        <v>#REF!</v>
      </c>
      <c r="F401" s="5365"/>
      <c r="G401" s="5365"/>
      <c r="H401" s="5365"/>
      <c r="I401" s="5365"/>
      <c r="J401" s="5365"/>
      <c r="K401" s="5365"/>
      <c r="L401" s="5365"/>
      <c r="M401" s="5365"/>
      <c r="N401" s="5365"/>
      <c r="O401" s="5365"/>
      <c r="P401" s="5365"/>
    </row>
    <row r="402" ht="15.75" spans="1:16">
      <c r="A402" s="5611" t="s">
        <v>307</v>
      </c>
      <c r="B402" s="5612" t="s">
        <v>329</v>
      </c>
      <c r="C402" s="5613" t="e">
        <f>IF(#REF!&gt;0,0,#REF!*-1)</f>
        <v>#REF!</v>
      </c>
      <c r="D402" s="5613" t="e">
        <f>IF(#REF!&gt;0,0,#REF!*-1)</f>
        <v>#REF!</v>
      </c>
      <c r="E402" s="5451" t="e">
        <f t="shared" si="74"/>
        <v>#REF!</v>
      </c>
      <c r="F402" s="5365"/>
      <c r="G402" s="5365"/>
      <c r="H402" s="5365"/>
      <c r="I402" s="5365"/>
      <c r="J402" s="5365"/>
      <c r="K402" s="5365"/>
      <c r="L402" s="5365"/>
      <c r="M402" s="5365"/>
      <c r="N402" s="5365"/>
      <c r="O402" s="5365"/>
      <c r="P402" s="5365"/>
    </row>
    <row r="403" ht="15.75" spans="1:16">
      <c r="A403" s="5611" t="s">
        <v>309</v>
      </c>
      <c r="B403" s="5612" t="s">
        <v>330</v>
      </c>
      <c r="C403" s="5613" t="e">
        <f>IF(#REF!&gt;0,0,#REF!*-1)</f>
        <v>#REF!</v>
      </c>
      <c r="D403" s="5613" t="e">
        <f>IF(#REF!&gt;0,0,#REF!*-1)</f>
        <v>#REF!</v>
      </c>
      <c r="E403" s="5451" t="e">
        <f t="shared" si="74"/>
        <v>#REF!</v>
      </c>
      <c r="F403" s="5365"/>
      <c r="G403" s="5365"/>
      <c r="H403" s="5365"/>
      <c r="I403" s="5365"/>
      <c r="J403" s="5365"/>
      <c r="K403" s="5365"/>
      <c r="L403" s="5365"/>
      <c r="M403" s="5365"/>
      <c r="N403" s="5365"/>
      <c r="O403" s="5365"/>
      <c r="P403" s="5365"/>
    </row>
    <row r="404" ht="15.75" spans="1:16">
      <c r="A404" s="5611" t="s">
        <v>311</v>
      </c>
      <c r="B404" s="5612" t="s">
        <v>331</v>
      </c>
      <c r="C404" s="5613" t="e">
        <f>IF(#REF!&gt;0,0,#REF!*-1)</f>
        <v>#REF!</v>
      </c>
      <c r="D404" s="5613" t="e">
        <f>IF(#REF!&gt;0,0,#REF!*-1)</f>
        <v>#REF!</v>
      </c>
      <c r="E404" s="5451" t="e">
        <f t="shared" si="74"/>
        <v>#REF!</v>
      </c>
      <c r="F404" s="5365"/>
      <c r="G404" s="5365"/>
      <c r="H404" s="5365"/>
      <c r="I404" s="5365"/>
      <c r="J404" s="5365"/>
      <c r="K404" s="5365"/>
      <c r="L404" s="5365"/>
      <c r="M404" s="5365"/>
      <c r="N404" s="5365"/>
      <c r="O404" s="5365"/>
      <c r="P404" s="5365"/>
    </row>
    <row r="405" ht="31.5" spans="1:16">
      <c r="A405" s="5611" t="s">
        <v>313</v>
      </c>
      <c r="B405" s="5614" t="s">
        <v>332</v>
      </c>
      <c r="C405" s="5613" t="e">
        <f>IF(#REF!&gt;0,0,#REF!*-1)</f>
        <v>#REF!</v>
      </c>
      <c r="D405" s="5613" t="e">
        <f>IF(#REF!&gt;0,0,#REF!*-1)</f>
        <v>#REF!</v>
      </c>
      <c r="E405" s="5451" t="e">
        <f t="shared" si="74"/>
        <v>#REF!</v>
      </c>
      <c r="F405" s="5365"/>
      <c r="G405" s="5365"/>
      <c r="H405" s="5365"/>
      <c r="I405" s="5365"/>
      <c r="J405" s="5365"/>
      <c r="K405" s="5365"/>
      <c r="L405" s="5365"/>
      <c r="M405" s="5365"/>
      <c r="N405" s="5365"/>
      <c r="O405" s="5365"/>
      <c r="P405" s="5365"/>
    </row>
    <row r="406" ht="15.75" spans="1:16">
      <c r="A406" s="5615"/>
      <c r="B406" s="5616" t="s">
        <v>333</v>
      </c>
      <c r="C406" s="5619" t="e">
        <f>#REF!</f>
        <v>#REF!</v>
      </c>
      <c r="D406" s="5619" t="e">
        <f>#REF!</f>
        <v>#REF!</v>
      </c>
      <c r="E406" s="5451" t="e">
        <f t="shared" si="74"/>
        <v>#REF!</v>
      </c>
      <c r="F406" s="5365"/>
      <c r="G406" s="5365"/>
      <c r="H406" s="5365"/>
      <c r="I406" s="5365"/>
      <c r="J406" s="5365"/>
      <c r="K406" s="5365"/>
      <c r="L406" s="5365"/>
      <c r="M406" s="5365"/>
      <c r="N406" s="5365"/>
      <c r="O406" s="5365"/>
      <c r="P406" s="5365"/>
    </row>
    <row r="407" ht="15.75" spans="1:16">
      <c r="A407" s="5615"/>
      <c r="B407" s="5616" t="s">
        <v>334</v>
      </c>
      <c r="C407" s="5619" t="e">
        <f>#REF!</f>
        <v>#REF!</v>
      </c>
      <c r="D407" s="5619" t="e">
        <f>#REF!</f>
        <v>#REF!</v>
      </c>
      <c r="E407" s="5451" t="e">
        <f t="shared" si="74"/>
        <v>#REF!</v>
      </c>
      <c r="F407" s="5365"/>
      <c r="G407" s="5365"/>
      <c r="H407" s="5365"/>
      <c r="I407" s="5365"/>
      <c r="J407" s="5365"/>
      <c r="K407" s="5365"/>
      <c r="L407" s="5365"/>
      <c r="M407" s="5365"/>
      <c r="N407" s="5365"/>
      <c r="O407" s="5365"/>
      <c r="P407" s="5365"/>
    </row>
    <row r="408" ht="15.75" spans="1:16">
      <c r="A408" s="5615"/>
      <c r="B408" s="5616" t="s">
        <v>335</v>
      </c>
      <c r="C408" s="5619" t="e">
        <f>#REF!</f>
        <v>#REF!</v>
      </c>
      <c r="D408" s="5619" t="e">
        <f>#REF!</f>
        <v>#REF!</v>
      </c>
      <c r="E408" s="5451" t="e">
        <f t="shared" si="74"/>
        <v>#REF!</v>
      </c>
      <c r="F408" s="5365"/>
      <c r="G408" s="5365"/>
      <c r="H408" s="5365"/>
      <c r="I408" s="5365"/>
      <c r="J408" s="5365"/>
      <c r="K408" s="5365"/>
      <c r="L408" s="5365"/>
      <c r="M408" s="5365"/>
      <c r="N408" s="5365"/>
      <c r="O408" s="5365"/>
      <c r="P408" s="5365"/>
    </row>
    <row r="409" ht="15.75" spans="1:16">
      <c r="A409" s="5615"/>
      <c r="B409" s="5616" t="s">
        <v>336</v>
      </c>
      <c r="C409" s="5619" t="e">
        <f>#REF!</f>
        <v>#REF!</v>
      </c>
      <c r="D409" s="5619" t="e">
        <f>#REF!</f>
        <v>#REF!</v>
      </c>
      <c r="E409" s="5451" t="e">
        <f t="shared" si="74"/>
        <v>#REF!</v>
      </c>
      <c r="F409" s="5365"/>
      <c r="G409" s="5365"/>
      <c r="H409" s="5365"/>
      <c r="I409" s="5365"/>
      <c r="J409" s="5365"/>
      <c r="K409" s="5365"/>
      <c r="L409" s="5365"/>
      <c r="M409" s="5365"/>
      <c r="N409" s="5365"/>
      <c r="O409" s="5365"/>
      <c r="P409" s="5365"/>
    </row>
    <row r="410" ht="15.75" spans="1:16">
      <c r="A410" s="5615"/>
      <c r="B410" s="5616" t="s">
        <v>337</v>
      </c>
      <c r="C410" s="5619" t="e">
        <f>#REF!</f>
        <v>#REF!</v>
      </c>
      <c r="D410" s="5619" t="e">
        <f>#REF!</f>
        <v>#REF!</v>
      </c>
      <c r="E410" s="5451" t="e">
        <f t="shared" si="74"/>
        <v>#REF!</v>
      </c>
      <c r="F410" s="5365"/>
      <c r="G410" s="5365"/>
      <c r="H410" s="5365"/>
      <c r="I410" s="5365"/>
      <c r="J410" s="5365"/>
      <c r="K410" s="5365"/>
      <c r="L410" s="5365"/>
      <c r="M410" s="5365"/>
      <c r="N410" s="5365"/>
      <c r="O410" s="5365"/>
      <c r="P410" s="5365"/>
    </row>
    <row r="411" ht="15.75" spans="1:16">
      <c r="A411" s="5615"/>
      <c r="B411" s="5616" t="s">
        <v>338</v>
      </c>
      <c r="C411" s="5619" t="e">
        <f>#REF!</f>
        <v>#REF!</v>
      </c>
      <c r="D411" s="5619" t="e">
        <f>#REF!</f>
        <v>#REF!</v>
      </c>
      <c r="E411" s="5451" t="e">
        <f t="shared" si="74"/>
        <v>#REF!</v>
      </c>
      <c r="F411" s="5365"/>
      <c r="G411" s="5365"/>
      <c r="H411" s="5365"/>
      <c r="I411" s="5365"/>
      <c r="J411" s="5365"/>
      <c r="K411" s="5365"/>
      <c r="L411" s="5365"/>
      <c r="M411" s="5365"/>
      <c r="N411" s="5365"/>
      <c r="O411" s="5365"/>
      <c r="P411" s="5365"/>
    </row>
    <row r="412" ht="15.75" spans="1:16">
      <c r="A412" s="5615"/>
      <c r="B412" s="5616" t="s">
        <v>339</v>
      </c>
      <c r="C412" s="5619" t="e">
        <f>#REF!</f>
        <v>#REF!</v>
      </c>
      <c r="D412" s="5619" t="e">
        <f>#REF!</f>
        <v>#REF!</v>
      </c>
      <c r="E412" s="5451" t="e">
        <f t="shared" si="74"/>
        <v>#REF!</v>
      </c>
      <c r="F412" s="5365"/>
      <c r="G412" s="5365"/>
      <c r="H412" s="5365"/>
      <c r="I412" s="5365"/>
      <c r="J412" s="5365"/>
      <c r="K412" s="5365"/>
      <c r="L412" s="5365"/>
      <c r="M412" s="5365"/>
      <c r="N412" s="5365"/>
      <c r="O412" s="5365"/>
      <c r="P412" s="5365"/>
    </row>
    <row r="413" ht="15.75" spans="1:16">
      <c r="A413" s="5615"/>
      <c r="B413" s="5616" t="s">
        <v>340</v>
      </c>
      <c r="C413" s="5619" t="e">
        <f>#REF!</f>
        <v>#REF!</v>
      </c>
      <c r="D413" s="5619" t="e">
        <f>#REF!</f>
        <v>#REF!</v>
      </c>
      <c r="E413" s="5451" t="e">
        <f t="shared" si="74"/>
        <v>#REF!</v>
      </c>
      <c r="F413" s="5365"/>
      <c r="G413" s="5365"/>
      <c r="H413" s="5365"/>
      <c r="I413" s="5365"/>
      <c r="J413" s="5365"/>
      <c r="K413" s="5365"/>
      <c r="L413" s="5365"/>
      <c r="M413" s="5365"/>
      <c r="N413" s="5365"/>
      <c r="O413" s="5365"/>
      <c r="P413" s="5365"/>
    </row>
    <row r="414" ht="15.75" spans="1:16">
      <c r="A414" s="5615"/>
      <c r="B414" s="5616" t="s">
        <v>341</v>
      </c>
      <c r="C414" s="5619" t="e">
        <f>#REF!</f>
        <v>#REF!</v>
      </c>
      <c r="D414" s="5619" t="e">
        <f>#REF!</f>
        <v>#REF!</v>
      </c>
      <c r="E414" s="5451" t="e">
        <f t="shared" si="74"/>
        <v>#REF!</v>
      </c>
      <c r="F414" s="5365"/>
      <c r="G414" s="5365"/>
      <c r="H414" s="5365"/>
      <c r="I414" s="5365"/>
      <c r="J414" s="5365"/>
      <c r="K414" s="5365"/>
      <c r="L414" s="5365"/>
      <c r="M414" s="5365"/>
      <c r="N414" s="5365"/>
      <c r="O414" s="5365"/>
      <c r="P414" s="5365"/>
    </row>
    <row r="415" ht="15.75" spans="1:16">
      <c r="A415" s="5615"/>
      <c r="B415" s="5618" t="s">
        <v>342</v>
      </c>
      <c r="C415" s="5619" t="e">
        <f>#REF!</f>
        <v>#REF!</v>
      </c>
      <c r="D415" s="5619" t="e">
        <f>#REF!</f>
        <v>#REF!</v>
      </c>
      <c r="E415" s="5451" t="e">
        <f t="shared" si="74"/>
        <v>#REF!</v>
      </c>
      <c r="F415" s="5365"/>
      <c r="G415" s="5365"/>
      <c r="H415" s="5365"/>
      <c r="I415" s="5365"/>
      <c r="J415" s="5365"/>
      <c r="K415" s="5365"/>
      <c r="L415" s="5365"/>
      <c r="M415" s="5365"/>
      <c r="N415" s="5365"/>
      <c r="O415" s="5365"/>
      <c r="P415" s="5365"/>
    </row>
    <row r="416" spans="1:16">
      <c r="A416" s="5365"/>
      <c r="B416" s="5365"/>
      <c r="C416" s="5522" t="e">
        <f>SUM(C398:C415)</f>
        <v>#REF!</v>
      </c>
      <c r="D416" s="5522" t="e">
        <f>SUM(D398:D415)</f>
        <v>#REF!</v>
      </c>
      <c r="E416" s="5365"/>
      <c r="F416" s="5365"/>
      <c r="G416" s="5365"/>
      <c r="H416" s="5365"/>
      <c r="I416" s="5365"/>
      <c r="J416" s="5365"/>
      <c r="K416" s="5365"/>
      <c r="L416" s="5365"/>
      <c r="M416" s="5365"/>
      <c r="N416" s="5365"/>
      <c r="O416" s="5365"/>
      <c r="P416" s="5365"/>
    </row>
    <row r="417" spans="1:16">
      <c r="A417" s="5365"/>
      <c r="B417" s="5365"/>
      <c r="C417" s="5394"/>
      <c r="D417" s="5394"/>
      <c r="E417" s="5365"/>
      <c r="F417" s="5365"/>
      <c r="G417" s="5365"/>
      <c r="H417" s="5365"/>
      <c r="I417" s="5365"/>
      <c r="J417" s="5365"/>
      <c r="K417" s="5365"/>
      <c r="L417" s="5365"/>
      <c r="M417" s="5365"/>
      <c r="N417" s="5365"/>
      <c r="O417" s="5365"/>
      <c r="P417" s="5365"/>
    </row>
    <row r="418" spans="1:16">
      <c r="A418" s="5365"/>
      <c r="B418" s="5365"/>
      <c r="C418" s="5394"/>
      <c r="D418" s="5394"/>
      <c r="E418" s="5365"/>
      <c r="F418" s="5365"/>
      <c r="G418" s="5365"/>
      <c r="H418" s="5365"/>
      <c r="I418" s="5365"/>
      <c r="J418" s="5365"/>
      <c r="K418" s="5365"/>
      <c r="L418" s="5365"/>
      <c r="M418" s="5365"/>
      <c r="N418" s="5365"/>
      <c r="O418" s="5365"/>
      <c r="P418" s="5365"/>
    </row>
    <row r="419" spans="1:16">
      <c r="A419" s="5365"/>
      <c r="B419" s="5365"/>
      <c r="C419" s="5394"/>
      <c r="D419" s="5394"/>
      <c r="E419" s="5365"/>
      <c r="F419" s="5365"/>
      <c r="G419" s="5365"/>
      <c r="H419" s="5365"/>
      <c r="I419" s="5365"/>
      <c r="J419" s="5365"/>
      <c r="K419" s="5365"/>
      <c r="L419" s="5365"/>
      <c r="M419" s="5365"/>
      <c r="N419" s="5365"/>
      <c r="O419" s="5365"/>
      <c r="P419" s="5365"/>
    </row>
    <row r="420" spans="1:16">
      <c r="A420" s="5365"/>
      <c r="B420" s="5365"/>
      <c r="C420" s="5394"/>
      <c r="D420" s="5394"/>
      <c r="E420" s="5365"/>
      <c r="F420" s="5365"/>
      <c r="G420" s="5365"/>
      <c r="H420" s="5365"/>
      <c r="I420" s="5365"/>
      <c r="J420" s="5365"/>
      <c r="K420" s="5365"/>
      <c r="L420" s="5365"/>
      <c r="M420" s="5365"/>
      <c r="N420" s="5365"/>
      <c r="O420" s="5365"/>
      <c r="P420" s="5365"/>
    </row>
    <row r="421" spans="1:16">
      <c r="A421" s="5365"/>
      <c r="B421" s="5365"/>
      <c r="C421" s="5394"/>
      <c r="D421" s="5394"/>
      <c r="E421" s="5365"/>
      <c r="F421" s="5365"/>
      <c r="G421" s="5365"/>
      <c r="H421" s="5365"/>
      <c r="I421" s="5365"/>
      <c r="J421" s="5365"/>
      <c r="K421" s="5365"/>
      <c r="L421" s="5365"/>
      <c r="M421" s="5365"/>
      <c r="N421" s="5365"/>
      <c r="O421" s="5365"/>
      <c r="P421" s="5365"/>
    </row>
    <row r="422" spans="1:16">
      <c r="A422" s="5365"/>
      <c r="B422" s="5365"/>
      <c r="C422" s="5394"/>
      <c r="D422" s="5394"/>
      <c r="E422" s="5365"/>
      <c r="F422" s="5365"/>
      <c r="G422" s="5365"/>
      <c r="H422" s="5365"/>
      <c r="I422" s="5365"/>
      <c r="J422" s="5365"/>
      <c r="K422" s="5365"/>
      <c r="L422" s="5365"/>
      <c r="M422" s="5365"/>
      <c r="N422" s="5365"/>
      <c r="O422" s="5365"/>
      <c r="P422" s="5365"/>
    </row>
    <row r="423" spans="1:16">
      <c r="A423" s="5365"/>
      <c r="B423" s="5505" t="s">
        <v>343</v>
      </c>
      <c r="C423" s="5394"/>
      <c r="D423" s="5394"/>
      <c r="E423" s="5365"/>
      <c r="F423" s="5365"/>
      <c r="G423" s="5365"/>
      <c r="H423" s="5365"/>
      <c r="I423" s="5365"/>
      <c r="J423" s="5365"/>
      <c r="K423" s="5365"/>
      <c r="L423" s="5365"/>
      <c r="M423" s="5365"/>
      <c r="N423" s="5365"/>
      <c r="O423" s="5365"/>
      <c r="P423" s="5365"/>
    </row>
    <row r="424" ht="15" customHeight="1" spans="1:16">
      <c r="A424" s="5365"/>
      <c r="B424" s="5620" t="str">
        <f ca="1">"•   ukupan prihod za "&amp;PoslGod&amp;". godinu"</f>
        <v>•   ukupan prihod za 2025. godinu</v>
      </c>
      <c r="C424" s="5540" t="e">
        <f>C26</f>
        <v>#REF!</v>
      </c>
      <c r="D424" s="5540" t="e">
        <f>IF(C424&lt;2000000,1,10)</f>
        <v>#REF!</v>
      </c>
      <c r="E424" s="5540" t="e">
        <f>IF(C424&gt;8000000,100,0)</f>
        <v>#REF!</v>
      </c>
      <c r="F424" s="5365"/>
      <c r="G424" s="5365"/>
      <c r="H424" s="5365"/>
      <c r="I424" s="5365"/>
      <c r="J424" s="5365"/>
      <c r="K424" s="5365"/>
      <c r="L424" s="5365"/>
      <c r="M424" s="5365"/>
      <c r="N424" s="5365"/>
      <c r="O424" s="5365"/>
      <c r="P424" s="5365"/>
    </row>
    <row r="425" ht="15" customHeight="1" spans="1:16">
      <c r="A425" s="5365"/>
      <c r="B425" s="5620" t="s">
        <v>344</v>
      </c>
      <c r="C425" s="5540" t="e">
        <f>((#REF!-#REF!+#REF!-#REF!)/2)</f>
        <v>#REF!</v>
      </c>
      <c r="D425" s="5540" t="e">
        <f>IF(C425&lt;1000000,1,10)</f>
        <v>#REF!</v>
      </c>
      <c r="E425" s="5540" t="e">
        <f>IF(C425&gt;4000000,100,0)</f>
        <v>#REF!</v>
      </c>
      <c r="F425" s="5365"/>
      <c r="G425" s="5365"/>
      <c r="H425" s="5365"/>
      <c r="I425" s="5365"/>
      <c r="J425" s="5365"/>
      <c r="K425" s="5365"/>
      <c r="L425" s="5365"/>
      <c r="M425" s="5365"/>
      <c r="N425" s="5365"/>
      <c r="O425" s="5365"/>
      <c r="P425" s="5365"/>
    </row>
    <row r="426" ht="15" customHeight="1" spans="1:16">
      <c r="A426" s="5365"/>
      <c r="B426" s="5620" t="s">
        <v>345</v>
      </c>
      <c r="C426" s="5540" t="e">
        <f>#REF!</f>
        <v>#REF!</v>
      </c>
      <c r="D426" s="5540" t="e">
        <f>IF(C426&lt;50,1,10)</f>
        <v>#REF!</v>
      </c>
      <c r="E426" s="5540" t="e">
        <f>IF(C426&gt;249,100,0)</f>
        <v>#REF!</v>
      </c>
      <c r="F426" s="5365"/>
      <c r="G426" s="5365"/>
      <c r="H426" s="5365"/>
      <c r="I426" s="5365"/>
      <c r="J426" s="5365"/>
      <c r="K426" s="5365"/>
      <c r="L426" s="5365"/>
      <c r="M426" s="5365"/>
      <c r="N426" s="5365"/>
      <c r="O426" s="5365"/>
      <c r="P426" s="5365"/>
    </row>
    <row r="427" ht="15" customHeight="1" spans="1:16">
      <c r="A427" s="5365"/>
      <c r="B427" s="5365"/>
      <c r="C427" s="5621"/>
      <c r="D427" s="5621" t="e">
        <f>SUM(D424:D426)</f>
        <v>#REF!</v>
      </c>
      <c r="E427" s="5621" t="e">
        <f>SUM(E424:E426)</f>
        <v>#REF!</v>
      </c>
      <c r="F427" s="5365"/>
      <c r="G427" s="5365"/>
      <c r="H427" s="5365"/>
      <c r="I427" s="5365"/>
      <c r="J427" s="5365"/>
      <c r="K427" s="5365"/>
      <c r="L427" s="5365"/>
      <c r="M427" s="5365"/>
      <c r="N427" s="5365"/>
      <c r="O427" s="5365"/>
      <c r="P427" s="5365"/>
    </row>
    <row r="428" ht="15" customHeight="1" spans="1:16">
      <c r="A428" s="5365"/>
      <c r="B428" s="5365"/>
      <c r="C428" s="5365"/>
      <c r="D428" s="5622" t="e">
        <f>IF(E428&gt;0,0,IF(D427+E427&lt;20,"malo","srednje"))</f>
        <v>#REF!</v>
      </c>
      <c r="E428" s="5622" t="e">
        <f>IF(E427&gt;100,"veliko",0)</f>
        <v>#REF!</v>
      </c>
      <c r="F428" s="5622">
        <f>IF(Baza!F472=0,Baza!E472,Baza!F472)</f>
        <v>0</v>
      </c>
      <c r="G428" s="5365"/>
      <c r="H428" s="5365"/>
      <c r="I428" s="5365"/>
      <c r="J428" s="5365"/>
      <c r="K428" s="5365"/>
      <c r="L428" s="5365"/>
      <c r="M428" s="5365"/>
      <c r="N428" s="5365"/>
      <c r="O428" s="5365"/>
      <c r="P428" s="5365"/>
    </row>
    <row r="429" spans="1:16">
      <c r="A429" s="5365"/>
      <c r="B429" s="5365"/>
      <c r="C429" s="5394"/>
      <c r="D429" s="5394"/>
      <c r="E429" s="5365"/>
      <c r="F429" s="5365"/>
      <c r="G429" s="5365"/>
      <c r="H429" s="5365"/>
      <c r="I429" s="5365"/>
      <c r="J429" s="5365"/>
      <c r="K429" s="5365"/>
      <c r="L429" s="5365"/>
      <c r="M429" s="5365"/>
      <c r="N429" s="5365"/>
      <c r="O429" s="5365"/>
      <c r="P429" s="5365"/>
    </row>
    <row r="430" spans="1:16">
      <c r="A430" s="5365"/>
      <c r="B430" s="5365"/>
      <c r="C430" s="5394"/>
      <c r="D430" s="5394"/>
      <c r="E430" s="5365"/>
      <c r="F430" s="5365"/>
      <c r="G430" s="5365"/>
      <c r="H430" s="5365"/>
      <c r="I430" s="5365"/>
      <c r="J430" s="5365"/>
      <c r="K430" s="5365"/>
      <c r="L430" s="5365"/>
      <c r="M430" s="5365"/>
      <c r="N430" s="5365"/>
      <c r="O430" s="5365"/>
      <c r="P430" s="5365"/>
    </row>
    <row r="431" spans="1:16">
      <c r="A431" s="5365"/>
      <c r="B431" s="5365"/>
      <c r="C431" s="5540" t="s">
        <v>346</v>
      </c>
      <c r="D431" s="5540" t="s">
        <v>347</v>
      </c>
      <c r="E431" s="5365"/>
      <c r="F431" s="5365"/>
      <c r="G431" s="5365"/>
      <c r="H431" s="5365"/>
      <c r="I431" s="5365"/>
      <c r="J431" s="5365"/>
      <c r="K431" s="5365"/>
      <c r="L431" s="5365"/>
      <c r="M431" s="5365"/>
      <c r="N431" s="5365"/>
      <c r="O431" s="5365"/>
      <c r="P431" s="5365"/>
    </row>
    <row r="432" spans="1:16">
      <c r="A432" s="5365"/>
      <c r="B432" s="5365"/>
      <c r="C432" s="5540" t="s">
        <v>348</v>
      </c>
      <c r="D432" s="5540" t="s">
        <v>349</v>
      </c>
      <c r="E432" s="5365"/>
      <c r="F432" s="5365"/>
      <c r="G432" s="5365"/>
      <c r="H432" s="5365"/>
      <c r="I432" s="5365"/>
      <c r="J432" s="5365"/>
      <c r="K432" s="5365"/>
      <c r="L432" s="5365"/>
      <c r="M432" s="5365"/>
      <c r="N432" s="5365"/>
      <c r="O432" s="5365"/>
      <c r="P432" s="5365"/>
    </row>
    <row r="433" spans="1:16">
      <c r="A433" s="5365"/>
      <c r="B433" s="5365"/>
      <c r="C433" s="5394"/>
      <c r="D433" s="5394"/>
      <c r="E433" s="5365"/>
      <c r="F433" s="5365"/>
      <c r="G433" s="5365"/>
      <c r="H433" s="5365"/>
      <c r="I433" s="5365"/>
      <c r="J433" s="5365"/>
      <c r="K433" s="5365"/>
      <c r="L433" s="5365"/>
      <c r="M433" s="5365"/>
      <c r="N433" s="5365"/>
      <c r="O433" s="5365"/>
      <c r="P433" s="5365"/>
    </row>
    <row r="434" spans="1:16">
      <c r="B434" s="572"/>
      <c r="C434" s="2085"/>
    </row>
    <row r="435" spans="1:16">
      <c r="C435" s="3"/>
    </row>
    <row r="436" spans="1:16">
      <c r="C436" s="3"/>
    </row>
    <row r="437" spans="1:16">
      <c r="C437" s="3"/>
    </row>
    <row r="438" spans="1:16">
      <c r="C438" s="3"/>
    </row>
    <row r="439" spans="1:16">
      <c r="C439" s="3"/>
    </row>
    <row r="440" spans="1:16">
      <c r="C440" s="3"/>
    </row>
    <row r="441" spans="1:16">
      <c r="C441" s="3"/>
    </row>
    <row r="442" spans="1:16">
      <c r="C442" s="3"/>
      <c r="D442"/>
    </row>
    <row r="443" spans="1:16">
      <c r="C443" s="3"/>
      <c r="D443"/>
    </row>
    <row r="444" spans="1:16">
      <c r="C444" s="3"/>
      <c r="D444"/>
    </row>
    <row r="445" spans="1:16">
      <c r="C445" s="3"/>
      <c r="D445"/>
    </row>
    <row r="446" spans="1:16">
      <c r="C446" s="3"/>
      <c r="D446"/>
    </row>
    <row r="447" spans="1:16">
      <c r="C447" s="3"/>
      <c r="D447"/>
    </row>
  </sheetData>
  <sheetProtection algorithmName="SHA-512" hashValue="22lcmQPLmPvjFs3xRZIcqeobG1GQXVLvHMPVoCrIzxRMwZsTOjjSC+yoZuTOiLdrQU3LKPS1JC5zguofFLQkZg==" saltValue="cXNgvsS/VsHg8KsW+QPTSQ==" spinCount="100000" sheet="1" objects="1" scenarios="1"/>
  <mergeCells count="1">
    <mergeCell ref="D4:E4"/>
  </mergeCells>
  <conditionalFormatting sqref="A4:P170">
    <cfRule type="expression" dxfId="0" priority="1">
      <formula>$C$2&lt;&gt;"var180262"</formula>
    </cfRule>
  </conditionalFormatting>
  <conditionalFormatting sqref="C171:C198;A171:B219;D171:P219;C204:C206;A220:P220;A221:B223;D221:P223;A224:P273;A274:B274;C274:P275">
    <cfRule type="expression" dxfId="0" priority="6">
      <formula>$C$2&lt;&gt;"var180262"</formula>
    </cfRule>
  </conditionalFormatting>
  <conditionalFormatting sqref="A276:P433">
    <cfRule type="expression" dxfId="0" priority="5">
      <formula>$C$2&lt;&gt;"var180262"</formula>
    </cfRule>
  </conditionalFormatting>
  <dataValidations count="2">
    <dataValidation type="custom" allowBlank="1" showInputMessage="1" showErrorMessage="1" error="želite li promjeniti PoluGod 06 2013" sqref="C12" errorStyle="warning">
      <formula1>$C$7="DA"</formula1>
    </dataValidation>
    <dataValidation type="custom" allowBlank="1" showInputMessage="1" showErrorMessage="1" error="želite li promjeniti PoluGod 06 2013" sqref="C13" errorStyle="warning">
      <formula1>#REF!="DA"</formula1>
    </dataValidation>
  </dataValidation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0">
    <pageSetUpPr fitToPage="1"/>
  </sheetPr>
  <dimension ref="A1:AW1353"/>
  <sheetViews>
    <sheetView topLeftCell="A127" workbookViewId="0">
      <selection activeCell="BF147" sqref="BF147"/>
    </sheetView>
  </sheetViews>
  <sheetFormatPr defaultColWidth="2.14285714285714" defaultRowHeight="12.75"/>
  <cols>
    <col min="1" max="49" width="2.14285714285714" style="572"/>
  </cols>
  <sheetData>
    <row r="1" spans="1:49">
      <c r="A1" s="3445"/>
      <c r="B1" s="3445"/>
      <c r="C1" s="3445"/>
      <c r="D1" s="3445"/>
      <c r="E1" s="3445"/>
      <c r="F1" s="3445"/>
      <c r="G1" s="3445"/>
      <c r="H1" s="3445"/>
      <c r="I1" s="3445"/>
      <c r="J1" s="3445"/>
      <c r="K1" s="3445"/>
      <c r="L1" s="3445"/>
      <c r="M1" s="3445"/>
      <c r="N1" s="3445"/>
      <c r="O1" s="3445"/>
      <c r="P1" s="3445"/>
      <c r="Q1" s="3445"/>
      <c r="R1" s="3445"/>
      <c r="S1" s="3445"/>
      <c r="T1" s="3445"/>
      <c r="U1" s="3445"/>
      <c r="V1" s="3445"/>
      <c r="W1" s="3445"/>
      <c r="X1" s="3445"/>
      <c r="Y1" s="3445"/>
      <c r="Z1" s="3445"/>
      <c r="AA1" s="3445"/>
      <c r="AB1" s="3445"/>
      <c r="AC1" s="3445"/>
      <c r="AD1" s="3445"/>
      <c r="AE1" s="3445"/>
      <c r="AF1" s="3445"/>
      <c r="AG1" s="3445"/>
      <c r="AH1" s="3446"/>
      <c r="AI1" s="3445"/>
      <c r="AJ1" s="3445"/>
      <c r="AK1" s="3445"/>
      <c r="AL1" s="3445"/>
      <c r="AM1" s="3445"/>
      <c r="AN1" s="3445"/>
      <c r="AP1" s="3445"/>
      <c r="AQ1" s="3445"/>
      <c r="AR1" s="3445"/>
      <c r="AS1" s="3445"/>
      <c r="AT1" s="3445"/>
      <c r="AU1" s="3445"/>
      <c r="AV1" s="3447" t="str">
        <f ca="1">"Obrazac IND SPS-D / "&amp;PoslGod</f>
        <v>Obrazac IND SPS-D / 2025</v>
      </c>
      <c r="AW1" s="3445"/>
    </row>
    <row r="2" spans="1:49">
      <c r="G2" s="3448" t="s">
        <v>6054</v>
      </c>
      <c r="H2" s="3448"/>
      <c r="I2" s="3448"/>
      <c r="J2" s="3448"/>
      <c r="K2" s="3448"/>
      <c r="L2" s="3448"/>
      <c r="M2" s="3448"/>
      <c r="N2" s="3448"/>
      <c r="O2" s="3448"/>
      <c r="P2" s="3448"/>
      <c r="Q2" s="3448"/>
      <c r="R2" s="3448"/>
      <c r="S2" s="3448"/>
      <c r="T2" s="3449"/>
      <c r="U2" s="3449"/>
      <c r="V2" s="3449"/>
      <c r="W2" s="3445"/>
      <c r="X2" s="3445"/>
      <c r="Y2" s="3445"/>
      <c r="Z2" s="3445"/>
      <c r="AA2" s="3445"/>
      <c r="AB2" s="3445"/>
      <c r="AC2" s="3445"/>
      <c r="AD2" s="3445"/>
      <c r="AE2" s="3445"/>
      <c r="AF2" s="3445"/>
      <c r="AG2" s="3445"/>
      <c r="AH2" s="3445"/>
      <c r="AI2" s="3445"/>
      <c r="AJ2" s="3445"/>
      <c r="AK2" s="3445"/>
      <c r="AL2" s="3445"/>
      <c r="AM2" s="3445"/>
      <c r="AN2" s="3445"/>
      <c r="AO2" s="3445"/>
      <c r="AP2" s="3445"/>
      <c r="AQ2" s="3445"/>
      <c r="AR2" s="3445"/>
      <c r="AS2" s="3445"/>
      <c r="AT2" s="3445"/>
      <c r="AU2" s="3445"/>
      <c r="AV2" s="3445"/>
      <c r="AW2" s="3445"/>
    </row>
    <row r="3" spans="1:49">
      <c r="G3" s="3448" t="s">
        <v>6055</v>
      </c>
      <c r="H3" s="3448"/>
      <c r="I3" s="3448"/>
      <c r="J3" s="3448"/>
      <c r="K3" s="3448"/>
      <c r="L3" s="3448"/>
      <c r="M3" s="3448"/>
      <c r="N3" s="3448"/>
      <c r="O3" s="3448"/>
      <c r="P3" s="3448"/>
      <c r="Q3" s="3448"/>
      <c r="R3" s="3448"/>
      <c r="S3" s="3448"/>
      <c r="T3" s="3449"/>
      <c r="U3" s="3449"/>
      <c r="V3" s="3449"/>
      <c r="W3" s="3445"/>
      <c r="X3" s="3445"/>
      <c r="Y3" s="3445"/>
      <c r="Z3" s="3445"/>
      <c r="AA3" s="3445"/>
      <c r="AB3" s="3445"/>
      <c r="AC3" s="3445"/>
      <c r="AD3" s="3445"/>
      <c r="AE3" s="3445"/>
      <c r="AF3" s="3445"/>
      <c r="AG3" s="3450"/>
      <c r="AJ3" s="3451" t="s">
        <v>6056</v>
      </c>
      <c r="AK3" s="3452"/>
      <c r="AL3" s="3452"/>
      <c r="AM3" s="3452"/>
      <c r="AN3" s="3452"/>
      <c r="AO3" s="3452"/>
      <c r="AP3" s="3452"/>
      <c r="AQ3" s="3452"/>
      <c r="AR3" s="3452"/>
      <c r="AS3" s="3452"/>
      <c r="AT3" s="3452"/>
      <c r="AU3" s="3452"/>
      <c r="AV3" s="3453"/>
    </row>
    <row r="4" spans="1:49">
      <c r="G4" s="3448" t="s">
        <v>6057</v>
      </c>
      <c r="H4" s="3448"/>
      <c r="I4" s="3448"/>
      <c r="J4" s="3448"/>
      <c r="K4" s="3448"/>
      <c r="L4" s="3448"/>
      <c r="M4" s="3448"/>
      <c r="N4" s="3448"/>
      <c r="O4" s="3448"/>
      <c r="P4" s="3448"/>
      <c r="Q4" s="3448"/>
      <c r="R4" s="3448"/>
      <c r="S4" s="3448"/>
      <c r="T4" s="3449"/>
      <c r="U4" s="3449"/>
      <c r="V4" s="3449"/>
      <c r="W4" s="3445"/>
      <c r="X4" s="3445"/>
      <c r="Y4" s="3445"/>
      <c r="Z4" s="3445"/>
      <c r="AA4" s="3445"/>
      <c r="AB4" s="3445"/>
      <c r="AC4" s="3445"/>
      <c r="AD4" s="3445"/>
      <c r="AE4" s="3445"/>
      <c r="AF4" s="3445"/>
      <c r="AJ4" s="3454" t="s">
        <v>6058</v>
      </c>
      <c r="AK4" s="3455"/>
      <c r="AL4" s="3455"/>
      <c r="AM4" s="3455"/>
      <c r="AN4" s="3455"/>
      <c r="AO4" s="3455"/>
      <c r="AP4" s="3455"/>
      <c r="AQ4" s="3455"/>
      <c r="AR4" s="3455"/>
      <c r="AS4" s="3455"/>
      <c r="AT4" s="3455"/>
      <c r="AU4" s="3455"/>
      <c r="AV4" s="3456"/>
    </row>
    <row r="5" spans="1:49">
      <c r="G5" s="3448" t="s">
        <v>6059</v>
      </c>
      <c r="H5" s="3448"/>
      <c r="I5" s="3448"/>
      <c r="J5" s="3448"/>
      <c r="K5" s="3448"/>
      <c r="L5" s="3448"/>
      <c r="M5" s="3448"/>
      <c r="N5" s="3448"/>
      <c r="O5" s="3448"/>
      <c r="P5" s="3448"/>
      <c r="Q5" s="3448"/>
      <c r="R5" s="3448"/>
      <c r="S5" s="3448"/>
      <c r="T5" s="3449"/>
      <c r="U5" s="3449"/>
      <c r="V5" s="3449"/>
      <c r="W5" s="3445"/>
      <c r="X5" s="3445"/>
      <c r="Y5" s="3445"/>
      <c r="Z5" s="3445"/>
      <c r="AA5" s="3445"/>
      <c r="AB5" s="3445"/>
      <c r="AC5" s="3445"/>
      <c r="AD5" s="3445"/>
      <c r="AE5" s="3445"/>
      <c r="AF5" s="3445"/>
    </row>
    <row r="6" spans="1:49">
      <c r="A6" s="3457"/>
      <c r="B6" s="3457"/>
      <c r="C6" s="3457"/>
      <c r="D6" s="3457"/>
      <c r="E6" s="3457"/>
      <c r="F6" s="3457"/>
      <c r="G6" s="3457"/>
      <c r="H6" s="3457"/>
      <c r="I6" s="3457"/>
      <c r="J6" s="3457"/>
      <c r="K6" s="3457"/>
      <c r="L6" s="3457"/>
      <c r="M6" s="3457"/>
      <c r="N6" s="3457"/>
      <c r="O6" s="3457"/>
      <c r="P6" s="3457"/>
      <c r="Q6" s="3457"/>
      <c r="R6" s="3457"/>
      <c r="S6" s="3457"/>
      <c r="T6" s="3458"/>
      <c r="U6" s="3445"/>
      <c r="V6" s="3445"/>
      <c r="W6" s="3445"/>
      <c r="X6" s="3445"/>
      <c r="Y6" s="3445"/>
      <c r="Z6" s="3445"/>
      <c r="AA6" s="3445"/>
      <c r="AB6" s="3445"/>
      <c r="AC6" s="3445"/>
      <c r="AD6" s="3445"/>
      <c r="AE6" s="3445"/>
      <c r="AF6" s="3445"/>
      <c r="AG6" s="3445"/>
      <c r="AH6" s="3445"/>
      <c r="AI6" s="3445"/>
      <c r="AJ6" s="3445"/>
      <c r="AK6" s="3445"/>
      <c r="AL6" s="3445"/>
      <c r="AM6" s="3445"/>
      <c r="AN6" s="3445"/>
      <c r="AO6" s="3445"/>
      <c r="AP6" s="3445"/>
      <c r="AQ6" s="3445"/>
      <c r="AR6" s="3445"/>
      <c r="AS6" s="3445"/>
      <c r="AT6" s="3445"/>
      <c r="AU6" s="3445"/>
      <c r="AV6" s="3445"/>
      <c r="AW6" s="3445"/>
    </row>
    <row r="7" spans="1:49">
      <c r="A7" s="3459" t="s">
        <v>6060</v>
      </c>
      <c r="B7" s="3459"/>
      <c r="C7" s="3459"/>
      <c r="D7" s="3459"/>
      <c r="E7" s="3459"/>
      <c r="F7" s="3459"/>
      <c r="G7" s="3459"/>
      <c r="H7" s="3459"/>
      <c r="I7" s="3459"/>
      <c r="J7" s="3459"/>
      <c r="K7" s="3459"/>
      <c r="L7" s="3459"/>
      <c r="M7" s="3459"/>
      <c r="N7" s="3459"/>
      <c r="O7" s="3459"/>
      <c r="P7" s="3459"/>
      <c r="Q7" s="3459"/>
      <c r="R7" s="3459"/>
      <c r="S7" s="3459"/>
      <c r="T7" s="3459"/>
      <c r="U7" s="3459"/>
      <c r="V7" s="3459"/>
      <c r="W7" s="3459"/>
      <c r="X7" s="3459"/>
      <c r="Y7" s="3459"/>
      <c r="Z7" s="3459"/>
      <c r="AA7" s="3459"/>
      <c r="AB7" s="3459"/>
      <c r="AC7" s="3459"/>
      <c r="AD7" s="3459"/>
      <c r="AE7" s="3459"/>
      <c r="AF7" s="3459"/>
      <c r="AG7" s="3459"/>
      <c r="AH7" s="3459"/>
      <c r="AI7" s="3459"/>
      <c r="AJ7" s="3459"/>
      <c r="AK7" s="3459"/>
      <c r="AL7" s="3459"/>
      <c r="AM7" s="3459"/>
      <c r="AN7" s="3459"/>
      <c r="AO7" s="3459"/>
      <c r="AP7" s="3459"/>
      <c r="AQ7" s="3459"/>
      <c r="AR7" s="3459"/>
      <c r="AS7" s="3459"/>
      <c r="AT7" s="3459"/>
      <c r="AU7" s="3459"/>
      <c r="AV7" s="3459"/>
      <c r="AW7" s="3446"/>
    </row>
    <row r="8" spans="1:49">
      <c r="A8" s="3459" t="s">
        <v>6061</v>
      </c>
      <c r="B8" s="3459"/>
      <c r="C8" s="3459"/>
      <c r="D8" s="3459"/>
      <c r="E8" s="3459"/>
      <c r="F8" s="3459"/>
      <c r="G8" s="3459"/>
      <c r="H8" s="3459"/>
      <c r="I8" s="3459"/>
      <c r="J8" s="3459"/>
      <c r="K8" s="3459"/>
      <c r="L8" s="3459"/>
      <c r="M8" s="3459"/>
      <c r="N8" s="3459"/>
      <c r="O8" s="3459"/>
      <c r="P8" s="3459"/>
      <c r="Q8" s="3459"/>
      <c r="R8" s="3459"/>
      <c r="S8" s="3459"/>
      <c r="T8" s="3459"/>
      <c r="U8" s="3459"/>
      <c r="V8" s="3459"/>
      <c r="W8" s="3459"/>
      <c r="X8" s="3459"/>
      <c r="Y8" s="3459"/>
      <c r="Z8" s="3459"/>
      <c r="AA8" s="3459"/>
      <c r="AB8" s="3459"/>
      <c r="AC8" s="3459"/>
      <c r="AD8" s="3459"/>
      <c r="AE8" s="3459"/>
      <c r="AF8" s="3459"/>
      <c r="AG8" s="3459"/>
      <c r="AH8" s="3459"/>
      <c r="AI8" s="3459"/>
      <c r="AJ8" s="3459"/>
      <c r="AK8" s="3459"/>
      <c r="AL8" s="3459"/>
      <c r="AM8" s="3459"/>
      <c r="AN8" s="3459"/>
      <c r="AO8" s="3459"/>
      <c r="AP8" s="3459"/>
      <c r="AQ8" s="3459"/>
      <c r="AR8" s="3459"/>
      <c r="AS8" s="3459"/>
      <c r="AT8" s="3459"/>
      <c r="AU8" s="3459"/>
      <c r="AV8" s="3459"/>
      <c r="AW8" s="3460"/>
    </row>
    <row r="9" spans="1:49">
      <c r="A9" s="2302" t="str">
        <f ca="1">"ZA "&amp;PoslGod&amp;". GODINU"</f>
        <v>ZA 2025. GODINU</v>
      </c>
      <c r="B9" s="2302"/>
      <c r="C9" s="2302"/>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c r="AK9" s="2302"/>
      <c r="AL9" s="2302"/>
      <c r="AM9" s="2302"/>
      <c r="AN9" s="2302"/>
      <c r="AO9" s="2302"/>
      <c r="AP9" s="2302"/>
      <c r="AQ9" s="2302"/>
      <c r="AR9" s="2302"/>
      <c r="AS9" s="2302"/>
      <c r="AT9" s="2302"/>
      <c r="AU9" s="2302"/>
      <c r="AV9" s="2302"/>
      <c r="AW9" s="3446"/>
    </row>
    <row r="10" spans="1:49">
      <c r="A10" s="3461"/>
      <c r="B10" s="3461"/>
      <c r="C10" s="3461"/>
      <c r="D10" s="3461"/>
      <c r="E10" s="3461"/>
      <c r="F10" s="3461"/>
      <c r="G10" s="3461"/>
      <c r="H10" s="3461"/>
      <c r="I10" s="3461"/>
      <c r="J10" s="3461"/>
      <c r="K10" s="3461"/>
      <c r="L10" s="3461"/>
      <c r="M10" s="3461"/>
      <c r="N10" s="3461"/>
      <c r="O10" s="3461"/>
      <c r="P10" s="3461"/>
      <c r="Q10" s="3461"/>
      <c r="R10" s="3461"/>
      <c r="S10" s="3461"/>
      <c r="T10" s="3461"/>
      <c r="U10" s="3461"/>
      <c r="V10" s="3461"/>
      <c r="W10" s="3461"/>
      <c r="X10" s="3461"/>
      <c r="Y10" s="3461"/>
      <c r="Z10" s="3461"/>
      <c r="AA10" s="3461"/>
      <c r="AB10" s="3461"/>
      <c r="AC10" s="3461"/>
      <c r="AD10" s="3461"/>
      <c r="AE10" s="3461"/>
      <c r="AF10" s="3461"/>
      <c r="AG10" s="3461"/>
      <c r="AH10" s="3461"/>
      <c r="AI10" s="3461"/>
      <c r="AJ10" s="3461"/>
      <c r="AK10" s="3461"/>
      <c r="AL10" s="3461"/>
      <c r="AM10" s="3461"/>
      <c r="AN10" s="3461"/>
      <c r="AO10" s="3461"/>
      <c r="AP10" s="3461"/>
      <c r="AQ10" s="3461"/>
      <c r="AR10" s="3461"/>
      <c r="AS10" s="3461"/>
      <c r="AT10" s="3461"/>
      <c r="AU10" s="3461"/>
      <c r="AV10" s="3461"/>
      <c r="AW10" s="3446"/>
    </row>
    <row r="11" ht="19.5" customHeight="1" spans="1:49">
      <c r="A11" s="3462" t="s">
        <v>6062</v>
      </c>
      <c r="B11" s="3463"/>
      <c r="C11" s="3463"/>
      <c r="D11" s="3463"/>
      <c r="E11" s="3463"/>
      <c r="F11" s="3463"/>
      <c r="G11" s="3463"/>
      <c r="H11" s="3463"/>
      <c r="I11" s="3463"/>
      <c r="J11" s="3463"/>
      <c r="K11" s="3463"/>
      <c r="L11" s="3463"/>
      <c r="M11" s="3463"/>
      <c r="N11" s="3463"/>
      <c r="O11" s="3463"/>
      <c r="P11" s="3463"/>
      <c r="Q11" s="3463"/>
      <c r="R11" s="3463"/>
      <c r="S11" s="3463"/>
      <c r="T11" s="3463"/>
      <c r="U11" s="3463"/>
      <c r="V11" s="3463"/>
      <c r="W11" s="3463"/>
      <c r="X11" s="3463"/>
      <c r="Y11" s="3463"/>
      <c r="Z11" s="3463"/>
      <c r="AA11" s="3463"/>
      <c r="AB11" s="3463"/>
      <c r="AC11" s="3463"/>
      <c r="AD11" s="3463"/>
      <c r="AE11" s="3463"/>
      <c r="AF11" s="3463"/>
      <c r="AG11" s="3463"/>
      <c r="AH11" s="3463"/>
      <c r="AI11" s="3463"/>
      <c r="AJ11" s="3463"/>
      <c r="AK11" s="3463"/>
      <c r="AL11" s="3463"/>
      <c r="AM11" s="3463"/>
      <c r="AN11" s="3463"/>
      <c r="AO11" s="3463"/>
      <c r="AP11" s="3463"/>
      <c r="AQ11" s="3463"/>
      <c r="AR11" s="3463"/>
      <c r="AS11" s="3463"/>
      <c r="AT11" s="3463"/>
      <c r="AU11" s="3463"/>
      <c r="AV11" s="3464"/>
      <c r="AW11" s="3465"/>
    </row>
    <row r="12" ht="19.5" customHeight="1" spans="1:49">
      <c r="A12" s="3466"/>
      <c r="B12" s="3467"/>
      <c r="C12" s="3467"/>
      <c r="D12" s="3467"/>
      <c r="E12" s="3467"/>
      <c r="F12" s="3467"/>
      <c r="G12" s="3467"/>
      <c r="H12" s="3467"/>
      <c r="I12" s="3467"/>
      <c r="J12" s="3467"/>
      <c r="K12" s="3467"/>
      <c r="L12" s="3467"/>
      <c r="M12" s="3467"/>
      <c r="N12" s="3467"/>
      <c r="O12" s="3467"/>
      <c r="P12" s="3467"/>
      <c r="Q12" s="3467"/>
      <c r="R12" s="3467"/>
      <c r="S12" s="3467"/>
      <c r="T12" s="3467"/>
      <c r="U12" s="3467"/>
      <c r="V12" s="3467"/>
      <c r="W12" s="3467"/>
      <c r="X12" s="3467"/>
      <c r="Y12" s="3467"/>
      <c r="Z12" s="3467"/>
      <c r="AA12" s="3467"/>
      <c r="AB12" s="3467"/>
      <c r="AC12" s="3467"/>
      <c r="AD12" s="3467"/>
      <c r="AE12" s="3467"/>
      <c r="AF12" s="3467"/>
      <c r="AG12" s="3467"/>
      <c r="AH12" s="3467"/>
      <c r="AI12" s="3467"/>
      <c r="AJ12" s="3467"/>
      <c r="AK12" s="3467"/>
      <c r="AL12" s="3467"/>
      <c r="AM12" s="3467"/>
      <c r="AN12" s="3467"/>
      <c r="AO12" s="3467"/>
      <c r="AP12" s="3467"/>
      <c r="AQ12" s="3467"/>
      <c r="AR12" s="3467"/>
      <c r="AS12" s="3467"/>
      <c r="AT12" s="3467"/>
      <c r="AU12" s="3467"/>
      <c r="AV12" s="3468"/>
      <c r="AW12" s="3465"/>
    </row>
    <row r="13" ht="19.5" customHeight="1" spans="1:49">
      <c r="A13" s="3469"/>
      <c r="B13" s="3470"/>
      <c r="C13" s="3470"/>
      <c r="D13" s="3470"/>
      <c r="E13" s="3470"/>
      <c r="F13" s="3470"/>
      <c r="G13" s="3470"/>
      <c r="H13" s="3470"/>
      <c r="I13" s="3470"/>
      <c r="J13" s="3470"/>
      <c r="K13" s="3470"/>
      <c r="L13" s="3470"/>
      <c r="M13" s="3470"/>
      <c r="N13" s="3470"/>
      <c r="O13" s="3470"/>
      <c r="P13" s="3470"/>
      <c r="Q13" s="3470"/>
      <c r="R13" s="3470"/>
      <c r="S13" s="3470"/>
      <c r="T13" s="3470"/>
      <c r="U13" s="3470"/>
      <c r="V13" s="3470"/>
      <c r="W13" s="3470"/>
      <c r="X13" s="3470"/>
      <c r="Y13" s="3470"/>
      <c r="Z13" s="3470"/>
      <c r="AA13" s="3470"/>
      <c r="AB13" s="3470"/>
      <c r="AC13" s="3470"/>
      <c r="AD13" s="3470"/>
      <c r="AE13" s="3470"/>
      <c r="AF13" s="3470"/>
      <c r="AG13" s="3470"/>
      <c r="AH13" s="3470"/>
      <c r="AI13" s="3470"/>
      <c r="AJ13" s="3470"/>
      <c r="AK13" s="3470"/>
      <c r="AL13" s="3470"/>
      <c r="AM13" s="3470"/>
      <c r="AN13" s="3470"/>
      <c r="AO13" s="3470"/>
      <c r="AP13" s="3470"/>
      <c r="AQ13" s="3470"/>
      <c r="AR13" s="3470"/>
      <c r="AS13" s="3470"/>
      <c r="AT13" s="3470"/>
      <c r="AU13" s="3470"/>
      <c r="AV13" s="3471"/>
      <c r="AW13" s="3465"/>
    </row>
    <row r="14" spans="1:49">
      <c r="A14" s="3472"/>
      <c r="B14" s="3472"/>
      <c r="C14" s="3472"/>
      <c r="D14" s="3472"/>
      <c r="E14" s="3472"/>
      <c r="F14" s="3473"/>
      <c r="G14" s="3473"/>
      <c r="H14" s="3473"/>
      <c r="I14" s="3473"/>
      <c r="J14" s="3473"/>
      <c r="K14" s="3473"/>
      <c r="L14" s="3473"/>
      <c r="M14" s="3473"/>
      <c r="N14" s="3473"/>
      <c r="O14" s="3473"/>
      <c r="P14" s="3473"/>
      <c r="Q14" s="3473"/>
      <c r="R14" s="3473"/>
      <c r="S14" s="3473"/>
      <c r="T14" s="3473"/>
      <c r="U14" s="3473"/>
      <c r="V14" s="3473"/>
      <c r="W14" s="3473"/>
      <c r="X14" s="3473"/>
      <c r="Y14" s="3473"/>
      <c r="Z14" s="3473"/>
      <c r="AA14" s="3473"/>
      <c r="AB14" s="3473"/>
      <c r="AC14" s="3473"/>
      <c r="AD14" s="3473"/>
      <c r="AE14" s="3473"/>
      <c r="AF14" s="3473"/>
      <c r="AG14" s="3473"/>
      <c r="AH14" s="3473"/>
      <c r="AI14" s="3473"/>
      <c r="AJ14" s="3473"/>
      <c r="AK14" s="3473"/>
      <c r="AL14" s="3473"/>
      <c r="AM14" s="3473"/>
      <c r="AN14" s="3473"/>
      <c r="AO14" s="3473"/>
      <c r="AP14" s="3473"/>
      <c r="AQ14" s="3473"/>
      <c r="AR14" s="3473"/>
      <c r="AS14" s="3472"/>
      <c r="AT14" s="3472"/>
      <c r="AU14" s="3472"/>
      <c r="AV14" s="3472"/>
      <c r="AW14" s="3465"/>
    </row>
    <row r="15" spans="1:49">
      <c r="A15" s="3474"/>
      <c r="B15" s="3475"/>
      <c r="C15" s="3475"/>
      <c r="D15" s="3475"/>
      <c r="E15" s="3475"/>
      <c r="F15" s="3475"/>
      <c r="G15" s="3475"/>
      <c r="H15" s="3475"/>
      <c r="I15" s="3475"/>
      <c r="J15" s="3475"/>
      <c r="K15" s="3475"/>
      <c r="L15" s="3475"/>
      <c r="M15" s="3475"/>
      <c r="N15" s="3475"/>
      <c r="O15" s="3475"/>
      <c r="P15" s="3475"/>
      <c r="Q15" s="3475"/>
      <c r="R15" s="3475"/>
      <c r="S15" s="3475"/>
      <c r="T15" s="3475"/>
      <c r="U15" s="3475"/>
      <c r="V15" s="3475"/>
      <c r="W15" s="3475"/>
      <c r="X15" s="3475"/>
      <c r="Y15" s="3475"/>
      <c r="Z15" s="3475"/>
      <c r="AA15" s="3475"/>
      <c r="AB15" s="3475"/>
      <c r="AC15" s="3475"/>
      <c r="AD15" s="3475"/>
      <c r="AE15" s="3475"/>
      <c r="AF15" s="3475"/>
      <c r="AG15" s="3475"/>
      <c r="AH15" s="3475"/>
      <c r="AI15" s="3475"/>
      <c r="AJ15" s="3475"/>
      <c r="AK15" s="3475"/>
      <c r="AL15" s="3475"/>
      <c r="AM15" s="3475"/>
      <c r="AN15" s="3475"/>
      <c r="AO15" s="3475"/>
      <c r="AP15" s="3475"/>
      <c r="AQ15" s="3475"/>
      <c r="AR15" s="3475"/>
      <c r="AS15" s="3475"/>
      <c r="AT15" s="3475"/>
      <c r="AU15" s="3475"/>
      <c r="AV15" s="3475"/>
      <c r="AW15" s="3446"/>
    </row>
    <row r="16" ht="15" spans="1:49">
      <c r="A16" s="3476"/>
      <c r="B16" s="3476"/>
      <c r="C16" s="3476"/>
      <c r="D16" s="3476"/>
      <c r="E16" s="3476"/>
      <c r="F16" s="3476"/>
      <c r="G16" s="3476"/>
      <c r="H16" s="3476"/>
      <c r="I16" s="3476"/>
      <c r="J16" s="3476"/>
      <c r="K16" s="3476"/>
      <c r="L16" s="3476"/>
      <c r="M16" s="3476"/>
      <c r="N16" s="3476"/>
      <c r="O16" s="3476"/>
      <c r="P16" s="3476"/>
      <c r="Q16" s="3476"/>
      <c r="R16" s="3476"/>
      <c r="S16" s="3476"/>
      <c r="T16" s="3476"/>
      <c r="U16" s="3476"/>
      <c r="V16" s="3476"/>
      <c r="W16" s="3476"/>
      <c r="X16" s="3476"/>
      <c r="Y16" s="3476"/>
      <c r="Z16" s="3476"/>
      <c r="AA16" s="3476"/>
      <c r="AB16" s="3476"/>
      <c r="AC16" s="3476"/>
      <c r="AD16" s="3476"/>
      <c r="AE16" s="3476"/>
      <c r="AF16" s="3476"/>
      <c r="AG16" s="3476"/>
      <c r="AH16" s="3476"/>
      <c r="AI16" s="3476"/>
      <c r="AJ16" s="3476"/>
      <c r="AK16" s="3476"/>
      <c r="AL16" s="3476"/>
      <c r="AM16" s="3476"/>
      <c r="AN16" s="3476"/>
      <c r="AO16" s="3476"/>
      <c r="AP16" s="3476"/>
      <c r="AQ16" s="3476"/>
      <c r="AR16" s="3476"/>
      <c r="AS16" s="3476"/>
      <c r="AT16" s="3476"/>
      <c r="AU16" s="3476"/>
      <c r="AV16" s="3476"/>
      <c r="AW16" s="3477"/>
    </row>
    <row r="17" ht="15" spans="1:49">
      <c r="A17" s="3476"/>
      <c r="B17" s="3476"/>
      <c r="C17" s="3476"/>
      <c r="D17" s="3476"/>
      <c r="E17" s="3476"/>
      <c r="F17" s="3476"/>
      <c r="G17" s="3476"/>
      <c r="H17" s="3476"/>
      <c r="I17" s="3476"/>
      <c r="J17" s="3476"/>
      <c r="K17" s="3476"/>
      <c r="L17" s="3476"/>
      <c r="M17" s="3476"/>
      <c r="N17" s="3476"/>
      <c r="O17" s="3476"/>
      <c r="P17" s="3476"/>
      <c r="Q17" s="3476"/>
      <c r="R17" s="3476"/>
      <c r="S17" s="3476"/>
      <c r="T17" s="3476"/>
      <c r="U17" s="3476"/>
      <c r="V17" s="3476"/>
      <c r="W17" s="3476"/>
      <c r="X17" s="3476"/>
      <c r="Y17" s="3476"/>
      <c r="Z17" s="3476"/>
      <c r="AA17" s="3476"/>
      <c r="AB17" s="3476"/>
      <c r="AC17" s="3476"/>
      <c r="AD17" s="3476"/>
      <c r="AE17" s="3476"/>
      <c r="AF17" s="3476"/>
      <c r="AG17" s="3476"/>
      <c r="AH17" s="3476"/>
      <c r="AI17" s="3476"/>
      <c r="AJ17" s="3476"/>
      <c r="AK17" s="3476"/>
      <c r="AL17" s="3476"/>
      <c r="AM17" s="3476"/>
      <c r="AN17" s="3476"/>
      <c r="AO17" s="3476"/>
      <c r="AP17" s="3476"/>
      <c r="AQ17" s="3476"/>
      <c r="AR17" s="3476"/>
      <c r="AS17" s="3476"/>
      <c r="AT17" s="3476"/>
      <c r="AU17" s="3476"/>
      <c r="AV17" s="3476"/>
      <c r="AW17" s="3477"/>
    </row>
    <row r="18" ht="15.75" spans="1:49">
      <c r="A18" s="3460" t="s">
        <v>6063</v>
      </c>
      <c r="K18" s="3460"/>
      <c r="L18" s="3478"/>
      <c r="M18" s="3479" t="str">
        <f>Firma</f>
        <v>LILIUM ASSET MANAGEMENT d.o.o. Sarajevo</v>
      </c>
      <c r="N18" s="3478"/>
      <c r="O18" s="3478"/>
      <c r="P18" s="3478"/>
      <c r="Q18" s="3478"/>
      <c r="R18" s="3478"/>
      <c r="S18" s="3478"/>
      <c r="T18" s="3478"/>
      <c r="U18" s="3478"/>
      <c r="V18" s="3478"/>
      <c r="W18" s="3478"/>
      <c r="X18" s="3480"/>
      <c r="Y18" s="3480"/>
      <c r="Z18" s="3480"/>
      <c r="AA18" s="3480"/>
      <c r="AB18" s="3480"/>
      <c r="AC18" s="3480"/>
      <c r="AD18" s="3480"/>
      <c r="AE18" s="3480"/>
      <c r="AF18" s="3480"/>
      <c r="AG18" s="3480"/>
      <c r="AH18" s="3480"/>
      <c r="AI18" s="3480"/>
      <c r="AJ18" s="3480"/>
      <c r="AK18" s="3480"/>
      <c r="AL18" s="2211"/>
      <c r="AM18" s="2211"/>
      <c r="AN18" s="2211"/>
      <c r="AO18" s="3480"/>
      <c r="AP18" s="3480"/>
      <c r="AQ18" s="3480"/>
      <c r="AR18" s="3480"/>
      <c r="AS18" s="3480"/>
      <c r="AT18" s="3480"/>
      <c r="AU18" s="3480"/>
      <c r="AV18" s="3445"/>
    </row>
    <row r="19" spans="1:49">
      <c r="A19" s="3460"/>
      <c r="K19" s="3460"/>
      <c r="L19" s="3460"/>
      <c r="M19" s="3481"/>
      <c r="N19" s="3481"/>
      <c r="O19" s="3481"/>
      <c r="P19" s="3481"/>
      <c r="Q19" s="3481"/>
      <c r="R19" s="3481"/>
      <c r="S19" s="3481"/>
      <c r="T19" s="3481"/>
      <c r="U19" s="3481"/>
      <c r="V19" s="3481"/>
      <c r="W19" s="3481"/>
      <c r="X19" s="3482"/>
      <c r="Y19" s="3482"/>
      <c r="Z19" s="3482"/>
      <c r="AA19" s="3482"/>
      <c r="AB19" s="3482"/>
      <c r="AC19" s="3482"/>
      <c r="AD19" s="3482"/>
      <c r="AE19" s="3482"/>
      <c r="AF19" s="3482"/>
      <c r="AG19" s="3482"/>
      <c r="AH19" s="3482"/>
      <c r="AI19" s="3482"/>
      <c r="AJ19" s="3445"/>
      <c r="AK19" s="3445"/>
      <c r="AO19" s="3445"/>
      <c r="AP19" s="3445"/>
      <c r="AQ19" s="3445"/>
      <c r="AR19" s="3445"/>
      <c r="AS19" s="3445"/>
      <c r="AT19" s="3445"/>
      <c r="AU19" s="3445"/>
    </row>
    <row r="20" spans="1:49">
      <c r="A20" s="3460"/>
      <c r="B20" s="3478"/>
      <c r="C20" s="3478"/>
      <c r="D20" s="3478"/>
      <c r="E20" s="3478"/>
      <c r="F20" s="3478"/>
      <c r="G20" s="3478"/>
      <c r="H20" s="3478"/>
      <c r="I20" s="3478"/>
      <c r="J20" s="3478"/>
      <c r="K20" s="3478"/>
      <c r="L20" s="3478"/>
      <c r="M20" s="3478"/>
      <c r="N20" s="3478"/>
      <c r="O20" s="3478"/>
      <c r="P20" s="3478"/>
      <c r="Q20" s="3478"/>
      <c r="R20" s="3478"/>
      <c r="S20" s="3478"/>
      <c r="T20" s="3478"/>
      <c r="U20" s="3478"/>
      <c r="V20" s="3478"/>
      <c r="W20" s="3478"/>
      <c r="X20" s="3480"/>
      <c r="Y20" s="3480"/>
      <c r="Z20" s="3480"/>
      <c r="AA20" s="3480"/>
      <c r="AB20" s="3480"/>
      <c r="AC20" s="3480"/>
      <c r="AD20" s="3480"/>
      <c r="AE20" s="3480"/>
      <c r="AF20" s="3480"/>
      <c r="AG20" s="3480"/>
      <c r="AH20" s="3480"/>
      <c r="AI20" s="3480"/>
      <c r="AJ20" s="3480"/>
      <c r="AK20" s="3480"/>
      <c r="AL20" s="2211"/>
      <c r="AM20" s="2211"/>
      <c r="AN20" s="2211"/>
      <c r="AO20" s="3480"/>
      <c r="AP20" s="3480"/>
      <c r="AQ20" s="3480"/>
      <c r="AR20" s="3480"/>
      <c r="AS20" s="3480"/>
      <c r="AT20" s="3480"/>
      <c r="AU20" s="3480"/>
    </row>
    <row r="21" spans="1:49">
      <c r="A21" s="3460"/>
      <c r="B21" s="3460"/>
      <c r="C21" s="3460"/>
      <c r="D21" s="3460"/>
      <c r="E21" s="3460"/>
      <c r="F21" s="3460"/>
      <c r="G21" s="3460"/>
      <c r="H21" s="3460"/>
      <c r="I21" s="3460"/>
      <c r="J21" s="3460"/>
      <c r="K21" s="3460"/>
      <c r="L21" s="3460"/>
      <c r="M21" s="3460"/>
      <c r="N21" s="3460"/>
      <c r="O21" s="3460"/>
      <c r="P21" s="3460"/>
      <c r="Q21" s="3460"/>
      <c r="R21" s="3460"/>
      <c r="S21" s="3460"/>
      <c r="T21" s="3460"/>
      <c r="U21" s="3460"/>
      <c r="V21" s="3460"/>
      <c r="W21" s="3460"/>
      <c r="X21" s="3445"/>
      <c r="Y21" s="3445"/>
      <c r="Z21" s="3445"/>
      <c r="AA21" s="3445"/>
      <c r="AB21" s="3445"/>
      <c r="AC21" s="3445"/>
      <c r="AD21" s="3445"/>
      <c r="AE21" s="3445"/>
      <c r="AF21" s="3445"/>
      <c r="AG21" s="3445"/>
      <c r="AH21" s="3445"/>
      <c r="AI21" s="3445"/>
      <c r="AJ21" s="3445"/>
      <c r="AK21" s="3445"/>
      <c r="AO21" s="3445"/>
      <c r="AP21" s="3445"/>
      <c r="AQ21" s="3445"/>
      <c r="AR21" s="3445"/>
      <c r="AS21" s="3445"/>
      <c r="AT21" s="3445"/>
      <c r="AU21" s="3445"/>
    </row>
    <row r="22" spans="1:49">
      <c r="A22" s="3460"/>
      <c r="B22" s="3460"/>
      <c r="C22" s="3460"/>
      <c r="D22" s="3460"/>
      <c r="E22" s="3460"/>
      <c r="F22" s="3460"/>
      <c r="G22" s="3460"/>
      <c r="H22" s="3460"/>
      <c r="I22" s="3460"/>
      <c r="J22" s="3460"/>
      <c r="K22" s="3460"/>
      <c r="L22" s="3460"/>
      <c r="M22" s="3460"/>
      <c r="N22" s="3460"/>
      <c r="O22" s="3460"/>
      <c r="P22" s="3460"/>
      <c r="Q22" s="3460"/>
      <c r="R22" s="3460"/>
      <c r="S22" s="3460"/>
      <c r="T22" s="3460"/>
      <c r="U22" s="3460"/>
      <c r="V22" s="3460"/>
      <c r="W22" s="3460"/>
      <c r="X22" s="3445"/>
      <c r="Y22" s="3445"/>
      <c r="Z22" s="3445"/>
      <c r="AA22" s="3445"/>
      <c r="AB22" s="3445"/>
      <c r="AC22" s="3445"/>
      <c r="AD22" s="3445"/>
      <c r="AE22" s="3445"/>
      <c r="AF22" s="3445"/>
      <c r="AG22" s="3445"/>
      <c r="AH22" s="3445"/>
      <c r="AI22" s="3445"/>
      <c r="AJ22" s="3445"/>
      <c r="AK22" s="3445"/>
      <c r="AO22" s="3445"/>
      <c r="AP22" s="3445"/>
      <c r="AQ22" s="3445"/>
      <c r="AS22" s="3483"/>
      <c r="AT22" s="3483"/>
      <c r="AU22" s="3483"/>
    </row>
    <row r="23" ht="15" spans="1:49">
      <c r="A23" s="3460" t="s">
        <v>6064</v>
      </c>
      <c r="B23" s="3460"/>
      <c r="C23" s="3460"/>
      <c r="D23" s="3460"/>
      <c r="E23" s="3460"/>
      <c r="F23" s="3460"/>
      <c r="G23" s="3460"/>
      <c r="H23" s="3460"/>
      <c r="I23" s="3460"/>
      <c r="J23" s="3460"/>
      <c r="K23" s="3460"/>
      <c r="L23" s="3460"/>
      <c r="M23" s="3460"/>
      <c r="N23" s="3460"/>
      <c r="O23" s="3460"/>
      <c r="P23" s="3460"/>
      <c r="Q23" s="3460"/>
      <c r="R23" s="3460"/>
      <c r="S23" s="3460"/>
      <c r="T23"/>
      <c r="U23"/>
      <c r="V23"/>
      <c r="W23"/>
      <c r="X23"/>
      <c r="Y23"/>
      <c r="Z23"/>
      <c r="AA23"/>
      <c r="AB23"/>
      <c r="AC23"/>
      <c r="AD23"/>
      <c r="AE23"/>
      <c r="AF23"/>
      <c r="AG23"/>
      <c r="AH23" s="3484">
        <f>UnosPod!AA8</f>
        <v>4</v>
      </c>
      <c r="AI23" s="3484">
        <f>UnosPod!AB8</f>
        <v>2</v>
      </c>
      <c r="AJ23" s="3484">
        <f>UnosPod!AC8</f>
        <v>0</v>
      </c>
      <c r="AK23" s="3484">
        <f>UnosPod!AD8</f>
        <v>1</v>
      </c>
      <c r="AL23" s="3484">
        <f>UnosPod!AE8</f>
        <v>3</v>
      </c>
      <c r="AM23" s="3484">
        <f>UnosPod!AF8</f>
        <v>3</v>
      </c>
      <c r="AN23" s="3484">
        <f>UnosPod!AG8</f>
        <v>7</v>
      </c>
      <c r="AO23" s="3484">
        <f>UnosPod!AH8</f>
        <v>6</v>
      </c>
      <c r="AP23" s="3484">
        <f>UnosPod!AI8</f>
        <v>7</v>
      </c>
      <c r="AQ23" s="3484">
        <f>UnosPod!AJ8</f>
        <v>0</v>
      </c>
      <c r="AR23" s="3484">
        <f>UnosPod!AK8</f>
        <v>0</v>
      </c>
      <c r="AS23" s="3484">
        <f>UnosPod!AL8</f>
        <v>0</v>
      </c>
      <c r="AT23" s="3484">
        <f>UnosPod!AM8</f>
        <v>9</v>
      </c>
    </row>
    <row r="24" spans="1:49">
      <c r="A24" s="3460"/>
      <c r="B24" s="3460"/>
      <c r="C24" s="3460"/>
      <c r="D24" s="3460"/>
      <c r="E24" s="3460"/>
      <c r="F24" s="3460"/>
      <c r="G24" s="3460"/>
      <c r="H24" s="3460"/>
      <c r="I24" s="3460"/>
      <c r="J24" s="3460"/>
      <c r="K24" s="3460"/>
      <c r="L24" s="3460"/>
      <c r="M24" s="3460"/>
      <c r="N24" s="3460"/>
      <c r="O24" s="3460"/>
      <c r="P24" s="3460"/>
      <c r="Q24" s="3460"/>
      <c r="R24" s="3460"/>
      <c r="S24" s="3460"/>
      <c r="T24"/>
      <c r="U24"/>
      <c r="V24"/>
      <c r="W24"/>
      <c r="X24"/>
      <c r="Y24"/>
      <c r="Z24"/>
      <c r="AA24"/>
      <c r="AB24"/>
      <c r="AC24"/>
      <c r="AD24"/>
      <c r="AE24"/>
      <c r="AF24"/>
      <c r="AG24"/>
      <c r="AH24"/>
      <c r="AO24" s="3445"/>
      <c r="AP24" s="3445"/>
      <c r="AQ24" s="3445"/>
      <c r="AR24" s="3445"/>
      <c r="AS24" s="3445"/>
      <c r="AT24" s="3445"/>
      <c r="AU24" s="3445"/>
    </row>
    <row r="25" spans="1:49">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c r="A26" s="3460"/>
      <c r="B26" s="3460"/>
      <c r="C26" s="3460"/>
      <c r="D26" s="3460"/>
      <c r="E26" s="3460"/>
      <c r="F26" s="3460"/>
      <c r="G26" s="3460"/>
      <c r="H26" s="3460"/>
      <c r="I26" s="3460"/>
      <c r="J26" s="3460"/>
      <c r="K26" s="3460"/>
      <c r="L26" s="3460"/>
      <c r="M26" s="3460"/>
      <c r="N26" s="3460"/>
      <c r="O26" s="3460"/>
      <c r="P26" s="3460"/>
      <c r="Q26" s="3460"/>
      <c r="R26" s="3460"/>
      <c r="S26" s="3460"/>
      <c r="T26" s="3460"/>
      <c r="U26" s="3460"/>
      <c r="V26" s="3460"/>
      <c r="W26" s="3460"/>
      <c r="X26" s="3460"/>
      <c r="Y26" s="3460"/>
      <c r="Z26" s="3460"/>
      <c r="AA26" s="3460"/>
      <c r="AJ26" s="3485"/>
      <c r="AK26" s="3485"/>
      <c r="AO26" s="3445"/>
      <c r="AP26" s="3445"/>
      <c r="AQ26" s="3445"/>
      <c r="AR26" s="3445"/>
      <c r="AS26" s="3445"/>
      <c r="AT26" s="3445"/>
      <c r="AU26" s="3445"/>
    </row>
    <row r="27" ht="15" spans="1:49">
      <c r="A27" s="3460" t="s">
        <v>6065</v>
      </c>
      <c r="E27" s="2211"/>
      <c r="F27" s="2211"/>
      <c r="G27" s="3486" t="str">
        <f>UnosPod!F11</f>
        <v>Sarajevo</v>
      </c>
      <c r="H27" s="3487"/>
      <c r="I27" s="3487"/>
      <c r="J27" s="3478"/>
      <c r="K27" s="3478"/>
      <c r="L27" s="3478"/>
      <c r="M27" s="3478"/>
      <c r="N27" s="3478"/>
      <c r="O27" s="3478"/>
      <c r="P27" s="3478"/>
      <c r="Q27" s="3478"/>
      <c r="R27" s="3478"/>
      <c r="S27" s="3478"/>
      <c r="T27" s="3460"/>
      <c r="U27" s="3460"/>
      <c r="V27" s="3460"/>
      <c r="AH27" s="3460" t="s">
        <v>6066</v>
      </c>
      <c r="AI27" s="3445"/>
      <c r="AJ27" s="3445"/>
      <c r="AK27" s="3445"/>
      <c r="AL27" s="3486" t="str">
        <f>UnosPod!AT11</f>
        <v>Sarajevo-Stari Grad</v>
      </c>
      <c r="AM27" s="3487"/>
      <c r="AN27" s="2211"/>
      <c r="AO27" s="2211"/>
      <c r="AP27" s="2211"/>
      <c r="AQ27" s="2211"/>
      <c r="AR27" s="2211"/>
      <c r="AS27" s="2211"/>
      <c r="AT27" s="2211"/>
      <c r="AU27" s="3445"/>
    </row>
    <row r="28" ht="15" spans="1:49">
      <c r="A28" s="3460"/>
      <c r="B28" s="3460"/>
      <c r="C28" s="3460"/>
      <c r="D28" s="3460"/>
      <c r="E28" s="3460"/>
      <c r="F28" s="3460"/>
      <c r="G28" s="491"/>
      <c r="H28" s="491"/>
      <c r="I28" s="491"/>
      <c r="J28" s="3460"/>
      <c r="K28" s="3460"/>
      <c r="L28" s="3460"/>
      <c r="M28" s="3460"/>
      <c r="N28" s="3460"/>
      <c r="O28" s="3460"/>
      <c r="P28" s="3460"/>
      <c r="Q28" s="3460"/>
      <c r="R28" s="3460"/>
      <c r="S28" s="3460"/>
      <c r="T28" s="3460"/>
      <c r="U28" s="3460"/>
      <c r="V28" s="3460"/>
      <c r="W28" s="3460"/>
      <c r="X28" s="3445"/>
      <c r="Y28" s="3445"/>
      <c r="Z28" s="3445"/>
      <c r="AA28" s="3445"/>
      <c r="AB28" s="3445"/>
      <c r="AC28" s="3445"/>
      <c r="AD28" s="3445"/>
      <c r="AJ28" s="3445"/>
      <c r="AK28" s="3445"/>
      <c r="AL28" s="491"/>
      <c r="AM28" s="491"/>
      <c r="AO28" s="3445"/>
      <c r="AP28" s="3445"/>
      <c r="AQ28" s="3445"/>
      <c r="AR28" s="3445"/>
      <c r="AS28" s="3445"/>
      <c r="AT28" s="3445"/>
      <c r="AU28" s="3445"/>
    </row>
    <row r="29" ht="15" spans="1:49">
      <c r="A29" s="3460"/>
      <c r="B29" s="3460"/>
      <c r="C29" s="3460"/>
      <c r="D29" s="3460"/>
      <c r="E29" s="3460"/>
      <c r="F29" s="3460"/>
      <c r="G29" s="491"/>
      <c r="H29" s="491"/>
      <c r="I29" s="491"/>
      <c r="J29" s="3460"/>
      <c r="K29" s="3460"/>
      <c r="L29" s="3460"/>
      <c r="M29" s="3460"/>
      <c r="N29" s="3460"/>
      <c r="O29" s="3460"/>
      <c r="P29" s="3460"/>
      <c r="Q29" s="3460"/>
      <c r="R29" s="3460"/>
      <c r="S29" s="3460"/>
      <c r="T29" s="3460"/>
      <c r="U29" s="3460"/>
      <c r="V29" s="3460"/>
      <c r="W29" s="3460"/>
      <c r="X29" s="3445"/>
      <c r="Y29" s="3445"/>
      <c r="Z29" s="3445"/>
      <c r="AA29" s="3445"/>
      <c r="AB29" s="3445"/>
      <c r="AC29" s="3445"/>
      <c r="AD29" s="3445"/>
      <c r="AE29" s="3488"/>
      <c r="AF29" s="3445"/>
      <c r="AG29" s="3445"/>
      <c r="AH29" s="3445"/>
      <c r="AI29" s="3460"/>
      <c r="AJ29" s="3445"/>
      <c r="AK29" s="3445"/>
      <c r="AL29" s="491"/>
      <c r="AM29" s="491"/>
      <c r="AO29" s="3445"/>
      <c r="AP29" s="3445"/>
      <c r="AQ29" s="3445"/>
      <c r="AR29" s="3445"/>
      <c r="AS29" s="3445"/>
      <c r="AT29" s="3445"/>
      <c r="AU29" s="3445"/>
    </row>
    <row r="30" ht="15" spans="1:49">
      <c r="A30" s="3460" t="s">
        <v>6067</v>
      </c>
      <c r="F30" s="2211"/>
      <c r="G30" s="3486" t="str">
        <f>Adresa</f>
        <v>Dženetića čikma br.8</v>
      </c>
      <c r="H30" s="3487"/>
      <c r="I30" s="3487"/>
      <c r="J30" s="3478"/>
      <c r="K30" s="3478"/>
      <c r="L30" s="3478"/>
      <c r="M30" s="3478"/>
      <c r="N30" s="3478"/>
      <c r="O30" s="3478"/>
      <c r="P30" s="3478"/>
      <c r="Q30" s="3478"/>
      <c r="R30" s="3478"/>
      <c r="S30" s="3478"/>
      <c r="T30" s="3460"/>
      <c r="U30" s="3460"/>
      <c r="V30" s="3460"/>
      <c r="AH30" s="3460" t="s">
        <v>6068</v>
      </c>
      <c r="AI30" s="3445"/>
      <c r="AJ30" s="3445"/>
      <c r="AK30" s="3445"/>
      <c r="AL30" s="3486" t="str">
        <f>UnosPod!F15</f>
        <v>033/953-480</v>
      </c>
      <c r="AM30" s="3487"/>
      <c r="AN30" s="2211"/>
      <c r="AO30" s="2211"/>
      <c r="AP30" s="2211"/>
      <c r="AQ30" s="2211"/>
      <c r="AR30" s="2211"/>
      <c r="AS30" s="2211"/>
      <c r="AT30" s="2211"/>
      <c r="AU30" s="3483"/>
    </row>
    <row r="31" spans="1:49">
      <c r="AO31" s="3445"/>
      <c r="AP31" s="3445"/>
      <c r="AQ31" s="3445"/>
      <c r="AS31" s="3483"/>
      <c r="AT31" s="3483"/>
      <c r="AU31" s="3483"/>
    </row>
    <row r="32" spans="1:49">
      <c r="A32" s="3460"/>
      <c r="B32" s="3460"/>
      <c r="C32" s="3460"/>
      <c r="D32" s="3460"/>
      <c r="E32" s="3460"/>
      <c r="F32" s="3460"/>
      <c r="G32" s="3460"/>
      <c r="H32" s="3460"/>
      <c r="I32" s="3460"/>
      <c r="J32" s="3460"/>
      <c r="K32" s="3460"/>
      <c r="L32" s="3460"/>
      <c r="M32" s="3460"/>
      <c r="N32" s="3460"/>
      <c r="O32" s="3460"/>
      <c r="P32" s="3460"/>
      <c r="Q32" s="3460"/>
      <c r="R32" s="3460"/>
      <c r="S32" s="3460"/>
      <c r="T32" s="3460"/>
      <c r="U32" s="3460"/>
      <c r="V32" s="3460"/>
      <c r="W32" s="3460"/>
      <c r="X32" s="3445"/>
      <c r="Y32" s="3445"/>
      <c r="Z32" s="3445"/>
      <c r="AA32" s="3445"/>
      <c r="AB32" s="3445"/>
      <c r="AC32" s="3445"/>
      <c r="AD32" s="3445"/>
      <c r="AE32" s="3460"/>
      <c r="AF32" s="3460"/>
      <c r="AG32" s="3460"/>
      <c r="AH32" s="3460"/>
      <c r="AI32" s="3460"/>
      <c r="AJ32" s="3445"/>
      <c r="AK32" s="3445"/>
      <c r="AL32" s="3485"/>
      <c r="AM32" s="3445"/>
      <c r="AN32" s="3445"/>
      <c r="AO32" s="3445"/>
      <c r="AP32" s="3445"/>
      <c r="AQ32" s="3445"/>
      <c r="AS32" s="3483"/>
      <c r="AT32" s="3483"/>
      <c r="AU32" s="3483"/>
    </row>
    <row r="33" spans="1:49">
      <c r="A33" s="3460"/>
      <c r="B33" s="3460"/>
      <c r="C33" s="3460"/>
      <c r="D33" s="3460"/>
      <c r="E33" s="3460"/>
      <c r="F33" s="3460"/>
      <c r="G33" s="3460"/>
      <c r="H33" s="3460"/>
      <c r="I33" s="3460"/>
      <c r="J33" s="3460"/>
      <c r="K33" s="3460"/>
      <c r="L33" s="3460"/>
      <c r="M33" s="3460"/>
      <c r="N33" s="3460"/>
      <c r="O33" s="3460"/>
      <c r="P33" s="3460"/>
      <c r="Q33" s="3460"/>
      <c r="R33" s="3460"/>
      <c r="S33" s="3460"/>
      <c r="T33" s="3460"/>
      <c r="U33" s="3460"/>
      <c r="V33" s="3460"/>
      <c r="W33" s="3460"/>
      <c r="X33" s="3445"/>
      <c r="Y33" s="3445"/>
      <c r="Z33" s="3445"/>
      <c r="AA33" s="3445"/>
      <c r="AB33" s="3445"/>
      <c r="AC33" s="3445"/>
      <c r="AD33" s="3445"/>
      <c r="AE33" s="3460"/>
      <c r="AF33" s="3460"/>
      <c r="AG33" s="3460"/>
      <c r="AH33" s="3460"/>
      <c r="AI33" s="3460"/>
      <c r="AJ33" s="3445"/>
      <c r="AK33" s="3445"/>
      <c r="AL33" s="3485"/>
      <c r="AM33" s="3445"/>
      <c r="AN33" s="3445"/>
      <c r="AO33" s="3445"/>
      <c r="AP33" s="3445"/>
      <c r="AQ33" s="3445"/>
      <c r="AS33" s="3483"/>
      <c r="AT33" s="3483"/>
      <c r="AU33" s="3483"/>
    </row>
    <row r="34" spans="1:49">
      <c r="A34" s="3460"/>
      <c r="B34" s="3460"/>
      <c r="C34" s="3460"/>
      <c r="D34" s="3460"/>
      <c r="E34" s="3460"/>
      <c r="F34" s="3460"/>
      <c r="G34" s="3460"/>
      <c r="H34" s="3460"/>
      <c r="I34" s="3460"/>
      <c r="J34" s="3460"/>
      <c r="K34" s="3460"/>
      <c r="L34" s="3460"/>
      <c r="M34" s="3460"/>
      <c r="N34" s="3460"/>
      <c r="O34" s="3460"/>
      <c r="P34" s="3460"/>
      <c r="Q34" s="3460"/>
      <c r="R34" s="3460"/>
      <c r="S34" s="3460"/>
      <c r="T34" s="3460"/>
      <c r="U34" s="3460"/>
      <c r="V34" s="3460"/>
      <c r="W34" s="3460"/>
      <c r="X34" s="3445"/>
      <c r="Y34" s="3445"/>
      <c r="Z34" s="3445"/>
      <c r="AA34" s="3445"/>
      <c r="AB34" s="3445"/>
      <c r="AC34" s="3445"/>
      <c r="AD34" s="3445"/>
      <c r="AE34" s="3460"/>
      <c r="AF34" s="3460"/>
      <c r="AG34" s="3460"/>
      <c r="AH34" s="3460"/>
      <c r="AI34" s="3460"/>
      <c r="AJ34" s="3445"/>
      <c r="AK34" s="3445"/>
      <c r="AL34" s="3485"/>
      <c r="AM34" s="3445"/>
      <c r="AN34" s="3445"/>
      <c r="AO34" s="3445"/>
      <c r="AP34" s="3445"/>
      <c r="AQ34" s="3445"/>
      <c r="AS34" s="3483"/>
      <c r="AT34" s="3483"/>
      <c r="AU34" s="3483"/>
    </row>
    <row r="35" spans="1:49">
      <c r="A35" s="3460"/>
      <c r="B35" s="3460"/>
      <c r="C35" s="3460"/>
      <c r="D35" s="3460"/>
      <c r="E35" s="3460"/>
      <c r="F35" s="3460"/>
      <c r="G35" s="3460"/>
      <c r="H35" s="3460"/>
      <c r="I35" s="3460"/>
      <c r="J35" s="3460"/>
      <c r="K35" s="3460"/>
      <c r="L35" s="3460"/>
      <c r="M35" s="3460"/>
      <c r="N35" s="3460"/>
      <c r="O35" s="3460"/>
      <c r="P35" s="3460"/>
      <c r="Q35" s="3460"/>
      <c r="R35" s="3460"/>
      <c r="S35" s="3460"/>
      <c r="T35" s="3460"/>
      <c r="U35" s="3460"/>
      <c r="V35" s="3460"/>
      <c r="W35" s="3460"/>
      <c r="X35" s="3445"/>
      <c r="Y35" s="3445"/>
      <c r="Z35" s="3445"/>
      <c r="AA35" s="3445"/>
      <c r="AB35" s="3445"/>
      <c r="AC35" s="3445"/>
      <c r="AD35" s="3445"/>
      <c r="AE35" s="3460"/>
      <c r="AF35" s="3460"/>
      <c r="AG35" s="3460"/>
      <c r="AH35" s="3460"/>
      <c r="AI35" s="3460"/>
      <c r="AJ35" s="3445"/>
      <c r="AK35" s="3445"/>
      <c r="AL35" s="3485"/>
      <c r="AM35" s="3445"/>
      <c r="AN35" s="3445"/>
      <c r="AO35" s="3445"/>
      <c r="AP35" s="3445"/>
      <c r="AQ35" s="3445"/>
      <c r="AS35" s="3483"/>
      <c r="AT35" s="3483"/>
      <c r="AU35" s="3483"/>
    </row>
    <row r="36" ht="13.5" spans="1:49">
      <c r="A36" s="3460" t="s">
        <v>6069</v>
      </c>
      <c r="B36" s="3460"/>
      <c r="C36" s="3460"/>
      <c r="D36" s="3460"/>
      <c r="E36" s="3460"/>
      <c r="F36" s="3460"/>
      <c r="G36" s="3460"/>
      <c r="H36" s="3460"/>
      <c r="I36" s="3460"/>
      <c r="J36" s="3460"/>
      <c r="K36" s="3460"/>
      <c r="L36" s="3460"/>
      <c r="M36" s="3460"/>
      <c r="N36" s="3460"/>
      <c r="O36" s="3460"/>
      <c r="P36" s="3460"/>
      <c r="Q36" s="3460"/>
      <c r="R36" s="3460"/>
      <c r="S36" s="3460"/>
      <c r="T36" s="3460"/>
      <c r="U36" s="3460"/>
      <c r="V36" s="3460"/>
      <c r="W36" s="3460"/>
      <c r="X36" s="3480"/>
      <c r="Y36" s="3480"/>
      <c r="Z36" s="3480"/>
      <c r="AA36" s="3480"/>
      <c r="AB36" s="3480"/>
      <c r="AC36" s="3480"/>
      <c r="AD36" s="3480"/>
      <c r="AE36" s="3478"/>
      <c r="AF36" s="3478"/>
      <c r="AG36" s="3478"/>
      <c r="AH36" s="3478"/>
      <c r="AI36" s="3478"/>
      <c r="AJ36" s="3480"/>
      <c r="AK36" s="3480"/>
      <c r="AL36" s="3489"/>
      <c r="AM36" s="3480"/>
      <c r="AN36" s="3445"/>
      <c r="AO36" s="3445"/>
      <c r="AP36"/>
      <c r="AQ36"/>
      <c r="AR36" s="410"/>
      <c r="AS36" s="410"/>
      <c r="AT36" s="410"/>
      <c r="AU36" s="410"/>
      <c r="AV36"/>
    </row>
    <row r="37" spans="1:49">
      <c r="R37" s="3460"/>
      <c r="S37" s="3460"/>
      <c r="T37" s="3460"/>
      <c r="U37" s="3460"/>
      <c r="V37" s="3460"/>
      <c r="W37" s="3460"/>
      <c r="X37" s="3445"/>
      <c r="Y37" s="3445"/>
      <c r="Z37" s="3445"/>
      <c r="AA37" s="3445"/>
      <c r="AB37" s="3445"/>
      <c r="AC37" s="3445"/>
      <c r="AD37" s="3445"/>
      <c r="AE37" s="3445"/>
      <c r="AF37" s="3445"/>
      <c r="AG37" s="3445"/>
      <c r="AH37" s="3445"/>
      <c r="AI37" s="3445"/>
      <c r="AJ37" s="3445"/>
      <c r="AK37" s="3445"/>
      <c r="AL37" s="3445"/>
      <c r="AM37" s="3445"/>
      <c r="AN37" s="3482"/>
      <c r="AO37" s="3445"/>
      <c r="AP37"/>
      <c r="AQ37"/>
      <c r="AR37"/>
      <c r="AS37"/>
      <c r="AT37"/>
      <c r="AU37"/>
      <c r="AV37"/>
    </row>
    <row r="38" spans="1:49">
      <c r="A38" s="3490" t="s">
        <v>6070</v>
      </c>
      <c r="B38" s="3490"/>
      <c r="C38" s="3490"/>
      <c r="D38" s="3490"/>
      <c r="E38" s="3490"/>
      <c r="F38" s="3490"/>
      <c r="G38" s="3490"/>
      <c r="H38" s="3490"/>
      <c r="I38" s="3490"/>
      <c r="J38" s="3490"/>
      <c r="K38" s="3490"/>
      <c r="L38" s="3490"/>
      <c r="M38" s="3490"/>
      <c r="N38" s="3490"/>
      <c r="O38" s="3490"/>
      <c r="P38" s="3490"/>
      <c r="Q38" s="3490"/>
      <c r="R38" s="3490"/>
      <c r="S38" s="3490"/>
      <c r="T38" s="3490"/>
      <c r="U38" s="3490"/>
      <c r="V38" s="3490"/>
      <c r="W38" s="3490"/>
      <c r="X38" s="3490"/>
      <c r="Y38" s="3490"/>
      <c r="Z38" s="3490"/>
      <c r="AA38" s="3490"/>
      <c r="AB38" s="3490"/>
      <c r="AC38" s="3490"/>
      <c r="AD38" s="3490"/>
      <c r="AE38" s="3490"/>
      <c r="AF38" s="3490"/>
      <c r="AG38" s="3490"/>
      <c r="AH38" s="3490"/>
      <c r="AI38" s="3490"/>
      <c r="AJ38" s="3490"/>
      <c r="AK38" s="3490"/>
      <c r="AL38" s="3490"/>
      <c r="AM38" s="3490"/>
      <c r="AN38" s="3490"/>
      <c r="AO38" s="3490"/>
      <c r="AP38" s="3490"/>
      <c r="AQ38" s="3460"/>
      <c r="AR38" s="3460"/>
      <c r="AS38" s="3491"/>
      <c r="AT38" s="3460"/>
      <c r="AU38" s="3460"/>
      <c r="AV38" s="3445"/>
    </row>
    <row r="39" spans="1:49">
      <c r="A39" s="3490"/>
      <c r="B39" s="3490"/>
      <c r="C39" s="3490"/>
      <c r="D39" s="3490"/>
      <c r="E39" s="3490"/>
      <c r="F39" s="3490"/>
      <c r="G39" s="3490"/>
      <c r="H39" s="3490"/>
      <c r="I39" s="3490"/>
      <c r="J39" s="3490"/>
      <c r="K39" s="3490"/>
      <c r="L39" s="3490"/>
      <c r="M39" s="3490"/>
      <c r="N39" s="3490"/>
      <c r="O39" s="3490"/>
      <c r="P39" s="3490"/>
      <c r="Q39" s="3490"/>
      <c r="R39" s="3490"/>
      <c r="S39" s="3490"/>
      <c r="T39" s="3490"/>
      <c r="U39" s="3490"/>
      <c r="V39" s="3490"/>
      <c r="W39" s="3490"/>
      <c r="X39" s="3490"/>
      <c r="Y39" s="3490"/>
      <c r="Z39" s="3490"/>
      <c r="AA39" s="3490"/>
      <c r="AB39" s="3490"/>
      <c r="AC39" s="3490"/>
      <c r="AD39" s="3490"/>
      <c r="AE39" s="3490"/>
      <c r="AF39" s="3490"/>
      <c r="AG39" s="3490"/>
      <c r="AH39" s="3490"/>
      <c r="AI39" s="3490"/>
      <c r="AJ39" s="3490"/>
      <c r="AK39" s="3490"/>
      <c r="AL39" s="3490"/>
      <c r="AM39" s="3490"/>
      <c r="AN39" s="3490"/>
      <c r="AO39" s="3490"/>
      <c r="AP39" s="3490"/>
      <c r="AQ39" s="3460"/>
      <c r="AR39" s="3460"/>
      <c r="AS39" s="3491"/>
      <c r="AT39" s="3460"/>
      <c r="AU39" s="3460"/>
      <c r="AV39" s="3445"/>
    </row>
    <row r="40" spans="1:49">
      <c r="A40" s="3490"/>
      <c r="B40" s="3490"/>
      <c r="C40" s="3490"/>
      <c r="D40" s="3490"/>
      <c r="E40" s="3490"/>
      <c r="F40" s="3490"/>
      <c r="G40" s="3490"/>
      <c r="H40" s="3490"/>
      <c r="I40" s="3490"/>
      <c r="J40" s="3490"/>
      <c r="K40" s="3490"/>
      <c r="L40" s="3490"/>
      <c r="M40" s="3490"/>
      <c r="N40" s="3490"/>
      <c r="O40" s="3490"/>
      <c r="P40" s="3490"/>
      <c r="Q40" s="3490"/>
      <c r="R40" s="3490"/>
      <c r="S40" s="3490"/>
      <c r="T40" s="3490"/>
      <c r="U40" s="3490"/>
      <c r="V40" s="3490"/>
      <c r="W40" s="3490"/>
      <c r="X40" s="3490"/>
      <c r="Y40" s="3490"/>
      <c r="Z40" s="3490"/>
      <c r="AA40" s="3490"/>
      <c r="AB40" s="3490"/>
      <c r="AC40" s="3490"/>
      <c r="AD40" s="3490"/>
      <c r="AE40" s="3490"/>
      <c r="AF40" s="3490"/>
      <c r="AG40" s="3490"/>
      <c r="AH40" s="3490"/>
      <c r="AI40" s="3490"/>
      <c r="AJ40" s="3490"/>
      <c r="AK40" s="3490"/>
      <c r="AL40" s="3490"/>
      <c r="AM40" s="3490"/>
      <c r="AN40" s="3490"/>
      <c r="AO40" s="3490"/>
      <c r="AP40" s="3490"/>
      <c r="AQ40" s="3460"/>
      <c r="AR40" s="3460"/>
      <c r="AS40" s="3491"/>
      <c r="AT40" s="3460"/>
      <c r="AU40" s="3460"/>
      <c r="AV40" s="3445"/>
    </row>
    <row r="41" spans="1:49">
      <c r="A41" s="3492"/>
      <c r="B41" s="3492"/>
      <c r="C41" s="3492"/>
      <c r="D41" s="3492"/>
      <c r="E41" s="3492"/>
      <c r="F41" s="3492"/>
      <c r="G41" s="3492"/>
      <c r="H41" s="3492"/>
      <c r="I41" s="3492"/>
      <c r="J41" s="3492"/>
      <c r="K41" s="3492"/>
      <c r="L41" s="3492"/>
      <c r="M41" s="3492"/>
      <c r="N41" s="3492"/>
      <c r="O41" s="3492"/>
      <c r="P41" s="3492"/>
      <c r="Q41" s="3492"/>
      <c r="R41" s="3492"/>
      <c r="S41" s="3492"/>
      <c r="T41" s="3492"/>
      <c r="U41" s="3492"/>
      <c r="V41" s="3492"/>
      <c r="W41" s="3492"/>
      <c r="X41" s="3492"/>
      <c r="Y41" s="3492"/>
      <c r="Z41" s="3492"/>
      <c r="AA41" s="3492"/>
      <c r="AB41" s="3492"/>
      <c r="AC41" s="3492"/>
      <c r="AD41" s="3492"/>
      <c r="AE41" s="3492"/>
      <c r="AF41" s="3492"/>
      <c r="AG41" s="3492"/>
      <c r="AH41" s="3492"/>
      <c r="AI41" s="3492"/>
      <c r="AJ41" s="3492"/>
      <c r="AK41" s="3492"/>
      <c r="AL41" s="3492"/>
      <c r="AM41" s="3492"/>
      <c r="AN41" s="3492"/>
      <c r="AO41" s="3492"/>
      <c r="AP41" s="3492"/>
      <c r="AQ41" s="3460"/>
      <c r="AR41" s="3460"/>
      <c r="AS41" s="3491"/>
      <c r="AT41" s="3460"/>
      <c r="AU41" s="3460"/>
      <c r="AV41" s="3445"/>
    </row>
    <row r="42" spans="1:49">
      <c r="A42" s="3493"/>
      <c r="B42" s="3493"/>
      <c r="C42" s="3493"/>
      <c r="D42" s="3493"/>
      <c r="E42" s="3493"/>
      <c r="F42" s="3493"/>
      <c r="G42" s="3493"/>
      <c r="H42" s="3493"/>
      <c r="I42" s="3460"/>
      <c r="J42" s="3460"/>
      <c r="K42" s="3460"/>
      <c r="L42" s="3460"/>
      <c r="M42" s="3460"/>
      <c r="N42" s="3460"/>
      <c r="O42" s="3460"/>
      <c r="P42" s="3460"/>
      <c r="Q42" s="3460"/>
      <c r="R42" s="3460"/>
      <c r="S42" s="3460"/>
      <c r="T42" s="3460"/>
      <c r="U42" s="3460"/>
      <c r="V42" s="3460"/>
      <c r="W42" s="3460"/>
      <c r="X42" s="3445"/>
      <c r="Y42" s="3445"/>
      <c r="Z42" s="3445"/>
      <c r="AA42" s="3445"/>
      <c r="AB42" s="3445"/>
      <c r="AC42" s="3445"/>
      <c r="AJ42" s="3445"/>
      <c r="AK42" s="3445"/>
      <c r="AP42" s="3483"/>
      <c r="AQ42" s="3483"/>
      <c r="AR42" s="3483"/>
      <c r="AS42" s="3483"/>
      <c r="AT42" s="3483"/>
      <c r="AU42" s="3483"/>
      <c r="AV42" s="3483"/>
    </row>
    <row r="43" spans="1:49">
      <c r="A43" s="3460" t="s">
        <v>6071</v>
      </c>
      <c r="B43" s="3460"/>
      <c r="C43" s="3460"/>
      <c r="D43" s="3460"/>
      <c r="E43" s="3460"/>
      <c r="F43" s="3460"/>
      <c r="G43" s="3460"/>
      <c r="H43" s="3460"/>
      <c r="I43" s="3460"/>
      <c r="J43" s="3460"/>
      <c r="K43" s="3460"/>
      <c r="L43" s="3460"/>
      <c r="M43" s="3460"/>
      <c r="N43" s="3460"/>
      <c r="O43" s="3460"/>
      <c r="P43" s="3460"/>
      <c r="Q43" s="3460"/>
      <c r="R43" s="3460"/>
      <c r="S43" s="3460"/>
      <c r="T43" s="3460"/>
      <c r="U43" s="3460"/>
      <c r="V43" s="3460"/>
      <c r="W43" s="3445"/>
      <c r="Z43" s="324" t="s">
        <v>6072</v>
      </c>
      <c r="AV43" s="3445"/>
      <c r="AW43" s="3446"/>
    </row>
    <row r="44" spans="1:49">
      <c r="B44" s="3494" t="s">
        <v>6073</v>
      </c>
      <c r="C44" s="3460"/>
      <c r="D44" s="3460"/>
      <c r="E44" s="3460"/>
      <c r="F44" s="3460"/>
      <c r="G44" s="3460"/>
      <c r="H44" s="3460"/>
      <c r="I44" s="3460"/>
      <c r="J44" s="3460"/>
      <c r="K44" s="3460"/>
      <c r="L44" s="3460"/>
      <c r="M44" s="3460"/>
      <c r="N44" s="3460"/>
      <c r="O44" s="3460"/>
      <c r="P44" s="3460"/>
      <c r="Q44" s="3460"/>
      <c r="R44" s="3460"/>
      <c r="S44" s="3460"/>
      <c r="T44" s="3460"/>
      <c r="U44" s="3460"/>
      <c r="V44" s="3460"/>
      <c r="W44" s="3445"/>
      <c r="Z44" s="572" t="s">
        <v>6074</v>
      </c>
      <c r="AV44" s="3445"/>
      <c r="AW44" s="3446"/>
    </row>
    <row r="45" spans="1:49">
      <c r="A45" s="3445"/>
      <c r="B45" s="3460"/>
      <c r="C45" s="3460"/>
      <c r="D45" s="3460"/>
      <c r="E45" s="3460"/>
      <c r="F45" s="3460"/>
      <c r="G45" s="3460"/>
      <c r="H45" s="3460"/>
      <c r="I45" s="3460"/>
      <c r="J45" s="3460"/>
      <c r="K45" s="3460"/>
      <c r="L45" s="3460"/>
      <c r="M45" s="3460"/>
      <c r="N45" s="3460"/>
      <c r="O45" s="3460"/>
      <c r="P45" s="3460"/>
      <c r="Q45" s="3460"/>
      <c r="R45" s="3460"/>
      <c r="S45" s="3460"/>
      <c r="T45" s="3460"/>
      <c r="U45" s="3460"/>
      <c r="V45" s="3460"/>
      <c r="W45" s="3445"/>
      <c r="AV45" s="3445"/>
      <c r="AW45" s="3446"/>
    </row>
    <row r="46" spans="1:49">
      <c r="A46" s="3460" t="s">
        <v>6075</v>
      </c>
      <c r="B46" s="3460"/>
      <c r="C46" s="3460"/>
      <c r="D46" s="3460"/>
      <c r="E46" s="3460"/>
      <c r="F46" s="3460"/>
      <c r="G46" s="3460"/>
      <c r="H46" s="3460"/>
      <c r="I46" s="3460"/>
      <c r="J46" s="3460"/>
      <c r="K46" s="3460"/>
      <c r="L46" s="3460"/>
      <c r="M46" s="3460"/>
      <c r="N46" s="3460"/>
      <c r="O46" s="3460"/>
      <c r="P46" s="3460"/>
      <c r="Q46" s="3460"/>
      <c r="R46" s="3460"/>
      <c r="S46" s="3460"/>
      <c r="T46" s="3460"/>
      <c r="U46" s="3460"/>
      <c r="V46" s="3460"/>
      <c r="W46" s="3460">
        <v>1</v>
      </c>
      <c r="X46" s="3460"/>
      <c r="Y46" s="3460"/>
      <c r="Z46" s="3460"/>
      <c r="AA46" s="3460"/>
      <c r="AB46" s="3460"/>
      <c r="AC46" s="3460"/>
      <c r="AD46" s="3460"/>
      <c r="AE46" s="3460"/>
      <c r="AF46" s="3460"/>
      <c r="AG46" s="3460"/>
      <c r="AH46" s="3460"/>
      <c r="AI46" s="3460"/>
      <c r="AJ46" s="3460"/>
      <c r="AK46" s="3460"/>
      <c r="AL46" s="3460"/>
      <c r="AM46" s="3460"/>
      <c r="AN46" s="3460"/>
      <c r="AO46" s="3445"/>
      <c r="AP46" s="3445"/>
      <c r="AQ46" s="3445"/>
      <c r="AR46" s="3455"/>
      <c r="AS46" s="3455"/>
      <c r="AT46" s="3455"/>
      <c r="AU46" s="3455"/>
    </row>
    <row r="47" spans="1:49">
      <c r="A47" s="3460" t="s">
        <v>6076</v>
      </c>
      <c r="B47" s="3460"/>
      <c r="C47" s="3460"/>
      <c r="D47" s="3460"/>
      <c r="E47" s="3460"/>
      <c r="F47" s="3460"/>
      <c r="G47" s="3460"/>
      <c r="H47" s="3460"/>
      <c r="I47" s="3460"/>
      <c r="J47" s="3460"/>
      <c r="K47" s="3460"/>
      <c r="L47" s="3460"/>
      <c r="M47" s="3460"/>
      <c r="N47" s="3460"/>
      <c r="O47" s="3460"/>
      <c r="P47" s="3460"/>
      <c r="Q47" s="3460"/>
      <c r="R47" s="3460"/>
      <c r="S47" s="3460"/>
      <c r="T47" s="3460"/>
      <c r="U47" s="3460"/>
      <c r="V47" s="3460"/>
      <c r="W47" s="3495">
        <v>2</v>
      </c>
      <c r="X47" s="3460"/>
      <c r="Y47" s="3460"/>
      <c r="Z47" s="3481"/>
      <c r="AA47" s="3481"/>
      <c r="AB47" s="3481"/>
      <c r="AC47" s="3481"/>
      <c r="AD47" s="3481"/>
      <c r="AE47" s="3481"/>
      <c r="AF47" s="3481"/>
      <c r="AG47" s="3481"/>
      <c r="AH47" s="3481"/>
      <c r="AI47" s="3481"/>
      <c r="AJ47" s="3481"/>
      <c r="AK47" s="3482"/>
      <c r="AL47" s="3445"/>
      <c r="AM47" s="3445"/>
      <c r="AN47" s="3460"/>
      <c r="AO47" s="3460"/>
      <c r="AP47" s="3445"/>
      <c r="AQ47" s="3445"/>
      <c r="AR47" s="3445"/>
      <c r="AS47" s="3445"/>
      <c r="AT47" s="3445"/>
      <c r="AU47" s="3445"/>
    </row>
    <row r="48" spans="1:49">
      <c r="A48" s="3460" t="s">
        <v>6077</v>
      </c>
      <c r="B48" s="3460"/>
      <c r="C48" s="3460"/>
      <c r="D48" s="3460"/>
      <c r="E48" s="3460"/>
      <c r="F48" s="3460"/>
      <c r="G48" s="3460"/>
      <c r="H48" s="3460"/>
      <c r="I48" s="3460"/>
      <c r="J48" s="3460"/>
      <c r="K48" s="3460"/>
      <c r="L48" s="3460"/>
      <c r="M48" s="3460"/>
      <c r="N48" s="3460"/>
      <c r="O48" s="3460"/>
      <c r="P48" s="3460"/>
      <c r="Q48" s="3460"/>
      <c r="R48" s="3460"/>
      <c r="S48" s="3460"/>
      <c r="T48" s="3460"/>
      <c r="U48" s="3460"/>
      <c r="V48" s="3460"/>
      <c r="W48" s="3460">
        <v>3</v>
      </c>
      <c r="X48" s="3460"/>
      <c r="Y48" s="3460"/>
      <c r="Z48" s="3460"/>
      <c r="AA48" s="3460"/>
      <c r="AB48" s="3460"/>
      <c r="AC48" s="3460"/>
      <c r="AD48" s="3460"/>
      <c r="AE48" s="3460"/>
      <c r="AF48" s="3460"/>
      <c r="AG48" s="3460"/>
      <c r="AH48" s="3460"/>
      <c r="AI48" s="3460"/>
      <c r="AJ48" s="3460"/>
      <c r="AK48" s="3445"/>
      <c r="AL48" s="3445"/>
      <c r="AM48" s="3445"/>
      <c r="AN48" s="3460"/>
      <c r="AO48" s="3460"/>
      <c r="AP48" s="3445"/>
      <c r="AQ48" s="3445"/>
      <c r="AR48" s="3455"/>
      <c r="AS48" s="3455"/>
      <c r="AT48" s="3455"/>
      <c r="AU48" s="3455"/>
    </row>
    <row r="49" spans="1:49">
      <c r="A49" s="3460" t="s">
        <v>6078</v>
      </c>
      <c r="B49" s="3460"/>
      <c r="C49" s="3460"/>
      <c r="D49" s="3460"/>
      <c r="E49" s="3460"/>
      <c r="F49" s="3460"/>
      <c r="G49" s="3460"/>
      <c r="H49" s="3460"/>
      <c r="I49" s="3460"/>
      <c r="J49" s="3460"/>
      <c r="K49" s="3460"/>
      <c r="L49" s="3460"/>
      <c r="M49" s="3460"/>
      <c r="N49" s="3460"/>
      <c r="O49" s="3460"/>
      <c r="P49" s="3460"/>
      <c r="Q49" s="3460"/>
      <c r="R49" s="3460"/>
      <c r="S49" s="3460"/>
      <c r="T49" s="3460"/>
      <c r="U49" s="3460"/>
      <c r="V49" s="3460"/>
      <c r="W49" s="3460">
        <v>4</v>
      </c>
      <c r="X49" s="3460"/>
      <c r="Y49" s="3460"/>
      <c r="Z49" s="3481"/>
      <c r="AA49" s="3481"/>
      <c r="AB49" s="3481"/>
      <c r="AC49" s="3481"/>
      <c r="AD49" s="3481"/>
      <c r="AE49" s="3481"/>
      <c r="AF49" s="3481"/>
      <c r="AG49" s="3481"/>
      <c r="AH49" s="3481"/>
      <c r="AI49" s="3481"/>
      <c r="AJ49" s="3481"/>
      <c r="AK49" s="3482"/>
      <c r="AL49" s="3445"/>
      <c r="AM49" s="3445"/>
      <c r="AN49" s="3460"/>
      <c r="AO49" s="3460"/>
      <c r="AP49" s="3445"/>
      <c r="AQ49" s="3445"/>
      <c r="AR49" s="3482"/>
      <c r="AS49" s="3482"/>
      <c r="AT49" s="3482"/>
      <c r="AU49" s="3482"/>
    </row>
    <row r="50" spans="1:49">
      <c r="A50" s="3460" t="s">
        <v>6079</v>
      </c>
      <c r="B50" s="3460"/>
      <c r="C50" s="3460"/>
      <c r="D50" s="3460"/>
      <c r="E50" s="3460"/>
      <c r="F50" s="3460"/>
      <c r="G50" s="3460"/>
      <c r="H50" s="3460"/>
      <c r="I50" s="3460"/>
      <c r="J50" s="3460"/>
      <c r="K50" s="3460"/>
      <c r="L50" s="3460"/>
      <c r="M50" s="3460"/>
      <c r="N50" s="3460"/>
      <c r="O50" s="3460"/>
      <c r="P50" s="3460"/>
      <c r="Q50" s="3460"/>
      <c r="R50" s="3460"/>
      <c r="S50" s="3460"/>
      <c r="T50" s="3460"/>
      <c r="U50" s="3460"/>
      <c r="V50" s="3460"/>
      <c r="W50" s="3460">
        <v>5</v>
      </c>
      <c r="X50" s="3460"/>
      <c r="Y50" s="3460"/>
      <c r="Z50" s="3478"/>
      <c r="AA50" s="3478"/>
      <c r="AB50" s="3478"/>
      <c r="AC50" s="3478"/>
      <c r="AD50" s="3478"/>
      <c r="AE50" s="3478"/>
      <c r="AF50" s="3478"/>
      <c r="AG50" s="3478"/>
      <c r="AH50" s="3478"/>
      <c r="AI50" s="3478"/>
      <c r="AJ50" s="3478"/>
      <c r="AK50" s="3480"/>
      <c r="AL50" s="3445"/>
      <c r="AM50" s="3445"/>
      <c r="AN50" s="3460"/>
      <c r="AO50" s="3460"/>
      <c r="AP50" s="3445"/>
      <c r="AQ50" s="3445"/>
      <c r="AR50" s="3455"/>
      <c r="AS50" s="3455"/>
      <c r="AT50" s="3455"/>
      <c r="AU50" s="3455"/>
    </row>
    <row r="51" spans="1:49">
      <c r="A51" s="3460"/>
      <c r="B51" s="3460"/>
      <c r="C51" s="3460"/>
      <c r="D51" s="3460"/>
      <c r="E51" s="3460"/>
      <c r="F51" s="3460"/>
      <c r="G51" s="3460"/>
      <c r="H51" s="3460"/>
      <c r="I51" s="3460"/>
      <c r="J51" s="3460"/>
      <c r="K51" s="3460"/>
      <c r="L51" s="3460"/>
      <c r="M51" s="3460"/>
      <c r="N51" s="3460"/>
      <c r="O51" s="3460"/>
      <c r="P51" s="3460"/>
      <c r="Q51" s="3460"/>
      <c r="R51" s="3460"/>
      <c r="S51" s="3460"/>
      <c r="T51" s="3460"/>
      <c r="U51" s="3460"/>
      <c r="V51" s="3460"/>
      <c r="W51" s="3460"/>
      <c r="X51" s="3460"/>
      <c r="Y51" s="3460"/>
      <c r="AM51" s="3445"/>
      <c r="AN51" s="3460"/>
      <c r="AO51" s="3460"/>
      <c r="AP51" s="3445"/>
    </row>
    <row r="52" spans="1:49">
      <c r="A52" s="3460"/>
      <c r="B52" s="3460"/>
      <c r="C52" s="3460"/>
      <c r="D52" s="3460"/>
      <c r="E52" s="3460"/>
      <c r="F52" s="3460"/>
      <c r="G52" s="3460"/>
      <c r="H52" s="3460"/>
      <c r="I52" s="3460"/>
      <c r="J52" s="3460"/>
      <c r="K52" s="3460"/>
      <c r="L52" s="3460"/>
      <c r="M52" s="3460"/>
      <c r="N52" s="3460"/>
      <c r="O52" s="3460"/>
      <c r="P52" s="3460"/>
      <c r="Q52" s="3460"/>
      <c r="R52" s="3460"/>
      <c r="S52" s="3460"/>
      <c r="T52" s="3460"/>
      <c r="U52" s="3460"/>
      <c r="V52" s="3460"/>
      <c r="W52" s="3460"/>
      <c r="X52" s="3460"/>
      <c r="Y52" s="3460"/>
      <c r="AM52" s="3445"/>
      <c r="AN52" s="3460"/>
      <c r="AO52" s="3460"/>
      <c r="AP52" s="3445"/>
      <c r="AQ52" s="3445"/>
    </row>
    <row r="53" spans="1:49">
      <c r="A53" s="3460" t="str">
        <f ca="1">"7) Broj lokalnih jedinica na dan 31.12."&amp;PoslGod&amp;".  2)"</f>
        <v>7) Broj lokalnih jedinica na dan 31.12.2025.  2)</v>
      </c>
      <c r="B53" s="3460"/>
      <c r="C53" s="3460"/>
      <c r="D53" s="3460"/>
      <c r="E53" s="3460"/>
      <c r="F53" s="3460"/>
      <c r="G53" s="3460"/>
      <c r="H53" s="3460"/>
      <c r="I53" s="3460"/>
      <c r="J53" s="3460"/>
      <c r="K53" s="3460"/>
      <c r="L53" s="3460"/>
      <c r="M53" s="3460"/>
      <c r="N53" s="3460"/>
      <c r="O53" s="3460"/>
      <c r="P53" s="3460"/>
      <c r="Q53" s="3460"/>
      <c r="R53" s="3460"/>
      <c r="S53" s="3460"/>
      <c r="T53" s="3460"/>
      <c r="U53" s="3460"/>
      <c r="V53" s="3460"/>
      <c r="W53" s="3460"/>
      <c r="X53" s="3460"/>
      <c r="Y53" s="3460"/>
      <c r="Z53" s="3460"/>
      <c r="AA53" s="3460"/>
      <c r="AB53" s="3460"/>
      <c r="AC53" s="3460"/>
      <c r="AD53" s="3460"/>
      <c r="AE53" s="3460"/>
      <c r="AI53" s="3460"/>
      <c r="AJ53" s="3460"/>
      <c r="AK53" s="3460"/>
      <c r="AN53" s="3460"/>
      <c r="AO53" s="3460"/>
      <c r="AP53" s="3445"/>
      <c r="AQ53" s="3445"/>
      <c r="AR53" s="3445"/>
      <c r="AS53" s="3445"/>
      <c r="AT53" s="3859"/>
      <c r="AU53" s="3859"/>
    </row>
    <row r="54" spans="1:49">
      <c r="A54" s="3460"/>
      <c r="B54" s="3460"/>
      <c r="C54" s="3460"/>
      <c r="D54" s="3460"/>
      <c r="E54" s="3460"/>
      <c r="F54" s="3460"/>
      <c r="G54" s="3460"/>
      <c r="H54" s="3460"/>
      <c r="I54" s="3460"/>
      <c r="J54" s="3460"/>
      <c r="K54" s="3460"/>
      <c r="L54" s="3460"/>
      <c r="M54" s="3460"/>
      <c r="N54" s="3460"/>
      <c r="O54" s="3460"/>
      <c r="P54" s="3460"/>
      <c r="Q54" s="3460"/>
      <c r="R54" s="3460"/>
      <c r="S54" s="3460"/>
      <c r="T54" s="3460"/>
      <c r="U54" s="3460"/>
      <c r="V54" s="3460"/>
      <c r="W54" s="3460"/>
      <c r="X54" s="3460"/>
      <c r="Y54" s="3460"/>
      <c r="Z54" s="3460"/>
      <c r="AA54" s="3460"/>
      <c r="AB54" s="3460"/>
      <c r="AC54" s="3460"/>
      <c r="AD54" s="3460"/>
      <c r="AE54" s="3460"/>
      <c r="AI54" s="3460"/>
      <c r="AJ54" s="3460"/>
      <c r="AK54" s="3460"/>
      <c r="AN54" s="3460"/>
      <c r="AO54" s="3460"/>
      <c r="AP54" s="3445"/>
      <c r="AQ54" s="3445"/>
      <c r="AR54" s="3445"/>
      <c r="AS54" s="3445"/>
      <c r="AT54" s="3460"/>
      <c r="AU54" s="3460"/>
    </row>
    <row r="56" spans="1:49">
      <c r="A56" s="3460" t="s">
        <v>6080</v>
      </c>
      <c r="B56" s="3460"/>
      <c r="C56" s="3460"/>
      <c r="D56" s="3460"/>
      <c r="E56" s="3460"/>
      <c r="F56" s="3460"/>
      <c r="G56" s="3460"/>
      <c r="H56" s="3460"/>
      <c r="I56" s="3460"/>
      <c r="J56" s="3460"/>
      <c r="K56" s="3460"/>
      <c r="L56" s="3460"/>
      <c r="M56" s="3460"/>
      <c r="N56" s="3460"/>
      <c r="O56" s="3460"/>
      <c r="P56" s="3460"/>
      <c r="Q56" s="3460"/>
      <c r="R56" s="3460"/>
      <c r="S56" s="3460"/>
      <c r="T56" s="3460"/>
      <c r="U56" s="3460"/>
      <c r="V56" s="3460"/>
      <c r="W56" s="3460"/>
      <c r="X56" s="3460"/>
      <c r="Y56" s="3460"/>
      <c r="Z56" s="3460"/>
      <c r="AA56" s="3460"/>
      <c r="AB56" s="3460"/>
      <c r="AC56" s="3460"/>
      <c r="AD56" s="3460"/>
      <c r="AE56" s="3460"/>
      <c r="AF56" s="3460"/>
      <c r="AG56" s="3460"/>
      <c r="AH56" s="3460"/>
      <c r="AI56" s="3460"/>
      <c r="AJ56" s="3460"/>
      <c r="AK56" s="3460"/>
      <c r="AL56" s="3460"/>
      <c r="AM56" s="3460"/>
      <c r="AN56" s="3460"/>
      <c r="AO56" s="3445"/>
      <c r="AP56" s="3445"/>
      <c r="AQ56" s="3445"/>
      <c r="AR56" s="3445"/>
      <c r="AS56" s="3445"/>
      <c r="AT56" s="3445"/>
      <c r="AU56" s="3445"/>
      <c r="AV56" s="3445"/>
      <c r="AW56" s="324"/>
    </row>
    <row r="57" spans="1:49">
      <c r="A57" s="3494" t="s">
        <v>6081</v>
      </c>
      <c r="B57" s="3460"/>
      <c r="C57" s="3460"/>
      <c r="D57" s="3460"/>
      <c r="E57" s="3460"/>
      <c r="F57" s="3460"/>
      <c r="G57" s="3460"/>
      <c r="H57" s="3460"/>
      <c r="I57" s="3460"/>
      <c r="J57" s="3460"/>
      <c r="K57" s="3460"/>
      <c r="L57" s="3460"/>
      <c r="M57" s="3460"/>
      <c r="N57" s="3460"/>
      <c r="O57" s="3460"/>
      <c r="P57" s="3460"/>
      <c r="Q57" s="3460"/>
      <c r="R57" s="3460"/>
      <c r="S57" s="3460"/>
      <c r="T57" s="3460"/>
      <c r="U57" s="3460"/>
      <c r="V57" s="3460"/>
      <c r="W57" s="3460"/>
      <c r="X57" s="3460"/>
      <c r="Y57" s="3460"/>
      <c r="Z57" s="3460"/>
      <c r="AA57" s="3460"/>
      <c r="AB57" s="3460"/>
      <c r="AC57" s="3460"/>
      <c r="AD57" s="3460"/>
      <c r="AE57" s="3460"/>
      <c r="AF57" s="3460"/>
      <c r="AG57" s="3460"/>
      <c r="AH57" s="3460"/>
      <c r="AI57" s="3460"/>
      <c r="AJ57" s="3460"/>
      <c r="AK57" s="3460"/>
      <c r="AL57" s="3460"/>
      <c r="AM57" s="3460"/>
      <c r="AN57" s="3460"/>
      <c r="AO57" s="3445"/>
      <c r="AP57" s="3445"/>
      <c r="AQ57" s="3445"/>
      <c r="AR57" s="3445"/>
      <c r="AS57" s="3445"/>
      <c r="AT57" s="3445"/>
      <c r="AU57" s="3445"/>
      <c r="AV57" s="3445"/>
      <c r="AW57" s="324"/>
    </row>
    <row r="58" spans="1:49">
      <c r="A58" s="3460"/>
      <c r="B58" s="3460"/>
      <c r="C58" s="3460"/>
      <c r="D58" s="3460"/>
      <c r="E58" s="3460"/>
      <c r="F58" s="3460"/>
      <c r="G58" s="3460"/>
      <c r="H58" s="3460"/>
      <c r="I58" s="3460"/>
      <c r="J58" s="3460"/>
      <c r="K58" s="3445"/>
      <c r="L58" s="3445"/>
      <c r="M58" s="3445"/>
      <c r="N58" s="3445"/>
      <c r="O58" s="3445"/>
      <c r="P58" s="3460" t="s">
        <v>6082</v>
      </c>
      <c r="Q58" s="3460"/>
      <c r="R58" s="3460"/>
      <c r="S58" s="3460"/>
      <c r="T58" s="3460"/>
      <c r="U58" s="3460">
        <v>1</v>
      </c>
      <c r="V58" s="3460"/>
      <c r="W58" s="3460"/>
      <c r="X58" s="3460" t="s">
        <v>6083</v>
      </c>
      <c r="AF58" s="3460">
        <v>4</v>
      </c>
      <c r="AH58" s="3460"/>
      <c r="AI58" s="3460"/>
      <c r="AJ58" s="3460"/>
      <c r="AK58" s="3460"/>
      <c r="AL58" s="3460"/>
      <c r="AM58" s="3460"/>
      <c r="AN58" s="3460"/>
      <c r="AO58" s="3445"/>
      <c r="AP58" s="3445"/>
      <c r="AQ58" s="3445"/>
      <c r="AR58" s="3445"/>
      <c r="AS58" s="3445"/>
      <c r="AT58" s="3445"/>
      <c r="AU58" s="3445"/>
      <c r="AV58" s="3445"/>
      <c r="AW58" s="324"/>
    </row>
    <row r="59" spans="1:49">
      <c r="A59" s="3460"/>
      <c r="B59" s="3460"/>
      <c r="C59" s="3460"/>
      <c r="D59" s="3460"/>
      <c r="E59" s="3460"/>
      <c r="F59" s="3460"/>
      <c r="G59" s="3460"/>
      <c r="H59" s="3460"/>
      <c r="I59" s="3460"/>
      <c r="J59" s="3460"/>
      <c r="K59" s="3445"/>
      <c r="L59" s="3445"/>
      <c r="M59" s="3445"/>
      <c r="N59" s="3445"/>
      <c r="O59" s="3445"/>
      <c r="P59" s="3460" t="s">
        <v>6084</v>
      </c>
      <c r="Q59" s="3460"/>
      <c r="R59" s="3460"/>
      <c r="S59" s="3460"/>
      <c r="T59" s="3460"/>
      <c r="U59" s="3460">
        <v>2</v>
      </c>
      <c r="V59" s="3460"/>
      <c r="W59" s="3460"/>
      <c r="X59" s="3460" t="s">
        <v>6085</v>
      </c>
      <c r="Y59" s="3460"/>
      <c r="Z59" s="3460"/>
      <c r="AA59" s="3460"/>
      <c r="AB59" s="3460"/>
      <c r="AC59" s="3460"/>
      <c r="AD59" s="3460"/>
      <c r="AE59" s="3445"/>
      <c r="AF59" s="3460">
        <v>5</v>
      </c>
      <c r="AG59" s="3460"/>
      <c r="AH59" s="3445"/>
      <c r="AI59" s="3445"/>
      <c r="AJ59" s="3460" t="s">
        <v>6086</v>
      </c>
      <c r="AK59" s="3460"/>
      <c r="AL59" s="3460"/>
      <c r="AM59" s="3460"/>
      <c r="AN59" s="3460"/>
      <c r="AO59" s="3498"/>
      <c r="AP59" s="3498"/>
      <c r="AQ59" s="3445"/>
      <c r="AR59" s="3498">
        <v>2</v>
      </c>
      <c r="AS59" s="3498">
        <v>0</v>
      </c>
      <c r="AT59" s="3498">
        <v>2</v>
      </c>
      <c r="AU59" s="3498">
        <f>UnosPod!AH22-1</f>
        <v>5</v>
      </c>
      <c r="AW59" s="3445"/>
    </row>
    <row r="60" spans="1:49">
      <c r="A60" s="3460"/>
      <c r="B60" s="3460"/>
      <c r="C60" s="3460"/>
      <c r="D60" s="3460"/>
      <c r="E60" s="3460"/>
      <c r="F60" s="3460"/>
      <c r="G60" s="3460"/>
      <c r="H60" s="3460"/>
      <c r="I60" s="3460"/>
      <c r="J60" s="3460"/>
      <c r="K60" s="3445"/>
      <c r="L60" s="3445"/>
      <c r="M60" s="3445"/>
      <c r="N60" s="3445"/>
      <c r="O60" s="3445"/>
      <c r="P60" s="3460" t="s">
        <v>6087</v>
      </c>
      <c r="Q60" s="3460"/>
      <c r="R60" s="3460"/>
      <c r="S60" s="3460"/>
      <c r="T60" s="3460"/>
      <c r="U60" s="3460">
        <v>3</v>
      </c>
      <c r="V60" s="3460"/>
      <c r="W60" s="3460"/>
      <c r="X60" s="3460" t="s">
        <v>6088</v>
      </c>
      <c r="Y60" s="3460"/>
      <c r="Z60" s="3460"/>
      <c r="AA60" s="3460"/>
      <c r="AB60" s="3460"/>
      <c r="AC60" s="3460"/>
      <c r="AD60" s="3460"/>
      <c r="AE60" s="3445"/>
      <c r="AF60" s="3460">
        <v>6</v>
      </c>
      <c r="AG60" s="3460"/>
      <c r="AH60" s="3460"/>
      <c r="AI60" s="3460"/>
      <c r="AJ60" s="3460"/>
      <c r="AK60" s="3460"/>
      <c r="AL60" s="3460"/>
      <c r="AM60" s="3460"/>
      <c r="AN60" s="3460"/>
      <c r="AO60" s="3445" t="s">
        <v>6089</v>
      </c>
      <c r="AP60" s="3445"/>
      <c r="AQ60" s="3445"/>
      <c r="AR60" s="3452" t="s">
        <v>6090</v>
      </c>
      <c r="AS60" s="3452"/>
      <c r="AT60" s="3452"/>
      <c r="AU60" s="3452"/>
      <c r="AW60" s="3499"/>
    </row>
    <row r="61" spans="1:49">
      <c r="A61" s="3460"/>
      <c r="B61" s="3460"/>
      <c r="C61" s="3460"/>
      <c r="D61" s="3460"/>
      <c r="E61" s="3460"/>
      <c r="F61" s="3460"/>
      <c r="G61" s="3460"/>
      <c r="H61" s="3460"/>
      <c r="I61" s="3460"/>
      <c r="J61" s="3460"/>
      <c r="K61" s="3445"/>
      <c r="L61" s="3445"/>
      <c r="M61" s="3445"/>
      <c r="N61" s="3445"/>
      <c r="O61" s="3445"/>
      <c r="Q61" s="3460"/>
      <c r="R61" s="3460"/>
      <c r="S61" s="3460"/>
      <c r="T61" s="3460"/>
      <c r="V61" s="3460"/>
      <c r="W61" s="3460"/>
      <c r="X61" s="3460" t="s">
        <v>6091</v>
      </c>
      <c r="Y61" s="3460"/>
      <c r="Z61" s="3460"/>
      <c r="AA61" s="3460"/>
      <c r="AB61" s="3460"/>
      <c r="AC61" s="3460"/>
      <c r="AD61" s="3460"/>
      <c r="AE61" s="3445"/>
      <c r="AF61" s="3460">
        <v>7</v>
      </c>
      <c r="AG61" s="3460"/>
      <c r="AH61" s="3460"/>
      <c r="AI61" s="3460"/>
      <c r="AJ61" s="3460"/>
      <c r="AK61" s="3460"/>
      <c r="AL61" s="3460"/>
      <c r="AM61" s="3460"/>
      <c r="AN61" s="3460"/>
      <c r="AO61" s="3445"/>
      <c r="AP61" s="3445"/>
      <c r="AQ61" s="3445"/>
      <c r="AR61" s="3445"/>
      <c r="AS61" s="3483"/>
      <c r="AT61" s="3483"/>
      <c r="AU61" s="3483"/>
      <c r="AV61" s="3483"/>
      <c r="AW61" s="3445"/>
    </row>
    <row r="62" spans="1:49">
      <c r="A62" s="3460"/>
      <c r="B62" s="3460"/>
      <c r="C62" s="3460"/>
      <c r="D62" s="3460"/>
      <c r="E62" s="3460"/>
      <c r="F62" s="3460"/>
      <c r="G62" s="3460"/>
      <c r="H62" s="3460"/>
      <c r="I62" s="3460"/>
      <c r="J62" s="3460"/>
      <c r="K62" s="3445"/>
      <c r="L62" s="3445"/>
      <c r="M62" s="3445"/>
      <c r="N62" s="3445"/>
      <c r="O62" s="3445"/>
      <c r="P62" s="3460"/>
      <c r="Q62" s="3460"/>
      <c r="R62" s="3460"/>
      <c r="S62" s="3460"/>
      <c r="T62" s="3460"/>
      <c r="U62" s="3460"/>
      <c r="V62" s="3460"/>
      <c r="W62" s="3460"/>
      <c r="X62" s="3460"/>
      <c r="Y62" s="3460"/>
      <c r="Z62" s="3460"/>
      <c r="AA62" s="3460"/>
      <c r="AB62" s="3460"/>
      <c r="AC62" s="3460"/>
      <c r="AD62" s="3460"/>
      <c r="AE62" s="3445"/>
      <c r="AF62" s="3460"/>
      <c r="AG62" s="3460"/>
      <c r="AH62" s="3460"/>
      <c r="AI62" s="3460"/>
      <c r="AJ62" s="3460"/>
      <c r="AK62" s="3460"/>
      <c r="AL62" s="3460"/>
      <c r="AM62" s="3460"/>
      <c r="AN62" s="3460"/>
      <c r="AO62" s="3445"/>
      <c r="AP62" s="3445"/>
      <c r="AQ62" s="3445"/>
      <c r="AR62" s="3445"/>
      <c r="AS62" s="3483"/>
      <c r="AT62" s="3483"/>
      <c r="AU62" s="3483"/>
      <c r="AV62" s="3483"/>
      <c r="AW62" s="3445"/>
    </row>
    <row r="63" spans="1:49">
      <c r="A63" s="3460"/>
      <c r="B63" s="3460"/>
      <c r="C63" s="3460"/>
      <c r="D63" s="3460"/>
      <c r="E63" s="3460"/>
      <c r="F63" s="3460"/>
      <c r="G63" s="3460"/>
      <c r="H63" s="3460"/>
      <c r="I63" s="3460"/>
      <c r="J63" s="3460"/>
      <c r="K63" s="3445"/>
      <c r="L63" s="3445"/>
      <c r="M63" s="3445"/>
      <c r="N63" s="3445"/>
      <c r="O63" s="3445"/>
      <c r="P63" s="3460"/>
      <c r="Q63" s="3460"/>
      <c r="R63" s="3460"/>
      <c r="S63" s="3460"/>
      <c r="T63" s="3460"/>
      <c r="U63" s="3460"/>
      <c r="V63" s="3460"/>
      <c r="W63" s="3460"/>
      <c r="X63" s="3460"/>
      <c r="Y63" s="3460"/>
      <c r="Z63" s="3460"/>
      <c r="AA63" s="3460"/>
      <c r="AB63" s="3460"/>
      <c r="AC63" s="3460"/>
      <c r="AD63" s="3460"/>
      <c r="AE63" s="3445"/>
      <c r="AF63" s="3460"/>
      <c r="AG63" s="3460"/>
      <c r="AH63" s="3460"/>
      <c r="AI63" s="3460"/>
      <c r="AJ63" s="3460"/>
      <c r="AK63" s="3460"/>
      <c r="AL63" s="3460"/>
      <c r="AM63" s="3460"/>
      <c r="AN63" s="3460"/>
      <c r="AO63" s="3445"/>
      <c r="AP63" s="3445"/>
      <c r="AQ63" s="3445"/>
      <c r="AR63" s="3445"/>
      <c r="AS63" s="3483"/>
      <c r="AT63" s="3483"/>
      <c r="AU63" s="3483"/>
      <c r="AV63" s="3483"/>
      <c r="AW63" s="3445"/>
    </row>
    <row r="65" ht="13.5" spans="1:49">
      <c r="A65" s="3500" t="s">
        <v>6092</v>
      </c>
      <c r="B65" s="3500"/>
      <c r="C65" s="3500"/>
      <c r="D65" s="3500"/>
      <c r="E65" s="3500"/>
      <c r="F65" s="3500"/>
      <c r="G65" s="3500"/>
      <c r="H65" s="3500"/>
      <c r="I65" s="3500"/>
      <c r="J65" s="3500"/>
      <c r="K65" s="3500"/>
      <c r="L65" s="3500"/>
      <c r="M65" s="3500"/>
      <c r="N65" s="3500"/>
      <c r="O65" s="3500"/>
      <c r="P65" s="3500"/>
      <c r="Q65" s="3500"/>
      <c r="R65" s="3500"/>
      <c r="S65" s="3500"/>
      <c r="T65" s="3500"/>
      <c r="U65" s="3500"/>
      <c r="V65" s="3500"/>
      <c r="W65" s="3500"/>
      <c r="X65" s="3500"/>
      <c r="Y65" s="3500"/>
      <c r="Z65" s="3500"/>
      <c r="AA65" s="3500"/>
      <c r="AB65" s="3500"/>
      <c r="AC65" s="3500"/>
      <c r="AD65" s="3500"/>
      <c r="AE65" s="3500"/>
      <c r="AF65" s="3500"/>
      <c r="AG65" s="3500"/>
      <c r="AH65" s="3500"/>
      <c r="AI65" s="3500"/>
      <c r="AJ65" s="3500"/>
      <c r="AK65" s="3500"/>
      <c r="AL65" s="3500"/>
      <c r="AM65" s="3500"/>
      <c r="AN65" s="3500"/>
      <c r="AO65" s="3445"/>
      <c r="AP65" s="3445"/>
      <c r="AQ65" s="3445"/>
      <c r="AR65" s="3445"/>
      <c r="AS65" s="3445"/>
      <c r="AT65" s="3445"/>
      <c r="AU65" s="3445"/>
      <c r="AV65" s="3445"/>
      <c r="AW65" s="3445"/>
    </row>
    <row r="66" spans="1:49">
      <c r="A66" s="3501" t="s">
        <v>6093</v>
      </c>
      <c r="B66" s="3501"/>
      <c r="C66" s="3501"/>
      <c r="D66" s="3501"/>
      <c r="E66" s="3501"/>
      <c r="F66" s="3501"/>
      <c r="G66" s="3501"/>
      <c r="H66" s="3501"/>
      <c r="I66" s="3501"/>
      <c r="J66" s="3501"/>
      <c r="K66" s="3501"/>
      <c r="L66" s="3501"/>
      <c r="M66" s="3501"/>
      <c r="N66" s="3501"/>
      <c r="O66" s="3501"/>
      <c r="P66" s="3501"/>
      <c r="Q66" s="3501"/>
      <c r="R66" s="3501"/>
      <c r="S66" s="3501"/>
      <c r="T66" s="3501"/>
      <c r="U66" s="3501"/>
      <c r="V66" s="3501"/>
      <c r="W66" s="3501"/>
      <c r="X66" s="3501"/>
      <c r="Y66" s="3501"/>
      <c r="Z66" s="3501"/>
      <c r="AA66" s="3501"/>
      <c r="AB66" s="3501"/>
      <c r="AC66" s="3501"/>
      <c r="AD66" s="3501"/>
      <c r="AE66" s="3501"/>
      <c r="AF66" s="3501"/>
      <c r="AG66" s="3501"/>
      <c r="AH66" s="3501"/>
      <c r="AI66" s="3501"/>
      <c r="AJ66" s="3501"/>
      <c r="AK66" s="3501"/>
      <c r="AL66" s="3501"/>
      <c r="AM66" s="3501"/>
      <c r="AN66" s="3501"/>
      <c r="AO66" s="3501"/>
      <c r="AP66" s="3501"/>
      <c r="AQ66" s="3501"/>
      <c r="AR66" s="3501"/>
      <c r="AS66" s="3501"/>
      <c r="AT66" s="3501"/>
      <c r="AU66" s="3501"/>
      <c r="AV66" s="3501"/>
      <c r="AW66" s="3502"/>
    </row>
    <row r="67" spans="1:49">
      <c r="A67" s="3501"/>
      <c r="B67" s="3501"/>
      <c r="C67" s="3501"/>
      <c r="D67" s="3501"/>
      <c r="E67" s="3501"/>
      <c r="F67" s="3501"/>
      <c r="G67" s="3501"/>
      <c r="H67" s="3501"/>
      <c r="I67" s="3501"/>
      <c r="J67" s="3501"/>
      <c r="K67" s="3501"/>
      <c r="L67" s="3501"/>
      <c r="M67" s="3501"/>
      <c r="N67" s="3501"/>
      <c r="O67" s="3501"/>
      <c r="P67" s="3501"/>
      <c r="Q67" s="3501"/>
      <c r="R67" s="3501"/>
      <c r="S67" s="3501"/>
      <c r="T67" s="3501"/>
      <c r="U67" s="3501"/>
      <c r="V67" s="3501"/>
      <c r="W67" s="3501"/>
      <c r="X67" s="3501"/>
      <c r="Y67" s="3501"/>
      <c r="Z67" s="3501"/>
      <c r="AA67" s="3501"/>
      <c r="AB67" s="3501"/>
      <c r="AC67" s="3501"/>
      <c r="AD67" s="3501"/>
      <c r="AE67" s="3501"/>
      <c r="AF67" s="3501"/>
      <c r="AG67" s="3501"/>
      <c r="AH67" s="3501"/>
      <c r="AI67" s="3501"/>
      <c r="AJ67" s="3501"/>
      <c r="AK67" s="3501"/>
      <c r="AL67" s="3501"/>
      <c r="AM67" s="3501"/>
      <c r="AN67" s="3501"/>
      <c r="AO67" s="3501"/>
      <c r="AP67" s="3501"/>
      <c r="AQ67" s="3501"/>
      <c r="AR67" s="3501"/>
      <c r="AS67" s="3501"/>
      <c r="AT67" s="3501"/>
      <c r="AU67" s="3501"/>
      <c r="AV67" s="3501"/>
      <c r="AW67" s="3502"/>
    </row>
    <row r="68" spans="1:49">
      <c r="A68" s="3503" t="s">
        <v>6094</v>
      </c>
      <c r="B68" s="3504"/>
      <c r="C68" s="3504"/>
      <c r="D68" s="2297"/>
      <c r="E68" s="2297"/>
      <c r="F68" s="2297"/>
      <c r="G68" s="2297"/>
      <c r="H68" s="2297"/>
      <c r="I68" s="2297"/>
      <c r="J68" s="2297"/>
      <c r="K68" s="2297"/>
      <c r="L68" s="2297"/>
      <c r="M68" s="2297"/>
      <c r="N68" s="2297"/>
      <c r="O68" s="2297"/>
      <c r="P68" s="2297"/>
      <c r="Q68" s="2297"/>
      <c r="R68" s="2297"/>
      <c r="S68" s="2297"/>
      <c r="T68" s="2297"/>
      <c r="U68" s="2297"/>
      <c r="V68" s="2297"/>
      <c r="W68" s="2297"/>
      <c r="X68" s="2297"/>
      <c r="Y68" s="2297"/>
      <c r="Z68" s="2297"/>
      <c r="AA68" s="2297"/>
      <c r="AB68" s="2297"/>
      <c r="AC68" s="2297"/>
      <c r="AD68" s="2297"/>
      <c r="AE68" s="2297"/>
      <c r="AF68" s="2297"/>
      <c r="AG68" s="2297"/>
      <c r="AH68" s="2297"/>
      <c r="AI68" s="2297"/>
      <c r="AJ68" s="2297"/>
      <c r="AK68" s="2297"/>
      <c r="AL68" s="2297"/>
      <c r="AM68" s="2297"/>
      <c r="AN68" s="2297"/>
      <c r="AO68" s="2297"/>
      <c r="AP68" s="2297"/>
      <c r="AQ68" s="2297"/>
      <c r="AR68" s="2297"/>
      <c r="AS68" s="2297"/>
      <c r="AT68" s="2297"/>
      <c r="AU68" s="2297"/>
      <c r="AV68" s="3504"/>
      <c r="AW68" s="3445"/>
    </row>
    <row r="69" spans="1:49">
      <c r="A69" s="2178"/>
      <c r="B69" s="578"/>
      <c r="C69" s="578"/>
      <c r="AV69" s="578"/>
      <c r="AW69" s="3445"/>
    </row>
    <row r="70" spans="1:49">
      <c r="A70" s="2178"/>
      <c r="B70" s="578"/>
      <c r="C70" s="578"/>
      <c r="AV70" s="578"/>
      <c r="AW70" s="3445"/>
    </row>
    <row r="71" spans="1:49">
      <c r="A71" s="2178"/>
      <c r="B71" s="578"/>
      <c r="C71" s="578"/>
      <c r="AV71" s="578"/>
      <c r="AW71" s="3445"/>
    </row>
    <row r="72" ht="13.5" spans="1:49">
      <c r="A72" s="3505" t="s">
        <v>6095</v>
      </c>
      <c r="B72" s="3505"/>
      <c r="C72" s="3505"/>
      <c r="D72" s="3505"/>
      <c r="E72" s="3505"/>
      <c r="F72" s="3505"/>
      <c r="G72" s="3505"/>
      <c r="H72" s="3505"/>
      <c r="I72" s="3505"/>
      <c r="J72" s="3505"/>
      <c r="K72" s="3505"/>
      <c r="L72" s="3505"/>
      <c r="M72" s="3505"/>
      <c r="N72" s="3505"/>
      <c r="O72" s="3505"/>
      <c r="P72" s="3505"/>
      <c r="Q72" s="3505"/>
      <c r="R72" s="3505"/>
      <c r="S72" s="3505"/>
      <c r="T72" s="3505"/>
      <c r="U72" s="3505"/>
      <c r="V72" s="3505"/>
      <c r="W72" s="3505"/>
      <c r="X72" s="3505"/>
      <c r="Y72" s="3505"/>
      <c r="Z72" s="3505"/>
      <c r="AA72" s="3505"/>
      <c r="AB72" s="3505"/>
      <c r="AC72" s="3505"/>
      <c r="AD72" s="3505"/>
      <c r="AE72" s="3505"/>
      <c r="AF72" s="3505"/>
      <c r="AG72" s="3505"/>
      <c r="AH72" s="3505"/>
      <c r="AI72" s="3505"/>
      <c r="AJ72" s="3505"/>
      <c r="AK72" s="3505"/>
      <c r="AL72" s="3505"/>
      <c r="AM72" s="3505"/>
      <c r="AN72" s="3505"/>
      <c r="AO72" s="3499"/>
      <c r="AP72" s="3499"/>
      <c r="AQ72" s="3499"/>
      <c r="AR72" s="3499"/>
      <c r="AS72" s="3499"/>
      <c r="AT72" s="3499"/>
      <c r="AU72" s="3499"/>
      <c r="AV72" s="3499"/>
    </row>
    <row r="73" ht="16.5" customHeight="1" spans="1:49">
      <c r="A73" s="3506" t="s">
        <v>6096</v>
      </c>
      <c r="B73" s="3506"/>
      <c r="C73" s="3507" t="s">
        <v>6097</v>
      </c>
      <c r="D73" s="3507"/>
      <c r="E73" s="3507"/>
      <c r="F73" s="3507"/>
      <c r="G73" s="3507"/>
      <c r="H73" s="3507"/>
      <c r="I73" s="3507"/>
      <c r="J73" s="3507"/>
      <c r="K73" s="3507"/>
      <c r="L73" s="3507"/>
      <c r="M73" s="3507"/>
      <c r="N73" s="3507"/>
      <c r="O73" s="3507"/>
      <c r="P73" s="3507"/>
      <c r="Q73" s="3507"/>
      <c r="R73" s="3507"/>
      <c r="S73" s="3507"/>
      <c r="T73" s="3507"/>
      <c r="U73" s="3507"/>
      <c r="V73" s="3507"/>
      <c r="W73" s="3507"/>
      <c r="X73" s="3507"/>
      <c r="Y73" s="3507"/>
      <c r="Z73" s="3507"/>
      <c r="AA73" s="3507"/>
      <c r="AB73" s="3507"/>
      <c r="AC73" s="3507"/>
      <c r="AD73" s="3507"/>
      <c r="AE73" s="3508" t="s">
        <v>6098</v>
      </c>
      <c r="AF73" s="3508"/>
      <c r="AG73" s="3508"/>
      <c r="AH73" s="3508"/>
      <c r="AI73" s="3508"/>
      <c r="AJ73" s="3508"/>
      <c r="AK73" s="3509" t="s">
        <v>6099</v>
      </c>
      <c r="AL73" s="3509"/>
      <c r="AM73" s="3509"/>
      <c r="AN73" s="3509"/>
      <c r="AO73" s="3510" t="s">
        <v>6100</v>
      </c>
      <c r="AP73" s="3511"/>
      <c r="AQ73" s="3511"/>
      <c r="AR73" s="3511"/>
      <c r="AS73" s="3511"/>
      <c r="AT73" s="3511"/>
      <c r="AU73" s="3511"/>
      <c r="AV73" s="3512"/>
    </row>
    <row r="74" spans="1:49">
      <c r="A74" s="3513">
        <v>1</v>
      </c>
      <c r="B74" s="3514"/>
      <c r="C74" s="3515" t="s">
        <v>6101</v>
      </c>
      <c r="D74" s="3515"/>
      <c r="E74" s="3515"/>
      <c r="F74" s="3515"/>
      <c r="G74" s="3515"/>
      <c r="H74" s="3515"/>
      <c r="I74" s="3515"/>
      <c r="J74" s="3515"/>
      <c r="K74" s="3515"/>
      <c r="L74" s="3515"/>
      <c r="M74" s="3515"/>
      <c r="N74" s="3515"/>
      <c r="O74" s="3515"/>
      <c r="P74" s="3515"/>
      <c r="Q74" s="3515"/>
      <c r="R74" s="3515"/>
      <c r="S74" s="3515"/>
      <c r="T74" s="3515"/>
      <c r="U74" s="3515"/>
      <c r="V74" s="3515"/>
      <c r="W74" s="3515"/>
      <c r="X74" s="3515"/>
      <c r="Y74" s="3515"/>
      <c r="Z74" s="3515"/>
      <c r="AA74" s="3515"/>
      <c r="AB74" s="3515"/>
      <c r="AC74" s="3515"/>
      <c r="AD74" s="3515"/>
      <c r="AE74" s="3860" t="s">
        <v>6102</v>
      </c>
      <c r="AF74" s="3860"/>
      <c r="AG74" s="3860"/>
      <c r="AH74" s="3860"/>
      <c r="AI74" s="3860"/>
      <c r="AJ74" s="3860"/>
      <c r="AK74" s="3519">
        <v>61</v>
      </c>
      <c r="AL74" s="3519"/>
      <c r="AM74" s="3519"/>
      <c r="AN74" s="3519"/>
      <c r="AO74" s="3520">
        <f>UnosPod!F137</f>
        <v>0</v>
      </c>
      <c r="AP74" s="3521"/>
      <c r="AQ74" s="3521"/>
      <c r="AR74" s="3521"/>
      <c r="AS74" s="3521"/>
      <c r="AT74" s="3521"/>
      <c r="AU74" s="3521"/>
      <c r="AV74" s="3522"/>
    </row>
    <row r="75" spans="1:49">
      <c r="A75" s="3513">
        <v>2</v>
      </c>
      <c r="B75" s="3514"/>
      <c r="C75" s="3564" t="s">
        <v>6103</v>
      </c>
      <c r="D75" s="3564"/>
      <c r="E75" s="3564"/>
      <c r="F75" s="3564"/>
      <c r="G75" s="3564"/>
      <c r="H75" s="3564"/>
      <c r="I75" s="3564"/>
      <c r="J75" s="3564"/>
      <c r="K75" s="3564"/>
      <c r="L75" s="3564"/>
      <c r="M75" s="3564"/>
      <c r="N75" s="3564"/>
      <c r="O75" s="3564"/>
      <c r="P75" s="3564"/>
      <c r="Q75" s="3564"/>
      <c r="R75" s="3564"/>
      <c r="S75" s="3564"/>
      <c r="T75" s="3564"/>
      <c r="U75" s="3564"/>
      <c r="V75" s="3564"/>
      <c r="W75" s="3564"/>
      <c r="X75" s="3564"/>
      <c r="Y75" s="3564"/>
      <c r="Z75" s="3564"/>
      <c r="AA75" s="3564"/>
      <c r="AB75" s="3564"/>
      <c r="AC75" s="3564"/>
      <c r="AD75" s="3564"/>
      <c r="AE75" s="3860" t="s">
        <v>6104</v>
      </c>
      <c r="AF75" s="3860"/>
      <c r="AG75" s="3860"/>
      <c r="AH75" s="3860"/>
      <c r="AI75" s="3860"/>
      <c r="AJ75" s="3860"/>
      <c r="AK75" s="3519">
        <v>62</v>
      </c>
      <c r="AL75" s="3519"/>
      <c r="AM75" s="3519"/>
      <c r="AN75" s="3519"/>
      <c r="AO75" s="3520">
        <f>UnosPod!F151</f>
        <v>245707</v>
      </c>
      <c r="AP75" s="3521"/>
      <c r="AQ75" s="3521"/>
      <c r="AR75" s="3521"/>
      <c r="AS75" s="3521"/>
      <c r="AT75" s="3521"/>
      <c r="AU75" s="3521"/>
      <c r="AV75" s="3522"/>
    </row>
    <row r="76" spans="1:49">
      <c r="A76" s="3513">
        <v>3</v>
      </c>
      <c r="B76" s="3514"/>
      <c r="C76" s="3564" t="s">
        <v>6105</v>
      </c>
      <c r="D76" s="3564"/>
      <c r="E76" s="3564"/>
      <c r="F76" s="3564"/>
      <c r="G76" s="3564"/>
      <c r="H76" s="3564"/>
      <c r="I76" s="3564"/>
      <c r="J76" s="3564"/>
      <c r="K76" s="3564"/>
      <c r="L76" s="3564"/>
      <c r="M76" s="3564"/>
      <c r="N76" s="3564"/>
      <c r="O76" s="3564"/>
      <c r="P76" s="3564"/>
      <c r="Q76" s="3564"/>
      <c r="R76" s="3564"/>
      <c r="S76" s="3564"/>
      <c r="T76" s="3564"/>
      <c r="U76" s="3564"/>
      <c r="V76" s="3564"/>
      <c r="W76" s="3564"/>
      <c r="X76" s="3564"/>
      <c r="Y76" s="3564"/>
      <c r="Z76" s="3564"/>
      <c r="AA76" s="3564"/>
      <c r="AB76" s="3564"/>
      <c r="AC76" s="3564"/>
      <c r="AD76" s="3564"/>
      <c r="AE76" s="3860" t="s">
        <v>6106</v>
      </c>
      <c r="AF76" s="3860"/>
      <c r="AG76" s="3860"/>
      <c r="AH76" s="3860"/>
      <c r="AI76" s="3860"/>
      <c r="AJ76" s="3860"/>
      <c r="AK76" s="3519">
        <v>60</v>
      </c>
      <c r="AL76" s="3519"/>
      <c r="AM76" s="3519"/>
      <c r="AN76" s="3519"/>
      <c r="AO76" s="3520">
        <f>UnosPod!F123</f>
        <v>0</v>
      </c>
      <c r="AP76" s="3521"/>
      <c r="AQ76" s="3521"/>
      <c r="AR76" s="3521"/>
      <c r="AS76" s="3521"/>
      <c r="AT76" s="3521"/>
      <c r="AU76" s="3521"/>
      <c r="AV76" s="3522"/>
    </row>
    <row r="77" spans="1:49">
      <c r="A77" s="3513">
        <v>4</v>
      </c>
      <c r="B77" s="3514"/>
      <c r="C77" s="3574" t="s">
        <v>6107</v>
      </c>
      <c r="D77" s="3575"/>
      <c r="E77" s="3575"/>
      <c r="F77" s="3575"/>
      <c r="G77" s="3575"/>
      <c r="H77" s="3575"/>
      <c r="I77" s="3575"/>
      <c r="J77" s="3575"/>
      <c r="K77" s="3575"/>
      <c r="L77" s="3575"/>
      <c r="M77" s="3575"/>
      <c r="N77" s="3575"/>
      <c r="O77" s="3575"/>
      <c r="P77" s="3575"/>
      <c r="Q77" s="3575"/>
      <c r="R77" s="3575"/>
      <c r="S77" s="3575"/>
      <c r="T77" s="3575"/>
      <c r="U77" s="3575"/>
      <c r="V77" s="3575"/>
      <c r="W77" s="3575"/>
      <c r="X77" s="3575"/>
      <c r="Y77" s="3575"/>
      <c r="Z77" s="3575"/>
      <c r="AA77" s="3575"/>
      <c r="AB77" s="3575"/>
      <c r="AC77" s="3575"/>
      <c r="AD77" s="3576"/>
      <c r="AE77" s="3860" t="s">
        <v>6108</v>
      </c>
      <c r="AF77" s="3860"/>
      <c r="AG77" s="3860"/>
      <c r="AH77" s="3860"/>
      <c r="AI77" s="3860"/>
      <c r="AJ77" s="3860"/>
      <c r="AK77" s="3519"/>
      <c r="AL77" s="3519"/>
      <c r="AM77" s="3519"/>
      <c r="AN77" s="3519"/>
      <c r="AO77" s="3866"/>
      <c r="AP77" s="3867"/>
      <c r="AQ77" s="3867"/>
      <c r="AR77" s="3867"/>
      <c r="AS77" s="3867"/>
      <c r="AT77" s="3867"/>
      <c r="AU77" s="3867"/>
      <c r="AV77" s="3868"/>
    </row>
    <row r="78" ht="20.25" customHeight="1" spans="1:49">
      <c r="A78" s="3513">
        <v>5</v>
      </c>
      <c r="B78" s="3514"/>
      <c r="C78" s="3574" t="s">
        <v>6109</v>
      </c>
      <c r="D78" s="3575"/>
      <c r="E78" s="3575"/>
      <c r="F78" s="3575"/>
      <c r="G78" s="3575"/>
      <c r="H78" s="3575"/>
      <c r="I78" s="3575"/>
      <c r="J78" s="3575"/>
      <c r="K78" s="3575"/>
      <c r="L78" s="3575"/>
      <c r="M78" s="3575"/>
      <c r="N78" s="3575"/>
      <c r="O78" s="3575"/>
      <c r="P78" s="3575"/>
      <c r="Q78" s="3575"/>
      <c r="R78" s="3575"/>
      <c r="S78" s="3575"/>
      <c r="T78" s="3575"/>
      <c r="U78" s="3575"/>
      <c r="V78" s="3575"/>
      <c r="W78" s="3575"/>
      <c r="X78" s="3575"/>
      <c r="Y78" s="3575"/>
      <c r="Z78" s="3575"/>
      <c r="AA78" s="3575"/>
      <c r="AB78" s="3575"/>
      <c r="AC78" s="3575"/>
      <c r="AD78" s="3576"/>
      <c r="AE78" s="3860" t="s">
        <v>6110</v>
      </c>
      <c r="AF78" s="3860"/>
      <c r="AG78" s="3860"/>
      <c r="AH78" s="3860"/>
      <c r="AI78" s="3860"/>
      <c r="AJ78" s="3860"/>
      <c r="AK78" s="3571" t="s">
        <v>6111</v>
      </c>
      <c r="AL78" s="3572"/>
      <c r="AM78" s="3572"/>
      <c r="AN78" s="3573"/>
      <c r="AO78" s="3520">
        <f>UnosPod!F165-UnosPod!F157-UnosPod!F163</f>
        <v>0</v>
      </c>
      <c r="AP78" s="3521"/>
      <c r="AQ78" s="3521"/>
      <c r="AR78" s="3521"/>
      <c r="AS78" s="3521"/>
      <c r="AT78" s="3521"/>
      <c r="AU78" s="3521"/>
      <c r="AV78" s="3522"/>
    </row>
    <row r="79" ht="26.25" customHeight="1" spans="1:49">
      <c r="A79" s="3513">
        <v>6</v>
      </c>
      <c r="B79" s="3514"/>
      <c r="C79" s="3577" t="s">
        <v>6112</v>
      </c>
      <c r="D79" s="3577"/>
      <c r="E79" s="3577"/>
      <c r="F79" s="3577"/>
      <c r="G79" s="3577"/>
      <c r="H79" s="3577"/>
      <c r="I79" s="3577"/>
      <c r="J79" s="3577"/>
      <c r="K79" s="3577"/>
      <c r="L79" s="3577"/>
      <c r="M79" s="3577"/>
      <c r="N79" s="3577"/>
      <c r="O79" s="3577"/>
      <c r="P79" s="3577"/>
      <c r="Q79" s="3577"/>
      <c r="R79" s="3577"/>
      <c r="S79" s="3577"/>
      <c r="T79" s="3577"/>
      <c r="U79" s="3577"/>
      <c r="V79" s="3577"/>
      <c r="W79" s="3577"/>
      <c r="X79" s="3577"/>
      <c r="Y79" s="3577"/>
      <c r="Z79" s="3577"/>
      <c r="AA79" s="3577"/>
      <c r="AB79" s="3577"/>
      <c r="AC79" s="3577"/>
      <c r="AD79" s="3577"/>
      <c r="AE79" s="3860" t="s">
        <v>6113</v>
      </c>
      <c r="AF79" s="3860"/>
      <c r="AG79" s="3860"/>
      <c r="AH79" s="3860"/>
      <c r="AI79" s="3860"/>
      <c r="AJ79" s="3860"/>
      <c r="AK79" s="3519" t="s">
        <v>6114</v>
      </c>
      <c r="AL79" s="3519"/>
      <c r="AM79" s="3519"/>
      <c r="AN79" s="3519"/>
      <c r="AO79" s="3866"/>
      <c r="AP79" s="3867"/>
      <c r="AQ79" s="3867"/>
      <c r="AR79" s="3867"/>
      <c r="AS79" s="3867"/>
      <c r="AT79" s="3867"/>
      <c r="AU79" s="3867"/>
      <c r="AV79" s="3868"/>
    </row>
    <row r="80" spans="1:49">
      <c r="A80" s="3513">
        <v>7</v>
      </c>
      <c r="B80" s="3514"/>
      <c r="C80" s="3564" t="s">
        <v>6115</v>
      </c>
      <c r="D80" s="3564"/>
      <c r="E80" s="3564"/>
      <c r="F80" s="3564"/>
      <c r="G80" s="3564"/>
      <c r="H80" s="3564"/>
      <c r="I80" s="3564"/>
      <c r="J80" s="3564"/>
      <c r="K80" s="3564"/>
      <c r="L80" s="3564"/>
      <c r="M80" s="3564"/>
      <c r="N80" s="3564"/>
      <c r="O80" s="3564"/>
      <c r="P80" s="3564"/>
      <c r="Q80" s="3564"/>
      <c r="R80" s="3564"/>
      <c r="S80" s="3564"/>
      <c r="T80" s="3564"/>
      <c r="U80" s="3564"/>
      <c r="V80" s="3564"/>
      <c r="W80" s="3564"/>
      <c r="X80" s="3564"/>
      <c r="Y80" s="3564"/>
      <c r="Z80" s="3564"/>
      <c r="AA80" s="3564"/>
      <c r="AB80" s="3564"/>
      <c r="AC80" s="3564"/>
      <c r="AD80" s="3564"/>
      <c r="AE80" s="3860" t="s">
        <v>6116</v>
      </c>
      <c r="AF80" s="3860"/>
      <c r="AG80" s="3860"/>
      <c r="AH80" s="3860"/>
      <c r="AI80" s="3860"/>
      <c r="AJ80" s="3860"/>
      <c r="AK80" s="3519" t="s">
        <v>6114</v>
      </c>
      <c r="AL80" s="3519"/>
      <c r="AM80" s="3519"/>
      <c r="AN80" s="3519"/>
      <c r="AO80" s="3520">
        <f>UnosPod!F157-AO79</f>
        <v>0</v>
      </c>
      <c r="AP80" s="3521"/>
      <c r="AQ80" s="3521"/>
      <c r="AR80" s="3521"/>
      <c r="AS80" s="3521"/>
      <c r="AT80" s="3521"/>
      <c r="AU80" s="3521"/>
      <c r="AV80" s="3522"/>
    </row>
    <row r="81" spans="1:48">
      <c r="A81" s="3513">
        <v>8</v>
      </c>
      <c r="B81" s="3514"/>
      <c r="C81" s="3564" t="s">
        <v>6117</v>
      </c>
      <c r="D81" s="3564"/>
      <c r="E81" s="3564"/>
      <c r="F81" s="3564"/>
      <c r="G81" s="3564"/>
      <c r="H81" s="3564"/>
      <c r="I81" s="3564"/>
      <c r="J81" s="3564"/>
      <c r="K81" s="3564"/>
      <c r="L81" s="3564"/>
      <c r="M81" s="3564"/>
      <c r="N81" s="3564"/>
      <c r="O81" s="3564"/>
      <c r="P81" s="3564"/>
      <c r="Q81" s="3564"/>
      <c r="R81" s="3564"/>
      <c r="S81" s="3564"/>
      <c r="T81" s="3564"/>
      <c r="U81" s="3564"/>
      <c r="V81" s="3564"/>
      <c r="W81" s="3564"/>
      <c r="X81" s="3564"/>
      <c r="Y81" s="3564"/>
      <c r="Z81" s="3564"/>
      <c r="AA81" s="3564"/>
      <c r="AB81" s="3564"/>
      <c r="AC81" s="3564"/>
      <c r="AD81" s="3564"/>
      <c r="AE81" s="3860" t="s">
        <v>6118</v>
      </c>
      <c r="AF81" s="3860"/>
      <c r="AG81" s="3860"/>
      <c r="AH81" s="3860"/>
      <c r="AI81" s="3860"/>
      <c r="AJ81" s="3860"/>
      <c r="AK81" s="3519"/>
      <c r="AL81" s="3519"/>
      <c r="AM81" s="3519"/>
      <c r="AN81" s="3519"/>
      <c r="AO81" s="3520">
        <f>SUM(AO74:AV80)</f>
        <v>245707</v>
      </c>
      <c r="AP81" s="3521"/>
      <c r="AQ81" s="3521"/>
      <c r="AR81" s="3521"/>
      <c r="AS81" s="3521"/>
      <c r="AT81" s="3521"/>
      <c r="AU81" s="3521"/>
      <c r="AV81" s="3522"/>
    </row>
    <row r="82" spans="1:48">
      <c r="A82" s="3862"/>
      <c r="B82" s="3863"/>
      <c r="C82" s="3863"/>
      <c r="D82" s="3864"/>
      <c r="E82" s="3864"/>
      <c r="F82" s="3864"/>
      <c r="G82" s="3864"/>
      <c r="H82" s="3864"/>
      <c r="I82" s="3864"/>
      <c r="J82" s="3864"/>
      <c r="K82" s="3864"/>
      <c r="L82" s="3864"/>
      <c r="M82" s="3864"/>
      <c r="N82" s="3864"/>
      <c r="O82" s="3864"/>
      <c r="P82" s="3864"/>
      <c r="Q82" s="3864"/>
      <c r="R82" s="3864"/>
      <c r="S82" s="3864"/>
      <c r="T82" s="3864"/>
      <c r="U82" s="3864"/>
      <c r="V82" s="3864"/>
      <c r="W82" s="3864"/>
      <c r="X82" s="3864"/>
      <c r="Y82" s="3864"/>
      <c r="Z82" s="3864"/>
      <c r="AA82" s="3864"/>
      <c r="AB82" s="3864"/>
      <c r="AC82" s="3864"/>
      <c r="AD82" s="3864"/>
      <c r="AE82" s="3864"/>
      <c r="AF82" s="3864"/>
      <c r="AG82" s="3864"/>
      <c r="AH82" s="3864"/>
      <c r="AI82" s="3814"/>
      <c r="AJ82" s="3814"/>
      <c r="AK82" s="3814"/>
      <c r="AL82" s="3814"/>
      <c r="AM82" s="3814"/>
      <c r="AN82" s="3814"/>
      <c r="AO82" s="3814"/>
      <c r="AP82" s="3814"/>
      <c r="AQ82" s="3814"/>
      <c r="AR82" s="3814"/>
      <c r="AS82" s="3814"/>
      <c r="AT82" s="3814"/>
      <c r="AU82" s="3814"/>
      <c r="AV82" s="3814"/>
    </row>
    <row r="83" ht="13.5" spans="1:48">
      <c r="A83" s="3500" t="s">
        <v>6119</v>
      </c>
      <c r="B83" s="3500"/>
      <c r="C83" s="3500"/>
      <c r="D83" s="3500"/>
      <c r="E83" s="3500"/>
      <c r="F83" s="3500"/>
      <c r="G83" s="3500"/>
      <c r="H83" s="3500"/>
      <c r="I83" s="3500"/>
      <c r="J83" s="3500"/>
      <c r="K83" s="3500"/>
      <c r="L83" s="3500"/>
      <c r="M83" s="3500"/>
      <c r="N83" s="3500"/>
      <c r="O83" s="3500"/>
      <c r="P83" s="3500"/>
      <c r="Q83" s="3500"/>
      <c r="R83" s="3500"/>
      <c r="S83" s="3500"/>
      <c r="T83" s="3500"/>
      <c r="U83" s="3500"/>
      <c r="V83" s="3500"/>
      <c r="W83" s="3500"/>
      <c r="X83" s="3500"/>
      <c r="Y83" s="3500"/>
      <c r="Z83" s="3500"/>
      <c r="AA83" s="3500"/>
      <c r="AB83" s="3500"/>
      <c r="AC83" s="3500"/>
      <c r="AD83" s="3500"/>
      <c r="AE83" s="3500"/>
      <c r="AF83" s="3500"/>
      <c r="AG83" s="3500"/>
      <c r="AH83" s="3500"/>
      <c r="AI83" s="3500"/>
      <c r="AJ83" s="3500"/>
      <c r="AK83" s="3500"/>
      <c r="AL83" s="3500"/>
      <c r="AM83" s="3500"/>
      <c r="AN83" s="3500"/>
      <c r="AO83" s="3500"/>
      <c r="AP83" s="3500"/>
      <c r="AQ83" s="3500"/>
      <c r="AR83" s="3500"/>
      <c r="AS83" s="3500"/>
      <c r="AT83" s="3500"/>
      <c r="AU83" s="3500"/>
      <c r="AV83" s="3500"/>
    </row>
    <row r="84" ht="13.5" spans="1:48">
      <c r="A84" s="3505" t="s">
        <v>6120</v>
      </c>
      <c r="B84" s="3505"/>
      <c r="C84" s="3505"/>
      <c r="D84" s="3505"/>
      <c r="E84" s="3505"/>
      <c r="F84" s="3505"/>
      <c r="G84" s="3505"/>
      <c r="H84" s="3505"/>
      <c r="I84" s="3505"/>
      <c r="J84" s="3505"/>
      <c r="K84" s="3505"/>
      <c r="L84" s="3505"/>
      <c r="M84" s="3505"/>
      <c r="N84" s="3505"/>
      <c r="O84" s="3505"/>
      <c r="P84" s="3505"/>
      <c r="Q84" s="3505"/>
      <c r="R84" s="3505"/>
      <c r="S84" s="3505"/>
      <c r="T84" s="3505"/>
      <c r="U84" s="3505"/>
      <c r="V84" s="3505"/>
      <c r="W84" s="3505"/>
      <c r="X84" s="3505"/>
      <c r="Y84" s="3505"/>
      <c r="Z84" s="3505"/>
      <c r="AA84" s="3505"/>
      <c r="AB84" s="3505"/>
      <c r="AC84" s="3505"/>
      <c r="AD84" s="3505"/>
      <c r="AE84" s="3505"/>
      <c r="AF84" s="3505"/>
      <c r="AG84" s="3505"/>
      <c r="AH84" s="3505"/>
      <c r="AI84" s="3505"/>
      <c r="AJ84" s="3505"/>
      <c r="AK84" s="3505"/>
      <c r="AL84" s="3505"/>
      <c r="AM84" s="3505"/>
      <c r="AN84" s="3505"/>
      <c r="AO84" s="3445"/>
      <c r="AP84" s="3445"/>
      <c r="AQ84" s="3445"/>
      <c r="AR84" s="3445"/>
      <c r="AS84" s="3445"/>
      <c r="AT84" s="3445"/>
      <c r="AU84" s="3445"/>
      <c r="AV84" s="3445"/>
    </row>
    <row r="85" spans="1:48">
      <c r="A85" s="3506" t="s">
        <v>6096</v>
      </c>
      <c r="B85" s="3506"/>
      <c r="C85" s="3578" t="s">
        <v>6097</v>
      </c>
      <c r="D85" s="3579"/>
      <c r="E85" s="3579"/>
      <c r="F85" s="3579"/>
      <c r="G85" s="3579"/>
      <c r="H85" s="3579"/>
      <c r="I85" s="3579"/>
      <c r="J85" s="3579"/>
      <c r="K85" s="3579"/>
      <c r="L85" s="3579"/>
      <c r="M85" s="3579"/>
      <c r="N85" s="3579"/>
      <c r="O85" s="3579"/>
      <c r="P85" s="3579"/>
      <c r="Q85" s="3579"/>
      <c r="R85" s="3579"/>
      <c r="S85" s="3579"/>
      <c r="T85" s="3579"/>
      <c r="U85" s="3579"/>
      <c r="V85" s="3579"/>
      <c r="W85" s="3579"/>
      <c r="X85" s="3579"/>
      <c r="Y85" s="3579"/>
      <c r="Z85" s="3579"/>
      <c r="AA85" s="3579"/>
      <c r="AB85" s="3579"/>
      <c r="AC85" s="3579"/>
      <c r="AD85" s="3579"/>
      <c r="AE85" s="3580" t="s">
        <v>6098</v>
      </c>
      <c r="AF85" s="3581"/>
      <c r="AG85" s="3581"/>
      <c r="AH85" s="3581"/>
      <c r="AI85" s="3581"/>
      <c r="AJ85" s="3582"/>
      <c r="AK85" s="3583" t="s">
        <v>6099</v>
      </c>
      <c r="AL85" s="3584"/>
      <c r="AM85" s="3584"/>
      <c r="AN85" s="3585"/>
      <c r="AO85" s="3583" t="s">
        <v>6100</v>
      </c>
      <c r="AP85" s="3584"/>
      <c r="AQ85" s="3584"/>
      <c r="AR85" s="3584"/>
      <c r="AS85" s="3584"/>
      <c r="AT85" s="3584"/>
      <c r="AU85" s="3584"/>
      <c r="AV85" s="3585"/>
    </row>
    <row r="86" spans="1:48">
      <c r="A86" s="3506"/>
      <c r="B86" s="3506"/>
      <c r="C86" s="3586"/>
      <c r="D86" s="3587"/>
      <c r="E86" s="3587"/>
      <c r="F86" s="3587"/>
      <c r="G86" s="3587"/>
      <c r="H86" s="3587"/>
      <c r="I86" s="3587"/>
      <c r="J86" s="3587"/>
      <c r="K86" s="3587"/>
      <c r="L86" s="3587"/>
      <c r="M86" s="3587"/>
      <c r="N86" s="3587"/>
      <c r="O86" s="3587"/>
      <c r="P86" s="3587"/>
      <c r="Q86" s="3587"/>
      <c r="R86" s="3587"/>
      <c r="S86" s="3587"/>
      <c r="T86" s="3587"/>
      <c r="U86" s="3587"/>
      <c r="V86" s="3587"/>
      <c r="W86" s="3587"/>
      <c r="X86" s="3587"/>
      <c r="Y86" s="3587"/>
      <c r="Z86" s="3587"/>
      <c r="AA86" s="3587"/>
      <c r="AB86" s="3587"/>
      <c r="AC86" s="3587"/>
      <c r="AD86" s="3587"/>
      <c r="AE86" s="3588"/>
      <c r="AF86" s="3589"/>
      <c r="AG86" s="3589"/>
      <c r="AH86" s="3589"/>
      <c r="AI86" s="3589"/>
      <c r="AJ86" s="3590"/>
      <c r="AK86" s="3591"/>
      <c r="AL86" s="3592"/>
      <c r="AM86" s="3592"/>
      <c r="AN86" s="3593"/>
      <c r="AO86" s="3591"/>
      <c r="AP86" s="3592"/>
      <c r="AQ86" s="3592"/>
      <c r="AR86" s="3592"/>
      <c r="AS86" s="3592"/>
      <c r="AT86" s="3592"/>
      <c r="AU86" s="3592"/>
      <c r="AV86" s="3593"/>
    </row>
    <row r="87" ht="24.75" customHeight="1" spans="1:48">
      <c r="A87" s="3594" t="s">
        <v>5336</v>
      </c>
      <c r="B87" s="3595"/>
      <c r="C87" s="3577" t="s">
        <v>6121</v>
      </c>
      <c r="D87" s="3577"/>
      <c r="E87" s="3577"/>
      <c r="F87" s="3577"/>
      <c r="G87" s="3577"/>
      <c r="H87" s="3577"/>
      <c r="I87" s="3577"/>
      <c r="J87" s="3577"/>
      <c r="K87" s="3577"/>
      <c r="L87" s="3577"/>
      <c r="M87" s="3577"/>
      <c r="N87" s="3577"/>
      <c r="O87" s="3577"/>
      <c r="P87" s="3577"/>
      <c r="Q87" s="3577"/>
      <c r="R87" s="3577"/>
      <c r="S87" s="3577"/>
      <c r="T87" s="3577"/>
      <c r="U87" s="3577"/>
      <c r="V87" s="3577"/>
      <c r="W87" s="3577"/>
      <c r="X87" s="3577"/>
      <c r="Y87" s="3577"/>
      <c r="Z87" s="3577"/>
      <c r="AA87" s="3577"/>
      <c r="AB87" s="3577"/>
      <c r="AC87" s="3577"/>
      <c r="AD87" s="3577"/>
      <c r="AE87" s="3596" t="s">
        <v>6122</v>
      </c>
      <c r="AF87" s="3597"/>
      <c r="AG87" s="3597"/>
      <c r="AH87" s="3597"/>
      <c r="AI87" s="3597"/>
      <c r="AJ87" s="3598"/>
      <c r="AK87" s="3599" t="s">
        <v>6123</v>
      </c>
      <c r="AL87" s="3600"/>
      <c r="AM87" s="3600"/>
      <c r="AN87" s="3601"/>
      <c r="AO87" s="3602">
        <f>UnosPod!F234+UnosPod!F236+UnosPod!F237</f>
        <v>804</v>
      </c>
      <c r="AP87" s="3603"/>
      <c r="AQ87" s="3603"/>
      <c r="AR87" s="3603"/>
      <c r="AS87" s="3603"/>
      <c r="AT87" s="3603"/>
      <c r="AU87" s="3603"/>
      <c r="AV87" s="3604"/>
    </row>
    <row r="88" spans="1:48">
      <c r="A88" s="3594" t="s">
        <v>5428</v>
      </c>
      <c r="B88" s="3595"/>
      <c r="C88" s="3515" t="s">
        <v>6124</v>
      </c>
      <c r="D88" s="3515"/>
      <c r="E88" s="3515"/>
      <c r="F88" s="3515"/>
      <c r="G88" s="3515"/>
      <c r="H88" s="3515"/>
      <c r="I88" s="3515"/>
      <c r="J88" s="3515"/>
      <c r="K88" s="3515"/>
      <c r="L88" s="3515"/>
      <c r="M88" s="3515"/>
      <c r="N88" s="3515"/>
      <c r="O88" s="3515"/>
      <c r="P88" s="3515"/>
      <c r="Q88" s="3515"/>
      <c r="R88" s="3515"/>
      <c r="S88" s="3515"/>
      <c r="T88" s="3515"/>
      <c r="U88" s="3515"/>
      <c r="V88" s="3515"/>
      <c r="W88" s="3515"/>
      <c r="X88" s="3515"/>
      <c r="Y88" s="3515"/>
      <c r="Z88" s="3515"/>
      <c r="AA88" s="3515"/>
      <c r="AB88" s="3515"/>
      <c r="AC88" s="3515"/>
      <c r="AD88" s="3515"/>
      <c r="AE88" s="3596" t="s">
        <v>6125</v>
      </c>
      <c r="AF88" s="3597"/>
      <c r="AG88" s="3597"/>
      <c r="AH88" s="3597"/>
      <c r="AI88" s="3597"/>
      <c r="AJ88" s="3598"/>
      <c r="AK88" s="3513">
        <v>512</v>
      </c>
      <c r="AL88" s="3605"/>
      <c r="AM88" s="3605"/>
      <c r="AN88" s="3514"/>
      <c r="AO88" s="3602">
        <f>UnosPod!F235</f>
        <v>7591</v>
      </c>
      <c r="AP88" s="3603"/>
      <c r="AQ88" s="3603"/>
      <c r="AR88" s="3603"/>
      <c r="AS88" s="3603"/>
      <c r="AT88" s="3603"/>
      <c r="AU88" s="3603"/>
      <c r="AV88" s="3604"/>
    </row>
    <row r="89" ht="25.5" customHeight="1" spans="1:48">
      <c r="A89" s="3594" t="s">
        <v>5469</v>
      </c>
      <c r="B89" s="3595"/>
      <c r="C89" s="3606" t="s">
        <v>6126</v>
      </c>
      <c r="D89" s="3607"/>
      <c r="E89" s="3607"/>
      <c r="F89" s="3607"/>
      <c r="G89" s="3607"/>
      <c r="H89" s="3607"/>
      <c r="I89" s="3607"/>
      <c r="J89" s="3607"/>
      <c r="K89" s="3607"/>
      <c r="L89" s="3607"/>
      <c r="M89" s="3607"/>
      <c r="N89" s="3607"/>
      <c r="O89" s="3607"/>
      <c r="P89" s="3607"/>
      <c r="Q89" s="3607"/>
      <c r="R89" s="3607"/>
      <c r="S89" s="3607"/>
      <c r="T89" s="3607"/>
      <c r="U89" s="3607"/>
      <c r="V89" s="3607"/>
      <c r="W89" s="3607"/>
      <c r="X89" s="3607"/>
      <c r="Y89" s="3607"/>
      <c r="Z89" s="3607"/>
      <c r="AA89" s="3607"/>
      <c r="AB89" s="3607"/>
      <c r="AC89" s="3607"/>
      <c r="AD89" s="3608"/>
      <c r="AE89" s="3596" t="s">
        <v>6127</v>
      </c>
      <c r="AF89" s="3597"/>
      <c r="AG89" s="3597"/>
      <c r="AH89" s="3597"/>
      <c r="AI89" s="3597"/>
      <c r="AJ89" s="3598"/>
      <c r="AK89" s="3609" t="s">
        <v>6128</v>
      </c>
      <c r="AL89" s="3610"/>
      <c r="AM89" s="3610"/>
      <c r="AN89" s="3611"/>
      <c r="AO89" s="3602">
        <f>UnosPod!F230+UnosPod!F231</f>
        <v>0</v>
      </c>
      <c r="AP89" s="3603"/>
      <c r="AQ89" s="3603"/>
      <c r="AR89" s="3603"/>
      <c r="AS89" s="3603"/>
      <c r="AT89" s="3603"/>
      <c r="AU89" s="3603"/>
      <c r="AV89" s="3604"/>
    </row>
    <row r="90" spans="1:48">
      <c r="A90" s="3594" t="s">
        <v>5600</v>
      </c>
      <c r="B90" s="3595"/>
      <c r="C90" s="3515" t="s">
        <v>6129</v>
      </c>
      <c r="D90" s="3515"/>
      <c r="E90" s="3515"/>
      <c r="F90" s="3515"/>
      <c r="G90" s="3515"/>
      <c r="H90" s="3515"/>
      <c r="I90" s="3515"/>
      <c r="J90" s="3515"/>
      <c r="K90" s="3515"/>
      <c r="L90" s="3515"/>
      <c r="M90" s="3515"/>
      <c r="N90" s="3515"/>
      <c r="O90" s="3515"/>
      <c r="P90" s="3515"/>
      <c r="Q90" s="3515"/>
      <c r="R90" s="3515"/>
      <c r="S90" s="3515"/>
      <c r="T90" s="3515"/>
      <c r="U90" s="3515"/>
      <c r="V90" s="3515"/>
      <c r="W90" s="3515"/>
      <c r="X90" s="3515"/>
      <c r="Y90" s="3515"/>
      <c r="Z90" s="3515"/>
      <c r="AA90" s="3515"/>
      <c r="AB90" s="3515"/>
      <c r="AC90" s="3515"/>
      <c r="AD90" s="3515"/>
      <c r="AE90" s="3596" t="s">
        <v>6130</v>
      </c>
      <c r="AF90" s="3597"/>
      <c r="AG90" s="3597"/>
      <c r="AH90" s="3597"/>
      <c r="AI90" s="3597"/>
      <c r="AJ90" s="3598"/>
      <c r="AK90" s="3609"/>
      <c r="AL90" s="3610"/>
      <c r="AM90" s="3610"/>
      <c r="AN90" s="3611"/>
      <c r="AO90" s="3602">
        <f>SUM(AO91:AV104)</f>
        <v>44443</v>
      </c>
      <c r="AP90" s="3603"/>
      <c r="AQ90" s="3603"/>
      <c r="AR90" s="3603"/>
      <c r="AS90" s="3603"/>
      <c r="AT90" s="3603"/>
      <c r="AU90" s="3603"/>
      <c r="AV90" s="3604"/>
    </row>
    <row r="91" spans="1:48">
      <c r="A91" s="3594" t="s">
        <v>5078</v>
      </c>
      <c r="B91" s="3595"/>
      <c r="C91" s="3612" t="s">
        <v>6131</v>
      </c>
      <c r="D91" s="3612"/>
      <c r="E91" s="3612"/>
      <c r="F91" s="3612"/>
      <c r="G91" s="3612"/>
      <c r="H91" s="3612"/>
      <c r="I91" s="3612"/>
      <c r="J91" s="3612"/>
      <c r="K91" s="3612"/>
      <c r="L91" s="3612"/>
      <c r="M91" s="3612"/>
      <c r="N91" s="3612"/>
      <c r="O91" s="3612"/>
      <c r="P91" s="3612"/>
      <c r="Q91" s="3612"/>
      <c r="R91" s="3612"/>
      <c r="S91" s="3612"/>
      <c r="T91" s="3612"/>
      <c r="U91" s="3612"/>
      <c r="V91" s="3612"/>
      <c r="W91" s="3612"/>
      <c r="X91" s="3612"/>
      <c r="Y91" s="3612"/>
      <c r="Z91" s="3612"/>
      <c r="AA91" s="3612"/>
      <c r="AB91" s="3612"/>
      <c r="AC91" s="3612"/>
      <c r="AD91" s="3612"/>
      <c r="AE91" s="3613" t="s">
        <v>6132</v>
      </c>
      <c r="AF91" s="3614"/>
      <c r="AG91" s="3614"/>
      <c r="AH91" s="3614"/>
      <c r="AI91" s="3614"/>
      <c r="AJ91" s="3615"/>
      <c r="AK91" s="3609">
        <v>530</v>
      </c>
      <c r="AL91" s="3610"/>
      <c r="AM91" s="3610"/>
      <c r="AN91" s="3611"/>
      <c r="AO91" s="3520">
        <f>UnosPod!F255</f>
        <v>0</v>
      </c>
      <c r="AP91" s="3521"/>
      <c r="AQ91" s="3521"/>
      <c r="AR91" s="3521"/>
      <c r="AS91" s="3521"/>
      <c r="AT91" s="3521"/>
      <c r="AU91" s="3521"/>
      <c r="AV91" s="3522"/>
    </row>
    <row r="92" spans="1:48">
      <c r="A92" s="3594" t="s">
        <v>6133</v>
      </c>
      <c r="B92" s="3595"/>
      <c r="C92" s="3612" t="s">
        <v>6134</v>
      </c>
      <c r="D92" s="3612"/>
      <c r="E92" s="3612"/>
      <c r="F92" s="3612"/>
      <c r="G92" s="3612"/>
      <c r="H92" s="3612"/>
      <c r="I92" s="3612"/>
      <c r="J92" s="3612"/>
      <c r="K92" s="3612"/>
      <c r="L92" s="3612"/>
      <c r="M92" s="3612"/>
      <c r="N92" s="3612"/>
      <c r="O92" s="3612"/>
      <c r="P92" s="3612"/>
      <c r="Q92" s="3612"/>
      <c r="R92" s="3612"/>
      <c r="S92" s="3612"/>
      <c r="T92" s="3612"/>
      <c r="U92" s="3612"/>
      <c r="V92" s="3612"/>
      <c r="W92" s="3612"/>
      <c r="X92" s="3612"/>
      <c r="Y92" s="3612"/>
      <c r="Z92" s="3612"/>
      <c r="AA92" s="3612"/>
      <c r="AB92" s="3612"/>
      <c r="AC92" s="3612"/>
      <c r="AD92" s="3612"/>
      <c r="AE92" s="3613" t="s">
        <v>6135</v>
      </c>
      <c r="AF92" s="3614"/>
      <c r="AG92" s="3614"/>
      <c r="AH92" s="3614"/>
      <c r="AI92" s="3614"/>
      <c r="AJ92" s="3615"/>
      <c r="AK92" s="3513" t="s">
        <v>6136</v>
      </c>
      <c r="AL92" s="3605"/>
      <c r="AM92" s="3605"/>
      <c r="AN92" s="3514"/>
      <c r="AO92" s="3520">
        <f>UnosPod!F257</f>
        <v>24172</v>
      </c>
      <c r="AP92" s="3521"/>
      <c r="AQ92" s="3521"/>
      <c r="AR92" s="3521"/>
      <c r="AS92" s="3521"/>
      <c r="AT92" s="3521"/>
      <c r="AU92" s="3521"/>
      <c r="AV92" s="3522"/>
    </row>
    <row r="93" spans="1:48">
      <c r="A93" s="3594" t="s">
        <v>6137</v>
      </c>
      <c r="B93" s="3595"/>
      <c r="C93" s="3616" t="s">
        <v>6138</v>
      </c>
      <c r="D93" s="3616"/>
      <c r="E93" s="3616"/>
      <c r="F93" s="3616"/>
      <c r="G93" s="3616"/>
      <c r="H93" s="3616"/>
      <c r="I93" s="3616"/>
      <c r="J93" s="3616"/>
      <c r="K93" s="3616"/>
      <c r="L93" s="3616"/>
      <c r="M93" s="3616"/>
      <c r="N93" s="3616"/>
      <c r="O93" s="3616"/>
      <c r="P93" s="3616"/>
      <c r="Q93" s="3616"/>
      <c r="R93" s="3616"/>
      <c r="S93" s="3616"/>
      <c r="T93" s="3616"/>
      <c r="U93" s="3616"/>
      <c r="V93" s="3616"/>
      <c r="W93" s="3616"/>
      <c r="X93" s="3616"/>
      <c r="Y93" s="3616"/>
      <c r="Z93" s="3616"/>
      <c r="AA93" s="3616"/>
      <c r="AB93" s="3616"/>
      <c r="AC93" s="3616"/>
      <c r="AD93" s="3616"/>
      <c r="AE93" s="3613" t="s">
        <v>6139</v>
      </c>
      <c r="AF93" s="3614"/>
      <c r="AG93" s="3614"/>
      <c r="AH93" s="3614"/>
      <c r="AI93" s="3614"/>
      <c r="AJ93" s="3615"/>
      <c r="AK93" s="3513">
        <v>531</v>
      </c>
      <c r="AL93" s="3605"/>
      <c r="AM93" s="3605"/>
      <c r="AN93" s="3514"/>
      <c r="AO93" s="3520">
        <f>UnosPod!F256</f>
        <v>0</v>
      </c>
      <c r="AP93" s="3521"/>
      <c r="AQ93" s="3521"/>
      <c r="AR93" s="3521"/>
      <c r="AS93" s="3521"/>
      <c r="AT93" s="3521"/>
      <c r="AU93" s="3521"/>
      <c r="AV93" s="3522"/>
    </row>
    <row r="94" spans="1:48">
      <c r="A94" s="3594" t="s">
        <v>6140</v>
      </c>
      <c r="B94" s="3595"/>
      <c r="C94" s="3616" t="s">
        <v>6141</v>
      </c>
      <c r="D94" s="3616"/>
      <c r="E94" s="3616"/>
      <c r="F94" s="3616"/>
      <c r="G94" s="3616"/>
      <c r="H94" s="3616"/>
      <c r="I94" s="3616"/>
      <c r="J94" s="3616"/>
      <c r="K94" s="3616"/>
      <c r="L94" s="3616"/>
      <c r="M94" s="3616"/>
      <c r="N94" s="3616"/>
      <c r="O94" s="3616"/>
      <c r="P94" s="3616"/>
      <c r="Q94" s="3616"/>
      <c r="R94" s="3616"/>
      <c r="S94" s="3616"/>
      <c r="T94" s="3616"/>
      <c r="U94" s="3616"/>
      <c r="V94" s="3616"/>
      <c r="W94" s="3616"/>
      <c r="X94" s="3616"/>
      <c r="Y94" s="3616"/>
      <c r="Z94" s="3616"/>
      <c r="AA94" s="3616"/>
      <c r="AB94" s="3616"/>
      <c r="AC94" s="3616"/>
      <c r="AD94" s="3616"/>
      <c r="AE94" s="3613" t="s">
        <v>6142</v>
      </c>
      <c r="AF94" s="3614"/>
      <c r="AG94" s="3614"/>
      <c r="AH94" s="3614"/>
      <c r="AI94" s="3614"/>
      <c r="AJ94" s="3615"/>
      <c r="AK94" s="3513">
        <v>554</v>
      </c>
      <c r="AL94" s="3605"/>
      <c r="AM94" s="3605"/>
      <c r="AN94" s="3514"/>
      <c r="AO94" s="3520">
        <f>UnosPod!F301</f>
        <v>11889</v>
      </c>
      <c r="AP94" s="3521"/>
      <c r="AQ94" s="3521"/>
      <c r="AR94" s="3521"/>
      <c r="AS94" s="3521"/>
      <c r="AT94" s="3521"/>
      <c r="AU94" s="3521"/>
      <c r="AV94" s="3522"/>
    </row>
    <row r="95" spans="1:48">
      <c r="A95" s="3594" t="s">
        <v>6143</v>
      </c>
      <c r="B95" s="3595"/>
      <c r="C95" s="3616" t="s">
        <v>6144</v>
      </c>
      <c r="D95" s="3616"/>
      <c r="E95" s="3616"/>
      <c r="F95" s="3616"/>
      <c r="G95" s="3616"/>
      <c r="H95" s="3616"/>
      <c r="I95" s="3616"/>
      <c r="J95" s="3616"/>
      <c r="K95" s="3616"/>
      <c r="L95" s="3616"/>
      <c r="M95" s="3616"/>
      <c r="N95" s="3616"/>
      <c r="O95" s="3616"/>
      <c r="P95" s="3616"/>
      <c r="Q95" s="3616"/>
      <c r="R95" s="3616"/>
      <c r="S95" s="3616"/>
      <c r="T95" s="3616"/>
      <c r="U95" s="3616"/>
      <c r="V95" s="3616"/>
      <c r="W95" s="3616"/>
      <c r="X95" s="3616"/>
      <c r="Y95" s="3616"/>
      <c r="Z95" s="3616"/>
      <c r="AA95" s="3616"/>
      <c r="AB95" s="3616"/>
      <c r="AC95" s="3616"/>
      <c r="AD95" s="3616"/>
      <c r="AE95" s="3613" t="s">
        <v>6145</v>
      </c>
      <c r="AF95" s="3614"/>
      <c r="AG95" s="3614"/>
      <c r="AH95" s="3614"/>
      <c r="AI95" s="3614"/>
      <c r="AJ95" s="3615"/>
      <c r="AK95" s="3513" t="s">
        <v>6146</v>
      </c>
      <c r="AL95" s="3605"/>
      <c r="AM95" s="3605"/>
      <c r="AN95" s="3514"/>
      <c r="AO95" s="3520">
        <f>UnosPod!F259+UnosPod!F260</f>
        <v>0</v>
      </c>
      <c r="AP95" s="3521"/>
      <c r="AQ95" s="3521"/>
      <c r="AR95" s="3521"/>
      <c r="AS95" s="3521"/>
      <c r="AT95" s="3521"/>
      <c r="AU95" s="3521"/>
      <c r="AV95" s="3522"/>
    </row>
    <row r="96" spans="1:48">
      <c r="A96" s="3594" t="s">
        <v>301</v>
      </c>
      <c r="B96" s="3595"/>
      <c r="C96" s="3616" t="s">
        <v>6147</v>
      </c>
      <c r="D96" s="3616"/>
      <c r="E96" s="3616"/>
      <c r="F96" s="3616"/>
      <c r="G96" s="3616"/>
      <c r="H96" s="3616"/>
      <c r="I96" s="3616"/>
      <c r="J96" s="3616"/>
      <c r="K96" s="3616"/>
      <c r="L96" s="3616"/>
      <c r="M96" s="3616"/>
      <c r="N96" s="3616"/>
      <c r="O96" s="3616"/>
      <c r="P96" s="3616"/>
      <c r="Q96" s="3616"/>
      <c r="R96" s="3616"/>
      <c r="S96" s="3616"/>
      <c r="T96" s="3616"/>
      <c r="U96" s="3616"/>
      <c r="V96" s="3616"/>
      <c r="W96" s="3616"/>
      <c r="X96" s="3616"/>
      <c r="Y96" s="3616"/>
      <c r="Z96" s="3616"/>
      <c r="AA96" s="3616"/>
      <c r="AB96" s="3616"/>
      <c r="AC96" s="3616"/>
      <c r="AD96" s="3616"/>
      <c r="AE96" s="3613" t="s">
        <v>6148</v>
      </c>
      <c r="AF96" s="3614"/>
      <c r="AG96" s="3614"/>
      <c r="AH96" s="3614"/>
      <c r="AI96" s="3614"/>
      <c r="AJ96" s="3615"/>
      <c r="AK96" s="3513" t="s">
        <v>6149</v>
      </c>
      <c r="AL96" s="3605"/>
      <c r="AM96" s="3605"/>
      <c r="AN96" s="3514"/>
      <c r="AO96" s="3520">
        <f>UnosPod!F261+UnosPod!F262</f>
        <v>0</v>
      </c>
      <c r="AP96" s="3521"/>
      <c r="AQ96" s="3521"/>
      <c r="AR96" s="3521"/>
      <c r="AS96" s="3521"/>
      <c r="AT96" s="3521"/>
      <c r="AU96" s="3521"/>
      <c r="AV96" s="3522"/>
    </row>
    <row r="97" spans="1:49">
      <c r="A97" s="3594" t="s">
        <v>303</v>
      </c>
      <c r="B97" s="3595"/>
      <c r="C97" s="3617" t="s">
        <v>6150</v>
      </c>
      <c r="D97" s="3618"/>
      <c r="E97" s="3618"/>
      <c r="F97" s="3618"/>
      <c r="G97" s="3618"/>
      <c r="H97" s="3618"/>
      <c r="I97" s="3618"/>
      <c r="J97" s="3618"/>
      <c r="K97" s="3618"/>
      <c r="L97" s="3618"/>
      <c r="M97" s="3618"/>
      <c r="N97" s="3618"/>
      <c r="O97" s="3618"/>
      <c r="P97" s="3618"/>
      <c r="Q97" s="3618"/>
      <c r="R97" s="3618"/>
      <c r="S97" s="3618"/>
      <c r="T97" s="3618"/>
      <c r="U97" s="3618"/>
      <c r="V97" s="3618"/>
      <c r="W97" s="3618"/>
      <c r="X97" s="3618"/>
      <c r="Y97" s="3618"/>
      <c r="Z97" s="3618"/>
      <c r="AA97" s="3618"/>
      <c r="AB97" s="3618"/>
      <c r="AC97" s="3618"/>
      <c r="AD97" s="3619"/>
      <c r="AE97" s="3613" t="s">
        <v>6151</v>
      </c>
      <c r="AF97" s="3614"/>
      <c r="AG97" s="3614"/>
      <c r="AH97" s="3614"/>
      <c r="AI97" s="3614"/>
      <c r="AJ97" s="3615"/>
      <c r="AK97" s="3513" t="s">
        <v>6152</v>
      </c>
      <c r="AL97" s="3605"/>
      <c r="AM97" s="3605"/>
      <c r="AN97" s="3514"/>
      <c r="AO97" s="3520">
        <f>UnosPod!F297-AO113</f>
        <v>7255</v>
      </c>
      <c r="AP97" s="3521"/>
      <c r="AQ97" s="3521"/>
      <c r="AR97" s="3521"/>
      <c r="AS97" s="3521"/>
      <c r="AT97" s="3521"/>
      <c r="AU97" s="3521"/>
      <c r="AV97" s="3522"/>
    </row>
    <row r="98" spans="1:49">
      <c r="A98" s="3594" t="s">
        <v>305</v>
      </c>
      <c r="B98" s="3595"/>
      <c r="C98" s="3616" t="s">
        <v>6153</v>
      </c>
      <c r="D98" s="3616"/>
      <c r="E98" s="3616"/>
      <c r="F98" s="3616"/>
      <c r="G98" s="3616"/>
      <c r="H98" s="3616"/>
      <c r="I98" s="3616"/>
      <c r="J98" s="3616"/>
      <c r="K98" s="3616"/>
      <c r="L98" s="3616"/>
      <c r="M98" s="3616"/>
      <c r="N98" s="3616"/>
      <c r="O98" s="3616"/>
      <c r="P98" s="3616"/>
      <c r="Q98" s="3616"/>
      <c r="R98" s="3616"/>
      <c r="S98" s="3616"/>
      <c r="T98" s="3616"/>
      <c r="U98" s="3616"/>
      <c r="V98" s="3616"/>
      <c r="W98" s="3616"/>
      <c r="X98" s="3616"/>
      <c r="Y98" s="3616"/>
      <c r="Z98" s="3616"/>
      <c r="AA98" s="3616"/>
      <c r="AB98" s="3616"/>
      <c r="AC98" s="3616"/>
      <c r="AD98" s="3616"/>
      <c r="AE98" s="3613" t="s">
        <v>6154</v>
      </c>
      <c r="AF98" s="3614"/>
      <c r="AG98" s="3614"/>
      <c r="AH98" s="3614"/>
      <c r="AI98" s="3614"/>
      <c r="AJ98" s="3615"/>
      <c r="AK98" s="3513">
        <v>552</v>
      </c>
      <c r="AL98" s="3605"/>
      <c r="AM98" s="3605"/>
      <c r="AN98" s="3514"/>
      <c r="AO98" s="3520">
        <f>UnosPod!F299</f>
        <v>0</v>
      </c>
      <c r="AP98" s="3521"/>
      <c r="AQ98" s="3521"/>
      <c r="AR98" s="3521"/>
      <c r="AS98" s="3521"/>
      <c r="AT98" s="3521"/>
      <c r="AU98" s="3521"/>
      <c r="AV98" s="3522"/>
    </row>
    <row r="99" spans="1:49">
      <c r="A99" s="3594" t="s">
        <v>307</v>
      </c>
      <c r="B99" s="3595"/>
      <c r="C99" s="3620" t="s">
        <v>6155</v>
      </c>
      <c r="D99" s="3620"/>
      <c r="E99" s="3620"/>
      <c r="F99" s="3620"/>
      <c r="G99" s="3620"/>
      <c r="H99" s="3620"/>
      <c r="I99" s="3620"/>
      <c r="J99" s="3620"/>
      <c r="K99" s="3620"/>
      <c r="L99" s="3620"/>
      <c r="M99" s="3620"/>
      <c r="N99" s="3620"/>
      <c r="O99" s="3620"/>
      <c r="P99" s="3620"/>
      <c r="Q99" s="3620"/>
      <c r="R99" s="3620"/>
      <c r="S99" s="3620"/>
      <c r="T99" s="3620"/>
      <c r="U99" s="3620"/>
      <c r="V99" s="3620"/>
      <c r="W99" s="3620"/>
      <c r="X99" s="3620"/>
      <c r="Y99" s="3620"/>
      <c r="Z99" s="3620"/>
      <c r="AA99" s="3620"/>
      <c r="AB99" s="3620"/>
      <c r="AC99" s="3620"/>
      <c r="AD99" s="3620"/>
      <c r="AE99" s="3613" t="s">
        <v>6156</v>
      </c>
      <c r="AF99" s="3614"/>
      <c r="AG99" s="3614"/>
      <c r="AH99" s="3614"/>
      <c r="AI99" s="3614"/>
      <c r="AJ99" s="3615"/>
      <c r="AK99" s="3513"/>
      <c r="AL99" s="3605"/>
      <c r="AM99" s="3605"/>
      <c r="AN99" s="3514"/>
      <c r="AO99" s="3520"/>
      <c r="AP99" s="3521"/>
      <c r="AQ99" s="3521"/>
      <c r="AR99" s="3521"/>
      <c r="AS99" s="3521"/>
      <c r="AT99" s="3521"/>
      <c r="AU99" s="3521"/>
      <c r="AV99" s="3522"/>
    </row>
    <row r="100" spans="1:49">
      <c r="A100" s="3594" t="s">
        <v>309</v>
      </c>
      <c r="B100" s="3595"/>
      <c r="C100" s="3612" t="s">
        <v>6157</v>
      </c>
      <c r="D100" s="3612"/>
      <c r="E100" s="3612"/>
      <c r="F100" s="3612"/>
      <c r="G100" s="3612"/>
      <c r="H100" s="3612"/>
      <c r="I100" s="3612"/>
      <c r="J100" s="3612"/>
      <c r="K100" s="3612"/>
      <c r="L100" s="3612"/>
      <c r="M100" s="3612"/>
      <c r="N100" s="3612"/>
      <c r="O100" s="3612"/>
      <c r="P100" s="3612"/>
      <c r="Q100" s="3612"/>
      <c r="R100" s="3612"/>
      <c r="S100" s="3612"/>
      <c r="T100" s="3612"/>
      <c r="U100" s="3612"/>
      <c r="V100" s="3612"/>
      <c r="W100" s="3612"/>
      <c r="X100" s="3612"/>
      <c r="Y100" s="3612"/>
      <c r="Z100" s="3612"/>
      <c r="AA100" s="3612"/>
      <c r="AB100" s="3612"/>
      <c r="AC100" s="3612"/>
      <c r="AD100" s="3612"/>
      <c r="AE100" s="3613" t="s">
        <v>6158</v>
      </c>
      <c r="AF100" s="3614"/>
      <c r="AG100" s="3614"/>
      <c r="AH100" s="3614"/>
      <c r="AI100" s="3614"/>
      <c r="AJ100" s="3615"/>
      <c r="AK100" s="3513" t="s">
        <v>6159</v>
      </c>
      <c r="AL100" s="3605"/>
      <c r="AM100" s="3605"/>
      <c r="AN100" s="3514"/>
      <c r="AO100" s="3520">
        <f>UnosPod!F263</f>
        <v>0</v>
      </c>
      <c r="AP100" s="3521"/>
      <c r="AQ100" s="3521"/>
      <c r="AR100" s="3521"/>
      <c r="AS100" s="3521"/>
      <c r="AT100" s="3521"/>
      <c r="AU100" s="3521"/>
      <c r="AV100" s="3522"/>
    </row>
    <row r="101" spans="1:49">
      <c r="A101" s="3594" t="s">
        <v>311</v>
      </c>
      <c r="B101" s="3595"/>
      <c r="C101" s="3621" t="s">
        <v>6160</v>
      </c>
      <c r="D101" s="3622"/>
      <c r="E101" s="3622"/>
      <c r="F101" s="3622"/>
      <c r="G101" s="3622"/>
      <c r="H101" s="3622"/>
      <c r="I101" s="3622"/>
      <c r="J101" s="3622"/>
      <c r="K101" s="3622"/>
      <c r="L101" s="3622"/>
      <c r="M101" s="3622"/>
      <c r="N101" s="3622"/>
      <c r="O101" s="3622"/>
      <c r="P101" s="3622"/>
      <c r="Q101" s="3622"/>
      <c r="R101" s="3622"/>
      <c r="S101" s="3622"/>
      <c r="T101" s="3622"/>
      <c r="U101" s="3622"/>
      <c r="V101" s="3622"/>
      <c r="W101" s="3622"/>
      <c r="X101" s="3622"/>
      <c r="Y101" s="3622"/>
      <c r="Z101" s="3622"/>
      <c r="AA101" s="3622"/>
      <c r="AB101" s="3622"/>
      <c r="AC101" s="3622"/>
      <c r="AD101" s="3623"/>
      <c r="AE101" s="3613" t="s">
        <v>6161</v>
      </c>
      <c r="AF101" s="3614"/>
      <c r="AG101" s="3614"/>
      <c r="AH101" s="3614"/>
      <c r="AI101" s="3614"/>
      <c r="AJ101" s="3615"/>
      <c r="AK101" s="3513">
        <v>553</v>
      </c>
      <c r="AL101" s="3605"/>
      <c r="AM101" s="3605"/>
      <c r="AN101" s="3514"/>
      <c r="AO101" s="3520">
        <f>UnosPod!F300</f>
        <v>1127</v>
      </c>
      <c r="AP101" s="3521"/>
      <c r="AQ101" s="3521"/>
      <c r="AR101" s="3521"/>
      <c r="AS101" s="3521"/>
      <c r="AT101" s="3521"/>
      <c r="AU101" s="3521"/>
      <c r="AV101" s="3522"/>
    </row>
    <row r="102" ht="24.75" customHeight="1" spans="1:49">
      <c r="A102" s="3594" t="s">
        <v>313</v>
      </c>
      <c r="B102" s="3595"/>
      <c r="C102" s="3624" t="s">
        <v>6162</v>
      </c>
      <c r="D102" s="3625"/>
      <c r="E102" s="3625"/>
      <c r="F102" s="3625"/>
      <c r="G102" s="3625"/>
      <c r="H102" s="3625"/>
      <c r="I102" s="3625"/>
      <c r="J102" s="3625"/>
      <c r="K102" s="3625"/>
      <c r="L102" s="3625"/>
      <c r="M102" s="3625"/>
      <c r="N102" s="3625"/>
      <c r="O102" s="3625"/>
      <c r="P102" s="3625"/>
      <c r="Q102" s="3625"/>
      <c r="R102" s="3625"/>
      <c r="S102" s="3625"/>
      <c r="T102" s="3625"/>
      <c r="U102" s="3625"/>
      <c r="V102" s="3625"/>
      <c r="W102" s="3625"/>
      <c r="X102" s="3625"/>
      <c r="Y102" s="3625"/>
      <c r="Z102" s="3625"/>
      <c r="AA102" s="3625"/>
      <c r="AB102" s="3625"/>
      <c r="AC102" s="3625"/>
      <c r="AD102" s="3626"/>
      <c r="AE102" s="3613" t="s">
        <v>6163</v>
      </c>
      <c r="AF102" s="3614"/>
      <c r="AG102" s="3614"/>
      <c r="AH102" s="3614"/>
      <c r="AI102" s="3614"/>
      <c r="AJ102" s="3615"/>
      <c r="AK102" s="3568" t="s">
        <v>6164</v>
      </c>
      <c r="AL102" s="3569"/>
      <c r="AM102" s="3569"/>
      <c r="AN102" s="3570"/>
      <c r="AO102" s="3520">
        <f>UnosPod!F253-AO104</f>
        <v>0</v>
      </c>
      <c r="AP102" s="3521"/>
      <c r="AQ102" s="3521"/>
      <c r="AR102" s="3521"/>
      <c r="AS102" s="3521"/>
      <c r="AT102" s="3521"/>
      <c r="AU102" s="3521"/>
      <c r="AV102" s="3522"/>
      <c r="AW102" s="2085"/>
    </row>
    <row r="103" spans="1:49">
      <c r="A103" s="3594" t="s">
        <v>508</v>
      </c>
      <c r="B103" s="3595"/>
      <c r="C103" s="3612" t="s">
        <v>6165</v>
      </c>
      <c r="D103" s="3612"/>
      <c r="E103" s="3612"/>
      <c r="F103" s="3612"/>
      <c r="G103" s="3612"/>
      <c r="H103" s="3612"/>
      <c r="I103" s="3612"/>
      <c r="J103" s="3612"/>
      <c r="K103" s="3612"/>
      <c r="L103" s="3612"/>
      <c r="M103" s="3612"/>
      <c r="N103" s="3612"/>
      <c r="O103" s="3612"/>
      <c r="P103" s="3612"/>
      <c r="Q103" s="3612"/>
      <c r="R103" s="3612"/>
      <c r="S103" s="3612"/>
      <c r="T103" s="3612"/>
      <c r="U103" s="3612"/>
      <c r="V103" s="3612"/>
      <c r="W103" s="3612"/>
      <c r="X103" s="3612"/>
      <c r="Y103" s="3612"/>
      <c r="Z103" s="3612"/>
      <c r="AA103" s="3612"/>
      <c r="AB103" s="3612"/>
      <c r="AC103" s="3612"/>
      <c r="AD103" s="3612"/>
      <c r="AE103" s="3613" t="s">
        <v>6166</v>
      </c>
      <c r="AF103" s="3614"/>
      <c r="AG103" s="3614"/>
      <c r="AH103" s="3614"/>
      <c r="AI103" s="3614"/>
      <c r="AJ103" s="3615"/>
      <c r="AK103" s="3513">
        <v>533</v>
      </c>
      <c r="AL103" s="3605"/>
      <c r="AM103" s="3605"/>
      <c r="AN103" s="3514"/>
      <c r="AO103" s="3520">
        <f>UnosPod!F258</f>
        <v>0</v>
      </c>
      <c r="AP103" s="3521"/>
      <c r="AQ103" s="3521"/>
      <c r="AR103" s="3521"/>
      <c r="AS103" s="3521"/>
      <c r="AT103" s="3521"/>
      <c r="AU103" s="3521"/>
      <c r="AV103" s="3522"/>
    </row>
    <row r="104" ht="29.25" customHeight="1" spans="1:49">
      <c r="A104" s="3594" t="s">
        <v>522</v>
      </c>
      <c r="B104" s="3595"/>
      <c r="C104" s="3620" t="s">
        <v>6167</v>
      </c>
      <c r="D104" s="3620"/>
      <c r="E104" s="3620"/>
      <c r="F104" s="3620"/>
      <c r="G104" s="3620"/>
      <c r="H104" s="3620"/>
      <c r="I104" s="3620"/>
      <c r="J104" s="3620"/>
      <c r="K104" s="3620"/>
      <c r="L104" s="3620"/>
      <c r="M104" s="3620"/>
      <c r="N104" s="3620"/>
      <c r="O104" s="3620"/>
      <c r="P104" s="3620"/>
      <c r="Q104" s="3620"/>
      <c r="R104" s="3620"/>
      <c r="S104" s="3620"/>
      <c r="T104" s="3620"/>
      <c r="U104" s="3620"/>
      <c r="V104" s="3620"/>
      <c r="W104" s="3620"/>
      <c r="X104" s="3620"/>
      <c r="Y104" s="3620"/>
      <c r="Z104" s="3620"/>
      <c r="AA104" s="3620"/>
      <c r="AB104" s="3620"/>
      <c r="AC104" s="3620"/>
      <c r="AD104" s="3620"/>
      <c r="AE104" s="3613" t="s">
        <v>6168</v>
      </c>
      <c r="AF104" s="3614"/>
      <c r="AG104" s="3614"/>
      <c r="AH104" s="3614"/>
      <c r="AI104" s="3614"/>
      <c r="AJ104" s="3615"/>
      <c r="AK104" s="3513" t="s">
        <v>6159</v>
      </c>
      <c r="AL104" s="3605"/>
      <c r="AM104" s="3605"/>
      <c r="AN104" s="3514"/>
      <c r="AO104" s="3866"/>
      <c r="AP104" s="3867"/>
      <c r="AQ104" s="3867"/>
      <c r="AR104" s="3867"/>
      <c r="AS104" s="3867"/>
      <c r="AT104" s="3867"/>
      <c r="AU104" s="3867"/>
      <c r="AV104" s="3868"/>
    </row>
    <row r="105" ht="24.75" customHeight="1" spans="1:49">
      <c r="A105" s="3594" t="s">
        <v>536</v>
      </c>
      <c r="B105" s="3595"/>
      <c r="C105" s="3627" t="s">
        <v>6169</v>
      </c>
      <c r="D105" s="3628"/>
      <c r="E105" s="3628"/>
      <c r="F105" s="3628"/>
      <c r="G105" s="3628"/>
      <c r="H105" s="3628"/>
      <c r="I105" s="3628"/>
      <c r="J105" s="3628"/>
      <c r="K105" s="3628"/>
      <c r="L105" s="3628"/>
      <c r="M105" s="3628"/>
      <c r="N105" s="3628"/>
      <c r="O105" s="3628"/>
      <c r="P105" s="3628"/>
      <c r="Q105" s="3628"/>
      <c r="R105" s="3628"/>
      <c r="S105" s="3628"/>
      <c r="T105" s="3628"/>
      <c r="U105" s="3628"/>
      <c r="V105" s="3628"/>
      <c r="W105" s="3628"/>
      <c r="X105" s="3628"/>
      <c r="Y105" s="3628"/>
      <c r="Z105" s="3628"/>
      <c r="AA105" s="3628"/>
      <c r="AB105" s="3628"/>
      <c r="AC105" s="3628"/>
      <c r="AD105" s="3629"/>
      <c r="AE105" s="3596" t="s">
        <v>6170</v>
      </c>
      <c r="AF105" s="3597"/>
      <c r="AG105" s="3597"/>
      <c r="AH105" s="3597"/>
      <c r="AI105" s="3597"/>
      <c r="AJ105" s="3598"/>
      <c r="AK105" s="3513"/>
      <c r="AL105" s="3605"/>
      <c r="AM105" s="3605"/>
      <c r="AN105" s="3514"/>
      <c r="AO105" s="3602">
        <f>AO106+AO107+AO108</f>
        <v>197104</v>
      </c>
      <c r="AP105" s="3603"/>
      <c r="AQ105" s="3603"/>
      <c r="AR105" s="3603"/>
      <c r="AS105" s="3603"/>
      <c r="AT105" s="3603"/>
      <c r="AU105" s="3603"/>
      <c r="AV105" s="3604"/>
    </row>
    <row r="106" ht="24.75" customHeight="1" spans="1:49">
      <c r="A106" s="3594" t="s">
        <v>550</v>
      </c>
      <c r="B106" s="3595"/>
      <c r="C106" s="3630" t="s">
        <v>6171</v>
      </c>
      <c r="D106" s="3631"/>
      <c r="E106" s="3631"/>
      <c r="F106" s="3631"/>
      <c r="G106" s="3631"/>
      <c r="H106" s="3631"/>
      <c r="I106" s="3631"/>
      <c r="J106" s="3631"/>
      <c r="K106" s="3631"/>
      <c r="L106" s="3631"/>
      <c r="M106" s="3631"/>
      <c r="N106" s="3631"/>
      <c r="O106" s="3631"/>
      <c r="P106" s="3631"/>
      <c r="Q106" s="3631"/>
      <c r="R106" s="3631"/>
      <c r="S106" s="3631"/>
      <c r="T106" s="3631"/>
      <c r="U106" s="3631"/>
      <c r="V106" s="3631"/>
      <c r="W106" s="3631"/>
      <c r="X106" s="3631"/>
      <c r="Y106" s="3631"/>
      <c r="Z106" s="3631"/>
      <c r="AA106" s="3631"/>
      <c r="AB106" s="3631"/>
      <c r="AC106" s="3631"/>
      <c r="AD106" s="3632"/>
      <c r="AE106" s="3633" t="s">
        <v>6172</v>
      </c>
      <c r="AF106" s="3634"/>
      <c r="AG106" s="3634"/>
      <c r="AH106" s="3634"/>
      <c r="AI106" s="3634"/>
      <c r="AJ106" s="3635"/>
      <c r="AK106" s="3513" t="s">
        <v>6173</v>
      </c>
      <c r="AL106" s="3605"/>
      <c r="AM106" s="3605"/>
      <c r="AN106" s="3514"/>
      <c r="AO106" s="3520">
        <f>UnosPod!F244+UnosPod!F249-UnosPod!F243-UnosPod!F248</f>
        <v>152542</v>
      </c>
      <c r="AP106" s="3521"/>
      <c r="AQ106" s="3521"/>
      <c r="AR106" s="3521"/>
      <c r="AS106" s="3521"/>
      <c r="AT106" s="3521"/>
      <c r="AU106" s="3521"/>
      <c r="AV106" s="3522"/>
    </row>
    <row r="107" ht="24.75" customHeight="1" spans="1:49">
      <c r="A107" s="3594" t="s">
        <v>563</v>
      </c>
      <c r="B107" s="3595"/>
      <c r="C107" s="3630" t="s">
        <v>6174</v>
      </c>
      <c r="D107" s="3631"/>
      <c r="E107" s="3631"/>
      <c r="F107" s="3631"/>
      <c r="G107" s="3631"/>
      <c r="H107" s="3631"/>
      <c r="I107" s="3631"/>
      <c r="J107" s="3631"/>
      <c r="K107" s="3631"/>
      <c r="L107" s="3631"/>
      <c r="M107" s="3631"/>
      <c r="N107" s="3631"/>
      <c r="O107" s="3631"/>
      <c r="P107" s="3631"/>
      <c r="Q107" s="3631"/>
      <c r="R107" s="3631"/>
      <c r="S107" s="3631"/>
      <c r="T107" s="3631"/>
      <c r="U107" s="3631"/>
      <c r="V107" s="3631"/>
      <c r="W107" s="3631"/>
      <c r="X107" s="3631"/>
      <c r="Y107" s="3631"/>
      <c r="Z107" s="3631"/>
      <c r="AA107" s="3631"/>
      <c r="AB107" s="3631"/>
      <c r="AC107" s="3631"/>
      <c r="AD107" s="3632"/>
      <c r="AE107" s="3633" t="s">
        <v>6175</v>
      </c>
      <c r="AF107" s="3634"/>
      <c r="AG107" s="3634"/>
      <c r="AH107" s="3634"/>
      <c r="AI107" s="3634"/>
      <c r="AJ107" s="3635"/>
      <c r="AK107" s="3513" t="s">
        <v>6176</v>
      </c>
      <c r="AL107" s="3605"/>
      <c r="AM107" s="3605"/>
      <c r="AN107" s="3514"/>
      <c r="AO107" s="3520">
        <f>UnosPod!F251+UnosPod!F252</f>
        <v>33957</v>
      </c>
      <c r="AP107" s="3521"/>
      <c r="AQ107" s="3521"/>
      <c r="AR107" s="3521"/>
      <c r="AS107" s="3521"/>
      <c r="AT107" s="3521"/>
      <c r="AU107" s="3521"/>
      <c r="AV107" s="3522"/>
    </row>
    <row r="108" spans="1:49">
      <c r="A108" s="3594" t="s">
        <v>575</v>
      </c>
      <c r="B108" s="3595"/>
      <c r="C108" s="3636" t="s">
        <v>6177</v>
      </c>
      <c r="D108" s="3637"/>
      <c r="E108" s="3637"/>
      <c r="F108" s="3637"/>
      <c r="G108" s="3637"/>
      <c r="H108" s="3637"/>
      <c r="I108" s="3637"/>
      <c r="J108" s="3637"/>
      <c r="K108" s="3637"/>
      <c r="L108" s="3637"/>
      <c r="M108" s="3637"/>
      <c r="N108" s="3637"/>
      <c r="O108" s="3637"/>
      <c r="P108" s="3637"/>
      <c r="Q108" s="3637"/>
      <c r="R108" s="3637"/>
      <c r="S108" s="3637"/>
      <c r="T108" s="3637"/>
      <c r="U108" s="3637"/>
      <c r="V108" s="3637"/>
      <c r="W108" s="3637"/>
      <c r="X108" s="3637"/>
      <c r="Y108" s="3637"/>
      <c r="Z108" s="3637"/>
      <c r="AA108" s="3637"/>
      <c r="AB108" s="3637"/>
      <c r="AC108" s="3637"/>
      <c r="AD108" s="3638"/>
      <c r="AE108" s="3633" t="s">
        <v>6178</v>
      </c>
      <c r="AF108" s="3634"/>
      <c r="AG108" s="3634"/>
      <c r="AH108" s="3634"/>
      <c r="AI108" s="3634"/>
      <c r="AJ108" s="3635"/>
      <c r="AK108" s="3513" t="s">
        <v>6179</v>
      </c>
      <c r="AL108" s="3605"/>
      <c r="AM108" s="3605"/>
      <c r="AN108" s="3514"/>
      <c r="AO108" s="3520">
        <f>UnosPod!F243+UnosPod!F248</f>
        <v>10605</v>
      </c>
      <c r="AP108" s="3521"/>
      <c r="AQ108" s="3521"/>
      <c r="AR108" s="3521"/>
      <c r="AS108" s="3521"/>
      <c r="AT108" s="3521"/>
      <c r="AU108" s="3521"/>
      <c r="AV108" s="3522"/>
    </row>
    <row r="109" ht="14.25" customHeight="1" spans="1:49">
      <c r="A109" s="3594" t="s">
        <v>588</v>
      </c>
      <c r="B109" s="3595"/>
      <c r="C109" s="3564" t="s">
        <v>6180</v>
      </c>
      <c r="D109" s="3564"/>
      <c r="E109" s="3564"/>
      <c r="F109" s="3564"/>
      <c r="G109" s="3564"/>
      <c r="H109" s="3564"/>
      <c r="I109" s="3564"/>
      <c r="J109" s="3564"/>
      <c r="K109" s="3564"/>
      <c r="L109" s="3564"/>
      <c r="M109" s="3564"/>
      <c r="N109" s="3564"/>
      <c r="O109" s="3564"/>
      <c r="P109" s="3564"/>
      <c r="Q109" s="3564"/>
      <c r="R109" s="3564"/>
      <c r="S109" s="3564"/>
      <c r="T109" s="3564"/>
      <c r="U109" s="3564"/>
      <c r="V109" s="3564"/>
      <c r="W109" s="3564"/>
      <c r="X109" s="3564"/>
      <c r="Y109" s="3564"/>
      <c r="Z109" s="3564"/>
      <c r="AA109" s="3564"/>
      <c r="AB109" s="3564"/>
      <c r="AC109" s="3564"/>
      <c r="AD109" s="3564"/>
      <c r="AE109" s="3596" t="s">
        <v>6181</v>
      </c>
      <c r="AF109" s="3597"/>
      <c r="AG109" s="3597"/>
      <c r="AH109" s="3597"/>
      <c r="AI109" s="3597"/>
      <c r="AJ109" s="3598"/>
      <c r="AK109" s="3639" t="s">
        <v>6182</v>
      </c>
      <c r="AL109" s="3640"/>
      <c r="AM109" s="3640"/>
      <c r="AN109" s="3641"/>
      <c r="AO109" s="3602">
        <f>UnosPod!F272+UnosPod!F280+UnosPod!F288</f>
        <v>4549</v>
      </c>
      <c r="AP109" s="3603"/>
      <c r="AQ109" s="3603"/>
      <c r="AR109" s="3603"/>
      <c r="AS109" s="3603"/>
      <c r="AT109" s="3603"/>
      <c r="AU109" s="3603"/>
      <c r="AV109" s="3604"/>
    </row>
    <row r="110" ht="14.25" customHeight="1" spans="1:49">
      <c r="A110" s="3594" t="s">
        <v>601</v>
      </c>
      <c r="B110" s="3595"/>
      <c r="C110" s="3564" t="s">
        <v>6183</v>
      </c>
      <c r="D110" s="3564"/>
      <c r="E110" s="3564"/>
      <c r="F110" s="3564"/>
      <c r="G110" s="3564"/>
      <c r="H110" s="3564"/>
      <c r="I110" s="3564"/>
      <c r="J110" s="3564"/>
      <c r="K110" s="3564"/>
      <c r="L110" s="3564"/>
      <c r="M110" s="3564"/>
      <c r="N110" s="3564"/>
      <c r="O110" s="3564"/>
      <c r="P110" s="3564"/>
      <c r="Q110" s="3564"/>
      <c r="R110" s="3564"/>
      <c r="S110" s="3564"/>
      <c r="T110" s="3564"/>
      <c r="U110" s="3564"/>
      <c r="V110" s="3564"/>
      <c r="W110" s="3564"/>
      <c r="X110" s="3564"/>
      <c r="Y110" s="3564"/>
      <c r="Z110" s="3564"/>
      <c r="AA110" s="3564"/>
      <c r="AB110" s="3564"/>
      <c r="AC110" s="3564"/>
      <c r="AD110" s="3564"/>
      <c r="AE110" s="3596" t="s">
        <v>6184</v>
      </c>
      <c r="AF110" s="3597"/>
      <c r="AG110" s="3597"/>
      <c r="AH110" s="3597"/>
      <c r="AI110" s="3597"/>
      <c r="AJ110" s="3598"/>
      <c r="AK110" s="3513" t="s">
        <v>6185</v>
      </c>
      <c r="AL110" s="3605"/>
      <c r="AM110" s="3605"/>
      <c r="AN110" s="3514"/>
      <c r="AO110" s="3602">
        <f>SUM(UnosPod!F289:L295)</f>
        <v>0</v>
      </c>
      <c r="AP110" s="3603"/>
      <c r="AQ110" s="3603"/>
      <c r="AR110" s="3603"/>
      <c r="AS110" s="3603"/>
      <c r="AT110" s="3603"/>
      <c r="AU110" s="3603"/>
      <c r="AV110" s="3604"/>
    </row>
    <row r="111" ht="14.25" customHeight="1" spans="1:49">
      <c r="A111" s="3594" t="s">
        <v>612</v>
      </c>
      <c r="B111" s="3595"/>
      <c r="C111" s="3564" t="s">
        <v>6186</v>
      </c>
      <c r="D111" s="3564"/>
      <c r="E111" s="3564"/>
      <c r="F111" s="3564"/>
      <c r="G111" s="3564"/>
      <c r="H111" s="3564"/>
      <c r="I111" s="3564"/>
      <c r="J111" s="3564"/>
      <c r="K111" s="3564"/>
      <c r="L111" s="3564"/>
      <c r="M111" s="3564"/>
      <c r="N111" s="3564"/>
      <c r="O111" s="3564"/>
      <c r="P111" s="3564"/>
      <c r="Q111" s="3564"/>
      <c r="R111" s="3564"/>
      <c r="S111" s="3564"/>
      <c r="T111" s="3564"/>
      <c r="U111" s="3564"/>
      <c r="V111" s="3564"/>
      <c r="W111" s="3564"/>
      <c r="X111" s="3564"/>
      <c r="Y111" s="3564"/>
      <c r="Z111" s="3564"/>
      <c r="AA111" s="3564"/>
      <c r="AB111" s="3564"/>
      <c r="AC111" s="3564"/>
      <c r="AD111" s="3564"/>
      <c r="AE111" s="3596" t="s">
        <v>6187</v>
      </c>
      <c r="AF111" s="3597"/>
      <c r="AG111" s="3597"/>
      <c r="AH111" s="3597"/>
      <c r="AI111" s="3597"/>
      <c r="AJ111" s="3598"/>
      <c r="AK111" s="3513"/>
      <c r="AL111" s="3605"/>
      <c r="AM111" s="3605"/>
      <c r="AN111" s="3514"/>
      <c r="AO111" s="3602">
        <f>SUM(AO112:AV117)</f>
        <v>64871</v>
      </c>
      <c r="AP111" s="3603"/>
      <c r="AQ111" s="3603"/>
      <c r="AR111" s="3603"/>
      <c r="AS111" s="3603"/>
      <c r="AT111" s="3603"/>
      <c r="AU111" s="3603"/>
      <c r="AV111" s="3604"/>
    </row>
    <row r="112" ht="26.25" customHeight="1" spans="1:49">
      <c r="A112" s="3594" t="s">
        <v>624</v>
      </c>
      <c r="B112" s="3595"/>
      <c r="C112" s="3620" t="s">
        <v>6188</v>
      </c>
      <c r="D112" s="3620"/>
      <c r="E112" s="3620"/>
      <c r="F112" s="3620"/>
      <c r="G112" s="3620"/>
      <c r="H112" s="3620"/>
      <c r="I112" s="3620"/>
      <c r="J112" s="3620"/>
      <c r="K112" s="3620"/>
      <c r="L112" s="3620"/>
      <c r="M112" s="3620"/>
      <c r="N112" s="3620"/>
      <c r="O112" s="3620"/>
      <c r="P112" s="3620"/>
      <c r="Q112" s="3620"/>
      <c r="R112" s="3620"/>
      <c r="S112" s="3620"/>
      <c r="T112" s="3620"/>
      <c r="U112" s="3620"/>
      <c r="V112" s="3620"/>
      <c r="W112" s="3620"/>
      <c r="X112" s="3620"/>
      <c r="Y112" s="3620"/>
      <c r="Z112" s="3620"/>
      <c r="AA112" s="3620"/>
      <c r="AB112" s="3620"/>
      <c r="AC112" s="3620"/>
      <c r="AD112" s="3620"/>
      <c r="AE112" s="3613" t="s">
        <v>6189</v>
      </c>
      <c r="AF112" s="3614"/>
      <c r="AG112" s="3614"/>
      <c r="AH112" s="3614"/>
      <c r="AI112" s="3614"/>
      <c r="AJ112" s="3615"/>
      <c r="AK112" s="3599" t="s">
        <v>6190</v>
      </c>
      <c r="AL112" s="3600"/>
      <c r="AM112" s="3600"/>
      <c r="AN112" s="3601"/>
      <c r="AO112" s="3520">
        <f>UnosPod!F250+UnosPod!F251</f>
        <v>36454</v>
      </c>
      <c r="AP112" s="3521"/>
      <c r="AQ112" s="3521"/>
      <c r="AR112" s="3521"/>
      <c r="AS112" s="3521"/>
      <c r="AT112" s="3521"/>
      <c r="AU112" s="3521"/>
      <c r="AV112" s="3522"/>
    </row>
    <row r="113" ht="26.25" customHeight="1" spans="1:49">
      <c r="A113" s="3594" t="s">
        <v>636</v>
      </c>
      <c r="B113" s="3595"/>
      <c r="C113" s="3642" t="s">
        <v>6191</v>
      </c>
      <c r="D113" s="3643"/>
      <c r="E113" s="3643"/>
      <c r="F113" s="3643"/>
      <c r="G113" s="3643"/>
      <c r="H113" s="3643"/>
      <c r="I113" s="3643"/>
      <c r="J113" s="3643"/>
      <c r="K113" s="3643"/>
      <c r="L113" s="3643"/>
      <c r="M113" s="3643"/>
      <c r="N113" s="3643"/>
      <c r="O113" s="3643"/>
      <c r="P113" s="3643"/>
      <c r="Q113" s="3643"/>
      <c r="R113" s="3643"/>
      <c r="S113" s="3643"/>
      <c r="T113" s="3643"/>
      <c r="U113" s="3643"/>
      <c r="V113" s="3643"/>
      <c r="W113" s="3643"/>
      <c r="X113" s="3643"/>
      <c r="Y113" s="3643"/>
      <c r="Z113" s="3643"/>
      <c r="AA113" s="3643"/>
      <c r="AB113" s="3643"/>
      <c r="AC113" s="3643"/>
      <c r="AD113" s="3644"/>
      <c r="AE113" s="3613" t="s">
        <v>6192</v>
      </c>
      <c r="AF113" s="3614"/>
      <c r="AG113" s="3614"/>
      <c r="AH113" s="3614"/>
      <c r="AI113" s="3614"/>
      <c r="AJ113" s="3615"/>
      <c r="AK113" s="3513" t="s">
        <v>6152</v>
      </c>
      <c r="AL113" s="3605"/>
      <c r="AM113" s="3605"/>
      <c r="AN113" s="3514"/>
      <c r="AO113" s="3866"/>
      <c r="AP113" s="3867"/>
      <c r="AQ113" s="3867"/>
      <c r="AR113" s="3867"/>
      <c r="AS113" s="3867"/>
      <c r="AT113" s="3867"/>
      <c r="AU113" s="3867"/>
      <c r="AV113" s="3868"/>
    </row>
    <row r="114" ht="17.25" customHeight="1" spans="1:49">
      <c r="A114" s="3594" t="s">
        <v>647</v>
      </c>
      <c r="B114" s="3595"/>
      <c r="C114" s="3612" t="s">
        <v>6193</v>
      </c>
      <c r="D114" s="3612"/>
      <c r="E114" s="3612"/>
      <c r="F114" s="3612"/>
      <c r="G114" s="3612"/>
      <c r="H114" s="3612"/>
      <c r="I114" s="3612"/>
      <c r="J114" s="3612"/>
      <c r="K114" s="3612"/>
      <c r="L114" s="3612"/>
      <c r="M114" s="3612"/>
      <c r="N114" s="3612"/>
      <c r="O114" s="3612"/>
      <c r="P114" s="3612"/>
      <c r="Q114" s="3612"/>
      <c r="R114" s="3612"/>
      <c r="S114" s="3612"/>
      <c r="T114" s="3612"/>
      <c r="U114" s="3612"/>
      <c r="V114" s="3612"/>
      <c r="W114" s="3612"/>
      <c r="X114" s="3612"/>
      <c r="Y114" s="3612"/>
      <c r="Z114" s="3612"/>
      <c r="AA114" s="3612"/>
      <c r="AB114" s="3612"/>
      <c r="AC114" s="3612"/>
      <c r="AD114" s="3612"/>
      <c r="AE114" s="3613" t="s">
        <v>6194</v>
      </c>
      <c r="AF114" s="3614"/>
      <c r="AG114" s="3614"/>
      <c r="AH114" s="3614"/>
      <c r="AI114" s="3614"/>
      <c r="AJ114" s="3615"/>
      <c r="AK114" s="3513">
        <v>551</v>
      </c>
      <c r="AL114" s="3605"/>
      <c r="AM114" s="3605"/>
      <c r="AN114" s="3514"/>
      <c r="AO114" s="3520">
        <f>UnosPod!F298</f>
        <v>775</v>
      </c>
      <c r="AP114" s="3521"/>
      <c r="AQ114" s="3521"/>
      <c r="AR114" s="3521"/>
      <c r="AS114" s="3521"/>
      <c r="AT114" s="3521"/>
      <c r="AU114" s="3521"/>
      <c r="AV114" s="3522"/>
    </row>
    <row r="115" ht="17.25" customHeight="1" spans="1:49">
      <c r="A115" s="3594" t="s">
        <v>656</v>
      </c>
      <c r="B115" s="3595"/>
      <c r="C115" s="3612" t="s">
        <v>6195</v>
      </c>
      <c r="D115" s="3612"/>
      <c r="E115" s="3612"/>
      <c r="F115" s="3612"/>
      <c r="G115" s="3612"/>
      <c r="H115" s="3612"/>
      <c r="I115" s="3612"/>
      <c r="J115" s="3612"/>
      <c r="K115" s="3612"/>
      <c r="L115" s="3612"/>
      <c r="M115" s="3612"/>
      <c r="N115" s="3612"/>
      <c r="O115" s="3612"/>
      <c r="P115" s="3612"/>
      <c r="Q115" s="3612"/>
      <c r="R115" s="3612"/>
      <c r="S115" s="3612"/>
      <c r="T115" s="3612"/>
      <c r="U115" s="3612"/>
      <c r="V115" s="3612"/>
      <c r="W115" s="3612"/>
      <c r="X115" s="3612"/>
      <c r="Y115" s="3612"/>
      <c r="Z115" s="3612"/>
      <c r="AA115" s="3612"/>
      <c r="AB115" s="3612"/>
      <c r="AC115" s="3612"/>
      <c r="AD115" s="3612"/>
      <c r="AE115" s="3613" t="s">
        <v>6196</v>
      </c>
      <c r="AF115" s="3614"/>
      <c r="AG115" s="3614"/>
      <c r="AH115" s="3614"/>
      <c r="AI115" s="3614"/>
      <c r="AJ115" s="3615"/>
      <c r="AK115" s="3513">
        <v>556</v>
      </c>
      <c r="AL115" s="3605"/>
      <c r="AM115" s="3605"/>
      <c r="AN115" s="3514"/>
      <c r="AO115" s="3520">
        <f>UnosPod!F303</f>
        <v>0</v>
      </c>
      <c r="AP115" s="3521"/>
      <c r="AQ115" s="3521"/>
      <c r="AR115" s="3521"/>
      <c r="AS115" s="3521"/>
      <c r="AT115" s="3521"/>
      <c r="AU115" s="3521"/>
      <c r="AV115" s="3522"/>
    </row>
    <row r="116" ht="17.25" customHeight="1" spans="1:49">
      <c r="A116" s="3594" t="s">
        <v>665</v>
      </c>
      <c r="B116" s="3595"/>
      <c r="C116" s="3612" t="s">
        <v>6197</v>
      </c>
      <c r="D116" s="3612"/>
      <c r="E116" s="3612"/>
      <c r="F116" s="3612"/>
      <c r="G116" s="3612"/>
      <c r="H116" s="3612"/>
      <c r="I116" s="3612"/>
      <c r="J116" s="3612"/>
      <c r="K116" s="3612"/>
      <c r="L116" s="3612"/>
      <c r="M116" s="3612"/>
      <c r="N116" s="3612"/>
      <c r="O116" s="3612"/>
      <c r="P116" s="3612"/>
      <c r="Q116" s="3612"/>
      <c r="R116" s="3612"/>
      <c r="S116" s="3612"/>
      <c r="T116" s="3612"/>
      <c r="U116" s="3612"/>
      <c r="V116" s="3612"/>
      <c r="W116" s="3612"/>
      <c r="X116" s="3612"/>
      <c r="Y116" s="3612"/>
      <c r="Z116" s="3612"/>
      <c r="AA116" s="3612"/>
      <c r="AB116" s="3612"/>
      <c r="AC116" s="3612"/>
      <c r="AD116" s="3612"/>
      <c r="AE116" s="3613" t="s">
        <v>6198</v>
      </c>
      <c r="AF116" s="3614"/>
      <c r="AG116" s="3614"/>
      <c r="AH116" s="3614"/>
      <c r="AI116" s="3614"/>
      <c r="AJ116" s="3615"/>
      <c r="AK116" s="3513" t="s">
        <v>6199</v>
      </c>
      <c r="AL116" s="3605"/>
      <c r="AM116" s="3605"/>
      <c r="AN116" s="3514"/>
      <c r="AO116" s="3520">
        <f>UnosPod!F302</f>
        <v>27285</v>
      </c>
      <c r="AP116" s="3521"/>
      <c r="AQ116" s="3521"/>
      <c r="AR116" s="3521"/>
      <c r="AS116" s="3521"/>
      <c r="AT116" s="3521"/>
      <c r="AU116" s="3521"/>
      <c r="AV116" s="3522"/>
    </row>
    <row r="117" ht="27" customHeight="1" spans="1:49">
      <c r="A117" s="3594" t="s">
        <v>675</v>
      </c>
      <c r="B117" s="3595"/>
      <c r="C117" s="3645" t="s">
        <v>6200</v>
      </c>
      <c r="D117" s="3646"/>
      <c r="E117" s="3646"/>
      <c r="F117" s="3646"/>
      <c r="G117" s="3646"/>
      <c r="H117" s="3646"/>
      <c r="I117" s="3646"/>
      <c r="J117" s="3646"/>
      <c r="K117" s="3646"/>
      <c r="L117" s="3646"/>
      <c r="M117" s="3646"/>
      <c r="N117" s="3646"/>
      <c r="O117" s="3646"/>
      <c r="P117" s="3646"/>
      <c r="Q117" s="3646"/>
      <c r="R117" s="3646"/>
      <c r="S117" s="3646"/>
      <c r="T117" s="3646"/>
      <c r="U117" s="3646"/>
      <c r="V117" s="3646"/>
      <c r="W117" s="3646"/>
      <c r="X117" s="3646"/>
      <c r="Y117" s="3646"/>
      <c r="Z117" s="3646"/>
      <c r="AA117" s="3646"/>
      <c r="AB117" s="3646"/>
      <c r="AC117" s="3646"/>
      <c r="AD117" s="3647"/>
      <c r="AE117" s="3613" t="s">
        <v>6201</v>
      </c>
      <c r="AF117" s="3614"/>
      <c r="AG117" s="3614"/>
      <c r="AH117" s="3614"/>
      <c r="AI117" s="3614"/>
      <c r="AJ117" s="3615"/>
      <c r="AK117" s="3513">
        <v>559</v>
      </c>
      <c r="AL117" s="3605"/>
      <c r="AM117" s="3605"/>
      <c r="AN117" s="3514"/>
      <c r="AO117" s="3520">
        <f>UnosPod!F304</f>
        <v>357</v>
      </c>
      <c r="AP117" s="3521"/>
      <c r="AQ117" s="3521"/>
      <c r="AR117" s="3521"/>
      <c r="AS117" s="3521"/>
      <c r="AT117" s="3521"/>
      <c r="AU117" s="3521"/>
      <c r="AV117" s="3522"/>
    </row>
    <row r="118" spans="1:49">
      <c r="A118" s="3594" t="s">
        <v>683</v>
      </c>
      <c r="B118" s="3595"/>
      <c r="C118" s="3636" t="s">
        <v>6202</v>
      </c>
      <c r="D118" s="3622"/>
      <c r="E118" s="3622"/>
      <c r="F118" s="3622"/>
      <c r="G118" s="3622"/>
      <c r="H118" s="3622"/>
      <c r="I118" s="3622"/>
      <c r="J118" s="3622"/>
      <c r="K118" s="3622"/>
      <c r="L118" s="3622"/>
      <c r="M118" s="3622"/>
      <c r="N118" s="3622"/>
      <c r="O118" s="3622"/>
      <c r="P118" s="3622"/>
      <c r="Q118" s="3622"/>
      <c r="R118" s="3622"/>
      <c r="S118" s="3622"/>
      <c r="T118" s="3622"/>
      <c r="U118" s="3622"/>
      <c r="V118" s="3622"/>
      <c r="W118" s="3622"/>
      <c r="X118" s="3622"/>
      <c r="Y118" s="3622"/>
      <c r="Z118" s="3622"/>
      <c r="AA118" s="3622"/>
      <c r="AB118" s="3622"/>
      <c r="AC118" s="3622"/>
      <c r="AD118" s="3623"/>
      <c r="AE118" s="3596" t="s">
        <v>6203</v>
      </c>
      <c r="AF118" s="3597"/>
      <c r="AG118" s="3597"/>
      <c r="AH118" s="3597"/>
      <c r="AI118" s="3597"/>
      <c r="AJ118" s="3598"/>
      <c r="AK118" s="3513" t="s">
        <v>6199</v>
      </c>
      <c r="AL118" s="3605"/>
      <c r="AM118" s="3605"/>
      <c r="AN118" s="3514"/>
      <c r="AO118" s="3602"/>
      <c r="AP118" s="3603"/>
      <c r="AQ118" s="3603"/>
      <c r="AR118" s="3603"/>
      <c r="AS118" s="3603"/>
      <c r="AT118" s="3603"/>
      <c r="AU118" s="3603"/>
      <c r="AV118" s="3604"/>
    </row>
    <row r="119" spans="1:49">
      <c r="A119" s="3594" t="s">
        <v>693</v>
      </c>
      <c r="B119" s="3595"/>
      <c r="C119" s="3515" t="s">
        <v>6204</v>
      </c>
      <c r="D119" s="3515"/>
      <c r="E119" s="3515"/>
      <c r="F119" s="3515"/>
      <c r="G119" s="3515"/>
      <c r="H119" s="3515"/>
      <c r="I119" s="3515"/>
      <c r="J119" s="3515"/>
      <c r="K119" s="3515"/>
      <c r="L119" s="3515"/>
      <c r="M119" s="3515"/>
      <c r="N119" s="3515"/>
      <c r="O119" s="3515"/>
      <c r="P119" s="3515"/>
      <c r="Q119" s="3515"/>
      <c r="R119" s="3515"/>
      <c r="S119" s="3515"/>
      <c r="T119" s="3515"/>
      <c r="U119" s="3515"/>
      <c r="V119" s="3515"/>
      <c r="W119" s="3515"/>
      <c r="X119" s="3515"/>
      <c r="Y119" s="3515"/>
      <c r="Z119" s="3515"/>
      <c r="AA119" s="3515"/>
      <c r="AB119" s="3515"/>
      <c r="AC119" s="3515"/>
      <c r="AD119" s="3515"/>
      <c r="AE119" s="3596" t="s">
        <v>6205</v>
      </c>
      <c r="AF119" s="3597"/>
      <c r="AG119" s="3597"/>
      <c r="AH119" s="3597"/>
      <c r="AI119" s="3597"/>
      <c r="AJ119" s="3598"/>
      <c r="AK119" s="3513" t="s">
        <v>6199</v>
      </c>
      <c r="AL119" s="3605"/>
      <c r="AM119" s="3605"/>
      <c r="AN119" s="3514"/>
      <c r="AO119" s="3602"/>
      <c r="AP119" s="3603"/>
      <c r="AQ119" s="3603"/>
      <c r="AR119" s="3603"/>
      <c r="AS119" s="3603"/>
      <c r="AT119" s="3603"/>
      <c r="AU119" s="3603"/>
      <c r="AV119" s="3604"/>
    </row>
    <row r="120" spans="1:49">
      <c r="A120" s="3594" t="s">
        <v>702</v>
      </c>
      <c r="B120" s="3595"/>
      <c r="C120" s="3515" t="s">
        <v>6206</v>
      </c>
      <c r="D120" s="3515"/>
      <c r="E120" s="3515"/>
      <c r="F120" s="3515"/>
      <c r="G120" s="3515"/>
      <c r="H120" s="3515"/>
      <c r="I120" s="3515"/>
      <c r="J120" s="3515"/>
      <c r="K120" s="3515"/>
      <c r="L120" s="3515"/>
      <c r="M120" s="3515"/>
      <c r="N120" s="3515"/>
      <c r="O120" s="3515"/>
      <c r="P120" s="3515"/>
      <c r="Q120" s="3515"/>
      <c r="R120" s="3515"/>
      <c r="S120" s="3515"/>
      <c r="T120" s="3515"/>
      <c r="U120" s="3515"/>
      <c r="V120" s="3515"/>
      <c r="W120" s="3515"/>
      <c r="X120" s="3515"/>
      <c r="Y120" s="3515"/>
      <c r="Z120" s="3515"/>
      <c r="AA120" s="3515"/>
      <c r="AB120" s="3515"/>
      <c r="AC120" s="3515"/>
      <c r="AD120" s="3515"/>
      <c r="AE120" s="3596" t="s">
        <v>6207</v>
      </c>
      <c r="AF120" s="3597"/>
      <c r="AG120" s="3597"/>
      <c r="AH120" s="3597"/>
      <c r="AI120" s="3597"/>
      <c r="AJ120" s="3598"/>
      <c r="AK120" s="3648"/>
      <c r="AL120" s="3649"/>
      <c r="AM120" s="3649"/>
      <c r="AN120" s="3650"/>
      <c r="AO120" s="3602">
        <f>AO87+AO88+AO89+AO90+AO105+AO109+AO110+AO110+AO118+AO119</f>
        <v>254491</v>
      </c>
      <c r="AP120" s="3603"/>
      <c r="AQ120" s="3603"/>
      <c r="AR120" s="3603"/>
      <c r="AS120" s="3603"/>
      <c r="AT120" s="3603"/>
      <c r="AU120" s="3603"/>
      <c r="AV120" s="3604"/>
    </row>
    <row r="121" ht="25.5" customHeight="1" spans="1:49">
      <c r="A121" s="3568" t="s">
        <v>709</v>
      </c>
      <c r="B121" s="3570"/>
      <c r="C121" s="3651" t="s">
        <v>6208</v>
      </c>
      <c r="D121" s="3652"/>
      <c r="E121" s="3652"/>
      <c r="F121" s="3652"/>
      <c r="G121" s="3652"/>
      <c r="H121" s="3652"/>
      <c r="I121" s="3652"/>
      <c r="J121" s="3652"/>
      <c r="K121" s="3652"/>
      <c r="L121" s="3652"/>
      <c r="M121" s="3652"/>
      <c r="N121" s="3652"/>
      <c r="O121" s="3652"/>
      <c r="P121" s="3652"/>
      <c r="Q121" s="3652"/>
      <c r="R121" s="3652"/>
      <c r="S121" s="3652"/>
      <c r="T121" s="3652"/>
      <c r="U121" s="3652"/>
      <c r="V121" s="3652"/>
      <c r="W121" s="3652"/>
      <c r="X121" s="3652"/>
      <c r="Y121" s="3652"/>
      <c r="Z121" s="3652"/>
      <c r="AA121" s="3652"/>
      <c r="AB121" s="3652"/>
      <c r="AC121" s="3652"/>
      <c r="AD121" s="3653"/>
      <c r="AE121" s="3654" t="s">
        <v>6209</v>
      </c>
      <c r="AF121" s="3654"/>
      <c r="AG121" s="3654"/>
      <c r="AH121" s="3654"/>
      <c r="AI121" s="3654"/>
      <c r="AJ121" s="3654"/>
      <c r="AK121" s="3655"/>
      <c r="AL121" s="3656"/>
      <c r="AM121" s="3656"/>
      <c r="AN121" s="3657"/>
      <c r="AO121" s="3866"/>
      <c r="AP121" s="3867"/>
      <c r="AQ121" s="3867"/>
      <c r="AR121" s="3867"/>
      <c r="AS121" s="3867"/>
      <c r="AT121" s="3867"/>
      <c r="AU121" s="3867"/>
      <c r="AV121" s="3868"/>
    </row>
    <row r="122" ht="14.25" spans="1:49">
      <c r="A122" s="3500" t="s">
        <v>6210</v>
      </c>
      <c r="B122" s="3658"/>
      <c r="C122" s="3658"/>
      <c r="D122" s="3658"/>
      <c r="E122" s="3658"/>
      <c r="F122" s="3658"/>
      <c r="G122" s="3658"/>
      <c r="H122" s="3658"/>
      <c r="I122" s="3658"/>
      <c r="J122" s="3658"/>
      <c r="K122" s="3658"/>
      <c r="L122" s="3658"/>
      <c r="M122" s="3658"/>
      <c r="N122" s="3658"/>
      <c r="O122" s="3658"/>
      <c r="P122" s="3658"/>
      <c r="Q122" s="3658"/>
      <c r="R122" s="3658"/>
      <c r="S122" s="3658"/>
      <c r="T122" s="3658"/>
      <c r="U122" s="3658"/>
      <c r="V122" s="3658"/>
      <c r="W122" s="3658"/>
      <c r="X122" s="3658"/>
      <c r="Y122" s="3658"/>
      <c r="Z122" s="3658"/>
      <c r="AA122" s="3658"/>
      <c r="AB122" s="3658"/>
      <c r="AC122" s="3658"/>
      <c r="AD122" s="3658"/>
      <c r="AE122" s="3658"/>
      <c r="AF122" s="3658"/>
      <c r="AG122" s="3658"/>
      <c r="AH122" s="3658"/>
      <c r="AI122" s="3658"/>
      <c r="AJ122" s="3658"/>
      <c r="AK122" s="3658"/>
      <c r="AL122" s="3658"/>
      <c r="AM122" s="3658"/>
      <c r="AN122" s="3658"/>
      <c r="AO122" s="3658"/>
      <c r="AP122" s="3658"/>
      <c r="AQ122" s="3658"/>
      <c r="AR122" s="3658"/>
      <c r="AS122" s="3658"/>
      <c r="AT122" s="3658"/>
      <c r="AU122" s="3658"/>
      <c r="AV122" s="3658"/>
      <c r="AW122" s="3659"/>
    </row>
    <row r="123" spans="1:49">
      <c r="A123" s="3500"/>
      <c r="B123" s="3658"/>
      <c r="C123" s="3658"/>
      <c r="D123" s="3658"/>
      <c r="E123" s="3658"/>
      <c r="F123" s="3658"/>
      <c r="G123" s="3658"/>
      <c r="H123" s="3658"/>
      <c r="I123" s="3658"/>
      <c r="J123" s="3658"/>
      <c r="K123" s="3658"/>
      <c r="L123" s="3658"/>
      <c r="M123" s="3658"/>
      <c r="N123" s="3658"/>
      <c r="O123" s="3658"/>
      <c r="P123" s="3658"/>
      <c r="Q123" s="3658"/>
      <c r="R123" s="3658"/>
      <c r="S123" s="3658"/>
      <c r="T123" s="3658"/>
      <c r="U123" s="3658"/>
      <c r="V123" s="3658"/>
      <c r="W123" s="3658"/>
      <c r="X123" s="3658"/>
      <c r="Y123" s="3658"/>
      <c r="Z123" s="3658"/>
      <c r="AA123" s="3658"/>
      <c r="AB123" s="3658"/>
      <c r="AC123" s="3658"/>
      <c r="AD123" s="3658"/>
      <c r="AE123" s="3658"/>
      <c r="AF123" s="3658"/>
      <c r="AG123" s="3658"/>
      <c r="AH123" s="3658"/>
      <c r="AI123" s="3658"/>
      <c r="AJ123" s="3658"/>
      <c r="AK123" s="3658"/>
      <c r="AL123" s="3658"/>
      <c r="AM123" s="3658"/>
      <c r="AN123" s="3658"/>
      <c r="AO123" s="3658"/>
      <c r="AP123" s="3658"/>
      <c r="AQ123" s="3658"/>
      <c r="AR123" s="3658"/>
      <c r="AS123" s="3658"/>
      <c r="AT123" s="3658"/>
      <c r="AU123" s="3658"/>
      <c r="AV123" s="3658"/>
      <c r="AW123" s="3659"/>
    </row>
    <row r="124" spans="1:49">
      <c r="A124" s="3500"/>
      <c r="B124" s="3658"/>
      <c r="C124" s="3658"/>
      <c r="D124" s="3658"/>
      <c r="E124" s="3658"/>
      <c r="F124" s="3658"/>
      <c r="G124" s="3658"/>
      <c r="H124" s="3658"/>
      <c r="I124" s="3658"/>
      <c r="J124" s="3658"/>
      <c r="K124" s="3658"/>
      <c r="L124" s="3658"/>
      <c r="M124" s="3658"/>
      <c r="N124" s="3658"/>
      <c r="O124" s="3658"/>
      <c r="P124" s="3658"/>
      <c r="Q124" s="3658"/>
      <c r="R124" s="3658"/>
      <c r="S124" s="3658"/>
      <c r="T124" s="3658"/>
      <c r="U124" s="3658"/>
      <c r="V124" s="3658"/>
      <c r="W124" s="3658"/>
      <c r="X124" s="3658"/>
      <c r="Y124" s="3658"/>
      <c r="Z124" s="3658"/>
      <c r="AA124" s="3658"/>
      <c r="AB124" s="3658"/>
      <c r="AC124" s="3658"/>
      <c r="AD124" s="3658"/>
      <c r="AE124" s="3658"/>
      <c r="AF124" s="3658"/>
      <c r="AG124" s="3658"/>
      <c r="AH124" s="3658"/>
      <c r="AI124" s="3658"/>
      <c r="AJ124" s="3658"/>
      <c r="AK124" s="3658"/>
      <c r="AL124" s="3658"/>
      <c r="AM124" s="3658"/>
      <c r="AN124" s="3658"/>
      <c r="AO124" s="3658"/>
      <c r="AP124" s="3658"/>
      <c r="AQ124" s="3658"/>
      <c r="AR124" s="3658"/>
      <c r="AS124" s="3658"/>
      <c r="AT124" s="3658"/>
      <c r="AU124" s="3658"/>
      <c r="AV124" s="3658"/>
      <c r="AW124" s="3659"/>
    </row>
    <row r="125" spans="1:49">
      <c r="A125" s="3500"/>
      <c r="B125" s="3658"/>
      <c r="C125" s="3658"/>
      <c r="D125" s="3658"/>
      <c r="E125" s="3658"/>
      <c r="F125" s="3658"/>
      <c r="G125" s="3658"/>
      <c r="H125" s="3658"/>
      <c r="I125" s="3658"/>
      <c r="J125" s="3658"/>
      <c r="K125" s="3658"/>
      <c r="L125" s="3658"/>
      <c r="M125" s="3658"/>
      <c r="N125" s="3658"/>
      <c r="O125" s="3658"/>
      <c r="P125" s="3658"/>
      <c r="Q125" s="3658"/>
      <c r="R125" s="3658"/>
      <c r="S125" s="3658"/>
      <c r="T125" s="3658"/>
      <c r="U125" s="3658"/>
      <c r="V125" s="3658"/>
      <c r="W125" s="3658"/>
      <c r="X125" s="3658"/>
      <c r="Y125" s="3658"/>
      <c r="Z125" s="3658"/>
      <c r="AA125" s="3658"/>
      <c r="AB125" s="3658"/>
      <c r="AC125" s="3658"/>
      <c r="AD125" s="3658"/>
      <c r="AE125" s="3658"/>
      <c r="AF125" s="3658"/>
      <c r="AG125" s="3658"/>
      <c r="AH125" s="3658"/>
      <c r="AI125" s="3658"/>
      <c r="AJ125" s="3658"/>
      <c r="AK125" s="3658"/>
      <c r="AL125" s="3658"/>
      <c r="AM125" s="3658"/>
      <c r="AN125" s="3658"/>
      <c r="AO125" s="3658"/>
      <c r="AP125" s="3658"/>
      <c r="AQ125" s="3658"/>
      <c r="AR125" s="3658"/>
      <c r="AS125" s="3658"/>
      <c r="AT125" s="3658"/>
      <c r="AU125" s="3658"/>
      <c r="AV125" s="3658"/>
      <c r="AW125" s="3659"/>
    </row>
    <row r="126" spans="1:49">
      <c r="A126" s="3500"/>
      <c r="B126" s="3658"/>
      <c r="C126" s="3658"/>
      <c r="D126" s="3658"/>
      <c r="E126" s="3658"/>
      <c r="F126" s="3658"/>
      <c r="G126" s="3658"/>
      <c r="H126" s="3658"/>
      <c r="I126" s="3658"/>
      <c r="J126" s="3658"/>
      <c r="K126" s="3658"/>
      <c r="L126" s="3658"/>
      <c r="M126" s="3658"/>
      <c r="N126" s="3658"/>
      <c r="O126" s="3658"/>
      <c r="P126" s="3658"/>
      <c r="Q126" s="3658"/>
      <c r="R126" s="3658"/>
      <c r="S126" s="3658"/>
      <c r="T126" s="3658"/>
      <c r="U126" s="3658"/>
      <c r="V126" s="3658"/>
      <c r="W126" s="3658"/>
      <c r="X126" s="3658"/>
      <c r="Y126" s="3658"/>
      <c r="Z126" s="3658"/>
      <c r="AA126" s="3658"/>
      <c r="AB126" s="3658"/>
      <c r="AC126" s="3658"/>
      <c r="AD126" s="3658"/>
      <c r="AE126" s="3658"/>
      <c r="AF126" s="3658"/>
      <c r="AG126" s="3658"/>
      <c r="AH126" s="3658"/>
      <c r="AI126" s="3658"/>
      <c r="AJ126" s="3658"/>
      <c r="AK126" s="3658"/>
      <c r="AL126" s="3658"/>
      <c r="AM126" s="3658"/>
      <c r="AN126" s="3658"/>
      <c r="AO126" s="3658"/>
      <c r="AP126" s="3658"/>
      <c r="AQ126" s="3658"/>
      <c r="AR126" s="3658"/>
      <c r="AS126" s="3658"/>
      <c r="AT126" s="3658"/>
      <c r="AU126" s="3658"/>
      <c r="AV126" s="3658"/>
      <c r="AW126" s="3659"/>
    </row>
    <row r="127" spans="1:49">
      <c r="A127" s="3500"/>
      <c r="B127" s="3658"/>
      <c r="C127" s="3658"/>
      <c r="D127" s="3658"/>
      <c r="E127" s="3658"/>
      <c r="F127" s="3658"/>
      <c r="G127" s="3658"/>
      <c r="H127" s="3658"/>
      <c r="I127" s="3658"/>
      <c r="J127" s="3658"/>
      <c r="K127" s="3658"/>
      <c r="L127" s="3658"/>
      <c r="M127" s="3658"/>
      <c r="N127" s="3658"/>
      <c r="O127" s="3658"/>
      <c r="P127" s="3658"/>
      <c r="Q127" s="3658"/>
      <c r="R127" s="3658"/>
      <c r="S127" s="3658"/>
      <c r="T127" s="3658"/>
      <c r="U127" s="3658"/>
      <c r="V127" s="3658"/>
      <c r="W127" s="3658"/>
      <c r="X127" s="3658"/>
      <c r="Y127" s="3658"/>
      <c r="Z127" s="3658"/>
      <c r="AA127" s="3658"/>
      <c r="AB127" s="3658"/>
      <c r="AC127" s="3658"/>
      <c r="AD127" s="3658"/>
      <c r="AE127" s="3658"/>
      <c r="AF127" s="3658"/>
      <c r="AG127" s="3658"/>
      <c r="AH127" s="3658"/>
      <c r="AI127" s="3658"/>
      <c r="AJ127" s="3658"/>
      <c r="AK127" s="3658"/>
      <c r="AL127" s="3658"/>
      <c r="AM127" s="3658"/>
      <c r="AN127" s="3658"/>
      <c r="AO127" s="3658"/>
      <c r="AP127" s="3658"/>
      <c r="AQ127" s="3658"/>
      <c r="AR127" s="3658"/>
      <c r="AS127" s="3658"/>
      <c r="AT127" s="3658"/>
      <c r="AU127" s="3658"/>
      <c r="AV127" s="3658"/>
      <c r="AW127" s="3659"/>
    </row>
    <row r="128" spans="1:49">
      <c r="A128" s="3500"/>
      <c r="B128" s="3658"/>
      <c r="C128" s="3658"/>
      <c r="D128" s="3658"/>
      <c r="E128" s="3658"/>
      <c r="F128" s="3658"/>
      <c r="G128" s="3658"/>
      <c r="H128" s="3658"/>
      <c r="I128" s="3658"/>
      <c r="J128" s="3658"/>
      <c r="K128" s="3658"/>
      <c r="L128" s="3658"/>
      <c r="M128" s="3658"/>
      <c r="N128" s="3658"/>
      <c r="O128" s="3658"/>
      <c r="P128" s="3658"/>
      <c r="Q128" s="3658"/>
      <c r="R128" s="3658"/>
      <c r="S128" s="3658"/>
      <c r="T128" s="3658"/>
      <c r="U128" s="3658"/>
      <c r="V128" s="3658"/>
      <c r="W128" s="3658"/>
      <c r="X128" s="3658"/>
      <c r="Y128" s="3658"/>
      <c r="Z128" s="3658"/>
      <c r="AA128" s="3658"/>
      <c r="AB128" s="3658"/>
      <c r="AC128" s="3658"/>
      <c r="AD128" s="3658"/>
      <c r="AE128" s="3658"/>
      <c r="AF128" s="3658"/>
      <c r="AG128" s="3658"/>
      <c r="AH128" s="3658"/>
      <c r="AI128" s="3658"/>
      <c r="AJ128" s="3658"/>
      <c r="AK128" s="3658"/>
      <c r="AL128" s="3658"/>
      <c r="AM128" s="3658"/>
      <c r="AN128" s="3658"/>
      <c r="AO128" s="3658"/>
      <c r="AP128" s="3658"/>
      <c r="AQ128" s="3658"/>
      <c r="AR128" s="3658"/>
      <c r="AS128" s="3658"/>
      <c r="AT128" s="3658"/>
      <c r="AU128" s="3658"/>
      <c r="AV128" s="3658"/>
      <c r="AW128" s="3659"/>
    </row>
    <row r="129" ht="14.25" spans="1:48">
      <c r="A129" s="3660" t="s">
        <v>6211</v>
      </c>
      <c r="B129" s="3660"/>
      <c r="C129" s="3660"/>
      <c r="D129" s="3660"/>
      <c r="E129" s="3660"/>
      <c r="F129" s="3660"/>
      <c r="G129" s="3660"/>
      <c r="H129" s="3660"/>
      <c r="I129" s="3660"/>
      <c r="J129" s="3660"/>
      <c r="K129" s="3660"/>
      <c r="L129" s="3660"/>
      <c r="M129" s="3660"/>
      <c r="N129" s="3660"/>
      <c r="O129" s="3660"/>
      <c r="P129" s="3660"/>
      <c r="Q129" s="3660"/>
      <c r="R129" s="3660"/>
      <c r="S129" s="3660"/>
      <c r="T129" s="3660"/>
      <c r="U129" s="3660"/>
      <c r="V129" s="3660"/>
      <c r="W129" s="3660"/>
      <c r="X129" s="3660"/>
      <c r="Y129" s="3660"/>
      <c r="Z129" s="3660"/>
      <c r="AA129" s="3660"/>
      <c r="AB129" s="3660"/>
      <c r="AC129" s="3660"/>
      <c r="AD129" s="3660"/>
      <c r="AE129" s="3660"/>
      <c r="AF129" s="3660"/>
      <c r="AG129" s="3660"/>
      <c r="AH129" s="3660"/>
      <c r="AI129" s="3661"/>
      <c r="AJ129" s="3661"/>
      <c r="AK129" s="3661"/>
      <c r="AL129" s="3661"/>
      <c r="AM129" s="3661"/>
      <c r="AN129" s="3661"/>
      <c r="AO129" s="3661"/>
      <c r="AP129" s="3661"/>
      <c r="AQ129" s="3661"/>
      <c r="AR129" s="3661"/>
      <c r="AS129" s="3661"/>
      <c r="AT129" s="3661"/>
      <c r="AU129" s="3661"/>
      <c r="AV129" s="3661"/>
    </row>
    <row r="130" ht="23.25" customHeight="1" spans="1:48">
      <c r="A130" s="3662" t="s">
        <v>6096</v>
      </c>
      <c r="B130" s="3663"/>
      <c r="C130" s="3664" t="s">
        <v>6097</v>
      </c>
      <c r="D130" s="3665"/>
      <c r="E130" s="3665"/>
      <c r="F130" s="3665"/>
      <c r="G130" s="3665"/>
      <c r="H130" s="3665"/>
      <c r="I130" s="3665"/>
      <c r="J130" s="3665"/>
      <c r="K130" s="3665"/>
      <c r="L130" s="3665"/>
      <c r="M130" s="3665"/>
      <c r="N130" s="3665"/>
      <c r="O130" s="3665"/>
      <c r="P130" s="3665"/>
      <c r="Q130" s="3665"/>
      <c r="R130" s="3665"/>
      <c r="S130" s="3665"/>
      <c r="T130" s="3665"/>
      <c r="U130" s="3665"/>
      <c r="V130" s="3665"/>
      <c r="W130" s="3666"/>
      <c r="X130" s="3509" t="s">
        <v>6098</v>
      </c>
      <c r="Y130" s="3509"/>
      <c r="Z130" s="3509"/>
      <c r="AA130" s="3509"/>
      <c r="AB130" s="3509"/>
      <c r="AC130" s="3509"/>
      <c r="AD130" s="3510" t="s">
        <v>6099</v>
      </c>
      <c r="AE130" s="3511"/>
      <c r="AF130" s="3511"/>
      <c r="AG130" s="3511"/>
      <c r="AH130" s="3512"/>
      <c r="AI130" s="3667" t="str">
        <f ca="1">"01.01."&amp;PoslGod</f>
        <v>01.01.2025</v>
      </c>
      <c r="AJ130" s="3668"/>
      <c r="AK130" s="3668"/>
      <c r="AL130" s="3668"/>
      <c r="AM130" s="3668"/>
      <c r="AN130" s="3669"/>
      <c r="AO130" s="3667" t="str">
        <f ca="1">"31.12."&amp;PoslGod</f>
        <v>31.12.2025</v>
      </c>
      <c r="AP130" s="3668"/>
      <c r="AQ130" s="3668"/>
      <c r="AR130" s="3668"/>
      <c r="AS130" s="3668"/>
      <c r="AT130" s="3668"/>
      <c r="AU130" s="3668"/>
      <c r="AV130" s="3669"/>
    </row>
    <row r="131" ht="18" customHeight="1" spans="1:48">
      <c r="A131" s="3670" t="s">
        <v>5336</v>
      </c>
      <c r="B131" s="3670"/>
      <c r="C131" s="3621" t="s">
        <v>6212</v>
      </c>
      <c r="D131" s="3622"/>
      <c r="E131" s="3622"/>
      <c r="F131" s="3622"/>
      <c r="G131" s="3622"/>
      <c r="H131" s="3622"/>
      <c r="I131" s="3622"/>
      <c r="J131" s="3622"/>
      <c r="K131" s="3622"/>
      <c r="L131" s="3622"/>
      <c r="M131" s="3622"/>
      <c r="N131" s="3622"/>
      <c r="O131" s="3622"/>
      <c r="P131" s="3622"/>
      <c r="Q131" s="3622"/>
      <c r="R131" s="3622"/>
      <c r="S131" s="3622"/>
      <c r="T131" s="3622"/>
      <c r="U131" s="3622"/>
      <c r="V131" s="3622"/>
      <c r="W131" s="3623"/>
      <c r="X131" s="3670" t="s">
        <v>6213</v>
      </c>
      <c r="Y131" s="3670"/>
      <c r="Z131" s="3670"/>
      <c r="AA131" s="3670"/>
      <c r="AB131" s="3670"/>
      <c r="AC131" s="3670"/>
      <c r="AD131" s="3671">
        <v>10</v>
      </c>
      <c r="AE131" s="3672"/>
      <c r="AF131" s="3672"/>
      <c r="AG131" s="3672"/>
      <c r="AH131" s="3673"/>
      <c r="AI131" s="3674">
        <v>1</v>
      </c>
      <c r="AJ131" s="3675">
        <f>B_Stanja!AP61-AJ132</f>
        <v>0</v>
      </c>
      <c r="AK131" s="3675"/>
      <c r="AL131" s="3675"/>
      <c r="AM131" s="3675"/>
      <c r="AN131" s="3675"/>
      <c r="AO131" s="3674">
        <v>2</v>
      </c>
      <c r="AP131" s="3676">
        <f>B_Stanja!AI61-AP132</f>
        <v>0</v>
      </c>
      <c r="AQ131" s="3677"/>
      <c r="AR131" s="3677"/>
      <c r="AS131" s="3677"/>
      <c r="AT131" s="3677"/>
      <c r="AU131" s="3677"/>
      <c r="AV131" s="3678"/>
    </row>
    <row r="132" ht="18" customHeight="1" spans="1:48">
      <c r="A132" s="3670" t="s">
        <v>5428</v>
      </c>
      <c r="B132" s="3670"/>
      <c r="C132" s="3621" t="s">
        <v>6214</v>
      </c>
      <c r="D132" s="3622"/>
      <c r="E132" s="3622"/>
      <c r="F132" s="3622"/>
      <c r="G132" s="3622"/>
      <c r="H132" s="3622"/>
      <c r="I132" s="3622"/>
      <c r="J132" s="3622"/>
      <c r="K132" s="3622"/>
      <c r="L132" s="3622"/>
      <c r="M132" s="3622"/>
      <c r="N132" s="3622"/>
      <c r="O132" s="3622"/>
      <c r="P132" s="3622"/>
      <c r="Q132" s="3622"/>
      <c r="R132" s="3622"/>
      <c r="S132" s="3622"/>
      <c r="T132" s="3622"/>
      <c r="U132" s="3622"/>
      <c r="V132" s="3622"/>
      <c r="W132" s="3623"/>
      <c r="X132" s="3670" t="s">
        <v>6215</v>
      </c>
      <c r="Y132" s="3670"/>
      <c r="Z132" s="3670"/>
      <c r="AA132" s="3670"/>
      <c r="AB132" s="3670"/>
      <c r="AC132" s="3670"/>
      <c r="AD132" s="3679"/>
      <c r="AE132" s="3680"/>
      <c r="AF132" s="3680"/>
      <c r="AG132" s="3680"/>
      <c r="AH132" s="3681"/>
      <c r="AI132" s="3674">
        <v>1</v>
      </c>
      <c r="AJ132" s="3676"/>
      <c r="AK132" s="3677"/>
      <c r="AL132" s="3677"/>
      <c r="AM132" s="3677"/>
      <c r="AN132" s="3678"/>
      <c r="AO132" s="3674">
        <v>2</v>
      </c>
      <c r="AP132" s="3676"/>
      <c r="AQ132" s="3677"/>
      <c r="AR132" s="3677"/>
      <c r="AS132" s="3677"/>
      <c r="AT132" s="3677"/>
      <c r="AU132" s="3677"/>
      <c r="AV132" s="3678"/>
    </row>
    <row r="133" ht="18" customHeight="1" spans="1:48">
      <c r="A133" s="3670" t="s">
        <v>5469</v>
      </c>
      <c r="B133" s="3670"/>
      <c r="C133" s="3621" t="s">
        <v>6216</v>
      </c>
      <c r="D133" s="3622"/>
      <c r="E133" s="3622"/>
      <c r="F133" s="3622"/>
      <c r="G133" s="3622"/>
      <c r="H133" s="3622"/>
      <c r="I133" s="3622"/>
      <c r="J133" s="3622"/>
      <c r="K133" s="3622"/>
      <c r="L133" s="3622"/>
      <c r="M133" s="3622"/>
      <c r="N133" s="3622"/>
      <c r="O133" s="3622"/>
      <c r="P133" s="3622"/>
      <c r="Q133" s="3622"/>
      <c r="R133" s="3622"/>
      <c r="S133" s="3622"/>
      <c r="T133" s="3622"/>
      <c r="U133" s="3622"/>
      <c r="V133" s="3622"/>
      <c r="W133" s="3623"/>
      <c r="X133" s="3670" t="s">
        <v>6217</v>
      </c>
      <c r="Y133" s="3670"/>
      <c r="Z133" s="3670"/>
      <c r="AA133" s="3670"/>
      <c r="AB133" s="3670"/>
      <c r="AC133" s="3670"/>
      <c r="AD133" s="3679">
        <v>13</v>
      </c>
      <c r="AE133" s="3680"/>
      <c r="AF133" s="3680"/>
      <c r="AG133" s="3680"/>
      <c r="AH133" s="3681"/>
      <c r="AI133" s="3674">
        <v>1</v>
      </c>
      <c r="AJ133" s="3675">
        <f>B_Stanja!AP64</f>
        <v>0</v>
      </c>
      <c r="AK133" s="3675"/>
      <c r="AL133" s="3675"/>
      <c r="AM133" s="3675"/>
      <c r="AN133" s="3675"/>
      <c r="AO133" s="3674">
        <v>2</v>
      </c>
      <c r="AP133" s="3676">
        <f>B_Stanja!AI64</f>
        <v>0</v>
      </c>
      <c r="AQ133" s="3677"/>
      <c r="AR133" s="3677"/>
      <c r="AS133" s="3677"/>
      <c r="AT133" s="3677"/>
      <c r="AU133" s="3677"/>
      <c r="AV133" s="3678"/>
    </row>
    <row r="134" ht="18" customHeight="1" spans="1:48">
      <c r="A134" s="3670" t="s">
        <v>5600</v>
      </c>
      <c r="B134" s="3670"/>
      <c r="C134" s="3682" t="s">
        <v>6218</v>
      </c>
      <c r="D134" s="3683"/>
      <c r="E134" s="3683"/>
      <c r="F134" s="3683"/>
      <c r="G134" s="3683"/>
      <c r="H134" s="3683"/>
      <c r="I134" s="3683"/>
      <c r="J134" s="3683"/>
      <c r="K134" s="3683"/>
      <c r="L134" s="3683"/>
      <c r="M134" s="3683"/>
      <c r="N134" s="3683"/>
      <c r="O134" s="3683"/>
      <c r="P134" s="3683"/>
      <c r="Q134" s="3683"/>
      <c r="R134" s="3683"/>
      <c r="S134" s="3683"/>
      <c r="T134" s="3683"/>
      <c r="U134" s="3683"/>
      <c r="V134" s="3683"/>
      <c r="W134" s="3684"/>
      <c r="X134" s="3670" t="s">
        <v>6219</v>
      </c>
      <c r="Y134" s="3670"/>
      <c r="Z134" s="3670"/>
      <c r="AA134" s="3670"/>
      <c r="AB134" s="3670"/>
      <c r="AC134" s="3670"/>
      <c r="AD134" s="3571">
        <v>11</v>
      </c>
      <c r="AE134" s="3572"/>
      <c r="AF134" s="3572"/>
      <c r="AG134" s="3572"/>
      <c r="AH134" s="3573"/>
      <c r="AI134" s="3674">
        <v>1</v>
      </c>
      <c r="AJ134" s="3675">
        <f>B_Stanja!AP62</f>
        <v>0</v>
      </c>
      <c r="AK134" s="3675"/>
      <c r="AL134" s="3675"/>
      <c r="AM134" s="3675"/>
      <c r="AN134" s="3675"/>
      <c r="AO134" s="3674">
        <v>2</v>
      </c>
      <c r="AP134" s="3676">
        <f>B_Stanja!AI62</f>
        <v>0</v>
      </c>
      <c r="AQ134" s="3677"/>
      <c r="AR134" s="3677"/>
      <c r="AS134" s="3677"/>
      <c r="AT134" s="3677"/>
      <c r="AU134" s="3677"/>
      <c r="AV134" s="3678"/>
    </row>
    <row r="135" ht="18" customHeight="1" spans="1:48">
      <c r="A135" s="3670" t="s">
        <v>5078</v>
      </c>
      <c r="B135" s="3670"/>
      <c r="C135" s="3682" t="s">
        <v>6220</v>
      </c>
      <c r="D135" s="3683"/>
      <c r="E135" s="3683"/>
      <c r="F135" s="3683"/>
      <c r="G135" s="3683"/>
      <c r="H135" s="3683"/>
      <c r="I135" s="3683"/>
      <c r="J135" s="3683"/>
      <c r="K135" s="3683"/>
      <c r="L135" s="3683"/>
      <c r="M135" s="3683"/>
      <c r="N135" s="3683"/>
      <c r="O135" s="3683"/>
      <c r="P135" s="3683"/>
      <c r="Q135" s="3683"/>
      <c r="R135" s="3683"/>
      <c r="S135" s="3683"/>
      <c r="T135" s="3683"/>
      <c r="U135" s="3683"/>
      <c r="V135" s="3683"/>
      <c r="W135" s="3684"/>
      <c r="X135" s="3670" t="s">
        <v>6221</v>
      </c>
      <c r="Y135" s="3670"/>
      <c r="Z135" s="3670"/>
      <c r="AA135" s="3670"/>
      <c r="AB135" s="3670"/>
      <c r="AC135" s="3670"/>
      <c r="AD135" s="3571">
        <v>12</v>
      </c>
      <c r="AE135" s="3572"/>
      <c r="AF135" s="3572"/>
      <c r="AG135" s="3572"/>
      <c r="AH135" s="3573"/>
      <c r="AI135" s="3674">
        <v>1</v>
      </c>
      <c r="AJ135" s="3675">
        <f>B_Stanja!AP63</f>
        <v>0</v>
      </c>
      <c r="AK135" s="3675"/>
      <c r="AL135" s="3675"/>
      <c r="AM135" s="3675"/>
      <c r="AN135" s="3675"/>
      <c r="AO135" s="3674">
        <v>2</v>
      </c>
      <c r="AP135" s="3676">
        <f>B_Stanja!AI63</f>
        <v>0</v>
      </c>
      <c r="AQ135" s="3677"/>
      <c r="AR135" s="3677"/>
      <c r="AS135" s="3677"/>
      <c r="AT135" s="3677"/>
      <c r="AU135" s="3677"/>
      <c r="AV135" s="3678"/>
    </row>
    <row r="136" ht="13.5" spans="1:48">
      <c r="A136" s="3500" t="s">
        <v>6222</v>
      </c>
      <c r="B136" s="3500"/>
      <c r="C136" s="3500"/>
      <c r="D136" s="3500"/>
      <c r="E136" s="3500"/>
      <c r="F136" s="3500"/>
      <c r="G136" s="3500"/>
      <c r="H136" s="3500"/>
      <c r="I136" s="3500"/>
      <c r="J136" s="3500"/>
      <c r="K136" s="3500"/>
      <c r="L136" s="3500"/>
      <c r="M136" s="3500"/>
      <c r="N136" s="3500"/>
      <c r="O136" s="3500"/>
      <c r="P136" s="3500"/>
      <c r="Q136" s="3500"/>
      <c r="R136" s="3488"/>
      <c r="S136" s="3488"/>
      <c r="T136" s="3488"/>
      <c r="U136" s="3488"/>
      <c r="V136" s="3488"/>
      <c r="W136" s="3488"/>
      <c r="X136" s="3488"/>
      <c r="Y136" s="3488"/>
      <c r="Z136" s="3488"/>
      <c r="AA136" s="3488"/>
      <c r="AB136" s="3488"/>
      <c r="AC136" s="3488"/>
      <c r="AD136" s="3488"/>
      <c r="AE136" s="3488"/>
      <c r="AF136" s="3446"/>
      <c r="AG136" s="3446"/>
      <c r="AH136" s="3446"/>
      <c r="AI136" s="3446"/>
      <c r="AJ136" s="3446"/>
      <c r="AK136" s="3446"/>
      <c r="AL136" s="3446"/>
      <c r="AM136" s="3446"/>
      <c r="AN136" s="3446"/>
      <c r="AO136" s="3446"/>
      <c r="AP136" s="3446"/>
      <c r="AQ136" s="3446"/>
      <c r="AR136" s="3446"/>
      <c r="AS136" s="3446"/>
      <c r="AT136" s="3446"/>
      <c r="AU136" s="3446"/>
      <c r="AV136" s="3446"/>
    </row>
    <row r="137" spans="1:48">
      <c r="A137" s="3500"/>
      <c r="B137" s="3500"/>
      <c r="C137" s="3500"/>
      <c r="D137" s="3500"/>
      <c r="E137" s="3500"/>
      <c r="F137" s="3500"/>
      <c r="G137" s="3500"/>
      <c r="H137" s="3500"/>
      <c r="I137" s="3500"/>
      <c r="J137" s="3500"/>
      <c r="K137" s="3500"/>
      <c r="L137" s="3500"/>
      <c r="M137" s="3500"/>
      <c r="N137" s="3500"/>
      <c r="O137" s="3500"/>
      <c r="P137" s="3500"/>
      <c r="Q137" s="3500"/>
      <c r="R137" s="3488"/>
      <c r="S137" s="3488"/>
      <c r="T137" s="3488"/>
      <c r="U137" s="3488"/>
      <c r="V137" s="3488"/>
      <c r="W137" s="3488"/>
      <c r="X137" s="3488"/>
      <c r="Y137" s="3488"/>
      <c r="Z137" s="3488"/>
      <c r="AA137" s="3488"/>
      <c r="AB137" s="3488"/>
      <c r="AC137" s="3488"/>
      <c r="AD137" s="3488"/>
      <c r="AE137" s="3488"/>
      <c r="AF137" s="3446"/>
      <c r="AG137" s="3446"/>
      <c r="AH137" s="3446"/>
      <c r="AI137" s="3446"/>
      <c r="AJ137" s="3446"/>
      <c r="AK137" s="3446"/>
      <c r="AL137" s="3446"/>
      <c r="AM137" s="3446"/>
      <c r="AN137" s="3446"/>
      <c r="AO137" s="3446"/>
      <c r="AP137" s="3446"/>
      <c r="AQ137" s="3446"/>
      <c r="AR137" s="3446"/>
      <c r="AS137" s="3446"/>
      <c r="AT137" s="3446"/>
      <c r="AU137" s="3446"/>
      <c r="AV137" s="3446"/>
    </row>
    <row r="138" spans="1:48">
      <c r="A138" s="3500"/>
      <c r="B138" s="3500"/>
      <c r="C138" s="3500"/>
      <c r="D138" s="3500"/>
      <c r="E138" s="3500"/>
      <c r="F138" s="3500"/>
      <c r="G138" s="3500"/>
      <c r="H138" s="3500"/>
      <c r="I138" s="3500"/>
      <c r="J138" s="3500"/>
      <c r="K138" s="3500"/>
      <c r="L138" s="3500"/>
      <c r="M138" s="3500"/>
      <c r="N138" s="3500"/>
      <c r="O138" s="3500"/>
      <c r="P138" s="3500"/>
      <c r="Q138" s="3500"/>
      <c r="R138" s="3488"/>
      <c r="S138" s="3488"/>
      <c r="T138" s="3488"/>
      <c r="U138" s="3488"/>
      <c r="V138" s="3488"/>
      <c r="W138" s="3488"/>
      <c r="X138" s="3488"/>
      <c r="Y138" s="3488"/>
      <c r="Z138" s="3488"/>
      <c r="AA138" s="3488"/>
      <c r="AB138" s="3488"/>
      <c r="AC138" s="3488"/>
      <c r="AD138" s="3488"/>
      <c r="AE138" s="3488"/>
      <c r="AF138" s="3446"/>
      <c r="AG138" s="3446"/>
      <c r="AH138" s="3446"/>
      <c r="AI138" s="3446"/>
      <c r="AJ138" s="3446"/>
      <c r="AK138" s="3446"/>
      <c r="AL138" s="3446"/>
      <c r="AM138" s="3446"/>
      <c r="AN138" s="3446"/>
      <c r="AO138" s="3446"/>
      <c r="AP138" s="3446"/>
      <c r="AQ138" s="3446"/>
      <c r="AR138" s="3446"/>
      <c r="AS138" s="3446"/>
      <c r="AT138" s="3446"/>
      <c r="AU138" s="3446"/>
      <c r="AV138" s="3446"/>
    </row>
    <row r="139" spans="1:48">
      <c r="A139" s="3500"/>
      <c r="B139" s="3500"/>
      <c r="C139" s="3500"/>
      <c r="D139" s="3500"/>
      <c r="E139" s="3500"/>
      <c r="F139" s="3500"/>
      <c r="G139" s="3500"/>
      <c r="H139" s="3500"/>
      <c r="I139" s="3500"/>
      <c r="J139" s="3500"/>
      <c r="K139" s="3500"/>
      <c r="L139" s="3500"/>
      <c r="M139" s="3500"/>
      <c r="N139" s="3500"/>
      <c r="O139" s="3500"/>
      <c r="P139" s="3500"/>
      <c r="Q139" s="3500"/>
      <c r="R139" s="3488"/>
      <c r="S139" s="3488"/>
      <c r="T139" s="3488"/>
      <c r="U139" s="3488"/>
      <c r="V139" s="3488"/>
      <c r="W139" s="3488"/>
      <c r="X139" s="3488"/>
      <c r="Y139" s="3488"/>
      <c r="Z139" s="3488"/>
      <c r="AA139" s="3488"/>
      <c r="AB139" s="3488"/>
      <c r="AC139" s="3488"/>
      <c r="AD139" s="3488"/>
      <c r="AE139" s="3488"/>
      <c r="AF139" s="3446"/>
      <c r="AG139" s="3446"/>
      <c r="AH139" s="3446"/>
      <c r="AI139" s="3446"/>
      <c r="AJ139" s="3446"/>
      <c r="AK139" s="3446"/>
      <c r="AL139" s="3446"/>
      <c r="AM139" s="3446"/>
      <c r="AN139" s="3446"/>
      <c r="AO139" s="3446"/>
      <c r="AP139" s="3446"/>
      <c r="AQ139" s="3446"/>
      <c r="AR139" s="3446"/>
      <c r="AS139" s="3446"/>
      <c r="AT139" s="3446"/>
      <c r="AU139" s="3446"/>
      <c r="AV139" s="3446"/>
    </row>
    <row r="140" spans="1:48">
      <c r="A140" s="3500"/>
      <c r="B140" s="3500"/>
      <c r="C140" s="3500"/>
      <c r="D140" s="3500"/>
      <c r="E140" s="3500"/>
      <c r="F140" s="3500"/>
      <c r="G140" s="3500"/>
      <c r="H140" s="3500"/>
      <c r="I140" s="3500"/>
      <c r="J140" s="3500"/>
      <c r="K140" s="3500"/>
      <c r="L140" s="3500"/>
      <c r="M140" s="3500"/>
      <c r="N140" s="3500"/>
      <c r="O140" s="3500"/>
      <c r="P140" s="3500"/>
      <c r="Q140" s="3500"/>
      <c r="R140" s="3488"/>
      <c r="S140" s="3488"/>
      <c r="T140" s="3488"/>
      <c r="U140" s="3488"/>
      <c r="V140" s="3488"/>
      <c r="W140" s="3488"/>
      <c r="X140" s="3488"/>
      <c r="Y140" s="3488"/>
      <c r="Z140" s="3488"/>
      <c r="AA140" s="3488"/>
      <c r="AB140" s="3488"/>
      <c r="AC140" s="3488"/>
      <c r="AD140" s="3488"/>
      <c r="AE140" s="3488"/>
      <c r="AF140" s="3446"/>
      <c r="AG140" s="3446"/>
      <c r="AH140" s="3446"/>
      <c r="AI140" s="3446"/>
      <c r="AJ140" s="3446"/>
      <c r="AK140" s="3446"/>
      <c r="AL140" s="3446"/>
      <c r="AM140" s="3446"/>
      <c r="AN140" s="3446"/>
      <c r="AO140" s="3446"/>
      <c r="AP140" s="3446"/>
      <c r="AQ140" s="3446"/>
      <c r="AR140" s="3446"/>
      <c r="AS140" s="3446"/>
      <c r="AT140" s="3446"/>
      <c r="AU140" s="3446"/>
      <c r="AV140" s="3446"/>
    </row>
    <row r="141" spans="1:48">
      <c r="A141" s="3505" t="s">
        <v>6223</v>
      </c>
      <c r="B141" s="3505"/>
      <c r="C141" s="3505"/>
      <c r="D141" s="3505"/>
      <c r="E141" s="3505"/>
      <c r="F141" s="3505"/>
      <c r="G141" s="3505"/>
      <c r="H141" s="3505"/>
      <c r="I141" s="3505"/>
      <c r="J141" s="3505"/>
      <c r="K141" s="3505"/>
      <c r="L141" s="3505"/>
      <c r="M141" s="3505"/>
      <c r="N141" s="3505"/>
      <c r="O141" s="3505"/>
      <c r="P141" s="3505"/>
      <c r="Q141" s="3505"/>
      <c r="R141" s="3505"/>
      <c r="S141" s="3505"/>
      <c r="T141" s="3505"/>
      <c r="U141" s="3505"/>
      <c r="V141" s="3505"/>
      <c r="W141" s="3505"/>
      <c r="X141" s="3505"/>
      <c r="Y141" s="3505"/>
      <c r="Z141" s="3505"/>
      <c r="AA141" s="3505"/>
      <c r="AB141" s="3505"/>
      <c r="AC141" s="3499"/>
      <c r="AD141" s="3499"/>
      <c r="AE141" s="3499"/>
      <c r="AF141" s="3499"/>
      <c r="AG141" s="3499"/>
      <c r="AH141" s="3499"/>
      <c r="AI141" s="3499"/>
      <c r="AJ141" s="3499"/>
      <c r="AK141" s="3499"/>
      <c r="AL141" s="3499"/>
      <c r="AM141" s="3499"/>
      <c r="AN141" s="3499"/>
      <c r="AO141" s="3499"/>
      <c r="AP141" s="3499"/>
      <c r="AQ141" s="3499"/>
      <c r="AR141" s="3499"/>
      <c r="AS141" s="3499"/>
      <c r="AT141" s="3499"/>
      <c r="AU141" s="3499"/>
      <c r="AV141" s="3499"/>
    </row>
    <row r="142" spans="1:48">
      <c r="A142" s="3685" t="s">
        <v>6096</v>
      </c>
      <c r="B142" s="3686"/>
      <c r="C142" s="3687" t="s">
        <v>6224</v>
      </c>
      <c r="D142" s="3688"/>
      <c r="E142" s="3688"/>
      <c r="F142" s="3688"/>
      <c r="G142" s="3688"/>
      <c r="H142" s="3688"/>
      <c r="I142" s="3688"/>
      <c r="J142" s="3688"/>
      <c r="K142" s="3688"/>
      <c r="L142" s="3688"/>
      <c r="M142" s="3688"/>
      <c r="N142" s="3688"/>
      <c r="O142" s="3688"/>
      <c r="P142" s="3688"/>
      <c r="Q142" s="3688"/>
      <c r="R142" s="3688"/>
      <c r="S142" s="3688"/>
      <c r="T142" s="3688"/>
      <c r="U142" s="3688"/>
      <c r="V142" s="3688"/>
      <c r="W142" s="3688"/>
      <c r="X142" s="3509" t="s">
        <v>6098</v>
      </c>
      <c r="Y142" s="3509"/>
      <c r="Z142" s="3509"/>
      <c r="AA142" s="3509"/>
      <c r="AB142" s="3509"/>
      <c r="AC142" s="3689" t="s">
        <v>6225</v>
      </c>
      <c r="AD142" s="3689"/>
      <c r="AE142" s="3689"/>
      <c r="AF142" s="3689"/>
      <c r="AG142" s="3689"/>
      <c r="AH142" s="3689"/>
      <c r="AI142" s="3689"/>
      <c r="AJ142" s="3689"/>
      <c r="AK142" s="3689"/>
      <c r="AL142" s="3689"/>
      <c r="AM142" s="3689"/>
      <c r="AN142" s="3689"/>
      <c r="AO142" s="3690" t="s">
        <v>6226</v>
      </c>
      <c r="AP142" s="3691"/>
      <c r="AQ142" s="3691"/>
      <c r="AR142" s="3691"/>
      <c r="AS142" s="3691"/>
      <c r="AT142" s="3691"/>
      <c r="AU142" s="3691"/>
      <c r="AV142" s="3692"/>
    </row>
    <row r="143" spans="1:48">
      <c r="A143" s="3693"/>
      <c r="B143" s="3694"/>
      <c r="C143" s="3695"/>
      <c r="D143" s="3696"/>
      <c r="E143" s="3696"/>
      <c r="F143" s="3696"/>
      <c r="G143" s="3696"/>
      <c r="H143" s="3696"/>
      <c r="I143" s="3696"/>
      <c r="J143" s="3696"/>
      <c r="K143" s="3696"/>
      <c r="L143" s="3696"/>
      <c r="M143" s="3696"/>
      <c r="N143" s="3696"/>
      <c r="O143" s="3696"/>
      <c r="P143" s="3696"/>
      <c r="Q143" s="3696"/>
      <c r="R143" s="3696"/>
      <c r="S143" s="3696"/>
      <c r="T143" s="3696"/>
      <c r="U143" s="3696"/>
      <c r="V143" s="3696"/>
      <c r="W143" s="3696"/>
      <c r="X143" s="3509"/>
      <c r="Y143" s="3509"/>
      <c r="Z143" s="3509"/>
      <c r="AA143" s="3509"/>
      <c r="AB143" s="3509"/>
      <c r="AC143" s="3689" t="s">
        <v>4671</v>
      </c>
      <c r="AD143" s="3689"/>
      <c r="AE143" s="3689"/>
      <c r="AF143" s="3689"/>
      <c r="AG143" s="3689"/>
      <c r="AH143" s="3689"/>
      <c r="AI143" s="3689" t="s">
        <v>6227</v>
      </c>
      <c r="AJ143" s="3689"/>
      <c r="AK143" s="3689"/>
      <c r="AL143" s="3689"/>
      <c r="AM143" s="3689"/>
      <c r="AN143" s="3689"/>
      <c r="AO143" s="3697"/>
      <c r="AP143" s="3698"/>
      <c r="AQ143" s="3698"/>
      <c r="AR143" s="3698"/>
      <c r="AS143" s="3698"/>
      <c r="AT143" s="3698"/>
      <c r="AU143" s="3698"/>
      <c r="AV143" s="3699"/>
    </row>
    <row r="144" ht="26.25" customHeight="1" spans="1:48">
      <c r="A144" s="3670" t="s">
        <v>5336</v>
      </c>
      <c r="B144" s="3670"/>
      <c r="C144" s="3630" t="s">
        <v>6228</v>
      </c>
      <c r="D144" s="3643"/>
      <c r="E144" s="3643"/>
      <c r="F144" s="3643"/>
      <c r="G144" s="3643"/>
      <c r="H144" s="3643"/>
      <c r="I144" s="3643"/>
      <c r="J144" s="3643"/>
      <c r="K144" s="3643"/>
      <c r="L144" s="3643"/>
      <c r="M144" s="3643"/>
      <c r="N144" s="3643"/>
      <c r="O144" s="3643"/>
      <c r="P144" s="3643"/>
      <c r="Q144" s="3643"/>
      <c r="R144" s="3643"/>
      <c r="S144" s="3643"/>
      <c r="T144" s="3643"/>
      <c r="U144" s="3643"/>
      <c r="V144" s="3643"/>
      <c r="W144" s="3644"/>
      <c r="X144" s="3670" t="s">
        <v>6229</v>
      </c>
      <c r="Y144" s="3670"/>
      <c r="Z144" s="3670"/>
      <c r="AA144" s="3670"/>
      <c r="AB144" s="3670"/>
      <c r="AC144" s="3674">
        <v>1</v>
      </c>
      <c r="AD144" s="3676"/>
      <c r="AE144" s="3677"/>
      <c r="AF144" s="3677"/>
      <c r="AG144" s="3677"/>
      <c r="AH144" s="3678"/>
      <c r="AI144" s="3674">
        <v>2</v>
      </c>
      <c r="AJ144" s="3648"/>
      <c r="AK144" s="3649"/>
      <c r="AL144" s="3649"/>
      <c r="AM144" s="3649"/>
      <c r="AN144" s="3650"/>
      <c r="AO144" s="3674">
        <v>3</v>
      </c>
      <c r="AP144" s="3676"/>
      <c r="AQ144" s="3677"/>
      <c r="AR144" s="3677"/>
      <c r="AS144" s="3677"/>
      <c r="AT144" s="3677"/>
      <c r="AU144" s="3677"/>
      <c r="AV144" s="3678"/>
    </row>
    <row r="145" ht="17.25" customHeight="1" spans="1:49">
      <c r="A145" s="3670" t="s">
        <v>5428</v>
      </c>
      <c r="B145" s="3670"/>
      <c r="C145" s="3636" t="s">
        <v>6230</v>
      </c>
      <c r="D145" s="3637"/>
      <c r="E145" s="3637"/>
      <c r="F145" s="3637"/>
      <c r="G145" s="3637"/>
      <c r="H145" s="3637"/>
      <c r="I145" s="3637"/>
      <c r="J145" s="3637"/>
      <c r="K145" s="3637"/>
      <c r="L145" s="3637"/>
      <c r="M145" s="3637"/>
      <c r="N145" s="3637"/>
      <c r="O145" s="3637"/>
      <c r="P145" s="3637"/>
      <c r="Q145" s="3637"/>
      <c r="R145" s="3637"/>
      <c r="S145" s="3637"/>
      <c r="T145" s="3637"/>
      <c r="U145" s="3637"/>
      <c r="V145" s="3637"/>
      <c r="W145" s="3638"/>
      <c r="X145" s="3670" t="s">
        <v>6231</v>
      </c>
      <c r="Y145" s="3670"/>
      <c r="Z145" s="3670"/>
      <c r="AA145" s="3670"/>
      <c r="AB145" s="3670"/>
      <c r="AC145" s="3674">
        <v>1</v>
      </c>
      <c r="AD145" s="3676">
        <f>AD146+AD147+AD148</f>
        <v>6</v>
      </c>
      <c r="AE145" s="3677"/>
      <c r="AF145" s="3677"/>
      <c r="AG145" s="3677"/>
      <c r="AH145" s="3678"/>
      <c r="AI145" s="3674">
        <v>2</v>
      </c>
      <c r="AJ145" s="3676">
        <f>AJ146+AJ147+AJ148</f>
        <v>0</v>
      </c>
      <c r="AK145" s="3677"/>
      <c r="AL145" s="3677"/>
      <c r="AM145" s="3677"/>
      <c r="AN145" s="3678"/>
      <c r="AO145" s="3674">
        <v>3</v>
      </c>
      <c r="AP145" s="3676">
        <f>UnosPod!Y481</f>
        <v>12184</v>
      </c>
      <c r="AQ145" s="3677"/>
      <c r="AR145" s="3677"/>
      <c r="AS145" s="3677"/>
      <c r="AT145" s="3677"/>
      <c r="AU145" s="3677"/>
      <c r="AV145" s="3678"/>
    </row>
    <row r="146" ht="17.25" customHeight="1" spans="1:49">
      <c r="A146" s="3670" t="s">
        <v>5469</v>
      </c>
      <c r="B146" s="3670"/>
      <c r="C146" s="3617" t="s">
        <v>6232</v>
      </c>
      <c r="D146" s="3618"/>
      <c r="E146" s="3618"/>
      <c r="F146" s="3618"/>
      <c r="G146" s="3618"/>
      <c r="H146" s="3618"/>
      <c r="I146" s="3618"/>
      <c r="J146" s="3618"/>
      <c r="K146" s="3618"/>
      <c r="L146" s="3618"/>
      <c r="M146" s="3618"/>
      <c r="N146" s="3618"/>
      <c r="O146" s="3618"/>
      <c r="P146" s="3618"/>
      <c r="Q146" s="3618"/>
      <c r="R146" s="3618"/>
      <c r="S146" s="3618"/>
      <c r="T146" s="3618"/>
      <c r="U146" s="3618"/>
      <c r="V146" s="3618"/>
      <c r="W146" s="3619"/>
      <c r="X146" s="3670" t="s">
        <v>6233</v>
      </c>
      <c r="Y146" s="3670"/>
      <c r="Z146" s="3670"/>
      <c r="AA146" s="3670"/>
      <c r="AB146" s="3670"/>
      <c r="AC146" s="3674">
        <v>1</v>
      </c>
      <c r="AD146" s="3676"/>
      <c r="AE146" s="3677"/>
      <c r="AF146" s="3677"/>
      <c r="AG146" s="3677"/>
      <c r="AH146" s="3678"/>
      <c r="AI146" s="3674">
        <v>2</v>
      </c>
      <c r="AJ146" s="3700"/>
      <c r="AK146" s="3700"/>
      <c r="AL146" s="3700"/>
      <c r="AM146" s="3700"/>
      <c r="AN146" s="3700"/>
      <c r="AO146" s="3674">
        <v>3</v>
      </c>
      <c r="AP146" s="3701"/>
      <c r="AQ146" s="3702"/>
      <c r="AR146" s="3702"/>
      <c r="AS146" s="3702"/>
      <c r="AT146" s="3702"/>
      <c r="AU146" s="3702"/>
      <c r="AV146" s="3703"/>
    </row>
    <row r="147" ht="17.25" customHeight="1" spans="1:49">
      <c r="A147" s="3670" t="s">
        <v>5600</v>
      </c>
      <c r="B147" s="3670"/>
      <c r="C147" s="3617" t="s">
        <v>6234</v>
      </c>
      <c r="D147" s="3618"/>
      <c r="E147" s="3618"/>
      <c r="F147" s="3618"/>
      <c r="G147" s="3618"/>
      <c r="H147" s="3618"/>
      <c r="I147" s="3618"/>
      <c r="J147" s="3618"/>
      <c r="K147" s="3618"/>
      <c r="L147" s="3618"/>
      <c r="M147" s="3618"/>
      <c r="N147" s="3618"/>
      <c r="O147" s="3618"/>
      <c r="P147" s="3618"/>
      <c r="Q147" s="3618"/>
      <c r="R147" s="3618"/>
      <c r="S147" s="3618"/>
      <c r="T147" s="3618"/>
      <c r="U147" s="3618"/>
      <c r="V147" s="3618"/>
      <c r="W147" s="3619"/>
      <c r="X147" s="3670" t="s">
        <v>6235</v>
      </c>
      <c r="Y147" s="3670"/>
      <c r="Z147" s="3670"/>
      <c r="AA147" s="3670"/>
      <c r="AB147" s="3670"/>
      <c r="AC147" s="3674">
        <v>1</v>
      </c>
      <c r="AD147" s="3676">
        <f>UnosPod!H481-AD148-AD146</f>
        <v>6</v>
      </c>
      <c r="AE147" s="3677"/>
      <c r="AF147" s="3677"/>
      <c r="AG147" s="3677"/>
      <c r="AH147" s="3678"/>
      <c r="AI147" s="3674">
        <v>2</v>
      </c>
      <c r="AJ147" s="3700"/>
      <c r="AK147" s="3700"/>
      <c r="AL147" s="3700"/>
      <c r="AM147" s="3700"/>
      <c r="AN147" s="3700"/>
      <c r="AO147" s="3674">
        <v>3</v>
      </c>
      <c r="AP147" s="3676">
        <f>AP145-AP146-AP148</f>
        <v>12184</v>
      </c>
      <c r="AQ147" s="3677"/>
      <c r="AR147" s="3677"/>
      <c r="AS147" s="3677"/>
      <c r="AT147" s="3677"/>
      <c r="AU147" s="3677"/>
      <c r="AV147" s="3678"/>
    </row>
    <row r="148" ht="17.25" customHeight="1" spans="1:49">
      <c r="A148" s="3670" t="s">
        <v>5078</v>
      </c>
      <c r="B148" s="3670"/>
      <c r="C148" s="3704" t="s">
        <v>6236</v>
      </c>
      <c r="D148" s="3705"/>
      <c r="E148" s="3705"/>
      <c r="F148" s="3705"/>
      <c r="G148" s="3705"/>
      <c r="H148" s="3705"/>
      <c r="I148" s="3705"/>
      <c r="J148" s="3705"/>
      <c r="K148" s="3705"/>
      <c r="L148" s="3705"/>
      <c r="M148" s="3705"/>
      <c r="N148" s="3705"/>
      <c r="O148" s="3705"/>
      <c r="P148" s="3705"/>
      <c r="Q148" s="3705"/>
      <c r="R148" s="3705"/>
      <c r="S148" s="3705"/>
      <c r="T148" s="3705"/>
      <c r="U148" s="3705"/>
      <c r="V148" s="3705"/>
      <c r="W148" s="3706"/>
      <c r="X148" s="3707" t="s">
        <v>6237</v>
      </c>
      <c r="Y148" s="3708"/>
      <c r="Z148" s="3708"/>
      <c r="AA148" s="3708"/>
      <c r="AB148" s="3709"/>
      <c r="AC148" s="3674">
        <v>1</v>
      </c>
      <c r="AD148" s="3676"/>
      <c r="AE148" s="3677"/>
      <c r="AF148" s="3677"/>
      <c r="AG148" s="3677"/>
      <c r="AH148" s="3678"/>
      <c r="AI148" s="3674">
        <v>2</v>
      </c>
      <c r="AJ148" s="3700"/>
      <c r="AK148" s="3700"/>
      <c r="AL148" s="3700"/>
      <c r="AM148" s="3700"/>
      <c r="AN148" s="3700"/>
      <c r="AO148" s="3674">
        <v>3</v>
      </c>
      <c r="AP148" s="3701"/>
      <c r="AQ148" s="3702"/>
      <c r="AR148" s="3702"/>
      <c r="AS148" s="3702"/>
      <c r="AT148" s="3702"/>
      <c r="AU148" s="3702"/>
      <c r="AV148" s="3703"/>
    </row>
    <row r="149" ht="17.25" customHeight="1" spans="1:49">
      <c r="A149" s="3670" t="s">
        <v>6133</v>
      </c>
      <c r="B149" s="3670"/>
      <c r="C149" s="3710" t="s">
        <v>6238</v>
      </c>
      <c r="D149" s="3711"/>
      <c r="E149" s="3711"/>
      <c r="F149" s="3711"/>
      <c r="G149" s="3711"/>
      <c r="H149" s="3711"/>
      <c r="I149" s="3711"/>
      <c r="J149" s="3711"/>
      <c r="K149" s="3711"/>
      <c r="L149" s="3711"/>
      <c r="M149" s="3711"/>
      <c r="N149" s="3711"/>
      <c r="O149" s="3711"/>
      <c r="P149" s="3711"/>
      <c r="Q149" s="3711"/>
      <c r="R149" s="3711"/>
      <c r="S149" s="3711"/>
      <c r="T149" s="3711"/>
      <c r="U149" s="3711"/>
      <c r="V149" s="3711"/>
      <c r="W149" s="3712"/>
      <c r="X149" s="3713" t="s">
        <v>6239</v>
      </c>
      <c r="Y149" s="3713"/>
      <c r="Z149" s="3713"/>
      <c r="AA149" s="3713"/>
      <c r="AB149" s="3713"/>
      <c r="AC149" s="3674">
        <v>1</v>
      </c>
      <c r="AD149" s="3676">
        <f>AD145+AD144</f>
        <v>6</v>
      </c>
      <c r="AE149" s="3677"/>
      <c r="AF149" s="3677"/>
      <c r="AG149" s="3677"/>
      <c r="AH149" s="3678"/>
      <c r="AI149" s="3674">
        <v>2</v>
      </c>
      <c r="AJ149" s="3676">
        <f>AJ145+AJ144</f>
        <v>0</v>
      </c>
      <c r="AK149" s="3677"/>
      <c r="AL149" s="3677"/>
      <c r="AM149" s="3677"/>
      <c r="AN149" s="3678"/>
      <c r="AO149" s="3674">
        <v>3</v>
      </c>
      <c r="AP149" s="3676">
        <f>AP144+AP145</f>
        <v>12184</v>
      </c>
      <c r="AQ149" s="3677"/>
      <c r="AR149" s="3677"/>
      <c r="AS149" s="3677"/>
      <c r="AT149" s="3677"/>
      <c r="AU149" s="3677"/>
      <c r="AV149" s="3678"/>
    </row>
    <row r="150" spans="1:49">
      <c r="A150" s="3714"/>
      <c r="B150" s="3714"/>
      <c r="C150" s="3715"/>
      <c r="D150" s="3715"/>
      <c r="E150" s="3715"/>
      <c r="F150" s="3715"/>
      <c r="G150" s="3715"/>
      <c r="H150" s="3715"/>
      <c r="I150" s="3715"/>
      <c r="J150" s="3715"/>
      <c r="K150" s="3715"/>
      <c r="L150" s="3715"/>
      <c r="M150" s="3715"/>
      <c r="N150" s="3715"/>
      <c r="O150" s="3715"/>
      <c r="P150" s="3715"/>
      <c r="Q150" s="3715"/>
      <c r="R150" s="3715"/>
      <c r="S150" s="3715"/>
      <c r="T150" s="3715"/>
      <c r="U150" s="3715"/>
      <c r="V150" s="3715"/>
      <c r="W150" s="3715"/>
      <c r="X150" s="3716"/>
      <c r="Y150" s="3716"/>
      <c r="Z150" s="3716"/>
      <c r="AA150" s="3716"/>
      <c r="AB150" s="3716"/>
      <c r="AC150" s="3717"/>
      <c r="AD150" s="3718"/>
      <c r="AE150" s="3718"/>
      <c r="AF150" s="3718"/>
      <c r="AG150" s="3718"/>
      <c r="AH150" s="3718"/>
      <c r="AI150" s="3717"/>
      <c r="AJ150" s="3483"/>
      <c r="AK150" s="3483"/>
      <c r="AL150" s="3483"/>
      <c r="AM150" s="3483"/>
      <c r="AN150" s="3483"/>
      <c r="AO150" s="3717"/>
      <c r="AP150" s="3483"/>
      <c r="AQ150" s="3483"/>
      <c r="AR150" s="3483"/>
      <c r="AS150" s="3483"/>
      <c r="AT150" s="3483"/>
      <c r="AU150" s="3483"/>
      <c r="AV150" s="3483"/>
    </row>
    <row r="151" spans="1:49">
      <c r="A151" s="3501" t="s">
        <v>6240</v>
      </c>
      <c r="B151" s="3501"/>
      <c r="C151" s="3501"/>
      <c r="D151" s="3501"/>
      <c r="E151" s="3501"/>
      <c r="F151" s="3501"/>
      <c r="G151" s="3501"/>
      <c r="H151" s="3501"/>
      <c r="I151" s="3501"/>
      <c r="J151" s="3501"/>
      <c r="K151" s="3501"/>
      <c r="L151" s="3501"/>
      <c r="M151" s="3501"/>
      <c r="N151" s="3501"/>
      <c r="O151" s="3501"/>
      <c r="P151" s="3501"/>
      <c r="Q151" s="3501"/>
      <c r="R151" s="3501"/>
      <c r="S151" s="3501"/>
      <c r="T151" s="3501"/>
      <c r="U151" s="3501"/>
      <c r="V151" s="3501"/>
      <c r="W151" s="3501"/>
      <c r="X151" s="3501"/>
      <c r="Y151" s="3501"/>
      <c r="Z151" s="3501"/>
      <c r="AA151" s="3501"/>
      <c r="AB151" s="3501"/>
      <c r="AC151" s="3501"/>
      <c r="AD151" s="3501"/>
      <c r="AE151" s="3501"/>
      <c r="AF151" s="3501"/>
      <c r="AG151" s="3501"/>
      <c r="AH151" s="3501"/>
      <c r="AI151" s="3501"/>
      <c r="AJ151" s="3501"/>
      <c r="AK151" s="3501"/>
      <c r="AL151" s="3501"/>
      <c r="AM151" s="3501"/>
      <c r="AN151" s="3501"/>
      <c r="AO151" s="3501"/>
      <c r="AP151" s="3501"/>
      <c r="AQ151" s="3501"/>
      <c r="AR151" s="3501"/>
      <c r="AS151" s="3501"/>
      <c r="AT151" s="3501"/>
      <c r="AU151" s="3501"/>
      <c r="AV151" s="3501"/>
    </row>
    <row r="152" spans="1:49">
      <c r="A152" s="3501"/>
      <c r="B152" s="3501"/>
      <c r="C152" s="3501"/>
      <c r="D152" s="3501"/>
      <c r="E152" s="3501"/>
      <c r="F152" s="3501"/>
      <c r="G152" s="3501"/>
      <c r="H152" s="3501"/>
      <c r="I152" s="3501"/>
      <c r="J152" s="3501"/>
      <c r="K152" s="3501"/>
      <c r="L152" s="3501"/>
      <c r="M152" s="3501"/>
      <c r="N152" s="3501"/>
      <c r="O152" s="3501"/>
      <c r="P152" s="3501"/>
      <c r="Q152" s="3501"/>
      <c r="R152" s="3501"/>
      <c r="S152" s="3501"/>
      <c r="T152" s="3501"/>
      <c r="U152" s="3501"/>
      <c r="V152" s="3501"/>
      <c r="W152" s="3501"/>
      <c r="X152" s="3501"/>
      <c r="Y152" s="3501"/>
      <c r="Z152" s="3501"/>
      <c r="AA152" s="3501"/>
      <c r="AB152" s="3501"/>
      <c r="AC152" s="3501"/>
      <c r="AD152" s="3501"/>
      <c r="AE152" s="3501"/>
      <c r="AF152" s="3501"/>
      <c r="AG152" s="3501"/>
      <c r="AH152" s="3501"/>
      <c r="AI152" s="3501"/>
      <c r="AJ152" s="3501"/>
      <c r="AK152" s="3501"/>
      <c r="AL152" s="3501"/>
      <c r="AM152" s="3501"/>
      <c r="AN152" s="3501"/>
      <c r="AO152" s="3501"/>
      <c r="AP152" s="3501"/>
      <c r="AQ152" s="3501"/>
      <c r="AR152" s="3501"/>
      <c r="AS152" s="3501"/>
      <c r="AT152" s="3501"/>
      <c r="AU152" s="3501"/>
      <c r="AV152" s="3501"/>
    </row>
    <row r="153" spans="1:49">
      <c r="A153" s="3501"/>
      <c r="B153" s="3501"/>
      <c r="C153" s="3501"/>
      <c r="D153" s="3501"/>
      <c r="E153" s="3501"/>
      <c r="F153" s="3501"/>
      <c r="G153" s="3501"/>
      <c r="H153" s="3501"/>
      <c r="I153" s="3501"/>
      <c r="J153" s="3501"/>
      <c r="K153" s="3501"/>
      <c r="L153" s="3501"/>
      <c r="M153" s="3501"/>
      <c r="N153" s="3501"/>
      <c r="O153" s="3501"/>
      <c r="P153" s="3501"/>
      <c r="Q153" s="3501"/>
      <c r="R153" s="3501"/>
      <c r="S153" s="3501"/>
      <c r="T153" s="3501"/>
      <c r="U153" s="3501"/>
      <c r="V153" s="3501"/>
      <c r="W153" s="3501"/>
      <c r="X153" s="3501"/>
      <c r="Y153" s="3501"/>
      <c r="Z153" s="3501"/>
      <c r="AA153" s="3501"/>
      <c r="AB153" s="3501"/>
      <c r="AC153" s="3501"/>
      <c r="AD153" s="3501"/>
      <c r="AE153" s="3501"/>
      <c r="AF153" s="3501"/>
      <c r="AG153" s="3501"/>
      <c r="AH153" s="3501"/>
      <c r="AI153" s="3501"/>
      <c r="AJ153" s="3501"/>
      <c r="AK153" s="3501"/>
      <c r="AL153" s="3501"/>
      <c r="AM153" s="3501"/>
      <c r="AN153" s="3501"/>
      <c r="AO153" s="3501"/>
      <c r="AP153" s="3501"/>
      <c r="AQ153" s="3501"/>
      <c r="AR153" s="3501"/>
      <c r="AS153" s="3501"/>
      <c r="AT153" s="3501"/>
      <c r="AU153" s="3501"/>
      <c r="AV153" s="3501"/>
    </row>
    <row r="154" spans="1:49">
      <c r="A154" s="3505" t="s">
        <v>6241</v>
      </c>
      <c r="B154" s="3505"/>
      <c r="C154" s="3505"/>
      <c r="D154" s="3505"/>
      <c r="E154" s="3505"/>
      <c r="F154" s="3505"/>
      <c r="G154" s="3505"/>
      <c r="H154" s="3505"/>
      <c r="I154" s="3505"/>
      <c r="J154" s="3505"/>
      <c r="K154" s="3505"/>
      <c r="L154" s="3505"/>
      <c r="M154" s="3505"/>
      <c r="N154" s="3505"/>
      <c r="O154" s="3505"/>
      <c r="P154" s="3505"/>
      <c r="Q154" s="3505"/>
      <c r="R154" s="3505"/>
      <c r="S154" s="3505"/>
      <c r="T154" s="3505"/>
      <c r="U154" s="3505"/>
      <c r="V154" s="3505"/>
      <c r="W154" s="3505"/>
      <c r="X154" s="3505"/>
      <c r="Y154" s="3505"/>
      <c r="Z154" s="3505"/>
      <c r="AA154" s="3505"/>
      <c r="AB154" s="3505"/>
      <c r="AC154" s="3505"/>
      <c r="AD154" s="3505"/>
      <c r="AE154" s="3505"/>
      <c r="AF154" s="3505"/>
      <c r="AG154" s="3505"/>
      <c r="AH154" s="3505"/>
      <c r="AI154" s="3505"/>
      <c r="AJ154" s="3505"/>
      <c r="AK154" s="3505"/>
      <c r="AL154" s="3505"/>
      <c r="AM154" s="3505"/>
      <c r="AN154" s="3505"/>
      <c r="AO154" s="3505"/>
      <c r="AP154" s="3499"/>
      <c r="AQ154" s="3499"/>
      <c r="AR154" s="3499"/>
      <c r="AS154" s="3499"/>
      <c r="AT154" s="3499"/>
      <c r="AU154" s="3499"/>
      <c r="AV154" s="3499"/>
    </row>
    <row r="155" spans="1:49">
      <c r="A155" s="3719" t="s">
        <v>6096</v>
      </c>
      <c r="B155" s="3719"/>
      <c r="C155" s="3720" t="s">
        <v>6242</v>
      </c>
      <c r="D155" s="3721"/>
      <c r="E155" s="3721"/>
      <c r="F155" s="3721"/>
      <c r="G155" s="3721"/>
      <c r="H155" s="3721"/>
      <c r="I155" s="3721"/>
      <c r="J155" s="3721"/>
      <c r="K155" s="3721"/>
      <c r="L155" s="3721"/>
      <c r="M155" s="3721"/>
      <c r="N155" s="3721"/>
      <c r="O155" s="3721"/>
      <c r="P155" s="3721"/>
      <c r="Q155" s="3721"/>
      <c r="R155" s="3721"/>
      <c r="S155" s="3721"/>
      <c r="T155" s="3721"/>
      <c r="U155" s="3721"/>
      <c r="V155" s="3721"/>
      <c r="W155" s="3722"/>
      <c r="X155" s="3723" t="s">
        <v>6098</v>
      </c>
      <c r="Y155" s="3724"/>
      <c r="Z155" s="3724"/>
      <c r="AA155" s="3724"/>
      <c r="AB155" s="3724"/>
      <c r="AC155" s="3725"/>
      <c r="AD155" s="3726" t="s">
        <v>6243</v>
      </c>
      <c r="AE155" s="3727"/>
      <c r="AF155" s="3727"/>
      <c r="AG155" s="3727"/>
      <c r="AH155" s="3728"/>
      <c r="AI155" s="3726" t="s">
        <v>6244</v>
      </c>
      <c r="AJ155" s="3727"/>
      <c r="AK155" s="3727"/>
      <c r="AL155" s="3727"/>
      <c r="AM155" s="3727"/>
      <c r="AN155" s="3728"/>
      <c r="AO155" s="3726" t="s">
        <v>6245</v>
      </c>
      <c r="AP155" s="3727"/>
      <c r="AQ155" s="3727"/>
      <c r="AR155" s="3727"/>
      <c r="AS155" s="3727"/>
      <c r="AT155" s="3727"/>
      <c r="AU155" s="3727"/>
      <c r="AV155" s="3728"/>
      <c r="AW155" s="3729"/>
    </row>
    <row r="156" spans="1:49">
      <c r="A156" s="3719"/>
      <c r="B156" s="3719"/>
      <c r="C156" s="3730"/>
      <c r="D156" s="3731"/>
      <c r="E156" s="3731"/>
      <c r="F156" s="3731"/>
      <c r="G156" s="3731"/>
      <c r="H156" s="3731"/>
      <c r="I156" s="3731"/>
      <c r="J156" s="3731"/>
      <c r="K156" s="3731"/>
      <c r="L156" s="3731"/>
      <c r="M156" s="3731"/>
      <c r="N156" s="3731"/>
      <c r="O156" s="3731"/>
      <c r="P156" s="3731"/>
      <c r="Q156" s="3731"/>
      <c r="R156" s="3731"/>
      <c r="S156" s="3731"/>
      <c r="T156" s="3731"/>
      <c r="U156" s="3731"/>
      <c r="V156" s="3731"/>
      <c r="W156" s="3732"/>
      <c r="X156" s="3733"/>
      <c r="Y156" s="3734"/>
      <c r="Z156" s="3734"/>
      <c r="AA156" s="3734"/>
      <c r="AB156" s="3734"/>
      <c r="AC156" s="3735"/>
      <c r="AD156" s="3736"/>
      <c r="AE156" s="3737"/>
      <c r="AF156" s="3737"/>
      <c r="AG156" s="3737"/>
      <c r="AH156" s="3738"/>
      <c r="AI156" s="3736"/>
      <c r="AJ156" s="3737"/>
      <c r="AK156" s="3737"/>
      <c r="AL156" s="3737"/>
      <c r="AM156" s="3737"/>
      <c r="AN156" s="3738"/>
      <c r="AO156" s="3736"/>
      <c r="AP156" s="3737"/>
      <c r="AQ156" s="3737"/>
      <c r="AR156" s="3737"/>
      <c r="AS156" s="3737"/>
      <c r="AT156" s="3737"/>
      <c r="AU156" s="3737"/>
      <c r="AV156" s="3738"/>
      <c r="AW156" s="3729"/>
    </row>
    <row r="157" ht="28.5" customHeight="1" spans="1:49">
      <c r="A157" s="3739" t="s">
        <v>5336</v>
      </c>
      <c r="B157" s="3739"/>
      <c r="C157" s="3740" t="s">
        <v>6246</v>
      </c>
      <c r="D157" s="3741"/>
      <c r="E157" s="3741"/>
      <c r="F157" s="3741"/>
      <c r="G157" s="3741"/>
      <c r="H157" s="3741"/>
      <c r="I157" s="3741"/>
      <c r="J157" s="3741"/>
      <c r="K157" s="3741"/>
      <c r="L157" s="3741"/>
      <c r="M157" s="3741"/>
      <c r="N157" s="3741"/>
      <c r="O157" s="3741"/>
      <c r="P157" s="3741"/>
      <c r="Q157" s="3741"/>
      <c r="R157" s="3741"/>
      <c r="S157" s="3741"/>
      <c r="T157" s="3741"/>
      <c r="U157" s="3741"/>
      <c r="V157" s="3741"/>
      <c r="W157" s="3742"/>
      <c r="X157" s="3743" t="s">
        <v>6247</v>
      </c>
      <c r="Y157" s="3744"/>
      <c r="Z157" s="3744"/>
      <c r="AA157" s="3744"/>
      <c r="AB157" s="3744"/>
      <c r="AC157" s="3745"/>
      <c r="AD157" s="3746">
        <v>1</v>
      </c>
      <c r="AE157" s="3747"/>
      <c r="AF157" s="3747"/>
      <c r="AG157" s="3747"/>
      <c r="AH157" s="3747"/>
      <c r="AI157" s="3746">
        <v>2</v>
      </c>
      <c r="AJ157" s="3748"/>
      <c r="AK157" s="3748"/>
      <c r="AL157" s="3748"/>
      <c r="AM157" s="3748"/>
      <c r="AN157" s="3748"/>
      <c r="AO157" s="3746">
        <v>3</v>
      </c>
      <c r="AP157" s="3749"/>
      <c r="AQ157" s="3750"/>
      <c r="AR157" s="3750"/>
      <c r="AS157" s="3750"/>
      <c r="AT157" s="3750"/>
      <c r="AU157" s="3750"/>
      <c r="AV157" s="3751"/>
      <c r="AW157" s="3729"/>
    </row>
    <row r="158" ht="24.75" customHeight="1" spans="1:49">
      <c r="A158" s="3739" t="s">
        <v>5428</v>
      </c>
      <c r="B158" s="3739"/>
      <c r="C158" s="3752" t="s">
        <v>6248</v>
      </c>
      <c r="D158" s="3753"/>
      <c r="E158" s="3753"/>
      <c r="F158" s="3753"/>
      <c r="G158" s="3753"/>
      <c r="H158" s="3753"/>
      <c r="I158" s="3753"/>
      <c r="J158" s="3753"/>
      <c r="K158" s="3753"/>
      <c r="L158" s="3753"/>
      <c r="M158" s="3753"/>
      <c r="N158" s="3753"/>
      <c r="O158" s="3753"/>
      <c r="P158" s="3753"/>
      <c r="Q158" s="3753"/>
      <c r="R158" s="3753"/>
      <c r="S158" s="3753"/>
      <c r="T158" s="3753"/>
      <c r="U158" s="3753"/>
      <c r="V158" s="3753"/>
      <c r="W158" s="3754"/>
      <c r="X158" s="3743" t="s">
        <v>6249</v>
      </c>
      <c r="Y158" s="3744"/>
      <c r="Z158" s="3744"/>
      <c r="AA158" s="3744"/>
      <c r="AB158" s="3744"/>
      <c r="AC158" s="3745"/>
      <c r="AD158" s="3746">
        <v>1</v>
      </c>
      <c r="AE158" s="3747"/>
      <c r="AF158" s="3747"/>
      <c r="AG158" s="3747"/>
      <c r="AH158" s="3747"/>
      <c r="AI158" s="3746">
        <v>2</v>
      </c>
      <c r="AJ158" s="3748"/>
      <c r="AK158" s="3748"/>
      <c r="AL158" s="3748"/>
      <c r="AM158" s="3748"/>
      <c r="AN158" s="3748"/>
      <c r="AO158" s="3746">
        <v>3</v>
      </c>
      <c r="AP158" s="3749"/>
      <c r="AQ158" s="3750"/>
      <c r="AR158" s="3750"/>
      <c r="AS158" s="3750"/>
      <c r="AT158" s="3750"/>
      <c r="AU158" s="3750"/>
      <c r="AV158" s="3751"/>
      <c r="AW158" s="3729"/>
    </row>
    <row r="159" spans="1:49">
      <c r="A159" s="3755" t="s">
        <v>5469</v>
      </c>
      <c r="B159" s="3755"/>
      <c r="C159" s="3636" t="s">
        <v>6250</v>
      </c>
      <c r="D159" s="3637"/>
      <c r="E159" s="3637"/>
      <c r="F159" s="3637"/>
      <c r="G159" s="3637"/>
      <c r="H159" s="3637"/>
      <c r="I159" s="3637"/>
      <c r="J159" s="3637"/>
      <c r="K159" s="3637"/>
      <c r="L159" s="3637"/>
      <c r="M159" s="3637"/>
      <c r="N159" s="3637"/>
      <c r="O159" s="3637"/>
      <c r="P159" s="3637"/>
      <c r="Q159" s="3637"/>
      <c r="R159" s="3637"/>
      <c r="S159" s="3637"/>
      <c r="T159" s="3637"/>
      <c r="U159" s="3637"/>
      <c r="V159" s="3637"/>
      <c r="W159" s="3638"/>
      <c r="X159" s="3707" t="s">
        <v>6251</v>
      </c>
      <c r="Y159" s="3708"/>
      <c r="Z159" s="3708"/>
      <c r="AA159" s="3708"/>
      <c r="AB159" s="3708"/>
      <c r="AC159" s="3709"/>
      <c r="AD159" s="3674">
        <v>1</v>
      </c>
      <c r="AE159" s="3756"/>
      <c r="AF159" s="3756"/>
      <c r="AG159" s="3756"/>
      <c r="AH159" s="3756"/>
      <c r="AI159" s="3674">
        <v>2</v>
      </c>
      <c r="AJ159" s="3700"/>
      <c r="AK159" s="3700"/>
      <c r="AL159" s="3700"/>
      <c r="AM159" s="3700"/>
      <c r="AN159" s="3700"/>
      <c r="AO159" s="3674">
        <v>3</v>
      </c>
      <c r="AP159" s="3757"/>
      <c r="AQ159" s="3758"/>
      <c r="AR159" s="3758"/>
      <c r="AS159" s="3758"/>
      <c r="AT159" s="3758"/>
      <c r="AU159" s="3758"/>
      <c r="AV159" s="3759"/>
    </row>
    <row r="160" spans="1:49">
      <c r="A160" s="3760"/>
      <c r="B160" s="3760"/>
      <c r="C160" s="3467"/>
      <c r="D160" s="3467"/>
      <c r="E160" s="3467"/>
      <c r="F160" s="3467"/>
      <c r="G160" s="3467"/>
      <c r="H160" s="3467"/>
      <c r="I160" s="3467"/>
      <c r="J160" s="3467"/>
      <c r="K160" s="3467"/>
      <c r="L160" s="3467"/>
      <c r="M160" s="3467"/>
      <c r="N160" s="3467"/>
      <c r="O160" s="3467"/>
      <c r="P160" s="3467"/>
      <c r="Q160" s="3467"/>
      <c r="R160" s="3467"/>
      <c r="S160" s="3467"/>
      <c r="T160" s="3467"/>
      <c r="U160" s="3467"/>
      <c r="V160" s="3467"/>
      <c r="W160" s="3467"/>
      <c r="X160" s="3714"/>
      <c r="Y160" s="3714"/>
      <c r="Z160" s="3714"/>
      <c r="AA160" s="3714"/>
      <c r="AB160" s="3714"/>
      <c r="AC160" s="3714"/>
      <c r="AD160" s="3717"/>
      <c r="AE160" s="3761"/>
      <c r="AF160" s="3761"/>
      <c r="AG160" s="3761"/>
      <c r="AH160" s="3761"/>
      <c r="AI160" s="3717"/>
      <c r="AJ160" s="3483"/>
      <c r="AK160" s="3483"/>
      <c r="AL160" s="3483"/>
      <c r="AM160" s="3483"/>
      <c r="AN160" s="3483"/>
      <c r="AO160" s="3717"/>
      <c r="AP160" s="3762"/>
      <c r="AQ160" s="3762"/>
      <c r="AR160" s="3762"/>
      <c r="AS160" s="3762"/>
      <c r="AT160" s="3762"/>
      <c r="AU160" s="3762"/>
      <c r="AV160" s="3762"/>
    </row>
    <row r="161" spans="1:49">
      <c r="A161" s="3760"/>
      <c r="B161" s="3760"/>
      <c r="C161" s="3467"/>
      <c r="D161" s="3467"/>
      <c r="E161" s="3467"/>
      <c r="F161" s="3467"/>
      <c r="G161" s="3467"/>
      <c r="H161" s="3467"/>
      <c r="I161" s="3467"/>
      <c r="J161" s="3467"/>
      <c r="K161" s="3467"/>
      <c r="L161" s="3467"/>
      <c r="M161" s="3467"/>
      <c r="N161" s="3467"/>
      <c r="O161" s="3467"/>
      <c r="P161" s="3467"/>
      <c r="Q161" s="3467"/>
      <c r="R161" s="3467"/>
      <c r="S161" s="3467"/>
      <c r="T161" s="3467"/>
      <c r="U161" s="3467"/>
      <c r="V161" s="3467"/>
      <c r="W161" s="3467"/>
      <c r="X161" s="3714"/>
      <c r="Y161" s="3714"/>
      <c r="Z161" s="3714"/>
      <c r="AA161" s="3714"/>
      <c r="AB161" s="3714"/>
      <c r="AC161" s="3714"/>
      <c r="AD161" s="3717"/>
      <c r="AE161" s="3761"/>
      <c r="AF161" s="3761"/>
      <c r="AG161" s="3761"/>
      <c r="AH161" s="3761"/>
      <c r="AI161" s="3717"/>
      <c r="AJ161" s="3483"/>
      <c r="AK161" s="3483"/>
      <c r="AL161" s="3483"/>
      <c r="AM161" s="3483"/>
      <c r="AN161" s="3483"/>
      <c r="AO161" s="3717"/>
      <c r="AP161" s="3762"/>
      <c r="AQ161" s="3762"/>
      <c r="AR161" s="3762"/>
      <c r="AS161" s="3762"/>
      <c r="AT161" s="3762"/>
      <c r="AU161" s="3762"/>
      <c r="AV161" s="3762"/>
    </row>
    <row r="162" spans="1:49">
      <c r="A162" s="3763" t="s">
        <v>6252</v>
      </c>
      <c r="B162" s="3763"/>
      <c r="C162" s="3764"/>
      <c r="D162" s="3764"/>
      <c r="E162" s="3764"/>
      <c r="F162" s="3764"/>
      <c r="G162" s="3764"/>
      <c r="H162" s="3764"/>
      <c r="I162" s="3764"/>
      <c r="J162" s="3764"/>
      <c r="K162" s="3764"/>
      <c r="L162" s="3764"/>
      <c r="M162" s="3764"/>
      <c r="N162" s="3764"/>
      <c r="O162" s="3764"/>
      <c r="P162" s="3764"/>
      <c r="Q162" s="3764"/>
      <c r="R162" s="3764"/>
      <c r="S162" s="3764"/>
      <c r="T162" s="3764"/>
      <c r="U162" s="3764"/>
      <c r="V162" s="3764"/>
      <c r="W162" s="3764"/>
      <c r="X162" s="3764"/>
      <c r="Y162" s="3764"/>
      <c r="Z162" s="3764"/>
      <c r="AA162" s="3764"/>
      <c r="AB162" s="3764"/>
      <c r="AC162" s="3764"/>
      <c r="AD162" s="3764"/>
      <c r="AE162" s="3764"/>
      <c r="AF162" s="3764"/>
      <c r="AG162" s="3764"/>
      <c r="AH162" s="3764"/>
      <c r="AI162" s="3764"/>
      <c r="AJ162" s="3764"/>
      <c r="AK162" s="3764"/>
      <c r="AL162" s="3764"/>
      <c r="AM162" s="3764"/>
      <c r="AN162" s="3764"/>
      <c r="AO162" s="3764"/>
      <c r="AP162" s="3764"/>
      <c r="AQ162" s="3764"/>
      <c r="AR162" s="3764"/>
      <c r="AS162" s="3764"/>
      <c r="AT162" s="3764"/>
      <c r="AU162" s="3764"/>
      <c r="AV162" s="3765"/>
      <c r="AW162" s="3766"/>
    </row>
    <row r="163" spans="1:49">
      <c r="A163" s="3767" t="s">
        <v>6253</v>
      </c>
      <c r="B163" s="3767"/>
      <c r="C163" s="3768" t="s">
        <v>6254</v>
      </c>
      <c r="D163" s="3768"/>
      <c r="E163" s="3768"/>
      <c r="F163" s="3768"/>
      <c r="G163" s="3768"/>
      <c r="H163" s="3768"/>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768"/>
      <c r="AD163" s="3768"/>
      <c r="AE163" s="3768"/>
      <c r="AF163" s="3768"/>
      <c r="AG163" s="3768"/>
      <c r="AH163" s="3769"/>
      <c r="AI163" s="3770" t="s">
        <v>6098</v>
      </c>
      <c r="AJ163" s="3771"/>
      <c r="AK163" s="3771"/>
      <c r="AL163" s="3771"/>
      <c r="AM163" s="3771"/>
      <c r="AN163" s="3772"/>
      <c r="AO163" s="3768" t="s">
        <v>6100</v>
      </c>
      <c r="AP163" s="3768"/>
      <c r="AQ163" s="3768"/>
      <c r="AR163" s="3768"/>
      <c r="AS163" s="3768"/>
      <c r="AT163" s="3768"/>
      <c r="AU163" s="3768"/>
      <c r="AV163" s="3769"/>
      <c r="AW163" s="3766"/>
    </row>
    <row r="164" ht="18.75" customHeight="1" spans="1:49">
      <c r="A164" s="3773" t="s">
        <v>5336</v>
      </c>
      <c r="B164" s="3773" t="s">
        <v>3953</v>
      </c>
      <c r="C164" s="3774" t="s">
        <v>6255</v>
      </c>
      <c r="D164" s="3775"/>
      <c r="E164" s="3775"/>
      <c r="F164" s="3775"/>
      <c r="G164" s="3775"/>
      <c r="H164" s="3775"/>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775"/>
      <c r="AD164" s="3775"/>
      <c r="AE164" s="3775"/>
      <c r="AF164" s="3775"/>
      <c r="AG164" s="3775"/>
      <c r="AH164" s="3776"/>
      <c r="AI164" s="3777" t="s">
        <v>6256</v>
      </c>
      <c r="AJ164" s="3778"/>
      <c r="AK164" s="3778"/>
      <c r="AL164" s="3778"/>
      <c r="AM164" s="3778"/>
      <c r="AN164" s="3779"/>
      <c r="AO164" s="3520">
        <f>AO74</f>
        <v>0</v>
      </c>
      <c r="AP164" s="3521"/>
      <c r="AQ164" s="3521"/>
      <c r="AR164" s="3521"/>
      <c r="AS164" s="3521"/>
      <c r="AT164" s="3521"/>
      <c r="AU164" s="3521"/>
      <c r="AV164" s="3522"/>
      <c r="AW164" s="3766"/>
    </row>
    <row r="165" ht="18.75" customHeight="1" spans="1:49">
      <c r="A165" s="3780" t="s">
        <v>5428</v>
      </c>
      <c r="B165" s="3780" t="s">
        <v>3953</v>
      </c>
      <c r="C165" s="3774" t="s">
        <v>6257</v>
      </c>
      <c r="D165" s="3775"/>
      <c r="E165" s="3775"/>
      <c r="F165" s="3775"/>
      <c r="G165" s="3775"/>
      <c r="H165" s="3775"/>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775"/>
      <c r="AD165" s="3775"/>
      <c r="AE165" s="3775"/>
      <c r="AF165" s="3775"/>
      <c r="AG165" s="3775"/>
      <c r="AH165" s="3776"/>
      <c r="AI165" s="3777" t="s">
        <v>6258</v>
      </c>
      <c r="AJ165" s="3778"/>
      <c r="AK165" s="3778"/>
      <c r="AL165" s="3778"/>
      <c r="AM165" s="3778"/>
      <c r="AN165" s="3779"/>
      <c r="AO165" s="3520">
        <f>AO76</f>
        <v>0</v>
      </c>
      <c r="AP165" s="3521"/>
      <c r="AQ165" s="3521"/>
      <c r="AR165" s="3521"/>
      <c r="AS165" s="3521"/>
      <c r="AT165" s="3521"/>
      <c r="AU165" s="3521"/>
      <c r="AV165" s="3522"/>
      <c r="AW165" s="3766"/>
    </row>
    <row r="166" ht="18.75" customHeight="1" spans="1:49">
      <c r="A166" s="3780" t="s">
        <v>5469</v>
      </c>
      <c r="B166" s="3780" t="s">
        <v>3953</v>
      </c>
      <c r="C166" s="3774" t="s">
        <v>6259</v>
      </c>
      <c r="D166" s="3775"/>
      <c r="E166" s="3775"/>
      <c r="F166" s="3775"/>
      <c r="G166" s="3775"/>
      <c r="H166" s="3775"/>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775"/>
      <c r="AD166" s="3775"/>
      <c r="AE166" s="3775"/>
      <c r="AF166" s="3775"/>
      <c r="AG166" s="3775"/>
      <c r="AH166" s="3776"/>
      <c r="AI166" s="3777" t="s">
        <v>6260</v>
      </c>
      <c r="AJ166" s="3778"/>
      <c r="AK166" s="3778"/>
      <c r="AL166" s="3778"/>
      <c r="AM166" s="3778"/>
      <c r="AN166" s="3779"/>
      <c r="AO166" s="3520">
        <f>AO171-AO164-AO165-AO169-AO170</f>
        <v>245707</v>
      </c>
      <c r="AP166" s="3521"/>
      <c r="AQ166" s="3521"/>
      <c r="AR166" s="3521"/>
      <c r="AS166" s="3521"/>
      <c r="AT166" s="3521"/>
      <c r="AU166" s="3521"/>
      <c r="AV166" s="3522"/>
      <c r="AW166" s="3766"/>
    </row>
    <row r="167" ht="18.75" customHeight="1" spans="1:49">
      <c r="A167" s="3780" t="s">
        <v>5600</v>
      </c>
      <c r="B167" s="3780" t="s">
        <v>3953</v>
      </c>
      <c r="C167" s="3781" t="s">
        <v>6261</v>
      </c>
      <c r="D167" s="3782"/>
      <c r="E167" s="3782"/>
      <c r="F167" s="3782"/>
      <c r="G167" s="3782"/>
      <c r="H167" s="3782"/>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782"/>
      <c r="AD167" s="3782"/>
      <c r="AE167" s="3782"/>
      <c r="AF167" s="3782"/>
      <c r="AG167" s="3782"/>
      <c r="AH167" s="3783"/>
      <c r="AI167" s="3784" t="s">
        <v>6262</v>
      </c>
      <c r="AJ167" s="3785"/>
      <c r="AK167" s="3785"/>
      <c r="AL167" s="3785"/>
      <c r="AM167" s="3785"/>
      <c r="AN167" s="3786"/>
      <c r="AO167" s="3520">
        <f>AO166-AO168</f>
        <v>245707</v>
      </c>
      <c r="AP167" s="3521"/>
      <c r="AQ167" s="3521"/>
      <c r="AR167" s="3521"/>
      <c r="AS167" s="3521"/>
      <c r="AT167" s="3521"/>
      <c r="AU167" s="3521"/>
      <c r="AV167" s="3522"/>
      <c r="AW167" s="3766"/>
    </row>
    <row r="168" ht="18.75" customHeight="1" spans="1:49">
      <c r="A168" s="3780" t="s">
        <v>5078</v>
      </c>
      <c r="B168" s="3780" t="s">
        <v>3953</v>
      </c>
      <c r="C168" s="3781" t="s">
        <v>6263</v>
      </c>
      <c r="D168" s="3782"/>
      <c r="E168" s="3782"/>
      <c r="F168" s="3782"/>
      <c r="G168" s="3782"/>
      <c r="H168" s="3782"/>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782"/>
      <c r="AD168" s="3782"/>
      <c r="AE168" s="3782"/>
      <c r="AF168" s="3782"/>
      <c r="AG168" s="3782"/>
      <c r="AH168" s="3783"/>
      <c r="AI168" s="3784" t="s">
        <v>6264</v>
      </c>
      <c r="AJ168" s="3785"/>
      <c r="AK168" s="3785"/>
      <c r="AL168" s="3785"/>
      <c r="AM168" s="3785"/>
      <c r="AN168" s="3786"/>
      <c r="AO168" s="3866"/>
      <c r="AP168" s="3867"/>
      <c r="AQ168" s="3867"/>
      <c r="AR168" s="3867"/>
      <c r="AS168" s="3867"/>
      <c r="AT168" s="3867"/>
      <c r="AU168" s="3867"/>
      <c r="AV168" s="3868"/>
      <c r="AW168" s="3766"/>
    </row>
    <row r="169" ht="18.75" customHeight="1" spans="1:49">
      <c r="A169" s="3780" t="s">
        <v>6133</v>
      </c>
      <c r="B169" s="3780" t="s">
        <v>3953</v>
      </c>
      <c r="C169" s="3787" t="s">
        <v>6265</v>
      </c>
      <c r="D169" s="3788"/>
      <c r="E169" s="3788"/>
      <c r="F169" s="3788"/>
      <c r="G169" s="3788"/>
      <c r="H169" s="3788"/>
      <c r="I169" s="3788"/>
      <c r="J169" s="3788"/>
      <c r="K169" s="3788"/>
      <c r="L169" s="3788"/>
      <c r="M169" s="3788"/>
      <c r="N169" s="3788"/>
      <c r="O169" s="3788"/>
      <c r="P169" s="3788"/>
      <c r="Q169" s="3788"/>
      <c r="R169" s="3788"/>
      <c r="S169" s="3788"/>
      <c r="T169" s="3788"/>
      <c r="U169" s="3788"/>
      <c r="V169" s="3788"/>
      <c r="W169" s="3788"/>
      <c r="X169" s="3788"/>
      <c r="Y169" s="3788"/>
      <c r="Z169" s="3788"/>
      <c r="AA169" s="3788"/>
      <c r="AB169" s="3788"/>
      <c r="AC169" s="3788"/>
      <c r="AD169" s="3788"/>
      <c r="AE169" s="3788"/>
      <c r="AF169" s="3788"/>
      <c r="AG169" s="3788"/>
      <c r="AH169" s="3789"/>
      <c r="AI169" s="3777" t="s">
        <v>6266</v>
      </c>
      <c r="AJ169" s="3778"/>
      <c r="AK169" s="3778"/>
      <c r="AL169" s="3778"/>
      <c r="AM169" s="3778"/>
      <c r="AN169" s="3779"/>
      <c r="AO169" s="3866"/>
      <c r="AP169" s="3867"/>
      <c r="AQ169" s="3867"/>
      <c r="AR169" s="3867"/>
      <c r="AS169" s="3867"/>
      <c r="AT169" s="3867"/>
      <c r="AU169" s="3867"/>
      <c r="AV169" s="3868"/>
      <c r="AW169" s="3766"/>
    </row>
    <row r="170" ht="18.75" customHeight="1" spans="1:49">
      <c r="A170" s="3780" t="s">
        <v>6137</v>
      </c>
      <c r="B170" s="3780" t="s">
        <v>3953</v>
      </c>
      <c r="C170" s="3774" t="s">
        <v>6267</v>
      </c>
      <c r="D170" s="3775"/>
      <c r="E170" s="3775"/>
      <c r="F170" s="3775"/>
      <c r="G170" s="3775"/>
      <c r="H170" s="3775"/>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775"/>
      <c r="AD170" s="3775"/>
      <c r="AE170" s="3775"/>
      <c r="AF170" s="3775"/>
      <c r="AG170" s="3775"/>
      <c r="AH170" s="3776"/>
      <c r="AI170" s="3777" t="s">
        <v>6268</v>
      </c>
      <c r="AJ170" s="3778"/>
      <c r="AK170" s="3778"/>
      <c r="AL170" s="3778"/>
      <c r="AM170" s="3778"/>
      <c r="AN170" s="3779"/>
      <c r="AO170" s="3866"/>
      <c r="AP170" s="3867"/>
      <c r="AQ170" s="3867"/>
      <c r="AR170" s="3867"/>
      <c r="AS170" s="3867"/>
      <c r="AT170" s="3867"/>
      <c r="AU170" s="3867"/>
      <c r="AV170" s="3868"/>
      <c r="AW170" s="3766"/>
    </row>
    <row r="171" ht="18.75" customHeight="1" spans="1:49">
      <c r="A171" s="3780" t="s">
        <v>6140</v>
      </c>
      <c r="B171" s="3780" t="s">
        <v>3953</v>
      </c>
      <c r="C171" s="3774" t="s">
        <v>6269</v>
      </c>
      <c r="D171" s="3775"/>
      <c r="E171" s="3775"/>
      <c r="F171" s="3775"/>
      <c r="G171" s="3775"/>
      <c r="H171" s="3775"/>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775"/>
      <c r="AD171" s="3775"/>
      <c r="AE171" s="3775"/>
      <c r="AF171" s="3775"/>
      <c r="AG171" s="3775"/>
      <c r="AH171" s="3776"/>
      <c r="AI171" s="3777" t="s">
        <v>6270</v>
      </c>
      <c r="AJ171" s="3778"/>
      <c r="AK171" s="3778"/>
      <c r="AL171" s="3778"/>
      <c r="AM171" s="3778"/>
      <c r="AN171" s="3779"/>
      <c r="AO171" s="3520">
        <f>AO81</f>
        <v>245707</v>
      </c>
      <c r="AP171" s="3521"/>
      <c r="AQ171" s="3521"/>
      <c r="AR171" s="3521"/>
      <c r="AS171" s="3521"/>
      <c r="AT171" s="3521"/>
      <c r="AU171" s="3521"/>
      <c r="AV171" s="3522"/>
      <c r="AW171" s="3766"/>
    </row>
    <row r="172" spans="1:49">
      <c r="A172" s="3790"/>
      <c r="B172" s="3790"/>
      <c r="C172" s="3791"/>
      <c r="D172" s="3791"/>
      <c r="E172" s="3791"/>
      <c r="F172" s="3791"/>
      <c r="G172" s="3791"/>
      <c r="H172" s="3791"/>
      <c r="I172" s="3791"/>
      <c r="J172" s="3791"/>
      <c r="K172" s="3791"/>
      <c r="L172" s="3791"/>
      <c r="M172" s="3791"/>
      <c r="N172" s="3791"/>
      <c r="O172" s="3791"/>
      <c r="P172" s="3791"/>
      <c r="Q172" s="3791"/>
      <c r="R172" s="3791"/>
      <c r="S172" s="3791"/>
      <c r="T172" s="3791"/>
      <c r="U172" s="3791"/>
      <c r="V172" s="3791"/>
      <c r="W172" s="3791"/>
      <c r="X172" s="3791"/>
      <c r="Y172" s="3791"/>
      <c r="Z172" s="3791"/>
      <c r="AA172" s="3791"/>
      <c r="AB172" s="3791"/>
      <c r="AC172" s="3791"/>
      <c r="AD172" s="3791"/>
      <c r="AE172" s="3791"/>
      <c r="AF172" s="3791"/>
      <c r="AG172" s="3791"/>
      <c r="AH172" s="3791"/>
      <c r="AI172" s="3792"/>
      <c r="AJ172" s="3792"/>
      <c r="AK172" s="3792"/>
      <c r="AL172" s="3792"/>
      <c r="AM172" s="3792"/>
      <c r="AN172" s="3792"/>
      <c r="AO172" s="3793"/>
      <c r="AP172" s="3793"/>
      <c r="AQ172" s="3793"/>
      <c r="AR172" s="3793"/>
      <c r="AS172" s="3793"/>
      <c r="AT172" s="3793"/>
      <c r="AU172" s="3793"/>
      <c r="AV172" s="3793"/>
      <c r="AW172" s="3766"/>
    </row>
    <row r="173" spans="1:49">
      <c r="A173" s="3865" t="s">
        <v>6271</v>
      </c>
      <c r="B173" s="3865"/>
      <c r="C173" s="3865"/>
      <c r="D173" s="3865"/>
      <c r="E173" s="3865"/>
      <c r="F173" s="3865"/>
      <c r="G173" s="3865"/>
      <c r="H173" s="3865"/>
      <c r="I173" s="3865"/>
      <c r="J173" s="3865"/>
      <c r="K173" s="3865"/>
      <c r="L173" s="3865"/>
      <c r="M173" s="3865"/>
      <c r="N173" s="3865"/>
      <c r="O173" s="3865"/>
      <c r="P173" s="3865"/>
      <c r="Q173" s="3865"/>
      <c r="R173" s="3865"/>
      <c r="S173" s="3865"/>
      <c r="T173" s="3865"/>
      <c r="U173" s="3865"/>
      <c r="V173" s="3865"/>
      <c r="W173" s="3865"/>
      <c r="X173" s="3865"/>
      <c r="Y173" s="3865"/>
      <c r="Z173" s="3865"/>
      <c r="AA173" s="3865"/>
      <c r="AB173" s="3865"/>
      <c r="AC173" s="3865"/>
      <c r="AD173" s="3865"/>
      <c r="AE173" s="3865"/>
      <c r="AF173" s="3865"/>
      <c r="AG173" s="3865"/>
      <c r="AH173" s="3865"/>
      <c r="AI173" s="3865"/>
      <c r="AJ173" s="3865"/>
      <c r="AK173" s="3865"/>
      <c r="AL173" s="3865"/>
      <c r="AM173" s="3865"/>
      <c r="AN173" s="3865"/>
      <c r="AO173" s="3865"/>
      <c r="AP173" s="3865"/>
      <c r="AQ173" s="3865"/>
      <c r="AR173" s="3865"/>
      <c r="AS173" s="3865"/>
      <c r="AT173" s="3865"/>
      <c r="AU173" s="3865"/>
      <c r="AV173" s="3865"/>
      <c r="AW173" s="3766"/>
    </row>
    <row r="174" spans="1:49">
      <c r="A174" s="3795"/>
      <c r="B174" s="3795"/>
      <c r="C174" s="3795"/>
      <c r="D174" s="3795"/>
      <c r="E174" s="3795"/>
      <c r="F174" s="3795"/>
      <c r="G174" s="3795"/>
      <c r="H174" s="3795"/>
      <c r="I174" s="3795"/>
      <c r="J174" s="3795"/>
      <c r="K174" s="3795"/>
      <c r="L174" s="3795"/>
      <c r="M174" s="3795"/>
      <c r="N174" s="3795"/>
      <c r="O174" s="3795"/>
      <c r="P174" s="3795"/>
      <c r="Q174" s="3795"/>
      <c r="R174" s="3795"/>
      <c r="S174" s="3795"/>
      <c r="T174" s="3795"/>
      <c r="U174" s="3795"/>
      <c r="V174" s="3795"/>
      <c r="W174" s="3795"/>
      <c r="X174" s="3795"/>
      <c r="Y174" s="3795"/>
      <c r="Z174" s="3795"/>
      <c r="AA174" s="3795"/>
      <c r="AB174" s="3795"/>
      <c r="AC174" s="3795"/>
      <c r="AD174" s="3795"/>
      <c r="AE174" s="3795"/>
      <c r="AF174" s="3795"/>
      <c r="AG174" s="3795"/>
      <c r="AH174" s="3795"/>
      <c r="AI174" s="3795"/>
      <c r="AJ174" s="3795"/>
      <c r="AK174" s="3795"/>
      <c r="AL174" s="3795"/>
      <c r="AM174" s="3795"/>
      <c r="AN174" s="3795"/>
      <c r="AO174" s="3795"/>
      <c r="AP174" s="3795"/>
      <c r="AQ174" s="3795"/>
      <c r="AR174" s="3795"/>
      <c r="AS174" s="3795"/>
      <c r="AT174" s="3795"/>
      <c r="AU174" s="3795"/>
      <c r="AV174" s="3795"/>
    </row>
    <row r="175" spans="1:49">
      <c r="A175" s="3795"/>
      <c r="B175" s="3795"/>
      <c r="C175" s="3795"/>
      <c r="D175" s="3795"/>
      <c r="E175" s="3795"/>
      <c r="F175" s="3795"/>
      <c r="G175" s="3795"/>
      <c r="H175" s="3795"/>
      <c r="I175" s="3795"/>
      <c r="J175" s="3795"/>
      <c r="K175" s="3795"/>
      <c r="L175" s="3795"/>
      <c r="M175" s="3795"/>
      <c r="N175" s="3795"/>
      <c r="O175" s="3795"/>
      <c r="P175" s="3795"/>
      <c r="Q175" s="3795"/>
      <c r="R175" s="3795"/>
      <c r="S175" s="3795"/>
      <c r="T175" s="3795"/>
      <c r="U175" s="3795"/>
      <c r="V175" s="3795"/>
      <c r="W175" s="3795"/>
      <c r="X175" s="3795"/>
      <c r="Y175" s="3795"/>
      <c r="Z175" s="3795"/>
      <c r="AA175" s="3795"/>
      <c r="AB175" s="3795"/>
      <c r="AC175" s="3795"/>
      <c r="AD175" s="3795"/>
      <c r="AE175" s="3795"/>
      <c r="AF175" s="3795"/>
      <c r="AG175" s="3795"/>
      <c r="AH175" s="3795"/>
      <c r="AI175" s="3795"/>
      <c r="AJ175" s="3795"/>
      <c r="AK175" s="3795"/>
      <c r="AL175" s="3795"/>
      <c r="AM175" s="3795"/>
      <c r="AN175" s="3795"/>
      <c r="AO175" s="3795"/>
      <c r="AP175" s="3795"/>
      <c r="AQ175" s="3795"/>
      <c r="AR175" s="3795"/>
      <c r="AS175" s="3795"/>
      <c r="AT175" s="3795"/>
      <c r="AU175" s="3795"/>
      <c r="AV175" s="3795"/>
    </row>
    <row r="176" spans="1:49">
      <c r="A176" s="3795"/>
      <c r="B176" s="3795"/>
      <c r="C176" s="3795"/>
      <c r="D176" s="3795"/>
      <c r="E176" s="3795"/>
      <c r="F176" s="3795"/>
      <c r="G176" s="3795"/>
      <c r="H176" s="3795"/>
      <c r="I176" s="3795"/>
      <c r="J176" s="3795"/>
      <c r="K176" s="3795"/>
      <c r="L176" s="3795"/>
      <c r="M176" s="3795"/>
      <c r="N176" s="3795"/>
      <c r="O176" s="3795"/>
      <c r="P176" s="3795"/>
      <c r="Q176" s="3795"/>
      <c r="R176" s="3795"/>
      <c r="S176" s="3795"/>
      <c r="T176" s="3795"/>
      <c r="U176" s="3795"/>
      <c r="V176" s="3795"/>
      <c r="W176" s="3795"/>
      <c r="X176" s="3795"/>
      <c r="Y176" s="3795"/>
      <c r="Z176" s="3795"/>
      <c r="AA176" s="3795"/>
      <c r="AB176" s="3795"/>
      <c r="AC176" s="3795"/>
      <c r="AD176" s="3795"/>
      <c r="AE176" s="3795"/>
      <c r="AF176" s="3795"/>
      <c r="AG176" s="3795"/>
      <c r="AH176" s="3795"/>
      <c r="AI176" s="3795"/>
      <c r="AJ176" s="3795"/>
      <c r="AK176" s="3795"/>
      <c r="AL176" s="3795"/>
      <c r="AM176" s="3795"/>
      <c r="AN176" s="3795"/>
      <c r="AO176" s="3795"/>
      <c r="AP176" s="3795"/>
      <c r="AQ176" s="3795"/>
      <c r="AR176" s="3795"/>
      <c r="AS176" s="3795"/>
      <c r="AT176" s="3795"/>
      <c r="AU176" s="3795"/>
      <c r="AV176" s="3795"/>
    </row>
    <row r="177" spans="1:48">
      <c r="A177" s="3795"/>
      <c r="B177" s="3795"/>
      <c r="C177" s="3795"/>
      <c r="D177" s="3795"/>
      <c r="E177" s="3795"/>
      <c r="F177" s="3795"/>
      <c r="G177" s="3795"/>
      <c r="H177" s="3795"/>
      <c r="I177" s="3795"/>
      <c r="J177" s="3795"/>
      <c r="K177" s="3795"/>
      <c r="L177" s="3795"/>
      <c r="M177" s="3795"/>
      <c r="N177" s="3795"/>
      <c r="O177" s="3795"/>
      <c r="P177" s="3795"/>
      <c r="Q177" s="3795"/>
      <c r="R177" s="3795"/>
      <c r="S177" s="3795"/>
      <c r="T177" s="3795"/>
      <c r="U177" s="3795"/>
      <c r="V177" s="3795"/>
      <c r="W177" s="3795"/>
      <c r="X177" s="3795"/>
      <c r="Y177" s="3795"/>
      <c r="Z177" s="3795"/>
      <c r="AA177" s="3795"/>
      <c r="AB177" s="3795"/>
      <c r="AC177" s="3795"/>
      <c r="AD177" s="3795"/>
      <c r="AE177" s="3795"/>
      <c r="AF177" s="3795"/>
      <c r="AG177" s="3795"/>
      <c r="AH177" s="3795"/>
      <c r="AI177" s="3795"/>
      <c r="AJ177" s="3795"/>
      <c r="AK177" s="3795"/>
      <c r="AL177" s="3795"/>
      <c r="AM177" s="3795"/>
      <c r="AN177" s="3795"/>
      <c r="AO177" s="3795"/>
      <c r="AP177" s="3795"/>
      <c r="AQ177" s="3795"/>
      <c r="AR177" s="3795"/>
      <c r="AS177" s="3795"/>
      <c r="AT177" s="3795"/>
      <c r="AU177" s="3795"/>
      <c r="AV177" s="3795"/>
    </row>
    <row r="178" spans="1:48">
      <c r="A178" s="3795"/>
      <c r="B178" s="3795"/>
      <c r="C178" s="3795"/>
      <c r="D178" s="3795"/>
      <c r="E178" s="3795"/>
      <c r="F178" s="3795"/>
      <c r="G178" s="3795"/>
      <c r="H178" s="3795"/>
      <c r="I178" s="3795"/>
      <c r="J178" s="3795"/>
      <c r="K178" s="3795"/>
      <c r="L178" s="3795"/>
      <c r="M178" s="3795"/>
      <c r="N178" s="3795"/>
      <c r="O178" s="3795"/>
      <c r="P178" s="3795"/>
      <c r="Q178" s="3795"/>
      <c r="R178" s="3795"/>
      <c r="S178" s="3795"/>
      <c r="T178" s="3795"/>
      <c r="U178" s="3795"/>
      <c r="V178" s="3795"/>
      <c r="W178" s="3795"/>
      <c r="X178" s="3795"/>
      <c r="Y178" s="3795"/>
      <c r="Z178" s="3795"/>
      <c r="AA178" s="3795"/>
      <c r="AB178" s="3795"/>
      <c r="AC178" s="3795"/>
      <c r="AD178" s="3795"/>
      <c r="AE178" s="3795"/>
      <c r="AF178" s="3795"/>
      <c r="AG178" s="3795"/>
      <c r="AH178" s="3795"/>
      <c r="AI178" s="3795"/>
      <c r="AJ178" s="3795"/>
      <c r="AK178" s="3795"/>
      <c r="AL178" s="3795"/>
      <c r="AM178" s="3795"/>
      <c r="AN178" s="3795"/>
      <c r="AO178" s="3795"/>
      <c r="AP178" s="3795"/>
      <c r="AQ178" s="3795"/>
      <c r="AR178" s="3795"/>
      <c r="AS178" s="3795"/>
      <c r="AT178" s="3795"/>
      <c r="AU178" s="3795"/>
      <c r="AV178" s="3795"/>
    </row>
    <row r="179" spans="1:48">
      <c r="A179" s="3795"/>
      <c r="B179" s="3795"/>
      <c r="C179" s="3795"/>
      <c r="D179" s="3795"/>
      <c r="E179" s="3795"/>
      <c r="F179" s="3795"/>
      <c r="G179" s="3795"/>
      <c r="H179" s="3795"/>
      <c r="I179" s="3795"/>
      <c r="J179" s="3795"/>
      <c r="K179" s="3795"/>
      <c r="L179" s="3795"/>
      <c r="M179" s="3795"/>
      <c r="N179" s="3795"/>
      <c r="O179" s="3795"/>
      <c r="P179" s="3795"/>
      <c r="Q179" s="3795"/>
      <c r="R179" s="3795"/>
      <c r="S179" s="3795"/>
      <c r="T179" s="3795"/>
      <c r="U179" s="3795"/>
      <c r="V179" s="3795"/>
      <c r="W179" s="3795"/>
      <c r="X179" s="3795"/>
      <c r="Y179" s="3795"/>
      <c r="Z179" s="3795"/>
      <c r="AA179" s="3795"/>
      <c r="AB179" s="3795"/>
      <c r="AC179" s="3795"/>
      <c r="AD179" s="3795"/>
      <c r="AE179" s="3795"/>
      <c r="AF179" s="3795"/>
      <c r="AG179" s="3795"/>
      <c r="AH179" s="3795"/>
      <c r="AI179" s="3795"/>
      <c r="AJ179" s="3795"/>
      <c r="AK179" s="3795"/>
      <c r="AL179" s="3795"/>
      <c r="AM179" s="3795"/>
      <c r="AN179" s="3795"/>
      <c r="AO179" s="3795"/>
      <c r="AP179" s="3795"/>
      <c r="AQ179" s="3795"/>
      <c r="AR179" s="3795"/>
      <c r="AS179" s="3795"/>
      <c r="AT179" s="3795"/>
      <c r="AU179" s="3795"/>
      <c r="AV179" s="3795"/>
    </row>
    <row r="180" spans="1:48">
      <c r="A180" s="3795"/>
      <c r="B180" s="3795"/>
      <c r="C180" s="3795"/>
      <c r="D180" s="3795"/>
      <c r="E180" s="3795"/>
      <c r="F180" s="3795"/>
      <c r="G180" s="3795"/>
      <c r="H180" s="3795"/>
      <c r="I180" s="3795"/>
      <c r="J180" s="3795"/>
      <c r="K180" s="3795"/>
      <c r="L180" s="3795"/>
      <c r="M180" s="3795"/>
      <c r="N180" s="3795"/>
      <c r="O180" s="3795"/>
      <c r="P180" s="3795"/>
      <c r="Q180" s="3795"/>
      <c r="R180" s="3795"/>
      <c r="S180" s="3795"/>
      <c r="T180" s="3795"/>
      <c r="U180" s="3795"/>
      <c r="V180" s="3795"/>
      <c r="W180" s="3795"/>
      <c r="X180" s="3795"/>
      <c r="Y180" s="3795"/>
      <c r="Z180" s="3795"/>
      <c r="AA180" s="3795"/>
      <c r="AB180" s="3795"/>
      <c r="AC180" s="3795"/>
      <c r="AD180" s="3795"/>
      <c r="AE180" s="3795"/>
      <c r="AF180" s="3795"/>
      <c r="AG180" s="3795"/>
      <c r="AH180" s="3795"/>
      <c r="AI180" s="3795"/>
      <c r="AJ180" s="3795"/>
      <c r="AK180" s="3795"/>
      <c r="AL180" s="3795"/>
      <c r="AM180" s="3795"/>
      <c r="AN180" s="3795"/>
      <c r="AO180" s="3795"/>
      <c r="AP180" s="3795"/>
      <c r="AQ180" s="3795"/>
      <c r="AR180" s="3795"/>
      <c r="AS180" s="3795"/>
      <c r="AT180" s="3795"/>
      <c r="AU180" s="3795"/>
      <c r="AV180" s="3795"/>
    </row>
    <row r="181" spans="1:48">
      <c r="A181" s="3795"/>
      <c r="B181" s="3795"/>
      <c r="C181" s="3795"/>
      <c r="D181" s="3795"/>
      <c r="E181" s="3795"/>
      <c r="F181" s="3795"/>
      <c r="G181" s="3795"/>
      <c r="H181" s="3795"/>
      <c r="I181" s="3795"/>
      <c r="J181" s="3795"/>
      <c r="K181" s="3795"/>
      <c r="L181" s="3795"/>
      <c r="M181" s="3795"/>
      <c r="N181" s="3795"/>
      <c r="O181" s="3795"/>
      <c r="P181" s="3795"/>
      <c r="Q181" s="3795"/>
      <c r="R181" s="3795"/>
      <c r="S181" s="3795"/>
      <c r="T181" s="3795"/>
      <c r="U181" s="3795"/>
      <c r="V181" s="3795"/>
      <c r="W181" s="3795"/>
      <c r="X181" s="3795"/>
      <c r="Y181" s="3795"/>
      <c r="Z181" s="3795"/>
      <c r="AA181" s="3795"/>
      <c r="AB181" s="3795"/>
      <c r="AC181" s="3795"/>
      <c r="AD181" s="3795"/>
      <c r="AE181" s="3795"/>
      <c r="AF181" s="3795"/>
      <c r="AG181" s="3795"/>
      <c r="AH181" s="3795"/>
      <c r="AI181" s="3795"/>
      <c r="AJ181" s="3795"/>
      <c r="AK181" s="3795"/>
      <c r="AL181" s="3795"/>
      <c r="AM181" s="3795"/>
      <c r="AN181" s="3795"/>
      <c r="AO181" s="3795"/>
      <c r="AP181" s="3795"/>
      <c r="AQ181" s="3795"/>
      <c r="AR181" s="3795"/>
      <c r="AS181" s="3795"/>
      <c r="AT181" s="3795"/>
      <c r="AU181" s="3795"/>
      <c r="AV181" s="3795"/>
    </row>
    <row r="182" spans="1:48">
      <c r="A182" s="3795"/>
      <c r="B182" s="3795"/>
      <c r="C182" s="3795"/>
      <c r="D182" s="3795"/>
      <c r="E182" s="3795"/>
      <c r="F182" s="3795"/>
      <c r="G182" s="3795"/>
      <c r="H182" s="3795"/>
      <c r="I182" s="3795"/>
      <c r="J182" s="3795"/>
      <c r="K182" s="3795"/>
      <c r="L182" s="3795"/>
      <c r="M182" s="3795"/>
      <c r="N182" s="3795"/>
      <c r="O182" s="3795"/>
      <c r="P182" s="3795"/>
      <c r="Q182" s="3795"/>
      <c r="R182" s="3795"/>
      <c r="S182" s="3795"/>
      <c r="T182" s="3795"/>
      <c r="U182" s="3795"/>
      <c r="V182" s="3795"/>
      <c r="W182" s="3795"/>
      <c r="X182" s="3795"/>
      <c r="Y182" s="3795"/>
      <c r="Z182" s="3795"/>
      <c r="AA182" s="3795"/>
      <c r="AB182" s="3795"/>
      <c r="AC182" s="3795"/>
      <c r="AD182" s="3795"/>
      <c r="AE182" s="3795"/>
      <c r="AF182" s="3795"/>
      <c r="AG182" s="3795"/>
      <c r="AH182" s="3795"/>
      <c r="AI182" s="3795"/>
      <c r="AJ182" s="3795"/>
      <c r="AK182" s="3795"/>
      <c r="AL182" s="3795"/>
      <c r="AM182" s="3795"/>
      <c r="AN182" s="3795"/>
      <c r="AO182" s="3795"/>
      <c r="AP182" s="3795"/>
      <c r="AQ182" s="3795"/>
      <c r="AR182" s="3795"/>
      <c r="AS182" s="3795"/>
      <c r="AT182" s="3795"/>
      <c r="AU182" s="3795"/>
      <c r="AV182" s="3795"/>
    </row>
    <row r="183" spans="1:48">
      <c r="A183" s="3795"/>
      <c r="B183" s="3795"/>
      <c r="C183" s="3795"/>
      <c r="D183" s="3795"/>
      <c r="E183" s="3795"/>
      <c r="F183" s="3795"/>
      <c r="G183" s="3795"/>
      <c r="H183" s="3795"/>
      <c r="I183" s="3795"/>
      <c r="J183" s="3795"/>
      <c r="K183" s="3795"/>
      <c r="L183" s="3795"/>
      <c r="M183" s="3795"/>
      <c r="N183" s="3795"/>
      <c r="O183" s="3795"/>
      <c r="P183" s="3795"/>
      <c r="Q183" s="3795"/>
      <c r="R183" s="3795"/>
      <c r="S183" s="3795"/>
      <c r="T183" s="3795"/>
      <c r="U183" s="3795"/>
      <c r="V183" s="3795"/>
      <c r="W183" s="3795"/>
      <c r="X183" s="3795"/>
      <c r="Y183" s="3795"/>
      <c r="Z183" s="3795"/>
      <c r="AA183" s="3795"/>
      <c r="AB183" s="3795"/>
      <c r="AC183" s="3795"/>
      <c r="AD183" s="3795"/>
      <c r="AE183" s="3795"/>
      <c r="AF183" s="3795"/>
      <c r="AG183" s="3795"/>
      <c r="AH183" s="3795"/>
      <c r="AI183" s="3795"/>
      <c r="AJ183" s="3795"/>
      <c r="AK183" s="3795"/>
      <c r="AL183" s="3795"/>
      <c r="AM183" s="3795"/>
      <c r="AN183" s="3795"/>
      <c r="AO183" s="3795"/>
      <c r="AP183" s="3795"/>
      <c r="AQ183" s="3795"/>
      <c r="AR183" s="3795"/>
      <c r="AS183" s="3795"/>
      <c r="AT183" s="3795"/>
      <c r="AU183" s="3795"/>
      <c r="AV183" s="3795"/>
    </row>
    <row r="184" spans="1:48">
      <c r="A184" s="3795"/>
      <c r="B184" s="3795"/>
      <c r="C184" s="3795"/>
      <c r="D184" s="3795"/>
      <c r="E184" s="3795"/>
      <c r="F184" s="3795"/>
      <c r="G184" s="3795"/>
      <c r="H184" s="3795"/>
      <c r="I184" s="3795"/>
      <c r="J184" s="3795"/>
      <c r="K184" s="3795"/>
      <c r="L184" s="3795"/>
      <c r="M184" s="3795"/>
      <c r="N184" s="3795"/>
      <c r="O184" s="3795"/>
      <c r="P184" s="3795"/>
      <c r="Q184" s="3795"/>
      <c r="R184" s="3795"/>
      <c r="S184" s="3795"/>
      <c r="T184" s="3795"/>
      <c r="U184" s="3795"/>
      <c r="V184" s="3795"/>
      <c r="W184" s="3795"/>
      <c r="X184" s="3795"/>
      <c r="Y184" s="3795"/>
      <c r="Z184" s="3795"/>
      <c r="AA184" s="3795"/>
      <c r="AB184" s="3795"/>
      <c r="AC184" s="3795"/>
      <c r="AD184" s="3795"/>
      <c r="AE184" s="3795"/>
      <c r="AF184" s="3795"/>
      <c r="AG184" s="3795"/>
      <c r="AH184" s="3795"/>
      <c r="AI184" s="3795"/>
      <c r="AJ184" s="3795"/>
      <c r="AK184" s="3795"/>
      <c r="AL184" s="3795"/>
      <c r="AM184" s="3795"/>
      <c r="AN184" s="3795"/>
      <c r="AO184" s="3795"/>
      <c r="AP184" s="3795"/>
      <c r="AQ184" s="3795"/>
      <c r="AR184" s="3795"/>
      <c r="AS184" s="3795"/>
      <c r="AT184" s="3795"/>
      <c r="AU184" s="3795"/>
      <c r="AV184" s="3795"/>
    </row>
    <row r="185" spans="1:48">
      <c r="A185" s="3795"/>
      <c r="B185" s="3795"/>
      <c r="C185" s="3795"/>
      <c r="D185" s="3795"/>
      <c r="E185" s="3795"/>
      <c r="F185" s="3795"/>
      <c r="G185" s="3795"/>
      <c r="H185" s="3795"/>
      <c r="I185" s="3795"/>
      <c r="J185" s="3795"/>
      <c r="K185" s="3795"/>
      <c r="L185" s="3795"/>
      <c r="M185" s="3795"/>
      <c r="N185" s="3795"/>
      <c r="O185" s="3795"/>
      <c r="P185" s="3795"/>
      <c r="Q185" s="3795"/>
      <c r="R185" s="3795"/>
      <c r="S185" s="3795"/>
      <c r="T185" s="3795"/>
      <c r="U185" s="3795"/>
      <c r="V185" s="3795"/>
      <c r="W185" s="3795"/>
      <c r="X185" s="3795"/>
      <c r="Y185" s="3795"/>
      <c r="Z185" s="3795"/>
      <c r="AA185" s="3795"/>
      <c r="AB185" s="3795"/>
      <c r="AC185" s="3795"/>
      <c r="AD185" s="3795"/>
      <c r="AE185" s="3795"/>
      <c r="AF185" s="3795"/>
      <c r="AG185" s="3795"/>
      <c r="AH185" s="3795"/>
      <c r="AI185" s="3795"/>
      <c r="AJ185" s="3795"/>
      <c r="AK185" s="3795"/>
      <c r="AL185" s="3795"/>
      <c r="AM185" s="3795"/>
      <c r="AN185" s="3795"/>
      <c r="AO185" s="3795"/>
      <c r="AP185" s="3795"/>
      <c r="AQ185" s="3795"/>
      <c r="AR185" s="3795"/>
      <c r="AS185" s="3795"/>
      <c r="AT185" s="3795"/>
      <c r="AU185" s="3795"/>
      <c r="AV185" s="3795"/>
    </row>
    <row r="186" spans="1:48">
      <c r="A186" s="3795"/>
      <c r="B186" s="3795"/>
      <c r="C186" s="3795"/>
      <c r="D186" s="3795"/>
      <c r="E186" s="3795"/>
      <c r="F186" s="3795"/>
      <c r="G186" s="3795"/>
      <c r="H186" s="3795"/>
      <c r="I186" s="3795"/>
      <c r="J186" s="3795"/>
      <c r="K186" s="3795"/>
      <c r="L186" s="3795"/>
      <c r="M186" s="3795"/>
      <c r="N186" s="3795"/>
      <c r="O186" s="3795"/>
      <c r="P186" s="3795"/>
      <c r="Q186" s="3795"/>
      <c r="R186" s="3795"/>
      <c r="S186" s="3795"/>
      <c r="T186" s="3795"/>
      <c r="U186" s="3795"/>
      <c r="V186" s="3795"/>
      <c r="W186" s="3795"/>
      <c r="X186" s="3795"/>
      <c r="Y186" s="3795"/>
      <c r="Z186" s="3795"/>
      <c r="AA186" s="3795"/>
      <c r="AB186" s="3795"/>
      <c r="AC186" s="3795"/>
      <c r="AD186" s="3795"/>
      <c r="AE186" s="3795"/>
      <c r="AF186" s="3795"/>
      <c r="AG186" s="3795"/>
      <c r="AH186" s="3795"/>
      <c r="AI186" s="3795"/>
      <c r="AJ186" s="3795"/>
      <c r="AK186" s="3795"/>
      <c r="AL186" s="3795"/>
      <c r="AM186" s="3795"/>
      <c r="AN186" s="3795"/>
      <c r="AO186" s="3795"/>
      <c r="AP186" s="3795"/>
      <c r="AQ186" s="3795"/>
      <c r="AR186" s="3795"/>
      <c r="AS186" s="3795"/>
      <c r="AT186" s="3795"/>
      <c r="AU186" s="3795"/>
      <c r="AV186" s="3795"/>
    </row>
    <row r="187" spans="1:48">
      <c r="A187" s="3795"/>
      <c r="B187" s="3795"/>
      <c r="C187" s="3795"/>
      <c r="D187" s="3795"/>
      <c r="E187" s="3795"/>
      <c r="F187" s="3795"/>
      <c r="G187" s="3795"/>
      <c r="H187" s="3795"/>
      <c r="I187" s="3795"/>
      <c r="J187" s="3795"/>
      <c r="K187" s="3795"/>
      <c r="L187" s="3795"/>
      <c r="M187" s="3795"/>
      <c r="N187" s="3795"/>
      <c r="O187" s="3795"/>
      <c r="P187" s="3795"/>
      <c r="Q187" s="3795"/>
      <c r="R187" s="3795"/>
      <c r="S187" s="3795"/>
      <c r="T187" s="3795"/>
      <c r="U187" s="3795"/>
      <c r="V187" s="3795"/>
      <c r="W187" s="3795"/>
      <c r="X187" s="3795"/>
      <c r="Y187" s="3795"/>
      <c r="Z187" s="3795"/>
      <c r="AA187" s="3795"/>
      <c r="AB187" s="3795"/>
      <c r="AC187" s="3795"/>
      <c r="AD187" s="3795"/>
      <c r="AE187" s="3795"/>
      <c r="AF187" s="3795"/>
      <c r="AG187" s="3795"/>
      <c r="AH187" s="3795"/>
      <c r="AI187" s="3795"/>
      <c r="AJ187" s="3795"/>
      <c r="AK187" s="3795"/>
      <c r="AL187" s="3795"/>
      <c r="AM187" s="3795"/>
      <c r="AN187" s="3795"/>
      <c r="AO187" s="3795"/>
      <c r="AP187" s="3795"/>
      <c r="AQ187" s="3795"/>
      <c r="AR187" s="3795"/>
      <c r="AS187" s="3795"/>
      <c r="AT187" s="3795"/>
      <c r="AU187" s="3795"/>
      <c r="AV187" s="3795"/>
    </row>
    <row r="188" spans="1:48">
      <c r="A188" s="3796"/>
      <c r="B188" s="3796"/>
      <c r="C188" s="3796"/>
      <c r="D188" s="3796"/>
      <c r="E188" s="3796"/>
      <c r="F188" s="3796"/>
      <c r="G188" s="3796"/>
      <c r="H188" s="3796"/>
      <c r="I188" s="3796"/>
      <c r="J188" s="3796"/>
      <c r="K188" s="3796"/>
      <c r="L188" s="3796"/>
      <c r="M188" s="3796"/>
      <c r="N188" s="3796"/>
      <c r="O188" s="3796"/>
      <c r="P188" s="3796"/>
      <c r="Q188" s="3796"/>
      <c r="R188" s="3796"/>
      <c r="S188" s="3796"/>
      <c r="T188" s="3796"/>
      <c r="U188" s="3796"/>
      <c r="V188" s="3796"/>
      <c r="W188" s="3796"/>
      <c r="X188" s="3796"/>
      <c r="Y188" s="3796"/>
      <c r="Z188" s="3796"/>
      <c r="AA188" s="3796"/>
      <c r="AB188" s="3796"/>
      <c r="AC188" s="3796"/>
      <c r="AD188" s="3796"/>
      <c r="AE188" s="3796"/>
      <c r="AF188" s="3796"/>
      <c r="AG188" s="3796"/>
      <c r="AH188" s="3796"/>
      <c r="AI188" s="3796"/>
      <c r="AJ188" s="3796"/>
      <c r="AK188" s="3796"/>
      <c r="AL188" s="3796"/>
      <c r="AM188" s="3796"/>
      <c r="AN188" s="3796"/>
      <c r="AO188" s="3796"/>
      <c r="AP188" s="3796"/>
      <c r="AQ188" s="3796"/>
      <c r="AR188" s="3796"/>
      <c r="AS188" s="3796"/>
      <c r="AT188" s="3796"/>
      <c r="AU188" s="3796"/>
      <c r="AV188" s="3796"/>
    </row>
    <row r="189" spans="1:48">
      <c r="A189" s="3505" t="s">
        <v>6272</v>
      </c>
      <c r="B189" s="3505"/>
      <c r="C189" s="3505"/>
      <c r="D189" s="3505"/>
      <c r="E189" s="3505"/>
      <c r="F189" s="3505"/>
      <c r="G189" s="3505"/>
      <c r="H189" s="3505"/>
      <c r="I189" s="3505"/>
      <c r="J189" s="3505"/>
      <c r="K189" s="3505"/>
      <c r="L189" s="3505"/>
      <c r="M189" s="3505"/>
      <c r="N189" s="3505"/>
      <c r="O189" s="3505"/>
      <c r="P189" s="3505"/>
      <c r="Q189" s="3505"/>
      <c r="R189" s="3505"/>
      <c r="S189" s="3505"/>
      <c r="T189" s="3505"/>
      <c r="U189" s="3505"/>
      <c r="V189" s="3505"/>
      <c r="W189" s="3505"/>
      <c r="X189" s="3505"/>
      <c r="Y189" s="3505"/>
      <c r="Z189" s="3505"/>
      <c r="AA189" s="3505"/>
      <c r="AB189" s="3505"/>
      <c r="AC189" s="3505"/>
      <c r="AD189" s="3505"/>
      <c r="AE189" s="3505"/>
      <c r="AF189" s="3505"/>
      <c r="AG189" s="3505"/>
      <c r="AH189" s="3505"/>
      <c r="AI189" s="3505"/>
      <c r="AJ189" s="3505"/>
      <c r="AK189" s="3505"/>
      <c r="AL189" s="3505"/>
      <c r="AM189" s="3505"/>
      <c r="AN189" s="3505"/>
      <c r="AO189" s="3505"/>
      <c r="AP189" s="3505"/>
      <c r="AQ189" s="3505"/>
      <c r="AR189" s="3505"/>
      <c r="AS189" s="3505"/>
      <c r="AT189" s="3505"/>
      <c r="AU189" s="3505"/>
      <c r="AV189" s="3505"/>
    </row>
    <row r="190" ht="25.5" customHeight="1" spans="1:48">
      <c r="A190" s="3506" t="s">
        <v>6096</v>
      </c>
      <c r="B190" s="3506"/>
      <c r="C190" s="3797" t="s">
        <v>6097</v>
      </c>
      <c r="D190" s="3507"/>
      <c r="E190" s="3507"/>
      <c r="F190" s="3507"/>
      <c r="G190" s="3507"/>
      <c r="H190" s="3507"/>
      <c r="I190" s="3507"/>
      <c r="J190" s="3507"/>
      <c r="K190" s="3507"/>
      <c r="L190" s="3507"/>
      <c r="M190" s="3507"/>
      <c r="N190" s="3507"/>
      <c r="O190" s="3507"/>
      <c r="P190" s="3507"/>
      <c r="Q190" s="3507"/>
      <c r="R190" s="3507"/>
      <c r="S190" s="3507"/>
      <c r="T190" s="3507"/>
      <c r="U190" s="3507"/>
      <c r="V190" s="3507"/>
      <c r="W190" s="3507"/>
      <c r="X190" s="3507"/>
      <c r="Y190" s="3507"/>
      <c r="Z190" s="3507"/>
      <c r="AA190" s="3507"/>
      <c r="AB190" s="3798" t="s">
        <v>6098</v>
      </c>
      <c r="AC190" s="3799"/>
      <c r="AD190" s="3799"/>
      <c r="AE190" s="3799"/>
      <c r="AF190" s="3799"/>
      <c r="AG190" s="3799"/>
      <c r="AH190" s="3800"/>
      <c r="AI190" s="3510" t="s">
        <v>6273</v>
      </c>
      <c r="AJ190" s="3511"/>
      <c r="AK190" s="3511"/>
      <c r="AL190" s="3511"/>
      <c r="AM190" s="3511"/>
      <c r="AN190" s="3512"/>
      <c r="AO190" s="3510" t="s">
        <v>6100</v>
      </c>
      <c r="AP190" s="3511"/>
      <c r="AQ190" s="3511"/>
      <c r="AR190" s="3511"/>
      <c r="AS190" s="3511"/>
      <c r="AT190" s="3511"/>
      <c r="AU190" s="3511"/>
      <c r="AV190" s="3512"/>
    </row>
    <row r="191" ht="24" customHeight="1" spans="1:48">
      <c r="A191" s="3801" t="s">
        <v>5336</v>
      </c>
      <c r="B191" s="3801" t="s">
        <v>3953</v>
      </c>
      <c r="C191" s="3645" t="s">
        <v>6274</v>
      </c>
      <c r="D191" s="3646"/>
      <c r="E191" s="3646"/>
      <c r="F191" s="3646"/>
      <c r="G191" s="3646"/>
      <c r="H191" s="3646"/>
      <c r="I191" s="3646"/>
      <c r="J191" s="3646"/>
      <c r="K191" s="3646"/>
      <c r="L191" s="3646"/>
      <c r="M191" s="3646"/>
      <c r="N191" s="3646"/>
      <c r="O191" s="3646"/>
      <c r="P191" s="3646"/>
      <c r="Q191" s="3646"/>
      <c r="R191" s="3646"/>
      <c r="S191" s="3646"/>
      <c r="T191" s="3646"/>
      <c r="U191" s="3646"/>
      <c r="V191" s="3646"/>
      <c r="W191" s="3646"/>
      <c r="X191" s="3646"/>
      <c r="Y191" s="3646"/>
      <c r="Z191" s="3646"/>
      <c r="AA191" s="3647"/>
      <c r="AB191" s="3802" t="s">
        <v>6275</v>
      </c>
      <c r="AC191" s="3803"/>
      <c r="AD191" s="3803"/>
      <c r="AE191" s="3803"/>
      <c r="AF191" s="3803"/>
      <c r="AG191" s="3803"/>
      <c r="AH191" s="3804"/>
      <c r="AI191" s="3571" t="s">
        <v>6276</v>
      </c>
      <c r="AJ191" s="3572"/>
      <c r="AK191" s="3572"/>
      <c r="AL191" s="3572"/>
      <c r="AM191" s="3572"/>
      <c r="AN191" s="3573"/>
      <c r="AO191" s="3805">
        <f>ROUND(UnosPod!F453,0)</f>
        <v>0</v>
      </c>
      <c r="AP191" s="3806"/>
      <c r="AQ191" s="3806"/>
      <c r="AR191" s="3806"/>
      <c r="AS191" s="3806"/>
      <c r="AT191" s="3806"/>
      <c r="AU191" s="3806"/>
      <c r="AV191" s="3807"/>
    </row>
    <row r="192" ht="24" customHeight="1" spans="1:48">
      <c r="A192" s="3739" t="s">
        <v>5428</v>
      </c>
      <c r="B192" s="3739" t="s">
        <v>3953</v>
      </c>
      <c r="C192" s="3645" t="s">
        <v>6277</v>
      </c>
      <c r="D192" s="3646"/>
      <c r="E192" s="3646"/>
      <c r="F192" s="3646"/>
      <c r="G192" s="3646"/>
      <c r="H192" s="3646"/>
      <c r="I192" s="3646"/>
      <c r="J192" s="3646"/>
      <c r="K192" s="3646"/>
      <c r="L192" s="3646"/>
      <c r="M192" s="3646"/>
      <c r="N192" s="3646"/>
      <c r="O192" s="3646"/>
      <c r="P192" s="3646"/>
      <c r="Q192" s="3646"/>
      <c r="R192" s="3646"/>
      <c r="S192" s="3646"/>
      <c r="T192" s="3646"/>
      <c r="U192" s="3646"/>
      <c r="V192" s="3646"/>
      <c r="W192" s="3646"/>
      <c r="X192" s="3646"/>
      <c r="Y192" s="3646"/>
      <c r="Z192" s="3646"/>
      <c r="AA192" s="3647"/>
      <c r="AB192" s="3802" t="s">
        <v>6278</v>
      </c>
      <c r="AC192" s="3803"/>
      <c r="AD192" s="3803"/>
      <c r="AE192" s="3803"/>
      <c r="AF192" s="3803"/>
      <c r="AG192" s="3803"/>
      <c r="AH192" s="3804"/>
      <c r="AI192" s="3571" t="s">
        <v>6279</v>
      </c>
      <c r="AJ192" s="3572"/>
      <c r="AK192" s="3572"/>
      <c r="AL192" s="3572"/>
      <c r="AM192" s="3572"/>
      <c r="AN192" s="3573"/>
      <c r="AO192" s="3805">
        <f>ROUND(UnosPod!F452,0)</f>
        <v>0</v>
      </c>
      <c r="AP192" s="3806"/>
      <c r="AQ192" s="3806"/>
      <c r="AR192" s="3806"/>
      <c r="AS192" s="3806"/>
      <c r="AT192" s="3806"/>
      <c r="AU192" s="3806"/>
      <c r="AV192" s="3807"/>
    </row>
    <row r="193" spans="1:49">
      <c r="A193" s="3739" t="s">
        <v>5469</v>
      </c>
      <c r="B193" s="3739" t="s">
        <v>3953</v>
      </c>
      <c r="C193" s="3645" t="s">
        <v>5138</v>
      </c>
      <c r="D193" s="3646"/>
      <c r="E193" s="3646"/>
      <c r="F193" s="3646"/>
      <c r="G193" s="3646"/>
      <c r="H193" s="3646"/>
      <c r="I193" s="3646"/>
      <c r="J193" s="3646"/>
      <c r="K193" s="3646"/>
      <c r="L193" s="3646"/>
      <c r="M193" s="3646"/>
      <c r="N193" s="3646"/>
      <c r="O193" s="3646"/>
      <c r="P193" s="3646"/>
      <c r="Q193" s="3646"/>
      <c r="R193" s="3646"/>
      <c r="S193" s="3646"/>
      <c r="T193" s="3646"/>
      <c r="U193" s="3646"/>
      <c r="V193" s="3646"/>
      <c r="W193" s="3646"/>
      <c r="X193" s="3646"/>
      <c r="Y193" s="3646"/>
      <c r="Z193" s="3646"/>
      <c r="AA193" s="3647"/>
      <c r="AB193" s="3802" t="s">
        <v>6280</v>
      </c>
      <c r="AC193" s="3803"/>
      <c r="AD193" s="3803"/>
      <c r="AE193" s="3803"/>
      <c r="AF193" s="3803"/>
      <c r="AG193" s="3803"/>
      <c r="AH193" s="3804"/>
      <c r="AI193" s="3571">
        <v>271</v>
      </c>
      <c r="AJ193" s="3572"/>
      <c r="AK193" s="3572"/>
      <c r="AL193" s="3572"/>
      <c r="AM193" s="3572"/>
      <c r="AN193" s="3573"/>
      <c r="AO193" s="3805">
        <f>UnosPod!F454</f>
        <v>0</v>
      </c>
      <c r="AP193" s="3806"/>
      <c r="AQ193" s="3806"/>
      <c r="AR193" s="3806"/>
      <c r="AS193" s="3806"/>
      <c r="AT193" s="3806"/>
      <c r="AU193" s="3806"/>
      <c r="AV193" s="3807"/>
    </row>
    <row r="194" spans="1:49">
      <c r="A194" s="3808" t="s">
        <v>5600</v>
      </c>
      <c r="B194" s="3809"/>
      <c r="C194" s="3645" t="s">
        <v>5139</v>
      </c>
      <c r="D194" s="3646"/>
      <c r="E194" s="3646"/>
      <c r="F194" s="3646"/>
      <c r="G194" s="3646"/>
      <c r="H194" s="3646"/>
      <c r="I194" s="3646"/>
      <c r="J194" s="3646"/>
      <c r="K194" s="3646"/>
      <c r="L194" s="3646"/>
      <c r="M194" s="3646"/>
      <c r="N194" s="3646"/>
      <c r="O194" s="3646"/>
      <c r="P194" s="3646"/>
      <c r="Q194" s="3646"/>
      <c r="R194" s="3646"/>
      <c r="S194" s="3646"/>
      <c r="T194" s="3646"/>
      <c r="U194" s="3646"/>
      <c r="V194" s="3646"/>
      <c r="W194" s="3646"/>
      <c r="X194" s="3646"/>
      <c r="Y194" s="3646"/>
      <c r="Z194" s="3646"/>
      <c r="AA194" s="3647"/>
      <c r="AB194" s="3802" t="s">
        <v>6281</v>
      </c>
      <c r="AC194" s="3803"/>
      <c r="AD194" s="3803"/>
      <c r="AE194" s="3803"/>
      <c r="AF194" s="3803"/>
      <c r="AG194" s="3803"/>
      <c r="AH194" s="3804"/>
      <c r="AI194" s="3571">
        <v>484</v>
      </c>
      <c r="AJ194" s="3572"/>
      <c r="AK194" s="3572"/>
      <c r="AL194" s="3572"/>
      <c r="AM194" s="3572"/>
      <c r="AN194" s="3573"/>
      <c r="AO194" s="3805">
        <f>UnosPod!F456</f>
        <v>0</v>
      </c>
      <c r="AP194" s="3806"/>
      <c r="AQ194" s="3806"/>
      <c r="AR194" s="3806"/>
      <c r="AS194" s="3806"/>
      <c r="AT194" s="3806"/>
      <c r="AU194" s="3806"/>
      <c r="AV194" s="3807"/>
    </row>
    <row r="195" spans="1:49">
      <c r="A195" s="3801" t="s">
        <v>5078</v>
      </c>
      <c r="B195" s="3801" t="s">
        <v>3953</v>
      </c>
      <c r="C195" s="3645" t="s">
        <v>6282</v>
      </c>
      <c r="D195" s="3646"/>
      <c r="E195" s="3646"/>
      <c r="F195" s="3646"/>
      <c r="G195" s="3646"/>
      <c r="H195" s="3646"/>
      <c r="I195" s="3646"/>
      <c r="J195" s="3646"/>
      <c r="K195" s="3646"/>
      <c r="L195" s="3646"/>
      <c r="M195" s="3646"/>
      <c r="N195" s="3646"/>
      <c r="O195" s="3646"/>
      <c r="P195" s="3646"/>
      <c r="Q195" s="3646"/>
      <c r="R195" s="3646"/>
      <c r="S195" s="3646"/>
      <c r="T195" s="3646"/>
      <c r="U195" s="3646"/>
      <c r="V195" s="3646"/>
      <c r="W195" s="3646"/>
      <c r="X195" s="3646"/>
      <c r="Y195" s="3646"/>
      <c r="Z195" s="3646"/>
      <c r="AA195" s="3647"/>
      <c r="AB195" s="3802" t="s">
        <v>6283</v>
      </c>
      <c r="AC195" s="3803"/>
      <c r="AD195" s="3803"/>
      <c r="AE195" s="3803"/>
      <c r="AF195" s="3803"/>
      <c r="AG195" s="3803"/>
      <c r="AH195" s="3804"/>
      <c r="AI195" s="3571">
        <v>480</v>
      </c>
      <c r="AJ195" s="3572"/>
      <c r="AK195" s="3572"/>
      <c r="AL195" s="3572"/>
      <c r="AM195" s="3572"/>
      <c r="AN195" s="3573"/>
      <c r="AO195" s="3805">
        <f>UnosPod!F455</f>
        <v>0</v>
      </c>
      <c r="AP195" s="3806"/>
      <c r="AQ195" s="3806"/>
      <c r="AR195" s="3806"/>
      <c r="AS195" s="3806"/>
      <c r="AT195" s="3806"/>
      <c r="AU195" s="3806"/>
      <c r="AV195" s="3807"/>
    </row>
    <row r="196" ht="25.5" customHeight="1" spans="1:49">
      <c r="A196" s="3739" t="s">
        <v>6133</v>
      </c>
      <c r="B196" s="3739" t="s">
        <v>3953</v>
      </c>
      <c r="C196" s="3620" t="s">
        <v>6284</v>
      </c>
      <c r="D196" s="3620"/>
      <c r="E196" s="3620"/>
      <c r="F196" s="3620"/>
      <c r="G196" s="3620"/>
      <c r="H196" s="3620"/>
      <c r="I196" s="3620"/>
      <c r="J196" s="3620"/>
      <c r="K196" s="3620"/>
      <c r="L196" s="3620"/>
      <c r="M196" s="3620"/>
      <c r="N196" s="3620"/>
      <c r="O196" s="3620"/>
      <c r="P196" s="3620"/>
      <c r="Q196" s="3620"/>
      <c r="R196" s="3620"/>
      <c r="S196" s="3620"/>
      <c r="T196" s="3620"/>
      <c r="U196" s="3620"/>
      <c r="V196" s="3620"/>
      <c r="W196" s="3620"/>
      <c r="X196" s="3620"/>
      <c r="Y196" s="3620"/>
      <c r="Z196" s="3620"/>
      <c r="AA196" s="3620"/>
      <c r="AB196" s="3802" t="s">
        <v>6285</v>
      </c>
      <c r="AC196" s="3803"/>
      <c r="AD196" s="3803"/>
      <c r="AE196" s="3803"/>
      <c r="AF196" s="3803"/>
      <c r="AG196" s="3803"/>
      <c r="AH196" s="3804"/>
      <c r="AI196" s="3571" t="s">
        <v>6286</v>
      </c>
      <c r="AJ196" s="3572"/>
      <c r="AK196" s="3572"/>
      <c r="AL196" s="3572"/>
      <c r="AM196" s="3572"/>
      <c r="AN196" s="3573"/>
      <c r="AO196" s="3805">
        <f>UnosPod!F118+UnosPod!F121+UnosPod!F135</f>
        <v>0</v>
      </c>
      <c r="AP196" s="3806"/>
      <c r="AQ196" s="3806"/>
      <c r="AR196" s="3806"/>
      <c r="AS196" s="3806"/>
      <c r="AT196" s="3806"/>
      <c r="AU196" s="3806"/>
      <c r="AV196" s="3807"/>
    </row>
    <row r="197" spans="1:49">
      <c r="A197" s="3739" t="s">
        <v>6137</v>
      </c>
      <c r="B197" s="3739" t="s">
        <v>3953</v>
      </c>
      <c r="C197" s="3620" t="s">
        <v>6287</v>
      </c>
      <c r="D197" s="3620"/>
      <c r="E197" s="3620"/>
      <c r="F197" s="3620"/>
      <c r="G197" s="3620"/>
      <c r="H197" s="3620"/>
      <c r="I197" s="3620"/>
      <c r="J197" s="3620"/>
      <c r="K197" s="3620"/>
      <c r="L197" s="3620"/>
      <c r="M197" s="3620"/>
      <c r="N197" s="3620"/>
      <c r="O197" s="3620"/>
      <c r="P197" s="3620"/>
      <c r="Q197" s="3620"/>
      <c r="R197" s="3620"/>
      <c r="S197" s="3620"/>
      <c r="T197" s="3620"/>
      <c r="U197" s="3620"/>
      <c r="V197" s="3620"/>
      <c r="W197" s="3620"/>
      <c r="X197" s="3620"/>
      <c r="Y197" s="3620"/>
      <c r="Z197" s="3620"/>
      <c r="AA197" s="3620"/>
      <c r="AB197" s="3802" t="s">
        <v>6288</v>
      </c>
      <c r="AC197" s="3803"/>
      <c r="AD197" s="3803"/>
      <c r="AE197" s="3803"/>
      <c r="AF197" s="3803"/>
      <c r="AG197" s="3803"/>
      <c r="AH197" s="3804"/>
      <c r="AI197" s="3571" t="s">
        <v>6289</v>
      </c>
      <c r="AJ197" s="3572"/>
      <c r="AK197" s="3572"/>
      <c r="AL197" s="3572"/>
      <c r="AM197" s="3572"/>
      <c r="AN197" s="3573"/>
      <c r="AO197" s="3805">
        <f>UnosPod!F146+UnosPod!F149</f>
        <v>0</v>
      </c>
      <c r="AP197" s="3806"/>
      <c r="AQ197" s="3806"/>
      <c r="AR197" s="3806"/>
      <c r="AS197" s="3806"/>
      <c r="AT197" s="3806"/>
      <c r="AU197" s="3806"/>
      <c r="AV197" s="3807"/>
    </row>
    <row r="198" spans="1:49">
      <c r="A198" s="3808" t="s">
        <v>6140</v>
      </c>
      <c r="B198" s="3809"/>
      <c r="C198" s="3620" t="s">
        <v>6290</v>
      </c>
      <c r="D198" s="3620"/>
      <c r="E198" s="3620"/>
      <c r="F198" s="3620"/>
      <c r="G198" s="3620"/>
      <c r="H198" s="3620"/>
      <c r="I198" s="3620"/>
      <c r="J198" s="3620"/>
      <c r="K198" s="3620"/>
      <c r="L198" s="3620"/>
      <c r="M198" s="3620"/>
      <c r="N198" s="3620"/>
      <c r="O198" s="3620"/>
      <c r="P198" s="3620"/>
      <c r="Q198" s="3620"/>
      <c r="R198" s="3620"/>
      <c r="S198" s="3620"/>
      <c r="T198" s="3620"/>
      <c r="U198" s="3620"/>
      <c r="V198" s="3620"/>
      <c r="W198" s="3620"/>
      <c r="X198" s="3620"/>
      <c r="Y198" s="3620"/>
      <c r="Z198" s="3620"/>
      <c r="AA198" s="3620"/>
      <c r="AB198" s="3802" t="s">
        <v>6291</v>
      </c>
      <c r="AC198" s="3803"/>
      <c r="AD198" s="3803"/>
      <c r="AE198" s="3803"/>
      <c r="AF198" s="3803"/>
      <c r="AG198" s="3803"/>
      <c r="AH198" s="3804"/>
      <c r="AI198" s="3571" t="s">
        <v>6292</v>
      </c>
      <c r="AJ198" s="3572"/>
      <c r="AK198" s="3572"/>
      <c r="AL198" s="3572"/>
      <c r="AM198" s="3572"/>
      <c r="AN198" s="3573"/>
      <c r="AO198" s="3805">
        <f>UnosPod!F792-AO199</f>
        <v>0</v>
      </c>
      <c r="AP198" s="3806"/>
      <c r="AQ198" s="3806"/>
      <c r="AR198" s="3806"/>
      <c r="AS198" s="3806"/>
      <c r="AT198" s="3806"/>
      <c r="AU198" s="3806"/>
      <c r="AV198" s="3807"/>
    </row>
    <row r="199" spans="1:49">
      <c r="A199" s="3801" t="s">
        <v>6143</v>
      </c>
      <c r="B199" s="3801" t="s">
        <v>3953</v>
      </c>
      <c r="C199" s="3620" t="s">
        <v>6293</v>
      </c>
      <c r="D199" s="3620"/>
      <c r="E199" s="3620"/>
      <c r="F199" s="3620"/>
      <c r="G199" s="3620"/>
      <c r="H199" s="3620"/>
      <c r="I199" s="3620"/>
      <c r="J199" s="3620"/>
      <c r="K199" s="3620"/>
      <c r="L199" s="3620"/>
      <c r="M199" s="3620"/>
      <c r="N199" s="3620"/>
      <c r="O199" s="3620"/>
      <c r="P199" s="3620"/>
      <c r="Q199" s="3620"/>
      <c r="R199" s="3620"/>
      <c r="S199" s="3620"/>
      <c r="T199" s="3620"/>
      <c r="U199" s="3620"/>
      <c r="V199" s="3620"/>
      <c r="W199" s="3620"/>
      <c r="X199" s="3620"/>
      <c r="Y199" s="3620"/>
      <c r="Z199" s="3620"/>
      <c r="AA199" s="3620"/>
      <c r="AB199" s="3802" t="s">
        <v>6294</v>
      </c>
      <c r="AC199" s="3803"/>
      <c r="AD199" s="3803"/>
      <c r="AE199" s="3803"/>
      <c r="AF199" s="3803"/>
      <c r="AG199" s="3803"/>
      <c r="AH199" s="3804"/>
      <c r="AI199" s="3571" t="s">
        <v>6292</v>
      </c>
      <c r="AJ199" s="3572"/>
      <c r="AK199" s="3572"/>
      <c r="AL199" s="3572"/>
      <c r="AM199" s="3572"/>
      <c r="AN199" s="3573"/>
      <c r="AO199" s="3878"/>
      <c r="AP199" s="3879"/>
      <c r="AQ199" s="3879"/>
      <c r="AR199" s="3879"/>
      <c r="AS199" s="3879"/>
      <c r="AT199" s="3879"/>
      <c r="AU199" s="3879"/>
      <c r="AV199" s="3880"/>
    </row>
    <row r="200" spans="1:49">
      <c r="A200" s="3739" t="s">
        <v>301</v>
      </c>
      <c r="B200" s="3739" t="s">
        <v>3953</v>
      </c>
      <c r="C200" s="3620" t="s">
        <v>6295</v>
      </c>
      <c r="D200" s="3620"/>
      <c r="E200" s="3620"/>
      <c r="F200" s="3620"/>
      <c r="G200" s="3620"/>
      <c r="H200" s="3620"/>
      <c r="I200" s="3620"/>
      <c r="J200" s="3620"/>
      <c r="K200" s="3620"/>
      <c r="L200" s="3620"/>
      <c r="M200" s="3620"/>
      <c r="N200" s="3620"/>
      <c r="O200" s="3620"/>
      <c r="P200" s="3620"/>
      <c r="Q200" s="3620"/>
      <c r="R200" s="3620"/>
      <c r="S200" s="3620"/>
      <c r="T200" s="3620"/>
      <c r="U200" s="3620"/>
      <c r="V200" s="3620"/>
      <c r="W200" s="3620"/>
      <c r="X200" s="3620"/>
      <c r="Y200" s="3620"/>
      <c r="Z200" s="3620"/>
      <c r="AA200" s="3620"/>
      <c r="AB200" s="3802" t="s">
        <v>6296</v>
      </c>
      <c r="AC200" s="3803"/>
      <c r="AD200" s="3803"/>
      <c r="AE200" s="3803"/>
      <c r="AF200" s="3803"/>
      <c r="AG200" s="3803"/>
      <c r="AH200" s="3804"/>
      <c r="AI200" s="3571" t="s">
        <v>6297</v>
      </c>
      <c r="AJ200" s="3572"/>
      <c r="AK200" s="3572"/>
      <c r="AL200" s="3572"/>
      <c r="AM200" s="3572"/>
      <c r="AN200" s="3573"/>
      <c r="AO200" s="3878"/>
      <c r="AP200" s="3879"/>
      <c r="AQ200" s="3879"/>
      <c r="AR200" s="3879"/>
      <c r="AS200" s="3879"/>
      <c r="AT200" s="3879"/>
      <c r="AU200" s="3879"/>
      <c r="AV200" s="3880"/>
    </row>
    <row r="201" spans="1:49">
      <c r="A201" s="3739" t="s">
        <v>303</v>
      </c>
      <c r="B201" s="3739" t="s">
        <v>3953</v>
      </c>
      <c r="C201" s="3620" t="s">
        <v>6298</v>
      </c>
      <c r="D201" s="3620"/>
      <c r="E201" s="3620"/>
      <c r="F201" s="3620"/>
      <c r="G201" s="3620"/>
      <c r="H201" s="3620"/>
      <c r="I201" s="3620"/>
      <c r="J201" s="3620"/>
      <c r="K201" s="3620"/>
      <c r="L201" s="3620"/>
      <c r="M201" s="3620"/>
      <c r="N201" s="3620"/>
      <c r="O201" s="3620"/>
      <c r="P201" s="3620"/>
      <c r="Q201" s="3620"/>
      <c r="R201" s="3620"/>
      <c r="S201" s="3620"/>
      <c r="T201" s="3620"/>
      <c r="U201" s="3620"/>
      <c r="V201" s="3620"/>
      <c r="W201" s="3620"/>
      <c r="X201" s="3620"/>
      <c r="Y201" s="3620"/>
      <c r="Z201" s="3620"/>
      <c r="AA201" s="3620"/>
      <c r="AB201" s="3802" t="s">
        <v>6299</v>
      </c>
      <c r="AC201" s="3803"/>
      <c r="AD201" s="3803"/>
      <c r="AE201" s="3803"/>
      <c r="AF201" s="3803"/>
      <c r="AG201" s="3803"/>
      <c r="AH201" s="3804"/>
      <c r="AI201" s="3571">
        <v>651</v>
      </c>
      <c r="AJ201" s="3572"/>
      <c r="AK201" s="3572"/>
      <c r="AL201" s="3572"/>
      <c r="AM201" s="3572"/>
      <c r="AN201" s="3573"/>
      <c r="AO201" s="3805">
        <f>UnosPod!F158</f>
        <v>0</v>
      </c>
      <c r="AP201" s="3806"/>
      <c r="AQ201" s="3806"/>
      <c r="AR201" s="3806"/>
      <c r="AS201" s="3806"/>
      <c r="AT201" s="3806"/>
      <c r="AU201" s="3806"/>
      <c r="AV201" s="3807"/>
    </row>
    <row r="202" spans="1:49">
      <c r="A202" s="3808" t="s">
        <v>305</v>
      </c>
      <c r="B202" s="3809"/>
      <c r="C202" s="3810" t="s">
        <v>6300</v>
      </c>
      <c r="D202" s="3810"/>
      <c r="E202" s="3810"/>
      <c r="F202" s="3810"/>
      <c r="G202" s="3810"/>
      <c r="H202" s="3810"/>
      <c r="I202" s="3810"/>
      <c r="J202" s="3810"/>
      <c r="K202" s="3810"/>
      <c r="L202" s="3810"/>
      <c r="M202" s="3810"/>
      <c r="N202" s="3810"/>
      <c r="O202" s="3810"/>
      <c r="P202" s="3810"/>
      <c r="Q202" s="3810"/>
      <c r="R202" s="3810"/>
      <c r="S202" s="3810"/>
      <c r="T202" s="3810"/>
      <c r="U202" s="3810"/>
      <c r="V202" s="3810"/>
      <c r="W202" s="3810"/>
      <c r="X202" s="3810"/>
      <c r="Y202" s="3810"/>
      <c r="Z202" s="3810"/>
      <c r="AA202" s="3810"/>
      <c r="AB202" s="3802" t="s">
        <v>6301</v>
      </c>
      <c r="AC202" s="3803"/>
      <c r="AD202" s="3803"/>
      <c r="AE202" s="3803"/>
      <c r="AF202" s="3803"/>
      <c r="AG202" s="3803"/>
      <c r="AH202" s="3804"/>
      <c r="AI202" s="3571">
        <v>656</v>
      </c>
      <c r="AJ202" s="3572"/>
      <c r="AK202" s="3572"/>
      <c r="AL202" s="3572"/>
      <c r="AM202" s="3572"/>
      <c r="AN202" s="3573"/>
      <c r="AO202" s="3805">
        <f>UnosPod!F163</f>
        <v>0</v>
      </c>
      <c r="AP202" s="3806"/>
      <c r="AQ202" s="3806"/>
      <c r="AR202" s="3806"/>
      <c r="AS202" s="3806"/>
      <c r="AT202" s="3806"/>
      <c r="AU202" s="3806"/>
      <c r="AV202" s="3807"/>
    </row>
    <row r="203" spans="1:49">
      <c r="A203" s="3801" t="s">
        <v>307</v>
      </c>
      <c r="B203" s="3801" t="s">
        <v>3953</v>
      </c>
      <c r="C203" s="3811" t="s">
        <v>6302</v>
      </c>
      <c r="D203" s="3811"/>
      <c r="E203" s="3811"/>
      <c r="F203" s="3811"/>
      <c r="G203" s="3811"/>
      <c r="H203" s="3811"/>
      <c r="I203" s="3811"/>
      <c r="J203" s="3811"/>
      <c r="K203" s="3811"/>
      <c r="L203" s="3811"/>
      <c r="M203" s="3811"/>
      <c r="N203" s="3811"/>
      <c r="O203" s="3811"/>
      <c r="P203" s="3811"/>
      <c r="Q203" s="3811"/>
      <c r="R203" s="3811"/>
      <c r="S203" s="3811"/>
      <c r="T203" s="3811"/>
      <c r="U203" s="3811"/>
      <c r="V203" s="3811"/>
      <c r="W203" s="3811"/>
      <c r="X203" s="3811"/>
      <c r="Y203" s="3811"/>
      <c r="Z203" s="3811"/>
      <c r="AA203" s="3811"/>
      <c r="AB203" s="3802" t="s">
        <v>6303</v>
      </c>
      <c r="AC203" s="3803"/>
      <c r="AD203" s="3803"/>
      <c r="AE203" s="3803"/>
      <c r="AF203" s="3803"/>
      <c r="AG203" s="3803"/>
      <c r="AH203" s="3804"/>
      <c r="AI203" s="3571">
        <v>654</v>
      </c>
      <c r="AJ203" s="3572"/>
      <c r="AK203" s="3572"/>
      <c r="AL203" s="3572"/>
      <c r="AM203" s="3572"/>
      <c r="AN203" s="3573"/>
      <c r="AO203" s="3805">
        <f>UnosPod!F161</f>
        <v>0</v>
      </c>
      <c r="AP203" s="3806"/>
      <c r="AQ203" s="3806"/>
      <c r="AR203" s="3806"/>
      <c r="AS203" s="3806"/>
      <c r="AT203" s="3806"/>
      <c r="AU203" s="3806"/>
      <c r="AV203" s="3807"/>
    </row>
    <row r="204" ht="24.75" customHeight="1" spans="1:49">
      <c r="A204" s="3739" t="s">
        <v>309</v>
      </c>
      <c r="B204" s="3739" t="s">
        <v>3953</v>
      </c>
      <c r="C204" s="3620" t="s">
        <v>6304</v>
      </c>
      <c r="D204" s="3620"/>
      <c r="E204" s="3620"/>
      <c r="F204" s="3620"/>
      <c r="G204" s="3620"/>
      <c r="H204" s="3620"/>
      <c r="I204" s="3620"/>
      <c r="J204" s="3620"/>
      <c r="K204" s="3620"/>
      <c r="L204" s="3620"/>
      <c r="M204" s="3620"/>
      <c r="N204" s="3620"/>
      <c r="O204" s="3620"/>
      <c r="P204" s="3620"/>
      <c r="Q204" s="3620"/>
      <c r="R204" s="3620"/>
      <c r="S204" s="3620"/>
      <c r="T204" s="3620"/>
      <c r="U204" s="3620"/>
      <c r="V204" s="3620"/>
      <c r="W204" s="3620"/>
      <c r="X204" s="3620"/>
      <c r="Y204" s="3620"/>
      <c r="Z204" s="3620"/>
      <c r="AA204" s="3620"/>
      <c r="AB204" s="3802" t="s">
        <v>6305</v>
      </c>
      <c r="AC204" s="3803"/>
      <c r="AD204" s="3803"/>
      <c r="AE204" s="3803"/>
      <c r="AF204" s="3803"/>
      <c r="AG204" s="3803"/>
      <c r="AH204" s="3804"/>
      <c r="AI204" s="3571" t="s">
        <v>6306</v>
      </c>
      <c r="AJ204" s="3572"/>
      <c r="AK204" s="3572"/>
      <c r="AL204" s="3572"/>
      <c r="AM204" s="3572"/>
      <c r="AN204" s="3573"/>
      <c r="AO204" s="3805">
        <f>UnosPod!F157+UnosPod!F159</f>
        <v>0</v>
      </c>
      <c r="AP204" s="3806"/>
      <c r="AQ204" s="3806"/>
      <c r="AR204" s="3806"/>
      <c r="AS204" s="3806"/>
      <c r="AT204" s="3806"/>
      <c r="AU204" s="3806"/>
      <c r="AV204" s="3807"/>
    </row>
    <row r="205" spans="1:49">
      <c r="A205" s="3739" t="s">
        <v>311</v>
      </c>
      <c r="B205" s="3739" t="s">
        <v>3953</v>
      </c>
      <c r="C205" s="3811" t="s">
        <v>6307</v>
      </c>
      <c r="D205" s="3811"/>
      <c r="E205" s="3811"/>
      <c r="F205" s="3811"/>
      <c r="G205" s="3811"/>
      <c r="H205" s="3811"/>
      <c r="I205" s="3811"/>
      <c r="J205" s="3811"/>
      <c r="K205" s="3811"/>
      <c r="L205" s="3811"/>
      <c r="M205" s="3811"/>
      <c r="N205" s="3811"/>
      <c r="O205" s="3811"/>
      <c r="P205" s="3811"/>
      <c r="Q205" s="3811"/>
      <c r="R205" s="3811"/>
      <c r="S205" s="3811"/>
      <c r="T205" s="3811"/>
      <c r="U205" s="3811"/>
      <c r="V205" s="3811"/>
      <c r="W205" s="3811"/>
      <c r="X205" s="3811"/>
      <c r="Y205" s="3811"/>
      <c r="Z205" s="3811"/>
      <c r="AA205" s="3811"/>
      <c r="AB205" s="3802" t="s">
        <v>6308</v>
      </c>
      <c r="AC205" s="3803"/>
      <c r="AD205" s="3803"/>
      <c r="AE205" s="3803"/>
      <c r="AF205" s="3803"/>
      <c r="AG205" s="3803"/>
      <c r="AH205" s="3804"/>
      <c r="AI205" s="3571" t="s">
        <v>6309</v>
      </c>
      <c r="AJ205" s="3572"/>
      <c r="AK205" s="3572"/>
      <c r="AL205" s="3572"/>
      <c r="AM205" s="3572"/>
      <c r="AN205" s="3573"/>
      <c r="AO205" s="3805">
        <f>UnosPod!F173</f>
        <v>0</v>
      </c>
      <c r="AP205" s="3806"/>
      <c r="AQ205" s="3806"/>
      <c r="AR205" s="3806"/>
      <c r="AS205" s="3806"/>
      <c r="AT205" s="3806"/>
      <c r="AU205" s="3806"/>
      <c r="AV205" s="3807"/>
    </row>
    <row r="206" ht="39" customHeight="1" spans="1:49">
      <c r="A206" s="3808" t="s">
        <v>313</v>
      </c>
      <c r="B206" s="3809"/>
      <c r="C206" s="3642" t="s">
        <v>6310</v>
      </c>
      <c r="D206" s="3643"/>
      <c r="E206" s="3643"/>
      <c r="F206" s="3643"/>
      <c r="G206" s="3643"/>
      <c r="H206" s="3643"/>
      <c r="I206" s="3643"/>
      <c r="J206" s="3643"/>
      <c r="K206" s="3643"/>
      <c r="L206" s="3643"/>
      <c r="M206" s="3643"/>
      <c r="N206" s="3643"/>
      <c r="O206" s="3643"/>
      <c r="P206" s="3643"/>
      <c r="Q206" s="3643"/>
      <c r="R206" s="3643"/>
      <c r="S206" s="3643"/>
      <c r="T206" s="3643"/>
      <c r="U206" s="3643"/>
      <c r="V206" s="3643"/>
      <c r="W206" s="3643"/>
      <c r="X206" s="3643"/>
      <c r="Y206" s="3643"/>
      <c r="Z206" s="3643"/>
      <c r="AA206" s="3644"/>
      <c r="AB206" s="3802" t="s">
        <v>6311</v>
      </c>
      <c r="AC206" s="3803"/>
      <c r="AD206" s="3803"/>
      <c r="AE206" s="3803"/>
      <c r="AF206" s="3803"/>
      <c r="AG206" s="3803"/>
      <c r="AH206" s="3804"/>
      <c r="AI206" s="3571" t="s">
        <v>6312</v>
      </c>
      <c r="AJ206" s="3572"/>
      <c r="AK206" s="3572"/>
      <c r="AL206" s="3572"/>
      <c r="AM206" s="3572"/>
      <c r="AN206" s="3573"/>
      <c r="AO206" s="3878"/>
      <c r="AP206" s="3879"/>
      <c r="AQ206" s="3879"/>
      <c r="AR206" s="3879"/>
      <c r="AS206" s="3879"/>
      <c r="AT206" s="3879"/>
      <c r="AU206" s="3879"/>
      <c r="AV206" s="3880"/>
      <c r="AW206" s="3446"/>
    </row>
    <row r="207" spans="1:49">
      <c r="A207" s="3801" t="s">
        <v>508</v>
      </c>
      <c r="B207" s="3801" t="s">
        <v>3953</v>
      </c>
      <c r="C207" s="3642" t="s">
        <v>6313</v>
      </c>
      <c r="D207" s="3643"/>
      <c r="E207" s="3643"/>
      <c r="F207" s="3643"/>
      <c r="G207" s="3643"/>
      <c r="H207" s="3643"/>
      <c r="I207" s="3643"/>
      <c r="J207" s="3643"/>
      <c r="K207" s="3643"/>
      <c r="L207" s="3643"/>
      <c r="M207" s="3643"/>
      <c r="N207" s="3643"/>
      <c r="O207" s="3643"/>
      <c r="P207" s="3643"/>
      <c r="Q207" s="3643"/>
      <c r="R207" s="3643"/>
      <c r="S207" s="3643"/>
      <c r="T207" s="3643"/>
      <c r="U207" s="3643"/>
      <c r="V207" s="3643"/>
      <c r="W207" s="3643"/>
      <c r="X207" s="3643"/>
      <c r="Y207" s="3643"/>
      <c r="Z207" s="3643"/>
      <c r="AA207" s="3644"/>
      <c r="AB207" s="3802" t="s">
        <v>6314</v>
      </c>
      <c r="AC207" s="3803"/>
      <c r="AD207" s="3803"/>
      <c r="AE207" s="3803"/>
      <c r="AF207" s="3803"/>
      <c r="AG207" s="3803"/>
      <c r="AH207" s="3804"/>
      <c r="AI207" s="3571" t="s">
        <v>6315</v>
      </c>
      <c r="AJ207" s="3572"/>
      <c r="AK207" s="3572"/>
      <c r="AL207" s="3572"/>
      <c r="AM207" s="3572"/>
      <c r="AN207" s="3573"/>
      <c r="AO207" s="3878"/>
      <c r="AP207" s="3879"/>
      <c r="AQ207" s="3879"/>
      <c r="AR207" s="3879"/>
      <c r="AS207" s="3879"/>
      <c r="AT207" s="3879"/>
      <c r="AU207" s="3879"/>
      <c r="AV207" s="3880"/>
    </row>
    <row r="208" spans="1:49">
      <c r="A208" s="3739" t="s">
        <v>522</v>
      </c>
      <c r="B208" s="3739" t="s">
        <v>3953</v>
      </c>
      <c r="C208" s="3620" t="s">
        <v>6316</v>
      </c>
      <c r="D208" s="3620"/>
      <c r="E208" s="3620"/>
      <c r="F208" s="3620"/>
      <c r="G208" s="3620"/>
      <c r="H208" s="3620"/>
      <c r="I208" s="3620"/>
      <c r="J208" s="3620"/>
      <c r="K208" s="3620"/>
      <c r="L208" s="3620"/>
      <c r="M208" s="3620"/>
      <c r="N208" s="3620"/>
      <c r="O208" s="3620"/>
      <c r="P208" s="3620"/>
      <c r="Q208" s="3620"/>
      <c r="R208" s="3620"/>
      <c r="S208" s="3620"/>
      <c r="T208" s="3620"/>
      <c r="U208" s="3620"/>
      <c r="V208" s="3620"/>
      <c r="W208" s="3620"/>
      <c r="X208" s="3620"/>
      <c r="Y208" s="3620"/>
      <c r="Z208" s="3620"/>
      <c r="AA208" s="3620"/>
      <c r="AB208" s="3802" t="s">
        <v>6317</v>
      </c>
      <c r="AC208" s="3803"/>
      <c r="AD208" s="3803"/>
      <c r="AE208" s="3803"/>
      <c r="AF208" s="3803"/>
      <c r="AG208" s="3803"/>
      <c r="AH208" s="3804"/>
      <c r="AI208" s="3571">
        <v>661</v>
      </c>
      <c r="AJ208" s="3572"/>
      <c r="AK208" s="3572"/>
      <c r="AL208" s="3572"/>
      <c r="AM208" s="3572"/>
      <c r="AN208" s="3573"/>
      <c r="AO208" s="3805">
        <f>UnosPod!F167</f>
        <v>1319</v>
      </c>
      <c r="AP208" s="3806"/>
      <c r="AQ208" s="3806"/>
      <c r="AR208" s="3806"/>
      <c r="AS208" s="3806"/>
      <c r="AT208" s="3806"/>
      <c r="AU208" s="3806"/>
      <c r="AV208" s="3807"/>
    </row>
    <row r="209" spans="1:48">
      <c r="A209" s="3739" t="s">
        <v>536</v>
      </c>
      <c r="B209" s="3739" t="s">
        <v>3953</v>
      </c>
      <c r="C209" s="3620" t="s">
        <v>6318</v>
      </c>
      <c r="D209" s="3620"/>
      <c r="E209" s="3620"/>
      <c r="F209" s="3620"/>
      <c r="G209" s="3620"/>
      <c r="H209" s="3620"/>
      <c r="I209" s="3620"/>
      <c r="J209" s="3620"/>
      <c r="K209" s="3620"/>
      <c r="L209" s="3620"/>
      <c r="M209" s="3620"/>
      <c r="N209" s="3620"/>
      <c r="O209" s="3620"/>
      <c r="P209" s="3620"/>
      <c r="Q209" s="3620"/>
      <c r="R209" s="3620"/>
      <c r="S209" s="3620"/>
      <c r="T209" s="3620"/>
      <c r="U209" s="3620"/>
      <c r="V209" s="3620"/>
      <c r="W209" s="3620"/>
      <c r="X209" s="3620"/>
      <c r="Y209" s="3620"/>
      <c r="Z209" s="3620"/>
      <c r="AA209" s="3620"/>
      <c r="AB209" s="3802" t="s">
        <v>6319</v>
      </c>
      <c r="AC209" s="3803"/>
      <c r="AD209" s="3803"/>
      <c r="AE209" s="3803"/>
      <c r="AF209" s="3803"/>
      <c r="AG209" s="3803"/>
      <c r="AH209" s="3804"/>
      <c r="AI209" s="3571">
        <v>561</v>
      </c>
      <c r="AJ209" s="3572"/>
      <c r="AK209" s="3572"/>
      <c r="AL209" s="3572"/>
      <c r="AM209" s="3572"/>
      <c r="AN209" s="3573"/>
      <c r="AO209" s="3805">
        <f>UnosPod!F307</f>
        <v>0</v>
      </c>
      <c r="AP209" s="3806"/>
      <c r="AQ209" s="3806"/>
      <c r="AR209" s="3806"/>
      <c r="AS209" s="3806"/>
      <c r="AT209" s="3806"/>
      <c r="AU209" s="3806"/>
      <c r="AV209" s="3807"/>
    </row>
    <row r="210" spans="1:48">
      <c r="A210" s="3739" t="s">
        <v>550</v>
      </c>
      <c r="B210" s="3739" t="s">
        <v>3953</v>
      </c>
      <c r="C210" s="3642" t="s">
        <v>6320</v>
      </c>
      <c r="D210" s="3643"/>
      <c r="E210" s="3643"/>
      <c r="F210" s="3643"/>
      <c r="G210" s="3643"/>
      <c r="H210" s="3643"/>
      <c r="I210" s="3643"/>
      <c r="J210" s="3643"/>
      <c r="K210" s="3643"/>
      <c r="L210" s="3643"/>
      <c r="M210" s="3643"/>
      <c r="N210" s="3643"/>
      <c r="O210" s="3643"/>
      <c r="P210" s="3643"/>
      <c r="Q210" s="3643"/>
      <c r="R210" s="3643"/>
      <c r="S210" s="3643"/>
      <c r="T210" s="3643"/>
      <c r="U210" s="3643"/>
      <c r="V210" s="3643"/>
      <c r="W210" s="3643"/>
      <c r="X210" s="3643"/>
      <c r="Y210" s="3643"/>
      <c r="Z210" s="3643"/>
      <c r="AA210" s="3644"/>
      <c r="AB210" s="3802" t="s">
        <v>6321</v>
      </c>
      <c r="AC210" s="3803"/>
      <c r="AD210" s="3803"/>
      <c r="AE210" s="3803"/>
      <c r="AF210" s="3803"/>
      <c r="AG210" s="3803"/>
      <c r="AH210" s="3804"/>
      <c r="AI210" s="3802" t="s">
        <v>3894</v>
      </c>
      <c r="AJ210" s="3803"/>
      <c r="AK210" s="3803"/>
      <c r="AL210" s="3803"/>
      <c r="AM210" s="3803"/>
      <c r="AN210" s="3804"/>
      <c r="AO210" s="3805">
        <f>UnosPod!F600-UnosPod!M600</f>
        <v>0</v>
      </c>
      <c r="AP210" s="3806"/>
      <c r="AQ210" s="3806"/>
      <c r="AR210" s="3806"/>
      <c r="AS210" s="3806"/>
      <c r="AT210" s="3806"/>
      <c r="AU210" s="3806"/>
      <c r="AV210" s="3807"/>
    </row>
    <row r="211" spans="1:48">
      <c r="A211" s="3812"/>
      <c r="B211" s="3812"/>
      <c r="C211" s="3812"/>
      <c r="D211" s="3812"/>
      <c r="E211" s="3812"/>
      <c r="F211" s="3812"/>
      <c r="G211" s="3812"/>
      <c r="H211" s="3812"/>
      <c r="I211" s="3812"/>
      <c r="J211" s="3812"/>
      <c r="K211" s="3812"/>
      <c r="L211" s="3812"/>
      <c r="M211" s="3812"/>
      <c r="N211" s="3812"/>
      <c r="O211" s="3812"/>
      <c r="P211" s="3812"/>
      <c r="Q211" s="3812"/>
      <c r="R211" s="3812"/>
      <c r="S211" s="3812"/>
      <c r="T211" s="3812"/>
      <c r="U211" s="3812"/>
      <c r="V211" s="3812"/>
      <c r="W211" s="3812"/>
      <c r="X211" s="3812"/>
      <c r="Y211" s="3812"/>
      <c r="Z211" s="3812"/>
      <c r="AA211" s="3812"/>
      <c r="AB211" s="3614"/>
      <c r="AC211" s="3614"/>
      <c r="AD211" s="3614"/>
      <c r="AE211" s="3614"/>
      <c r="AF211" s="3614"/>
      <c r="AG211" s="3614"/>
      <c r="AH211" s="3614"/>
      <c r="AI211" s="3614"/>
      <c r="AJ211" s="3614"/>
      <c r="AK211" s="3614"/>
      <c r="AL211" s="3614"/>
      <c r="AM211" s="3614"/>
      <c r="AN211" s="3614"/>
      <c r="AO211" s="3813"/>
      <c r="AP211" s="3814"/>
      <c r="AQ211" s="3814"/>
      <c r="AR211" s="3814"/>
      <c r="AS211" s="3814"/>
      <c r="AT211" s="3814"/>
      <c r="AU211" s="3814"/>
      <c r="AV211" s="3814"/>
    </row>
    <row r="212" spans="1:48">
      <c r="A212" s="3815"/>
      <c r="B212" s="3815"/>
      <c r="C212" s="3815"/>
      <c r="D212" s="3815"/>
      <c r="E212" s="3815"/>
      <c r="F212" s="3815"/>
      <c r="G212" s="3815"/>
      <c r="H212" s="3815"/>
      <c r="I212" s="3815"/>
      <c r="J212" s="3815"/>
      <c r="K212" s="3815"/>
      <c r="L212" s="3815"/>
      <c r="M212" s="3815"/>
      <c r="N212" s="3815"/>
      <c r="O212" s="3815"/>
      <c r="P212" s="3815"/>
      <c r="Q212" s="3815"/>
      <c r="R212" s="3815"/>
      <c r="S212" s="3815"/>
      <c r="T212" s="3815"/>
      <c r="U212" s="3815"/>
      <c r="V212" s="3815"/>
      <c r="W212" s="3815"/>
      <c r="X212" s="3815"/>
      <c r="Y212" s="3815"/>
      <c r="Z212" s="3815"/>
      <c r="AA212" s="3815"/>
      <c r="AB212" s="3760"/>
      <c r="AC212" s="3760"/>
      <c r="AD212" s="3760"/>
      <c r="AE212" s="3760"/>
      <c r="AF212" s="3760"/>
      <c r="AG212" s="3760"/>
      <c r="AH212" s="3760"/>
      <c r="AI212" s="3760"/>
      <c r="AJ212" s="3760"/>
      <c r="AK212" s="3760"/>
      <c r="AL212" s="3760"/>
      <c r="AM212" s="3760"/>
      <c r="AN212" s="3760"/>
      <c r="AO212" s="3814"/>
      <c r="AP212" s="3814"/>
      <c r="AQ212" s="3814"/>
      <c r="AR212" s="3814"/>
      <c r="AS212" s="3814"/>
      <c r="AT212" s="3814"/>
      <c r="AU212" s="3814"/>
      <c r="AV212" s="3814"/>
    </row>
    <row r="213" spans="1:48">
      <c r="A213" s="3815"/>
      <c r="B213" s="3815"/>
      <c r="C213" s="3815"/>
      <c r="D213" s="3815"/>
      <c r="E213" s="3815"/>
      <c r="F213" s="3815"/>
      <c r="G213" s="3815"/>
      <c r="H213" s="3815"/>
      <c r="I213" s="3815"/>
      <c r="J213" s="3815"/>
      <c r="K213" s="3815"/>
      <c r="L213" s="3815"/>
      <c r="M213" s="3815"/>
      <c r="N213" s="3815"/>
      <c r="O213" s="3815"/>
      <c r="P213" s="3815"/>
      <c r="Q213" s="3815"/>
      <c r="R213" s="3815"/>
      <c r="S213" s="3815"/>
      <c r="T213" s="3815"/>
      <c r="U213" s="3815"/>
      <c r="V213" s="3815"/>
      <c r="W213" s="3815"/>
      <c r="X213" s="3815"/>
      <c r="Y213" s="3815"/>
      <c r="Z213" s="3815"/>
      <c r="AA213" s="3815"/>
      <c r="AB213" s="3760"/>
      <c r="AC213" s="3760"/>
      <c r="AD213" s="3760"/>
      <c r="AE213" s="3760"/>
      <c r="AF213" s="3760"/>
      <c r="AG213" s="3760"/>
      <c r="AH213" s="3760"/>
      <c r="AI213" s="3760"/>
      <c r="AJ213" s="3760"/>
      <c r="AK213" s="3760"/>
      <c r="AL213" s="3760"/>
      <c r="AM213" s="3760"/>
      <c r="AN213" s="3760"/>
      <c r="AO213" s="3814"/>
      <c r="AP213" s="3814"/>
      <c r="AQ213" s="3814"/>
      <c r="AR213" s="3814"/>
      <c r="AS213" s="3814"/>
      <c r="AT213" s="3814"/>
      <c r="AU213" s="3814"/>
      <c r="AV213" s="3814"/>
    </row>
    <row r="214" spans="1:48">
      <c r="A214" s="3505" t="str">
        <f ca="1">"Tabela 8  PODACI ZA PRETHODNU GODINU - "&amp;PoslGod-1</f>
        <v>Tabela 8  PODACI ZA PRETHODNU GODINU - 2024</v>
      </c>
      <c r="B214" s="3505"/>
      <c r="C214" s="3505"/>
      <c r="D214" s="3505"/>
      <c r="E214" s="3505"/>
      <c r="F214" s="3505"/>
      <c r="G214" s="3505"/>
      <c r="H214" s="3505"/>
      <c r="I214" s="3505"/>
      <c r="J214" s="3505"/>
      <c r="K214" s="3505"/>
      <c r="L214" s="3505"/>
      <c r="M214" s="3505"/>
      <c r="N214" s="3505"/>
      <c r="O214" s="3505"/>
      <c r="P214" s="3505"/>
      <c r="Q214" s="3505"/>
      <c r="R214" s="3505"/>
      <c r="S214" s="3505"/>
      <c r="T214" s="3505"/>
      <c r="U214" s="3505"/>
      <c r="V214" s="3505"/>
      <c r="W214" s="3505"/>
      <c r="X214" s="3505"/>
      <c r="Y214" s="3505"/>
      <c r="Z214" s="3505"/>
      <c r="AA214" s="3505"/>
      <c r="AB214" s="3505"/>
      <c r="AC214" s="3505"/>
      <c r="AD214" s="3505"/>
      <c r="AE214" s="3505"/>
      <c r="AF214" s="3505"/>
      <c r="AG214" s="3505"/>
      <c r="AH214" s="3505"/>
      <c r="AI214" s="3505"/>
      <c r="AJ214" s="3505"/>
      <c r="AK214" s="3505"/>
      <c r="AL214" s="3505"/>
      <c r="AM214" s="3505"/>
      <c r="AN214" s="3505"/>
      <c r="AO214" s="3505"/>
      <c r="AP214" s="3460"/>
      <c r="AQ214" s="3460"/>
      <c r="AR214" s="3460"/>
      <c r="AS214" s="3460"/>
      <c r="AT214" s="3460"/>
      <c r="AU214" s="3460"/>
      <c r="AV214" s="3460"/>
    </row>
    <row r="215" spans="1:48">
      <c r="A215" s="3719" t="s">
        <v>6096</v>
      </c>
      <c r="B215" s="3719"/>
      <c r="C215" s="3507" t="s">
        <v>6097</v>
      </c>
      <c r="D215" s="3507"/>
      <c r="E215" s="3507"/>
      <c r="F215" s="3507"/>
      <c r="G215" s="3507"/>
      <c r="H215" s="3507"/>
      <c r="I215" s="3507"/>
      <c r="J215" s="3507"/>
      <c r="K215" s="3507"/>
      <c r="L215" s="3507"/>
      <c r="M215" s="3507"/>
      <c r="N215" s="3507"/>
      <c r="O215" s="3507"/>
      <c r="P215" s="3507"/>
      <c r="Q215" s="3507"/>
      <c r="R215" s="3507"/>
      <c r="S215" s="3507"/>
      <c r="T215" s="3507"/>
      <c r="U215" s="3507"/>
      <c r="V215" s="3507"/>
      <c r="W215" s="3507"/>
      <c r="X215" s="3507"/>
      <c r="Y215" s="3507"/>
      <c r="Z215" s="3507"/>
      <c r="AA215" s="3507"/>
      <c r="AB215" s="3798" t="s">
        <v>6098</v>
      </c>
      <c r="AC215" s="3799"/>
      <c r="AD215" s="3799"/>
      <c r="AE215" s="3799"/>
      <c r="AF215" s="3799"/>
      <c r="AG215" s="3799"/>
      <c r="AH215" s="3800"/>
      <c r="AI215" s="3510" t="s">
        <v>6322</v>
      </c>
      <c r="AJ215" s="3511"/>
      <c r="AK215" s="3511"/>
      <c r="AL215" s="3511"/>
      <c r="AM215" s="3511"/>
      <c r="AN215" s="3511"/>
      <c r="AO215" s="3511"/>
      <c r="AP215" s="3511"/>
      <c r="AQ215" s="3511"/>
      <c r="AR215" s="3511"/>
      <c r="AS215" s="3511"/>
      <c r="AT215" s="3511"/>
      <c r="AU215" s="3511"/>
      <c r="AV215" s="3512"/>
    </row>
    <row r="216" spans="1:48">
      <c r="A216" s="3739" t="s">
        <v>5336</v>
      </c>
      <c r="B216" s="3739" t="s">
        <v>3953</v>
      </c>
      <c r="C216" s="3645" t="s">
        <v>6323</v>
      </c>
      <c r="D216" s="3646"/>
      <c r="E216" s="3646"/>
      <c r="F216" s="3646"/>
      <c r="G216" s="3646"/>
      <c r="H216" s="3646"/>
      <c r="I216" s="3646"/>
      <c r="J216" s="3646"/>
      <c r="K216" s="3646"/>
      <c r="L216" s="3646"/>
      <c r="M216" s="3646"/>
      <c r="N216" s="3646"/>
      <c r="O216" s="3646"/>
      <c r="P216" s="3646"/>
      <c r="Q216" s="3646"/>
      <c r="R216" s="3646"/>
      <c r="S216" s="3646"/>
      <c r="T216" s="3646"/>
      <c r="U216" s="3646"/>
      <c r="V216" s="3646"/>
      <c r="W216" s="3646"/>
      <c r="X216" s="3646"/>
      <c r="Y216" s="3646"/>
      <c r="Z216" s="3646"/>
      <c r="AA216" s="3647"/>
      <c r="AB216" s="3802" t="s">
        <v>6324</v>
      </c>
      <c r="AC216" s="3803"/>
      <c r="AD216" s="3803"/>
      <c r="AE216" s="3803"/>
      <c r="AF216" s="3803"/>
      <c r="AG216" s="3803"/>
      <c r="AH216" s="3804"/>
      <c r="AI216" s="3816">
        <f>P.Podaci!Y44</f>
        <v>6</v>
      </c>
      <c r="AJ216" s="3817"/>
      <c r="AK216" s="3817"/>
      <c r="AL216" s="3817"/>
      <c r="AM216" s="3817"/>
      <c r="AN216" s="3817"/>
      <c r="AO216" s="3817"/>
      <c r="AP216" s="3817"/>
      <c r="AQ216" s="3817"/>
      <c r="AR216" s="3817"/>
      <c r="AS216" s="3817"/>
      <c r="AT216" s="3817"/>
      <c r="AU216" s="3817"/>
      <c r="AV216" s="3818"/>
    </row>
    <row r="217" spans="1:48">
      <c r="A217" s="3739" t="s">
        <v>5428</v>
      </c>
      <c r="B217" s="3739" t="s">
        <v>3953</v>
      </c>
      <c r="C217" s="3645" t="s">
        <v>6325</v>
      </c>
      <c r="D217" s="3646"/>
      <c r="E217" s="3646"/>
      <c r="F217" s="3646"/>
      <c r="G217" s="3646"/>
      <c r="H217" s="3646"/>
      <c r="I217" s="3646"/>
      <c r="J217" s="3646"/>
      <c r="K217" s="3646"/>
      <c r="L217" s="3646"/>
      <c r="M217" s="3646"/>
      <c r="N217" s="3646"/>
      <c r="O217" s="3646"/>
      <c r="P217" s="3646"/>
      <c r="Q217" s="3646"/>
      <c r="R217" s="3646"/>
      <c r="S217" s="3646"/>
      <c r="T217" s="3646"/>
      <c r="U217" s="3646"/>
      <c r="V217" s="3646"/>
      <c r="W217" s="3646"/>
      <c r="X217" s="3646"/>
      <c r="Y217" s="3646"/>
      <c r="Z217" s="3646"/>
      <c r="AA217" s="3647"/>
      <c r="AB217" s="3802" t="s">
        <v>6326</v>
      </c>
      <c r="AC217" s="3803"/>
      <c r="AD217" s="3803"/>
      <c r="AE217" s="3803"/>
      <c r="AF217" s="3803"/>
      <c r="AG217" s="3803"/>
      <c r="AH217" s="3804"/>
      <c r="AI217" s="3819">
        <f>B_Uspjeha!AP21</f>
        <v>308500</v>
      </c>
      <c r="AJ217" s="3820"/>
      <c r="AK217" s="3820"/>
      <c r="AL217" s="3820"/>
      <c r="AM217" s="3820"/>
      <c r="AN217" s="3820"/>
      <c r="AO217" s="3820"/>
      <c r="AP217" s="3820"/>
      <c r="AQ217" s="3820"/>
      <c r="AR217" s="3820"/>
      <c r="AS217" s="3820"/>
      <c r="AT217" s="3820"/>
      <c r="AU217" s="3820"/>
      <c r="AV217" s="3821"/>
    </row>
    <row r="218" spans="1:48">
      <c r="A218" s="3822"/>
      <c r="B218" s="3822"/>
      <c r="C218" s="3823"/>
      <c r="D218" s="3823"/>
      <c r="E218" s="3823"/>
      <c r="F218" s="3823"/>
      <c r="G218" s="3823"/>
      <c r="H218" s="3823"/>
      <c r="I218" s="3823"/>
      <c r="J218" s="3823"/>
      <c r="K218" s="3823"/>
      <c r="L218" s="3823"/>
      <c r="M218" s="3823"/>
      <c r="N218" s="3823"/>
      <c r="O218" s="3823"/>
      <c r="P218" s="3823"/>
      <c r="Q218" s="3823"/>
      <c r="R218" s="3823"/>
      <c r="S218" s="3823"/>
      <c r="T218" s="3823"/>
      <c r="U218" s="3823"/>
      <c r="V218" s="3823"/>
      <c r="W218" s="3823"/>
      <c r="X218" s="3823"/>
      <c r="Y218" s="3823"/>
      <c r="Z218" s="3823"/>
      <c r="AA218" s="3823"/>
      <c r="AB218" s="3760"/>
      <c r="AC218" s="3760"/>
      <c r="AD218" s="3760"/>
      <c r="AE218" s="3760"/>
      <c r="AF218" s="3760"/>
      <c r="AG218" s="3760"/>
      <c r="AH218" s="3760"/>
      <c r="AI218" s="3824"/>
      <c r="AJ218" s="3824"/>
      <c r="AK218" s="3824"/>
      <c r="AL218" s="3824"/>
      <c r="AM218" s="3824"/>
      <c r="AN218" s="3824"/>
      <c r="AO218" s="3824"/>
      <c r="AP218" s="3824"/>
      <c r="AQ218" s="3824"/>
      <c r="AR218" s="3824"/>
      <c r="AS218" s="3824"/>
      <c r="AT218" s="3824"/>
      <c r="AU218" s="3824"/>
      <c r="AV218" s="3824"/>
    </row>
    <row r="219" spans="1:48">
      <c r="A219" s="3814"/>
      <c r="B219" s="3814"/>
      <c r="C219" s="3814"/>
      <c r="D219" s="3825"/>
      <c r="E219" s="3825"/>
      <c r="F219" s="3825"/>
      <c r="G219" s="3825"/>
      <c r="H219" s="3825"/>
      <c r="I219" s="3825"/>
      <c r="J219" s="3825"/>
      <c r="K219" s="3825"/>
      <c r="L219" s="3825"/>
      <c r="M219" s="3825"/>
      <c r="N219" s="3825"/>
      <c r="O219" s="3825"/>
      <c r="P219" s="3825"/>
      <c r="Q219" s="3825"/>
      <c r="R219" s="3825"/>
      <c r="S219" s="3825"/>
      <c r="T219" s="3825"/>
      <c r="U219" s="3825"/>
      <c r="V219" s="3825"/>
      <c r="W219" s="3825"/>
      <c r="X219" s="3825"/>
      <c r="Y219" s="3825"/>
      <c r="Z219" s="3825"/>
      <c r="AA219" s="3825"/>
      <c r="AB219" s="3825"/>
      <c r="AC219" s="3825"/>
      <c r="AD219" s="3825"/>
      <c r="AE219" s="3825"/>
      <c r="AF219" s="3825"/>
      <c r="AG219" s="3825"/>
      <c r="AH219" s="3825"/>
      <c r="AI219" s="3825"/>
      <c r="AJ219" s="3825"/>
      <c r="AK219" s="3825"/>
      <c r="AL219" s="3825"/>
      <c r="AM219" s="3825"/>
      <c r="AN219" s="3825"/>
      <c r="AO219" s="3825"/>
      <c r="AP219" s="3826"/>
      <c r="AQ219" s="3826"/>
      <c r="AR219" s="3826"/>
      <c r="AS219" s="3826"/>
      <c r="AT219" s="3826"/>
      <c r="AU219" s="3826"/>
      <c r="AV219" s="3826"/>
    </row>
    <row r="220" spans="1:48">
      <c r="A220" s="3827" t="s">
        <v>6327</v>
      </c>
      <c r="B220" s="3828"/>
      <c r="C220" s="3828"/>
      <c r="D220" s="3828"/>
      <c r="E220" s="3828"/>
      <c r="F220" s="3828"/>
      <c r="G220" s="3828"/>
      <c r="H220" s="3828"/>
      <c r="I220" s="3828"/>
      <c r="J220" s="3828"/>
      <c r="K220" s="3828"/>
      <c r="L220" s="3828"/>
      <c r="M220" s="3828"/>
      <c r="N220" s="3828"/>
      <c r="O220" s="3828"/>
      <c r="P220" s="3828"/>
      <c r="Q220" s="3828"/>
      <c r="R220" s="3828"/>
      <c r="S220" s="3828"/>
      <c r="T220" s="3828"/>
      <c r="U220" s="3828"/>
      <c r="V220" s="3828"/>
      <c r="W220" s="3460"/>
      <c r="X220" s="3460"/>
      <c r="Y220" s="3460"/>
      <c r="Z220" s="3460"/>
      <c r="AA220" s="3460"/>
      <c r="AB220" s="3460"/>
      <c r="AC220" s="3460"/>
      <c r="AD220" s="3460"/>
      <c r="AE220" s="3460"/>
      <c r="AF220" s="3460"/>
      <c r="AG220" s="3460"/>
      <c r="AH220" s="3460"/>
      <c r="AI220" s="3460"/>
      <c r="AJ220" s="3460"/>
      <c r="AK220" s="3460"/>
      <c r="AL220" s="3460"/>
      <c r="AM220" s="3460"/>
      <c r="AN220" s="3460"/>
      <c r="AO220" s="3460"/>
      <c r="AP220" s="3460"/>
      <c r="AQ220" s="3460"/>
      <c r="AR220" s="3460"/>
      <c r="AS220" s="3460"/>
      <c r="AT220" s="3460"/>
      <c r="AU220" s="3460"/>
      <c r="AV220" s="3460"/>
    </row>
    <row r="221" spans="1:48">
      <c r="A221" s="3827"/>
      <c r="B221" s="3828"/>
      <c r="C221" s="3828"/>
      <c r="D221" s="3828"/>
      <c r="E221" s="3828"/>
      <c r="F221" s="3828"/>
      <c r="G221" s="3828"/>
      <c r="H221" s="3828"/>
      <c r="I221" s="3828"/>
      <c r="J221" s="3828"/>
      <c r="K221" s="3828"/>
      <c r="L221" s="3828"/>
      <c r="M221" s="3828"/>
      <c r="N221" s="3828"/>
      <c r="O221" s="3828"/>
      <c r="P221" s="3828"/>
      <c r="Q221" s="3828"/>
      <c r="R221" s="3828"/>
      <c r="S221" s="3828"/>
      <c r="T221" s="3828"/>
      <c r="U221" s="3828"/>
      <c r="V221" s="3828"/>
      <c r="W221" s="3460"/>
      <c r="X221" s="3460"/>
      <c r="Y221" s="3460"/>
      <c r="Z221" s="3460"/>
      <c r="AA221" s="3460"/>
      <c r="AB221" s="3460"/>
      <c r="AC221" s="3460"/>
      <c r="AD221" s="3460"/>
      <c r="AE221" s="3460"/>
      <c r="AF221" s="3460"/>
      <c r="AG221" s="3460"/>
      <c r="AH221" s="3460"/>
      <c r="AI221" s="3460"/>
      <c r="AJ221" s="3460"/>
      <c r="AK221" s="3460"/>
      <c r="AL221" s="3460"/>
      <c r="AM221" s="3460"/>
      <c r="AN221" s="3460"/>
      <c r="AO221" s="3460"/>
      <c r="AP221" s="3460"/>
      <c r="AQ221" s="3460"/>
      <c r="AR221" s="3460"/>
      <c r="AS221" s="3460"/>
      <c r="AT221" s="3460"/>
      <c r="AU221" s="3460"/>
      <c r="AV221" s="3460"/>
    </row>
    <row r="222" spans="1:48">
      <c r="A222" s="2292" t="s">
        <v>6328</v>
      </c>
      <c r="B222" s="2292"/>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3829">
        <v>0</v>
      </c>
      <c r="AQ222" s="3829">
        <v>0</v>
      </c>
      <c r="AR222" s="3830" t="s">
        <v>6329</v>
      </c>
      <c r="AS222" s="3831"/>
      <c r="AT222" s="3829">
        <v>3</v>
      </c>
      <c r="AU222" s="3829">
        <v>0</v>
      </c>
      <c r="AV222" s="3460"/>
    </row>
    <row r="223" spans="1:48">
      <c r="A223" s="2292"/>
      <c r="B223" s="2292"/>
      <c r="C223" s="2292"/>
      <c r="D223" s="2292"/>
      <c r="E223" s="2292"/>
      <c r="F223" s="2292"/>
      <c r="G223" s="2292"/>
      <c r="H223" s="2292"/>
      <c r="I223" s="2292"/>
      <c r="J223" s="2292"/>
      <c r="K223" s="2292"/>
      <c r="L223" s="2292"/>
      <c r="M223" s="2292"/>
      <c r="N223" s="2292"/>
      <c r="O223" s="2292"/>
      <c r="P223" s="2292"/>
      <c r="Q223" s="2292"/>
      <c r="R223" s="2292"/>
      <c r="S223" s="2292"/>
      <c r="T223" s="2292"/>
      <c r="U223" s="2292"/>
      <c r="V223" s="2292"/>
      <c r="W223" s="2292"/>
      <c r="X223" s="2292"/>
      <c r="Y223" s="2292"/>
      <c r="Z223" s="2292"/>
      <c r="AA223" s="2292"/>
      <c r="AB223" s="2292"/>
      <c r="AC223" s="2292"/>
      <c r="AD223" s="2292"/>
      <c r="AE223" s="2292"/>
      <c r="AF223" s="2292"/>
      <c r="AG223" s="2292"/>
      <c r="AH223" s="2292"/>
      <c r="AI223" s="2292"/>
      <c r="AJ223" s="2292"/>
      <c r="AK223" s="2292"/>
      <c r="AL223" s="2292"/>
      <c r="AM223" s="2292"/>
      <c r="AN223" s="2292"/>
      <c r="AO223" s="2292"/>
      <c r="AP223" s="3761" t="s">
        <v>6330</v>
      </c>
      <c r="AQ223" s="2292"/>
      <c r="AR223" s="2292"/>
      <c r="AS223" s="2292"/>
      <c r="AT223" s="3832" t="s">
        <v>6331</v>
      </c>
      <c r="AU223" s="2292"/>
      <c r="AV223" s="2292"/>
    </row>
    <row r="224" spans="1:48">
      <c r="A224" s="2292" t="s">
        <v>6332</v>
      </c>
      <c r="B224" s="2292"/>
      <c r="C224" s="2292"/>
      <c r="D224" s="2292"/>
      <c r="E224" s="2292"/>
      <c r="F224" s="2292"/>
      <c r="G224" s="2292"/>
      <c r="H224" s="2292"/>
      <c r="I224" s="2292"/>
      <c r="J224" s="2292"/>
      <c r="K224" s="2292"/>
      <c r="L224" s="2292"/>
      <c r="M224" s="2292"/>
      <c r="N224" s="2292"/>
      <c r="O224" s="2292"/>
      <c r="P224" s="2292"/>
      <c r="Q224" s="2292"/>
      <c r="R224" s="3832" t="s">
        <v>6333</v>
      </c>
      <c r="S224" s="2292"/>
      <c r="T224" s="3833"/>
      <c r="U224" s="3834"/>
      <c r="V224" s="2292"/>
      <c r="W224" s="3835" t="str">
        <f>UnosPod!F14</f>
        <v>info@lilium_dzu.ba</v>
      </c>
      <c r="X224" s="3835"/>
      <c r="Y224" s="3835"/>
      <c r="Z224" s="3835"/>
      <c r="AA224" s="3835"/>
      <c r="AB224" s="3835"/>
      <c r="AC224" s="3835"/>
      <c r="AD224" s="3835"/>
      <c r="AE224" s="3835"/>
      <c r="AF224" s="3835"/>
      <c r="AG224" s="3835"/>
      <c r="AH224" s="3835"/>
      <c r="AI224" s="2292"/>
      <c r="AJ224" s="3832" t="s">
        <v>6334</v>
      </c>
      <c r="AK224" s="2292"/>
      <c r="AL224" s="3833"/>
      <c r="AM224" s="3834"/>
      <c r="AN224" s="2292"/>
      <c r="AO224" s="2292"/>
      <c r="AP224" s="2292"/>
      <c r="AQ224" s="2292"/>
      <c r="AR224" s="2292"/>
      <c r="AS224" s="2292"/>
      <c r="AT224" s="2292"/>
      <c r="AU224" s="2292"/>
      <c r="AV224" s="2292"/>
    </row>
    <row r="225" spans="1:49">
      <c r="A225" s="2292"/>
      <c r="B225" s="2292"/>
      <c r="C225" s="2292"/>
      <c r="D225" s="2292"/>
      <c r="E225" s="2292"/>
      <c r="F225" s="2292"/>
      <c r="G225" s="2292"/>
      <c r="H225" s="2292"/>
      <c r="I225" s="2292"/>
      <c r="J225" s="2292"/>
      <c r="K225" s="2292"/>
      <c r="L225" s="2292"/>
      <c r="M225" s="2292"/>
      <c r="N225" s="2292"/>
      <c r="O225" s="2292"/>
      <c r="P225" s="2292"/>
      <c r="Q225" s="2292"/>
      <c r="R225" s="2292"/>
      <c r="S225" s="2292"/>
      <c r="T225" s="2292"/>
      <c r="U225" s="2292"/>
      <c r="V225" s="2292"/>
      <c r="W225" s="3836" t="s">
        <v>6335</v>
      </c>
      <c r="X225" s="3836"/>
      <c r="Y225" s="3836"/>
      <c r="Z225" s="3836"/>
      <c r="AA225" s="3836"/>
      <c r="AB225" s="3836"/>
      <c r="AC225" s="3836"/>
      <c r="AD225" s="3836"/>
      <c r="AE225" s="3836"/>
      <c r="AF225" s="3836"/>
      <c r="AG225" s="3836"/>
      <c r="AH225" s="3836"/>
      <c r="AI225" s="2292"/>
      <c r="AJ225" s="2292"/>
      <c r="AK225" s="2292"/>
      <c r="AL225" s="2292"/>
      <c r="AM225" s="2292"/>
      <c r="AN225" s="2292"/>
      <c r="AO225" s="2292"/>
      <c r="AP225" s="3833"/>
      <c r="AQ225" s="3833"/>
      <c r="AR225" s="3833"/>
      <c r="AS225" s="3833"/>
      <c r="AT225" s="3833"/>
      <c r="AU225" s="3833"/>
      <c r="AV225" s="2292"/>
    </row>
    <row r="226" spans="1:49">
      <c r="A226" s="2292" t="s">
        <v>6336</v>
      </c>
      <c r="B226" s="2292"/>
      <c r="C226" s="2292"/>
      <c r="D226" s="2292"/>
      <c r="E226" s="2292"/>
      <c r="F226" s="2292"/>
      <c r="G226" s="2292"/>
      <c r="H226" s="2292"/>
      <c r="I226" s="2292"/>
      <c r="J226" s="2292"/>
      <c r="K226" s="2292"/>
      <c r="L226" s="2292"/>
      <c r="M226" s="2292"/>
      <c r="N226" s="2292"/>
      <c r="O226" s="2292"/>
      <c r="P226" s="2292"/>
      <c r="Q226" s="2292"/>
      <c r="R226" s="3832" t="s">
        <v>6333</v>
      </c>
      <c r="S226" s="2292"/>
      <c r="T226" s="3833"/>
      <c r="U226" s="3834"/>
      <c r="V226" s="2292"/>
      <c r="W226" s="3835" t="str">
        <f>UnosPod!F16</f>
        <v>www.lilium-dzu.ba</v>
      </c>
      <c r="X226" s="3835"/>
      <c r="Y226" s="3835"/>
      <c r="Z226" s="3835"/>
      <c r="AA226" s="3835"/>
      <c r="AB226" s="3835"/>
      <c r="AC226" s="3835"/>
      <c r="AD226" s="3835"/>
      <c r="AE226" s="3835"/>
      <c r="AF226" s="3835"/>
      <c r="AG226" s="3835"/>
      <c r="AH226" s="3835"/>
      <c r="AI226" s="2292"/>
      <c r="AJ226" s="3832" t="s">
        <v>6334</v>
      </c>
      <c r="AK226" s="2292"/>
      <c r="AL226" s="3833"/>
      <c r="AM226" s="3834"/>
      <c r="AN226" s="2292"/>
      <c r="AO226" s="2292"/>
      <c r="AP226" s="2292"/>
      <c r="AQ226" s="2292"/>
      <c r="AR226" s="2292"/>
      <c r="AS226" s="2292"/>
      <c r="AT226" s="2292"/>
      <c r="AU226" s="2292"/>
      <c r="AV226" s="3833"/>
    </row>
    <row r="227" spans="1:49">
      <c r="A227" s="2292"/>
      <c r="B227" s="2292"/>
      <c r="C227" s="2292"/>
      <c r="D227" s="2292"/>
      <c r="E227" s="2292"/>
      <c r="F227" s="2292"/>
      <c r="G227" s="2292"/>
      <c r="H227" s="2292"/>
      <c r="I227" s="2292"/>
      <c r="J227" s="2292"/>
      <c r="K227" s="2292"/>
      <c r="L227" s="2292"/>
      <c r="M227" s="2292"/>
      <c r="N227" s="2292"/>
      <c r="O227" s="2292"/>
      <c r="P227" s="2292"/>
      <c r="Q227" s="2292"/>
      <c r="R227" s="2292"/>
      <c r="S227" s="2292"/>
      <c r="T227" s="2292"/>
      <c r="U227" s="2292"/>
      <c r="V227" s="2292"/>
      <c r="W227" s="3836" t="s">
        <v>6335</v>
      </c>
      <c r="X227" s="3836"/>
      <c r="Y227" s="3836"/>
      <c r="Z227" s="3836"/>
      <c r="AA227" s="3836"/>
      <c r="AB227" s="3836"/>
      <c r="AC227" s="3836"/>
      <c r="AD227" s="3836"/>
      <c r="AE227" s="3836"/>
      <c r="AF227" s="3836"/>
      <c r="AG227" s="3836"/>
      <c r="AH227" s="3836"/>
      <c r="AI227" s="2292"/>
      <c r="AJ227" s="2292"/>
      <c r="AK227" s="2292"/>
      <c r="AL227" s="2292"/>
      <c r="AM227" s="2292"/>
      <c r="AN227" s="2292"/>
      <c r="AO227" s="2292"/>
      <c r="AP227" s="3833"/>
      <c r="AQ227" s="3833"/>
      <c r="AR227" s="3833"/>
      <c r="AS227" s="3833"/>
      <c r="AT227" s="3833"/>
      <c r="AU227" s="3833"/>
      <c r="AV227" s="2292"/>
    </row>
    <row r="228" spans="1:49">
      <c r="A228" s="2292"/>
      <c r="B228" s="2292"/>
      <c r="C228" s="2292"/>
      <c r="D228" s="2292"/>
      <c r="E228" s="2292"/>
      <c r="F228" s="2292"/>
      <c r="G228" s="2292"/>
      <c r="H228" s="2292"/>
      <c r="I228" s="2292"/>
      <c r="J228" s="2292"/>
      <c r="K228" s="2292"/>
      <c r="L228" s="2292"/>
      <c r="M228" s="2292"/>
      <c r="N228" s="2292"/>
      <c r="O228" s="2292"/>
      <c r="P228" s="2292"/>
      <c r="Q228" s="2292"/>
      <c r="R228" s="2292"/>
      <c r="S228" s="2292"/>
      <c r="T228" s="2292"/>
      <c r="U228" s="2292"/>
      <c r="V228" s="2292"/>
      <c r="W228" s="3837"/>
      <c r="X228" s="3837"/>
      <c r="Y228" s="3837"/>
      <c r="Z228" s="3837"/>
      <c r="AA228" s="3837"/>
      <c r="AB228" s="3837"/>
      <c r="AC228" s="3837"/>
      <c r="AD228" s="3837"/>
      <c r="AE228" s="3837"/>
      <c r="AF228" s="3837"/>
      <c r="AG228" s="3837"/>
      <c r="AH228" s="3837"/>
      <c r="AI228" s="2292"/>
      <c r="AJ228" s="2292"/>
      <c r="AK228" s="2292"/>
      <c r="AL228" s="2292"/>
      <c r="AM228" s="2292"/>
      <c r="AN228" s="2292"/>
      <c r="AO228" s="2292"/>
      <c r="AP228" s="3833"/>
      <c r="AQ228" s="3833"/>
      <c r="AR228" s="3833"/>
      <c r="AS228" s="3833"/>
      <c r="AT228" s="3833"/>
      <c r="AU228" s="3833"/>
      <c r="AV228" s="3833"/>
    </row>
    <row r="229" spans="1:49">
      <c r="A229" s="2292" t="s">
        <v>6337</v>
      </c>
      <c r="B229" s="2292"/>
      <c r="C229" s="2292"/>
      <c r="D229" s="2292"/>
      <c r="E229" s="2292"/>
      <c r="F229" s="2292"/>
      <c r="G229" s="2292"/>
      <c r="H229" s="2292"/>
      <c r="I229" s="2292"/>
      <c r="J229" s="2292"/>
      <c r="K229" s="2292"/>
      <c r="L229" s="2292"/>
      <c r="M229" s="2292"/>
      <c r="N229" s="2292"/>
      <c r="O229" s="2292"/>
      <c r="P229" s="2292"/>
      <c r="Q229" s="2292"/>
      <c r="R229" s="2292"/>
      <c r="S229" s="2292"/>
      <c r="T229" s="2292"/>
      <c r="U229" s="2292"/>
      <c r="V229" s="2292"/>
      <c r="W229" s="3837"/>
      <c r="X229" s="3837"/>
      <c r="Y229" s="3837"/>
      <c r="Z229" s="3837"/>
      <c r="AA229" s="3837"/>
      <c r="AB229" s="3837"/>
      <c r="AC229" s="3832"/>
      <c r="AD229" s="3832" t="s">
        <v>6333</v>
      </c>
      <c r="AE229" s="2292"/>
      <c r="AF229" s="3833"/>
      <c r="AG229" s="3834"/>
      <c r="AH229" s="3837"/>
      <c r="AI229" s="2292"/>
      <c r="AJ229" s="3832" t="s">
        <v>6334</v>
      </c>
      <c r="AK229" s="2292"/>
      <c r="AL229" s="3833"/>
      <c r="AM229" s="3829" t="s">
        <v>6338</v>
      </c>
      <c r="AN229" s="2292"/>
      <c r="AO229" s="2292"/>
      <c r="AP229" s="3833"/>
      <c r="AQ229" s="3833"/>
      <c r="AR229" s="3833"/>
      <c r="AS229" s="3833"/>
      <c r="AT229" s="3833"/>
      <c r="AU229" s="3833"/>
      <c r="AV229" s="3833"/>
    </row>
    <row r="230" spans="1:49">
      <c r="A230" s="2292"/>
      <c r="B230" s="2292"/>
      <c r="C230" s="2292"/>
      <c r="D230" s="2292"/>
      <c r="E230" s="2292"/>
      <c r="F230" s="2292"/>
      <c r="G230" s="2292"/>
      <c r="H230" s="2292"/>
      <c r="I230" s="2292"/>
      <c r="J230" s="2292"/>
      <c r="K230" s="2292"/>
      <c r="L230" s="2292"/>
      <c r="M230" s="2292"/>
      <c r="N230" s="2292"/>
      <c r="O230" s="2292"/>
      <c r="P230" s="2292"/>
      <c r="Q230" s="2292"/>
      <c r="R230" s="2292"/>
      <c r="S230" s="2292"/>
      <c r="T230" s="2292"/>
      <c r="U230" s="2292"/>
      <c r="V230" s="2292"/>
      <c r="W230" s="3837"/>
      <c r="X230" s="3837"/>
      <c r="Y230" s="3837"/>
      <c r="Z230" s="3837"/>
      <c r="AA230" s="3837"/>
      <c r="AB230" s="3837"/>
      <c r="AC230" s="3832"/>
      <c r="AD230" s="3832"/>
      <c r="AE230" s="2292"/>
      <c r="AF230" s="3833"/>
      <c r="AG230" s="2292"/>
      <c r="AH230" s="3837"/>
      <c r="AI230" s="2292"/>
      <c r="AJ230" s="3832"/>
      <c r="AK230" s="2292"/>
      <c r="AL230" s="3833"/>
      <c r="AM230" s="2292"/>
      <c r="AN230" s="2292"/>
      <c r="AO230" s="2292"/>
      <c r="AP230" s="3833"/>
      <c r="AQ230" s="3833"/>
      <c r="AR230" s="3833"/>
      <c r="AS230" s="3833"/>
      <c r="AT230" s="3833"/>
      <c r="AU230" s="3833"/>
      <c r="AV230" s="3833"/>
    </row>
    <row r="231" spans="1:49">
      <c r="A231" s="2292"/>
      <c r="B231" s="2292"/>
      <c r="C231" s="2292"/>
      <c r="D231" s="2292"/>
      <c r="E231" s="2292"/>
      <c r="F231" s="2292"/>
      <c r="G231" s="2292"/>
      <c r="H231" s="2292"/>
      <c r="I231" s="2292"/>
      <c r="J231" s="2292"/>
      <c r="K231" s="2292"/>
      <c r="L231" s="2292"/>
      <c r="M231" s="2292"/>
      <c r="N231" s="3837"/>
      <c r="O231" s="3837"/>
      <c r="P231" s="3837"/>
      <c r="Q231" s="3837"/>
      <c r="R231" s="3837"/>
      <c r="S231" s="3837"/>
      <c r="T231" s="3837"/>
      <c r="U231" s="3837"/>
      <c r="V231" s="3837"/>
      <c r="W231" s="3837"/>
      <c r="X231" s="3837"/>
      <c r="Y231" s="3837"/>
      <c r="AS231" s="2292"/>
      <c r="AT231" s="2292"/>
      <c r="AU231" s="2292"/>
      <c r="AV231" s="2292"/>
    </row>
    <row r="232" spans="1:49">
      <c r="A232" s="3838" t="s">
        <v>6339</v>
      </c>
      <c r="B232" s="2292"/>
      <c r="C232" s="2292"/>
      <c r="D232" s="2292"/>
      <c r="E232" s="2292"/>
      <c r="F232" s="2292"/>
      <c r="G232" s="2292"/>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3839"/>
      <c r="AH232" s="3832"/>
      <c r="AI232" s="3832"/>
      <c r="AJ232" s="3832"/>
      <c r="AK232" s="2292"/>
      <c r="AL232" s="2292"/>
      <c r="AM232" s="2292"/>
      <c r="AN232" s="2292"/>
      <c r="AO232" s="2292"/>
      <c r="AP232" s="2292"/>
      <c r="AQ232" s="2292"/>
      <c r="AR232" s="2292"/>
      <c r="AS232" s="2292"/>
      <c r="AT232" s="2292"/>
      <c r="AU232" s="2292"/>
      <c r="AV232" s="2292"/>
    </row>
    <row r="233" spans="1:49">
      <c r="A233" s="3840" t="s">
        <v>6340</v>
      </c>
      <c r="B233" s="3460"/>
      <c r="C233" s="3460"/>
      <c r="D233" s="3460"/>
      <c r="E233" s="3460"/>
      <c r="F233" s="3460"/>
      <c r="G233" s="3460"/>
      <c r="H233" s="3460"/>
      <c r="I233" s="3460"/>
      <c r="J233" s="3460"/>
      <c r="K233" s="3460"/>
      <c r="L233" s="3460"/>
      <c r="M233" s="3460"/>
      <c r="N233" s="3460"/>
      <c r="O233" s="3460"/>
      <c r="P233" s="3460"/>
      <c r="Q233" s="3460"/>
      <c r="R233" s="3460"/>
      <c r="S233" s="3460"/>
      <c r="T233" s="3460"/>
      <c r="U233" s="3460"/>
      <c r="V233" s="3460"/>
      <c r="W233" s="3460"/>
      <c r="X233" s="3460"/>
      <c r="Y233" s="3460"/>
      <c r="Z233" s="3460"/>
      <c r="AA233" s="3460"/>
      <c r="AB233" s="3460"/>
      <c r="AC233" s="3460"/>
      <c r="AD233" s="3460"/>
      <c r="AE233" s="3460"/>
      <c r="AF233" s="3460"/>
      <c r="AG233" s="3841"/>
      <c r="AH233" s="2292"/>
      <c r="AI233" s="2292"/>
      <c r="AJ233" s="2292"/>
      <c r="AK233" s="2292"/>
      <c r="AL233" s="2292"/>
      <c r="AM233" s="2292"/>
      <c r="AN233" s="2292"/>
      <c r="AO233" s="2292"/>
      <c r="AP233" s="2292"/>
      <c r="AQ233" s="2292"/>
      <c r="AR233" s="2292"/>
      <c r="AS233" s="2292"/>
      <c r="AT233" s="2292"/>
      <c r="AU233" s="2292"/>
      <c r="AV233" s="2292"/>
      <c r="AW233" s="3460"/>
    </row>
    <row r="234" spans="1:49">
      <c r="A234" s="3842"/>
      <c r="B234" s="3445"/>
      <c r="C234" s="3445"/>
      <c r="D234" s="3445"/>
      <c r="E234" s="3445"/>
      <c r="F234" s="3445"/>
      <c r="G234" s="3445"/>
      <c r="H234" s="3445"/>
      <c r="I234" s="3445"/>
      <c r="J234" s="3445"/>
      <c r="K234" s="3445"/>
      <c r="L234" s="3445"/>
      <c r="M234" s="3445"/>
      <c r="N234" s="3445"/>
      <c r="O234" s="3445"/>
      <c r="P234" s="3445"/>
      <c r="Q234" s="3445"/>
      <c r="R234" s="3445"/>
      <c r="S234" s="3445"/>
      <c r="T234" s="3445"/>
      <c r="U234" s="3445"/>
      <c r="V234" s="3445"/>
      <c r="W234" s="3445"/>
      <c r="X234" s="3445"/>
      <c r="Y234" s="3445"/>
      <c r="Z234" s="3445"/>
      <c r="AA234" s="3445"/>
      <c r="AB234" s="3445"/>
      <c r="AC234" s="3445"/>
      <c r="AD234" s="3445"/>
      <c r="AE234" s="3445"/>
      <c r="AF234" s="3445"/>
      <c r="AG234" s="3839"/>
      <c r="AH234" s="3832"/>
      <c r="AI234" s="3832"/>
      <c r="AJ234" s="3832"/>
      <c r="AK234" s="2292"/>
      <c r="AL234" s="2292"/>
      <c r="AM234" s="2292"/>
      <c r="AN234" s="2292"/>
      <c r="AO234" s="2292"/>
      <c r="AP234" s="2292"/>
      <c r="AQ234" s="2292"/>
      <c r="AR234" s="2292"/>
      <c r="AS234" s="2292"/>
      <c r="AT234" s="2292"/>
      <c r="AU234" s="2292"/>
      <c r="AV234" s="2292"/>
    </row>
    <row r="235" spans="1:49">
      <c r="A235" s="3843"/>
      <c r="B235" s="2297"/>
      <c r="C235" s="2297"/>
      <c r="D235" s="2297"/>
      <c r="E235" s="2297"/>
      <c r="F235" s="2297"/>
      <c r="G235" s="2297"/>
      <c r="H235" s="2297"/>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3844"/>
    </row>
    <row r="236" spans="1:49">
      <c r="A236" s="3845"/>
      <c r="AU236" s="2190"/>
    </row>
    <row r="237" spans="1:49">
      <c r="A237" s="3845"/>
      <c r="AU237" s="2190"/>
    </row>
    <row r="238" spans="1:49">
      <c r="A238" s="3845"/>
      <c r="AU238" s="2190"/>
    </row>
    <row r="239" spans="1:49">
      <c r="A239" s="3845"/>
      <c r="AU239" s="2190"/>
    </row>
    <row r="240" spans="1:49">
      <c r="A240" s="3845"/>
      <c r="AU240" s="2190"/>
    </row>
    <row r="241" spans="1:49">
      <c r="A241" s="3846"/>
      <c r="B241" s="2211"/>
      <c r="C241" s="2211"/>
      <c r="D241" s="2211"/>
      <c r="E241" s="2211"/>
      <c r="F241" s="2211"/>
      <c r="G241" s="2211"/>
      <c r="H241" s="2211"/>
      <c r="I241" s="2211"/>
      <c r="J241" s="2211"/>
      <c r="K241" s="2211"/>
      <c r="L241" s="2211"/>
      <c r="M241" s="2211"/>
      <c r="N241" s="2211"/>
      <c r="O241" s="2211"/>
      <c r="P241" s="2211"/>
      <c r="Q241" s="2211"/>
      <c r="R241" s="2211"/>
      <c r="S241" s="2211"/>
      <c r="T241" s="2211"/>
      <c r="U241" s="2211"/>
      <c r="V241" s="2211"/>
      <c r="W241" s="2211"/>
      <c r="X241" s="2211"/>
      <c r="Y241" s="2211"/>
      <c r="Z241" s="2211"/>
      <c r="AA241" s="2211"/>
      <c r="AB241" s="2211"/>
      <c r="AC241" s="2211"/>
      <c r="AD241" s="2211"/>
      <c r="AE241" s="2211"/>
      <c r="AF241" s="2211"/>
      <c r="AG241" s="2211"/>
      <c r="AH241" s="2211"/>
      <c r="AI241" s="2211"/>
      <c r="AJ241" s="2211"/>
      <c r="AK241" s="2211"/>
      <c r="AL241" s="2211"/>
      <c r="AM241" s="2211"/>
      <c r="AN241" s="2211"/>
      <c r="AO241" s="2211"/>
      <c r="AP241" s="2211"/>
      <c r="AQ241" s="2211"/>
      <c r="AR241" s="2211"/>
      <c r="AS241" s="2211"/>
      <c r="AT241" s="2211"/>
      <c r="AU241" s="2212"/>
    </row>
    <row r="243" ht="15" spans="1:49">
      <c r="A243" s="2292" t="s">
        <v>6341</v>
      </c>
      <c r="B243" s="2292"/>
      <c r="C243" s="2292"/>
      <c r="D243" s="2292"/>
      <c r="E243" s="2292"/>
      <c r="F243" s="2292"/>
      <c r="G243" s="2292"/>
      <c r="H243" s="2292"/>
      <c r="I243" s="2292"/>
      <c r="J243" s="2292"/>
      <c r="K243" s="2292"/>
      <c r="L243" s="2292"/>
      <c r="M243" s="2292"/>
      <c r="N243" s="2292"/>
      <c r="O243" s="2292"/>
      <c r="P243" s="2292"/>
      <c r="Q243" s="3847"/>
      <c r="R243" s="3847"/>
      <c r="S243" s="3847"/>
      <c r="T243" s="3847"/>
      <c r="V243" s="3848"/>
      <c r="W243" s="3875" t="str">
        <f>Racunovoda</f>
        <v>Elvira Žilić</v>
      </c>
      <c r="X243" s="3875"/>
      <c r="Y243" s="3875"/>
      <c r="Z243" s="3875"/>
      <c r="AA243" s="3875"/>
      <c r="AB243" s="3875"/>
      <c r="AC243" s="3875"/>
      <c r="AD243" s="3875"/>
      <c r="AE243" s="3875"/>
      <c r="AF243" s="3875"/>
      <c r="AG243" s="3875"/>
      <c r="AH243" s="3875"/>
      <c r="AI243" s="3875"/>
      <c r="AK243" s="3832" t="s">
        <v>6342</v>
      </c>
      <c r="AL243" s="2292" t="s">
        <v>6343</v>
      </c>
      <c r="AM243" s="3832"/>
      <c r="AN243" s="3832"/>
      <c r="AO243" s="2292"/>
      <c r="AP243" s="3850" t="str">
        <f>UnosPod!AL3</f>
        <v>061/599-615</v>
      </c>
      <c r="AQ243" s="3848"/>
      <c r="AR243" s="3848"/>
      <c r="AS243" s="3848"/>
      <c r="AT243" s="3848"/>
      <c r="AU243" s="3848"/>
      <c r="AV243" s="2292"/>
    </row>
    <row r="244" spans="1:49">
      <c r="A244" s="2292"/>
      <c r="B244" s="2292"/>
      <c r="C244" s="2292"/>
      <c r="D244" s="2292"/>
      <c r="E244" s="2292"/>
      <c r="F244" s="2292"/>
      <c r="G244" s="2292"/>
      <c r="H244" s="2292"/>
      <c r="I244" s="2292"/>
      <c r="J244" s="2292"/>
      <c r="K244" s="2292"/>
      <c r="L244" s="2292"/>
      <c r="U244" s="2292"/>
      <c r="V244" s="2292"/>
      <c r="W244" s="2292"/>
      <c r="X244" s="2292"/>
      <c r="Y244" s="3847"/>
      <c r="Z244" s="3837" t="s">
        <v>6344</v>
      </c>
      <c r="AA244" s="3837"/>
      <c r="AB244" s="3836"/>
      <c r="AC244" s="3836"/>
      <c r="AD244" s="3836"/>
      <c r="AE244" s="3836"/>
      <c r="AF244" s="3836"/>
      <c r="AG244" s="3836"/>
      <c r="AH244" s="3836"/>
      <c r="AI244" s="3836"/>
      <c r="AK244" s="3832"/>
      <c r="AL244" s="3832"/>
      <c r="AM244" s="3832"/>
      <c r="AN244" s="3832"/>
      <c r="AO244" s="2292"/>
      <c r="AP244" s="3851"/>
      <c r="AQ244" s="3851"/>
      <c r="AR244" s="3851"/>
      <c r="AS244" s="3851"/>
      <c r="AT244" s="3851"/>
      <c r="AU244" s="3851"/>
      <c r="AV244" s="2292"/>
    </row>
    <row r="245" ht="19.5" customHeight="1" spans="1:49">
      <c r="A245" s="2292" t="s">
        <v>6345</v>
      </c>
      <c r="B245" s="2292"/>
      <c r="C245" s="2292"/>
      <c r="D245" s="2292"/>
      <c r="E245" s="2292"/>
      <c r="F245" s="2292"/>
      <c r="G245" s="2292"/>
      <c r="H245" s="2292"/>
      <c r="I245" s="2292"/>
      <c r="J245" s="2292"/>
      <c r="K245" s="2292"/>
      <c r="L245" s="2292"/>
      <c r="M245" s="2292"/>
      <c r="N245" s="2292"/>
      <c r="O245" s="2292"/>
      <c r="P245" s="2292"/>
      <c r="Q245" s="3847"/>
      <c r="R245" s="3847"/>
      <c r="S245" s="3847"/>
      <c r="T245" s="3847"/>
      <c r="U245" s="3847"/>
      <c r="V245" s="3847"/>
      <c r="W245" s="3849"/>
      <c r="X245" s="3849"/>
      <c r="Y245" s="3849"/>
      <c r="Z245" s="3849"/>
      <c r="AA245" s="3849"/>
      <c r="AB245" s="3849"/>
      <c r="AC245" s="3849"/>
      <c r="AD245" s="3849"/>
      <c r="AE245" s="3849"/>
      <c r="AF245" s="3849"/>
      <c r="AG245" s="3849"/>
      <c r="AH245" s="3849"/>
      <c r="AI245" s="3849"/>
      <c r="AK245" s="3832" t="s">
        <v>6346</v>
      </c>
      <c r="AL245" s="2292" t="s">
        <v>6343</v>
      </c>
      <c r="AM245" s="3832"/>
      <c r="AN245" s="3832"/>
      <c r="AO245" s="2292"/>
      <c r="AP245" s="3876" t="str">
        <f>UnosPod!F15</f>
        <v>033/953-480</v>
      </c>
      <c r="AQ245" s="3848"/>
      <c r="AR245" s="3848"/>
      <c r="AS245" s="3848"/>
      <c r="AT245" s="3848"/>
      <c r="AU245" s="3848"/>
    </row>
    <row r="246" ht="15" spans="1:49">
      <c r="A246" s="2292"/>
      <c r="B246" s="2292"/>
      <c r="C246" s="2292"/>
      <c r="D246" s="2292"/>
      <c r="E246" s="2292"/>
      <c r="F246" s="2292"/>
      <c r="G246" s="2292"/>
      <c r="H246" s="2292"/>
      <c r="I246" s="2292"/>
      <c r="J246" s="2292"/>
      <c r="K246" s="2292"/>
      <c r="L246" s="2292"/>
      <c r="M246" s="2292"/>
      <c r="N246" s="2292"/>
      <c r="O246" s="2292"/>
      <c r="P246" s="2292"/>
      <c r="Q246" s="2292"/>
      <c r="R246" s="2292"/>
      <c r="S246" s="2292"/>
      <c r="T246" s="2292"/>
      <c r="U246" s="2292"/>
      <c r="V246" s="2292"/>
      <c r="W246" s="2292"/>
      <c r="X246" s="2292"/>
      <c r="Y246" s="2292"/>
      <c r="Z246" s="2292"/>
      <c r="AA246" s="2292"/>
      <c r="AB246" s="2292"/>
      <c r="AC246" s="2292"/>
      <c r="AD246" s="2292"/>
      <c r="AE246" s="2292"/>
      <c r="AF246" s="2292"/>
      <c r="AG246" s="2292"/>
      <c r="AH246" s="2292"/>
      <c r="AI246" s="3877" t="str">
        <f>Direktor</f>
        <v>Nedim Vilogorac</v>
      </c>
      <c r="AJ246" s="3832"/>
      <c r="AK246" s="2292"/>
      <c r="AL246" s="3851"/>
      <c r="AM246" s="3851"/>
      <c r="AN246" s="3851"/>
      <c r="AO246" s="3851"/>
      <c r="AP246" s="3851"/>
      <c r="AQ246" s="3851"/>
      <c r="AR246" s="3851"/>
      <c r="AS246" s="3851"/>
      <c r="AT246" s="3851"/>
      <c r="AV246" s="3833"/>
    </row>
    <row r="247" spans="1:49">
      <c r="A247" s="2292" t="s">
        <v>6347</v>
      </c>
      <c r="B247" s="2292"/>
      <c r="C247" s="2292"/>
      <c r="D247" s="2292"/>
      <c r="E247" s="3857">
        <f ca="1">UnosPod!AA5</f>
        <v>46120.4752662037</v>
      </c>
      <c r="F247" s="3857"/>
      <c r="G247" s="3857"/>
      <c r="H247" s="3857"/>
      <c r="I247" s="3857"/>
      <c r="J247" s="3857"/>
      <c r="K247" s="3857"/>
      <c r="L247" s="3857"/>
      <c r="M247" s="3857"/>
      <c r="AH247" s="3833"/>
      <c r="AI247" s="3446"/>
      <c r="AJ247" s="3446"/>
      <c r="AK247" s="3446"/>
      <c r="AL247" s="3446"/>
      <c r="AM247" s="3446"/>
      <c r="AN247" s="3446"/>
      <c r="AO247" s="3446"/>
      <c r="AP247" s="3446"/>
      <c r="AQ247" s="3446"/>
      <c r="AR247" s="3446"/>
      <c r="AS247" s="3446"/>
      <c r="AT247" s="3446"/>
      <c r="AU247" s="3446"/>
      <c r="AV247" s="3833"/>
    </row>
    <row r="248" spans="1:49">
      <c r="A248" s="2292"/>
      <c r="B248" s="2292"/>
      <c r="C248" s="2292"/>
      <c r="D248" s="2292"/>
      <c r="E248" s="2292"/>
      <c r="F248" s="2292"/>
      <c r="G248" s="2292"/>
      <c r="H248" s="2292"/>
      <c r="I248" s="2292"/>
      <c r="J248" s="2292"/>
      <c r="K248" s="2292"/>
      <c r="L248" s="2292"/>
      <c r="M248" s="3446"/>
      <c r="Y248" s="3858" t="s">
        <v>6348</v>
      </c>
      <c r="AH248" s="3833"/>
      <c r="AI248" s="2292"/>
      <c r="AJ248" s="2292"/>
      <c r="AK248" s="2292"/>
      <c r="AL248" s="2292"/>
      <c r="AM248" s="2292"/>
      <c r="AN248" s="2292"/>
      <c r="AO248" s="2292"/>
      <c r="AP248" s="2292"/>
      <c r="AQ248" s="2292"/>
      <c r="AR248" s="2292"/>
      <c r="AS248" s="2292"/>
      <c r="AT248" s="2292"/>
      <c r="AU248" s="2292"/>
      <c r="AV248" s="3833"/>
    </row>
    <row r="256" spans="1:49">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sheetData>
  <mergeCells count="520">
    <mergeCell ref="G2:S2"/>
    <mergeCell ref="G3:S3"/>
    <mergeCell ref="AJ3:AV3"/>
    <mergeCell ref="G4:S4"/>
    <mergeCell ref="AJ4:AV4"/>
    <mergeCell ref="G5:S5"/>
    <mergeCell ref="A7:AV7"/>
    <mergeCell ref="A8:AV8"/>
    <mergeCell ref="A9:AV9"/>
    <mergeCell ref="AP42:AV42"/>
    <mergeCell ref="AR46:AU46"/>
    <mergeCell ref="AR48:AU48"/>
    <mergeCell ref="AR50:AU50"/>
    <mergeCell ref="AR60:AU60"/>
    <mergeCell ref="A65:AN65"/>
    <mergeCell ref="A72:AN72"/>
    <mergeCell ref="A73:B73"/>
    <mergeCell ref="C73:AD73"/>
    <mergeCell ref="AE73:AJ73"/>
    <mergeCell ref="AK73:AN73"/>
    <mergeCell ref="AO73:AV73"/>
    <mergeCell ref="A74:B74"/>
    <mergeCell ref="C74:AD74"/>
    <mergeCell ref="AE74:AJ74"/>
    <mergeCell ref="AK74:AN74"/>
    <mergeCell ref="AO74:AV74"/>
    <mergeCell ref="A75:B75"/>
    <mergeCell ref="C75:AD75"/>
    <mergeCell ref="AE75:AJ75"/>
    <mergeCell ref="AK75:AN75"/>
    <mergeCell ref="AO75:AV75"/>
    <mergeCell ref="A76:B76"/>
    <mergeCell ref="C76:AD76"/>
    <mergeCell ref="AE76:AJ76"/>
    <mergeCell ref="AK76:AN76"/>
    <mergeCell ref="AO76:AV76"/>
    <mergeCell ref="A77:B77"/>
    <mergeCell ref="C77:AD77"/>
    <mergeCell ref="AE77:AJ77"/>
    <mergeCell ref="AK77:AN77"/>
    <mergeCell ref="AO77:AV77"/>
    <mergeCell ref="A78:B78"/>
    <mergeCell ref="C78:AD78"/>
    <mergeCell ref="AE78:AJ78"/>
    <mergeCell ref="AK78:AN78"/>
    <mergeCell ref="AO78:AV78"/>
    <mergeCell ref="A79:B79"/>
    <mergeCell ref="C79:AD79"/>
    <mergeCell ref="AE79:AJ79"/>
    <mergeCell ref="AK79:AN79"/>
    <mergeCell ref="AO79:AV79"/>
    <mergeCell ref="A80:B80"/>
    <mergeCell ref="C80:AD80"/>
    <mergeCell ref="AE80:AJ80"/>
    <mergeCell ref="AK80:AN80"/>
    <mergeCell ref="AO80:AV80"/>
    <mergeCell ref="A81:B81"/>
    <mergeCell ref="C81:AD81"/>
    <mergeCell ref="AE81:AJ81"/>
    <mergeCell ref="AK81:AN81"/>
    <mergeCell ref="AO81:AV81"/>
    <mergeCell ref="A83:AV83"/>
    <mergeCell ref="A84:AN84"/>
    <mergeCell ref="A87:B87"/>
    <mergeCell ref="C87:AD87"/>
    <mergeCell ref="AE87:AJ87"/>
    <mergeCell ref="AK87:AN87"/>
    <mergeCell ref="AO87:AV87"/>
    <mergeCell ref="A88:B88"/>
    <mergeCell ref="C88:AD88"/>
    <mergeCell ref="AE88:AJ88"/>
    <mergeCell ref="AK88:AN88"/>
    <mergeCell ref="AO88:AV88"/>
    <mergeCell ref="A89:B89"/>
    <mergeCell ref="C89:AD89"/>
    <mergeCell ref="AE89:AJ89"/>
    <mergeCell ref="AK89:AN89"/>
    <mergeCell ref="AO89:AV89"/>
    <mergeCell ref="A90:B90"/>
    <mergeCell ref="C90:AD90"/>
    <mergeCell ref="AE90:AJ90"/>
    <mergeCell ref="AK90:AN90"/>
    <mergeCell ref="AO90:AV90"/>
    <mergeCell ref="A91:B91"/>
    <mergeCell ref="C91:AD91"/>
    <mergeCell ref="AE91:AJ91"/>
    <mergeCell ref="AK91:AN91"/>
    <mergeCell ref="AO91:AV91"/>
    <mergeCell ref="A92:B92"/>
    <mergeCell ref="C92:AD92"/>
    <mergeCell ref="AE92:AJ92"/>
    <mergeCell ref="AK92:AN92"/>
    <mergeCell ref="AO92:AV92"/>
    <mergeCell ref="A93:B93"/>
    <mergeCell ref="C93:AD93"/>
    <mergeCell ref="AE93:AJ93"/>
    <mergeCell ref="AK93:AN93"/>
    <mergeCell ref="AO93:AV93"/>
    <mergeCell ref="A94:B94"/>
    <mergeCell ref="C94:AD94"/>
    <mergeCell ref="AE94:AJ94"/>
    <mergeCell ref="AK94:AN94"/>
    <mergeCell ref="AO94:AV94"/>
    <mergeCell ref="A95:B95"/>
    <mergeCell ref="C95:AD95"/>
    <mergeCell ref="AE95:AJ95"/>
    <mergeCell ref="AK95:AN95"/>
    <mergeCell ref="AO95:AV95"/>
    <mergeCell ref="A96:B96"/>
    <mergeCell ref="C96:AD96"/>
    <mergeCell ref="AE96:AJ96"/>
    <mergeCell ref="AK96:AN96"/>
    <mergeCell ref="AO96:AV96"/>
    <mergeCell ref="A97:B97"/>
    <mergeCell ref="C97:AD97"/>
    <mergeCell ref="AE97:AJ97"/>
    <mergeCell ref="AK97:AN97"/>
    <mergeCell ref="AO97:AV97"/>
    <mergeCell ref="A98:B98"/>
    <mergeCell ref="C98:AD98"/>
    <mergeCell ref="AE98:AJ98"/>
    <mergeCell ref="AK98:AN98"/>
    <mergeCell ref="AO98:AV98"/>
    <mergeCell ref="A99:B99"/>
    <mergeCell ref="C99:AD99"/>
    <mergeCell ref="AE99:AJ99"/>
    <mergeCell ref="AK99:AN99"/>
    <mergeCell ref="AO99:AV99"/>
    <mergeCell ref="A100:B100"/>
    <mergeCell ref="C100:AD100"/>
    <mergeCell ref="AE100:AJ100"/>
    <mergeCell ref="AK100:AN100"/>
    <mergeCell ref="AO100:AV100"/>
    <mergeCell ref="A101:B101"/>
    <mergeCell ref="C101:AD101"/>
    <mergeCell ref="AE101:AJ101"/>
    <mergeCell ref="AK101:AN101"/>
    <mergeCell ref="AO101:AV101"/>
    <mergeCell ref="A102:B102"/>
    <mergeCell ref="C102:AD102"/>
    <mergeCell ref="AE102:AJ102"/>
    <mergeCell ref="AK102:AN102"/>
    <mergeCell ref="AO102:AV102"/>
    <mergeCell ref="A103:B103"/>
    <mergeCell ref="C103:AD103"/>
    <mergeCell ref="AE103:AJ103"/>
    <mergeCell ref="AK103:AN103"/>
    <mergeCell ref="AO103:AV103"/>
    <mergeCell ref="A104:B104"/>
    <mergeCell ref="C104:AD104"/>
    <mergeCell ref="AE104:AJ104"/>
    <mergeCell ref="AK104:AN104"/>
    <mergeCell ref="AO104:AV104"/>
    <mergeCell ref="A105:B105"/>
    <mergeCell ref="C105:AD105"/>
    <mergeCell ref="AE105:AJ105"/>
    <mergeCell ref="AK105:AN105"/>
    <mergeCell ref="AO105:AV105"/>
    <mergeCell ref="A106:B106"/>
    <mergeCell ref="C106:AD106"/>
    <mergeCell ref="AE106:AJ106"/>
    <mergeCell ref="AK106:AN106"/>
    <mergeCell ref="AO106:AV106"/>
    <mergeCell ref="A107:B107"/>
    <mergeCell ref="C107:AD107"/>
    <mergeCell ref="AE107:AJ107"/>
    <mergeCell ref="AK107:AN107"/>
    <mergeCell ref="AO107:AV107"/>
    <mergeCell ref="A108:B108"/>
    <mergeCell ref="C108:AD108"/>
    <mergeCell ref="AE108:AJ108"/>
    <mergeCell ref="AK108:AN108"/>
    <mergeCell ref="AO108:AV108"/>
    <mergeCell ref="A109:B109"/>
    <mergeCell ref="C109:AD109"/>
    <mergeCell ref="AE109:AJ109"/>
    <mergeCell ref="AK109:AN109"/>
    <mergeCell ref="AO109:AV109"/>
    <mergeCell ref="A110:B110"/>
    <mergeCell ref="C110:AD110"/>
    <mergeCell ref="AE110:AJ110"/>
    <mergeCell ref="AK110:AN110"/>
    <mergeCell ref="AO110:AV110"/>
    <mergeCell ref="A111:B111"/>
    <mergeCell ref="C111:AD111"/>
    <mergeCell ref="AE111:AJ111"/>
    <mergeCell ref="AK111:AN111"/>
    <mergeCell ref="AO111:AV111"/>
    <mergeCell ref="A112:B112"/>
    <mergeCell ref="C112:AD112"/>
    <mergeCell ref="AE112:AJ112"/>
    <mergeCell ref="AK112:AN112"/>
    <mergeCell ref="AO112:AV112"/>
    <mergeCell ref="A113:B113"/>
    <mergeCell ref="C113:AD113"/>
    <mergeCell ref="AE113:AJ113"/>
    <mergeCell ref="AK113:AN113"/>
    <mergeCell ref="AO113:AV113"/>
    <mergeCell ref="A114:B114"/>
    <mergeCell ref="C114:AD114"/>
    <mergeCell ref="AE114:AJ114"/>
    <mergeCell ref="AK114:AN114"/>
    <mergeCell ref="AO114:AV114"/>
    <mergeCell ref="A115:B115"/>
    <mergeCell ref="C115:AD115"/>
    <mergeCell ref="AE115:AJ115"/>
    <mergeCell ref="AK115:AN115"/>
    <mergeCell ref="AO115:AV115"/>
    <mergeCell ref="A116:B116"/>
    <mergeCell ref="C116:AD116"/>
    <mergeCell ref="AE116:AJ116"/>
    <mergeCell ref="AK116:AN116"/>
    <mergeCell ref="AO116:AV116"/>
    <mergeCell ref="A117:B117"/>
    <mergeCell ref="C117:AD117"/>
    <mergeCell ref="AE117:AJ117"/>
    <mergeCell ref="AK117:AN117"/>
    <mergeCell ref="AO117:AV117"/>
    <mergeCell ref="A118:B118"/>
    <mergeCell ref="C118:AD118"/>
    <mergeCell ref="AE118:AJ118"/>
    <mergeCell ref="AK118:AN118"/>
    <mergeCell ref="AO118:AV118"/>
    <mergeCell ref="A119:B119"/>
    <mergeCell ref="C119:AD119"/>
    <mergeCell ref="AE119:AJ119"/>
    <mergeCell ref="AK119:AN119"/>
    <mergeCell ref="AO119:AV119"/>
    <mergeCell ref="A120:B120"/>
    <mergeCell ref="C120:AD120"/>
    <mergeCell ref="AE120:AJ120"/>
    <mergeCell ref="AK120:AN120"/>
    <mergeCell ref="AO120:AV120"/>
    <mergeCell ref="A121:B121"/>
    <mergeCell ref="C121:AD121"/>
    <mergeCell ref="AE121:AJ121"/>
    <mergeCell ref="AK121:AN121"/>
    <mergeCell ref="AO121:AV121"/>
    <mergeCell ref="A122:AV122"/>
    <mergeCell ref="AI129:AV129"/>
    <mergeCell ref="A130:B130"/>
    <mergeCell ref="C130:W130"/>
    <mergeCell ref="X130:AC130"/>
    <mergeCell ref="AD130:AH130"/>
    <mergeCell ref="AI130:AN130"/>
    <mergeCell ref="AO130:AV130"/>
    <mergeCell ref="A131:B131"/>
    <mergeCell ref="C131:W131"/>
    <mergeCell ref="X131:AC131"/>
    <mergeCell ref="AD131:AH131"/>
    <mergeCell ref="AJ131:AN131"/>
    <mergeCell ref="AP131:AV131"/>
    <mergeCell ref="A132:B132"/>
    <mergeCell ref="C132:W132"/>
    <mergeCell ref="X132:AC132"/>
    <mergeCell ref="AD132:AH132"/>
    <mergeCell ref="AJ132:AN132"/>
    <mergeCell ref="AP132:AV132"/>
    <mergeCell ref="A133:B133"/>
    <mergeCell ref="C133:W133"/>
    <mergeCell ref="X133:AC133"/>
    <mergeCell ref="AD133:AH133"/>
    <mergeCell ref="AJ133:AN133"/>
    <mergeCell ref="AP133:AV133"/>
    <mergeCell ref="A134:B134"/>
    <mergeCell ref="C134:W134"/>
    <mergeCell ref="X134:AC134"/>
    <mergeCell ref="AD134:AH134"/>
    <mergeCell ref="AJ134:AN134"/>
    <mergeCell ref="AP134:AV134"/>
    <mergeCell ref="A135:B135"/>
    <mergeCell ref="C135:W135"/>
    <mergeCell ref="X135:AC135"/>
    <mergeCell ref="AD135:AH135"/>
    <mergeCell ref="AJ135:AN135"/>
    <mergeCell ref="AP135:AV135"/>
    <mergeCell ref="A136:Q136"/>
    <mergeCell ref="A141:AB141"/>
    <mergeCell ref="AC142:AN142"/>
    <mergeCell ref="AC143:AH143"/>
    <mergeCell ref="AI143:AN143"/>
    <mergeCell ref="A144:B144"/>
    <mergeCell ref="C144:W144"/>
    <mergeCell ref="X144:AB144"/>
    <mergeCell ref="AD144:AH144"/>
    <mergeCell ref="AJ144:AN144"/>
    <mergeCell ref="AP144:AV144"/>
    <mergeCell ref="A145:B145"/>
    <mergeCell ref="C145:W145"/>
    <mergeCell ref="X145:AB145"/>
    <mergeCell ref="AD145:AH145"/>
    <mergeCell ref="AJ145:AN145"/>
    <mergeCell ref="AP145:AV145"/>
    <mergeCell ref="A146:B146"/>
    <mergeCell ref="C146:W146"/>
    <mergeCell ref="X146:AB146"/>
    <mergeCell ref="AD146:AH146"/>
    <mergeCell ref="AJ146:AN146"/>
    <mergeCell ref="AP146:AV146"/>
    <mergeCell ref="A147:B147"/>
    <mergeCell ref="C147:W147"/>
    <mergeCell ref="X147:AB147"/>
    <mergeCell ref="AD147:AH147"/>
    <mergeCell ref="AJ147:AN147"/>
    <mergeCell ref="AP147:AV147"/>
    <mergeCell ref="A148:B148"/>
    <mergeCell ref="C148:W148"/>
    <mergeCell ref="X148:AB148"/>
    <mergeCell ref="AD148:AH148"/>
    <mergeCell ref="AJ148:AN148"/>
    <mergeCell ref="AP148:AV148"/>
    <mergeCell ref="A149:B149"/>
    <mergeCell ref="C149:W149"/>
    <mergeCell ref="X149:AB149"/>
    <mergeCell ref="AD149:AH149"/>
    <mergeCell ref="AJ149:AN149"/>
    <mergeCell ref="AP149:AV149"/>
    <mergeCell ref="A151:AV151"/>
    <mergeCell ref="A154:AO154"/>
    <mergeCell ref="A157:B157"/>
    <mergeCell ref="C157:W157"/>
    <mergeCell ref="X157:AC157"/>
    <mergeCell ref="AE157:AH157"/>
    <mergeCell ref="AJ157:AN157"/>
    <mergeCell ref="AP157:AV157"/>
    <mergeCell ref="A158:B158"/>
    <mergeCell ref="C158:W158"/>
    <mergeCell ref="X158:AC158"/>
    <mergeCell ref="AE158:AH158"/>
    <mergeCell ref="AJ158:AN158"/>
    <mergeCell ref="AP158:AV158"/>
    <mergeCell ref="A159:B159"/>
    <mergeCell ref="C159:W159"/>
    <mergeCell ref="X159:AC159"/>
    <mergeCell ref="AE159:AH159"/>
    <mergeCell ref="AJ159:AN159"/>
    <mergeCell ref="AP159:AV159"/>
    <mergeCell ref="A162:AU162"/>
    <mergeCell ref="A163:B163"/>
    <mergeCell ref="C163:AH163"/>
    <mergeCell ref="AI163:AN163"/>
    <mergeCell ref="AO163:AV163"/>
    <mergeCell ref="A164:B164"/>
    <mergeCell ref="C164:AH164"/>
    <mergeCell ref="AI164:AN164"/>
    <mergeCell ref="AO164:AV164"/>
    <mergeCell ref="A165:B165"/>
    <mergeCell ref="C165:AH165"/>
    <mergeCell ref="AI165:AN165"/>
    <mergeCell ref="AO165:AV165"/>
    <mergeCell ref="A166:B166"/>
    <mergeCell ref="C166:AH166"/>
    <mergeCell ref="AI166:AN166"/>
    <mergeCell ref="AO166:AV166"/>
    <mergeCell ref="A167:B167"/>
    <mergeCell ref="C167:AH167"/>
    <mergeCell ref="AI167:AN167"/>
    <mergeCell ref="AO167:AV167"/>
    <mergeCell ref="A168:B168"/>
    <mergeCell ref="C168:AH168"/>
    <mergeCell ref="AI168:AN168"/>
    <mergeCell ref="AO168:AV168"/>
    <mergeCell ref="A169:B169"/>
    <mergeCell ref="C169:AH169"/>
    <mergeCell ref="AI169:AN169"/>
    <mergeCell ref="AO169:AV169"/>
    <mergeCell ref="A170:B170"/>
    <mergeCell ref="C170:AH170"/>
    <mergeCell ref="AI170:AN170"/>
    <mergeCell ref="AO170:AV170"/>
    <mergeCell ref="A171:B171"/>
    <mergeCell ref="C171:AH171"/>
    <mergeCell ref="AI171:AN171"/>
    <mergeCell ref="AO171:AV171"/>
    <mergeCell ref="A173:AV173"/>
    <mergeCell ref="A189:AV189"/>
    <mergeCell ref="A190:B190"/>
    <mergeCell ref="C190:AA190"/>
    <mergeCell ref="AB190:AH190"/>
    <mergeCell ref="AI190:AN190"/>
    <mergeCell ref="AO190:AV190"/>
    <mergeCell ref="A191:B191"/>
    <mergeCell ref="C191:AA191"/>
    <mergeCell ref="AB191:AH191"/>
    <mergeCell ref="AI191:AN191"/>
    <mergeCell ref="AO191:AV191"/>
    <mergeCell ref="A192:B192"/>
    <mergeCell ref="C192:AA192"/>
    <mergeCell ref="AB192:AH192"/>
    <mergeCell ref="AI192:AN192"/>
    <mergeCell ref="AO192:AV192"/>
    <mergeCell ref="A193:B193"/>
    <mergeCell ref="C193:AA193"/>
    <mergeCell ref="AB193:AH193"/>
    <mergeCell ref="AI193:AN193"/>
    <mergeCell ref="AO193:AV193"/>
    <mergeCell ref="A194:B194"/>
    <mergeCell ref="C194:AA194"/>
    <mergeCell ref="AB194:AH194"/>
    <mergeCell ref="AI194:AN194"/>
    <mergeCell ref="AO194:AV194"/>
    <mergeCell ref="A195:B195"/>
    <mergeCell ref="C195:AA195"/>
    <mergeCell ref="AB195:AH195"/>
    <mergeCell ref="AI195:AN195"/>
    <mergeCell ref="AO195:AV195"/>
    <mergeCell ref="A196:B196"/>
    <mergeCell ref="C196:AA196"/>
    <mergeCell ref="AB196:AH196"/>
    <mergeCell ref="AI196:AN196"/>
    <mergeCell ref="AO196:AV196"/>
    <mergeCell ref="A197:B197"/>
    <mergeCell ref="C197:AA197"/>
    <mergeCell ref="AB197:AH197"/>
    <mergeCell ref="AI197:AN197"/>
    <mergeCell ref="AO197:AV197"/>
    <mergeCell ref="A198:B198"/>
    <mergeCell ref="C198:AA198"/>
    <mergeCell ref="AB198:AH198"/>
    <mergeCell ref="AI198:AN198"/>
    <mergeCell ref="AO198:AV198"/>
    <mergeCell ref="A199:B199"/>
    <mergeCell ref="C199:AA199"/>
    <mergeCell ref="AB199:AH199"/>
    <mergeCell ref="AI199:AN199"/>
    <mergeCell ref="AO199:AV199"/>
    <mergeCell ref="A200:B200"/>
    <mergeCell ref="C200:AA200"/>
    <mergeCell ref="AB200:AH200"/>
    <mergeCell ref="AI200:AN200"/>
    <mergeCell ref="AO200:AV200"/>
    <mergeCell ref="A201:B201"/>
    <mergeCell ref="C201:AA201"/>
    <mergeCell ref="AB201:AH201"/>
    <mergeCell ref="AI201:AN201"/>
    <mergeCell ref="AO201:AV201"/>
    <mergeCell ref="A202:B202"/>
    <mergeCell ref="C202:AA202"/>
    <mergeCell ref="AB202:AH202"/>
    <mergeCell ref="AI202:AN202"/>
    <mergeCell ref="AO202:AV202"/>
    <mergeCell ref="A203:B203"/>
    <mergeCell ref="C203:AA203"/>
    <mergeCell ref="AB203:AH203"/>
    <mergeCell ref="AI203:AN203"/>
    <mergeCell ref="AO203:AV203"/>
    <mergeCell ref="A204:B204"/>
    <mergeCell ref="C204:AA204"/>
    <mergeCell ref="AB204:AH204"/>
    <mergeCell ref="AI204:AN204"/>
    <mergeCell ref="AO204:AV204"/>
    <mergeCell ref="A205:B205"/>
    <mergeCell ref="C205:AA205"/>
    <mergeCell ref="AB205:AH205"/>
    <mergeCell ref="AI205:AN205"/>
    <mergeCell ref="AO205:AV205"/>
    <mergeCell ref="A206:B206"/>
    <mergeCell ref="C206:AA206"/>
    <mergeCell ref="AB206:AH206"/>
    <mergeCell ref="AI206:AN206"/>
    <mergeCell ref="AO206:AV206"/>
    <mergeCell ref="A207:B207"/>
    <mergeCell ref="C207:AA207"/>
    <mergeCell ref="AB207:AH207"/>
    <mergeCell ref="AI207:AN207"/>
    <mergeCell ref="AO207:AV207"/>
    <mergeCell ref="A208:B208"/>
    <mergeCell ref="C208:AA208"/>
    <mergeCell ref="AB208:AH208"/>
    <mergeCell ref="AI208:AN208"/>
    <mergeCell ref="AO208:AV208"/>
    <mergeCell ref="A209:B209"/>
    <mergeCell ref="C209:AA209"/>
    <mergeCell ref="AB209:AH209"/>
    <mergeCell ref="AI209:AN209"/>
    <mergeCell ref="AO209:AV209"/>
    <mergeCell ref="A210:B210"/>
    <mergeCell ref="C210:AA210"/>
    <mergeCell ref="AB210:AH210"/>
    <mergeCell ref="AI210:AN210"/>
    <mergeCell ref="AO210:AV210"/>
    <mergeCell ref="A214:AO214"/>
    <mergeCell ref="A215:B215"/>
    <mergeCell ref="C215:AA215"/>
    <mergeCell ref="AB215:AH215"/>
    <mergeCell ref="AI215:AV215"/>
    <mergeCell ref="A216:B216"/>
    <mergeCell ref="C216:AA216"/>
    <mergeCell ref="AB216:AH216"/>
    <mergeCell ref="AI216:AV216"/>
    <mergeCell ref="A217:B217"/>
    <mergeCell ref="C217:AA217"/>
    <mergeCell ref="AB217:AH217"/>
    <mergeCell ref="AI217:AV217"/>
    <mergeCell ref="AR222:AS222"/>
    <mergeCell ref="W224:AH224"/>
    <mergeCell ref="W225:AH225"/>
    <mergeCell ref="W226:AH226"/>
    <mergeCell ref="W227:AH227"/>
    <mergeCell ref="W243:AI243"/>
    <mergeCell ref="W245:AI245"/>
    <mergeCell ref="E247:M247"/>
    <mergeCell ref="A11:AV13"/>
    <mergeCell ref="A38:AP40"/>
    <mergeCell ref="A66:AV67"/>
    <mergeCell ref="A85:B86"/>
    <mergeCell ref="C85:AD86"/>
    <mergeCell ref="AE85:AJ86"/>
    <mergeCell ref="AK85:AN86"/>
    <mergeCell ref="AO85:AV86"/>
    <mergeCell ref="A142:B143"/>
    <mergeCell ref="C142:W143"/>
    <mergeCell ref="X142:AB143"/>
    <mergeCell ref="AO142:AV143"/>
    <mergeCell ref="A155:B156"/>
    <mergeCell ref="C155:W156"/>
    <mergeCell ref="X155:AC156"/>
    <mergeCell ref="AD155:AH156"/>
    <mergeCell ref="AI155:AN156"/>
    <mergeCell ref="AO155:AV156"/>
  </mergeCells>
  <pageMargins left="0.708661417322835" right="0.708661417322835" top="0.748031496062992" bottom="0.354330708661417" header="0.31496062992126" footer="0.31496062992126"/>
  <pageSetup paperSize="9" scale="84" fitToHeight="0"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2">
    <pageSetUpPr fitToPage="1"/>
  </sheetPr>
  <dimension ref="A1:AW1353"/>
  <sheetViews>
    <sheetView showGridLines="0" topLeftCell="A124" workbookViewId="0">
      <selection activeCell="AD144" sqref="AD144:AV149"/>
    </sheetView>
  </sheetViews>
  <sheetFormatPr defaultColWidth="2.14285714285714" defaultRowHeight="12.75"/>
  <cols>
    <col min="1" max="49" width="2.14285714285714" style="572"/>
  </cols>
  <sheetData>
    <row r="1" spans="1:49">
      <c r="A1" s="3445"/>
      <c r="B1" s="3445"/>
      <c r="C1" s="3445"/>
      <c r="D1" s="3445"/>
      <c r="E1" s="3445"/>
      <c r="F1" s="3445"/>
      <c r="G1" s="3445"/>
      <c r="H1" s="3445"/>
      <c r="I1" s="3445"/>
      <c r="J1" s="3445"/>
      <c r="K1" s="3445"/>
      <c r="L1" s="3445"/>
      <c r="M1" s="3445"/>
      <c r="N1" s="3445"/>
      <c r="O1" s="3445"/>
      <c r="P1" s="3445"/>
      <c r="Q1" s="3445"/>
      <c r="R1" s="3445"/>
      <c r="S1" s="3445"/>
      <c r="T1" s="3445"/>
      <c r="U1" s="3445"/>
      <c r="V1" s="3445"/>
      <c r="W1" s="3445"/>
      <c r="X1" s="3445"/>
      <c r="Y1" s="3445"/>
      <c r="Z1" s="3445"/>
      <c r="AA1" s="3445"/>
      <c r="AB1" s="3445"/>
      <c r="AC1" s="3445"/>
      <c r="AD1" s="3445"/>
      <c r="AE1" s="3445"/>
      <c r="AF1" s="3445"/>
      <c r="AG1" s="3445"/>
      <c r="AH1" s="3446"/>
      <c r="AI1" s="3445"/>
      <c r="AJ1" s="3445"/>
      <c r="AK1" s="3445"/>
      <c r="AL1" s="3445"/>
      <c r="AM1" s="3445"/>
      <c r="AN1" s="3445"/>
      <c r="AP1" s="3445"/>
      <c r="AQ1" s="3445"/>
      <c r="AR1" s="3445"/>
      <c r="AS1" s="3445"/>
      <c r="AT1" s="3445"/>
      <c r="AU1" s="3445"/>
      <c r="AV1" s="3447" t="str">
        <f ca="1">"Obrazac GRAD SPS-D / "&amp;PoslGod</f>
        <v>Obrazac GRAD SPS-D / 2025</v>
      </c>
      <c r="AW1" s="3445"/>
    </row>
    <row r="2" spans="1:49">
      <c r="G2" s="3448" t="s">
        <v>6054</v>
      </c>
      <c r="H2" s="3448"/>
      <c r="I2" s="3448"/>
      <c r="J2" s="3448"/>
      <c r="K2" s="3448"/>
      <c r="L2" s="3448"/>
      <c r="M2" s="3448"/>
      <c r="N2" s="3448"/>
      <c r="O2" s="3448"/>
      <c r="P2" s="3448"/>
      <c r="Q2" s="3448"/>
      <c r="R2" s="3448"/>
      <c r="S2" s="3448"/>
      <c r="T2" s="3449"/>
      <c r="U2" s="3449"/>
      <c r="V2" s="3449"/>
      <c r="W2" s="3445"/>
      <c r="X2" s="3445"/>
      <c r="Y2" s="3445"/>
      <c r="Z2" s="3445"/>
      <c r="AA2" s="3445"/>
      <c r="AB2" s="3445"/>
      <c r="AC2" s="3445"/>
      <c r="AD2" s="3445"/>
      <c r="AE2" s="3445"/>
      <c r="AF2" s="3445"/>
      <c r="AG2" s="3445"/>
      <c r="AH2" s="3445"/>
      <c r="AI2" s="3445"/>
      <c r="AJ2" s="3445"/>
      <c r="AK2" s="3445"/>
      <c r="AL2" s="3445"/>
      <c r="AM2" s="3445"/>
      <c r="AN2" s="3445"/>
      <c r="AO2" s="3445"/>
      <c r="AP2" s="3445"/>
      <c r="AQ2" s="3445"/>
      <c r="AR2" s="3445"/>
      <c r="AS2" s="3445"/>
      <c r="AT2" s="3445"/>
      <c r="AU2" s="3445"/>
      <c r="AV2" s="3445"/>
      <c r="AW2" s="3445"/>
    </row>
    <row r="3" spans="1:49">
      <c r="G3" s="3448" t="s">
        <v>6055</v>
      </c>
      <c r="H3" s="3448"/>
      <c r="I3" s="3448"/>
      <c r="J3" s="3448"/>
      <c r="K3" s="3448"/>
      <c r="L3" s="3448"/>
      <c r="M3" s="3448"/>
      <c r="N3" s="3448"/>
      <c r="O3" s="3448"/>
      <c r="P3" s="3448"/>
      <c r="Q3" s="3448"/>
      <c r="R3" s="3448"/>
      <c r="S3" s="3448"/>
      <c r="T3" s="3449"/>
      <c r="U3" s="3449"/>
      <c r="V3" s="3449"/>
      <c r="W3" s="3445"/>
      <c r="X3" s="3445"/>
      <c r="Y3" s="3445"/>
      <c r="Z3" s="3445"/>
      <c r="AA3" s="3445"/>
      <c r="AB3" s="3445"/>
      <c r="AC3" s="3445"/>
      <c r="AD3" s="3445"/>
      <c r="AE3" s="3445"/>
      <c r="AF3" s="3445"/>
      <c r="AG3" s="3450"/>
      <c r="AJ3" s="3451" t="s">
        <v>6056</v>
      </c>
      <c r="AK3" s="3452"/>
      <c r="AL3" s="3452"/>
      <c r="AM3" s="3452"/>
      <c r="AN3" s="3452"/>
      <c r="AO3" s="3452"/>
      <c r="AP3" s="3452"/>
      <c r="AQ3" s="3452"/>
      <c r="AR3" s="3452"/>
      <c r="AS3" s="3452"/>
      <c r="AT3" s="3452"/>
      <c r="AU3" s="3452"/>
      <c r="AV3" s="3453"/>
    </row>
    <row r="4" spans="1:49">
      <c r="G4" s="3448" t="s">
        <v>6057</v>
      </c>
      <c r="H4" s="3448"/>
      <c r="I4" s="3448"/>
      <c r="J4" s="3448"/>
      <c r="K4" s="3448"/>
      <c r="L4" s="3448"/>
      <c r="M4" s="3448"/>
      <c r="N4" s="3448"/>
      <c r="O4" s="3448"/>
      <c r="P4" s="3448"/>
      <c r="Q4" s="3448"/>
      <c r="R4" s="3448"/>
      <c r="S4" s="3448"/>
      <c r="T4" s="3449"/>
      <c r="U4" s="3449"/>
      <c r="V4" s="3449"/>
      <c r="W4" s="3445"/>
      <c r="X4" s="3445"/>
      <c r="Y4" s="3445"/>
      <c r="Z4" s="3445"/>
      <c r="AA4" s="3445"/>
      <c r="AB4" s="3445"/>
      <c r="AC4" s="3445"/>
      <c r="AD4" s="3445"/>
      <c r="AE4" s="3445"/>
      <c r="AF4" s="3445"/>
      <c r="AJ4" s="3454" t="s">
        <v>6058</v>
      </c>
      <c r="AK4" s="3455"/>
      <c r="AL4" s="3455"/>
      <c r="AM4" s="3455"/>
      <c r="AN4" s="3455"/>
      <c r="AO4" s="3455"/>
      <c r="AP4" s="3455"/>
      <c r="AQ4" s="3455"/>
      <c r="AR4" s="3455"/>
      <c r="AS4" s="3455"/>
      <c r="AT4" s="3455"/>
      <c r="AU4" s="3455"/>
      <c r="AV4" s="3456"/>
    </row>
    <row r="5" spans="1:49">
      <c r="G5" s="3448" t="s">
        <v>6059</v>
      </c>
      <c r="H5" s="3448"/>
      <c r="I5" s="3448"/>
      <c r="J5" s="3448"/>
      <c r="K5" s="3448"/>
      <c r="L5" s="3448"/>
      <c r="M5" s="3448"/>
      <c r="N5" s="3448"/>
      <c r="O5" s="3448"/>
      <c r="P5" s="3448"/>
      <c r="Q5" s="3448"/>
      <c r="R5" s="3448"/>
      <c r="S5" s="3448"/>
      <c r="T5" s="3449"/>
      <c r="U5" s="3449"/>
      <c r="V5" s="3449"/>
      <c r="W5" s="3445"/>
      <c r="X5" s="3445"/>
      <c r="Y5" s="3445"/>
      <c r="Z5" s="3445"/>
      <c r="AA5" s="3445"/>
      <c r="AB5" s="3445"/>
      <c r="AC5" s="3445"/>
      <c r="AD5" s="3445"/>
      <c r="AE5" s="3445"/>
      <c r="AF5" s="3445"/>
    </row>
    <row r="6" spans="1:49">
      <c r="A6" s="3457"/>
      <c r="B6" s="3457"/>
      <c r="C6" s="3457"/>
      <c r="D6" s="3457"/>
      <c r="E6" s="3457"/>
      <c r="F6" s="3457"/>
      <c r="G6" s="3457"/>
      <c r="H6" s="3457"/>
      <c r="I6" s="3457"/>
      <c r="J6" s="3457"/>
      <c r="K6" s="3457"/>
      <c r="L6" s="3457"/>
      <c r="M6" s="3457"/>
      <c r="N6" s="3457"/>
      <c r="O6" s="3457"/>
      <c r="P6" s="3457"/>
      <c r="Q6" s="3457"/>
      <c r="R6" s="3457"/>
      <c r="S6" s="3457"/>
      <c r="T6" s="3458"/>
      <c r="U6" s="3445"/>
      <c r="V6" s="3445"/>
      <c r="W6" s="3445"/>
      <c r="X6" s="3445"/>
      <c r="Y6" s="3445"/>
      <c r="Z6" s="3445"/>
      <c r="AA6" s="3445"/>
      <c r="AB6" s="3445"/>
      <c r="AC6" s="3445"/>
      <c r="AD6" s="3445"/>
      <c r="AE6" s="3445"/>
      <c r="AF6" s="3445"/>
      <c r="AG6" s="3445"/>
      <c r="AH6" s="3445"/>
      <c r="AI6" s="3445"/>
      <c r="AJ6" s="3445"/>
      <c r="AK6" s="3445"/>
      <c r="AL6" s="3445"/>
      <c r="AM6" s="3445"/>
      <c r="AN6" s="3445"/>
      <c r="AO6" s="3445"/>
      <c r="AP6" s="3445"/>
      <c r="AQ6" s="3445"/>
      <c r="AR6" s="3445"/>
      <c r="AS6" s="3445"/>
      <c r="AT6" s="3445"/>
      <c r="AU6" s="3445"/>
      <c r="AV6" s="3445"/>
      <c r="AW6" s="3445"/>
    </row>
    <row r="7" spans="1:49">
      <c r="A7" s="3459" t="s">
        <v>6060</v>
      </c>
      <c r="B7" s="3459"/>
      <c r="C7" s="3459"/>
      <c r="D7" s="3459"/>
      <c r="E7" s="3459"/>
      <c r="F7" s="3459"/>
      <c r="G7" s="3459"/>
      <c r="H7" s="3459"/>
      <c r="I7" s="3459"/>
      <c r="J7" s="3459"/>
      <c r="K7" s="3459"/>
      <c r="L7" s="3459"/>
      <c r="M7" s="3459"/>
      <c r="N7" s="3459"/>
      <c r="O7" s="3459"/>
      <c r="P7" s="3459"/>
      <c r="Q7" s="3459"/>
      <c r="R7" s="3459"/>
      <c r="S7" s="3459"/>
      <c r="T7" s="3459"/>
      <c r="U7" s="3459"/>
      <c r="V7" s="3459"/>
      <c r="W7" s="3459"/>
      <c r="X7" s="3459"/>
      <c r="Y7" s="3459"/>
      <c r="Z7" s="3459"/>
      <c r="AA7" s="3459"/>
      <c r="AB7" s="3459"/>
      <c r="AC7" s="3459"/>
      <c r="AD7" s="3459"/>
      <c r="AE7" s="3459"/>
      <c r="AF7" s="3459"/>
      <c r="AG7" s="3459"/>
      <c r="AH7" s="3459"/>
      <c r="AI7" s="3459"/>
      <c r="AJ7" s="3459"/>
      <c r="AK7" s="3459"/>
      <c r="AL7" s="3459"/>
      <c r="AM7" s="3459"/>
      <c r="AN7" s="3459"/>
      <c r="AO7" s="3459"/>
      <c r="AP7" s="3459"/>
      <c r="AQ7" s="3459"/>
      <c r="AR7" s="3459"/>
      <c r="AS7" s="3459"/>
      <c r="AT7" s="3459"/>
      <c r="AU7" s="3459"/>
      <c r="AV7" s="3459"/>
      <c r="AW7" s="3446"/>
    </row>
    <row r="8" spans="1:49">
      <c r="A8" s="3459" t="s">
        <v>6349</v>
      </c>
      <c r="B8" s="3459"/>
      <c r="C8" s="3459"/>
      <c r="D8" s="3459"/>
      <c r="E8" s="3459"/>
      <c r="F8" s="3459"/>
      <c r="G8" s="3459"/>
      <c r="H8" s="3459"/>
      <c r="I8" s="3459"/>
      <c r="J8" s="3459"/>
      <c r="K8" s="3459"/>
      <c r="L8" s="3459"/>
      <c r="M8" s="3459"/>
      <c r="N8" s="3459"/>
      <c r="O8" s="3459"/>
      <c r="P8" s="3459"/>
      <c r="Q8" s="3459"/>
      <c r="R8" s="3459"/>
      <c r="S8" s="3459"/>
      <c r="T8" s="3459"/>
      <c r="U8" s="3459"/>
      <c r="V8" s="3459"/>
      <c r="W8" s="3459"/>
      <c r="X8" s="3459"/>
      <c r="Y8" s="3459"/>
      <c r="Z8" s="3459"/>
      <c r="AA8" s="3459"/>
      <c r="AB8" s="3459"/>
      <c r="AC8" s="3459"/>
      <c r="AD8" s="3459"/>
      <c r="AE8" s="3459"/>
      <c r="AF8" s="3459"/>
      <c r="AG8" s="3459"/>
      <c r="AH8" s="3459"/>
      <c r="AI8" s="3459"/>
      <c r="AJ8" s="3459"/>
      <c r="AK8" s="3459"/>
      <c r="AL8" s="3459"/>
      <c r="AM8" s="3459"/>
      <c r="AN8" s="3459"/>
      <c r="AO8" s="3459"/>
      <c r="AP8" s="3459"/>
      <c r="AQ8" s="3459"/>
      <c r="AR8" s="3459"/>
      <c r="AS8" s="3459"/>
      <c r="AT8" s="3459"/>
      <c r="AU8" s="3459"/>
      <c r="AV8" s="3459"/>
      <c r="AW8" s="3460"/>
    </row>
    <row r="9" spans="1:49">
      <c r="A9" s="2302" t="str">
        <f ca="1">"ZA "&amp;PoslGod&amp;". GODINU"</f>
        <v>ZA 2025. GODINU</v>
      </c>
      <c r="B9" s="2302"/>
      <c r="C9" s="2302"/>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c r="AK9" s="2302"/>
      <c r="AL9" s="2302"/>
      <c r="AM9" s="2302"/>
      <c r="AN9" s="2302"/>
      <c r="AO9" s="2302"/>
      <c r="AP9" s="2302"/>
      <c r="AQ9" s="2302"/>
      <c r="AR9" s="2302"/>
      <c r="AS9" s="2302"/>
      <c r="AT9" s="2302"/>
      <c r="AU9" s="2302"/>
      <c r="AV9" s="2302"/>
      <c r="AW9" s="3446"/>
    </row>
    <row r="10" spans="1:49">
      <c r="A10" s="3461"/>
      <c r="B10" s="3461"/>
      <c r="C10" s="3461"/>
      <c r="D10" s="3461"/>
      <c r="E10" s="3461"/>
      <c r="F10" s="3461"/>
      <c r="G10" s="3461"/>
      <c r="H10" s="3461"/>
      <c r="I10" s="3461"/>
      <c r="J10" s="3461"/>
      <c r="K10" s="3461"/>
      <c r="L10" s="3461"/>
      <c r="M10" s="3461"/>
      <c r="N10" s="3461"/>
      <c r="O10" s="3461"/>
      <c r="P10" s="3461"/>
      <c r="Q10" s="3461"/>
      <c r="R10" s="3461"/>
      <c r="S10" s="3461"/>
      <c r="T10" s="3461"/>
      <c r="U10" s="3461"/>
      <c r="V10" s="3461"/>
      <c r="W10" s="3461"/>
      <c r="X10" s="3461"/>
      <c r="Y10" s="3461"/>
      <c r="Z10" s="3461"/>
      <c r="AA10" s="3461"/>
      <c r="AB10" s="3461"/>
      <c r="AC10" s="3461"/>
      <c r="AD10" s="3461"/>
      <c r="AE10" s="3461"/>
      <c r="AF10" s="3461"/>
      <c r="AG10" s="3461"/>
      <c r="AH10" s="3461"/>
      <c r="AI10" s="3461"/>
      <c r="AJ10" s="3461"/>
      <c r="AK10" s="3461"/>
      <c r="AL10" s="3461"/>
      <c r="AM10" s="3461"/>
      <c r="AN10" s="3461"/>
      <c r="AO10" s="3461"/>
      <c r="AP10" s="3461"/>
      <c r="AQ10" s="3461"/>
      <c r="AR10" s="3461"/>
      <c r="AS10" s="3461"/>
      <c r="AT10" s="3461"/>
      <c r="AU10" s="3461"/>
      <c r="AV10" s="3461"/>
      <c r="AW10" s="3446"/>
    </row>
    <row r="11" ht="19.5" customHeight="1" spans="1:49">
      <c r="A11" s="3462" t="s">
        <v>6062</v>
      </c>
      <c r="B11" s="3463"/>
      <c r="C11" s="3463"/>
      <c r="D11" s="3463"/>
      <c r="E11" s="3463"/>
      <c r="F11" s="3463"/>
      <c r="G11" s="3463"/>
      <c r="H11" s="3463"/>
      <c r="I11" s="3463"/>
      <c r="J11" s="3463"/>
      <c r="K11" s="3463"/>
      <c r="L11" s="3463"/>
      <c r="M11" s="3463"/>
      <c r="N11" s="3463"/>
      <c r="O11" s="3463"/>
      <c r="P11" s="3463"/>
      <c r="Q11" s="3463"/>
      <c r="R11" s="3463"/>
      <c r="S11" s="3463"/>
      <c r="T11" s="3463"/>
      <c r="U11" s="3463"/>
      <c r="V11" s="3463"/>
      <c r="W11" s="3463"/>
      <c r="X11" s="3463"/>
      <c r="Y11" s="3463"/>
      <c r="Z11" s="3463"/>
      <c r="AA11" s="3463"/>
      <c r="AB11" s="3463"/>
      <c r="AC11" s="3463"/>
      <c r="AD11" s="3463"/>
      <c r="AE11" s="3463"/>
      <c r="AF11" s="3463"/>
      <c r="AG11" s="3463"/>
      <c r="AH11" s="3463"/>
      <c r="AI11" s="3463"/>
      <c r="AJ11" s="3463"/>
      <c r="AK11" s="3463"/>
      <c r="AL11" s="3463"/>
      <c r="AM11" s="3463"/>
      <c r="AN11" s="3463"/>
      <c r="AO11" s="3463"/>
      <c r="AP11" s="3463"/>
      <c r="AQ11" s="3463"/>
      <c r="AR11" s="3463"/>
      <c r="AS11" s="3463"/>
      <c r="AT11" s="3463"/>
      <c r="AU11" s="3463"/>
      <c r="AV11" s="3464"/>
      <c r="AW11" s="3465"/>
    </row>
    <row r="12" ht="19.5" customHeight="1" spans="1:49">
      <c r="A12" s="3466"/>
      <c r="B12" s="3467"/>
      <c r="C12" s="3467"/>
      <c r="D12" s="3467"/>
      <c r="E12" s="3467"/>
      <c r="F12" s="3467"/>
      <c r="G12" s="3467"/>
      <c r="H12" s="3467"/>
      <c r="I12" s="3467"/>
      <c r="J12" s="3467"/>
      <c r="K12" s="3467"/>
      <c r="L12" s="3467"/>
      <c r="M12" s="3467"/>
      <c r="N12" s="3467"/>
      <c r="O12" s="3467"/>
      <c r="P12" s="3467"/>
      <c r="Q12" s="3467"/>
      <c r="R12" s="3467"/>
      <c r="S12" s="3467"/>
      <c r="T12" s="3467"/>
      <c r="U12" s="3467"/>
      <c r="V12" s="3467"/>
      <c r="W12" s="3467"/>
      <c r="X12" s="3467"/>
      <c r="Y12" s="3467"/>
      <c r="Z12" s="3467"/>
      <c r="AA12" s="3467"/>
      <c r="AB12" s="3467"/>
      <c r="AC12" s="3467"/>
      <c r="AD12" s="3467"/>
      <c r="AE12" s="3467"/>
      <c r="AF12" s="3467"/>
      <c r="AG12" s="3467"/>
      <c r="AH12" s="3467"/>
      <c r="AI12" s="3467"/>
      <c r="AJ12" s="3467"/>
      <c r="AK12" s="3467"/>
      <c r="AL12" s="3467"/>
      <c r="AM12" s="3467"/>
      <c r="AN12" s="3467"/>
      <c r="AO12" s="3467"/>
      <c r="AP12" s="3467"/>
      <c r="AQ12" s="3467"/>
      <c r="AR12" s="3467"/>
      <c r="AS12" s="3467"/>
      <c r="AT12" s="3467"/>
      <c r="AU12" s="3467"/>
      <c r="AV12" s="3468"/>
      <c r="AW12" s="3465"/>
    </row>
    <row r="13" ht="19.5" customHeight="1" spans="1:49">
      <c r="A13" s="3469"/>
      <c r="B13" s="3470"/>
      <c r="C13" s="3470"/>
      <c r="D13" s="3470"/>
      <c r="E13" s="3470"/>
      <c r="F13" s="3470"/>
      <c r="G13" s="3470"/>
      <c r="H13" s="3470"/>
      <c r="I13" s="3470"/>
      <c r="J13" s="3470"/>
      <c r="K13" s="3470"/>
      <c r="L13" s="3470"/>
      <c r="M13" s="3470"/>
      <c r="N13" s="3470"/>
      <c r="O13" s="3470"/>
      <c r="P13" s="3470"/>
      <c r="Q13" s="3470"/>
      <c r="R13" s="3470"/>
      <c r="S13" s="3470"/>
      <c r="T13" s="3470"/>
      <c r="U13" s="3470"/>
      <c r="V13" s="3470"/>
      <c r="W13" s="3470"/>
      <c r="X13" s="3470"/>
      <c r="Y13" s="3470"/>
      <c r="Z13" s="3470"/>
      <c r="AA13" s="3470"/>
      <c r="AB13" s="3470"/>
      <c r="AC13" s="3470"/>
      <c r="AD13" s="3470"/>
      <c r="AE13" s="3470"/>
      <c r="AF13" s="3470"/>
      <c r="AG13" s="3470"/>
      <c r="AH13" s="3470"/>
      <c r="AI13" s="3470"/>
      <c r="AJ13" s="3470"/>
      <c r="AK13" s="3470"/>
      <c r="AL13" s="3470"/>
      <c r="AM13" s="3470"/>
      <c r="AN13" s="3470"/>
      <c r="AO13" s="3470"/>
      <c r="AP13" s="3470"/>
      <c r="AQ13" s="3470"/>
      <c r="AR13" s="3470"/>
      <c r="AS13" s="3470"/>
      <c r="AT13" s="3470"/>
      <c r="AU13" s="3470"/>
      <c r="AV13" s="3471"/>
      <c r="AW13" s="3465"/>
    </row>
    <row r="14" spans="1:49">
      <c r="A14" s="3472"/>
      <c r="B14" s="3472"/>
      <c r="C14" s="3472"/>
      <c r="D14" s="3472"/>
      <c r="E14" s="3472"/>
      <c r="F14" s="3473"/>
      <c r="G14" s="3473"/>
      <c r="H14" s="3473"/>
      <c r="I14" s="3473"/>
      <c r="J14" s="3473"/>
      <c r="K14" s="3473"/>
      <c r="L14" s="3473"/>
      <c r="M14" s="3473"/>
      <c r="N14" s="3473"/>
      <c r="O14" s="3473"/>
      <c r="P14" s="3473"/>
      <c r="Q14" s="3473"/>
      <c r="R14" s="3473"/>
      <c r="S14" s="3473"/>
      <c r="T14" s="3473"/>
      <c r="U14" s="3473"/>
      <c r="V14" s="3473"/>
      <c r="W14" s="3473"/>
      <c r="X14" s="3473"/>
      <c r="Y14" s="3473"/>
      <c r="Z14" s="3473"/>
      <c r="AA14" s="3473"/>
      <c r="AB14" s="3473"/>
      <c r="AC14" s="3473"/>
      <c r="AD14" s="3473"/>
      <c r="AE14" s="3473"/>
      <c r="AF14" s="3473"/>
      <c r="AG14" s="3473"/>
      <c r="AH14" s="3473"/>
      <c r="AI14" s="3473"/>
      <c r="AJ14" s="3473"/>
      <c r="AK14" s="3473"/>
      <c r="AL14" s="3473"/>
      <c r="AM14" s="3473"/>
      <c r="AN14" s="3473"/>
      <c r="AO14" s="3473"/>
      <c r="AP14" s="3473"/>
      <c r="AQ14" s="3473"/>
      <c r="AR14" s="3473"/>
      <c r="AS14" s="3472"/>
      <c r="AT14" s="3472"/>
      <c r="AU14" s="3472"/>
      <c r="AV14" s="3472"/>
      <c r="AW14" s="3465"/>
    </row>
    <row r="15" spans="1:49">
      <c r="A15" s="3474"/>
      <c r="B15" s="3475"/>
      <c r="C15" s="3475"/>
      <c r="D15" s="3475"/>
      <c r="E15" s="3475"/>
      <c r="F15" s="3475"/>
      <c r="G15" s="3475"/>
      <c r="H15" s="3475"/>
      <c r="I15" s="3475"/>
      <c r="J15" s="3475"/>
      <c r="K15" s="3475"/>
      <c r="L15" s="3475"/>
      <c r="M15" s="3475"/>
      <c r="N15" s="3475"/>
      <c r="O15" s="3475"/>
      <c r="P15" s="3475"/>
      <c r="Q15" s="3475"/>
      <c r="R15" s="3475"/>
      <c r="S15" s="3475"/>
      <c r="T15" s="3475"/>
      <c r="U15" s="3475"/>
      <c r="V15" s="3475"/>
      <c r="W15" s="3475"/>
      <c r="X15" s="3475"/>
      <c r="Y15" s="3475"/>
      <c r="Z15" s="3475"/>
      <c r="AA15" s="3475"/>
      <c r="AB15" s="3475"/>
      <c r="AC15" s="3475"/>
      <c r="AD15" s="3475"/>
      <c r="AE15" s="3475"/>
      <c r="AF15" s="3475"/>
      <c r="AG15" s="3475"/>
      <c r="AH15" s="3475"/>
      <c r="AI15" s="3475"/>
      <c r="AJ15" s="3475"/>
      <c r="AK15" s="3475"/>
      <c r="AL15" s="3475"/>
      <c r="AM15" s="3475"/>
      <c r="AN15" s="3475"/>
      <c r="AO15" s="3475"/>
      <c r="AP15" s="3475"/>
      <c r="AQ15" s="3475"/>
      <c r="AR15" s="3475"/>
      <c r="AS15" s="3475"/>
      <c r="AT15" s="3475"/>
      <c r="AU15" s="3475"/>
      <c r="AV15" s="3475"/>
      <c r="AW15" s="3446"/>
    </row>
    <row r="16" ht="15" spans="1:49">
      <c r="A16" s="3476"/>
      <c r="B16" s="3476"/>
      <c r="C16" s="3476"/>
      <c r="D16" s="3476"/>
      <c r="E16" s="3476"/>
      <c r="F16" s="3476"/>
      <c r="G16" s="3476"/>
      <c r="H16" s="3476"/>
      <c r="I16" s="3476"/>
      <c r="J16" s="3476"/>
      <c r="K16" s="3476"/>
      <c r="L16" s="3476"/>
      <c r="M16" s="3476"/>
      <c r="N16" s="3476"/>
      <c r="O16" s="3476"/>
      <c r="P16" s="3476"/>
      <c r="Q16" s="3476"/>
      <c r="R16" s="3476"/>
      <c r="S16" s="3476"/>
      <c r="T16" s="3476"/>
      <c r="U16" s="3476"/>
      <c r="V16" s="3476"/>
      <c r="W16" s="3476"/>
      <c r="X16" s="3476"/>
      <c r="Y16" s="3476"/>
      <c r="Z16" s="3476"/>
      <c r="AA16" s="3476"/>
      <c r="AB16" s="3476"/>
      <c r="AC16" s="3476"/>
      <c r="AD16" s="3476"/>
      <c r="AE16" s="3476"/>
      <c r="AF16" s="3476"/>
      <c r="AG16" s="3476"/>
      <c r="AH16" s="3476"/>
      <c r="AI16" s="3476"/>
      <c r="AJ16" s="3476"/>
      <c r="AK16" s="3476"/>
      <c r="AL16" s="3476"/>
      <c r="AM16" s="3476"/>
      <c r="AN16" s="3476"/>
      <c r="AO16" s="3476"/>
      <c r="AP16" s="3476"/>
      <c r="AQ16" s="3476"/>
      <c r="AR16" s="3476"/>
      <c r="AS16" s="3476"/>
      <c r="AT16" s="3476"/>
      <c r="AU16" s="3476"/>
      <c r="AV16" s="3476"/>
      <c r="AW16" s="3477"/>
    </row>
    <row r="17" ht="15" spans="1:49">
      <c r="A17" s="3476"/>
      <c r="B17" s="3476"/>
      <c r="C17" s="3476"/>
      <c r="D17" s="3476"/>
      <c r="E17" s="3476"/>
      <c r="F17" s="3476"/>
      <c r="G17" s="3476"/>
      <c r="H17" s="3476"/>
      <c r="I17" s="3476"/>
      <c r="J17" s="3476"/>
      <c r="K17" s="3476"/>
      <c r="L17" s="3476"/>
      <c r="M17" s="3476"/>
      <c r="N17" s="3476"/>
      <c r="O17" s="3476"/>
      <c r="P17" s="3476"/>
      <c r="Q17" s="3476"/>
      <c r="R17" s="3476"/>
      <c r="S17" s="3476"/>
      <c r="T17" s="3476"/>
      <c r="U17" s="3476"/>
      <c r="V17" s="3476"/>
      <c r="W17" s="3476"/>
      <c r="X17" s="3476"/>
      <c r="Y17" s="3476"/>
      <c r="Z17" s="3476"/>
      <c r="AA17" s="3476"/>
      <c r="AB17" s="3476"/>
      <c r="AC17" s="3476"/>
      <c r="AD17" s="3476"/>
      <c r="AE17" s="3476"/>
      <c r="AF17" s="3476"/>
      <c r="AG17" s="3476"/>
      <c r="AH17" s="3476"/>
      <c r="AI17" s="3476"/>
      <c r="AJ17" s="3476"/>
      <c r="AK17" s="3476"/>
      <c r="AL17" s="3476"/>
      <c r="AM17" s="3476"/>
      <c r="AN17" s="3476"/>
      <c r="AO17" s="3476"/>
      <c r="AP17" s="3476"/>
      <c r="AQ17" s="3476"/>
      <c r="AR17" s="3476"/>
      <c r="AS17" s="3476"/>
      <c r="AT17" s="3476"/>
      <c r="AU17" s="3476"/>
      <c r="AV17" s="3476"/>
      <c r="AW17" s="3477"/>
    </row>
    <row r="18" ht="15.75" spans="1:49">
      <c r="A18" s="3460" t="s">
        <v>6063</v>
      </c>
      <c r="K18" s="3460"/>
      <c r="L18" s="3478"/>
      <c r="M18" s="3479" t="str">
        <f>Firma</f>
        <v>LILIUM ASSET MANAGEMENT d.o.o. Sarajevo</v>
      </c>
      <c r="N18" s="3478"/>
      <c r="O18" s="3478"/>
      <c r="P18" s="3478"/>
      <c r="Q18" s="3478"/>
      <c r="R18" s="3478"/>
      <c r="S18" s="3478"/>
      <c r="T18" s="3478"/>
      <c r="U18" s="3478"/>
      <c r="V18" s="3478"/>
      <c r="W18" s="3478"/>
      <c r="X18" s="3480"/>
      <c r="Y18" s="3480"/>
      <c r="Z18" s="3480"/>
      <c r="AA18" s="3480"/>
      <c r="AB18" s="3480"/>
      <c r="AC18" s="3480"/>
      <c r="AD18" s="3480"/>
      <c r="AE18" s="3480"/>
      <c r="AF18" s="3480"/>
      <c r="AG18" s="3480"/>
      <c r="AH18" s="3480"/>
      <c r="AI18" s="3480"/>
      <c r="AJ18" s="3480"/>
      <c r="AK18" s="3480"/>
      <c r="AL18" s="2211"/>
      <c r="AM18" s="2211"/>
      <c r="AN18" s="2211"/>
      <c r="AO18" s="3480"/>
      <c r="AP18" s="3480"/>
      <c r="AQ18" s="3480"/>
      <c r="AR18" s="3480"/>
      <c r="AS18" s="3480"/>
      <c r="AT18" s="3480"/>
      <c r="AU18" s="3480"/>
      <c r="AV18" s="3445"/>
    </row>
    <row r="19" spans="1:49">
      <c r="A19" s="3460"/>
      <c r="K19" s="3460"/>
      <c r="L19" s="3460"/>
      <c r="M19" s="3481"/>
      <c r="N19" s="3481"/>
      <c r="O19" s="3481"/>
      <c r="P19" s="3481"/>
      <c r="Q19" s="3481"/>
      <c r="R19" s="3481"/>
      <c r="S19" s="3481"/>
      <c r="T19" s="3481"/>
      <c r="U19" s="3481"/>
      <c r="V19" s="3481"/>
      <c r="W19" s="3481"/>
      <c r="X19" s="3482"/>
      <c r="Y19" s="3482"/>
      <c r="Z19" s="3482"/>
      <c r="AA19" s="3482"/>
      <c r="AB19" s="3482"/>
      <c r="AC19" s="3482"/>
      <c r="AD19" s="3482"/>
      <c r="AE19" s="3482"/>
      <c r="AF19" s="3482"/>
      <c r="AG19" s="3482"/>
      <c r="AH19" s="3482"/>
      <c r="AI19" s="3482"/>
      <c r="AJ19" s="3445"/>
      <c r="AK19" s="3445"/>
      <c r="AO19" s="3445"/>
      <c r="AP19" s="3445"/>
      <c r="AQ19" s="3445"/>
      <c r="AR19" s="3445"/>
      <c r="AS19" s="3445"/>
      <c r="AT19" s="3445"/>
      <c r="AU19" s="3445"/>
    </row>
    <row r="20" spans="1:49">
      <c r="A20" s="3460"/>
      <c r="B20" s="3478"/>
      <c r="C20" s="3478"/>
      <c r="D20" s="3478"/>
      <c r="E20" s="3478"/>
      <c r="F20" s="3478"/>
      <c r="G20" s="3478"/>
      <c r="H20" s="3478"/>
      <c r="I20" s="3478"/>
      <c r="J20" s="3478"/>
      <c r="K20" s="3478"/>
      <c r="L20" s="3478"/>
      <c r="M20" s="3478"/>
      <c r="N20" s="3478"/>
      <c r="O20" s="3478"/>
      <c r="P20" s="3478"/>
      <c r="Q20" s="3478"/>
      <c r="R20" s="3478"/>
      <c r="S20" s="3478"/>
      <c r="T20" s="3478"/>
      <c r="U20" s="3478"/>
      <c r="V20" s="3478"/>
      <c r="W20" s="3478"/>
      <c r="X20" s="3480"/>
      <c r="Y20" s="3480"/>
      <c r="Z20" s="3480"/>
      <c r="AA20" s="3480"/>
      <c r="AB20" s="3480"/>
      <c r="AC20" s="3480"/>
      <c r="AD20" s="3480"/>
      <c r="AE20" s="3480"/>
      <c r="AF20" s="3480"/>
      <c r="AG20" s="3480"/>
      <c r="AH20" s="3480"/>
      <c r="AI20" s="3480"/>
      <c r="AJ20" s="3480"/>
      <c r="AK20" s="3480"/>
      <c r="AL20" s="2211"/>
      <c r="AM20" s="2211"/>
      <c r="AN20" s="2211"/>
      <c r="AO20" s="3480"/>
      <c r="AP20" s="3480"/>
      <c r="AQ20" s="3480"/>
      <c r="AR20" s="3480"/>
      <c r="AS20" s="3480"/>
      <c r="AT20" s="3480"/>
      <c r="AU20" s="3480"/>
    </row>
    <row r="21" spans="1:49">
      <c r="A21" s="3460"/>
      <c r="B21" s="3460"/>
      <c r="C21" s="3460"/>
      <c r="D21" s="3460"/>
      <c r="E21" s="3460"/>
      <c r="F21" s="3460"/>
      <c r="G21" s="3460"/>
      <c r="H21" s="3460"/>
      <c r="I21" s="3460"/>
      <c r="J21" s="3460"/>
      <c r="K21" s="3460"/>
      <c r="L21" s="3460"/>
      <c r="M21" s="3460"/>
      <c r="N21" s="3460"/>
      <c r="O21" s="3460"/>
      <c r="P21" s="3460"/>
      <c r="Q21" s="3460"/>
      <c r="R21" s="3460"/>
      <c r="S21" s="3460"/>
      <c r="T21" s="3460"/>
      <c r="U21" s="3460"/>
      <c r="V21" s="3460"/>
      <c r="W21" s="3460"/>
      <c r="X21" s="3445"/>
      <c r="Y21" s="3445"/>
      <c r="Z21" s="3445"/>
      <c r="AA21" s="3445"/>
      <c r="AB21" s="3445"/>
      <c r="AC21" s="3445"/>
      <c r="AD21" s="3445"/>
      <c r="AE21" s="3445"/>
      <c r="AF21" s="3445"/>
      <c r="AG21" s="3445"/>
      <c r="AH21" s="3445"/>
      <c r="AI21" s="3445"/>
      <c r="AJ21" s="3445"/>
      <c r="AK21" s="3445"/>
      <c r="AO21" s="3445"/>
      <c r="AP21" s="3445"/>
      <c r="AQ21" s="3445"/>
      <c r="AR21" s="3445"/>
      <c r="AS21" s="3445"/>
      <c r="AT21" s="3445"/>
      <c r="AU21" s="3445"/>
    </row>
    <row r="22" spans="1:49">
      <c r="A22" s="3460"/>
      <c r="B22" s="3460"/>
      <c r="C22" s="3460"/>
      <c r="D22" s="3460"/>
      <c r="E22" s="3460"/>
      <c r="F22" s="3460"/>
      <c r="G22" s="3460"/>
      <c r="H22" s="3460"/>
      <c r="I22" s="3460"/>
      <c r="J22" s="3460"/>
      <c r="K22" s="3460"/>
      <c r="L22" s="3460"/>
      <c r="M22" s="3460"/>
      <c r="N22" s="3460"/>
      <c r="O22" s="3460"/>
      <c r="P22" s="3460"/>
      <c r="Q22" s="3460"/>
      <c r="R22" s="3460"/>
      <c r="S22" s="3460"/>
      <c r="T22" s="3460"/>
      <c r="U22" s="3460"/>
      <c r="V22" s="3460"/>
      <c r="W22" s="3460"/>
      <c r="X22" s="3445"/>
      <c r="Y22" s="3445"/>
      <c r="Z22" s="3445"/>
      <c r="AA22" s="3445"/>
      <c r="AB22" s="3445"/>
      <c r="AC22" s="3445"/>
      <c r="AD22" s="3445"/>
      <c r="AE22" s="3445"/>
      <c r="AF22" s="3445"/>
      <c r="AG22" s="3445"/>
      <c r="AH22" s="3445"/>
      <c r="AI22" s="3445"/>
      <c r="AJ22" s="3445"/>
      <c r="AK22" s="3445"/>
      <c r="AO22" s="3445"/>
      <c r="AP22" s="3445"/>
      <c r="AQ22" s="3445"/>
      <c r="AS22" s="3483"/>
      <c r="AT22" s="3483"/>
      <c r="AU22" s="3483"/>
    </row>
    <row r="23" ht="15" spans="1:49">
      <c r="A23" s="3460" t="s">
        <v>6064</v>
      </c>
      <c r="B23" s="3460"/>
      <c r="C23" s="3460"/>
      <c r="D23" s="3460"/>
      <c r="E23" s="3460"/>
      <c r="F23" s="3460"/>
      <c r="G23" s="3460"/>
      <c r="H23" s="3460"/>
      <c r="I23" s="3460"/>
      <c r="J23" s="3460"/>
      <c r="K23" s="3460"/>
      <c r="L23" s="3460"/>
      <c r="M23" s="3460"/>
      <c r="N23" s="3460"/>
      <c r="O23" s="3460"/>
      <c r="P23" s="3460"/>
      <c r="Q23" s="3460"/>
      <c r="R23" s="3460"/>
      <c r="S23" s="3460"/>
      <c r="T23"/>
      <c r="U23"/>
      <c r="V23"/>
      <c r="W23"/>
      <c r="X23"/>
      <c r="Y23"/>
      <c r="Z23"/>
      <c r="AA23"/>
      <c r="AB23"/>
      <c r="AC23"/>
      <c r="AD23"/>
      <c r="AE23"/>
      <c r="AF23"/>
      <c r="AG23"/>
      <c r="AH23" s="3484">
        <f>UnosPod!AA8</f>
        <v>4</v>
      </c>
      <c r="AI23" s="3484">
        <f>UnosPod!AB8</f>
        <v>2</v>
      </c>
      <c r="AJ23" s="3484">
        <f>UnosPod!AC8</f>
        <v>0</v>
      </c>
      <c r="AK23" s="3484">
        <f>UnosPod!AD8</f>
        <v>1</v>
      </c>
      <c r="AL23" s="3484">
        <f>UnosPod!AE8</f>
        <v>3</v>
      </c>
      <c r="AM23" s="3484">
        <f>UnosPod!AF8</f>
        <v>3</v>
      </c>
      <c r="AN23" s="3484">
        <f>UnosPod!AG8</f>
        <v>7</v>
      </c>
      <c r="AO23" s="3484">
        <f>UnosPod!AH8</f>
        <v>6</v>
      </c>
      <c r="AP23" s="3484">
        <f>UnosPod!AI8</f>
        <v>7</v>
      </c>
      <c r="AQ23" s="3484">
        <f>UnosPod!AJ8</f>
        <v>0</v>
      </c>
      <c r="AR23" s="3484">
        <f>UnosPod!AK8</f>
        <v>0</v>
      </c>
      <c r="AS23" s="3484">
        <f>UnosPod!AL8</f>
        <v>0</v>
      </c>
      <c r="AT23" s="3484">
        <f>UnosPod!AM8</f>
        <v>9</v>
      </c>
    </row>
    <row r="24" spans="1:49">
      <c r="A24" s="3460"/>
      <c r="B24" s="3460"/>
      <c r="C24" s="3460"/>
      <c r="D24" s="3460"/>
      <c r="E24" s="3460"/>
      <c r="F24" s="3460"/>
      <c r="G24" s="3460"/>
      <c r="H24" s="3460"/>
      <c r="I24" s="3460"/>
      <c r="J24" s="3460"/>
      <c r="K24" s="3460"/>
      <c r="L24" s="3460"/>
      <c r="M24" s="3460"/>
      <c r="N24" s="3460"/>
      <c r="O24" s="3460"/>
      <c r="P24" s="3460"/>
      <c r="Q24" s="3460"/>
      <c r="R24" s="3460"/>
      <c r="S24" s="3460"/>
      <c r="T24"/>
      <c r="U24"/>
      <c r="V24"/>
      <c r="W24"/>
      <c r="X24"/>
      <c r="Y24"/>
      <c r="Z24"/>
      <c r="AA24"/>
      <c r="AB24"/>
      <c r="AC24"/>
      <c r="AD24"/>
      <c r="AE24"/>
      <c r="AF24"/>
      <c r="AG24"/>
      <c r="AH24"/>
      <c r="AO24" s="3445"/>
      <c r="AP24" s="3445"/>
      <c r="AQ24" s="3445"/>
      <c r="AR24" s="3445"/>
      <c r="AS24" s="3445"/>
      <c r="AT24" s="3445"/>
      <c r="AU24" s="3445"/>
    </row>
    <row r="25" spans="1:49">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c r="A26" s="3460"/>
      <c r="B26" s="3460"/>
      <c r="C26" s="3460"/>
      <c r="D26" s="3460"/>
      <c r="E26" s="3460"/>
      <c r="F26" s="3460"/>
      <c r="G26" s="3460"/>
      <c r="H26" s="3460"/>
      <c r="I26" s="3460"/>
      <c r="J26" s="3460"/>
      <c r="K26" s="3460"/>
      <c r="L26" s="3460"/>
      <c r="M26" s="3460"/>
      <c r="N26" s="3460"/>
      <c r="O26" s="3460"/>
      <c r="P26" s="3460"/>
      <c r="Q26" s="3460"/>
      <c r="R26" s="3460"/>
      <c r="S26" s="3460"/>
      <c r="T26" s="3460"/>
      <c r="U26" s="3460"/>
      <c r="V26" s="3460"/>
      <c r="W26" s="3460"/>
      <c r="X26" s="3460"/>
      <c r="Y26" s="3460"/>
      <c r="Z26" s="3460"/>
      <c r="AA26" s="3460"/>
      <c r="AJ26" s="3485"/>
      <c r="AK26" s="3485"/>
      <c r="AO26" s="3445"/>
      <c r="AP26" s="3445"/>
      <c r="AQ26" s="3445"/>
      <c r="AR26" s="3445"/>
      <c r="AS26" s="3445"/>
      <c r="AT26" s="3445"/>
      <c r="AU26" s="3445"/>
    </row>
    <row r="27" ht="15" spans="1:49">
      <c r="A27" s="3460" t="s">
        <v>6065</v>
      </c>
      <c r="E27" s="2211"/>
      <c r="F27" s="2211"/>
      <c r="G27" s="3486" t="str">
        <f>UnosPod!F11</f>
        <v>Sarajevo</v>
      </c>
      <c r="H27" s="3487"/>
      <c r="I27" s="3487"/>
      <c r="J27" s="3478"/>
      <c r="K27" s="3478"/>
      <c r="L27" s="3478"/>
      <c r="M27" s="3478"/>
      <c r="N27" s="3478"/>
      <c r="O27" s="3478"/>
      <c r="P27" s="3478"/>
      <c r="Q27" s="3478"/>
      <c r="R27" s="3478"/>
      <c r="S27" s="3478"/>
      <c r="T27" s="3460"/>
      <c r="U27" s="3460"/>
      <c r="V27" s="3460"/>
      <c r="AH27" s="3460" t="s">
        <v>6066</v>
      </c>
      <c r="AI27" s="3445"/>
      <c r="AJ27" s="3445"/>
      <c r="AK27" s="3445"/>
      <c r="AL27" s="3486" t="str">
        <f>UnosPod!AT11</f>
        <v>Sarajevo-Stari Grad</v>
      </c>
      <c r="AM27" s="3487"/>
      <c r="AN27" s="2211"/>
      <c r="AO27" s="2211"/>
      <c r="AP27" s="2211"/>
      <c r="AQ27" s="2211"/>
      <c r="AR27" s="2211"/>
      <c r="AS27" s="2211"/>
      <c r="AT27" s="2211"/>
      <c r="AU27" s="3445"/>
    </row>
    <row r="28" ht="15" spans="1:49">
      <c r="A28" s="3460"/>
      <c r="B28" s="3460"/>
      <c r="C28" s="3460"/>
      <c r="D28" s="3460"/>
      <c r="E28" s="3460"/>
      <c r="F28" s="3460"/>
      <c r="G28" s="491"/>
      <c r="H28" s="491"/>
      <c r="I28" s="491"/>
      <c r="J28" s="3460"/>
      <c r="K28" s="3460"/>
      <c r="L28" s="3460"/>
      <c r="M28" s="3460"/>
      <c r="N28" s="3460"/>
      <c r="O28" s="3460"/>
      <c r="P28" s="3460"/>
      <c r="Q28" s="3460"/>
      <c r="R28" s="3460"/>
      <c r="S28" s="3460"/>
      <c r="T28" s="3460"/>
      <c r="U28" s="3460"/>
      <c r="V28" s="3460"/>
      <c r="W28" s="3460"/>
      <c r="X28" s="3445"/>
      <c r="Y28" s="3445"/>
      <c r="Z28" s="3445"/>
      <c r="AA28" s="3445"/>
      <c r="AB28" s="3445"/>
      <c r="AC28" s="3445"/>
      <c r="AD28" s="3445"/>
      <c r="AJ28" s="3445"/>
      <c r="AK28" s="3445"/>
      <c r="AL28" s="491"/>
      <c r="AM28" s="491"/>
      <c r="AO28" s="3445"/>
      <c r="AP28" s="3445"/>
      <c r="AQ28" s="3445"/>
      <c r="AR28" s="3445"/>
      <c r="AS28" s="3445"/>
      <c r="AT28" s="3445"/>
      <c r="AU28" s="3445"/>
    </row>
    <row r="29" ht="15" spans="1:49">
      <c r="A29" s="3460"/>
      <c r="B29" s="3460"/>
      <c r="C29" s="3460"/>
      <c r="D29" s="3460"/>
      <c r="E29" s="3460"/>
      <c r="F29" s="3460"/>
      <c r="G29" s="491"/>
      <c r="H29" s="491"/>
      <c r="I29" s="491"/>
      <c r="J29" s="3460"/>
      <c r="K29" s="3460"/>
      <c r="L29" s="3460"/>
      <c r="M29" s="3460"/>
      <c r="N29" s="3460"/>
      <c r="O29" s="3460"/>
      <c r="P29" s="3460"/>
      <c r="Q29" s="3460"/>
      <c r="R29" s="3460"/>
      <c r="S29" s="3460"/>
      <c r="T29" s="3460"/>
      <c r="U29" s="3460"/>
      <c r="V29" s="3460"/>
      <c r="W29" s="3460"/>
      <c r="X29" s="3445"/>
      <c r="Y29" s="3445"/>
      <c r="Z29" s="3445"/>
      <c r="AA29" s="3445"/>
      <c r="AB29" s="3445"/>
      <c r="AC29" s="3445"/>
      <c r="AD29" s="3445"/>
      <c r="AE29" s="3488"/>
      <c r="AF29" s="3445"/>
      <c r="AG29" s="3445"/>
      <c r="AH29" s="3445"/>
      <c r="AI29" s="3460"/>
      <c r="AJ29" s="3445"/>
      <c r="AK29" s="3445"/>
      <c r="AL29" s="491"/>
      <c r="AM29" s="491"/>
      <c r="AO29" s="3445"/>
      <c r="AP29" s="3445"/>
      <c r="AQ29" s="3445"/>
      <c r="AR29" s="3445"/>
      <c r="AS29" s="3445"/>
      <c r="AT29" s="3445"/>
      <c r="AU29" s="3445"/>
    </row>
    <row r="30" ht="15" spans="1:49">
      <c r="A30" s="3460" t="s">
        <v>6067</v>
      </c>
      <c r="F30" s="2211"/>
      <c r="G30" s="3486" t="str">
        <f>Adresa</f>
        <v>Dženetića čikma br.8</v>
      </c>
      <c r="H30" s="3487"/>
      <c r="I30" s="3487"/>
      <c r="J30" s="3478"/>
      <c r="K30" s="3478"/>
      <c r="L30" s="3478"/>
      <c r="M30" s="3478"/>
      <c r="N30" s="3478"/>
      <c r="O30" s="3478"/>
      <c r="P30" s="3478"/>
      <c r="Q30" s="3478"/>
      <c r="R30" s="3478"/>
      <c r="S30" s="3478"/>
      <c r="T30" s="3460"/>
      <c r="U30" s="3460"/>
      <c r="V30" s="3460"/>
      <c r="AH30" s="3460" t="s">
        <v>6068</v>
      </c>
      <c r="AI30" s="3445"/>
      <c r="AJ30" s="3445"/>
      <c r="AK30" s="3445"/>
      <c r="AL30" s="3486" t="str">
        <f>UnosPod!F15</f>
        <v>033/953-480</v>
      </c>
      <c r="AM30" s="3487"/>
      <c r="AN30" s="2211"/>
      <c r="AO30" s="2211"/>
      <c r="AP30" s="2211"/>
      <c r="AQ30" s="2211"/>
      <c r="AR30" s="2211"/>
      <c r="AS30" s="2211"/>
      <c r="AT30" s="2211"/>
      <c r="AU30" s="3483"/>
    </row>
    <row r="31" spans="1:49">
      <c r="AO31" s="3445"/>
      <c r="AP31" s="3445"/>
      <c r="AQ31" s="3445"/>
      <c r="AS31" s="3483"/>
      <c r="AT31" s="3483"/>
      <c r="AU31" s="3483"/>
    </row>
    <row r="32" spans="1:49">
      <c r="A32" s="3460"/>
      <c r="B32" s="3460"/>
      <c r="C32" s="3460"/>
      <c r="D32" s="3460"/>
      <c r="E32" s="3460"/>
      <c r="F32" s="3460"/>
      <c r="G32" s="3460"/>
      <c r="H32" s="3460"/>
      <c r="I32" s="3460"/>
      <c r="J32" s="3460"/>
      <c r="K32" s="3460"/>
      <c r="L32" s="3460"/>
      <c r="M32" s="3460"/>
      <c r="N32" s="3460"/>
      <c r="O32" s="3460"/>
      <c r="P32" s="3460"/>
      <c r="Q32" s="3460"/>
      <c r="R32" s="3460"/>
      <c r="S32" s="3460"/>
      <c r="T32" s="3460"/>
      <c r="U32" s="3460"/>
      <c r="V32" s="3460"/>
      <c r="W32" s="3460"/>
      <c r="X32" s="3445"/>
      <c r="Y32" s="3445"/>
      <c r="Z32" s="3445"/>
      <c r="AA32" s="3445"/>
      <c r="AB32" s="3445"/>
      <c r="AC32" s="3445"/>
      <c r="AD32" s="3445"/>
      <c r="AE32" s="3460"/>
      <c r="AF32" s="3460"/>
      <c r="AG32" s="3460"/>
      <c r="AH32" s="3460"/>
      <c r="AI32" s="3460"/>
      <c r="AJ32" s="3445"/>
      <c r="AK32" s="3445"/>
      <c r="AL32" s="3485"/>
      <c r="AM32" s="3445"/>
      <c r="AN32" s="3445"/>
      <c r="AO32" s="3445"/>
      <c r="AP32" s="3445"/>
      <c r="AQ32" s="3445"/>
      <c r="AS32" s="3483"/>
      <c r="AT32" s="3483"/>
      <c r="AU32" s="3483"/>
    </row>
    <row r="33" spans="1:49">
      <c r="A33" s="3460"/>
      <c r="B33" s="3460"/>
      <c r="C33" s="3460"/>
      <c r="D33" s="3460"/>
      <c r="E33" s="3460"/>
      <c r="F33" s="3460"/>
      <c r="G33" s="3460"/>
      <c r="H33" s="3460"/>
      <c r="I33" s="3460"/>
      <c r="J33" s="3460"/>
      <c r="K33" s="3460"/>
      <c r="L33" s="3460"/>
      <c r="M33" s="3460"/>
      <c r="N33" s="3460"/>
      <c r="O33" s="3460"/>
      <c r="P33" s="3460"/>
      <c r="Q33" s="3460"/>
      <c r="R33" s="3460"/>
      <c r="S33" s="3460"/>
      <c r="T33" s="3460"/>
      <c r="U33" s="3460"/>
      <c r="V33" s="3460"/>
      <c r="W33" s="3460"/>
      <c r="X33" s="3445"/>
      <c r="Y33" s="3445"/>
      <c r="Z33" s="3445"/>
      <c r="AA33" s="3445"/>
      <c r="AB33" s="3445"/>
      <c r="AC33" s="3445"/>
      <c r="AD33" s="3445"/>
      <c r="AE33" s="3460"/>
      <c r="AF33" s="3460"/>
      <c r="AG33" s="3460"/>
      <c r="AH33" s="3460"/>
      <c r="AI33" s="3460"/>
      <c r="AJ33" s="3445"/>
      <c r="AK33" s="3445"/>
      <c r="AL33" s="3485"/>
      <c r="AM33" s="3445"/>
      <c r="AN33" s="3445"/>
      <c r="AO33" s="3445"/>
      <c r="AP33" s="3445"/>
      <c r="AQ33" s="3445"/>
      <c r="AS33" s="3483"/>
      <c r="AT33" s="3483"/>
      <c r="AU33" s="3483"/>
    </row>
    <row r="34" spans="1:49">
      <c r="A34" s="3460"/>
      <c r="B34" s="3460"/>
      <c r="C34" s="3460"/>
      <c r="D34" s="3460"/>
      <c r="E34" s="3460"/>
      <c r="F34" s="3460"/>
      <c r="G34" s="3460"/>
      <c r="H34" s="3460"/>
      <c r="I34" s="3460"/>
      <c r="J34" s="3460"/>
      <c r="K34" s="3460"/>
      <c r="L34" s="3460"/>
      <c r="M34" s="3460"/>
      <c r="N34" s="3460"/>
      <c r="O34" s="3460"/>
      <c r="P34" s="3460"/>
      <c r="Q34" s="3460"/>
      <c r="R34" s="3460"/>
      <c r="S34" s="3460"/>
      <c r="T34" s="3460"/>
      <c r="U34" s="3460"/>
      <c r="V34" s="3460"/>
      <c r="W34" s="3460"/>
      <c r="X34" s="3445"/>
      <c r="Y34" s="3445"/>
      <c r="Z34" s="3445"/>
      <c r="AA34" s="3445"/>
      <c r="AB34" s="3445"/>
      <c r="AC34" s="3445"/>
      <c r="AD34" s="3445"/>
      <c r="AE34" s="3460"/>
      <c r="AF34" s="3460"/>
      <c r="AG34" s="3460"/>
      <c r="AH34" s="3460"/>
      <c r="AI34" s="3460"/>
      <c r="AJ34" s="3445"/>
      <c r="AK34" s="3445"/>
      <c r="AL34" s="3485"/>
      <c r="AM34" s="3445"/>
      <c r="AN34" s="3445"/>
      <c r="AO34" s="3445"/>
      <c r="AP34" s="3445"/>
      <c r="AQ34" s="3445"/>
      <c r="AS34" s="3483"/>
      <c r="AT34" s="3483"/>
      <c r="AU34" s="3483"/>
    </row>
    <row r="35" spans="1:49">
      <c r="A35" s="3460"/>
      <c r="B35" s="3460"/>
      <c r="C35" s="3460"/>
      <c r="D35" s="3460"/>
      <c r="E35" s="3460"/>
      <c r="F35" s="3460"/>
      <c r="G35" s="3460"/>
      <c r="H35" s="3460"/>
      <c r="I35" s="3460"/>
      <c r="J35" s="3460"/>
      <c r="K35" s="3460"/>
      <c r="L35" s="3460"/>
      <c r="M35" s="3460"/>
      <c r="N35" s="3460"/>
      <c r="O35" s="3460"/>
      <c r="P35" s="3460"/>
      <c r="Q35" s="3460"/>
      <c r="R35" s="3460"/>
      <c r="S35" s="3460"/>
      <c r="T35" s="3460"/>
      <c r="U35" s="3460"/>
      <c r="V35" s="3460"/>
      <c r="W35" s="3460"/>
      <c r="X35" s="3445"/>
      <c r="Y35" s="3445"/>
      <c r="Z35" s="3445"/>
      <c r="AA35" s="3445"/>
      <c r="AB35" s="3445"/>
      <c r="AC35" s="3445"/>
      <c r="AD35" s="3445"/>
      <c r="AE35" s="3460"/>
      <c r="AF35" s="3460"/>
      <c r="AG35" s="3460"/>
      <c r="AH35" s="3460"/>
      <c r="AI35" s="3460"/>
      <c r="AJ35" s="3445"/>
      <c r="AK35" s="3445"/>
      <c r="AL35" s="3485"/>
      <c r="AM35" s="3445"/>
      <c r="AN35" s="3445"/>
      <c r="AO35" s="3445"/>
      <c r="AP35" s="3445"/>
      <c r="AQ35" s="3445"/>
      <c r="AS35" s="3483"/>
      <c r="AT35" s="3483"/>
      <c r="AU35" s="3483"/>
    </row>
    <row r="36" ht="13.5" spans="1:49">
      <c r="A36" s="3460" t="s">
        <v>6069</v>
      </c>
      <c r="B36" s="3460"/>
      <c r="C36" s="3460"/>
      <c r="D36" s="3460"/>
      <c r="E36" s="3460"/>
      <c r="F36" s="3460"/>
      <c r="G36" s="3460"/>
      <c r="H36" s="3460"/>
      <c r="I36" s="3460"/>
      <c r="J36" s="3460"/>
      <c r="K36" s="3460"/>
      <c r="L36" s="3460"/>
      <c r="M36" s="3460"/>
      <c r="N36" s="3460"/>
      <c r="O36" s="3460"/>
      <c r="P36" s="3460"/>
      <c r="Q36" s="3460"/>
      <c r="R36" s="3460"/>
      <c r="S36" s="3460"/>
      <c r="T36" s="3460"/>
      <c r="U36" s="3460"/>
      <c r="V36" s="3460"/>
      <c r="W36" s="3460"/>
      <c r="X36" s="3480"/>
      <c r="Y36" s="3480"/>
      <c r="Z36" s="3480"/>
      <c r="AA36" s="3480"/>
      <c r="AB36" s="3480"/>
      <c r="AC36" s="3480"/>
      <c r="AD36" s="3480"/>
      <c r="AE36" s="3478"/>
      <c r="AF36" s="3478"/>
      <c r="AG36" s="3478"/>
      <c r="AH36" s="3478"/>
      <c r="AI36" s="3478"/>
      <c r="AJ36" s="3480"/>
      <c r="AK36" s="3480"/>
      <c r="AL36" s="3489"/>
      <c r="AM36" s="3480"/>
      <c r="AN36" s="3445"/>
      <c r="AO36" s="3445"/>
      <c r="AP36"/>
      <c r="AQ36"/>
      <c r="AR36" s="410"/>
      <c r="AS36" s="410"/>
      <c r="AT36" s="410"/>
      <c r="AU36" s="410"/>
      <c r="AV36"/>
    </row>
    <row r="37" spans="1:49">
      <c r="R37" s="3460"/>
      <c r="S37" s="3460"/>
      <c r="T37" s="3460"/>
      <c r="U37" s="3460"/>
      <c r="V37" s="3460"/>
      <c r="W37" s="3460"/>
      <c r="X37" s="3445"/>
      <c r="Y37" s="3445"/>
      <c r="Z37" s="3445"/>
      <c r="AA37" s="3445"/>
      <c r="AB37" s="3445"/>
      <c r="AC37" s="3445"/>
      <c r="AD37" s="3445"/>
      <c r="AE37" s="3445"/>
      <c r="AF37" s="3445"/>
      <c r="AG37" s="3445"/>
      <c r="AH37" s="3445"/>
      <c r="AI37" s="3445"/>
      <c r="AJ37" s="3445"/>
      <c r="AK37" s="3445"/>
      <c r="AL37" s="3445"/>
      <c r="AM37" s="3445"/>
      <c r="AN37" s="3482"/>
      <c r="AO37" s="3445"/>
      <c r="AP37"/>
      <c r="AQ37"/>
      <c r="AR37"/>
      <c r="AS37"/>
      <c r="AT37"/>
      <c r="AU37"/>
      <c r="AV37"/>
    </row>
    <row r="38" spans="1:49">
      <c r="A38" s="3490" t="s">
        <v>6070</v>
      </c>
      <c r="B38" s="3490"/>
      <c r="C38" s="3490"/>
      <c r="D38" s="3490"/>
      <c r="E38" s="3490"/>
      <c r="F38" s="3490"/>
      <c r="G38" s="3490"/>
      <c r="H38" s="3490"/>
      <c r="I38" s="3490"/>
      <c r="J38" s="3490"/>
      <c r="K38" s="3490"/>
      <c r="L38" s="3490"/>
      <c r="M38" s="3490"/>
      <c r="N38" s="3490"/>
      <c r="O38" s="3490"/>
      <c r="P38" s="3490"/>
      <c r="Q38" s="3490"/>
      <c r="R38" s="3490"/>
      <c r="S38" s="3490"/>
      <c r="T38" s="3490"/>
      <c r="U38" s="3490"/>
      <c r="V38" s="3490"/>
      <c r="W38" s="3490"/>
      <c r="X38" s="3490"/>
      <c r="Y38" s="3490"/>
      <c r="Z38" s="3490"/>
      <c r="AA38" s="3490"/>
      <c r="AB38" s="3490"/>
      <c r="AC38" s="3490"/>
      <c r="AD38" s="3490"/>
      <c r="AE38" s="3490"/>
      <c r="AF38" s="3490"/>
      <c r="AG38" s="3490"/>
      <c r="AH38" s="3490"/>
      <c r="AI38" s="3490"/>
      <c r="AJ38" s="3490"/>
      <c r="AK38" s="3490"/>
      <c r="AL38" s="3490"/>
      <c r="AM38" s="3490"/>
      <c r="AN38" s="3490"/>
      <c r="AO38" s="3490"/>
      <c r="AP38" s="3490"/>
      <c r="AQ38" s="3460"/>
      <c r="AR38" s="3460"/>
      <c r="AS38" s="3491"/>
      <c r="AT38" s="3460"/>
      <c r="AU38" s="3460"/>
      <c r="AV38" s="3445"/>
    </row>
    <row r="39" spans="1:49">
      <c r="A39" s="3490"/>
      <c r="B39" s="3490"/>
      <c r="C39" s="3490"/>
      <c r="D39" s="3490"/>
      <c r="E39" s="3490"/>
      <c r="F39" s="3490"/>
      <c r="G39" s="3490"/>
      <c r="H39" s="3490"/>
      <c r="I39" s="3490"/>
      <c r="J39" s="3490"/>
      <c r="K39" s="3490"/>
      <c r="L39" s="3490"/>
      <c r="M39" s="3490"/>
      <c r="N39" s="3490"/>
      <c r="O39" s="3490"/>
      <c r="P39" s="3490"/>
      <c r="Q39" s="3490"/>
      <c r="R39" s="3490"/>
      <c r="S39" s="3490"/>
      <c r="T39" s="3490"/>
      <c r="U39" s="3490"/>
      <c r="V39" s="3490"/>
      <c r="W39" s="3490"/>
      <c r="X39" s="3490"/>
      <c r="Y39" s="3490"/>
      <c r="Z39" s="3490"/>
      <c r="AA39" s="3490"/>
      <c r="AB39" s="3490"/>
      <c r="AC39" s="3490"/>
      <c r="AD39" s="3490"/>
      <c r="AE39" s="3490"/>
      <c r="AF39" s="3490"/>
      <c r="AG39" s="3490"/>
      <c r="AH39" s="3490"/>
      <c r="AI39" s="3490"/>
      <c r="AJ39" s="3490"/>
      <c r="AK39" s="3490"/>
      <c r="AL39" s="3490"/>
      <c r="AM39" s="3490"/>
      <c r="AN39" s="3490"/>
      <c r="AO39" s="3490"/>
      <c r="AP39" s="3490"/>
      <c r="AQ39" s="3460"/>
      <c r="AR39" s="3460"/>
      <c r="AS39" s="3491"/>
      <c r="AT39" s="3460"/>
      <c r="AU39" s="3460"/>
      <c r="AV39" s="3445"/>
    </row>
    <row r="40" spans="1:49">
      <c r="A40" s="3490"/>
      <c r="B40" s="3490"/>
      <c r="C40" s="3490"/>
      <c r="D40" s="3490"/>
      <c r="E40" s="3490"/>
      <c r="F40" s="3490"/>
      <c r="G40" s="3490"/>
      <c r="H40" s="3490"/>
      <c r="I40" s="3490"/>
      <c r="J40" s="3490"/>
      <c r="K40" s="3490"/>
      <c r="L40" s="3490"/>
      <c r="M40" s="3490"/>
      <c r="N40" s="3490"/>
      <c r="O40" s="3490"/>
      <c r="P40" s="3490"/>
      <c r="Q40" s="3490"/>
      <c r="R40" s="3490"/>
      <c r="S40" s="3490"/>
      <c r="T40" s="3490"/>
      <c r="U40" s="3490"/>
      <c r="V40" s="3490"/>
      <c r="W40" s="3490"/>
      <c r="X40" s="3490"/>
      <c r="Y40" s="3490"/>
      <c r="Z40" s="3490"/>
      <c r="AA40" s="3490"/>
      <c r="AB40" s="3490"/>
      <c r="AC40" s="3490"/>
      <c r="AD40" s="3490"/>
      <c r="AE40" s="3490"/>
      <c r="AF40" s="3490"/>
      <c r="AG40" s="3490"/>
      <c r="AH40" s="3490"/>
      <c r="AI40" s="3490"/>
      <c r="AJ40" s="3490"/>
      <c r="AK40" s="3490"/>
      <c r="AL40" s="3490"/>
      <c r="AM40" s="3490"/>
      <c r="AN40" s="3490"/>
      <c r="AO40" s="3490"/>
      <c r="AP40" s="3490"/>
      <c r="AQ40" s="3460"/>
      <c r="AR40" s="3460"/>
      <c r="AS40" s="3491"/>
      <c r="AT40" s="3460"/>
      <c r="AU40" s="3460"/>
      <c r="AV40" s="3445"/>
    </row>
    <row r="41" spans="1:49">
      <c r="A41" s="3492"/>
      <c r="B41" s="3492"/>
      <c r="C41" s="3492"/>
      <c r="D41" s="3492"/>
      <c r="E41" s="3492"/>
      <c r="F41" s="3492"/>
      <c r="G41" s="3492"/>
      <c r="H41" s="3492"/>
      <c r="I41" s="3492"/>
      <c r="J41" s="3492"/>
      <c r="K41" s="3492"/>
      <c r="L41" s="3492"/>
      <c r="M41" s="3492"/>
      <c r="N41" s="3492"/>
      <c r="O41" s="3492"/>
      <c r="P41" s="3492"/>
      <c r="Q41" s="3492"/>
      <c r="R41" s="3492"/>
      <c r="S41" s="3492"/>
      <c r="T41" s="3492"/>
      <c r="U41" s="3492"/>
      <c r="V41" s="3492"/>
      <c r="W41" s="3492"/>
      <c r="X41" s="3492"/>
      <c r="Y41" s="3492"/>
      <c r="Z41" s="3492"/>
      <c r="AA41" s="3492"/>
      <c r="AB41" s="3492"/>
      <c r="AC41" s="3492"/>
      <c r="AD41" s="3492"/>
      <c r="AE41" s="3492"/>
      <c r="AF41" s="3492"/>
      <c r="AG41" s="3492"/>
      <c r="AH41" s="3492"/>
      <c r="AI41" s="3492"/>
      <c r="AJ41" s="3492"/>
      <c r="AK41" s="3492"/>
      <c r="AL41" s="3492"/>
      <c r="AM41" s="3492"/>
      <c r="AN41" s="3492"/>
      <c r="AO41" s="3492"/>
      <c r="AP41" s="3492"/>
      <c r="AQ41" s="3460"/>
      <c r="AR41" s="3460"/>
      <c r="AS41" s="3491"/>
      <c r="AT41" s="3460"/>
      <c r="AU41" s="3460"/>
      <c r="AV41" s="3445"/>
    </row>
    <row r="42" spans="1:49">
      <c r="A42" s="3493"/>
      <c r="B42" s="3493"/>
      <c r="C42" s="3493"/>
      <c r="D42" s="3493"/>
      <c r="E42" s="3493"/>
      <c r="F42" s="3493"/>
      <c r="G42" s="3493"/>
      <c r="H42" s="3493"/>
      <c r="I42" s="3460"/>
      <c r="J42" s="3460"/>
      <c r="K42" s="3460"/>
      <c r="L42" s="3460"/>
      <c r="M42" s="3460"/>
      <c r="N42" s="3460"/>
      <c r="O42" s="3460"/>
      <c r="P42" s="3460"/>
      <c r="Q42" s="3460"/>
      <c r="R42" s="3460"/>
      <c r="S42" s="3460"/>
      <c r="T42" s="3460"/>
      <c r="U42" s="3460"/>
      <c r="V42" s="3460"/>
      <c r="W42" s="3460"/>
      <c r="X42" s="3445"/>
      <c r="Y42" s="3445"/>
      <c r="Z42" s="3445"/>
      <c r="AA42" s="3445"/>
      <c r="AB42" s="3445"/>
      <c r="AC42" s="3445"/>
      <c r="AJ42" s="3445"/>
      <c r="AK42" s="3445"/>
      <c r="AP42" s="3483"/>
      <c r="AQ42" s="3483"/>
      <c r="AR42" s="3483"/>
      <c r="AS42" s="3483"/>
      <c r="AT42" s="3483"/>
      <c r="AU42" s="3483"/>
      <c r="AV42" s="3483"/>
    </row>
    <row r="43" spans="1:49">
      <c r="A43" s="3460" t="s">
        <v>6071</v>
      </c>
      <c r="B43" s="3460"/>
      <c r="C43" s="3460"/>
      <c r="D43" s="3460"/>
      <c r="E43" s="3460"/>
      <c r="F43" s="3460"/>
      <c r="G43" s="3460"/>
      <c r="H43" s="3460"/>
      <c r="I43" s="3460"/>
      <c r="J43" s="3460"/>
      <c r="K43" s="3460"/>
      <c r="L43" s="3460"/>
      <c r="M43" s="3460"/>
      <c r="N43" s="3460"/>
      <c r="O43" s="3460"/>
      <c r="P43" s="3460"/>
      <c r="Q43" s="3460"/>
      <c r="R43" s="3460"/>
      <c r="S43" s="3460"/>
      <c r="T43" s="3460"/>
      <c r="U43" s="3460"/>
      <c r="V43" s="3460"/>
      <c r="W43" s="3445"/>
      <c r="Z43" s="324" t="s">
        <v>6072</v>
      </c>
      <c r="AV43" s="3445"/>
      <c r="AW43" s="3446"/>
    </row>
    <row r="44" spans="1:49">
      <c r="B44" s="3494" t="s">
        <v>6073</v>
      </c>
      <c r="C44" s="3460"/>
      <c r="D44" s="3460"/>
      <c r="E44" s="3460"/>
      <c r="F44" s="3460"/>
      <c r="G44" s="3460"/>
      <c r="H44" s="3460"/>
      <c r="I44" s="3460"/>
      <c r="J44" s="3460"/>
      <c r="K44" s="3460"/>
      <c r="L44" s="3460"/>
      <c r="M44" s="3460"/>
      <c r="N44" s="3460"/>
      <c r="O44" s="3460"/>
      <c r="P44" s="3460"/>
      <c r="Q44" s="3460"/>
      <c r="R44" s="3460"/>
      <c r="S44" s="3460"/>
      <c r="T44" s="3460"/>
      <c r="U44" s="3460"/>
      <c r="V44" s="3460"/>
      <c r="W44" s="3445"/>
      <c r="Z44" s="572" t="s">
        <v>6074</v>
      </c>
      <c r="AV44" s="3445"/>
      <c r="AW44" s="3446"/>
    </row>
    <row r="45" spans="1:49">
      <c r="A45" s="3445"/>
      <c r="B45" s="3460"/>
      <c r="C45" s="3460"/>
      <c r="D45" s="3460"/>
      <c r="E45" s="3460"/>
      <c r="F45" s="3460"/>
      <c r="G45" s="3460"/>
      <c r="H45" s="3460"/>
      <c r="I45" s="3460"/>
      <c r="J45" s="3460"/>
      <c r="K45" s="3460"/>
      <c r="L45" s="3460"/>
      <c r="M45" s="3460"/>
      <c r="N45" s="3460"/>
      <c r="O45" s="3460"/>
      <c r="P45" s="3460"/>
      <c r="Q45" s="3460"/>
      <c r="R45" s="3460"/>
      <c r="S45" s="3460"/>
      <c r="T45" s="3460"/>
      <c r="U45" s="3460"/>
      <c r="V45" s="3460"/>
      <c r="W45" s="3445"/>
      <c r="AV45" s="3445"/>
      <c r="AW45" s="3446"/>
    </row>
    <row r="46" spans="1:49">
      <c r="A46" s="3460" t="s">
        <v>6075</v>
      </c>
      <c r="B46" s="3460"/>
      <c r="C46" s="3460"/>
      <c r="D46" s="3460"/>
      <c r="E46" s="3460"/>
      <c r="F46" s="3460"/>
      <c r="G46" s="3460"/>
      <c r="H46" s="3460"/>
      <c r="I46" s="3460"/>
      <c r="J46" s="3460"/>
      <c r="K46" s="3460"/>
      <c r="L46" s="3460"/>
      <c r="M46" s="3460"/>
      <c r="N46" s="3460"/>
      <c r="O46" s="3460"/>
      <c r="P46" s="3460"/>
      <c r="Q46" s="3460"/>
      <c r="R46" s="3460"/>
      <c r="S46" s="3460"/>
      <c r="T46" s="3460"/>
      <c r="U46" s="3460"/>
      <c r="V46" s="3460"/>
      <c r="W46" s="3460">
        <v>1</v>
      </c>
      <c r="X46" s="3460"/>
      <c r="Y46" s="3460"/>
      <c r="Z46" s="3460"/>
      <c r="AA46" s="3460"/>
      <c r="AB46" s="3460"/>
      <c r="AC46" s="3460"/>
      <c r="AD46" s="3460"/>
      <c r="AE46" s="3460"/>
      <c r="AF46" s="3460"/>
      <c r="AG46" s="3460"/>
      <c r="AH46" s="3460"/>
      <c r="AI46" s="3460"/>
      <c r="AJ46" s="3460"/>
      <c r="AK46" s="3460"/>
      <c r="AL46" s="3460"/>
      <c r="AM46" s="3460"/>
      <c r="AN46" s="3460"/>
      <c r="AO46" s="3445"/>
      <c r="AP46" s="3445"/>
      <c r="AQ46" s="3445"/>
      <c r="AR46" s="3455"/>
      <c r="AS46" s="3455"/>
      <c r="AT46" s="3455"/>
      <c r="AU46" s="3455"/>
    </row>
    <row r="47" spans="1:49">
      <c r="A47" s="3460" t="s">
        <v>6076</v>
      </c>
      <c r="B47" s="3460"/>
      <c r="C47" s="3460"/>
      <c r="D47" s="3460"/>
      <c r="E47" s="3460"/>
      <c r="F47" s="3460"/>
      <c r="G47" s="3460"/>
      <c r="H47" s="3460"/>
      <c r="I47" s="3460"/>
      <c r="J47" s="3460"/>
      <c r="K47" s="3460"/>
      <c r="L47" s="3460"/>
      <c r="M47" s="3460"/>
      <c r="N47" s="3460"/>
      <c r="O47" s="3460"/>
      <c r="P47" s="3460"/>
      <c r="Q47" s="3460"/>
      <c r="R47" s="3460"/>
      <c r="S47" s="3460"/>
      <c r="T47" s="3460"/>
      <c r="U47" s="3460"/>
      <c r="V47" s="3460"/>
      <c r="W47" s="3495">
        <v>2</v>
      </c>
      <c r="X47" s="3460"/>
      <c r="Y47" s="3460"/>
      <c r="Z47" s="3481"/>
      <c r="AA47" s="3481"/>
      <c r="AB47" s="3481"/>
      <c r="AC47" s="3481"/>
      <c r="AD47" s="3481"/>
      <c r="AE47" s="3481"/>
      <c r="AF47" s="3481"/>
      <c r="AG47" s="3481"/>
      <c r="AH47" s="3481"/>
      <c r="AI47" s="3481"/>
      <c r="AJ47" s="3481"/>
      <c r="AK47" s="3482"/>
      <c r="AL47" s="3445"/>
      <c r="AM47" s="3445"/>
      <c r="AN47" s="3460"/>
      <c r="AO47" s="3460"/>
      <c r="AP47" s="3445"/>
      <c r="AQ47" s="3445"/>
      <c r="AR47" s="3445"/>
      <c r="AS47" s="3445"/>
      <c r="AT47" s="3445"/>
      <c r="AU47" s="3445"/>
    </row>
    <row r="48" spans="1:49">
      <c r="A48" s="3460" t="s">
        <v>6077</v>
      </c>
      <c r="B48" s="3460"/>
      <c r="C48" s="3460"/>
      <c r="D48" s="3460"/>
      <c r="E48" s="3460"/>
      <c r="F48" s="3460"/>
      <c r="G48" s="3460"/>
      <c r="H48" s="3460"/>
      <c r="I48" s="3460"/>
      <c r="J48" s="3460"/>
      <c r="K48" s="3460"/>
      <c r="L48" s="3460"/>
      <c r="M48" s="3460"/>
      <c r="N48" s="3460"/>
      <c r="O48" s="3460"/>
      <c r="P48" s="3460"/>
      <c r="Q48" s="3460"/>
      <c r="R48" s="3460"/>
      <c r="S48" s="3460"/>
      <c r="T48" s="3460"/>
      <c r="U48" s="3460"/>
      <c r="V48" s="3460"/>
      <c r="W48" s="3460">
        <v>3</v>
      </c>
      <c r="X48" s="3460"/>
      <c r="Y48" s="3460"/>
      <c r="Z48" s="3460"/>
      <c r="AA48" s="3460"/>
      <c r="AB48" s="3460"/>
      <c r="AC48" s="3460"/>
      <c r="AD48" s="3460"/>
      <c r="AE48" s="3460"/>
      <c r="AF48" s="3460"/>
      <c r="AG48" s="3460"/>
      <c r="AH48" s="3460"/>
      <c r="AI48" s="3460"/>
      <c r="AJ48" s="3460"/>
      <c r="AK48" s="3445"/>
      <c r="AL48" s="3445"/>
      <c r="AM48" s="3445"/>
      <c r="AN48" s="3460"/>
      <c r="AO48" s="3460"/>
      <c r="AP48" s="3445"/>
      <c r="AQ48" s="3445"/>
      <c r="AR48" s="3455"/>
      <c r="AS48" s="3455"/>
      <c r="AT48" s="3455"/>
      <c r="AU48" s="3455"/>
    </row>
    <row r="49" spans="1:49">
      <c r="A49" s="3460" t="s">
        <v>6078</v>
      </c>
      <c r="B49" s="3460"/>
      <c r="C49" s="3460"/>
      <c r="D49" s="3460"/>
      <c r="E49" s="3460"/>
      <c r="F49" s="3460"/>
      <c r="G49" s="3460"/>
      <c r="H49" s="3460"/>
      <c r="I49" s="3460"/>
      <c r="J49" s="3460"/>
      <c r="K49" s="3460"/>
      <c r="L49" s="3460"/>
      <c r="M49" s="3460"/>
      <c r="N49" s="3460"/>
      <c r="O49" s="3460"/>
      <c r="P49" s="3460"/>
      <c r="Q49" s="3460"/>
      <c r="R49" s="3460"/>
      <c r="S49" s="3460"/>
      <c r="T49" s="3460"/>
      <c r="U49" s="3460"/>
      <c r="V49" s="3460"/>
      <c r="W49" s="3460">
        <v>4</v>
      </c>
      <c r="X49" s="3460"/>
      <c r="Y49" s="3460"/>
      <c r="Z49" s="3481"/>
      <c r="AA49" s="3481"/>
      <c r="AB49" s="3481"/>
      <c r="AC49" s="3481"/>
      <c r="AD49" s="3481"/>
      <c r="AE49" s="3481"/>
      <c r="AF49" s="3481"/>
      <c r="AG49" s="3481"/>
      <c r="AH49" s="3481"/>
      <c r="AI49" s="3481"/>
      <c r="AJ49" s="3481"/>
      <c r="AK49" s="3482"/>
      <c r="AL49" s="3445"/>
      <c r="AM49" s="3445"/>
      <c r="AN49" s="3460"/>
      <c r="AO49" s="3460"/>
      <c r="AP49" s="3445"/>
      <c r="AQ49" s="3445"/>
      <c r="AR49" s="3482"/>
      <c r="AS49" s="3482"/>
      <c r="AT49" s="3482"/>
      <c r="AU49" s="3482"/>
    </row>
    <row r="50" spans="1:49">
      <c r="A50" s="3460" t="s">
        <v>6079</v>
      </c>
      <c r="B50" s="3460"/>
      <c r="C50" s="3460"/>
      <c r="D50" s="3460"/>
      <c r="E50" s="3460"/>
      <c r="F50" s="3460"/>
      <c r="G50" s="3460"/>
      <c r="H50" s="3460"/>
      <c r="I50" s="3460"/>
      <c r="J50" s="3460"/>
      <c r="K50" s="3460"/>
      <c r="L50" s="3460"/>
      <c r="M50" s="3460"/>
      <c r="N50" s="3460"/>
      <c r="O50" s="3460"/>
      <c r="P50" s="3460"/>
      <c r="Q50" s="3460"/>
      <c r="R50" s="3460"/>
      <c r="S50" s="3460"/>
      <c r="T50" s="3460"/>
      <c r="U50" s="3460"/>
      <c r="V50" s="3460"/>
      <c r="W50" s="3460">
        <v>5</v>
      </c>
      <c r="X50" s="3460"/>
      <c r="Y50" s="3460"/>
      <c r="Z50" s="3478"/>
      <c r="AA50" s="3478"/>
      <c r="AB50" s="3478"/>
      <c r="AC50" s="3478"/>
      <c r="AD50" s="3478"/>
      <c r="AE50" s="3478"/>
      <c r="AF50" s="3478"/>
      <c r="AG50" s="3478"/>
      <c r="AH50" s="3478"/>
      <c r="AI50" s="3478"/>
      <c r="AJ50" s="3478"/>
      <c r="AK50" s="3480"/>
      <c r="AL50" s="3445"/>
      <c r="AM50" s="3445"/>
      <c r="AN50" s="3460"/>
      <c r="AO50" s="3460"/>
      <c r="AP50" s="3445"/>
      <c r="AQ50" s="3445"/>
      <c r="AR50" s="3455"/>
      <c r="AS50" s="3455"/>
      <c r="AT50" s="3455"/>
      <c r="AU50" s="3455"/>
    </row>
    <row r="51" spans="1:49">
      <c r="A51" s="3460"/>
      <c r="B51" s="3460"/>
      <c r="C51" s="3460"/>
      <c r="D51" s="3460"/>
      <c r="E51" s="3460"/>
      <c r="F51" s="3460"/>
      <c r="G51" s="3460"/>
      <c r="H51" s="3460"/>
      <c r="I51" s="3460"/>
      <c r="J51" s="3460"/>
      <c r="K51" s="3460"/>
      <c r="L51" s="3460"/>
      <c r="M51" s="3460"/>
      <c r="N51" s="3460"/>
      <c r="O51" s="3460"/>
      <c r="P51" s="3460"/>
      <c r="Q51" s="3460"/>
      <c r="R51" s="3460"/>
      <c r="S51" s="3460"/>
      <c r="T51" s="3460"/>
      <c r="U51" s="3460"/>
      <c r="V51" s="3460"/>
      <c r="W51" s="3460"/>
      <c r="X51" s="3460"/>
      <c r="Y51" s="3460"/>
      <c r="AM51" s="3445"/>
      <c r="AN51" s="3460"/>
      <c r="AO51" s="3460"/>
      <c r="AP51" s="3445"/>
    </row>
    <row r="52" spans="1:49">
      <c r="A52" s="3460"/>
      <c r="B52" s="3460"/>
      <c r="C52" s="3460"/>
      <c r="D52" s="3460"/>
      <c r="E52" s="3460"/>
      <c r="F52" s="3460"/>
      <c r="G52" s="3460"/>
      <c r="H52" s="3460"/>
      <c r="I52" s="3460"/>
      <c r="J52" s="3460"/>
      <c r="K52" s="3460"/>
      <c r="L52" s="3460"/>
      <c r="M52" s="3460"/>
      <c r="N52" s="3460"/>
      <c r="O52" s="3460"/>
      <c r="P52" s="3460"/>
      <c r="Q52" s="3460"/>
      <c r="R52" s="3460"/>
      <c r="S52" s="3460"/>
      <c r="T52" s="3460"/>
      <c r="U52" s="3460"/>
      <c r="V52" s="3460"/>
      <c r="W52" s="3460"/>
      <c r="X52" s="3460"/>
      <c r="Y52" s="3460"/>
      <c r="AM52" s="3445"/>
      <c r="AN52" s="3460"/>
      <c r="AO52" s="3460"/>
      <c r="AP52" s="3445"/>
      <c r="AQ52" s="3445"/>
    </row>
    <row r="53" spans="1:49">
      <c r="A53" s="3460" t="str">
        <f ca="1">"7) Broj lokalnih jedinica na dan 31.12."&amp;PoslGod&amp;".  2)"</f>
        <v>7) Broj lokalnih jedinica na dan 31.12.2025.  2)</v>
      </c>
      <c r="B53" s="3460"/>
      <c r="C53" s="3460"/>
      <c r="D53" s="3460"/>
      <c r="E53" s="3460"/>
      <c r="F53" s="3460"/>
      <c r="G53" s="3460"/>
      <c r="H53" s="3460"/>
      <c r="I53" s="3460"/>
      <c r="J53" s="3460"/>
      <c r="K53" s="3460"/>
      <c r="L53" s="3460"/>
      <c r="M53" s="3460"/>
      <c r="N53" s="3460"/>
      <c r="O53" s="3460"/>
      <c r="P53" s="3460"/>
      <c r="Q53" s="3460"/>
      <c r="R53" s="3460"/>
      <c r="S53" s="3460"/>
      <c r="T53" s="3460"/>
      <c r="U53" s="3460"/>
      <c r="V53" s="3460"/>
      <c r="W53" s="3460"/>
      <c r="X53" s="3460"/>
      <c r="Y53" s="3460"/>
      <c r="Z53" s="3460"/>
      <c r="AA53" s="3460"/>
      <c r="AB53" s="3460"/>
      <c r="AC53" s="3460"/>
      <c r="AD53" s="3460"/>
      <c r="AE53" s="3460"/>
      <c r="AI53" s="3460"/>
      <c r="AJ53" s="3460"/>
      <c r="AK53" s="3460"/>
      <c r="AN53" s="3460"/>
      <c r="AO53" s="3460"/>
      <c r="AP53" s="3445"/>
      <c r="AQ53" s="3445"/>
      <c r="AR53" s="3445"/>
      <c r="AS53" s="3445"/>
      <c r="AT53" s="3859"/>
      <c r="AU53" s="3859"/>
    </row>
    <row r="54" spans="1:49">
      <c r="A54" s="3460"/>
      <c r="B54" s="3460"/>
      <c r="C54" s="3460"/>
      <c r="D54" s="3460"/>
      <c r="E54" s="3460"/>
      <c r="F54" s="3460"/>
      <c r="G54" s="3460"/>
      <c r="H54" s="3460"/>
      <c r="I54" s="3460"/>
      <c r="J54" s="3460"/>
      <c r="K54" s="3460"/>
      <c r="L54" s="3460"/>
      <c r="M54" s="3460"/>
      <c r="N54" s="3460"/>
      <c r="O54" s="3460"/>
      <c r="P54" s="3460"/>
      <c r="Q54" s="3460"/>
      <c r="R54" s="3460"/>
      <c r="S54" s="3460"/>
      <c r="T54" s="3460"/>
      <c r="U54" s="3460"/>
      <c r="V54" s="3460"/>
      <c r="W54" s="3460"/>
      <c r="X54" s="3460"/>
      <c r="Y54" s="3460"/>
      <c r="Z54" s="3460"/>
      <c r="AA54" s="3460"/>
      <c r="AB54" s="3460"/>
      <c r="AC54" s="3460"/>
      <c r="AD54" s="3460"/>
      <c r="AE54" s="3460"/>
      <c r="AI54" s="3460"/>
      <c r="AJ54" s="3460"/>
      <c r="AK54" s="3460"/>
      <c r="AN54" s="3460"/>
      <c r="AO54" s="3460"/>
      <c r="AP54" s="3445"/>
      <c r="AQ54" s="3445"/>
      <c r="AR54" s="3445"/>
      <c r="AS54" s="3445"/>
      <c r="AT54" s="3460"/>
      <c r="AU54" s="3460"/>
    </row>
    <row r="56" spans="1:49">
      <c r="A56" s="3460" t="s">
        <v>6080</v>
      </c>
      <c r="B56" s="3460"/>
      <c r="C56" s="3460"/>
      <c r="D56" s="3460"/>
      <c r="E56" s="3460"/>
      <c r="F56" s="3460"/>
      <c r="G56" s="3460"/>
      <c r="H56" s="3460"/>
      <c r="I56" s="3460"/>
      <c r="J56" s="3460"/>
      <c r="K56" s="3460"/>
      <c r="L56" s="3460"/>
      <c r="M56" s="3460"/>
      <c r="N56" s="3460"/>
      <c r="O56" s="3460"/>
      <c r="P56" s="3460"/>
      <c r="Q56" s="3460"/>
      <c r="R56" s="3460"/>
      <c r="S56" s="3460"/>
      <c r="T56" s="3460"/>
      <c r="U56" s="3460"/>
      <c r="V56" s="3460"/>
      <c r="W56" s="3460"/>
      <c r="X56" s="3460"/>
      <c r="Y56" s="3460"/>
      <c r="Z56" s="3460"/>
      <c r="AA56" s="3460"/>
      <c r="AB56" s="3460"/>
      <c r="AC56" s="3460"/>
      <c r="AD56" s="3460"/>
      <c r="AE56" s="3460"/>
      <c r="AF56" s="3460"/>
      <c r="AG56" s="3460"/>
      <c r="AH56" s="3460"/>
      <c r="AI56" s="3460"/>
      <c r="AJ56" s="3460"/>
      <c r="AK56" s="3460"/>
      <c r="AL56" s="3460"/>
      <c r="AM56" s="3460"/>
      <c r="AN56" s="3460"/>
      <c r="AO56" s="3445"/>
      <c r="AP56" s="3445"/>
      <c r="AQ56" s="3445"/>
      <c r="AR56" s="3445"/>
      <c r="AS56" s="3445"/>
      <c r="AT56" s="3445"/>
      <c r="AU56" s="3445"/>
      <c r="AV56" s="3445"/>
      <c r="AW56" s="324"/>
    </row>
    <row r="57" spans="1:49">
      <c r="A57" s="3494" t="s">
        <v>6081</v>
      </c>
      <c r="B57" s="3460"/>
      <c r="C57" s="3460"/>
      <c r="D57" s="3460"/>
      <c r="E57" s="3460"/>
      <c r="F57" s="3460"/>
      <c r="G57" s="3460"/>
      <c r="H57" s="3460"/>
      <c r="I57" s="3460"/>
      <c r="J57" s="3460"/>
      <c r="K57" s="3460"/>
      <c r="L57" s="3460"/>
      <c r="M57" s="3460"/>
      <c r="N57" s="3460"/>
      <c r="O57" s="3460"/>
      <c r="P57" s="3460"/>
      <c r="Q57" s="3460"/>
      <c r="R57" s="3460"/>
      <c r="S57" s="3460"/>
      <c r="T57" s="3460"/>
      <c r="U57" s="3460"/>
      <c r="V57" s="3460"/>
      <c r="W57" s="3460"/>
      <c r="X57" s="3460"/>
      <c r="Y57" s="3460"/>
      <c r="Z57" s="3460"/>
      <c r="AA57" s="3460"/>
      <c r="AB57" s="3460"/>
      <c r="AC57" s="3460"/>
      <c r="AD57" s="3460"/>
      <c r="AE57" s="3460"/>
      <c r="AF57" s="3460"/>
      <c r="AG57" s="3460"/>
      <c r="AH57" s="3460"/>
      <c r="AI57" s="3460"/>
      <c r="AJ57" s="3460"/>
      <c r="AK57" s="3460"/>
      <c r="AL57" s="3460"/>
      <c r="AM57" s="3460"/>
      <c r="AN57" s="3460"/>
      <c r="AO57" s="3445"/>
      <c r="AP57" s="3445"/>
      <c r="AQ57" s="3445"/>
      <c r="AR57" s="3445"/>
      <c r="AS57" s="3445"/>
      <c r="AT57" s="3445"/>
      <c r="AU57" s="3445"/>
      <c r="AV57" s="3445"/>
      <c r="AW57" s="324"/>
    </row>
    <row r="58" spans="1:49">
      <c r="A58" s="3460"/>
      <c r="B58" s="3460"/>
      <c r="C58" s="3460"/>
      <c r="D58" s="3460"/>
      <c r="E58" s="3460"/>
      <c r="F58" s="3460"/>
      <c r="G58" s="3460"/>
      <c r="H58" s="3460"/>
      <c r="I58" s="3460"/>
      <c r="J58" s="3460"/>
      <c r="K58" s="3445"/>
      <c r="L58" s="3445"/>
      <c r="M58" s="3445"/>
      <c r="N58" s="3445"/>
      <c r="O58" s="3445"/>
      <c r="P58" s="3460" t="s">
        <v>6082</v>
      </c>
      <c r="Q58" s="3460"/>
      <c r="R58" s="3460"/>
      <c r="S58" s="3460"/>
      <c r="T58" s="3460"/>
      <c r="U58" s="3460">
        <v>1</v>
      </c>
      <c r="V58" s="3460"/>
      <c r="W58" s="3460"/>
      <c r="X58" s="3460" t="s">
        <v>6083</v>
      </c>
      <c r="AF58" s="3460">
        <v>4</v>
      </c>
      <c r="AH58" s="3460"/>
      <c r="AI58" s="3460"/>
      <c r="AJ58" s="3460"/>
      <c r="AK58" s="3460"/>
      <c r="AL58" s="3460"/>
      <c r="AM58" s="3460"/>
      <c r="AN58" s="3460"/>
      <c r="AO58" s="3445"/>
      <c r="AP58" s="3445"/>
      <c r="AQ58" s="3445"/>
      <c r="AR58" s="3445"/>
      <c r="AS58" s="3445"/>
      <c r="AT58" s="3445"/>
      <c r="AU58" s="3445"/>
      <c r="AV58" s="3445"/>
      <c r="AW58" s="324"/>
    </row>
    <row r="59" spans="1:49">
      <c r="A59" s="3460"/>
      <c r="B59" s="3460"/>
      <c r="C59" s="3460"/>
      <c r="D59" s="3460"/>
      <c r="E59" s="3460"/>
      <c r="F59" s="3460"/>
      <c r="G59" s="3460"/>
      <c r="H59" s="3460"/>
      <c r="I59" s="3460"/>
      <c r="J59" s="3460"/>
      <c r="K59" s="3445"/>
      <c r="L59" s="3445"/>
      <c r="M59" s="3445"/>
      <c r="N59" s="3445"/>
      <c r="O59" s="3445"/>
      <c r="P59" s="3460" t="s">
        <v>6084</v>
      </c>
      <c r="Q59" s="3460"/>
      <c r="R59" s="3460"/>
      <c r="S59" s="3460"/>
      <c r="T59" s="3460"/>
      <c r="U59" s="3460">
        <v>2</v>
      </c>
      <c r="V59" s="3460"/>
      <c r="W59" s="3460"/>
      <c r="X59" s="3460" t="s">
        <v>6085</v>
      </c>
      <c r="Y59" s="3460"/>
      <c r="Z59" s="3460"/>
      <c r="AA59" s="3460"/>
      <c r="AB59" s="3460"/>
      <c r="AC59" s="3460"/>
      <c r="AD59" s="3460"/>
      <c r="AE59" s="3445"/>
      <c r="AF59" s="3460">
        <v>5</v>
      </c>
      <c r="AG59" s="3460"/>
      <c r="AH59" s="3445"/>
      <c r="AI59" s="3445"/>
      <c r="AJ59" s="3460" t="s">
        <v>6086</v>
      </c>
      <c r="AK59" s="3460"/>
      <c r="AL59" s="3460"/>
      <c r="AM59" s="3460"/>
      <c r="AN59" s="3460"/>
      <c r="AO59" s="3498"/>
      <c r="AP59" s="3498"/>
      <c r="AQ59" s="3445"/>
      <c r="AR59" s="3498">
        <v>2</v>
      </c>
      <c r="AS59" s="3498">
        <v>0</v>
      </c>
      <c r="AT59" s="3498">
        <v>2</v>
      </c>
      <c r="AU59" s="3498">
        <f>UnosPod!AH22-1</f>
        <v>5</v>
      </c>
      <c r="AW59" s="3445"/>
    </row>
    <row r="60" spans="1:49">
      <c r="A60" s="3460"/>
      <c r="B60" s="3460"/>
      <c r="C60" s="3460"/>
      <c r="D60" s="3460"/>
      <c r="E60" s="3460"/>
      <c r="F60" s="3460"/>
      <c r="G60" s="3460"/>
      <c r="H60" s="3460"/>
      <c r="I60" s="3460"/>
      <c r="J60" s="3460"/>
      <c r="K60" s="3445"/>
      <c r="L60" s="3445"/>
      <c r="M60" s="3445"/>
      <c r="N60" s="3445"/>
      <c r="O60" s="3445"/>
      <c r="P60" s="3460" t="s">
        <v>6087</v>
      </c>
      <c r="Q60" s="3460"/>
      <c r="R60" s="3460"/>
      <c r="S60" s="3460"/>
      <c r="T60" s="3460"/>
      <c r="U60" s="3460">
        <v>3</v>
      </c>
      <c r="V60" s="3460"/>
      <c r="W60" s="3460"/>
      <c r="X60" s="3460" t="s">
        <v>6088</v>
      </c>
      <c r="Y60" s="3460"/>
      <c r="Z60" s="3460"/>
      <c r="AA60" s="3460"/>
      <c r="AB60" s="3460"/>
      <c r="AC60" s="3460"/>
      <c r="AD60" s="3460"/>
      <c r="AE60" s="3445"/>
      <c r="AF60" s="3460">
        <v>6</v>
      </c>
      <c r="AG60" s="3460"/>
      <c r="AH60" s="3460"/>
      <c r="AI60" s="3460"/>
      <c r="AJ60" s="3460"/>
      <c r="AK60" s="3460"/>
      <c r="AL60" s="3460"/>
      <c r="AM60" s="3460"/>
      <c r="AN60" s="3460"/>
      <c r="AO60" s="3445" t="s">
        <v>6089</v>
      </c>
      <c r="AP60" s="3445"/>
      <c r="AQ60" s="3445"/>
      <c r="AR60" s="3452" t="s">
        <v>6090</v>
      </c>
      <c r="AS60" s="3452"/>
      <c r="AT60" s="3452"/>
      <c r="AU60" s="3452"/>
      <c r="AW60" s="3499"/>
    </row>
    <row r="61" spans="1:49">
      <c r="A61" s="3460"/>
      <c r="B61" s="3460"/>
      <c r="C61" s="3460"/>
      <c r="D61" s="3460"/>
      <c r="E61" s="3460"/>
      <c r="F61" s="3460"/>
      <c r="G61" s="3460"/>
      <c r="H61" s="3460"/>
      <c r="I61" s="3460"/>
      <c r="J61" s="3460"/>
      <c r="K61" s="3445"/>
      <c r="L61" s="3445"/>
      <c r="M61" s="3445"/>
      <c r="N61" s="3445"/>
      <c r="O61" s="3445"/>
      <c r="Q61" s="3460"/>
      <c r="R61" s="3460"/>
      <c r="S61" s="3460"/>
      <c r="T61" s="3460"/>
      <c r="V61" s="3460"/>
      <c r="W61" s="3460"/>
      <c r="X61" s="3460" t="s">
        <v>6091</v>
      </c>
      <c r="Y61" s="3460"/>
      <c r="Z61" s="3460"/>
      <c r="AA61" s="3460"/>
      <c r="AB61" s="3460"/>
      <c r="AC61" s="3460"/>
      <c r="AD61" s="3460"/>
      <c r="AE61" s="3445"/>
      <c r="AF61" s="3460">
        <v>7</v>
      </c>
      <c r="AG61" s="3460"/>
      <c r="AH61" s="3460"/>
      <c r="AI61" s="3460"/>
      <c r="AJ61" s="3460"/>
      <c r="AK61" s="3460"/>
      <c r="AL61" s="3460"/>
      <c r="AM61" s="3460"/>
      <c r="AN61" s="3460"/>
      <c r="AO61" s="3445"/>
      <c r="AP61" s="3445"/>
      <c r="AQ61" s="3445"/>
      <c r="AR61" s="3445"/>
      <c r="AS61" s="3483"/>
      <c r="AT61" s="3483"/>
      <c r="AU61" s="3483"/>
      <c r="AV61" s="3483"/>
      <c r="AW61" s="3445"/>
    </row>
    <row r="62" spans="1:49">
      <c r="A62" s="3460"/>
      <c r="B62" s="3460"/>
      <c r="C62" s="3460"/>
      <c r="D62" s="3460"/>
      <c r="E62" s="3460"/>
      <c r="F62" s="3460"/>
      <c r="G62" s="3460"/>
      <c r="H62" s="3460"/>
      <c r="I62" s="3460"/>
      <c r="J62" s="3460"/>
      <c r="K62" s="3445"/>
      <c r="L62" s="3445"/>
      <c r="M62" s="3445"/>
      <c r="N62" s="3445"/>
      <c r="O62" s="3445"/>
      <c r="P62" s="3460"/>
      <c r="Q62" s="3460"/>
      <c r="R62" s="3460"/>
      <c r="S62" s="3460"/>
      <c r="T62" s="3460"/>
      <c r="U62" s="3460"/>
      <c r="V62" s="3460"/>
      <c r="W62" s="3460"/>
      <c r="X62" s="3460"/>
      <c r="Y62" s="3460"/>
      <c r="Z62" s="3460"/>
      <c r="AA62" s="3460"/>
      <c r="AB62" s="3460"/>
      <c r="AC62" s="3460"/>
      <c r="AD62" s="3460"/>
      <c r="AE62" s="3445"/>
      <c r="AF62" s="3460"/>
      <c r="AG62" s="3460"/>
      <c r="AH62" s="3460"/>
      <c r="AI62" s="3460"/>
      <c r="AJ62" s="3460"/>
      <c r="AK62" s="3460"/>
      <c r="AL62" s="3460"/>
      <c r="AM62" s="3460"/>
      <c r="AN62" s="3460"/>
      <c r="AO62" s="3445"/>
      <c r="AP62" s="3445"/>
      <c r="AQ62" s="3445"/>
      <c r="AR62" s="3445"/>
      <c r="AS62" s="3483"/>
      <c r="AT62" s="3483"/>
      <c r="AU62" s="3483"/>
      <c r="AV62" s="3483"/>
      <c r="AW62" s="3445"/>
    </row>
    <row r="63" spans="1:49">
      <c r="A63" s="3460"/>
      <c r="B63" s="3460"/>
      <c r="C63" s="3460"/>
      <c r="D63" s="3460"/>
      <c r="E63" s="3460"/>
      <c r="F63" s="3460"/>
      <c r="G63" s="3460"/>
      <c r="H63" s="3460"/>
      <c r="I63" s="3460"/>
      <c r="J63" s="3460"/>
      <c r="K63" s="3445"/>
      <c r="L63" s="3445"/>
      <c r="M63" s="3445"/>
      <c r="N63" s="3445"/>
      <c r="O63" s="3445"/>
      <c r="P63" s="3460"/>
      <c r="Q63" s="3460"/>
      <c r="R63" s="3460"/>
      <c r="S63" s="3460"/>
      <c r="T63" s="3460"/>
      <c r="U63" s="3460"/>
      <c r="V63" s="3460"/>
      <c r="W63" s="3460"/>
      <c r="X63" s="3460"/>
      <c r="Y63" s="3460"/>
      <c r="Z63" s="3460"/>
      <c r="AA63" s="3460"/>
      <c r="AB63" s="3460"/>
      <c r="AC63" s="3460"/>
      <c r="AD63" s="3460"/>
      <c r="AE63" s="3445"/>
      <c r="AF63" s="3460"/>
      <c r="AG63" s="3460"/>
      <c r="AH63" s="3460"/>
      <c r="AI63" s="3460"/>
      <c r="AJ63" s="3460"/>
      <c r="AK63" s="3460"/>
      <c r="AL63" s="3460"/>
      <c r="AM63" s="3460"/>
      <c r="AN63" s="3460"/>
      <c r="AO63" s="3445"/>
      <c r="AP63" s="3445"/>
      <c r="AQ63" s="3445"/>
      <c r="AR63" s="3445"/>
      <c r="AS63" s="3483"/>
      <c r="AT63" s="3483"/>
      <c r="AU63" s="3483"/>
      <c r="AV63" s="3483"/>
      <c r="AW63" s="3445"/>
    </row>
    <row r="65" ht="13.5" spans="1:49">
      <c r="A65" s="3500" t="s">
        <v>6092</v>
      </c>
      <c r="B65" s="3500"/>
      <c r="C65" s="3500"/>
      <c r="D65" s="3500"/>
      <c r="E65" s="3500"/>
      <c r="F65" s="3500"/>
      <c r="G65" s="3500"/>
      <c r="H65" s="3500"/>
      <c r="I65" s="3500"/>
      <c r="J65" s="3500"/>
      <c r="K65" s="3500"/>
      <c r="L65" s="3500"/>
      <c r="M65" s="3500"/>
      <c r="N65" s="3500"/>
      <c r="O65" s="3500"/>
      <c r="P65" s="3500"/>
      <c r="Q65" s="3500"/>
      <c r="R65" s="3500"/>
      <c r="S65" s="3500"/>
      <c r="T65" s="3500"/>
      <c r="U65" s="3500"/>
      <c r="V65" s="3500"/>
      <c r="W65" s="3500"/>
      <c r="X65" s="3500"/>
      <c r="Y65" s="3500"/>
      <c r="Z65" s="3500"/>
      <c r="AA65" s="3500"/>
      <c r="AB65" s="3500"/>
      <c r="AC65" s="3500"/>
      <c r="AD65" s="3500"/>
      <c r="AE65" s="3500"/>
      <c r="AF65" s="3500"/>
      <c r="AG65" s="3500"/>
      <c r="AH65" s="3500"/>
      <c r="AI65" s="3500"/>
      <c r="AJ65" s="3500"/>
      <c r="AK65" s="3500"/>
      <c r="AL65" s="3500"/>
      <c r="AM65" s="3500"/>
      <c r="AN65" s="3500"/>
      <c r="AO65" s="3445"/>
      <c r="AP65" s="3445"/>
      <c r="AQ65" s="3445"/>
      <c r="AR65" s="3445"/>
      <c r="AS65" s="3445"/>
      <c r="AT65" s="3445"/>
      <c r="AU65" s="3445"/>
      <c r="AV65" s="3445"/>
      <c r="AW65" s="3445"/>
    </row>
    <row r="66" spans="1:49">
      <c r="A66" s="3501" t="s">
        <v>6093</v>
      </c>
      <c r="B66" s="3501"/>
      <c r="C66" s="3501"/>
      <c r="D66" s="3501"/>
      <c r="E66" s="3501"/>
      <c r="F66" s="3501"/>
      <c r="G66" s="3501"/>
      <c r="H66" s="3501"/>
      <c r="I66" s="3501"/>
      <c r="J66" s="3501"/>
      <c r="K66" s="3501"/>
      <c r="L66" s="3501"/>
      <c r="M66" s="3501"/>
      <c r="N66" s="3501"/>
      <c r="O66" s="3501"/>
      <c r="P66" s="3501"/>
      <c r="Q66" s="3501"/>
      <c r="R66" s="3501"/>
      <c r="S66" s="3501"/>
      <c r="T66" s="3501"/>
      <c r="U66" s="3501"/>
      <c r="V66" s="3501"/>
      <c r="W66" s="3501"/>
      <c r="X66" s="3501"/>
      <c r="Y66" s="3501"/>
      <c r="Z66" s="3501"/>
      <c r="AA66" s="3501"/>
      <c r="AB66" s="3501"/>
      <c r="AC66" s="3501"/>
      <c r="AD66" s="3501"/>
      <c r="AE66" s="3501"/>
      <c r="AF66" s="3501"/>
      <c r="AG66" s="3501"/>
      <c r="AH66" s="3501"/>
      <c r="AI66" s="3501"/>
      <c r="AJ66" s="3501"/>
      <c r="AK66" s="3501"/>
      <c r="AL66" s="3501"/>
      <c r="AM66" s="3501"/>
      <c r="AN66" s="3501"/>
      <c r="AO66" s="3501"/>
      <c r="AP66" s="3501"/>
      <c r="AQ66" s="3501"/>
      <c r="AR66" s="3501"/>
      <c r="AS66" s="3501"/>
      <c r="AT66" s="3501"/>
      <c r="AU66" s="3501"/>
      <c r="AV66" s="3501"/>
      <c r="AW66" s="3502"/>
    </row>
    <row r="67" spans="1:49">
      <c r="A67" s="3501"/>
      <c r="B67" s="3501"/>
      <c r="C67" s="3501"/>
      <c r="D67" s="3501"/>
      <c r="E67" s="3501"/>
      <c r="F67" s="3501"/>
      <c r="G67" s="3501"/>
      <c r="H67" s="3501"/>
      <c r="I67" s="3501"/>
      <c r="J67" s="3501"/>
      <c r="K67" s="3501"/>
      <c r="L67" s="3501"/>
      <c r="M67" s="3501"/>
      <c r="N67" s="3501"/>
      <c r="O67" s="3501"/>
      <c r="P67" s="3501"/>
      <c r="Q67" s="3501"/>
      <c r="R67" s="3501"/>
      <c r="S67" s="3501"/>
      <c r="T67" s="3501"/>
      <c r="U67" s="3501"/>
      <c r="V67" s="3501"/>
      <c r="W67" s="3501"/>
      <c r="X67" s="3501"/>
      <c r="Y67" s="3501"/>
      <c r="Z67" s="3501"/>
      <c r="AA67" s="3501"/>
      <c r="AB67" s="3501"/>
      <c r="AC67" s="3501"/>
      <c r="AD67" s="3501"/>
      <c r="AE67" s="3501"/>
      <c r="AF67" s="3501"/>
      <c r="AG67" s="3501"/>
      <c r="AH67" s="3501"/>
      <c r="AI67" s="3501"/>
      <c r="AJ67" s="3501"/>
      <c r="AK67" s="3501"/>
      <c r="AL67" s="3501"/>
      <c r="AM67" s="3501"/>
      <c r="AN67" s="3501"/>
      <c r="AO67" s="3501"/>
      <c r="AP67" s="3501"/>
      <c r="AQ67" s="3501"/>
      <c r="AR67" s="3501"/>
      <c r="AS67" s="3501"/>
      <c r="AT67" s="3501"/>
      <c r="AU67" s="3501"/>
      <c r="AV67" s="3501"/>
      <c r="AW67" s="3502"/>
    </row>
    <row r="68" spans="1:49">
      <c r="A68" s="3503" t="s">
        <v>6094</v>
      </c>
      <c r="B68" s="3504"/>
      <c r="C68" s="3504"/>
      <c r="D68" s="2297"/>
      <c r="E68" s="2297"/>
      <c r="F68" s="2297"/>
      <c r="G68" s="2297"/>
      <c r="H68" s="2297"/>
      <c r="I68" s="2297"/>
      <c r="J68" s="2297"/>
      <c r="K68" s="2297"/>
      <c r="L68" s="2297"/>
      <c r="M68" s="2297"/>
      <c r="N68" s="2297"/>
      <c r="O68" s="2297"/>
      <c r="P68" s="2297"/>
      <c r="Q68" s="2297"/>
      <c r="R68" s="2297"/>
      <c r="S68" s="2297"/>
      <c r="T68" s="2297"/>
      <c r="U68" s="2297"/>
      <c r="V68" s="2297"/>
      <c r="W68" s="2297"/>
      <c r="X68" s="2297"/>
      <c r="Y68" s="2297"/>
      <c r="Z68" s="2297"/>
      <c r="AA68" s="2297"/>
      <c r="AB68" s="2297"/>
      <c r="AC68" s="2297"/>
      <c r="AD68" s="2297"/>
      <c r="AE68" s="2297"/>
      <c r="AF68" s="2297"/>
      <c r="AG68" s="2297"/>
      <c r="AH68" s="2297"/>
      <c r="AI68" s="2297"/>
      <c r="AJ68" s="2297"/>
      <c r="AK68" s="2297"/>
      <c r="AL68" s="2297"/>
      <c r="AM68" s="2297"/>
      <c r="AN68" s="2297"/>
      <c r="AO68" s="2297"/>
      <c r="AP68" s="2297"/>
      <c r="AQ68" s="2297"/>
      <c r="AR68" s="2297"/>
      <c r="AS68" s="2297"/>
      <c r="AT68" s="2297"/>
      <c r="AU68" s="2297"/>
      <c r="AV68" s="3504"/>
      <c r="AW68" s="3445"/>
    </row>
    <row r="69" spans="1:49">
      <c r="A69" s="2178"/>
      <c r="B69" s="578"/>
      <c r="C69" s="578"/>
      <c r="AV69" s="578"/>
      <c r="AW69" s="3445"/>
    </row>
    <row r="70" spans="1:49">
      <c r="A70" s="2178"/>
      <c r="B70" s="578"/>
      <c r="C70" s="578"/>
      <c r="AV70" s="578"/>
      <c r="AW70" s="3445"/>
    </row>
    <row r="71" spans="1:49">
      <c r="A71" s="2178"/>
      <c r="B71" s="578"/>
      <c r="C71" s="578"/>
      <c r="AV71" s="578"/>
      <c r="AW71" s="3445"/>
    </row>
    <row r="72" ht="13.5" spans="1:49">
      <c r="A72" s="3505" t="s">
        <v>6095</v>
      </c>
      <c r="B72" s="3505"/>
      <c r="C72" s="3505"/>
      <c r="D72" s="3505"/>
      <c r="E72" s="3505"/>
      <c r="F72" s="3505"/>
      <c r="G72" s="3505"/>
      <c r="H72" s="3505"/>
      <c r="I72" s="3505"/>
      <c r="J72" s="3505"/>
      <c r="K72" s="3505"/>
      <c r="L72" s="3505"/>
      <c r="M72" s="3505"/>
      <c r="N72" s="3505"/>
      <c r="O72" s="3505"/>
      <c r="P72" s="3505"/>
      <c r="Q72" s="3505"/>
      <c r="R72" s="3505"/>
      <c r="S72" s="3505"/>
      <c r="T72" s="3505"/>
      <c r="U72" s="3505"/>
      <c r="V72" s="3505"/>
      <c r="W72" s="3505"/>
      <c r="X72" s="3505"/>
      <c r="Y72" s="3505"/>
      <c r="Z72" s="3505"/>
      <c r="AA72" s="3505"/>
      <c r="AB72" s="3505"/>
      <c r="AC72" s="3505"/>
      <c r="AD72" s="3505"/>
      <c r="AE72" s="3505"/>
      <c r="AF72" s="3505"/>
      <c r="AG72" s="3505"/>
      <c r="AH72" s="3505"/>
      <c r="AI72" s="3505"/>
      <c r="AJ72" s="3505"/>
      <c r="AK72" s="3505"/>
      <c r="AL72" s="3505"/>
      <c r="AM72" s="3505"/>
      <c r="AN72" s="3505"/>
      <c r="AO72" s="3499"/>
      <c r="AP72" s="3499"/>
      <c r="AQ72" s="3499"/>
      <c r="AR72" s="3499"/>
      <c r="AS72" s="3499"/>
      <c r="AT72" s="3499"/>
      <c r="AU72" s="3499"/>
      <c r="AV72" s="3499"/>
    </row>
    <row r="73" ht="16.5" customHeight="1" spans="1:49">
      <c r="A73" s="3506" t="s">
        <v>6096</v>
      </c>
      <c r="B73" s="3506"/>
      <c r="C73" s="3507" t="s">
        <v>6097</v>
      </c>
      <c r="D73" s="3507"/>
      <c r="E73" s="3507"/>
      <c r="F73" s="3507"/>
      <c r="G73" s="3507"/>
      <c r="H73" s="3507"/>
      <c r="I73" s="3507"/>
      <c r="J73" s="3507"/>
      <c r="K73" s="3507"/>
      <c r="L73" s="3507"/>
      <c r="M73" s="3507"/>
      <c r="N73" s="3507"/>
      <c r="O73" s="3507"/>
      <c r="P73" s="3507"/>
      <c r="Q73" s="3507"/>
      <c r="R73" s="3507"/>
      <c r="S73" s="3507"/>
      <c r="T73" s="3507"/>
      <c r="U73" s="3507"/>
      <c r="V73" s="3507"/>
      <c r="W73" s="3507"/>
      <c r="X73" s="3507"/>
      <c r="Y73" s="3507"/>
      <c r="Z73" s="3507"/>
      <c r="AA73" s="3507"/>
      <c r="AB73" s="3507"/>
      <c r="AC73" s="3507"/>
      <c r="AD73" s="3507"/>
      <c r="AE73" s="3508" t="s">
        <v>6098</v>
      </c>
      <c r="AF73" s="3508"/>
      <c r="AG73" s="3508"/>
      <c r="AH73" s="3508"/>
      <c r="AI73" s="3508"/>
      <c r="AJ73" s="3508"/>
      <c r="AK73" s="3509" t="s">
        <v>6099</v>
      </c>
      <c r="AL73" s="3509"/>
      <c r="AM73" s="3509"/>
      <c r="AN73" s="3509"/>
      <c r="AO73" s="3510" t="s">
        <v>6100</v>
      </c>
      <c r="AP73" s="3511"/>
      <c r="AQ73" s="3511"/>
      <c r="AR73" s="3511"/>
      <c r="AS73" s="3511"/>
      <c r="AT73" s="3511"/>
      <c r="AU73" s="3511"/>
      <c r="AV73" s="3512"/>
    </row>
    <row r="74" spans="1:49">
      <c r="A74" s="3513">
        <v>1</v>
      </c>
      <c r="B74" s="3514"/>
      <c r="C74" s="3515" t="s">
        <v>6101</v>
      </c>
      <c r="D74" s="3515"/>
      <c r="E74" s="3515"/>
      <c r="F74" s="3515"/>
      <c r="G74" s="3515"/>
      <c r="H74" s="3515"/>
      <c r="I74" s="3515"/>
      <c r="J74" s="3515"/>
      <c r="K74" s="3515"/>
      <c r="L74" s="3515"/>
      <c r="M74" s="3515"/>
      <c r="N74" s="3515"/>
      <c r="O74" s="3515"/>
      <c r="P74" s="3515"/>
      <c r="Q74" s="3515"/>
      <c r="R74" s="3515"/>
      <c r="S74" s="3515"/>
      <c r="T74" s="3515"/>
      <c r="U74" s="3515"/>
      <c r="V74" s="3515"/>
      <c r="W74" s="3515"/>
      <c r="X74" s="3515"/>
      <c r="Y74" s="3515"/>
      <c r="Z74" s="3515"/>
      <c r="AA74" s="3515"/>
      <c r="AB74" s="3515"/>
      <c r="AC74" s="3515"/>
      <c r="AD74" s="3515"/>
      <c r="AE74" s="3860" t="s">
        <v>6102</v>
      </c>
      <c r="AF74" s="3860"/>
      <c r="AG74" s="3860"/>
      <c r="AH74" s="3860"/>
      <c r="AI74" s="3860"/>
      <c r="AJ74" s="3860"/>
      <c r="AK74" s="3519">
        <v>61</v>
      </c>
      <c r="AL74" s="3519"/>
      <c r="AM74" s="3519"/>
      <c r="AN74" s="3519"/>
      <c r="AO74" s="3520">
        <f>UnosPod!F137</f>
        <v>0</v>
      </c>
      <c r="AP74" s="3521"/>
      <c r="AQ74" s="3521"/>
      <c r="AR74" s="3521"/>
      <c r="AS74" s="3521"/>
      <c r="AT74" s="3521"/>
      <c r="AU74" s="3521"/>
      <c r="AV74" s="3522"/>
    </row>
    <row r="75" spans="1:49">
      <c r="A75" s="3513">
        <v>2</v>
      </c>
      <c r="B75" s="3514"/>
      <c r="C75" s="3564" t="s">
        <v>6103</v>
      </c>
      <c r="D75" s="3564"/>
      <c r="E75" s="3564"/>
      <c r="F75" s="3564"/>
      <c r="G75" s="3564"/>
      <c r="H75" s="3564"/>
      <c r="I75" s="3564"/>
      <c r="J75" s="3564"/>
      <c r="K75" s="3564"/>
      <c r="L75" s="3564"/>
      <c r="M75" s="3564"/>
      <c r="N75" s="3564"/>
      <c r="O75" s="3564"/>
      <c r="P75" s="3564"/>
      <c r="Q75" s="3564"/>
      <c r="R75" s="3564"/>
      <c r="S75" s="3564"/>
      <c r="T75" s="3564"/>
      <c r="U75" s="3564"/>
      <c r="V75" s="3564"/>
      <c r="W75" s="3564"/>
      <c r="X75" s="3564"/>
      <c r="Y75" s="3564"/>
      <c r="Z75" s="3564"/>
      <c r="AA75" s="3564"/>
      <c r="AB75" s="3564"/>
      <c r="AC75" s="3564"/>
      <c r="AD75" s="3564"/>
      <c r="AE75" s="3860" t="s">
        <v>6104</v>
      </c>
      <c r="AF75" s="3860"/>
      <c r="AG75" s="3860"/>
      <c r="AH75" s="3860"/>
      <c r="AI75" s="3860"/>
      <c r="AJ75" s="3860"/>
      <c r="AK75" s="3519">
        <v>62</v>
      </c>
      <c r="AL75" s="3519"/>
      <c r="AM75" s="3519"/>
      <c r="AN75" s="3519"/>
      <c r="AO75" s="3520">
        <f>UnosPod!F151</f>
        <v>245707</v>
      </c>
      <c r="AP75" s="3521"/>
      <c r="AQ75" s="3521"/>
      <c r="AR75" s="3521"/>
      <c r="AS75" s="3521"/>
      <c r="AT75" s="3521"/>
      <c r="AU75" s="3521"/>
      <c r="AV75" s="3522"/>
    </row>
    <row r="76" spans="1:49">
      <c r="A76" s="3513">
        <v>3</v>
      </c>
      <c r="B76" s="3514"/>
      <c r="C76" s="3564" t="s">
        <v>6105</v>
      </c>
      <c r="D76" s="3564"/>
      <c r="E76" s="3564"/>
      <c r="F76" s="3564"/>
      <c r="G76" s="3564"/>
      <c r="H76" s="3564"/>
      <c r="I76" s="3564"/>
      <c r="J76" s="3564"/>
      <c r="K76" s="3564"/>
      <c r="L76" s="3564"/>
      <c r="M76" s="3564"/>
      <c r="N76" s="3564"/>
      <c r="O76" s="3564"/>
      <c r="P76" s="3564"/>
      <c r="Q76" s="3564"/>
      <c r="R76" s="3564"/>
      <c r="S76" s="3564"/>
      <c r="T76" s="3564"/>
      <c r="U76" s="3564"/>
      <c r="V76" s="3564"/>
      <c r="W76" s="3564"/>
      <c r="X76" s="3564"/>
      <c r="Y76" s="3564"/>
      <c r="Z76" s="3564"/>
      <c r="AA76" s="3564"/>
      <c r="AB76" s="3564"/>
      <c r="AC76" s="3564"/>
      <c r="AD76" s="3564"/>
      <c r="AE76" s="3860" t="s">
        <v>6106</v>
      </c>
      <c r="AF76" s="3860"/>
      <c r="AG76" s="3860"/>
      <c r="AH76" s="3860"/>
      <c r="AI76" s="3860"/>
      <c r="AJ76" s="3860"/>
      <c r="AK76" s="3519">
        <v>60</v>
      </c>
      <c r="AL76" s="3519"/>
      <c r="AM76" s="3519"/>
      <c r="AN76" s="3519"/>
      <c r="AO76" s="3520">
        <f>UnosPod!F123</f>
        <v>0</v>
      </c>
      <c r="AP76" s="3521"/>
      <c r="AQ76" s="3521"/>
      <c r="AR76" s="3521"/>
      <c r="AS76" s="3521"/>
      <c r="AT76" s="3521"/>
      <c r="AU76" s="3521"/>
      <c r="AV76" s="3522"/>
    </row>
    <row r="77" spans="1:49">
      <c r="A77" s="3513">
        <v>4</v>
      </c>
      <c r="B77" s="3514"/>
      <c r="C77" s="3574" t="s">
        <v>6107</v>
      </c>
      <c r="D77" s="3575"/>
      <c r="E77" s="3575"/>
      <c r="F77" s="3575"/>
      <c r="G77" s="3575"/>
      <c r="H77" s="3575"/>
      <c r="I77" s="3575"/>
      <c r="J77" s="3575"/>
      <c r="K77" s="3575"/>
      <c r="L77" s="3575"/>
      <c r="M77" s="3575"/>
      <c r="N77" s="3575"/>
      <c r="O77" s="3575"/>
      <c r="P77" s="3575"/>
      <c r="Q77" s="3575"/>
      <c r="R77" s="3575"/>
      <c r="S77" s="3575"/>
      <c r="T77" s="3575"/>
      <c r="U77" s="3575"/>
      <c r="V77" s="3575"/>
      <c r="W77" s="3575"/>
      <c r="X77" s="3575"/>
      <c r="Y77" s="3575"/>
      <c r="Z77" s="3575"/>
      <c r="AA77" s="3575"/>
      <c r="AB77" s="3575"/>
      <c r="AC77" s="3575"/>
      <c r="AD77" s="3576"/>
      <c r="AE77" s="3860" t="s">
        <v>6108</v>
      </c>
      <c r="AF77" s="3860"/>
      <c r="AG77" s="3860"/>
      <c r="AH77" s="3860"/>
      <c r="AI77" s="3860"/>
      <c r="AJ77" s="3860"/>
      <c r="AK77" s="3519"/>
      <c r="AL77" s="3519"/>
      <c r="AM77" s="3519"/>
      <c r="AN77" s="3519"/>
      <c r="AO77" s="3866"/>
      <c r="AP77" s="3867"/>
      <c r="AQ77" s="3867"/>
      <c r="AR77" s="3867"/>
      <c r="AS77" s="3867"/>
      <c r="AT77" s="3867"/>
      <c r="AU77" s="3867"/>
      <c r="AV77" s="3868"/>
    </row>
    <row r="78" ht="20.25" customHeight="1" spans="1:49">
      <c r="A78" s="3513">
        <v>5</v>
      </c>
      <c r="B78" s="3514"/>
      <c r="C78" s="3574" t="s">
        <v>6109</v>
      </c>
      <c r="D78" s="3575"/>
      <c r="E78" s="3575"/>
      <c r="F78" s="3575"/>
      <c r="G78" s="3575"/>
      <c r="H78" s="3575"/>
      <c r="I78" s="3575"/>
      <c r="J78" s="3575"/>
      <c r="K78" s="3575"/>
      <c r="L78" s="3575"/>
      <c r="M78" s="3575"/>
      <c r="N78" s="3575"/>
      <c r="O78" s="3575"/>
      <c r="P78" s="3575"/>
      <c r="Q78" s="3575"/>
      <c r="R78" s="3575"/>
      <c r="S78" s="3575"/>
      <c r="T78" s="3575"/>
      <c r="U78" s="3575"/>
      <c r="V78" s="3575"/>
      <c r="W78" s="3575"/>
      <c r="X78" s="3575"/>
      <c r="Y78" s="3575"/>
      <c r="Z78" s="3575"/>
      <c r="AA78" s="3575"/>
      <c r="AB78" s="3575"/>
      <c r="AC78" s="3575"/>
      <c r="AD78" s="3576"/>
      <c r="AE78" s="3860" t="s">
        <v>6110</v>
      </c>
      <c r="AF78" s="3860"/>
      <c r="AG78" s="3860"/>
      <c r="AH78" s="3860"/>
      <c r="AI78" s="3860"/>
      <c r="AJ78" s="3860"/>
      <c r="AK78" s="3571" t="s">
        <v>6111</v>
      </c>
      <c r="AL78" s="3572"/>
      <c r="AM78" s="3572"/>
      <c r="AN78" s="3573"/>
      <c r="AO78" s="3520">
        <f>UnosPod!F165-UnosPod!F157-UnosPod!F163</f>
        <v>0</v>
      </c>
      <c r="AP78" s="3521"/>
      <c r="AQ78" s="3521"/>
      <c r="AR78" s="3521"/>
      <c r="AS78" s="3521"/>
      <c r="AT78" s="3521"/>
      <c r="AU78" s="3521"/>
      <c r="AV78" s="3522"/>
    </row>
    <row r="79" ht="26.25" customHeight="1" spans="1:49">
      <c r="A79" s="3513">
        <v>6</v>
      </c>
      <c r="B79" s="3514"/>
      <c r="C79" s="3577" t="s">
        <v>6112</v>
      </c>
      <c r="D79" s="3577"/>
      <c r="E79" s="3577"/>
      <c r="F79" s="3577"/>
      <c r="G79" s="3577"/>
      <c r="H79" s="3577"/>
      <c r="I79" s="3577"/>
      <c r="J79" s="3577"/>
      <c r="K79" s="3577"/>
      <c r="L79" s="3577"/>
      <c r="M79" s="3577"/>
      <c r="N79" s="3577"/>
      <c r="O79" s="3577"/>
      <c r="P79" s="3577"/>
      <c r="Q79" s="3577"/>
      <c r="R79" s="3577"/>
      <c r="S79" s="3577"/>
      <c r="T79" s="3577"/>
      <c r="U79" s="3577"/>
      <c r="V79" s="3577"/>
      <c r="W79" s="3577"/>
      <c r="X79" s="3577"/>
      <c r="Y79" s="3577"/>
      <c r="Z79" s="3577"/>
      <c r="AA79" s="3577"/>
      <c r="AB79" s="3577"/>
      <c r="AC79" s="3577"/>
      <c r="AD79" s="3577"/>
      <c r="AE79" s="3860" t="s">
        <v>6113</v>
      </c>
      <c r="AF79" s="3860"/>
      <c r="AG79" s="3860"/>
      <c r="AH79" s="3860"/>
      <c r="AI79" s="3860"/>
      <c r="AJ79" s="3860"/>
      <c r="AK79" s="3519" t="s">
        <v>6114</v>
      </c>
      <c r="AL79" s="3519"/>
      <c r="AM79" s="3519"/>
      <c r="AN79" s="3519"/>
      <c r="AO79" s="3866"/>
      <c r="AP79" s="3867"/>
      <c r="AQ79" s="3867"/>
      <c r="AR79" s="3867"/>
      <c r="AS79" s="3867"/>
      <c r="AT79" s="3867"/>
      <c r="AU79" s="3867"/>
      <c r="AV79" s="3868"/>
    </row>
    <row r="80" spans="1:49">
      <c r="A80" s="3513">
        <v>7</v>
      </c>
      <c r="B80" s="3514"/>
      <c r="C80" s="3564" t="s">
        <v>6115</v>
      </c>
      <c r="D80" s="3564"/>
      <c r="E80" s="3564"/>
      <c r="F80" s="3564"/>
      <c r="G80" s="3564"/>
      <c r="H80" s="3564"/>
      <c r="I80" s="3564"/>
      <c r="J80" s="3564"/>
      <c r="K80" s="3564"/>
      <c r="L80" s="3564"/>
      <c r="M80" s="3564"/>
      <c r="N80" s="3564"/>
      <c r="O80" s="3564"/>
      <c r="P80" s="3564"/>
      <c r="Q80" s="3564"/>
      <c r="R80" s="3564"/>
      <c r="S80" s="3564"/>
      <c r="T80" s="3564"/>
      <c r="U80" s="3564"/>
      <c r="V80" s="3564"/>
      <c r="W80" s="3564"/>
      <c r="X80" s="3564"/>
      <c r="Y80" s="3564"/>
      <c r="Z80" s="3564"/>
      <c r="AA80" s="3564"/>
      <c r="AB80" s="3564"/>
      <c r="AC80" s="3564"/>
      <c r="AD80" s="3564"/>
      <c r="AE80" s="3860" t="s">
        <v>6116</v>
      </c>
      <c r="AF80" s="3860"/>
      <c r="AG80" s="3860"/>
      <c r="AH80" s="3860"/>
      <c r="AI80" s="3860"/>
      <c r="AJ80" s="3860"/>
      <c r="AK80" s="3519" t="s">
        <v>6114</v>
      </c>
      <c r="AL80" s="3519"/>
      <c r="AM80" s="3519"/>
      <c r="AN80" s="3519"/>
      <c r="AO80" s="3520">
        <f>UnosPod!F157-AO79</f>
        <v>0</v>
      </c>
      <c r="AP80" s="3521"/>
      <c r="AQ80" s="3521"/>
      <c r="AR80" s="3521"/>
      <c r="AS80" s="3521"/>
      <c r="AT80" s="3521"/>
      <c r="AU80" s="3521"/>
      <c r="AV80" s="3522"/>
    </row>
    <row r="81" spans="1:48">
      <c r="A81" s="3513">
        <v>8</v>
      </c>
      <c r="B81" s="3514"/>
      <c r="C81" s="3564" t="s">
        <v>6117</v>
      </c>
      <c r="D81" s="3564"/>
      <c r="E81" s="3564"/>
      <c r="F81" s="3564"/>
      <c r="G81" s="3564"/>
      <c r="H81" s="3564"/>
      <c r="I81" s="3564"/>
      <c r="J81" s="3564"/>
      <c r="K81" s="3564"/>
      <c r="L81" s="3564"/>
      <c r="M81" s="3564"/>
      <c r="N81" s="3564"/>
      <c r="O81" s="3564"/>
      <c r="P81" s="3564"/>
      <c r="Q81" s="3564"/>
      <c r="R81" s="3564"/>
      <c r="S81" s="3564"/>
      <c r="T81" s="3564"/>
      <c r="U81" s="3564"/>
      <c r="V81" s="3564"/>
      <c r="W81" s="3564"/>
      <c r="X81" s="3564"/>
      <c r="Y81" s="3564"/>
      <c r="Z81" s="3564"/>
      <c r="AA81" s="3564"/>
      <c r="AB81" s="3564"/>
      <c r="AC81" s="3564"/>
      <c r="AD81" s="3564"/>
      <c r="AE81" s="3860" t="s">
        <v>6118</v>
      </c>
      <c r="AF81" s="3860"/>
      <c r="AG81" s="3860"/>
      <c r="AH81" s="3860"/>
      <c r="AI81" s="3860"/>
      <c r="AJ81" s="3860"/>
      <c r="AK81" s="3519"/>
      <c r="AL81" s="3519"/>
      <c r="AM81" s="3519"/>
      <c r="AN81" s="3519"/>
      <c r="AO81" s="3520">
        <f>SUM(AO74:AV80)</f>
        <v>245707</v>
      </c>
      <c r="AP81" s="3521"/>
      <c r="AQ81" s="3521"/>
      <c r="AR81" s="3521"/>
      <c r="AS81" s="3521"/>
      <c r="AT81" s="3521"/>
      <c r="AU81" s="3521"/>
      <c r="AV81" s="3522"/>
    </row>
    <row r="82" spans="1:48">
      <c r="A82" s="3513">
        <v>9</v>
      </c>
      <c r="B82" s="3514"/>
      <c r="C82" s="3564" t="s">
        <v>6350</v>
      </c>
      <c r="D82" s="3564"/>
      <c r="E82" s="3564"/>
      <c r="F82" s="3564"/>
      <c r="G82" s="3564"/>
      <c r="H82" s="3564"/>
      <c r="I82" s="3564"/>
      <c r="J82" s="3564"/>
      <c r="K82" s="3564"/>
      <c r="L82" s="3564"/>
      <c r="M82" s="3564"/>
      <c r="N82" s="3564"/>
      <c r="O82" s="3564"/>
      <c r="P82" s="3564"/>
      <c r="Q82" s="3564"/>
      <c r="R82" s="3564"/>
      <c r="S82" s="3564"/>
      <c r="T82" s="3564"/>
      <c r="U82" s="3564"/>
      <c r="V82" s="3564"/>
      <c r="W82" s="3564"/>
      <c r="X82" s="3564"/>
      <c r="Y82" s="3564"/>
      <c r="Z82" s="3564"/>
      <c r="AA82" s="3564"/>
      <c r="AB82" s="3564"/>
      <c r="AC82" s="3564"/>
      <c r="AD82" s="3564"/>
      <c r="AE82" s="3860" t="s">
        <v>6351</v>
      </c>
      <c r="AF82" s="3860"/>
      <c r="AG82" s="3860"/>
      <c r="AH82" s="3860"/>
      <c r="AI82" s="3860"/>
      <c r="AJ82" s="3860"/>
      <c r="AK82" s="3861"/>
      <c r="AL82" s="3861"/>
      <c r="AM82" s="3861"/>
      <c r="AN82" s="3861"/>
      <c r="AO82" s="3866"/>
      <c r="AP82" s="3867"/>
      <c r="AQ82" s="3867"/>
      <c r="AR82" s="3867"/>
      <c r="AS82" s="3867"/>
      <c r="AT82" s="3867"/>
      <c r="AU82" s="3867"/>
      <c r="AV82" s="3868"/>
    </row>
    <row r="83" spans="1:48">
      <c r="A83" s="3862"/>
      <c r="B83" s="3863"/>
      <c r="C83" s="3863"/>
      <c r="D83" s="3864"/>
      <c r="E83" s="3864"/>
      <c r="F83" s="3864"/>
      <c r="G83" s="3864"/>
      <c r="H83" s="3864"/>
      <c r="I83" s="3864"/>
      <c r="J83" s="3864"/>
      <c r="K83" s="3864"/>
      <c r="L83" s="3864"/>
      <c r="M83" s="3864"/>
      <c r="N83" s="3864"/>
      <c r="O83" s="3864"/>
      <c r="P83" s="3864"/>
      <c r="Q83" s="3864"/>
      <c r="R83" s="3864"/>
      <c r="S83" s="3864"/>
      <c r="T83" s="3864"/>
      <c r="U83" s="3864"/>
      <c r="V83" s="3864"/>
      <c r="W83" s="3864"/>
      <c r="X83" s="3864"/>
      <c r="Y83" s="3864"/>
      <c r="Z83" s="3864"/>
      <c r="AA83" s="3864"/>
      <c r="AB83" s="3864"/>
      <c r="AC83" s="3864"/>
      <c r="AD83" s="3864"/>
      <c r="AE83" s="3864"/>
      <c r="AF83" s="3864"/>
      <c r="AG83" s="3864"/>
      <c r="AH83" s="3864"/>
      <c r="AI83" s="3814"/>
      <c r="AJ83" s="3814"/>
      <c r="AK83" s="3814"/>
      <c r="AL83" s="3814"/>
      <c r="AM83" s="3814"/>
      <c r="AN83" s="3814"/>
      <c r="AO83" s="3814"/>
      <c r="AP83" s="3814"/>
      <c r="AQ83" s="3814"/>
      <c r="AR83" s="3814"/>
      <c r="AS83" s="3814"/>
      <c r="AT83" s="3814"/>
      <c r="AU83" s="3814"/>
      <c r="AV83" s="3814"/>
    </row>
    <row r="84" ht="13.5" spans="1:48">
      <c r="A84" s="3500" t="s">
        <v>6119</v>
      </c>
      <c r="B84" s="3500"/>
      <c r="C84" s="3500"/>
      <c r="D84" s="3500"/>
      <c r="E84" s="3500"/>
      <c r="F84" s="3500"/>
      <c r="G84" s="3500"/>
      <c r="H84" s="3500"/>
      <c r="I84" s="3500"/>
      <c r="J84" s="3500"/>
      <c r="K84" s="3500"/>
      <c r="L84" s="3500"/>
      <c r="M84" s="3500"/>
      <c r="N84" s="3500"/>
      <c r="O84" s="3500"/>
      <c r="P84" s="3500"/>
      <c r="Q84" s="3500"/>
      <c r="R84" s="3500"/>
      <c r="S84" s="3500"/>
      <c r="T84" s="3500"/>
      <c r="U84" s="3500"/>
      <c r="V84" s="3500"/>
      <c r="W84" s="3500"/>
      <c r="X84" s="3500"/>
      <c r="Y84" s="3500"/>
      <c r="Z84" s="3500"/>
      <c r="AA84" s="3500"/>
      <c r="AB84" s="3500"/>
      <c r="AC84" s="3500"/>
      <c r="AD84" s="3500"/>
      <c r="AE84" s="3500"/>
      <c r="AF84" s="3500"/>
      <c r="AG84" s="3500"/>
      <c r="AH84" s="3500"/>
      <c r="AI84" s="3500"/>
      <c r="AJ84" s="3500"/>
      <c r="AK84" s="3500"/>
      <c r="AL84" s="3500"/>
      <c r="AM84" s="3500"/>
      <c r="AN84" s="3500"/>
      <c r="AO84" s="3500"/>
      <c r="AP84" s="3500"/>
      <c r="AQ84" s="3500"/>
      <c r="AR84" s="3500"/>
      <c r="AS84" s="3500"/>
      <c r="AT84" s="3500"/>
      <c r="AU84" s="3500"/>
      <c r="AV84" s="3500"/>
    </row>
    <row r="85" ht="13.5" spans="1:48">
      <c r="A85" s="3505" t="s">
        <v>6120</v>
      </c>
      <c r="B85" s="3505"/>
      <c r="C85" s="3505"/>
      <c r="D85" s="3505"/>
      <c r="E85" s="3505"/>
      <c r="F85" s="3505"/>
      <c r="G85" s="3505"/>
      <c r="H85" s="3505"/>
      <c r="I85" s="3505"/>
      <c r="J85" s="3505"/>
      <c r="K85" s="3505"/>
      <c r="L85" s="3505"/>
      <c r="M85" s="3505"/>
      <c r="N85" s="3505"/>
      <c r="O85" s="3505"/>
      <c r="P85" s="3505"/>
      <c r="Q85" s="3505"/>
      <c r="R85" s="3505"/>
      <c r="S85" s="3505"/>
      <c r="T85" s="3505"/>
      <c r="U85" s="3505"/>
      <c r="V85" s="3505"/>
      <c r="W85" s="3505"/>
      <c r="X85" s="3505"/>
      <c r="Y85" s="3505"/>
      <c r="Z85" s="3505"/>
      <c r="AA85" s="3505"/>
      <c r="AB85" s="3505"/>
      <c r="AC85" s="3505"/>
      <c r="AD85" s="3505"/>
      <c r="AE85" s="3505"/>
      <c r="AF85" s="3505"/>
      <c r="AG85" s="3505"/>
      <c r="AH85" s="3505"/>
      <c r="AI85" s="3505"/>
      <c r="AJ85" s="3505"/>
      <c r="AK85" s="3505"/>
      <c r="AL85" s="3505"/>
      <c r="AM85" s="3505"/>
      <c r="AN85" s="3505"/>
      <c r="AO85" s="3445"/>
      <c r="AP85" s="3445"/>
      <c r="AQ85" s="3445"/>
      <c r="AR85" s="3445"/>
      <c r="AS85" s="3445"/>
      <c r="AT85" s="3445"/>
      <c r="AU85" s="3445"/>
      <c r="AV85" s="3445"/>
    </row>
    <row r="86" spans="1:48">
      <c r="A86" s="3506" t="s">
        <v>6096</v>
      </c>
      <c r="B86" s="3506"/>
      <c r="C86" s="3578" t="s">
        <v>6097</v>
      </c>
      <c r="D86" s="3579"/>
      <c r="E86" s="3579"/>
      <c r="F86" s="3579"/>
      <c r="G86" s="3579"/>
      <c r="H86" s="3579"/>
      <c r="I86" s="3579"/>
      <c r="J86" s="3579"/>
      <c r="K86" s="3579"/>
      <c r="L86" s="3579"/>
      <c r="M86" s="3579"/>
      <c r="N86" s="3579"/>
      <c r="O86" s="3579"/>
      <c r="P86" s="3579"/>
      <c r="Q86" s="3579"/>
      <c r="R86" s="3579"/>
      <c r="S86" s="3579"/>
      <c r="T86" s="3579"/>
      <c r="U86" s="3579"/>
      <c r="V86" s="3579"/>
      <c r="W86" s="3579"/>
      <c r="X86" s="3579"/>
      <c r="Y86" s="3579"/>
      <c r="Z86" s="3579"/>
      <c r="AA86" s="3579"/>
      <c r="AB86" s="3579"/>
      <c r="AC86" s="3579"/>
      <c r="AD86" s="3579"/>
      <c r="AE86" s="3580" t="s">
        <v>6098</v>
      </c>
      <c r="AF86" s="3581"/>
      <c r="AG86" s="3581"/>
      <c r="AH86" s="3581"/>
      <c r="AI86" s="3581"/>
      <c r="AJ86" s="3582"/>
      <c r="AK86" s="3583" t="s">
        <v>6099</v>
      </c>
      <c r="AL86" s="3584"/>
      <c r="AM86" s="3584"/>
      <c r="AN86" s="3585"/>
      <c r="AO86" s="3583" t="s">
        <v>6100</v>
      </c>
      <c r="AP86" s="3584"/>
      <c r="AQ86" s="3584"/>
      <c r="AR86" s="3584"/>
      <c r="AS86" s="3584"/>
      <c r="AT86" s="3584"/>
      <c r="AU86" s="3584"/>
      <c r="AV86" s="3585"/>
    </row>
    <row r="87" spans="1:48">
      <c r="A87" s="3506"/>
      <c r="B87" s="3506"/>
      <c r="C87" s="3586"/>
      <c r="D87" s="3587"/>
      <c r="E87" s="3587"/>
      <c r="F87" s="3587"/>
      <c r="G87" s="3587"/>
      <c r="H87" s="3587"/>
      <c r="I87" s="3587"/>
      <c r="J87" s="3587"/>
      <c r="K87" s="3587"/>
      <c r="L87" s="3587"/>
      <c r="M87" s="3587"/>
      <c r="N87" s="3587"/>
      <c r="O87" s="3587"/>
      <c r="P87" s="3587"/>
      <c r="Q87" s="3587"/>
      <c r="R87" s="3587"/>
      <c r="S87" s="3587"/>
      <c r="T87" s="3587"/>
      <c r="U87" s="3587"/>
      <c r="V87" s="3587"/>
      <c r="W87" s="3587"/>
      <c r="X87" s="3587"/>
      <c r="Y87" s="3587"/>
      <c r="Z87" s="3587"/>
      <c r="AA87" s="3587"/>
      <c r="AB87" s="3587"/>
      <c r="AC87" s="3587"/>
      <c r="AD87" s="3587"/>
      <c r="AE87" s="3588"/>
      <c r="AF87" s="3589"/>
      <c r="AG87" s="3589"/>
      <c r="AH87" s="3589"/>
      <c r="AI87" s="3589"/>
      <c r="AJ87" s="3590"/>
      <c r="AK87" s="3591"/>
      <c r="AL87" s="3592"/>
      <c r="AM87" s="3592"/>
      <c r="AN87" s="3593"/>
      <c r="AO87" s="3591"/>
      <c r="AP87" s="3592"/>
      <c r="AQ87" s="3592"/>
      <c r="AR87" s="3592"/>
      <c r="AS87" s="3592"/>
      <c r="AT87" s="3592"/>
      <c r="AU87" s="3592"/>
      <c r="AV87" s="3593"/>
    </row>
    <row r="88" ht="24.75" customHeight="1" spans="1:48">
      <c r="A88" s="3594" t="s">
        <v>5336</v>
      </c>
      <c r="B88" s="3595"/>
      <c r="C88" s="3577" t="s">
        <v>6121</v>
      </c>
      <c r="D88" s="3577"/>
      <c r="E88" s="3577"/>
      <c r="F88" s="3577"/>
      <c r="G88" s="3577"/>
      <c r="H88" s="3577"/>
      <c r="I88" s="3577"/>
      <c r="J88" s="3577"/>
      <c r="K88" s="3577"/>
      <c r="L88" s="3577"/>
      <c r="M88" s="3577"/>
      <c r="N88" s="3577"/>
      <c r="O88" s="3577"/>
      <c r="P88" s="3577"/>
      <c r="Q88" s="3577"/>
      <c r="R88" s="3577"/>
      <c r="S88" s="3577"/>
      <c r="T88" s="3577"/>
      <c r="U88" s="3577"/>
      <c r="V88" s="3577"/>
      <c r="W88" s="3577"/>
      <c r="X88" s="3577"/>
      <c r="Y88" s="3577"/>
      <c r="Z88" s="3577"/>
      <c r="AA88" s="3577"/>
      <c r="AB88" s="3577"/>
      <c r="AC88" s="3577"/>
      <c r="AD88" s="3577"/>
      <c r="AE88" s="3596" t="s">
        <v>6122</v>
      </c>
      <c r="AF88" s="3597"/>
      <c r="AG88" s="3597"/>
      <c r="AH88" s="3597"/>
      <c r="AI88" s="3597"/>
      <c r="AJ88" s="3598"/>
      <c r="AK88" s="3599" t="s">
        <v>6123</v>
      </c>
      <c r="AL88" s="3600"/>
      <c r="AM88" s="3600"/>
      <c r="AN88" s="3601"/>
      <c r="AO88" s="3602">
        <f>UnosPod!F234+UnosPod!F236+UnosPod!F237</f>
        <v>804</v>
      </c>
      <c r="AP88" s="3603"/>
      <c r="AQ88" s="3603"/>
      <c r="AR88" s="3603"/>
      <c r="AS88" s="3603"/>
      <c r="AT88" s="3603"/>
      <c r="AU88" s="3603"/>
      <c r="AV88" s="3604"/>
    </row>
    <row r="89" spans="1:48">
      <c r="A89" s="3594" t="s">
        <v>5428</v>
      </c>
      <c r="B89" s="3595"/>
      <c r="C89" s="3515" t="s">
        <v>6124</v>
      </c>
      <c r="D89" s="3515"/>
      <c r="E89" s="3515"/>
      <c r="F89" s="3515"/>
      <c r="G89" s="3515"/>
      <c r="H89" s="3515"/>
      <c r="I89" s="3515"/>
      <c r="J89" s="3515"/>
      <c r="K89" s="3515"/>
      <c r="L89" s="3515"/>
      <c r="M89" s="3515"/>
      <c r="N89" s="3515"/>
      <c r="O89" s="3515"/>
      <c r="P89" s="3515"/>
      <c r="Q89" s="3515"/>
      <c r="R89" s="3515"/>
      <c r="S89" s="3515"/>
      <c r="T89" s="3515"/>
      <c r="U89" s="3515"/>
      <c r="V89" s="3515"/>
      <c r="W89" s="3515"/>
      <c r="X89" s="3515"/>
      <c r="Y89" s="3515"/>
      <c r="Z89" s="3515"/>
      <c r="AA89" s="3515"/>
      <c r="AB89" s="3515"/>
      <c r="AC89" s="3515"/>
      <c r="AD89" s="3515"/>
      <c r="AE89" s="3596" t="s">
        <v>6125</v>
      </c>
      <c r="AF89" s="3597"/>
      <c r="AG89" s="3597"/>
      <c r="AH89" s="3597"/>
      <c r="AI89" s="3597"/>
      <c r="AJ89" s="3598"/>
      <c r="AK89" s="3513">
        <v>512</v>
      </c>
      <c r="AL89" s="3605"/>
      <c r="AM89" s="3605"/>
      <c r="AN89" s="3514"/>
      <c r="AO89" s="3602">
        <f>UnosPod!F235</f>
        <v>7591</v>
      </c>
      <c r="AP89" s="3603"/>
      <c r="AQ89" s="3603"/>
      <c r="AR89" s="3603"/>
      <c r="AS89" s="3603"/>
      <c r="AT89" s="3603"/>
      <c r="AU89" s="3603"/>
      <c r="AV89" s="3604"/>
    </row>
    <row r="90" ht="25.5" customHeight="1" spans="1:48">
      <c r="A90" s="3594" t="s">
        <v>5469</v>
      </c>
      <c r="B90" s="3595"/>
      <c r="C90" s="3606" t="s">
        <v>6126</v>
      </c>
      <c r="D90" s="3607"/>
      <c r="E90" s="3607"/>
      <c r="F90" s="3607"/>
      <c r="G90" s="3607"/>
      <c r="H90" s="3607"/>
      <c r="I90" s="3607"/>
      <c r="J90" s="3607"/>
      <c r="K90" s="3607"/>
      <c r="L90" s="3607"/>
      <c r="M90" s="3607"/>
      <c r="N90" s="3607"/>
      <c r="O90" s="3607"/>
      <c r="P90" s="3607"/>
      <c r="Q90" s="3607"/>
      <c r="R90" s="3607"/>
      <c r="S90" s="3607"/>
      <c r="T90" s="3607"/>
      <c r="U90" s="3607"/>
      <c r="V90" s="3607"/>
      <c r="W90" s="3607"/>
      <c r="X90" s="3607"/>
      <c r="Y90" s="3607"/>
      <c r="Z90" s="3607"/>
      <c r="AA90" s="3607"/>
      <c r="AB90" s="3607"/>
      <c r="AC90" s="3607"/>
      <c r="AD90" s="3608"/>
      <c r="AE90" s="3596" t="s">
        <v>6127</v>
      </c>
      <c r="AF90" s="3597"/>
      <c r="AG90" s="3597"/>
      <c r="AH90" s="3597"/>
      <c r="AI90" s="3597"/>
      <c r="AJ90" s="3598"/>
      <c r="AK90" s="3609" t="s">
        <v>6128</v>
      </c>
      <c r="AL90" s="3610"/>
      <c r="AM90" s="3610"/>
      <c r="AN90" s="3611"/>
      <c r="AO90" s="3602">
        <f>UnosPod!F230+UnosPod!F231</f>
        <v>0</v>
      </c>
      <c r="AP90" s="3603"/>
      <c r="AQ90" s="3603"/>
      <c r="AR90" s="3603"/>
      <c r="AS90" s="3603"/>
      <c r="AT90" s="3603"/>
      <c r="AU90" s="3603"/>
      <c r="AV90" s="3604"/>
    </row>
    <row r="91" spans="1:48">
      <c r="A91" s="3594" t="s">
        <v>5600</v>
      </c>
      <c r="B91" s="3595"/>
      <c r="C91" s="3515" t="s">
        <v>6129</v>
      </c>
      <c r="D91" s="3515"/>
      <c r="E91" s="3515"/>
      <c r="F91" s="3515"/>
      <c r="G91" s="3515"/>
      <c r="H91" s="3515"/>
      <c r="I91" s="3515"/>
      <c r="J91" s="3515"/>
      <c r="K91" s="3515"/>
      <c r="L91" s="3515"/>
      <c r="M91" s="3515"/>
      <c r="N91" s="3515"/>
      <c r="O91" s="3515"/>
      <c r="P91" s="3515"/>
      <c r="Q91" s="3515"/>
      <c r="R91" s="3515"/>
      <c r="S91" s="3515"/>
      <c r="T91" s="3515"/>
      <c r="U91" s="3515"/>
      <c r="V91" s="3515"/>
      <c r="W91" s="3515"/>
      <c r="X91" s="3515"/>
      <c r="Y91" s="3515"/>
      <c r="Z91" s="3515"/>
      <c r="AA91" s="3515"/>
      <c r="AB91" s="3515"/>
      <c r="AC91" s="3515"/>
      <c r="AD91" s="3515"/>
      <c r="AE91" s="3596" t="s">
        <v>6130</v>
      </c>
      <c r="AF91" s="3597"/>
      <c r="AG91" s="3597"/>
      <c r="AH91" s="3597"/>
      <c r="AI91" s="3597"/>
      <c r="AJ91" s="3598"/>
      <c r="AK91" s="3609"/>
      <c r="AL91" s="3610"/>
      <c r="AM91" s="3610"/>
      <c r="AN91" s="3611"/>
      <c r="AO91" s="3602">
        <f>SUM(AO92:AV105)</f>
        <v>44443</v>
      </c>
      <c r="AP91" s="3603"/>
      <c r="AQ91" s="3603"/>
      <c r="AR91" s="3603"/>
      <c r="AS91" s="3603"/>
      <c r="AT91" s="3603"/>
      <c r="AU91" s="3603"/>
      <c r="AV91" s="3604"/>
    </row>
    <row r="92" spans="1:48">
      <c r="A92" s="3594" t="s">
        <v>5078</v>
      </c>
      <c r="B92" s="3595"/>
      <c r="C92" s="3612" t="s">
        <v>6131</v>
      </c>
      <c r="D92" s="3612"/>
      <c r="E92" s="3612"/>
      <c r="F92" s="3612"/>
      <c r="G92" s="3612"/>
      <c r="H92" s="3612"/>
      <c r="I92" s="3612"/>
      <c r="J92" s="3612"/>
      <c r="K92" s="3612"/>
      <c r="L92" s="3612"/>
      <c r="M92" s="3612"/>
      <c r="N92" s="3612"/>
      <c r="O92" s="3612"/>
      <c r="P92" s="3612"/>
      <c r="Q92" s="3612"/>
      <c r="R92" s="3612"/>
      <c r="S92" s="3612"/>
      <c r="T92" s="3612"/>
      <c r="U92" s="3612"/>
      <c r="V92" s="3612"/>
      <c r="W92" s="3612"/>
      <c r="X92" s="3612"/>
      <c r="Y92" s="3612"/>
      <c r="Z92" s="3612"/>
      <c r="AA92" s="3612"/>
      <c r="AB92" s="3612"/>
      <c r="AC92" s="3612"/>
      <c r="AD92" s="3612"/>
      <c r="AE92" s="3613" t="s">
        <v>6132</v>
      </c>
      <c r="AF92" s="3614"/>
      <c r="AG92" s="3614"/>
      <c r="AH92" s="3614"/>
      <c r="AI92" s="3614"/>
      <c r="AJ92" s="3615"/>
      <c r="AK92" s="3609">
        <v>530</v>
      </c>
      <c r="AL92" s="3610"/>
      <c r="AM92" s="3610"/>
      <c r="AN92" s="3611"/>
      <c r="AO92" s="3520">
        <f>UnosPod!F255</f>
        <v>0</v>
      </c>
      <c r="AP92" s="3521"/>
      <c r="AQ92" s="3521"/>
      <c r="AR92" s="3521"/>
      <c r="AS92" s="3521"/>
      <c r="AT92" s="3521"/>
      <c r="AU92" s="3521"/>
      <c r="AV92" s="3522"/>
    </row>
    <row r="93" spans="1:48">
      <c r="A93" s="3594" t="s">
        <v>6133</v>
      </c>
      <c r="B93" s="3595"/>
      <c r="C93" s="3612" t="s">
        <v>6134</v>
      </c>
      <c r="D93" s="3612"/>
      <c r="E93" s="3612"/>
      <c r="F93" s="3612"/>
      <c r="G93" s="3612"/>
      <c r="H93" s="3612"/>
      <c r="I93" s="3612"/>
      <c r="J93" s="3612"/>
      <c r="K93" s="3612"/>
      <c r="L93" s="3612"/>
      <c r="M93" s="3612"/>
      <c r="N93" s="3612"/>
      <c r="O93" s="3612"/>
      <c r="P93" s="3612"/>
      <c r="Q93" s="3612"/>
      <c r="R93" s="3612"/>
      <c r="S93" s="3612"/>
      <c r="T93" s="3612"/>
      <c r="U93" s="3612"/>
      <c r="V93" s="3612"/>
      <c r="W93" s="3612"/>
      <c r="X93" s="3612"/>
      <c r="Y93" s="3612"/>
      <c r="Z93" s="3612"/>
      <c r="AA93" s="3612"/>
      <c r="AB93" s="3612"/>
      <c r="AC93" s="3612"/>
      <c r="AD93" s="3612"/>
      <c r="AE93" s="3613" t="s">
        <v>6135</v>
      </c>
      <c r="AF93" s="3614"/>
      <c r="AG93" s="3614"/>
      <c r="AH93" s="3614"/>
      <c r="AI93" s="3614"/>
      <c r="AJ93" s="3615"/>
      <c r="AK93" s="3513" t="s">
        <v>6136</v>
      </c>
      <c r="AL93" s="3605"/>
      <c r="AM93" s="3605"/>
      <c r="AN93" s="3514"/>
      <c r="AO93" s="3520">
        <f>UnosPod!F257</f>
        <v>24172</v>
      </c>
      <c r="AP93" s="3521"/>
      <c r="AQ93" s="3521"/>
      <c r="AR93" s="3521"/>
      <c r="AS93" s="3521"/>
      <c r="AT93" s="3521"/>
      <c r="AU93" s="3521"/>
      <c r="AV93" s="3522"/>
    </row>
    <row r="94" spans="1:48">
      <c r="A94" s="3594" t="s">
        <v>6137</v>
      </c>
      <c r="B94" s="3595"/>
      <c r="C94" s="3616" t="s">
        <v>6138</v>
      </c>
      <c r="D94" s="3616"/>
      <c r="E94" s="3616"/>
      <c r="F94" s="3616"/>
      <c r="G94" s="3616"/>
      <c r="H94" s="3616"/>
      <c r="I94" s="3616"/>
      <c r="J94" s="3616"/>
      <c r="K94" s="3616"/>
      <c r="L94" s="3616"/>
      <c r="M94" s="3616"/>
      <c r="N94" s="3616"/>
      <c r="O94" s="3616"/>
      <c r="P94" s="3616"/>
      <c r="Q94" s="3616"/>
      <c r="R94" s="3616"/>
      <c r="S94" s="3616"/>
      <c r="T94" s="3616"/>
      <c r="U94" s="3616"/>
      <c r="V94" s="3616"/>
      <c r="W94" s="3616"/>
      <c r="X94" s="3616"/>
      <c r="Y94" s="3616"/>
      <c r="Z94" s="3616"/>
      <c r="AA94" s="3616"/>
      <c r="AB94" s="3616"/>
      <c r="AC94" s="3616"/>
      <c r="AD94" s="3616"/>
      <c r="AE94" s="3613" t="s">
        <v>6139</v>
      </c>
      <c r="AF94" s="3614"/>
      <c r="AG94" s="3614"/>
      <c r="AH94" s="3614"/>
      <c r="AI94" s="3614"/>
      <c r="AJ94" s="3615"/>
      <c r="AK94" s="3513">
        <v>531</v>
      </c>
      <c r="AL94" s="3605"/>
      <c r="AM94" s="3605"/>
      <c r="AN94" s="3514"/>
      <c r="AO94" s="3520">
        <f>UnosPod!F256</f>
        <v>0</v>
      </c>
      <c r="AP94" s="3521"/>
      <c r="AQ94" s="3521"/>
      <c r="AR94" s="3521"/>
      <c r="AS94" s="3521"/>
      <c r="AT94" s="3521"/>
      <c r="AU94" s="3521"/>
      <c r="AV94" s="3522"/>
    </row>
    <row r="95" spans="1:48">
      <c r="A95" s="3594" t="s">
        <v>6140</v>
      </c>
      <c r="B95" s="3595"/>
      <c r="C95" s="3616" t="s">
        <v>6141</v>
      </c>
      <c r="D95" s="3616"/>
      <c r="E95" s="3616"/>
      <c r="F95" s="3616"/>
      <c r="G95" s="3616"/>
      <c r="H95" s="3616"/>
      <c r="I95" s="3616"/>
      <c r="J95" s="3616"/>
      <c r="K95" s="3616"/>
      <c r="L95" s="3616"/>
      <c r="M95" s="3616"/>
      <c r="N95" s="3616"/>
      <c r="O95" s="3616"/>
      <c r="P95" s="3616"/>
      <c r="Q95" s="3616"/>
      <c r="R95" s="3616"/>
      <c r="S95" s="3616"/>
      <c r="T95" s="3616"/>
      <c r="U95" s="3616"/>
      <c r="V95" s="3616"/>
      <c r="W95" s="3616"/>
      <c r="X95" s="3616"/>
      <c r="Y95" s="3616"/>
      <c r="Z95" s="3616"/>
      <c r="AA95" s="3616"/>
      <c r="AB95" s="3616"/>
      <c r="AC95" s="3616"/>
      <c r="AD95" s="3616"/>
      <c r="AE95" s="3613" t="s">
        <v>6142</v>
      </c>
      <c r="AF95" s="3614"/>
      <c r="AG95" s="3614"/>
      <c r="AH95" s="3614"/>
      <c r="AI95" s="3614"/>
      <c r="AJ95" s="3615"/>
      <c r="AK95" s="3513">
        <v>554</v>
      </c>
      <c r="AL95" s="3605"/>
      <c r="AM95" s="3605"/>
      <c r="AN95" s="3514"/>
      <c r="AO95" s="3520">
        <f>UnosPod!F301</f>
        <v>11889</v>
      </c>
      <c r="AP95" s="3521"/>
      <c r="AQ95" s="3521"/>
      <c r="AR95" s="3521"/>
      <c r="AS95" s="3521"/>
      <c r="AT95" s="3521"/>
      <c r="AU95" s="3521"/>
      <c r="AV95" s="3522"/>
    </row>
    <row r="96" spans="1:48">
      <c r="A96" s="3594" t="s">
        <v>6143</v>
      </c>
      <c r="B96" s="3595"/>
      <c r="C96" s="3616" t="s">
        <v>6144</v>
      </c>
      <c r="D96" s="3616"/>
      <c r="E96" s="3616"/>
      <c r="F96" s="3616"/>
      <c r="G96" s="3616"/>
      <c r="H96" s="3616"/>
      <c r="I96" s="3616"/>
      <c r="J96" s="3616"/>
      <c r="K96" s="3616"/>
      <c r="L96" s="3616"/>
      <c r="M96" s="3616"/>
      <c r="N96" s="3616"/>
      <c r="O96" s="3616"/>
      <c r="P96" s="3616"/>
      <c r="Q96" s="3616"/>
      <c r="R96" s="3616"/>
      <c r="S96" s="3616"/>
      <c r="T96" s="3616"/>
      <c r="U96" s="3616"/>
      <c r="V96" s="3616"/>
      <c r="W96" s="3616"/>
      <c r="X96" s="3616"/>
      <c r="Y96" s="3616"/>
      <c r="Z96" s="3616"/>
      <c r="AA96" s="3616"/>
      <c r="AB96" s="3616"/>
      <c r="AC96" s="3616"/>
      <c r="AD96" s="3616"/>
      <c r="AE96" s="3613" t="s">
        <v>6145</v>
      </c>
      <c r="AF96" s="3614"/>
      <c r="AG96" s="3614"/>
      <c r="AH96" s="3614"/>
      <c r="AI96" s="3614"/>
      <c r="AJ96" s="3615"/>
      <c r="AK96" s="3513" t="s">
        <v>6146</v>
      </c>
      <c r="AL96" s="3605"/>
      <c r="AM96" s="3605"/>
      <c r="AN96" s="3514"/>
      <c r="AO96" s="3520">
        <f>UnosPod!F259+UnosPod!F260</f>
        <v>0</v>
      </c>
      <c r="AP96" s="3521"/>
      <c r="AQ96" s="3521"/>
      <c r="AR96" s="3521"/>
      <c r="AS96" s="3521"/>
      <c r="AT96" s="3521"/>
      <c r="AU96" s="3521"/>
      <c r="AV96" s="3522"/>
    </row>
    <row r="97" spans="1:49">
      <c r="A97" s="3594" t="s">
        <v>301</v>
      </c>
      <c r="B97" s="3595"/>
      <c r="C97" s="3616" t="s">
        <v>6147</v>
      </c>
      <c r="D97" s="3616"/>
      <c r="E97" s="3616"/>
      <c r="F97" s="3616"/>
      <c r="G97" s="3616"/>
      <c r="H97" s="3616"/>
      <c r="I97" s="3616"/>
      <c r="J97" s="3616"/>
      <c r="K97" s="3616"/>
      <c r="L97" s="3616"/>
      <c r="M97" s="3616"/>
      <c r="N97" s="3616"/>
      <c r="O97" s="3616"/>
      <c r="P97" s="3616"/>
      <c r="Q97" s="3616"/>
      <c r="R97" s="3616"/>
      <c r="S97" s="3616"/>
      <c r="T97" s="3616"/>
      <c r="U97" s="3616"/>
      <c r="V97" s="3616"/>
      <c r="W97" s="3616"/>
      <c r="X97" s="3616"/>
      <c r="Y97" s="3616"/>
      <c r="Z97" s="3616"/>
      <c r="AA97" s="3616"/>
      <c r="AB97" s="3616"/>
      <c r="AC97" s="3616"/>
      <c r="AD97" s="3616"/>
      <c r="AE97" s="3613" t="s">
        <v>6148</v>
      </c>
      <c r="AF97" s="3614"/>
      <c r="AG97" s="3614"/>
      <c r="AH97" s="3614"/>
      <c r="AI97" s="3614"/>
      <c r="AJ97" s="3615"/>
      <c r="AK97" s="3513" t="s">
        <v>6149</v>
      </c>
      <c r="AL97" s="3605"/>
      <c r="AM97" s="3605"/>
      <c r="AN97" s="3514"/>
      <c r="AO97" s="3520">
        <f>UnosPod!F261+UnosPod!F262</f>
        <v>0</v>
      </c>
      <c r="AP97" s="3521"/>
      <c r="AQ97" s="3521"/>
      <c r="AR97" s="3521"/>
      <c r="AS97" s="3521"/>
      <c r="AT97" s="3521"/>
      <c r="AU97" s="3521"/>
      <c r="AV97" s="3522"/>
    </row>
    <row r="98" spans="1:49">
      <c r="A98" s="3594" t="s">
        <v>303</v>
      </c>
      <c r="B98" s="3595"/>
      <c r="C98" s="3617" t="s">
        <v>6150</v>
      </c>
      <c r="D98" s="3618"/>
      <c r="E98" s="3618"/>
      <c r="F98" s="3618"/>
      <c r="G98" s="3618"/>
      <c r="H98" s="3618"/>
      <c r="I98" s="3618"/>
      <c r="J98" s="3618"/>
      <c r="K98" s="3618"/>
      <c r="L98" s="3618"/>
      <c r="M98" s="3618"/>
      <c r="N98" s="3618"/>
      <c r="O98" s="3618"/>
      <c r="P98" s="3618"/>
      <c r="Q98" s="3618"/>
      <c r="R98" s="3618"/>
      <c r="S98" s="3618"/>
      <c r="T98" s="3618"/>
      <c r="U98" s="3618"/>
      <c r="V98" s="3618"/>
      <c r="W98" s="3618"/>
      <c r="X98" s="3618"/>
      <c r="Y98" s="3618"/>
      <c r="Z98" s="3618"/>
      <c r="AA98" s="3618"/>
      <c r="AB98" s="3618"/>
      <c r="AC98" s="3618"/>
      <c r="AD98" s="3619"/>
      <c r="AE98" s="3613" t="s">
        <v>6151</v>
      </c>
      <c r="AF98" s="3614"/>
      <c r="AG98" s="3614"/>
      <c r="AH98" s="3614"/>
      <c r="AI98" s="3614"/>
      <c r="AJ98" s="3615"/>
      <c r="AK98" s="3513" t="s">
        <v>6152</v>
      </c>
      <c r="AL98" s="3605"/>
      <c r="AM98" s="3605"/>
      <c r="AN98" s="3514"/>
      <c r="AO98" s="3520">
        <f>UnosPod!F297-AO114</f>
        <v>7255</v>
      </c>
      <c r="AP98" s="3521"/>
      <c r="AQ98" s="3521"/>
      <c r="AR98" s="3521"/>
      <c r="AS98" s="3521"/>
      <c r="AT98" s="3521"/>
      <c r="AU98" s="3521"/>
      <c r="AV98" s="3522"/>
    </row>
    <row r="99" spans="1:49">
      <c r="A99" s="3594" t="s">
        <v>305</v>
      </c>
      <c r="B99" s="3595"/>
      <c r="C99" s="3616" t="s">
        <v>6153</v>
      </c>
      <c r="D99" s="3616"/>
      <c r="E99" s="3616"/>
      <c r="F99" s="3616"/>
      <c r="G99" s="3616"/>
      <c r="H99" s="3616"/>
      <c r="I99" s="3616"/>
      <c r="J99" s="3616"/>
      <c r="K99" s="3616"/>
      <c r="L99" s="3616"/>
      <c r="M99" s="3616"/>
      <c r="N99" s="3616"/>
      <c r="O99" s="3616"/>
      <c r="P99" s="3616"/>
      <c r="Q99" s="3616"/>
      <c r="R99" s="3616"/>
      <c r="S99" s="3616"/>
      <c r="T99" s="3616"/>
      <c r="U99" s="3616"/>
      <c r="V99" s="3616"/>
      <c r="W99" s="3616"/>
      <c r="X99" s="3616"/>
      <c r="Y99" s="3616"/>
      <c r="Z99" s="3616"/>
      <c r="AA99" s="3616"/>
      <c r="AB99" s="3616"/>
      <c r="AC99" s="3616"/>
      <c r="AD99" s="3616"/>
      <c r="AE99" s="3613" t="s">
        <v>6154</v>
      </c>
      <c r="AF99" s="3614"/>
      <c r="AG99" s="3614"/>
      <c r="AH99" s="3614"/>
      <c r="AI99" s="3614"/>
      <c r="AJ99" s="3615"/>
      <c r="AK99" s="3513">
        <v>552</v>
      </c>
      <c r="AL99" s="3605"/>
      <c r="AM99" s="3605"/>
      <c r="AN99" s="3514"/>
      <c r="AO99" s="3520">
        <f>UnosPod!F299</f>
        <v>0</v>
      </c>
      <c r="AP99" s="3521"/>
      <c r="AQ99" s="3521"/>
      <c r="AR99" s="3521"/>
      <c r="AS99" s="3521"/>
      <c r="AT99" s="3521"/>
      <c r="AU99" s="3521"/>
      <c r="AV99" s="3522"/>
    </row>
    <row r="100" spans="1:49">
      <c r="A100" s="3594" t="s">
        <v>307</v>
      </c>
      <c r="B100" s="3595"/>
      <c r="C100" s="3620" t="s">
        <v>6155</v>
      </c>
      <c r="D100" s="3620"/>
      <c r="E100" s="3620"/>
      <c r="F100" s="3620"/>
      <c r="G100" s="3620"/>
      <c r="H100" s="3620"/>
      <c r="I100" s="3620"/>
      <c r="J100" s="3620"/>
      <c r="K100" s="3620"/>
      <c r="L100" s="3620"/>
      <c r="M100" s="3620"/>
      <c r="N100" s="3620"/>
      <c r="O100" s="3620"/>
      <c r="P100" s="3620"/>
      <c r="Q100" s="3620"/>
      <c r="R100" s="3620"/>
      <c r="S100" s="3620"/>
      <c r="T100" s="3620"/>
      <c r="U100" s="3620"/>
      <c r="V100" s="3620"/>
      <c r="W100" s="3620"/>
      <c r="X100" s="3620"/>
      <c r="Y100" s="3620"/>
      <c r="Z100" s="3620"/>
      <c r="AA100" s="3620"/>
      <c r="AB100" s="3620"/>
      <c r="AC100" s="3620"/>
      <c r="AD100" s="3620"/>
      <c r="AE100" s="3613" t="s">
        <v>6156</v>
      </c>
      <c r="AF100" s="3614"/>
      <c r="AG100" s="3614"/>
      <c r="AH100" s="3614"/>
      <c r="AI100" s="3614"/>
      <c r="AJ100" s="3615"/>
      <c r="AK100" s="3513"/>
      <c r="AL100" s="3605"/>
      <c r="AM100" s="3605"/>
      <c r="AN100" s="3514"/>
      <c r="AO100" s="3866"/>
      <c r="AP100" s="3867"/>
      <c r="AQ100" s="3867"/>
      <c r="AR100" s="3867"/>
      <c r="AS100" s="3867"/>
      <c r="AT100" s="3867"/>
      <c r="AU100" s="3867"/>
      <c r="AV100" s="3868"/>
    </row>
    <row r="101" spans="1:49">
      <c r="A101" s="3594" t="s">
        <v>309</v>
      </c>
      <c r="B101" s="3595"/>
      <c r="C101" s="3612" t="s">
        <v>6157</v>
      </c>
      <c r="D101" s="3612"/>
      <c r="E101" s="3612"/>
      <c r="F101" s="3612"/>
      <c r="G101" s="3612"/>
      <c r="H101" s="3612"/>
      <c r="I101" s="3612"/>
      <c r="J101" s="3612"/>
      <c r="K101" s="3612"/>
      <c r="L101" s="3612"/>
      <c r="M101" s="3612"/>
      <c r="N101" s="3612"/>
      <c r="O101" s="3612"/>
      <c r="P101" s="3612"/>
      <c r="Q101" s="3612"/>
      <c r="R101" s="3612"/>
      <c r="S101" s="3612"/>
      <c r="T101" s="3612"/>
      <c r="U101" s="3612"/>
      <c r="V101" s="3612"/>
      <c r="W101" s="3612"/>
      <c r="X101" s="3612"/>
      <c r="Y101" s="3612"/>
      <c r="Z101" s="3612"/>
      <c r="AA101" s="3612"/>
      <c r="AB101" s="3612"/>
      <c r="AC101" s="3612"/>
      <c r="AD101" s="3612"/>
      <c r="AE101" s="3613" t="s">
        <v>6158</v>
      </c>
      <c r="AF101" s="3614"/>
      <c r="AG101" s="3614"/>
      <c r="AH101" s="3614"/>
      <c r="AI101" s="3614"/>
      <c r="AJ101" s="3615"/>
      <c r="AK101" s="3513" t="s">
        <v>6159</v>
      </c>
      <c r="AL101" s="3605"/>
      <c r="AM101" s="3605"/>
      <c r="AN101" s="3514"/>
      <c r="AO101" s="3520">
        <f>UnosPod!F263</f>
        <v>0</v>
      </c>
      <c r="AP101" s="3521"/>
      <c r="AQ101" s="3521"/>
      <c r="AR101" s="3521"/>
      <c r="AS101" s="3521"/>
      <c r="AT101" s="3521"/>
      <c r="AU101" s="3521"/>
      <c r="AV101" s="3522"/>
    </row>
    <row r="102" spans="1:49">
      <c r="A102" s="3594" t="s">
        <v>311</v>
      </c>
      <c r="B102" s="3595"/>
      <c r="C102" s="3621" t="s">
        <v>6160</v>
      </c>
      <c r="D102" s="3622"/>
      <c r="E102" s="3622"/>
      <c r="F102" s="3622"/>
      <c r="G102" s="3622"/>
      <c r="H102" s="3622"/>
      <c r="I102" s="3622"/>
      <c r="J102" s="3622"/>
      <c r="K102" s="3622"/>
      <c r="L102" s="3622"/>
      <c r="M102" s="3622"/>
      <c r="N102" s="3622"/>
      <c r="O102" s="3622"/>
      <c r="P102" s="3622"/>
      <c r="Q102" s="3622"/>
      <c r="R102" s="3622"/>
      <c r="S102" s="3622"/>
      <c r="T102" s="3622"/>
      <c r="U102" s="3622"/>
      <c r="V102" s="3622"/>
      <c r="W102" s="3622"/>
      <c r="X102" s="3622"/>
      <c r="Y102" s="3622"/>
      <c r="Z102" s="3622"/>
      <c r="AA102" s="3622"/>
      <c r="AB102" s="3622"/>
      <c r="AC102" s="3622"/>
      <c r="AD102" s="3623"/>
      <c r="AE102" s="3613" t="s">
        <v>6161</v>
      </c>
      <c r="AF102" s="3614"/>
      <c r="AG102" s="3614"/>
      <c r="AH102" s="3614"/>
      <c r="AI102" s="3614"/>
      <c r="AJ102" s="3615"/>
      <c r="AK102" s="3513">
        <v>553</v>
      </c>
      <c r="AL102" s="3605"/>
      <c r="AM102" s="3605"/>
      <c r="AN102" s="3514"/>
      <c r="AO102" s="3520">
        <f>UnosPod!F300</f>
        <v>1127</v>
      </c>
      <c r="AP102" s="3521"/>
      <c r="AQ102" s="3521"/>
      <c r="AR102" s="3521"/>
      <c r="AS102" s="3521"/>
      <c r="AT102" s="3521"/>
      <c r="AU102" s="3521"/>
      <c r="AV102" s="3522"/>
    </row>
    <row r="103" ht="24.75" customHeight="1" spans="1:49">
      <c r="A103" s="3594" t="s">
        <v>313</v>
      </c>
      <c r="B103" s="3595"/>
      <c r="C103" s="3624" t="s">
        <v>6162</v>
      </c>
      <c r="D103" s="3625"/>
      <c r="E103" s="3625"/>
      <c r="F103" s="3625"/>
      <c r="G103" s="3625"/>
      <c r="H103" s="3625"/>
      <c r="I103" s="3625"/>
      <c r="J103" s="3625"/>
      <c r="K103" s="3625"/>
      <c r="L103" s="3625"/>
      <c r="M103" s="3625"/>
      <c r="N103" s="3625"/>
      <c r="O103" s="3625"/>
      <c r="P103" s="3625"/>
      <c r="Q103" s="3625"/>
      <c r="R103" s="3625"/>
      <c r="S103" s="3625"/>
      <c r="T103" s="3625"/>
      <c r="U103" s="3625"/>
      <c r="V103" s="3625"/>
      <c r="W103" s="3625"/>
      <c r="X103" s="3625"/>
      <c r="Y103" s="3625"/>
      <c r="Z103" s="3625"/>
      <c r="AA103" s="3625"/>
      <c r="AB103" s="3625"/>
      <c r="AC103" s="3625"/>
      <c r="AD103" s="3626"/>
      <c r="AE103" s="3613" t="s">
        <v>6163</v>
      </c>
      <c r="AF103" s="3614"/>
      <c r="AG103" s="3614"/>
      <c r="AH103" s="3614"/>
      <c r="AI103" s="3614"/>
      <c r="AJ103" s="3615"/>
      <c r="AK103" s="3568" t="s">
        <v>6164</v>
      </c>
      <c r="AL103" s="3569"/>
      <c r="AM103" s="3569"/>
      <c r="AN103" s="3570"/>
      <c r="AO103" s="3520">
        <f>UnosPod!F253-AO105</f>
        <v>0</v>
      </c>
      <c r="AP103" s="3521"/>
      <c r="AQ103" s="3521"/>
      <c r="AR103" s="3521"/>
      <c r="AS103" s="3521"/>
      <c r="AT103" s="3521"/>
      <c r="AU103" s="3521"/>
      <c r="AV103" s="3522"/>
      <c r="AW103" s="2085"/>
    </row>
    <row r="104" spans="1:49">
      <c r="A104" s="3594" t="s">
        <v>508</v>
      </c>
      <c r="B104" s="3595"/>
      <c r="C104" s="3612" t="s">
        <v>6165</v>
      </c>
      <c r="D104" s="3612"/>
      <c r="E104" s="3612"/>
      <c r="F104" s="3612"/>
      <c r="G104" s="3612"/>
      <c r="H104" s="3612"/>
      <c r="I104" s="3612"/>
      <c r="J104" s="3612"/>
      <c r="K104" s="3612"/>
      <c r="L104" s="3612"/>
      <c r="M104" s="3612"/>
      <c r="N104" s="3612"/>
      <c r="O104" s="3612"/>
      <c r="P104" s="3612"/>
      <c r="Q104" s="3612"/>
      <c r="R104" s="3612"/>
      <c r="S104" s="3612"/>
      <c r="T104" s="3612"/>
      <c r="U104" s="3612"/>
      <c r="V104" s="3612"/>
      <c r="W104" s="3612"/>
      <c r="X104" s="3612"/>
      <c r="Y104" s="3612"/>
      <c r="Z104" s="3612"/>
      <c r="AA104" s="3612"/>
      <c r="AB104" s="3612"/>
      <c r="AC104" s="3612"/>
      <c r="AD104" s="3612"/>
      <c r="AE104" s="3613" t="s">
        <v>6166</v>
      </c>
      <c r="AF104" s="3614"/>
      <c r="AG104" s="3614"/>
      <c r="AH104" s="3614"/>
      <c r="AI104" s="3614"/>
      <c r="AJ104" s="3615"/>
      <c r="AK104" s="3513">
        <v>533</v>
      </c>
      <c r="AL104" s="3605"/>
      <c r="AM104" s="3605"/>
      <c r="AN104" s="3514"/>
      <c r="AO104" s="3520">
        <f>UnosPod!F258</f>
        <v>0</v>
      </c>
      <c r="AP104" s="3521"/>
      <c r="AQ104" s="3521"/>
      <c r="AR104" s="3521"/>
      <c r="AS104" s="3521"/>
      <c r="AT104" s="3521"/>
      <c r="AU104" s="3521"/>
      <c r="AV104" s="3522"/>
    </row>
    <row r="105" ht="29.25" customHeight="1" spans="1:49">
      <c r="A105" s="3594" t="s">
        <v>522</v>
      </c>
      <c r="B105" s="3595"/>
      <c r="C105" s="3620" t="s">
        <v>6167</v>
      </c>
      <c r="D105" s="3620"/>
      <c r="E105" s="3620"/>
      <c r="F105" s="3620"/>
      <c r="G105" s="3620"/>
      <c r="H105" s="3620"/>
      <c r="I105" s="3620"/>
      <c r="J105" s="3620"/>
      <c r="K105" s="3620"/>
      <c r="L105" s="3620"/>
      <c r="M105" s="3620"/>
      <c r="N105" s="3620"/>
      <c r="O105" s="3620"/>
      <c r="P105" s="3620"/>
      <c r="Q105" s="3620"/>
      <c r="R105" s="3620"/>
      <c r="S105" s="3620"/>
      <c r="T105" s="3620"/>
      <c r="U105" s="3620"/>
      <c r="V105" s="3620"/>
      <c r="W105" s="3620"/>
      <c r="X105" s="3620"/>
      <c r="Y105" s="3620"/>
      <c r="Z105" s="3620"/>
      <c r="AA105" s="3620"/>
      <c r="AB105" s="3620"/>
      <c r="AC105" s="3620"/>
      <c r="AD105" s="3620"/>
      <c r="AE105" s="3613" t="s">
        <v>6168</v>
      </c>
      <c r="AF105" s="3614"/>
      <c r="AG105" s="3614"/>
      <c r="AH105" s="3614"/>
      <c r="AI105" s="3614"/>
      <c r="AJ105" s="3615"/>
      <c r="AK105" s="3513" t="s">
        <v>6159</v>
      </c>
      <c r="AL105" s="3605"/>
      <c r="AM105" s="3605"/>
      <c r="AN105" s="3514"/>
      <c r="AO105" s="3866"/>
      <c r="AP105" s="3867"/>
      <c r="AQ105" s="3867"/>
      <c r="AR105" s="3867"/>
      <c r="AS105" s="3867"/>
      <c r="AT105" s="3867"/>
      <c r="AU105" s="3867"/>
      <c r="AV105" s="3868"/>
    </row>
    <row r="106" ht="24.75" customHeight="1" spans="1:49">
      <c r="A106" s="3594" t="s">
        <v>536</v>
      </c>
      <c r="B106" s="3595"/>
      <c r="C106" s="3627" t="s">
        <v>6169</v>
      </c>
      <c r="D106" s="3628"/>
      <c r="E106" s="3628"/>
      <c r="F106" s="3628"/>
      <c r="G106" s="3628"/>
      <c r="H106" s="3628"/>
      <c r="I106" s="3628"/>
      <c r="J106" s="3628"/>
      <c r="K106" s="3628"/>
      <c r="L106" s="3628"/>
      <c r="M106" s="3628"/>
      <c r="N106" s="3628"/>
      <c r="O106" s="3628"/>
      <c r="P106" s="3628"/>
      <c r="Q106" s="3628"/>
      <c r="R106" s="3628"/>
      <c r="S106" s="3628"/>
      <c r="T106" s="3628"/>
      <c r="U106" s="3628"/>
      <c r="V106" s="3628"/>
      <c r="W106" s="3628"/>
      <c r="X106" s="3628"/>
      <c r="Y106" s="3628"/>
      <c r="Z106" s="3628"/>
      <c r="AA106" s="3628"/>
      <c r="AB106" s="3628"/>
      <c r="AC106" s="3628"/>
      <c r="AD106" s="3629"/>
      <c r="AE106" s="3596" t="s">
        <v>6170</v>
      </c>
      <c r="AF106" s="3597"/>
      <c r="AG106" s="3597"/>
      <c r="AH106" s="3597"/>
      <c r="AI106" s="3597"/>
      <c r="AJ106" s="3598"/>
      <c r="AK106" s="3513"/>
      <c r="AL106" s="3605"/>
      <c r="AM106" s="3605"/>
      <c r="AN106" s="3514"/>
      <c r="AO106" s="3602">
        <f>AO107+AO108+AO109</f>
        <v>197104</v>
      </c>
      <c r="AP106" s="3603"/>
      <c r="AQ106" s="3603"/>
      <c r="AR106" s="3603"/>
      <c r="AS106" s="3603"/>
      <c r="AT106" s="3603"/>
      <c r="AU106" s="3603"/>
      <c r="AV106" s="3604"/>
    </row>
    <row r="107" ht="24.75" customHeight="1" spans="1:49">
      <c r="A107" s="3594" t="s">
        <v>550</v>
      </c>
      <c r="B107" s="3595"/>
      <c r="C107" s="3630" t="s">
        <v>6171</v>
      </c>
      <c r="D107" s="3631"/>
      <c r="E107" s="3631"/>
      <c r="F107" s="3631"/>
      <c r="G107" s="3631"/>
      <c r="H107" s="3631"/>
      <c r="I107" s="3631"/>
      <c r="J107" s="3631"/>
      <c r="K107" s="3631"/>
      <c r="L107" s="3631"/>
      <c r="M107" s="3631"/>
      <c r="N107" s="3631"/>
      <c r="O107" s="3631"/>
      <c r="P107" s="3631"/>
      <c r="Q107" s="3631"/>
      <c r="R107" s="3631"/>
      <c r="S107" s="3631"/>
      <c r="T107" s="3631"/>
      <c r="U107" s="3631"/>
      <c r="V107" s="3631"/>
      <c r="W107" s="3631"/>
      <c r="X107" s="3631"/>
      <c r="Y107" s="3631"/>
      <c r="Z107" s="3631"/>
      <c r="AA107" s="3631"/>
      <c r="AB107" s="3631"/>
      <c r="AC107" s="3631"/>
      <c r="AD107" s="3632"/>
      <c r="AE107" s="3633" t="s">
        <v>6172</v>
      </c>
      <c r="AF107" s="3634"/>
      <c r="AG107" s="3634"/>
      <c r="AH107" s="3634"/>
      <c r="AI107" s="3634"/>
      <c r="AJ107" s="3635"/>
      <c r="AK107" s="3513" t="s">
        <v>6173</v>
      </c>
      <c r="AL107" s="3605"/>
      <c r="AM107" s="3605"/>
      <c r="AN107" s="3514"/>
      <c r="AO107" s="3520">
        <f>UnosPod!F244+UnosPod!F249-UnosPod!F243-UnosPod!F248</f>
        <v>152542</v>
      </c>
      <c r="AP107" s="3521"/>
      <c r="AQ107" s="3521"/>
      <c r="AR107" s="3521"/>
      <c r="AS107" s="3521"/>
      <c r="AT107" s="3521"/>
      <c r="AU107" s="3521"/>
      <c r="AV107" s="3522"/>
    </row>
    <row r="108" ht="24.75" customHeight="1" spans="1:49">
      <c r="A108" s="3594" t="s">
        <v>563</v>
      </c>
      <c r="B108" s="3595"/>
      <c r="C108" s="3630" t="s">
        <v>6174</v>
      </c>
      <c r="D108" s="3631"/>
      <c r="E108" s="3631"/>
      <c r="F108" s="3631"/>
      <c r="G108" s="3631"/>
      <c r="H108" s="3631"/>
      <c r="I108" s="3631"/>
      <c r="J108" s="3631"/>
      <c r="K108" s="3631"/>
      <c r="L108" s="3631"/>
      <c r="M108" s="3631"/>
      <c r="N108" s="3631"/>
      <c r="O108" s="3631"/>
      <c r="P108" s="3631"/>
      <c r="Q108" s="3631"/>
      <c r="R108" s="3631"/>
      <c r="S108" s="3631"/>
      <c r="T108" s="3631"/>
      <c r="U108" s="3631"/>
      <c r="V108" s="3631"/>
      <c r="W108" s="3631"/>
      <c r="X108" s="3631"/>
      <c r="Y108" s="3631"/>
      <c r="Z108" s="3631"/>
      <c r="AA108" s="3631"/>
      <c r="AB108" s="3631"/>
      <c r="AC108" s="3631"/>
      <c r="AD108" s="3632"/>
      <c r="AE108" s="3633" t="s">
        <v>6175</v>
      </c>
      <c r="AF108" s="3634"/>
      <c r="AG108" s="3634"/>
      <c r="AH108" s="3634"/>
      <c r="AI108" s="3634"/>
      <c r="AJ108" s="3635"/>
      <c r="AK108" s="3513" t="s">
        <v>6176</v>
      </c>
      <c r="AL108" s="3605"/>
      <c r="AM108" s="3605"/>
      <c r="AN108" s="3514"/>
      <c r="AO108" s="3520">
        <f>UnosPod!F251+UnosPod!F252</f>
        <v>33957</v>
      </c>
      <c r="AP108" s="3521"/>
      <c r="AQ108" s="3521"/>
      <c r="AR108" s="3521"/>
      <c r="AS108" s="3521"/>
      <c r="AT108" s="3521"/>
      <c r="AU108" s="3521"/>
      <c r="AV108" s="3522"/>
    </row>
    <row r="109" spans="1:49">
      <c r="A109" s="3594" t="s">
        <v>575</v>
      </c>
      <c r="B109" s="3595"/>
      <c r="C109" s="3636" t="s">
        <v>6177</v>
      </c>
      <c r="D109" s="3637"/>
      <c r="E109" s="3637"/>
      <c r="F109" s="3637"/>
      <c r="G109" s="3637"/>
      <c r="H109" s="3637"/>
      <c r="I109" s="3637"/>
      <c r="J109" s="3637"/>
      <c r="K109" s="3637"/>
      <c r="L109" s="3637"/>
      <c r="M109" s="3637"/>
      <c r="N109" s="3637"/>
      <c r="O109" s="3637"/>
      <c r="P109" s="3637"/>
      <c r="Q109" s="3637"/>
      <c r="R109" s="3637"/>
      <c r="S109" s="3637"/>
      <c r="T109" s="3637"/>
      <c r="U109" s="3637"/>
      <c r="V109" s="3637"/>
      <c r="W109" s="3637"/>
      <c r="X109" s="3637"/>
      <c r="Y109" s="3637"/>
      <c r="Z109" s="3637"/>
      <c r="AA109" s="3637"/>
      <c r="AB109" s="3637"/>
      <c r="AC109" s="3637"/>
      <c r="AD109" s="3638"/>
      <c r="AE109" s="3633" t="s">
        <v>6178</v>
      </c>
      <c r="AF109" s="3634"/>
      <c r="AG109" s="3634"/>
      <c r="AH109" s="3634"/>
      <c r="AI109" s="3634"/>
      <c r="AJ109" s="3635"/>
      <c r="AK109" s="3513" t="s">
        <v>6179</v>
      </c>
      <c r="AL109" s="3605"/>
      <c r="AM109" s="3605"/>
      <c r="AN109" s="3514"/>
      <c r="AO109" s="3520">
        <f>UnosPod!F243+UnosPod!F248</f>
        <v>10605</v>
      </c>
      <c r="AP109" s="3521"/>
      <c r="AQ109" s="3521"/>
      <c r="AR109" s="3521"/>
      <c r="AS109" s="3521"/>
      <c r="AT109" s="3521"/>
      <c r="AU109" s="3521"/>
      <c r="AV109" s="3522"/>
    </row>
    <row r="110" ht="14.25" customHeight="1" spans="1:49">
      <c r="A110" s="3594" t="s">
        <v>588</v>
      </c>
      <c r="B110" s="3595"/>
      <c r="C110" s="3564" t="s">
        <v>6180</v>
      </c>
      <c r="D110" s="3564"/>
      <c r="E110" s="3564"/>
      <c r="F110" s="3564"/>
      <c r="G110" s="3564"/>
      <c r="H110" s="3564"/>
      <c r="I110" s="3564"/>
      <c r="J110" s="3564"/>
      <c r="K110" s="3564"/>
      <c r="L110" s="3564"/>
      <c r="M110" s="3564"/>
      <c r="N110" s="3564"/>
      <c r="O110" s="3564"/>
      <c r="P110" s="3564"/>
      <c r="Q110" s="3564"/>
      <c r="R110" s="3564"/>
      <c r="S110" s="3564"/>
      <c r="T110" s="3564"/>
      <c r="U110" s="3564"/>
      <c r="V110" s="3564"/>
      <c r="W110" s="3564"/>
      <c r="X110" s="3564"/>
      <c r="Y110" s="3564"/>
      <c r="Z110" s="3564"/>
      <c r="AA110" s="3564"/>
      <c r="AB110" s="3564"/>
      <c r="AC110" s="3564"/>
      <c r="AD110" s="3564"/>
      <c r="AE110" s="3596" t="s">
        <v>6181</v>
      </c>
      <c r="AF110" s="3597"/>
      <c r="AG110" s="3597"/>
      <c r="AH110" s="3597"/>
      <c r="AI110" s="3597"/>
      <c r="AJ110" s="3598"/>
      <c r="AK110" s="3639" t="s">
        <v>6182</v>
      </c>
      <c r="AL110" s="3640"/>
      <c r="AM110" s="3640"/>
      <c r="AN110" s="3641"/>
      <c r="AO110" s="3602">
        <f>UnosPod!F272+UnosPod!F280+UnosPod!F288</f>
        <v>4549</v>
      </c>
      <c r="AP110" s="3603"/>
      <c r="AQ110" s="3603"/>
      <c r="AR110" s="3603"/>
      <c r="AS110" s="3603"/>
      <c r="AT110" s="3603"/>
      <c r="AU110" s="3603"/>
      <c r="AV110" s="3604"/>
    </row>
    <row r="111" ht="14.25" customHeight="1" spans="1:49">
      <c r="A111" s="3594" t="s">
        <v>601</v>
      </c>
      <c r="B111" s="3595"/>
      <c r="C111" s="3564" t="s">
        <v>6183</v>
      </c>
      <c r="D111" s="3564"/>
      <c r="E111" s="3564"/>
      <c r="F111" s="3564"/>
      <c r="G111" s="3564"/>
      <c r="H111" s="3564"/>
      <c r="I111" s="3564"/>
      <c r="J111" s="3564"/>
      <c r="K111" s="3564"/>
      <c r="L111" s="3564"/>
      <c r="M111" s="3564"/>
      <c r="N111" s="3564"/>
      <c r="O111" s="3564"/>
      <c r="P111" s="3564"/>
      <c r="Q111" s="3564"/>
      <c r="R111" s="3564"/>
      <c r="S111" s="3564"/>
      <c r="T111" s="3564"/>
      <c r="U111" s="3564"/>
      <c r="V111" s="3564"/>
      <c r="W111" s="3564"/>
      <c r="X111" s="3564"/>
      <c r="Y111" s="3564"/>
      <c r="Z111" s="3564"/>
      <c r="AA111" s="3564"/>
      <c r="AB111" s="3564"/>
      <c r="AC111" s="3564"/>
      <c r="AD111" s="3564"/>
      <c r="AE111" s="3596" t="s">
        <v>6184</v>
      </c>
      <c r="AF111" s="3597"/>
      <c r="AG111" s="3597"/>
      <c r="AH111" s="3597"/>
      <c r="AI111" s="3597"/>
      <c r="AJ111" s="3598"/>
      <c r="AK111" s="3513" t="s">
        <v>6185</v>
      </c>
      <c r="AL111" s="3605"/>
      <c r="AM111" s="3605"/>
      <c r="AN111" s="3514"/>
      <c r="AO111" s="3602">
        <f>SUM(UnosPod!F289:L295)</f>
        <v>0</v>
      </c>
      <c r="AP111" s="3603"/>
      <c r="AQ111" s="3603"/>
      <c r="AR111" s="3603"/>
      <c r="AS111" s="3603"/>
      <c r="AT111" s="3603"/>
      <c r="AU111" s="3603"/>
      <c r="AV111" s="3604"/>
    </row>
    <row r="112" ht="14.25" customHeight="1" spans="1:49">
      <c r="A112" s="3594" t="s">
        <v>612</v>
      </c>
      <c r="B112" s="3595"/>
      <c r="C112" s="3564" t="s">
        <v>6186</v>
      </c>
      <c r="D112" s="3564"/>
      <c r="E112" s="3564"/>
      <c r="F112" s="3564"/>
      <c r="G112" s="3564"/>
      <c r="H112" s="3564"/>
      <c r="I112" s="3564"/>
      <c r="J112" s="3564"/>
      <c r="K112" s="3564"/>
      <c r="L112" s="3564"/>
      <c r="M112" s="3564"/>
      <c r="N112" s="3564"/>
      <c r="O112" s="3564"/>
      <c r="P112" s="3564"/>
      <c r="Q112" s="3564"/>
      <c r="R112" s="3564"/>
      <c r="S112" s="3564"/>
      <c r="T112" s="3564"/>
      <c r="U112" s="3564"/>
      <c r="V112" s="3564"/>
      <c r="W112" s="3564"/>
      <c r="X112" s="3564"/>
      <c r="Y112" s="3564"/>
      <c r="Z112" s="3564"/>
      <c r="AA112" s="3564"/>
      <c r="AB112" s="3564"/>
      <c r="AC112" s="3564"/>
      <c r="AD112" s="3564"/>
      <c r="AE112" s="3596" t="s">
        <v>6187</v>
      </c>
      <c r="AF112" s="3597"/>
      <c r="AG112" s="3597"/>
      <c r="AH112" s="3597"/>
      <c r="AI112" s="3597"/>
      <c r="AJ112" s="3598"/>
      <c r="AK112" s="3513"/>
      <c r="AL112" s="3605"/>
      <c r="AM112" s="3605"/>
      <c r="AN112" s="3514"/>
      <c r="AO112" s="3602">
        <f>SUM(AO113:AV118)</f>
        <v>64871</v>
      </c>
      <c r="AP112" s="3603"/>
      <c r="AQ112" s="3603"/>
      <c r="AR112" s="3603"/>
      <c r="AS112" s="3603"/>
      <c r="AT112" s="3603"/>
      <c r="AU112" s="3603"/>
      <c r="AV112" s="3604"/>
    </row>
    <row r="113" ht="26.25" customHeight="1" spans="1:49">
      <c r="A113" s="3594" t="s">
        <v>624</v>
      </c>
      <c r="B113" s="3595"/>
      <c r="C113" s="3620" t="s">
        <v>6188</v>
      </c>
      <c r="D113" s="3620"/>
      <c r="E113" s="3620"/>
      <c r="F113" s="3620"/>
      <c r="G113" s="3620"/>
      <c r="H113" s="3620"/>
      <c r="I113" s="3620"/>
      <c r="J113" s="3620"/>
      <c r="K113" s="3620"/>
      <c r="L113" s="3620"/>
      <c r="M113" s="3620"/>
      <c r="N113" s="3620"/>
      <c r="O113" s="3620"/>
      <c r="P113" s="3620"/>
      <c r="Q113" s="3620"/>
      <c r="R113" s="3620"/>
      <c r="S113" s="3620"/>
      <c r="T113" s="3620"/>
      <c r="U113" s="3620"/>
      <c r="V113" s="3620"/>
      <c r="W113" s="3620"/>
      <c r="X113" s="3620"/>
      <c r="Y113" s="3620"/>
      <c r="Z113" s="3620"/>
      <c r="AA113" s="3620"/>
      <c r="AB113" s="3620"/>
      <c r="AC113" s="3620"/>
      <c r="AD113" s="3620"/>
      <c r="AE113" s="3613" t="s">
        <v>6189</v>
      </c>
      <c r="AF113" s="3614"/>
      <c r="AG113" s="3614"/>
      <c r="AH113" s="3614"/>
      <c r="AI113" s="3614"/>
      <c r="AJ113" s="3615"/>
      <c r="AK113" s="3599" t="s">
        <v>6190</v>
      </c>
      <c r="AL113" s="3600"/>
      <c r="AM113" s="3600"/>
      <c r="AN113" s="3601"/>
      <c r="AO113" s="3520">
        <f>UnosPod!F250+UnosPod!F251</f>
        <v>36454</v>
      </c>
      <c r="AP113" s="3521"/>
      <c r="AQ113" s="3521"/>
      <c r="AR113" s="3521"/>
      <c r="AS113" s="3521"/>
      <c r="AT113" s="3521"/>
      <c r="AU113" s="3521"/>
      <c r="AV113" s="3522"/>
    </row>
    <row r="114" ht="26.25" customHeight="1" spans="1:49">
      <c r="A114" s="3594" t="s">
        <v>636</v>
      </c>
      <c r="B114" s="3595"/>
      <c r="C114" s="3642" t="s">
        <v>6191</v>
      </c>
      <c r="D114" s="3643"/>
      <c r="E114" s="3643"/>
      <c r="F114" s="3643"/>
      <c r="G114" s="3643"/>
      <c r="H114" s="3643"/>
      <c r="I114" s="3643"/>
      <c r="J114" s="3643"/>
      <c r="K114" s="3643"/>
      <c r="L114" s="3643"/>
      <c r="M114" s="3643"/>
      <c r="N114" s="3643"/>
      <c r="O114" s="3643"/>
      <c r="P114" s="3643"/>
      <c r="Q114" s="3643"/>
      <c r="R114" s="3643"/>
      <c r="S114" s="3643"/>
      <c r="T114" s="3643"/>
      <c r="U114" s="3643"/>
      <c r="V114" s="3643"/>
      <c r="W114" s="3643"/>
      <c r="X114" s="3643"/>
      <c r="Y114" s="3643"/>
      <c r="Z114" s="3643"/>
      <c r="AA114" s="3643"/>
      <c r="AB114" s="3643"/>
      <c r="AC114" s="3643"/>
      <c r="AD114" s="3644"/>
      <c r="AE114" s="3613" t="s">
        <v>6192</v>
      </c>
      <c r="AF114" s="3614"/>
      <c r="AG114" s="3614"/>
      <c r="AH114" s="3614"/>
      <c r="AI114" s="3614"/>
      <c r="AJ114" s="3615"/>
      <c r="AK114" s="3513" t="s">
        <v>6152</v>
      </c>
      <c r="AL114" s="3605"/>
      <c r="AM114" s="3605"/>
      <c r="AN114" s="3514"/>
      <c r="AO114" s="3866"/>
      <c r="AP114" s="3867"/>
      <c r="AQ114" s="3867"/>
      <c r="AR114" s="3867"/>
      <c r="AS114" s="3867"/>
      <c r="AT114" s="3867"/>
      <c r="AU114" s="3867"/>
      <c r="AV114" s="3868"/>
    </row>
    <row r="115" ht="17.25" customHeight="1" spans="1:49">
      <c r="A115" s="3594" t="s">
        <v>647</v>
      </c>
      <c r="B115" s="3595"/>
      <c r="C115" s="3612" t="s">
        <v>6193</v>
      </c>
      <c r="D115" s="3612"/>
      <c r="E115" s="3612"/>
      <c r="F115" s="3612"/>
      <c r="G115" s="3612"/>
      <c r="H115" s="3612"/>
      <c r="I115" s="3612"/>
      <c r="J115" s="3612"/>
      <c r="K115" s="3612"/>
      <c r="L115" s="3612"/>
      <c r="M115" s="3612"/>
      <c r="N115" s="3612"/>
      <c r="O115" s="3612"/>
      <c r="P115" s="3612"/>
      <c r="Q115" s="3612"/>
      <c r="R115" s="3612"/>
      <c r="S115" s="3612"/>
      <c r="T115" s="3612"/>
      <c r="U115" s="3612"/>
      <c r="V115" s="3612"/>
      <c r="W115" s="3612"/>
      <c r="X115" s="3612"/>
      <c r="Y115" s="3612"/>
      <c r="Z115" s="3612"/>
      <c r="AA115" s="3612"/>
      <c r="AB115" s="3612"/>
      <c r="AC115" s="3612"/>
      <c r="AD115" s="3612"/>
      <c r="AE115" s="3613" t="s">
        <v>6194</v>
      </c>
      <c r="AF115" s="3614"/>
      <c r="AG115" s="3614"/>
      <c r="AH115" s="3614"/>
      <c r="AI115" s="3614"/>
      <c r="AJ115" s="3615"/>
      <c r="AK115" s="3513">
        <v>551</v>
      </c>
      <c r="AL115" s="3605"/>
      <c r="AM115" s="3605"/>
      <c r="AN115" s="3514"/>
      <c r="AO115" s="3520">
        <f>UnosPod!F298</f>
        <v>775</v>
      </c>
      <c r="AP115" s="3521"/>
      <c r="AQ115" s="3521"/>
      <c r="AR115" s="3521"/>
      <c r="AS115" s="3521"/>
      <c r="AT115" s="3521"/>
      <c r="AU115" s="3521"/>
      <c r="AV115" s="3522"/>
    </row>
    <row r="116" ht="17.25" customHeight="1" spans="1:49">
      <c r="A116" s="3594" t="s">
        <v>656</v>
      </c>
      <c r="B116" s="3595"/>
      <c r="C116" s="3612" t="s">
        <v>6195</v>
      </c>
      <c r="D116" s="3612"/>
      <c r="E116" s="3612"/>
      <c r="F116" s="3612"/>
      <c r="G116" s="3612"/>
      <c r="H116" s="3612"/>
      <c r="I116" s="3612"/>
      <c r="J116" s="3612"/>
      <c r="K116" s="3612"/>
      <c r="L116" s="3612"/>
      <c r="M116" s="3612"/>
      <c r="N116" s="3612"/>
      <c r="O116" s="3612"/>
      <c r="P116" s="3612"/>
      <c r="Q116" s="3612"/>
      <c r="R116" s="3612"/>
      <c r="S116" s="3612"/>
      <c r="T116" s="3612"/>
      <c r="U116" s="3612"/>
      <c r="V116" s="3612"/>
      <c r="W116" s="3612"/>
      <c r="X116" s="3612"/>
      <c r="Y116" s="3612"/>
      <c r="Z116" s="3612"/>
      <c r="AA116" s="3612"/>
      <c r="AB116" s="3612"/>
      <c r="AC116" s="3612"/>
      <c r="AD116" s="3612"/>
      <c r="AE116" s="3613" t="s">
        <v>6196</v>
      </c>
      <c r="AF116" s="3614"/>
      <c r="AG116" s="3614"/>
      <c r="AH116" s="3614"/>
      <c r="AI116" s="3614"/>
      <c r="AJ116" s="3615"/>
      <c r="AK116" s="3513">
        <v>556</v>
      </c>
      <c r="AL116" s="3605"/>
      <c r="AM116" s="3605"/>
      <c r="AN116" s="3514"/>
      <c r="AO116" s="3520">
        <f>UnosPod!F303</f>
        <v>0</v>
      </c>
      <c r="AP116" s="3521"/>
      <c r="AQ116" s="3521"/>
      <c r="AR116" s="3521"/>
      <c r="AS116" s="3521"/>
      <c r="AT116" s="3521"/>
      <c r="AU116" s="3521"/>
      <c r="AV116" s="3522"/>
    </row>
    <row r="117" ht="17.25" customHeight="1" spans="1:49">
      <c r="A117" s="3594" t="s">
        <v>665</v>
      </c>
      <c r="B117" s="3595"/>
      <c r="C117" s="3612" t="s">
        <v>6197</v>
      </c>
      <c r="D117" s="3612"/>
      <c r="E117" s="3612"/>
      <c r="F117" s="3612"/>
      <c r="G117" s="3612"/>
      <c r="H117" s="3612"/>
      <c r="I117" s="3612"/>
      <c r="J117" s="3612"/>
      <c r="K117" s="3612"/>
      <c r="L117" s="3612"/>
      <c r="M117" s="3612"/>
      <c r="N117" s="3612"/>
      <c r="O117" s="3612"/>
      <c r="P117" s="3612"/>
      <c r="Q117" s="3612"/>
      <c r="R117" s="3612"/>
      <c r="S117" s="3612"/>
      <c r="T117" s="3612"/>
      <c r="U117" s="3612"/>
      <c r="V117" s="3612"/>
      <c r="W117" s="3612"/>
      <c r="X117" s="3612"/>
      <c r="Y117" s="3612"/>
      <c r="Z117" s="3612"/>
      <c r="AA117" s="3612"/>
      <c r="AB117" s="3612"/>
      <c r="AC117" s="3612"/>
      <c r="AD117" s="3612"/>
      <c r="AE117" s="3613" t="s">
        <v>6198</v>
      </c>
      <c r="AF117" s="3614"/>
      <c r="AG117" s="3614"/>
      <c r="AH117" s="3614"/>
      <c r="AI117" s="3614"/>
      <c r="AJ117" s="3615"/>
      <c r="AK117" s="3513" t="s">
        <v>6199</v>
      </c>
      <c r="AL117" s="3605"/>
      <c r="AM117" s="3605"/>
      <c r="AN117" s="3514"/>
      <c r="AO117" s="3520">
        <f>UnosPod!F302</f>
        <v>27285</v>
      </c>
      <c r="AP117" s="3521"/>
      <c r="AQ117" s="3521"/>
      <c r="AR117" s="3521"/>
      <c r="AS117" s="3521"/>
      <c r="AT117" s="3521"/>
      <c r="AU117" s="3521"/>
      <c r="AV117" s="3522"/>
    </row>
    <row r="118" ht="27" customHeight="1" spans="1:49">
      <c r="A118" s="3594" t="s">
        <v>675</v>
      </c>
      <c r="B118" s="3595"/>
      <c r="C118" s="3645" t="s">
        <v>6200</v>
      </c>
      <c r="D118" s="3646"/>
      <c r="E118" s="3646"/>
      <c r="F118" s="3646"/>
      <c r="G118" s="3646"/>
      <c r="H118" s="3646"/>
      <c r="I118" s="3646"/>
      <c r="J118" s="3646"/>
      <c r="K118" s="3646"/>
      <c r="L118" s="3646"/>
      <c r="M118" s="3646"/>
      <c r="N118" s="3646"/>
      <c r="O118" s="3646"/>
      <c r="P118" s="3646"/>
      <c r="Q118" s="3646"/>
      <c r="R118" s="3646"/>
      <c r="S118" s="3646"/>
      <c r="T118" s="3646"/>
      <c r="U118" s="3646"/>
      <c r="V118" s="3646"/>
      <c r="W118" s="3646"/>
      <c r="X118" s="3646"/>
      <c r="Y118" s="3646"/>
      <c r="Z118" s="3646"/>
      <c r="AA118" s="3646"/>
      <c r="AB118" s="3646"/>
      <c r="AC118" s="3646"/>
      <c r="AD118" s="3647"/>
      <c r="AE118" s="3613" t="s">
        <v>6201</v>
      </c>
      <c r="AF118" s="3614"/>
      <c r="AG118" s="3614"/>
      <c r="AH118" s="3614"/>
      <c r="AI118" s="3614"/>
      <c r="AJ118" s="3615"/>
      <c r="AK118" s="3513">
        <v>559</v>
      </c>
      <c r="AL118" s="3605"/>
      <c r="AM118" s="3605"/>
      <c r="AN118" s="3514"/>
      <c r="AO118" s="3520">
        <f>UnosPod!F304</f>
        <v>357</v>
      </c>
      <c r="AP118" s="3521"/>
      <c r="AQ118" s="3521"/>
      <c r="AR118" s="3521"/>
      <c r="AS118" s="3521"/>
      <c r="AT118" s="3521"/>
      <c r="AU118" s="3521"/>
      <c r="AV118" s="3522"/>
    </row>
    <row r="119" spans="1:49">
      <c r="A119" s="3594" t="s">
        <v>683</v>
      </c>
      <c r="B119" s="3595"/>
      <c r="C119" s="3636" t="s">
        <v>6202</v>
      </c>
      <c r="D119" s="3622"/>
      <c r="E119" s="3622"/>
      <c r="F119" s="3622"/>
      <c r="G119" s="3622"/>
      <c r="H119" s="3622"/>
      <c r="I119" s="3622"/>
      <c r="J119" s="3622"/>
      <c r="K119" s="3622"/>
      <c r="L119" s="3622"/>
      <c r="M119" s="3622"/>
      <c r="N119" s="3622"/>
      <c r="O119" s="3622"/>
      <c r="P119" s="3622"/>
      <c r="Q119" s="3622"/>
      <c r="R119" s="3622"/>
      <c r="S119" s="3622"/>
      <c r="T119" s="3622"/>
      <c r="U119" s="3622"/>
      <c r="V119" s="3622"/>
      <c r="W119" s="3622"/>
      <c r="X119" s="3622"/>
      <c r="Y119" s="3622"/>
      <c r="Z119" s="3622"/>
      <c r="AA119" s="3622"/>
      <c r="AB119" s="3622"/>
      <c r="AC119" s="3622"/>
      <c r="AD119" s="3623"/>
      <c r="AE119" s="3596" t="s">
        <v>6203</v>
      </c>
      <c r="AF119" s="3597"/>
      <c r="AG119" s="3597"/>
      <c r="AH119" s="3597"/>
      <c r="AI119" s="3597"/>
      <c r="AJ119" s="3598"/>
      <c r="AK119" s="3513" t="s">
        <v>6199</v>
      </c>
      <c r="AL119" s="3605"/>
      <c r="AM119" s="3605"/>
      <c r="AN119" s="3514"/>
      <c r="AO119" s="3869"/>
      <c r="AP119" s="3870"/>
      <c r="AQ119" s="3870"/>
      <c r="AR119" s="3870"/>
      <c r="AS119" s="3870"/>
      <c r="AT119" s="3870"/>
      <c r="AU119" s="3870"/>
      <c r="AV119" s="3871"/>
    </row>
    <row r="120" spans="1:49">
      <c r="A120" s="3594" t="s">
        <v>693</v>
      </c>
      <c r="B120" s="3595"/>
      <c r="C120" s="3515" t="s">
        <v>6204</v>
      </c>
      <c r="D120" s="3515"/>
      <c r="E120" s="3515"/>
      <c r="F120" s="3515"/>
      <c r="G120" s="3515"/>
      <c r="H120" s="3515"/>
      <c r="I120" s="3515"/>
      <c r="J120" s="3515"/>
      <c r="K120" s="3515"/>
      <c r="L120" s="3515"/>
      <c r="M120" s="3515"/>
      <c r="N120" s="3515"/>
      <c r="O120" s="3515"/>
      <c r="P120" s="3515"/>
      <c r="Q120" s="3515"/>
      <c r="R120" s="3515"/>
      <c r="S120" s="3515"/>
      <c r="T120" s="3515"/>
      <c r="U120" s="3515"/>
      <c r="V120" s="3515"/>
      <c r="W120" s="3515"/>
      <c r="X120" s="3515"/>
      <c r="Y120" s="3515"/>
      <c r="Z120" s="3515"/>
      <c r="AA120" s="3515"/>
      <c r="AB120" s="3515"/>
      <c r="AC120" s="3515"/>
      <c r="AD120" s="3515"/>
      <c r="AE120" s="3596" t="s">
        <v>6205</v>
      </c>
      <c r="AF120" s="3597"/>
      <c r="AG120" s="3597"/>
      <c r="AH120" s="3597"/>
      <c r="AI120" s="3597"/>
      <c r="AJ120" s="3598"/>
      <c r="AK120" s="3513" t="s">
        <v>6199</v>
      </c>
      <c r="AL120" s="3605"/>
      <c r="AM120" s="3605"/>
      <c r="AN120" s="3514"/>
      <c r="AO120" s="3869"/>
      <c r="AP120" s="3870"/>
      <c r="AQ120" s="3870"/>
      <c r="AR120" s="3870"/>
      <c r="AS120" s="3870"/>
      <c r="AT120" s="3870"/>
      <c r="AU120" s="3870"/>
      <c r="AV120" s="3871"/>
    </row>
    <row r="121" spans="1:49">
      <c r="A121" s="3594" t="s">
        <v>702</v>
      </c>
      <c r="B121" s="3595"/>
      <c r="C121" s="3515" t="s">
        <v>6206</v>
      </c>
      <c r="D121" s="3515"/>
      <c r="E121" s="3515"/>
      <c r="F121" s="3515"/>
      <c r="G121" s="3515"/>
      <c r="H121" s="3515"/>
      <c r="I121" s="3515"/>
      <c r="J121" s="3515"/>
      <c r="K121" s="3515"/>
      <c r="L121" s="3515"/>
      <c r="M121" s="3515"/>
      <c r="N121" s="3515"/>
      <c r="O121" s="3515"/>
      <c r="P121" s="3515"/>
      <c r="Q121" s="3515"/>
      <c r="R121" s="3515"/>
      <c r="S121" s="3515"/>
      <c r="T121" s="3515"/>
      <c r="U121" s="3515"/>
      <c r="V121" s="3515"/>
      <c r="W121" s="3515"/>
      <c r="X121" s="3515"/>
      <c r="Y121" s="3515"/>
      <c r="Z121" s="3515"/>
      <c r="AA121" s="3515"/>
      <c r="AB121" s="3515"/>
      <c r="AC121" s="3515"/>
      <c r="AD121" s="3515"/>
      <c r="AE121" s="3596" t="s">
        <v>6207</v>
      </c>
      <c r="AF121" s="3597"/>
      <c r="AG121" s="3597"/>
      <c r="AH121" s="3597"/>
      <c r="AI121" s="3597"/>
      <c r="AJ121" s="3598"/>
      <c r="AK121" s="3648"/>
      <c r="AL121" s="3649"/>
      <c r="AM121" s="3649"/>
      <c r="AN121" s="3650"/>
      <c r="AO121" s="3602">
        <f>AO88+AO89+AO90+AO91+AO106+AO110+AO111+AO111+AO119+AO120</f>
        <v>254491</v>
      </c>
      <c r="AP121" s="3603"/>
      <c r="AQ121" s="3603"/>
      <c r="AR121" s="3603"/>
      <c r="AS121" s="3603"/>
      <c r="AT121" s="3603"/>
      <c r="AU121" s="3603"/>
      <c r="AV121" s="3604"/>
    </row>
    <row r="122" ht="25.5" customHeight="1" spans="1:49">
      <c r="A122" s="3568" t="s">
        <v>709</v>
      </c>
      <c r="B122" s="3570"/>
      <c r="C122" s="3651" t="s">
        <v>6208</v>
      </c>
      <c r="D122" s="3652"/>
      <c r="E122" s="3652"/>
      <c r="F122" s="3652"/>
      <c r="G122" s="3652"/>
      <c r="H122" s="3652"/>
      <c r="I122" s="3652"/>
      <c r="J122" s="3652"/>
      <c r="K122" s="3652"/>
      <c r="L122" s="3652"/>
      <c r="M122" s="3652"/>
      <c r="N122" s="3652"/>
      <c r="O122" s="3652"/>
      <c r="P122" s="3652"/>
      <c r="Q122" s="3652"/>
      <c r="R122" s="3652"/>
      <c r="S122" s="3652"/>
      <c r="T122" s="3652"/>
      <c r="U122" s="3652"/>
      <c r="V122" s="3652"/>
      <c r="W122" s="3652"/>
      <c r="X122" s="3652"/>
      <c r="Y122" s="3652"/>
      <c r="Z122" s="3652"/>
      <c r="AA122" s="3652"/>
      <c r="AB122" s="3652"/>
      <c r="AC122" s="3652"/>
      <c r="AD122" s="3653"/>
      <c r="AE122" s="3654" t="s">
        <v>6209</v>
      </c>
      <c r="AF122" s="3654"/>
      <c r="AG122" s="3654"/>
      <c r="AH122" s="3654"/>
      <c r="AI122" s="3654"/>
      <c r="AJ122" s="3654"/>
      <c r="AK122" s="3655"/>
      <c r="AL122" s="3656"/>
      <c r="AM122" s="3656"/>
      <c r="AN122" s="3657"/>
      <c r="AO122" s="3866"/>
      <c r="AP122" s="3867"/>
      <c r="AQ122" s="3867"/>
      <c r="AR122" s="3867"/>
      <c r="AS122" s="3867"/>
      <c r="AT122" s="3867"/>
      <c r="AU122" s="3867"/>
      <c r="AV122" s="3868"/>
    </row>
    <row r="123" ht="14.25" spans="1:49">
      <c r="A123" s="3500" t="s">
        <v>6210</v>
      </c>
      <c r="B123" s="3658"/>
      <c r="C123" s="3658"/>
      <c r="D123" s="3658"/>
      <c r="E123" s="3658"/>
      <c r="F123" s="3658"/>
      <c r="G123" s="3658"/>
      <c r="H123" s="3658"/>
      <c r="I123" s="3658"/>
      <c r="J123" s="3658"/>
      <c r="K123" s="3658"/>
      <c r="L123" s="3658"/>
      <c r="M123" s="3658"/>
      <c r="N123" s="3658"/>
      <c r="O123" s="3658"/>
      <c r="P123" s="3658"/>
      <c r="Q123" s="3658"/>
      <c r="R123" s="3658"/>
      <c r="S123" s="3658"/>
      <c r="T123" s="3658"/>
      <c r="U123" s="3658"/>
      <c r="V123" s="3658"/>
      <c r="W123" s="3658"/>
      <c r="X123" s="3658"/>
      <c r="Y123" s="3658"/>
      <c r="Z123" s="3658"/>
      <c r="AA123" s="3658"/>
      <c r="AB123" s="3658"/>
      <c r="AC123" s="3658"/>
      <c r="AD123" s="3658"/>
      <c r="AE123" s="3658"/>
      <c r="AF123" s="3658"/>
      <c r="AG123" s="3658"/>
      <c r="AH123" s="3658"/>
      <c r="AI123" s="3658"/>
      <c r="AJ123" s="3658"/>
      <c r="AK123" s="3658"/>
      <c r="AL123" s="3658"/>
      <c r="AM123" s="3658"/>
      <c r="AN123" s="3658"/>
      <c r="AO123" s="3658"/>
      <c r="AP123" s="3658"/>
      <c r="AQ123" s="3658"/>
      <c r="AR123" s="3658"/>
      <c r="AS123" s="3658"/>
      <c r="AT123" s="3658"/>
      <c r="AU123" s="3658"/>
      <c r="AV123" s="3658"/>
      <c r="AW123" s="3659"/>
    </row>
    <row r="124" spans="1:49">
      <c r="A124" s="3500"/>
      <c r="B124" s="3658"/>
      <c r="C124" s="3658"/>
      <c r="D124" s="3658"/>
      <c r="E124" s="3658"/>
      <c r="F124" s="3658"/>
      <c r="G124" s="3658"/>
      <c r="H124" s="3658"/>
      <c r="I124" s="3658"/>
      <c r="J124" s="3658"/>
      <c r="K124" s="3658"/>
      <c r="L124" s="3658"/>
      <c r="M124" s="3658"/>
      <c r="N124" s="3658"/>
      <c r="O124" s="3658"/>
      <c r="P124" s="3658"/>
      <c r="Q124" s="3658"/>
      <c r="R124" s="3658"/>
      <c r="S124" s="3658"/>
      <c r="T124" s="3658"/>
      <c r="U124" s="3658"/>
      <c r="V124" s="3658"/>
      <c r="W124" s="3658"/>
      <c r="X124" s="3658"/>
      <c r="Y124" s="3658"/>
      <c r="Z124" s="3658"/>
      <c r="AA124" s="3658"/>
      <c r="AB124" s="3658"/>
      <c r="AC124" s="3658"/>
      <c r="AD124" s="3658"/>
      <c r="AE124" s="3658"/>
      <c r="AF124" s="3658"/>
      <c r="AG124" s="3658"/>
      <c r="AH124" s="3658"/>
      <c r="AI124" s="3658"/>
      <c r="AJ124" s="3658"/>
      <c r="AK124" s="3658"/>
      <c r="AL124" s="3658"/>
      <c r="AM124" s="3658"/>
      <c r="AN124" s="3658"/>
      <c r="AO124" s="3658"/>
      <c r="AP124" s="3658"/>
      <c r="AQ124" s="3658"/>
      <c r="AR124" s="3658"/>
      <c r="AS124" s="3658"/>
      <c r="AT124" s="3658"/>
      <c r="AU124" s="3658"/>
      <c r="AV124" s="3658"/>
      <c r="AW124" s="3659"/>
    </row>
    <row r="125" spans="1:49">
      <c r="A125" s="3500"/>
      <c r="B125" s="3658"/>
      <c r="C125" s="3658"/>
      <c r="D125" s="3658"/>
      <c r="E125" s="3658"/>
      <c r="F125" s="3658"/>
      <c r="G125" s="3658"/>
      <c r="H125" s="3658"/>
      <c r="I125" s="3658"/>
      <c r="J125" s="3658"/>
      <c r="K125" s="3658"/>
      <c r="L125" s="3658"/>
      <c r="M125" s="3658"/>
      <c r="N125" s="3658"/>
      <c r="O125" s="3658"/>
      <c r="P125" s="3658"/>
      <c r="Q125" s="3658"/>
      <c r="R125" s="3658"/>
      <c r="S125" s="3658"/>
      <c r="T125" s="3658"/>
      <c r="U125" s="3658"/>
      <c r="V125" s="3658"/>
      <c r="W125" s="3658"/>
      <c r="X125" s="3658"/>
      <c r="Y125" s="3658"/>
      <c r="Z125" s="3658"/>
      <c r="AA125" s="3658"/>
      <c r="AB125" s="3658"/>
      <c r="AC125" s="3658"/>
      <c r="AD125" s="3658"/>
      <c r="AE125" s="3658"/>
      <c r="AF125" s="3658"/>
      <c r="AG125" s="3658"/>
      <c r="AH125" s="3658"/>
      <c r="AI125" s="3658"/>
      <c r="AJ125" s="3658"/>
      <c r="AK125" s="3658"/>
      <c r="AL125" s="3658"/>
      <c r="AM125" s="3658"/>
      <c r="AN125" s="3658"/>
      <c r="AO125" s="3658"/>
      <c r="AP125" s="3658"/>
      <c r="AQ125" s="3658"/>
      <c r="AR125" s="3658"/>
      <c r="AS125" s="3658"/>
      <c r="AT125" s="3658"/>
      <c r="AU125" s="3658"/>
      <c r="AV125" s="3658"/>
      <c r="AW125" s="3659"/>
    </row>
    <row r="126" spans="1:49">
      <c r="A126" s="3500"/>
      <c r="B126" s="3658"/>
      <c r="C126" s="3658"/>
      <c r="D126" s="3658"/>
      <c r="E126" s="3658"/>
      <c r="F126" s="3658"/>
      <c r="G126" s="3658"/>
      <c r="H126" s="3658"/>
      <c r="I126" s="3658"/>
      <c r="J126" s="3658"/>
      <c r="K126" s="3658"/>
      <c r="L126" s="3658"/>
      <c r="M126" s="3658"/>
      <c r="N126" s="3658"/>
      <c r="O126" s="3658"/>
      <c r="P126" s="3658"/>
      <c r="Q126" s="3658"/>
      <c r="R126" s="3658"/>
      <c r="S126" s="3658"/>
      <c r="T126" s="3658"/>
      <c r="U126" s="3658"/>
      <c r="V126" s="3658"/>
      <c r="W126" s="3658"/>
      <c r="X126" s="3658"/>
      <c r="Y126" s="3658"/>
      <c r="Z126" s="3658"/>
      <c r="AA126" s="3658"/>
      <c r="AB126" s="3658"/>
      <c r="AC126" s="3658"/>
      <c r="AD126" s="3658"/>
      <c r="AE126" s="3658"/>
      <c r="AF126" s="3658"/>
      <c r="AG126" s="3658"/>
      <c r="AH126" s="3658"/>
      <c r="AI126" s="3658"/>
      <c r="AJ126" s="3658"/>
      <c r="AK126" s="3658"/>
      <c r="AL126" s="3658"/>
      <c r="AM126" s="3658"/>
      <c r="AN126" s="3658"/>
      <c r="AO126" s="3658"/>
      <c r="AP126" s="3658"/>
      <c r="AQ126" s="3658"/>
      <c r="AR126" s="3658"/>
      <c r="AS126" s="3658"/>
      <c r="AT126" s="3658"/>
      <c r="AU126" s="3658"/>
      <c r="AV126" s="3658"/>
      <c r="AW126" s="3659"/>
    </row>
    <row r="127" spans="1:49">
      <c r="A127" s="3500"/>
      <c r="B127" s="3658"/>
      <c r="C127" s="3658"/>
      <c r="D127" s="3658"/>
      <c r="E127" s="3658"/>
      <c r="F127" s="3658"/>
      <c r="G127" s="3658"/>
      <c r="H127" s="3658"/>
      <c r="I127" s="3658"/>
      <c r="J127" s="3658"/>
      <c r="K127" s="3658"/>
      <c r="L127" s="3658"/>
      <c r="M127" s="3658"/>
      <c r="N127" s="3658"/>
      <c r="O127" s="3658"/>
      <c r="P127" s="3658"/>
      <c r="Q127" s="3658"/>
      <c r="R127" s="3658"/>
      <c r="S127" s="3658"/>
      <c r="T127" s="3658"/>
      <c r="U127" s="3658"/>
      <c r="V127" s="3658"/>
      <c r="W127" s="3658"/>
      <c r="X127" s="3658"/>
      <c r="Y127" s="3658"/>
      <c r="Z127" s="3658"/>
      <c r="AA127" s="3658"/>
      <c r="AB127" s="3658"/>
      <c r="AC127" s="3658"/>
      <c r="AD127" s="3658"/>
      <c r="AE127" s="3658"/>
      <c r="AF127" s="3658"/>
      <c r="AG127" s="3658"/>
      <c r="AH127" s="3658"/>
      <c r="AI127" s="3658"/>
      <c r="AJ127" s="3658"/>
      <c r="AK127" s="3658"/>
      <c r="AL127" s="3658"/>
      <c r="AM127" s="3658"/>
      <c r="AN127" s="3658"/>
      <c r="AO127" s="3658"/>
      <c r="AP127" s="3658"/>
      <c r="AQ127" s="3658"/>
      <c r="AR127" s="3658"/>
      <c r="AS127" s="3658"/>
      <c r="AT127" s="3658"/>
      <c r="AU127" s="3658"/>
      <c r="AV127" s="3658"/>
      <c r="AW127" s="3659"/>
    </row>
    <row r="128" spans="1:49">
      <c r="A128" s="3500"/>
      <c r="B128" s="3658"/>
      <c r="C128" s="3658"/>
      <c r="D128" s="3658"/>
      <c r="E128" s="3658"/>
      <c r="F128" s="3658"/>
      <c r="G128" s="3658"/>
      <c r="H128" s="3658"/>
      <c r="I128" s="3658"/>
      <c r="J128" s="3658"/>
      <c r="K128" s="3658"/>
      <c r="L128" s="3658"/>
      <c r="M128" s="3658"/>
      <c r="N128" s="3658"/>
      <c r="O128" s="3658"/>
      <c r="P128" s="3658"/>
      <c r="Q128" s="3658"/>
      <c r="R128" s="3658"/>
      <c r="S128" s="3658"/>
      <c r="T128" s="3658"/>
      <c r="U128" s="3658"/>
      <c r="V128" s="3658"/>
      <c r="W128" s="3658"/>
      <c r="X128" s="3658"/>
      <c r="Y128" s="3658"/>
      <c r="Z128" s="3658"/>
      <c r="AA128" s="3658"/>
      <c r="AB128" s="3658"/>
      <c r="AC128" s="3658"/>
      <c r="AD128" s="3658"/>
      <c r="AE128" s="3658"/>
      <c r="AF128" s="3658"/>
      <c r="AG128" s="3658"/>
      <c r="AH128" s="3658"/>
      <c r="AI128" s="3658"/>
      <c r="AJ128" s="3658"/>
      <c r="AK128" s="3658"/>
      <c r="AL128" s="3658"/>
      <c r="AM128" s="3658"/>
      <c r="AN128" s="3658"/>
      <c r="AO128" s="3658"/>
      <c r="AP128" s="3658"/>
      <c r="AQ128" s="3658"/>
      <c r="AR128" s="3658"/>
      <c r="AS128" s="3658"/>
      <c r="AT128" s="3658"/>
      <c r="AU128" s="3658"/>
      <c r="AV128" s="3658"/>
      <c r="AW128" s="3659"/>
    </row>
    <row r="129" spans="1:49">
      <c r="A129" s="3500"/>
      <c r="B129" s="3658"/>
      <c r="C129" s="3658"/>
      <c r="D129" s="3658"/>
      <c r="E129" s="3658"/>
      <c r="F129" s="3658"/>
      <c r="G129" s="3658"/>
      <c r="H129" s="3658"/>
      <c r="I129" s="3658"/>
      <c r="J129" s="3658"/>
      <c r="K129" s="3658"/>
      <c r="L129" s="3658"/>
      <c r="M129" s="3658"/>
      <c r="N129" s="3658"/>
      <c r="O129" s="3658"/>
      <c r="P129" s="3658"/>
      <c r="Q129" s="3658"/>
      <c r="R129" s="3658"/>
      <c r="S129" s="3658"/>
      <c r="T129" s="3658"/>
      <c r="U129" s="3658"/>
      <c r="V129" s="3658"/>
      <c r="W129" s="3658"/>
      <c r="X129" s="3658"/>
      <c r="Y129" s="3658"/>
      <c r="Z129" s="3658"/>
      <c r="AA129" s="3658"/>
      <c r="AB129" s="3658"/>
      <c r="AC129" s="3658"/>
      <c r="AD129" s="3658"/>
      <c r="AE129" s="3658"/>
      <c r="AF129" s="3658"/>
      <c r="AG129" s="3658"/>
      <c r="AH129" s="3658"/>
      <c r="AI129" s="3658"/>
      <c r="AJ129" s="3658"/>
      <c r="AK129" s="3658"/>
      <c r="AL129" s="3658"/>
      <c r="AM129" s="3658"/>
      <c r="AN129" s="3658"/>
      <c r="AO129" s="3658"/>
      <c r="AP129" s="3658"/>
      <c r="AQ129" s="3658"/>
      <c r="AR129" s="3658"/>
      <c r="AS129" s="3658"/>
      <c r="AT129" s="3658"/>
      <c r="AU129" s="3658"/>
      <c r="AV129" s="3658"/>
      <c r="AW129" s="3659"/>
    </row>
    <row r="130" ht="14.25" spans="1:49">
      <c r="A130" s="3660" t="s">
        <v>6211</v>
      </c>
      <c r="B130" s="3660"/>
      <c r="C130" s="3660"/>
      <c r="D130" s="3660"/>
      <c r="E130" s="3660"/>
      <c r="F130" s="3660"/>
      <c r="G130" s="3660"/>
      <c r="H130" s="3660"/>
      <c r="I130" s="3660"/>
      <c r="J130" s="3660"/>
      <c r="K130" s="3660"/>
      <c r="L130" s="3660"/>
      <c r="M130" s="3660"/>
      <c r="N130" s="3660"/>
      <c r="O130" s="3660"/>
      <c r="P130" s="3660"/>
      <c r="Q130" s="3660"/>
      <c r="R130" s="3660"/>
      <c r="S130" s="3660"/>
      <c r="T130" s="3660"/>
      <c r="U130" s="3660"/>
      <c r="V130" s="3660"/>
      <c r="W130" s="3660"/>
      <c r="X130" s="3660"/>
      <c r="Y130" s="3660"/>
      <c r="Z130" s="3660"/>
      <c r="AA130" s="3660"/>
      <c r="AB130" s="3660"/>
      <c r="AC130" s="3660"/>
      <c r="AD130" s="3660"/>
      <c r="AE130" s="3660"/>
      <c r="AF130" s="3660"/>
      <c r="AG130" s="3660"/>
      <c r="AH130" s="3660"/>
      <c r="AI130" s="3661"/>
      <c r="AJ130" s="3661"/>
      <c r="AK130" s="3661"/>
      <c r="AL130" s="3661"/>
      <c r="AM130" s="3661"/>
      <c r="AN130" s="3661"/>
      <c r="AO130" s="3661"/>
      <c r="AP130" s="3661"/>
      <c r="AQ130" s="3661"/>
      <c r="AR130" s="3661"/>
      <c r="AS130" s="3661"/>
      <c r="AT130" s="3661"/>
      <c r="AU130" s="3661"/>
      <c r="AV130" s="3661"/>
    </row>
    <row r="131" ht="23.25" customHeight="1" spans="1:49">
      <c r="A131" s="3662" t="s">
        <v>6096</v>
      </c>
      <c r="B131" s="3663"/>
      <c r="C131" s="3664" t="s">
        <v>6097</v>
      </c>
      <c r="D131" s="3665"/>
      <c r="E131" s="3665"/>
      <c r="F131" s="3665"/>
      <c r="G131" s="3665"/>
      <c r="H131" s="3665"/>
      <c r="I131" s="3665"/>
      <c r="J131" s="3665"/>
      <c r="K131" s="3665"/>
      <c r="L131" s="3665"/>
      <c r="M131" s="3665"/>
      <c r="N131" s="3665"/>
      <c r="O131" s="3665"/>
      <c r="P131" s="3665"/>
      <c r="Q131" s="3665"/>
      <c r="R131" s="3665"/>
      <c r="S131" s="3665"/>
      <c r="T131" s="3665"/>
      <c r="U131" s="3665"/>
      <c r="V131" s="3665"/>
      <c r="W131" s="3666"/>
      <c r="X131" s="3509" t="s">
        <v>6098</v>
      </c>
      <c r="Y131" s="3509"/>
      <c r="Z131" s="3509"/>
      <c r="AA131" s="3509"/>
      <c r="AB131" s="3509"/>
      <c r="AC131" s="3509"/>
      <c r="AD131" s="3510" t="s">
        <v>6099</v>
      </c>
      <c r="AE131" s="3511"/>
      <c r="AF131" s="3511"/>
      <c r="AG131" s="3511"/>
      <c r="AH131" s="3512"/>
      <c r="AI131" s="3667" t="str">
        <f ca="1">"01.01."&amp;PoslGod</f>
        <v>01.01.2025</v>
      </c>
      <c r="AJ131" s="3668"/>
      <c r="AK131" s="3668"/>
      <c r="AL131" s="3668"/>
      <c r="AM131" s="3668"/>
      <c r="AN131" s="3669"/>
      <c r="AO131" s="3667" t="str">
        <f ca="1">"31.12."&amp;PoslGod</f>
        <v>31.12.2025</v>
      </c>
      <c r="AP131" s="3668"/>
      <c r="AQ131" s="3668"/>
      <c r="AR131" s="3668"/>
      <c r="AS131" s="3668"/>
      <c r="AT131" s="3668"/>
      <c r="AU131" s="3668"/>
      <c r="AV131" s="3669"/>
    </row>
    <row r="132" ht="18" customHeight="1" spans="1:49">
      <c r="A132" s="3670" t="s">
        <v>5336</v>
      </c>
      <c r="B132" s="3670"/>
      <c r="C132" s="3621" t="s">
        <v>6212</v>
      </c>
      <c r="D132" s="3622"/>
      <c r="E132" s="3622"/>
      <c r="F132" s="3622"/>
      <c r="G132" s="3622"/>
      <c r="H132" s="3622"/>
      <c r="I132" s="3622"/>
      <c r="J132" s="3622"/>
      <c r="K132" s="3622"/>
      <c r="L132" s="3622"/>
      <c r="M132" s="3622"/>
      <c r="N132" s="3622"/>
      <c r="O132" s="3622"/>
      <c r="P132" s="3622"/>
      <c r="Q132" s="3622"/>
      <c r="R132" s="3622"/>
      <c r="S132" s="3622"/>
      <c r="T132" s="3622"/>
      <c r="U132" s="3622"/>
      <c r="V132" s="3622"/>
      <c r="W132" s="3623"/>
      <c r="X132" s="3670" t="s">
        <v>6213</v>
      </c>
      <c r="Y132" s="3670"/>
      <c r="Z132" s="3670"/>
      <c r="AA132" s="3670"/>
      <c r="AB132" s="3670"/>
      <c r="AC132" s="3670"/>
      <c r="AD132" s="3671">
        <v>10</v>
      </c>
      <c r="AE132" s="3672"/>
      <c r="AF132" s="3672"/>
      <c r="AG132" s="3672"/>
      <c r="AH132" s="3673"/>
      <c r="AI132" s="3674">
        <v>1</v>
      </c>
      <c r="AJ132" s="3675">
        <f>B_Stanja!AP61-AJ133</f>
        <v>0</v>
      </c>
      <c r="AK132" s="3675"/>
      <c r="AL132" s="3675"/>
      <c r="AM132" s="3675"/>
      <c r="AN132" s="3675"/>
      <c r="AO132" s="3674">
        <v>2</v>
      </c>
      <c r="AP132" s="3676">
        <f>B_Stanja!AI61-AP133</f>
        <v>0</v>
      </c>
      <c r="AQ132" s="3677"/>
      <c r="AR132" s="3677"/>
      <c r="AS132" s="3677"/>
      <c r="AT132" s="3677"/>
      <c r="AU132" s="3677"/>
      <c r="AV132" s="3678"/>
    </row>
    <row r="133" ht="18" customHeight="1" spans="1:49">
      <c r="A133" s="3670" t="s">
        <v>5428</v>
      </c>
      <c r="B133" s="3670"/>
      <c r="C133" s="3621" t="s">
        <v>6214</v>
      </c>
      <c r="D133" s="3622"/>
      <c r="E133" s="3622"/>
      <c r="F133" s="3622"/>
      <c r="G133" s="3622"/>
      <c r="H133" s="3622"/>
      <c r="I133" s="3622"/>
      <c r="J133" s="3622"/>
      <c r="K133" s="3622"/>
      <c r="L133" s="3622"/>
      <c r="M133" s="3622"/>
      <c r="N133" s="3622"/>
      <c r="O133" s="3622"/>
      <c r="P133" s="3622"/>
      <c r="Q133" s="3622"/>
      <c r="R133" s="3622"/>
      <c r="S133" s="3622"/>
      <c r="T133" s="3622"/>
      <c r="U133" s="3622"/>
      <c r="V133" s="3622"/>
      <c r="W133" s="3623"/>
      <c r="X133" s="3670" t="s">
        <v>6215</v>
      </c>
      <c r="Y133" s="3670"/>
      <c r="Z133" s="3670"/>
      <c r="AA133" s="3670"/>
      <c r="AB133" s="3670"/>
      <c r="AC133" s="3670"/>
      <c r="AD133" s="3872"/>
      <c r="AE133" s="3873"/>
      <c r="AF133" s="3873"/>
      <c r="AG133" s="3873"/>
      <c r="AH133" s="3874"/>
      <c r="AI133" s="3674">
        <v>1</v>
      </c>
      <c r="AJ133" s="3701"/>
      <c r="AK133" s="3702"/>
      <c r="AL133" s="3702"/>
      <c r="AM133" s="3702"/>
      <c r="AN133" s="3703"/>
      <c r="AO133" s="3674">
        <v>2</v>
      </c>
      <c r="AP133" s="3701"/>
      <c r="AQ133" s="3702"/>
      <c r="AR133" s="3702"/>
      <c r="AS133" s="3702"/>
      <c r="AT133" s="3702"/>
      <c r="AU133" s="3702"/>
      <c r="AV133" s="3703"/>
    </row>
    <row r="134" ht="18" customHeight="1" spans="1:49">
      <c r="A134" s="3670" t="s">
        <v>5469</v>
      </c>
      <c r="B134" s="3670"/>
      <c r="C134" s="3621" t="s">
        <v>6216</v>
      </c>
      <c r="D134" s="3622"/>
      <c r="E134" s="3622"/>
      <c r="F134" s="3622"/>
      <c r="G134" s="3622"/>
      <c r="H134" s="3622"/>
      <c r="I134" s="3622"/>
      <c r="J134" s="3622"/>
      <c r="K134" s="3622"/>
      <c r="L134" s="3622"/>
      <c r="M134" s="3622"/>
      <c r="N134" s="3622"/>
      <c r="O134" s="3622"/>
      <c r="P134" s="3622"/>
      <c r="Q134" s="3622"/>
      <c r="R134" s="3622"/>
      <c r="S134" s="3622"/>
      <c r="T134" s="3622"/>
      <c r="U134" s="3622"/>
      <c r="V134" s="3622"/>
      <c r="W134" s="3623"/>
      <c r="X134" s="3670" t="s">
        <v>6217</v>
      </c>
      <c r="Y134" s="3670"/>
      <c r="Z134" s="3670"/>
      <c r="AA134" s="3670"/>
      <c r="AB134" s="3670"/>
      <c r="AC134" s="3670"/>
      <c r="AD134" s="3679">
        <v>13</v>
      </c>
      <c r="AE134" s="3680"/>
      <c r="AF134" s="3680"/>
      <c r="AG134" s="3680"/>
      <c r="AH134" s="3681"/>
      <c r="AI134" s="3674">
        <v>1</v>
      </c>
      <c r="AJ134" s="3675">
        <f>B_Stanja!AP64</f>
        <v>0</v>
      </c>
      <c r="AK134" s="3675"/>
      <c r="AL134" s="3675"/>
      <c r="AM134" s="3675"/>
      <c r="AN134" s="3675"/>
      <c r="AO134" s="3674">
        <v>2</v>
      </c>
      <c r="AP134" s="3676">
        <f>B_Stanja!AI64</f>
        <v>0</v>
      </c>
      <c r="AQ134" s="3677"/>
      <c r="AR134" s="3677"/>
      <c r="AS134" s="3677"/>
      <c r="AT134" s="3677"/>
      <c r="AU134" s="3677"/>
      <c r="AV134" s="3678"/>
    </row>
    <row r="135" ht="18" customHeight="1" spans="1:49">
      <c r="A135" s="3670" t="s">
        <v>5600</v>
      </c>
      <c r="B135" s="3670"/>
      <c r="C135" s="3682" t="s">
        <v>6218</v>
      </c>
      <c r="D135" s="3683"/>
      <c r="E135" s="3683"/>
      <c r="F135" s="3683"/>
      <c r="G135" s="3683"/>
      <c r="H135" s="3683"/>
      <c r="I135" s="3683"/>
      <c r="J135" s="3683"/>
      <c r="K135" s="3683"/>
      <c r="L135" s="3683"/>
      <c r="M135" s="3683"/>
      <c r="N135" s="3683"/>
      <c r="O135" s="3683"/>
      <c r="P135" s="3683"/>
      <c r="Q135" s="3683"/>
      <c r="R135" s="3683"/>
      <c r="S135" s="3683"/>
      <c r="T135" s="3683"/>
      <c r="U135" s="3683"/>
      <c r="V135" s="3683"/>
      <c r="W135" s="3684"/>
      <c r="X135" s="3670" t="s">
        <v>6219</v>
      </c>
      <c r="Y135" s="3670"/>
      <c r="Z135" s="3670"/>
      <c r="AA135" s="3670"/>
      <c r="AB135" s="3670"/>
      <c r="AC135" s="3670"/>
      <c r="AD135" s="3571">
        <v>11</v>
      </c>
      <c r="AE135" s="3572"/>
      <c r="AF135" s="3572"/>
      <c r="AG135" s="3572"/>
      <c r="AH135" s="3573"/>
      <c r="AI135" s="3674">
        <v>1</v>
      </c>
      <c r="AJ135" s="3675">
        <f>B_Stanja!AP62</f>
        <v>0</v>
      </c>
      <c r="AK135" s="3675"/>
      <c r="AL135" s="3675"/>
      <c r="AM135" s="3675"/>
      <c r="AN135" s="3675"/>
      <c r="AO135" s="3674">
        <v>2</v>
      </c>
      <c r="AP135" s="3676">
        <f>B_Stanja!AI62</f>
        <v>0</v>
      </c>
      <c r="AQ135" s="3677"/>
      <c r="AR135" s="3677"/>
      <c r="AS135" s="3677"/>
      <c r="AT135" s="3677"/>
      <c r="AU135" s="3677"/>
      <c r="AV135" s="3678"/>
    </row>
    <row r="136" ht="18" customHeight="1" spans="1:49">
      <c r="A136" s="3670" t="s">
        <v>5078</v>
      </c>
      <c r="B136" s="3670"/>
      <c r="C136" s="3682" t="s">
        <v>6220</v>
      </c>
      <c r="D136" s="3683"/>
      <c r="E136" s="3683"/>
      <c r="F136" s="3683"/>
      <c r="G136" s="3683"/>
      <c r="H136" s="3683"/>
      <c r="I136" s="3683"/>
      <c r="J136" s="3683"/>
      <c r="K136" s="3683"/>
      <c r="L136" s="3683"/>
      <c r="M136" s="3683"/>
      <c r="N136" s="3683"/>
      <c r="O136" s="3683"/>
      <c r="P136" s="3683"/>
      <c r="Q136" s="3683"/>
      <c r="R136" s="3683"/>
      <c r="S136" s="3683"/>
      <c r="T136" s="3683"/>
      <c r="U136" s="3683"/>
      <c r="V136" s="3683"/>
      <c r="W136" s="3684"/>
      <c r="X136" s="3670" t="s">
        <v>6221</v>
      </c>
      <c r="Y136" s="3670"/>
      <c r="Z136" s="3670"/>
      <c r="AA136" s="3670"/>
      <c r="AB136" s="3670"/>
      <c r="AC136" s="3670"/>
      <c r="AD136" s="3571">
        <v>12</v>
      </c>
      <c r="AE136" s="3572"/>
      <c r="AF136" s="3572"/>
      <c r="AG136" s="3572"/>
      <c r="AH136" s="3573"/>
      <c r="AI136" s="3674">
        <v>1</v>
      </c>
      <c r="AJ136" s="3675">
        <f>B_Stanja!AP63</f>
        <v>0</v>
      </c>
      <c r="AK136" s="3675"/>
      <c r="AL136" s="3675"/>
      <c r="AM136" s="3675"/>
      <c r="AN136" s="3675"/>
      <c r="AO136" s="3674">
        <v>2</v>
      </c>
      <c r="AP136" s="3676">
        <f>B_Stanja!AI63</f>
        <v>0</v>
      </c>
      <c r="AQ136" s="3677"/>
      <c r="AR136" s="3677"/>
      <c r="AS136" s="3677"/>
      <c r="AT136" s="3677"/>
      <c r="AU136" s="3677"/>
      <c r="AV136" s="3678"/>
    </row>
    <row r="137" ht="13.5" spans="1:49">
      <c r="A137" s="3500" t="s">
        <v>6222</v>
      </c>
      <c r="B137" s="3500"/>
      <c r="C137" s="3500"/>
      <c r="D137" s="3500"/>
      <c r="E137" s="3500"/>
      <c r="F137" s="3500"/>
      <c r="G137" s="3500"/>
      <c r="H137" s="3500"/>
      <c r="I137" s="3500"/>
      <c r="J137" s="3500"/>
      <c r="K137" s="3500"/>
      <c r="L137" s="3500"/>
      <c r="M137" s="3500"/>
      <c r="N137" s="3500"/>
      <c r="O137" s="3500"/>
      <c r="P137" s="3500"/>
      <c r="Q137" s="3500"/>
      <c r="R137" s="3488"/>
      <c r="S137" s="3488"/>
      <c r="T137" s="3488"/>
      <c r="U137" s="3488"/>
      <c r="V137" s="3488"/>
      <c r="W137" s="3488"/>
      <c r="X137" s="3488"/>
      <c r="Y137" s="3488"/>
      <c r="Z137" s="3488"/>
      <c r="AA137" s="3488"/>
      <c r="AB137" s="3488"/>
      <c r="AC137" s="3488"/>
      <c r="AD137" s="3488"/>
      <c r="AE137" s="3488"/>
      <c r="AF137" s="3446"/>
      <c r="AG137" s="3446"/>
      <c r="AH137" s="3446"/>
      <c r="AI137" s="3446"/>
      <c r="AJ137" s="3446"/>
      <c r="AK137" s="3446"/>
      <c r="AL137" s="3446"/>
      <c r="AM137" s="3446"/>
      <c r="AN137" s="3446"/>
      <c r="AO137" s="3446"/>
      <c r="AP137" s="3446"/>
      <c r="AQ137" s="3446"/>
      <c r="AR137" s="3446"/>
      <c r="AS137" s="3446"/>
      <c r="AT137" s="3446"/>
      <c r="AU137" s="3446"/>
      <c r="AV137" s="3446"/>
    </row>
    <row r="138" spans="1:49">
      <c r="A138" s="3500"/>
      <c r="B138" s="3500"/>
      <c r="C138" s="3500"/>
      <c r="D138" s="3500"/>
      <c r="E138" s="3500"/>
      <c r="F138" s="3500"/>
      <c r="G138" s="3500"/>
      <c r="H138" s="3500"/>
      <c r="I138" s="3500"/>
      <c r="J138" s="3500"/>
      <c r="K138" s="3500"/>
      <c r="L138" s="3500"/>
      <c r="M138" s="3500"/>
      <c r="N138" s="3500"/>
      <c r="O138" s="3500"/>
      <c r="P138" s="3500"/>
      <c r="Q138" s="3500"/>
      <c r="R138" s="3488"/>
      <c r="S138" s="3488"/>
      <c r="T138" s="3488"/>
      <c r="U138" s="3488"/>
      <c r="V138" s="3488"/>
      <c r="W138" s="3488"/>
      <c r="X138" s="3488"/>
      <c r="Y138" s="3488"/>
      <c r="Z138" s="3488"/>
      <c r="AA138" s="3488"/>
      <c r="AB138" s="3488"/>
      <c r="AC138" s="3488"/>
      <c r="AD138" s="3488"/>
      <c r="AE138" s="3488"/>
      <c r="AF138" s="3446"/>
      <c r="AG138" s="3446"/>
      <c r="AH138" s="3446"/>
      <c r="AI138" s="3446"/>
      <c r="AJ138" s="3446"/>
      <c r="AK138" s="3446"/>
      <c r="AL138" s="3446"/>
      <c r="AM138" s="3446"/>
      <c r="AN138" s="3446"/>
      <c r="AO138" s="3446"/>
      <c r="AP138" s="3446"/>
      <c r="AQ138" s="3446"/>
      <c r="AR138" s="3446"/>
      <c r="AS138" s="3446"/>
      <c r="AT138" s="3446"/>
      <c r="AU138" s="3446"/>
      <c r="AV138" s="3446"/>
    </row>
    <row r="139" spans="1:49">
      <c r="A139" s="3500"/>
      <c r="B139" s="3500"/>
      <c r="C139" s="3500"/>
      <c r="D139" s="3500"/>
      <c r="E139" s="3500"/>
      <c r="F139" s="3500"/>
      <c r="G139" s="3500"/>
      <c r="H139" s="3500"/>
      <c r="I139" s="3500"/>
      <c r="J139" s="3500"/>
      <c r="K139" s="3500"/>
      <c r="L139" s="3500"/>
      <c r="M139" s="3500"/>
      <c r="N139" s="3500"/>
      <c r="O139" s="3500"/>
      <c r="P139" s="3500"/>
      <c r="Q139" s="3500"/>
      <c r="R139" s="3488"/>
      <c r="S139" s="3488"/>
      <c r="T139" s="3488"/>
      <c r="U139" s="3488"/>
      <c r="V139" s="3488"/>
      <c r="W139" s="3488"/>
      <c r="X139" s="3488"/>
      <c r="Y139" s="3488"/>
      <c r="Z139" s="3488"/>
      <c r="AA139" s="3488"/>
      <c r="AB139" s="3488"/>
      <c r="AC139" s="3488"/>
      <c r="AD139" s="3488"/>
      <c r="AE139" s="3488"/>
      <c r="AF139" s="3446"/>
      <c r="AG139" s="3446"/>
      <c r="AH139" s="3446"/>
      <c r="AI139" s="3446"/>
      <c r="AJ139" s="3446"/>
      <c r="AK139" s="3446"/>
      <c r="AL139" s="3446"/>
      <c r="AM139" s="3446"/>
      <c r="AN139" s="3446"/>
      <c r="AO139" s="3446"/>
      <c r="AP139" s="3446"/>
      <c r="AQ139" s="3446"/>
      <c r="AR139" s="3446"/>
      <c r="AS139" s="3446"/>
      <c r="AT139" s="3446"/>
      <c r="AU139" s="3446"/>
      <c r="AV139" s="3446"/>
    </row>
    <row r="140" spans="1:49">
      <c r="A140" s="3500"/>
      <c r="B140" s="3500"/>
      <c r="C140" s="3500"/>
      <c r="D140" s="3500"/>
      <c r="E140" s="3500"/>
      <c r="F140" s="3500"/>
      <c r="G140" s="3500"/>
      <c r="H140" s="3500"/>
      <c r="I140" s="3500"/>
      <c r="J140" s="3500"/>
      <c r="K140" s="3500"/>
      <c r="L140" s="3500"/>
      <c r="M140" s="3500"/>
      <c r="N140" s="3500"/>
      <c r="O140" s="3500"/>
      <c r="P140" s="3500"/>
      <c r="Q140" s="3500"/>
      <c r="R140" s="3488"/>
      <c r="S140" s="3488"/>
      <c r="T140" s="3488"/>
      <c r="U140" s="3488"/>
      <c r="V140" s="3488"/>
      <c r="W140" s="3488"/>
      <c r="X140" s="3488"/>
      <c r="Y140" s="3488"/>
      <c r="Z140" s="3488"/>
      <c r="AA140" s="3488"/>
      <c r="AB140" s="3488"/>
      <c r="AC140" s="3488"/>
      <c r="AD140" s="3488"/>
      <c r="AE140" s="3488"/>
      <c r="AF140" s="3446"/>
      <c r="AG140" s="3446"/>
      <c r="AH140" s="3446"/>
      <c r="AI140" s="3446"/>
      <c r="AJ140" s="3446"/>
      <c r="AK140" s="3446"/>
      <c r="AL140" s="3446"/>
      <c r="AM140" s="3446"/>
      <c r="AN140" s="3446"/>
      <c r="AO140" s="3446"/>
      <c r="AP140" s="3446"/>
      <c r="AQ140" s="3446"/>
      <c r="AR140" s="3446"/>
      <c r="AS140" s="3446"/>
      <c r="AT140" s="3446"/>
      <c r="AU140" s="3446"/>
      <c r="AV140" s="3446"/>
    </row>
    <row r="141" spans="1:49">
      <c r="A141" s="3505" t="s">
        <v>6223</v>
      </c>
      <c r="B141" s="3505"/>
      <c r="C141" s="3505"/>
      <c r="D141" s="3505"/>
      <c r="E141" s="3505"/>
      <c r="F141" s="3505"/>
      <c r="G141" s="3505"/>
      <c r="H141" s="3505"/>
      <c r="I141" s="3505"/>
      <c r="J141" s="3505"/>
      <c r="K141" s="3505"/>
      <c r="L141" s="3505"/>
      <c r="M141" s="3505"/>
      <c r="N141" s="3505"/>
      <c r="O141" s="3505"/>
      <c r="P141" s="3505"/>
      <c r="Q141" s="3505"/>
      <c r="R141" s="3505"/>
      <c r="S141" s="3505"/>
      <c r="T141" s="3505"/>
      <c r="U141" s="3505"/>
      <c r="V141" s="3505"/>
      <c r="W141" s="3505"/>
      <c r="X141" s="3505"/>
      <c r="Y141" s="3505"/>
      <c r="Z141" s="3505"/>
      <c r="AA141" s="3505"/>
      <c r="AB141" s="3505"/>
      <c r="AC141" s="3499"/>
      <c r="AD141" s="3499"/>
      <c r="AE141" s="3499"/>
      <c r="AF141" s="3499"/>
      <c r="AG141" s="3499"/>
      <c r="AH141" s="3499"/>
      <c r="AI141" s="3499"/>
      <c r="AJ141" s="3499"/>
      <c r="AK141" s="3499"/>
      <c r="AL141" s="3499"/>
      <c r="AM141" s="3499"/>
      <c r="AN141" s="3499"/>
      <c r="AO141" s="3499"/>
      <c r="AP141" s="3499"/>
      <c r="AQ141" s="3499"/>
      <c r="AR141" s="3499"/>
      <c r="AS141" s="3499"/>
      <c r="AT141" s="3499"/>
      <c r="AU141" s="3499"/>
      <c r="AV141" s="3499"/>
    </row>
    <row r="142" spans="1:49">
      <c r="A142" s="3685" t="s">
        <v>6096</v>
      </c>
      <c r="B142" s="3686"/>
      <c r="C142" s="3687" t="s">
        <v>6224</v>
      </c>
      <c r="D142" s="3688"/>
      <c r="E142" s="3688"/>
      <c r="F142" s="3688"/>
      <c r="G142" s="3688"/>
      <c r="H142" s="3688"/>
      <c r="I142" s="3688"/>
      <c r="J142" s="3688"/>
      <c r="K142" s="3688"/>
      <c r="L142" s="3688"/>
      <c r="M142" s="3688"/>
      <c r="N142" s="3688"/>
      <c r="O142" s="3688"/>
      <c r="P142" s="3688"/>
      <c r="Q142" s="3688"/>
      <c r="R142" s="3688"/>
      <c r="S142" s="3688"/>
      <c r="T142" s="3688"/>
      <c r="U142" s="3688"/>
      <c r="V142" s="3688"/>
      <c r="W142" s="3688"/>
      <c r="X142" s="3509" t="s">
        <v>6098</v>
      </c>
      <c r="Y142" s="3509"/>
      <c r="Z142" s="3509"/>
      <c r="AA142" s="3509"/>
      <c r="AB142" s="3509"/>
      <c r="AC142" s="3689" t="s">
        <v>6225</v>
      </c>
      <c r="AD142" s="3689"/>
      <c r="AE142" s="3689"/>
      <c r="AF142" s="3689"/>
      <c r="AG142" s="3689"/>
      <c r="AH142" s="3689"/>
      <c r="AI142" s="3689"/>
      <c r="AJ142" s="3689"/>
      <c r="AK142" s="3689"/>
      <c r="AL142" s="3689"/>
      <c r="AM142" s="3689"/>
      <c r="AN142" s="3689"/>
      <c r="AO142" s="3690" t="s">
        <v>6226</v>
      </c>
      <c r="AP142" s="3691"/>
      <c r="AQ142" s="3691"/>
      <c r="AR142" s="3691"/>
      <c r="AS142" s="3691"/>
      <c r="AT142" s="3691"/>
      <c r="AU142" s="3691"/>
      <c r="AV142" s="3692"/>
    </row>
    <row r="143" spans="1:49">
      <c r="A143" s="3693"/>
      <c r="B143" s="3694"/>
      <c r="C143" s="3695"/>
      <c r="D143" s="3696"/>
      <c r="E143" s="3696"/>
      <c r="F143" s="3696"/>
      <c r="G143" s="3696"/>
      <c r="H143" s="3696"/>
      <c r="I143" s="3696"/>
      <c r="J143" s="3696"/>
      <c r="K143" s="3696"/>
      <c r="L143" s="3696"/>
      <c r="M143" s="3696"/>
      <c r="N143" s="3696"/>
      <c r="O143" s="3696"/>
      <c r="P143" s="3696"/>
      <c r="Q143" s="3696"/>
      <c r="R143" s="3696"/>
      <c r="S143" s="3696"/>
      <c r="T143" s="3696"/>
      <c r="U143" s="3696"/>
      <c r="V143" s="3696"/>
      <c r="W143" s="3696"/>
      <c r="X143" s="3509"/>
      <c r="Y143" s="3509"/>
      <c r="Z143" s="3509"/>
      <c r="AA143" s="3509"/>
      <c r="AB143" s="3509"/>
      <c r="AC143" s="3689" t="s">
        <v>4671</v>
      </c>
      <c r="AD143" s="3689"/>
      <c r="AE143" s="3689"/>
      <c r="AF143" s="3689"/>
      <c r="AG143" s="3689"/>
      <c r="AH143" s="3689"/>
      <c r="AI143" s="3689" t="s">
        <v>6227</v>
      </c>
      <c r="AJ143" s="3689"/>
      <c r="AK143" s="3689"/>
      <c r="AL143" s="3689"/>
      <c r="AM143" s="3689"/>
      <c r="AN143" s="3689"/>
      <c r="AO143" s="3697"/>
      <c r="AP143" s="3698"/>
      <c r="AQ143" s="3698"/>
      <c r="AR143" s="3698"/>
      <c r="AS143" s="3698"/>
      <c r="AT143" s="3698"/>
      <c r="AU143" s="3698"/>
      <c r="AV143" s="3699"/>
    </row>
    <row r="144" ht="26.25" customHeight="1" spans="1:49">
      <c r="A144" s="3670" t="s">
        <v>5336</v>
      </c>
      <c r="B144" s="3670"/>
      <c r="C144" s="3630" t="s">
        <v>6228</v>
      </c>
      <c r="D144" s="3643"/>
      <c r="E144" s="3643"/>
      <c r="F144" s="3643"/>
      <c r="G144" s="3643"/>
      <c r="H144" s="3643"/>
      <c r="I144" s="3643"/>
      <c r="J144" s="3643"/>
      <c r="K144" s="3643"/>
      <c r="L144" s="3643"/>
      <c r="M144" s="3643"/>
      <c r="N144" s="3643"/>
      <c r="O144" s="3643"/>
      <c r="P144" s="3643"/>
      <c r="Q144" s="3643"/>
      <c r="R144" s="3643"/>
      <c r="S144" s="3643"/>
      <c r="T144" s="3643"/>
      <c r="U144" s="3643"/>
      <c r="V144" s="3643"/>
      <c r="W144" s="3644"/>
      <c r="X144" s="3670" t="s">
        <v>6229</v>
      </c>
      <c r="Y144" s="3670"/>
      <c r="Z144" s="3670"/>
      <c r="AA144" s="3670"/>
      <c r="AB144" s="3670"/>
      <c r="AC144" s="3674">
        <v>1</v>
      </c>
      <c r="AD144" s="3676"/>
      <c r="AE144" s="3677"/>
      <c r="AF144" s="3677"/>
      <c r="AG144" s="3677"/>
      <c r="AH144" s="3678"/>
      <c r="AI144" s="3674">
        <v>2</v>
      </c>
      <c r="AJ144" s="3648"/>
      <c r="AK144" s="3649"/>
      <c r="AL144" s="3649"/>
      <c r="AM144" s="3649"/>
      <c r="AN144" s="3650"/>
      <c r="AO144" s="3674">
        <v>3</v>
      </c>
      <c r="AP144" s="3676"/>
      <c r="AQ144" s="3677"/>
      <c r="AR144" s="3677"/>
      <c r="AS144" s="3677"/>
      <c r="AT144" s="3677"/>
      <c r="AU144" s="3677"/>
      <c r="AV144" s="3678"/>
    </row>
    <row r="145" ht="17.25" customHeight="1" spans="1:49">
      <c r="A145" s="3670" t="s">
        <v>5428</v>
      </c>
      <c r="B145" s="3670"/>
      <c r="C145" s="3636" t="s">
        <v>6230</v>
      </c>
      <c r="D145" s="3637"/>
      <c r="E145" s="3637"/>
      <c r="F145" s="3637"/>
      <c r="G145" s="3637"/>
      <c r="H145" s="3637"/>
      <c r="I145" s="3637"/>
      <c r="J145" s="3637"/>
      <c r="K145" s="3637"/>
      <c r="L145" s="3637"/>
      <c r="M145" s="3637"/>
      <c r="N145" s="3637"/>
      <c r="O145" s="3637"/>
      <c r="P145" s="3637"/>
      <c r="Q145" s="3637"/>
      <c r="R145" s="3637"/>
      <c r="S145" s="3637"/>
      <c r="T145" s="3637"/>
      <c r="U145" s="3637"/>
      <c r="V145" s="3637"/>
      <c r="W145" s="3638"/>
      <c r="X145" s="3670" t="s">
        <v>6231</v>
      </c>
      <c r="Y145" s="3670"/>
      <c r="Z145" s="3670"/>
      <c r="AA145" s="3670"/>
      <c r="AB145" s="3670"/>
      <c r="AC145" s="3674">
        <v>1</v>
      </c>
      <c r="AD145" s="3676">
        <f>AD146+AD147+AD148</f>
        <v>6</v>
      </c>
      <c r="AE145" s="3677"/>
      <c r="AF145" s="3677"/>
      <c r="AG145" s="3677"/>
      <c r="AH145" s="3678"/>
      <c r="AI145" s="3674">
        <v>2</v>
      </c>
      <c r="AJ145" s="3676">
        <f>AJ146+AJ147+AJ148</f>
        <v>0</v>
      </c>
      <c r="AK145" s="3677"/>
      <c r="AL145" s="3677"/>
      <c r="AM145" s="3677"/>
      <c r="AN145" s="3678"/>
      <c r="AO145" s="3674">
        <v>3</v>
      </c>
      <c r="AP145" s="3676">
        <f>UnosPod!Y481</f>
        <v>12184</v>
      </c>
      <c r="AQ145" s="3677"/>
      <c r="AR145" s="3677"/>
      <c r="AS145" s="3677"/>
      <c r="AT145" s="3677"/>
      <c r="AU145" s="3677"/>
      <c r="AV145" s="3678"/>
    </row>
    <row r="146" ht="17.25" customHeight="1" spans="1:49">
      <c r="A146" s="3670" t="s">
        <v>5469</v>
      </c>
      <c r="B146" s="3670"/>
      <c r="C146" s="3617" t="s">
        <v>6232</v>
      </c>
      <c r="D146" s="3618"/>
      <c r="E146" s="3618"/>
      <c r="F146" s="3618"/>
      <c r="G146" s="3618"/>
      <c r="H146" s="3618"/>
      <c r="I146" s="3618"/>
      <c r="J146" s="3618"/>
      <c r="K146" s="3618"/>
      <c r="L146" s="3618"/>
      <c r="M146" s="3618"/>
      <c r="N146" s="3618"/>
      <c r="O146" s="3618"/>
      <c r="P146" s="3618"/>
      <c r="Q146" s="3618"/>
      <c r="R146" s="3618"/>
      <c r="S146" s="3618"/>
      <c r="T146" s="3618"/>
      <c r="U146" s="3618"/>
      <c r="V146" s="3618"/>
      <c r="W146" s="3619"/>
      <c r="X146" s="3670" t="s">
        <v>6233</v>
      </c>
      <c r="Y146" s="3670"/>
      <c r="Z146" s="3670"/>
      <c r="AA146" s="3670"/>
      <c r="AB146" s="3670"/>
      <c r="AC146" s="3674">
        <v>1</v>
      </c>
      <c r="AD146" s="3676"/>
      <c r="AE146" s="3677"/>
      <c r="AF146" s="3677"/>
      <c r="AG146" s="3677"/>
      <c r="AH146" s="3678"/>
      <c r="AI146" s="3674">
        <v>2</v>
      </c>
      <c r="AJ146" s="3700"/>
      <c r="AK146" s="3700"/>
      <c r="AL146" s="3700"/>
      <c r="AM146" s="3700"/>
      <c r="AN146" s="3700"/>
      <c r="AO146" s="3674">
        <v>3</v>
      </c>
      <c r="AP146" s="3701"/>
      <c r="AQ146" s="3702"/>
      <c r="AR146" s="3702"/>
      <c r="AS146" s="3702"/>
      <c r="AT146" s="3702"/>
      <c r="AU146" s="3702"/>
      <c r="AV146" s="3703"/>
    </row>
    <row r="147" ht="17.25" customHeight="1" spans="1:49">
      <c r="A147" s="3670" t="s">
        <v>5600</v>
      </c>
      <c r="B147" s="3670"/>
      <c r="C147" s="3617" t="s">
        <v>6234</v>
      </c>
      <c r="D147" s="3618"/>
      <c r="E147" s="3618"/>
      <c r="F147" s="3618"/>
      <c r="G147" s="3618"/>
      <c r="H147" s="3618"/>
      <c r="I147" s="3618"/>
      <c r="J147" s="3618"/>
      <c r="K147" s="3618"/>
      <c r="L147" s="3618"/>
      <c r="M147" s="3618"/>
      <c r="N147" s="3618"/>
      <c r="O147" s="3618"/>
      <c r="P147" s="3618"/>
      <c r="Q147" s="3618"/>
      <c r="R147" s="3618"/>
      <c r="S147" s="3618"/>
      <c r="T147" s="3618"/>
      <c r="U147" s="3618"/>
      <c r="V147" s="3618"/>
      <c r="W147" s="3619"/>
      <c r="X147" s="3670" t="s">
        <v>6235</v>
      </c>
      <c r="Y147" s="3670"/>
      <c r="Z147" s="3670"/>
      <c r="AA147" s="3670"/>
      <c r="AB147" s="3670"/>
      <c r="AC147" s="3674">
        <v>1</v>
      </c>
      <c r="AD147" s="3676">
        <f>UnosPod!H481-AD148-AD146</f>
        <v>6</v>
      </c>
      <c r="AE147" s="3677"/>
      <c r="AF147" s="3677"/>
      <c r="AG147" s="3677"/>
      <c r="AH147" s="3678"/>
      <c r="AI147" s="3674">
        <v>2</v>
      </c>
      <c r="AJ147" s="3700"/>
      <c r="AK147" s="3700"/>
      <c r="AL147" s="3700"/>
      <c r="AM147" s="3700"/>
      <c r="AN147" s="3700"/>
      <c r="AO147" s="3674">
        <v>3</v>
      </c>
      <c r="AP147" s="3676">
        <f>AP145-AP146-AP148</f>
        <v>12184</v>
      </c>
      <c r="AQ147" s="3677"/>
      <c r="AR147" s="3677"/>
      <c r="AS147" s="3677"/>
      <c r="AT147" s="3677"/>
      <c r="AU147" s="3677"/>
      <c r="AV147" s="3678"/>
    </row>
    <row r="148" ht="17.25" customHeight="1" spans="1:49">
      <c r="A148" s="3670" t="s">
        <v>5078</v>
      </c>
      <c r="B148" s="3670"/>
      <c r="C148" s="3704" t="s">
        <v>6236</v>
      </c>
      <c r="D148" s="3705"/>
      <c r="E148" s="3705"/>
      <c r="F148" s="3705"/>
      <c r="G148" s="3705"/>
      <c r="H148" s="3705"/>
      <c r="I148" s="3705"/>
      <c r="J148" s="3705"/>
      <c r="K148" s="3705"/>
      <c r="L148" s="3705"/>
      <c r="M148" s="3705"/>
      <c r="N148" s="3705"/>
      <c r="O148" s="3705"/>
      <c r="P148" s="3705"/>
      <c r="Q148" s="3705"/>
      <c r="R148" s="3705"/>
      <c r="S148" s="3705"/>
      <c r="T148" s="3705"/>
      <c r="U148" s="3705"/>
      <c r="V148" s="3705"/>
      <c r="W148" s="3706"/>
      <c r="X148" s="3707" t="s">
        <v>6237</v>
      </c>
      <c r="Y148" s="3708"/>
      <c r="Z148" s="3708"/>
      <c r="AA148" s="3708"/>
      <c r="AB148" s="3709"/>
      <c r="AC148" s="3674">
        <v>1</v>
      </c>
      <c r="AD148" s="3676"/>
      <c r="AE148" s="3677"/>
      <c r="AF148" s="3677"/>
      <c r="AG148" s="3677"/>
      <c r="AH148" s="3678"/>
      <c r="AI148" s="3674">
        <v>2</v>
      </c>
      <c r="AJ148" s="3700"/>
      <c r="AK148" s="3700"/>
      <c r="AL148" s="3700"/>
      <c r="AM148" s="3700"/>
      <c r="AN148" s="3700"/>
      <c r="AO148" s="3674">
        <v>3</v>
      </c>
      <c r="AP148" s="3701"/>
      <c r="AQ148" s="3702"/>
      <c r="AR148" s="3702"/>
      <c r="AS148" s="3702"/>
      <c r="AT148" s="3702"/>
      <c r="AU148" s="3702"/>
      <c r="AV148" s="3703"/>
    </row>
    <row r="149" ht="17.25" customHeight="1" spans="1:49">
      <c r="A149" s="3670" t="s">
        <v>6133</v>
      </c>
      <c r="B149" s="3670"/>
      <c r="C149" s="3710" t="s">
        <v>6238</v>
      </c>
      <c r="D149" s="3711"/>
      <c r="E149" s="3711"/>
      <c r="F149" s="3711"/>
      <c r="G149" s="3711"/>
      <c r="H149" s="3711"/>
      <c r="I149" s="3711"/>
      <c r="J149" s="3711"/>
      <c r="K149" s="3711"/>
      <c r="L149" s="3711"/>
      <c r="M149" s="3711"/>
      <c r="N149" s="3711"/>
      <c r="O149" s="3711"/>
      <c r="P149" s="3711"/>
      <c r="Q149" s="3711"/>
      <c r="R149" s="3711"/>
      <c r="S149" s="3711"/>
      <c r="T149" s="3711"/>
      <c r="U149" s="3711"/>
      <c r="V149" s="3711"/>
      <c r="W149" s="3712"/>
      <c r="X149" s="3713" t="s">
        <v>6239</v>
      </c>
      <c r="Y149" s="3713"/>
      <c r="Z149" s="3713"/>
      <c r="AA149" s="3713"/>
      <c r="AB149" s="3713"/>
      <c r="AC149" s="3674">
        <v>1</v>
      </c>
      <c r="AD149" s="3676">
        <f>AD145+AD144</f>
        <v>6</v>
      </c>
      <c r="AE149" s="3677"/>
      <c r="AF149" s="3677"/>
      <c r="AG149" s="3677"/>
      <c r="AH149" s="3678"/>
      <c r="AI149" s="3674">
        <v>2</v>
      </c>
      <c r="AJ149" s="3676">
        <f>AJ145+AJ144</f>
        <v>0</v>
      </c>
      <c r="AK149" s="3677"/>
      <c r="AL149" s="3677"/>
      <c r="AM149" s="3677"/>
      <c r="AN149" s="3678"/>
      <c r="AO149" s="3674">
        <v>3</v>
      </c>
      <c r="AP149" s="3676">
        <f>AP144+AP145</f>
        <v>12184</v>
      </c>
      <c r="AQ149" s="3677"/>
      <c r="AR149" s="3677"/>
      <c r="AS149" s="3677"/>
      <c r="AT149" s="3677"/>
      <c r="AU149" s="3677"/>
      <c r="AV149" s="3678"/>
    </row>
    <row r="150" spans="1:49">
      <c r="A150" s="3714"/>
      <c r="B150" s="3714"/>
      <c r="C150" s="3715"/>
      <c r="D150" s="3715"/>
      <c r="E150" s="3715"/>
      <c r="F150" s="3715"/>
      <c r="G150" s="3715"/>
      <c r="H150" s="3715"/>
      <c r="I150" s="3715"/>
      <c r="J150" s="3715"/>
      <c r="K150" s="3715"/>
      <c r="L150" s="3715"/>
      <c r="M150" s="3715"/>
      <c r="N150" s="3715"/>
      <c r="O150" s="3715"/>
      <c r="P150" s="3715"/>
      <c r="Q150" s="3715"/>
      <c r="R150" s="3715"/>
      <c r="S150" s="3715"/>
      <c r="T150" s="3715"/>
      <c r="U150" s="3715"/>
      <c r="V150" s="3715"/>
      <c r="W150" s="3715"/>
      <c r="X150" s="3716"/>
      <c r="Y150" s="3716"/>
      <c r="Z150" s="3716"/>
      <c r="AA150" s="3716"/>
      <c r="AB150" s="3716"/>
      <c r="AC150" s="3717"/>
      <c r="AD150" s="3718"/>
      <c r="AE150" s="3718"/>
      <c r="AF150" s="3718"/>
      <c r="AG150" s="3718"/>
      <c r="AH150" s="3718"/>
      <c r="AI150" s="3717"/>
      <c r="AJ150" s="3483"/>
      <c r="AK150" s="3483"/>
      <c r="AL150" s="3483"/>
      <c r="AM150" s="3483"/>
      <c r="AN150" s="3483"/>
      <c r="AO150" s="3717"/>
      <c r="AP150" s="3483"/>
      <c r="AQ150" s="3483"/>
      <c r="AR150" s="3483"/>
      <c r="AS150" s="3483"/>
      <c r="AT150" s="3483"/>
      <c r="AU150" s="3483"/>
      <c r="AV150" s="3483"/>
    </row>
    <row r="151" spans="1:49">
      <c r="A151" s="3501" t="s">
        <v>6240</v>
      </c>
      <c r="B151" s="3501"/>
      <c r="C151" s="3501"/>
      <c r="D151" s="3501"/>
      <c r="E151" s="3501"/>
      <c r="F151" s="3501"/>
      <c r="G151" s="3501"/>
      <c r="H151" s="3501"/>
      <c r="I151" s="3501"/>
      <c r="J151" s="3501"/>
      <c r="K151" s="3501"/>
      <c r="L151" s="3501"/>
      <c r="M151" s="3501"/>
      <c r="N151" s="3501"/>
      <c r="O151" s="3501"/>
      <c r="P151" s="3501"/>
      <c r="Q151" s="3501"/>
      <c r="R151" s="3501"/>
      <c r="S151" s="3501"/>
      <c r="T151" s="3501"/>
      <c r="U151" s="3501"/>
      <c r="V151" s="3501"/>
      <c r="W151" s="3501"/>
      <c r="X151" s="3501"/>
      <c r="Y151" s="3501"/>
      <c r="Z151" s="3501"/>
      <c r="AA151" s="3501"/>
      <c r="AB151" s="3501"/>
      <c r="AC151" s="3501"/>
      <c r="AD151" s="3501"/>
      <c r="AE151" s="3501"/>
      <c r="AF151" s="3501"/>
      <c r="AG151" s="3501"/>
      <c r="AH151" s="3501"/>
      <c r="AI151" s="3501"/>
      <c r="AJ151" s="3501"/>
      <c r="AK151" s="3501"/>
      <c r="AL151" s="3501"/>
      <c r="AM151" s="3501"/>
      <c r="AN151" s="3501"/>
      <c r="AO151" s="3501"/>
      <c r="AP151" s="3501"/>
      <c r="AQ151" s="3501"/>
      <c r="AR151" s="3501"/>
      <c r="AS151" s="3501"/>
      <c r="AT151" s="3501"/>
      <c r="AU151" s="3501"/>
      <c r="AV151" s="3501"/>
    </row>
    <row r="152" spans="1:49">
      <c r="A152" s="3501"/>
      <c r="B152" s="3501"/>
      <c r="C152" s="3501"/>
      <c r="D152" s="3501"/>
      <c r="E152" s="3501"/>
      <c r="F152" s="3501"/>
      <c r="G152" s="3501"/>
      <c r="H152" s="3501"/>
      <c r="I152" s="3501"/>
      <c r="J152" s="3501"/>
      <c r="K152" s="3501"/>
      <c r="L152" s="3501"/>
      <c r="M152" s="3501"/>
      <c r="N152" s="3501"/>
      <c r="O152" s="3501"/>
      <c r="P152" s="3501"/>
      <c r="Q152" s="3501"/>
      <c r="R152" s="3501"/>
      <c r="S152" s="3501"/>
      <c r="T152" s="3501"/>
      <c r="U152" s="3501"/>
      <c r="V152" s="3501"/>
      <c r="W152" s="3501"/>
      <c r="X152" s="3501"/>
      <c r="Y152" s="3501"/>
      <c r="Z152" s="3501"/>
      <c r="AA152" s="3501"/>
      <c r="AB152" s="3501"/>
      <c r="AC152" s="3501"/>
      <c r="AD152" s="3501"/>
      <c r="AE152" s="3501"/>
      <c r="AF152" s="3501"/>
      <c r="AG152" s="3501"/>
      <c r="AH152" s="3501"/>
      <c r="AI152" s="3501"/>
      <c r="AJ152" s="3501"/>
      <c r="AK152" s="3501"/>
      <c r="AL152" s="3501"/>
      <c r="AM152" s="3501"/>
      <c r="AN152" s="3501"/>
      <c r="AO152" s="3501"/>
      <c r="AP152" s="3501"/>
      <c r="AQ152" s="3501"/>
      <c r="AR152" s="3501"/>
      <c r="AS152" s="3501"/>
      <c r="AT152" s="3501"/>
      <c r="AU152" s="3501"/>
      <c r="AV152" s="3501"/>
    </row>
    <row r="153" spans="1:49">
      <c r="A153" s="3501"/>
      <c r="B153" s="3501"/>
      <c r="C153" s="3501"/>
      <c r="D153" s="3501"/>
      <c r="E153" s="3501"/>
      <c r="F153" s="3501"/>
      <c r="G153" s="3501"/>
      <c r="H153" s="3501"/>
      <c r="I153" s="3501"/>
      <c r="J153" s="3501"/>
      <c r="K153" s="3501"/>
      <c r="L153" s="3501"/>
      <c r="M153" s="3501"/>
      <c r="N153" s="3501"/>
      <c r="O153" s="3501"/>
      <c r="P153" s="3501"/>
      <c r="Q153" s="3501"/>
      <c r="R153" s="3501"/>
      <c r="S153" s="3501"/>
      <c r="T153" s="3501"/>
      <c r="U153" s="3501"/>
      <c r="V153" s="3501"/>
      <c r="W153" s="3501"/>
      <c r="X153" s="3501"/>
      <c r="Y153" s="3501"/>
      <c r="Z153" s="3501"/>
      <c r="AA153" s="3501"/>
      <c r="AB153" s="3501"/>
      <c r="AC153" s="3501"/>
      <c r="AD153" s="3501"/>
      <c r="AE153" s="3501"/>
      <c r="AF153" s="3501"/>
      <c r="AG153" s="3501"/>
      <c r="AH153" s="3501"/>
      <c r="AI153" s="3501"/>
      <c r="AJ153" s="3501"/>
      <c r="AK153" s="3501"/>
      <c r="AL153" s="3501"/>
      <c r="AM153" s="3501"/>
      <c r="AN153" s="3501"/>
      <c r="AO153" s="3501"/>
      <c r="AP153" s="3501"/>
      <c r="AQ153" s="3501"/>
      <c r="AR153" s="3501"/>
      <c r="AS153" s="3501"/>
      <c r="AT153" s="3501"/>
      <c r="AU153" s="3501"/>
      <c r="AV153" s="3501"/>
    </row>
    <row r="154" spans="1:49">
      <c r="A154" s="3505" t="s">
        <v>6241</v>
      </c>
      <c r="B154" s="3505"/>
      <c r="C154" s="3505"/>
      <c r="D154" s="3505"/>
      <c r="E154" s="3505"/>
      <c r="F154" s="3505"/>
      <c r="G154" s="3505"/>
      <c r="H154" s="3505"/>
      <c r="I154" s="3505"/>
      <c r="J154" s="3505"/>
      <c r="K154" s="3505"/>
      <c r="L154" s="3505"/>
      <c r="M154" s="3505"/>
      <c r="N154" s="3505"/>
      <c r="O154" s="3505"/>
      <c r="P154" s="3505"/>
      <c r="Q154" s="3505"/>
      <c r="R154" s="3505"/>
      <c r="S154" s="3505"/>
      <c r="T154" s="3505"/>
      <c r="U154" s="3505"/>
      <c r="V154" s="3505"/>
      <c r="W154" s="3505"/>
      <c r="X154" s="3505"/>
      <c r="Y154" s="3505"/>
      <c r="Z154" s="3505"/>
      <c r="AA154" s="3505"/>
      <c r="AB154" s="3505"/>
      <c r="AC154" s="3505"/>
      <c r="AD154" s="3505"/>
      <c r="AE154" s="3505"/>
      <c r="AF154" s="3505"/>
      <c r="AG154" s="3505"/>
      <c r="AH154" s="3505"/>
      <c r="AI154" s="3505"/>
      <c r="AJ154" s="3505"/>
      <c r="AK154" s="3505"/>
      <c r="AL154" s="3505"/>
      <c r="AM154" s="3505"/>
      <c r="AN154" s="3505"/>
      <c r="AO154" s="3505"/>
      <c r="AP154" s="3499"/>
      <c r="AQ154" s="3499"/>
      <c r="AR154" s="3499"/>
      <c r="AS154" s="3499"/>
      <c r="AT154" s="3499"/>
      <c r="AU154" s="3499"/>
      <c r="AV154" s="3499"/>
    </row>
    <row r="155" spans="1:49">
      <c r="A155" s="3719" t="s">
        <v>6096</v>
      </c>
      <c r="B155" s="3719"/>
      <c r="C155" s="3720" t="s">
        <v>6242</v>
      </c>
      <c r="D155" s="3721"/>
      <c r="E155" s="3721"/>
      <c r="F155" s="3721"/>
      <c r="G155" s="3721"/>
      <c r="H155" s="3721"/>
      <c r="I155" s="3721"/>
      <c r="J155" s="3721"/>
      <c r="K155" s="3721"/>
      <c r="L155" s="3721"/>
      <c r="M155" s="3721"/>
      <c r="N155" s="3721"/>
      <c r="O155" s="3721"/>
      <c r="P155" s="3721"/>
      <c r="Q155" s="3721"/>
      <c r="R155" s="3721"/>
      <c r="S155" s="3721"/>
      <c r="T155" s="3721"/>
      <c r="U155" s="3721"/>
      <c r="V155" s="3721"/>
      <c r="W155" s="3722"/>
      <c r="X155" s="3723" t="s">
        <v>6098</v>
      </c>
      <c r="Y155" s="3724"/>
      <c r="Z155" s="3724"/>
      <c r="AA155" s="3724"/>
      <c r="AB155" s="3724"/>
      <c r="AC155" s="3725"/>
      <c r="AD155" s="3726" t="s">
        <v>6243</v>
      </c>
      <c r="AE155" s="3727"/>
      <c r="AF155" s="3727"/>
      <c r="AG155" s="3727"/>
      <c r="AH155" s="3728"/>
      <c r="AI155" s="3726" t="s">
        <v>6244</v>
      </c>
      <c r="AJ155" s="3727"/>
      <c r="AK155" s="3727"/>
      <c r="AL155" s="3727"/>
      <c r="AM155" s="3727"/>
      <c r="AN155" s="3728"/>
      <c r="AO155" s="3726" t="s">
        <v>6245</v>
      </c>
      <c r="AP155" s="3727"/>
      <c r="AQ155" s="3727"/>
      <c r="AR155" s="3727"/>
      <c r="AS155" s="3727"/>
      <c r="AT155" s="3727"/>
      <c r="AU155" s="3727"/>
      <c r="AV155" s="3728"/>
      <c r="AW155" s="3729"/>
    </row>
    <row r="156" spans="1:49">
      <c r="A156" s="3719"/>
      <c r="B156" s="3719"/>
      <c r="C156" s="3730"/>
      <c r="D156" s="3731"/>
      <c r="E156" s="3731"/>
      <c r="F156" s="3731"/>
      <c r="G156" s="3731"/>
      <c r="H156" s="3731"/>
      <c r="I156" s="3731"/>
      <c r="J156" s="3731"/>
      <c r="K156" s="3731"/>
      <c r="L156" s="3731"/>
      <c r="M156" s="3731"/>
      <c r="N156" s="3731"/>
      <c r="O156" s="3731"/>
      <c r="P156" s="3731"/>
      <c r="Q156" s="3731"/>
      <c r="R156" s="3731"/>
      <c r="S156" s="3731"/>
      <c r="T156" s="3731"/>
      <c r="U156" s="3731"/>
      <c r="V156" s="3731"/>
      <c r="W156" s="3732"/>
      <c r="X156" s="3733"/>
      <c r="Y156" s="3734"/>
      <c r="Z156" s="3734"/>
      <c r="AA156" s="3734"/>
      <c r="AB156" s="3734"/>
      <c r="AC156" s="3735"/>
      <c r="AD156" s="3736"/>
      <c r="AE156" s="3737"/>
      <c r="AF156" s="3737"/>
      <c r="AG156" s="3737"/>
      <c r="AH156" s="3738"/>
      <c r="AI156" s="3736"/>
      <c r="AJ156" s="3737"/>
      <c r="AK156" s="3737"/>
      <c r="AL156" s="3737"/>
      <c r="AM156" s="3737"/>
      <c r="AN156" s="3738"/>
      <c r="AO156" s="3736"/>
      <c r="AP156" s="3737"/>
      <c r="AQ156" s="3737"/>
      <c r="AR156" s="3737"/>
      <c r="AS156" s="3737"/>
      <c r="AT156" s="3737"/>
      <c r="AU156" s="3737"/>
      <c r="AV156" s="3738"/>
      <c r="AW156" s="3729"/>
    </row>
    <row r="157" ht="28.5" customHeight="1" spans="1:49">
      <c r="A157" s="3739" t="s">
        <v>5336</v>
      </c>
      <c r="B157" s="3739"/>
      <c r="C157" s="3740" t="s">
        <v>6246</v>
      </c>
      <c r="D157" s="3741"/>
      <c r="E157" s="3741"/>
      <c r="F157" s="3741"/>
      <c r="G157" s="3741"/>
      <c r="H157" s="3741"/>
      <c r="I157" s="3741"/>
      <c r="J157" s="3741"/>
      <c r="K157" s="3741"/>
      <c r="L157" s="3741"/>
      <c r="M157" s="3741"/>
      <c r="N157" s="3741"/>
      <c r="O157" s="3741"/>
      <c r="P157" s="3741"/>
      <c r="Q157" s="3741"/>
      <c r="R157" s="3741"/>
      <c r="S157" s="3741"/>
      <c r="T157" s="3741"/>
      <c r="U157" s="3741"/>
      <c r="V157" s="3741"/>
      <c r="W157" s="3742"/>
      <c r="X157" s="3743" t="s">
        <v>6247</v>
      </c>
      <c r="Y157" s="3744"/>
      <c r="Z157" s="3744"/>
      <c r="AA157" s="3744"/>
      <c r="AB157" s="3744"/>
      <c r="AC157" s="3745"/>
      <c r="AD157" s="3746">
        <v>1</v>
      </c>
      <c r="AE157" s="3747"/>
      <c r="AF157" s="3747"/>
      <c r="AG157" s="3747"/>
      <c r="AH157" s="3747"/>
      <c r="AI157" s="3746">
        <v>2</v>
      </c>
      <c r="AJ157" s="3748"/>
      <c r="AK157" s="3748"/>
      <c r="AL157" s="3748"/>
      <c r="AM157" s="3748"/>
      <c r="AN157" s="3748"/>
      <c r="AO157" s="3746">
        <v>3</v>
      </c>
      <c r="AP157" s="3749"/>
      <c r="AQ157" s="3750"/>
      <c r="AR157" s="3750"/>
      <c r="AS157" s="3750"/>
      <c r="AT157" s="3750"/>
      <c r="AU157" s="3750"/>
      <c r="AV157" s="3751"/>
      <c r="AW157" s="3729"/>
    </row>
    <row r="158" ht="24.75" customHeight="1" spans="1:49">
      <c r="A158" s="3739" t="s">
        <v>5428</v>
      </c>
      <c r="B158" s="3739"/>
      <c r="C158" s="3752" t="s">
        <v>6248</v>
      </c>
      <c r="D158" s="3753"/>
      <c r="E158" s="3753"/>
      <c r="F158" s="3753"/>
      <c r="G158" s="3753"/>
      <c r="H158" s="3753"/>
      <c r="I158" s="3753"/>
      <c r="J158" s="3753"/>
      <c r="K158" s="3753"/>
      <c r="L158" s="3753"/>
      <c r="M158" s="3753"/>
      <c r="N158" s="3753"/>
      <c r="O158" s="3753"/>
      <c r="P158" s="3753"/>
      <c r="Q158" s="3753"/>
      <c r="R158" s="3753"/>
      <c r="S158" s="3753"/>
      <c r="T158" s="3753"/>
      <c r="U158" s="3753"/>
      <c r="V158" s="3753"/>
      <c r="W158" s="3754"/>
      <c r="X158" s="3743" t="s">
        <v>6249</v>
      </c>
      <c r="Y158" s="3744"/>
      <c r="Z158" s="3744"/>
      <c r="AA158" s="3744"/>
      <c r="AB158" s="3744"/>
      <c r="AC158" s="3745"/>
      <c r="AD158" s="3746">
        <v>1</v>
      </c>
      <c r="AE158" s="3747"/>
      <c r="AF158" s="3747"/>
      <c r="AG158" s="3747"/>
      <c r="AH158" s="3747"/>
      <c r="AI158" s="3746">
        <v>2</v>
      </c>
      <c r="AJ158" s="3748"/>
      <c r="AK158" s="3748"/>
      <c r="AL158" s="3748"/>
      <c r="AM158" s="3748"/>
      <c r="AN158" s="3748"/>
      <c r="AO158" s="3746">
        <v>3</v>
      </c>
      <c r="AP158" s="3749"/>
      <c r="AQ158" s="3750"/>
      <c r="AR158" s="3750"/>
      <c r="AS158" s="3750"/>
      <c r="AT158" s="3750"/>
      <c r="AU158" s="3750"/>
      <c r="AV158" s="3751"/>
      <c r="AW158" s="3729"/>
    </row>
    <row r="159" spans="1:49">
      <c r="A159" s="3755" t="s">
        <v>5469</v>
      </c>
      <c r="B159" s="3755"/>
      <c r="C159" s="3636" t="s">
        <v>6250</v>
      </c>
      <c r="D159" s="3637"/>
      <c r="E159" s="3637"/>
      <c r="F159" s="3637"/>
      <c r="G159" s="3637"/>
      <c r="H159" s="3637"/>
      <c r="I159" s="3637"/>
      <c r="J159" s="3637"/>
      <c r="K159" s="3637"/>
      <c r="L159" s="3637"/>
      <c r="M159" s="3637"/>
      <c r="N159" s="3637"/>
      <c r="O159" s="3637"/>
      <c r="P159" s="3637"/>
      <c r="Q159" s="3637"/>
      <c r="R159" s="3637"/>
      <c r="S159" s="3637"/>
      <c r="T159" s="3637"/>
      <c r="U159" s="3637"/>
      <c r="V159" s="3637"/>
      <c r="W159" s="3638"/>
      <c r="X159" s="3707" t="s">
        <v>6251</v>
      </c>
      <c r="Y159" s="3708"/>
      <c r="Z159" s="3708"/>
      <c r="AA159" s="3708"/>
      <c r="AB159" s="3708"/>
      <c r="AC159" s="3709"/>
      <c r="AD159" s="3674">
        <v>1</v>
      </c>
      <c r="AE159" s="3756"/>
      <c r="AF159" s="3756"/>
      <c r="AG159" s="3756"/>
      <c r="AH159" s="3756"/>
      <c r="AI159" s="3674">
        <v>2</v>
      </c>
      <c r="AJ159" s="3700"/>
      <c r="AK159" s="3700"/>
      <c r="AL159" s="3700"/>
      <c r="AM159" s="3700"/>
      <c r="AN159" s="3700"/>
      <c r="AO159" s="3674">
        <v>3</v>
      </c>
      <c r="AP159" s="3757"/>
      <c r="AQ159" s="3758"/>
      <c r="AR159" s="3758"/>
      <c r="AS159" s="3758"/>
      <c r="AT159" s="3758"/>
      <c r="AU159" s="3758"/>
      <c r="AV159" s="3759"/>
    </row>
    <row r="160" spans="1:49">
      <c r="A160" s="3760"/>
      <c r="B160" s="3760"/>
      <c r="C160" s="3467"/>
      <c r="D160" s="3467"/>
      <c r="E160" s="3467"/>
      <c r="F160" s="3467"/>
      <c r="G160" s="3467"/>
      <c r="H160" s="3467"/>
      <c r="I160" s="3467"/>
      <c r="J160" s="3467"/>
      <c r="K160" s="3467"/>
      <c r="L160" s="3467"/>
      <c r="M160" s="3467"/>
      <c r="N160" s="3467"/>
      <c r="O160" s="3467"/>
      <c r="P160" s="3467"/>
      <c r="Q160" s="3467"/>
      <c r="R160" s="3467"/>
      <c r="S160" s="3467"/>
      <c r="T160" s="3467"/>
      <c r="U160" s="3467"/>
      <c r="V160" s="3467"/>
      <c r="W160" s="3467"/>
      <c r="X160" s="3714"/>
      <c r="Y160" s="3714"/>
      <c r="Z160" s="3714"/>
      <c r="AA160" s="3714"/>
      <c r="AB160" s="3714"/>
      <c r="AC160" s="3714"/>
      <c r="AD160" s="3717"/>
      <c r="AE160" s="3761"/>
      <c r="AF160" s="3761"/>
      <c r="AG160" s="3761"/>
      <c r="AH160" s="3761"/>
      <c r="AI160" s="3717"/>
      <c r="AJ160" s="3483"/>
      <c r="AK160" s="3483"/>
      <c r="AL160" s="3483"/>
      <c r="AM160" s="3483"/>
      <c r="AN160" s="3483"/>
      <c r="AO160" s="3717"/>
      <c r="AP160" s="3762"/>
      <c r="AQ160" s="3762"/>
      <c r="AR160" s="3762"/>
      <c r="AS160" s="3762"/>
      <c r="AT160" s="3762"/>
      <c r="AU160" s="3762"/>
      <c r="AV160" s="3762"/>
    </row>
    <row r="161" spans="1:49">
      <c r="A161" s="3760"/>
      <c r="B161" s="3760"/>
      <c r="C161" s="3467"/>
      <c r="D161" s="3467"/>
      <c r="E161" s="3467"/>
      <c r="F161" s="3467"/>
      <c r="G161" s="3467"/>
      <c r="H161" s="3467"/>
      <c r="I161" s="3467"/>
      <c r="J161" s="3467"/>
      <c r="K161" s="3467"/>
      <c r="L161" s="3467"/>
      <c r="M161" s="3467"/>
      <c r="N161" s="3467"/>
      <c r="O161" s="3467"/>
      <c r="P161" s="3467"/>
      <c r="Q161" s="3467"/>
      <c r="R161" s="3467"/>
      <c r="S161" s="3467"/>
      <c r="T161" s="3467"/>
      <c r="U161" s="3467"/>
      <c r="V161" s="3467"/>
      <c r="W161" s="3467"/>
      <c r="X161" s="3714"/>
      <c r="Y161" s="3714"/>
      <c r="Z161" s="3714"/>
      <c r="AA161" s="3714"/>
      <c r="AB161" s="3714"/>
      <c r="AC161" s="3714"/>
      <c r="AD161" s="3717"/>
      <c r="AE161" s="3761"/>
      <c r="AF161" s="3761"/>
      <c r="AG161" s="3761"/>
      <c r="AH161" s="3761"/>
      <c r="AI161" s="3717"/>
      <c r="AJ161" s="3483"/>
      <c r="AK161" s="3483"/>
      <c r="AL161" s="3483"/>
      <c r="AM161" s="3483"/>
      <c r="AN161" s="3483"/>
      <c r="AO161" s="3717"/>
      <c r="AP161" s="3762"/>
      <c r="AQ161" s="3762"/>
      <c r="AR161" s="3762"/>
      <c r="AS161" s="3762"/>
      <c r="AT161" s="3762"/>
      <c r="AU161" s="3762"/>
      <c r="AV161" s="3762"/>
    </row>
    <row r="162" spans="1:49">
      <c r="A162" s="3763" t="s">
        <v>6252</v>
      </c>
      <c r="B162" s="3763"/>
      <c r="C162" s="3764"/>
      <c r="D162" s="3764"/>
      <c r="E162" s="3764"/>
      <c r="F162" s="3764"/>
      <c r="G162" s="3764"/>
      <c r="H162" s="3764"/>
      <c r="I162" s="3764"/>
      <c r="J162" s="3764"/>
      <c r="K162" s="3764"/>
      <c r="L162" s="3764"/>
      <c r="M162" s="3764"/>
      <c r="N162" s="3764"/>
      <c r="O162" s="3764"/>
      <c r="P162" s="3764"/>
      <c r="Q162" s="3764"/>
      <c r="R162" s="3764"/>
      <c r="S162" s="3764"/>
      <c r="T162" s="3764"/>
      <c r="U162" s="3764"/>
      <c r="V162" s="3764"/>
      <c r="W162" s="3764"/>
      <c r="X162" s="3764"/>
      <c r="Y162" s="3764"/>
      <c r="Z162" s="3764"/>
      <c r="AA162" s="3764"/>
      <c r="AB162" s="3764"/>
      <c r="AC162" s="3764"/>
      <c r="AD162" s="3764"/>
      <c r="AE162" s="3764"/>
      <c r="AF162" s="3764"/>
      <c r="AG162" s="3764"/>
      <c r="AH162" s="3764"/>
      <c r="AI162" s="3764"/>
      <c r="AJ162" s="3764"/>
      <c r="AK162" s="3764"/>
      <c r="AL162" s="3764"/>
      <c r="AM162" s="3764"/>
      <c r="AN162" s="3764"/>
      <c r="AO162" s="3764"/>
      <c r="AP162" s="3764"/>
      <c r="AQ162" s="3764"/>
      <c r="AR162" s="3764"/>
      <c r="AS162" s="3764"/>
      <c r="AT162" s="3764"/>
      <c r="AU162" s="3764"/>
      <c r="AV162" s="3765"/>
      <c r="AW162" s="3766"/>
    </row>
    <row r="163" spans="1:49">
      <c r="A163" s="3767" t="s">
        <v>6253</v>
      </c>
      <c r="B163" s="3767"/>
      <c r="C163" s="3768" t="s">
        <v>6254</v>
      </c>
      <c r="D163" s="3768"/>
      <c r="E163" s="3768"/>
      <c r="F163" s="3768"/>
      <c r="G163" s="3768"/>
      <c r="H163" s="3768"/>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768"/>
      <c r="AD163" s="3768"/>
      <c r="AE163" s="3768"/>
      <c r="AF163" s="3768"/>
      <c r="AG163" s="3768"/>
      <c r="AH163" s="3769"/>
      <c r="AI163" s="3770" t="s">
        <v>6098</v>
      </c>
      <c r="AJ163" s="3771"/>
      <c r="AK163" s="3771"/>
      <c r="AL163" s="3771"/>
      <c r="AM163" s="3771"/>
      <c r="AN163" s="3772"/>
      <c r="AO163" s="3768" t="s">
        <v>6100</v>
      </c>
      <c r="AP163" s="3768"/>
      <c r="AQ163" s="3768"/>
      <c r="AR163" s="3768"/>
      <c r="AS163" s="3768"/>
      <c r="AT163" s="3768"/>
      <c r="AU163" s="3768"/>
      <c r="AV163" s="3769"/>
      <c r="AW163" s="3766"/>
    </row>
    <row r="164" ht="18.75" customHeight="1" spans="1:49">
      <c r="A164" s="3773" t="s">
        <v>5336</v>
      </c>
      <c r="B164" s="3773" t="s">
        <v>3953</v>
      </c>
      <c r="C164" s="3774" t="s">
        <v>6255</v>
      </c>
      <c r="D164" s="3775"/>
      <c r="E164" s="3775"/>
      <c r="F164" s="3775"/>
      <c r="G164" s="3775"/>
      <c r="H164" s="3775"/>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775"/>
      <c r="AD164" s="3775"/>
      <c r="AE164" s="3775"/>
      <c r="AF164" s="3775"/>
      <c r="AG164" s="3775"/>
      <c r="AH164" s="3776"/>
      <c r="AI164" s="3777" t="s">
        <v>6256</v>
      </c>
      <c r="AJ164" s="3778"/>
      <c r="AK164" s="3778"/>
      <c r="AL164" s="3778"/>
      <c r="AM164" s="3778"/>
      <c r="AN164" s="3779"/>
      <c r="AO164" s="3520">
        <f>AO74</f>
        <v>0</v>
      </c>
      <c r="AP164" s="3521"/>
      <c r="AQ164" s="3521"/>
      <c r="AR164" s="3521"/>
      <c r="AS164" s="3521"/>
      <c r="AT164" s="3521"/>
      <c r="AU164" s="3521"/>
      <c r="AV164" s="3522"/>
      <c r="AW164" s="3766"/>
    </row>
    <row r="165" ht="18.75" customHeight="1" spans="1:49">
      <c r="A165" s="3780" t="s">
        <v>5428</v>
      </c>
      <c r="B165" s="3780" t="s">
        <v>3953</v>
      </c>
      <c r="C165" s="3774" t="s">
        <v>6257</v>
      </c>
      <c r="D165" s="3775"/>
      <c r="E165" s="3775"/>
      <c r="F165" s="3775"/>
      <c r="G165" s="3775"/>
      <c r="H165" s="3775"/>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775"/>
      <c r="AD165" s="3775"/>
      <c r="AE165" s="3775"/>
      <c r="AF165" s="3775"/>
      <c r="AG165" s="3775"/>
      <c r="AH165" s="3776"/>
      <c r="AI165" s="3777" t="s">
        <v>6258</v>
      </c>
      <c r="AJ165" s="3778"/>
      <c r="AK165" s="3778"/>
      <c r="AL165" s="3778"/>
      <c r="AM165" s="3778"/>
      <c r="AN165" s="3779"/>
      <c r="AO165" s="3520">
        <f>AO76</f>
        <v>0</v>
      </c>
      <c r="AP165" s="3521"/>
      <c r="AQ165" s="3521"/>
      <c r="AR165" s="3521"/>
      <c r="AS165" s="3521"/>
      <c r="AT165" s="3521"/>
      <c r="AU165" s="3521"/>
      <c r="AV165" s="3522"/>
      <c r="AW165" s="3766"/>
    </row>
    <row r="166" ht="18.75" customHeight="1" spans="1:49">
      <c r="A166" s="3780" t="s">
        <v>5469</v>
      </c>
      <c r="B166" s="3780" t="s">
        <v>3953</v>
      </c>
      <c r="C166" s="3774" t="s">
        <v>6259</v>
      </c>
      <c r="D166" s="3775"/>
      <c r="E166" s="3775"/>
      <c r="F166" s="3775"/>
      <c r="G166" s="3775"/>
      <c r="H166" s="3775"/>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775"/>
      <c r="AD166" s="3775"/>
      <c r="AE166" s="3775"/>
      <c r="AF166" s="3775"/>
      <c r="AG166" s="3775"/>
      <c r="AH166" s="3776"/>
      <c r="AI166" s="3777" t="s">
        <v>6260</v>
      </c>
      <c r="AJ166" s="3778"/>
      <c r="AK166" s="3778"/>
      <c r="AL166" s="3778"/>
      <c r="AM166" s="3778"/>
      <c r="AN166" s="3779"/>
      <c r="AO166" s="3520">
        <f>AO171-AO164-AO165-AO169-AO170</f>
        <v>245707</v>
      </c>
      <c r="AP166" s="3521"/>
      <c r="AQ166" s="3521"/>
      <c r="AR166" s="3521"/>
      <c r="AS166" s="3521"/>
      <c r="AT166" s="3521"/>
      <c r="AU166" s="3521"/>
      <c r="AV166" s="3522"/>
      <c r="AW166" s="3766"/>
    </row>
    <row r="167" ht="18.75" customHeight="1" spans="1:49">
      <c r="A167" s="3780" t="s">
        <v>5600</v>
      </c>
      <c r="B167" s="3780" t="s">
        <v>3953</v>
      </c>
      <c r="C167" s="3781" t="s">
        <v>6261</v>
      </c>
      <c r="D167" s="3782"/>
      <c r="E167" s="3782"/>
      <c r="F167" s="3782"/>
      <c r="G167" s="3782"/>
      <c r="H167" s="3782"/>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782"/>
      <c r="AD167" s="3782"/>
      <c r="AE167" s="3782"/>
      <c r="AF167" s="3782"/>
      <c r="AG167" s="3782"/>
      <c r="AH167" s="3783"/>
      <c r="AI167" s="3784" t="s">
        <v>6262</v>
      </c>
      <c r="AJ167" s="3785"/>
      <c r="AK167" s="3785"/>
      <c r="AL167" s="3785"/>
      <c r="AM167" s="3785"/>
      <c r="AN167" s="3786"/>
      <c r="AO167" s="3520">
        <f>AO166-AO168</f>
        <v>245707</v>
      </c>
      <c r="AP167" s="3521"/>
      <c r="AQ167" s="3521"/>
      <c r="AR167" s="3521"/>
      <c r="AS167" s="3521"/>
      <c r="AT167" s="3521"/>
      <c r="AU167" s="3521"/>
      <c r="AV167" s="3522"/>
      <c r="AW167" s="3766"/>
    </row>
    <row r="168" ht="18.75" customHeight="1" spans="1:49">
      <c r="A168" s="3780" t="s">
        <v>5078</v>
      </c>
      <c r="B168" s="3780" t="s">
        <v>3953</v>
      </c>
      <c r="C168" s="3781" t="s">
        <v>6263</v>
      </c>
      <c r="D168" s="3782"/>
      <c r="E168" s="3782"/>
      <c r="F168" s="3782"/>
      <c r="G168" s="3782"/>
      <c r="H168" s="3782"/>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782"/>
      <c r="AD168" s="3782"/>
      <c r="AE168" s="3782"/>
      <c r="AF168" s="3782"/>
      <c r="AG168" s="3782"/>
      <c r="AH168" s="3783"/>
      <c r="AI168" s="3784" t="s">
        <v>6264</v>
      </c>
      <c r="AJ168" s="3785"/>
      <c r="AK168" s="3785"/>
      <c r="AL168" s="3785"/>
      <c r="AM168" s="3785"/>
      <c r="AN168" s="3786"/>
      <c r="AO168" s="3520"/>
      <c r="AP168" s="3521"/>
      <c r="AQ168" s="3521"/>
      <c r="AR168" s="3521"/>
      <c r="AS168" s="3521"/>
      <c r="AT168" s="3521"/>
      <c r="AU168" s="3521"/>
      <c r="AV168" s="3522"/>
      <c r="AW168" s="3766"/>
    </row>
    <row r="169" ht="18.75" customHeight="1" spans="1:49">
      <c r="A169" s="3780" t="s">
        <v>6133</v>
      </c>
      <c r="B169" s="3780" t="s">
        <v>3953</v>
      </c>
      <c r="C169" s="3787" t="s">
        <v>6265</v>
      </c>
      <c r="D169" s="3788"/>
      <c r="E169" s="3788"/>
      <c r="F169" s="3788"/>
      <c r="G169" s="3788"/>
      <c r="H169" s="3788"/>
      <c r="I169" s="3788"/>
      <c r="J169" s="3788"/>
      <c r="K169" s="3788"/>
      <c r="L169" s="3788"/>
      <c r="M169" s="3788"/>
      <c r="N169" s="3788"/>
      <c r="O169" s="3788"/>
      <c r="P169" s="3788"/>
      <c r="Q169" s="3788"/>
      <c r="R169" s="3788"/>
      <c r="S169" s="3788"/>
      <c r="T169" s="3788"/>
      <c r="U169" s="3788"/>
      <c r="V169" s="3788"/>
      <c r="W169" s="3788"/>
      <c r="X169" s="3788"/>
      <c r="Y169" s="3788"/>
      <c r="Z169" s="3788"/>
      <c r="AA169" s="3788"/>
      <c r="AB169" s="3788"/>
      <c r="AC169" s="3788"/>
      <c r="AD169" s="3788"/>
      <c r="AE169" s="3788"/>
      <c r="AF169" s="3788"/>
      <c r="AG169" s="3788"/>
      <c r="AH169" s="3789"/>
      <c r="AI169" s="3777" t="s">
        <v>6266</v>
      </c>
      <c r="AJ169" s="3778"/>
      <c r="AK169" s="3778"/>
      <c r="AL169" s="3778"/>
      <c r="AM169" s="3778"/>
      <c r="AN169" s="3779"/>
      <c r="AO169" s="3520"/>
      <c r="AP169" s="3521"/>
      <c r="AQ169" s="3521"/>
      <c r="AR169" s="3521"/>
      <c r="AS169" s="3521"/>
      <c r="AT169" s="3521"/>
      <c r="AU169" s="3521"/>
      <c r="AV169" s="3522"/>
      <c r="AW169" s="3766"/>
    </row>
    <row r="170" ht="18.75" customHeight="1" spans="1:49">
      <c r="A170" s="3780" t="s">
        <v>6137</v>
      </c>
      <c r="B170" s="3780" t="s">
        <v>3953</v>
      </c>
      <c r="C170" s="3774" t="s">
        <v>6267</v>
      </c>
      <c r="D170" s="3775"/>
      <c r="E170" s="3775"/>
      <c r="F170" s="3775"/>
      <c r="G170" s="3775"/>
      <c r="H170" s="3775"/>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775"/>
      <c r="AD170" s="3775"/>
      <c r="AE170" s="3775"/>
      <c r="AF170" s="3775"/>
      <c r="AG170" s="3775"/>
      <c r="AH170" s="3776"/>
      <c r="AI170" s="3777" t="s">
        <v>6268</v>
      </c>
      <c r="AJ170" s="3778"/>
      <c r="AK170" s="3778"/>
      <c r="AL170" s="3778"/>
      <c r="AM170" s="3778"/>
      <c r="AN170" s="3779"/>
      <c r="AO170" s="3520"/>
      <c r="AP170" s="3521"/>
      <c r="AQ170" s="3521"/>
      <c r="AR170" s="3521"/>
      <c r="AS170" s="3521"/>
      <c r="AT170" s="3521"/>
      <c r="AU170" s="3521"/>
      <c r="AV170" s="3522"/>
      <c r="AW170" s="3766"/>
    </row>
    <row r="171" ht="18.75" customHeight="1" spans="1:49">
      <c r="A171" s="3780" t="s">
        <v>6140</v>
      </c>
      <c r="B171" s="3780" t="s">
        <v>3953</v>
      </c>
      <c r="C171" s="3774" t="s">
        <v>6269</v>
      </c>
      <c r="D171" s="3775"/>
      <c r="E171" s="3775"/>
      <c r="F171" s="3775"/>
      <c r="G171" s="3775"/>
      <c r="H171" s="3775"/>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775"/>
      <c r="AD171" s="3775"/>
      <c r="AE171" s="3775"/>
      <c r="AF171" s="3775"/>
      <c r="AG171" s="3775"/>
      <c r="AH171" s="3776"/>
      <c r="AI171" s="3777" t="s">
        <v>6270</v>
      </c>
      <c r="AJ171" s="3778"/>
      <c r="AK171" s="3778"/>
      <c r="AL171" s="3778"/>
      <c r="AM171" s="3778"/>
      <c r="AN171" s="3779"/>
      <c r="AO171" s="3520">
        <f>AO81</f>
        <v>245707</v>
      </c>
      <c r="AP171" s="3521"/>
      <c r="AQ171" s="3521"/>
      <c r="AR171" s="3521"/>
      <c r="AS171" s="3521"/>
      <c r="AT171" s="3521"/>
      <c r="AU171" s="3521"/>
      <c r="AV171" s="3522"/>
      <c r="AW171" s="3766"/>
    </row>
    <row r="172" spans="1:49">
      <c r="A172" s="3790"/>
      <c r="B172" s="3790"/>
      <c r="C172" s="3791"/>
      <c r="D172" s="3791"/>
      <c r="E172" s="3791"/>
      <c r="F172" s="3791"/>
      <c r="G172" s="3791"/>
      <c r="H172" s="3791"/>
      <c r="I172" s="3791"/>
      <c r="J172" s="3791"/>
      <c r="K172" s="3791"/>
      <c r="L172" s="3791"/>
      <c r="M172" s="3791"/>
      <c r="N172" s="3791"/>
      <c r="O172" s="3791"/>
      <c r="P172" s="3791"/>
      <c r="Q172" s="3791"/>
      <c r="R172" s="3791"/>
      <c r="S172" s="3791"/>
      <c r="T172" s="3791"/>
      <c r="U172" s="3791"/>
      <c r="V172" s="3791"/>
      <c r="W172" s="3791"/>
      <c r="X172" s="3791"/>
      <c r="Y172" s="3791"/>
      <c r="Z172" s="3791"/>
      <c r="AA172" s="3791"/>
      <c r="AB172" s="3791"/>
      <c r="AC172" s="3791"/>
      <c r="AD172" s="3791"/>
      <c r="AE172" s="3791"/>
      <c r="AF172" s="3791"/>
      <c r="AG172" s="3791"/>
      <c r="AH172" s="3791"/>
      <c r="AI172" s="3792"/>
      <c r="AJ172" s="3792"/>
      <c r="AK172" s="3792"/>
      <c r="AL172" s="3792"/>
      <c r="AM172" s="3792"/>
      <c r="AN172" s="3792"/>
      <c r="AO172" s="3793"/>
      <c r="AP172" s="3793"/>
      <c r="AQ172" s="3793"/>
      <c r="AR172" s="3793"/>
      <c r="AS172" s="3793"/>
      <c r="AT172" s="3793"/>
      <c r="AU172" s="3793"/>
      <c r="AV172" s="3793"/>
      <c r="AW172" s="3766"/>
    </row>
    <row r="173" spans="1:49">
      <c r="A173" s="3865" t="s">
        <v>6271</v>
      </c>
      <c r="B173" s="3865"/>
      <c r="C173" s="3865"/>
      <c r="D173" s="3865"/>
      <c r="E173" s="3865"/>
      <c r="F173" s="3865"/>
      <c r="G173" s="3865"/>
      <c r="H173" s="3865"/>
      <c r="I173" s="3865"/>
      <c r="J173" s="3865"/>
      <c r="K173" s="3865"/>
      <c r="L173" s="3865"/>
      <c r="M173" s="3865"/>
      <c r="N173" s="3865"/>
      <c r="O173" s="3865"/>
      <c r="P173" s="3865"/>
      <c r="Q173" s="3865"/>
      <c r="R173" s="3865"/>
      <c r="S173" s="3865"/>
      <c r="T173" s="3865"/>
      <c r="U173" s="3865"/>
      <c r="V173" s="3865"/>
      <c r="W173" s="3865"/>
      <c r="X173" s="3865"/>
      <c r="Y173" s="3865"/>
      <c r="Z173" s="3865"/>
      <c r="AA173" s="3865"/>
      <c r="AB173" s="3865"/>
      <c r="AC173" s="3865"/>
      <c r="AD173" s="3865"/>
      <c r="AE173" s="3865"/>
      <c r="AF173" s="3865"/>
      <c r="AG173" s="3865"/>
      <c r="AH173" s="3865"/>
      <c r="AI173" s="3865"/>
      <c r="AJ173" s="3865"/>
      <c r="AK173" s="3865"/>
      <c r="AL173" s="3865"/>
      <c r="AM173" s="3865"/>
      <c r="AN173" s="3865"/>
      <c r="AO173" s="3865"/>
      <c r="AP173" s="3865"/>
      <c r="AQ173" s="3865"/>
      <c r="AR173" s="3865"/>
      <c r="AS173" s="3865"/>
      <c r="AT173" s="3865"/>
      <c r="AU173" s="3865"/>
      <c r="AV173" s="3865"/>
      <c r="AW173" s="3766"/>
    </row>
    <row r="174" spans="1:49">
      <c r="A174" s="3795"/>
      <c r="B174" s="3795"/>
      <c r="C174" s="3795"/>
      <c r="D174" s="3795"/>
      <c r="E174" s="3795"/>
      <c r="F174" s="3795"/>
      <c r="G174" s="3795"/>
      <c r="H174" s="3795"/>
      <c r="I174" s="3795"/>
      <c r="J174" s="3795"/>
      <c r="K174" s="3795"/>
      <c r="L174" s="3795"/>
      <c r="M174" s="3795"/>
      <c r="N174" s="3795"/>
      <c r="O174" s="3795"/>
      <c r="P174" s="3795"/>
      <c r="Q174" s="3795"/>
      <c r="R174" s="3795"/>
      <c r="S174" s="3795"/>
      <c r="T174" s="3795"/>
      <c r="U174" s="3795"/>
      <c r="V174" s="3795"/>
      <c r="W174" s="3795"/>
      <c r="X174" s="3795"/>
      <c r="Y174" s="3795"/>
      <c r="Z174" s="3795"/>
      <c r="AA174" s="3795"/>
      <c r="AB174" s="3795"/>
      <c r="AC174" s="3795"/>
      <c r="AD174" s="3795"/>
      <c r="AE174" s="3795"/>
      <c r="AF174" s="3795"/>
      <c r="AG174" s="3795"/>
      <c r="AH174" s="3795"/>
      <c r="AI174" s="3795"/>
      <c r="AJ174" s="3795"/>
      <c r="AK174" s="3795"/>
      <c r="AL174" s="3795"/>
      <c r="AM174" s="3795"/>
      <c r="AN174" s="3795"/>
      <c r="AO174" s="3795"/>
      <c r="AP174" s="3795"/>
      <c r="AQ174" s="3795"/>
      <c r="AR174" s="3795"/>
      <c r="AS174" s="3795"/>
      <c r="AT174" s="3795"/>
      <c r="AU174" s="3795"/>
      <c r="AV174" s="3795"/>
    </row>
    <row r="175" spans="1:49">
      <c r="A175" s="3795"/>
      <c r="B175" s="3795"/>
      <c r="C175" s="3795"/>
      <c r="D175" s="3795"/>
      <c r="E175" s="3795"/>
      <c r="F175" s="3795"/>
      <c r="G175" s="3795"/>
      <c r="H175" s="3795"/>
      <c r="I175" s="3795"/>
      <c r="J175" s="3795"/>
      <c r="K175" s="3795"/>
      <c r="L175" s="3795"/>
      <c r="M175" s="3795"/>
      <c r="N175" s="3795"/>
      <c r="O175" s="3795"/>
      <c r="P175" s="3795"/>
      <c r="Q175" s="3795"/>
      <c r="R175" s="3795"/>
      <c r="S175" s="3795"/>
      <c r="T175" s="3795"/>
      <c r="U175" s="3795"/>
      <c r="V175" s="3795"/>
      <c r="W175" s="3795"/>
      <c r="X175" s="3795"/>
      <c r="Y175" s="3795"/>
      <c r="Z175" s="3795"/>
      <c r="AA175" s="3795"/>
      <c r="AB175" s="3795"/>
      <c r="AC175" s="3795"/>
      <c r="AD175" s="3795"/>
      <c r="AE175" s="3795"/>
      <c r="AF175" s="3795"/>
      <c r="AG175" s="3795"/>
      <c r="AH175" s="3795"/>
      <c r="AI175" s="3795"/>
      <c r="AJ175" s="3795"/>
      <c r="AK175" s="3795"/>
      <c r="AL175" s="3795"/>
      <c r="AM175" s="3795"/>
      <c r="AN175" s="3795"/>
      <c r="AO175" s="3795"/>
      <c r="AP175" s="3795"/>
      <c r="AQ175" s="3795"/>
      <c r="AR175" s="3795"/>
      <c r="AS175" s="3795"/>
      <c r="AT175" s="3795"/>
      <c r="AU175" s="3795"/>
      <c r="AV175" s="3795"/>
    </row>
    <row r="176" spans="1:49">
      <c r="A176" s="3795"/>
      <c r="B176" s="3795"/>
      <c r="C176" s="3795"/>
      <c r="D176" s="3795"/>
      <c r="E176" s="3795"/>
      <c r="F176" s="3795"/>
      <c r="G176" s="3795"/>
      <c r="H176" s="3795"/>
      <c r="I176" s="3795"/>
      <c r="J176" s="3795"/>
      <c r="K176" s="3795"/>
      <c r="L176" s="3795"/>
      <c r="M176" s="3795"/>
      <c r="N176" s="3795"/>
      <c r="O176" s="3795"/>
      <c r="P176" s="3795"/>
      <c r="Q176" s="3795"/>
      <c r="R176" s="3795"/>
      <c r="S176" s="3795"/>
      <c r="T176" s="3795"/>
      <c r="U176" s="3795"/>
      <c r="V176" s="3795"/>
      <c r="W176" s="3795"/>
      <c r="X176" s="3795"/>
      <c r="Y176" s="3795"/>
      <c r="Z176" s="3795"/>
      <c r="AA176" s="3795"/>
      <c r="AB176" s="3795"/>
      <c r="AC176" s="3795"/>
      <c r="AD176" s="3795"/>
      <c r="AE176" s="3795"/>
      <c r="AF176" s="3795"/>
      <c r="AG176" s="3795"/>
      <c r="AH176" s="3795"/>
      <c r="AI176" s="3795"/>
      <c r="AJ176" s="3795"/>
      <c r="AK176" s="3795"/>
      <c r="AL176" s="3795"/>
      <c r="AM176" s="3795"/>
      <c r="AN176" s="3795"/>
      <c r="AO176" s="3795"/>
      <c r="AP176" s="3795"/>
      <c r="AQ176" s="3795"/>
      <c r="AR176" s="3795"/>
      <c r="AS176" s="3795"/>
      <c r="AT176" s="3795"/>
      <c r="AU176" s="3795"/>
      <c r="AV176" s="3795"/>
    </row>
    <row r="177" spans="1:48">
      <c r="A177" s="3795"/>
      <c r="B177" s="3795"/>
      <c r="C177" s="3795"/>
      <c r="D177" s="3795"/>
      <c r="E177" s="3795"/>
      <c r="F177" s="3795"/>
      <c r="G177" s="3795"/>
      <c r="H177" s="3795"/>
      <c r="I177" s="3795"/>
      <c r="J177" s="3795"/>
      <c r="K177" s="3795"/>
      <c r="L177" s="3795"/>
      <c r="M177" s="3795"/>
      <c r="N177" s="3795"/>
      <c r="O177" s="3795"/>
      <c r="P177" s="3795"/>
      <c r="Q177" s="3795"/>
      <c r="R177" s="3795"/>
      <c r="S177" s="3795"/>
      <c r="T177" s="3795"/>
      <c r="U177" s="3795"/>
      <c r="V177" s="3795"/>
      <c r="W177" s="3795"/>
      <c r="X177" s="3795"/>
      <c r="Y177" s="3795"/>
      <c r="Z177" s="3795"/>
      <c r="AA177" s="3795"/>
      <c r="AB177" s="3795"/>
      <c r="AC177" s="3795"/>
      <c r="AD177" s="3795"/>
      <c r="AE177" s="3795"/>
      <c r="AF177" s="3795"/>
      <c r="AG177" s="3795"/>
      <c r="AH177" s="3795"/>
      <c r="AI177" s="3795"/>
      <c r="AJ177" s="3795"/>
      <c r="AK177" s="3795"/>
      <c r="AL177" s="3795"/>
      <c r="AM177" s="3795"/>
      <c r="AN177" s="3795"/>
      <c r="AO177" s="3795"/>
      <c r="AP177" s="3795"/>
      <c r="AQ177" s="3795"/>
      <c r="AR177" s="3795"/>
      <c r="AS177" s="3795"/>
      <c r="AT177" s="3795"/>
      <c r="AU177" s="3795"/>
      <c r="AV177" s="3795"/>
    </row>
    <row r="178" spans="1:48">
      <c r="A178" s="3795"/>
      <c r="B178" s="3795"/>
      <c r="C178" s="3795"/>
      <c r="D178" s="3795"/>
      <c r="E178" s="3795"/>
      <c r="F178" s="3795"/>
      <c r="G178" s="3795"/>
      <c r="H178" s="3795"/>
      <c r="I178" s="3795"/>
      <c r="J178" s="3795"/>
      <c r="K178" s="3795"/>
      <c r="L178" s="3795"/>
      <c r="M178" s="3795"/>
      <c r="N178" s="3795"/>
      <c r="O178" s="3795"/>
      <c r="P178" s="3795"/>
      <c r="Q178" s="3795"/>
      <c r="R178" s="3795"/>
      <c r="S178" s="3795"/>
      <c r="T178" s="3795"/>
      <c r="U178" s="3795"/>
      <c r="V178" s="3795"/>
      <c r="W178" s="3795"/>
      <c r="X178" s="3795"/>
      <c r="Y178" s="3795"/>
      <c r="Z178" s="3795"/>
      <c r="AA178" s="3795"/>
      <c r="AB178" s="3795"/>
      <c r="AC178" s="3795"/>
      <c r="AD178" s="3795"/>
      <c r="AE178" s="3795"/>
      <c r="AF178" s="3795"/>
      <c r="AG178" s="3795"/>
      <c r="AH178" s="3795"/>
      <c r="AI178" s="3795"/>
      <c r="AJ178" s="3795"/>
      <c r="AK178" s="3795"/>
      <c r="AL178" s="3795"/>
      <c r="AM178" s="3795"/>
      <c r="AN178" s="3795"/>
      <c r="AO178" s="3795"/>
      <c r="AP178" s="3795"/>
      <c r="AQ178" s="3795"/>
      <c r="AR178" s="3795"/>
      <c r="AS178" s="3795"/>
      <c r="AT178" s="3795"/>
      <c r="AU178" s="3795"/>
      <c r="AV178" s="3795"/>
    </row>
    <row r="179" spans="1:48">
      <c r="A179" s="3795"/>
      <c r="B179" s="3795"/>
      <c r="C179" s="3795"/>
      <c r="D179" s="3795"/>
      <c r="E179" s="3795"/>
      <c r="F179" s="3795"/>
      <c r="G179" s="3795"/>
      <c r="H179" s="3795"/>
      <c r="I179" s="3795"/>
      <c r="J179" s="3795"/>
      <c r="K179" s="3795"/>
      <c r="L179" s="3795"/>
      <c r="M179" s="3795"/>
      <c r="N179" s="3795"/>
      <c r="O179" s="3795"/>
      <c r="P179" s="3795"/>
      <c r="Q179" s="3795"/>
      <c r="R179" s="3795"/>
      <c r="S179" s="3795"/>
      <c r="T179" s="3795"/>
      <c r="U179" s="3795"/>
      <c r="V179" s="3795"/>
      <c r="W179" s="3795"/>
      <c r="X179" s="3795"/>
      <c r="Y179" s="3795"/>
      <c r="Z179" s="3795"/>
      <c r="AA179" s="3795"/>
      <c r="AB179" s="3795"/>
      <c r="AC179" s="3795"/>
      <c r="AD179" s="3795"/>
      <c r="AE179" s="3795"/>
      <c r="AF179" s="3795"/>
      <c r="AG179" s="3795"/>
      <c r="AH179" s="3795"/>
      <c r="AI179" s="3795"/>
      <c r="AJ179" s="3795"/>
      <c r="AK179" s="3795"/>
      <c r="AL179" s="3795"/>
      <c r="AM179" s="3795"/>
      <c r="AN179" s="3795"/>
      <c r="AO179" s="3795"/>
      <c r="AP179" s="3795"/>
      <c r="AQ179" s="3795"/>
      <c r="AR179" s="3795"/>
      <c r="AS179" s="3795"/>
      <c r="AT179" s="3795"/>
      <c r="AU179" s="3795"/>
      <c r="AV179" s="3795"/>
    </row>
    <row r="180" spans="1:48">
      <c r="A180" s="3795"/>
      <c r="B180" s="3795"/>
      <c r="C180" s="3795"/>
      <c r="D180" s="3795"/>
      <c r="E180" s="3795"/>
      <c r="F180" s="3795"/>
      <c r="G180" s="3795"/>
      <c r="H180" s="3795"/>
      <c r="I180" s="3795"/>
      <c r="J180" s="3795"/>
      <c r="K180" s="3795"/>
      <c r="L180" s="3795"/>
      <c r="M180" s="3795"/>
      <c r="N180" s="3795"/>
      <c r="O180" s="3795"/>
      <c r="P180" s="3795"/>
      <c r="Q180" s="3795"/>
      <c r="R180" s="3795"/>
      <c r="S180" s="3795"/>
      <c r="T180" s="3795"/>
      <c r="U180" s="3795"/>
      <c r="V180" s="3795"/>
      <c r="W180" s="3795"/>
      <c r="X180" s="3795"/>
      <c r="Y180" s="3795"/>
      <c r="Z180" s="3795"/>
      <c r="AA180" s="3795"/>
      <c r="AB180" s="3795"/>
      <c r="AC180" s="3795"/>
      <c r="AD180" s="3795"/>
      <c r="AE180" s="3795"/>
      <c r="AF180" s="3795"/>
      <c r="AG180" s="3795"/>
      <c r="AH180" s="3795"/>
      <c r="AI180" s="3795"/>
      <c r="AJ180" s="3795"/>
      <c r="AK180" s="3795"/>
      <c r="AL180" s="3795"/>
      <c r="AM180" s="3795"/>
      <c r="AN180" s="3795"/>
      <c r="AO180" s="3795"/>
      <c r="AP180" s="3795"/>
      <c r="AQ180" s="3795"/>
      <c r="AR180" s="3795"/>
      <c r="AS180" s="3795"/>
      <c r="AT180" s="3795"/>
      <c r="AU180" s="3795"/>
      <c r="AV180" s="3795"/>
    </row>
    <row r="181" spans="1:48">
      <c r="A181" s="3795"/>
      <c r="B181" s="3795"/>
      <c r="C181" s="3795"/>
      <c r="D181" s="3795"/>
      <c r="E181" s="3795"/>
      <c r="F181" s="3795"/>
      <c r="G181" s="3795"/>
      <c r="H181" s="3795"/>
      <c r="I181" s="3795"/>
      <c r="J181" s="3795"/>
      <c r="K181" s="3795"/>
      <c r="L181" s="3795"/>
      <c r="M181" s="3795"/>
      <c r="N181" s="3795"/>
      <c r="O181" s="3795"/>
      <c r="P181" s="3795"/>
      <c r="Q181" s="3795"/>
      <c r="R181" s="3795"/>
      <c r="S181" s="3795"/>
      <c r="T181" s="3795"/>
      <c r="U181" s="3795"/>
      <c r="V181" s="3795"/>
      <c r="W181" s="3795"/>
      <c r="X181" s="3795"/>
      <c r="Y181" s="3795"/>
      <c r="Z181" s="3795"/>
      <c r="AA181" s="3795"/>
      <c r="AB181" s="3795"/>
      <c r="AC181" s="3795"/>
      <c r="AD181" s="3795"/>
      <c r="AE181" s="3795"/>
      <c r="AF181" s="3795"/>
      <c r="AG181" s="3795"/>
      <c r="AH181" s="3795"/>
      <c r="AI181" s="3795"/>
      <c r="AJ181" s="3795"/>
      <c r="AK181" s="3795"/>
      <c r="AL181" s="3795"/>
      <c r="AM181" s="3795"/>
      <c r="AN181" s="3795"/>
      <c r="AO181" s="3795"/>
      <c r="AP181" s="3795"/>
      <c r="AQ181" s="3795"/>
      <c r="AR181" s="3795"/>
      <c r="AS181" s="3795"/>
      <c r="AT181" s="3795"/>
      <c r="AU181" s="3795"/>
      <c r="AV181" s="3795"/>
    </row>
    <row r="182" spans="1:48">
      <c r="A182" s="3795"/>
      <c r="B182" s="3795"/>
      <c r="C182" s="3795"/>
      <c r="D182" s="3795"/>
      <c r="E182" s="3795"/>
      <c r="F182" s="3795"/>
      <c r="G182" s="3795"/>
      <c r="H182" s="3795"/>
      <c r="I182" s="3795"/>
      <c r="J182" s="3795"/>
      <c r="K182" s="3795"/>
      <c r="L182" s="3795"/>
      <c r="M182" s="3795"/>
      <c r="N182" s="3795"/>
      <c r="O182" s="3795"/>
      <c r="P182" s="3795"/>
      <c r="Q182" s="3795"/>
      <c r="R182" s="3795"/>
      <c r="S182" s="3795"/>
      <c r="T182" s="3795"/>
      <c r="U182" s="3795"/>
      <c r="V182" s="3795"/>
      <c r="W182" s="3795"/>
      <c r="X182" s="3795"/>
      <c r="Y182" s="3795"/>
      <c r="Z182" s="3795"/>
      <c r="AA182" s="3795"/>
      <c r="AB182" s="3795"/>
      <c r="AC182" s="3795"/>
      <c r="AD182" s="3795"/>
      <c r="AE182" s="3795"/>
      <c r="AF182" s="3795"/>
      <c r="AG182" s="3795"/>
      <c r="AH182" s="3795"/>
      <c r="AI182" s="3795"/>
      <c r="AJ182" s="3795"/>
      <c r="AK182" s="3795"/>
      <c r="AL182" s="3795"/>
      <c r="AM182" s="3795"/>
      <c r="AN182" s="3795"/>
      <c r="AO182" s="3795"/>
      <c r="AP182" s="3795"/>
      <c r="AQ182" s="3795"/>
      <c r="AR182" s="3795"/>
      <c r="AS182" s="3795"/>
      <c r="AT182" s="3795"/>
      <c r="AU182" s="3795"/>
      <c r="AV182" s="3795"/>
    </row>
    <row r="183" spans="1:48">
      <c r="A183" s="3795"/>
      <c r="B183" s="3795"/>
      <c r="C183" s="3795"/>
      <c r="D183" s="3795"/>
      <c r="E183" s="3795"/>
      <c r="F183" s="3795"/>
      <c r="G183" s="3795"/>
      <c r="H183" s="3795"/>
      <c r="I183" s="3795"/>
      <c r="J183" s="3795"/>
      <c r="K183" s="3795"/>
      <c r="L183" s="3795"/>
      <c r="M183" s="3795"/>
      <c r="N183" s="3795"/>
      <c r="O183" s="3795"/>
      <c r="P183" s="3795"/>
      <c r="Q183" s="3795"/>
      <c r="R183" s="3795"/>
      <c r="S183" s="3795"/>
      <c r="T183" s="3795"/>
      <c r="U183" s="3795"/>
      <c r="V183" s="3795"/>
      <c r="W183" s="3795"/>
      <c r="X183" s="3795"/>
      <c r="Y183" s="3795"/>
      <c r="Z183" s="3795"/>
      <c r="AA183" s="3795"/>
      <c r="AB183" s="3795"/>
      <c r="AC183" s="3795"/>
      <c r="AD183" s="3795"/>
      <c r="AE183" s="3795"/>
      <c r="AF183" s="3795"/>
      <c r="AG183" s="3795"/>
      <c r="AH183" s="3795"/>
      <c r="AI183" s="3795"/>
      <c r="AJ183" s="3795"/>
      <c r="AK183" s="3795"/>
      <c r="AL183" s="3795"/>
      <c r="AM183" s="3795"/>
      <c r="AN183" s="3795"/>
      <c r="AO183" s="3795"/>
      <c r="AP183" s="3795"/>
      <c r="AQ183" s="3795"/>
      <c r="AR183" s="3795"/>
      <c r="AS183" s="3795"/>
      <c r="AT183" s="3795"/>
      <c r="AU183" s="3795"/>
      <c r="AV183" s="3795"/>
    </row>
    <row r="184" spans="1:48">
      <c r="A184" s="3795"/>
      <c r="B184" s="3795"/>
      <c r="C184" s="3795"/>
      <c r="D184" s="3795"/>
      <c r="E184" s="3795"/>
      <c r="F184" s="3795"/>
      <c r="G184" s="3795"/>
      <c r="H184" s="3795"/>
      <c r="I184" s="3795"/>
      <c r="J184" s="3795"/>
      <c r="K184" s="3795"/>
      <c r="L184" s="3795"/>
      <c r="M184" s="3795"/>
      <c r="N184" s="3795"/>
      <c r="O184" s="3795"/>
      <c r="P184" s="3795"/>
      <c r="Q184" s="3795"/>
      <c r="R184" s="3795"/>
      <c r="S184" s="3795"/>
      <c r="T184" s="3795"/>
      <c r="U184" s="3795"/>
      <c r="V184" s="3795"/>
      <c r="W184" s="3795"/>
      <c r="X184" s="3795"/>
      <c r="Y184" s="3795"/>
      <c r="Z184" s="3795"/>
      <c r="AA184" s="3795"/>
      <c r="AB184" s="3795"/>
      <c r="AC184" s="3795"/>
      <c r="AD184" s="3795"/>
      <c r="AE184" s="3795"/>
      <c r="AF184" s="3795"/>
      <c r="AG184" s="3795"/>
      <c r="AH184" s="3795"/>
      <c r="AI184" s="3795"/>
      <c r="AJ184" s="3795"/>
      <c r="AK184" s="3795"/>
      <c r="AL184" s="3795"/>
      <c r="AM184" s="3795"/>
      <c r="AN184" s="3795"/>
      <c r="AO184" s="3795"/>
      <c r="AP184" s="3795"/>
      <c r="AQ184" s="3795"/>
      <c r="AR184" s="3795"/>
      <c r="AS184" s="3795"/>
      <c r="AT184" s="3795"/>
      <c r="AU184" s="3795"/>
      <c r="AV184" s="3795"/>
    </row>
    <row r="185" spans="1:48">
      <c r="A185" s="3795"/>
      <c r="B185" s="3795"/>
      <c r="C185" s="3795"/>
      <c r="D185" s="3795"/>
      <c r="E185" s="3795"/>
      <c r="F185" s="3795"/>
      <c r="G185" s="3795"/>
      <c r="H185" s="3795"/>
      <c r="I185" s="3795"/>
      <c r="J185" s="3795"/>
      <c r="K185" s="3795"/>
      <c r="L185" s="3795"/>
      <c r="M185" s="3795"/>
      <c r="N185" s="3795"/>
      <c r="O185" s="3795"/>
      <c r="P185" s="3795"/>
      <c r="Q185" s="3795"/>
      <c r="R185" s="3795"/>
      <c r="S185" s="3795"/>
      <c r="T185" s="3795"/>
      <c r="U185" s="3795"/>
      <c r="V185" s="3795"/>
      <c r="W185" s="3795"/>
      <c r="X185" s="3795"/>
      <c r="Y185" s="3795"/>
      <c r="Z185" s="3795"/>
      <c r="AA185" s="3795"/>
      <c r="AB185" s="3795"/>
      <c r="AC185" s="3795"/>
      <c r="AD185" s="3795"/>
      <c r="AE185" s="3795"/>
      <c r="AF185" s="3795"/>
      <c r="AG185" s="3795"/>
      <c r="AH185" s="3795"/>
      <c r="AI185" s="3795"/>
      <c r="AJ185" s="3795"/>
      <c r="AK185" s="3795"/>
      <c r="AL185" s="3795"/>
      <c r="AM185" s="3795"/>
      <c r="AN185" s="3795"/>
      <c r="AO185" s="3795"/>
      <c r="AP185" s="3795"/>
      <c r="AQ185" s="3795"/>
      <c r="AR185" s="3795"/>
      <c r="AS185" s="3795"/>
      <c r="AT185" s="3795"/>
      <c r="AU185" s="3795"/>
      <c r="AV185" s="3795"/>
    </row>
    <row r="186" spans="1:48">
      <c r="A186" s="3795"/>
      <c r="B186" s="3795"/>
      <c r="C186" s="3795"/>
      <c r="D186" s="3795"/>
      <c r="E186" s="3795"/>
      <c r="F186" s="3795"/>
      <c r="G186" s="3795"/>
      <c r="H186" s="3795"/>
      <c r="I186" s="3795"/>
      <c r="J186" s="3795"/>
      <c r="K186" s="3795"/>
      <c r="L186" s="3795"/>
      <c r="M186" s="3795"/>
      <c r="N186" s="3795"/>
      <c r="O186" s="3795"/>
      <c r="P186" s="3795"/>
      <c r="Q186" s="3795"/>
      <c r="R186" s="3795"/>
      <c r="S186" s="3795"/>
      <c r="T186" s="3795"/>
      <c r="U186" s="3795"/>
      <c r="V186" s="3795"/>
      <c r="W186" s="3795"/>
      <c r="X186" s="3795"/>
      <c r="Y186" s="3795"/>
      <c r="Z186" s="3795"/>
      <c r="AA186" s="3795"/>
      <c r="AB186" s="3795"/>
      <c r="AC186" s="3795"/>
      <c r="AD186" s="3795"/>
      <c r="AE186" s="3795"/>
      <c r="AF186" s="3795"/>
      <c r="AG186" s="3795"/>
      <c r="AH186" s="3795"/>
      <c r="AI186" s="3795"/>
      <c r="AJ186" s="3795"/>
      <c r="AK186" s="3795"/>
      <c r="AL186" s="3795"/>
      <c r="AM186" s="3795"/>
      <c r="AN186" s="3795"/>
      <c r="AO186" s="3795"/>
      <c r="AP186" s="3795"/>
      <c r="AQ186" s="3795"/>
      <c r="AR186" s="3795"/>
      <c r="AS186" s="3795"/>
      <c r="AT186" s="3795"/>
      <c r="AU186" s="3795"/>
      <c r="AV186" s="3795"/>
    </row>
    <row r="187" spans="1:48">
      <c r="A187" s="3795"/>
      <c r="B187" s="3795"/>
      <c r="C187" s="3795"/>
      <c r="D187" s="3795"/>
      <c r="E187" s="3795"/>
      <c r="F187" s="3795"/>
      <c r="G187" s="3795"/>
      <c r="H187" s="3795"/>
      <c r="I187" s="3795"/>
      <c r="J187" s="3795"/>
      <c r="K187" s="3795"/>
      <c r="L187" s="3795"/>
      <c r="M187" s="3795"/>
      <c r="N187" s="3795"/>
      <c r="O187" s="3795"/>
      <c r="P187" s="3795"/>
      <c r="Q187" s="3795"/>
      <c r="R187" s="3795"/>
      <c r="S187" s="3795"/>
      <c r="T187" s="3795"/>
      <c r="U187" s="3795"/>
      <c r="V187" s="3795"/>
      <c r="W187" s="3795"/>
      <c r="X187" s="3795"/>
      <c r="Y187" s="3795"/>
      <c r="Z187" s="3795"/>
      <c r="AA187" s="3795"/>
      <c r="AB187" s="3795"/>
      <c r="AC187" s="3795"/>
      <c r="AD187" s="3795"/>
      <c r="AE187" s="3795"/>
      <c r="AF187" s="3795"/>
      <c r="AG187" s="3795"/>
      <c r="AH187" s="3795"/>
      <c r="AI187" s="3795"/>
      <c r="AJ187" s="3795"/>
      <c r="AK187" s="3795"/>
      <c r="AL187" s="3795"/>
      <c r="AM187" s="3795"/>
      <c r="AN187" s="3795"/>
      <c r="AO187" s="3795"/>
      <c r="AP187" s="3795"/>
      <c r="AQ187" s="3795"/>
      <c r="AR187" s="3795"/>
      <c r="AS187" s="3795"/>
      <c r="AT187" s="3795"/>
      <c r="AU187" s="3795"/>
      <c r="AV187" s="3795"/>
    </row>
    <row r="188" spans="1:48">
      <c r="A188" s="3796"/>
      <c r="B188" s="3796"/>
      <c r="C188" s="3796"/>
      <c r="D188" s="3796"/>
      <c r="E188" s="3796"/>
      <c r="F188" s="3796"/>
      <c r="G188" s="3796"/>
      <c r="H188" s="3796"/>
      <c r="I188" s="3796"/>
      <c r="J188" s="3796"/>
      <c r="K188" s="3796"/>
      <c r="L188" s="3796"/>
      <c r="M188" s="3796"/>
      <c r="N188" s="3796"/>
      <c r="O188" s="3796"/>
      <c r="P188" s="3796"/>
      <c r="Q188" s="3796"/>
      <c r="R188" s="3796"/>
      <c r="S188" s="3796"/>
      <c r="T188" s="3796"/>
      <c r="U188" s="3796"/>
      <c r="V188" s="3796"/>
      <c r="W188" s="3796"/>
      <c r="X188" s="3796"/>
      <c r="Y188" s="3796"/>
      <c r="Z188" s="3796"/>
      <c r="AA188" s="3796"/>
      <c r="AB188" s="3796"/>
      <c r="AC188" s="3796"/>
      <c r="AD188" s="3796"/>
      <c r="AE188" s="3796"/>
      <c r="AF188" s="3796"/>
      <c r="AG188" s="3796"/>
      <c r="AH188" s="3796"/>
      <c r="AI188" s="3796"/>
      <c r="AJ188" s="3796"/>
      <c r="AK188" s="3796"/>
      <c r="AL188" s="3796"/>
      <c r="AM188" s="3796"/>
      <c r="AN188" s="3796"/>
      <c r="AO188" s="3796"/>
      <c r="AP188" s="3796"/>
      <c r="AQ188" s="3796"/>
      <c r="AR188" s="3796"/>
      <c r="AS188" s="3796"/>
      <c r="AT188" s="3796"/>
      <c r="AU188" s="3796"/>
      <c r="AV188" s="3796"/>
    </row>
    <row r="189" spans="1:48">
      <c r="A189" s="3505" t="s">
        <v>6272</v>
      </c>
      <c r="B189" s="3505"/>
      <c r="C189" s="3505"/>
      <c r="D189" s="3505"/>
      <c r="E189" s="3505"/>
      <c r="F189" s="3505"/>
      <c r="G189" s="3505"/>
      <c r="H189" s="3505"/>
      <c r="I189" s="3505"/>
      <c r="J189" s="3505"/>
      <c r="K189" s="3505"/>
      <c r="L189" s="3505"/>
      <c r="M189" s="3505"/>
      <c r="N189" s="3505"/>
      <c r="O189" s="3505"/>
      <c r="P189" s="3505"/>
      <c r="Q189" s="3505"/>
      <c r="R189" s="3505"/>
      <c r="S189" s="3505"/>
      <c r="T189" s="3505"/>
      <c r="U189" s="3505"/>
      <c r="V189" s="3505"/>
      <c r="W189" s="3505"/>
      <c r="X189" s="3505"/>
      <c r="Y189" s="3505"/>
      <c r="Z189" s="3505"/>
      <c r="AA189" s="3505"/>
      <c r="AB189" s="3505"/>
      <c r="AC189" s="3505"/>
      <c r="AD189" s="3505"/>
      <c r="AE189" s="3505"/>
      <c r="AF189" s="3505"/>
      <c r="AG189" s="3505"/>
      <c r="AH189" s="3505"/>
      <c r="AI189" s="3505"/>
      <c r="AJ189" s="3505"/>
      <c r="AK189" s="3505"/>
      <c r="AL189" s="3505"/>
      <c r="AM189" s="3505"/>
      <c r="AN189" s="3505"/>
      <c r="AO189" s="3505"/>
      <c r="AP189" s="3505"/>
      <c r="AQ189" s="3505"/>
      <c r="AR189" s="3505"/>
      <c r="AS189" s="3505"/>
      <c r="AT189" s="3505"/>
      <c r="AU189" s="3505"/>
      <c r="AV189" s="3505"/>
    </row>
    <row r="190" ht="25.5" customHeight="1" spans="1:48">
      <c r="A190" s="3506" t="s">
        <v>6096</v>
      </c>
      <c r="B190" s="3506"/>
      <c r="C190" s="3797" t="s">
        <v>6097</v>
      </c>
      <c r="D190" s="3507"/>
      <c r="E190" s="3507"/>
      <c r="F190" s="3507"/>
      <c r="G190" s="3507"/>
      <c r="H190" s="3507"/>
      <c r="I190" s="3507"/>
      <c r="J190" s="3507"/>
      <c r="K190" s="3507"/>
      <c r="L190" s="3507"/>
      <c r="M190" s="3507"/>
      <c r="N190" s="3507"/>
      <c r="O190" s="3507"/>
      <c r="P190" s="3507"/>
      <c r="Q190" s="3507"/>
      <c r="R190" s="3507"/>
      <c r="S190" s="3507"/>
      <c r="T190" s="3507"/>
      <c r="U190" s="3507"/>
      <c r="V190" s="3507"/>
      <c r="W190" s="3507"/>
      <c r="X190" s="3507"/>
      <c r="Y190" s="3507"/>
      <c r="Z190" s="3507"/>
      <c r="AA190" s="3507"/>
      <c r="AB190" s="3798" t="s">
        <v>6098</v>
      </c>
      <c r="AC190" s="3799"/>
      <c r="AD190" s="3799"/>
      <c r="AE190" s="3799"/>
      <c r="AF190" s="3799"/>
      <c r="AG190" s="3799"/>
      <c r="AH190" s="3800"/>
      <c r="AI190" s="3510" t="s">
        <v>6273</v>
      </c>
      <c r="AJ190" s="3511"/>
      <c r="AK190" s="3511"/>
      <c r="AL190" s="3511"/>
      <c r="AM190" s="3511"/>
      <c r="AN190" s="3512"/>
      <c r="AO190" s="3510" t="s">
        <v>6100</v>
      </c>
      <c r="AP190" s="3511"/>
      <c r="AQ190" s="3511"/>
      <c r="AR190" s="3511"/>
      <c r="AS190" s="3511"/>
      <c r="AT190" s="3511"/>
      <c r="AU190" s="3511"/>
      <c r="AV190" s="3512"/>
    </row>
    <row r="191" ht="24" customHeight="1" spans="1:48">
      <c r="A191" s="3801" t="s">
        <v>5336</v>
      </c>
      <c r="B191" s="3801" t="s">
        <v>3953</v>
      </c>
      <c r="C191" s="3645" t="s">
        <v>6274</v>
      </c>
      <c r="D191" s="3646"/>
      <c r="E191" s="3646"/>
      <c r="F191" s="3646"/>
      <c r="G191" s="3646"/>
      <c r="H191" s="3646"/>
      <c r="I191" s="3646"/>
      <c r="J191" s="3646"/>
      <c r="K191" s="3646"/>
      <c r="L191" s="3646"/>
      <c r="M191" s="3646"/>
      <c r="N191" s="3646"/>
      <c r="O191" s="3646"/>
      <c r="P191" s="3646"/>
      <c r="Q191" s="3646"/>
      <c r="R191" s="3646"/>
      <c r="S191" s="3646"/>
      <c r="T191" s="3646"/>
      <c r="U191" s="3646"/>
      <c r="V191" s="3646"/>
      <c r="W191" s="3646"/>
      <c r="X191" s="3646"/>
      <c r="Y191" s="3646"/>
      <c r="Z191" s="3646"/>
      <c r="AA191" s="3647"/>
      <c r="AB191" s="3802" t="s">
        <v>6275</v>
      </c>
      <c r="AC191" s="3803"/>
      <c r="AD191" s="3803"/>
      <c r="AE191" s="3803"/>
      <c r="AF191" s="3803"/>
      <c r="AG191" s="3803"/>
      <c r="AH191" s="3804"/>
      <c r="AI191" s="3571" t="s">
        <v>6276</v>
      </c>
      <c r="AJ191" s="3572"/>
      <c r="AK191" s="3572"/>
      <c r="AL191" s="3572"/>
      <c r="AM191" s="3572"/>
      <c r="AN191" s="3573"/>
      <c r="AO191" s="3805">
        <f>ROUND(UnosPod!F453,0)</f>
        <v>0</v>
      </c>
      <c r="AP191" s="3806"/>
      <c r="AQ191" s="3806"/>
      <c r="AR191" s="3806"/>
      <c r="AS191" s="3806"/>
      <c r="AT191" s="3806"/>
      <c r="AU191" s="3806"/>
      <c r="AV191" s="3807"/>
    </row>
    <row r="192" ht="24" customHeight="1" spans="1:48">
      <c r="A192" s="3739" t="s">
        <v>5428</v>
      </c>
      <c r="B192" s="3739" t="s">
        <v>3953</v>
      </c>
      <c r="C192" s="3645" t="s">
        <v>6277</v>
      </c>
      <c r="D192" s="3646"/>
      <c r="E192" s="3646"/>
      <c r="F192" s="3646"/>
      <c r="G192" s="3646"/>
      <c r="H192" s="3646"/>
      <c r="I192" s="3646"/>
      <c r="J192" s="3646"/>
      <c r="K192" s="3646"/>
      <c r="L192" s="3646"/>
      <c r="M192" s="3646"/>
      <c r="N192" s="3646"/>
      <c r="O192" s="3646"/>
      <c r="P192" s="3646"/>
      <c r="Q192" s="3646"/>
      <c r="R192" s="3646"/>
      <c r="S192" s="3646"/>
      <c r="T192" s="3646"/>
      <c r="U192" s="3646"/>
      <c r="V192" s="3646"/>
      <c r="W192" s="3646"/>
      <c r="X192" s="3646"/>
      <c r="Y192" s="3646"/>
      <c r="Z192" s="3646"/>
      <c r="AA192" s="3647"/>
      <c r="AB192" s="3802" t="s">
        <v>6278</v>
      </c>
      <c r="AC192" s="3803"/>
      <c r="AD192" s="3803"/>
      <c r="AE192" s="3803"/>
      <c r="AF192" s="3803"/>
      <c r="AG192" s="3803"/>
      <c r="AH192" s="3804"/>
      <c r="AI192" s="3571" t="s">
        <v>6279</v>
      </c>
      <c r="AJ192" s="3572"/>
      <c r="AK192" s="3572"/>
      <c r="AL192" s="3572"/>
      <c r="AM192" s="3572"/>
      <c r="AN192" s="3573"/>
      <c r="AO192" s="3805">
        <f>ROUND(UnosPod!F452,0)</f>
        <v>0</v>
      </c>
      <c r="AP192" s="3806"/>
      <c r="AQ192" s="3806"/>
      <c r="AR192" s="3806"/>
      <c r="AS192" s="3806"/>
      <c r="AT192" s="3806"/>
      <c r="AU192" s="3806"/>
      <c r="AV192" s="3807"/>
    </row>
    <row r="193" spans="1:49">
      <c r="A193" s="3739" t="s">
        <v>5469</v>
      </c>
      <c r="B193" s="3739" t="s">
        <v>3953</v>
      </c>
      <c r="C193" s="3645" t="s">
        <v>5138</v>
      </c>
      <c r="D193" s="3646"/>
      <c r="E193" s="3646"/>
      <c r="F193" s="3646"/>
      <c r="G193" s="3646"/>
      <c r="H193" s="3646"/>
      <c r="I193" s="3646"/>
      <c r="J193" s="3646"/>
      <c r="K193" s="3646"/>
      <c r="L193" s="3646"/>
      <c r="M193" s="3646"/>
      <c r="N193" s="3646"/>
      <c r="O193" s="3646"/>
      <c r="P193" s="3646"/>
      <c r="Q193" s="3646"/>
      <c r="R193" s="3646"/>
      <c r="S193" s="3646"/>
      <c r="T193" s="3646"/>
      <c r="U193" s="3646"/>
      <c r="V193" s="3646"/>
      <c r="W193" s="3646"/>
      <c r="X193" s="3646"/>
      <c r="Y193" s="3646"/>
      <c r="Z193" s="3646"/>
      <c r="AA193" s="3647"/>
      <c r="AB193" s="3802" t="s">
        <v>6280</v>
      </c>
      <c r="AC193" s="3803"/>
      <c r="AD193" s="3803"/>
      <c r="AE193" s="3803"/>
      <c r="AF193" s="3803"/>
      <c r="AG193" s="3803"/>
      <c r="AH193" s="3804"/>
      <c r="AI193" s="3571">
        <v>271</v>
      </c>
      <c r="AJ193" s="3572"/>
      <c r="AK193" s="3572"/>
      <c r="AL193" s="3572"/>
      <c r="AM193" s="3572"/>
      <c r="AN193" s="3573"/>
      <c r="AO193" s="3805">
        <f>UnosPod!F454</f>
        <v>0</v>
      </c>
      <c r="AP193" s="3806"/>
      <c r="AQ193" s="3806"/>
      <c r="AR193" s="3806"/>
      <c r="AS193" s="3806"/>
      <c r="AT193" s="3806"/>
      <c r="AU193" s="3806"/>
      <c r="AV193" s="3807"/>
    </row>
    <row r="194" spans="1:49">
      <c r="A194" s="3808" t="s">
        <v>5600</v>
      </c>
      <c r="B194" s="3809"/>
      <c r="C194" s="3645" t="s">
        <v>5139</v>
      </c>
      <c r="D194" s="3646"/>
      <c r="E194" s="3646"/>
      <c r="F194" s="3646"/>
      <c r="G194" s="3646"/>
      <c r="H194" s="3646"/>
      <c r="I194" s="3646"/>
      <c r="J194" s="3646"/>
      <c r="K194" s="3646"/>
      <c r="L194" s="3646"/>
      <c r="M194" s="3646"/>
      <c r="N194" s="3646"/>
      <c r="O194" s="3646"/>
      <c r="P194" s="3646"/>
      <c r="Q194" s="3646"/>
      <c r="R194" s="3646"/>
      <c r="S194" s="3646"/>
      <c r="T194" s="3646"/>
      <c r="U194" s="3646"/>
      <c r="V194" s="3646"/>
      <c r="W194" s="3646"/>
      <c r="X194" s="3646"/>
      <c r="Y194" s="3646"/>
      <c r="Z194" s="3646"/>
      <c r="AA194" s="3647"/>
      <c r="AB194" s="3802" t="s">
        <v>6281</v>
      </c>
      <c r="AC194" s="3803"/>
      <c r="AD194" s="3803"/>
      <c r="AE194" s="3803"/>
      <c r="AF194" s="3803"/>
      <c r="AG194" s="3803"/>
      <c r="AH194" s="3804"/>
      <c r="AI194" s="3571">
        <v>484</v>
      </c>
      <c r="AJ194" s="3572"/>
      <c r="AK194" s="3572"/>
      <c r="AL194" s="3572"/>
      <c r="AM194" s="3572"/>
      <c r="AN194" s="3573"/>
      <c r="AO194" s="3805">
        <f>UnosPod!F456</f>
        <v>0</v>
      </c>
      <c r="AP194" s="3806"/>
      <c r="AQ194" s="3806"/>
      <c r="AR194" s="3806"/>
      <c r="AS194" s="3806"/>
      <c r="AT194" s="3806"/>
      <c r="AU194" s="3806"/>
      <c r="AV194" s="3807"/>
    </row>
    <row r="195" spans="1:49">
      <c r="A195" s="3801" t="s">
        <v>5078</v>
      </c>
      <c r="B195" s="3801" t="s">
        <v>3953</v>
      </c>
      <c r="C195" s="3645" t="s">
        <v>6282</v>
      </c>
      <c r="D195" s="3646"/>
      <c r="E195" s="3646"/>
      <c r="F195" s="3646"/>
      <c r="G195" s="3646"/>
      <c r="H195" s="3646"/>
      <c r="I195" s="3646"/>
      <c r="J195" s="3646"/>
      <c r="K195" s="3646"/>
      <c r="L195" s="3646"/>
      <c r="M195" s="3646"/>
      <c r="N195" s="3646"/>
      <c r="O195" s="3646"/>
      <c r="P195" s="3646"/>
      <c r="Q195" s="3646"/>
      <c r="R195" s="3646"/>
      <c r="S195" s="3646"/>
      <c r="T195" s="3646"/>
      <c r="U195" s="3646"/>
      <c r="V195" s="3646"/>
      <c r="W195" s="3646"/>
      <c r="X195" s="3646"/>
      <c r="Y195" s="3646"/>
      <c r="Z195" s="3646"/>
      <c r="AA195" s="3647"/>
      <c r="AB195" s="3802" t="s">
        <v>6283</v>
      </c>
      <c r="AC195" s="3803"/>
      <c r="AD195" s="3803"/>
      <c r="AE195" s="3803"/>
      <c r="AF195" s="3803"/>
      <c r="AG195" s="3803"/>
      <c r="AH195" s="3804"/>
      <c r="AI195" s="3571">
        <v>480</v>
      </c>
      <c r="AJ195" s="3572"/>
      <c r="AK195" s="3572"/>
      <c r="AL195" s="3572"/>
      <c r="AM195" s="3572"/>
      <c r="AN195" s="3573"/>
      <c r="AO195" s="3805">
        <f>UnosPod!F455</f>
        <v>0</v>
      </c>
      <c r="AP195" s="3806"/>
      <c r="AQ195" s="3806"/>
      <c r="AR195" s="3806"/>
      <c r="AS195" s="3806"/>
      <c r="AT195" s="3806"/>
      <c r="AU195" s="3806"/>
      <c r="AV195" s="3807"/>
    </row>
    <row r="196" ht="25.5" customHeight="1" spans="1:49">
      <c r="A196" s="3739" t="s">
        <v>6133</v>
      </c>
      <c r="B196" s="3739" t="s">
        <v>3953</v>
      </c>
      <c r="C196" s="3620" t="s">
        <v>6284</v>
      </c>
      <c r="D196" s="3620"/>
      <c r="E196" s="3620"/>
      <c r="F196" s="3620"/>
      <c r="G196" s="3620"/>
      <c r="H196" s="3620"/>
      <c r="I196" s="3620"/>
      <c r="J196" s="3620"/>
      <c r="K196" s="3620"/>
      <c r="L196" s="3620"/>
      <c r="M196" s="3620"/>
      <c r="N196" s="3620"/>
      <c r="O196" s="3620"/>
      <c r="P196" s="3620"/>
      <c r="Q196" s="3620"/>
      <c r="R196" s="3620"/>
      <c r="S196" s="3620"/>
      <c r="T196" s="3620"/>
      <c r="U196" s="3620"/>
      <c r="V196" s="3620"/>
      <c r="W196" s="3620"/>
      <c r="X196" s="3620"/>
      <c r="Y196" s="3620"/>
      <c r="Z196" s="3620"/>
      <c r="AA196" s="3620"/>
      <c r="AB196" s="3802" t="s">
        <v>6285</v>
      </c>
      <c r="AC196" s="3803"/>
      <c r="AD196" s="3803"/>
      <c r="AE196" s="3803"/>
      <c r="AF196" s="3803"/>
      <c r="AG196" s="3803"/>
      <c r="AH196" s="3804"/>
      <c r="AI196" s="3571" t="s">
        <v>6286</v>
      </c>
      <c r="AJ196" s="3572"/>
      <c r="AK196" s="3572"/>
      <c r="AL196" s="3572"/>
      <c r="AM196" s="3572"/>
      <c r="AN196" s="3573"/>
      <c r="AO196" s="3805">
        <f>UnosPod!F118+UnosPod!F121+UnosPod!F135</f>
        <v>0</v>
      </c>
      <c r="AP196" s="3806"/>
      <c r="AQ196" s="3806"/>
      <c r="AR196" s="3806"/>
      <c r="AS196" s="3806"/>
      <c r="AT196" s="3806"/>
      <c r="AU196" s="3806"/>
      <c r="AV196" s="3807"/>
    </row>
    <row r="197" spans="1:49">
      <c r="A197" s="3739" t="s">
        <v>6137</v>
      </c>
      <c r="B197" s="3739" t="s">
        <v>3953</v>
      </c>
      <c r="C197" s="3620" t="s">
        <v>6287</v>
      </c>
      <c r="D197" s="3620"/>
      <c r="E197" s="3620"/>
      <c r="F197" s="3620"/>
      <c r="G197" s="3620"/>
      <c r="H197" s="3620"/>
      <c r="I197" s="3620"/>
      <c r="J197" s="3620"/>
      <c r="K197" s="3620"/>
      <c r="L197" s="3620"/>
      <c r="M197" s="3620"/>
      <c r="N197" s="3620"/>
      <c r="O197" s="3620"/>
      <c r="P197" s="3620"/>
      <c r="Q197" s="3620"/>
      <c r="R197" s="3620"/>
      <c r="S197" s="3620"/>
      <c r="T197" s="3620"/>
      <c r="U197" s="3620"/>
      <c r="V197" s="3620"/>
      <c r="W197" s="3620"/>
      <c r="X197" s="3620"/>
      <c r="Y197" s="3620"/>
      <c r="Z197" s="3620"/>
      <c r="AA197" s="3620"/>
      <c r="AB197" s="3802" t="s">
        <v>6288</v>
      </c>
      <c r="AC197" s="3803"/>
      <c r="AD197" s="3803"/>
      <c r="AE197" s="3803"/>
      <c r="AF197" s="3803"/>
      <c r="AG197" s="3803"/>
      <c r="AH197" s="3804"/>
      <c r="AI197" s="3571" t="s">
        <v>6289</v>
      </c>
      <c r="AJ197" s="3572"/>
      <c r="AK197" s="3572"/>
      <c r="AL197" s="3572"/>
      <c r="AM197" s="3572"/>
      <c r="AN197" s="3573"/>
      <c r="AO197" s="3805">
        <f>UnosPod!F146+UnosPod!F149</f>
        <v>0</v>
      </c>
      <c r="AP197" s="3806"/>
      <c r="AQ197" s="3806"/>
      <c r="AR197" s="3806"/>
      <c r="AS197" s="3806"/>
      <c r="AT197" s="3806"/>
      <c r="AU197" s="3806"/>
      <c r="AV197" s="3807"/>
    </row>
    <row r="198" spans="1:49">
      <c r="A198" s="3808" t="s">
        <v>6140</v>
      </c>
      <c r="B198" s="3809"/>
      <c r="C198" s="3620" t="s">
        <v>6290</v>
      </c>
      <c r="D198" s="3620"/>
      <c r="E198" s="3620"/>
      <c r="F198" s="3620"/>
      <c r="G198" s="3620"/>
      <c r="H198" s="3620"/>
      <c r="I198" s="3620"/>
      <c r="J198" s="3620"/>
      <c r="K198" s="3620"/>
      <c r="L198" s="3620"/>
      <c r="M198" s="3620"/>
      <c r="N198" s="3620"/>
      <c r="O198" s="3620"/>
      <c r="P198" s="3620"/>
      <c r="Q198" s="3620"/>
      <c r="R198" s="3620"/>
      <c r="S198" s="3620"/>
      <c r="T198" s="3620"/>
      <c r="U198" s="3620"/>
      <c r="V198" s="3620"/>
      <c r="W198" s="3620"/>
      <c r="X198" s="3620"/>
      <c r="Y198" s="3620"/>
      <c r="Z198" s="3620"/>
      <c r="AA198" s="3620"/>
      <c r="AB198" s="3802" t="s">
        <v>6291</v>
      </c>
      <c r="AC198" s="3803"/>
      <c r="AD198" s="3803"/>
      <c r="AE198" s="3803"/>
      <c r="AF198" s="3803"/>
      <c r="AG198" s="3803"/>
      <c r="AH198" s="3804"/>
      <c r="AI198" s="3571" t="s">
        <v>6292</v>
      </c>
      <c r="AJ198" s="3572"/>
      <c r="AK198" s="3572"/>
      <c r="AL198" s="3572"/>
      <c r="AM198" s="3572"/>
      <c r="AN198" s="3573"/>
      <c r="AO198" s="3805">
        <f>UnosPod!F792-AO199</f>
        <v>0</v>
      </c>
      <c r="AP198" s="3806"/>
      <c r="AQ198" s="3806"/>
      <c r="AR198" s="3806"/>
      <c r="AS198" s="3806"/>
      <c r="AT198" s="3806"/>
      <c r="AU198" s="3806"/>
      <c r="AV198" s="3807"/>
    </row>
    <row r="199" spans="1:49">
      <c r="A199" s="3801" t="s">
        <v>6143</v>
      </c>
      <c r="B199" s="3801" t="s">
        <v>3953</v>
      </c>
      <c r="C199" s="3620" t="s">
        <v>6293</v>
      </c>
      <c r="D199" s="3620"/>
      <c r="E199" s="3620"/>
      <c r="F199" s="3620"/>
      <c r="G199" s="3620"/>
      <c r="H199" s="3620"/>
      <c r="I199" s="3620"/>
      <c r="J199" s="3620"/>
      <c r="K199" s="3620"/>
      <c r="L199" s="3620"/>
      <c r="M199" s="3620"/>
      <c r="N199" s="3620"/>
      <c r="O199" s="3620"/>
      <c r="P199" s="3620"/>
      <c r="Q199" s="3620"/>
      <c r="R199" s="3620"/>
      <c r="S199" s="3620"/>
      <c r="T199" s="3620"/>
      <c r="U199" s="3620"/>
      <c r="V199" s="3620"/>
      <c r="W199" s="3620"/>
      <c r="X199" s="3620"/>
      <c r="Y199" s="3620"/>
      <c r="Z199" s="3620"/>
      <c r="AA199" s="3620"/>
      <c r="AB199" s="3802" t="s">
        <v>6294</v>
      </c>
      <c r="AC199" s="3803"/>
      <c r="AD199" s="3803"/>
      <c r="AE199" s="3803"/>
      <c r="AF199" s="3803"/>
      <c r="AG199" s="3803"/>
      <c r="AH199" s="3804"/>
      <c r="AI199" s="3571" t="s">
        <v>6292</v>
      </c>
      <c r="AJ199" s="3572"/>
      <c r="AK199" s="3572"/>
      <c r="AL199" s="3572"/>
      <c r="AM199" s="3572"/>
      <c r="AN199" s="3573"/>
      <c r="AO199" s="3805"/>
      <c r="AP199" s="3806"/>
      <c r="AQ199" s="3806"/>
      <c r="AR199" s="3806"/>
      <c r="AS199" s="3806"/>
      <c r="AT199" s="3806"/>
      <c r="AU199" s="3806"/>
      <c r="AV199" s="3807"/>
    </row>
    <row r="200" spans="1:49">
      <c r="A200" s="3739" t="s">
        <v>301</v>
      </c>
      <c r="B200" s="3739" t="s">
        <v>3953</v>
      </c>
      <c r="C200" s="3620" t="s">
        <v>6295</v>
      </c>
      <c r="D200" s="3620"/>
      <c r="E200" s="3620"/>
      <c r="F200" s="3620"/>
      <c r="G200" s="3620"/>
      <c r="H200" s="3620"/>
      <c r="I200" s="3620"/>
      <c r="J200" s="3620"/>
      <c r="K200" s="3620"/>
      <c r="L200" s="3620"/>
      <c r="M200" s="3620"/>
      <c r="N200" s="3620"/>
      <c r="O200" s="3620"/>
      <c r="P200" s="3620"/>
      <c r="Q200" s="3620"/>
      <c r="R200" s="3620"/>
      <c r="S200" s="3620"/>
      <c r="T200" s="3620"/>
      <c r="U200" s="3620"/>
      <c r="V200" s="3620"/>
      <c r="W200" s="3620"/>
      <c r="X200" s="3620"/>
      <c r="Y200" s="3620"/>
      <c r="Z200" s="3620"/>
      <c r="AA200" s="3620"/>
      <c r="AB200" s="3802" t="s">
        <v>6296</v>
      </c>
      <c r="AC200" s="3803"/>
      <c r="AD200" s="3803"/>
      <c r="AE200" s="3803"/>
      <c r="AF200" s="3803"/>
      <c r="AG200" s="3803"/>
      <c r="AH200" s="3804"/>
      <c r="AI200" s="3571" t="s">
        <v>6297</v>
      </c>
      <c r="AJ200" s="3572"/>
      <c r="AK200" s="3572"/>
      <c r="AL200" s="3572"/>
      <c r="AM200" s="3572"/>
      <c r="AN200" s="3573"/>
      <c r="AO200" s="3805"/>
      <c r="AP200" s="3806"/>
      <c r="AQ200" s="3806"/>
      <c r="AR200" s="3806"/>
      <c r="AS200" s="3806"/>
      <c r="AT200" s="3806"/>
      <c r="AU200" s="3806"/>
      <c r="AV200" s="3807"/>
    </row>
    <row r="201" spans="1:49">
      <c r="A201" s="3739" t="s">
        <v>303</v>
      </c>
      <c r="B201" s="3739" t="s">
        <v>3953</v>
      </c>
      <c r="C201" s="3620" t="s">
        <v>6298</v>
      </c>
      <c r="D201" s="3620"/>
      <c r="E201" s="3620"/>
      <c r="F201" s="3620"/>
      <c r="G201" s="3620"/>
      <c r="H201" s="3620"/>
      <c r="I201" s="3620"/>
      <c r="J201" s="3620"/>
      <c r="K201" s="3620"/>
      <c r="L201" s="3620"/>
      <c r="M201" s="3620"/>
      <c r="N201" s="3620"/>
      <c r="O201" s="3620"/>
      <c r="P201" s="3620"/>
      <c r="Q201" s="3620"/>
      <c r="R201" s="3620"/>
      <c r="S201" s="3620"/>
      <c r="T201" s="3620"/>
      <c r="U201" s="3620"/>
      <c r="V201" s="3620"/>
      <c r="W201" s="3620"/>
      <c r="X201" s="3620"/>
      <c r="Y201" s="3620"/>
      <c r="Z201" s="3620"/>
      <c r="AA201" s="3620"/>
      <c r="AB201" s="3802" t="s">
        <v>6299</v>
      </c>
      <c r="AC201" s="3803"/>
      <c r="AD201" s="3803"/>
      <c r="AE201" s="3803"/>
      <c r="AF201" s="3803"/>
      <c r="AG201" s="3803"/>
      <c r="AH201" s="3804"/>
      <c r="AI201" s="3571">
        <v>651</v>
      </c>
      <c r="AJ201" s="3572"/>
      <c r="AK201" s="3572"/>
      <c r="AL201" s="3572"/>
      <c r="AM201" s="3572"/>
      <c r="AN201" s="3573"/>
      <c r="AO201" s="3805">
        <f>UnosPod!F158</f>
        <v>0</v>
      </c>
      <c r="AP201" s="3806"/>
      <c r="AQ201" s="3806"/>
      <c r="AR201" s="3806"/>
      <c r="AS201" s="3806"/>
      <c r="AT201" s="3806"/>
      <c r="AU201" s="3806"/>
      <c r="AV201" s="3807"/>
    </row>
    <row r="202" spans="1:49">
      <c r="A202" s="3808" t="s">
        <v>305</v>
      </c>
      <c r="B202" s="3809"/>
      <c r="C202" s="3810" t="s">
        <v>6300</v>
      </c>
      <c r="D202" s="3810"/>
      <c r="E202" s="3810"/>
      <c r="F202" s="3810"/>
      <c r="G202" s="3810"/>
      <c r="H202" s="3810"/>
      <c r="I202" s="3810"/>
      <c r="J202" s="3810"/>
      <c r="K202" s="3810"/>
      <c r="L202" s="3810"/>
      <c r="M202" s="3810"/>
      <c r="N202" s="3810"/>
      <c r="O202" s="3810"/>
      <c r="P202" s="3810"/>
      <c r="Q202" s="3810"/>
      <c r="R202" s="3810"/>
      <c r="S202" s="3810"/>
      <c r="T202" s="3810"/>
      <c r="U202" s="3810"/>
      <c r="V202" s="3810"/>
      <c r="W202" s="3810"/>
      <c r="X202" s="3810"/>
      <c r="Y202" s="3810"/>
      <c r="Z202" s="3810"/>
      <c r="AA202" s="3810"/>
      <c r="AB202" s="3802" t="s">
        <v>6301</v>
      </c>
      <c r="AC202" s="3803"/>
      <c r="AD202" s="3803"/>
      <c r="AE202" s="3803"/>
      <c r="AF202" s="3803"/>
      <c r="AG202" s="3803"/>
      <c r="AH202" s="3804"/>
      <c r="AI202" s="3571">
        <v>656</v>
      </c>
      <c r="AJ202" s="3572"/>
      <c r="AK202" s="3572"/>
      <c r="AL202" s="3572"/>
      <c r="AM202" s="3572"/>
      <c r="AN202" s="3573"/>
      <c r="AO202" s="3805">
        <f>UnosPod!F163</f>
        <v>0</v>
      </c>
      <c r="AP202" s="3806"/>
      <c r="AQ202" s="3806"/>
      <c r="AR202" s="3806"/>
      <c r="AS202" s="3806"/>
      <c r="AT202" s="3806"/>
      <c r="AU202" s="3806"/>
      <c r="AV202" s="3807"/>
    </row>
    <row r="203" spans="1:49">
      <c r="A203" s="3801" t="s">
        <v>307</v>
      </c>
      <c r="B203" s="3801" t="s">
        <v>3953</v>
      </c>
      <c r="C203" s="3811" t="s">
        <v>6302</v>
      </c>
      <c r="D203" s="3811"/>
      <c r="E203" s="3811"/>
      <c r="F203" s="3811"/>
      <c r="G203" s="3811"/>
      <c r="H203" s="3811"/>
      <c r="I203" s="3811"/>
      <c r="J203" s="3811"/>
      <c r="K203" s="3811"/>
      <c r="L203" s="3811"/>
      <c r="M203" s="3811"/>
      <c r="N203" s="3811"/>
      <c r="O203" s="3811"/>
      <c r="P203" s="3811"/>
      <c r="Q203" s="3811"/>
      <c r="R203" s="3811"/>
      <c r="S203" s="3811"/>
      <c r="T203" s="3811"/>
      <c r="U203" s="3811"/>
      <c r="V203" s="3811"/>
      <c r="W203" s="3811"/>
      <c r="X203" s="3811"/>
      <c r="Y203" s="3811"/>
      <c r="Z203" s="3811"/>
      <c r="AA203" s="3811"/>
      <c r="AB203" s="3802" t="s">
        <v>6303</v>
      </c>
      <c r="AC203" s="3803"/>
      <c r="AD203" s="3803"/>
      <c r="AE203" s="3803"/>
      <c r="AF203" s="3803"/>
      <c r="AG203" s="3803"/>
      <c r="AH203" s="3804"/>
      <c r="AI203" s="3571">
        <v>654</v>
      </c>
      <c r="AJ203" s="3572"/>
      <c r="AK203" s="3572"/>
      <c r="AL203" s="3572"/>
      <c r="AM203" s="3572"/>
      <c r="AN203" s="3573"/>
      <c r="AO203" s="3805">
        <f>UnosPod!F161</f>
        <v>0</v>
      </c>
      <c r="AP203" s="3806"/>
      <c r="AQ203" s="3806"/>
      <c r="AR203" s="3806"/>
      <c r="AS203" s="3806"/>
      <c r="AT203" s="3806"/>
      <c r="AU203" s="3806"/>
      <c r="AV203" s="3807"/>
    </row>
    <row r="204" ht="24.75" customHeight="1" spans="1:49">
      <c r="A204" s="3739" t="s">
        <v>309</v>
      </c>
      <c r="B204" s="3739" t="s">
        <v>3953</v>
      </c>
      <c r="C204" s="3620" t="s">
        <v>6304</v>
      </c>
      <c r="D204" s="3620"/>
      <c r="E204" s="3620"/>
      <c r="F204" s="3620"/>
      <c r="G204" s="3620"/>
      <c r="H204" s="3620"/>
      <c r="I204" s="3620"/>
      <c r="J204" s="3620"/>
      <c r="K204" s="3620"/>
      <c r="L204" s="3620"/>
      <c r="M204" s="3620"/>
      <c r="N204" s="3620"/>
      <c r="O204" s="3620"/>
      <c r="P204" s="3620"/>
      <c r="Q204" s="3620"/>
      <c r="R204" s="3620"/>
      <c r="S204" s="3620"/>
      <c r="T204" s="3620"/>
      <c r="U204" s="3620"/>
      <c r="V204" s="3620"/>
      <c r="W204" s="3620"/>
      <c r="X204" s="3620"/>
      <c r="Y204" s="3620"/>
      <c r="Z204" s="3620"/>
      <c r="AA204" s="3620"/>
      <c r="AB204" s="3802" t="s">
        <v>6305</v>
      </c>
      <c r="AC204" s="3803"/>
      <c r="AD204" s="3803"/>
      <c r="AE204" s="3803"/>
      <c r="AF204" s="3803"/>
      <c r="AG204" s="3803"/>
      <c r="AH204" s="3804"/>
      <c r="AI204" s="3571" t="s">
        <v>6306</v>
      </c>
      <c r="AJ204" s="3572"/>
      <c r="AK204" s="3572"/>
      <c r="AL204" s="3572"/>
      <c r="AM204" s="3572"/>
      <c r="AN204" s="3573"/>
      <c r="AO204" s="3805">
        <f>UnosPod!F157+UnosPod!F159</f>
        <v>0</v>
      </c>
      <c r="AP204" s="3806"/>
      <c r="AQ204" s="3806"/>
      <c r="AR204" s="3806"/>
      <c r="AS204" s="3806"/>
      <c r="AT204" s="3806"/>
      <c r="AU204" s="3806"/>
      <c r="AV204" s="3807"/>
    </row>
    <row r="205" spans="1:49">
      <c r="A205" s="3739" t="s">
        <v>311</v>
      </c>
      <c r="B205" s="3739" t="s">
        <v>3953</v>
      </c>
      <c r="C205" s="3811" t="s">
        <v>6307</v>
      </c>
      <c r="D205" s="3811"/>
      <c r="E205" s="3811"/>
      <c r="F205" s="3811"/>
      <c r="G205" s="3811"/>
      <c r="H205" s="3811"/>
      <c r="I205" s="3811"/>
      <c r="J205" s="3811"/>
      <c r="K205" s="3811"/>
      <c r="L205" s="3811"/>
      <c r="M205" s="3811"/>
      <c r="N205" s="3811"/>
      <c r="O205" s="3811"/>
      <c r="P205" s="3811"/>
      <c r="Q205" s="3811"/>
      <c r="R205" s="3811"/>
      <c r="S205" s="3811"/>
      <c r="T205" s="3811"/>
      <c r="U205" s="3811"/>
      <c r="V205" s="3811"/>
      <c r="W205" s="3811"/>
      <c r="X205" s="3811"/>
      <c r="Y205" s="3811"/>
      <c r="Z205" s="3811"/>
      <c r="AA205" s="3811"/>
      <c r="AB205" s="3802" t="s">
        <v>6308</v>
      </c>
      <c r="AC205" s="3803"/>
      <c r="AD205" s="3803"/>
      <c r="AE205" s="3803"/>
      <c r="AF205" s="3803"/>
      <c r="AG205" s="3803"/>
      <c r="AH205" s="3804"/>
      <c r="AI205" s="3571" t="s">
        <v>6309</v>
      </c>
      <c r="AJ205" s="3572"/>
      <c r="AK205" s="3572"/>
      <c r="AL205" s="3572"/>
      <c r="AM205" s="3572"/>
      <c r="AN205" s="3573"/>
      <c r="AO205" s="3805">
        <f>UnosPod!F173</f>
        <v>0</v>
      </c>
      <c r="AP205" s="3806"/>
      <c r="AQ205" s="3806"/>
      <c r="AR205" s="3806"/>
      <c r="AS205" s="3806"/>
      <c r="AT205" s="3806"/>
      <c r="AU205" s="3806"/>
      <c r="AV205" s="3807"/>
    </row>
    <row r="206" ht="39" customHeight="1" spans="1:49">
      <c r="A206" s="3808" t="s">
        <v>313</v>
      </c>
      <c r="B206" s="3809"/>
      <c r="C206" s="3642" t="s">
        <v>6310</v>
      </c>
      <c r="D206" s="3643"/>
      <c r="E206" s="3643"/>
      <c r="F206" s="3643"/>
      <c r="G206" s="3643"/>
      <c r="H206" s="3643"/>
      <c r="I206" s="3643"/>
      <c r="J206" s="3643"/>
      <c r="K206" s="3643"/>
      <c r="L206" s="3643"/>
      <c r="M206" s="3643"/>
      <c r="N206" s="3643"/>
      <c r="O206" s="3643"/>
      <c r="P206" s="3643"/>
      <c r="Q206" s="3643"/>
      <c r="R206" s="3643"/>
      <c r="S206" s="3643"/>
      <c r="T206" s="3643"/>
      <c r="U206" s="3643"/>
      <c r="V206" s="3643"/>
      <c r="W206" s="3643"/>
      <c r="X206" s="3643"/>
      <c r="Y206" s="3643"/>
      <c r="Z206" s="3643"/>
      <c r="AA206" s="3644"/>
      <c r="AB206" s="3802" t="s">
        <v>6311</v>
      </c>
      <c r="AC206" s="3803"/>
      <c r="AD206" s="3803"/>
      <c r="AE206" s="3803"/>
      <c r="AF206" s="3803"/>
      <c r="AG206" s="3803"/>
      <c r="AH206" s="3804"/>
      <c r="AI206" s="3571" t="s">
        <v>6312</v>
      </c>
      <c r="AJ206" s="3572"/>
      <c r="AK206" s="3572"/>
      <c r="AL206" s="3572"/>
      <c r="AM206" s="3572"/>
      <c r="AN206" s="3573"/>
      <c r="AO206" s="3805"/>
      <c r="AP206" s="3806"/>
      <c r="AQ206" s="3806"/>
      <c r="AR206" s="3806"/>
      <c r="AS206" s="3806"/>
      <c r="AT206" s="3806"/>
      <c r="AU206" s="3806"/>
      <c r="AV206" s="3807"/>
      <c r="AW206" s="3446"/>
    </row>
    <row r="207" spans="1:49">
      <c r="A207" s="3801" t="s">
        <v>508</v>
      </c>
      <c r="B207" s="3801" t="s">
        <v>3953</v>
      </c>
      <c r="C207" s="3642" t="s">
        <v>6313</v>
      </c>
      <c r="D207" s="3643"/>
      <c r="E207" s="3643"/>
      <c r="F207" s="3643"/>
      <c r="G207" s="3643"/>
      <c r="H207" s="3643"/>
      <c r="I207" s="3643"/>
      <c r="J207" s="3643"/>
      <c r="K207" s="3643"/>
      <c r="L207" s="3643"/>
      <c r="M207" s="3643"/>
      <c r="N207" s="3643"/>
      <c r="O207" s="3643"/>
      <c r="P207" s="3643"/>
      <c r="Q207" s="3643"/>
      <c r="R207" s="3643"/>
      <c r="S207" s="3643"/>
      <c r="T207" s="3643"/>
      <c r="U207" s="3643"/>
      <c r="V207" s="3643"/>
      <c r="W207" s="3643"/>
      <c r="X207" s="3643"/>
      <c r="Y207" s="3643"/>
      <c r="Z207" s="3643"/>
      <c r="AA207" s="3644"/>
      <c r="AB207" s="3802" t="s">
        <v>6314</v>
      </c>
      <c r="AC207" s="3803"/>
      <c r="AD207" s="3803"/>
      <c r="AE207" s="3803"/>
      <c r="AF207" s="3803"/>
      <c r="AG207" s="3803"/>
      <c r="AH207" s="3804"/>
      <c r="AI207" s="3571" t="s">
        <v>6315</v>
      </c>
      <c r="AJ207" s="3572"/>
      <c r="AK207" s="3572"/>
      <c r="AL207" s="3572"/>
      <c r="AM207" s="3572"/>
      <c r="AN207" s="3573"/>
      <c r="AO207" s="3805"/>
      <c r="AP207" s="3806"/>
      <c r="AQ207" s="3806"/>
      <c r="AR207" s="3806"/>
      <c r="AS207" s="3806"/>
      <c r="AT207" s="3806"/>
      <c r="AU207" s="3806"/>
      <c r="AV207" s="3807"/>
    </row>
    <row r="208" spans="1:49">
      <c r="A208" s="3739" t="s">
        <v>522</v>
      </c>
      <c r="B208" s="3739" t="s">
        <v>3953</v>
      </c>
      <c r="C208" s="3620" t="s">
        <v>6316</v>
      </c>
      <c r="D208" s="3620"/>
      <c r="E208" s="3620"/>
      <c r="F208" s="3620"/>
      <c r="G208" s="3620"/>
      <c r="H208" s="3620"/>
      <c r="I208" s="3620"/>
      <c r="J208" s="3620"/>
      <c r="K208" s="3620"/>
      <c r="L208" s="3620"/>
      <c r="M208" s="3620"/>
      <c r="N208" s="3620"/>
      <c r="O208" s="3620"/>
      <c r="P208" s="3620"/>
      <c r="Q208" s="3620"/>
      <c r="R208" s="3620"/>
      <c r="S208" s="3620"/>
      <c r="T208" s="3620"/>
      <c r="U208" s="3620"/>
      <c r="V208" s="3620"/>
      <c r="W208" s="3620"/>
      <c r="X208" s="3620"/>
      <c r="Y208" s="3620"/>
      <c r="Z208" s="3620"/>
      <c r="AA208" s="3620"/>
      <c r="AB208" s="3802" t="s">
        <v>6317</v>
      </c>
      <c r="AC208" s="3803"/>
      <c r="AD208" s="3803"/>
      <c r="AE208" s="3803"/>
      <c r="AF208" s="3803"/>
      <c r="AG208" s="3803"/>
      <c r="AH208" s="3804"/>
      <c r="AI208" s="3571">
        <v>661</v>
      </c>
      <c r="AJ208" s="3572"/>
      <c r="AK208" s="3572"/>
      <c r="AL208" s="3572"/>
      <c r="AM208" s="3572"/>
      <c r="AN208" s="3573"/>
      <c r="AO208" s="3805">
        <f>UnosPod!F167</f>
        <v>1319</v>
      </c>
      <c r="AP208" s="3806"/>
      <c r="AQ208" s="3806"/>
      <c r="AR208" s="3806"/>
      <c r="AS208" s="3806"/>
      <c r="AT208" s="3806"/>
      <c r="AU208" s="3806"/>
      <c r="AV208" s="3807"/>
    </row>
    <row r="209" spans="1:48">
      <c r="A209" s="3739" t="s">
        <v>536</v>
      </c>
      <c r="B209" s="3739" t="s">
        <v>3953</v>
      </c>
      <c r="C209" s="3620" t="s">
        <v>6318</v>
      </c>
      <c r="D209" s="3620"/>
      <c r="E209" s="3620"/>
      <c r="F209" s="3620"/>
      <c r="G209" s="3620"/>
      <c r="H209" s="3620"/>
      <c r="I209" s="3620"/>
      <c r="J209" s="3620"/>
      <c r="K209" s="3620"/>
      <c r="L209" s="3620"/>
      <c r="M209" s="3620"/>
      <c r="N209" s="3620"/>
      <c r="O209" s="3620"/>
      <c r="P209" s="3620"/>
      <c r="Q209" s="3620"/>
      <c r="R209" s="3620"/>
      <c r="S209" s="3620"/>
      <c r="T209" s="3620"/>
      <c r="U209" s="3620"/>
      <c r="V209" s="3620"/>
      <c r="W209" s="3620"/>
      <c r="X209" s="3620"/>
      <c r="Y209" s="3620"/>
      <c r="Z209" s="3620"/>
      <c r="AA209" s="3620"/>
      <c r="AB209" s="3802" t="s">
        <v>6319</v>
      </c>
      <c r="AC209" s="3803"/>
      <c r="AD209" s="3803"/>
      <c r="AE209" s="3803"/>
      <c r="AF209" s="3803"/>
      <c r="AG209" s="3803"/>
      <c r="AH209" s="3804"/>
      <c r="AI209" s="3571">
        <v>561</v>
      </c>
      <c r="AJ209" s="3572"/>
      <c r="AK209" s="3572"/>
      <c r="AL209" s="3572"/>
      <c r="AM209" s="3572"/>
      <c r="AN209" s="3573"/>
      <c r="AO209" s="3805">
        <f>UnosPod!F307</f>
        <v>0</v>
      </c>
      <c r="AP209" s="3806"/>
      <c r="AQ209" s="3806"/>
      <c r="AR209" s="3806"/>
      <c r="AS209" s="3806"/>
      <c r="AT209" s="3806"/>
      <c r="AU209" s="3806"/>
      <c r="AV209" s="3807"/>
    </row>
    <row r="210" spans="1:48">
      <c r="A210" s="3739" t="s">
        <v>550</v>
      </c>
      <c r="B210" s="3739" t="s">
        <v>3953</v>
      </c>
      <c r="C210" s="3642" t="s">
        <v>6320</v>
      </c>
      <c r="D210" s="3643"/>
      <c r="E210" s="3643"/>
      <c r="F210" s="3643"/>
      <c r="G210" s="3643"/>
      <c r="H210" s="3643"/>
      <c r="I210" s="3643"/>
      <c r="J210" s="3643"/>
      <c r="K210" s="3643"/>
      <c r="L210" s="3643"/>
      <c r="M210" s="3643"/>
      <c r="N210" s="3643"/>
      <c r="O210" s="3643"/>
      <c r="P210" s="3643"/>
      <c r="Q210" s="3643"/>
      <c r="R210" s="3643"/>
      <c r="S210" s="3643"/>
      <c r="T210" s="3643"/>
      <c r="U210" s="3643"/>
      <c r="V210" s="3643"/>
      <c r="W210" s="3643"/>
      <c r="X210" s="3643"/>
      <c r="Y210" s="3643"/>
      <c r="Z210" s="3643"/>
      <c r="AA210" s="3644"/>
      <c r="AB210" s="3802" t="s">
        <v>6321</v>
      </c>
      <c r="AC210" s="3803"/>
      <c r="AD210" s="3803"/>
      <c r="AE210" s="3803"/>
      <c r="AF210" s="3803"/>
      <c r="AG210" s="3803"/>
      <c r="AH210" s="3804"/>
      <c r="AI210" s="3802" t="s">
        <v>3894</v>
      </c>
      <c r="AJ210" s="3803"/>
      <c r="AK210" s="3803"/>
      <c r="AL210" s="3803"/>
      <c r="AM210" s="3803"/>
      <c r="AN210" s="3804"/>
      <c r="AO210" s="3805">
        <f>UnosPod!F600-UnosPod!M600</f>
        <v>0</v>
      </c>
      <c r="AP210" s="3806"/>
      <c r="AQ210" s="3806"/>
      <c r="AR210" s="3806"/>
      <c r="AS210" s="3806"/>
      <c r="AT210" s="3806"/>
      <c r="AU210" s="3806"/>
      <c r="AV210" s="3807"/>
    </row>
    <row r="211" spans="1:48">
      <c r="A211" s="3812"/>
      <c r="B211" s="3812"/>
      <c r="C211" s="3812"/>
      <c r="D211" s="3812"/>
      <c r="E211" s="3812"/>
      <c r="F211" s="3812"/>
      <c r="G211" s="3812"/>
      <c r="H211" s="3812"/>
      <c r="I211" s="3812"/>
      <c r="J211" s="3812"/>
      <c r="K211" s="3812"/>
      <c r="L211" s="3812"/>
      <c r="M211" s="3812"/>
      <c r="N211" s="3812"/>
      <c r="O211" s="3812"/>
      <c r="P211" s="3812"/>
      <c r="Q211" s="3812"/>
      <c r="R211" s="3812"/>
      <c r="S211" s="3812"/>
      <c r="T211" s="3812"/>
      <c r="U211" s="3812"/>
      <c r="V211" s="3812"/>
      <c r="W211" s="3812"/>
      <c r="X211" s="3812"/>
      <c r="Y211" s="3812"/>
      <c r="Z211" s="3812"/>
      <c r="AA211" s="3812"/>
      <c r="AB211" s="3614"/>
      <c r="AC211" s="3614"/>
      <c r="AD211" s="3614"/>
      <c r="AE211" s="3614"/>
      <c r="AF211" s="3614"/>
      <c r="AG211" s="3614"/>
      <c r="AH211" s="3614"/>
      <c r="AI211" s="3614"/>
      <c r="AJ211" s="3614"/>
      <c r="AK211" s="3614"/>
      <c r="AL211" s="3614"/>
      <c r="AM211" s="3614"/>
      <c r="AN211" s="3614"/>
      <c r="AO211" s="3813"/>
      <c r="AP211" s="3814"/>
      <c r="AQ211" s="3814"/>
      <c r="AR211" s="3814"/>
      <c r="AS211" s="3814"/>
      <c r="AT211" s="3814"/>
      <c r="AU211" s="3814"/>
      <c r="AV211" s="3814"/>
    </row>
    <row r="212" spans="1:48">
      <c r="A212" s="3815"/>
      <c r="B212" s="3815"/>
      <c r="C212" s="3815"/>
      <c r="D212" s="3815"/>
      <c r="E212" s="3815"/>
      <c r="F212" s="3815"/>
      <c r="G212" s="3815"/>
      <c r="H212" s="3815"/>
      <c r="I212" s="3815"/>
      <c r="J212" s="3815"/>
      <c r="K212" s="3815"/>
      <c r="L212" s="3815"/>
      <c r="M212" s="3815"/>
      <c r="N212" s="3815"/>
      <c r="O212" s="3815"/>
      <c r="P212" s="3815"/>
      <c r="Q212" s="3815"/>
      <c r="R212" s="3815"/>
      <c r="S212" s="3815"/>
      <c r="T212" s="3815"/>
      <c r="U212" s="3815"/>
      <c r="V212" s="3815"/>
      <c r="W212" s="3815"/>
      <c r="X212" s="3815"/>
      <c r="Y212" s="3815"/>
      <c r="Z212" s="3815"/>
      <c r="AA212" s="3815"/>
      <c r="AB212" s="3760"/>
      <c r="AC212" s="3760"/>
      <c r="AD212" s="3760"/>
      <c r="AE212" s="3760"/>
      <c r="AF212" s="3760"/>
      <c r="AG212" s="3760"/>
      <c r="AH212" s="3760"/>
      <c r="AI212" s="3760"/>
      <c r="AJ212" s="3760"/>
      <c r="AK212" s="3760"/>
      <c r="AL212" s="3760"/>
      <c r="AM212" s="3760"/>
      <c r="AN212" s="3760"/>
      <c r="AO212" s="3814"/>
      <c r="AP212" s="3814"/>
      <c r="AQ212" s="3814"/>
      <c r="AR212" s="3814"/>
      <c r="AS212" s="3814"/>
      <c r="AT212" s="3814"/>
      <c r="AU212" s="3814"/>
      <c r="AV212" s="3814"/>
    </row>
    <row r="213" spans="1:48">
      <c r="A213" s="3815"/>
      <c r="B213" s="3815"/>
      <c r="C213" s="3815"/>
      <c r="D213" s="3815"/>
      <c r="E213" s="3815"/>
      <c r="F213" s="3815"/>
      <c r="G213" s="3815"/>
      <c r="H213" s="3815"/>
      <c r="I213" s="3815"/>
      <c r="J213" s="3815"/>
      <c r="K213" s="3815"/>
      <c r="L213" s="3815"/>
      <c r="M213" s="3815"/>
      <c r="N213" s="3815"/>
      <c r="O213" s="3815"/>
      <c r="P213" s="3815"/>
      <c r="Q213" s="3815"/>
      <c r="R213" s="3815"/>
      <c r="S213" s="3815"/>
      <c r="T213" s="3815"/>
      <c r="U213" s="3815"/>
      <c r="V213" s="3815"/>
      <c r="W213" s="3815"/>
      <c r="X213" s="3815"/>
      <c r="Y213" s="3815"/>
      <c r="Z213" s="3815"/>
      <c r="AA213" s="3815"/>
      <c r="AB213" s="3760"/>
      <c r="AC213" s="3760"/>
      <c r="AD213" s="3760"/>
      <c r="AE213" s="3760"/>
      <c r="AF213" s="3760"/>
      <c r="AG213" s="3760"/>
      <c r="AH213" s="3760"/>
      <c r="AI213" s="3760"/>
      <c r="AJ213" s="3760"/>
      <c r="AK213" s="3760"/>
      <c r="AL213" s="3760"/>
      <c r="AM213" s="3760"/>
      <c r="AN213" s="3760"/>
      <c r="AO213" s="3814"/>
      <c r="AP213" s="3814"/>
      <c r="AQ213" s="3814"/>
      <c r="AR213" s="3814"/>
      <c r="AS213" s="3814"/>
      <c r="AT213" s="3814"/>
      <c r="AU213" s="3814"/>
      <c r="AV213" s="3814"/>
    </row>
    <row r="214" spans="1:48">
      <c r="A214" s="3505" t="str">
        <f ca="1">"Tabela 8  PODACI ZA PRETHODNU GODINU - "&amp;PoslGod-1</f>
        <v>Tabela 8  PODACI ZA PRETHODNU GODINU - 2024</v>
      </c>
      <c r="B214" s="3505"/>
      <c r="C214" s="3505"/>
      <c r="D214" s="3505"/>
      <c r="E214" s="3505"/>
      <c r="F214" s="3505"/>
      <c r="G214" s="3505"/>
      <c r="H214" s="3505"/>
      <c r="I214" s="3505"/>
      <c r="J214" s="3505"/>
      <c r="K214" s="3505"/>
      <c r="L214" s="3505"/>
      <c r="M214" s="3505"/>
      <c r="N214" s="3505"/>
      <c r="O214" s="3505"/>
      <c r="P214" s="3505"/>
      <c r="Q214" s="3505"/>
      <c r="R214" s="3505"/>
      <c r="S214" s="3505"/>
      <c r="T214" s="3505"/>
      <c r="U214" s="3505"/>
      <c r="V214" s="3505"/>
      <c r="W214" s="3505"/>
      <c r="X214" s="3505"/>
      <c r="Y214" s="3505"/>
      <c r="Z214" s="3505"/>
      <c r="AA214" s="3505"/>
      <c r="AB214" s="3505"/>
      <c r="AC214" s="3505"/>
      <c r="AD214" s="3505"/>
      <c r="AE214" s="3505"/>
      <c r="AF214" s="3505"/>
      <c r="AG214" s="3505"/>
      <c r="AH214" s="3505"/>
      <c r="AI214" s="3505"/>
      <c r="AJ214" s="3505"/>
      <c r="AK214" s="3505"/>
      <c r="AL214" s="3505"/>
      <c r="AM214" s="3505"/>
      <c r="AN214" s="3505"/>
      <c r="AO214" s="3505"/>
      <c r="AP214" s="3460"/>
      <c r="AQ214" s="3460"/>
      <c r="AR214" s="3460"/>
      <c r="AS214" s="3460"/>
      <c r="AT214" s="3460"/>
      <c r="AU214" s="3460"/>
      <c r="AV214" s="3460"/>
    </row>
    <row r="215" spans="1:48">
      <c r="A215" s="3719" t="s">
        <v>6096</v>
      </c>
      <c r="B215" s="3719"/>
      <c r="C215" s="3507" t="s">
        <v>6097</v>
      </c>
      <c r="D215" s="3507"/>
      <c r="E215" s="3507"/>
      <c r="F215" s="3507"/>
      <c r="G215" s="3507"/>
      <c r="H215" s="3507"/>
      <c r="I215" s="3507"/>
      <c r="J215" s="3507"/>
      <c r="K215" s="3507"/>
      <c r="L215" s="3507"/>
      <c r="M215" s="3507"/>
      <c r="N215" s="3507"/>
      <c r="O215" s="3507"/>
      <c r="P215" s="3507"/>
      <c r="Q215" s="3507"/>
      <c r="R215" s="3507"/>
      <c r="S215" s="3507"/>
      <c r="T215" s="3507"/>
      <c r="U215" s="3507"/>
      <c r="V215" s="3507"/>
      <c r="W215" s="3507"/>
      <c r="X215" s="3507"/>
      <c r="Y215" s="3507"/>
      <c r="Z215" s="3507"/>
      <c r="AA215" s="3507"/>
      <c r="AB215" s="3798" t="s">
        <v>6098</v>
      </c>
      <c r="AC215" s="3799"/>
      <c r="AD215" s="3799"/>
      <c r="AE215" s="3799"/>
      <c r="AF215" s="3799"/>
      <c r="AG215" s="3799"/>
      <c r="AH215" s="3800"/>
      <c r="AI215" s="3510" t="s">
        <v>6322</v>
      </c>
      <c r="AJ215" s="3511"/>
      <c r="AK215" s="3511"/>
      <c r="AL215" s="3511"/>
      <c r="AM215" s="3511"/>
      <c r="AN215" s="3511"/>
      <c r="AO215" s="3511"/>
      <c r="AP215" s="3511"/>
      <c r="AQ215" s="3511"/>
      <c r="AR215" s="3511"/>
      <c r="AS215" s="3511"/>
      <c r="AT215" s="3511"/>
      <c r="AU215" s="3511"/>
      <c r="AV215" s="3512"/>
    </row>
    <row r="216" spans="1:48">
      <c r="A216" s="3739" t="s">
        <v>5336</v>
      </c>
      <c r="B216" s="3739" t="s">
        <v>3953</v>
      </c>
      <c r="C216" s="3645" t="s">
        <v>6323</v>
      </c>
      <c r="D216" s="3646"/>
      <c r="E216" s="3646"/>
      <c r="F216" s="3646"/>
      <c r="G216" s="3646"/>
      <c r="H216" s="3646"/>
      <c r="I216" s="3646"/>
      <c r="J216" s="3646"/>
      <c r="K216" s="3646"/>
      <c r="L216" s="3646"/>
      <c r="M216" s="3646"/>
      <c r="N216" s="3646"/>
      <c r="O216" s="3646"/>
      <c r="P216" s="3646"/>
      <c r="Q216" s="3646"/>
      <c r="R216" s="3646"/>
      <c r="S216" s="3646"/>
      <c r="T216" s="3646"/>
      <c r="U216" s="3646"/>
      <c r="V216" s="3646"/>
      <c r="W216" s="3646"/>
      <c r="X216" s="3646"/>
      <c r="Y216" s="3646"/>
      <c r="Z216" s="3646"/>
      <c r="AA216" s="3647"/>
      <c r="AB216" s="3802" t="s">
        <v>6324</v>
      </c>
      <c r="AC216" s="3803"/>
      <c r="AD216" s="3803"/>
      <c r="AE216" s="3803"/>
      <c r="AF216" s="3803"/>
      <c r="AG216" s="3803"/>
      <c r="AH216" s="3804"/>
      <c r="AI216" s="3816">
        <f>P.Podaci!Y44</f>
        <v>6</v>
      </c>
      <c r="AJ216" s="3817"/>
      <c r="AK216" s="3817"/>
      <c r="AL216" s="3817"/>
      <c r="AM216" s="3817"/>
      <c r="AN216" s="3817"/>
      <c r="AO216" s="3817"/>
      <c r="AP216" s="3817"/>
      <c r="AQ216" s="3817"/>
      <c r="AR216" s="3817"/>
      <c r="AS216" s="3817"/>
      <c r="AT216" s="3817"/>
      <c r="AU216" s="3817"/>
      <c r="AV216" s="3818"/>
    </row>
    <row r="217" spans="1:48">
      <c r="A217" s="3739" t="s">
        <v>5428</v>
      </c>
      <c r="B217" s="3739" t="s">
        <v>3953</v>
      </c>
      <c r="C217" s="3645" t="s">
        <v>6325</v>
      </c>
      <c r="D217" s="3646"/>
      <c r="E217" s="3646"/>
      <c r="F217" s="3646"/>
      <c r="G217" s="3646"/>
      <c r="H217" s="3646"/>
      <c r="I217" s="3646"/>
      <c r="J217" s="3646"/>
      <c r="K217" s="3646"/>
      <c r="L217" s="3646"/>
      <c r="M217" s="3646"/>
      <c r="N217" s="3646"/>
      <c r="O217" s="3646"/>
      <c r="P217" s="3646"/>
      <c r="Q217" s="3646"/>
      <c r="R217" s="3646"/>
      <c r="S217" s="3646"/>
      <c r="T217" s="3646"/>
      <c r="U217" s="3646"/>
      <c r="V217" s="3646"/>
      <c r="W217" s="3646"/>
      <c r="X217" s="3646"/>
      <c r="Y217" s="3646"/>
      <c r="Z217" s="3646"/>
      <c r="AA217" s="3647"/>
      <c r="AB217" s="3802" t="s">
        <v>6326</v>
      </c>
      <c r="AC217" s="3803"/>
      <c r="AD217" s="3803"/>
      <c r="AE217" s="3803"/>
      <c r="AF217" s="3803"/>
      <c r="AG217" s="3803"/>
      <c r="AH217" s="3804"/>
      <c r="AI217" s="3819">
        <f>B_Uspjeha!AP21</f>
        <v>308500</v>
      </c>
      <c r="AJ217" s="3820"/>
      <c r="AK217" s="3820"/>
      <c r="AL217" s="3820"/>
      <c r="AM217" s="3820"/>
      <c r="AN217" s="3820"/>
      <c r="AO217" s="3820"/>
      <c r="AP217" s="3820"/>
      <c r="AQ217" s="3820"/>
      <c r="AR217" s="3820"/>
      <c r="AS217" s="3820"/>
      <c r="AT217" s="3820"/>
      <c r="AU217" s="3820"/>
      <c r="AV217" s="3821"/>
    </row>
    <row r="218" spans="1:48">
      <c r="A218" s="3822"/>
      <c r="B218" s="3822"/>
      <c r="C218" s="3823"/>
      <c r="D218" s="3823"/>
      <c r="E218" s="3823"/>
      <c r="F218" s="3823"/>
      <c r="G218" s="3823"/>
      <c r="H218" s="3823"/>
      <c r="I218" s="3823"/>
      <c r="J218" s="3823"/>
      <c r="K218" s="3823"/>
      <c r="L218" s="3823"/>
      <c r="M218" s="3823"/>
      <c r="N218" s="3823"/>
      <c r="O218" s="3823"/>
      <c r="P218" s="3823"/>
      <c r="Q218" s="3823"/>
      <c r="R218" s="3823"/>
      <c r="S218" s="3823"/>
      <c r="T218" s="3823"/>
      <c r="U218" s="3823"/>
      <c r="V218" s="3823"/>
      <c r="W218" s="3823"/>
      <c r="X218" s="3823"/>
      <c r="Y218" s="3823"/>
      <c r="Z218" s="3823"/>
      <c r="AA218" s="3823"/>
      <c r="AB218" s="3760"/>
      <c r="AC218" s="3760"/>
      <c r="AD218" s="3760"/>
      <c r="AE218" s="3760"/>
      <c r="AF218" s="3760"/>
      <c r="AG218" s="3760"/>
      <c r="AH218" s="3760"/>
      <c r="AI218" s="3824"/>
      <c r="AJ218" s="3824"/>
      <c r="AK218" s="3824"/>
      <c r="AL218" s="3824"/>
      <c r="AM218" s="3824"/>
      <c r="AN218" s="3824"/>
      <c r="AO218" s="3824"/>
      <c r="AP218" s="3824"/>
      <c r="AQ218" s="3824"/>
      <c r="AR218" s="3824"/>
      <c r="AS218" s="3824"/>
      <c r="AT218" s="3824"/>
      <c r="AU218" s="3824"/>
      <c r="AV218" s="3824"/>
    </row>
    <row r="219" spans="1:48">
      <c r="A219" s="3814"/>
      <c r="B219" s="3814"/>
      <c r="C219" s="3814"/>
      <c r="D219" s="3825"/>
      <c r="E219" s="3825"/>
      <c r="F219" s="3825"/>
      <c r="G219" s="3825"/>
      <c r="H219" s="3825"/>
      <c r="I219" s="3825"/>
      <c r="J219" s="3825"/>
      <c r="K219" s="3825"/>
      <c r="L219" s="3825"/>
      <c r="M219" s="3825"/>
      <c r="N219" s="3825"/>
      <c r="O219" s="3825"/>
      <c r="P219" s="3825"/>
      <c r="Q219" s="3825"/>
      <c r="R219" s="3825"/>
      <c r="S219" s="3825"/>
      <c r="T219" s="3825"/>
      <c r="U219" s="3825"/>
      <c r="V219" s="3825"/>
      <c r="W219" s="3825"/>
      <c r="X219" s="3825"/>
      <c r="Y219" s="3825"/>
      <c r="Z219" s="3825"/>
      <c r="AA219" s="3825"/>
      <c r="AB219" s="3825"/>
      <c r="AC219" s="3825"/>
      <c r="AD219" s="3825"/>
      <c r="AE219" s="3825"/>
      <c r="AF219" s="3825"/>
      <c r="AG219" s="3825"/>
      <c r="AH219" s="3825"/>
      <c r="AI219" s="3825"/>
      <c r="AJ219" s="3825"/>
      <c r="AK219" s="3825"/>
      <c r="AL219" s="3825"/>
      <c r="AM219" s="3825"/>
      <c r="AN219" s="3825"/>
      <c r="AO219" s="3825"/>
      <c r="AP219" s="3826"/>
      <c r="AQ219" s="3826"/>
      <c r="AR219" s="3826"/>
      <c r="AS219" s="3826"/>
      <c r="AT219" s="3826"/>
      <c r="AU219" s="3826"/>
      <c r="AV219" s="3826"/>
    </row>
    <row r="220" spans="1:48">
      <c r="A220" s="3827" t="s">
        <v>6327</v>
      </c>
      <c r="B220" s="3828"/>
      <c r="C220" s="3828"/>
      <c r="D220" s="3828"/>
      <c r="E220" s="3828"/>
      <c r="F220" s="3828"/>
      <c r="G220" s="3828"/>
      <c r="H220" s="3828"/>
      <c r="I220" s="3828"/>
      <c r="J220" s="3828"/>
      <c r="K220" s="3828"/>
      <c r="L220" s="3828"/>
      <c r="M220" s="3828"/>
      <c r="N220" s="3828"/>
      <c r="O220" s="3828"/>
      <c r="P220" s="3828"/>
      <c r="Q220" s="3828"/>
      <c r="R220" s="3828"/>
      <c r="S220" s="3828"/>
      <c r="T220" s="3828"/>
      <c r="U220" s="3828"/>
      <c r="V220" s="3828"/>
      <c r="W220" s="3460"/>
      <c r="X220" s="3460"/>
      <c r="Y220" s="3460"/>
      <c r="Z220" s="3460"/>
      <c r="AA220" s="3460"/>
      <c r="AB220" s="3460"/>
      <c r="AC220" s="3460"/>
      <c r="AD220" s="3460"/>
      <c r="AE220" s="3460"/>
      <c r="AF220" s="3460"/>
      <c r="AG220" s="3460"/>
      <c r="AH220" s="3460"/>
      <c r="AI220" s="3460"/>
      <c r="AJ220" s="3460"/>
      <c r="AK220" s="3460"/>
      <c r="AL220" s="3460"/>
      <c r="AM220" s="3460"/>
      <c r="AN220" s="3460"/>
      <c r="AO220" s="3460"/>
      <c r="AP220" s="3460"/>
      <c r="AQ220" s="3460"/>
      <c r="AR220" s="3460"/>
      <c r="AS220" s="3460"/>
      <c r="AT220" s="3460"/>
      <c r="AU220" s="3460"/>
      <c r="AV220" s="3460"/>
    </row>
    <row r="221" spans="1:48">
      <c r="A221" s="3827"/>
      <c r="B221" s="3828"/>
      <c r="C221" s="3828"/>
      <c r="D221" s="3828"/>
      <c r="E221" s="3828"/>
      <c r="F221" s="3828"/>
      <c r="G221" s="3828"/>
      <c r="H221" s="3828"/>
      <c r="I221" s="3828"/>
      <c r="J221" s="3828"/>
      <c r="K221" s="3828"/>
      <c r="L221" s="3828"/>
      <c r="M221" s="3828"/>
      <c r="N221" s="3828"/>
      <c r="O221" s="3828"/>
      <c r="P221" s="3828"/>
      <c r="Q221" s="3828"/>
      <c r="R221" s="3828"/>
      <c r="S221" s="3828"/>
      <c r="T221" s="3828"/>
      <c r="U221" s="3828"/>
      <c r="V221" s="3828"/>
      <c r="W221" s="3460"/>
      <c r="X221" s="3460"/>
      <c r="Y221" s="3460"/>
      <c r="Z221" s="3460"/>
      <c r="AA221" s="3460"/>
      <c r="AB221" s="3460"/>
      <c r="AC221" s="3460"/>
      <c r="AD221" s="3460"/>
      <c r="AE221" s="3460"/>
      <c r="AF221" s="3460"/>
      <c r="AG221" s="3460"/>
      <c r="AH221" s="3460"/>
      <c r="AI221" s="3460"/>
      <c r="AJ221" s="3460"/>
      <c r="AK221" s="3460"/>
      <c r="AL221" s="3460"/>
      <c r="AM221" s="3460"/>
      <c r="AN221" s="3460"/>
      <c r="AO221" s="3460"/>
      <c r="AP221" s="3460"/>
      <c r="AQ221" s="3460"/>
      <c r="AR221" s="3460"/>
      <c r="AS221" s="3460"/>
      <c r="AT221" s="3460"/>
      <c r="AU221" s="3460"/>
      <c r="AV221" s="3460"/>
    </row>
    <row r="222" spans="1:48">
      <c r="A222" s="2292" t="s">
        <v>6328</v>
      </c>
      <c r="B222" s="2292"/>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3829">
        <v>0</v>
      </c>
      <c r="AQ222" s="3829">
        <v>0</v>
      </c>
      <c r="AR222" s="3830" t="s">
        <v>6329</v>
      </c>
      <c r="AS222" s="3831"/>
      <c r="AT222" s="3829">
        <v>3</v>
      </c>
      <c r="AU222" s="3829">
        <v>0</v>
      </c>
      <c r="AV222" s="3460"/>
    </row>
    <row r="223" spans="1:48">
      <c r="A223" s="2292"/>
      <c r="B223" s="2292"/>
      <c r="C223" s="2292"/>
      <c r="D223" s="2292"/>
      <c r="E223" s="2292"/>
      <c r="F223" s="2292"/>
      <c r="G223" s="2292"/>
      <c r="H223" s="2292"/>
      <c r="I223" s="2292"/>
      <c r="J223" s="2292"/>
      <c r="K223" s="2292"/>
      <c r="L223" s="2292"/>
      <c r="M223" s="2292"/>
      <c r="N223" s="2292"/>
      <c r="O223" s="2292"/>
      <c r="P223" s="2292"/>
      <c r="Q223" s="2292"/>
      <c r="R223" s="2292"/>
      <c r="S223" s="2292"/>
      <c r="T223" s="2292"/>
      <c r="U223" s="2292"/>
      <c r="V223" s="2292"/>
      <c r="W223" s="2292"/>
      <c r="X223" s="2292"/>
      <c r="Y223" s="2292"/>
      <c r="Z223" s="2292"/>
      <c r="AA223" s="2292"/>
      <c r="AB223" s="2292"/>
      <c r="AC223" s="2292"/>
      <c r="AD223" s="2292"/>
      <c r="AE223" s="2292"/>
      <c r="AF223" s="2292"/>
      <c r="AG223" s="2292"/>
      <c r="AH223" s="2292"/>
      <c r="AI223" s="2292"/>
      <c r="AJ223" s="2292"/>
      <c r="AK223" s="2292"/>
      <c r="AL223" s="2292"/>
      <c r="AM223" s="2292"/>
      <c r="AN223" s="2292"/>
      <c r="AO223" s="2292"/>
      <c r="AP223" s="3761" t="s">
        <v>6330</v>
      </c>
      <c r="AQ223" s="2292"/>
      <c r="AR223" s="2292"/>
      <c r="AS223" s="2292"/>
      <c r="AT223" s="3832" t="s">
        <v>6331</v>
      </c>
      <c r="AU223" s="2292"/>
      <c r="AV223" s="2292"/>
    </row>
    <row r="224" spans="1:48">
      <c r="A224" s="2292" t="s">
        <v>6332</v>
      </c>
      <c r="B224" s="2292"/>
      <c r="C224" s="2292"/>
      <c r="D224" s="2292"/>
      <c r="E224" s="2292"/>
      <c r="F224" s="2292"/>
      <c r="G224" s="2292"/>
      <c r="H224" s="2292"/>
      <c r="I224" s="2292"/>
      <c r="J224" s="2292"/>
      <c r="K224" s="2292"/>
      <c r="L224" s="2292"/>
      <c r="M224" s="2292"/>
      <c r="N224" s="2292"/>
      <c r="O224" s="2292"/>
      <c r="P224" s="2292"/>
      <c r="Q224" s="2292"/>
      <c r="R224" s="3832" t="s">
        <v>6333</v>
      </c>
      <c r="S224" s="2292"/>
      <c r="T224" s="3833"/>
      <c r="U224" s="3834"/>
      <c r="V224" s="2292"/>
      <c r="W224" s="3835" t="str">
        <f>UnosPod!F14</f>
        <v>info@lilium_dzu.ba</v>
      </c>
      <c r="X224" s="3835"/>
      <c r="Y224" s="3835"/>
      <c r="Z224" s="3835"/>
      <c r="AA224" s="3835"/>
      <c r="AB224" s="3835"/>
      <c r="AC224" s="3835"/>
      <c r="AD224" s="3835"/>
      <c r="AE224" s="3835"/>
      <c r="AF224" s="3835"/>
      <c r="AG224" s="3835"/>
      <c r="AH224" s="3835"/>
      <c r="AI224" s="2292"/>
      <c r="AJ224" s="3832" t="s">
        <v>6334</v>
      </c>
      <c r="AK224" s="2292"/>
      <c r="AL224" s="3833"/>
      <c r="AM224" s="3834"/>
      <c r="AN224" s="2292"/>
      <c r="AO224" s="2292"/>
      <c r="AP224" s="2292"/>
      <c r="AQ224" s="2292"/>
      <c r="AR224" s="2292"/>
      <c r="AS224" s="2292"/>
      <c r="AT224" s="2292"/>
      <c r="AU224" s="2292"/>
      <c r="AV224" s="2292"/>
    </row>
    <row r="225" spans="1:49">
      <c r="A225" s="2292"/>
      <c r="B225" s="2292"/>
      <c r="C225" s="2292"/>
      <c r="D225" s="2292"/>
      <c r="E225" s="2292"/>
      <c r="F225" s="2292"/>
      <c r="G225" s="2292"/>
      <c r="H225" s="2292"/>
      <c r="I225" s="2292"/>
      <c r="J225" s="2292"/>
      <c r="K225" s="2292"/>
      <c r="L225" s="2292"/>
      <c r="M225" s="2292"/>
      <c r="N225" s="2292"/>
      <c r="O225" s="2292"/>
      <c r="P225" s="2292"/>
      <c r="Q225" s="2292"/>
      <c r="R225" s="2292"/>
      <c r="S225" s="2292"/>
      <c r="T225" s="2292"/>
      <c r="U225" s="2292"/>
      <c r="V225" s="2292"/>
      <c r="W225" s="3836" t="s">
        <v>6335</v>
      </c>
      <c r="X225" s="3836"/>
      <c r="Y225" s="3836"/>
      <c r="Z225" s="3836"/>
      <c r="AA225" s="3836"/>
      <c r="AB225" s="3836"/>
      <c r="AC225" s="3836"/>
      <c r="AD225" s="3836"/>
      <c r="AE225" s="3836"/>
      <c r="AF225" s="3836"/>
      <c r="AG225" s="3836"/>
      <c r="AH225" s="3836"/>
      <c r="AI225" s="2292"/>
      <c r="AJ225" s="2292"/>
      <c r="AK225" s="2292"/>
      <c r="AL225" s="2292"/>
      <c r="AM225" s="2292"/>
      <c r="AN225" s="2292"/>
      <c r="AO225" s="2292"/>
      <c r="AP225" s="3833"/>
      <c r="AQ225" s="3833"/>
      <c r="AR225" s="3833"/>
      <c r="AS225" s="3833"/>
      <c r="AT225" s="3833"/>
      <c r="AU225" s="3833"/>
      <c r="AV225" s="2292"/>
    </row>
    <row r="226" spans="1:49">
      <c r="A226" s="2292" t="s">
        <v>6336</v>
      </c>
      <c r="B226" s="2292"/>
      <c r="C226" s="2292"/>
      <c r="D226" s="2292"/>
      <c r="E226" s="2292"/>
      <c r="F226" s="2292"/>
      <c r="G226" s="2292"/>
      <c r="H226" s="2292"/>
      <c r="I226" s="2292"/>
      <c r="J226" s="2292"/>
      <c r="K226" s="2292"/>
      <c r="L226" s="2292"/>
      <c r="M226" s="2292"/>
      <c r="N226" s="2292"/>
      <c r="O226" s="2292"/>
      <c r="P226" s="2292"/>
      <c r="Q226" s="2292"/>
      <c r="R226" s="3832" t="s">
        <v>6333</v>
      </c>
      <c r="S226" s="2292"/>
      <c r="T226" s="3833"/>
      <c r="U226" s="3834"/>
      <c r="V226" s="2292"/>
      <c r="W226" s="3835" t="str">
        <f>UnosPod!F16</f>
        <v>www.lilium-dzu.ba</v>
      </c>
      <c r="X226" s="3835"/>
      <c r="Y226" s="3835"/>
      <c r="Z226" s="3835"/>
      <c r="AA226" s="3835"/>
      <c r="AB226" s="3835"/>
      <c r="AC226" s="3835"/>
      <c r="AD226" s="3835"/>
      <c r="AE226" s="3835"/>
      <c r="AF226" s="3835"/>
      <c r="AG226" s="3835"/>
      <c r="AH226" s="3835"/>
      <c r="AI226" s="2292"/>
      <c r="AJ226" s="3832" t="s">
        <v>6334</v>
      </c>
      <c r="AK226" s="2292"/>
      <c r="AL226" s="3833"/>
      <c r="AM226" s="3834"/>
      <c r="AN226" s="2292"/>
      <c r="AO226" s="2292"/>
      <c r="AP226" s="2292"/>
      <c r="AQ226" s="2292"/>
      <c r="AR226" s="2292"/>
      <c r="AS226" s="2292"/>
      <c r="AT226" s="2292"/>
      <c r="AU226" s="2292"/>
      <c r="AV226" s="3833"/>
    </row>
    <row r="227" spans="1:49">
      <c r="A227" s="2292"/>
      <c r="B227" s="2292"/>
      <c r="C227" s="2292"/>
      <c r="D227" s="2292"/>
      <c r="E227" s="2292"/>
      <c r="F227" s="2292"/>
      <c r="G227" s="2292"/>
      <c r="H227" s="2292"/>
      <c r="I227" s="2292"/>
      <c r="J227" s="2292"/>
      <c r="K227" s="2292"/>
      <c r="L227" s="2292"/>
      <c r="M227" s="2292"/>
      <c r="N227" s="2292"/>
      <c r="O227" s="2292"/>
      <c r="P227" s="2292"/>
      <c r="Q227" s="2292"/>
      <c r="R227" s="2292"/>
      <c r="S227" s="2292"/>
      <c r="T227" s="2292"/>
      <c r="U227" s="2292"/>
      <c r="V227" s="2292"/>
      <c r="W227" s="3836" t="s">
        <v>6335</v>
      </c>
      <c r="X227" s="3836"/>
      <c r="Y227" s="3836"/>
      <c r="Z227" s="3836"/>
      <c r="AA227" s="3836"/>
      <c r="AB227" s="3836"/>
      <c r="AC227" s="3836"/>
      <c r="AD227" s="3836"/>
      <c r="AE227" s="3836"/>
      <c r="AF227" s="3836"/>
      <c r="AG227" s="3836"/>
      <c r="AH227" s="3836"/>
      <c r="AI227" s="2292"/>
      <c r="AJ227" s="2292"/>
      <c r="AK227" s="2292"/>
      <c r="AL227" s="2292"/>
      <c r="AM227" s="2292"/>
      <c r="AN227" s="2292"/>
      <c r="AO227" s="2292"/>
      <c r="AP227" s="3833"/>
      <c r="AQ227" s="3833"/>
      <c r="AR227" s="3833"/>
      <c r="AS227" s="3833"/>
      <c r="AT227" s="3833"/>
      <c r="AU227" s="3833"/>
      <c r="AV227" s="2292"/>
    </row>
    <row r="228" spans="1:49">
      <c r="A228" s="2292"/>
      <c r="B228" s="2292"/>
      <c r="C228" s="2292"/>
      <c r="D228" s="2292"/>
      <c r="E228" s="2292"/>
      <c r="F228" s="2292"/>
      <c r="G228" s="2292"/>
      <c r="H228" s="2292"/>
      <c r="I228" s="2292"/>
      <c r="J228" s="2292"/>
      <c r="K228" s="2292"/>
      <c r="L228" s="2292"/>
      <c r="M228" s="2292"/>
      <c r="N228" s="2292"/>
      <c r="O228" s="2292"/>
      <c r="P228" s="2292"/>
      <c r="Q228" s="2292"/>
      <c r="R228" s="2292"/>
      <c r="S228" s="2292"/>
      <c r="T228" s="2292"/>
      <c r="U228" s="2292"/>
      <c r="V228" s="2292"/>
      <c r="W228" s="3837"/>
      <c r="X228" s="3837"/>
      <c r="Y228" s="3837"/>
      <c r="Z228" s="3837"/>
      <c r="AA228" s="3837"/>
      <c r="AB228" s="3837"/>
      <c r="AC228" s="3837"/>
      <c r="AD228" s="3837"/>
      <c r="AE228" s="3837"/>
      <c r="AF228" s="3837"/>
      <c r="AG228" s="3837"/>
      <c r="AH228" s="3837"/>
      <c r="AI228" s="2292"/>
      <c r="AJ228" s="2292"/>
      <c r="AK228" s="2292"/>
      <c r="AL228" s="2292"/>
      <c r="AM228" s="2292"/>
      <c r="AN228" s="2292"/>
      <c r="AO228" s="2292"/>
      <c r="AP228" s="3833"/>
      <c r="AQ228" s="3833"/>
      <c r="AR228" s="3833"/>
      <c r="AS228" s="3833"/>
      <c r="AT228" s="3833"/>
      <c r="AU228" s="3833"/>
      <c r="AV228" s="3833"/>
    </row>
    <row r="229" spans="1:49">
      <c r="A229" s="2292" t="s">
        <v>6337</v>
      </c>
      <c r="B229" s="2292"/>
      <c r="C229" s="2292"/>
      <c r="D229" s="2292"/>
      <c r="E229" s="2292"/>
      <c r="F229" s="2292"/>
      <c r="G229" s="2292"/>
      <c r="H229" s="2292"/>
      <c r="I229" s="2292"/>
      <c r="J229" s="2292"/>
      <c r="K229" s="2292"/>
      <c r="L229" s="2292"/>
      <c r="M229" s="2292"/>
      <c r="N229" s="2292"/>
      <c r="O229" s="2292"/>
      <c r="P229" s="2292"/>
      <c r="Q229" s="2292"/>
      <c r="R229" s="2292"/>
      <c r="S229" s="2292"/>
      <c r="T229" s="2292"/>
      <c r="U229" s="2292"/>
      <c r="V229" s="2292"/>
      <c r="W229" s="3837"/>
      <c r="X229" s="3837"/>
      <c r="Y229" s="3837"/>
      <c r="Z229" s="3837"/>
      <c r="AA229" s="3837"/>
      <c r="AB229" s="3837"/>
      <c r="AC229" s="3832"/>
      <c r="AD229" s="3832" t="s">
        <v>6333</v>
      </c>
      <c r="AE229" s="2292"/>
      <c r="AF229" s="3833"/>
      <c r="AG229" s="3834"/>
      <c r="AH229" s="3837"/>
      <c r="AI229" s="2292"/>
      <c r="AJ229" s="3832" t="s">
        <v>6334</v>
      </c>
      <c r="AK229" s="2292"/>
      <c r="AL229" s="3833"/>
      <c r="AM229" s="3829" t="s">
        <v>6338</v>
      </c>
      <c r="AN229" s="2292"/>
      <c r="AO229" s="2292"/>
      <c r="AP229" s="3833"/>
      <c r="AQ229" s="3833"/>
      <c r="AR229" s="3833"/>
      <c r="AS229" s="3833"/>
      <c r="AT229" s="3833"/>
      <c r="AU229" s="3833"/>
      <c r="AV229" s="3833"/>
    </row>
    <row r="230" spans="1:49">
      <c r="A230" s="2292"/>
      <c r="B230" s="2292"/>
      <c r="C230" s="2292"/>
      <c r="D230" s="2292"/>
      <c r="E230" s="2292"/>
      <c r="F230" s="2292"/>
      <c r="G230" s="2292"/>
      <c r="H230" s="2292"/>
      <c r="I230" s="2292"/>
      <c r="J230" s="2292"/>
      <c r="K230" s="2292"/>
      <c r="L230" s="2292"/>
      <c r="M230" s="2292"/>
      <c r="N230" s="2292"/>
      <c r="O230" s="2292"/>
      <c r="P230" s="2292"/>
      <c r="Q230" s="2292"/>
      <c r="R230" s="2292"/>
      <c r="S230" s="2292"/>
      <c r="T230" s="2292"/>
      <c r="U230" s="2292"/>
      <c r="V230" s="2292"/>
      <c r="W230" s="3837"/>
      <c r="X230" s="3837"/>
      <c r="Y230" s="3837"/>
      <c r="Z230" s="3837"/>
      <c r="AA230" s="3837"/>
      <c r="AB230" s="3837"/>
      <c r="AC230" s="3832"/>
      <c r="AD230" s="3832"/>
      <c r="AE230" s="2292"/>
      <c r="AF230" s="3833"/>
      <c r="AG230" s="2292"/>
      <c r="AH230" s="3837"/>
      <c r="AI230" s="2292"/>
      <c r="AJ230" s="3832"/>
      <c r="AK230" s="2292"/>
      <c r="AL230" s="3833"/>
      <c r="AM230" s="2292"/>
      <c r="AN230" s="2292"/>
      <c r="AO230" s="2292"/>
      <c r="AP230" s="3833"/>
      <c r="AQ230" s="3833"/>
      <c r="AR230" s="3833"/>
      <c r="AS230" s="3833"/>
      <c r="AT230" s="3833"/>
      <c r="AU230" s="3833"/>
      <c r="AV230" s="3833"/>
    </row>
    <row r="231" spans="1:49">
      <c r="A231" s="2292"/>
      <c r="B231" s="2292"/>
      <c r="C231" s="2292"/>
      <c r="D231" s="2292"/>
      <c r="E231" s="2292"/>
      <c r="F231" s="2292"/>
      <c r="G231" s="2292"/>
      <c r="H231" s="2292"/>
      <c r="I231" s="2292"/>
      <c r="J231" s="2292"/>
      <c r="K231" s="2292"/>
      <c r="L231" s="2292"/>
      <c r="M231" s="2292"/>
      <c r="N231" s="3837"/>
      <c r="O231" s="3837"/>
      <c r="P231" s="3837"/>
      <c r="Q231" s="3837"/>
      <c r="R231" s="3837"/>
      <c r="S231" s="3837"/>
      <c r="T231" s="3837"/>
      <c r="U231" s="3837"/>
      <c r="V231" s="3837"/>
      <c r="W231" s="3837"/>
      <c r="X231" s="3837"/>
      <c r="Y231" s="3837"/>
      <c r="AS231" s="2292"/>
      <c r="AT231" s="2292"/>
      <c r="AU231" s="2292"/>
      <c r="AV231" s="2292"/>
    </row>
    <row r="232" spans="1:49">
      <c r="A232" s="3838" t="s">
        <v>6339</v>
      </c>
      <c r="B232" s="2292"/>
      <c r="C232" s="2292"/>
      <c r="D232" s="2292"/>
      <c r="E232" s="2292"/>
      <c r="F232" s="2292"/>
      <c r="G232" s="2292"/>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3839"/>
      <c r="AH232" s="3832"/>
      <c r="AI232" s="3832"/>
      <c r="AJ232" s="3832"/>
      <c r="AK232" s="2292"/>
      <c r="AL232" s="2292"/>
      <c r="AM232" s="2292"/>
      <c r="AN232" s="2292"/>
      <c r="AO232" s="2292"/>
      <c r="AP232" s="2292"/>
      <c r="AQ232" s="2292"/>
      <c r="AR232" s="2292"/>
      <c r="AS232" s="2292"/>
      <c r="AT232" s="2292"/>
      <c r="AU232" s="2292"/>
      <c r="AV232" s="2292"/>
    </row>
    <row r="233" spans="1:49">
      <c r="A233" s="3840" t="s">
        <v>6340</v>
      </c>
      <c r="B233" s="3460"/>
      <c r="C233" s="3460"/>
      <c r="D233" s="3460"/>
      <c r="E233" s="3460"/>
      <c r="F233" s="3460"/>
      <c r="G233" s="3460"/>
      <c r="H233" s="3460"/>
      <c r="I233" s="3460"/>
      <c r="J233" s="3460"/>
      <c r="K233" s="3460"/>
      <c r="L233" s="3460"/>
      <c r="M233" s="3460"/>
      <c r="N233" s="3460"/>
      <c r="O233" s="3460"/>
      <c r="P233" s="3460"/>
      <c r="Q233" s="3460"/>
      <c r="R233" s="3460"/>
      <c r="S233" s="3460"/>
      <c r="T233" s="3460"/>
      <c r="U233" s="3460"/>
      <c r="V233" s="3460"/>
      <c r="W233" s="3460"/>
      <c r="X233" s="3460"/>
      <c r="Y233" s="3460"/>
      <c r="Z233" s="3460"/>
      <c r="AA233" s="3460"/>
      <c r="AB233" s="3460"/>
      <c r="AC233" s="3460"/>
      <c r="AD233" s="3460"/>
      <c r="AE233" s="3460"/>
      <c r="AF233" s="3460"/>
      <c r="AG233" s="3841"/>
      <c r="AH233" s="2292"/>
      <c r="AI233" s="2292"/>
      <c r="AJ233" s="2292"/>
      <c r="AK233" s="2292"/>
      <c r="AL233" s="2292"/>
      <c r="AM233" s="2292"/>
      <c r="AN233" s="2292"/>
      <c r="AO233" s="2292"/>
      <c r="AP233" s="2292"/>
      <c r="AQ233" s="2292"/>
      <c r="AR233" s="2292"/>
      <c r="AS233" s="2292"/>
      <c r="AT233" s="2292"/>
      <c r="AU233" s="2292"/>
      <c r="AV233" s="2292"/>
      <c r="AW233" s="3460"/>
    </row>
    <row r="234" spans="1:49">
      <c r="A234" s="3842"/>
      <c r="B234" s="3445"/>
      <c r="C234" s="3445"/>
      <c r="D234" s="3445"/>
      <c r="E234" s="3445"/>
      <c r="F234" s="3445"/>
      <c r="G234" s="3445"/>
      <c r="H234" s="3445"/>
      <c r="I234" s="3445"/>
      <c r="J234" s="3445"/>
      <c r="K234" s="3445"/>
      <c r="L234" s="3445"/>
      <c r="M234" s="3445"/>
      <c r="N234" s="3445"/>
      <c r="O234" s="3445"/>
      <c r="P234" s="3445"/>
      <c r="Q234" s="3445"/>
      <c r="R234" s="3445"/>
      <c r="S234" s="3445"/>
      <c r="T234" s="3445"/>
      <c r="U234" s="3445"/>
      <c r="V234" s="3445"/>
      <c r="W234" s="3445"/>
      <c r="X234" s="3445"/>
      <c r="Y234" s="3445"/>
      <c r="Z234" s="3445"/>
      <c r="AA234" s="3445"/>
      <c r="AB234" s="3445"/>
      <c r="AC234" s="3445"/>
      <c r="AD234" s="3445"/>
      <c r="AE234" s="3445"/>
      <c r="AF234" s="3445"/>
      <c r="AG234" s="3839"/>
      <c r="AH234" s="3832"/>
      <c r="AI234" s="3832"/>
      <c r="AJ234" s="3832"/>
      <c r="AK234" s="2292"/>
      <c r="AL234" s="2292"/>
      <c r="AM234" s="2292"/>
      <c r="AN234" s="2292"/>
      <c r="AO234" s="2292"/>
      <c r="AP234" s="2292"/>
      <c r="AQ234" s="2292"/>
      <c r="AR234" s="2292"/>
      <c r="AS234" s="2292"/>
      <c r="AT234" s="2292"/>
      <c r="AU234" s="2292"/>
      <c r="AV234" s="2292"/>
    </row>
    <row r="235" spans="1:49">
      <c r="A235" s="3843"/>
      <c r="B235" s="2297"/>
      <c r="C235" s="2297"/>
      <c r="D235" s="2297"/>
      <c r="E235" s="2297"/>
      <c r="F235" s="2297"/>
      <c r="G235" s="2297"/>
      <c r="H235" s="2297"/>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3844"/>
    </row>
    <row r="236" spans="1:49">
      <c r="A236" s="3845"/>
      <c r="AU236" s="2190"/>
    </row>
    <row r="237" spans="1:49">
      <c r="A237" s="3845"/>
      <c r="AU237" s="2190"/>
    </row>
    <row r="238" spans="1:49">
      <c r="A238" s="3845"/>
      <c r="AU238" s="2190"/>
    </row>
    <row r="239" spans="1:49">
      <c r="A239" s="3845"/>
      <c r="AU239" s="2190"/>
    </row>
    <row r="240" spans="1:49">
      <c r="A240" s="3845"/>
      <c r="AU240" s="2190"/>
    </row>
    <row r="241" spans="1:49">
      <c r="A241" s="3846"/>
      <c r="B241" s="2211"/>
      <c r="C241" s="2211"/>
      <c r="D241" s="2211"/>
      <c r="E241" s="2211"/>
      <c r="F241" s="2211"/>
      <c r="G241" s="2211"/>
      <c r="H241" s="2211"/>
      <c r="I241" s="2211"/>
      <c r="J241" s="2211"/>
      <c r="K241" s="2211"/>
      <c r="L241" s="2211"/>
      <c r="M241" s="2211"/>
      <c r="N241" s="2211"/>
      <c r="O241" s="2211"/>
      <c r="P241" s="2211"/>
      <c r="Q241" s="2211"/>
      <c r="R241" s="2211"/>
      <c r="S241" s="2211"/>
      <c r="T241" s="2211"/>
      <c r="U241" s="2211"/>
      <c r="V241" s="2211"/>
      <c r="W241" s="2211"/>
      <c r="X241" s="2211"/>
      <c r="Y241" s="2211"/>
      <c r="Z241" s="2211"/>
      <c r="AA241" s="2211"/>
      <c r="AB241" s="2211"/>
      <c r="AC241" s="2211"/>
      <c r="AD241" s="2211"/>
      <c r="AE241" s="2211"/>
      <c r="AF241" s="2211"/>
      <c r="AG241" s="2211"/>
      <c r="AH241" s="2211"/>
      <c r="AI241" s="2211"/>
      <c r="AJ241" s="2211"/>
      <c r="AK241" s="2211"/>
      <c r="AL241" s="2211"/>
      <c r="AM241" s="2211"/>
      <c r="AN241" s="2211"/>
      <c r="AO241" s="2211"/>
      <c r="AP241" s="2211"/>
      <c r="AQ241" s="2211"/>
      <c r="AR241" s="2211"/>
      <c r="AS241" s="2211"/>
      <c r="AT241" s="2211"/>
      <c r="AU241" s="2212"/>
    </row>
    <row r="243" ht="15" spans="1:49">
      <c r="A243" s="2292" t="s">
        <v>6341</v>
      </c>
      <c r="B243" s="2292"/>
      <c r="C243" s="2292"/>
      <c r="D243" s="2292"/>
      <c r="E243" s="2292"/>
      <c r="F243" s="2292"/>
      <c r="G243" s="2292"/>
      <c r="H243" s="2292"/>
      <c r="I243" s="2292"/>
      <c r="J243" s="2292"/>
      <c r="K243" s="2292"/>
      <c r="L243" s="2292"/>
      <c r="M243" s="2292"/>
      <c r="N243" s="2292"/>
      <c r="O243" s="2292"/>
      <c r="P243" s="2292"/>
      <c r="Q243" s="3847"/>
      <c r="R243" s="3847"/>
      <c r="S243" s="3847"/>
      <c r="T243" s="3847"/>
      <c r="V243" s="3848"/>
      <c r="W243" s="3875" t="str">
        <f>Racunovoda</f>
        <v>Elvira Žilić</v>
      </c>
      <c r="X243" s="3875"/>
      <c r="Y243" s="3875"/>
      <c r="Z243" s="3875"/>
      <c r="AA243" s="3875"/>
      <c r="AB243" s="3875"/>
      <c r="AC243" s="3875"/>
      <c r="AD243" s="3875"/>
      <c r="AE243" s="3875"/>
      <c r="AF243" s="3875"/>
      <c r="AG243" s="3875"/>
      <c r="AH243" s="3875"/>
      <c r="AI243" s="3875"/>
      <c r="AK243" s="3832" t="s">
        <v>6342</v>
      </c>
      <c r="AL243" s="2292" t="s">
        <v>6343</v>
      </c>
      <c r="AM243" s="3832"/>
      <c r="AN243" s="3832"/>
      <c r="AO243" s="2292"/>
      <c r="AP243" s="3850" t="str">
        <f>UnosPod!AL3</f>
        <v>061/599-615</v>
      </c>
      <c r="AQ243" s="3848"/>
      <c r="AR243" s="3848"/>
      <c r="AS243" s="3848"/>
      <c r="AT243" s="3848"/>
      <c r="AU243" s="3848"/>
      <c r="AV243" s="2292"/>
    </row>
    <row r="244" spans="1:49">
      <c r="A244" s="2292"/>
      <c r="B244" s="2292"/>
      <c r="C244" s="2292"/>
      <c r="D244" s="2292"/>
      <c r="E244" s="2292"/>
      <c r="F244" s="2292"/>
      <c r="G244" s="2292"/>
      <c r="H244" s="2292"/>
      <c r="I244" s="2292"/>
      <c r="J244" s="2292"/>
      <c r="K244" s="2292"/>
      <c r="L244" s="2292"/>
      <c r="U244" s="2292"/>
      <c r="V244" s="2292"/>
      <c r="W244" s="2292"/>
      <c r="X244" s="2292"/>
      <c r="Y244" s="3847"/>
      <c r="Z244" s="3837" t="s">
        <v>6344</v>
      </c>
      <c r="AA244" s="3837"/>
      <c r="AB244" s="3836"/>
      <c r="AC244" s="3836"/>
      <c r="AD244" s="3836"/>
      <c r="AE244" s="3836"/>
      <c r="AF244" s="3836"/>
      <c r="AG244" s="3836"/>
      <c r="AH244" s="3836"/>
      <c r="AI244" s="3836"/>
      <c r="AK244" s="3832"/>
      <c r="AL244" s="3832"/>
      <c r="AM244" s="3832"/>
      <c r="AN244" s="3832"/>
      <c r="AO244" s="2292"/>
      <c r="AP244" s="3851"/>
      <c r="AQ244" s="3851"/>
      <c r="AR244" s="3851"/>
      <c r="AS244" s="3851"/>
      <c r="AT244" s="3851"/>
      <c r="AU244" s="3851"/>
      <c r="AV244" s="2292"/>
    </row>
    <row r="245" ht="19.5" customHeight="1" spans="1:49">
      <c r="A245" s="2292" t="s">
        <v>6345</v>
      </c>
      <c r="B245" s="2292"/>
      <c r="C245" s="2292"/>
      <c r="D245" s="2292"/>
      <c r="E245" s="2292"/>
      <c r="F245" s="2292"/>
      <c r="G245" s="2292"/>
      <c r="H245" s="2292"/>
      <c r="I245" s="2292"/>
      <c r="J245" s="2292"/>
      <c r="K245" s="2292"/>
      <c r="L245" s="2292"/>
      <c r="M245" s="2292"/>
      <c r="N245" s="2292"/>
      <c r="O245" s="2292"/>
      <c r="P245" s="2292"/>
      <c r="Q245" s="3847"/>
      <c r="R245" s="3847"/>
      <c r="S245" s="3847"/>
      <c r="T245" s="3847"/>
      <c r="U245" s="3847"/>
      <c r="V245" s="3847"/>
      <c r="W245" s="3849"/>
      <c r="X245" s="3849"/>
      <c r="Y245" s="3849"/>
      <c r="Z245" s="3849"/>
      <c r="AA245" s="3849"/>
      <c r="AB245" s="3849"/>
      <c r="AC245" s="3849"/>
      <c r="AD245" s="3849"/>
      <c r="AE245" s="3849"/>
      <c r="AF245" s="3849"/>
      <c r="AG245" s="3849"/>
      <c r="AH245" s="3849"/>
      <c r="AI245" s="3849"/>
      <c r="AK245" s="3832" t="s">
        <v>6346</v>
      </c>
      <c r="AL245" s="2292" t="s">
        <v>6343</v>
      </c>
      <c r="AM245" s="3832"/>
      <c r="AN245" s="3832"/>
      <c r="AO245" s="2292"/>
      <c r="AP245" s="3876" t="str">
        <f>UnosPod!F15</f>
        <v>033/953-480</v>
      </c>
      <c r="AQ245" s="3848"/>
      <c r="AR245" s="3848"/>
      <c r="AS245" s="3848"/>
      <c r="AT245" s="3848"/>
      <c r="AU245" s="3848"/>
    </row>
    <row r="246" ht="15" spans="1:49">
      <c r="A246" s="2292"/>
      <c r="B246" s="2292"/>
      <c r="C246" s="2292"/>
      <c r="D246" s="2292"/>
      <c r="E246" s="2292"/>
      <c r="F246" s="2292"/>
      <c r="G246" s="2292"/>
      <c r="H246" s="2292"/>
      <c r="I246" s="2292"/>
      <c r="J246" s="2292"/>
      <c r="K246" s="2292"/>
      <c r="L246" s="2292"/>
      <c r="M246" s="2292"/>
      <c r="N246" s="2292"/>
      <c r="O246" s="2292"/>
      <c r="P246" s="2292"/>
      <c r="Q246" s="2292"/>
      <c r="R246" s="2292"/>
      <c r="S246" s="2292"/>
      <c r="T246" s="2292"/>
      <c r="U246" s="2292"/>
      <c r="V246" s="2292"/>
      <c r="W246" s="2292"/>
      <c r="X246" s="2292"/>
      <c r="Y246" s="2292"/>
      <c r="Z246" s="2292"/>
      <c r="AA246" s="2292"/>
      <c r="AB246" s="2292"/>
      <c r="AC246" s="2292"/>
      <c r="AD246" s="2292"/>
      <c r="AE246" s="2292"/>
      <c r="AF246" s="2292"/>
      <c r="AG246" s="2292"/>
      <c r="AH246" s="2292"/>
      <c r="AI246" s="3877" t="str">
        <f>Direktor</f>
        <v>Nedim Vilogorac</v>
      </c>
      <c r="AJ246" s="3832"/>
      <c r="AK246" s="2292"/>
      <c r="AL246" s="3851"/>
      <c r="AM246" s="3851"/>
      <c r="AN246" s="3851"/>
      <c r="AO246" s="3851"/>
      <c r="AP246" s="3851"/>
      <c r="AQ246" s="3851"/>
      <c r="AR246" s="3851"/>
      <c r="AS246" s="3851"/>
      <c r="AT246" s="3851"/>
      <c r="AV246" s="3833"/>
    </row>
    <row r="247" spans="1:49">
      <c r="A247" s="2292" t="s">
        <v>6347</v>
      </c>
      <c r="B247" s="2292"/>
      <c r="C247" s="2292"/>
      <c r="D247" s="2292"/>
      <c r="E247" s="3857">
        <f ca="1">UnosPod!AA5</f>
        <v>46120.4752662037</v>
      </c>
      <c r="F247" s="3857"/>
      <c r="G247" s="3857"/>
      <c r="H247" s="3857"/>
      <c r="I247" s="3857"/>
      <c r="J247" s="3857"/>
      <c r="K247" s="3857"/>
      <c r="L247" s="3857"/>
      <c r="M247" s="3857"/>
      <c r="AH247" s="3833"/>
      <c r="AI247" s="3446"/>
      <c r="AJ247" s="3446"/>
      <c r="AK247" s="3446"/>
      <c r="AL247" s="3446"/>
      <c r="AM247" s="3446"/>
      <c r="AN247" s="3446"/>
      <c r="AO247" s="3446"/>
      <c r="AP247" s="3446"/>
      <c r="AQ247" s="3446"/>
      <c r="AR247" s="3446"/>
      <c r="AS247" s="3446"/>
      <c r="AT247" s="3446"/>
      <c r="AU247" s="3446"/>
      <c r="AV247" s="3833"/>
    </row>
    <row r="248" spans="1:49">
      <c r="A248" s="2292"/>
      <c r="B248" s="2292"/>
      <c r="C248" s="2292"/>
      <c r="D248" s="2292"/>
      <c r="E248" s="2292"/>
      <c r="F248" s="2292"/>
      <c r="G248" s="2292"/>
      <c r="H248" s="2292"/>
      <c r="I248" s="2292"/>
      <c r="J248" s="2292"/>
      <c r="K248" s="2292"/>
      <c r="L248" s="2292"/>
      <c r="M248" s="3446"/>
      <c r="Y248" s="3858" t="s">
        <v>6348</v>
      </c>
      <c r="AH248" s="3833"/>
      <c r="AI248" s="2292"/>
      <c r="AJ248" s="2292"/>
      <c r="AK248" s="2292"/>
      <c r="AL248" s="2292"/>
      <c r="AM248" s="2292"/>
      <c r="AN248" s="2292"/>
      <c r="AO248" s="2292"/>
      <c r="AP248" s="2292"/>
      <c r="AQ248" s="2292"/>
      <c r="AR248" s="2292"/>
      <c r="AS248" s="2292"/>
      <c r="AT248" s="2292"/>
      <c r="AU248" s="2292"/>
      <c r="AV248" s="3833"/>
    </row>
    <row r="256" spans="1:49">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sheetData>
  <mergeCells count="525">
    <mergeCell ref="G2:S2"/>
    <mergeCell ref="G3:S3"/>
    <mergeCell ref="AJ3:AV3"/>
    <mergeCell ref="G4:S4"/>
    <mergeCell ref="AJ4:AV4"/>
    <mergeCell ref="G5:S5"/>
    <mergeCell ref="A7:AV7"/>
    <mergeCell ref="A8:AV8"/>
    <mergeCell ref="A9:AV9"/>
    <mergeCell ref="AP42:AV42"/>
    <mergeCell ref="AR46:AU46"/>
    <mergeCell ref="AR48:AU48"/>
    <mergeCell ref="AR50:AU50"/>
    <mergeCell ref="AR60:AU60"/>
    <mergeCell ref="A65:AN65"/>
    <mergeCell ref="A72:AN72"/>
    <mergeCell ref="A73:B73"/>
    <mergeCell ref="C73:AD73"/>
    <mergeCell ref="AE73:AJ73"/>
    <mergeCell ref="AK73:AN73"/>
    <mergeCell ref="AO73:AV73"/>
    <mergeCell ref="A74:B74"/>
    <mergeCell ref="C74:AD74"/>
    <mergeCell ref="AE74:AJ74"/>
    <mergeCell ref="AK74:AN74"/>
    <mergeCell ref="AO74:AV74"/>
    <mergeCell ref="A75:B75"/>
    <mergeCell ref="C75:AD75"/>
    <mergeCell ref="AE75:AJ75"/>
    <mergeCell ref="AK75:AN75"/>
    <mergeCell ref="AO75:AV75"/>
    <mergeCell ref="A76:B76"/>
    <mergeCell ref="C76:AD76"/>
    <mergeCell ref="AE76:AJ76"/>
    <mergeCell ref="AK76:AN76"/>
    <mergeCell ref="AO76:AV76"/>
    <mergeCell ref="A77:B77"/>
    <mergeCell ref="C77:AD77"/>
    <mergeCell ref="AE77:AJ77"/>
    <mergeCell ref="AK77:AN77"/>
    <mergeCell ref="AO77:AV77"/>
    <mergeCell ref="A78:B78"/>
    <mergeCell ref="C78:AD78"/>
    <mergeCell ref="AE78:AJ78"/>
    <mergeCell ref="AK78:AN78"/>
    <mergeCell ref="AO78:AV78"/>
    <mergeCell ref="A79:B79"/>
    <mergeCell ref="C79:AD79"/>
    <mergeCell ref="AE79:AJ79"/>
    <mergeCell ref="AK79:AN79"/>
    <mergeCell ref="AO79:AV79"/>
    <mergeCell ref="A80:B80"/>
    <mergeCell ref="C80:AD80"/>
    <mergeCell ref="AE80:AJ80"/>
    <mergeCell ref="AK80:AN80"/>
    <mergeCell ref="AO80:AV80"/>
    <mergeCell ref="A81:B81"/>
    <mergeCell ref="C81:AD81"/>
    <mergeCell ref="AE81:AJ81"/>
    <mergeCell ref="AK81:AN81"/>
    <mergeCell ref="AO81:AV81"/>
    <mergeCell ref="A82:B82"/>
    <mergeCell ref="C82:AD82"/>
    <mergeCell ref="AE82:AJ82"/>
    <mergeCell ref="AK82:AN82"/>
    <mergeCell ref="AO82:AV82"/>
    <mergeCell ref="A84:AV84"/>
    <mergeCell ref="A85:AN85"/>
    <mergeCell ref="A88:B88"/>
    <mergeCell ref="C88:AD88"/>
    <mergeCell ref="AE88:AJ88"/>
    <mergeCell ref="AK88:AN88"/>
    <mergeCell ref="AO88:AV88"/>
    <mergeCell ref="A89:B89"/>
    <mergeCell ref="C89:AD89"/>
    <mergeCell ref="AE89:AJ89"/>
    <mergeCell ref="AK89:AN89"/>
    <mergeCell ref="AO89:AV89"/>
    <mergeCell ref="A90:B90"/>
    <mergeCell ref="C90:AD90"/>
    <mergeCell ref="AE90:AJ90"/>
    <mergeCell ref="AK90:AN90"/>
    <mergeCell ref="AO90:AV90"/>
    <mergeCell ref="A91:B91"/>
    <mergeCell ref="C91:AD91"/>
    <mergeCell ref="AE91:AJ91"/>
    <mergeCell ref="AK91:AN91"/>
    <mergeCell ref="AO91:AV91"/>
    <mergeCell ref="A92:B92"/>
    <mergeCell ref="C92:AD92"/>
    <mergeCell ref="AE92:AJ92"/>
    <mergeCell ref="AK92:AN92"/>
    <mergeCell ref="AO92:AV92"/>
    <mergeCell ref="A93:B93"/>
    <mergeCell ref="C93:AD93"/>
    <mergeCell ref="AE93:AJ93"/>
    <mergeCell ref="AK93:AN93"/>
    <mergeCell ref="AO93:AV93"/>
    <mergeCell ref="A94:B94"/>
    <mergeCell ref="C94:AD94"/>
    <mergeCell ref="AE94:AJ94"/>
    <mergeCell ref="AK94:AN94"/>
    <mergeCell ref="AO94:AV94"/>
    <mergeCell ref="A95:B95"/>
    <mergeCell ref="C95:AD95"/>
    <mergeCell ref="AE95:AJ95"/>
    <mergeCell ref="AK95:AN95"/>
    <mergeCell ref="AO95:AV95"/>
    <mergeCell ref="A96:B96"/>
    <mergeCell ref="C96:AD96"/>
    <mergeCell ref="AE96:AJ96"/>
    <mergeCell ref="AK96:AN96"/>
    <mergeCell ref="AO96:AV96"/>
    <mergeCell ref="A97:B97"/>
    <mergeCell ref="C97:AD97"/>
    <mergeCell ref="AE97:AJ97"/>
    <mergeCell ref="AK97:AN97"/>
    <mergeCell ref="AO97:AV97"/>
    <mergeCell ref="A98:B98"/>
    <mergeCell ref="C98:AD98"/>
    <mergeCell ref="AE98:AJ98"/>
    <mergeCell ref="AK98:AN98"/>
    <mergeCell ref="AO98:AV98"/>
    <mergeCell ref="A99:B99"/>
    <mergeCell ref="C99:AD99"/>
    <mergeCell ref="AE99:AJ99"/>
    <mergeCell ref="AK99:AN99"/>
    <mergeCell ref="AO99:AV99"/>
    <mergeCell ref="A100:B100"/>
    <mergeCell ref="C100:AD100"/>
    <mergeCell ref="AE100:AJ100"/>
    <mergeCell ref="AK100:AN100"/>
    <mergeCell ref="AO100:AV100"/>
    <mergeCell ref="A101:B101"/>
    <mergeCell ref="C101:AD101"/>
    <mergeCell ref="AE101:AJ101"/>
    <mergeCell ref="AK101:AN101"/>
    <mergeCell ref="AO101:AV101"/>
    <mergeCell ref="A102:B102"/>
    <mergeCell ref="C102:AD102"/>
    <mergeCell ref="AE102:AJ102"/>
    <mergeCell ref="AK102:AN102"/>
    <mergeCell ref="AO102:AV102"/>
    <mergeCell ref="A103:B103"/>
    <mergeCell ref="C103:AD103"/>
    <mergeCell ref="AE103:AJ103"/>
    <mergeCell ref="AK103:AN103"/>
    <mergeCell ref="AO103:AV103"/>
    <mergeCell ref="A104:B104"/>
    <mergeCell ref="C104:AD104"/>
    <mergeCell ref="AE104:AJ104"/>
    <mergeCell ref="AK104:AN104"/>
    <mergeCell ref="AO104:AV104"/>
    <mergeCell ref="A105:B105"/>
    <mergeCell ref="C105:AD105"/>
    <mergeCell ref="AE105:AJ105"/>
    <mergeCell ref="AK105:AN105"/>
    <mergeCell ref="AO105:AV105"/>
    <mergeCell ref="A106:B106"/>
    <mergeCell ref="C106:AD106"/>
    <mergeCell ref="AE106:AJ106"/>
    <mergeCell ref="AK106:AN106"/>
    <mergeCell ref="AO106:AV106"/>
    <mergeCell ref="A107:B107"/>
    <mergeCell ref="C107:AD107"/>
    <mergeCell ref="AE107:AJ107"/>
    <mergeCell ref="AK107:AN107"/>
    <mergeCell ref="AO107:AV107"/>
    <mergeCell ref="A108:B108"/>
    <mergeCell ref="C108:AD108"/>
    <mergeCell ref="AE108:AJ108"/>
    <mergeCell ref="AK108:AN108"/>
    <mergeCell ref="AO108:AV108"/>
    <mergeCell ref="A109:B109"/>
    <mergeCell ref="C109:AD109"/>
    <mergeCell ref="AE109:AJ109"/>
    <mergeCell ref="AK109:AN109"/>
    <mergeCell ref="AO109:AV109"/>
    <mergeCell ref="A110:B110"/>
    <mergeCell ref="C110:AD110"/>
    <mergeCell ref="AE110:AJ110"/>
    <mergeCell ref="AK110:AN110"/>
    <mergeCell ref="AO110:AV110"/>
    <mergeCell ref="A111:B111"/>
    <mergeCell ref="C111:AD111"/>
    <mergeCell ref="AE111:AJ111"/>
    <mergeCell ref="AK111:AN111"/>
    <mergeCell ref="AO111:AV111"/>
    <mergeCell ref="A112:B112"/>
    <mergeCell ref="C112:AD112"/>
    <mergeCell ref="AE112:AJ112"/>
    <mergeCell ref="AK112:AN112"/>
    <mergeCell ref="AO112:AV112"/>
    <mergeCell ref="A113:B113"/>
    <mergeCell ref="C113:AD113"/>
    <mergeCell ref="AE113:AJ113"/>
    <mergeCell ref="AK113:AN113"/>
    <mergeCell ref="AO113:AV113"/>
    <mergeCell ref="A114:B114"/>
    <mergeCell ref="C114:AD114"/>
    <mergeCell ref="AE114:AJ114"/>
    <mergeCell ref="AK114:AN114"/>
    <mergeCell ref="AO114:AV114"/>
    <mergeCell ref="A115:B115"/>
    <mergeCell ref="C115:AD115"/>
    <mergeCell ref="AE115:AJ115"/>
    <mergeCell ref="AK115:AN115"/>
    <mergeCell ref="AO115:AV115"/>
    <mergeCell ref="A116:B116"/>
    <mergeCell ref="C116:AD116"/>
    <mergeCell ref="AE116:AJ116"/>
    <mergeCell ref="AK116:AN116"/>
    <mergeCell ref="AO116:AV116"/>
    <mergeCell ref="A117:B117"/>
    <mergeCell ref="C117:AD117"/>
    <mergeCell ref="AE117:AJ117"/>
    <mergeCell ref="AK117:AN117"/>
    <mergeCell ref="AO117:AV117"/>
    <mergeCell ref="A118:B118"/>
    <mergeCell ref="C118:AD118"/>
    <mergeCell ref="AE118:AJ118"/>
    <mergeCell ref="AK118:AN118"/>
    <mergeCell ref="AO118:AV118"/>
    <mergeCell ref="A119:B119"/>
    <mergeCell ref="C119:AD119"/>
    <mergeCell ref="AE119:AJ119"/>
    <mergeCell ref="AK119:AN119"/>
    <mergeCell ref="AO119:AV119"/>
    <mergeCell ref="A120:B120"/>
    <mergeCell ref="C120:AD120"/>
    <mergeCell ref="AE120:AJ120"/>
    <mergeCell ref="AK120:AN120"/>
    <mergeCell ref="AO120:AV120"/>
    <mergeCell ref="A121:B121"/>
    <mergeCell ref="C121:AD121"/>
    <mergeCell ref="AE121:AJ121"/>
    <mergeCell ref="AK121:AN121"/>
    <mergeCell ref="AO121:AV121"/>
    <mergeCell ref="A122:B122"/>
    <mergeCell ref="C122:AD122"/>
    <mergeCell ref="AE122:AJ122"/>
    <mergeCell ref="AK122:AN122"/>
    <mergeCell ref="AO122:AV122"/>
    <mergeCell ref="A123:AV123"/>
    <mergeCell ref="AI130:AV130"/>
    <mergeCell ref="A131:B131"/>
    <mergeCell ref="C131:W131"/>
    <mergeCell ref="X131:AC131"/>
    <mergeCell ref="AD131:AH131"/>
    <mergeCell ref="AI131:AN131"/>
    <mergeCell ref="AO131:AV131"/>
    <mergeCell ref="A132:B132"/>
    <mergeCell ref="C132:W132"/>
    <mergeCell ref="X132:AC132"/>
    <mergeCell ref="AD132:AH132"/>
    <mergeCell ref="AJ132:AN132"/>
    <mergeCell ref="AP132:AV132"/>
    <mergeCell ref="A133:B133"/>
    <mergeCell ref="C133:W133"/>
    <mergeCell ref="X133:AC133"/>
    <mergeCell ref="AD133:AH133"/>
    <mergeCell ref="AJ133:AN133"/>
    <mergeCell ref="AP133:AV133"/>
    <mergeCell ref="A134:B134"/>
    <mergeCell ref="C134:W134"/>
    <mergeCell ref="X134:AC134"/>
    <mergeCell ref="AD134:AH134"/>
    <mergeCell ref="AJ134:AN134"/>
    <mergeCell ref="AP134:AV134"/>
    <mergeCell ref="A135:B135"/>
    <mergeCell ref="C135:W135"/>
    <mergeCell ref="X135:AC135"/>
    <mergeCell ref="AD135:AH135"/>
    <mergeCell ref="AJ135:AN135"/>
    <mergeCell ref="AP135:AV135"/>
    <mergeCell ref="A136:B136"/>
    <mergeCell ref="C136:W136"/>
    <mergeCell ref="X136:AC136"/>
    <mergeCell ref="AD136:AH136"/>
    <mergeCell ref="AJ136:AN136"/>
    <mergeCell ref="AP136:AV136"/>
    <mergeCell ref="A137:Q137"/>
    <mergeCell ref="A141:AB141"/>
    <mergeCell ref="AC142:AN142"/>
    <mergeCell ref="AC143:AH143"/>
    <mergeCell ref="AI143:AN143"/>
    <mergeCell ref="A144:B144"/>
    <mergeCell ref="C144:W144"/>
    <mergeCell ref="X144:AB144"/>
    <mergeCell ref="AD144:AH144"/>
    <mergeCell ref="AJ144:AN144"/>
    <mergeCell ref="AP144:AV144"/>
    <mergeCell ref="A145:B145"/>
    <mergeCell ref="C145:W145"/>
    <mergeCell ref="X145:AB145"/>
    <mergeCell ref="AD145:AH145"/>
    <mergeCell ref="AJ145:AN145"/>
    <mergeCell ref="AP145:AV145"/>
    <mergeCell ref="A146:B146"/>
    <mergeCell ref="C146:W146"/>
    <mergeCell ref="X146:AB146"/>
    <mergeCell ref="AD146:AH146"/>
    <mergeCell ref="AJ146:AN146"/>
    <mergeCell ref="AP146:AV146"/>
    <mergeCell ref="A147:B147"/>
    <mergeCell ref="C147:W147"/>
    <mergeCell ref="X147:AB147"/>
    <mergeCell ref="AD147:AH147"/>
    <mergeCell ref="AJ147:AN147"/>
    <mergeCell ref="AP147:AV147"/>
    <mergeCell ref="A148:B148"/>
    <mergeCell ref="C148:W148"/>
    <mergeCell ref="X148:AB148"/>
    <mergeCell ref="AD148:AH148"/>
    <mergeCell ref="AJ148:AN148"/>
    <mergeCell ref="AP148:AV148"/>
    <mergeCell ref="A149:B149"/>
    <mergeCell ref="C149:W149"/>
    <mergeCell ref="X149:AB149"/>
    <mergeCell ref="AD149:AH149"/>
    <mergeCell ref="AJ149:AN149"/>
    <mergeCell ref="AP149:AV149"/>
    <mergeCell ref="A151:AV151"/>
    <mergeCell ref="A154:AO154"/>
    <mergeCell ref="A157:B157"/>
    <mergeCell ref="C157:W157"/>
    <mergeCell ref="X157:AC157"/>
    <mergeCell ref="AE157:AH157"/>
    <mergeCell ref="AJ157:AN157"/>
    <mergeCell ref="AP157:AV157"/>
    <mergeCell ref="A158:B158"/>
    <mergeCell ref="C158:W158"/>
    <mergeCell ref="X158:AC158"/>
    <mergeCell ref="AE158:AH158"/>
    <mergeCell ref="AJ158:AN158"/>
    <mergeCell ref="AP158:AV158"/>
    <mergeCell ref="A159:B159"/>
    <mergeCell ref="C159:W159"/>
    <mergeCell ref="X159:AC159"/>
    <mergeCell ref="AE159:AH159"/>
    <mergeCell ref="AJ159:AN159"/>
    <mergeCell ref="AP159:AV159"/>
    <mergeCell ref="A162:AU162"/>
    <mergeCell ref="A163:B163"/>
    <mergeCell ref="C163:AH163"/>
    <mergeCell ref="AI163:AN163"/>
    <mergeCell ref="AO163:AV163"/>
    <mergeCell ref="A164:B164"/>
    <mergeCell ref="C164:AH164"/>
    <mergeCell ref="AI164:AN164"/>
    <mergeCell ref="AO164:AV164"/>
    <mergeCell ref="A165:B165"/>
    <mergeCell ref="C165:AH165"/>
    <mergeCell ref="AI165:AN165"/>
    <mergeCell ref="AO165:AV165"/>
    <mergeCell ref="A166:B166"/>
    <mergeCell ref="C166:AH166"/>
    <mergeCell ref="AI166:AN166"/>
    <mergeCell ref="AO166:AV166"/>
    <mergeCell ref="A167:B167"/>
    <mergeCell ref="C167:AH167"/>
    <mergeCell ref="AI167:AN167"/>
    <mergeCell ref="AO167:AV167"/>
    <mergeCell ref="A168:B168"/>
    <mergeCell ref="C168:AH168"/>
    <mergeCell ref="AI168:AN168"/>
    <mergeCell ref="AO168:AV168"/>
    <mergeCell ref="A169:B169"/>
    <mergeCell ref="C169:AH169"/>
    <mergeCell ref="AI169:AN169"/>
    <mergeCell ref="AO169:AV169"/>
    <mergeCell ref="A170:B170"/>
    <mergeCell ref="C170:AH170"/>
    <mergeCell ref="AI170:AN170"/>
    <mergeCell ref="AO170:AV170"/>
    <mergeCell ref="A171:B171"/>
    <mergeCell ref="C171:AH171"/>
    <mergeCell ref="AI171:AN171"/>
    <mergeCell ref="AO171:AV171"/>
    <mergeCell ref="A173:AV173"/>
    <mergeCell ref="A189:AV189"/>
    <mergeCell ref="A190:B190"/>
    <mergeCell ref="C190:AA190"/>
    <mergeCell ref="AB190:AH190"/>
    <mergeCell ref="AI190:AN190"/>
    <mergeCell ref="AO190:AV190"/>
    <mergeCell ref="A191:B191"/>
    <mergeCell ref="C191:AA191"/>
    <mergeCell ref="AB191:AH191"/>
    <mergeCell ref="AI191:AN191"/>
    <mergeCell ref="AO191:AV191"/>
    <mergeCell ref="A192:B192"/>
    <mergeCell ref="C192:AA192"/>
    <mergeCell ref="AB192:AH192"/>
    <mergeCell ref="AI192:AN192"/>
    <mergeCell ref="AO192:AV192"/>
    <mergeCell ref="A193:B193"/>
    <mergeCell ref="C193:AA193"/>
    <mergeCell ref="AB193:AH193"/>
    <mergeCell ref="AI193:AN193"/>
    <mergeCell ref="AO193:AV193"/>
    <mergeCell ref="A194:B194"/>
    <mergeCell ref="C194:AA194"/>
    <mergeCell ref="AB194:AH194"/>
    <mergeCell ref="AI194:AN194"/>
    <mergeCell ref="AO194:AV194"/>
    <mergeCell ref="A195:B195"/>
    <mergeCell ref="C195:AA195"/>
    <mergeCell ref="AB195:AH195"/>
    <mergeCell ref="AI195:AN195"/>
    <mergeCell ref="AO195:AV195"/>
    <mergeCell ref="A196:B196"/>
    <mergeCell ref="C196:AA196"/>
    <mergeCell ref="AB196:AH196"/>
    <mergeCell ref="AI196:AN196"/>
    <mergeCell ref="AO196:AV196"/>
    <mergeCell ref="A197:B197"/>
    <mergeCell ref="C197:AA197"/>
    <mergeCell ref="AB197:AH197"/>
    <mergeCell ref="AI197:AN197"/>
    <mergeCell ref="AO197:AV197"/>
    <mergeCell ref="A198:B198"/>
    <mergeCell ref="C198:AA198"/>
    <mergeCell ref="AB198:AH198"/>
    <mergeCell ref="AI198:AN198"/>
    <mergeCell ref="AO198:AV198"/>
    <mergeCell ref="A199:B199"/>
    <mergeCell ref="C199:AA199"/>
    <mergeCell ref="AB199:AH199"/>
    <mergeCell ref="AI199:AN199"/>
    <mergeCell ref="AO199:AV199"/>
    <mergeCell ref="A200:B200"/>
    <mergeCell ref="C200:AA200"/>
    <mergeCell ref="AB200:AH200"/>
    <mergeCell ref="AI200:AN200"/>
    <mergeCell ref="AO200:AV200"/>
    <mergeCell ref="A201:B201"/>
    <mergeCell ref="C201:AA201"/>
    <mergeCell ref="AB201:AH201"/>
    <mergeCell ref="AI201:AN201"/>
    <mergeCell ref="AO201:AV201"/>
    <mergeCell ref="A202:B202"/>
    <mergeCell ref="C202:AA202"/>
    <mergeCell ref="AB202:AH202"/>
    <mergeCell ref="AI202:AN202"/>
    <mergeCell ref="AO202:AV202"/>
    <mergeCell ref="A203:B203"/>
    <mergeCell ref="C203:AA203"/>
    <mergeCell ref="AB203:AH203"/>
    <mergeCell ref="AI203:AN203"/>
    <mergeCell ref="AO203:AV203"/>
    <mergeCell ref="A204:B204"/>
    <mergeCell ref="C204:AA204"/>
    <mergeCell ref="AB204:AH204"/>
    <mergeCell ref="AI204:AN204"/>
    <mergeCell ref="AO204:AV204"/>
    <mergeCell ref="A205:B205"/>
    <mergeCell ref="C205:AA205"/>
    <mergeCell ref="AB205:AH205"/>
    <mergeCell ref="AI205:AN205"/>
    <mergeCell ref="AO205:AV205"/>
    <mergeCell ref="A206:B206"/>
    <mergeCell ref="C206:AA206"/>
    <mergeCell ref="AB206:AH206"/>
    <mergeCell ref="AI206:AN206"/>
    <mergeCell ref="AO206:AV206"/>
    <mergeCell ref="A207:B207"/>
    <mergeCell ref="C207:AA207"/>
    <mergeCell ref="AB207:AH207"/>
    <mergeCell ref="AI207:AN207"/>
    <mergeCell ref="AO207:AV207"/>
    <mergeCell ref="A208:B208"/>
    <mergeCell ref="C208:AA208"/>
    <mergeCell ref="AB208:AH208"/>
    <mergeCell ref="AI208:AN208"/>
    <mergeCell ref="AO208:AV208"/>
    <mergeCell ref="A209:B209"/>
    <mergeCell ref="C209:AA209"/>
    <mergeCell ref="AB209:AH209"/>
    <mergeCell ref="AI209:AN209"/>
    <mergeCell ref="AO209:AV209"/>
    <mergeCell ref="A210:B210"/>
    <mergeCell ref="C210:AA210"/>
    <mergeCell ref="AB210:AH210"/>
    <mergeCell ref="AI210:AN210"/>
    <mergeCell ref="AO210:AV210"/>
    <mergeCell ref="A214:AO214"/>
    <mergeCell ref="A215:B215"/>
    <mergeCell ref="C215:AA215"/>
    <mergeCell ref="AB215:AH215"/>
    <mergeCell ref="AI215:AV215"/>
    <mergeCell ref="A216:B216"/>
    <mergeCell ref="C216:AA216"/>
    <mergeCell ref="AB216:AH216"/>
    <mergeCell ref="AI216:AV216"/>
    <mergeCell ref="A217:B217"/>
    <mergeCell ref="C217:AA217"/>
    <mergeCell ref="AB217:AH217"/>
    <mergeCell ref="AI217:AV217"/>
    <mergeCell ref="AR222:AS222"/>
    <mergeCell ref="W224:AH224"/>
    <mergeCell ref="W225:AH225"/>
    <mergeCell ref="W226:AH226"/>
    <mergeCell ref="W227:AH227"/>
    <mergeCell ref="W243:AI243"/>
    <mergeCell ref="W245:AI245"/>
    <mergeCell ref="E247:M247"/>
    <mergeCell ref="A155:B156"/>
    <mergeCell ref="C155:W156"/>
    <mergeCell ref="X155:AC156"/>
    <mergeCell ref="AD155:AH156"/>
    <mergeCell ref="AI155:AN156"/>
    <mergeCell ref="AO155:AV156"/>
    <mergeCell ref="AO142:AV143"/>
    <mergeCell ref="A142:B143"/>
    <mergeCell ref="C142:W143"/>
    <mergeCell ref="X142:AB143"/>
    <mergeCell ref="A86:B87"/>
    <mergeCell ref="C86:AD87"/>
    <mergeCell ref="AE86:AJ87"/>
    <mergeCell ref="AK86:AN87"/>
    <mergeCell ref="AO86:AV87"/>
    <mergeCell ref="A66:AV67"/>
    <mergeCell ref="A11:AV13"/>
    <mergeCell ref="A38:AP40"/>
  </mergeCells>
  <pageMargins left="0.708661417322835" right="0.708661417322835" top="0.551181102362205" bottom="0.551181102362205" header="0.31496062992126" footer="0.31496062992126"/>
  <pageSetup paperSize="9" scale="84" fitToHeight="0"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4">
    <pageSetUpPr fitToPage="1"/>
  </sheetPr>
  <dimension ref="A1:AW1353"/>
  <sheetViews>
    <sheetView showGridLines="0" topLeftCell="A133" workbookViewId="0">
      <selection activeCell="BE153" sqref="BE153"/>
    </sheetView>
  </sheetViews>
  <sheetFormatPr defaultColWidth="2.14285714285714" defaultRowHeight="12.75"/>
  <cols>
    <col min="1" max="49" width="2.14285714285714" style="572"/>
  </cols>
  <sheetData>
    <row r="1" spans="1:49">
      <c r="A1" s="3445"/>
      <c r="B1" s="3445"/>
      <c r="C1" s="3445"/>
      <c r="D1" s="3445"/>
      <c r="E1" s="3445"/>
      <c r="F1" s="3445"/>
      <c r="G1" s="3445"/>
      <c r="H1" s="3445"/>
      <c r="I1" s="3445"/>
      <c r="J1" s="3445"/>
      <c r="K1" s="3445"/>
      <c r="L1" s="3445"/>
      <c r="M1" s="3445"/>
      <c r="N1" s="3445"/>
      <c r="O1" s="3445"/>
      <c r="P1" s="3445"/>
      <c r="Q1" s="3445"/>
      <c r="R1" s="3445"/>
      <c r="S1" s="3445"/>
      <c r="T1" s="3445"/>
      <c r="U1" s="3445"/>
      <c r="V1" s="3445"/>
      <c r="W1" s="3445"/>
      <c r="X1" s="3445"/>
      <c r="Y1" s="3445"/>
      <c r="Z1" s="3445"/>
      <c r="AA1" s="3445"/>
      <c r="AB1" s="3445"/>
      <c r="AC1" s="3445"/>
      <c r="AD1" s="3445"/>
      <c r="AE1" s="3445"/>
      <c r="AF1" s="3445"/>
      <c r="AG1" s="3445"/>
      <c r="AH1" s="3446"/>
      <c r="AI1" s="3445"/>
      <c r="AJ1" s="3445"/>
      <c r="AK1" s="3445"/>
      <c r="AL1" s="3445"/>
      <c r="AM1" s="3445"/>
      <c r="AN1" s="3445"/>
      <c r="AP1" s="3445"/>
      <c r="AQ1" s="3445"/>
      <c r="AR1" s="3445"/>
      <c r="AS1" s="3445"/>
      <c r="AT1" s="3445"/>
      <c r="AU1" s="3445"/>
      <c r="AV1" s="3447" t="str">
        <f ca="1">"Obrazac USL SPS-D / "&amp;PoslGod</f>
        <v>Obrazac USL SPS-D / 2025</v>
      </c>
      <c r="AW1" s="3445"/>
    </row>
    <row r="2" spans="1:49">
      <c r="G2" s="3448" t="s">
        <v>6054</v>
      </c>
      <c r="H2" s="3448"/>
      <c r="I2" s="3448"/>
      <c r="J2" s="3448"/>
      <c r="K2" s="3448"/>
      <c r="L2" s="3448"/>
      <c r="M2" s="3448"/>
      <c r="N2" s="3448"/>
      <c r="O2" s="3448"/>
      <c r="P2" s="3448"/>
      <c r="Q2" s="3448"/>
      <c r="R2" s="3448"/>
      <c r="S2" s="3448"/>
      <c r="T2" s="3449"/>
      <c r="U2" s="3449"/>
      <c r="V2" s="3449"/>
      <c r="W2" s="3445"/>
      <c r="X2" s="3445"/>
      <c r="Y2" s="3445"/>
      <c r="Z2" s="3445"/>
      <c r="AA2" s="3445"/>
      <c r="AB2" s="3445"/>
      <c r="AC2" s="3445"/>
      <c r="AD2" s="3445"/>
      <c r="AE2" s="3445"/>
      <c r="AF2" s="3445"/>
      <c r="AG2" s="3445"/>
      <c r="AH2" s="3445"/>
      <c r="AI2" s="3445"/>
      <c r="AJ2" s="3445"/>
      <c r="AK2" s="3445"/>
      <c r="AL2" s="3445"/>
      <c r="AM2" s="3445"/>
      <c r="AN2" s="3445"/>
      <c r="AO2" s="3445"/>
      <c r="AP2" s="3445"/>
      <c r="AQ2" s="3445"/>
      <c r="AR2" s="3445"/>
      <c r="AS2" s="3445"/>
      <c r="AT2" s="3445"/>
      <c r="AU2" s="3445"/>
      <c r="AV2" s="3445"/>
      <c r="AW2" s="3445"/>
    </row>
    <row r="3" spans="1:49">
      <c r="G3" s="3448" t="s">
        <v>6055</v>
      </c>
      <c r="H3" s="3448"/>
      <c r="I3" s="3448"/>
      <c r="J3" s="3448"/>
      <c r="K3" s="3448"/>
      <c r="L3" s="3448"/>
      <c r="M3" s="3448"/>
      <c r="N3" s="3448"/>
      <c r="O3" s="3448"/>
      <c r="P3" s="3448"/>
      <c r="Q3" s="3448"/>
      <c r="R3" s="3448"/>
      <c r="S3" s="3448"/>
      <c r="T3" s="3449"/>
      <c r="U3" s="3449"/>
      <c r="V3" s="3449"/>
      <c r="W3" s="3445"/>
      <c r="X3" s="3445"/>
      <c r="Y3" s="3445"/>
      <c r="Z3" s="3445"/>
      <c r="AA3" s="3445"/>
      <c r="AB3" s="3445"/>
      <c r="AC3" s="3445"/>
      <c r="AD3" s="3445"/>
      <c r="AE3" s="3445"/>
      <c r="AF3" s="3445"/>
      <c r="AG3" s="3450"/>
      <c r="AJ3" s="3451" t="s">
        <v>6056</v>
      </c>
      <c r="AK3" s="3452"/>
      <c r="AL3" s="3452"/>
      <c r="AM3" s="3452"/>
      <c r="AN3" s="3452"/>
      <c r="AO3" s="3452"/>
      <c r="AP3" s="3452"/>
      <c r="AQ3" s="3452"/>
      <c r="AR3" s="3452"/>
      <c r="AS3" s="3452"/>
      <c r="AT3" s="3452"/>
      <c r="AU3" s="3452"/>
      <c r="AV3" s="3453"/>
    </row>
    <row r="4" spans="1:49">
      <c r="G4" s="3448" t="s">
        <v>6057</v>
      </c>
      <c r="H4" s="3448"/>
      <c r="I4" s="3448"/>
      <c r="J4" s="3448"/>
      <c r="K4" s="3448"/>
      <c r="L4" s="3448"/>
      <c r="M4" s="3448"/>
      <c r="N4" s="3448"/>
      <c r="O4" s="3448"/>
      <c r="P4" s="3448"/>
      <c r="Q4" s="3448"/>
      <c r="R4" s="3448"/>
      <c r="S4" s="3448"/>
      <c r="T4" s="3449"/>
      <c r="U4" s="3449"/>
      <c r="V4" s="3449"/>
      <c r="W4" s="3445"/>
      <c r="X4" s="3445"/>
      <c r="Y4" s="3445"/>
      <c r="Z4" s="3445"/>
      <c r="AA4" s="3445"/>
      <c r="AB4" s="3445"/>
      <c r="AC4" s="3445"/>
      <c r="AD4" s="3445"/>
      <c r="AE4" s="3445"/>
      <c r="AF4" s="3445"/>
      <c r="AJ4" s="3454" t="s">
        <v>6058</v>
      </c>
      <c r="AK4" s="3455"/>
      <c r="AL4" s="3455"/>
      <c r="AM4" s="3455"/>
      <c r="AN4" s="3455"/>
      <c r="AO4" s="3455"/>
      <c r="AP4" s="3455"/>
      <c r="AQ4" s="3455"/>
      <c r="AR4" s="3455"/>
      <c r="AS4" s="3455"/>
      <c r="AT4" s="3455"/>
      <c r="AU4" s="3455"/>
      <c r="AV4" s="3456"/>
    </row>
    <row r="5" spans="1:49">
      <c r="G5" s="3448" t="s">
        <v>6059</v>
      </c>
      <c r="H5" s="3448"/>
      <c r="I5" s="3448"/>
      <c r="J5" s="3448"/>
      <c r="K5" s="3448"/>
      <c r="L5" s="3448"/>
      <c r="M5" s="3448"/>
      <c r="N5" s="3448"/>
      <c r="O5" s="3448"/>
      <c r="P5" s="3448"/>
      <c r="Q5" s="3448"/>
      <c r="R5" s="3448"/>
      <c r="S5" s="3448"/>
      <c r="T5" s="3449"/>
      <c r="U5" s="3449"/>
      <c r="V5" s="3449"/>
      <c r="W5" s="3445"/>
      <c r="X5" s="3445"/>
      <c r="Y5" s="3445"/>
      <c r="Z5" s="3445"/>
      <c r="AA5" s="3445"/>
      <c r="AB5" s="3445"/>
      <c r="AC5" s="3445"/>
      <c r="AD5" s="3445"/>
      <c r="AE5" s="3445"/>
      <c r="AF5" s="3445"/>
    </row>
    <row r="6" spans="1:49">
      <c r="A6" s="3457"/>
      <c r="B6" s="3457"/>
      <c r="C6" s="3457"/>
      <c r="D6" s="3457"/>
      <c r="E6" s="3457"/>
      <c r="F6" s="3457"/>
      <c r="G6" s="3457"/>
      <c r="H6" s="3457"/>
      <c r="I6" s="3457"/>
      <c r="J6" s="3457"/>
      <c r="K6" s="3457"/>
      <c r="L6" s="3457"/>
      <c r="M6" s="3457"/>
      <c r="N6" s="3457"/>
      <c r="O6" s="3457"/>
      <c r="P6" s="3457"/>
      <c r="Q6" s="3457"/>
      <c r="R6" s="3457"/>
      <c r="S6" s="3457"/>
      <c r="T6" s="3458"/>
      <c r="U6" s="3445"/>
      <c r="V6" s="3445"/>
      <c r="W6" s="3445"/>
      <c r="X6" s="3445"/>
      <c r="Y6" s="3445"/>
      <c r="Z6" s="3445"/>
      <c r="AA6" s="3445"/>
      <c r="AB6" s="3445"/>
      <c r="AC6" s="3445"/>
      <c r="AD6" s="3445"/>
      <c r="AE6" s="3445"/>
      <c r="AF6" s="3445"/>
      <c r="AG6" s="3445"/>
      <c r="AH6" s="3445"/>
      <c r="AI6" s="3445"/>
      <c r="AJ6" s="3445"/>
      <c r="AK6" s="3445"/>
      <c r="AL6" s="3445"/>
      <c r="AM6" s="3445"/>
      <c r="AN6" s="3445"/>
      <c r="AO6" s="3445"/>
      <c r="AP6" s="3445"/>
      <c r="AQ6" s="3445"/>
      <c r="AR6" s="3445"/>
      <c r="AS6" s="3445"/>
      <c r="AT6" s="3445"/>
      <c r="AU6" s="3445"/>
      <c r="AV6" s="3445"/>
      <c r="AW6" s="3445"/>
    </row>
    <row r="7" spans="1:49">
      <c r="A7" s="3459" t="s">
        <v>6060</v>
      </c>
      <c r="B7" s="3459"/>
      <c r="C7" s="3459"/>
      <c r="D7" s="3459"/>
      <c r="E7" s="3459"/>
      <c r="F7" s="3459"/>
      <c r="G7" s="3459"/>
      <c r="H7" s="3459"/>
      <c r="I7" s="3459"/>
      <c r="J7" s="3459"/>
      <c r="K7" s="3459"/>
      <c r="L7" s="3459"/>
      <c r="M7" s="3459"/>
      <c r="N7" s="3459"/>
      <c r="O7" s="3459"/>
      <c r="P7" s="3459"/>
      <c r="Q7" s="3459"/>
      <c r="R7" s="3459"/>
      <c r="S7" s="3459"/>
      <c r="T7" s="3459"/>
      <c r="U7" s="3459"/>
      <c r="V7" s="3459"/>
      <c r="W7" s="3459"/>
      <c r="X7" s="3459"/>
      <c r="Y7" s="3459"/>
      <c r="Z7" s="3459"/>
      <c r="AA7" s="3459"/>
      <c r="AB7" s="3459"/>
      <c r="AC7" s="3459"/>
      <c r="AD7" s="3459"/>
      <c r="AE7" s="3459"/>
      <c r="AF7" s="3459"/>
      <c r="AG7" s="3459"/>
      <c r="AH7" s="3459"/>
      <c r="AI7" s="3459"/>
      <c r="AJ7" s="3459"/>
      <c r="AK7" s="3459"/>
      <c r="AL7" s="3459"/>
      <c r="AM7" s="3459"/>
      <c r="AN7" s="3459"/>
      <c r="AO7" s="3459"/>
      <c r="AP7" s="3459"/>
      <c r="AQ7" s="3459"/>
      <c r="AR7" s="3459"/>
      <c r="AS7" s="3459"/>
      <c r="AT7" s="3459"/>
      <c r="AU7" s="3459"/>
      <c r="AV7" s="3459"/>
      <c r="AW7" s="3446"/>
    </row>
    <row r="8" spans="1:49">
      <c r="A8" s="3459" t="s">
        <v>6352</v>
      </c>
      <c r="B8" s="3459"/>
      <c r="C8" s="3459"/>
      <c r="D8" s="3459"/>
      <c r="E8" s="3459"/>
      <c r="F8" s="3459"/>
      <c r="G8" s="3459"/>
      <c r="H8" s="3459"/>
      <c r="I8" s="3459"/>
      <c r="J8" s="3459"/>
      <c r="K8" s="3459"/>
      <c r="L8" s="3459"/>
      <c r="M8" s="3459"/>
      <c r="N8" s="3459"/>
      <c r="O8" s="3459"/>
      <c r="P8" s="3459"/>
      <c r="Q8" s="3459"/>
      <c r="R8" s="3459"/>
      <c r="S8" s="3459"/>
      <c r="T8" s="3459"/>
      <c r="U8" s="3459"/>
      <c r="V8" s="3459"/>
      <c r="W8" s="3459"/>
      <c r="X8" s="3459"/>
      <c r="Y8" s="3459"/>
      <c r="Z8" s="3459"/>
      <c r="AA8" s="3459"/>
      <c r="AB8" s="3459"/>
      <c r="AC8" s="3459"/>
      <c r="AD8" s="3459"/>
      <c r="AE8" s="3459"/>
      <c r="AF8" s="3459"/>
      <c r="AG8" s="3459"/>
      <c r="AH8" s="3459"/>
      <c r="AI8" s="3459"/>
      <c r="AJ8" s="3459"/>
      <c r="AK8" s="3459"/>
      <c r="AL8" s="3459"/>
      <c r="AM8" s="3459"/>
      <c r="AN8" s="3459"/>
      <c r="AO8" s="3459"/>
      <c r="AP8" s="3459"/>
      <c r="AQ8" s="3459"/>
      <c r="AR8" s="3459"/>
      <c r="AS8" s="3459"/>
      <c r="AT8" s="3459"/>
      <c r="AU8" s="3459"/>
      <c r="AV8" s="3459"/>
      <c r="AW8" s="3460"/>
    </row>
    <row r="9" spans="1:49">
      <c r="A9" s="2302" t="str">
        <f ca="1">"ZA "&amp;PoslGod&amp;". GODINU"</f>
        <v>ZA 2025. GODINU</v>
      </c>
      <c r="B9" s="2302"/>
      <c r="C9" s="2302"/>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c r="AK9" s="2302"/>
      <c r="AL9" s="2302"/>
      <c r="AM9" s="2302"/>
      <c r="AN9" s="2302"/>
      <c r="AO9" s="2302"/>
      <c r="AP9" s="2302"/>
      <c r="AQ9" s="2302"/>
      <c r="AR9" s="2302"/>
      <c r="AS9" s="2302"/>
      <c r="AT9" s="2302"/>
      <c r="AU9" s="2302"/>
      <c r="AV9" s="2302"/>
      <c r="AW9" s="3446"/>
    </row>
    <row r="10" spans="1:49">
      <c r="A10" s="3461"/>
      <c r="B10" s="3461"/>
      <c r="C10" s="3461"/>
      <c r="D10" s="3461"/>
      <c r="E10" s="3461"/>
      <c r="F10" s="3461"/>
      <c r="G10" s="3461"/>
      <c r="H10" s="3461"/>
      <c r="I10" s="3461"/>
      <c r="J10" s="3461"/>
      <c r="K10" s="3461"/>
      <c r="L10" s="3461"/>
      <c r="M10" s="3461"/>
      <c r="N10" s="3461"/>
      <c r="O10" s="3461"/>
      <c r="P10" s="3461"/>
      <c r="Q10" s="3461"/>
      <c r="R10" s="3461"/>
      <c r="S10" s="3461"/>
      <c r="T10" s="3461"/>
      <c r="U10" s="3461"/>
      <c r="V10" s="3461"/>
      <c r="W10" s="3461"/>
      <c r="X10" s="3461"/>
      <c r="Y10" s="3461"/>
      <c r="Z10" s="3461"/>
      <c r="AA10" s="3461"/>
      <c r="AB10" s="3461"/>
      <c r="AC10" s="3461"/>
      <c r="AD10" s="3461"/>
      <c r="AE10" s="3461"/>
      <c r="AF10" s="3461"/>
      <c r="AG10" s="3461"/>
      <c r="AH10" s="3461"/>
      <c r="AI10" s="3461"/>
      <c r="AJ10" s="3461"/>
      <c r="AK10" s="3461"/>
      <c r="AL10" s="3461"/>
      <c r="AM10" s="3461"/>
      <c r="AN10" s="3461"/>
      <c r="AO10" s="3461"/>
      <c r="AP10" s="3461"/>
      <c r="AQ10" s="3461"/>
      <c r="AR10" s="3461"/>
      <c r="AS10" s="3461"/>
      <c r="AT10" s="3461"/>
      <c r="AU10" s="3461"/>
      <c r="AV10" s="3461"/>
      <c r="AW10" s="3446"/>
    </row>
    <row r="11" ht="19.5" customHeight="1" spans="1:49">
      <c r="A11" s="3462" t="s">
        <v>6062</v>
      </c>
      <c r="B11" s="3463"/>
      <c r="C11" s="3463"/>
      <c r="D11" s="3463"/>
      <c r="E11" s="3463"/>
      <c r="F11" s="3463"/>
      <c r="G11" s="3463"/>
      <c r="H11" s="3463"/>
      <c r="I11" s="3463"/>
      <c r="J11" s="3463"/>
      <c r="K11" s="3463"/>
      <c r="L11" s="3463"/>
      <c r="M11" s="3463"/>
      <c r="N11" s="3463"/>
      <c r="O11" s="3463"/>
      <c r="P11" s="3463"/>
      <c r="Q11" s="3463"/>
      <c r="R11" s="3463"/>
      <c r="S11" s="3463"/>
      <c r="T11" s="3463"/>
      <c r="U11" s="3463"/>
      <c r="V11" s="3463"/>
      <c r="W11" s="3463"/>
      <c r="X11" s="3463"/>
      <c r="Y11" s="3463"/>
      <c r="Z11" s="3463"/>
      <c r="AA11" s="3463"/>
      <c r="AB11" s="3463"/>
      <c r="AC11" s="3463"/>
      <c r="AD11" s="3463"/>
      <c r="AE11" s="3463"/>
      <c r="AF11" s="3463"/>
      <c r="AG11" s="3463"/>
      <c r="AH11" s="3463"/>
      <c r="AI11" s="3463"/>
      <c r="AJ11" s="3463"/>
      <c r="AK11" s="3463"/>
      <c r="AL11" s="3463"/>
      <c r="AM11" s="3463"/>
      <c r="AN11" s="3463"/>
      <c r="AO11" s="3463"/>
      <c r="AP11" s="3463"/>
      <c r="AQ11" s="3463"/>
      <c r="AR11" s="3463"/>
      <c r="AS11" s="3463"/>
      <c r="AT11" s="3463"/>
      <c r="AU11" s="3463"/>
      <c r="AV11" s="3464"/>
      <c r="AW11" s="3465"/>
    </row>
    <row r="12" ht="19.5" customHeight="1" spans="1:49">
      <c r="A12" s="3466"/>
      <c r="B12" s="3467"/>
      <c r="C12" s="3467"/>
      <c r="D12" s="3467"/>
      <c r="E12" s="3467"/>
      <c r="F12" s="3467"/>
      <c r="G12" s="3467"/>
      <c r="H12" s="3467"/>
      <c r="I12" s="3467"/>
      <c r="J12" s="3467"/>
      <c r="K12" s="3467"/>
      <c r="L12" s="3467"/>
      <c r="M12" s="3467"/>
      <c r="N12" s="3467"/>
      <c r="O12" s="3467"/>
      <c r="P12" s="3467"/>
      <c r="Q12" s="3467"/>
      <c r="R12" s="3467"/>
      <c r="S12" s="3467"/>
      <c r="T12" s="3467"/>
      <c r="U12" s="3467"/>
      <c r="V12" s="3467"/>
      <c r="W12" s="3467"/>
      <c r="X12" s="3467"/>
      <c r="Y12" s="3467"/>
      <c r="Z12" s="3467"/>
      <c r="AA12" s="3467"/>
      <c r="AB12" s="3467"/>
      <c r="AC12" s="3467"/>
      <c r="AD12" s="3467"/>
      <c r="AE12" s="3467"/>
      <c r="AF12" s="3467"/>
      <c r="AG12" s="3467"/>
      <c r="AH12" s="3467"/>
      <c r="AI12" s="3467"/>
      <c r="AJ12" s="3467"/>
      <c r="AK12" s="3467"/>
      <c r="AL12" s="3467"/>
      <c r="AM12" s="3467"/>
      <c r="AN12" s="3467"/>
      <c r="AO12" s="3467"/>
      <c r="AP12" s="3467"/>
      <c r="AQ12" s="3467"/>
      <c r="AR12" s="3467"/>
      <c r="AS12" s="3467"/>
      <c r="AT12" s="3467"/>
      <c r="AU12" s="3467"/>
      <c r="AV12" s="3468"/>
      <c r="AW12" s="3465"/>
    </row>
    <row r="13" ht="19.5" customHeight="1" spans="1:49">
      <c r="A13" s="3469"/>
      <c r="B13" s="3470"/>
      <c r="C13" s="3470"/>
      <c r="D13" s="3470"/>
      <c r="E13" s="3470"/>
      <c r="F13" s="3470"/>
      <c r="G13" s="3470"/>
      <c r="H13" s="3470"/>
      <c r="I13" s="3470"/>
      <c r="J13" s="3470"/>
      <c r="K13" s="3470"/>
      <c r="L13" s="3470"/>
      <c r="M13" s="3470"/>
      <c r="N13" s="3470"/>
      <c r="O13" s="3470"/>
      <c r="P13" s="3470"/>
      <c r="Q13" s="3470"/>
      <c r="R13" s="3470"/>
      <c r="S13" s="3470"/>
      <c r="T13" s="3470"/>
      <c r="U13" s="3470"/>
      <c r="V13" s="3470"/>
      <c r="W13" s="3470"/>
      <c r="X13" s="3470"/>
      <c r="Y13" s="3470"/>
      <c r="Z13" s="3470"/>
      <c r="AA13" s="3470"/>
      <c r="AB13" s="3470"/>
      <c r="AC13" s="3470"/>
      <c r="AD13" s="3470"/>
      <c r="AE13" s="3470"/>
      <c r="AF13" s="3470"/>
      <c r="AG13" s="3470"/>
      <c r="AH13" s="3470"/>
      <c r="AI13" s="3470"/>
      <c r="AJ13" s="3470"/>
      <c r="AK13" s="3470"/>
      <c r="AL13" s="3470"/>
      <c r="AM13" s="3470"/>
      <c r="AN13" s="3470"/>
      <c r="AO13" s="3470"/>
      <c r="AP13" s="3470"/>
      <c r="AQ13" s="3470"/>
      <c r="AR13" s="3470"/>
      <c r="AS13" s="3470"/>
      <c r="AT13" s="3470"/>
      <c r="AU13" s="3470"/>
      <c r="AV13" s="3471"/>
      <c r="AW13" s="3465"/>
    </row>
    <row r="14" spans="1:49">
      <c r="A14" s="3472"/>
      <c r="B14" s="3472"/>
      <c r="C14" s="3472"/>
      <c r="D14" s="3472"/>
      <c r="E14" s="3472"/>
      <c r="F14" s="3473"/>
      <c r="G14" s="3473"/>
      <c r="H14" s="3473"/>
      <c r="I14" s="3473"/>
      <c r="J14" s="3473"/>
      <c r="K14" s="3473"/>
      <c r="L14" s="3473"/>
      <c r="M14" s="3473"/>
      <c r="N14" s="3473"/>
      <c r="O14" s="3473"/>
      <c r="P14" s="3473"/>
      <c r="Q14" s="3473"/>
      <c r="R14" s="3473"/>
      <c r="S14" s="3473"/>
      <c r="T14" s="3473"/>
      <c r="U14" s="3473"/>
      <c r="V14" s="3473"/>
      <c r="W14" s="3473"/>
      <c r="X14" s="3473"/>
      <c r="Y14" s="3473"/>
      <c r="Z14" s="3473"/>
      <c r="AA14" s="3473"/>
      <c r="AB14" s="3473"/>
      <c r="AC14" s="3473"/>
      <c r="AD14" s="3473"/>
      <c r="AE14" s="3473"/>
      <c r="AF14" s="3473"/>
      <c r="AG14" s="3473"/>
      <c r="AH14" s="3473"/>
      <c r="AI14" s="3473"/>
      <c r="AJ14" s="3473"/>
      <c r="AK14" s="3473"/>
      <c r="AL14" s="3473"/>
      <c r="AM14" s="3473"/>
      <c r="AN14" s="3473"/>
      <c r="AO14" s="3473"/>
      <c r="AP14" s="3473"/>
      <c r="AQ14" s="3473"/>
      <c r="AR14" s="3473"/>
      <c r="AS14" s="3472"/>
      <c r="AT14" s="3472"/>
      <c r="AU14" s="3472"/>
      <c r="AV14" s="3472"/>
      <c r="AW14" s="3465"/>
    </row>
    <row r="15" spans="1:49">
      <c r="A15" s="3474"/>
      <c r="B15" s="3475"/>
      <c r="C15" s="3475"/>
      <c r="D15" s="3475"/>
      <c r="E15" s="3475"/>
      <c r="F15" s="3475"/>
      <c r="G15" s="3475"/>
      <c r="H15" s="3475"/>
      <c r="I15" s="3475"/>
      <c r="J15" s="3475"/>
      <c r="K15" s="3475"/>
      <c r="L15" s="3475"/>
      <c r="M15" s="3475"/>
      <c r="N15" s="3475"/>
      <c r="O15" s="3475"/>
      <c r="P15" s="3475"/>
      <c r="Q15" s="3475"/>
      <c r="R15" s="3475"/>
      <c r="S15" s="3475"/>
      <c r="T15" s="3475"/>
      <c r="U15" s="3475"/>
      <c r="V15" s="3475"/>
      <c r="W15" s="3475"/>
      <c r="X15" s="3475"/>
      <c r="Y15" s="3475"/>
      <c r="Z15" s="3475"/>
      <c r="AA15" s="3475"/>
      <c r="AB15" s="3475"/>
      <c r="AC15" s="3475"/>
      <c r="AD15" s="3475"/>
      <c r="AE15" s="3475"/>
      <c r="AF15" s="3475"/>
      <c r="AG15" s="3475"/>
      <c r="AH15" s="3475"/>
      <c r="AI15" s="3475"/>
      <c r="AJ15" s="3475"/>
      <c r="AK15" s="3475"/>
      <c r="AL15" s="3475"/>
      <c r="AM15" s="3475"/>
      <c r="AN15" s="3475"/>
      <c r="AO15" s="3475"/>
      <c r="AP15" s="3475"/>
      <c r="AQ15" s="3475"/>
      <c r="AR15" s="3475"/>
      <c r="AS15" s="3475"/>
      <c r="AT15" s="3475"/>
      <c r="AU15" s="3475"/>
      <c r="AV15" s="3475"/>
      <c r="AW15" s="3446"/>
    </row>
    <row r="16" ht="15" spans="1:49">
      <c r="A16" s="3476"/>
      <c r="B16" s="3476"/>
      <c r="C16" s="3476"/>
      <c r="D16" s="3476"/>
      <c r="E16" s="3476"/>
      <c r="F16" s="3476"/>
      <c r="G16" s="3476"/>
      <c r="H16" s="3476"/>
      <c r="I16" s="3476"/>
      <c r="J16" s="3476"/>
      <c r="K16" s="3476"/>
      <c r="L16" s="3476"/>
      <c r="M16" s="3476"/>
      <c r="N16" s="3476"/>
      <c r="O16" s="3476"/>
      <c r="P16" s="3476"/>
      <c r="Q16" s="3476"/>
      <c r="R16" s="3476"/>
      <c r="S16" s="3476"/>
      <c r="T16" s="3476"/>
      <c r="U16" s="3476"/>
      <c r="V16" s="3476"/>
      <c r="W16" s="3476"/>
      <c r="X16" s="3476"/>
      <c r="Y16" s="3476"/>
      <c r="Z16" s="3476"/>
      <c r="AA16" s="3476"/>
      <c r="AB16" s="3476"/>
      <c r="AC16" s="3476"/>
      <c r="AD16" s="3476"/>
      <c r="AE16" s="3476"/>
      <c r="AF16" s="3476"/>
      <c r="AG16" s="3476"/>
      <c r="AH16" s="3476"/>
      <c r="AI16" s="3476"/>
      <c r="AJ16" s="3476"/>
      <c r="AK16" s="3476"/>
      <c r="AL16" s="3476"/>
      <c r="AM16" s="3476"/>
      <c r="AN16" s="3476"/>
      <c r="AO16" s="3476"/>
      <c r="AP16" s="3476"/>
      <c r="AQ16" s="3476"/>
      <c r="AR16" s="3476"/>
      <c r="AS16" s="3476"/>
      <c r="AT16" s="3476"/>
      <c r="AU16" s="3476"/>
      <c r="AV16" s="3476"/>
      <c r="AW16" s="3477"/>
    </row>
    <row r="17" ht="15" spans="1:49">
      <c r="A17" s="3476"/>
      <c r="B17" s="3476"/>
      <c r="C17" s="3476"/>
      <c r="D17" s="3476"/>
      <c r="E17" s="3476"/>
      <c r="F17" s="3476"/>
      <c r="G17" s="3476"/>
      <c r="H17" s="3476"/>
      <c r="I17" s="3476"/>
      <c r="J17" s="3476"/>
      <c r="K17" s="3476"/>
      <c r="L17" s="3476"/>
      <c r="M17" s="3476"/>
      <c r="N17" s="3476"/>
      <c r="O17" s="3476"/>
      <c r="P17" s="3476"/>
      <c r="Q17" s="3476"/>
      <c r="R17" s="3476"/>
      <c r="S17" s="3476"/>
      <c r="T17" s="3476"/>
      <c r="U17" s="3476"/>
      <c r="V17" s="3476"/>
      <c r="W17" s="3476"/>
      <c r="X17" s="3476"/>
      <c r="Y17" s="3476"/>
      <c r="Z17" s="3476"/>
      <c r="AA17" s="3476"/>
      <c r="AB17" s="3476"/>
      <c r="AC17" s="3476"/>
      <c r="AD17" s="3476"/>
      <c r="AE17" s="3476"/>
      <c r="AF17" s="3476"/>
      <c r="AG17" s="3476"/>
      <c r="AH17" s="3476"/>
      <c r="AI17" s="3476"/>
      <c r="AJ17" s="3476"/>
      <c r="AK17" s="3476"/>
      <c r="AL17" s="3476"/>
      <c r="AM17" s="3476"/>
      <c r="AN17" s="3476"/>
      <c r="AO17" s="3476"/>
      <c r="AP17" s="3476"/>
      <c r="AQ17" s="3476"/>
      <c r="AR17" s="3476"/>
      <c r="AS17" s="3476"/>
      <c r="AT17" s="3476"/>
      <c r="AU17" s="3476"/>
      <c r="AV17" s="3476"/>
      <c r="AW17" s="3477"/>
    </row>
    <row r="18" ht="15.75" spans="1:49">
      <c r="A18" s="3460" t="s">
        <v>6063</v>
      </c>
      <c r="K18" s="3460"/>
      <c r="L18" s="3478"/>
      <c r="M18" s="3479" t="str">
        <f>Firma</f>
        <v>LILIUM ASSET MANAGEMENT d.o.o. Sarajevo</v>
      </c>
      <c r="N18" s="3478"/>
      <c r="O18" s="3478"/>
      <c r="P18" s="3478"/>
      <c r="Q18" s="3478"/>
      <c r="R18" s="3478"/>
      <c r="S18" s="3478"/>
      <c r="T18" s="3478"/>
      <c r="U18" s="3478"/>
      <c r="V18" s="3478"/>
      <c r="W18" s="3478"/>
      <c r="X18" s="3480"/>
      <c r="Y18" s="3480"/>
      <c r="Z18" s="3480"/>
      <c r="AA18" s="3480"/>
      <c r="AB18" s="3480"/>
      <c r="AC18" s="3480"/>
      <c r="AD18" s="3480"/>
      <c r="AE18" s="3480"/>
      <c r="AF18" s="3480"/>
      <c r="AG18" s="3480"/>
      <c r="AH18" s="3480"/>
      <c r="AI18" s="3480"/>
      <c r="AJ18" s="3480"/>
      <c r="AK18" s="3480"/>
      <c r="AL18" s="2211"/>
      <c r="AM18" s="2211"/>
      <c r="AN18" s="2211"/>
      <c r="AO18" s="3480"/>
      <c r="AP18" s="3480"/>
      <c r="AQ18" s="3480"/>
      <c r="AR18" s="3480"/>
      <c r="AS18" s="3480"/>
      <c r="AT18" s="3480"/>
      <c r="AU18" s="3480"/>
      <c r="AV18" s="3445"/>
    </row>
    <row r="19" spans="1:49">
      <c r="A19" s="3460"/>
      <c r="K19" s="3460"/>
      <c r="L19" s="3460"/>
      <c r="M19" s="3481"/>
      <c r="N19" s="3481"/>
      <c r="O19" s="3481"/>
      <c r="P19" s="3481"/>
      <c r="Q19" s="3481"/>
      <c r="R19" s="3481"/>
      <c r="S19" s="3481"/>
      <c r="T19" s="3481"/>
      <c r="U19" s="3481"/>
      <c r="V19" s="3481"/>
      <c r="W19" s="3481"/>
      <c r="X19" s="3482"/>
      <c r="Y19" s="3482"/>
      <c r="Z19" s="3482"/>
      <c r="AA19" s="3482"/>
      <c r="AB19" s="3482"/>
      <c r="AC19" s="3482"/>
      <c r="AD19" s="3482"/>
      <c r="AE19" s="3482"/>
      <c r="AF19" s="3482"/>
      <c r="AG19" s="3482"/>
      <c r="AH19" s="3482"/>
      <c r="AI19" s="3482"/>
      <c r="AJ19" s="3445"/>
      <c r="AK19" s="3445"/>
      <c r="AO19" s="3445"/>
      <c r="AP19" s="3445"/>
      <c r="AQ19" s="3445"/>
      <c r="AR19" s="3445"/>
      <c r="AS19" s="3445"/>
      <c r="AT19" s="3445"/>
      <c r="AU19" s="3445"/>
    </row>
    <row r="20" spans="1:49">
      <c r="A20" s="3460"/>
      <c r="B20" s="3478"/>
      <c r="C20" s="3478"/>
      <c r="D20" s="3478"/>
      <c r="E20" s="3478"/>
      <c r="F20" s="3478"/>
      <c r="G20" s="3478"/>
      <c r="H20" s="3478"/>
      <c r="I20" s="3478"/>
      <c r="J20" s="3478"/>
      <c r="K20" s="3478"/>
      <c r="L20" s="3478"/>
      <c r="M20" s="3478"/>
      <c r="N20" s="3478"/>
      <c r="O20" s="3478"/>
      <c r="P20" s="3478"/>
      <c r="Q20" s="3478"/>
      <c r="R20" s="3478"/>
      <c r="S20" s="3478"/>
      <c r="T20" s="3478"/>
      <c r="U20" s="3478"/>
      <c r="V20" s="3478"/>
      <c r="W20" s="3478"/>
      <c r="X20" s="3480"/>
      <c r="Y20" s="3480"/>
      <c r="Z20" s="3480"/>
      <c r="AA20" s="3480"/>
      <c r="AB20" s="3480"/>
      <c r="AC20" s="3480"/>
      <c r="AD20" s="3480"/>
      <c r="AE20" s="3480"/>
      <c r="AF20" s="3480"/>
      <c r="AG20" s="3480"/>
      <c r="AH20" s="3480"/>
      <c r="AI20" s="3480"/>
      <c r="AJ20" s="3480"/>
      <c r="AK20" s="3480"/>
      <c r="AL20" s="2211"/>
      <c r="AM20" s="2211"/>
      <c r="AN20" s="2211"/>
      <c r="AO20" s="3480"/>
      <c r="AP20" s="3480"/>
      <c r="AQ20" s="3480"/>
      <c r="AR20" s="3480"/>
      <c r="AS20" s="3480"/>
      <c r="AT20" s="3480"/>
      <c r="AU20" s="3480"/>
    </row>
    <row r="21" spans="1:49">
      <c r="A21" s="3460"/>
      <c r="B21" s="3460"/>
      <c r="C21" s="3460"/>
      <c r="D21" s="3460"/>
      <c r="E21" s="3460"/>
      <c r="F21" s="3460"/>
      <c r="G21" s="3460"/>
      <c r="H21" s="3460"/>
      <c r="I21" s="3460"/>
      <c r="J21" s="3460"/>
      <c r="K21" s="3460"/>
      <c r="L21" s="3460"/>
      <c r="M21" s="3460"/>
      <c r="N21" s="3460"/>
      <c r="O21" s="3460"/>
      <c r="P21" s="3460"/>
      <c r="Q21" s="3460"/>
      <c r="R21" s="3460"/>
      <c r="S21" s="3460"/>
      <c r="T21" s="3460"/>
      <c r="U21" s="3460"/>
      <c r="V21" s="3460"/>
      <c r="W21" s="3460"/>
      <c r="X21" s="3445"/>
      <c r="Y21" s="3445"/>
      <c r="Z21" s="3445"/>
      <c r="AA21" s="3445"/>
      <c r="AB21" s="3445"/>
      <c r="AC21" s="3445"/>
      <c r="AD21" s="3445"/>
      <c r="AE21" s="3445"/>
      <c r="AF21" s="3445"/>
      <c r="AG21" s="3445"/>
      <c r="AH21" s="3445"/>
      <c r="AI21" s="3445"/>
      <c r="AJ21" s="3445"/>
      <c r="AK21" s="3445"/>
      <c r="AO21" s="3445"/>
      <c r="AP21" s="3445"/>
      <c r="AQ21" s="3445"/>
      <c r="AR21" s="3445"/>
      <c r="AS21" s="3445"/>
      <c r="AT21" s="3445"/>
      <c r="AU21" s="3445"/>
    </row>
    <row r="22" spans="1:49">
      <c r="A22" s="3460"/>
      <c r="B22" s="3460"/>
      <c r="C22" s="3460"/>
      <c r="D22" s="3460"/>
      <c r="E22" s="3460"/>
      <c r="F22" s="3460"/>
      <c r="G22" s="3460"/>
      <c r="H22" s="3460"/>
      <c r="I22" s="3460"/>
      <c r="J22" s="3460"/>
      <c r="K22" s="3460"/>
      <c r="L22" s="3460"/>
      <c r="M22" s="3460"/>
      <c r="N22" s="3460"/>
      <c r="O22" s="3460"/>
      <c r="P22" s="3460"/>
      <c r="Q22" s="3460"/>
      <c r="R22" s="3460"/>
      <c r="S22" s="3460"/>
      <c r="T22" s="3460"/>
      <c r="U22" s="3460"/>
      <c r="V22" s="3460"/>
      <c r="W22" s="3460"/>
      <c r="X22" s="3445"/>
      <c r="Y22" s="3445"/>
      <c r="Z22" s="3445"/>
      <c r="AA22" s="3445"/>
      <c r="AB22" s="3445"/>
      <c r="AC22" s="3445"/>
      <c r="AD22" s="3445"/>
      <c r="AE22" s="3445"/>
      <c r="AF22" s="3445"/>
      <c r="AG22" s="3445"/>
      <c r="AH22" s="3445"/>
      <c r="AI22" s="3445"/>
      <c r="AJ22" s="3445"/>
      <c r="AK22" s="3445"/>
      <c r="AO22" s="3445"/>
      <c r="AP22" s="3445"/>
      <c r="AQ22" s="3445"/>
      <c r="AS22" s="3483"/>
      <c r="AT22" s="3483"/>
      <c r="AU22" s="3483"/>
    </row>
    <row r="23" ht="15" spans="1:49">
      <c r="A23" s="3460" t="s">
        <v>6064</v>
      </c>
      <c r="B23" s="3460"/>
      <c r="C23" s="3460"/>
      <c r="D23" s="3460"/>
      <c r="E23" s="3460"/>
      <c r="F23" s="3460"/>
      <c r="G23" s="3460"/>
      <c r="H23" s="3460"/>
      <c r="I23" s="3460"/>
      <c r="J23" s="3460"/>
      <c r="K23" s="3460"/>
      <c r="L23" s="3460"/>
      <c r="M23" s="3460"/>
      <c r="N23" s="3460"/>
      <c r="O23" s="3460"/>
      <c r="P23" s="3460"/>
      <c r="Q23" s="3460"/>
      <c r="R23" s="3460"/>
      <c r="S23" s="3460"/>
      <c r="T23"/>
      <c r="U23"/>
      <c r="V23"/>
      <c r="W23"/>
      <c r="X23"/>
      <c r="Y23"/>
      <c r="Z23"/>
      <c r="AA23"/>
      <c r="AB23"/>
      <c r="AC23"/>
      <c r="AD23"/>
      <c r="AE23"/>
      <c r="AF23"/>
      <c r="AG23"/>
      <c r="AH23" s="3484">
        <f>UnosPod!AA8</f>
        <v>4</v>
      </c>
      <c r="AI23" s="3484">
        <f>UnosPod!AB8</f>
        <v>2</v>
      </c>
      <c r="AJ23" s="3484">
        <f>UnosPod!AC8</f>
        <v>0</v>
      </c>
      <c r="AK23" s="3484">
        <f>UnosPod!AD8</f>
        <v>1</v>
      </c>
      <c r="AL23" s="3484">
        <f>UnosPod!AE8</f>
        <v>3</v>
      </c>
      <c r="AM23" s="3484">
        <f>UnosPod!AF8</f>
        <v>3</v>
      </c>
      <c r="AN23" s="3484">
        <f>UnosPod!AG8</f>
        <v>7</v>
      </c>
      <c r="AO23" s="3484">
        <f>UnosPod!AH8</f>
        <v>6</v>
      </c>
      <c r="AP23" s="3484">
        <f>UnosPod!AI8</f>
        <v>7</v>
      </c>
      <c r="AQ23" s="3484">
        <f>UnosPod!AJ8</f>
        <v>0</v>
      </c>
      <c r="AR23" s="3484">
        <f>UnosPod!AK8</f>
        <v>0</v>
      </c>
      <c r="AS23" s="3484">
        <f>UnosPod!AL8</f>
        <v>0</v>
      </c>
      <c r="AT23" s="3484">
        <f>UnosPod!AM8</f>
        <v>9</v>
      </c>
    </row>
    <row r="24" spans="1:49">
      <c r="A24" s="3460"/>
      <c r="B24" s="3460"/>
      <c r="C24" s="3460"/>
      <c r="D24" s="3460"/>
      <c r="E24" s="3460"/>
      <c r="F24" s="3460"/>
      <c r="G24" s="3460"/>
      <c r="H24" s="3460"/>
      <c r="I24" s="3460"/>
      <c r="J24" s="3460"/>
      <c r="K24" s="3460"/>
      <c r="L24" s="3460"/>
      <c r="M24" s="3460"/>
      <c r="N24" s="3460"/>
      <c r="O24" s="3460"/>
      <c r="P24" s="3460"/>
      <c r="Q24" s="3460"/>
      <c r="R24" s="3460"/>
      <c r="S24" s="3460"/>
      <c r="T24"/>
      <c r="U24"/>
      <c r="V24"/>
      <c r="W24"/>
      <c r="X24"/>
      <c r="Y24"/>
      <c r="Z24"/>
      <c r="AA24"/>
      <c r="AB24"/>
      <c r="AC24"/>
      <c r="AD24"/>
      <c r="AE24"/>
      <c r="AF24"/>
      <c r="AG24"/>
      <c r="AH24"/>
      <c r="AO24" s="3445"/>
      <c r="AP24" s="3445"/>
      <c r="AQ24" s="3445"/>
      <c r="AR24" s="3445"/>
      <c r="AS24" s="3445"/>
      <c r="AT24" s="3445"/>
      <c r="AU24" s="3445"/>
    </row>
    <row r="25" spans="1:49">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c r="A26" s="3460"/>
      <c r="B26" s="3460"/>
      <c r="C26" s="3460"/>
      <c r="D26" s="3460"/>
      <c r="E26" s="3460"/>
      <c r="F26" s="3460"/>
      <c r="G26" s="3460"/>
      <c r="H26" s="3460"/>
      <c r="I26" s="3460"/>
      <c r="J26" s="3460"/>
      <c r="K26" s="3460"/>
      <c r="L26" s="3460"/>
      <c r="M26" s="3460"/>
      <c r="N26" s="3460"/>
      <c r="O26" s="3460"/>
      <c r="P26" s="3460"/>
      <c r="Q26" s="3460"/>
      <c r="R26" s="3460"/>
      <c r="S26" s="3460"/>
      <c r="T26" s="3460"/>
      <c r="U26" s="3460"/>
      <c r="V26" s="3460"/>
      <c r="W26" s="3460"/>
      <c r="X26" s="3460"/>
      <c r="Y26" s="3460"/>
      <c r="Z26" s="3460"/>
      <c r="AA26" s="3460"/>
      <c r="AJ26" s="3485"/>
      <c r="AK26" s="3485"/>
      <c r="AO26" s="3445"/>
      <c r="AP26" s="3445"/>
      <c r="AQ26" s="3445"/>
      <c r="AR26" s="3445"/>
      <c r="AS26" s="3445"/>
      <c r="AT26" s="3445"/>
      <c r="AU26" s="3445"/>
    </row>
    <row r="27" ht="15" spans="1:49">
      <c r="A27" s="3460" t="s">
        <v>6065</v>
      </c>
      <c r="E27" s="2211"/>
      <c r="F27" s="2211"/>
      <c r="G27" s="3486" t="str">
        <f>UnosPod!F11</f>
        <v>Sarajevo</v>
      </c>
      <c r="H27" s="3487"/>
      <c r="I27" s="3487"/>
      <c r="J27" s="3478"/>
      <c r="K27" s="3478"/>
      <c r="L27" s="3478"/>
      <c r="M27" s="3478"/>
      <c r="N27" s="3478"/>
      <c r="O27" s="3478"/>
      <c r="P27" s="3478"/>
      <c r="Q27" s="3478"/>
      <c r="R27" s="3478"/>
      <c r="S27" s="3478"/>
      <c r="T27" s="3460"/>
      <c r="U27" s="3460"/>
      <c r="V27" s="3460"/>
      <c r="AH27" s="3460" t="s">
        <v>6066</v>
      </c>
      <c r="AI27" s="3445"/>
      <c r="AJ27" s="3445"/>
      <c r="AK27" s="3445"/>
      <c r="AL27" s="3486" t="str">
        <f>UnosPod!AT11</f>
        <v>Sarajevo-Stari Grad</v>
      </c>
      <c r="AM27" s="3487"/>
      <c r="AN27" s="2211"/>
      <c r="AO27" s="2211"/>
      <c r="AP27" s="2211"/>
      <c r="AQ27" s="2211"/>
      <c r="AR27" s="2211"/>
      <c r="AS27" s="2211"/>
      <c r="AT27" s="2211"/>
      <c r="AU27" s="3445"/>
    </row>
    <row r="28" ht="15" spans="1:49">
      <c r="A28" s="3460"/>
      <c r="B28" s="3460"/>
      <c r="C28" s="3460"/>
      <c r="D28" s="3460"/>
      <c r="E28" s="3460"/>
      <c r="F28" s="3460"/>
      <c r="G28" s="491"/>
      <c r="H28" s="491"/>
      <c r="I28" s="491"/>
      <c r="J28" s="3460"/>
      <c r="K28" s="3460"/>
      <c r="L28" s="3460"/>
      <c r="M28" s="3460"/>
      <c r="N28" s="3460"/>
      <c r="O28" s="3460"/>
      <c r="P28" s="3460"/>
      <c r="Q28" s="3460"/>
      <c r="R28" s="3460"/>
      <c r="S28" s="3460"/>
      <c r="T28" s="3460"/>
      <c r="U28" s="3460"/>
      <c r="V28" s="3460"/>
      <c r="W28" s="3460"/>
      <c r="X28" s="3445"/>
      <c r="Y28" s="3445"/>
      <c r="Z28" s="3445"/>
      <c r="AA28" s="3445"/>
      <c r="AB28" s="3445"/>
      <c r="AC28" s="3445"/>
      <c r="AD28" s="3445"/>
      <c r="AJ28" s="3445"/>
      <c r="AK28" s="3445"/>
      <c r="AL28" s="491"/>
      <c r="AM28" s="491"/>
      <c r="AO28" s="3445"/>
      <c r="AP28" s="3445"/>
      <c r="AQ28" s="3445"/>
      <c r="AR28" s="3445"/>
      <c r="AS28" s="3445"/>
      <c r="AT28" s="3445"/>
      <c r="AU28" s="3445"/>
    </row>
    <row r="29" ht="15" spans="1:49">
      <c r="A29" s="3460"/>
      <c r="B29" s="3460"/>
      <c r="C29" s="3460"/>
      <c r="D29" s="3460"/>
      <c r="E29" s="3460"/>
      <c r="F29" s="3460"/>
      <c r="G29" s="491"/>
      <c r="H29" s="491"/>
      <c r="I29" s="491"/>
      <c r="J29" s="3460"/>
      <c r="K29" s="3460"/>
      <c r="L29" s="3460"/>
      <c r="M29" s="3460"/>
      <c r="N29" s="3460"/>
      <c r="O29" s="3460"/>
      <c r="P29" s="3460"/>
      <c r="Q29" s="3460"/>
      <c r="R29" s="3460"/>
      <c r="S29" s="3460"/>
      <c r="T29" s="3460"/>
      <c r="U29" s="3460"/>
      <c r="V29" s="3460"/>
      <c r="W29" s="3460"/>
      <c r="X29" s="3445"/>
      <c r="Y29" s="3445"/>
      <c r="Z29" s="3445"/>
      <c r="AA29" s="3445"/>
      <c r="AB29" s="3445"/>
      <c r="AC29" s="3445"/>
      <c r="AD29" s="3445"/>
      <c r="AE29" s="3488"/>
      <c r="AF29" s="3445"/>
      <c r="AG29" s="3445"/>
      <c r="AH29" s="3445"/>
      <c r="AI29" s="3460"/>
      <c r="AJ29" s="3445"/>
      <c r="AK29" s="3445"/>
      <c r="AL29" s="491"/>
      <c r="AM29" s="491"/>
      <c r="AO29" s="3445"/>
      <c r="AP29" s="3445"/>
      <c r="AQ29" s="3445"/>
      <c r="AR29" s="3445"/>
      <c r="AS29" s="3445"/>
      <c r="AT29" s="3445"/>
      <c r="AU29" s="3445"/>
    </row>
    <row r="30" ht="15" spans="1:49">
      <c r="A30" s="3460" t="s">
        <v>6067</v>
      </c>
      <c r="F30" s="2211"/>
      <c r="G30" s="3486" t="str">
        <f>Adresa</f>
        <v>Dženetića čikma br.8</v>
      </c>
      <c r="H30" s="3487"/>
      <c r="I30" s="3487"/>
      <c r="J30" s="3478"/>
      <c r="K30" s="3478"/>
      <c r="L30" s="3478"/>
      <c r="M30" s="3478"/>
      <c r="N30" s="3478"/>
      <c r="O30" s="3478"/>
      <c r="P30" s="3478"/>
      <c r="Q30" s="3478"/>
      <c r="R30" s="3478"/>
      <c r="S30" s="3478"/>
      <c r="T30" s="3460"/>
      <c r="U30" s="3460"/>
      <c r="V30" s="3460"/>
      <c r="AH30" s="3460" t="s">
        <v>6068</v>
      </c>
      <c r="AI30" s="3445"/>
      <c r="AJ30" s="3445"/>
      <c r="AK30" s="3445"/>
      <c r="AL30" s="3486" t="str">
        <f>UnosPod!F15</f>
        <v>033/953-480</v>
      </c>
      <c r="AM30" s="3487"/>
      <c r="AN30" s="2211"/>
      <c r="AO30" s="2211"/>
      <c r="AP30" s="2211"/>
      <c r="AQ30" s="2211"/>
      <c r="AR30" s="2211"/>
      <c r="AS30" s="2211"/>
      <c r="AT30" s="2211"/>
      <c r="AU30" s="3483"/>
    </row>
    <row r="31" spans="1:49">
      <c r="AO31" s="3445"/>
      <c r="AP31" s="3445"/>
      <c r="AQ31" s="3445"/>
      <c r="AS31" s="3483"/>
      <c r="AT31" s="3483"/>
      <c r="AU31" s="3483"/>
    </row>
    <row r="32" spans="1:49">
      <c r="A32" s="3460"/>
      <c r="B32" s="3460"/>
      <c r="C32" s="3460"/>
      <c r="D32" s="3460"/>
      <c r="E32" s="3460"/>
      <c r="F32" s="3460"/>
      <c r="G32" s="3460"/>
      <c r="H32" s="3460"/>
      <c r="I32" s="3460"/>
      <c r="J32" s="3460"/>
      <c r="K32" s="3460"/>
      <c r="L32" s="3460"/>
      <c r="M32" s="3460"/>
      <c r="N32" s="3460"/>
      <c r="O32" s="3460"/>
      <c r="P32" s="3460"/>
      <c r="Q32" s="3460"/>
      <c r="R32" s="3460"/>
      <c r="S32" s="3460"/>
      <c r="T32" s="3460"/>
      <c r="U32" s="3460"/>
      <c r="V32" s="3460"/>
      <c r="W32" s="3460"/>
      <c r="X32" s="3445"/>
      <c r="Y32" s="3445"/>
      <c r="Z32" s="3445"/>
      <c r="AA32" s="3445"/>
      <c r="AB32" s="3445"/>
      <c r="AC32" s="3445"/>
      <c r="AD32" s="3445"/>
      <c r="AE32" s="3460"/>
      <c r="AF32" s="3460"/>
      <c r="AG32" s="3460"/>
      <c r="AH32" s="3460"/>
      <c r="AI32" s="3460"/>
      <c r="AJ32" s="3445"/>
      <c r="AK32" s="3445"/>
      <c r="AL32" s="3485"/>
      <c r="AM32" s="3445"/>
      <c r="AN32" s="3445"/>
      <c r="AO32" s="3445"/>
      <c r="AP32" s="3445"/>
      <c r="AQ32" s="3445"/>
      <c r="AS32" s="3483"/>
      <c r="AT32" s="3483"/>
      <c r="AU32" s="3483"/>
    </row>
    <row r="33" spans="1:49">
      <c r="A33" s="3460"/>
      <c r="B33" s="3460"/>
      <c r="C33" s="3460"/>
      <c r="D33" s="3460"/>
      <c r="E33" s="3460"/>
      <c r="F33" s="3460"/>
      <c r="G33" s="3460"/>
      <c r="H33" s="3460"/>
      <c r="I33" s="3460"/>
      <c r="J33" s="3460"/>
      <c r="K33" s="3460"/>
      <c r="L33" s="3460"/>
      <c r="M33" s="3460"/>
      <c r="N33" s="3460"/>
      <c r="O33" s="3460"/>
      <c r="P33" s="3460"/>
      <c r="Q33" s="3460"/>
      <c r="R33" s="3460"/>
      <c r="S33" s="3460"/>
      <c r="T33" s="3460"/>
      <c r="U33" s="3460"/>
      <c r="V33" s="3460"/>
      <c r="W33" s="3460"/>
      <c r="X33" s="3445"/>
      <c r="Y33" s="3445"/>
      <c r="Z33" s="3445"/>
      <c r="AA33" s="3445"/>
      <c r="AB33" s="3445"/>
      <c r="AC33" s="3445"/>
      <c r="AD33" s="3445"/>
      <c r="AE33" s="3460"/>
      <c r="AF33" s="3460"/>
      <c r="AG33" s="3460"/>
      <c r="AH33" s="3460"/>
      <c r="AI33" s="3460"/>
      <c r="AJ33" s="3445"/>
      <c r="AK33" s="3445"/>
      <c r="AL33" s="3485"/>
      <c r="AM33" s="3445"/>
      <c r="AN33" s="3445"/>
      <c r="AO33" s="3445"/>
      <c r="AP33" s="3445"/>
      <c r="AQ33" s="3445"/>
      <c r="AS33" s="3483"/>
      <c r="AT33" s="3483"/>
      <c r="AU33" s="3483"/>
    </row>
    <row r="34" spans="1:49">
      <c r="A34" s="3460"/>
      <c r="B34" s="3460"/>
      <c r="C34" s="3460"/>
      <c r="D34" s="3460"/>
      <c r="E34" s="3460"/>
      <c r="F34" s="3460"/>
      <c r="G34" s="3460"/>
      <c r="H34" s="3460"/>
      <c r="I34" s="3460"/>
      <c r="J34" s="3460"/>
      <c r="K34" s="3460"/>
      <c r="L34" s="3460"/>
      <c r="M34" s="3460"/>
      <c r="N34" s="3460"/>
      <c r="O34" s="3460"/>
      <c r="P34" s="3460"/>
      <c r="Q34" s="3460"/>
      <c r="R34" s="3460"/>
      <c r="S34" s="3460"/>
      <c r="T34" s="3460"/>
      <c r="U34" s="3460"/>
      <c r="V34" s="3460"/>
      <c r="W34" s="3460"/>
      <c r="X34" s="3445"/>
      <c r="Y34" s="3445"/>
      <c r="Z34" s="3445"/>
      <c r="AA34" s="3445"/>
      <c r="AB34" s="3445"/>
      <c r="AC34" s="3445"/>
      <c r="AD34" s="3445"/>
      <c r="AE34" s="3460"/>
      <c r="AF34" s="3460"/>
      <c r="AG34" s="3460"/>
      <c r="AH34" s="3460"/>
      <c r="AI34" s="3460"/>
      <c r="AJ34" s="3445"/>
      <c r="AK34" s="3445"/>
      <c r="AL34" s="3485"/>
      <c r="AM34" s="3445"/>
      <c r="AN34" s="3445"/>
      <c r="AO34" s="3445"/>
      <c r="AP34" s="3445"/>
      <c r="AQ34" s="3445"/>
      <c r="AS34" s="3483"/>
      <c r="AT34" s="3483"/>
      <c r="AU34" s="3483"/>
    </row>
    <row r="35" spans="1:49">
      <c r="A35" s="3460"/>
      <c r="B35" s="3460"/>
      <c r="C35" s="3460"/>
      <c r="D35" s="3460"/>
      <c r="E35" s="3460"/>
      <c r="F35" s="3460"/>
      <c r="G35" s="3460"/>
      <c r="H35" s="3460"/>
      <c r="I35" s="3460"/>
      <c r="J35" s="3460"/>
      <c r="K35" s="3460"/>
      <c r="L35" s="3460"/>
      <c r="M35" s="3460"/>
      <c r="N35" s="3460"/>
      <c r="O35" s="3460"/>
      <c r="P35" s="3460"/>
      <c r="Q35" s="3460"/>
      <c r="R35" s="3460"/>
      <c r="S35" s="3460"/>
      <c r="T35" s="3460"/>
      <c r="U35" s="3460"/>
      <c r="V35" s="3460"/>
      <c r="W35" s="3460"/>
      <c r="X35" s="3445"/>
      <c r="Y35" s="3445"/>
      <c r="Z35" s="3445"/>
      <c r="AA35" s="3445"/>
      <c r="AB35" s="3445"/>
      <c r="AC35" s="3445"/>
      <c r="AD35" s="3445"/>
      <c r="AE35" s="3460"/>
      <c r="AF35" s="3460"/>
      <c r="AG35" s="3460"/>
      <c r="AH35" s="3460"/>
      <c r="AI35" s="3460"/>
      <c r="AJ35" s="3445"/>
      <c r="AK35" s="3445"/>
      <c r="AL35" s="3485"/>
      <c r="AM35" s="3445"/>
      <c r="AN35" s="3445"/>
      <c r="AO35" s="3445"/>
      <c r="AP35" s="3445"/>
      <c r="AQ35" s="3445"/>
      <c r="AS35" s="3483"/>
      <c r="AT35" s="3483"/>
      <c r="AU35" s="3483"/>
    </row>
    <row r="36" ht="13.5" spans="1:49">
      <c r="A36" s="3460" t="s">
        <v>6069</v>
      </c>
      <c r="B36" s="3460"/>
      <c r="C36" s="3460"/>
      <c r="D36" s="3460"/>
      <c r="E36" s="3460"/>
      <c r="F36" s="3460"/>
      <c r="G36" s="3460"/>
      <c r="H36" s="3460"/>
      <c r="I36" s="3460"/>
      <c r="J36" s="3460"/>
      <c r="K36" s="3460"/>
      <c r="L36" s="3460"/>
      <c r="M36" s="3460"/>
      <c r="N36" s="3460"/>
      <c r="O36" s="3460"/>
      <c r="P36" s="3460"/>
      <c r="Q36" s="3460"/>
      <c r="R36" s="3460"/>
      <c r="S36" s="3460"/>
      <c r="T36" s="3460"/>
      <c r="U36" s="3460"/>
      <c r="V36" s="3460"/>
      <c r="W36" s="3460"/>
      <c r="X36" s="3480"/>
      <c r="Y36" s="3480"/>
      <c r="Z36" s="3480"/>
      <c r="AA36" s="3480"/>
      <c r="AB36" s="3480"/>
      <c r="AC36" s="3480"/>
      <c r="AD36" s="3480"/>
      <c r="AE36" s="3478"/>
      <c r="AF36" s="3478"/>
      <c r="AG36" s="3478"/>
      <c r="AH36" s="3478"/>
      <c r="AI36" s="3478"/>
      <c r="AJ36" s="3480"/>
      <c r="AK36" s="3480"/>
      <c r="AL36" s="3489"/>
      <c r="AM36" s="3480"/>
      <c r="AN36" s="3445"/>
      <c r="AO36" s="3445"/>
      <c r="AP36"/>
      <c r="AQ36"/>
      <c r="AR36" s="410"/>
      <c r="AS36" s="410"/>
      <c r="AT36" s="410"/>
      <c r="AU36" s="410"/>
      <c r="AV36"/>
    </row>
    <row r="37" spans="1:49">
      <c r="R37" s="3460"/>
      <c r="S37" s="3460"/>
      <c r="T37" s="3460"/>
      <c r="U37" s="3460"/>
      <c r="V37" s="3460"/>
      <c r="W37" s="3460"/>
      <c r="X37" s="3445"/>
      <c r="Y37" s="3445"/>
      <c r="Z37" s="3445"/>
      <c r="AA37" s="3445"/>
      <c r="AB37" s="3445"/>
      <c r="AC37" s="3445"/>
      <c r="AD37" s="3445"/>
      <c r="AE37" s="3445"/>
      <c r="AF37" s="3445"/>
      <c r="AG37" s="3445"/>
      <c r="AH37" s="3445"/>
      <c r="AI37" s="3445"/>
      <c r="AJ37" s="3445"/>
      <c r="AK37" s="3445"/>
      <c r="AL37" s="3445"/>
      <c r="AM37" s="3445"/>
      <c r="AN37" s="3482"/>
      <c r="AO37" s="3445"/>
      <c r="AP37"/>
      <c r="AQ37"/>
      <c r="AR37"/>
      <c r="AS37"/>
      <c r="AT37"/>
      <c r="AU37"/>
      <c r="AV37"/>
    </row>
    <row r="38" spans="1:49">
      <c r="A38" s="3490" t="s">
        <v>6070</v>
      </c>
      <c r="B38" s="3490"/>
      <c r="C38" s="3490"/>
      <c r="D38" s="3490"/>
      <c r="E38" s="3490"/>
      <c r="F38" s="3490"/>
      <c r="G38" s="3490"/>
      <c r="H38" s="3490"/>
      <c r="I38" s="3490"/>
      <c r="J38" s="3490"/>
      <c r="K38" s="3490"/>
      <c r="L38" s="3490"/>
      <c r="M38" s="3490"/>
      <c r="N38" s="3490"/>
      <c r="O38" s="3490"/>
      <c r="P38" s="3490"/>
      <c r="Q38" s="3490"/>
      <c r="R38" s="3490"/>
      <c r="S38" s="3490"/>
      <c r="T38" s="3490"/>
      <c r="U38" s="3490"/>
      <c r="V38" s="3490"/>
      <c r="W38" s="3490"/>
      <c r="X38" s="3490"/>
      <c r="Y38" s="3490"/>
      <c r="Z38" s="3490"/>
      <c r="AA38" s="3490"/>
      <c r="AB38" s="3490"/>
      <c r="AC38" s="3490"/>
      <c r="AD38" s="3490"/>
      <c r="AE38" s="3490"/>
      <c r="AF38" s="3490"/>
      <c r="AG38" s="3490"/>
      <c r="AH38" s="3490"/>
      <c r="AI38" s="3490"/>
      <c r="AJ38" s="3490"/>
      <c r="AK38" s="3490"/>
      <c r="AL38" s="3490"/>
      <c r="AM38" s="3490"/>
      <c r="AN38" s="3490"/>
      <c r="AO38" s="3490"/>
      <c r="AP38" s="3490"/>
      <c r="AQ38" s="3460"/>
      <c r="AR38" s="3460"/>
      <c r="AS38" s="3491"/>
      <c r="AT38" s="3460"/>
      <c r="AU38" s="3460"/>
      <c r="AV38" s="3445"/>
    </row>
    <row r="39" spans="1:49">
      <c r="A39" s="3490"/>
      <c r="B39" s="3490"/>
      <c r="C39" s="3490"/>
      <c r="D39" s="3490"/>
      <c r="E39" s="3490"/>
      <c r="F39" s="3490"/>
      <c r="G39" s="3490"/>
      <c r="H39" s="3490"/>
      <c r="I39" s="3490"/>
      <c r="J39" s="3490"/>
      <c r="K39" s="3490"/>
      <c r="L39" s="3490"/>
      <c r="M39" s="3490"/>
      <c r="N39" s="3490"/>
      <c r="O39" s="3490"/>
      <c r="P39" s="3490"/>
      <c r="Q39" s="3490"/>
      <c r="R39" s="3490"/>
      <c r="S39" s="3490"/>
      <c r="T39" s="3490"/>
      <c r="U39" s="3490"/>
      <c r="V39" s="3490"/>
      <c r="W39" s="3490"/>
      <c r="X39" s="3490"/>
      <c r="Y39" s="3490"/>
      <c r="Z39" s="3490"/>
      <c r="AA39" s="3490"/>
      <c r="AB39" s="3490"/>
      <c r="AC39" s="3490"/>
      <c r="AD39" s="3490"/>
      <c r="AE39" s="3490"/>
      <c r="AF39" s="3490"/>
      <c r="AG39" s="3490"/>
      <c r="AH39" s="3490"/>
      <c r="AI39" s="3490"/>
      <c r="AJ39" s="3490"/>
      <c r="AK39" s="3490"/>
      <c r="AL39" s="3490"/>
      <c r="AM39" s="3490"/>
      <c r="AN39" s="3490"/>
      <c r="AO39" s="3490"/>
      <c r="AP39" s="3490"/>
      <c r="AQ39" s="3460"/>
      <c r="AR39" s="3460"/>
      <c r="AS39" s="3491"/>
      <c r="AT39" s="3460"/>
      <c r="AU39" s="3460"/>
      <c r="AV39" s="3445"/>
    </row>
    <row r="40" spans="1:49">
      <c r="A40" s="3490"/>
      <c r="B40" s="3490"/>
      <c r="C40" s="3490"/>
      <c r="D40" s="3490"/>
      <c r="E40" s="3490"/>
      <c r="F40" s="3490"/>
      <c r="G40" s="3490"/>
      <c r="H40" s="3490"/>
      <c r="I40" s="3490"/>
      <c r="J40" s="3490"/>
      <c r="K40" s="3490"/>
      <c r="L40" s="3490"/>
      <c r="M40" s="3490"/>
      <c r="N40" s="3490"/>
      <c r="O40" s="3490"/>
      <c r="P40" s="3490"/>
      <c r="Q40" s="3490"/>
      <c r="R40" s="3490"/>
      <c r="S40" s="3490"/>
      <c r="T40" s="3490"/>
      <c r="U40" s="3490"/>
      <c r="V40" s="3490"/>
      <c r="W40" s="3490"/>
      <c r="X40" s="3490"/>
      <c r="Y40" s="3490"/>
      <c r="Z40" s="3490"/>
      <c r="AA40" s="3490"/>
      <c r="AB40" s="3490"/>
      <c r="AC40" s="3490"/>
      <c r="AD40" s="3490"/>
      <c r="AE40" s="3490"/>
      <c r="AF40" s="3490"/>
      <c r="AG40" s="3490"/>
      <c r="AH40" s="3490"/>
      <c r="AI40" s="3490"/>
      <c r="AJ40" s="3490"/>
      <c r="AK40" s="3490"/>
      <c r="AL40" s="3490"/>
      <c r="AM40" s="3490"/>
      <c r="AN40" s="3490"/>
      <c r="AO40" s="3490"/>
      <c r="AP40" s="3490"/>
      <c r="AQ40" s="3460"/>
      <c r="AR40" s="3460"/>
      <c r="AS40" s="3491"/>
      <c r="AT40" s="3460"/>
      <c r="AU40" s="3460"/>
      <c r="AV40" s="3445"/>
    </row>
    <row r="41" spans="1:49">
      <c r="A41" s="3492"/>
      <c r="B41" s="3492"/>
      <c r="C41" s="3492"/>
      <c r="D41" s="3492"/>
      <c r="E41" s="3492"/>
      <c r="F41" s="3492"/>
      <c r="G41" s="3492"/>
      <c r="H41" s="3492"/>
      <c r="I41" s="3492"/>
      <c r="J41" s="3492"/>
      <c r="K41" s="3492"/>
      <c r="L41" s="3492"/>
      <c r="M41" s="3492"/>
      <c r="N41" s="3492"/>
      <c r="O41" s="3492"/>
      <c r="P41" s="3492"/>
      <c r="Q41" s="3492"/>
      <c r="R41" s="3492"/>
      <c r="S41" s="3492"/>
      <c r="T41" s="3492"/>
      <c r="U41" s="3492"/>
      <c r="V41" s="3492"/>
      <c r="W41" s="3492"/>
      <c r="X41" s="3492"/>
      <c r="Y41" s="3492"/>
      <c r="Z41" s="3492"/>
      <c r="AA41" s="3492"/>
      <c r="AB41" s="3492"/>
      <c r="AC41" s="3492"/>
      <c r="AD41" s="3492"/>
      <c r="AE41" s="3492"/>
      <c r="AF41" s="3492"/>
      <c r="AG41" s="3492"/>
      <c r="AH41" s="3492"/>
      <c r="AI41" s="3492"/>
      <c r="AJ41" s="3492"/>
      <c r="AK41" s="3492"/>
      <c r="AL41" s="3492"/>
      <c r="AM41" s="3492"/>
      <c r="AN41" s="3492"/>
      <c r="AO41" s="3492"/>
      <c r="AP41" s="3492"/>
      <c r="AQ41" s="3460"/>
      <c r="AR41" s="3460"/>
      <c r="AS41" s="3491"/>
      <c r="AT41" s="3460"/>
      <c r="AU41" s="3460"/>
      <c r="AV41" s="3445"/>
    </row>
    <row r="42" spans="1:49">
      <c r="A42" s="3493"/>
      <c r="B42" s="3493"/>
      <c r="C42" s="3493"/>
      <c r="D42" s="3493"/>
      <c r="E42" s="3493"/>
      <c r="F42" s="3493"/>
      <c r="G42" s="3493"/>
      <c r="H42" s="3493"/>
      <c r="I42" s="3460"/>
      <c r="J42" s="3460"/>
      <c r="K42" s="3460"/>
      <c r="L42" s="3460"/>
      <c r="M42" s="3460"/>
      <c r="N42" s="3460"/>
      <c r="O42" s="3460"/>
      <c r="P42" s="3460"/>
      <c r="Q42" s="3460"/>
      <c r="R42" s="3460"/>
      <c r="S42" s="3460"/>
      <c r="T42" s="3460"/>
      <c r="U42" s="3460"/>
      <c r="V42" s="3460"/>
      <c r="W42" s="3460"/>
      <c r="X42" s="3445"/>
      <c r="Y42" s="3445"/>
      <c r="Z42" s="3445"/>
      <c r="AA42" s="3445"/>
      <c r="AB42" s="3445"/>
      <c r="AC42" s="3445"/>
      <c r="AJ42" s="3445"/>
      <c r="AK42" s="3445"/>
      <c r="AP42" s="3483"/>
      <c r="AQ42" s="3483"/>
      <c r="AR42" s="3483"/>
      <c r="AS42" s="3483"/>
      <c r="AT42" s="3483"/>
      <c r="AU42" s="3483"/>
      <c r="AV42" s="3483"/>
    </row>
    <row r="43" spans="1:49">
      <c r="A43" s="3460" t="s">
        <v>6071</v>
      </c>
      <c r="B43" s="3460"/>
      <c r="C43" s="3460"/>
      <c r="D43" s="3460"/>
      <c r="E43" s="3460"/>
      <c r="F43" s="3460"/>
      <c r="G43" s="3460"/>
      <c r="H43" s="3460"/>
      <c r="I43" s="3460"/>
      <c r="J43" s="3460"/>
      <c r="K43" s="3460"/>
      <c r="L43" s="3460"/>
      <c r="M43" s="3460"/>
      <c r="N43" s="3460"/>
      <c r="O43" s="3460"/>
      <c r="P43" s="3460"/>
      <c r="Q43" s="3460"/>
      <c r="R43" s="3460"/>
      <c r="S43" s="3460"/>
      <c r="T43" s="3460"/>
      <c r="U43" s="3460"/>
      <c r="V43" s="3460"/>
      <c r="W43" s="3445"/>
      <c r="Z43" s="324" t="s">
        <v>6072</v>
      </c>
      <c r="AV43" s="3445"/>
      <c r="AW43" s="3446"/>
    </row>
    <row r="44" spans="1:49">
      <c r="B44" s="3494" t="s">
        <v>6073</v>
      </c>
      <c r="C44" s="3460"/>
      <c r="D44" s="3460"/>
      <c r="E44" s="3460"/>
      <c r="F44" s="3460"/>
      <c r="G44" s="3460"/>
      <c r="H44" s="3460"/>
      <c r="I44" s="3460"/>
      <c r="J44" s="3460"/>
      <c r="K44" s="3460"/>
      <c r="L44" s="3460"/>
      <c r="M44" s="3460"/>
      <c r="N44" s="3460"/>
      <c r="O44" s="3460"/>
      <c r="P44" s="3460"/>
      <c r="Q44" s="3460"/>
      <c r="R44" s="3460"/>
      <c r="S44" s="3460"/>
      <c r="T44" s="3460"/>
      <c r="U44" s="3460"/>
      <c r="V44" s="3460"/>
      <c r="W44" s="3445"/>
      <c r="Z44" s="572" t="s">
        <v>6074</v>
      </c>
      <c r="AV44" s="3445"/>
      <c r="AW44" s="3446"/>
    </row>
    <row r="45" spans="1:49">
      <c r="A45" s="3445"/>
      <c r="B45" s="3460"/>
      <c r="C45" s="3460"/>
      <c r="D45" s="3460"/>
      <c r="E45" s="3460"/>
      <c r="F45" s="3460"/>
      <c r="G45" s="3460"/>
      <c r="H45" s="3460"/>
      <c r="I45" s="3460"/>
      <c r="J45" s="3460"/>
      <c r="K45" s="3460"/>
      <c r="L45" s="3460"/>
      <c r="M45" s="3460"/>
      <c r="N45" s="3460"/>
      <c r="O45" s="3460"/>
      <c r="P45" s="3460"/>
      <c r="Q45" s="3460"/>
      <c r="R45" s="3460"/>
      <c r="S45" s="3460"/>
      <c r="T45" s="3460"/>
      <c r="U45" s="3460"/>
      <c r="V45" s="3460"/>
      <c r="W45" s="3445"/>
      <c r="AV45" s="3445"/>
      <c r="AW45" s="3446"/>
    </row>
    <row r="46" spans="1:49">
      <c r="A46" s="3460" t="s">
        <v>6075</v>
      </c>
      <c r="B46" s="3460"/>
      <c r="C46" s="3460"/>
      <c r="D46" s="3460"/>
      <c r="E46" s="3460"/>
      <c r="F46" s="3460"/>
      <c r="G46" s="3460"/>
      <c r="H46" s="3460"/>
      <c r="I46" s="3460"/>
      <c r="J46" s="3460"/>
      <c r="K46" s="3460"/>
      <c r="L46" s="3460"/>
      <c r="M46" s="3460"/>
      <c r="N46" s="3460"/>
      <c r="O46" s="3460"/>
      <c r="P46" s="3460"/>
      <c r="Q46" s="3460"/>
      <c r="R46" s="3460"/>
      <c r="S46" s="3460"/>
      <c r="T46" s="3460"/>
      <c r="U46" s="3460"/>
      <c r="V46" s="3460"/>
      <c r="W46" s="3460">
        <v>1</v>
      </c>
      <c r="X46" s="3460"/>
      <c r="Y46" s="3460"/>
      <c r="Z46" s="3460"/>
      <c r="AA46" s="3460"/>
      <c r="AB46" s="3460"/>
      <c r="AC46" s="3460"/>
      <c r="AD46" s="3460"/>
      <c r="AE46" s="3460"/>
      <c r="AF46" s="3460"/>
      <c r="AG46" s="3460"/>
      <c r="AH46" s="3460"/>
      <c r="AI46" s="3460"/>
      <c r="AJ46" s="3460"/>
      <c r="AK46" s="3460"/>
      <c r="AL46" s="3460"/>
      <c r="AM46" s="3460"/>
      <c r="AN46" s="3460"/>
      <c r="AO46" s="3445"/>
      <c r="AP46" s="3445"/>
      <c r="AQ46" s="3445"/>
      <c r="AR46" s="3455"/>
      <c r="AS46" s="3455"/>
      <c r="AT46" s="3455"/>
      <c r="AU46" s="3455"/>
    </row>
    <row r="47" spans="1:49">
      <c r="A47" s="3460" t="s">
        <v>6076</v>
      </c>
      <c r="B47" s="3460"/>
      <c r="C47" s="3460"/>
      <c r="D47" s="3460"/>
      <c r="E47" s="3460"/>
      <c r="F47" s="3460"/>
      <c r="G47" s="3460"/>
      <c r="H47" s="3460"/>
      <c r="I47" s="3460"/>
      <c r="J47" s="3460"/>
      <c r="K47" s="3460"/>
      <c r="L47" s="3460"/>
      <c r="M47" s="3460"/>
      <c r="N47" s="3460"/>
      <c r="O47" s="3460"/>
      <c r="P47" s="3460"/>
      <c r="Q47" s="3460"/>
      <c r="R47" s="3460"/>
      <c r="S47" s="3460"/>
      <c r="T47" s="3460"/>
      <c r="U47" s="3460"/>
      <c r="V47" s="3460"/>
      <c r="W47" s="3495">
        <v>2</v>
      </c>
      <c r="X47" s="3460"/>
      <c r="Y47" s="3460"/>
      <c r="Z47" s="3481"/>
      <c r="AA47" s="3481"/>
      <c r="AB47" s="3481"/>
      <c r="AC47" s="3481"/>
      <c r="AD47" s="3481"/>
      <c r="AE47" s="3481"/>
      <c r="AF47" s="3481"/>
      <c r="AG47" s="3481"/>
      <c r="AH47" s="3481"/>
      <c r="AI47" s="3481"/>
      <c r="AJ47" s="3481"/>
      <c r="AK47" s="3482"/>
      <c r="AL47" s="3445"/>
      <c r="AM47" s="3445"/>
      <c r="AN47" s="3460"/>
      <c r="AO47" s="3460"/>
      <c r="AP47" s="3445"/>
      <c r="AQ47" s="3445"/>
      <c r="AR47" s="3445"/>
      <c r="AS47" s="3445"/>
      <c r="AT47" s="3445"/>
      <c r="AU47" s="3445"/>
    </row>
    <row r="48" spans="1:49">
      <c r="A48" s="3460" t="s">
        <v>6077</v>
      </c>
      <c r="B48" s="3460"/>
      <c r="C48" s="3460"/>
      <c r="D48" s="3460"/>
      <c r="E48" s="3460"/>
      <c r="F48" s="3460"/>
      <c r="G48" s="3460"/>
      <c r="H48" s="3460"/>
      <c r="I48" s="3460"/>
      <c r="J48" s="3460"/>
      <c r="K48" s="3460"/>
      <c r="L48" s="3460"/>
      <c r="M48" s="3460"/>
      <c r="N48" s="3460"/>
      <c r="O48" s="3460"/>
      <c r="P48" s="3460"/>
      <c r="Q48" s="3460"/>
      <c r="R48" s="3460"/>
      <c r="S48" s="3460"/>
      <c r="T48" s="3460"/>
      <c r="U48" s="3460"/>
      <c r="V48" s="3460"/>
      <c r="W48" s="3460">
        <v>3</v>
      </c>
      <c r="X48" s="3460"/>
      <c r="Y48" s="3460"/>
      <c r="Z48" s="3460"/>
      <c r="AA48" s="3460"/>
      <c r="AB48" s="3460"/>
      <c r="AC48" s="3460"/>
      <c r="AD48" s="3460"/>
      <c r="AE48" s="3460"/>
      <c r="AF48" s="3460"/>
      <c r="AG48" s="3460"/>
      <c r="AH48" s="3460"/>
      <c r="AI48" s="3460"/>
      <c r="AJ48" s="3460"/>
      <c r="AK48" s="3445"/>
      <c r="AL48" s="3445"/>
      <c r="AM48" s="3445"/>
      <c r="AN48" s="3460"/>
      <c r="AO48" s="3460"/>
      <c r="AP48" s="3445"/>
      <c r="AQ48" s="3445"/>
      <c r="AR48" s="3455"/>
      <c r="AS48" s="3455"/>
      <c r="AT48" s="3455"/>
      <c r="AU48" s="3455"/>
    </row>
    <row r="49" spans="1:49">
      <c r="A49" s="3460" t="s">
        <v>6078</v>
      </c>
      <c r="B49" s="3460"/>
      <c r="C49" s="3460"/>
      <c r="D49" s="3460"/>
      <c r="E49" s="3460"/>
      <c r="F49" s="3460"/>
      <c r="G49" s="3460"/>
      <c r="H49" s="3460"/>
      <c r="I49" s="3460"/>
      <c r="J49" s="3460"/>
      <c r="K49" s="3460"/>
      <c r="L49" s="3460"/>
      <c r="M49" s="3460"/>
      <c r="N49" s="3460"/>
      <c r="O49" s="3460"/>
      <c r="P49" s="3460"/>
      <c r="Q49" s="3460"/>
      <c r="R49" s="3460"/>
      <c r="S49" s="3460"/>
      <c r="T49" s="3460"/>
      <c r="U49" s="3460"/>
      <c r="V49" s="3460"/>
      <c r="W49" s="3460">
        <v>4</v>
      </c>
      <c r="X49" s="3460"/>
      <c r="Y49" s="3460"/>
      <c r="Z49" s="3481"/>
      <c r="AA49" s="3481"/>
      <c r="AB49" s="3481"/>
      <c r="AC49" s="3481"/>
      <c r="AD49" s="3481"/>
      <c r="AE49" s="3481"/>
      <c r="AF49" s="3481"/>
      <c r="AG49" s="3481"/>
      <c r="AH49" s="3481"/>
      <c r="AI49" s="3481"/>
      <c r="AJ49" s="3481"/>
      <c r="AK49" s="3482"/>
      <c r="AL49" s="3445"/>
      <c r="AM49" s="3445"/>
      <c r="AN49" s="3460"/>
      <c r="AO49" s="3460"/>
      <c r="AP49" s="3445"/>
      <c r="AQ49" s="3445"/>
      <c r="AR49" s="3482"/>
      <c r="AS49" s="3482"/>
      <c r="AT49" s="3482"/>
      <c r="AU49" s="3482"/>
    </row>
    <row r="50" spans="1:49">
      <c r="A50" s="3460" t="s">
        <v>6079</v>
      </c>
      <c r="B50" s="3460"/>
      <c r="C50" s="3460"/>
      <c r="D50" s="3460"/>
      <c r="E50" s="3460"/>
      <c r="F50" s="3460"/>
      <c r="G50" s="3460"/>
      <c r="H50" s="3460"/>
      <c r="I50" s="3460"/>
      <c r="J50" s="3460"/>
      <c r="K50" s="3460"/>
      <c r="L50" s="3460"/>
      <c r="M50" s="3460"/>
      <c r="N50" s="3460"/>
      <c r="O50" s="3460"/>
      <c r="P50" s="3460"/>
      <c r="Q50" s="3460"/>
      <c r="R50" s="3460"/>
      <c r="S50" s="3460"/>
      <c r="T50" s="3460"/>
      <c r="U50" s="3460"/>
      <c r="V50" s="3460"/>
      <c r="W50" s="3460">
        <v>5</v>
      </c>
      <c r="X50" s="3460"/>
      <c r="Y50" s="3460"/>
      <c r="Z50" s="3478"/>
      <c r="AA50" s="3478"/>
      <c r="AB50" s="3478"/>
      <c r="AC50" s="3478"/>
      <c r="AD50" s="3478"/>
      <c r="AE50" s="3478"/>
      <c r="AF50" s="3478"/>
      <c r="AG50" s="3478"/>
      <c r="AH50" s="3478"/>
      <c r="AI50" s="3478"/>
      <c r="AJ50" s="3478"/>
      <c r="AK50" s="3480"/>
      <c r="AL50" s="3445"/>
      <c r="AM50" s="3445"/>
      <c r="AN50" s="3460"/>
      <c r="AO50" s="3460"/>
      <c r="AP50" s="3445"/>
      <c r="AQ50" s="3445"/>
      <c r="AR50" s="3455"/>
      <c r="AS50" s="3455"/>
      <c r="AT50" s="3455"/>
      <c r="AU50" s="3455"/>
    </row>
    <row r="51" spans="1:49">
      <c r="A51" s="3460"/>
      <c r="B51" s="3460"/>
      <c r="C51" s="3460"/>
      <c r="D51" s="3460"/>
      <c r="E51" s="3460"/>
      <c r="F51" s="3460"/>
      <c r="G51" s="3460"/>
      <c r="H51" s="3460"/>
      <c r="I51" s="3460"/>
      <c r="J51" s="3460"/>
      <c r="K51" s="3460"/>
      <c r="L51" s="3460"/>
      <c r="M51" s="3460"/>
      <c r="N51" s="3460"/>
      <c r="O51" s="3460"/>
      <c r="P51" s="3460"/>
      <c r="Q51" s="3460"/>
      <c r="R51" s="3460"/>
      <c r="S51" s="3460"/>
      <c r="T51" s="3460"/>
      <c r="U51" s="3460"/>
      <c r="V51" s="3460"/>
      <c r="W51" s="3460"/>
      <c r="X51" s="3460"/>
      <c r="Y51" s="3460"/>
      <c r="AM51" s="3445"/>
      <c r="AN51" s="3460"/>
      <c r="AO51" s="3460"/>
      <c r="AP51" s="3445"/>
    </row>
    <row r="52" spans="1:49">
      <c r="A52" s="3460"/>
      <c r="B52" s="3460"/>
      <c r="C52" s="3460"/>
      <c r="D52" s="3460"/>
      <c r="E52" s="3460"/>
      <c r="F52" s="3460"/>
      <c r="G52" s="3460"/>
      <c r="H52" s="3460"/>
      <c r="I52" s="3460"/>
      <c r="J52" s="3460"/>
      <c r="K52" s="3460"/>
      <c r="L52" s="3460"/>
      <c r="M52" s="3460"/>
      <c r="N52" s="3460"/>
      <c r="O52" s="3460"/>
      <c r="P52" s="3460"/>
      <c r="Q52" s="3460"/>
      <c r="R52" s="3460"/>
      <c r="S52" s="3460"/>
      <c r="T52" s="3460"/>
      <c r="U52" s="3460"/>
      <c r="V52" s="3460"/>
      <c r="W52" s="3460"/>
      <c r="X52" s="3460"/>
      <c r="Y52" s="3460"/>
      <c r="AM52" s="3445"/>
      <c r="AN52" s="3460"/>
      <c r="AO52" s="3460"/>
      <c r="AP52" s="3445"/>
      <c r="AQ52" s="3445"/>
    </row>
    <row r="53" spans="1:49">
      <c r="A53" s="3460" t="str">
        <f ca="1">"7) Broj lokalnih jedinica na dan 31.12."&amp;PoslGod&amp;".  2)"</f>
        <v>7) Broj lokalnih jedinica na dan 31.12.2025.  2)</v>
      </c>
      <c r="B53" s="3460"/>
      <c r="C53" s="3460"/>
      <c r="D53" s="3460"/>
      <c r="E53" s="3460"/>
      <c r="F53" s="3460"/>
      <c r="G53" s="3460"/>
      <c r="H53" s="3460"/>
      <c r="I53" s="3460"/>
      <c r="J53" s="3460"/>
      <c r="K53" s="3460"/>
      <c r="L53" s="3460"/>
      <c r="M53" s="3460"/>
      <c r="N53" s="3460"/>
      <c r="O53" s="3460"/>
      <c r="P53" s="3460"/>
      <c r="Q53" s="3460"/>
      <c r="R53" s="3460"/>
      <c r="S53" s="3460"/>
      <c r="T53" s="3460"/>
      <c r="U53" s="3460"/>
      <c r="V53" s="3460"/>
      <c r="W53" s="3460"/>
      <c r="X53" s="3460"/>
      <c r="Y53" s="3460"/>
      <c r="Z53" s="3460"/>
      <c r="AA53" s="3460"/>
      <c r="AB53" s="3460"/>
      <c r="AC53" s="3460"/>
      <c r="AD53" s="3460"/>
      <c r="AE53" s="3460"/>
      <c r="AI53" s="3460"/>
      <c r="AJ53" s="3460"/>
      <c r="AK53" s="3460"/>
      <c r="AN53" s="3460"/>
      <c r="AO53" s="3460"/>
      <c r="AP53" s="3445"/>
      <c r="AQ53" s="3445"/>
      <c r="AR53" s="3445"/>
      <c r="AS53" s="3445"/>
      <c r="AT53" s="3859"/>
      <c r="AU53" s="3859"/>
    </row>
    <row r="54" spans="1:49">
      <c r="A54" s="3460"/>
      <c r="B54" s="3460"/>
      <c r="C54" s="3460"/>
      <c r="D54" s="3460"/>
      <c r="E54" s="3460"/>
      <c r="F54" s="3460"/>
      <c r="G54" s="3460"/>
      <c r="H54" s="3460"/>
      <c r="I54" s="3460"/>
      <c r="J54" s="3460"/>
      <c r="K54" s="3460"/>
      <c r="L54" s="3460"/>
      <c r="M54" s="3460"/>
      <c r="N54" s="3460"/>
      <c r="O54" s="3460"/>
      <c r="P54" s="3460"/>
      <c r="Q54" s="3460"/>
      <c r="R54" s="3460"/>
      <c r="S54" s="3460"/>
      <c r="T54" s="3460"/>
      <c r="U54" s="3460"/>
      <c r="V54" s="3460"/>
      <c r="W54" s="3460"/>
      <c r="X54" s="3460"/>
      <c r="Y54" s="3460"/>
      <c r="Z54" s="3460"/>
      <c r="AA54" s="3460"/>
      <c r="AB54" s="3460"/>
      <c r="AC54" s="3460"/>
      <c r="AD54" s="3460"/>
      <c r="AE54" s="3460"/>
      <c r="AI54" s="3460"/>
      <c r="AJ54" s="3460"/>
      <c r="AK54" s="3460"/>
      <c r="AN54" s="3460"/>
      <c r="AO54" s="3460"/>
      <c r="AP54" s="3445"/>
      <c r="AQ54" s="3445"/>
      <c r="AR54" s="3445"/>
      <c r="AS54" s="3445"/>
      <c r="AT54" s="3460"/>
      <c r="AU54" s="3460"/>
    </row>
    <row r="56" spans="1:49">
      <c r="A56" s="3460" t="s">
        <v>6080</v>
      </c>
      <c r="B56" s="3460"/>
      <c r="C56" s="3460"/>
      <c r="D56" s="3460"/>
      <c r="E56" s="3460"/>
      <c r="F56" s="3460"/>
      <c r="G56" s="3460"/>
      <c r="H56" s="3460"/>
      <c r="I56" s="3460"/>
      <c r="J56" s="3460"/>
      <c r="K56" s="3460"/>
      <c r="L56" s="3460"/>
      <c r="M56" s="3460"/>
      <c r="N56" s="3460"/>
      <c r="O56" s="3460"/>
      <c r="P56" s="3460"/>
      <c r="Q56" s="3460"/>
      <c r="R56" s="3460"/>
      <c r="S56" s="3460"/>
      <c r="T56" s="3460"/>
      <c r="U56" s="3460"/>
      <c r="V56" s="3460"/>
      <c r="W56" s="3460"/>
      <c r="X56" s="3460"/>
      <c r="Y56" s="3460"/>
      <c r="Z56" s="3460"/>
      <c r="AA56" s="3460"/>
      <c r="AB56" s="3460"/>
      <c r="AC56" s="3460"/>
      <c r="AD56" s="3460"/>
      <c r="AE56" s="3460"/>
      <c r="AF56" s="3460"/>
      <c r="AG56" s="3460"/>
      <c r="AH56" s="3460"/>
      <c r="AI56" s="3460"/>
      <c r="AJ56" s="3460"/>
      <c r="AK56" s="3460"/>
      <c r="AL56" s="3460"/>
      <c r="AM56" s="3460"/>
      <c r="AN56" s="3460"/>
      <c r="AO56" s="3445"/>
      <c r="AP56" s="3445"/>
      <c r="AQ56" s="3445"/>
      <c r="AR56" s="3445"/>
      <c r="AS56" s="3445"/>
      <c r="AT56" s="3445"/>
      <c r="AU56" s="3445"/>
      <c r="AV56" s="3445"/>
      <c r="AW56" s="324"/>
    </row>
    <row r="57" spans="1:49">
      <c r="A57" s="3494" t="s">
        <v>6081</v>
      </c>
      <c r="B57" s="3460"/>
      <c r="C57" s="3460"/>
      <c r="D57" s="3460"/>
      <c r="E57" s="3460"/>
      <c r="F57" s="3460"/>
      <c r="G57" s="3460"/>
      <c r="H57" s="3460"/>
      <c r="I57" s="3460"/>
      <c r="J57" s="3460"/>
      <c r="K57" s="3460"/>
      <c r="L57" s="3460"/>
      <c r="M57" s="3460"/>
      <c r="N57" s="3460"/>
      <c r="O57" s="3460"/>
      <c r="P57" s="3460"/>
      <c r="Q57" s="3460"/>
      <c r="R57" s="3460"/>
      <c r="S57" s="3460"/>
      <c r="T57" s="3460"/>
      <c r="U57" s="3460"/>
      <c r="V57" s="3460"/>
      <c r="W57" s="3460"/>
      <c r="X57" s="3460"/>
      <c r="Y57" s="3460"/>
      <c r="Z57" s="3460"/>
      <c r="AA57" s="3460"/>
      <c r="AB57" s="3460"/>
      <c r="AC57" s="3460"/>
      <c r="AD57" s="3460"/>
      <c r="AE57" s="3460"/>
      <c r="AF57" s="3460"/>
      <c r="AG57" s="3460"/>
      <c r="AH57" s="3460"/>
      <c r="AI57" s="3460"/>
      <c r="AJ57" s="3460"/>
      <c r="AK57" s="3460"/>
      <c r="AL57" s="3460"/>
      <c r="AM57" s="3460"/>
      <c r="AN57" s="3460"/>
      <c r="AO57" s="3445"/>
      <c r="AP57" s="3445"/>
      <c r="AQ57" s="3445"/>
      <c r="AR57" s="3445"/>
      <c r="AS57" s="3445"/>
      <c r="AT57" s="3445"/>
      <c r="AU57" s="3445"/>
      <c r="AV57" s="3445"/>
      <c r="AW57" s="324"/>
    </row>
    <row r="58" spans="1:49">
      <c r="A58" s="3460"/>
      <c r="B58" s="3460"/>
      <c r="C58" s="3460"/>
      <c r="D58" s="3460"/>
      <c r="E58" s="3460"/>
      <c r="F58" s="3460"/>
      <c r="G58" s="3460"/>
      <c r="H58" s="3460"/>
      <c r="I58" s="3460"/>
      <c r="J58" s="3460"/>
      <c r="K58" s="3445"/>
      <c r="L58" s="3445"/>
      <c r="M58" s="3445"/>
      <c r="N58" s="3445"/>
      <c r="O58" s="3445"/>
      <c r="P58" s="3460" t="s">
        <v>6082</v>
      </c>
      <c r="Q58" s="3460"/>
      <c r="R58" s="3460"/>
      <c r="S58" s="3460"/>
      <c r="T58" s="3460"/>
      <c r="U58" s="3460">
        <v>1</v>
      </c>
      <c r="V58" s="3460"/>
      <c r="W58" s="3460"/>
      <c r="X58" s="3460" t="s">
        <v>6083</v>
      </c>
      <c r="AF58" s="3460">
        <v>4</v>
      </c>
      <c r="AH58" s="3460"/>
      <c r="AI58" s="3460"/>
      <c r="AJ58" s="3460"/>
      <c r="AK58" s="3460"/>
      <c r="AL58" s="3460"/>
      <c r="AM58" s="3460"/>
      <c r="AN58" s="3460"/>
      <c r="AO58" s="3445"/>
      <c r="AP58" s="3445"/>
      <c r="AQ58" s="3445"/>
      <c r="AR58" s="3445"/>
      <c r="AS58" s="3445"/>
      <c r="AT58" s="3445"/>
      <c r="AU58" s="3445"/>
      <c r="AV58" s="3445"/>
      <c r="AW58" s="324"/>
    </row>
    <row r="59" spans="1:49">
      <c r="A59" s="3460"/>
      <c r="B59" s="3460"/>
      <c r="C59" s="3460"/>
      <c r="D59" s="3460"/>
      <c r="E59" s="3460"/>
      <c r="F59" s="3460"/>
      <c r="G59" s="3460"/>
      <c r="H59" s="3460"/>
      <c r="I59" s="3460"/>
      <c r="J59" s="3460"/>
      <c r="K59" s="3445"/>
      <c r="L59" s="3445"/>
      <c r="M59" s="3445"/>
      <c r="N59" s="3445"/>
      <c r="O59" s="3445"/>
      <c r="P59" s="3460" t="s">
        <v>6084</v>
      </c>
      <c r="Q59" s="3460"/>
      <c r="R59" s="3460"/>
      <c r="S59" s="3460"/>
      <c r="T59" s="3460"/>
      <c r="U59" s="3460">
        <v>2</v>
      </c>
      <c r="V59" s="3460"/>
      <c r="W59" s="3460"/>
      <c r="X59" s="3460" t="s">
        <v>6085</v>
      </c>
      <c r="Y59" s="3460"/>
      <c r="Z59" s="3460"/>
      <c r="AA59" s="3460"/>
      <c r="AB59" s="3460"/>
      <c r="AC59" s="3460"/>
      <c r="AD59" s="3460"/>
      <c r="AE59" s="3445"/>
      <c r="AF59" s="3460">
        <v>5</v>
      </c>
      <c r="AG59" s="3460"/>
      <c r="AH59" s="3445"/>
      <c r="AI59" s="3445"/>
      <c r="AJ59" s="3460" t="s">
        <v>6086</v>
      </c>
      <c r="AK59" s="3460"/>
      <c r="AL59" s="3460"/>
      <c r="AM59" s="3460"/>
      <c r="AN59" s="3460"/>
      <c r="AO59" s="3498"/>
      <c r="AP59" s="3498"/>
      <c r="AQ59" s="3445"/>
      <c r="AR59" s="3498">
        <v>2</v>
      </c>
      <c r="AS59" s="3498">
        <v>0</v>
      </c>
      <c r="AT59" s="3498">
        <v>2</v>
      </c>
      <c r="AU59" s="3498">
        <f>UnosPod!AH22-1</f>
        <v>5</v>
      </c>
      <c r="AW59" s="3445"/>
    </row>
    <row r="60" spans="1:49">
      <c r="A60" s="3460"/>
      <c r="B60" s="3460"/>
      <c r="C60" s="3460"/>
      <c r="D60" s="3460"/>
      <c r="E60" s="3460"/>
      <c r="F60" s="3460"/>
      <c r="G60" s="3460"/>
      <c r="H60" s="3460"/>
      <c r="I60" s="3460"/>
      <c r="J60" s="3460"/>
      <c r="K60" s="3445"/>
      <c r="L60" s="3445"/>
      <c r="M60" s="3445"/>
      <c r="N60" s="3445"/>
      <c r="O60" s="3445"/>
      <c r="P60" s="3460" t="s">
        <v>6087</v>
      </c>
      <c r="Q60" s="3460"/>
      <c r="R60" s="3460"/>
      <c r="S60" s="3460"/>
      <c r="T60" s="3460"/>
      <c r="U60" s="3460">
        <v>3</v>
      </c>
      <c r="V60" s="3460"/>
      <c r="W60" s="3460"/>
      <c r="X60" s="3460" t="s">
        <v>6088</v>
      </c>
      <c r="Y60" s="3460"/>
      <c r="Z60" s="3460"/>
      <c r="AA60" s="3460"/>
      <c r="AB60" s="3460"/>
      <c r="AC60" s="3460"/>
      <c r="AD60" s="3460"/>
      <c r="AE60" s="3445"/>
      <c r="AF60" s="3460">
        <v>6</v>
      </c>
      <c r="AG60" s="3460"/>
      <c r="AH60" s="3460"/>
      <c r="AI60" s="3460"/>
      <c r="AJ60" s="3460"/>
      <c r="AK60" s="3460"/>
      <c r="AL60" s="3460"/>
      <c r="AM60" s="3460"/>
      <c r="AN60" s="3460"/>
      <c r="AO60" s="3445" t="s">
        <v>6089</v>
      </c>
      <c r="AP60" s="3445"/>
      <c r="AQ60" s="3445"/>
      <c r="AR60" s="3452" t="s">
        <v>6090</v>
      </c>
      <c r="AS60" s="3452"/>
      <c r="AT60" s="3452"/>
      <c r="AU60" s="3452"/>
      <c r="AW60" s="3499"/>
    </row>
    <row r="61" spans="1:49">
      <c r="A61" s="3460"/>
      <c r="B61" s="3460"/>
      <c r="C61" s="3460"/>
      <c r="D61" s="3460"/>
      <c r="E61" s="3460"/>
      <c r="F61" s="3460"/>
      <c r="G61" s="3460"/>
      <c r="H61" s="3460"/>
      <c r="I61" s="3460"/>
      <c r="J61" s="3460"/>
      <c r="K61" s="3445"/>
      <c r="L61" s="3445"/>
      <c r="M61" s="3445"/>
      <c r="N61" s="3445"/>
      <c r="O61" s="3445"/>
      <c r="Q61" s="3460"/>
      <c r="R61" s="3460"/>
      <c r="S61" s="3460"/>
      <c r="T61" s="3460"/>
      <c r="V61" s="3460"/>
      <c r="W61" s="3460"/>
      <c r="X61" s="3460" t="s">
        <v>6091</v>
      </c>
      <c r="Y61" s="3460"/>
      <c r="Z61" s="3460"/>
      <c r="AA61" s="3460"/>
      <c r="AB61" s="3460"/>
      <c r="AC61" s="3460"/>
      <c r="AD61" s="3460"/>
      <c r="AE61" s="3445"/>
      <c r="AF61" s="3460">
        <v>7</v>
      </c>
      <c r="AG61" s="3460"/>
      <c r="AH61" s="3460"/>
      <c r="AI61" s="3460"/>
      <c r="AJ61" s="3460"/>
      <c r="AK61" s="3460"/>
      <c r="AL61" s="3460"/>
      <c r="AM61" s="3460"/>
      <c r="AN61" s="3460"/>
      <c r="AO61" s="3445"/>
      <c r="AP61" s="3445"/>
      <c r="AQ61" s="3445"/>
      <c r="AR61" s="3445"/>
      <c r="AS61" s="3483"/>
      <c r="AT61" s="3483"/>
      <c r="AU61" s="3483"/>
      <c r="AV61" s="3483"/>
      <c r="AW61" s="3445"/>
    </row>
    <row r="62" spans="1:49">
      <c r="A62" s="3460"/>
      <c r="B62" s="3460"/>
      <c r="C62" s="3460"/>
      <c r="D62" s="3460"/>
      <c r="E62" s="3460"/>
      <c r="F62" s="3460"/>
      <c r="G62" s="3460"/>
      <c r="H62" s="3460"/>
      <c r="I62" s="3460"/>
      <c r="J62" s="3460"/>
      <c r="K62" s="3445"/>
      <c r="L62" s="3445"/>
      <c r="M62" s="3445"/>
      <c r="N62" s="3445"/>
      <c r="O62" s="3445"/>
      <c r="P62" s="3460"/>
      <c r="Q62" s="3460"/>
      <c r="R62" s="3460"/>
      <c r="S62" s="3460"/>
      <c r="T62" s="3460"/>
      <c r="U62" s="3460"/>
      <c r="V62" s="3460"/>
      <c r="W62" s="3460"/>
      <c r="X62" s="3460"/>
      <c r="Y62" s="3460"/>
      <c r="Z62" s="3460"/>
      <c r="AA62" s="3460"/>
      <c r="AB62" s="3460"/>
      <c r="AC62" s="3460"/>
      <c r="AD62" s="3460"/>
      <c r="AE62" s="3445"/>
      <c r="AF62" s="3460"/>
      <c r="AG62" s="3460"/>
      <c r="AH62" s="3460"/>
      <c r="AI62" s="3460"/>
      <c r="AJ62" s="3460"/>
      <c r="AK62" s="3460"/>
      <c r="AL62" s="3460"/>
      <c r="AM62" s="3460"/>
      <c r="AN62" s="3460"/>
      <c r="AO62" s="3445"/>
      <c r="AP62" s="3445"/>
      <c r="AQ62" s="3445"/>
      <c r="AR62" s="3445"/>
      <c r="AS62" s="3483"/>
      <c r="AT62" s="3483"/>
      <c r="AU62" s="3483"/>
      <c r="AV62" s="3483"/>
      <c r="AW62" s="3445"/>
    </row>
    <row r="64" ht="13.5" spans="1:49">
      <c r="A64" s="3500" t="s">
        <v>6092</v>
      </c>
      <c r="B64" s="3500"/>
      <c r="C64" s="3500"/>
      <c r="D64" s="3500"/>
      <c r="E64" s="3500"/>
      <c r="F64" s="3500"/>
      <c r="G64" s="3500"/>
      <c r="H64" s="3500"/>
      <c r="I64" s="3500"/>
      <c r="J64" s="3500"/>
      <c r="K64" s="3500"/>
      <c r="L64" s="3500"/>
      <c r="M64" s="3500"/>
      <c r="N64" s="3500"/>
      <c r="O64" s="3500"/>
      <c r="P64" s="3500"/>
      <c r="Q64" s="3500"/>
      <c r="R64" s="3500"/>
      <c r="S64" s="3500"/>
      <c r="T64" s="3500"/>
      <c r="U64" s="3500"/>
      <c r="V64" s="3500"/>
      <c r="W64" s="3500"/>
      <c r="X64" s="3500"/>
      <c r="Y64" s="3500"/>
      <c r="Z64" s="3500"/>
      <c r="AA64" s="3500"/>
      <c r="AB64" s="3500"/>
      <c r="AC64" s="3500"/>
      <c r="AD64" s="3500"/>
      <c r="AE64" s="3500"/>
      <c r="AF64" s="3500"/>
      <c r="AG64" s="3500"/>
      <c r="AH64" s="3500"/>
      <c r="AI64" s="3500"/>
      <c r="AJ64" s="3500"/>
      <c r="AK64" s="3500"/>
      <c r="AL64" s="3500"/>
      <c r="AM64" s="3500"/>
      <c r="AN64" s="3500"/>
      <c r="AO64" s="3445"/>
      <c r="AP64" s="3445"/>
      <c r="AQ64" s="3445"/>
      <c r="AR64" s="3445"/>
      <c r="AS64" s="3445"/>
      <c r="AT64" s="3445"/>
      <c r="AU64" s="3445"/>
      <c r="AV64" s="3445"/>
      <c r="AW64" s="3445"/>
    </row>
    <row r="65" spans="1:49">
      <c r="A65" s="3501" t="s">
        <v>6093</v>
      </c>
      <c r="B65" s="3501"/>
      <c r="C65" s="3501"/>
      <c r="D65" s="3501"/>
      <c r="E65" s="3501"/>
      <c r="F65" s="3501"/>
      <c r="G65" s="3501"/>
      <c r="H65" s="3501"/>
      <c r="I65" s="3501"/>
      <c r="J65" s="3501"/>
      <c r="K65" s="3501"/>
      <c r="L65" s="3501"/>
      <c r="M65" s="3501"/>
      <c r="N65" s="3501"/>
      <c r="O65" s="3501"/>
      <c r="P65" s="3501"/>
      <c r="Q65" s="3501"/>
      <c r="R65" s="3501"/>
      <c r="S65" s="3501"/>
      <c r="T65" s="3501"/>
      <c r="U65" s="3501"/>
      <c r="V65" s="3501"/>
      <c r="W65" s="3501"/>
      <c r="X65" s="3501"/>
      <c r="Y65" s="3501"/>
      <c r="Z65" s="3501"/>
      <c r="AA65" s="3501"/>
      <c r="AB65" s="3501"/>
      <c r="AC65" s="3501"/>
      <c r="AD65" s="3501"/>
      <c r="AE65" s="3501"/>
      <c r="AF65" s="3501"/>
      <c r="AG65" s="3501"/>
      <c r="AH65" s="3501"/>
      <c r="AI65" s="3501"/>
      <c r="AJ65" s="3501"/>
      <c r="AK65" s="3501"/>
      <c r="AL65" s="3501"/>
      <c r="AM65" s="3501"/>
      <c r="AN65" s="3501"/>
      <c r="AO65" s="3501"/>
      <c r="AP65" s="3501"/>
      <c r="AQ65" s="3501"/>
      <c r="AR65" s="3501"/>
      <c r="AS65" s="3501"/>
      <c r="AT65" s="3501"/>
      <c r="AU65" s="3501"/>
      <c r="AV65" s="3501"/>
      <c r="AW65" s="3502"/>
    </row>
    <row r="66" spans="1:49">
      <c r="A66" s="3501"/>
      <c r="B66" s="3501"/>
      <c r="C66" s="3501"/>
      <c r="D66" s="3501"/>
      <c r="E66" s="3501"/>
      <c r="F66" s="3501"/>
      <c r="G66" s="3501"/>
      <c r="H66" s="3501"/>
      <c r="I66" s="3501"/>
      <c r="J66" s="3501"/>
      <c r="K66" s="3501"/>
      <c r="L66" s="3501"/>
      <c r="M66" s="3501"/>
      <c r="N66" s="3501"/>
      <c r="O66" s="3501"/>
      <c r="P66" s="3501"/>
      <c r="Q66" s="3501"/>
      <c r="R66" s="3501"/>
      <c r="S66" s="3501"/>
      <c r="T66" s="3501"/>
      <c r="U66" s="3501"/>
      <c r="V66" s="3501"/>
      <c r="W66" s="3501"/>
      <c r="X66" s="3501"/>
      <c r="Y66" s="3501"/>
      <c r="Z66" s="3501"/>
      <c r="AA66" s="3501"/>
      <c r="AB66" s="3501"/>
      <c r="AC66" s="3501"/>
      <c r="AD66" s="3501"/>
      <c r="AE66" s="3501"/>
      <c r="AF66" s="3501"/>
      <c r="AG66" s="3501"/>
      <c r="AH66" s="3501"/>
      <c r="AI66" s="3501"/>
      <c r="AJ66" s="3501"/>
      <c r="AK66" s="3501"/>
      <c r="AL66" s="3501"/>
      <c r="AM66" s="3501"/>
      <c r="AN66" s="3501"/>
      <c r="AO66" s="3501"/>
      <c r="AP66" s="3501"/>
      <c r="AQ66" s="3501"/>
      <c r="AR66" s="3501"/>
      <c r="AS66" s="3501"/>
      <c r="AT66" s="3501"/>
      <c r="AU66" s="3501"/>
      <c r="AV66" s="3501"/>
      <c r="AW66" s="3502"/>
    </row>
    <row r="67" spans="1:49">
      <c r="A67" s="3503" t="s">
        <v>6094</v>
      </c>
      <c r="B67" s="3504"/>
      <c r="C67" s="3504"/>
      <c r="D67" s="2297"/>
      <c r="E67" s="2297"/>
      <c r="F67" s="2297"/>
      <c r="G67" s="2297"/>
      <c r="H67" s="2297"/>
      <c r="I67" s="2297"/>
      <c r="J67" s="2297"/>
      <c r="K67" s="2297"/>
      <c r="L67" s="2297"/>
      <c r="M67" s="2297"/>
      <c r="N67" s="2297"/>
      <c r="O67" s="2297"/>
      <c r="P67" s="2297"/>
      <c r="Q67" s="2297"/>
      <c r="R67" s="2297"/>
      <c r="S67" s="2297"/>
      <c r="T67" s="2297"/>
      <c r="U67" s="2297"/>
      <c r="V67" s="2297"/>
      <c r="W67" s="2297"/>
      <c r="X67" s="2297"/>
      <c r="Y67" s="2297"/>
      <c r="Z67" s="2297"/>
      <c r="AA67" s="2297"/>
      <c r="AB67" s="2297"/>
      <c r="AC67" s="2297"/>
      <c r="AD67" s="2297"/>
      <c r="AE67" s="2297"/>
      <c r="AF67" s="2297"/>
      <c r="AG67" s="2297"/>
      <c r="AH67" s="2297"/>
      <c r="AI67" s="2297"/>
      <c r="AJ67" s="2297"/>
      <c r="AK67" s="2297"/>
      <c r="AL67" s="2297"/>
      <c r="AM67" s="2297"/>
      <c r="AN67" s="2297"/>
      <c r="AO67" s="2297"/>
      <c r="AP67" s="2297"/>
      <c r="AQ67" s="2297"/>
      <c r="AR67" s="2297"/>
      <c r="AS67" s="2297"/>
      <c r="AT67" s="2297"/>
      <c r="AU67" s="2297"/>
      <c r="AV67" s="3504"/>
      <c r="AW67" s="3445"/>
    </row>
    <row r="68" spans="1:49">
      <c r="A68" s="2178"/>
      <c r="B68" s="578"/>
      <c r="C68" s="578"/>
      <c r="AV68" s="578"/>
      <c r="AW68" s="3445"/>
    </row>
    <row r="69" spans="1:49">
      <c r="A69" s="2178"/>
      <c r="B69" s="578"/>
      <c r="C69" s="578"/>
      <c r="AV69" s="578"/>
      <c r="AW69" s="3445"/>
    </row>
    <row r="70" spans="1:49">
      <c r="A70" s="2178"/>
      <c r="B70" s="578"/>
      <c r="C70" s="578"/>
      <c r="AV70" s="578"/>
      <c r="AW70" s="3445"/>
    </row>
    <row r="71" spans="1:49">
      <c r="A71" s="2178"/>
      <c r="B71" s="578"/>
      <c r="C71" s="578"/>
      <c r="AV71" s="578"/>
      <c r="AW71" s="3445"/>
    </row>
    <row r="72" ht="13.5" spans="1:49">
      <c r="A72" s="3505" t="s">
        <v>6095</v>
      </c>
      <c r="B72" s="3505"/>
      <c r="C72" s="3505"/>
      <c r="D72" s="3505"/>
      <c r="E72" s="3505"/>
      <c r="F72" s="3505"/>
      <c r="G72" s="3505"/>
      <c r="H72" s="3505"/>
      <c r="I72" s="3505"/>
      <c r="J72" s="3505"/>
      <c r="K72" s="3505"/>
      <c r="L72" s="3505"/>
      <c r="M72" s="3505"/>
      <c r="N72" s="3505"/>
      <c r="O72" s="3505"/>
      <c r="P72" s="3505"/>
      <c r="Q72" s="3505"/>
      <c r="R72" s="3505"/>
      <c r="S72" s="3505"/>
      <c r="T72" s="3505"/>
      <c r="U72" s="3505"/>
      <c r="V72" s="3505"/>
      <c r="W72" s="3505"/>
      <c r="X72" s="3505"/>
      <c r="Y72" s="3505"/>
      <c r="Z72" s="3505"/>
      <c r="AA72" s="3505"/>
      <c r="AB72" s="3505"/>
      <c r="AC72" s="3505"/>
      <c r="AD72" s="3505"/>
      <c r="AE72" s="3505"/>
      <c r="AF72" s="3505"/>
      <c r="AG72" s="3505"/>
      <c r="AH72" s="3505"/>
      <c r="AI72" s="3505"/>
      <c r="AJ72" s="3505"/>
      <c r="AK72" s="3505"/>
      <c r="AL72" s="3505"/>
      <c r="AM72" s="3505"/>
      <c r="AN72" s="3505"/>
      <c r="AO72" s="3499"/>
      <c r="AP72" s="3499"/>
      <c r="AQ72" s="3499"/>
      <c r="AR72" s="3499"/>
      <c r="AS72" s="3499"/>
      <c r="AT72" s="3499"/>
      <c r="AU72" s="3499"/>
      <c r="AV72" s="3499"/>
    </row>
    <row r="73" ht="19.5" customHeight="1" spans="1:49">
      <c r="A73" s="3506" t="s">
        <v>6096</v>
      </c>
      <c r="B73" s="3506"/>
      <c r="C73" s="3507" t="s">
        <v>6097</v>
      </c>
      <c r="D73" s="3507"/>
      <c r="E73" s="3507"/>
      <c r="F73" s="3507"/>
      <c r="G73" s="3507"/>
      <c r="H73" s="3507"/>
      <c r="I73" s="3507"/>
      <c r="J73" s="3507"/>
      <c r="K73" s="3507"/>
      <c r="L73" s="3507"/>
      <c r="M73" s="3507"/>
      <c r="N73" s="3507"/>
      <c r="O73" s="3507"/>
      <c r="P73" s="3507"/>
      <c r="Q73" s="3507"/>
      <c r="R73" s="3507"/>
      <c r="S73" s="3507"/>
      <c r="T73" s="3507"/>
      <c r="U73" s="3507"/>
      <c r="V73" s="3507"/>
      <c r="W73" s="3507"/>
      <c r="X73" s="3507"/>
      <c r="Y73" s="3507"/>
      <c r="Z73" s="3507"/>
      <c r="AA73" s="3507"/>
      <c r="AB73" s="3507"/>
      <c r="AC73" s="3507"/>
      <c r="AD73" s="3507"/>
      <c r="AE73" s="3508" t="s">
        <v>6098</v>
      </c>
      <c r="AF73" s="3508"/>
      <c r="AG73" s="3508"/>
      <c r="AH73" s="3508"/>
      <c r="AI73" s="3508"/>
      <c r="AJ73" s="3508"/>
      <c r="AK73" s="3509" t="s">
        <v>6099</v>
      </c>
      <c r="AL73" s="3509"/>
      <c r="AM73" s="3509"/>
      <c r="AN73" s="3509"/>
      <c r="AO73" s="3510" t="s">
        <v>6100</v>
      </c>
      <c r="AP73" s="3511"/>
      <c r="AQ73" s="3511"/>
      <c r="AR73" s="3511"/>
      <c r="AS73" s="3511"/>
      <c r="AT73" s="3511"/>
      <c r="AU73" s="3511"/>
      <c r="AV73" s="3512"/>
    </row>
    <row r="74" spans="1:49">
      <c r="A74" s="3513">
        <v>1</v>
      </c>
      <c r="B74" s="3514"/>
      <c r="C74" s="3515" t="s">
        <v>6101</v>
      </c>
      <c r="D74" s="3515"/>
      <c r="E74" s="3515"/>
      <c r="F74" s="3515"/>
      <c r="G74" s="3515"/>
      <c r="H74" s="3515"/>
      <c r="I74" s="3515"/>
      <c r="J74" s="3515"/>
      <c r="K74" s="3515"/>
      <c r="L74" s="3515"/>
      <c r="M74" s="3515"/>
      <c r="N74" s="3515"/>
      <c r="O74" s="3515"/>
      <c r="P74" s="3515"/>
      <c r="Q74" s="3515"/>
      <c r="R74" s="3515"/>
      <c r="S74" s="3515"/>
      <c r="T74" s="3515"/>
      <c r="U74" s="3515"/>
      <c r="V74" s="3515"/>
      <c r="W74" s="3515"/>
      <c r="X74" s="3515"/>
      <c r="Y74" s="3515"/>
      <c r="Z74" s="3515"/>
      <c r="AA74" s="3515"/>
      <c r="AB74" s="3515"/>
      <c r="AC74" s="3515"/>
      <c r="AD74" s="3515"/>
      <c r="AE74" s="3860" t="s">
        <v>6102</v>
      </c>
      <c r="AF74" s="3860"/>
      <c r="AG74" s="3860"/>
      <c r="AH74" s="3860"/>
      <c r="AI74" s="3860"/>
      <c r="AJ74" s="3860"/>
      <c r="AK74" s="3519">
        <v>61</v>
      </c>
      <c r="AL74" s="3519"/>
      <c r="AM74" s="3519"/>
      <c r="AN74" s="3519"/>
      <c r="AO74" s="3520">
        <f>UnosPod!F137</f>
        <v>0</v>
      </c>
      <c r="AP74" s="3521"/>
      <c r="AQ74" s="3521"/>
      <c r="AR74" s="3521"/>
      <c r="AS74" s="3521"/>
      <c r="AT74" s="3521"/>
      <c r="AU74" s="3521"/>
      <c r="AV74" s="3522"/>
    </row>
    <row r="75" spans="1:49">
      <c r="A75" s="3513">
        <v>2</v>
      </c>
      <c r="B75" s="3514"/>
      <c r="C75" s="3564" t="s">
        <v>6103</v>
      </c>
      <c r="D75" s="3564"/>
      <c r="E75" s="3564"/>
      <c r="F75" s="3564"/>
      <c r="G75" s="3564"/>
      <c r="H75" s="3564"/>
      <c r="I75" s="3564"/>
      <c r="J75" s="3564"/>
      <c r="K75" s="3564"/>
      <c r="L75" s="3564"/>
      <c r="M75" s="3564"/>
      <c r="N75" s="3564"/>
      <c r="O75" s="3564"/>
      <c r="P75" s="3564"/>
      <c r="Q75" s="3564"/>
      <c r="R75" s="3564"/>
      <c r="S75" s="3564"/>
      <c r="T75" s="3564"/>
      <c r="U75" s="3564"/>
      <c r="V75" s="3564"/>
      <c r="W75" s="3564"/>
      <c r="X75" s="3564"/>
      <c r="Y75" s="3564"/>
      <c r="Z75" s="3564"/>
      <c r="AA75" s="3564"/>
      <c r="AB75" s="3564"/>
      <c r="AC75" s="3564"/>
      <c r="AD75" s="3564"/>
      <c r="AE75" s="3860" t="s">
        <v>6104</v>
      </c>
      <c r="AF75" s="3860"/>
      <c r="AG75" s="3860"/>
      <c r="AH75" s="3860"/>
      <c r="AI75" s="3860"/>
      <c r="AJ75" s="3860"/>
      <c r="AK75" s="3519">
        <v>62</v>
      </c>
      <c r="AL75" s="3519"/>
      <c r="AM75" s="3519"/>
      <c r="AN75" s="3519"/>
      <c r="AO75" s="3520">
        <f>UnosPod!F151</f>
        <v>245707</v>
      </c>
      <c r="AP75" s="3521"/>
      <c r="AQ75" s="3521"/>
      <c r="AR75" s="3521"/>
      <c r="AS75" s="3521"/>
      <c r="AT75" s="3521"/>
      <c r="AU75" s="3521"/>
      <c r="AV75" s="3522"/>
    </row>
    <row r="76" spans="1:49">
      <c r="A76" s="3513">
        <v>3</v>
      </c>
      <c r="B76" s="3514"/>
      <c r="C76" s="3564" t="s">
        <v>6105</v>
      </c>
      <c r="D76" s="3564"/>
      <c r="E76" s="3564"/>
      <c r="F76" s="3564"/>
      <c r="G76" s="3564"/>
      <c r="H76" s="3564"/>
      <c r="I76" s="3564"/>
      <c r="J76" s="3564"/>
      <c r="K76" s="3564"/>
      <c r="L76" s="3564"/>
      <c r="M76" s="3564"/>
      <c r="N76" s="3564"/>
      <c r="O76" s="3564"/>
      <c r="P76" s="3564"/>
      <c r="Q76" s="3564"/>
      <c r="R76" s="3564"/>
      <c r="S76" s="3564"/>
      <c r="T76" s="3564"/>
      <c r="U76" s="3564"/>
      <c r="V76" s="3564"/>
      <c r="W76" s="3564"/>
      <c r="X76" s="3564"/>
      <c r="Y76" s="3564"/>
      <c r="Z76" s="3564"/>
      <c r="AA76" s="3564"/>
      <c r="AB76" s="3564"/>
      <c r="AC76" s="3564"/>
      <c r="AD76" s="3564"/>
      <c r="AE76" s="3860" t="s">
        <v>6106</v>
      </c>
      <c r="AF76" s="3860"/>
      <c r="AG76" s="3860"/>
      <c r="AH76" s="3860"/>
      <c r="AI76" s="3860"/>
      <c r="AJ76" s="3860"/>
      <c r="AK76" s="3519">
        <v>60</v>
      </c>
      <c r="AL76" s="3519"/>
      <c r="AM76" s="3519"/>
      <c r="AN76" s="3519"/>
      <c r="AO76" s="3520">
        <f>UnosPod!F123</f>
        <v>0</v>
      </c>
      <c r="AP76" s="3521"/>
      <c r="AQ76" s="3521"/>
      <c r="AR76" s="3521"/>
      <c r="AS76" s="3521"/>
      <c r="AT76" s="3521"/>
      <c r="AU76" s="3521"/>
      <c r="AV76" s="3522"/>
    </row>
    <row r="77" spans="1:49">
      <c r="A77" s="3513">
        <v>4</v>
      </c>
      <c r="B77" s="3514"/>
      <c r="C77" s="3574" t="s">
        <v>6107</v>
      </c>
      <c r="D77" s="3575"/>
      <c r="E77" s="3575"/>
      <c r="F77" s="3575"/>
      <c r="G77" s="3575"/>
      <c r="H77" s="3575"/>
      <c r="I77" s="3575"/>
      <c r="J77" s="3575"/>
      <c r="K77" s="3575"/>
      <c r="L77" s="3575"/>
      <c r="M77" s="3575"/>
      <c r="N77" s="3575"/>
      <c r="O77" s="3575"/>
      <c r="P77" s="3575"/>
      <c r="Q77" s="3575"/>
      <c r="R77" s="3575"/>
      <c r="S77" s="3575"/>
      <c r="T77" s="3575"/>
      <c r="U77" s="3575"/>
      <c r="V77" s="3575"/>
      <c r="W77" s="3575"/>
      <c r="X77" s="3575"/>
      <c r="Y77" s="3575"/>
      <c r="Z77" s="3575"/>
      <c r="AA77" s="3575"/>
      <c r="AB77" s="3575"/>
      <c r="AC77" s="3575"/>
      <c r="AD77" s="3576"/>
      <c r="AE77" s="3860" t="s">
        <v>6108</v>
      </c>
      <c r="AF77" s="3860"/>
      <c r="AG77" s="3860"/>
      <c r="AH77" s="3860"/>
      <c r="AI77" s="3860"/>
      <c r="AJ77" s="3860"/>
      <c r="AK77" s="3519"/>
      <c r="AL77" s="3519"/>
      <c r="AM77" s="3519"/>
      <c r="AN77" s="3519"/>
      <c r="AO77" s="3520"/>
      <c r="AP77" s="3521"/>
      <c r="AQ77" s="3521"/>
      <c r="AR77" s="3521"/>
      <c r="AS77" s="3521"/>
      <c r="AT77" s="3521"/>
      <c r="AU77" s="3521"/>
      <c r="AV77" s="3522"/>
    </row>
    <row r="78" ht="20.25" customHeight="1" spans="1:49">
      <c r="A78" s="3513">
        <v>5</v>
      </c>
      <c r="B78" s="3514"/>
      <c r="C78" s="3574" t="s">
        <v>6109</v>
      </c>
      <c r="D78" s="3575"/>
      <c r="E78" s="3575"/>
      <c r="F78" s="3575"/>
      <c r="G78" s="3575"/>
      <c r="H78" s="3575"/>
      <c r="I78" s="3575"/>
      <c r="J78" s="3575"/>
      <c r="K78" s="3575"/>
      <c r="L78" s="3575"/>
      <c r="M78" s="3575"/>
      <c r="N78" s="3575"/>
      <c r="O78" s="3575"/>
      <c r="P78" s="3575"/>
      <c r="Q78" s="3575"/>
      <c r="R78" s="3575"/>
      <c r="S78" s="3575"/>
      <c r="T78" s="3575"/>
      <c r="U78" s="3575"/>
      <c r="V78" s="3575"/>
      <c r="W78" s="3575"/>
      <c r="X78" s="3575"/>
      <c r="Y78" s="3575"/>
      <c r="Z78" s="3575"/>
      <c r="AA78" s="3575"/>
      <c r="AB78" s="3575"/>
      <c r="AC78" s="3575"/>
      <c r="AD78" s="3576"/>
      <c r="AE78" s="3860" t="s">
        <v>6110</v>
      </c>
      <c r="AF78" s="3860"/>
      <c r="AG78" s="3860"/>
      <c r="AH78" s="3860"/>
      <c r="AI78" s="3860"/>
      <c r="AJ78" s="3860"/>
      <c r="AK78" s="3571" t="s">
        <v>6111</v>
      </c>
      <c r="AL78" s="3572"/>
      <c r="AM78" s="3572"/>
      <c r="AN78" s="3573"/>
      <c r="AO78" s="3520">
        <f>UnosPod!F165-UnosPod!F157-UnosPod!F163</f>
        <v>0</v>
      </c>
      <c r="AP78" s="3521"/>
      <c r="AQ78" s="3521"/>
      <c r="AR78" s="3521"/>
      <c r="AS78" s="3521"/>
      <c r="AT78" s="3521"/>
      <c r="AU78" s="3521"/>
      <c r="AV78" s="3522"/>
    </row>
    <row r="79" ht="26.25" customHeight="1" spans="1:49">
      <c r="A79" s="3513">
        <v>6</v>
      </c>
      <c r="B79" s="3514"/>
      <c r="C79" s="3577" t="s">
        <v>6112</v>
      </c>
      <c r="D79" s="3577"/>
      <c r="E79" s="3577"/>
      <c r="F79" s="3577"/>
      <c r="G79" s="3577"/>
      <c r="H79" s="3577"/>
      <c r="I79" s="3577"/>
      <c r="J79" s="3577"/>
      <c r="K79" s="3577"/>
      <c r="L79" s="3577"/>
      <c r="M79" s="3577"/>
      <c r="N79" s="3577"/>
      <c r="O79" s="3577"/>
      <c r="P79" s="3577"/>
      <c r="Q79" s="3577"/>
      <c r="R79" s="3577"/>
      <c r="S79" s="3577"/>
      <c r="T79" s="3577"/>
      <c r="U79" s="3577"/>
      <c r="V79" s="3577"/>
      <c r="W79" s="3577"/>
      <c r="X79" s="3577"/>
      <c r="Y79" s="3577"/>
      <c r="Z79" s="3577"/>
      <c r="AA79" s="3577"/>
      <c r="AB79" s="3577"/>
      <c r="AC79" s="3577"/>
      <c r="AD79" s="3577"/>
      <c r="AE79" s="3860" t="s">
        <v>6113</v>
      </c>
      <c r="AF79" s="3860"/>
      <c r="AG79" s="3860"/>
      <c r="AH79" s="3860"/>
      <c r="AI79" s="3860"/>
      <c r="AJ79" s="3860"/>
      <c r="AK79" s="3519" t="s">
        <v>6114</v>
      </c>
      <c r="AL79" s="3519"/>
      <c r="AM79" s="3519"/>
      <c r="AN79" s="3519"/>
      <c r="AO79" s="3520"/>
      <c r="AP79" s="3521"/>
      <c r="AQ79" s="3521"/>
      <c r="AR79" s="3521"/>
      <c r="AS79" s="3521"/>
      <c r="AT79" s="3521"/>
      <c r="AU79" s="3521"/>
      <c r="AV79" s="3522"/>
    </row>
    <row r="80" spans="1:49">
      <c r="A80" s="3513">
        <v>7</v>
      </c>
      <c r="B80" s="3514"/>
      <c r="C80" s="3564" t="s">
        <v>6115</v>
      </c>
      <c r="D80" s="3564"/>
      <c r="E80" s="3564"/>
      <c r="F80" s="3564"/>
      <c r="G80" s="3564"/>
      <c r="H80" s="3564"/>
      <c r="I80" s="3564"/>
      <c r="J80" s="3564"/>
      <c r="K80" s="3564"/>
      <c r="L80" s="3564"/>
      <c r="M80" s="3564"/>
      <c r="N80" s="3564"/>
      <c r="O80" s="3564"/>
      <c r="P80" s="3564"/>
      <c r="Q80" s="3564"/>
      <c r="R80" s="3564"/>
      <c r="S80" s="3564"/>
      <c r="T80" s="3564"/>
      <c r="U80" s="3564"/>
      <c r="V80" s="3564"/>
      <c r="W80" s="3564"/>
      <c r="X80" s="3564"/>
      <c r="Y80" s="3564"/>
      <c r="Z80" s="3564"/>
      <c r="AA80" s="3564"/>
      <c r="AB80" s="3564"/>
      <c r="AC80" s="3564"/>
      <c r="AD80" s="3564"/>
      <c r="AE80" s="3860" t="s">
        <v>6116</v>
      </c>
      <c r="AF80" s="3860"/>
      <c r="AG80" s="3860"/>
      <c r="AH80" s="3860"/>
      <c r="AI80" s="3860"/>
      <c r="AJ80" s="3860"/>
      <c r="AK80" s="3519" t="s">
        <v>6114</v>
      </c>
      <c r="AL80" s="3519"/>
      <c r="AM80" s="3519"/>
      <c r="AN80" s="3519"/>
      <c r="AO80" s="3520">
        <f>UnosPod!F157-AO79</f>
        <v>0</v>
      </c>
      <c r="AP80" s="3521"/>
      <c r="AQ80" s="3521"/>
      <c r="AR80" s="3521"/>
      <c r="AS80" s="3521"/>
      <c r="AT80" s="3521"/>
      <c r="AU80" s="3521"/>
      <c r="AV80" s="3522"/>
    </row>
    <row r="81" spans="1:48">
      <c r="A81" s="3513">
        <v>8</v>
      </c>
      <c r="B81" s="3514"/>
      <c r="C81" s="3564" t="s">
        <v>6117</v>
      </c>
      <c r="D81" s="3564"/>
      <c r="E81" s="3564"/>
      <c r="F81" s="3564"/>
      <c r="G81" s="3564"/>
      <c r="H81" s="3564"/>
      <c r="I81" s="3564"/>
      <c r="J81" s="3564"/>
      <c r="K81" s="3564"/>
      <c r="L81" s="3564"/>
      <c r="M81" s="3564"/>
      <c r="N81" s="3564"/>
      <c r="O81" s="3564"/>
      <c r="P81" s="3564"/>
      <c r="Q81" s="3564"/>
      <c r="R81" s="3564"/>
      <c r="S81" s="3564"/>
      <c r="T81" s="3564"/>
      <c r="U81" s="3564"/>
      <c r="V81" s="3564"/>
      <c r="W81" s="3564"/>
      <c r="X81" s="3564"/>
      <c r="Y81" s="3564"/>
      <c r="Z81" s="3564"/>
      <c r="AA81" s="3564"/>
      <c r="AB81" s="3564"/>
      <c r="AC81" s="3564"/>
      <c r="AD81" s="3564"/>
      <c r="AE81" s="3860" t="s">
        <v>6118</v>
      </c>
      <c r="AF81" s="3860"/>
      <c r="AG81" s="3860"/>
      <c r="AH81" s="3860"/>
      <c r="AI81" s="3860"/>
      <c r="AJ81" s="3860"/>
      <c r="AK81" s="3519"/>
      <c r="AL81" s="3519"/>
      <c r="AM81" s="3519"/>
      <c r="AN81" s="3519"/>
      <c r="AO81" s="3520">
        <f>SUM(AO74:AV80)</f>
        <v>245707</v>
      </c>
      <c r="AP81" s="3521"/>
      <c r="AQ81" s="3521"/>
      <c r="AR81" s="3521"/>
      <c r="AS81" s="3521"/>
      <c r="AT81" s="3521"/>
      <c r="AU81" s="3521"/>
      <c r="AV81" s="3522"/>
    </row>
    <row r="82" spans="1:48">
      <c r="A82" s="3513">
        <v>9</v>
      </c>
      <c r="B82" s="3514"/>
      <c r="C82" s="3564" t="s">
        <v>6350</v>
      </c>
      <c r="D82" s="3564"/>
      <c r="E82" s="3564"/>
      <c r="F82" s="3564"/>
      <c r="G82" s="3564"/>
      <c r="H82" s="3564"/>
      <c r="I82" s="3564"/>
      <c r="J82" s="3564"/>
      <c r="K82" s="3564"/>
      <c r="L82" s="3564"/>
      <c r="M82" s="3564"/>
      <c r="N82" s="3564"/>
      <c r="O82" s="3564"/>
      <c r="P82" s="3564"/>
      <c r="Q82" s="3564"/>
      <c r="R82" s="3564"/>
      <c r="S82" s="3564"/>
      <c r="T82" s="3564"/>
      <c r="U82" s="3564"/>
      <c r="V82" s="3564"/>
      <c r="W82" s="3564"/>
      <c r="X82" s="3564"/>
      <c r="Y82" s="3564"/>
      <c r="Z82" s="3564"/>
      <c r="AA82" s="3564"/>
      <c r="AB82" s="3564"/>
      <c r="AC82" s="3564"/>
      <c r="AD82" s="3564"/>
      <c r="AE82" s="3860" t="s">
        <v>6351</v>
      </c>
      <c r="AF82" s="3860"/>
      <c r="AG82" s="3860"/>
      <c r="AH82" s="3860"/>
      <c r="AI82" s="3860"/>
      <c r="AJ82" s="3860"/>
      <c r="AK82" s="3861"/>
      <c r="AL82" s="3861"/>
      <c r="AM82" s="3861"/>
      <c r="AN82" s="3861"/>
      <c r="AO82" s="3520"/>
      <c r="AP82" s="3521"/>
      <c r="AQ82" s="3521"/>
      <c r="AR82" s="3521"/>
      <c r="AS82" s="3521"/>
      <c r="AT82" s="3521"/>
      <c r="AU82" s="3521"/>
      <c r="AV82" s="3522"/>
    </row>
    <row r="83" spans="1:48">
      <c r="A83" s="3862"/>
      <c r="B83" s="3863"/>
      <c r="C83" s="3863"/>
      <c r="D83" s="3864"/>
      <c r="E83" s="3864"/>
      <c r="F83" s="3864"/>
      <c r="G83" s="3864"/>
      <c r="H83" s="3864"/>
      <c r="I83" s="3864"/>
      <c r="J83" s="3864"/>
      <c r="K83" s="3864"/>
      <c r="L83" s="3864"/>
      <c r="M83" s="3864"/>
      <c r="N83" s="3864"/>
      <c r="O83" s="3864"/>
      <c r="P83" s="3864"/>
      <c r="Q83" s="3864"/>
      <c r="R83" s="3864"/>
      <c r="S83" s="3864"/>
      <c r="T83" s="3864"/>
      <c r="U83" s="3864"/>
      <c r="V83" s="3864"/>
      <c r="W83" s="3864"/>
      <c r="X83" s="3864"/>
      <c r="Y83" s="3864"/>
      <c r="Z83" s="3864"/>
      <c r="AA83" s="3864"/>
      <c r="AB83" s="3864"/>
      <c r="AC83" s="3864"/>
      <c r="AD83" s="3864"/>
      <c r="AE83" s="3864"/>
      <c r="AF83" s="3864"/>
      <c r="AG83" s="3864"/>
      <c r="AH83" s="3864"/>
      <c r="AI83" s="3814"/>
      <c r="AJ83" s="3814"/>
      <c r="AK83" s="3814"/>
      <c r="AL83" s="3814"/>
      <c r="AM83" s="3814"/>
      <c r="AN83" s="3814"/>
      <c r="AO83" s="3814"/>
      <c r="AP83" s="3814"/>
      <c r="AQ83" s="3814"/>
      <c r="AR83" s="3814"/>
      <c r="AS83" s="3814"/>
      <c r="AT83" s="3814"/>
      <c r="AU83" s="3814"/>
      <c r="AV83" s="3814"/>
    </row>
    <row r="84" ht="13.5" spans="1:48">
      <c r="A84" s="3500" t="s">
        <v>6119</v>
      </c>
      <c r="B84" s="3500"/>
      <c r="C84" s="3500"/>
      <c r="D84" s="3500"/>
      <c r="E84" s="3500"/>
      <c r="F84" s="3500"/>
      <c r="G84" s="3500"/>
      <c r="H84" s="3500"/>
      <c r="I84" s="3500"/>
      <c r="J84" s="3500"/>
      <c r="K84" s="3500"/>
      <c r="L84" s="3500"/>
      <c r="M84" s="3500"/>
      <c r="N84" s="3500"/>
      <c r="O84" s="3500"/>
      <c r="P84" s="3500"/>
      <c r="Q84" s="3500"/>
      <c r="R84" s="3500"/>
      <c r="S84" s="3500"/>
      <c r="T84" s="3500"/>
      <c r="U84" s="3500"/>
      <c r="V84" s="3500"/>
      <c r="W84" s="3500"/>
      <c r="X84" s="3500"/>
      <c r="Y84" s="3500"/>
      <c r="Z84" s="3500"/>
      <c r="AA84" s="3500"/>
      <c r="AB84" s="3500"/>
      <c r="AC84" s="3500"/>
      <c r="AD84" s="3500"/>
      <c r="AE84" s="3500"/>
      <c r="AF84" s="3500"/>
      <c r="AG84" s="3500"/>
      <c r="AH84" s="3500"/>
      <c r="AI84" s="3500"/>
      <c r="AJ84" s="3500"/>
      <c r="AK84" s="3500"/>
      <c r="AL84" s="3500"/>
      <c r="AM84" s="3500"/>
      <c r="AN84" s="3500"/>
      <c r="AO84" s="3500"/>
      <c r="AP84" s="3500"/>
      <c r="AQ84" s="3500"/>
      <c r="AR84" s="3500"/>
      <c r="AS84" s="3500"/>
      <c r="AT84" s="3500"/>
      <c r="AU84" s="3500"/>
      <c r="AV84" s="3500"/>
    </row>
    <row r="85" spans="1:48">
      <c r="A85" s="3500"/>
      <c r="B85" s="3500"/>
      <c r="C85" s="3500"/>
      <c r="D85" s="3500"/>
      <c r="E85" s="3500"/>
      <c r="F85" s="3500"/>
      <c r="G85" s="3500"/>
      <c r="H85" s="3500"/>
      <c r="I85" s="3500"/>
      <c r="J85" s="3500"/>
      <c r="K85" s="3500"/>
      <c r="L85" s="3500"/>
      <c r="M85" s="3500"/>
      <c r="N85" s="3500"/>
      <c r="O85" s="3500"/>
      <c r="P85" s="3500"/>
      <c r="Q85" s="3500"/>
      <c r="R85" s="3500"/>
      <c r="S85" s="3500"/>
      <c r="T85" s="3500"/>
      <c r="U85" s="3500"/>
      <c r="V85" s="3500"/>
      <c r="W85" s="3500"/>
      <c r="X85" s="3500"/>
      <c r="Y85" s="3500"/>
      <c r="Z85" s="3500"/>
      <c r="AA85" s="3500"/>
      <c r="AB85" s="3500"/>
      <c r="AC85" s="3500"/>
      <c r="AD85" s="3500"/>
      <c r="AE85" s="3500"/>
      <c r="AF85" s="3500"/>
      <c r="AG85" s="3500"/>
      <c r="AH85" s="3500"/>
      <c r="AI85" s="3500"/>
      <c r="AJ85" s="3500"/>
      <c r="AK85" s="3500"/>
      <c r="AL85" s="3500"/>
      <c r="AM85" s="3500"/>
      <c r="AN85" s="3500"/>
      <c r="AO85" s="3500"/>
      <c r="AP85" s="3500"/>
      <c r="AQ85" s="3500"/>
      <c r="AR85" s="3500"/>
      <c r="AS85" s="3500"/>
      <c r="AT85" s="3500"/>
      <c r="AU85" s="3500"/>
      <c r="AV85" s="3500"/>
    </row>
    <row r="86" spans="1:48">
      <c r="A86" s="3500"/>
      <c r="B86" s="3500"/>
      <c r="C86" s="3500"/>
      <c r="D86" s="3500"/>
      <c r="E86" s="3500"/>
      <c r="F86" s="3500"/>
      <c r="G86" s="3500"/>
      <c r="H86" s="3500"/>
      <c r="I86" s="3500"/>
      <c r="J86" s="3500"/>
      <c r="K86" s="3500"/>
      <c r="L86" s="3500"/>
      <c r="M86" s="3500"/>
      <c r="N86" s="3500"/>
      <c r="O86" s="3500"/>
      <c r="P86" s="3500"/>
      <c r="Q86" s="3500"/>
      <c r="R86" s="3500"/>
      <c r="S86" s="3500"/>
      <c r="T86" s="3500"/>
      <c r="U86" s="3500"/>
      <c r="V86" s="3500"/>
      <c r="W86" s="3500"/>
      <c r="X86" s="3500"/>
      <c r="Y86" s="3500"/>
      <c r="Z86" s="3500"/>
      <c r="AA86" s="3500"/>
      <c r="AB86" s="3500"/>
      <c r="AC86" s="3500"/>
      <c r="AD86" s="3500"/>
      <c r="AE86" s="3500"/>
      <c r="AF86" s="3500"/>
      <c r="AG86" s="3500"/>
      <c r="AH86" s="3500"/>
      <c r="AI86" s="3500"/>
      <c r="AJ86" s="3500"/>
      <c r="AK86" s="3500"/>
      <c r="AL86" s="3500"/>
      <c r="AM86" s="3500"/>
      <c r="AN86" s="3500"/>
      <c r="AO86" s="3500"/>
      <c r="AP86" s="3500"/>
      <c r="AQ86" s="3500"/>
      <c r="AR86" s="3500"/>
      <c r="AS86" s="3500"/>
      <c r="AT86" s="3500"/>
      <c r="AU86" s="3500"/>
      <c r="AV86" s="3500"/>
    </row>
    <row r="87" ht="13.5" spans="1:48">
      <c r="A87" s="3505" t="s">
        <v>6120</v>
      </c>
      <c r="B87" s="3505"/>
      <c r="C87" s="3505"/>
      <c r="D87" s="3505"/>
      <c r="E87" s="3505"/>
      <c r="F87" s="3505"/>
      <c r="G87" s="3505"/>
      <c r="H87" s="3505"/>
      <c r="I87" s="3505"/>
      <c r="J87" s="3505"/>
      <c r="K87" s="3505"/>
      <c r="L87" s="3505"/>
      <c r="M87" s="3505"/>
      <c r="N87" s="3505"/>
      <c r="O87" s="3505"/>
      <c r="P87" s="3505"/>
      <c r="Q87" s="3505"/>
      <c r="R87" s="3505"/>
      <c r="S87" s="3505"/>
      <c r="T87" s="3505"/>
      <c r="U87" s="3505"/>
      <c r="V87" s="3505"/>
      <c r="W87" s="3505"/>
      <c r="X87" s="3505"/>
      <c r="Y87" s="3505"/>
      <c r="Z87" s="3505"/>
      <c r="AA87" s="3505"/>
      <c r="AB87" s="3505"/>
      <c r="AC87" s="3505"/>
      <c r="AD87" s="3505"/>
      <c r="AE87" s="3505"/>
      <c r="AF87" s="3505"/>
      <c r="AG87" s="3505"/>
      <c r="AH87" s="3505"/>
      <c r="AI87" s="3505"/>
      <c r="AJ87" s="3505"/>
      <c r="AK87" s="3505"/>
      <c r="AL87" s="3505"/>
      <c r="AM87" s="3505"/>
      <c r="AN87" s="3505"/>
      <c r="AO87" s="3445"/>
      <c r="AP87" s="3445"/>
      <c r="AQ87" s="3445"/>
      <c r="AR87" s="3445"/>
      <c r="AS87" s="3445"/>
      <c r="AT87" s="3445"/>
      <c r="AU87" s="3445"/>
      <c r="AV87" s="3445"/>
    </row>
    <row r="88" spans="1:48">
      <c r="A88" s="3506" t="s">
        <v>6096</v>
      </c>
      <c r="B88" s="3506"/>
      <c r="C88" s="3578" t="s">
        <v>6097</v>
      </c>
      <c r="D88" s="3579"/>
      <c r="E88" s="3579"/>
      <c r="F88" s="3579"/>
      <c r="G88" s="3579"/>
      <c r="H88" s="3579"/>
      <c r="I88" s="3579"/>
      <c r="J88" s="3579"/>
      <c r="K88" s="3579"/>
      <c r="L88" s="3579"/>
      <c r="M88" s="3579"/>
      <c r="N88" s="3579"/>
      <c r="O88" s="3579"/>
      <c r="P88" s="3579"/>
      <c r="Q88" s="3579"/>
      <c r="R88" s="3579"/>
      <c r="S88" s="3579"/>
      <c r="T88" s="3579"/>
      <c r="U88" s="3579"/>
      <c r="V88" s="3579"/>
      <c r="W88" s="3579"/>
      <c r="X88" s="3579"/>
      <c r="Y88" s="3579"/>
      <c r="Z88" s="3579"/>
      <c r="AA88" s="3579"/>
      <c r="AB88" s="3579"/>
      <c r="AC88" s="3579"/>
      <c r="AD88" s="3579"/>
      <c r="AE88" s="3580" t="s">
        <v>6098</v>
      </c>
      <c r="AF88" s="3581"/>
      <c r="AG88" s="3581"/>
      <c r="AH88" s="3581"/>
      <c r="AI88" s="3581"/>
      <c r="AJ88" s="3582"/>
      <c r="AK88" s="3583" t="s">
        <v>6099</v>
      </c>
      <c r="AL88" s="3584"/>
      <c r="AM88" s="3584"/>
      <c r="AN88" s="3585"/>
      <c r="AO88" s="3583" t="s">
        <v>6100</v>
      </c>
      <c r="AP88" s="3584"/>
      <c r="AQ88" s="3584"/>
      <c r="AR88" s="3584"/>
      <c r="AS88" s="3584"/>
      <c r="AT88" s="3584"/>
      <c r="AU88" s="3584"/>
      <c r="AV88" s="3585"/>
    </row>
    <row r="89" spans="1:48">
      <c r="A89" s="3506"/>
      <c r="B89" s="3506"/>
      <c r="C89" s="3586"/>
      <c r="D89" s="3587"/>
      <c r="E89" s="3587"/>
      <c r="F89" s="3587"/>
      <c r="G89" s="3587"/>
      <c r="H89" s="3587"/>
      <c r="I89" s="3587"/>
      <c r="J89" s="3587"/>
      <c r="K89" s="3587"/>
      <c r="L89" s="3587"/>
      <c r="M89" s="3587"/>
      <c r="N89" s="3587"/>
      <c r="O89" s="3587"/>
      <c r="P89" s="3587"/>
      <c r="Q89" s="3587"/>
      <c r="R89" s="3587"/>
      <c r="S89" s="3587"/>
      <c r="T89" s="3587"/>
      <c r="U89" s="3587"/>
      <c r="V89" s="3587"/>
      <c r="W89" s="3587"/>
      <c r="X89" s="3587"/>
      <c r="Y89" s="3587"/>
      <c r="Z89" s="3587"/>
      <c r="AA89" s="3587"/>
      <c r="AB89" s="3587"/>
      <c r="AC89" s="3587"/>
      <c r="AD89" s="3587"/>
      <c r="AE89" s="3588"/>
      <c r="AF89" s="3589"/>
      <c r="AG89" s="3589"/>
      <c r="AH89" s="3589"/>
      <c r="AI89" s="3589"/>
      <c r="AJ89" s="3590"/>
      <c r="AK89" s="3591"/>
      <c r="AL89" s="3592"/>
      <c r="AM89" s="3592"/>
      <c r="AN89" s="3593"/>
      <c r="AO89" s="3591"/>
      <c r="AP89" s="3592"/>
      <c r="AQ89" s="3592"/>
      <c r="AR89" s="3592"/>
      <c r="AS89" s="3592"/>
      <c r="AT89" s="3592"/>
      <c r="AU89" s="3592"/>
      <c r="AV89" s="3593"/>
    </row>
    <row r="90" ht="24.75" customHeight="1" spans="1:48">
      <c r="A90" s="3594" t="s">
        <v>5336</v>
      </c>
      <c r="B90" s="3595"/>
      <c r="C90" s="3577" t="s">
        <v>6121</v>
      </c>
      <c r="D90" s="3577"/>
      <c r="E90" s="3577"/>
      <c r="F90" s="3577"/>
      <c r="G90" s="3577"/>
      <c r="H90" s="3577"/>
      <c r="I90" s="3577"/>
      <c r="J90" s="3577"/>
      <c r="K90" s="3577"/>
      <c r="L90" s="3577"/>
      <c r="M90" s="3577"/>
      <c r="N90" s="3577"/>
      <c r="O90" s="3577"/>
      <c r="P90" s="3577"/>
      <c r="Q90" s="3577"/>
      <c r="R90" s="3577"/>
      <c r="S90" s="3577"/>
      <c r="T90" s="3577"/>
      <c r="U90" s="3577"/>
      <c r="V90" s="3577"/>
      <c r="W90" s="3577"/>
      <c r="X90" s="3577"/>
      <c r="Y90" s="3577"/>
      <c r="Z90" s="3577"/>
      <c r="AA90" s="3577"/>
      <c r="AB90" s="3577"/>
      <c r="AC90" s="3577"/>
      <c r="AD90" s="3577"/>
      <c r="AE90" s="3596" t="s">
        <v>6122</v>
      </c>
      <c r="AF90" s="3597"/>
      <c r="AG90" s="3597"/>
      <c r="AH90" s="3597"/>
      <c r="AI90" s="3597"/>
      <c r="AJ90" s="3598"/>
      <c r="AK90" s="3599" t="s">
        <v>6123</v>
      </c>
      <c r="AL90" s="3600"/>
      <c r="AM90" s="3600"/>
      <c r="AN90" s="3601"/>
      <c r="AO90" s="3602">
        <f>UnosPod!F234+UnosPod!F236+UnosPod!F237</f>
        <v>804</v>
      </c>
      <c r="AP90" s="3603"/>
      <c r="AQ90" s="3603"/>
      <c r="AR90" s="3603"/>
      <c r="AS90" s="3603"/>
      <c r="AT90" s="3603"/>
      <c r="AU90" s="3603"/>
      <c r="AV90" s="3604"/>
    </row>
    <row r="91" spans="1:48">
      <c r="A91" s="3594" t="s">
        <v>5428</v>
      </c>
      <c r="B91" s="3595"/>
      <c r="C91" s="3515" t="s">
        <v>6124</v>
      </c>
      <c r="D91" s="3515"/>
      <c r="E91" s="3515"/>
      <c r="F91" s="3515"/>
      <c r="G91" s="3515"/>
      <c r="H91" s="3515"/>
      <c r="I91" s="3515"/>
      <c r="J91" s="3515"/>
      <c r="K91" s="3515"/>
      <c r="L91" s="3515"/>
      <c r="M91" s="3515"/>
      <c r="N91" s="3515"/>
      <c r="O91" s="3515"/>
      <c r="P91" s="3515"/>
      <c r="Q91" s="3515"/>
      <c r="R91" s="3515"/>
      <c r="S91" s="3515"/>
      <c r="T91" s="3515"/>
      <c r="U91" s="3515"/>
      <c r="V91" s="3515"/>
      <c r="W91" s="3515"/>
      <c r="X91" s="3515"/>
      <c r="Y91" s="3515"/>
      <c r="Z91" s="3515"/>
      <c r="AA91" s="3515"/>
      <c r="AB91" s="3515"/>
      <c r="AC91" s="3515"/>
      <c r="AD91" s="3515"/>
      <c r="AE91" s="3596" t="s">
        <v>6125</v>
      </c>
      <c r="AF91" s="3597"/>
      <c r="AG91" s="3597"/>
      <c r="AH91" s="3597"/>
      <c r="AI91" s="3597"/>
      <c r="AJ91" s="3598"/>
      <c r="AK91" s="3513">
        <v>512</v>
      </c>
      <c r="AL91" s="3605"/>
      <c r="AM91" s="3605"/>
      <c r="AN91" s="3514"/>
      <c r="AO91" s="3602">
        <f>UnosPod!F235</f>
        <v>7591</v>
      </c>
      <c r="AP91" s="3603"/>
      <c r="AQ91" s="3603"/>
      <c r="AR91" s="3603"/>
      <c r="AS91" s="3603"/>
      <c r="AT91" s="3603"/>
      <c r="AU91" s="3603"/>
      <c r="AV91" s="3604"/>
    </row>
    <row r="92" ht="25.5" customHeight="1" spans="1:48">
      <c r="A92" s="3594" t="s">
        <v>5469</v>
      </c>
      <c r="B92" s="3595"/>
      <c r="C92" s="3606" t="s">
        <v>6126</v>
      </c>
      <c r="D92" s="3607"/>
      <c r="E92" s="3607"/>
      <c r="F92" s="3607"/>
      <c r="G92" s="3607"/>
      <c r="H92" s="3607"/>
      <c r="I92" s="3607"/>
      <c r="J92" s="3607"/>
      <c r="K92" s="3607"/>
      <c r="L92" s="3607"/>
      <c r="M92" s="3607"/>
      <c r="N92" s="3607"/>
      <c r="O92" s="3607"/>
      <c r="P92" s="3607"/>
      <c r="Q92" s="3607"/>
      <c r="R92" s="3607"/>
      <c r="S92" s="3607"/>
      <c r="T92" s="3607"/>
      <c r="U92" s="3607"/>
      <c r="V92" s="3607"/>
      <c r="W92" s="3607"/>
      <c r="X92" s="3607"/>
      <c r="Y92" s="3607"/>
      <c r="Z92" s="3607"/>
      <c r="AA92" s="3607"/>
      <c r="AB92" s="3607"/>
      <c r="AC92" s="3607"/>
      <c r="AD92" s="3608"/>
      <c r="AE92" s="3596" t="s">
        <v>6127</v>
      </c>
      <c r="AF92" s="3597"/>
      <c r="AG92" s="3597"/>
      <c r="AH92" s="3597"/>
      <c r="AI92" s="3597"/>
      <c r="AJ92" s="3598"/>
      <c r="AK92" s="3609" t="s">
        <v>6128</v>
      </c>
      <c r="AL92" s="3610"/>
      <c r="AM92" s="3610"/>
      <c r="AN92" s="3611"/>
      <c r="AO92" s="3602">
        <f>UnosPod!F230+UnosPod!F231</f>
        <v>0</v>
      </c>
      <c r="AP92" s="3603"/>
      <c r="AQ92" s="3603"/>
      <c r="AR92" s="3603"/>
      <c r="AS92" s="3603"/>
      <c r="AT92" s="3603"/>
      <c r="AU92" s="3603"/>
      <c r="AV92" s="3604"/>
    </row>
    <row r="93" spans="1:48">
      <c r="A93" s="3594" t="s">
        <v>5600</v>
      </c>
      <c r="B93" s="3595"/>
      <c r="C93" s="3515" t="s">
        <v>6129</v>
      </c>
      <c r="D93" s="3515"/>
      <c r="E93" s="3515"/>
      <c r="F93" s="3515"/>
      <c r="G93" s="3515"/>
      <c r="H93" s="3515"/>
      <c r="I93" s="3515"/>
      <c r="J93" s="3515"/>
      <c r="K93" s="3515"/>
      <c r="L93" s="3515"/>
      <c r="M93" s="3515"/>
      <c r="N93" s="3515"/>
      <c r="O93" s="3515"/>
      <c r="P93" s="3515"/>
      <c r="Q93" s="3515"/>
      <c r="R93" s="3515"/>
      <c r="S93" s="3515"/>
      <c r="T93" s="3515"/>
      <c r="U93" s="3515"/>
      <c r="V93" s="3515"/>
      <c r="W93" s="3515"/>
      <c r="X93" s="3515"/>
      <c r="Y93" s="3515"/>
      <c r="Z93" s="3515"/>
      <c r="AA93" s="3515"/>
      <c r="AB93" s="3515"/>
      <c r="AC93" s="3515"/>
      <c r="AD93" s="3515"/>
      <c r="AE93" s="3596" t="s">
        <v>6130</v>
      </c>
      <c r="AF93" s="3597"/>
      <c r="AG93" s="3597"/>
      <c r="AH93" s="3597"/>
      <c r="AI93" s="3597"/>
      <c r="AJ93" s="3598"/>
      <c r="AK93" s="3609"/>
      <c r="AL93" s="3610"/>
      <c r="AM93" s="3610"/>
      <c r="AN93" s="3611"/>
      <c r="AO93" s="3602">
        <f>SUM(AO94:AV107)</f>
        <v>44443</v>
      </c>
      <c r="AP93" s="3603"/>
      <c r="AQ93" s="3603"/>
      <c r="AR93" s="3603"/>
      <c r="AS93" s="3603"/>
      <c r="AT93" s="3603"/>
      <c r="AU93" s="3603"/>
      <c r="AV93" s="3604"/>
    </row>
    <row r="94" spans="1:48">
      <c r="A94" s="3594" t="s">
        <v>5078</v>
      </c>
      <c r="B94" s="3595"/>
      <c r="C94" s="3612" t="s">
        <v>6131</v>
      </c>
      <c r="D94" s="3612"/>
      <c r="E94" s="3612"/>
      <c r="F94" s="3612"/>
      <c r="G94" s="3612"/>
      <c r="H94" s="3612"/>
      <c r="I94" s="3612"/>
      <c r="J94" s="3612"/>
      <c r="K94" s="3612"/>
      <c r="L94" s="3612"/>
      <c r="M94" s="3612"/>
      <c r="N94" s="3612"/>
      <c r="O94" s="3612"/>
      <c r="P94" s="3612"/>
      <c r="Q94" s="3612"/>
      <c r="R94" s="3612"/>
      <c r="S94" s="3612"/>
      <c r="T94" s="3612"/>
      <c r="U94" s="3612"/>
      <c r="V94" s="3612"/>
      <c r="W94" s="3612"/>
      <c r="X94" s="3612"/>
      <c r="Y94" s="3612"/>
      <c r="Z94" s="3612"/>
      <c r="AA94" s="3612"/>
      <c r="AB94" s="3612"/>
      <c r="AC94" s="3612"/>
      <c r="AD94" s="3612"/>
      <c r="AE94" s="3613" t="s">
        <v>6132</v>
      </c>
      <c r="AF94" s="3614"/>
      <c r="AG94" s="3614"/>
      <c r="AH94" s="3614"/>
      <c r="AI94" s="3614"/>
      <c r="AJ94" s="3615"/>
      <c r="AK94" s="3609">
        <v>530</v>
      </c>
      <c r="AL94" s="3610"/>
      <c r="AM94" s="3610"/>
      <c r="AN94" s="3611"/>
      <c r="AO94" s="3520">
        <f>UnosPod!F255</f>
        <v>0</v>
      </c>
      <c r="AP94" s="3521"/>
      <c r="AQ94" s="3521"/>
      <c r="AR94" s="3521"/>
      <c r="AS94" s="3521"/>
      <c r="AT94" s="3521"/>
      <c r="AU94" s="3521"/>
      <c r="AV94" s="3522"/>
    </row>
    <row r="95" spans="1:48">
      <c r="A95" s="3594" t="s">
        <v>6133</v>
      </c>
      <c r="B95" s="3595"/>
      <c r="C95" s="3612" t="s">
        <v>6134</v>
      </c>
      <c r="D95" s="3612"/>
      <c r="E95" s="3612"/>
      <c r="F95" s="3612"/>
      <c r="G95" s="3612"/>
      <c r="H95" s="3612"/>
      <c r="I95" s="3612"/>
      <c r="J95" s="3612"/>
      <c r="K95" s="3612"/>
      <c r="L95" s="3612"/>
      <c r="M95" s="3612"/>
      <c r="N95" s="3612"/>
      <c r="O95" s="3612"/>
      <c r="P95" s="3612"/>
      <c r="Q95" s="3612"/>
      <c r="R95" s="3612"/>
      <c r="S95" s="3612"/>
      <c r="T95" s="3612"/>
      <c r="U95" s="3612"/>
      <c r="V95" s="3612"/>
      <c r="W95" s="3612"/>
      <c r="X95" s="3612"/>
      <c r="Y95" s="3612"/>
      <c r="Z95" s="3612"/>
      <c r="AA95" s="3612"/>
      <c r="AB95" s="3612"/>
      <c r="AC95" s="3612"/>
      <c r="AD95" s="3612"/>
      <c r="AE95" s="3613" t="s">
        <v>6135</v>
      </c>
      <c r="AF95" s="3614"/>
      <c r="AG95" s="3614"/>
      <c r="AH95" s="3614"/>
      <c r="AI95" s="3614"/>
      <c r="AJ95" s="3615"/>
      <c r="AK95" s="3513" t="s">
        <v>6136</v>
      </c>
      <c r="AL95" s="3605"/>
      <c r="AM95" s="3605"/>
      <c r="AN95" s="3514"/>
      <c r="AO95" s="3520">
        <f>UnosPod!F257</f>
        <v>24172</v>
      </c>
      <c r="AP95" s="3521"/>
      <c r="AQ95" s="3521"/>
      <c r="AR95" s="3521"/>
      <c r="AS95" s="3521"/>
      <c r="AT95" s="3521"/>
      <c r="AU95" s="3521"/>
      <c r="AV95" s="3522"/>
    </row>
    <row r="96" spans="1:48">
      <c r="A96" s="3594" t="s">
        <v>6137</v>
      </c>
      <c r="B96" s="3595"/>
      <c r="C96" s="3616" t="s">
        <v>6138</v>
      </c>
      <c r="D96" s="3616"/>
      <c r="E96" s="3616"/>
      <c r="F96" s="3616"/>
      <c r="G96" s="3616"/>
      <c r="H96" s="3616"/>
      <c r="I96" s="3616"/>
      <c r="J96" s="3616"/>
      <c r="K96" s="3616"/>
      <c r="L96" s="3616"/>
      <c r="M96" s="3616"/>
      <c r="N96" s="3616"/>
      <c r="O96" s="3616"/>
      <c r="P96" s="3616"/>
      <c r="Q96" s="3616"/>
      <c r="R96" s="3616"/>
      <c r="S96" s="3616"/>
      <c r="T96" s="3616"/>
      <c r="U96" s="3616"/>
      <c r="V96" s="3616"/>
      <c r="W96" s="3616"/>
      <c r="X96" s="3616"/>
      <c r="Y96" s="3616"/>
      <c r="Z96" s="3616"/>
      <c r="AA96" s="3616"/>
      <c r="AB96" s="3616"/>
      <c r="AC96" s="3616"/>
      <c r="AD96" s="3616"/>
      <c r="AE96" s="3613" t="s">
        <v>6139</v>
      </c>
      <c r="AF96" s="3614"/>
      <c r="AG96" s="3614"/>
      <c r="AH96" s="3614"/>
      <c r="AI96" s="3614"/>
      <c r="AJ96" s="3615"/>
      <c r="AK96" s="3513">
        <v>531</v>
      </c>
      <c r="AL96" s="3605"/>
      <c r="AM96" s="3605"/>
      <c r="AN96" s="3514"/>
      <c r="AO96" s="3520">
        <f>UnosPod!F256</f>
        <v>0</v>
      </c>
      <c r="AP96" s="3521"/>
      <c r="AQ96" s="3521"/>
      <c r="AR96" s="3521"/>
      <c r="AS96" s="3521"/>
      <c r="AT96" s="3521"/>
      <c r="AU96" s="3521"/>
      <c r="AV96" s="3522"/>
    </row>
    <row r="97" spans="1:49">
      <c r="A97" s="3594" t="s">
        <v>6140</v>
      </c>
      <c r="B97" s="3595"/>
      <c r="C97" s="3616" t="s">
        <v>6141</v>
      </c>
      <c r="D97" s="3616"/>
      <c r="E97" s="3616"/>
      <c r="F97" s="3616"/>
      <c r="G97" s="3616"/>
      <c r="H97" s="3616"/>
      <c r="I97" s="3616"/>
      <c r="J97" s="3616"/>
      <c r="K97" s="3616"/>
      <c r="L97" s="3616"/>
      <c r="M97" s="3616"/>
      <c r="N97" s="3616"/>
      <c r="O97" s="3616"/>
      <c r="P97" s="3616"/>
      <c r="Q97" s="3616"/>
      <c r="R97" s="3616"/>
      <c r="S97" s="3616"/>
      <c r="T97" s="3616"/>
      <c r="U97" s="3616"/>
      <c r="V97" s="3616"/>
      <c r="W97" s="3616"/>
      <c r="X97" s="3616"/>
      <c r="Y97" s="3616"/>
      <c r="Z97" s="3616"/>
      <c r="AA97" s="3616"/>
      <c r="AB97" s="3616"/>
      <c r="AC97" s="3616"/>
      <c r="AD97" s="3616"/>
      <c r="AE97" s="3613" t="s">
        <v>6142</v>
      </c>
      <c r="AF97" s="3614"/>
      <c r="AG97" s="3614"/>
      <c r="AH97" s="3614"/>
      <c r="AI97" s="3614"/>
      <c r="AJ97" s="3615"/>
      <c r="AK97" s="3513">
        <v>554</v>
      </c>
      <c r="AL97" s="3605"/>
      <c r="AM97" s="3605"/>
      <c r="AN97" s="3514"/>
      <c r="AO97" s="3520">
        <f>UnosPod!F301</f>
        <v>11889</v>
      </c>
      <c r="AP97" s="3521"/>
      <c r="AQ97" s="3521"/>
      <c r="AR97" s="3521"/>
      <c r="AS97" s="3521"/>
      <c r="AT97" s="3521"/>
      <c r="AU97" s="3521"/>
      <c r="AV97" s="3522"/>
    </row>
    <row r="98" spans="1:49">
      <c r="A98" s="3594" t="s">
        <v>6143</v>
      </c>
      <c r="B98" s="3595"/>
      <c r="C98" s="3616" t="s">
        <v>6144</v>
      </c>
      <c r="D98" s="3616"/>
      <c r="E98" s="3616"/>
      <c r="F98" s="3616"/>
      <c r="G98" s="3616"/>
      <c r="H98" s="3616"/>
      <c r="I98" s="3616"/>
      <c r="J98" s="3616"/>
      <c r="K98" s="3616"/>
      <c r="L98" s="3616"/>
      <c r="M98" s="3616"/>
      <c r="N98" s="3616"/>
      <c r="O98" s="3616"/>
      <c r="P98" s="3616"/>
      <c r="Q98" s="3616"/>
      <c r="R98" s="3616"/>
      <c r="S98" s="3616"/>
      <c r="T98" s="3616"/>
      <c r="U98" s="3616"/>
      <c r="V98" s="3616"/>
      <c r="W98" s="3616"/>
      <c r="X98" s="3616"/>
      <c r="Y98" s="3616"/>
      <c r="Z98" s="3616"/>
      <c r="AA98" s="3616"/>
      <c r="AB98" s="3616"/>
      <c r="AC98" s="3616"/>
      <c r="AD98" s="3616"/>
      <c r="AE98" s="3613" t="s">
        <v>6145</v>
      </c>
      <c r="AF98" s="3614"/>
      <c r="AG98" s="3614"/>
      <c r="AH98" s="3614"/>
      <c r="AI98" s="3614"/>
      <c r="AJ98" s="3615"/>
      <c r="AK98" s="3513" t="s">
        <v>6146</v>
      </c>
      <c r="AL98" s="3605"/>
      <c r="AM98" s="3605"/>
      <c r="AN98" s="3514"/>
      <c r="AO98" s="3520">
        <f>UnosPod!F259+UnosPod!F260</f>
        <v>0</v>
      </c>
      <c r="AP98" s="3521"/>
      <c r="AQ98" s="3521"/>
      <c r="AR98" s="3521"/>
      <c r="AS98" s="3521"/>
      <c r="AT98" s="3521"/>
      <c r="AU98" s="3521"/>
      <c r="AV98" s="3522"/>
    </row>
    <row r="99" spans="1:49">
      <c r="A99" s="3594" t="s">
        <v>301</v>
      </c>
      <c r="B99" s="3595"/>
      <c r="C99" s="3616" t="s">
        <v>6147</v>
      </c>
      <c r="D99" s="3616"/>
      <c r="E99" s="3616"/>
      <c r="F99" s="3616"/>
      <c r="G99" s="3616"/>
      <c r="H99" s="3616"/>
      <c r="I99" s="3616"/>
      <c r="J99" s="3616"/>
      <c r="K99" s="3616"/>
      <c r="L99" s="3616"/>
      <c r="M99" s="3616"/>
      <c r="N99" s="3616"/>
      <c r="O99" s="3616"/>
      <c r="P99" s="3616"/>
      <c r="Q99" s="3616"/>
      <c r="R99" s="3616"/>
      <c r="S99" s="3616"/>
      <c r="T99" s="3616"/>
      <c r="U99" s="3616"/>
      <c r="V99" s="3616"/>
      <c r="W99" s="3616"/>
      <c r="X99" s="3616"/>
      <c r="Y99" s="3616"/>
      <c r="Z99" s="3616"/>
      <c r="AA99" s="3616"/>
      <c r="AB99" s="3616"/>
      <c r="AC99" s="3616"/>
      <c r="AD99" s="3616"/>
      <c r="AE99" s="3613" t="s">
        <v>6148</v>
      </c>
      <c r="AF99" s="3614"/>
      <c r="AG99" s="3614"/>
      <c r="AH99" s="3614"/>
      <c r="AI99" s="3614"/>
      <c r="AJ99" s="3615"/>
      <c r="AK99" s="3513" t="s">
        <v>6149</v>
      </c>
      <c r="AL99" s="3605"/>
      <c r="AM99" s="3605"/>
      <c r="AN99" s="3514"/>
      <c r="AO99" s="3520">
        <f>UnosPod!F261+UnosPod!F262</f>
        <v>0</v>
      </c>
      <c r="AP99" s="3521"/>
      <c r="AQ99" s="3521"/>
      <c r="AR99" s="3521"/>
      <c r="AS99" s="3521"/>
      <c r="AT99" s="3521"/>
      <c r="AU99" s="3521"/>
      <c r="AV99" s="3522"/>
    </row>
    <row r="100" spans="1:49">
      <c r="A100" s="3594" t="s">
        <v>303</v>
      </c>
      <c r="B100" s="3595"/>
      <c r="C100" s="3617" t="s">
        <v>6150</v>
      </c>
      <c r="D100" s="3618"/>
      <c r="E100" s="3618"/>
      <c r="F100" s="3618"/>
      <c r="G100" s="3618"/>
      <c r="H100" s="3618"/>
      <c r="I100" s="3618"/>
      <c r="J100" s="3618"/>
      <c r="K100" s="3618"/>
      <c r="L100" s="3618"/>
      <c r="M100" s="3618"/>
      <c r="N100" s="3618"/>
      <c r="O100" s="3618"/>
      <c r="P100" s="3618"/>
      <c r="Q100" s="3618"/>
      <c r="R100" s="3618"/>
      <c r="S100" s="3618"/>
      <c r="T100" s="3618"/>
      <c r="U100" s="3618"/>
      <c r="V100" s="3618"/>
      <c r="W100" s="3618"/>
      <c r="X100" s="3618"/>
      <c r="Y100" s="3618"/>
      <c r="Z100" s="3618"/>
      <c r="AA100" s="3618"/>
      <c r="AB100" s="3618"/>
      <c r="AC100" s="3618"/>
      <c r="AD100" s="3619"/>
      <c r="AE100" s="3613" t="s">
        <v>6151</v>
      </c>
      <c r="AF100" s="3614"/>
      <c r="AG100" s="3614"/>
      <c r="AH100" s="3614"/>
      <c r="AI100" s="3614"/>
      <c r="AJ100" s="3615"/>
      <c r="AK100" s="3513" t="s">
        <v>6152</v>
      </c>
      <c r="AL100" s="3605"/>
      <c r="AM100" s="3605"/>
      <c r="AN100" s="3514"/>
      <c r="AO100" s="3520">
        <f>UnosPod!F297-AO116</f>
        <v>7255</v>
      </c>
      <c r="AP100" s="3521"/>
      <c r="AQ100" s="3521"/>
      <c r="AR100" s="3521"/>
      <c r="AS100" s="3521"/>
      <c r="AT100" s="3521"/>
      <c r="AU100" s="3521"/>
      <c r="AV100" s="3522"/>
    </row>
    <row r="101" spans="1:49">
      <c r="A101" s="3594" t="s">
        <v>305</v>
      </c>
      <c r="B101" s="3595"/>
      <c r="C101" s="3616" t="s">
        <v>6153</v>
      </c>
      <c r="D101" s="3616"/>
      <c r="E101" s="3616"/>
      <c r="F101" s="3616"/>
      <c r="G101" s="3616"/>
      <c r="H101" s="3616"/>
      <c r="I101" s="3616"/>
      <c r="J101" s="3616"/>
      <c r="K101" s="3616"/>
      <c r="L101" s="3616"/>
      <c r="M101" s="3616"/>
      <c r="N101" s="3616"/>
      <c r="O101" s="3616"/>
      <c r="P101" s="3616"/>
      <c r="Q101" s="3616"/>
      <c r="R101" s="3616"/>
      <c r="S101" s="3616"/>
      <c r="T101" s="3616"/>
      <c r="U101" s="3616"/>
      <c r="V101" s="3616"/>
      <c r="W101" s="3616"/>
      <c r="X101" s="3616"/>
      <c r="Y101" s="3616"/>
      <c r="Z101" s="3616"/>
      <c r="AA101" s="3616"/>
      <c r="AB101" s="3616"/>
      <c r="AC101" s="3616"/>
      <c r="AD101" s="3616"/>
      <c r="AE101" s="3613" t="s">
        <v>6154</v>
      </c>
      <c r="AF101" s="3614"/>
      <c r="AG101" s="3614"/>
      <c r="AH101" s="3614"/>
      <c r="AI101" s="3614"/>
      <c r="AJ101" s="3615"/>
      <c r="AK101" s="3513">
        <v>552</v>
      </c>
      <c r="AL101" s="3605"/>
      <c r="AM101" s="3605"/>
      <c r="AN101" s="3514"/>
      <c r="AO101" s="3520">
        <f>UnosPod!F299</f>
        <v>0</v>
      </c>
      <c r="AP101" s="3521"/>
      <c r="AQ101" s="3521"/>
      <c r="AR101" s="3521"/>
      <c r="AS101" s="3521"/>
      <c r="AT101" s="3521"/>
      <c r="AU101" s="3521"/>
      <c r="AV101" s="3522"/>
    </row>
    <row r="102" spans="1:49">
      <c r="A102" s="3594" t="s">
        <v>307</v>
      </c>
      <c r="B102" s="3595"/>
      <c r="C102" s="3620" t="s">
        <v>6155</v>
      </c>
      <c r="D102" s="3620"/>
      <c r="E102" s="3620"/>
      <c r="F102" s="3620"/>
      <c r="G102" s="3620"/>
      <c r="H102" s="3620"/>
      <c r="I102" s="3620"/>
      <c r="J102" s="3620"/>
      <c r="K102" s="3620"/>
      <c r="L102" s="3620"/>
      <c r="M102" s="3620"/>
      <c r="N102" s="3620"/>
      <c r="O102" s="3620"/>
      <c r="P102" s="3620"/>
      <c r="Q102" s="3620"/>
      <c r="R102" s="3620"/>
      <c r="S102" s="3620"/>
      <c r="T102" s="3620"/>
      <c r="U102" s="3620"/>
      <c r="V102" s="3620"/>
      <c r="W102" s="3620"/>
      <c r="X102" s="3620"/>
      <c r="Y102" s="3620"/>
      <c r="Z102" s="3620"/>
      <c r="AA102" s="3620"/>
      <c r="AB102" s="3620"/>
      <c r="AC102" s="3620"/>
      <c r="AD102" s="3620"/>
      <c r="AE102" s="3613" t="s">
        <v>6156</v>
      </c>
      <c r="AF102" s="3614"/>
      <c r="AG102" s="3614"/>
      <c r="AH102" s="3614"/>
      <c r="AI102" s="3614"/>
      <c r="AJ102" s="3615"/>
      <c r="AK102" s="3513"/>
      <c r="AL102" s="3605"/>
      <c r="AM102" s="3605"/>
      <c r="AN102" s="3514"/>
      <c r="AO102" s="3520"/>
      <c r="AP102" s="3521"/>
      <c r="AQ102" s="3521"/>
      <c r="AR102" s="3521"/>
      <c r="AS102" s="3521"/>
      <c r="AT102" s="3521"/>
      <c r="AU102" s="3521"/>
      <c r="AV102" s="3522"/>
    </row>
    <row r="103" spans="1:49">
      <c r="A103" s="3594" t="s">
        <v>309</v>
      </c>
      <c r="B103" s="3595"/>
      <c r="C103" s="3612" t="s">
        <v>6157</v>
      </c>
      <c r="D103" s="3612"/>
      <c r="E103" s="3612"/>
      <c r="F103" s="3612"/>
      <c r="G103" s="3612"/>
      <c r="H103" s="3612"/>
      <c r="I103" s="3612"/>
      <c r="J103" s="3612"/>
      <c r="K103" s="3612"/>
      <c r="L103" s="3612"/>
      <c r="M103" s="3612"/>
      <c r="N103" s="3612"/>
      <c r="O103" s="3612"/>
      <c r="P103" s="3612"/>
      <c r="Q103" s="3612"/>
      <c r="R103" s="3612"/>
      <c r="S103" s="3612"/>
      <c r="T103" s="3612"/>
      <c r="U103" s="3612"/>
      <c r="V103" s="3612"/>
      <c r="W103" s="3612"/>
      <c r="X103" s="3612"/>
      <c r="Y103" s="3612"/>
      <c r="Z103" s="3612"/>
      <c r="AA103" s="3612"/>
      <c r="AB103" s="3612"/>
      <c r="AC103" s="3612"/>
      <c r="AD103" s="3612"/>
      <c r="AE103" s="3613" t="s">
        <v>6158</v>
      </c>
      <c r="AF103" s="3614"/>
      <c r="AG103" s="3614"/>
      <c r="AH103" s="3614"/>
      <c r="AI103" s="3614"/>
      <c r="AJ103" s="3615"/>
      <c r="AK103" s="3513" t="s">
        <v>6159</v>
      </c>
      <c r="AL103" s="3605"/>
      <c r="AM103" s="3605"/>
      <c r="AN103" s="3514"/>
      <c r="AO103" s="3520">
        <f>UnosPod!F263</f>
        <v>0</v>
      </c>
      <c r="AP103" s="3521"/>
      <c r="AQ103" s="3521"/>
      <c r="AR103" s="3521"/>
      <c r="AS103" s="3521"/>
      <c r="AT103" s="3521"/>
      <c r="AU103" s="3521"/>
      <c r="AV103" s="3522"/>
    </row>
    <row r="104" spans="1:49">
      <c r="A104" s="3594" t="s">
        <v>311</v>
      </c>
      <c r="B104" s="3595"/>
      <c r="C104" s="3621" t="s">
        <v>6160</v>
      </c>
      <c r="D104" s="3622"/>
      <c r="E104" s="3622"/>
      <c r="F104" s="3622"/>
      <c r="G104" s="3622"/>
      <c r="H104" s="3622"/>
      <c r="I104" s="3622"/>
      <c r="J104" s="3622"/>
      <c r="K104" s="3622"/>
      <c r="L104" s="3622"/>
      <c r="M104" s="3622"/>
      <c r="N104" s="3622"/>
      <c r="O104" s="3622"/>
      <c r="P104" s="3622"/>
      <c r="Q104" s="3622"/>
      <c r="R104" s="3622"/>
      <c r="S104" s="3622"/>
      <c r="T104" s="3622"/>
      <c r="U104" s="3622"/>
      <c r="V104" s="3622"/>
      <c r="W104" s="3622"/>
      <c r="X104" s="3622"/>
      <c r="Y104" s="3622"/>
      <c r="Z104" s="3622"/>
      <c r="AA104" s="3622"/>
      <c r="AB104" s="3622"/>
      <c r="AC104" s="3622"/>
      <c r="AD104" s="3623"/>
      <c r="AE104" s="3613" t="s">
        <v>6161</v>
      </c>
      <c r="AF104" s="3614"/>
      <c r="AG104" s="3614"/>
      <c r="AH104" s="3614"/>
      <c r="AI104" s="3614"/>
      <c r="AJ104" s="3615"/>
      <c r="AK104" s="3513">
        <v>553</v>
      </c>
      <c r="AL104" s="3605"/>
      <c r="AM104" s="3605"/>
      <c r="AN104" s="3514"/>
      <c r="AO104" s="3520">
        <f>UnosPod!F300</f>
        <v>1127</v>
      </c>
      <c r="AP104" s="3521"/>
      <c r="AQ104" s="3521"/>
      <c r="AR104" s="3521"/>
      <c r="AS104" s="3521"/>
      <c r="AT104" s="3521"/>
      <c r="AU104" s="3521"/>
      <c r="AV104" s="3522"/>
    </row>
    <row r="105" ht="24.75" customHeight="1" spans="1:49">
      <c r="A105" s="3594" t="s">
        <v>313</v>
      </c>
      <c r="B105" s="3595"/>
      <c r="C105" s="3624" t="s">
        <v>6162</v>
      </c>
      <c r="D105" s="3625"/>
      <c r="E105" s="3625"/>
      <c r="F105" s="3625"/>
      <c r="G105" s="3625"/>
      <c r="H105" s="3625"/>
      <c r="I105" s="3625"/>
      <c r="J105" s="3625"/>
      <c r="K105" s="3625"/>
      <c r="L105" s="3625"/>
      <c r="M105" s="3625"/>
      <c r="N105" s="3625"/>
      <c r="O105" s="3625"/>
      <c r="P105" s="3625"/>
      <c r="Q105" s="3625"/>
      <c r="R105" s="3625"/>
      <c r="S105" s="3625"/>
      <c r="T105" s="3625"/>
      <c r="U105" s="3625"/>
      <c r="V105" s="3625"/>
      <c r="W105" s="3625"/>
      <c r="X105" s="3625"/>
      <c r="Y105" s="3625"/>
      <c r="Z105" s="3625"/>
      <c r="AA105" s="3625"/>
      <c r="AB105" s="3625"/>
      <c r="AC105" s="3625"/>
      <c r="AD105" s="3626"/>
      <c r="AE105" s="3613" t="s">
        <v>6163</v>
      </c>
      <c r="AF105" s="3614"/>
      <c r="AG105" s="3614"/>
      <c r="AH105" s="3614"/>
      <c r="AI105" s="3614"/>
      <c r="AJ105" s="3615"/>
      <c r="AK105" s="3568" t="s">
        <v>6164</v>
      </c>
      <c r="AL105" s="3569"/>
      <c r="AM105" s="3569"/>
      <c r="AN105" s="3570"/>
      <c r="AO105" s="3520">
        <f>UnosPod!F253-AO107</f>
        <v>0</v>
      </c>
      <c r="AP105" s="3521"/>
      <c r="AQ105" s="3521"/>
      <c r="AR105" s="3521"/>
      <c r="AS105" s="3521"/>
      <c r="AT105" s="3521"/>
      <c r="AU105" s="3521"/>
      <c r="AV105" s="3522"/>
      <c r="AW105" s="2085"/>
    </row>
    <row r="106" spans="1:49">
      <c r="A106" s="3594" t="s">
        <v>508</v>
      </c>
      <c r="B106" s="3595"/>
      <c r="C106" s="3612" t="s">
        <v>6165</v>
      </c>
      <c r="D106" s="3612"/>
      <c r="E106" s="3612"/>
      <c r="F106" s="3612"/>
      <c r="G106" s="3612"/>
      <c r="H106" s="3612"/>
      <c r="I106" s="3612"/>
      <c r="J106" s="3612"/>
      <c r="K106" s="3612"/>
      <c r="L106" s="3612"/>
      <c r="M106" s="3612"/>
      <c r="N106" s="3612"/>
      <c r="O106" s="3612"/>
      <c r="P106" s="3612"/>
      <c r="Q106" s="3612"/>
      <c r="R106" s="3612"/>
      <c r="S106" s="3612"/>
      <c r="T106" s="3612"/>
      <c r="U106" s="3612"/>
      <c r="V106" s="3612"/>
      <c r="W106" s="3612"/>
      <c r="X106" s="3612"/>
      <c r="Y106" s="3612"/>
      <c r="Z106" s="3612"/>
      <c r="AA106" s="3612"/>
      <c r="AB106" s="3612"/>
      <c r="AC106" s="3612"/>
      <c r="AD106" s="3612"/>
      <c r="AE106" s="3613" t="s">
        <v>6166</v>
      </c>
      <c r="AF106" s="3614"/>
      <c r="AG106" s="3614"/>
      <c r="AH106" s="3614"/>
      <c r="AI106" s="3614"/>
      <c r="AJ106" s="3615"/>
      <c r="AK106" s="3513">
        <v>533</v>
      </c>
      <c r="AL106" s="3605"/>
      <c r="AM106" s="3605"/>
      <c r="AN106" s="3514"/>
      <c r="AO106" s="3520">
        <f>UnosPod!F258</f>
        <v>0</v>
      </c>
      <c r="AP106" s="3521"/>
      <c r="AQ106" s="3521"/>
      <c r="AR106" s="3521"/>
      <c r="AS106" s="3521"/>
      <c r="AT106" s="3521"/>
      <c r="AU106" s="3521"/>
      <c r="AV106" s="3522"/>
    </row>
    <row r="107" ht="29.25" customHeight="1" spans="1:49">
      <c r="A107" s="3594" t="s">
        <v>522</v>
      </c>
      <c r="B107" s="3595"/>
      <c r="C107" s="3620" t="s">
        <v>6353</v>
      </c>
      <c r="D107" s="3620"/>
      <c r="E107" s="3620"/>
      <c r="F107" s="3620"/>
      <c r="G107" s="3620"/>
      <c r="H107" s="3620"/>
      <c r="I107" s="3620"/>
      <c r="J107" s="3620"/>
      <c r="K107" s="3620"/>
      <c r="L107" s="3620"/>
      <c r="M107" s="3620"/>
      <c r="N107" s="3620"/>
      <c r="O107" s="3620"/>
      <c r="P107" s="3620"/>
      <c r="Q107" s="3620"/>
      <c r="R107" s="3620"/>
      <c r="S107" s="3620"/>
      <c r="T107" s="3620"/>
      <c r="U107" s="3620"/>
      <c r="V107" s="3620"/>
      <c r="W107" s="3620"/>
      <c r="X107" s="3620"/>
      <c r="Y107" s="3620"/>
      <c r="Z107" s="3620"/>
      <c r="AA107" s="3620"/>
      <c r="AB107" s="3620"/>
      <c r="AC107" s="3620"/>
      <c r="AD107" s="3620"/>
      <c r="AE107" s="3613" t="s">
        <v>6168</v>
      </c>
      <c r="AF107" s="3614"/>
      <c r="AG107" s="3614"/>
      <c r="AH107" s="3614"/>
      <c r="AI107" s="3614"/>
      <c r="AJ107" s="3615"/>
      <c r="AK107" s="3513" t="s">
        <v>6159</v>
      </c>
      <c r="AL107" s="3605"/>
      <c r="AM107" s="3605"/>
      <c r="AN107" s="3514"/>
      <c r="AO107" s="3520"/>
      <c r="AP107" s="3521"/>
      <c r="AQ107" s="3521"/>
      <c r="AR107" s="3521"/>
      <c r="AS107" s="3521"/>
      <c r="AT107" s="3521"/>
      <c r="AU107" s="3521"/>
      <c r="AV107" s="3522"/>
    </row>
    <row r="108" ht="24.75" customHeight="1" spans="1:49">
      <c r="A108" s="3594" t="s">
        <v>536</v>
      </c>
      <c r="B108" s="3595"/>
      <c r="C108" s="3627" t="s">
        <v>6169</v>
      </c>
      <c r="D108" s="3628"/>
      <c r="E108" s="3628"/>
      <c r="F108" s="3628"/>
      <c r="G108" s="3628"/>
      <c r="H108" s="3628"/>
      <c r="I108" s="3628"/>
      <c r="J108" s="3628"/>
      <c r="K108" s="3628"/>
      <c r="L108" s="3628"/>
      <c r="M108" s="3628"/>
      <c r="N108" s="3628"/>
      <c r="O108" s="3628"/>
      <c r="P108" s="3628"/>
      <c r="Q108" s="3628"/>
      <c r="R108" s="3628"/>
      <c r="S108" s="3628"/>
      <c r="T108" s="3628"/>
      <c r="U108" s="3628"/>
      <c r="V108" s="3628"/>
      <c r="W108" s="3628"/>
      <c r="X108" s="3628"/>
      <c r="Y108" s="3628"/>
      <c r="Z108" s="3628"/>
      <c r="AA108" s="3628"/>
      <c r="AB108" s="3628"/>
      <c r="AC108" s="3628"/>
      <c r="AD108" s="3629"/>
      <c r="AE108" s="3596" t="s">
        <v>6170</v>
      </c>
      <c r="AF108" s="3597"/>
      <c r="AG108" s="3597"/>
      <c r="AH108" s="3597"/>
      <c r="AI108" s="3597"/>
      <c r="AJ108" s="3598"/>
      <c r="AK108" s="3513"/>
      <c r="AL108" s="3605"/>
      <c r="AM108" s="3605"/>
      <c r="AN108" s="3514"/>
      <c r="AO108" s="3602">
        <f>AO109+AO110+AO111</f>
        <v>197104</v>
      </c>
      <c r="AP108" s="3603"/>
      <c r="AQ108" s="3603"/>
      <c r="AR108" s="3603"/>
      <c r="AS108" s="3603"/>
      <c r="AT108" s="3603"/>
      <c r="AU108" s="3603"/>
      <c r="AV108" s="3604"/>
    </row>
    <row r="109" ht="24.75" customHeight="1" spans="1:49">
      <c r="A109" s="3594" t="s">
        <v>550</v>
      </c>
      <c r="B109" s="3595"/>
      <c r="C109" s="3630" t="s">
        <v>6171</v>
      </c>
      <c r="D109" s="3631"/>
      <c r="E109" s="3631"/>
      <c r="F109" s="3631"/>
      <c r="G109" s="3631"/>
      <c r="H109" s="3631"/>
      <c r="I109" s="3631"/>
      <c r="J109" s="3631"/>
      <c r="K109" s="3631"/>
      <c r="L109" s="3631"/>
      <c r="M109" s="3631"/>
      <c r="N109" s="3631"/>
      <c r="O109" s="3631"/>
      <c r="P109" s="3631"/>
      <c r="Q109" s="3631"/>
      <c r="R109" s="3631"/>
      <c r="S109" s="3631"/>
      <c r="T109" s="3631"/>
      <c r="U109" s="3631"/>
      <c r="V109" s="3631"/>
      <c r="W109" s="3631"/>
      <c r="X109" s="3631"/>
      <c r="Y109" s="3631"/>
      <c r="Z109" s="3631"/>
      <c r="AA109" s="3631"/>
      <c r="AB109" s="3631"/>
      <c r="AC109" s="3631"/>
      <c r="AD109" s="3632"/>
      <c r="AE109" s="3633" t="s">
        <v>6172</v>
      </c>
      <c r="AF109" s="3634"/>
      <c r="AG109" s="3634"/>
      <c r="AH109" s="3634"/>
      <c r="AI109" s="3634"/>
      <c r="AJ109" s="3635"/>
      <c r="AK109" s="3513" t="s">
        <v>6173</v>
      </c>
      <c r="AL109" s="3605"/>
      <c r="AM109" s="3605"/>
      <c r="AN109" s="3514"/>
      <c r="AO109" s="3520">
        <f>UnosPod!F244+UnosPod!F249-UnosPod!F243-UnosPod!F248</f>
        <v>152542</v>
      </c>
      <c r="AP109" s="3521"/>
      <c r="AQ109" s="3521"/>
      <c r="AR109" s="3521"/>
      <c r="AS109" s="3521"/>
      <c r="AT109" s="3521"/>
      <c r="AU109" s="3521"/>
      <c r="AV109" s="3522"/>
    </row>
    <row r="110" ht="24.75" customHeight="1" spans="1:49">
      <c r="A110" s="3594" t="s">
        <v>563</v>
      </c>
      <c r="B110" s="3595"/>
      <c r="C110" s="3630" t="s">
        <v>6174</v>
      </c>
      <c r="D110" s="3631"/>
      <c r="E110" s="3631"/>
      <c r="F110" s="3631"/>
      <c r="G110" s="3631"/>
      <c r="H110" s="3631"/>
      <c r="I110" s="3631"/>
      <c r="J110" s="3631"/>
      <c r="K110" s="3631"/>
      <c r="L110" s="3631"/>
      <c r="M110" s="3631"/>
      <c r="N110" s="3631"/>
      <c r="O110" s="3631"/>
      <c r="P110" s="3631"/>
      <c r="Q110" s="3631"/>
      <c r="R110" s="3631"/>
      <c r="S110" s="3631"/>
      <c r="T110" s="3631"/>
      <c r="U110" s="3631"/>
      <c r="V110" s="3631"/>
      <c r="W110" s="3631"/>
      <c r="X110" s="3631"/>
      <c r="Y110" s="3631"/>
      <c r="Z110" s="3631"/>
      <c r="AA110" s="3631"/>
      <c r="AB110" s="3631"/>
      <c r="AC110" s="3631"/>
      <c r="AD110" s="3632"/>
      <c r="AE110" s="3633" t="s">
        <v>6175</v>
      </c>
      <c r="AF110" s="3634"/>
      <c r="AG110" s="3634"/>
      <c r="AH110" s="3634"/>
      <c r="AI110" s="3634"/>
      <c r="AJ110" s="3635"/>
      <c r="AK110" s="3513" t="s">
        <v>6176</v>
      </c>
      <c r="AL110" s="3605"/>
      <c r="AM110" s="3605"/>
      <c r="AN110" s="3514"/>
      <c r="AO110" s="3520">
        <f>UnosPod!F251+UnosPod!F252</f>
        <v>33957</v>
      </c>
      <c r="AP110" s="3521"/>
      <c r="AQ110" s="3521"/>
      <c r="AR110" s="3521"/>
      <c r="AS110" s="3521"/>
      <c r="AT110" s="3521"/>
      <c r="AU110" s="3521"/>
      <c r="AV110" s="3522"/>
    </row>
    <row r="111" spans="1:49">
      <c r="A111" s="3594" t="s">
        <v>575</v>
      </c>
      <c r="B111" s="3595"/>
      <c r="C111" s="3636" t="s">
        <v>6177</v>
      </c>
      <c r="D111" s="3637"/>
      <c r="E111" s="3637"/>
      <c r="F111" s="3637"/>
      <c r="G111" s="3637"/>
      <c r="H111" s="3637"/>
      <c r="I111" s="3637"/>
      <c r="J111" s="3637"/>
      <c r="K111" s="3637"/>
      <c r="L111" s="3637"/>
      <c r="M111" s="3637"/>
      <c r="N111" s="3637"/>
      <c r="O111" s="3637"/>
      <c r="P111" s="3637"/>
      <c r="Q111" s="3637"/>
      <c r="R111" s="3637"/>
      <c r="S111" s="3637"/>
      <c r="T111" s="3637"/>
      <c r="U111" s="3637"/>
      <c r="V111" s="3637"/>
      <c r="W111" s="3637"/>
      <c r="X111" s="3637"/>
      <c r="Y111" s="3637"/>
      <c r="Z111" s="3637"/>
      <c r="AA111" s="3637"/>
      <c r="AB111" s="3637"/>
      <c r="AC111" s="3637"/>
      <c r="AD111" s="3638"/>
      <c r="AE111" s="3633" t="s">
        <v>6178</v>
      </c>
      <c r="AF111" s="3634"/>
      <c r="AG111" s="3634"/>
      <c r="AH111" s="3634"/>
      <c r="AI111" s="3634"/>
      <c r="AJ111" s="3635"/>
      <c r="AK111" s="3513" t="s">
        <v>6179</v>
      </c>
      <c r="AL111" s="3605"/>
      <c r="AM111" s="3605"/>
      <c r="AN111" s="3514"/>
      <c r="AO111" s="3520">
        <f>UnosPod!F243+UnosPod!F248</f>
        <v>10605</v>
      </c>
      <c r="AP111" s="3521"/>
      <c r="AQ111" s="3521"/>
      <c r="AR111" s="3521"/>
      <c r="AS111" s="3521"/>
      <c r="AT111" s="3521"/>
      <c r="AU111" s="3521"/>
      <c r="AV111" s="3522"/>
    </row>
    <row r="112" ht="14.25" customHeight="1" spans="1:49">
      <c r="A112" s="3594" t="s">
        <v>588</v>
      </c>
      <c r="B112" s="3595"/>
      <c r="C112" s="3564" t="s">
        <v>6180</v>
      </c>
      <c r="D112" s="3564"/>
      <c r="E112" s="3564"/>
      <c r="F112" s="3564"/>
      <c r="G112" s="3564"/>
      <c r="H112" s="3564"/>
      <c r="I112" s="3564"/>
      <c r="J112" s="3564"/>
      <c r="K112" s="3564"/>
      <c r="L112" s="3564"/>
      <c r="M112" s="3564"/>
      <c r="N112" s="3564"/>
      <c r="O112" s="3564"/>
      <c r="P112" s="3564"/>
      <c r="Q112" s="3564"/>
      <c r="R112" s="3564"/>
      <c r="S112" s="3564"/>
      <c r="T112" s="3564"/>
      <c r="U112" s="3564"/>
      <c r="V112" s="3564"/>
      <c r="W112" s="3564"/>
      <c r="X112" s="3564"/>
      <c r="Y112" s="3564"/>
      <c r="Z112" s="3564"/>
      <c r="AA112" s="3564"/>
      <c r="AB112" s="3564"/>
      <c r="AC112" s="3564"/>
      <c r="AD112" s="3564"/>
      <c r="AE112" s="3596" t="s">
        <v>6181</v>
      </c>
      <c r="AF112" s="3597"/>
      <c r="AG112" s="3597"/>
      <c r="AH112" s="3597"/>
      <c r="AI112" s="3597"/>
      <c r="AJ112" s="3598"/>
      <c r="AK112" s="3639" t="s">
        <v>6182</v>
      </c>
      <c r="AL112" s="3640"/>
      <c r="AM112" s="3640"/>
      <c r="AN112" s="3641"/>
      <c r="AO112" s="3602">
        <f>UnosPod!F272+UnosPod!F280+UnosPod!F288</f>
        <v>4549</v>
      </c>
      <c r="AP112" s="3603"/>
      <c r="AQ112" s="3603"/>
      <c r="AR112" s="3603"/>
      <c r="AS112" s="3603"/>
      <c r="AT112" s="3603"/>
      <c r="AU112" s="3603"/>
      <c r="AV112" s="3604"/>
    </row>
    <row r="113" ht="14.25" customHeight="1" spans="1:49">
      <c r="A113" s="3594" t="s">
        <v>601</v>
      </c>
      <c r="B113" s="3595"/>
      <c r="C113" s="3564" t="s">
        <v>6183</v>
      </c>
      <c r="D113" s="3564"/>
      <c r="E113" s="3564"/>
      <c r="F113" s="3564"/>
      <c r="G113" s="3564"/>
      <c r="H113" s="3564"/>
      <c r="I113" s="3564"/>
      <c r="J113" s="3564"/>
      <c r="K113" s="3564"/>
      <c r="L113" s="3564"/>
      <c r="M113" s="3564"/>
      <c r="N113" s="3564"/>
      <c r="O113" s="3564"/>
      <c r="P113" s="3564"/>
      <c r="Q113" s="3564"/>
      <c r="R113" s="3564"/>
      <c r="S113" s="3564"/>
      <c r="T113" s="3564"/>
      <c r="U113" s="3564"/>
      <c r="V113" s="3564"/>
      <c r="W113" s="3564"/>
      <c r="X113" s="3564"/>
      <c r="Y113" s="3564"/>
      <c r="Z113" s="3564"/>
      <c r="AA113" s="3564"/>
      <c r="AB113" s="3564"/>
      <c r="AC113" s="3564"/>
      <c r="AD113" s="3564"/>
      <c r="AE113" s="3596" t="s">
        <v>6184</v>
      </c>
      <c r="AF113" s="3597"/>
      <c r="AG113" s="3597"/>
      <c r="AH113" s="3597"/>
      <c r="AI113" s="3597"/>
      <c r="AJ113" s="3598"/>
      <c r="AK113" s="3513" t="s">
        <v>6185</v>
      </c>
      <c r="AL113" s="3605"/>
      <c r="AM113" s="3605"/>
      <c r="AN113" s="3514"/>
      <c r="AO113" s="3602">
        <f>SUM(UnosPod!F289:L295)</f>
        <v>0</v>
      </c>
      <c r="AP113" s="3603"/>
      <c r="AQ113" s="3603"/>
      <c r="AR113" s="3603"/>
      <c r="AS113" s="3603"/>
      <c r="AT113" s="3603"/>
      <c r="AU113" s="3603"/>
      <c r="AV113" s="3604"/>
    </row>
    <row r="114" ht="14.25" customHeight="1" spans="1:49">
      <c r="A114" s="3594" t="s">
        <v>612</v>
      </c>
      <c r="B114" s="3595"/>
      <c r="C114" s="3564" t="s">
        <v>6186</v>
      </c>
      <c r="D114" s="3564"/>
      <c r="E114" s="3564"/>
      <c r="F114" s="3564"/>
      <c r="G114" s="3564"/>
      <c r="H114" s="3564"/>
      <c r="I114" s="3564"/>
      <c r="J114" s="3564"/>
      <c r="K114" s="3564"/>
      <c r="L114" s="3564"/>
      <c r="M114" s="3564"/>
      <c r="N114" s="3564"/>
      <c r="O114" s="3564"/>
      <c r="P114" s="3564"/>
      <c r="Q114" s="3564"/>
      <c r="R114" s="3564"/>
      <c r="S114" s="3564"/>
      <c r="T114" s="3564"/>
      <c r="U114" s="3564"/>
      <c r="V114" s="3564"/>
      <c r="W114" s="3564"/>
      <c r="X114" s="3564"/>
      <c r="Y114" s="3564"/>
      <c r="Z114" s="3564"/>
      <c r="AA114" s="3564"/>
      <c r="AB114" s="3564"/>
      <c r="AC114" s="3564"/>
      <c r="AD114" s="3564"/>
      <c r="AE114" s="3596" t="s">
        <v>6187</v>
      </c>
      <c r="AF114" s="3597"/>
      <c r="AG114" s="3597"/>
      <c r="AH114" s="3597"/>
      <c r="AI114" s="3597"/>
      <c r="AJ114" s="3598"/>
      <c r="AK114" s="3513"/>
      <c r="AL114" s="3605"/>
      <c r="AM114" s="3605"/>
      <c r="AN114" s="3514"/>
      <c r="AO114" s="3602">
        <f>SUM(AO115:AV120)</f>
        <v>64871</v>
      </c>
      <c r="AP114" s="3603"/>
      <c r="AQ114" s="3603"/>
      <c r="AR114" s="3603"/>
      <c r="AS114" s="3603"/>
      <c r="AT114" s="3603"/>
      <c r="AU114" s="3603"/>
      <c r="AV114" s="3604"/>
    </row>
    <row r="115" ht="26.25" customHeight="1" spans="1:49">
      <c r="A115" s="3594" t="s">
        <v>624</v>
      </c>
      <c r="B115" s="3595"/>
      <c r="C115" s="3620" t="s">
        <v>6188</v>
      </c>
      <c r="D115" s="3620"/>
      <c r="E115" s="3620"/>
      <c r="F115" s="3620"/>
      <c r="G115" s="3620"/>
      <c r="H115" s="3620"/>
      <c r="I115" s="3620"/>
      <c r="J115" s="3620"/>
      <c r="K115" s="3620"/>
      <c r="L115" s="3620"/>
      <c r="M115" s="3620"/>
      <c r="N115" s="3620"/>
      <c r="O115" s="3620"/>
      <c r="P115" s="3620"/>
      <c r="Q115" s="3620"/>
      <c r="R115" s="3620"/>
      <c r="S115" s="3620"/>
      <c r="T115" s="3620"/>
      <c r="U115" s="3620"/>
      <c r="V115" s="3620"/>
      <c r="W115" s="3620"/>
      <c r="X115" s="3620"/>
      <c r="Y115" s="3620"/>
      <c r="Z115" s="3620"/>
      <c r="AA115" s="3620"/>
      <c r="AB115" s="3620"/>
      <c r="AC115" s="3620"/>
      <c r="AD115" s="3620"/>
      <c r="AE115" s="3613" t="s">
        <v>6189</v>
      </c>
      <c r="AF115" s="3614"/>
      <c r="AG115" s="3614"/>
      <c r="AH115" s="3614"/>
      <c r="AI115" s="3614"/>
      <c r="AJ115" s="3615"/>
      <c r="AK115" s="3599" t="s">
        <v>6190</v>
      </c>
      <c r="AL115" s="3600"/>
      <c r="AM115" s="3600"/>
      <c r="AN115" s="3601"/>
      <c r="AO115" s="3520">
        <f>UnosPod!F250+UnosPod!F251</f>
        <v>36454</v>
      </c>
      <c r="AP115" s="3521"/>
      <c r="AQ115" s="3521"/>
      <c r="AR115" s="3521"/>
      <c r="AS115" s="3521"/>
      <c r="AT115" s="3521"/>
      <c r="AU115" s="3521"/>
      <c r="AV115" s="3522"/>
    </row>
    <row r="116" ht="26.25" customHeight="1" spans="1:49">
      <c r="A116" s="3594" t="s">
        <v>636</v>
      </c>
      <c r="B116" s="3595"/>
      <c r="C116" s="3642" t="s">
        <v>6191</v>
      </c>
      <c r="D116" s="3643"/>
      <c r="E116" s="3643"/>
      <c r="F116" s="3643"/>
      <c r="G116" s="3643"/>
      <c r="H116" s="3643"/>
      <c r="I116" s="3643"/>
      <c r="J116" s="3643"/>
      <c r="K116" s="3643"/>
      <c r="L116" s="3643"/>
      <c r="M116" s="3643"/>
      <c r="N116" s="3643"/>
      <c r="O116" s="3643"/>
      <c r="P116" s="3643"/>
      <c r="Q116" s="3643"/>
      <c r="R116" s="3643"/>
      <c r="S116" s="3643"/>
      <c r="T116" s="3643"/>
      <c r="U116" s="3643"/>
      <c r="V116" s="3643"/>
      <c r="W116" s="3643"/>
      <c r="X116" s="3643"/>
      <c r="Y116" s="3643"/>
      <c r="Z116" s="3643"/>
      <c r="AA116" s="3643"/>
      <c r="AB116" s="3643"/>
      <c r="AC116" s="3643"/>
      <c r="AD116" s="3644"/>
      <c r="AE116" s="3613" t="s">
        <v>6192</v>
      </c>
      <c r="AF116" s="3614"/>
      <c r="AG116" s="3614"/>
      <c r="AH116" s="3614"/>
      <c r="AI116" s="3614"/>
      <c r="AJ116" s="3615"/>
      <c r="AK116" s="3513" t="s">
        <v>6152</v>
      </c>
      <c r="AL116" s="3605"/>
      <c r="AM116" s="3605"/>
      <c r="AN116" s="3514"/>
      <c r="AO116" s="3520"/>
      <c r="AP116" s="3521"/>
      <c r="AQ116" s="3521"/>
      <c r="AR116" s="3521"/>
      <c r="AS116" s="3521"/>
      <c r="AT116" s="3521"/>
      <c r="AU116" s="3521"/>
      <c r="AV116" s="3522"/>
    </row>
    <row r="117" ht="17.25" customHeight="1" spans="1:49">
      <c r="A117" s="3594" t="s">
        <v>647</v>
      </c>
      <c r="B117" s="3595"/>
      <c r="C117" s="3612" t="s">
        <v>6193</v>
      </c>
      <c r="D117" s="3612"/>
      <c r="E117" s="3612"/>
      <c r="F117" s="3612"/>
      <c r="G117" s="3612"/>
      <c r="H117" s="3612"/>
      <c r="I117" s="3612"/>
      <c r="J117" s="3612"/>
      <c r="K117" s="3612"/>
      <c r="L117" s="3612"/>
      <c r="M117" s="3612"/>
      <c r="N117" s="3612"/>
      <c r="O117" s="3612"/>
      <c r="P117" s="3612"/>
      <c r="Q117" s="3612"/>
      <c r="R117" s="3612"/>
      <c r="S117" s="3612"/>
      <c r="T117" s="3612"/>
      <c r="U117" s="3612"/>
      <c r="V117" s="3612"/>
      <c r="W117" s="3612"/>
      <c r="X117" s="3612"/>
      <c r="Y117" s="3612"/>
      <c r="Z117" s="3612"/>
      <c r="AA117" s="3612"/>
      <c r="AB117" s="3612"/>
      <c r="AC117" s="3612"/>
      <c r="AD117" s="3612"/>
      <c r="AE117" s="3613" t="s">
        <v>6194</v>
      </c>
      <c r="AF117" s="3614"/>
      <c r="AG117" s="3614"/>
      <c r="AH117" s="3614"/>
      <c r="AI117" s="3614"/>
      <c r="AJ117" s="3615"/>
      <c r="AK117" s="3513">
        <v>551</v>
      </c>
      <c r="AL117" s="3605"/>
      <c r="AM117" s="3605"/>
      <c r="AN117" s="3514"/>
      <c r="AO117" s="3520">
        <f>UnosPod!F298</f>
        <v>775</v>
      </c>
      <c r="AP117" s="3521"/>
      <c r="AQ117" s="3521"/>
      <c r="AR117" s="3521"/>
      <c r="AS117" s="3521"/>
      <c r="AT117" s="3521"/>
      <c r="AU117" s="3521"/>
      <c r="AV117" s="3522"/>
    </row>
    <row r="118" ht="17.25" customHeight="1" spans="1:49">
      <c r="A118" s="3594" t="s">
        <v>656</v>
      </c>
      <c r="B118" s="3595"/>
      <c r="C118" s="3612" t="s">
        <v>6195</v>
      </c>
      <c r="D118" s="3612"/>
      <c r="E118" s="3612"/>
      <c r="F118" s="3612"/>
      <c r="G118" s="3612"/>
      <c r="H118" s="3612"/>
      <c r="I118" s="3612"/>
      <c r="J118" s="3612"/>
      <c r="K118" s="3612"/>
      <c r="L118" s="3612"/>
      <c r="M118" s="3612"/>
      <c r="N118" s="3612"/>
      <c r="O118" s="3612"/>
      <c r="P118" s="3612"/>
      <c r="Q118" s="3612"/>
      <c r="R118" s="3612"/>
      <c r="S118" s="3612"/>
      <c r="T118" s="3612"/>
      <c r="U118" s="3612"/>
      <c r="V118" s="3612"/>
      <c r="W118" s="3612"/>
      <c r="X118" s="3612"/>
      <c r="Y118" s="3612"/>
      <c r="Z118" s="3612"/>
      <c r="AA118" s="3612"/>
      <c r="AB118" s="3612"/>
      <c r="AC118" s="3612"/>
      <c r="AD118" s="3612"/>
      <c r="AE118" s="3613" t="s">
        <v>6196</v>
      </c>
      <c r="AF118" s="3614"/>
      <c r="AG118" s="3614"/>
      <c r="AH118" s="3614"/>
      <c r="AI118" s="3614"/>
      <c r="AJ118" s="3615"/>
      <c r="AK118" s="3513">
        <v>556</v>
      </c>
      <c r="AL118" s="3605"/>
      <c r="AM118" s="3605"/>
      <c r="AN118" s="3514"/>
      <c r="AO118" s="3520">
        <f>UnosPod!F303</f>
        <v>0</v>
      </c>
      <c r="AP118" s="3521"/>
      <c r="AQ118" s="3521"/>
      <c r="AR118" s="3521"/>
      <c r="AS118" s="3521"/>
      <c r="AT118" s="3521"/>
      <c r="AU118" s="3521"/>
      <c r="AV118" s="3522"/>
    </row>
    <row r="119" ht="17.25" customHeight="1" spans="1:49">
      <c r="A119" s="3594" t="s">
        <v>665</v>
      </c>
      <c r="B119" s="3595"/>
      <c r="C119" s="3612" t="s">
        <v>6197</v>
      </c>
      <c r="D119" s="3612"/>
      <c r="E119" s="3612"/>
      <c r="F119" s="3612"/>
      <c r="G119" s="3612"/>
      <c r="H119" s="3612"/>
      <c r="I119" s="3612"/>
      <c r="J119" s="3612"/>
      <c r="K119" s="3612"/>
      <c r="L119" s="3612"/>
      <c r="M119" s="3612"/>
      <c r="N119" s="3612"/>
      <c r="O119" s="3612"/>
      <c r="P119" s="3612"/>
      <c r="Q119" s="3612"/>
      <c r="R119" s="3612"/>
      <c r="S119" s="3612"/>
      <c r="T119" s="3612"/>
      <c r="U119" s="3612"/>
      <c r="V119" s="3612"/>
      <c r="W119" s="3612"/>
      <c r="X119" s="3612"/>
      <c r="Y119" s="3612"/>
      <c r="Z119" s="3612"/>
      <c r="AA119" s="3612"/>
      <c r="AB119" s="3612"/>
      <c r="AC119" s="3612"/>
      <c r="AD119" s="3612"/>
      <c r="AE119" s="3613" t="s">
        <v>6198</v>
      </c>
      <c r="AF119" s="3614"/>
      <c r="AG119" s="3614"/>
      <c r="AH119" s="3614"/>
      <c r="AI119" s="3614"/>
      <c r="AJ119" s="3615"/>
      <c r="AK119" s="3513" t="s">
        <v>6199</v>
      </c>
      <c r="AL119" s="3605"/>
      <c r="AM119" s="3605"/>
      <c r="AN119" s="3514"/>
      <c r="AO119" s="3520">
        <f>UnosPod!F302</f>
        <v>27285</v>
      </c>
      <c r="AP119" s="3521"/>
      <c r="AQ119" s="3521"/>
      <c r="AR119" s="3521"/>
      <c r="AS119" s="3521"/>
      <c r="AT119" s="3521"/>
      <c r="AU119" s="3521"/>
      <c r="AV119" s="3522"/>
    </row>
    <row r="120" ht="27" customHeight="1" spans="1:49">
      <c r="A120" s="3594" t="s">
        <v>675</v>
      </c>
      <c r="B120" s="3595"/>
      <c r="C120" s="3645" t="s">
        <v>6200</v>
      </c>
      <c r="D120" s="3646"/>
      <c r="E120" s="3646"/>
      <c r="F120" s="3646"/>
      <c r="G120" s="3646"/>
      <c r="H120" s="3646"/>
      <c r="I120" s="3646"/>
      <c r="J120" s="3646"/>
      <c r="K120" s="3646"/>
      <c r="L120" s="3646"/>
      <c r="M120" s="3646"/>
      <c r="N120" s="3646"/>
      <c r="O120" s="3646"/>
      <c r="P120" s="3646"/>
      <c r="Q120" s="3646"/>
      <c r="R120" s="3646"/>
      <c r="S120" s="3646"/>
      <c r="T120" s="3646"/>
      <c r="U120" s="3646"/>
      <c r="V120" s="3646"/>
      <c r="W120" s="3646"/>
      <c r="X120" s="3646"/>
      <c r="Y120" s="3646"/>
      <c r="Z120" s="3646"/>
      <c r="AA120" s="3646"/>
      <c r="AB120" s="3646"/>
      <c r="AC120" s="3646"/>
      <c r="AD120" s="3647"/>
      <c r="AE120" s="3613" t="s">
        <v>6201</v>
      </c>
      <c r="AF120" s="3614"/>
      <c r="AG120" s="3614"/>
      <c r="AH120" s="3614"/>
      <c r="AI120" s="3614"/>
      <c r="AJ120" s="3615"/>
      <c r="AK120" s="3513">
        <v>559</v>
      </c>
      <c r="AL120" s="3605"/>
      <c r="AM120" s="3605"/>
      <c r="AN120" s="3514"/>
      <c r="AO120" s="3520">
        <f>UnosPod!F304</f>
        <v>357</v>
      </c>
      <c r="AP120" s="3521"/>
      <c r="AQ120" s="3521"/>
      <c r="AR120" s="3521"/>
      <c r="AS120" s="3521"/>
      <c r="AT120" s="3521"/>
      <c r="AU120" s="3521"/>
      <c r="AV120" s="3522"/>
    </row>
    <row r="121" spans="1:49">
      <c r="A121" s="3594" t="s">
        <v>683</v>
      </c>
      <c r="B121" s="3595"/>
      <c r="C121" s="3636" t="s">
        <v>6202</v>
      </c>
      <c r="D121" s="3622"/>
      <c r="E121" s="3622"/>
      <c r="F121" s="3622"/>
      <c r="G121" s="3622"/>
      <c r="H121" s="3622"/>
      <c r="I121" s="3622"/>
      <c r="J121" s="3622"/>
      <c r="K121" s="3622"/>
      <c r="L121" s="3622"/>
      <c r="M121" s="3622"/>
      <c r="N121" s="3622"/>
      <c r="O121" s="3622"/>
      <c r="P121" s="3622"/>
      <c r="Q121" s="3622"/>
      <c r="R121" s="3622"/>
      <c r="S121" s="3622"/>
      <c r="T121" s="3622"/>
      <c r="U121" s="3622"/>
      <c r="V121" s="3622"/>
      <c r="W121" s="3622"/>
      <c r="X121" s="3622"/>
      <c r="Y121" s="3622"/>
      <c r="Z121" s="3622"/>
      <c r="AA121" s="3622"/>
      <c r="AB121" s="3622"/>
      <c r="AC121" s="3622"/>
      <c r="AD121" s="3623"/>
      <c r="AE121" s="3596" t="s">
        <v>6203</v>
      </c>
      <c r="AF121" s="3597"/>
      <c r="AG121" s="3597"/>
      <c r="AH121" s="3597"/>
      <c r="AI121" s="3597"/>
      <c r="AJ121" s="3598"/>
      <c r="AK121" s="3513" t="s">
        <v>6199</v>
      </c>
      <c r="AL121" s="3605"/>
      <c r="AM121" s="3605"/>
      <c r="AN121" s="3514"/>
      <c r="AO121" s="3602"/>
      <c r="AP121" s="3603"/>
      <c r="AQ121" s="3603"/>
      <c r="AR121" s="3603"/>
      <c r="AS121" s="3603"/>
      <c r="AT121" s="3603"/>
      <c r="AU121" s="3603"/>
      <c r="AV121" s="3604"/>
    </row>
    <row r="122" spans="1:49">
      <c r="A122" s="3594" t="s">
        <v>693</v>
      </c>
      <c r="B122" s="3595"/>
      <c r="C122" s="3515" t="s">
        <v>6204</v>
      </c>
      <c r="D122" s="3515"/>
      <c r="E122" s="3515"/>
      <c r="F122" s="3515"/>
      <c r="G122" s="3515"/>
      <c r="H122" s="3515"/>
      <c r="I122" s="3515"/>
      <c r="J122" s="3515"/>
      <c r="K122" s="3515"/>
      <c r="L122" s="3515"/>
      <c r="M122" s="3515"/>
      <c r="N122" s="3515"/>
      <c r="O122" s="3515"/>
      <c r="P122" s="3515"/>
      <c r="Q122" s="3515"/>
      <c r="R122" s="3515"/>
      <c r="S122" s="3515"/>
      <c r="T122" s="3515"/>
      <c r="U122" s="3515"/>
      <c r="V122" s="3515"/>
      <c r="W122" s="3515"/>
      <c r="X122" s="3515"/>
      <c r="Y122" s="3515"/>
      <c r="Z122" s="3515"/>
      <c r="AA122" s="3515"/>
      <c r="AB122" s="3515"/>
      <c r="AC122" s="3515"/>
      <c r="AD122" s="3515"/>
      <c r="AE122" s="3596" t="s">
        <v>6205</v>
      </c>
      <c r="AF122" s="3597"/>
      <c r="AG122" s="3597"/>
      <c r="AH122" s="3597"/>
      <c r="AI122" s="3597"/>
      <c r="AJ122" s="3598"/>
      <c r="AK122" s="3513" t="s">
        <v>6199</v>
      </c>
      <c r="AL122" s="3605"/>
      <c r="AM122" s="3605"/>
      <c r="AN122" s="3514"/>
      <c r="AO122" s="3602"/>
      <c r="AP122" s="3603"/>
      <c r="AQ122" s="3603"/>
      <c r="AR122" s="3603"/>
      <c r="AS122" s="3603"/>
      <c r="AT122" s="3603"/>
      <c r="AU122" s="3603"/>
      <c r="AV122" s="3604"/>
    </row>
    <row r="123" spans="1:49">
      <c r="A123" s="3594" t="s">
        <v>702</v>
      </c>
      <c r="B123" s="3595"/>
      <c r="C123" s="3515" t="s">
        <v>6206</v>
      </c>
      <c r="D123" s="3515"/>
      <c r="E123" s="3515"/>
      <c r="F123" s="3515"/>
      <c r="G123" s="3515"/>
      <c r="H123" s="3515"/>
      <c r="I123" s="3515"/>
      <c r="J123" s="3515"/>
      <c r="K123" s="3515"/>
      <c r="L123" s="3515"/>
      <c r="M123" s="3515"/>
      <c r="N123" s="3515"/>
      <c r="O123" s="3515"/>
      <c r="P123" s="3515"/>
      <c r="Q123" s="3515"/>
      <c r="R123" s="3515"/>
      <c r="S123" s="3515"/>
      <c r="T123" s="3515"/>
      <c r="U123" s="3515"/>
      <c r="V123" s="3515"/>
      <c r="W123" s="3515"/>
      <c r="X123" s="3515"/>
      <c r="Y123" s="3515"/>
      <c r="Z123" s="3515"/>
      <c r="AA123" s="3515"/>
      <c r="AB123" s="3515"/>
      <c r="AC123" s="3515"/>
      <c r="AD123" s="3515"/>
      <c r="AE123" s="3596" t="s">
        <v>6207</v>
      </c>
      <c r="AF123" s="3597"/>
      <c r="AG123" s="3597"/>
      <c r="AH123" s="3597"/>
      <c r="AI123" s="3597"/>
      <c r="AJ123" s="3598"/>
      <c r="AK123" s="3648"/>
      <c r="AL123" s="3649"/>
      <c r="AM123" s="3649"/>
      <c r="AN123" s="3650"/>
      <c r="AO123" s="3602">
        <f>AO90+AO91+AO92+AO93+AO108+AO112+AO113+AO113+AO121+AO122</f>
        <v>254491</v>
      </c>
      <c r="AP123" s="3603"/>
      <c r="AQ123" s="3603"/>
      <c r="AR123" s="3603"/>
      <c r="AS123" s="3603"/>
      <c r="AT123" s="3603"/>
      <c r="AU123" s="3603"/>
      <c r="AV123" s="3604"/>
    </row>
    <row r="124" ht="25.5" customHeight="1" spans="1:49">
      <c r="A124" s="3568" t="s">
        <v>709</v>
      </c>
      <c r="B124" s="3570"/>
      <c r="C124" s="3651" t="s">
        <v>6208</v>
      </c>
      <c r="D124" s="3652"/>
      <c r="E124" s="3652"/>
      <c r="F124" s="3652"/>
      <c r="G124" s="3652"/>
      <c r="H124" s="3652"/>
      <c r="I124" s="3652"/>
      <c r="J124" s="3652"/>
      <c r="K124" s="3652"/>
      <c r="L124" s="3652"/>
      <c r="M124" s="3652"/>
      <c r="N124" s="3652"/>
      <c r="O124" s="3652"/>
      <c r="P124" s="3652"/>
      <c r="Q124" s="3652"/>
      <c r="R124" s="3652"/>
      <c r="S124" s="3652"/>
      <c r="T124" s="3652"/>
      <c r="U124" s="3652"/>
      <c r="V124" s="3652"/>
      <c r="W124" s="3652"/>
      <c r="X124" s="3652"/>
      <c r="Y124" s="3652"/>
      <c r="Z124" s="3652"/>
      <c r="AA124" s="3652"/>
      <c r="AB124" s="3652"/>
      <c r="AC124" s="3652"/>
      <c r="AD124" s="3653"/>
      <c r="AE124" s="3654" t="s">
        <v>6209</v>
      </c>
      <c r="AF124" s="3654"/>
      <c r="AG124" s="3654"/>
      <c r="AH124" s="3654"/>
      <c r="AI124" s="3654"/>
      <c r="AJ124" s="3654"/>
      <c r="AK124" s="3655"/>
      <c r="AL124" s="3656"/>
      <c r="AM124" s="3656"/>
      <c r="AN124" s="3657"/>
      <c r="AO124" s="3520"/>
      <c r="AP124" s="3521"/>
      <c r="AQ124" s="3521"/>
      <c r="AR124" s="3521"/>
      <c r="AS124" s="3521"/>
      <c r="AT124" s="3521"/>
      <c r="AU124" s="3521"/>
      <c r="AV124" s="3522"/>
    </row>
    <row r="125" ht="14.25" spans="1:49">
      <c r="A125" s="3500" t="s">
        <v>6210</v>
      </c>
      <c r="B125" s="3658"/>
      <c r="C125" s="3658"/>
      <c r="D125" s="3658"/>
      <c r="E125" s="3658"/>
      <c r="F125" s="3658"/>
      <c r="G125" s="3658"/>
      <c r="H125" s="3658"/>
      <c r="I125" s="3658"/>
      <c r="J125" s="3658"/>
      <c r="K125" s="3658"/>
      <c r="L125" s="3658"/>
      <c r="M125" s="3658"/>
      <c r="N125" s="3658"/>
      <c r="O125" s="3658"/>
      <c r="P125" s="3658"/>
      <c r="Q125" s="3658"/>
      <c r="R125" s="3658"/>
      <c r="S125" s="3658"/>
      <c r="T125" s="3658"/>
      <c r="U125" s="3658"/>
      <c r="V125" s="3658"/>
      <c r="W125" s="3658"/>
      <c r="X125" s="3658"/>
      <c r="Y125" s="3658"/>
      <c r="Z125" s="3658"/>
      <c r="AA125" s="3658"/>
      <c r="AB125" s="3658"/>
      <c r="AC125" s="3658"/>
      <c r="AD125" s="3658"/>
      <c r="AE125" s="3658"/>
      <c r="AF125" s="3658"/>
      <c r="AG125" s="3658"/>
      <c r="AH125" s="3658"/>
      <c r="AI125" s="3658"/>
      <c r="AJ125" s="3658"/>
      <c r="AK125" s="3658"/>
      <c r="AL125" s="3658"/>
      <c r="AM125" s="3658"/>
      <c r="AN125" s="3658"/>
      <c r="AO125" s="3658"/>
      <c r="AP125" s="3658"/>
      <c r="AQ125" s="3658"/>
      <c r="AR125" s="3658"/>
      <c r="AS125" s="3658"/>
      <c r="AT125" s="3658"/>
      <c r="AU125" s="3658"/>
      <c r="AV125" s="3658"/>
      <c r="AW125" s="3659"/>
    </row>
    <row r="126" spans="1:49">
      <c r="A126" s="3500"/>
      <c r="B126" s="3658"/>
      <c r="C126" s="3658"/>
      <c r="D126" s="3658"/>
      <c r="E126" s="3658"/>
      <c r="F126" s="3658"/>
      <c r="G126" s="3658"/>
      <c r="H126" s="3658"/>
      <c r="I126" s="3658"/>
      <c r="J126" s="3658"/>
      <c r="K126" s="3658"/>
      <c r="L126" s="3658"/>
      <c r="M126" s="3658"/>
      <c r="N126" s="3658"/>
      <c r="O126" s="3658"/>
      <c r="P126" s="3658"/>
      <c r="Q126" s="3658"/>
      <c r="R126" s="3658"/>
      <c r="S126" s="3658"/>
      <c r="T126" s="3658"/>
      <c r="U126" s="3658"/>
      <c r="V126" s="3658"/>
      <c r="W126" s="3658"/>
      <c r="X126" s="3658"/>
      <c r="Y126" s="3658"/>
      <c r="Z126" s="3658"/>
      <c r="AA126" s="3658"/>
      <c r="AB126" s="3658"/>
      <c r="AC126" s="3658"/>
      <c r="AD126" s="3658"/>
      <c r="AE126" s="3658"/>
      <c r="AF126" s="3658"/>
      <c r="AG126" s="3658"/>
      <c r="AH126" s="3658"/>
      <c r="AI126" s="3658"/>
      <c r="AJ126" s="3658"/>
      <c r="AK126" s="3658"/>
      <c r="AL126" s="3658"/>
      <c r="AM126" s="3658"/>
      <c r="AN126" s="3658"/>
      <c r="AO126" s="3658"/>
      <c r="AP126" s="3658"/>
      <c r="AQ126" s="3658"/>
      <c r="AR126" s="3658"/>
      <c r="AS126" s="3658"/>
      <c r="AT126" s="3658"/>
      <c r="AU126" s="3658"/>
      <c r="AV126" s="3658"/>
      <c r="AW126" s="3659"/>
    </row>
    <row r="127" spans="1:49">
      <c r="A127" s="3500"/>
      <c r="B127" s="3658"/>
      <c r="C127" s="3658"/>
      <c r="D127" s="3658"/>
      <c r="E127" s="3658"/>
      <c r="F127" s="3658"/>
      <c r="G127" s="3658"/>
      <c r="H127" s="3658"/>
      <c r="I127" s="3658"/>
      <c r="J127" s="3658"/>
      <c r="K127" s="3658"/>
      <c r="L127" s="3658"/>
      <c r="M127" s="3658"/>
      <c r="N127" s="3658"/>
      <c r="O127" s="3658"/>
      <c r="P127" s="3658"/>
      <c r="Q127" s="3658"/>
      <c r="R127" s="3658"/>
      <c r="S127" s="3658"/>
      <c r="T127" s="3658"/>
      <c r="U127" s="3658"/>
      <c r="V127" s="3658"/>
      <c r="W127" s="3658"/>
      <c r="X127" s="3658"/>
      <c r="Y127" s="3658"/>
      <c r="Z127" s="3658"/>
      <c r="AA127" s="3658"/>
      <c r="AB127" s="3658"/>
      <c r="AC127" s="3658"/>
      <c r="AD127" s="3658"/>
      <c r="AE127" s="3658"/>
      <c r="AF127" s="3658"/>
      <c r="AG127" s="3658"/>
      <c r="AH127" s="3658"/>
      <c r="AI127" s="3658"/>
      <c r="AJ127" s="3658"/>
      <c r="AK127" s="3658"/>
      <c r="AL127" s="3658"/>
      <c r="AM127" s="3658"/>
      <c r="AN127" s="3658"/>
      <c r="AO127" s="3658"/>
      <c r="AP127" s="3658"/>
      <c r="AQ127" s="3658"/>
      <c r="AR127" s="3658"/>
      <c r="AS127" s="3658"/>
      <c r="AT127" s="3658"/>
      <c r="AU127" s="3658"/>
      <c r="AV127" s="3658"/>
      <c r="AW127" s="3659"/>
    </row>
    <row r="128" spans="1:49">
      <c r="A128" s="3500"/>
      <c r="B128" s="3658"/>
      <c r="C128" s="3658"/>
      <c r="D128" s="3658"/>
      <c r="E128" s="3658"/>
      <c r="F128" s="3658"/>
      <c r="G128" s="3658"/>
      <c r="H128" s="3658"/>
      <c r="I128" s="3658"/>
      <c r="J128" s="3658"/>
      <c r="K128" s="3658"/>
      <c r="L128" s="3658"/>
      <c r="M128" s="3658"/>
      <c r="N128" s="3658"/>
      <c r="O128" s="3658"/>
      <c r="P128" s="3658"/>
      <c r="Q128" s="3658"/>
      <c r="R128" s="3658"/>
      <c r="S128" s="3658"/>
      <c r="T128" s="3658"/>
      <c r="U128" s="3658"/>
      <c r="V128" s="3658"/>
      <c r="W128" s="3658"/>
      <c r="X128" s="3658"/>
      <c r="Y128" s="3658"/>
      <c r="Z128" s="3658"/>
      <c r="AA128" s="3658"/>
      <c r="AB128" s="3658"/>
      <c r="AC128" s="3658"/>
      <c r="AD128" s="3658"/>
      <c r="AE128" s="3658"/>
      <c r="AF128" s="3658"/>
      <c r="AG128" s="3658"/>
      <c r="AH128" s="3658"/>
      <c r="AI128" s="3658"/>
      <c r="AJ128" s="3658"/>
      <c r="AK128" s="3658"/>
      <c r="AL128" s="3658"/>
      <c r="AM128" s="3658"/>
      <c r="AN128" s="3658"/>
      <c r="AO128" s="3658"/>
      <c r="AP128" s="3658"/>
      <c r="AQ128" s="3658"/>
      <c r="AR128" s="3658"/>
      <c r="AS128" s="3658"/>
      <c r="AT128" s="3658"/>
      <c r="AU128" s="3658"/>
      <c r="AV128" s="3658"/>
      <c r="AW128" s="3659"/>
    </row>
    <row r="129" ht="14.25" spans="1:48">
      <c r="A129" s="3660" t="s">
        <v>6211</v>
      </c>
      <c r="B129" s="3660"/>
      <c r="C129" s="3660"/>
      <c r="D129" s="3660"/>
      <c r="E129" s="3660"/>
      <c r="F129" s="3660"/>
      <c r="G129" s="3660"/>
      <c r="H129" s="3660"/>
      <c r="I129" s="3660"/>
      <c r="J129" s="3660"/>
      <c r="K129" s="3660"/>
      <c r="L129" s="3660"/>
      <c r="M129" s="3660"/>
      <c r="N129" s="3660"/>
      <c r="O129" s="3660"/>
      <c r="P129" s="3660"/>
      <c r="Q129" s="3660"/>
      <c r="R129" s="3660"/>
      <c r="S129" s="3660"/>
      <c r="T129" s="3660"/>
      <c r="U129" s="3660"/>
      <c r="V129" s="3660"/>
      <c r="W129" s="3660"/>
      <c r="X129" s="3660"/>
      <c r="Y129" s="3660"/>
      <c r="Z129" s="3660"/>
      <c r="AA129" s="3660"/>
      <c r="AB129" s="3660"/>
      <c r="AC129" s="3660"/>
      <c r="AD129" s="3660"/>
      <c r="AE129" s="3660"/>
      <c r="AF129" s="3660"/>
      <c r="AG129" s="3660"/>
      <c r="AH129" s="3660"/>
      <c r="AI129" s="3661"/>
      <c r="AJ129" s="3661"/>
      <c r="AK129" s="3661"/>
      <c r="AL129" s="3661"/>
      <c r="AM129" s="3661"/>
      <c r="AN129" s="3661"/>
      <c r="AO129" s="3661"/>
      <c r="AP129" s="3661"/>
      <c r="AQ129" s="3661"/>
      <c r="AR129" s="3661"/>
      <c r="AS129" s="3661"/>
      <c r="AT129" s="3661"/>
      <c r="AU129" s="3661"/>
      <c r="AV129" s="3661"/>
    </row>
    <row r="130" ht="23.25" customHeight="1" spans="1:48">
      <c r="A130" s="3662" t="s">
        <v>6096</v>
      </c>
      <c r="B130" s="3663"/>
      <c r="C130" s="3664" t="s">
        <v>6097</v>
      </c>
      <c r="D130" s="3665"/>
      <c r="E130" s="3665"/>
      <c r="F130" s="3665"/>
      <c r="G130" s="3665"/>
      <c r="H130" s="3665"/>
      <c r="I130" s="3665"/>
      <c r="J130" s="3665"/>
      <c r="K130" s="3665"/>
      <c r="L130" s="3665"/>
      <c r="M130" s="3665"/>
      <c r="N130" s="3665"/>
      <c r="O130" s="3665"/>
      <c r="P130" s="3665"/>
      <c r="Q130" s="3665"/>
      <c r="R130" s="3665"/>
      <c r="S130" s="3665"/>
      <c r="T130" s="3665"/>
      <c r="U130" s="3665"/>
      <c r="V130" s="3665"/>
      <c r="W130" s="3666"/>
      <c r="X130" s="3509" t="s">
        <v>6098</v>
      </c>
      <c r="Y130" s="3509"/>
      <c r="Z130" s="3509"/>
      <c r="AA130" s="3509"/>
      <c r="AB130" s="3509"/>
      <c r="AC130" s="3509"/>
      <c r="AD130" s="3510" t="s">
        <v>6099</v>
      </c>
      <c r="AE130" s="3511"/>
      <c r="AF130" s="3511"/>
      <c r="AG130" s="3511"/>
      <c r="AH130" s="3512"/>
      <c r="AI130" s="3667" t="str">
        <f ca="1">"01.01."&amp;PoslGod</f>
        <v>01.01.2025</v>
      </c>
      <c r="AJ130" s="3668"/>
      <c r="AK130" s="3668"/>
      <c r="AL130" s="3668"/>
      <c r="AM130" s="3668"/>
      <c r="AN130" s="3669"/>
      <c r="AO130" s="3667" t="str">
        <f ca="1">"31.12."&amp;PoslGod</f>
        <v>31.12.2025</v>
      </c>
      <c r="AP130" s="3668"/>
      <c r="AQ130" s="3668"/>
      <c r="AR130" s="3668"/>
      <c r="AS130" s="3668"/>
      <c r="AT130" s="3668"/>
      <c r="AU130" s="3668"/>
      <c r="AV130" s="3669"/>
    </row>
    <row r="131" ht="18" customHeight="1" spans="1:48">
      <c r="A131" s="3670" t="s">
        <v>5336</v>
      </c>
      <c r="B131" s="3670"/>
      <c r="C131" s="3621" t="s">
        <v>6212</v>
      </c>
      <c r="D131" s="3622"/>
      <c r="E131" s="3622"/>
      <c r="F131" s="3622"/>
      <c r="G131" s="3622"/>
      <c r="H131" s="3622"/>
      <c r="I131" s="3622"/>
      <c r="J131" s="3622"/>
      <c r="K131" s="3622"/>
      <c r="L131" s="3622"/>
      <c r="M131" s="3622"/>
      <c r="N131" s="3622"/>
      <c r="O131" s="3622"/>
      <c r="P131" s="3622"/>
      <c r="Q131" s="3622"/>
      <c r="R131" s="3622"/>
      <c r="S131" s="3622"/>
      <c r="T131" s="3622"/>
      <c r="U131" s="3622"/>
      <c r="V131" s="3622"/>
      <c r="W131" s="3623"/>
      <c r="X131" s="3670" t="s">
        <v>6213</v>
      </c>
      <c r="Y131" s="3670"/>
      <c r="Z131" s="3670"/>
      <c r="AA131" s="3670"/>
      <c r="AB131" s="3670"/>
      <c r="AC131" s="3670"/>
      <c r="AD131" s="3671">
        <v>10</v>
      </c>
      <c r="AE131" s="3672"/>
      <c r="AF131" s="3672"/>
      <c r="AG131" s="3672"/>
      <c r="AH131" s="3673"/>
      <c r="AI131" s="3674">
        <v>1</v>
      </c>
      <c r="AJ131" s="3675">
        <f>B_Stanja!AP61</f>
        <v>0</v>
      </c>
      <c r="AK131" s="3675"/>
      <c r="AL131" s="3675"/>
      <c r="AM131" s="3675"/>
      <c r="AN131" s="3675"/>
      <c r="AO131" s="3674">
        <v>2</v>
      </c>
      <c r="AP131" s="3676">
        <f>B_Stanja!AI61</f>
        <v>0</v>
      </c>
      <c r="AQ131" s="3677"/>
      <c r="AR131" s="3677"/>
      <c r="AS131" s="3677"/>
      <c r="AT131" s="3677"/>
      <c r="AU131" s="3677"/>
      <c r="AV131" s="3678"/>
    </row>
    <row r="132" ht="18" customHeight="1" spans="1:48">
      <c r="A132" s="3670" t="s">
        <v>5469</v>
      </c>
      <c r="B132" s="3670"/>
      <c r="C132" s="3621" t="s">
        <v>6216</v>
      </c>
      <c r="D132" s="3622"/>
      <c r="E132" s="3622"/>
      <c r="F132" s="3622"/>
      <c r="G132" s="3622"/>
      <c r="H132" s="3622"/>
      <c r="I132" s="3622"/>
      <c r="J132" s="3622"/>
      <c r="K132" s="3622"/>
      <c r="L132" s="3622"/>
      <c r="M132" s="3622"/>
      <c r="N132" s="3622"/>
      <c r="O132" s="3622"/>
      <c r="P132" s="3622"/>
      <c r="Q132" s="3622"/>
      <c r="R132" s="3622"/>
      <c r="S132" s="3622"/>
      <c r="T132" s="3622"/>
      <c r="U132" s="3622"/>
      <c r="V132" s="3622"/>
      <c r="W132" s="3623"/>
      <c r="X132" s="3670" t="s">
        <v>6217</v>
      </c>
      <c r="Y132" s="3670"/>
      <c r="Z132" s="3670"/>
      <c r="AA132" s="3670"/>
      <c r="AB132" s="3670"/>
      <c r="AC132" s="3670"/>
      <c r="AD132" s="3679">
        <v>13</v>
      </c>
      <c r="AE132" s="3680"/>
      <c r="AF132" s="3680"/>
      <c r="AG132" s="3680"/>
      <c r="AH132" s="3681"/>
      <c r="AI132" s="3674">
        <v>1</v>
      </c>
      <c r="AJ132" s="3675">
        <f>B_Stanja!AP64</f>
        <v>0</v>
      </c>
      <c r="AK132" s="3675"/>
      <c r="AL132" s="3675"/>
      <c r="AM132" s="3675"/>
      <c r="AN132" s="3675"/>
      <c r="AO132" s="3674">
        <v>2</v>
      </c>
      <c r="AP132" s="3676">
        <f>B_Stanja!AI64</f>
        <v>0</v>
      </c>
      <c r="AQ132" s="3677"/>
      <c r="AR132" s="3677"/>
      <c r="AS132" s="3677"/>
      <c r="AT132" s="3677"/>
      <c r="AU132" s="3677"/>
      <c r="AV132" s="3678"/>
    </row>
    <row r="133" ht="18" customHeight="1" spans="1:48">
      <c r="A133" s="3670" t="s">
        <v>5600</v>
      </c>
      <c r="B133" s="3670"/>
      <c r="C133" s="3682" t="s">
        <v>6218</v>
      </c>
      <c r="D133" s="3683"/>
      <c r="E133" s="3683"/>
      <c r="F133" s="3683"/>
      <c r="G133" s="3683"/>
      <c r="H133" s="3683"/>
      <c r="I133" s="3683"/>
      <c r="J133" s="3683"/>
      <c r="K133" s="3683"/>
      <c r="L133" s="3683"/>
      <c r="M133" s="3683"/>
      <c r="N133" s="3683"/>
      <c r="O133" s="3683"/>
      <c r="P133" s="3683"/>
      <c r="Q133" s="3683"/>
      <c r="R133" s="3683"/>
      <c r="S133" s="3683"/>
      <c r="T133" s="3683"/>
      <c r="U133" s="3683"/>
      <c r="V133" s="3683"/>
      <c r="W133" s="3684"/>
      <c r="X133" s="3670" t="s">
        <v>6219</v>
      </c>
      <c r="Y133" s="3670"/>
      <c r="Z133" s="3670"/>
      <c r="AA133" s="3670"/>
      <c r="AB133" s="3670"/>
      <c r="AC133" s="3670"/>
      <c r="AD133" s="3571">
        <v>11</v>
      </c>
      <c r="AE133" s="3572"/>
      <c r="AF133" s="3572"/>
      <c r="AG133" s="3572"/>
      <c r="AH133" s="3573"/>
      <c r="AI133" s="3674">
        <v>1</v>
      </c>
      <c r="AJ133" s="3675">
        <f>B_Stanja!AP62</f>
        <v>0</v>
      </c>
      <c r="AK133" s="3675"/>
      <c r="AL133" s="3675"/>
      <c r="AM133" s="3675"/>
      <c r="AN133" s="3675"/>
      <c r="AO133" s="3674">
        <v>2</v>
      </c>
      <c r="AP133" s="3676">
        <f>B_Stanja!AI62</f>
        <v>0</v>
      </c>
      <c r="AQ133" s="3677"/>
      <c r="AR133" s="3677"/>
      <c r="AS133" s="3677"/>
      <c r="AT133" s="3677"/>
      <c r="AU133" s="3677"/>
      <c r="AV133" s="3678"/>
    </row>
    <row r="134" ht="18" customHeight="1" spans="1:48">
      <c r="A134" s="3670" t="s">
        <v>5078</v>
      </c>
      <c r="B134" s="3670"/>
      <c r="C134" s="3682" t="s">
        <v>6220</v>
      </c>
      <c r="D134" s="3683"/>
      <c r="E134" s="3683"/>
      <c r="F134" s="3683"/>
      <c r="G134" s="3683"/>
      <c r="H134" s="3683"/>
      <c r="I134" s="3683"/>
      <c r="J134" s="3683"/>
      <c r="K134" s="3683"/>
      <c r="L134" s="3683"/>
      <c r="M134" s="3683"/>
      <c r="N134" s="3683"/>
      <c r="O134" s="3683"/>
      <c r="P134" s="3683"/>
      <c r="Q134" s="3683"/>
      <c r="R134" s="3683"/>
      <c r="S134" s="3683"/>
      <c r="T134" s="3683"/>
      <c r="U134" s="3683"/>
      <c r="V134" s="3683"/>
      <c r="W134" s="3684"/>
      <c r="X134" s="3670" t="s">
        <v>6221</v>
      </c>
      <c r="Y134" s="3670"/>
      <c r="Z134" s="3670"/>
      <c r="AA134" s="3670"/>
      <c r="AB134" s="3670"/>
      <c r="AC134" s="3670"/>
      <c r="AD134" s="3571">
        <v>12</v>
      </c>
      <c r="AE134" s="3572"/>
      <c r="AF134" s="3572"/>
      <c r="AG134" s="3572"/>
      <c r="AH134" s="3573"/>
      <c r="AI134" s="3674">
        <v>1</v>
      </c>
      <c r="AJ134" s="3675">
        <f>B_Stanja!AP63</f>
        <v>0</v>
      </c>
      <c r="AK134" s="3675"/>
      <c r="AL134" s="3675"/>
      <c r="AM134" s="3675"/>
      <c r="AN134" s="3675"/>
      <c r="AO134" s="3674">
        <v>2</v>
      </c>
      <c r="AP134" s="3676">
        <f>B_Stanja!AI63</f>
        <v>0</v>
      </c>
      <c r="AQ134" s="3677"/>
      <c r="AR134" s="3677"/>
      <c r="AS134" s="3677"/>
      <c r="AT134" s="3677"/>
      <c r="AU134" s="3677"/>
      <c r="AV134" s="3678"/>
    </row>
    <row r="135" ht="13.5" spans="1:48">
      <c r="A135" s="3500" t="s">
        <v>6222</v>
      </c>
      <c r="B135" s="3500"/>
      <c r="C135" s="3500"/>
      <c r="D135" s="3500"/>
      <c r="E135" s="3500"/>
      <c r="F135" s="3500"/>
      <c r="G135" s="3500"/>
      <c r="H135" s="3500"/>
      <c r="I135" s="3500"/>
      <c r="J135" s="3500"/>
      <c r="K135" s="3500"/>
      <c r="L135" s="3500"/>
      <c r="M135" s="3500"/>
      <c r="N135" s="3500"/>
      <c r="O135" s="3500"/>
      <c r="P135" s="3500"/>
      <c r="Q135" s="3500"/>
      <c r="R135" s="3488"/>
      <c r="S135" s="3488"/>
      <c r="T135" s="3488"/>
      <c r="U135" s="3488"/>
      <c r="V135" s="3488"/>
      <c r="W135" s="3488"/>
      <c r="X135" s="3488"/>
      <c r="Y135" s="3488"/>
      <c r="Z135" s="3488"/>
      <c r="AA135" s="3488"/>
      <c r="AB135" s="3488"/>
      <c r="AC135" s="3488"/>
      <c r="AD135" s="3488"/>
      <c r="AE135" s="3488"/>
      <c r="AF135" s="3446"/>
      <c r="AG135" s="3446"/>
      <c r="AH135" s="3446"/>
      <c r="AI135" s="3446"/>
      <c r="AJ135" s="3446"/>
      <c r="AK135" s="3446"/>
      <c r="AL135" s="3446"/>
      <c r="AM135" s="3446"/>
      <c r="AN135" s="3446"/>
      <c r="AO135" s="3446"/>
      <c r="AP135" s="3446"/>
      <c r="AQ135" s="3446"/>
      <c r="AR135" s="3446"/>
      <c r="AS135" s="3446"/>
      <c r="AT135" s="3446"/>
      <c r="AU135" s="3446"/>
      <c r="AV135" s="3446"/>
    </row>
    <row r="136" spans="1:48">
      <c r="A136" s="3500"/>
      <c r="B136" s="3500"/>
      <c r="C136" s="3500"/>
      <c r="D136" s="3500"/>
      <c r="E136" s="3500"/>
      <c r="F136" s="3500"/>
      <c r="G136" s="3500"/>
      <c r="H136" s="3500"/>
      <c r="I136" s="3500"/>
      <c r="J136" s="3500"/>
      <c r="K136" s="3500"/>
      <c r="L136" s="3500"/>
      <c r="M136" s="3500"/>
      <c r="N136" s="3500"/>
      <c r="O136" s="3500"/>
      <c r="P136" s="3500"/>
      <c r="Q136" s="3500"/>
      <c r="R136" s="3488"/>
      <c r="S136" s="3488"/>
      <c r="T136" s="3488"/>
      <c r="U136" s="3488"/>
      <c r="V136" s="3488"/>
      <c r="W136" s="3488"/>
      <c r="X136" s="3488"/>
      <c r="Y136" s="3488"/>
      <c r="Z136" s="3488"/>
      <c r="AA136" s="3488"/>
      <c r="AB136" s="3488"/>
      <c r="AC136" s="3488"/>
      <c r="AD136" s="3488"/>
      <c r="AE136" s="3488"/>
      <c r="AF136" s="3446"/>
      <c r="AG136" s="3446"/>
      <c r="AH136" s="3446"/>
      <c r="AI136" s="3446"/>
      <c r="AJ136" s="3446"/>
      <c r="AK136" s="3446"/>
      <c r="AL136" s="3446"/>
      <c r="AM136" s="3446"/>
      <c r="AN136" s="3446"/>
      <c r="AO136" s="3446"/>
      <c r="AP136" s="3446"/>
      <c r="AQ136" s="3446"/>
      <c r="AR136" s="3446"/>
      <c r="AS136" s="3446"/>
      <c r="AT136" s="3446"/>
      <c r="AU136" s="3446"/>
      <c r="AV136" s="3446"/>
    </row>
    <row r="137" spans="1:48">
      <c r="A137" s="3500"/>
      <c r="B137" s="3500"/>
      <c r="C137" s="3500"/>
      <c r="D137" s="3500"/>
      <c r="E137" s="3500"/>
      <c r="F137" s="3500"/>
      <c r="G137" s="3500"/>
      <c r="H137" s="3500"/>
      <c r="I137" s="3500"/>
      <c r="J137" s="3500"/>
      <c r="K137" s="3500"/>
      <c r="L137" s="3500"/>
      <c r="M137" s="3500"/>
      <c r="N137" s="3500"/>
      <c r="O137" s="3500"/>
      <c r="P137" s="3500"/>
      <c r="Q137" s="3500"/>
      <c r="R137" s="3488"/>
      <c r="S137" s="3488"/>
      <c r="T137" s="3488"/>
      <c r="U137" s="3488"/>
      <c r="V137" s="3488"/>
      <c r="W137" s="3488"/>
      <c r="X137" s="3488"/>
      <c r="Y137" s="3488"/>
      <c r="Z137" s="3488"/>
      <c r="AA137" s="3488"/>
      <c r="AB137" s="3488"/>
      <c r="AC137" s="3488"/>
      <c r="AD137" s="3488"/>
      <c r="AE137" s="3488"/>
      <c r="AF137" s="3446"/>
      <c r="AG137" s="3446"/>
      <c r="AH137" s="3446"/>
      <c r="AI137" s="3446"/>
      <c r="AJ137" s="3446"/>
      <c r="AK137" s="3446"/>
      <c r="AL137" s="3446"/>
      <c r="AM137" s="3446"/>
      <c r="AN137" s="3446"/>
      <c r="AO137" s="3446"/>
      <c r="AP137" s="3446"/>
      <c r="AQ137" s="3446"/>
      <c r="AR137" s="3446"/>
      <c r="AS137" s="3446"/>
      <c r="AT137" s="3446"/>
      <c r="AU137" s="3446"/>
      <c r="AV137" s="3446"/>
    </row>
    <row r="138" spans="1:48">
      <c r="A138" s="3500"/>
      <c r="B138" s="3500"/>
      <c r="C138" s="3500"/>
      <c r="D138" s="3500"/>
      <c r="E138" s="3500"/>
      <c r="F138" s="3500"/>
      <c r="G138" s="3500"/>
      <c r="H138" s="3500"/>
      <c r="I138" s="3500"/>
      <c r="J138" s="3500"/>
      <c r="K138" s="3500"/>
      <c r="L138" s="3500"/>
      <c r="M138" s="3500"/>
      <c r="N138" s="3500"/>
      <c r="O138" s="3500"/>
      <c r="P138" s="3500"/>
      <c r="Q138" s="3500"/>
      <c r="R138" s="3488"/>
      <c r="S138" s="3488"/>
      <c r="T138" s="3488"/>
      <c r="U138" s="3488"/>
      <c r="V138" s="3488"/>
      <c r="W138" s="3488"/>
      <c r="X138" s="3488"/>
      <c r="Y138" s="3488"/>
      <c r="Z138" s="3488"/>
      <c r="AA138" s="3488"/>
      <c r="AB138" s="3488"/>
      <c r="AC138" s="3488"/>
      <c r="AD138" s="3488"/>
      <c r="AE138" s="3488"/>
      <c r="AF138" s="3446"/>
      <c r="AG138" s="3446"/>
      <c r="AH138" s="3446"/>
      <c r="AI138" s="3446"/>
      <c r="AJ138" s="3446"/>
      <c r="AK138" s="3446"/>
      <c r="AL138" s="3446"/>
      <c r="AM138" s="3446"/>
      <c r="AN138" s="3446"/>
      <c r="AO138" s="3446"/>
      <c r="AP138" s="3446"/>
      <c r="AQ138" s="3446"/>
      <c r="AR138" s="3446"/>
      <c r="AS138" s="3446"/>
      <c r="AT138" s="3446"/>
      <c r="AU138" s="3446"/>
      <c r="AV138" s="3446"/>
    </row>
    <row r="139" spans="1:48">
      <c r="A139" s="3500"/>
      <c r="B139" s="3500"/>
      <c r="C139" s="3500"/>
      <c r="D139" s="3500"/>
      <c r="E139" s="3500"/>
      <c r="F139" s="3500"/>
      <c r="G139" s="3500"/>
      <c r="H139" s="3500"/>
      <c r="I139" s="3500"/>
      <c r="J139" s="3500"/>
      <c r="K139" s="3500"/>
      <c r="L139" s="3500"/>
      <c r="M139" s="3500"/>
      <c r="N139" s="3500"/>
      <c r="O139" s="3500"/>
      <c r="P139" s="3500"/>
      <c r="Q139" s="3500"/>
      <c r="R139" s="3488"/>
      <c r="S139" s="3488"/>
      <c r="T139" s="3488"/>
      <c r="U139" s="3488"/>
      <c r="V139" s="3488"/>
      <c r="W139" s="3488"/>
      <c r="X139" s="3488"/>
      <c r="Y139" s="3488"/>
      <c r="Z139" s="3488"/>
      <c r="AA139" s="3488"/>
      <c r="AB139" s="3488"/>
      <c r="AC139" s="3488"/>
      <c r="AD139" s="3488"/>
      <c r="AE139" s="3488"/>
      <c r="AF139" s="3446"/>
      <c r="AG139" s="3446"/>
      <c r="AH139" s="3446"/>
      <c r="AI139" s="3446"/>
      <c r="AJ139" s="3446"/>
      <c r="AK139" s="3446"/>
      <c r="AL139" s="3446"/>
      <c r="AM139" s="3446"/>
      <c r="AN139" s="3446"/>
      <c r="AO139" s="3446"/>
      <c r="AP139" s="3446"/>
      <c r="AQ139" s="3446"/>
      <c r="AR139" s="3446"/>
      <c r="AS139" s="3446"/>
      <c r="AT139" s="3446"/>
      <c r="AU139" s="3446"/>
      <c r="AV139" s="3446"/>
    </row>
    <row r="140" spans="1:48">
      <c r="A140" s="3500"/>
      <c r="B140" s="3500"/>
      <c r="C140" s="3500"/>
      <c r="D140" s="3500"/>
      <c r="E140" s="3500"/>
      <c r="F140" s="3500"/>
      <c r="G140" s="3500"/>
      <c r="H140" s="3500"/>
      <c r="I140" s="3500"/>
      <c r="J140" s="3500"/>
      <c r="K140" s="3500"/>
      <c r="L140" s="3500"/>
      <c r="M140" s="3500"/>
      <c r="N140" s="3500"/>
      <c r="O140" s="3500"/>
      <c r="P140" s="3500"/>
      <c r="Q140" s="3500"/>
      <c r="R140" s="3488"/>
      <c r="S140" s="3488"/>
      <c r="T140" s="3488"/>
      <c r="U140" s="3488"/>
      <c r="V140" s="3488"/>
      <c r="W140" s="3488"/>
      <c r="X140" s="3488"/>
      <c r="Y140" s="3488"/>
      <c r="Z140" s="3488"/>
      <c r="AA140" s="3488"/>
      <c r="AB140" s="3488"/>
      <c r="AC140" s="3488"/>
      <c r="AD140" s="3488"/>
      <c r="AE140" s="3488"/>
      <c r="AF140" s="3446"/>
      <c r="AG140" s="3446"/>
      <c r="AH140" s="3446"/>
      <c r="AI140" s="3446"/>
      <c r="AJ140" s="3446"/>
      <c r="AK140" s="3446"/>
      <c r="AL140" s="3446"/>
      <c r="AM140" s="3446"/>
      <c r="AN140" s="3446"/>
      <c r="AO140" s="3446"/>
      <c r="AP140" s="3446"/>
      <c r="AQ140" s="3446"/>
      <c r="AR140" s="3446"/>
      <c r="AS140" s="3446"/>
      <c r="AT140" s="3446"/>
      <c r="AU140" s="3446"/>
      <c r="AV140" s="3446"/>
    </row>
    <row r="141" spans="1:48">
      <c r="A141" s="3505" t="s">
        <v>6223</v>
      </c>
      <c r="B141" s="3505"/>
      <c r="C141" s="3505"/>
      <c r="D141" s="3505"/>
      <c r="E141" s="3505"/>
      <c r="F141" s="3505"/>
      <c r="G141" s="3505"/>
      <c r="H141" s="3505"/>
      <c r="I141" s="3505"/>
      <c r="J141" s="3505"/>
      <c r="K141" s="3505"/>
      <c r="L141" s="3505"/>
      <c r="M141" s="3505"/>
      <c r="N141" s="3505"/>
      <c r="O141" s="3505"/>
      <c r="P141" s="3505"/>
      <c r="Q141" s="3505"/>
      <c r="R141" s="3505"/>
      <c r="S141" s="3505"/>
      <c r="T141" s="3505"/>
      <c r="U141" s="3505"/>
      <c r="V141" s="3505"/>
      <c r="W141" s="3505"/>
      <c r="X141" s="3505"/>
      <c r="Y141" s="3505"/>
      <c r="Z141" s="3505"/>
      <c r="AA141" s="3505"/>
      <c r="AB141" s="3505"/>
      <c r="AC141" s="3499"/>
      <c r="AD141" s="3499"/>
      <c r="AE141" s="3499"/>
      <c r="AF141" s="3499"/>
      <c r="AG141" s="3499"/>
      <c r="AH141" s="3499"/>
      <c r="AI141" s="3499"/>
      <c r="AJ141" s="3499"/>
      <c r="AK141" s="3499"/>
      <c r="AL141" s="3499"/>
      <c r="AM141" s="3499"/>
      <c r="AN141" s="3499"/>
      <c r="AO141" s="3499"/>
      <c r="AP141" s="3499"/>
      <c r="AQ141" s="3499"/>
      <c r="AR141" s="3499"/>
      <c r="AS141" s="3499"/>
      <c r="AT141" s="3499"/>
      <c r="AU141" s="3499"/>
      <c r="AV141" s="3499"/>
    </row>
    <row r="142" spans="1:48">
      <c r="A142" s="3685" t="s">
        <v>6096</v>
      </c>
      <c r="B142" s="3686"/>
      <c r="C142" s="3687" t="s">
        <v>6224</v>
      </c>
      <c r="D142" s="3688"/>
      <c r="E142" s="3688"/>
      <c r="F142" s="3688"/>
      <c r="G142" s="3688"/>
      <c r="H142" s="3688"/>
      <c r="I142" s="3688"/>
      <c r="J142" s="3688"/>
      <c r="K142" s="3688"/>
      <c r="L142" s="3688"/>
      <c r="M142" s="3688"/>
      <c r="N142" s="3688"/>
      <c r="O142" s="3688"/>
      <c r="P142" s="3688"/>
      <c r="Q142" s="3688"/>
      <c r="R142" s="3688"/>
      <c r="S142" s="3688"/>
      <c r="T142" s="3688"/>
      <c r="U142" s="3688"/>
      <c r="V142" s="3688"/>
      <c r="W142" s="3688"/>
      <c r="X142" s="3509" t="s">
        <v>6098</v>
      </c>
      <c r="Y142" s="3509"/>
      <c r="Z142" s="3509"/>
      <c r="AA142" s="3509"/>
      <c r="AB142" s="3509"/>
      <c r="AC142" s="3689" t="s">
        <v>6225</v>
      </c>
      <c r="AD142" s="3689"/>
      <c r="AE142" s="3689"/>
      <c r="AF142" s="3689"/>
      <c r="AG142" s="3689"/>
      <c r="AH142" s="3689"/>
      <c r="AI142" s="3689"/>
      <c r="AJ142" s="3689"/>
      <c r="AK142" s="3689"/>
      <c r="AL142" s="3689"/>
      <c r="AM142" s="3689"/>
      <c r="AN142" s="3689"/>
      <c r="AO142" s="3690" t="s">
        <v>6226</v>
      </c>
      <c r="AP142" s="3691"/>
      <c r="AQ142" s="3691"/>
      <c r="AR142" s="3691"/>
      <c r="AS142" s="3691"/>
      <c r="AT142" s="3691"/>
      <c r="AU142" s="3691"/>
      <c r="AV142" s="3692"/>
    </row>
    <row r="143" spans="1:48">
      <c r="A143" s="3693"/>
      <c r="B143" s="3694"/>
      <c r="C143" s="3695"/>
      <c r="D143" s="3696"/>
      <c r="E143" s="3696"/>
      <c r="F143" s="3696"/>
      <c r="G143" s="3696"/>
      <c r="H143" s="3696"/>
      <c r="I143" s="3696"/>
      <c r="J143" s="3696"/>
      <c r="K143" s="3696"/>
      <c r="L143" s="3696"/>
      <c r="M143" s="3696"/>
      <c r="N143" s="3696"/>
      <c r="O143" s="3696"/>
      <c r="P143" s="3696"/>
      <c r="Q143" s="3696"/>
      <c r="R143" s="3696"/>
      <c r="S143" s="3696"/>
      <c r="T143" s="3696"/>
      <c r="U143" s="3696"/>
      <c r="V143" s="3696"/>
      <c r="W143" s="3696"/>
      <c r="X143" s="3509"/>
      <c r="Y143" s="3509"/>
      <c r="Z143" s="3509"/>
      <c r="AA143" s="3509"/>
      <c r="AB143" s="3509"/>
      <c r="AC143" s="3689" t="s">
        <v>4671</v>
      </c>
      <c r="AD143" s="3689"/>
      <c r="AE143" s="3689"/>
      <c r="AF143" s="3689"/>
      <c r="AG143" s="3689"/>
      <c r="AH143" s="3689"/>
      <c r="AI143" s="3689" t="s">
        <v>6227</v>
      </c>
      <c r="AJ143" s="3689"/>
      <c r="AK143" s="3689"/>
      <c r="AL143" s="3689"/>
      <c r="AM143" s="3689"/>
      <c r="AN143" s="3689"/>
      <c r="AO143" s="3697"/>
      <c r="AP143" s="3698"/>
      <c r="AQ143" s="3698"/>
      <c r="AR143" s="3698"/>
      <c r="AS143" s="3698"/>
      <c r="AT143" s="3698"/>
      <c r="AU143" s="3698"/>
      <c r="AV143" s="3699"/>
    </row>
    <row r="144" ht="26.25" customHeight="1" spans="1:48">
      <c r="A144" s="3670" t="s">
        <v>5336</v>
      </c>
      <c r="B144" s="3670"/>
      <c r="C144" s="3630" t="s">
        <v>6228</v>
      </c>
      <c r="D144" s="3643"/>
      <c r="E144" s="3643"/>
      <c r="F144" s="3643"/>
      <c r="G144" s="3643"/>
      <c r="H144" s="3643"/>
      <c r="I144" s="3643"/>
      <c r="J144" s="3643"/>
      <c r="K144" s="3643"/>
      <c r="L144" s="3643"/>
      <c r="M144" s="3643"/>
      <c r="N144" s="3643"/>
      <c r="O144" s="3643"/>
      <c r="P144" s="3643"/>
      <c r="Q144" s="3643"/>
      <c r="R144" s="3643"/>
      <c r="S144" s="3643"/>
      <c r="T144" s="3643"/>
      <c r="U144" s="3643"/>
      <c r="V144" s="3643"/>
      <c r="W144" s="3644"/>
      <c r="X144" s="3670" t="s">
        <v>6229</v>
      </c>
      <c r="Y144" s="3670"/>
      <c r="Z144" s="3670"/>
      <c r="AA144" s="3670"/>
      <c r="AB144" s="3670"/>
      <c r="AC144" s="3674">
        <v>1</v>
      </c>
      <c r="AD144" s="3676"/>
      <c r="AE144" s="3677"/>
      <c r="AF144" s="3677"/>
      <c r="AG144" s="3677"/>
      <c r="AH144" s="3678"/>
      <c r="AI144" s="3674">
        <v>2</v>
      </c>
      <c r="AJ144" s="3648"/>
      <c r="AK144" s="3649"/>
      <c r="AL144" s="3649"/>
      <c r="AM144" s="3649"/>
      <c r="AN144" s="3650"/>
      <c r="AO144" s="3674">
        <v>3</v>
      </c>
      <c r="AP144" s="3676"/>
      <c r="AQ144" s="3677"/>
      <c r="AR144" s="3677"/>
      <c r="AS144" s="3677"/>
      <c r="AT144" s="3677"/>
      <c r="AU144" s="3677"/>
      <c r="AV144" s="3678"/>
    </row>
    <row r="145" ht="17.25" customHeight="1" spans="1:49">
      <c r="A145" s="3670" t="s">
        <v>5428</v>
      </c>
      <c r="B145" s="3670"/>
      <c r="C145" s="3636" t="s">
        <v>6230</v>
      </c>
      <c r="D145" s="3637"/>
      <c r="E145" s="3637"/>
      <c r="F145" s="3637"/>
      <c r="G145" s="3637"/>
      <c r="H145" s="3637"/>
      <c r="I145" s="3637"/>
      <c r="J145" s="3637"/>
      <c r="K145" s="3637"/>
      <c r="L145" s="3637"/>
      <c r="M145" s="3637"/>
      <c r="N145" s="3637"/>
      <c r="O145" s="3637"/>
      <c r="P145" s="3637"/>
      <c r="Q145" s="3637"/>
      <c r="R145" s="3637"/>
      <c r="S145" s="3637"/>
      <c r="T145" s="3637"/>
      <c r="U145" s="3637"/>
      <c r="V145" s="3637"/>
      <c r="W145" s="3638"/>
      <c r="X145" s="3670" t="s">
        <v>6231</v>
      </c>
      <c r="Y145" s="3670"/>
      <c r="Z145" s="3670"/>
      <c r="AA145" s="3670"/>
      <c r="AB145" s="3670"/>
      <c r="AC145" s="3674">
        <v>1</v>
      </c>
      <c r="AD145" s="3676">
        <f>AD146+AD147+AD148</f>
        <v>6</v>
      </c>
      <c r="AE145" s="3677"/>
      <c r="AF145" s="3677"/>
      <c r="AG145" s="3677"/>
      <c r="AH145" s="3678"/>
      <c r="AI145" s="3674">
        <v>2</v>
      </c>
      <c r="AJ145" s="3676">
        <f>AJ146+AJ147+AJ148</f>
        <v>0</v>
      </c>
      <c r="AK145" s="3677"/>
      <c r="AL145" s="3677"/>
      <c r="AM145" s="3677"/>
      <c r="AN145" s="3678"/>
      <c r="AO145" s="3674">
        <v>3</v>
      </c>
      <c r="AP145" s="3676">
        <f>UnosPod!Y481</f>
        <v>12184</v>
      </c>
      <c r="AQ145" s="3677"/>
      <c r="AR145" s="3677"/>
      <c r="AS145" s="3677"/>
      <c r="AT145" s="3677"/>
      <c r="AU145" s="3677"/>
      <c r="AV145" s="3678"/>
    </row>
    <row r="146" ht="17.25" customHeight="1" spans="1:49">
      <c r="A146" s="3670" t="s">
        <v>5469</v>
      </c>
      <c r="B146" s="3670"/>
      <c r="C146" s="3617" t="s">
        <v>6232</v>
      </c>
      <c r="D146" s="3618"/>
      <c r="E146" s="3618"/>
      <c r="F146" s="3618"/>
      <c r="G146" s="3618"/>
      <c r="H146" s="3618"/>
      <c r="I146" s="3618"/>
      <c r="J146" s="3618"/>
      <c r="K146" s="3618"/>
      <c r="L146" s="3618"/>
      <c r="M146" s="3618"/>
      <c r="N146" s="3618"/>
      <c r="O146" s="3618"/>
      <c r="P146" s="3618"/>
      <c r="Q146" s="3618"/>
      <c r="R146" s="3618"/>
      <c r="S146" s="3618"/>
      <c r="T146" s="3618"/>
      <c r="U146" s="3618"/>
      <c r="V146" s="3618"/>
      <c r="W146" s="3619"/>
      <c r="X146" s="3670" t="s">
        <v>6233</v>
      </c>
      <c r="Y146" s="3670"/>
      <c r="Z146" s="3670"/>
      <c r="AA146" s="3670"/>
      <c r="AB146" s="3670"/>
      <c r="AC146" s="3674">
        <v>1</v>
      </c>
      <c r="AD146" s="3676"/>
      <c r="AE146" s="3677"/>
      <c r="AF146" s="3677"/>
      <c r="AG146" s="3677"/>
      <c r="AH146" s="3678"/>
      <c r="AI146" s="3674">
        <v>2</v>
      </c>
      <c r="AJ146" s="3700"/>
      <c r="AK146" s="3700"/>
      <c r="AL146" s="3700"/>
      <c r="AM146" s="3700"/>
      <c r="AN146" s="3700"/>
      <c r="AO146" s="3674">
        <v>3</v>
      </c>
      <c r="AP146" s="3701"/>
      <c r="AQ146" s="3702"/>
      <c r="AR146" s="3702"/>
      <c r="AS146" s="3702"/>
      <c r="AT146" s="3702"/>
      <c r="AU146" s="3702"/>
      <c r="AV146" s="3703"/>
    </row>
    <row r="147" ht="17.25" customHeight="1" spans="1:49">
      <c r="A147" s="3670" t="s">
        <v>5600</v>
      </c>
      <c r="B147" s="3670"/>
      <c r="C147" s="3617" t="s">
        <v>6234</v>
      </c>
      <c r="D147" s="3618"/>
      <c r="E147" s="3618"/>
      <c r="F147" s="3618"/>
      <c r="G147" s="3618"/>
      <c r="H147" s="3618"/>
      <c r="I147" s="3618"/>
      <c r="J147" s="3618"/>
      <c r="K147" s="3618"/>
      <c r="L147" s="3618"/>
      <c r="M147" s="3618"/>
      <c r="N147" s="3618"/>
      <c r="O147" s="3618"/>
      <c r="P147" s="3618"/>
      <c r="Q147" s="3618"/>
      <c r="R147" s="3618"/>
      <c r="S147" s="3618"/>
      <c r="T147" s="3618"/>
      <c r="U147" s="3618"/>
      <c r="V147" s="3618"/>
      <c r="W147" s="3619"/>
      <c r="X147" s="3670" t="s">
        <v>6235</v>
      </c>
      <c r="Y147" s="3670"/>
      <c r="Z147" s="3670"/>
      <c r="AA147" s="3670"/>
      <c r="AB147" s="3670"/>
      <c r="AC147" s="3674">
        <v>1</v>
      </c>
      <c r="AD147" s="3676">
        <f>UnosPod!H481-AD148-AD146</f>
        <v>6</v>
      </c>
      <c r="AE147" s="3677"/>
      <c r="AF147" s="3677"/>
      <c r="AG147" s="3677"/>
      <c r="AH147" s="3678"/>
      <c r="AI147" s="3674">
        <v>2</v>
      </c>
      <c r="AJ147" s="3700"/>
      <c r="AK147" s="3700"/>
      <c r="AL147" s="3700"/>
      <c r="AM147" s="3700"/>
      <c r="AN147" s="3700"/>
      <c r="AO147" s="3674">
        <v>3</v>
      </c>
      <c r="AP147" s="3676">
        <f>AP145-AP146-AP148</f>
        <v>12184</v>
      </c>
      <c r="AQ147" s="3677"/>
      <c r="AR147" s="3677"/>
      <c r="AS147" s="3677"/>
      <c r="AT147" s="3677"/>
      <c r="AU147" s="3677"/>
      <c r="AV147" s="3678"/>
    </row>
    <row r="148" ht="17.25" customHeight="1" spans="1:49">
      <c r="A148" s="3670" t="s">
        <v>5078</v>
      </c>
      <c r="B148" s="3670"/>
      <c r="C148" s="3704" t="s">
        <v>6236</v>
      </c>
      <c r="D148" s="3705"/>
      <c r="E148" s="3705"/>
      <c r="F148" s="3705"/>
      <c r="G148" s="3705"/>
      <c r="H148" s="3705"/>
      <c r="I148" s="3705"/>
      <c r="J148" s="3705"/>
      <c r="K148" s="3705"/>
      <c r="L148" s="3705"/>
      <c r="M148" s="3705"/>
      <c r="N148" s="3705"/>
      <c r="O148" s="3705"/>
      <c r="P148" s="3705"/>
      <c r="Q148" s="3705"/>
      <c r="R148" s="3705"/>
      <c r="S148" s="3705"/>
      <c r="T148" s="3705"/>
      <c r="U148" s="3705"/>
      <c r="V148" s="3705"/>
      <c r="W148" s="3706"/>
      <c r="X148" s="3707" t="s">
        <v>6237</v>
      </c>
      <c r="Y148" s="3708"/>
      <c r="Z148" s="3708"/>
      <c r="AA148" s="3708"/>
      <c r="AB148" s="3709"/>
      <c r="AC148" s="3674">
        <v>1</v>
      </c>
      <c r="AD148" s="3676"/>
      <c r="AE148" s="3677"/>
      <c r="AF148" s="3677"/>
      <c r="AG148" s="3677"/>
      <c r="AH148" s="3678"/>
      <c r="AI148" s="3674">
        <v>2</v>
      </c>
      <c r="AJ148" s="3700"/>
      <c r="AK148" s="3700"/>
      <c r="AL148" s="3700"/>
      <c r="AM148" s="3700"/>
      <c r="AN148" s="3700"/>
      <c r="AO148" s="3674">
        <v>3</v>
      </c>
      <c r="AP148" s="3701"/>
      <c r="AQ148" s="3702"/>
      <c r="AR148" s="3702"/>
      <c r="AS148" s="3702"/>
      <c r="AT148" s="3702"/>
      <c r="AU148" s="3702"/>
      <c r="AV148" s="3703"/>
    </row>
    <row r="149" ht="17.25" customHeight="1" spans="1:49">
      <c r="A149" s="3670" t="s">
        <v>6133</v>
      </c>
      <c r="B149" s="3670"/>
      <c r="C149" s="3710" t="s">
        <v>6238</v>
      </c>
      <c r="D149" s="3711"/>
      <c r="E149" s="3711"/>
      <c r="F149" s="3711"/>
      <c r="G149" s="3711"/>
      <c r="H149" s="3711"/>
      <c r="I149" s="3711"/>
      <c r="J149" s="3711"/>
      <c r="K149" s="3711"/>
      <c r="L149" s="3711"/>
      <c r="M149" s="3711"/>
      <c r="N149" s="3711"/>
      <c r="O149" s="3711"/>
      <c r="P149" s="3711"/>
      <c r="Q149" s="3711"/>
      <c r="R149" s="3711"/>
      <c r="S149" s="3711"/>
      <c r="T149" s="3711"/>
      <c r="U149" s="3711"/>
      <c r="V149" s="3711"/>
      <c r="W149" s="3712"/>
      <c r="X149" s="3713" t="s">
        <v>6239</v>
      </c>
      <c r="Y149" s="3713"/>
      <c r="Z149" s="3713"/>
      <c r="AA149" s="3713"/>
      <c r="AB149" s="3713"/>
      <c r="AC149" s="3674">
        <v>1</v>
      </c>
      <c r="AD149" s="3676">
        <f>AD145+AD144</f>
        <v>6</v>
      </c>
      <c r="AE149" s="3677"/>
      <c r="AF149" s="3677"/>
      <c r="AG149" s="3677"/>
      <c r="AH149" s="3678"/>
      <c r="AI149" s="3674">
        <v>2</v>
      </c>
      <c r="AJ149" s="3676">
        <f>AJ145+AJ144</f>
        <v>0</v>
      </c>
      <c r="AK149" s="3677"/>
      <c r="AL149" s="3677"/>
      <c r="AM149" s="3677"/>
      <c r="AN149" s="3678"/>
      <c r="AO149" s="3674">
        <v>3</v>
      </c>
      <c r="AP149" s="3676">
        <f>AP144+AP145</f>
        <v>12184</v>
      </c>
      <c r="AQ149" s="3677"/>
      <c r="AR149" s="3677"/>
      <c r="AS149" s="3677"/>
      <c r="AT149" s="3677"/>
      <c r="AU149" s="3677"/>
      <c r="AV149" s="3678"/>
    </row>
    <row r="150" spans="1:49">
      <c r="A150" s="3714"/>
      <c r="B150" s="3714"/>
      <c r="C150" s="3715"/>
      <c r="D150" s="3715"/>
      <c r="E150" s="3715"/>
      <c r="F150" s="3715"/>
      <c r="G150" s="3715"/>
      <c r="H150" s="3715"/>
      <c r="I150" s="3715"/>
      <c r="J150" s="3715"/>
      <c r="K150" s="3715"/>
      <c r="L150" s="3715"/>
      <c r="M150" s="3715"/>
      <c r="N150" s="3715"/>
      <c r="O150" s="3715"/>
      <c r="P150" s="3715"/>
      <c r="Q150" s="3715"/>
      <c r="R150" s="3715"/>
      <c r="S150" s="3715"/>
      <c r="T150" s="3715"/>
      <c r="U150" s="3715"/>
      <c r="V150" s="3715"/>
      <c r="W150" s="3715"/>
      <c r="X150" s="3716"/>
      <c r="Y150" s="3716"/>
      <c r="Z150" s="3716"/>
      <c r="AA150" s="3716"/>
      <c r="AB150" s="3716"/>
      <c r="AC150" s="3717"/>
      <c r="AD150" s="3718"/>
      <c r="AE150" s="3718"/>
      <c r="AF150" s="3718"/>
      <c r="AG150" s="3718"/>
      <c r="AH150" s="3718"/>
      <c r="AI150" s="3717"/>
      <c r="AJ150" s="3483"/>
      <c r="AK150" s="3483"/>
      <c r="AL150" s="3483"/>
      <c r="AM150" s="3483"/>
      <c r="AN150" s="3483"/>
      <c r="AO150" s="3717"/>
      <c r="AP150" s="3483"/>
      <c r="AQ150" s="3483"/>
      <c r="AR150" s="3483"/>
      <c r="AS150" s="3483"/>
      <c r="AT150" s="3483"/>
      <c r="AU150" s="3483"/>
      <c r="AV150" s="3483"/>
    </row>
    <row r="151" spans="1:49">
      <c r="A151" s="3501" t="s">
        <v>6240</v>
      </c>
      <c r="B151" s="3501"/>
      <c r="C151" s="3501"/>
      <c r="D151" s="3501"/>
      <c r="E151" s="3501"/>
      <c r="F151" s="3501"/>
      <c r="G151" s="3501"/>
      <c r="H151" s="3501"/>
      <c r="I151" s="3501"/>
      <c r="J151" s="3501"/>
      <c r="K151" s="3501"/>
      <c r="L151" s="3501"/>
      <c r="M151" s="3501"/>
      <c r="N151" s="3501"/>
      <c r="O151" s="3501"/>
      <c r="P151" s="3501"/>
      <c r="Q151" s="3501"/>
      <c r="R151" s="3501"/>
      <c r="S151" s="3501"/>
      <c r="T151" s="3501"/>
      <c r="U151" s="3501"/>
      <c r="V151" s="3501"/>
      <c r="W151" s="3501"/>
      <c r="X151" s="3501"/>
      <c r="Y151" s="3501"/>
      <c r="Z151" s="3501"/>
      <c r="AA151" s="3501"/>
      <c r="AB151" s="3501"/>
      <c r="AC151" s="3501"/>
      <c r="AD151" s="3501"/>
      <c r="AE151" s="3501"/>
      <c r="AF151" s="3501"/>
      <c r="AG151" s="3501"/>
      <c r="AH151" s="3501"/>
      <c r="AI151" s="3501"/>
      <c r="AJ151" s="3501"/>
      <c r="AK151" s="3501"/>
      <c r="AL151" s="3501"/>
      <c r="AM151" s="3501"/>
      <c r="AN151" s="3501"/>
      <c r="AO151" s="3501"/>
      <c r="AP151" s="3501"/>
      <c r="AQ151" s="3501"/>
      <c r="AR151" s="3501"/>
      <c r="AS151" s="3501"/>
      <c r="AT151" s="3501"/>
      <c r="AU151" s="3501"/>
      <c r="AV151" s="3501"/>
    </row>
    <row r="152" spans="1:49">
      <c r="A152" s="3501"/>
      <c r="B152" s="3501"/>
      <c r="C152" s="3501"/>
      <c r="D152" s="3501"/>
      <c r="E152" s="3501"/>
      <c r="F152" s="3501"/>
      <c r="G152" s="3501"/>
      <c r="H152" s="3501"/>
      <c r="I152" s="3501"/>
      <c r="J152" s="3501"/>
      <c r="K152" s="3501"/>
      <c r="L152" s="3501"/>
      <c r="M152" s="3501"/>
      <c r="N152" s="3501"/>
      <c r="O152" s="3501"/>
      <c r="P152" s="3501"/>
      <c r="Q152" s="3501"/>
      <c r="R152" s="3501"/>
      <c r="S152" s="3501"/>
      <c r="T152" s="3501"/>
      <c r="U152" s="3501"/>
      <c r="V152" s="3501"/>
      <c r="W152" s="3501"/>
      <c r="X152" s="3501"/>
      <c r="Y152" s="3501"/>
      <c r="Z152" s="3501"/>
      <c r="AA152" s="3501"/>
      <c r="AB152" s="3501"/>
      <c r="AC152" s="3501"/>
      <c r="AD152" s="3501"/>
      <c r="AE152" s="3501"/>
      <c r="AF152" s="3501"/>
      <c r="AG152" s="3501"/>
      <c r="AH152" s="3501"/>
      <c r="AI152" s="3501"/>
      <c r="AJ152" s="3501"/>
      <c r="AK152" s="3501"/>
      <c r="AL152" s="3501"/>
      <c r="AM152" s="3501"/>
      <c r="AN152" s="3501"/>
      <c r="AO152" s="3501"/>
      <c r="AP152" s="3501"/>
      <c r="AQ152" s="3501"/>
      <c r="AR152" s="3501"/>
      <c r="AS152" s="3501"/>
      <c r="AT152" s="3501"/>
      <c r="AU152" s="3501"/>
      <c r="AV152" s="3501"/>
    </row>
    <row r="153" spans="1:49">
      <c r="A153" s="3501"/>
      <c r="B153" s="3501"/>
      <c r="C153" s="3501"/>
      <c r="D153" s="3501"/>
      <c r="E153" s="3501"/>
      <c r="F153" s="3501"/>
      <c r="G153" s="3501"/>
      <c r="H153" s="3501"/>
      <c r="I153" s="3501"/>
      <c r="J153" s="3501"/>
      <c r="K153" s="3501"/>
      <c r="L153" s="3501"/>
      <c r="M153" s="3501"/>
      <c r="N153" s="3501"/>
      <c r="O153" s="3501"/>
      <c r="P153" s="3501"/>
      <c r="Q153" s="3501"/>
      <c r="R153" s="3501"/>
      <c r="S153" s="3501"/>
      <c r="T153" s="3501"/>
      <c r="U153" s="3501"/>
      <c r="V153" s="3501"/>
      <c r="W153" s="3501"/>
      <c r="X153" s="3501"/>
      <c r="Y153" s="3501"/>
      <c r="Z153" s="3501"/>
      <c r="AA153" s="3501"/>
      <c r="AB153" s="3501"/>
      <c r="AC153" s="3501"/>
      <c r="AD153" s="3501"/>
      <c r="AE153" s="3501"/>
      <c r="AF153" s="3501"/>
      <c r="AG153" s="3501"/>
      <c r="AH153" s="3501"/>
      <c r="AI153" s="3501"/>
      <c r="AJ153" s="3501"/>
      <c r="AK153" s="3501"/>
      <c r="AL153" s="3501"/>
      <c r="AM153" s="3501"/>
      <c r="AN153" s="3501"/>
      <c r="AO153" s="3501"/>
      <c r="AP153" s="3501"/>
      <c r="AQ153" s="3501"/>
      <c r="AR153" s="3501"/>
      <c r="AS153" s="3501"/>
      <c r="AT153" s="3501"/>
      <c r="AU153" s="3501"/>
      <c r="AV153" s="3501"/>
    </row>
    <row r="154" spans="1:49">
      <c r="A154" s="3505" t="s">
        <v>6241</v>
      </c>
      <c r="B154" s="3505"/>
      <c r="C154" s="3505"/>
      <c r="D154" s="3505"/>
      <c r="E154" s="3505"/>
      <c r="F154" s="3505"/>
      <c r="G154" s="3505"/>
      <c r="H154" s="3505"/>
      <c r="I154" s="3505"/>
      <c r="J154" s="3505"/>
      <c r="K154" s="3505"/>
      <c r="L154" s="3505"/>
      <c r="M154" s="3505"/>
      <c r="N154" s="3505"/>
      <c r="O154" s="3505"/>
      <c r="P154" s="3505"/>
      <c r="Q154" s="3505"/>
      <c r="R154" s="3505"/>
      <c r="S154" s="3505"/>
      <c r="T154" s="3505"/>
      <c r="U154" s="3505"/>
      <c r="V154" s="3505"/>
      <c r="W154" s="3505"/>
      <c r="X154" s="3505"/>
      <c r="Y154" s="3505"/>
      <c r="Z154" s="3505"/>
      <c r="AA154" s="3505"/>
      <c r="AB154" s="3505"/>
      <c r="AC154" s="3505"/>
      <c r="AD154" s="3505"/>
      <c r="AE154" s="3505"/>
      <c r="AF154" s="3505"/>
      <c r="AG154" s="3505"/>
      <c r="AH154" s="3505"/>
      <c r="AI154" s="3505"/>
      <c r="AJ154" s="3505"/>
      <c r="AK154" s="3505"/>
      <c r="AL154" s="3505"/>
      <c r="AM154" s="3505"/>
      <c r="AN154" s="3505"/>
      <c r="AO154" s="3505"/>
      <c r="AP154" s="3499"/>
      <c r="AQ154" s="3499"/>
      <c r="AR154" s="3499"/>
      <c r="AS154" s="3499"/>
      <c r="AT154" s="3499"/>
      <c r="AU154" s="3499"/>
      <c r="AV154" s="3499"/>
    </row>
    <row r="155" spans="1:49">
      <c r="A155" s="3719" t="s">
        <v>6096</v>
      </c>
      <c r="B155" s="3719"/>
      <c r="C155" s="3720" t="s">
        <v>6242</v>
      </c>
      <c r="D155" s="3721"/>
      <c r="E155" s="3721"/>
      <c r="F155" s="3721"/>
      <c r="G155" s="3721"/>
      <c r="H155" s="3721"/>
      <c r="I155" s="3721"/>
      <c r="J155" s="3721"/>
      <c r="K155" s="3721"/>
      <c r="L155" s="3721"/>
      <c r="M155" s="3721"/>
      <c r="N155" s="3721"/>
      <c r="O155" s="3721"/>
      <c r="P155" s="3721"/>
      <c r="Q155" s="3721"/>
      <c r="R155" s="3721"/>
      <c r="S155" s="3721"/>
      <c r="T155" s="3721"/>
      <c r="U155" s="3721"/>
      <c r="V155" s="3721"/>
      <c r="W155" s="3722"/>
      <c r="X155" s="3723" t="s">
        <v>6098</v>
      </c>
      <c r="Y155" s="3724"/>
      <c r="Z155" s="3724"/>
      <c r="AA155" s="3724"/>
      <c r="AB155" s="3724"/>
      <c r="AC155" s="3725"/>
      <c r="AD155" s="3726" t="s">
        <v>6243</v>
      </c>
      <c r="AE155" s="3727"/>
      <c r="AF155" s="3727"/>
      <c r="AG155" s="3727"/>
      <c r="AH155" s="3728"/>
      <c r="AI155" s="3726" t="s">
        <v>6244</v>
      </c>
      <c r="AJ155" s="3727"/>
      <c r="AK155" s="3727"/>
      <c r="AL155" s="3727"/>
      <c r="AM155" s="3727"/>
      <c r="AN155" s="3728"/>
      <c r="AO155" s="3726" t="s">
        <v>6245</v>
      </c>
      <c r="AP155" s="3727"/>
      <c r="AQ155" s="3727"/>
      <c r="AR155" s="3727"/>
      <c r="AS155" s="3727"/>
      <c r="AT155" s="3727"/>
      <c r="AU155" s="3727"/>
      <c r="AV155" s="3728"/>
      <c r="AW155" s="3729"/>
    </row>
    <row r="156" spans="1:49">
      <c r="A156" s="3719"/>
      <c r="B156" s="3719"/>
      <c r="C156" s="3730"/>
      <c r="D156" s="3731"/>
      <c r="E156" s="3731"/>
      <c r="F156" s="3731"/>
      <c r="G156" s="3731"/>
      <c r="H156" s="3731"/>
      <c r="I156" s="3731"/>
      <c r="J156" s="3731"/>
      <c r="K156" s="3731"/>
      <c r="L156" s="3731"/>
      <c r="M156" s="3731"/>
      <c r="N156" s="3731"/>
      <c r="O156" s="3731"/>
      <c r="P156" s="3731"/>
      <c r="Q156" s="3731"/>
      <c r="R156" s="3731"/>
      <c r="S156" s="3731"/>
      <c r="T156" s="3731"/>
      <c r="U156" s="3731"/>
      <c r="V156" s="3731"/>
      <c r="W156" s="3732"/>
      <c r="X156" s="3733"/>
      <c r="Y156" s="3734"/>
      <c r="Z156" s="3734"/>
      <c r="AA156" s="3734"/>
      <c r="AB156" s="3734"/>
      <c r="AC156" s="3735"/>
      <c r="AD156" s="3736"/>
      <c r="AE156" s="3737"/>
      <c r="AF156" s="3737"/>
      <c r="AG156" s="3737"/>
      <c r="AH156" s="3738"/>
      <c r="AI156" s="3736"/>
      <c r="AJ156" s="3737"/>
      <c r="AK156" s="3737"/>
      <c r="AL156" s="3737"/>
      <c r="AM156" s="3737"/>
      <c r="AN156" s="3738"/>
      <c r="AO156" s="3736"/>
      <c r="AP156" s="3737"/>
      <c r="AQ156" s="3737"/>
      <c r="AR156" s="3737"/>
      <c r="AS156" s="3737"/>
      <c r="AT156" s="3737"/>
      <c r="AU156" s="3737"/>
      <c r="AV156" s="3738"/>
      <c r="AW156" s="3729"/>
    </row>
    <row r="157" ht="28.5" customHeight="1" spans="1:49">
      <c r="A157" s="3739" t="s">
        <v>5336</v>
      </c>
      <c r="B157" s="3739"/>
      <c r="C157" s="3740" t="s">
        <v>6246</v>
      </c>
      <c r="D157" s="3741"/>
      <c r="E157" s="3741"/>
      <c r="F157" s="3741"/>
      <c r="G157" s="3741"/>
      <c r="H157" s="3741"/>
      <c r="I157" s="3741"/>
      <c r="J157" s="3741"/>
      <c r="K157" s="3741"/>
      <c r="L157" s="3741"/>
      <c r="M157" s="3741"/>
      <c r="N157" s="3741"/>
      <c r="O157" s="3741"/>
      <c r="P157" s="3741"/>
      <c r="Q157" s="3741"/>
      <c r="R157" s="3741"/>
      <c r="S157" s="3741"/>
      <c r="T157" s="3741"/>
      <c r="U157" s="3741"/>
      <c r="V157" s="3741"/>
      <c r="W157" s="3742"/>
      <c r="X157" s="3743" t="s">
        <v>6247</v>
      </c>
      <c r="Y157" s="3744"/>
      <c r="Z157" s="3744"/>
      <c r="AA157" s="3744"/>
      <c r="AB157" s="3744"/>
      <c r="AC157" s="3745"/>
      <c r="AD157" s="3746">
        <v>1</v>
      </c>
      <c r="AE157" s="3747"/>
      <c r="AF157" s="3747"/>
      <c r="AG157" s="3747"/>
      <c r="AH157" s="3747"/>
      <c r="AI157" s="3746">
        <v>2</v>
      </c>
      <c r="AJ157" s="3748"/>
      <c r="AK157" s="3748"/>
      <c r="AL157" s="3748"/>
      <c r="AM157" s="3748"/>
      <c r="AN157" s="3748"/>
      <c r="AO157" s="3746">
        <v>3</v>
      </c>
      <c r="AP157" s="3749"/>
      <c r="AQ157" s="3750"/>
      <c r="AR157" s="3750"/>
      <c r="AS157" s="3750"/>
      <c r="AT157" s="3750"/>
      <c r="AU157" s="3750"/>
      <c r="AV157" s="3751"/>
      <c r="AW157" s="3729"/>
    </row>
    <row r="158" ht="24.75" customHeight="1" spans="1:49">
      <c r="A158" s="3739" t="s">
        <v>5428</v>
      </c>
      <c r="B158" s="3739"/>
      <c r="C158" s="3752" t="s">
        <v>6248</v>
      </c>
      <c r="D158" s="3753"/>
      <c r="E158" s="3753"/>
      <c r="F158" s="3753"/>
      <c r="G158" s="3753"/>
      <c r="H158" s="3753"/>
      <c r="I158" s="3753"/>
      <c r="J158" s="3753"/>
      <c r="K158" s="3753"/>
      <c r="L158" s="3753"/>
      <c r="M158" s="3753"/>
      <c r="N158" s="3753"/>
      <c r="O158" s="3753"/>
      <c r="P158" s="3753"/>
      <c r="Q158" s="3753"/>
      <c r="R158" s="3753"/>
      <c r="S158" s="3753"/>
      <c r="T158" s="3753"/>
      <c r="U158" s="3753"/>
      <c r="V158" s="3753"/>
      <c r="W158" s="3754"/>
      <c r="X158" s="3743" t="s">
        <v>6249</v>
      </c>
      <c r="Y158" s="3744"/>
      <c r="Z158" s="3744"/>
      <c r="AA158" s="3744"/>
      <c r="AB158" s="3744"/>
      <c r="AC158" s="3745"/>
      <c r="AD158" s="3746">
        <v>1</v>
      </c>
      <c r="AE158" s="3747"/>
      <c r="AF158" s="3747"/>
      <c r="AG158" s="3747"/>
      <c r="AH158" s="3747"/>
      <c r="AI158" s="3746">
        <v>2</v>
      </c>
      <c r="AJ158" s="3748"/>
      <c r="AK158" s="3748"/>
      <c r="AL158" s="3748"/>
      <c r="AM158" s="3748"/>
      <c r="AN158" s="3748"/>
      <c r="AO158" s="3746">
        <v>3</v>
      </c>
      <c r="AP158" s="3749"/>
      <c r="AQ158" s="3750"/>
      <c r="AR158" s="3750"/>
      <c r="AS158" s="3750"/>
      <c r="AT158" s="3750"/>
      <c r="AU158" s="3750"/>
      <c r="AV158" s="3751"/>
      <c r="AW158" s="3729"/>
    </row>
    <row r="159" spans="1:49">
      <c r="A159" s="3755" t="s">
        <v>5469</v>
      </c>
      <c r="B159" s="3755"/>
      <c r="C159" s="3636" t="s">
        <v>6250</v>
      </c>
      <c r="D159" s="3637"/>
      <c r="E159" s="3637"/>
      <c r="F159" s="3637"/>
      <c r="G159" s="3637"/>
      <c r="H159" s="3637"/>
      <c r="I159" s="3637"/>
      <c r="J159" s="3637"/>
      <c r="K159" s="3637"/>
      <c r="L159" s="3637"/>
      <c r="M159" s="3637"/>
      <c r="N159" s="3637"/>
      <c r="O159" s="3637"/>
      <c r="P159" s="3637"/>
      <c r="Q159" s="3637"/>
      <c r="R159" s="3637"/>
      <c r="S159" s="3637"/>
      <c r="T159" s="3637"/>
      <c r="U159" s="3637"/>
      <c r="V159" s="3637"/>
      <c r="W159" s="3638"/>
      <c r="X159" s="3707" t="s">
        <v>6251</v>
      </c>
      <c r="Y159" s="3708"/>
      <c r="Z159" s="3708"/>
      <c r="AA159" s="3708"/>
      <c r="AB159" s="3708"/>
      <c r="AC159" s="3709"/>
      <c r="AD159" s="3674">
        <v>1</v>
      </c>
      <c r="AE159" s="3756"/>
      <c r="AF159" s="3756"/>
      <c r="AG159" s="3756"/>
      <c r="AH159" s="3756"/>
      <c r="AI159" s="3674">
        <v>2</v>
      </c>
      <c r="AJ159" s="3700"/>
      <c r="AK159" s="3700"/>
      <c r="AL159" s="3700"/>
      <c r="AM159" s="3700"/>
      <c r="AN159" s="3700"/>
      <c r="AO159" s="3674">
        <v>3</v>
      </c>
      <c r="AP159" s="3757"/>
      <c r="AQ159" s="3758"/>
      <c r="AR159" s="3758"/>
      <c r="AS159" s="3758"/>
      <c r="AT159" s="3758"/>
      <c r="AU159" s="3758"/>
      <c r="AV159" s="3759"/>
    </row>
    <row r="160" spans="1:49">
      <c r="A160" s="3760"/>
      <c r="B160" s="3760"/>
      <c r="C160" s="3467"/>
      <c r="D160" s="3467"/>
      <c r="E160" s="3467"/>
      <c r="F160" s="3467"/>
      <c r="G160" s="3467"/>
      <c r="H160" s="3467"/>
      <c r="I160" s="3467"/>
      <c r="J160" s="3467"/>
      <c r="K160" s="3467"/>
      <c r="L160" s="3467"/>
      <c r="M160" s="3467"/>
      <c r="N160" s="3467"/>
      <c r="O160" s="3467"/>
      <c r="P160" s="3467"/>
      <c r="Q160" s="3467"/>
      <c r="R160" s="3467"/>
      <c r="S160" s="3467"/>
      <c r="T160" s="3467"/>
      <c r="U160" s="3467"/>
      <c r="V160" s="3467"/>
      <c r="W160" s="3467"/>
      <c r="X160" s="3714"/>
      <c r="Y160" s="3714"/>
      <c r="Z160" s="3714"/>
      <c r="AA160" s="3714"/>
      <c r="AB160" s="3714"/>
      <c r="AC160" s="3714"/>
      <c r="AD160" s="3717"/>
      <c r="AE160" s="3761"/>
      <c r="AF160" s="3761"/>
      <c r="AG160" s="3761"/>
      <c r="AH160" s="3761"/>
      <c r="AI160" s="3717"/>
      <c r="AJ160" s="3483"/>
      <c r="AK160" s="3483"/>
      <c r="AL160" s="3483"/>
      <c r="AM160" s="3483"/>
      <c r="AN160" s="3483"/>
      <c r="AO160" s="3717"/>
      <c r="AP160" s="3762"/>
      <c r="AQ160" s="3762"/>
      <c r="AR160" s="3762"/>
      <c r="AS160" s="3762"/>
      <c r="AT160" s="3762"/>
      <c r="AU160" s="3762"/>
      <c r="AV160" s="3762"/>
    </row>
    <row r="161" spans="1:49">
      <c r="A161" s="3760"/>
      <c r="B161" s="3760"/>
      <c r="C161" s="3467"/>
      <c r="D161" s="3467"/>
      <c r="E161" s="3467"/>
      <c r="F161" s="3467"/>
      <c r="G161" s="3467"/>
      <c r="H161" s="3467"/>
      <c r="I161" s="3467"/>
      <c r="J161" s="3467"/>
      <c r="K161" s="3467"/>
      <c r="L161" s="3467"/>
      <c r="M161" s="3467"/>
      <c r="N161" s="3467"/>
      <c r="O161" s="3467"/>
      <c r="P161" s="3467"/>
      <c r="Q161" s="3467"/>
      <c r="R161" s="3467"/>
      <c r="S161" s="3467"/>
      <c r="T161" s="3467"/>
      <c r="U161" s="3467"/>
      <c r="V161" s="3467"/>
      <c r="W161" s="3467"/>
      <c r="X161" s="3714"/>
      <c r="Y161" s="3714"/>
      <c r="Z161" s="3714"/>
      <c r="AA161" s="3714"/>
      <c r="AB161" s="3714"/>
      <c r="AC161" s="3714"/>
      <c r="AD161" s="3717"/>
      <c r="AE161" s="3761"/>
      <c r="AF161" s="3761"/>
      <c r="AG161" s="3761"/>
      <c r="AH161" s="3761"/>
      <c r="AI161" s="3717"/>
      <c r="AJ161" s="3483"/>
      <c r="AK161" s="3483"/>
      <c r="AL161" s="3483"/>
      <c r="AM161" s="3483"/>
      <c r="AN161" s="3483"/>
      <c r="AO161" s="3717"/>
      <c r="AP161" s="3762"/>
      <c r="AQ161" s="3762"/>
      <c r="AR161" s="3762"/>
      <c r="AS161" s="3762"/>
      <c r="AT161" s="3762"/>
      <c r="AU161" s="3762"/>
      <c r="AV161" s="3762"/>
    </row>
    <row r="162" spans="1:49">
      <c r="A162" s="3763" t="s">
        <v>6252</v>
      </c>
      <c r="B162" s="3763"/>
      <c r="C162" s="3764"/>
      <c r="D162" s="3764"/>
      <c r="E162" s="3764"/>
      <c r="F162" s="3764"/>
      <c r="G162" s="3764"/>
      <c r="H162" s="3764"/>
      <c r="I162" s="3764"/>
      <c r="J162" s="3764"/>
      <c r="K162" s="3764"/>
      <c r="L162" s="3764"/>
      <c r="M162" s="3764"/>
      <c r="N162" s="3764"/>
      <c r="O162" s="3764"/>
      <c r="P162" s="3764"/>
      <c r="Q162" s="3764"/>
      <c r="R162" s="3764"/>
      <c r="S162" s="3764"/>
      <c r="T162" s="3764"/>
      <c r="U162" s="3764"/>
      <c r="V162" s="3764"/>
      <c r="W162" s="3764"/>
      <c r="X162" s="3764"/>
      <c r="Y162" s="3764"/>
      <c r="Z162" s="3764"/>
      <c r="AA162" s="3764"/>
      <c r="AB162" s="3764"/>
      <c r="AC162" s="3764"/>
      <c r="AD162" s="3764"/>
      <c r="AE162" s="3764"/>
      <c r="AF162" s="3764"/>
      <c r="AG162" s="3764"/>
      <c r="AH162" s="3764"/>
      <c r="AI162" s="3764"/>
      <c r="AJ162" s="3764"/>
      <c r="AK162" s="3764"/>
      <c r="AL162" s="3764"/>
      <c r="AM162" s="3764"/>
      <c r="AN162" s="3764"/>
      <c r="AO162" s="3764"/>
      <c r="AP162" s="3764"/>
      <c r="AQ162" s="3764"/>
      <c r="AR162" s="3764"/>
      <c r="AS162" s="3764"/>
      <c r="AT162" s="3764"/>
      <c r="AU162" s="3764"/>
      <c r="AV162" s="3765"/>
      <c r="AW162" s="3766"/>
    </row>
    <row r="163" spans="1:49">
      <c r="A163" s="3767" t="s">
        <v>6253</v>
      </c>
      <c r="B163" s="3767"/>
      <c r="C163" s="3768" t="s">
        <v>6254</v>
      </c>
      <c r="D163" s="3768"/>
      <c r="E163" s="3768"/>
      <c r="F163" s="3768"/>
      <c r="G163" s="3768"/>
      <c r="H163" s="3768"/>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768"/>
      <c r="AD163" s="3768"/>
      <c r="AE163" s="3768"/>
      <c r="AF163" s="3768"/>
      <c r="AG163" s="3768"/>
      <c r="AH163" s="3769"/>
      <c r="AI163" s="3770" t="s">
        <v>6098</v>
      </c>
      <c r="AJ163" s="3771"/>
      <c r="AK163" s="3771"/>
      <c r="AL163" s="3771"/>
      <c r="AM163" s="3771"/>
      <c r="AN163" s="3772"/>
      <c r="AO163" s="3768" t="s">
        <v>6100</v>
      </c>
      <c r="AP163" s="3768"/>
      <c r="AQ163" s="3768"/>
      <c r="AR163" s="3768"/>
      <c r="AS163" s="3768"/>
      <c r="AT163" s="3768"/>
      <c r="AU163" s="3768"/>
      <c r="AV163" s="3769"/>
      <c r="AW163" s="3766"/>
    </row>
    <row r="164" ht="18.75" customHeight="1" spans="1:49">
      <c r="A164" s="3773" t="s">
        <v>5336</v>
      </c>
      <c r="B164" s="3773" t="s">
        <v>3953</v>
      </c>
      <c r="C164" s="3774" t="s">
        <v>6255</v>
      </c>
      <c r="D164" s="3775"/>
      <c r="E164" s="3775"/>
      <c r="F164" s="3775"/>
      <c r="G164" s="3775"/>
      <c r="H164" s="3775"/>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775"/>
      <c r="AD164" s="3775"/>
      <c r="AE164" s="3775"/>
      <c r="AF164" s="3775"/>
      <c r="AG164" s="3775"/>
      <c r="AH164" s="3776"/>
      <c r="AI164" s="3777" t="s">
        <v>6256</v>
      </c>
      <c r="AJ164" s="3778"/>
      <c r="AK164" s="3778"/>
      <c r="AL164" s="3778"/>
      <c r="AM164" s="3778"/>
      <c r="AN164" s="3779"/>
      <c r="AO164" s="3520">
        <f>AO74</f>
        <v>0</v>
      </c>
      <c r="AP164" s="3521"/>
      <c r="AQ164" s="3521"/>
      <c r="AR164" s="3521"/>
      <c r="AS164" s="3521"/>
      <c r="AT164" s="3521"/>
      <c r="AU164" s="3521"/>
      <c r="AV164" s="3522"/>
      <c r="AW164" s="3766"/>
    </row>
    <row r="165" ht="18.75" customHeight="1" spans="1:49">
      <c r="A165" s="3780" t="s">
        <v>5428</v>
      </c>
      <c r="B165" s="3780" t="s">
        <v>3953</v>
      </c>
      <c r="C165" s="3774" t="s">
        <v>6257</v>
      </c>
      <c r="D165" s="3775"/>
      <c r="E165" s="3775"/>
      <c r="F165" s="3775"/>
      <c r="G165" s="3775"/>
      <c r="H165" s="3775"/>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775"/>
      <c r="AD165" s="3775"/>
      <c r="AE165" s="3775"/>
      <c r="AF165" s="3775"/>
      <c r="AG165" s="3775"/>
      <c r="AH165" s="3776"/>
      <c r="AI165" s="3777" t="s">
        <v>6258</v>
      </c>
      <c r="AJ165" s="3778"/>
      <c r="AK165" s="3778"/>
      <c r="AL165" s="3778"/>
      <c r="AM165" s="3778"/>
      <c r="AN165" s="3779"/>
      <c r="AO165" s="3520">
        <f>AO76</f>
        <v>0</v>
      </c>
      <c r="AP165" s="3521"/>
      <c r="AQ165" s="3521"/>
      <c r="AR165" s="3521"/>
      <c r="AS165" s="3521"/>
      <c r="AT165" s="3521"/>
      <c r="AU165" s="3521"/>
      <c r="AV165" s="3522"/>
      <c r="AW165" s="3766"/>
    </row>
    <row r="166" ht="18.75" customHeight="1" spans="1:49">
      <c r="A166" s="3780" t="s">
        <v>5469</v>
      </c>
      <c r="B166" s="3780" t="s">
        <v>3953</v>
      </c>
      <c r="C166" s="3774" t="s">
        <v>6259</v>
      </c>
      <c r="D166" s="3775"/>
      <c r="E166" s="3775"/>
      <c r="F166" s="3775"/>
      <c r="G166" s="3775"/>
      <c r="H166" s="3775"/>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775"/>
      <c r="AD166" s="3775"/>
      <c r="AE166" s="3775"/>
      <c r="AF166" s="3775"/>
      <c r="AG166" s="3775"/>
      <c r="AH166" s="3776"/>
      <c r="AI166" s="3777" t="s">
        <v>6260</v>
      </c>
      <c r="AJ166" s="3778"/>
      <c r="AK166" s="3778"/>
      <c r="AL166" s="3778"/>
      <c r="AM166" s="3778"/>
      <c r="AN166" s="3779"/>
      <c r="AO166" s="3520">
        <f>AO171-AO164-AO165-AO169-AO170</f>
        <v>245707</v>
      </c>
      <c r="AP166" s="3521"/>
      <c r="AQ166" s="3521"/>
      <c r="AR166" s="3521"/>
      <c r="AS166" s="3521"/>
      <c r="AT166" s="3521"/>
      <c r="AU166" s="3521"/>
      <c r="AV166" s="3522"/>
      <c r="AW166" s="3766"/>
    </row>
    <row r="167" ht="18.75" customHeight="1" spans="1:49">
      <c r="A167" s="3780" t="s">
        <v>5600</v>
      </c>
      <c r="B167" s="3780" t="s">
        <v>3953</v>
      </c>
      <c r="C167" s="3781" t="s">
        <v>6261</v>
      </c>
      <c r="D167" s="3782"/>
      <c r="E167" s="3782"/>
      <c r="F167" s="3782"/>
      <c r="G167" s="3782"/>
      <c r="H167" s="3782"/>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782"/>
      <c r="AD167" s="3782"/>
      <c r="AE167" s="3782"/>
      <c r="AF167" s="3782"/>
      <c r="AG167" s="3782"/>
      <c r="AH167" s="3783"/>
      <c r="AI167" s="3784" t="s">
        <v>6262</v>
      </c>
      <c r="AJ167" s="3785"/>
      <c r="AK167" s="3785"/>
      <c r="AL167" s="3785"/>
      <c r="AM167" s="3785"/>
      <c r="AN167" s="3786"/>
      <c r="AO167" s="3520">
        <f>AO166-AO168</f>
        <v>245707</v>
      </c>
      <c r="AP167" s="3521"/>
      <c r="AQ167" s="3521"/>
      <c r="AR167" s="3521"/>
      <c r="AS167" s="3521"/>
      <c r="AT167" s="3521"/>
      <c r="AU167" s="3521"/>
      <c r="AV167" s="3522"/>
      <c r="AW167" s="3766"/>
    </row>
    <row r="168" ht="18.75" customHeight="1" spans="1:49">
      <c r="A168" s="3780" t="s">
        <v>5078</v>
      </c>
      <c r="B168" s="3780" t="s">
        <v>3953</v>
      </c>
      <c r="C168" s="3781" t="s">
        <v>6263</v>
      </c>
      <c r="D168" s="3782"/>
      <c r="E168" s="3782"/>
      <c r="F168" s="3782"/>
      <c r="G168" s="3782"/>
      <c r="H168" s="3782"/>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782"/>
      <c r="AD168" s="3782"/>
      <c r="AE168" s="3782"/>
      <c r="AF168" s="3782"/>
      <c r="AG168" s="3782"/>
      <c r="AH168" s="3783"/>
      <c r="AI168" s="3784" t="s">
        <v>6264</v>
      </c>
      <c r="AJ168" s="3785"/>
      <c r="AK168" s="3785"/>
      <c r="AL168" s="3785"/>
      <c r="AM168" s="3785"/>
      <c r="AN168" s="3786"/>
      <c r="AO168" s="3520"/>
      <c r="AP168" s="3521"/>
      <c r="AQ168" s="3521"/>
      <c r="AR168" s="3521"/>
      <c r="AS168" s="3521"/>
      <c r="AT168" s="3521"/>
      <c r="AU168" s="3521"/>
      <c r="AV168" s="3522"/>
      <c r="AW168" s="3766"/>
    </row>
    <row r="169" ht="18.75" customHeight="1" spans="1:49">
      <c r="A169" s="3780" t="s">
        <v>6133</v>
      </c>
      <c r="B169" s="3780" t="s">
        <v>3953</v>
      </c>
      <c r="C169" s="3787" t="s">
        <v>6265</v>
      </c>
      <c r="D169" s="3788"/>
      <c r="E169" s="3788"/>
      <c r="F169" s="3788"/>
      <c r="G169" s="3788"/>
      <c r="H169" s="3788"/>
      <c r="I169" s="3788"/>
      <c r="J169" s="3788"/>
      <c r="K169" s="3788"/>
      <c r="L169" s="3788"/>
      <c r="M169" s="3788"/>
      <c r="N169" s="3788"/>
      <c r="O169" s="3788"/>
      <c r="P169" s="3788"/>
      <c r="Q169" s="3788"/>
      <c r="R169" s="3788"/>
      <c r="S169" s="3788"/>
      <c r="T169" s="3788"/>
      <c r="U169" s="3788"/>
      <c r="V169" s="3788"/>
      <c r="W169" s="3788"/>
      <c r="X169" s="3788"/>
      <c r="Y169" s="3788"/>
      <c r="Z169" s="3788"/>
      <c r="AA169" s="3788"/>
      <c r="AB169" s="3788"/>
      <c r="AC169" s="3788"/>
      <c r="AD169" s="3788"/>
      <c r="AE169" s="3788"/>
      <c r="AF169" s="3788"/>
      <c r="AG169" s="3788"/>
      <c r="AH169" s="3789"/>
      <c r="AI169" s="3777" t="s">
        <v>6266</v>
      </c>
      <c r="AJ169" s="3778"/>
      <c r="AK169" s="3778"/>
      <c r="AL169" s="3778"/>
      <c r="AM169" s="3778"/>
      <c r="AN169" s="3779"/>
      <c r="AO169" s="3520"/>
      <c r="AP169" s="3521"/>
      <c r="AQ169" s="3521"/>
      <c r="AR169" s="3521"/>
      <c r="AS169" s="3521"/>
      <c r="AT169" s="3521"/>
      <c r="AU169" s="3521"/>
      <c r="AV169" s="3522"/>
      <c r="AW169" s="3766"/>
    </row>
    <row r="170" ht="18.75" customHeight="1" spans="1:49">
      <c r="A170" s="3780" t="s">
        <v>6137</v>
      </c>
      <c r="B170" s="3780" t="s">
        <v>3953</v>
      </c>
      <c r="C170" s="3774" t="s">
        <v>6267</v>
      </c>
      <c r="D170" s="3775"/>
      <c r="E170" s="3775"/>
      <c r="F170" s="3775"/>
      <c r="G170" s="3775"/>
      <c r="H170" s="3775"/>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775"/>
      <c r="AD170" s="3775"/>
      <c r="AE170" s="3775"/>
      <c r="AF170" s="3775"/>
      <c r="AG170" s="3775"/>
      <c r="AH170" s="3776"/>
      <c r="AI170" s="3777" t="s">
        <v>6268</v>
      </c>
      <c r="AJ170" s="3778"/>
      <c r="AK170" s="3778"/>
      <c r="AL170" s="3778"/>
      <c r="AM170" s="3778"/>
      <c r="AN170" s="3779"/>
      <c r="AO170" s="3520"/>
      <c r="AP170" s="3521"/>
      <c r="AQ170" s="3521"/>
      <c r="AR170" s="3521"/>
      <c r="AS170" s="3521"/>
      <c r="AT170" s="3521"/>
      <c r="AU170" s="3521"/>
      <c r="AV170" s="3522"/>
      <c r="AW170" s="3766"/>
    </row>
    <row r="171" ht="18.75" customHeight="1" spans="1:49">
      <c r="A171" s="3780" t="s">
        <v>6140</v>
      </c>
      <c r="B171" s="3780" t="s">
        <v>3953</v>
      </c>
      <c r="C171" s="3774" t="s">
        <v>6269</v>
      </c>
      <c r="D171" s="3775"/>
      <c r="E171" s="3775"/>
      <c r="F171" s="3775"/>
      <c r="G171" s="3775"/>
      <c r="H171" s="3775"/>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775"/>
      <c r="AD171" s="3775"/>
      <c r="AE171" s="3775"/>
      <c r="AF171" s="3775"/>
      <c r="AG171" s="3775"/>
      <c r="AH171" s="3776"/>
      <c r="AI171" s="3777" t="s">
        <v>6270</v>
      </c>
      <c r="AJ171" s="3778"/>
      <c r="AK171" s="3778"/>
      <c r="AL171" s="3778"/>
      <c r="AM171" s="3778"/>
      <c r="AN171" s="3779"/>
      <c r="AO171" s="3520">
        <f>AO81</f>
        <v>245707</v>
      </c>
      <c r="AP171" s="3521"/>
      <c r="AQ171" s="3521"/>
      <c r="AR171" s="3521"/>
      <c r="AS171" s="3521"/>
      <c r="AT171" s="3521"/>
      <c r="AU171" s="3521"/>
      <c r="AV171" s="3522"/>
      <c r="AW171" s="3766"/>
    </row>
    <row r="172" spans="1:49">
      <c r="A172" s="3790"/>
      <c r="B172" s="3790"/>
      <c r="C172" s="3791"/>
      <c r="D172" s="3791"/>
      <c r="E172" s="3791"/>
      <c r="F172" s="3791"/>
      <c r="G172" s="3791"/>
      <c r="H172" s="3791"/>
      <c r="I172" s="3791"/>
      <c r="J172" s="3791"/>
      <c r="K172" s="3791"/>
      <c r="L172" s="3791"/>
      <c r="M172" s="3791"/>
      <c r="N172" s="3791"/>
      <c r="O172" s="3791"/>
      <c r="P172" s="3791"/>
      <c r="Q172" s="3791"/>
      <c r="R172" s="3791"/>
      <c r="S172" s="3791"/>
      <c r="T172" s="3791"/>
      <c r="U172" s="3791"/>
      <c r="V172" s="3791"/>
      <c r="W172" s="3791"/>
      <c r="X172" s="3791"/>
      <c r="Y172" s="3791"/>
      <c r="Z172" s="3791"/>
      <c r="AA172" s="3791"/>
      <c r="AB172" s="3791"/>
      <c r="AC172" s="3791"/>
      <c r="AD172" s="3791"/>
      <c r="AE172" s="3791"/>
      <c r="AF172" s="3791"/>
      <c r="AG172" s="3791"/>
      <c r="AH172" s="3791"/>
      <c r="AI172" s="3792"/>
      <c r="AJ172" s="3792"/>
      <c r="AK172" s="3792"/>
      <c r="AL172" s="3792"/>
      <c r="AM172" s="3792"/>
      <c r="AN172" s="3792"/>
      <c r="AO172" s="3793"/>
      <c r="AP172" s="3793"/>
      <c r="AQ172" s="3793"/>
      <c r="AR172" s="3793"/>
      <c r="AS172" s="3793"/>
      <c r="AT172" s="3793"/>
      <c r="AU172" s="3793"/>
      <c r="AV172" s="3793"/>
      <c r="AW172" s="3766"/>
    </row>
    <row r="173" spans="1:49">
      <c r="A173" s="3865" t="s">
        <v>6271</v>
      </c>
      <c r="B173" s="3865"/>
      <c r="C173" s="3865"/>
      <c r="D173" s="3865"/>
      <c r="E173" s="3865"/>
      <c r="F173" s="3865"/>
      <c r="G173" s="3865"/>
      <c r="H173" s="3865"/>
      <c r="I173" s="3865"/>
      <c r="J173" s="3865"/>
      <c r="K173" s="3865"/>
      <c r="L173" s="3865"/>
      <c r="M173" s="3865"/>
      <c r="N173" s="3865"/>
      <c r="O173" s="3865"/>
      <c r="P173" s="3865"/>
      <c r="Q173" s="3865"/>
      <c r="R173" s="3865"/>
      <c r="S173" s="3865"/>
      <c r="T173" s="3865"/>
      <c r="U173" s="3865"/>
      <c r="V173" s="3865"/>
      <c r="W173" s="3865"/>
      <c r="X173" s="3865"/>
      <c r="Y173" s="3865"/>
      <c r="Z173" s="3865"/>
      <c r="AA173" s="3865"/>
      <c r="AB173" s="3865"/>
      <c r="AC173" s="3865"/>
      <c r="AD173" s="3865"/>
      <c r="AE173" s="3865"/>
      <c r="AF173" s="3865"/>
      <c r="AG173" s="3865"/>
      <c r="AH173" s="3865"/>
      <c r="AI173" s="3865"/>
      <c r="AJ173" s="3865"/>
      <c r="AK173" s="3865"/>
      <c r="AL173" s="3865"/>
      <c r="AM173" s="3865"/>
      <c r="AN173" s="3865"/>
      <c r="AO173" s="3865"/>
      <c r="AP173" s="3865"/>
      <c r="AQ173" s="3865"/>
      <c r="AR173" s="3865"/>
      <c r="AS173" s="3865"/>
      <c r="AT173" s="3865"/>
      <c r="AU173" s="3865"/>
      <c r="AV173" s="3865"/>
      <c r="AW173" s="3766"/>
    </row>
    <row r="174" spans="1:49">
      <c r="A174" s="3795"/>
      <c r="B174" s="3795"/>
      <c r="C174" s="3795"/>
      <c r="D174" s="3795"/>
      <c r="E174" s="3795"/>
      <c r="F174" s="3795"/>
      <c r="G174" s="3795"/>
      <c r="H174" s="3795"/>
      <c r="I174" s="3795"/>
      <c r="J174" s="3795"/>
      <c r="K174" s="3795"/>
      <c r="L174" s="3795"/>
      <c r="M174" s="3795"/>
      <c r="N174" s="3795"/>
      <c r="O174" s="3795"/>
      <c r="P174" s="3795"/>
      <c r="Q174" s="3795"/>
      <c r="R174" s="3795"/>
      <c r="S174" s="3795"/>
      <c r="T174" s="3795"/>
      <c r="U174" s="3795"/>
      <c r="V174" s="3795"/>
      <c r="W174" s="3795"/>
      <c r="X174" s="3795"/>
      <c r="Y174" s="3795"/>
      <c r="Z174" s="3795"/>
      <c r="AA174" s="3795"/>
      <c r="AB174" s="3795"/>
      <c r="AC174" s="3795"/>
      <c r="AD174" s="3795"/>
      <c r="AE174" s="3795"/>
      <c r="AF174" s="3795"/>
      <c r="AG174" s="3795"/>
      <c r="AH174" s="3795"/>
      <c r="AI174" s="3795"/>
      <c r="AJ174" s="3795"/>
      <c r="AK174" s="3795"/>
      <c r="AL174" s="3795"/>
      <c r="AM174" s="3795"/>
      <c r="AN174" s="3795"/>
      <c r="AO174" s="3795"/>
      <c r="AP174" s="3795"/>
      <c r="AQ174" s="3795"/>
      <c r="AR174" s="3795"/>
      <c r="AS174" s="3795"/>
      <c r="AT174" s="3795"/>
      <c r="AU174" s="3795"/>
      <c r="AV174" s="3795"/>
    </row>
    <row r="175" spans="1:49">
      <c r="A175" s="3795"/>
      <c r="B175" s="3795"/>
      <c r="C175" s="3795"/>
      <c r="D175" s="3795"/>
      <c r="E175" s="3795"/>
      <c r="F175" s="3795"/>
      <c r="G175" s="3795"/>
      <c r="H175" s="3795"/>
      <c r="I175" s="3795"/>
      <c r="J175" s="3795"/>
      <c r="K175" s="3795"/>
      <c r="L175" s="3795"/>
      <c r="M175" s="3795"/>
      <c r="N175" s="3795"/>
      <c r="O175" s="3795"/>
      <c r="P175" s="3795"/>
      <c r="Q175" s="3795"/>
      <c r="R175" s="3795"/>
      <c r="S175" s="3795"/>
      <c r="T175" s="3795"/>
      <c r="U175" s="3795"/>
      <c r="V175" s="3795"/>
      <c r="W175" s="3795"/>
      <c r="X175" s="3795"/>
      <c r="Y175" s="3795"/>
      <c r="Z175" s="3795"/>
      <c r="AA175" s="3795"/>
      <c r="AB175" s="3795"/>
      <c r="AC175" s="3795"/>
      <c r="AD175" s="3795"/>
      <c r="AE175" s="3795"/>
      <c r="AF175" s="3795"/>
      <c r="AG175" s="3795"/>
      <c r="AH175" s="3795"/>
      <c r="AI175" s="3795"/>
      <c r="AJ175" s="3795"/>
      <c r="AK175" s="3795"/>
      <c r="AL175" s="3795"/>
      <c r="AM175" s="3795"/>
      <c r="AN175" s="3795"/>
      <c r="AO175" s="3795"/>
      <c r="AP175" s="3795"/>
      <c r="AQ175" s="3795"/>
      <c r="AR175" s="3795"/>
      <c r="AS175" s="3795"/>
      <c r="AT175" s="3795"/>
      <c r="AU175" s="3795"/>
      <c r="AV175" s="3795"/>
    </row>
    <row r="176" spans="1:49">
      <c r="A176" s="3795"/>
      <c r="B176" s="3795"/>
      <c r="C176" s="3795"/>
      <c r="D176" s="3795"/>
      <c r="E176" s="3795"/>
      <c r="F176" s="3795"/>
      <c r="G176" s="3795"/>
      <c r="H176" s="3795"/>
      <c r="I176" s="3795"/>
      <c r="J176" s="3795"/>
      <c r="K176" s="3795"/>
      <c r="L176" s="3795"/>
      <c r="M176" s="3795"/>
      <c r="N176" s="3795"/>
      <c r="O176" s="3795"/>
      <c r="P176" s="3795"/>
      <c r="Q176" s="3795"/>
      <c r="R176" s="3795"/>
      <c r="S176" s="3795"/>
      <c r="T176" s="3795"/>
      <c r="U176" s="3795"/>
      <c r="V176" s="3795"/>
      <c r="W176" s="3795"/>
      <c r="X176" s="3795"/>
      <c r="Y176" s="3795"/>
      <c r="Z176" s="3795"/>
      <c r="AA176" s="3795"/>
      <c r="AB176" s="3795"/>
      <c r="AC176" s="3795"/>
      <c r="AD176" s="3795"/>
      <c r="AE176" s="3795"/>
      <c r="AF176" s="3795"/>
      <c r="AG176" s="3795"/>
      <c r="AH176" s="3795"/>
      <c r="AI176" s="3795"/>
      <c r="AJ176" s="3795"/>
      <c r="AK176" s="3795"/>
      <c r="AL176" s="3795"/>
      <c r="AM176" s="3795"/>
      <c r="AN176" s="3795"/>
      <c r="AO176" s="3795"/>
      <c r="AP176" s="3795"/>
      <c r="AQ176" s="3795"/>
      <c r="AR176" s="3795"/>
      <c r="AS176" s="3795"/>
      <c r="AT176" s="3795"/>
      <c r="AU176" s="3795"/>
      <c r="AV176" s="3795"/>
    </row>
    <row r="177" spans="1:48">
      <c r="A177" s="3795"/>
      <c r="B177" s="3795"/>
      <c r="C177" s="3795"/>
      <c r="D177" s="3795"/>
      <c r="E177" s="3795"/>
      <c r="F177" s="3795"/>
      <c r="G177" s="3795"/>
      <c r="H177" s="3795"/>
      <c r="I177" s="3795"/>
      <c r="J177" s="3795"/>
      <c r="K177" s="3795"/>
      <c r="L177" s="3795"/>
      <c r="M177" s="3795"/>
      <c r="N177" s="3795"/>
      <c r="O177" s="3795"/>
      <c r="P177" s="3795"/>
      <c r="Q177" s="3795"/>
      <c r="R177" s="3795"/>
      <c r="S177" s="3795"/>
      <c r="T177" s="3795"/>
      <c r="U177" s="3795"/>
      <c r="V177" s="3795"/>
      <c r="W177" s="3795"/>
      <c r="X177" s="3795"/>
      <c r="Y177" s="3795"/>
      <c r="Z177" s="3795"/>
      <c r="AA177" s="3795"/>
      <c r="AB177" s="3795"/>
      <c r="AC177" s="3795"/>
      <c r="AD177" s="3795"/>
      <c r="AE177" s="3795"/>
      <c r="AF177" s="3795"/>
      <c r="AG177" s="3795"/>
      <c r="AH177" s="3795"/>
      <c r="AI177" s="3795"/>
      <c r="AJ177" s="3795"/>
      <c r="AK177" s="3795"/>
      <c r="AL177" s="3795"/>
      <c r="AM177" s="3795"/>
      <c r="AN177" s="3795"/>
      <c r="AO177" s="3795"/>
      <c r="AP177" s="3795"/>
      <c r="AQ177" s="3795"/>
      <c r="AR177" s="3795"/>
      <c r="AS177" s="3795"/>
      <c r="AT177" s="3795"/>
      <c r="AU177" s="3795"/>
      <c r="AV177" s="3795"/>
    </row>
    <row r="178" spans="1:48">
      <c r="A178" s="3795"/>
      <c r="B178" s="3795"/>
      <c r="C178" s="3795"/>
      <c r="D178" s="3795"/>
      <c r="E178" s="3795"/>
      <c r="F178" s="3795"/>
      <c r="G178" s="3795"/>
      <c r="H178" s="3795"/>
      <c r="I178" s="3795"/>
      <c r="J178" s="3795"/>
      <c r="K178" s="3795"/>
      <c r="L178" s="3795"/>
      <c r="M178" s="3795"/>
      <c r="N178" s="3795"/>
      <c r="O178" s="3795"/>
      <c r="P178" s="3795"/>
      <c r="Q178" s="3795"/>
      <c r="R178" s="3795"/>
      <c r="S178" s="3795"/>
      <c r="T178" s="3795"/>
      <c r="U178" s="3795"/>
      <c r="V178" s="3795"/>
      <c r="W178" s="3795"/>
      <c r="X178" s="3795"/>
      <c r="Y178" s="3795"/>
      <c r="Z178" s="3795"/>
      <c r="AA178" s="3795"/>
      <c r="AB178" s="3795"/>
      <c r="AC178" s="3795"/>
      <c r="AD178" s="3795"/>
      <c r="AE178" s="3795"/>
      <c r="AF178" s="3795"/>
      <c r="AG178" s="3795"/>
      <c r="AH178" s="3795"/>
      <c r="AI178" s="3795"/>
      <c r="AJ178" s="3795"/>
      <c r="AK178" s="3795"/>
      <c r="AL178" s="3795"/>
      <c r="AM178" s="3795"/>
      <c r="AN178" s="3795"/>
      <c r="AO178" s="3795"/>
      <c r="AP178" s="3795"/>
      <c r="AQ178" s="3795"/>
      <c r="AR178" s="3795"/>
      <c r="AS178" s="3795"/>
      <c r="AT178" s="3795"/>
      <c r="AU178" s="3795"/>
      <c r="AV178" s="3795"/>
    </row>
    <row r="179" spans="1:48">
      <c r="A179" s="3795"/>
      <c r="B179" s="3795"/>
      <c r="C179" s="3795"/>
      <c r="D179" s="3795"/>
      <c r="E179" s="3795"/>
      <c r="F179" s="3795"/>
      <c r="G179" s="3795"/>
      <c r="H179" s="3795"/>
      <c r="I179" s="3795"/>
      <c r="J179" s="3795"/>
      <c r="K179" s="3795"/>
      <c r="L179" s="3795"/>
      <c r="M179" s="3795"/>
      <c r="N179" s="3795"/>
      <c r="O179" s="3795"/>
      <c r="P179" s="3795"/>
      <c r="Q179" s="3795"/>
      <c r="R179" s="3795"/>
      <c r="S179" s="3795"/>
      <c r="T179" s="3795"/>
      <c r="U179" s="3795"/>
      <c r="V179" s="3795"/>
      <c r="W179" s="3795"/>
      <c r="X179" s="3795"/>
      <c r="Y179" s="3795"/>
      <c r="Z179" s="3795"/>
      <c r="AA179" s="3795"/>
      <c r="AB179" s="3795"/>
      <c r="AC179" s="3795"/>
      <c r="AD179" s="3795"/>
      <c r="AE179" s="3795"/>
      <c r="AF179" s="3795"/>
      <c r="AG179" s="3795"/>
      <c r="AH179" s="3795"/>
      <c r="AI179" s="3795"/>
      <c r="AJ179" s="3795"/>
      <c r="AK179" s="3795"/>
      <c r="AL179" s="3795"/>
      <c r="AM179" s="3795"/>
      <c r="AN179" s="3795"/>
      <c r="AO179" s="3795"/>
      <c r="AP179" s="3795"/>
      <c r="AQ179" s="3795"/>
      <c r="AR179" s="3795"/>
      <c r="AS179" s="3795"/>
      <c r="AT179" s="3795"/>
      <c r="AU179" s="3795"/>
      <c r="AV179" s="3795"/>
    </row>
    <row r="180" spans="1:48">
      <c r="A180" s="3795"/>
      <c r="B180" s="3795"/>
      <c r="C180" s="3795"/>
      <c r="D180" s="3795"/>
      <c r="E180" s="3795"/>
      <c r="F180" s="3795"/>
      <c r="G180" s="3795"/>
      <c r="H180" s="3795"/>
      <c r="I180" s="3795"/>
      <c r="J180" s="3795"/>
      <c r="K180" s="3795"/>
      <c r="L180" s="3795"/>
      <c r="M180" s="3795"/>
      <c r="N180" s="3795"/>
      <c r="O180" s="3795"/>
      <c r="P180" s="3795"/>
      <c r="Q180" s="3795"/>
      <c r="R180" s="3795"/>
      <c r="S180" s="3795"/>
      <c r="T180" s="3795"/>
      <c r="U180" s="3795"/>
      <c r="V180" s="3795"/>
      <c r="W180" s="3795"/>
      <c r="X180" s="3795"/>
      <c r="Y180" s="3795"/>
      <c r="Z180" s="3795"/>
      <c r="AA180" s="3795"/>
      <c r="AB180" s="3795"/>
      <c r="AC180" s="3795"/>
      <c r="AD180" s="3795"/>
      <c r="AE180" s="3795"/>
      <c r="AF180" s="3795"/>
      <c r="AG180" s="3795"/>
      <c r="AH180" s="3795"/>
      <c r="AI180" s="3795"/>
      <c r="AJ180" s="3795"/>
      <c r="AK180" s="3795"/>
      <c r="AL180" s="3795"/>
      <c r="AM180" s="3795"/>
      <c r="AN180" s="3795"/>
      <c r="AO180" s="3795"/>
      <c r="AP180" s="3795"/>
      <c r="AQ180" s="3795"/>
      <c r="AR180" s="3795"/>
      <c r="AS180" s="3795"/>
      <c r="AT180" s="3795"/>
      <c r="AU180" s="3795"/>
      <c r="AV180" s="3795"/>
    </row>
    <row r="181" spans="1:48">
      <c r="A181" s="3795"/>
      <c r="B181" s="3795"/>
      <c r="C181" s="3795"/>
      <c r="D181" s="3795"/>
      <c r="E181" s="3795"/>
      <c r="F181" s="3795"/>
      <c r="G181" s="3795"/>
      <c r="H181" s="3795"/>
      <c r="I181" s="3795"/>
      <c r="J181" s="3795"/>
      <c r="K181" s="3795"/>
      <c r="L181" s="3795"/>
      <c r="M181" s="3795"/>
      <c r="N181" s="3795"/>
      <c r="O181" s="3795"/>
      <c r="P181" s="3795"/>
      <c r="Q181" s="3795"/>
      <c r="R181" s="3795"/>
      <c r="S181" s="3795"/>
      <c r="T181" s="3795"/>
      <c r="U181" s="3795"/>
      <c r="V181" s="3795"/>
      <c r="W181" s="3795"/>
      <c r="X181" s="3795"/>
      <c r="Y181" s="3795"/>
      <c r="Z181" s="3795"/>
      <c r="AA181" s="3795"/>
      <c r="AB181" s="3795"/>
      <c r="AC181" s="3795"/>
      <c r="AD181" s="3795"/>
      <c r="AE181" s="3795"/>
      <c r="AF181" s="3795"/>
      <c r="AG181" s="3795"/>
      <c r="AH181" s="3795"/>
      <c r="AI181" s="3795"/>
      <c r="AJ181" s="3795"/>
      <c r="AK181" s="3795"/>
      <c r="AL181" s="3795"/>
      <c r="AM181" s="3795"/>
      <c r="AN181" s="3795"/>
      <c r="AO181" s="3795"/>
      <c r="AP181" s="3795"/>
      <c r="AQ181" s="3795"/>
      <c r="AR181" s="3795"/>
      <c r="AS181" s="3795"/>
      <c r="AT181" s="3795"/>
      <c r="AU181" s="3795"/>
      <c r="AV181" s="3795"/>
    </row>
    <row r="182" spans="1:48">
      <c r="A182" s="3795"/>
      <c r="B182" s="3795"/>
      <c r="C182" s="3795"/>
      <c r="D182" s="3795"/>
      <c r="E182" s="3795"/>
      <c r="F182" s="3795"/>
      <c r="G182" s="3795"/>
      <c r="H182" s="3795"/>
      <c r="I182" s="3795"/>
      <c r="J182" s="3795"/>
      <c r="K182" s="3795"/>
      <c r="L182" s="3795"/>
      <c r="M182" s="3795"/>
      <c r="N182" s="3795"/>
      <c r="O182" s="3795"/>
      <c r="P182" s="3795"/>
      <c r="Q182" s="3795"/>
      <c r="R182" s="3795"/>
      <c r="S182" s="3795"/>
      <c r="T182" s="3795"/>
      <c r="U182" s="3795"/>
      <c r="V182" s="3795"/>
      <c r="W182" s="3795"/>
      <c r="X182" s="3795"/>
      <c r="Y182" s="3795"/>
      <c r="Z182" s="3795"/>
      <c r="AA182" s="3795"/>
      <c r="AB182" s="3795"/>
      <c r="AC182" s="3795"/>
      <c r="AD182" s="3795"/>
      <c r="AE182" s="3795"/>
      <c r="AF182" s="3795"/>
      <c r="AG182" s="3795"/>
      <c r="AH182" s="3795"/>
      <c r="AI182" s="3795"/>
      <c r="AJ182" s="3795"/>
      <c r="AK182" s="3795"/>
      <c r="AL182" s="3795"/>
      <c r="AM182" s="3795"/>
      <c r="AN182" s="3795"/>
      <c r="AO182" s="3795"/>
      <c r="AP182" s="3795"/>
      <c r="AQ182" s="3795"/>
      <c r="AR182" s="3795"/>
      <c r="AS182" s="3795"/>
      <c r="AT182" s="3795"/>
      <c r="AU182" s="3795"/>
      <c r="AV182" s="3795"/>
    </row>
    <row r="183" spans="1:48">
      <c r="A183" s="3795"/>
      <c r="B183" s="3795"/>
      <c r="C183" s="3795"/>
      <c r="D183" s="3795"/>
      <c r="E183" s="3795"/>
      <c r="F183" s="3795"/>
      <c r="G183" s="3795"/>
      <c r="H183" s="3795"/>
      <c r="I183" s="3795"/>
      <c r="J183" s="3795"/>
      <c r="K183" s="3795"/>
      <c r="L183" s="3795"/>
      <c r="M183" s="3795"/>
      <c r="N183" s="3795"/>
      <c r="O183" s="3795"/>
      <c r="P183" s="3795"/>
      <c r="Q183" s="3795"/>
      <c r="R183" s="3795"/>
      <c r="S183" s="3795"/>
      <c r="T183" s="3795"/>
      <c r="U183" s="3795"/>
      <c r="V183" s="3795"/>
      <c r="W183" s="3795"/>
      <c r="X183" s="3795"/>
      <c r="Y183" s="3795"/>
      <c r="Z183" s="3795"/>
      <c r="AA183" s="3795"/>
      <c r="AB183" s="3795"/>
      <c r="AC183" s="3795"/>
      <c r="AD183" s="3795"/>
      <c r="AE183" s="3795"/>
      <c r="AF183" s="3795"/>
      <c r="AG183" s="3795"/>
      <c r="AH183" s="3795"/>
      <c r="AI183" s="3795"/>
      <c r="AJ183" s="3795"/>
      <c r="AK183" s="3795"/>
      <c r="AL183" s="3795"/>
      <c r="AM183" s="3795"/>
      <c r="AN183" s="3795"/>
      <c r="AO183" s="3795"/>
      <c r="AP183" s="3795"/>
      <c r="AQ183" s="3795"/>
      <c r="AR183" s="3795"/>
      <c r="AS183" s="3795"/>
      <c r="AT183" s="3795"/>
      <c r="AU183" s="3795"/>
      <c r="AV183" s="3795"/>
    </row>
    <row r="184" spans="1:48">
      <c r="A184" s="3795"/>
      <c r="B184" s="3795"/>
      <c r="C184" s="3795"/>
      <c r="D184" s="3795"/>
      <c r="E184" s="3795"/>
      <c r="F184" s="3795"/>
      <c r="G184" s="3795"/>
      <c r="H184" s="3795"/>
      <c r="I184" s="3795"/>
      <c r="J184" s="3795"/>
      <c r="K184" s="3795"/>
      <c r="L184" s="3795"/>
      <c r="M184" s="3795"/>
      <c r="N184" s="3795"/>
      <c r="O184" s="3795"/>
      <c r="P184" s="3795"/>
      <c r="Q184" s="3795"/>
      <c r="R184" s="3795"/>
      <c r="S184" s="3795"/>
      <c r="T184" s="3795"/>
      <c r="U184" s="3795"/>
      <c r="V184" s="3795"/>
      <c r="W184" s="3795"/>
      <c r="X184" s="3795"/>
      <c r="Y184" s="3795"/>
      <c r="Z184" s="3795"/>
      <c r="AA184" s="3795"/>
      <c r="AB184" s="3795"/>
      <c r="AC184" s="3795"/>
      <c r="AD184" s="3795"/>
      <c r="AE184" s="3795"/>
      <c r="AF184" s="3795"/>
      <c r="AG184" s="3795"/>
      <c r="AH184" s="3795"/>
      <c r="AI184" s="3795"/>
      <c r="AJ184" s="3795"/>
      <c r="AK184" s="3795"/>
      <c r="AL184" s="3795"/>
      <c r="AM184" s="3795"/>
      <c r="AN184" s="3795"/>
      <c r="AO184" s="3795"/>
      <c r="AP184" s="3795"/>
      <c r="AQ184" s="3795"/>
      <c r="AR184" s="3795"/>
      <c r="AS184" s="3795"/>
      <c r="AT184" s="3795"/>
      <c r="AU184" s="3795"/>
      <c r="AV184" s="3795"/>
    </row>
    <row r="185" spans="1:48">
      <c r="A185" s="3795"/>
      <c r="B185" s="3795"/>
      <c r="C185" s="3795"/>
      <c r="D185" s="3795"/>
      <c r="E185" s="3795"/>
      <c r="F185" s="3795"/>
      <c r="G185" s="3795"/>
      <c r="H185" s="3795"/>
      <c r="I185" s="3795"/>
      <c r="J185" s="3795"/>
      <c r="K185" s="3795"/>
      <c r="L185" s="3795"/>
      <c r="M185" s="3795"/>
      <c r="N185" s="3795"/>
      <c r="O185" s="3795"/>
      <c r="P185" s="3795"/>
      <c r="Q185" s="3795"/>
      <c r="R185" s="3795"/>
      <c r="S185" s="3795"/>
      <c r="T185" s="3795"/>
      <c r="U185" s="3795"/>
      <c r="V185" s="3795"/>
      <c r="W185" s="3795"/>
      <c r="X185" s="3795"/>
      <c r="Y185" s="3795"/>
      <c r="Z185" s="3795"/>
      <c r="AA185" s="3795"/>
      <c r="AB185" s="3795"/>
      <c r="AC185" s="3795"/>
      <c r="AD185" s="3795"/>
      <c r="AE185" s="3795"/>
      <c r="AF185" s="3795"/>
      <c r="AG185" s="3795"/>
      <c r="AH185" s="3795"/>
      <c r="AI185" s="3795"/>
      <c r="AJ185" s="3795"/>
      <c r="AK185" s="3795"/>
      <c r="AL185" s="3795"/>
      <c r="AM185" s="3795"/>
      <c r="AN185" s="3795"/>
      <c r="AO185" s="3795"/>
      <c r="AP185" s="3795"/>
      <c r="AQ185" s="3795"/>
      <c r="AR185" s="3795"/>
      <c r="AS185" s="3795"/>
      <c r="AT185" s="3795"/>
      <c r="AU185" s="3795"/>
      <c r="AV185" s="3795"/>
    </row>
    <row r="186" spans="1:48">
      <c r="A186" s="3795"/>
      <c r="B186" s="3795"/>
      <c r="C186" s="3795"/>
      <c r="D186" s="3795"/>
      <c r="E186" s="3795"/>
      <c r="F186" s="3795"/>
      <c r="G186" s="3795"/>
      <c r="H186" s="3795"/>
      <c r="I186" s="3795"/>
      <c r="J186" s="3795"/>
      <c r="K186" s="3795"/>
      <c r="L186" s="3795"/>
      <c r="M186" s="3795"/>
      <c r="N186" s="3795"/>
      <c r="O186" s="3795"/>
      <c r="P186" s="3795"/>
      <c r="Q186" s="3795"/>
      <c r="R186" s="3795"/>
      <c r="S186" s="3795"/>
      <c r="T186" s="3795"/>
      <c r="U186" s="3795"/>
      <c r="V186" s="3795"/>
      <c r="W186" s="3795"/>
      <c r="X186" s="3795"/>
      <c r="Y186" s="3795"/>
      <c r="Z186" s="3795"/>
      <c r="AA186" s="3795"/>
      <c r="AB186" s="3795"/>
      <c r="AC186" s="3795"/>
      <c r="AD186" s="3795"/>
      <c r="AE186" s="3795"/>
      <c r="AF186" s="3795"/>
      <c r="AG186" s="3795"/>
      <c r="AH186" s="3795"/>
      <c r="AI186" s="3795"/>
      <c r="AJ186" s="3795"/>
      <c r="AK186" s="3795"/>
      <c r="AL186" s="3795"/>
      <c r="AM186" s="3795"/>
      <c r="AN186" s="3795"/>
      <c r="AO186" s="3795"/>
      <c r="AP186" s="3795"/>
      <c r="AQ186" s="3795"/>
      <c r="AR186" s="3795"/>
      <c r="AS186" s="3795"/>
      <c r="AT186" s="3795"/>
      <c r="AU186" s="3795"/>
      <c r="AV186" s="3795"/>
    </row>
    <row r="187" spans="1:48">
      <c r="A187" s="3795"/>
      <c r="B187" s="3795"/>
      <c r="C187" s="3795"/>
      <c r="D187" s="3795"/>
      <c r="E187" s="3795"/>
      <c r="F187" s="3795"/>
      <c r="G187" s="3795"/>
      <c r="H187" s="3795"/>
      <c r="I187" s="3795"/>
      <c r="J187" s="3795"/>
      <c r="K187" s="3795"/>
      <c r="L187" s="3795"/>
      <c r="M187" s="3795"/>
      <c r="N187" s="3795"/>
      <c r="O187" s="3795"/>
      <c r="P187" s="3795"/>
      <c r="Q187" s="3795"/>
      <c r="R187" s="3795"/>
      <c r="S187" s="3795"/>
      <c r="T187" s="3795"/>
      <c r="U187" s="3795"/>
      <c r="V187" s="3795"/>
      <c r="W187" s="3795"/>
      <c r="X187" s="3795"/>
      <c r="Y187" s="3795"/>
      <c r="Z187" s="3795"/>
      <c r="AA187" s="3795"/>
      <c r="AB187" s="3795"/>
      <c r="AC187" s="3795"/>
      <c r="AD187" s="3795"/>
      <c r="AE187" s="3795"/>
      <c r="AF187" s="3795"/>
      <c r="AG187" s="3795"/>
      <c r="AH187" s="3795"/>
      <c r="AI187" s="3795"/>
      <c r="AJ187" s="3795"/>
      <c r="AK187" s="3795"/>
      <c r="AL187" s="3795"/>
      <c r="AM187" s="3795"/>
      <c r="AN187" s="3795"/>
      <c r="AO187" s="3795"/>
      <c r="AP187" s="3795"/>
      <c r="AQ187" s="3795"/>
      <c r="AR187" s="3795"/>
      <c r="AS187" s="3795"/>
      <c r="AT187" s="3795"/>
      <c r="AU187" s="3795"/>
      <c r="AV187" s="3795"/>
    </row>
    <row r="188" spans="1:48">
      <c r="A188" s="3796"/>
      <c r="B188" s="3796"/>
      <c r="C188" s="3796"/>
      <c r="D188" s="3796"/>
      <c r="E188" s="3796"/>
      <c r="F188" s="3796"/>
      <c r="G188" s="3796"/>
      <c r="H188" s="3796"/>
      <c r="I188" s="3796"/>
      <c r="J188" s="3796"/>
      <c r="K188" s="3796"/>
      <c r="L188" s="3796"/>
      <c r="M188" s="3796"/>
      <c r="N188" s="3796"/>
      <c r="O188" s="3796"/>
      <c r="P188" s="3796"/>
      <c r="Q188" s="3796"/>
      <c r="R188" s="3796"/>
      <c r="S188" s="3796"/>
      <c r="T188" s="3796"/>
      <c r="U188" s="3796"/>
      <c r="V188" s="3796"/>
      <c r="W188" s="3796"/>
      <c r="X188" s="3796"/>
      <c r="Y188" s="3796"/>
      <c r="Z188" s="3796"/>
      <c r="AA188" s="3796"/>
      <c r="AB188" s="3796"/>
      <c r="AC188" s="3796"/>
      <c r="AD188" s="3796"/>
      <c r="AE188" s="3796"/>
      <c r="AF188" s="3796"/>
      <c r="AG188" s="3796"/>
      <c r="AH188" s="3796"/>
      <c r="AI188" s="3796"/>
      <c r="AJ188" s="3796"/>
      <c r="AK188" s="3796"/>
      <c r="AL188" s="3796"/>
      <c r="AM188" s="3796"/>
      <c r="AN188" s="3796"/>
      <c r="AO188" s="3796"/>
      <c r="AP188" s="3796"/>
      <c r="AQ188" s="3796"/>
      <c r="AR188" s="3796"/>
      <c r="AS188" s="3796"/>
      <c r="AT188" s="3796"/>
      <c r="AU188" s="3796"/>
      <c r="AV188" s="3796"/>
    </row>
    <row r="189" spans="1:48">
      <c r="A189" s="3505" t="s">
        <v>6272</v>
      </c>
      <c r="B189" s="3505"/>
      <c r="C189" s="3505"/>
      <c r="D189" s="3505"/>
      <c r="E189" s="3505"/>
      <c r="F189" s="3505"/>
      <c r="G189" s="3505"/>
      <c r="H189" s="3505"/>
      <c r="I189" s="3505"/>
      <c r="J189" s="3505"/>
      <c r="K189" s="3505"/>
      <c r="L189" s="3505"/>
      <c r="M189" s="3505"/>
      <c r="N189" s="3505"/>
      <c r="O189" s="3505"/>
      <c r="P189" s="3505"/>
      <c r="Q189" s="3505"/>
      <c r="R189" s="3505"/>
      <c r="S189" s="3505"/>
      <c r="T189" s="3505"/>
      <c r="U189" s="3505"/>
      <c r="V189" s="3505"/>
      <c r="W189" s="3505"/>
      <c r="X189" s="3505"/>
      <c r="Y189" s="3505"/>
      <c r="Z189" s="3505"/>
      <c r="AA189" s="3505"/>
      <c r="AB189" s="3505"/>
      <c r="AC189" s="3505"/>
      <c r="AD189" s="3505"/>
      <c r="AE189" s="3505"/>
      <c r="AF189" s="3505"/>
      <c r="AG189" s="3505"/>
      <c r="AH189" s="3505"/>
      <c r="AI189" s="3505"/>
      <c r="AJ189" s="3505"/>
      <c r="AK189" s="3505"/>
      <c r="AL189" s="3505"/>
      <c r="AM189" s="3505"/>
      <c r="AN189" s="3505"/>
      <c r="AO189" s="3505"/>
      <c r="AP189" s="3505"/>
      <c r="AQ189" s="3505"/>
      <c r="AR189" s="3505"/>
      <c r="AS189" s="3505"/>
      <c r="AT189" s="3505"/>
      <c r="AU189" s="3505"/>
      <c r="AV189" s="3505"/>
    </row>
    <row r="190" ht="25.5" customHeight="1" spans="1:48">
      <c r="A190" s="3506" t="s">
        <v>6096</v>
      </c>
      <c r="B190" s="3506"/>
      <c r="C190" s="3797" t="s">
        <v>6097</v>
      </c>
      <c r="D190" s="3507"/>
      <c r="E190" s="3507"/>
      <c r="F190" s="3507"/>
      <c r="G190" s="3507"/>
      <c r="H190" s="3507"/>
      <c r="I190" s="3507"/>
      <c r="J190" s="3507"/>
      <c r="K190" s="3507"/>
      <c r="L190" s="3507"/>
      <c r="M190" s="3507"/>
      <c r="N190" s="3507"/>
      <c r="O190" s="3507"/>
      <c r="P190" s="3507"/>
      <c r="Q190" s="3507"/>
      <c r="R190" s="3507"/>
      <c r="S190" s="3507"/>
      <c r="T190" s="3507"/>
      <c r="U190" s="3507"/>
      <c r="V190" s="3507"/>
      <c r="W190" s="3507"/>
      <c r="X190" s="3507"/>
      <c r="Y190" s="3507"/>
      <c r="Z190" s="3507"/>
      <c r="AA190" s="3507"/>
      <c r="AB190" s="3798" t="s">
        <v>6098</v>
      </c>
      <c r="AC190" s="3799"/>
      <c r="AD190" s="3799"/>
      <c r="AE190" s="3799"/>
      <c r="AF190" s="3799"/>
      <c r="AG190" s="3799"/>
      <c r="AH190" s="3800"/>
      <c r="AI190" s="3510" t="s">
        <v>6273</v>
      </c>
      <c r="AJ190" s="3511"/>
      <c r="AK190" s="3511"/>
      <c r="AL190" s="3511"/>
      <c r="AM190" s="3511"/>
      <c r="AN190" s="3512"/>
      <c r="AO190" s="3510" t="s">
        <v>6100</v>
      </c>
      <c r="AP190" s="3511"/>
      <c r="AQ190" s="3511"/>
      <c r="AR190" s="3511"/>
      <c r="AS190" s="3511"/>
      <c r="AT190" s="3511"/>
      <c r="AU190" s="3511"/>
      <c r="AV190" s="3512"/>
    </row>
    <row r="191" ht="24" customHeight="1" spans="1:48">
      <c r="A191" s="3801" t="s">
        <v>5336</v>
      </c>
      <c r="B191" s="3801" t="s">
        <v>3953</v>
      </c>
      <c r="C191" s="3645" t="s">
        <v>6274</v>
      </c>
      <c r="D191" s="3646"/>
      <c r="E191" s="3646"/>
      <c r="F191" s="3646"/>
      <c r="G191" s="3646"/>
      <c r="H191" s="3646"/>
      <c r="I191" s="3646"/>
      <c r="J191" s="3646"/>
      <c r="K191" s="3646"/>
      <c r="L191" s="3646"/>
      <c r="M191" s="3646"/>
      <c r="N191" s="3646"/>
      <c r="O191" s="3646"/>
      <c r="P191" s="3646"/>
      <c r="Q191" s="3646"/>
      <c r="R191" s="3646"/>
      <c r="S191" s="3646"/>
      <c r="T191" s="3646"/>
      <c r="U191" s="3646"/>
      <c r="V191" s="3646"/>
      <c r="W191" s="3646"/>
      <c r="X191" s="3646"/>
      <c r="Y191" s="3646"/>
      <c r="Z191" s="3646"/>
      <c r="AA191" s="3647"/>
      <c r="AB191" s="3802" t="s">
        <v>6275</v>
      </c>
      <c r="AC191" s="3803"/>
      <c r="AD191" s="3803"/>
      <c r="AE191" s="3803"/>
      <c r="AF191" s="3803"/>
      <c r="AG191" s="3803"/>
      <c r="AH191" s="3804"/>
      <c r="AI191" s="3571" t="s">
        <v>6276</v>
      </c>
      <c r="AJ191" s="3572"/>
      <c r="AK191" s="3572"/>
      <c r="AL191" s="3572"/>
      <c r="AM191" s="3572"/>
      <c r="AN191" s="3573"/>
      <c r="AO191" s="3805">
        <f>ROUND(UnosPod!F453,0)</f>
        <v>0</v>
      </c>
      <c r="AP191" s="3806"/>
      <c r="AQ191" s="3806"/>
      <c r="AR191" s="3806"/>
      <c r="AS191" s="3806"/>
      <c r="AT191" s="3806"/>
      <c r="AU191" s="3806"/>
      <c r="AV191" s="3807"/>
    </row>
    <row r="192" ht="24" customHeight="1" spans="1:48">
      <c r="A192" s="3739" t="s">
        <v>5428</v>
      </c>
      <c r="B192" s="3739" t="s">
        <v>3953</v>
      </c>
      <c r="C192" s="3645" t="s">
        <v>6277</v>
      </c>
      <c r="D192" s="3646"/>
      <c r="E192" s="3646"/>
      <c r="F192" s="3646"/>
      <c r="G192" s="3646"/>
      <c r="H192" s="3646"/>
      <c r="I192" s="3646"/>
      <c r="J192" s="3646"/>
      <c r="K192" s="3646"/>
      <c r="L192" s="3646"/>
      <c r="M192" s="3646"/>
      <c r="N192" s="3646"/>
      <c r="O192" s="3646"/>
      <c r="P192" s="3646"/>
      <c r="Q192" s="3646"/>
      <c r="R192" s="3646"/>
      <c r="S192" s="3646"/>
      <c r="T192" s="3646"/>
      <c r="U192" s="3646"/>
      <c r="V192" s="3646"/>
      <c r="W192" s="3646"/>
      <c r="X192" s="3646"/>
      <c r="Y192" s="3646"/>
      <c r="Z192" s="3646"/>
      <c r="AA192" s="3647"/>
      <c r="AB192" s="3802" t="s">
        <v>6278</v>
      </c>
      <c r="AC192" s="3803"/>
      <c r="AD192" s="3803"/>
      <c r="AE192" s="3803"/>
      <c r="AF192" s="3803"/>
      <c r="AG192" s="3803"/>
      <c r="AH192" s="3804"/>
      <c r="AI192" s="3571" t="s">
        <v>6279</v>
      </c>
      <c r="AJ192" s="3572"/>
      <c r="AK192" s="3572"/>
      <c r="AL192" s="3572"/>
      <c r="AM192" s="3572"/>
      <c r="AN192" s="3573"/>
      <c r="AO192" s="3805">
        <f>ROUND(UnosPod!F452,0)</f>
        <v>0</v>
      </c>
      <c r="AP192" s="3806"/>
      <c r="AQ192" s="3806"/>
      <c r="AR192" s="3806"/>
      <c r="AS192" s="3806"/>
      <c r="AT192" s="3806"/>
      <c r="AU192" s="3806"/>
      <c r="AV192" s="3807"/>
    </row>
    <row r="193" spans="1:49">
      <c r="A193" s="3739" t="s">
        <v>5469</v>
      </c>
      <c r="B193" s="3739" t="s">
        <v>3953</v>
      </c>
      <c r="C193" s="3645" t="s">
        <v>5138</v>
      </c>
      <c r="D193" s="3646"/>
      <c r="E193" s="3646"/>
      <c r="F193" s="3646"/>
      <c r="G193" s="3646"/>
      <c r="H193" s="3646"/>
      <c r="I193" s="3646"/>
      <c r="J193" s="3646"/>
      <c r="K193" s="3646"/>
      <c r="L193" s="3646"/>
      <c r="M193" s="3646"/>
      <c r="N193" s="3646"/>
      <c r="O193" s="3646"/>
      <c r="P193" s="3646"/>
      <c r="Q193" s="3646"/>
      <c r="R193" s="3646"/>
      <c r="S193" s="3646"/>
      <c r="T193" s="3646"/>
      <c r="U193" s="3646"/>
      <c r="V193" s="3646"/>
      <c r="W193" s="3646"/>
      <c r="X193" s="3646"/>
      <c r="Y193" s="3646"/>
      <c r="Z193" s="3646"/>
      <c r="AA193" s="3647"/>
      <c r="AB193" s="3802" t="s">
        <v>6280</v>
      </c>
      <c r="AC193" s="3803"/>
      <c r="AD193" s="3803"/>
      <c r="AE193" s="3803"/>
      <c r="AF193" s="3803"/>
      <c r="AG193" s="3803"/>
      <c r="AH193" s="3804"/>
      <c r="AI193" s="3571">
        <v>271</v>
      </c>
      <c r="AJ193" s="3572"/>
      <c r="AK193" s="3572"/>
      <c r="AL193" s="3572"/>
      <c r="AM193" s="3572"/>
      <c r="AN193" s="3573"/>
      <c r="AO193" s="3805">
        <f>UnosPod!F454</f>
        <v>0</v>
      </c>
      <c r="AP193" s="3806"/>
      <c r="AQ193" s="3806"/>
      <c r="AR193" s="3806"/>
      <c r="AS193" s="3806"/>
      <c r="AT193" s="3806"/>
      <c r="AU193" s="3806"/>
      <c r="AV193" s="3807"/>
    </row>
    <row r="194" spans="1:49">
      <c r="A194" s="3808" t="s">
        <v>5600</v>
      </c>
      <c r="B194" s="3809"/>
      <c r="C194" s="3645" t="s">
        <v>5139</v>
      </c>
      <c r="D194" s="3646"/>
      <c r="E194" s="3646"/>
      <c r="F194" s="3646"/>
      <c r="G194" s="3646"/>
      <c r="H194" s="3646"/>
      <c r="I194" s="3646"/>
      <c r="J194" s="3646"/>
      <c r="K194" s="3646"/>
      <c r="L194" s="3646"/>
      <c r="M194" s="3646"/>
      <c r="N194" s="3646"/>
      <c r="O194" s="3646"/>
      <c r="P194" s="3646"/>
      <c r="Q194" s="3646"/>
      <c r="R194" s="3646"/>
      <c r="S194" s="3646"/>
      <c r="T194" s="3646"/>
      <c r="U194" s="3646"/>
      <c r="V194" s="3646"/>
      <c r="W194" s="3646"/>
      <c r="X194" s="3646"/>
      <c r="Y194" s="3646"/>
      <c r="Z194" s="3646"/>
      <c r="AA194" s="3647"/>
      <c r="AB194" s="3802" t="s">
        <v>6281</v>
      </c>
      <c r="AC194" s="3803"/>
      <c r="AD194" s="3803"/>
      <c r="AE194" s="3803"/>
      <c r="AF194" s="3803"/>
      <c r="AG194" s="3803"/>
      <c r="AH194" s="3804"/>
      <c r="AI194" s="3571">
        <v>484</v>
      </c>
      <c r="AJ194" s="3572"/>
      <c r="AK194" s="3572"/>
      <c r="AL194" s="3572"/>
      <c r="AM194" s="3572"/>
      <c r="AN194" s="3573"/>
      <c r="AO194" s="3805">
        <f>UnosPod!F456</f>
        <v>0</v>
      </c>
      <c r="AP194" s="3806"/>
      <c r="AQ194" s="3806"/>
      <c r="AR194" s="3806"/>
      <c r="AS194" s="3806"/>
      <c r="AT194" s="3806"/>
      <c r="AU194" s="3806"/>
      <c r="AV194" s="3807"/>
    </row>
    <row r="195" spans="1:49">
      <c r="A195" s="3801" t="s">
        <v>5078</v>
      </c>
      <c r="B195" s="3801" t="s">
        <v>3953</v>
      </c>
      <c r="C195" s="3645" t="s">
        <v>6282</v>
      </c>
      <c r="D195" s="3646"/>
      <c r="E195" s="3646"/>
      <c r="F195" s="3646"/>
      <c r="G195" s="3646"/>
      <c r="H195" s="3646"/>
      <c r="I195" s="3646"/>
      <c r="J195" s="3646"/>
      <c r="K195" s="3646"/>
      <c r="L195" s="3646"/>
      <c r="M195" s="3646"/>
      <c r="N195" s="3646"/>
      <c r="O195" s="3646"/>
      <c r="P195" s="3646"/>
      <c r="Q195" s="3646"/>
      <c r="R195" s="3646"/>
      <c r="S195" s="3646"/>
      <c r="T195" s="3646"/>
      <c r="U195" s="3646"/>
      <c r="V195" s="3646"/>
      <c r="W195" s="3646"/>
      <c r="X195" s="3646"/>
      <c r="Y195" s="3646"/>
      <c r="Z195" s="3646"/>
      <c r="AA195" s="3647"/>
      <c r="AB195" s="3802" t="s">
        <v>6283</v>
      </c>
      <c r="AC195" s="3803"/>
      <c r="AD195" s="3803"/>
      <c r="AE195" s="3803"/>
      <c r="AF195" s="3803"/>
      <c r="AG195" s="3803"/>
      <c r="AH195" s="3804"/>
      <c r="AI195" s="3571">
        <v>480</v>
      </c>
      <c r="AJ195" s="3572"/>
      <c r="AK195" s="3572"/>
      <c r="AL195" s="3572"/>
      <c r="AM195" s="3572"/>
      <c r="AN195" s="3573"/>
      <c r="AO195" s="3805">
        <f>UnosPod!F455</f>
        <v>0</v>
      </c>
      <c r="AP195" s="3806"/>
      <c r="AQ195" s="3806"/>
      <c r="AR195" s="3806"/>
      <c r="AS195" s="3806"/>
      <c r="AT195" s="3806"/>
      <c r="AU195" s="3806"/>
      <c r="AV195" s="3807"/>
    </row>
    <row r="196" ht="25.5" customHeight="1" spans="1:49">
      <c r="A196" s="3739" t="s">
        <v>6133</v>
      </c>
      <c r="B196" s="3739" t="s">
        <v>3953</v>
      </c>
      <c r="C196" s="3620" t="s">
        <v>6284</v>
      </c>
      <c r="D196" s="3620"/>
      <c r="E196" s="3620"/>
      <c r="F196" s="3620"/>
      <c r="G196" s="3620"/>
      <c r="H196" s="3620"/>
      <c r="I196" s="3620"/>
      <c r="J196" s="3620"/>
      <c r="K196" s="3620"/>
      <c r="L196" s="3620"/>
      <c r="M196" s="3620"/>
      <c r="N196" s="3620"/>
      <c r="O196" s="3620"/>
      <c r="P196" s="3620"/>
      <c r="Q196" s="3620"/>
      <c r="R196" s="3620"/>
      <c r="S196" s="3620"/>
      <c r="T196" s="3620"/>
      <c r="U196" s="3620"/>
      <c r="V196" s="3620"/>
      <c r="W196" s="3620"/>
      <c r="X196" s="3620"/>
      <c r="Y196" s="3620"/>
      <c r="Z196" s="3620"/>
      <c r="AA196" s="3620"/>
      <c r="AB196" s="3802" t="s">
        <v>6285</v>
      </c>
      <c r="AC196" s="3803"/>
      <c r="AD196" s="3803"/>
      <c r="AE196" s="3803"/>
      <c r="AF196" s="3803"/>
      <c r="AG196" s="3803"/>
      <c r="AH196" s="3804"/>
      <c r="AI196" s="3571" t="s">
        <v>6286</v>
      </c>
      <c r="AJ196" s="3572"/>
      <c r="AK196" s="3572"/>
      <c r="AL196" s="3572"/>
      <c r="AM196" s="3572"/>
      <c r="AN196" s="3573"/>
      <c r="AO196" s="3805">
        <f>UnosPod!F118+UnosPod!F121+UnosPod!F135</f>
        <v>0</v>
      </c>
      <c r="AP196" s="3806"/>
      <c r="AQ196" s="3806"/>
      <c r="AR196" s="3806"/>
      <c r="AS196" s="3806"/>
      <c r="AT196" s="3806"/>
      <c r="AU196" s="3806"/>
      <c r="AV196" s="3807"/>
    </row>
    <row r="197" spans="1:49">
      <c r="A197" s="3739" t="s">
        <v>6137</v>
      </c>
      <c r="B197" s="3739" t="s">
        <v>3953</v>
      </c>
      <c r="C197" s="3620" t="s">
        <v>6287</v>
      </c>
      <c r="D197" s="3620"/>
      <c r="E197" s="3620"/>
      <c r="F197" s="3620"/>
      <c r="G197" s="3620"/>
      <c r="H197" s="3620"/>
      <c r="I197" s="3620"/>
      <c r="J197" s="3620"/>
      <c r="K197" s="3620"/>
      <c r="L197" s="3620"/>
      <c r="M197" s="3620"/>
      <c r="N197" s="3620"/>
      <c r="O197" s="3620"/>
      <c r="P197" s="3620"/>
      <c r="Q197" s="3620"/>
      <c r="R197" s="3620"/>
      <c r="S197" s="3620"/>
      <c r="T197" s="3620"/>
      <c r="U197" s="3620"/>
      <c r="V197" s="3620"/>
      <c r="W197" s="3620"/>
      <c r="X197" s="3620"/>
      <c r="Y197" s="3620"/>
      <c r="Z197" s="3620"/>
      <c r="AA197" s="3620"/>
      <c r="AB197" s="3802" t="s">
        <v>6288</v>
      </c>
      <c r="AC197" s="3803"/>
      <c r="AD197" s="3803"/>
      <c r="AE197" s="3803"/>
      <c r="AF197" s="3803"/>
      <c r="AG197" s="3803"/>
      <c r="AH197" s="3804"/>
      <c r="AI197" s="3571" t="s">
        <v>6289</v>
      </c>
      <c r="AJ197" s="3572"/>
      <c r="AK197" s="3572"/>
      <c r="AL197" s="3572"/>
      <c r="AM197" s="3572"/>
      <c r="AN197" s="3573"/>
      <c r="AO197" s="3805">
        <f>UnosPod!F146+UnosPod!F149</f>
        <v>0</v>
      </c>
      <c r="AP197" s="3806"/>
      <c r="AQ197" s="3806"/>
      <c r="AR197" s="3806"/>
      <c r="AS197" s="3806"/>
      <c r="AT197" s="3806"/>
      <c r="AU197" s="3806"/>
      <c r="AV197" s="3807"/>
    </row>
    <row r="198" spans="1:49">
      <c r="A198" s="3808" t="s">
        <v>6140</v>
      </c>
      <c r="B198" s="3809"/>
      <c r="C198" s="3620" t="s">
        <v>6290</v>
      </c>
      <c r="D198" s="3620"/>
      <c r="E198" s="3620"/>
      <c r="F198" s="3620"/>
      <c r="G198" s="3620"/>
      <c r="H198" s="3620"/>
      <c r="I198" s="3620"/>
      <c r="J198" s="3620"/>
      <c r="K198" s="3620"/>
      <c r="L198" s="3620"/>
      <c r="M198" s="3620"/>
      <c r="N198" s="3620"/>
      <c r="O198" s="3620"/>
      <c r="P198" s="3620"/>
      <c r="Q198" s="3620"/>
      <c r="R198" s="3620"/>
      <c r="S198" s="3620"/>
      <c r="T198" s="3620"/>
      <c r="U198" s="3620"/>
      <c r="V198" s="3620"/>
      <c r="W198" s="3620"/>
      <c r="X198" s="3620"/>
      <c r="Y198" s="3620"/>
      <c r="Z198" s="3620"/>
      <c r="AA198" s="3620"/>
      <c r="AB198" s="3802" t="s">
        <v>6291</v>
      </c>
      <c r="AC198" s="3803"/>
      <c r="AD198" s="3803"/>
      <c r="AE198" s="3803"/>
      <c r="AF198" s="3803"/>
      <c r="AG198" s="3803"/>
      <c r="AH198" s="3804"/>
      <c r="AI198" s="3571" t="s">
        <v>6292</v>
      </c>
      <c r="AJ198" s="3572"/>
      <c r="AK198" s="3572"/>
      <c r="AL198" s="3572"/>
      <c r="AM198" s="3572"/>
      <c r="AN198" s="3573"/>
      <c r="AO198" s="3805">
        <f>UnosPod!F792-AO199</f>
        <v>0</v>
      </c>
      <c r="AP198" s="3806"/>
      <c r="AQ198" s="3806"/>
      <c r="AR198" s="3806"/>
      <c r="AS198" s="3806"/>
      <c r="AT198" s="3806"/>
      <c r="AU198" s="3806"/>
      <c r="AV198" s="3807"/>
    </row>
    <row r="199" spans="1:49">
      <c r="A199" s="3801" t="s">
        <v>6143</v>
      </c>
      <c r="B199" s="3801" t="s">
        <v>3953</v>
      </c>
      <c r="C199" s="3620" t="s">
        <v>6293</v>
      </c>
      <c r="D199" s="3620"/>
      <c r="E199" s="3620"/>
      <c r="F199" s="3620"/>
      <c r="G199" s="3620"/>
      <c r="H199" s="3620"/>
      <c r="I199" s="3620"/>
      <c r="J199" s="3620"/>
      <c r="K199" s="3620"/>
      <c r="L199" s="3620"/>
      <c r="M199" s="3620"/>
      <c r="N199" s="3620"/>
      <c r="O199" s="3620"/>
      <c r="P199" s="3620"/>
      <c r="Q199" s="3620"/>
      <c r="R199" s="3620"/>
      <c r="S199" s="3620"/>
      <c r="T199" s="3620"/>
      <c r="U199" s="3620"/>
      <c r="V199" s="3620"/>
      <c r="W199" s="3620"/>
      <c r="X199" s="3620"/>
      <c r="Y199" s="3620"/>
      <c r="Z199" s="3620"/>
      <c r="AA199" s="3620"/>
      <c r="AB199" s="3802" t="s">
        <v>6294</v>
      </c>
      <c r="AC199" s="3803"/>
      <c r="AD199" s="3803"/>
      <c r="AE199" s="3803"/>
      <c r="AF199" s="3803"/>
      <c r="AG199" s="3803"/>
      <c r="AH199" s="3804"/>
      <c r="AI199" s="3571" t="s">
        <v>6292</v>
      </c>
      <c r="AJ199" s="3572"/>
      <c r="AK199" s="3572"/>
      <c r="AL199" s="3572"/>
      <c r="AM199" s="3572"/>
      <c r="AN199" s="3573"/>
      <c r="AO199" s="3805"/>
      <c r="AP199" s="3806"/>
      <c r="AQ199" s="3806"/>
      <c r="AR199" s="3806"/>
      <c r="AS199" s="3806"/>
      <c r="AT199" s="3806"/>
      <c r="AU199" s="3806"/>
      <c r="AV199" s="3807"/>
    </row>
    <row r="200" spans="1:49">
      <c r="A200" s="3739" t="s">
        <v>301</v>
      </c>
      <c r="B200" s="3739" t="s">
        <v>3953</v>
      </c>
      <c r="C200" s="3620" t="s">
        <v>6295</v>
      </c>
      <c r="D200" s="3620"/>
      <c r="E200" s="3620"/>
      <c r="F200" s="3620"/>
      <c r="G200" s="3620"/>
      <c r="H200" s="3620"/>
      <c r="I200" s="3620"/>
      <c r="J200" s="3620"/>
      <c r="K200" s="3620"/>
      <c r="L200" s="3620"/>
      <c r="M200" s="3620"/>
      <c r="N200" s="3620"/>
      <c r="O200" s="3620"/>
      <c r="P200" s="3620"/>
      <c r="Q200" s="3620"/>
      <c r="R200" s="3620"/>
      <c r="S200" s="3620"/>
      <c r="T200" s="3620"/>
      <c r="U200" s="3620"/>
      <c r="V200" s="3620"/>
      <c r="W200" s="3620"/>
      <c r="X200" s="3620"/>
      <c r="Y200" s="3620"/>
      <c r="Z200" s="3620"/>
      <c r="AA200" s="3620"/>
      <c r="AB200" s="3802" t="s">
        <v>6296</v>
      </c>
      <c r="AC200" s="3803"/>
      <c r="AD200" s="3803"/>
      <c r="AE200" s="3803"/>
      <c r="AF200" s="3803"/>
      <c r="AG200" s="3803"/>
      <c r="AH200" s="3804"/>
      <c r="AI200" s="3571" t="s">
        <v>6297</v>
      </c>
      <c r="AJ200" s="3572"/>
      <c r="AK200" s="3572"/>
      <c r="AL200" s="3572"/>
      <c r="AM200" s="3572"/>
      <c r="AN200" s="3573"/>
      <c r="AO200" s="3805"/>
      <c r="AP200" s="3806"/>
      <c r="AQ200" s="3806"/>
      <c r="AR200" s="3806"/>
      <c r="AS200" s="3806"/>
      <c r="AT200" s="3806"/>
      <c r="AU200" s="3806"/>
      <c r="AV200" s="3807"/>
    </row>
    <row r="201" spans="1:49">
      <c r="A201" s="3739" t="s">
        <v>303</v>
      </c>
      <c r="B201" s="3739" t="s">
        <v>3953</v>
      </c>
      <c r="C201" s="3620" t="s">
        <v>6298</v>
      </c>
      <c r="D201" s="3620"/>
      <c r="E201" s="3620"/>
      <c r="F201" s="3620"/>
      <c r="G201" s="3620"/>
      <c r="H201" s="3620"/>
      <c r="I201" s="3620"/>
      <c r="J201" s="3620"/>
      <c r="K201" s="3620"/>
      <c r="L201" s="3620"/>
      <c r="M201" s="3620"/>
      <c r="N201" s="3620"/>
      <c r="O201" s="3620"/>
      <c r="P201" s="3620"/>
      <c r="Q201" s="3620"/>
      <c r="R201" s="3620"/>
      <c r="S201" s="3620"/>
      <c r="T201" s="3620"/>
      <c r="U201" s="3620"/>
      <c r="V201" s="3620"/>
      <c r="W201" s="3620"/>
      <c r="X201" s="3620"/>
      <c r="Y201" s="3620"/>
      <c r="Z201" s="3620"/>
      <c r="AA201" s="3620"/>
      <c r="AB201" s="3802" t="s">
        <v>6299</v>
      </c>
      <c r="AC201" s="3803"/>
      <c r="AD201" s="3803"/>
      <c r="AE201" s="3803"/>
      <c r="AF201" s="3803"/>
      <c r="AG201" s="3803"/>
      <c r="AH201" s="3804"/>
      <c r="AI201" s="3571">
        <v>651</v>
      </c>
      <c r="AJ201" s="3572"/>
      <c r="AK201" s="3572"/>
      <c r="AL201" s="3572"/>
      <c r="AM201" s="3572"/>
      <c r="AN201" s="3573"/>
      <c r="AO201" s="3805">
        <f>UnosPod!F158</f>
        <v>0</v>
      </c>
      <c r="AP201" s="3806"/>
      <c r="AQ201" s="3806"/>
      <c r="AR201" s="3806"/>
      <c r="AS201" s="3806"/>
      <c r="AT201" s="3806"/>
      <c r="AU201" s="3806"/>
      <c r="AV201" s="3807"/>
    </row>
    <row r="202" spans="1:49">
      <c r="A202" s="3808" t="s">
        <v>305</v>
      </c>
      <c r="B202" s="3809"/>
      <c r="C202" s="3810" t="s">
        <v>6300</v>
      </c>
      <c r="D202" s="3810"/>
      <c r="E202" s="3810"/>
      <c r="F202" s="3810"/>
      <c r="G202" s="3810"/>
      <c r="H202" s="3810"/>
      <c r="I202" s="3810"/>
      <c r="J202" s="3810"/>
      <c r="K202" s="3810"/>
      <c r="L202" s="3810"/>
      <c r="M202" s="3810"/>
      <c r="N202" s="3810"/>
      <c r="O202" s="3810"/>
      <c r="P202" s="3810"/>
      <c r="Q202" s="3810"/>
      <c r="R202" s="3810"/>
      <c r="S202" s="3810"/>
      <c r="T202" s="3810"/>
      <c r="U202" s="3810"/>
      <c r="V202" s="3810"/>
      <c r="W202" s="3810"/>
      <c r="X202" s="3810"/>
      <c r="Y202" s="3810"/>
      <c r="Z202" s="3810"/>
      <c r="AA202" s="3810"/>
      <c r="AB202" s="3802" t="s">
        <v>6301</v>
      </c>
      <c r="AC202" s="3803"/>
      <c r="AD202" s="3803"/>
      <c r="AE202" s="3803"/>
      <c r="AF202" s="3803"/>
      <c r="AG202" s="3803"/>
      <c r="AH202" s="3804"/>
      <c r="AI202" s="3571">
        <v>656</v>
      </c>
      <c r="AJ202" s="3572"/>
      <c r="AK202" s="3572"/>
      <c r="AL202" s="3572"/>
      <c r="AM202" s="3572"/>
      <c r="AN202" s="3573"/>
      <c r="AO202" s="3805">
        <f>UnosPod!F163</f>
        <v>0</v>
      </c>
      <c r="AP202" s="3806"/>
      <c r="AQ202" s="3806"/>
      <c r="AR202" s="3806"/>
      <c r="AS202" s="3806"/>
      <c r="AT202" s="3806"/>
      <c r="AU202" s="3806"/>
      <c r="AV202" s="3807"/>
    </row>
    <row r="203" spans="1:49">
      <c r="A203" s="3801" t="s">
        <v>307</v>
      </c>
      <c r="B203" s="3801" t="s">
        <v>3953</v>
      </c>
      <c r="C203" s="3811" t="s">
        <v>6302</v>
      </c>
      <c r="D203" s="3811"/>
      <c r="E203" s="3811"/>
      <c r="F203" s="3811"/>
      <c r="G203" s="3811"/>
      <c r="H203" s="3811"/>
      <c r="I203" s="3811"/>
      <c r="J203" s="3811"/>
      <c r="K203" s="3811"/>
      <c r="L203" s="3811"/>
      <c r="M203" s="3811"/>
      <c r="N203" s="3811"/>
      <c r="O203" s="3811"/>
      <c r="P203" s="3811"/>
      <c r="Q203" s="3811"/>
      <c r="R203" s="3811"/>
      <c r="S203" s="3811"/>
      <c r="T203" s="3811"/>
      <c r="U203" s="3811"/>
      <c r="V203" s="3811"/>
      <c r="W203" s="3811"/>
      <c r="X203" s="3811"/>
      <c r="Y203" s="3811"/>
      <c r="Z203" s="3811"/>
      <c r="AA203" s="3811"/>
      <c r="AB203" s="3802" t="s">
        <v>6303</v>
      </c>
      <c r="AC203" s="3803"/>
      <c r="AD203" s="3803"/>
      <c r="AE203" s="3803"/>
      <c r="AF203" s="3803"/>
      <c r="AG203" s="3803"/>
      <c r="AH203" s="3804"/>
      <c r="AI203" s="3571">
        <v>654</v>
      </c>
      <c r="AJ203" s="3572"/>
      <c r="AK203" s="3572"/>
      <c r="AL203" s="3572"/>
      <c r="AM203" s="3572"/>
      <c r="AN203" s="3573"/>
      <c r="AO203" s="3805">
        <f>UnosPod!F161</f>
        <v>0</v>
      </c>
      <c r="AP203" s="3806"/>
      <c r="AQ203" s="3806"/>
      <c r="AR203" s="3806"/>
      <c r="AS203" s="3806"/>
      <c r="AT203" s="3806"/>
      <c r="AU203" s="3806"/>
      <c r="AV203" s="3807"/>
    </row>
    <row r="204" ht="25.5" customHeight="1" spans="1:49">
      <c r="A204" s="3739" t="s">
        <v>309</v>
      </c>
      <c r="B204" s="3739" t="s">
        <v>3953</v>
      </c>
      <c r="C204" s="3620" t="s">
        <v>6304</v>
      </c>
      <c r="D204" s="3620"/>
      <c r="E204" s="3620"/>
      <c r="F204" s="3620"/>
      <c r="G204" s="3620"/>
      <c r="H204" s="3620"/>
      <c r="I204" s="3620"/>
      <c r="J204" s="3620"/>
      <c r="K204" s="3620"/>
      <c r="L204" s="3620"/>
      <c r="M204" s="3620"/>
      <c r="N204" s="3620"/>
      <c r="O204" s="3620"/>
      <c r="P204" s="3620"/>
      <c r="Q204" s="3620"/>
      <c r="R204" s="3620"/>
      <c r="S204" s="3620"/>
      <c r="T204" s="3620"/>
      <c r="U204" s="3620"/>
      <c r="V204" s="3620"/>
      <c r="W204" s="3620"/>
      <c r="X204" s="3620"/>
      <c r="Y204" s="3620"/>
      <c r="Z204" s="3620"/>
      <c r="AA204" s="3620"/>
      <c r="AB204" s="3802" t="s">
        <v>6305</v>
      </c>
      <c r="AC204" s="3803"/>
      <c r="AD204" s="3803"/>
      <c r="AE204" s="3803"/>
      <c r="AF204" s="3803"/>
      <c r="AG204" s="3803"/>
      <c r="AH204" s="3804"/>
      <c r="AI204" s="3571" t="s">
        <v>6306</v>
      </c>
      <c r="AJ204" s="3572"/>
      <c r="AK204" s="3572"/>
      <c r="AL204" s="3572"/>
      <c r="AM204" s="3572"/>
      <c r="AN204" s="3573"/>
      <c r="AO204" s="3805">
        <f>UnosPod!F157+UnosPod!F159</f>
        <v>0</v>
      </c>
      <c r="AP204" s="3806"/>
      <c r="AQ204" s="3806"/>
      <c r="AR204" s="3806"/>
      <c r="AS204" s="3806"/>
      <c r="AT204" s="3806"/>
      <c r="AU204" s="3806"/>
      <c r="AV204" s="3807"/>
    </row>
    <row r="205" spans="1:49">
      <c r="A205" s="3739" t="s">
        <v>311</v>
      </c>
      <c r="B205" s="3739" t="s">
        <v>3953</v>
      </c>
      <c r="C205" s="3811" t="s">
        <v>6307</v>
      </c>
      <c r="D205" s="3811"/>
      <c r="E205" s="3811"/>
      <c r="F205" s="3811"/>
      <c r="G205" s="3811"/>
      <c r="H205" s="3811"/>
      <c r="I205" s="3811"/>
      <c r="J205" s="3811"/>
      <c r="K205" s="3811"/>
      <c r="L205" s="3811"/>
      <c r="M205" s="3811"/>
      <c r="N205" s="3811"/>
      <c r="O205" s="3811"/>
      <c r="P205" s="3811"/>
      <c r="Q205" s="3811"/>
      <c r="R205" s="3811"/>
      <c r="S205" s="3811"/>
      <c r="T205" s="3811"/>
      <c r="U205" s="3811"/>
      <c r="V205" s="3811"/>
      <c r="W205" s="3811"/>
      <c r="X205" s="3811"/>
      <c r="Y205" s="3811"/>
      <c r="Z205" s="3811"/>
      <c r="AA205" s="3811"/>
      <c r="AB205" s="3802" t="s">
        <v>6308</v>
      </c>
      <c r="AC205" s="3803"/>
      <c r="AD205" s="3803"/>
      <c r="AE205" s="3803"/>
      <c r="AF205" s="3803"/>
      <c r="AG205" s="3803"/>
      <c r="AH205" s="3804"/>
      <c r="AI205" s="3571" t="s">
        <v>6309</v>
      </c>
      <c r="AJ205" s="3572"/>
      <c r="AK205" s="3572"/>
      <c r="AL205" s="3572"/>
      <c r="AM205" s="3572"/>
      <c r="AN205" s="3573"/>
      <c r="AO205" s="3805">
        <f>UnosPod!F173</f>
        <v>0</v>
      </c>
      <c r="AP205" s="3806"/>
      <c r="AQ205" s="3806"/>
      <c r="AR205" s="3806"/>
      <c r="AS205" s="3806"/>
      <c r="AT205" s="3806"/>
      <c r="AU205" s="3806"/>
      <c r="AV205" s="3807"/>
    </row>
    <row r="206" ht="39" customHeight="1" spans="1:49">
      <c r="A206" s="3808" t="s">
        <v>313</v>
      </c>
      <c r="B206" s="3809"/>
      <c r="C206" s="3642" t="s">
        <v>6310</v>
      </c>
      <c r="D206" s="3643"/>
      <c r="E206" s="3643"/>
      <c r="F206" s="3643"/>
      <c r="G206" s="3643"/>
      <c r="H206" s="3643"/>
      <c r="I206" s="3643"/>
      <c r="J206" s="3643"/>
      <c r="K206" s="3643"/>
      <c r="L206" s="3643"/>
      <c r="M206" s="3643"/>
      <c r="N206" s="3643"/>
      <c r="O206" s="3643"/>
      <c r="P206" s="3643"/>
      <c r="Q206" s="3643"/>
      <c r="R206" s="3643"/>
      <c r="S206" s="3643"/>
      <c r="T206" s="3643"/>
      <c r="U206" s="3643"/>
      <c r="V206" s="3643"/>
      <c r="W206" s="3643"/>
      <c r="X206" s="3643"/>
      <c r="Y206" s="3643"/>
      <c r="Z206" s="3643"/>
      <c r="AA206" s="3644"/>
      <c r="AB206" s="3802" t="s">
        <v>6311</v>
      </c>
      <c r="AC206" s="3803"/>
      <c r="AD206" s="3803"/>
      <c r="AE206" s="3803"/>
      <c r="AF206" s="3803"/>
      <c r="AG206" s="3803"/>
      <c r="AH206" s="3804"/>
      <c r="AI206" s="3571" t="s">
        <v>6312</v>
      </c>
      <c r="AJ206" s="3572"/>
      <c r="AK206" s="3572"/>
      <c r="AL206" s="3572"/>
      <c r="AM206" s="3572"/>
      <c r="AN206" s="3573"/>
      <c r="AO206" s="3805"/>
      <c r="AP206" s="3806"/>
      <c r="AQ206" s="3806"/>
      <c r="AR206" s="3806"/>
      <c r="AS206" s="3806"/>
      <c r="AT206" s="3806"/>
      <c r="AU206" s="3806"/>
      <c r="AV206" s="3807"/>
      <c r="AW206" s="3446"/>
    </row>
    <row r="207" spans="1:49">
      <c r="A207" s="3801" t="s">
        <v>508</v>
      </c>
      <c r="B207" s="3801" t="s">
        <v>3953</v>
      </c>
      <c r="C207" s="3642" t="s">
        <v>6313</v>
      </c>
      <c r="D207" s="3643"/>
      <c r="E207" s="3643"/>
      <c r="F207" s="3643"/>
      <c r="G207" s="3643"/>
      <c r="H207" s="3643"/>
      <c r="I207" s="3643"/>
      <c r="J207" s="3643"/>
      <c r="K207" s="3643"/>
      <c r="L207" s="3643"/>
      <c r="M207" s="3643"/>
      <c r="N207" s="3643"/>
      <c r="O207" s="3643"/>
      <c r="P207" s="3643"/>
      <c r="Q207" s="3643"/>
      <c r="R207" s="3643"/>
      <c r="S207" s="3643"/>
      <c r="T207" s="3643"/>
      <c r="U207" s="3643"/>
      <c r="V207" s="3643"/>
      <c r="W207" s="3643"/>
      <c r="X207" s="3643"/>
      <c r="Y207" s="3643"/>
      <c r="Z207" s="3643"/>
      <c r="AA207" s="3644"/>
      <c r="AB207" s="3802" t="s">
        <v>6314</v>
      </c>
      <c r="AC207" s="3803"/>
      <c r="AD207" s="3803"/>
      <c r="AE207" s="3803"/>
      <c r="AF207" s="3803"/>
      <c r="AG207" s="3803"/>
      <c r="AH207" s="3804"/>
      <c r="AI207" s="3571" t="s">
        <v>6315</v>
      </c>
      <c r="AJ207" s="3572"/>
      <c r="AK207" s="3572"/>
      <c r="AL207" s="3572"/>
      <c r="AM207" s="3572"/>
      <c r="AN207" s="3573"/>
      <c r="AO207" s="3805"/>
      <c r="AP207" s="3806"/>
      <c r="AQ207" s="3806"/>
      <c r="AR207" s="3806"/>
      <c r="AS207" s="3806"/>
      <c r="AT207" s="3806"/>
      <c r="AU207" s="3806"/>
      <c r="AV207" s="3807"/>
    </row>
    <row r="208" spans="1:49">
      <c r="A208" s="3739" t="s">
        <v>522</v>
      </c>
      <c r="B208" s="3739" t="s">
        <v>3953</v>
      </c>
      <c r="C208" s="3620" t="s">
        <v>6316</v>
      </c>
      <c r="D208" s="3620"/>
      <c r="E208" s="3620"/>
      <c r="F208" s="3620"/>
      <c r="G208" s="3620"/>
      <c r="H208" s="3620"/>
      <c r="I208" s="3620"/>
      <c r="J208" s="3620"/>
      <c r="K208" s="3620"/>
      <c r="L208" s="3620"/>
      <c r="M208" s="3620"/>
      <c r="N208" s="3620"/>
      <c r="O208" s="3620"/>
      <c r="P208" s="3620"/>
      <c r="Q208" s="3620"/>
      <c r="R208" s="3620"/>
      <c r="S208" s="3620"/>
      <c r="T208" s="3620"/>
      <c r="U208" s="3620"/>
      <c r="V208" s="3620"/>
      <c r="W208" s="3620"/>
      <c r="X208" s="3620"/>
      <c r="Y208" s="3620"/>
      <c r="Z208" s="3620"/>
      <c r="AA208" s="3620"/>
      <c r="AB208" s="3802" t="s">
        <v>6317</v>
      </c>
      <c r="AC208" s="3803"/>
      <c r="AD208" s="3803"/>
      <c r="AE208" s="3803"/>
      <c r="AF208" s="3803"/>
      <c r="AG208" s="3803"/>
      <c r="AH208" s="3804"/>
      <c r="AI208" s="3571">
        <v>661</v>
      </c>
      <c r="AJ208" s="3572"/>
      <c r="AK208" s="3572"/>
      <c r="AL208" s="3572"/>
      <c r="AM208" s="3572"/>
      <c r="AN208" s="3573"/>
      <c r="AO208" s="3805">
        <f>UnosPod!F167</f>
        <v>1319</v>
      </c>
      <c r="AP208" s="3806"/>
      <c r="AQ208" s="3806"/>
      <c r="AR208" s="3806"/>
      <c r="AS208" s="3806"/>
      <c r="AT208" s="3806"/>
      <c r="AU208" s="3806"/>
      <c r="AV208" s="3807"/>
    </row>
    <row r="209" spans="1:48">
      <c r="A209" s="3739" t="s">
        <v>536</v>
      </c>
      <c r="B209" s="3739" t="s">
        <v>3953</v>
      </c>
      <c r="C209" s="3620" t="s">
        <v>6318</v>
      </c>
      <c r="D209" s="3620"/>
      <c r="E209" s="3620"/>
      <c r="F209" s="3620"/>
      <c r="G209" s="3620"/>
      <c r="H209" s="3620"/>
      <c r="I209" s="3620"/>
      <c r="J209" s="3620"/>
      <c r="K209" s="3620"/>
      <c r="L209" s="3620"/>
      <c r="M209" s="3620"/>
      <c r="N209" s="3620"/>
      <c r="O209" s="3620"/>
      <c r="P209" s="3620"/>
      <c r="Q209" s="3620"/>
      <c r="R209" s="3620"/>
      <c r="S209" s="3620"/>
      <c r="T209" s="3620"/>
      <c r="U209" s="3620"/>
      <c r="V209" s="3620"/>
      <c r="W209" s="3620"/>
      <c r="X209" s="3620"/>
      <c r="Y209" s="3620"/>
      <c r="Z209" s="3620"/>
      <c r="AA209" s="3620"/>
      <c r="AB209" s="3802" t="s">
        <v>6319</v>
      </c>
      <c r="AC209" s="3803"/>
      <c r="AD209" s="3803"/>
      <c r="AE209" s="3803"/>
      <c r="AF209" s="3803"/>
      <c r="AG209" s="3803"/>
      <c r="AH209" s="3804"/>
      <c r="AI209" s="3571">
        <v>561</v>
      </c>
      <c r="AJ209" s="3572"/>
      <c r="AK209" s="3572"/>
      <c r="AL209" s="3572"/>
      <c r="AM209" s="3572"/>
      <c r="AN209" s="3573"/>
      <c r="AO209" s="3805">
        <f>UnosPod!F307</f>
        <v>0</v>
      </c>
      <c r="AP209" s="3806"/>
      <c r="AQ209" s="3806"/>
      <c r="AR209" s="3806"/>
      <c r="AS209" s="3806"/>
      <c r="AT209" s="3806"/>
      <c r="AU209" s="3806"/>
      <c r="AV209" s="3807"/>
    </row>
    <row r="210" ht="25.5" customHeight="1" spans="1:48">
      <c r="A210" s="3739" t="s">
        <v>550</v>
      </c>
      <c r="B210" s="3739" t="s">
        <v>3953</v>
      </c>
      <c r="C210" s="3642" t="s">
        <v>6320</v>
      </c>
      <c r="D210" s="3643"/>
      <c r="E210" s="3643"/>
      <c r="F210" s="3643"/>
      <c r="G210" s="3643"/>
      <c r="H210" s="3643"/>
      <c r="I210" s="3643"/>
      <c r="J210" s="3643"/>
      <c r="K210" s="3643"/>
      <c r="L210" s="3643"/>
      <c r="M210" s="3643"/>
      <c r="N210" s="3643"/>
      <c r="O210" s="3643"/>
      <c r="P210" s="3643"/>
      <c r="Q210" s="3643"/>
      <c r="R210" s="3643"/>
      <c r="S210" s="3643"/>
      <c r="T210" s="3643"/>
      <c r="U210" s="3643"/>
      <c r="V210" s="3643"/>
      <c r="W210" s="3643"/>
      <c r="X210" s="3643"/>
      <c r="Y210" s="3643"/>
      <c r="Z210" s="3643"/>
      <c r="AA210" s="3644"/>
      <c r="AB210" s="3802" t="s">
        <v>6321</v>
      </c>
      <c r="AC210" s="3803"/>
      <c r="AD210" s="3803"/>
      <c r="AE210" s="3803"/>
      <c r="AF210" s="3803"/>
      <c r="AG210" s="3803"/>
      <c r="AH210" s="3804"/>
      <c r="AI210" s="3802" t="s">
        <v>3894</v>
      </c>
      <c r="AJ210" s="3803"/>
      <c r="AK210" s="3803"/>
      <c r="AL210" s="3803"/>
      <c r="AM210" s="3803"/>
      <c r="AN210" s="3804"/>
      <c r="AO210" s="3805">
        <f>UnosPod!F600-UnosPod!M600</f>
        <v>0</v>
      </c>
      <c r="AP210" s="3806"/>
      <c r="AQ210" s="3806"/>
      <c r="AR210" s="3806"/>
      <c r="AS210" s="3806"/>
      <c r="AT210" s="3806"/>
      <c r="AU210" s="3806"/>
      <c r="AV210" s="3807"/>
    </row>
    <row r="211" spans="1:48">
      <c r="A211" s="3812"/>
      <c r="B211" s="3812"/>
      <c r="C211" s="3812"/>
      <c r="D211" s="3812"/>
      <c r="E211" s="3812"/>
      <c r="F211" s="3812"/>
      <c r="G211" s="3812"/>
      <c r="H211" s="3812"/>
      <c r="I211" s="3812"/>
      <c r="J211" s="3812"/>
      <c r="K211" s="3812"/>
      <c r="L211" s="3812"/>
      <c r="M211" s="3812"/>
      <c r="N211" s="3812"/>
      <c r="O211" s="3812"/>
      <c r="P211" s="3812"/>
      <c r="Q211" s="3812"/>
      <c r="R211" s="3812"/>
      <c r="S211" s="3812"/>
      <c r="T211" s="3812"/>
      <c r="U211" s="3812"/>
      <c r="V211" s="3812"/>
      <c r="W211" s="3812"/>
      <c r="X211" s="3812"/>
      <c r="Y211" s="3812"/>
      <c r="Z211" s="3812"/>
      <c r="AA211" s="3812"/>
      <c r="AB211" s="3614"/>
      <c r="AC211" s="3614"/>
      <c r="AD211" s="3614"/>
      <c r="AE211" s="3614"/>
      <c r="AF211" s="3614"/>
      <c r="AG211" s="3614"/>
      <c r="AH211" s="3614"/>
      <c r="AI211" s="3614"/>
      <c r="AJ211" s="3614"/>
      <c r="AK211" s="3614"/>
      <c r="AL211" s="3614"/>
      <c r="AM211" s="3614"/>
      <c r="AN211" s="3614"/>
      <c r="AO211" s="3813"/>
      <c r="AP211" s="3814"/>
      <c r="AQ211" s="3814"/>
      <c r="AR211" s="3814"/>
      <c r="AS211" s="3814"/>
      <c r="AT211" s="3814"/>
      <c r="AU211" s="3814"/>
      <c r="AV211" s="3814"/>
    </row>
    <row r="212" spans="1:48">
      <c r="A212" s="3815"/>
      <c r="B212" s="3815"/>
      <c r="C212" s="3815"/>
      <c r="D212" s="3815"/>
      <c r="E212" s="3815"/>
      <c r="F212" s="3815"/>
      <c r="G212" s="3815"/>
      <c r="H212" s="3815"/>
      <c r="I212" s="3815"/>
      <c r="J212" s="3815"/>
      <c r="K212" s="3815"/>
      <c r="L212" s="3815"/>
      <c r="M212" s="3815"/>
      <c r="N212" s="3815"/>
      <c r="O212" s="3815"/>
      <c r="P212" s="3815"/>
      <c r="Q212" s="3815"/>
      <c r="R212" s="3815"/>
      <c r="S212" s="3815"/>
      <c r="T212" s="3815"/>
      <c r="U212" s="3815"/>
      <c r="V212" s="3815"/>
      <c r="W212" s="3815"/>
      <c r="X212" s="3815"/>
      <c r="Y212" s="3815"/>
      <c r="Z212" s="3815"/>
      <c r="AA212" s="3815"/>
      <c r="AB212" s="3760"/>
      <c r="AC212" s="3760"/>
      <c r="AD212" s="3760"/>
      <c r="AE212" s="3760"/>
      <c r="AF212" s="3760"/>
      <c r="AG212" s="3760"/>
      <c r="AH212" s="3760"/>
      <c r="AI212" s="3760"/>
      <c r="AJ212" s="3760"/>
      <c r="AK212" s="3760"/>
      <c r="AL212" s="3760"/>
      <c r="AM212" s="3760"/>
      <c r="AN212" s="3760"/>
      <c r="AO212" s="3814"/>
      <c r="AP212" s="3814"/>
      <c r="AQ212" s="3814"/>
      <c r="AR212" s="3814"/>
      <c r="AS212" s="3814"/>
      <c r="AT212" s="3814"/>
      <c r="AU212" s="3814"/>
      <c r="AV212" s="3814"/>
    </row>
    <row r="213" spans="1:48">
      <c r="A213" s="3815"/>
      <c r="B213" s="3815"/>
      <c r="C213" s="3815"/>
      <c r="D213" s="3815"/>
      <c r="E213" s="3815"/>
      <c r="F213" s="3815"/>
      <c r="G213" s="3815"/>
      <c r="H213" s="3815"/>
      <c r="I213" s="3815"/>
      <c r="J213" s="3815"/>
      <c r="K213" s="3815"/>
      <c r="L213" s="3815"/>
      <c r="M213" s="3815"/>
      <c r="N213" s="3815"/>
      <c r="O213" s="3815"/>
      <c r="P213" s="3815"/>
      <c r="Q213" s="3815"/>
      <c r="R213" s="3815"/>
      <c r="S213" s="3815"/>
      <c r="T213" s="3815"/>
      <c r="U213" s="3815"/>
      <c r="V213" s="3815"/>
      <c r="W213" s="3815"/>
      <c r="X213" s="3815"/>
      <c r="Y213" s="3815"/>
      <c r="Z213" s="3815"/>
      <c r="AA213" s="3815"/>
      <c r="AB213" s="3760"/>
      <c r="AC213" s="3760"/>
      <c r="AD213" s="3760"/>
      <c r="AE213" s="3760"/>
      <c r="AF213" s="3760"/>
      <c r="AG213" s="3760"/>
      <c r="AH213" s="3760"/>
      <c r="AI213" s="3760"/>
      <c r="AJ213" s="3760"/>
      <c r="AK213" s="3760"/>
      <c r="AL213" s="3760"/>
      <c r="AM213" s="3760"/>
      <c r="AN213" s="3760"/>
      <c r="AO213" s="3814"/>
      <c r="AP213" s="3814"/>
      <c r="AQ213" s="3814"/>
      <c r="AR213" s="3814"/>
      <c r="AS213" s="3814"/>
      <c r="AT213" s="3814"/>
      <c r="AU213" s="3814"/>
      <c r="AV213" s="3814"/>
    </row>
    <row r="214" spans="1:48">
      <c r="A214" s="3505" t="str">
        <f ca="1">"Tabela 8  PODACI ZA PRETHODNU GODINU - "&amp;PoslGod-1</f>
        <v>Tabela 8  PODACI ZA PRETHODNU GODINU - 2024</v>
      </c>
      <c r="B214" s="3505"/>
      <c r="C214" s="3505"/>
      <c r="D214" s="3505"/>
      <c r="E214" s="3505"/>
      <c r="F214" s="3505"/>
      <c r="G214" s="3505"/>
      <c r="H214" s="3505"/>
      <c r="I214" s="3505"/>
      <c r="J214" s="3505"/>
      <c r="K214" s="3505"/>
      <c r="L214" s="3505"/>
      <c r="M214" s="3505"/>
      <c r="N214" s="3505"/>
      <c r="O214" s="3505"/>
      <c r="P214" s="3505"/>
      <c r="Q214" s="3505"/>
      <c r="R214" s="3505"/>
      <c r="S214" s="3505"/>
      <c r="T214" s="3505"/>
      <c r="U214" s="3505"/>
      <c r="V214" s="3505"/>
      <c r="W214" s="3505"/>
      <c r="X214" s="3505"/>
      <c r="Y214" s="3505"/>
      <c r="Z214" s="3505"/>
      <c r="AA214" s="3505"/>
      <c r="AB214" s="3505"/>
      <c r="AC214" s="3505"/>
      <c r="AD214" s="3505"/>
      <c r="AE214" s="3505"/>
      <c r="AF214" s="3505"/>
      <c r="AG214" s="3505"/>
      <c r="AH214" s="3505"/>
      <c r="AI214" s="3505"/>
      <c r="AJ214" s="3505"/>
      <c r="AK214" s="3505"/>
      <c r="AL214" s="3505"/>
      <c r="AM214" s="3505"/>
      <c r="AN214" s="3505"/>
      <c r="AO214" s="3505"/>
      <c r="AP214" s="3460"/>
      <c r="AQ214" s="3460"/>
      <c r="AR214" s="3460"/>
      <c r="AS214" s="3460"/>
      <c r="AT214" s="3460"/>
      <c r="AU214" s="3460"/>
      <c r="AV214" s="3460"/>
    </row>
    <row r="215" spans="1:48">
      <c r="A215" s="3719" t="s">
        <v>6096</v>
      </c>
      <c r="B215" s="3719"/>
      <c r="C215" s="3507" t="s">
        <v>6097</v>
      </c>
      <c r="D215" s="3507"/>
      <c r="E215" s="3507"/>
      <c r="F215" s="3507"/>
      <c r="G215" s="3507"/>
      <c r="H215" s="3507"/>
      <c r="I215" s="3507"/>
      <c r="J215" s="3507"/>
      <c r="K215" s="3507"/>
      <c r="L215" s="3507"/>
      <c r="M215" s="3507"/>
      <c r="N215" s="3507"/>
      <c r="O215" s="3507"/>
      <c r="P215" s="3507"/>
      <c r="Q215" s="3507"/>
      <c r="R215" s="3507"/>
      <c r="S215" s="3507"/>
      <c r="T215" s="3507"/>
      <c r="U215" s="3507"/>
      <c r="V215" s="3507"/>
      <c r="W215" s="3507"/>
      <c r="X215" s="3507"/>
      <c r="Y215" s="3507"/>
      <c r="Z215" s="3507"/>
      <c r="AA215" s="3507"/>
      <c r="AB215" s="3798" t="s">
        <v>6098</v>
      </c>
      <c r="AC215" s="3799"/>
      <c r="AD215" s="3799"/>
      <c r="AE215" s="3799"/>
      <c r="AF215" s="3799"/>
      <c r="AG215" s="3799"/>
      <c r="AH215" s="3800"/>
      <c r="AI215" s="3510" t="s">
        <v>6322</v>
      </c>
      <c r="AJ215" s="3511"/>
      <c r="AK215" s="3511"/>
      <c r="AL215" s="3511"/>
      <c r="AM215" s="3511"/>
      <c r="AN215" s="3511"/>
      <c r="AO215" s="3511"/>
      <c r="AP215" s="3511"/>
      <c r="AQ215" s="3511"/>
      <c r="AR215" s="3511"/>
      <c r="AS215" s="3511"/>
      <c r="AT215" s="3511"/>
      <c r="AU215" s="3511"/>
      <c r="AV215" s="3512"/>
    </row>
    <row r="216" spans="1:48">
      <c r="A216" s="3739" t="s">
        <v>5336</v>
      </c>
      <c r="B216" s="3739" t="s">
        <v>3953</v>
      </c>
      <c r="C216" s="3645" t="s">
        <v>6323</v>
      </c>
      <c r="D216" s="3646"/>
      <c r="E216" s="3646"/>
      <c r="F216" s="3646"/>
      <c r="G216" s="3646"/>
      <c r="H216" s="3646"/>
      <c r="I216" s="3646"/>
      <c r="J216" s="3646"/>
      <c r="K216" s="3646"/>
      <c r="L216" s="3646"/>
      <c r="M216" s="3646"/>
      <c r="N216" s="3646"/>
      <c r="O216" s="3646"/>
      <c r="P216" s="3646"/>
      <c r="Q216" s="3646"/>
      <c r="R216" s="3646"/>
      <c r="S216" s="3646"/>
      <c r="T216" s="3646"/>
      <c r="U216" s="3646"/>
      <c r="V216" s="3646"/>
      <c r="W216" s="3646"/>
      <c r="X216" s="3646"/>
      <c r="Y216" s="3646"/>
      <c r="Z216" s="3646"/>
      <c r="AA216" s="3647"/>
      <c r="AB216" s="3802" t="s">
        <v>6324</v>
      </c>
      <c r="AC216" s="3803"/>
      <c r="AD216" s="3803"/>
      <c r="AE216" s="3803"/>
      <c r="AF216" s="3803"/>
      <c r="AG216" s="3803"/>
      <c r="AH216" s="3804"/>
      <c r="AI216" s="3816">
        <f>P.Podaci!Y44</f>
        <v>6</v>
      </c>
      <c r="AJ216" s="3817"/>
      <c r="AK216" s="3817"/>
      <c r="AL216" s="3817"/>
      <c r="AM216" s="3817"/>
      <c r="AN216" s="3817"/>
      <c r="AO216" s="3817"/>
      <c r="AP216" s="3817"/>
      <c r="AQ216" s="3817"/>
      <c r="AR216" s="3817"/>
      <c r="AS216" s="3817"/>
      <c r="AT216" s="3817"/>
      <c r="AU216" s="3817"/>
      <c r="AV216" s="3818"/>
    </row>
    <row r="217" spans="1:48">
      <c r="A217" s="3739" t="s">
        <v>5428</v>
      </c>
      <c r="B217" s="3739" t="s">
        <v>3953</v>
      </c>
      <c r="C217" s="3645" t="s">
        <v>6325</v>
      </c>
      <c r="D217" s="3646"/>
      <c r="E217" s="3646"/>
      <c r="F217" s="3646"/>
      <c r="G217" s="3646"/>
      <c r="H217" s="3646"/>
      <c r="I217" s="3646"/>
      <c r="J217" s="3646"/>
      <c r="K217" s="3646"/>
      <c r="L217" s="3646"/>
      <c r="M217" s="3646"/>
      <c r="N217" s="3646"/>
      <c r="O217" s="3646"/>
      <c r="P217" s="3646"/>
      <c r="Q217" s="3646"/>
      <c r="R217" s="3646"/>
      <c r="S217" s="3646"/>
      <c r="T217" s="3646"/>
      <c r="U217" s="3646"/>
      <c r="V217" s="3646"/>
      <c r="W217" s="3646"/>
      <c r="X217" s="3646"/>
      <c r="Y217" s="3646"/>
      <c r="Z217" s="3646"/>
      <c r="AA217" s="3647"/>
      <c r="AB217" s="3802" t="s">
        <v>6326</v>
      </c>
      <c r="AC217" s="3803"/>
      <c r="AD217" s="3803"/>
      <c r="AE217" s="3803"/>
      <c r="AF217" s="3803"/>
      <c r="AG217" s="3803"/>
      <c r="AH217" s="3804"/>
      <c r="AI217" s="3819">
        <f>B_Uspjeha!AP21</f>
        <v>308500</v>
      </c>
      <c r="AJ217" s="3820"/>
      <c r="AK217" s="3820"/>
      <c r="AL217" s="3820"/>
      <c r="AM217" s="3820"/>
      <c r="AN217" s="3820"/>
      <c r="AO217" s="3820"/>
      <c r="AP217" s="3820"/>
      <c r="AQ217" s="3820"/>
      <c r="AR217" s="3820"/>
      <c r="AS217" s="3820"/>
      <c r="AT217" s="3820"/>
      <c r="AU217" s="3820"/>
      <c r="AV217" s="3821"/>
    </row>
    <row r="218" spans="1:48">
      <c r="A218" s="3822"/>
      <c r="B218" s="3822"/>
      <c r="C218" s="3823"/>
      <c r="D218" s="3823"/>
      <c r="E218" s="3823"/>
      <c r="F218" s="3823"/>
      <c r="G218" s="3823"/>
      <c r="H218" s="3823"/>
      <c r="I218" s="3823"/>
      <c r="J218" s="3823"/>
      <c r="K218" s="3823"/>
      <c r="L218" s="3823"/>
      <c r="M218" s="3823"/>
      <c r="N218" s="3823"/>
      <c r="O218" s="3823"/>
      <c r="P218" s="3823"/>
      <c r="Q218" s="3823"/>
      <c r="R218" s="3823"/>
      <c r="S218" s="3823"/>
      <c r="T218" s="3823"/>
      <c r="U218" s="3823"/>
      <c r="V218" s="3823"/>
      <c r="W218" s="3823"/>
      <c r="X218" s="3823"/>
      <c r="Y218" s="3823"/>
      <c r="Z218" s="3823"/>
      <c r="AA218" s="3823"/>
      <c r="AB218" s="3760"/>
      <c r="AC218" s="3760"/>
      <c r="AD218" s="3760"/>
      <c r="AE218" s="3760"/>
      <c r="AF218" s="3760"/>
      <c r="AG218" s="3760"/>
      <c r="AH218" s="3760"/>
      <c r="AI218" s="3824"/>
      <c r="AJ218" s="3824"/>
      <c r="AK218" s="3824"/>
      <c r="AL218" s="3824"/>
      <c r="AM218" s="3824"/>
      <c r="AN218" s="3824"/>
      <c r="AO218" s="3824"/>
      <c r="AP218" s="3824"/>
      <c r="AQ218" s="3824"/>
      <c r="AR218" s="3824"/>
      <c r="AS218" s="3824"/>
      <c r="AT218" s="3824"/>
      <c r="AU218" s="3824"/>
      <c r="AV218" s="3824"/>
    </row>
    <row r="219" spans="1:48">
      <c r="A219" s="3814"/>
      <c r="B219" s="3814"/>
      <c r="C219" s="3814"/>
      <c r="D219" s="3825"/>
      <c r="E219" s="3825"/>
      <c r="F219" s="3825"/>
      <c r="G219" s="3825"/>
      <c r="H219" s="3825"/>
      <c r="I219" s="3825"/>
      <c r="J219" s="3825"/>
      <c r="K219" s="3825"/>
      <c r="L219" s="3825"/>
      <c r="M219" s="3825"/>
      <c r="N219" s="3825"/>
      <c r="O219" s="3825"/>
      <c r="P219" s="3825"/>
      <c r="Q219" s="3825"/>
      <c r="R219" s="3825"/>
      <c r="S219" s="3825"/>
      <c r="T219" s="3825"/>
      <c r="U219" s="3825"/>
      <c r="V219" s="3825"/>
      <c r="W219" s="3825"/>
      <c r="X219" s="3825"/>
      <c r="Y219" s="3825"/>
      <c r="Z219" s="3825"/>
      <c r="AA219" s="3825"/>
      <c r="AB219" s="3825"/>
      <c r="AC219" s="3825"/>
      <c r="AD219" s="3825"/>
      <c r="AE219" s="3825"/>
      <c r="AF219" s="3825"/>
      <c r="AG219" s="3825"/>
      <c r="AH219" s="3825"/>
      <c r="AI219" s="3825"/>
      <c r="AJ219" s="3825"/>
      <c r="AK219" s="3825"/>
      <c r="AL219" s="3825"/>
      <c r="AM219" s="3825"/>
      <c r="AN219" s="3825"/>
      <c r="AO219" s="3825"/>
      <c r="AP219" s="3826"/>
      <c r="AQ219" s="3826"/>
      <c r="AR219" s="3826"/>
      <c r="AS219" s="3826"/>
      <c r="AT219" s="3826"/>
      <c r="AU219" s="3826"/>
      <c r="AV219" s="3826"/>
    </row>
    <row r="220" spans="1:48">
      <c r="A220" s="3827" t="s">
        <v>6327</v>
      </c>
      <c r="B220" s="3828"/>
      <c r="C220" s="3828"/>
      <c r="D220" s="3828"/>
      <c r="E220" s="3828"/>
      <c r="F220" s="3828"/>
      <c r="G220" s="3828"/>
      <c r="H220" s="3828"/>
      <c r="I220" s="3828"/>
      <c r="J220" s="3828"/>
      <c r="K220" s="3828"/>
      <c r="L220" s="3828"/>
      <c r="M220" s="3828"/>
      <c r="N220" s="3828"/>
      <c r="O220" s="3828"/>
      <c r="P220" s="3828"/>
      <c r="Q220" s="3828"/>
      <c r="R220" s="3828"/>
      <c r="S220" s="3828"/>
      <c r="T220" s="3828"/>
      <c r="U220" s="3828"/>
      <c r="V220" s="3828"/>
      <c r="W220" s="3460"/>
      <c r="X220" s="3460"/>
      <c r="Y220" s="3460"/>
      <c r="Z220" s="3460"/>
      <c r="AA220" s="3460"/>
      <c r="AB220" s="3460"/>
      <c r="AC220" s="3460"/>
      <c r="AD220" s="3460"/>
      <c r="AE220" s="3460"/>
      <c r="AF220" s="3460"/>
      <c r="AG220" s="3460"/>
      <c r="AH220" s="3460"/>
      <c r="AI220" s="3460"/>
      <c r="AJ220" s="3460"/>
      <c r="AK220" s="3460"/>
      <c r="AL220" s="3460"/>
      <c r="AM220" s="3460"/>
      <c r="AN220" s="3460"/>
      <c r="AO220" s="3460"/>
      <c r="AP220" s="3460"/>
      <c r="AQ220" s="3460"/>
      <c r="AR220" s="3460"/>
      <c r="AS220" s="3460"/>
      <c r="AT220" s="3460"/>
      <c r="AU220" s="3460"/>
      <c r="AV220" s="3460"/>
    </row>
    <row r="221" spans="1:48">
      <c r="A221" s="3827"/>
      <c r="B221" s="3828"/>
      <c r="C221" s="3828"/>
      <c r="D221" s="3828"/>
      <c r="E221" s="3828"/>
      <c r="F221" s="3828"/>
      <c r="G221" s="3828"/>
      <c r="H221" s="3828"/>
      <c r="I221" s="3828"/>
      <c r="J221" s="3828"/>
      <c r="K221" s="3828"/>
      <c r="L221" s="3828"/>
      <c r="M221" s="3828"/>
      <c r="N221" s="3828"/>
      <c r="O221" s="3828"/>
      <c r="P221" s="3828"/>
      <c r="Q221" s="3828"/>
      <c r="R221" s="3828"/>
      <c r="S221" s="3828"/>
      <c r="T221" s="3828"/>
      <c r="U221" s="3828"/>
      <c r="V221" s="3828"/>
      <c r="W221" s="3460"/>
      <c r="X221" s="3460"/>
      <c r="Y221" s="3460"/>
      <c r="Z221" s="3460"/>
      <c r="AA221" s="3460"/>
      <c r="AB221" s="3460"/>
      <c r="AC221" s="3460"/>
      <c r="AD221" s="3460"/>
      <c r="AE221" s="3460"/>
      <c r="AF221" s="3460"/>
      <c r="AG221" s="3460"/>
      <c r="AH221" s="3460"/>
      <c r="AI221" s="3460"/>
      <c r="AJ221" s="3460"/>
      <c r="AK221" s="3460"/>
      <c r="AL221" s="3460"/>
      <c r="AM221" s="3460"/>
      <c r="AN221" s="3460"/>
      <c r="AO221" s="3460"/>
      <c r="AP221" s="3460"/>
      <c r="AQ221" s="3460"/>
      <c r="AR221" s="3460"/>
      <c r="AS221" s="3460"/>
      <c r="AT221" s="3460"/>
      <c r="AU221" s="3460"/>
      <c r="AV221" s="3460"/>
    </row>
    <row r="222" spans="1:48">
      <c r="A222" s="2292" t="s">
        <v>6328</v>
      </c>
      <c r="B222" s="2292"/>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3829">
        <v>0</v>
      </c>
      <c r="AQ222" s="3829">
        <v>0</v>
      </c>
      <c r="AR222" s="3830" t="s">
        <v>6329</v>
      </c>
      <c r="AS222" s="3831"/>
      <c r="AT222" s="3829">
        <v>3</v>
      </c>
      <c r="AU222" s="3829">
        <v>0</v>
      </c>
      <c r="AV222" s="3460"/>
    </row>
    <row r="223" spans="1:48">
      <c r="A223" s="2292"/>
      <c r="B223" s="2292"/>
      <c r="C223" s="2292"/>
      <c r="D223" s="2292"/>
      <c r="E223" s="2292"/>
      <c r="F223" s="2292"/>
      <c r="G223" s="2292"/>
      <c r="H223" s="2292"/>
      <c r="I223" s="2292"/>
      <c r="J223" s="2292"/>
      <c r="K223" s="2292"/>
      <c r="L223" s="2292"/>
      <c r="M223" s="2292"/>
      <c r="N223" s="2292"/>
      <c r="O223" s="2292"/>
      <c r="P223" s="2292"/>
      <c r="Q223" s="2292"/>
      <c r="R223" s="2292"/>
      <c r="S223" s="2292"/>
      <c r="T223" s="2292"/>
      <c r="U223" s="2292"/>
      <c r="V223" s="2292"/>
      <c r="W223" s="2292"/>
      <c r="X223" s="2292"/>
      <c r="Y223" s="2292"/>
      <c r="Z223" s="2292"/>
      <c r="AA223" s="2292"/>
      <c r="AB223" s="2292"/>
      <c r="AC223" s="2292"/>
      <c r="AD223" s="2292"/>
      <c r="AE223" s="2292"/>
      <c r="AF223" s="2292"/>
      <c r="AG223" s="2292"/>
      <c r="AH223" s="2292"/>
      <c r="AI223" s="2292"/>
      <c r="AJ223" s="2292"/>
      <c r="AK223" s="2292"/>
      <c r="AL223" s="2292"/>
      <c r="AM223" s="2292"/>
      <c r="AN223" s="2292"/>
      <c r="AO223" s="2292"/>
      <c r="AP223" s="3761" t="s">
        <v>6330</v>
      </c>
      <c r="AQ223" s="2292"/>
      <c r="AR223" s="2292"/>
      <c r="AS223" s="2292"/>
      <c r="AT223" s="3832" t="s">
        <v>6331</v>
      </c>
      <c r="AU223" s="2292"/>
      <c r="AV223" s="2292"/>
    </row>
    <row r="224" spans="1:48">
      <c r="A224" s="2292" t="s">
        <v>6332</v>
      </c>
      <c r="B224" s="2292"/>
      <c r="C224" s="2292"/>
      <c r="D224" s="2292"/>
      <c r="E224" s="2292"/>
      <c r="F224" s="2292"/>
      <c r="G224" s="2292"/>
      <c r="H224" s="2292"/>
      <c r="I224" s="2292"/>
      <c r="J224" s="2292"/>
      <c r="K224" s="2292"/>
      <c r="L224" s="2292"/>
      <c r="M224" s="2292"/>
      <c r="N224" s="2292"/>
      <c r="O224" s="2292"/>
      <c r="P224" s="2292"/>
      <c r="Q224" s="2292"/>
      <c r="R224" s="3832" t="s">
        <v>6333</v>
      </c>
      <c r="S224" s="2292"/>
      <c r="T224" s="3833"/>
      <c r="U224" s="3834"/>
      <c r="V224" s="2292"/>
      <c r="W224" s="3835" t="str">
        <f>UnosPod!F14</f>
        <v>info@lilium_dzu.ba</v>
      </c>
      <c r="X224" s="3835"/>
      <c r="Y224" s="3835"/>
      <c r="Z224" s="3835"/>
      <c r="AA224" s="3835"/>
      <c r="AB224" s="3835"/>
      <c r="AC224" s="3835"/>
      <c r="AD224" s="3835"/>
      <c r="AE224" s="3835"/>
      <c r="AF224" s="3835"/>
      <c r="AG224" s="3835"/>
      <c r="AH224" s="3835"/>
      <c r="AI224" s="2292"/>
      <c r="AJ224" s="3832" t="s">
        <v>6334</v>
      </c>
      <c r="AK224" s="2292"/>
      <c r="AL224" s="3833"/>
      <c r="AM224" s="3834"/>
      <c r="AN224" s="2292"/>
      <c r="AO224" s="2292"/>
      <c r="AP224" s="2292"/>
      <c r="AQ224" s="2292"/>
      <c r="AR224" s="2292"/>
      <c r="AS224" s="2292"/>
      <c r="AT224" s="2292"/>
      <c r="AU224" s="2292"/>
      <c r="AV224" s="2292"/>
    </row>
    <row r="225" spans="1:49">
      <c r="A225" s="2292"/>
      <c r="B225" s="2292"/>
      <c r="C225" s="2292"/>
      <c r="D225" s="2292"/>
      <c r="E225" s="2292"/>
      <c r="F225" s="2292"/>
      <c r="G225" s="2292"/>
      <c r="H225" s="2292"/>
      <c r="I225" s="2292"/>
      <c r="J225" s="2292"/>
      <c r="K225" s="2292"/>
      <c r="L225" s="2292"/>
      <c r="M225" s="2292"/>
      <c r="N225" s="2292"/>
      <c r="O225" s="2292"/>
      <c r="P225" s="2292"/>
      <c r="Q225" s="2292"/>
      <c r="R225" s="2292"/>
      <c r="S225" s="2292"/>
      <c r="T225" s="2292"/>
      <c r="U225" s="2292"/>
      <c r="V225" s="2292"/>
      <c r="W225" s="3836" t="s">
        <v>6335</v>
      </c>
      <c r="X225" s="3836"/>
      <c r="Y225" s="3836"/>
      <c r="Z225" s="3836"/>
      <c r="AA225" s="3836"/>
      <c r="AB225" s="3836"/>
      <c r="AC225" s="3836"/>
      <c r="AD225" s="3836"/>
      <c r="AE225" s="3836"/>
      <c r="AF225" s="3836"/>
      <c r="AG225" s="3836"/>
      <c r="AH225" s="3836"/>
      <c r="AI225" s="2292"/>
      <c r="AJ225" s="2292"/>
      <c r="AK225" s="2292"/>
      <c r="AL225" s="2292"/>
      <c r="AM225" s="2292"/>
      <c r="AN225" s="2292"/>
      <c r="AO225" s="2292"/>
      <c r="AP225" s="3833"/>
      <c r="AQ225" s="3833"/>
      <c r="AR225" s="3833"/>
      <c r="AS225" s="3833"/>
      <c r="AT225" s="3833"/>
      <c r="AU225" s="3833"/>
      <c r="AV225" s="2292"/>
    </row>
    <row r="226" spans="1:49">
      <c r="A226" s="2292" t="s">
        <v>6336</v>
      </c>
      <c r="B226" s="2292"/>
      <c r="C226" s="2292"/>
      <c r="D226" s="2292"/>
      <c r="E226" s="2292"/>
      <c r="F226" s="2292"/>
      <c r="G226" s="2292"/>
      <c r="H226" s="2292"/>
      <c r="I226" s="2292"/>
      <c r="J226" s="2292"/>
      <c r="K226" s="2292"/>
      <c r="L226" s="2292"/>
      <c r="M226" s="2292"/>
      <c r="N226" s="2292"/>
      <c r="O226" s="2292"/>
      <c r="P226" s="2292"/>
      <c r="Q226" s="2292"/>
      <c r="R226" s="3832" t="s">
        <v>6333</v>
      </c>
      <c r="S226" s="2292"/>
      <c r="T226" s="3833"/>
      <c r="U226" s="3834"/>
      <c r="V226" s="2292"/>
      <c r="W226" s="3835" t="str">
        <f>UnosPod!F16</f>
        <v>www.lilium-dzu.ba</v>
      </c>
      <c r="X226" s="3835"/>
      <c r="Y226" s="3835"/>
      <c r="Z226" s="3835"/>
      <c r="AA226" s="3835"/>
      <c r="AB226" s="3835"/>
      <c r="AC226" s="3835"/>
      <c r="AD226" s="3835"/>
      <c r="AE226" s="3835"/>
      <c r="AF226" s="3835"/>
      <c r="AG226" s="3835"/>
      <c r="AH226" s="3835"/>
      <c r="AI226" s="2292"/>
      <c r="AJ226" s="3832" t="s">
        <v>6334</v>
      </c>
      <c r="AK226" s="2292"/>
      <c r="AL226" s="3833"/>
      <c r="AM226" s="3834"/>
      <c r="AN226" s="2292"/>
      <c r="AO226" s="2292"/>
      <c r="AP226" s="2292"/>
      <c r="AQ226" s="2292"/>
      <c r="AR226" s="2292"/>
      <c r="AS226" s="2292"/>
      <c r="AT226" s="2292"/>
      <c r="AU226" s="2292"/>
      <c r="AV226" s="3833"/>
    </row>
    <row r="227" spans="1:49">
      <c r="A227" s="2292"/>
      <c r="B227" s="2292"/>
      <c r="C227" s="2292"/>
      <c r="D227" s="2292"/>
      <c r="E227" s="2292"/>
      <c r="F227" s="2292"/>
      <c r="G227" s="2292"/>
      <c r="H227" s="2292"/>
      <c r="I227" s="2292"/>
      <c r="J227" s="2292"/>
      <c r="K227" s="2292"/>
      <c r="L227" s="2292"/>
      <c r="M227" s="2292"/>
      <c r="N227" s="2292"/>
      <c r="O227" s="2292"/>
      <c r="P227" s="2292"/>
      <c r="Q227" s="2292"/>
      <c r="R227" s="2292"/>
      <c r="S227" s="2292"/>
      <c r="T227" s="2292"/>
      <c r="U227" s="2292"/>
      <c r="V227" s="2292"/>
      <c r="W227" s="3836" t="s">
        <v>6335</v>
      </c>
      <c r="X227" s="3836"/>
      <c r="Y227" s="3836"/>
      <c r="Z227" s="3836"/>
      <c r="AA227" s="3836"/>
      <c r="AB227" s="3836"/>
      <c r="AC227" s="3836"/>
      <c r="AD227" s="3836"/>
      <c r="AE227" s="3836"/>
      <c r="AF227" s="3836"/>
      <c r="AG227" s="3836"/>
      <c r="AH227" s="3836"/>
      <c r="AI227" s="2292"/>
      <c r="AJ227" s="2292"/>
      <c r="AK227" s="2292"/>
      <c r="AL227" s="2292"/>
      <c r="AM227" s="2292"/>
      <c r="AN227" s="2292"/>
      <c r="AO227" s="2292"/>
      <c r="AP227" s="3833"/>
      <c r="AQ227" s="3833"/>
      <c r="AR227" s="3833"/>
      <c r="AS227" s="3833"/>
      <c r="AT227" s="3833"/>
      <c r="AU227" s="3833"/>
      <c r="AV227" s="2292"/>
    </row>
    <row r="228" spans="1:49">
      <c r="A228" s="2292"/>
      <c r="B228" s="2292"/>
      <c r="C228" s="2292"/>
      <c r="D228" s="2292"/>
      <c r="E228" s="2292"/>
      <c r="F228" s="2292"/>
      <c r="G228" s="2292"/>
      <c r="H228" s="2292"/>
      <c r="I228" s="2292"/>
      <c r="J228" s="2292"/>
      <c r="K228" s="2292"/>
      <c r="L228" s="2292"/>
      <c r="M228" s="2292"/>
      <c r="N228" s="2292"/>
      <c r="O228" s="2292"/>
      <c r="P228" s="2292"/>
      <c r="Q228" s="2292"/>
      <c r="R228" s="2292"/>
      <c r="S228" s="2292"/>
      <c r="T228" s="2292"/>
      <c r="U228" s="2292"/>
      <c r="V228" s="2292"/>
      <c r="W228" s="3837"/>
      <c r="X228" s="3837"/>
      <c r="Y228" s="3837"/>
      <c r="Z228" s="3837"/>
      <c r="AA228" s="3837"/>
      <c r="AB228" s="3837"/>
      <c r="AC228" s="3837"/>
      <c r="AD228" s="3837"/>
      <c r="AE228" s="3837"/>
      <c r="AF228" s="3837"/>
      <c r="AG228" s="3837"/>
      <c r="AH228" s="3837"/>
      <c r="AI228" s="2292"/>
      <c r="AJ228" s="2292"/>
      <c r="AK228" s="2292"/>
      <c r="AL228" s="2292"/>
      <c r="AM228" s="2292"/>
      <c r="AN228" s="2292"/>
      <c r="AO228" s="2292"/>
      <c r="AP228" s="3833"/>
      <c r="AQ228" s="3833"/>
      <c r="AR228" s="3833"/>
      <c r="AS228" s="3833"/>
      <c r="AT228" s="3833"/>
      <c r="AU228" s="3833"/>
      <c r="AV228" s="3833"/>
    </row>
    <row r="229" spans="1:49">
      <c r="A229" s="2292" t="s">
        <v>6337</v>
      </c>
      <c r="B229" s="2292"/>
      <c r="C229" s="2292"/>
      <c r="D229" s="2292"/>
      <c r="E229" s="2292"/>
      <c r="F229" s="2292"/>
      <c r="G229" s="2292"/>
      <c r="H229" s="2292"/>
      <c r="I229" s="2292"/>
      <c r="J229" s="2292"/>
      <c r="K229" s="2292"/>
      <c r="L229" s="2292"/>
      <c r="M229" s="2292"/>
      <c r="N229" s="2292"/>
      <c r="O229" s="2292"/>
      <c r="P229" s="2292"/>
      <c r="Q229" s="2292"/>
      <c r="R229" s="2292"/>
      <c r="S229" s="2292"/>
      <c r="T229" s="2292"/>
      <c r="U229" s="2292"/>
      <c r="V229" s="2292"/>
      <c r="W229" s="3837"/>
      <c r="X229" s="3837"/>
      <c r="Y229" s="3837"/>
      <c r="Z229" s="3837"/>
      <c r="AA229" s="3837"/>
      <c r="AB229" s="3837"/>
      <c r="AC229" s="3832"/>
      <c r="AD229" s="3832" t="s">
        <v>6333</v>
      </c>
      <c r="AE229" s="2292"/>
      <c r="AF229" s="3833"/>
      <c r="AG229" s="3834"/>
      <c r="AH229" s="3837"/>
      <c r="AI229" s="2292"/>
      <c r="AJ229" s="3832" t="s">
        <v>6334</v>
      </c>
      <c r="AK229" s="2292"/>
      <c r="AL229" s="3833"/>
      <c r="AM229" s="3829" t="s">
        <v>6338</v>
      </c>
      <c r="AN229" s="2292"/>
      <c r="AO229" s="2292"/>
      <c r="AP229" s="3833"/>
      <c r="AQ229" s="3833"/>
      <c r="AR229" s="3833"/>
      <c r="AS229" s="3833"/>
      <c r="AT229" s="3833"/>
      <c r="AU229" s="3833"/>
      <c r="AV229" s="3833"/>
    </row>
    <row r="230" spans="1:49">
      <c r="A230" s="2292"/>
      <c r="B230" s="2292"/>
      <c r="C230" s="2292"/>
      <c r="D230" s="2292"/>
      <c r="E230" s="2292"/>
      <c r="F230" s="2292"/>
      <c r="G230" s="2292"/>
      <c r="H230" s="2292"/>
      <c r="I230" s="2292"/>
      <c r="J230" s="2292"/>
      <c r="K230" s="2292"/>
      <c r="L230" s="2292"/>
      <c r="M230" s="2292"/>
      <c r="N230" s="2292"/>
      <c r="O230" s="2292"/>
      <c r="P230" s="2292"/>
      <c r="Q230" s="2292"/>
      <c r="R230" s="2292"/>
      <c r="S230" s="2292"/>
      <c r="T230" s="2292"/>
      <c r="U230" s="2292"/>
      <c r="V230" s="2292"/>
      <c r="W230" s="3837"/>
      <c r="X230" s="3837"/>
      <c r="Y230" s="3837"/>
      <c r="Z230" s="3837"/>
      <c r="AA230" s="3837"/>
      <c r="AB230" s="3837"/>
      <c r="AC230" s="3832"/>
      <c r="AD230" s="3832"/>
      <c r="AE230" s="2292"/>
      <c r="AF230" s="3833"/>
      <c r="AG230" s="2292"/>
      <c r="AH230" s="3837"/>
      <c r="AI230" s="2292"/>
      <c r="AJ230" s="3832"/>
      <c r="AK230" s="2292"/>
      <c r="AL230" s="3833"/>
      <c r="AM230" s="2292"/>
      <c r="AN230" s="2292"/>
      <c r="AO230" s="2292"/>
      <c r="AP230" s="3833"/>
      <c r="AQ230" s="3833"/>
      <c r="AR230" s="3833"/>
      <c r="AS230" s="3833"/>
      <c r="AT230" s="3833"/>
      <c r="AU230" s="3833"/>
      <c r="AV230" s="3833"/>
    </row>
    <row r="231" spans="1:49">
      <c r="A231" s="2292"/>
      <c r="B231" s="2292"/>
      <c r="C231" s="2292"/>
      <c r="D231" s="2292"/>
      <c r="E231" s="2292"/>
      <c r="F231" s="2292"/>
      <c r="G231" s="2292"/>
      <c r="H231" s="2292"/>
      <c r="I231" s="2292"/>
      <c r="J231" s="2292"/>
      <c r="K231" s="2292"/>
      <c r="L231" s="2292"/>
      <c r="M231" s="2292"/>
      <c r="N231" s="3837"/>
      <c r="O231" s="3837"/>
      <c r="P231" s="3837"/>
      <c r="Q231" s="3837"/>
      <c r="R231" s="3837"/>
      <c r="S231" s="3837"/>
      <c r="T231" s="3837"/>
      <c r="U231" s="3837"/>
      <c r="V231" s="3837"/>
      <c r="W231" s="3837"/>
      <c r="X231" s="3837"/>
      <c r="Y231" s="3837"/>
      <c r="AS231" s="2292"/>
      <c r="AT231" s="2292"/>
      <c r="AU231" s="2292"/>
      <c r="AV231" s="2292"/>
    </row>
    <row r="232" spans="1:49">
      <c r="A232" s="3838" t="s">
        <v>6339</v>
      </c>
      <c r="B232" s="2292"/>
      <c r="C232" s="2292"/>
      <c r="D232" s="2292"/>
      <c r="E232" s="2292"/>
      <c r="F232" s="2292"/>
      <c r="G232" s="2292"/>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3839"/>
      <c r="AH232" s="3832"/>
      <c r="AI232" s="3832"/>
      <c r="AJ232" s="3832"/>
      <c r="AK232" s="2292"/>
      <c r="AL232" s="2292"/>
      <c r="AM232" s="2292"/>
      <c r="AN232" s="2292"/>
      <c r="AO232" s="2292"/>
      <c r="AP232" s="2292"/>
      <c r="AQ232" s="2292"/>
      <c r="AR232" s="2292"/>
      <c r="AS232" s="2292"/>
      <c r="AT232" s="2292"/>
      <c r="AU232" s="2292"/>
      <c r="AV232" s="2292"/>
    </row>
    <row r="233" spans="1:49">
      <c r="A233" s="3840" t="s">
        <v>6340</v>
      </c>
      <c r="B233" s="3460"/>
      <c r="C233" s="3460"/>
      <c r="D233" s="3460"/>
      <c r="E233" s="3460"/>
      <c r="F233" s="3460"/>
      <c r="G233" s="3460"/>
      <c r="H233" s="3460"/>
      <c r="I233" s="3460"/>
      <c r="J233" s="3460"/>
      <c r="K233" s="3460"/>
      <c r="L233" s="3460"/>
      <c r="M233" s="3460"/>
      <c r="N233" s="3460"/>
      <c r="O233" s="3460"/>
      <c r="P233" s="3460"/>
      <c r="Q233" s="3460"/>
      <c r="R233" s="3460"/>
      <c r="S233" s="3460"/>
      <c r="T233" s="3460"/>
      <c r="U233" s="3460"/>
      <c r="V233" s="3460"/>
      <c r="W233" s="3460"/>
      <c r="X233" s="3460"/>
      <c r="Y233" s="3460"/>
      <c r="Z233" s="3460"/>
      <c r="AA233" s="3460"/>
      <c r="AB233" s="3460"/>
      <c r="AC233" s="3460"/>
      <c r="AD233" s="3460"/>
      <c r="AE233" s="3460"/>
      <c r="AF233" s="3460"/>
      <c r="AG233" s="3841"/>
      <c r="AH233" s="2292"/>
      <c r="AI233" s="2292"/>
      <c r="AJ233" s="2292"/>
      <c r="AK233" s="2292"/>
      <c r="AL233" s="2292"/>
      <c r="AM233" s="2292"/>
      <c r="AN233" s="2292"/>
      <c r="AO233" s="2292"/>
      <c r="AP233" s="2292"/>
      <c r="AQ233" s="2292"/>
      <c r="AR233" s="2292"/>
      <c r="AS233" s="2292"/>
      <c r="AT233" s="2292"/>
      <c r="AU233" s="2292"/>
      <c r="AV233" s="2292"/>
      <c r="AW233" s="3460"/>
    </row>
    <row r="234" spans="1:49">
      <c r="A234" s="3842"/>
      <c r="B234" s="3445"/>
      <c r="C234" s="3445"/>
      <c r="D234" s="3445"/>
      <c r="E234" s="3445"/>
      <c r="F234" s="3445"/>
      <c r="G234" s="3445"/>
      <c r="H234" s="3445"/>
      <c r="I234" s="3445"/>
      <c r="J234" s="3445"/>
      <c r="K234" s="3445"/>
      <c r="L234" s="3445"/>
      <c r="M234" s="3445"/>
      <c r="N234" s="3445"/>
      <c r="O234" s="3445"/>
      <c r="P234" s="3445"/>
      <c r="Q234" s="3445"/>
      <c r="R234" s="3445"/>
      <c r="S234" s="3445"/>
      <c r="T234" s="3445"/>
      <c r="U234" s="3445"/>
      <c r="V234" s="3445"/>
      <c r="W234" s="3445"/>
      <c r="X234" s="3445"/>
      <c r="Y234" s="3445"/>
      <c r="Z234" s="3445"/>
      <c r="AA234" s="3445"/>
      <c r="AB234" s="3445"/>
      <c r="AC234" s="3445"/>
      <c r="AD234" s="3445"/>
      <c r="AE234" s="3445"/>
      <c r="AF234" s="3445"/>
      <c r="AG234" s="3839"/>
      <c r="AH234" s="3832"/>
      <c r="AI234" s="3832"/>
      <c r="AJ234" s="3832"/>
      <c r="AK234" s="2292"/>
      <c r="AL234" s="2292"/>
      <c r="AM234" s="2292"/>
      <c r="AN234" s="2292"/>
      <c r="AO234" s="2292"/>
      <c r="AP234" s="2292"/>
      <c r="AQ234" s="2292"/>
      <c r="AR234" s="2292"/>
      <c r="AS234" s="2292"/>
      <c r="AT234" s="2292"/>
      <c r="AU234" s="2292"/>
      <c r="AV234" s="2292"/>
    </row>
    <row r="235" spans="1:49">
      <c r="A235" s="3843"/>
      <c r="B235" s="2297"/>
      <c r="C235" s="2297"/>
      <c r="D235" s="2297"/>
      <c r="E235" s="2297"/>
      <c r="F235" s="2297"/>
      <c r="G235" s="2297"/>
      <c r="H235" s="2297"/>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3844"/>
    </row>
    <row r="236" spans="1:49">
      <c r="A236" s="3845"/>
      <c r="AU236" s="2190"/>
    </row>
    <row r="237" spans="1:49">
      <c r="A237" s="3845"/>
      <c r="AU237" s="2190"/>
    </row>
    <row r="238" spans="1:49">
      <c r="A238" s="3845"/>
      <c r="AU238" s="2190"/>
    </row>
    <row r="239" spans="1:49">
      <c r="A239" s="3845"/>
      <c r="AU239" s="2190"/>
    </row>
    <row r="240" spans="1:49">
      <c r="A240" s="3845"/>
      <c r="AU240" s="2190"/>
    </row>
    <row r="241" spans="1:49">
      <c r="A241" s="3846"/>
      <c r="B241" s="2211"/>
      <c r="C241" s="2211"/>
      <c r="D241" s="2211"/>
      <c r="E241" s="2211"/>
      <c r="F241" s="2211"/>
      <c r="G241" s="2211"/>
      <c r="H241" s="2211"/>
      <c r="I241" s="2211"/>
      <c r="J241" s="2211"/>
      <c r="K241" s="2211"/>
      <c r="L241" s="2211"/>
      <c r="M241" s="2211"/>
      <c r="N241" s="2211"/>
      <c r="O241" s="2211"/>
      <c r="P241" s="2211"/>
      <c r="Q241" s="2211"/>
      <c r="R241" s="2211"/>
      <c r="S241" s="2211"/>
      <c r="T241" s="2211"/>
      <c r="U241" s="2211"/>
      <c r="V241" s="2211"/>
      <c r="W241" s="2211"/>
      <c r="X241" s="2211"/>
      <c r="Y241" s="2211"/>
      <c r="Z241" s="2211"/>
      <c r="AA241" s="2211"/>
      <c r="AB241" s="2211"/>
      <c r="AC241" s="2211"/>
      <c r="AD241" s="2211"/>
      <c r="AE241" s="2211"/>
      <c r="AF241" s="2211"/>
      <c r="AG241" s="2211"/>
      <c r="AH241" s="2211"/>
      <c r="AI241" s="2211"/>
      <c r="AJ241" s="2211"/>
      <c r="AK241" s="2211"/>
      <c r="AL241" s="2211"/>
      <c r="AM241" s="2211"/>
      <c r="AN241" s="2211"/>
      <c r="AO241" s="2211"/>
      <c r="AP241" s="2211"/>
      <c r="AQ241" s="2211"/>
      <c r="AR241" s="2211"/>
      <c r="AS241" s="2211"/>
      <c r="AT241" s="2211"/>
      <c r="AU241" s="2212"/>
    </row>
    <row r="243" spans="1:49">
      <c r="A243" s="2292" t="s">
        <v>6341</v>
      </c>
      <c r="B243" s="2292"/>
      <c r="C243" s="2292"/>
      <c r="D243" s="2292"/>
      <c r="E243" s="2292"/>
      <c r="F243" s="2292"/>
      <c r="G243" s="2292"/>
      <c r="H243" s="2292"/>
      <c r="I243" s="2292"/>
      <c r="J243" s="2292"/>
      <c r="K243" s="2292"/>
      <c r="L243" s="2292"/>
      <c r="M243" s="2292"/>
      <c r="N243" s="2292"/>
      <c r="O243" s="2292"/>
      <c r="P243" s="2292"/>
      <c r="Q243" s="3847"/>
      <c r="R243" s="3847"/>
      <c r="S243" s="3847"/>
      <c r="T243" s="3847"/>
      <c r="V243" s="3848"/>
      <c r="W243" s="3849" t="str">
        <f>Racunovoda</f>
        <v>Elvira Žilić</v>
      </c>
      <c r="X243" s="3849"/>
      <c r="Y243" s="3849"/>
      <c r="Z243" s="3849"/>
      <c r="AA243" s="3849"/>
      <c r="AB243" s="3849"/>
      <c r="AC243" s="3849"/>
      <c r="AD243" s="3849"/>
      <c r="AE243" s="3849"/>
      <c r="AF243" s="3849"/>
      <c r="AG243" s="3849"/>
      <c r="AH243" s="3849"/>
      <c r="AI243" s="3849"/>
      <c r="AK243" s="3832" t="s">
        <v>6342</v>
      </c>
      <c r="AL243" s="2292" t="s">
        <v>6343</v>
      </c>
      <c r="AM243" s="3832"/>
      <c r="AN243" s="3832"/>
      <c r="AO243" s="2292"/>
      <c r="AP243" s="3850" t="str">
        <f>UnosPod!AL3</f>
        <v>061/599-615</v>
      </c>
      <c r="AQ243" s="3848"/>
      <c r="AR243" s="3848"/>
      <c r="AS243" s="3848"/>
      <c r="AT243" s="3848"/>
      <c r="AU243" s="3848"/>
      <c r="AV243" s="2292"/>
    </row>
    <row r="244" spans="1:49">
      <c r="A244" s="2292"/>
      <c r="B244" s="2292"/>
      <c r="C244" s="2292"/>
      <c r="D244" s="2292"/>
      <c r="E244" s="2292"/>
      <c r="F244" s="2292"/>
      <c r="G244" s="2292"/>
      <c r="H244" s="2292"/>
      <c r="I244" s="2292"/>
      <c r="J244" s="2292"/>
      <c r="K244" s="2292"/>
      <c r="L244" s="2292"/>
      <c r="U244" s="2292"/>
      <c r="V244" s="2292"/>
      <c r="W244" s="2292"/>
      <c r="X244" s="2292"/>
      <c r="Y244" s="3847"/>
      <c r="Z244" s="3837" t="s">
        <v>6344</v>
      </c>
      <c r="AA244" s="3837"/>
      <c r="AB244" s="3836"/>
      <c r="AC244" s="3836"/>
      <c r="AD244" s="3836"/>
      <c r="AE244" s="3836"/>
      <c r="AF244" s="3836"/>
      <c r="AG244" s="3836"/>
      <c r="AH244" s="3836"/>
      <c r="AI244" s="3836"/>
      <c r="AK244" s="3832"/>
      <c r="AL244" s="3832"/>
      <c r="AM244" s="3832"/>
      <c r="AN244" s="3832"/>
      <c r="AO244" s="2292"/>
      <c r="AP244" s="3851"/>
      <c r="AQ244" s="3851"/>
      <c r="AR244" s="3851"/>
      <c r="AS244" s="3851"/>
      <c r="AT244" s="3851"/>
      <c r="AU244" s="3851"/>
      <c r="AV244" s="2292"/>
    </row>
    <row r="245" ht="17.25" customHeight="1" spans="1:49">
      <c r="A245" s="3460" t="s">
        <v>6345</v>
      </c>
      <c r="B245" s="3460"/>
      <c r="C245" s="3460"/>
      <c r="D245" s="3460"/>
      <c r="E245" s="3460"/>
      <c r="F245" s="3460"/>
      <c r="G245" s="3460"/>
      <c r="H245" s="3460"/>
      <c r="I245" s="3460"/>
      <c r="J245" s="3460"/>
      <c r="K245" s="3460"/>
      <c r="L245" s="3460"/>
      <c r="M245" s="3460"/>
      <c r="N245" s="3460"/>
      <c r="O245" s="3460"/>
      <c r="P245" s="3460"/>
      <c r="Q245" s="3852"/>
      <c r="R245" s="3852"/>
      <c r="S245" s="3852"/>
      <c r="T245" s="3852"/>
      <c r="U245" s="3852"/>
      <c r="V245" s="3852"/>
      <c r="W245" s="3853"/>
      <c r="X245" s="3853"/>
      <c r="Y245" s="3853"/>
      <c r="Z245" s="3853"/>
      <c r="AA245" s="3853"/>
      <c r="AB245" s="3853"/>
      <c r="AC245" s="3853"/>
      <c r="AD245" s="3853"/>
      <c r="AE245" s="3853"/>
      <c r="AF245" s="3853"/>
      <c r="AG245" s="3853"/>
      <c r="AH245" s="3853"/>
      <c r="AI245" s="3853"/>
      <c r="AK245" s="3445" t="s">
        <v>6346</v>
      </c>
      <c r="AL245" s="3460" t="s">
        <v>6343</v>
      </c>
      <c r="AM245" s="3445"/>
      <c r="AN245" s="3445"/>
      <c r="AO245" s="3460"/>
      <c r="AP245" s="3854" t="str">
        <f>UnosPod!F15</f>
        <v>033/953-480</v>
      </c>
      <c r="AQ245" s="3855"/>
      <c r="AR245" s="3855"/>
      <c r="AS245" s="3855"/>
      <c r="AT245" s="3855"/>
      <c r="AU245" s="3855"/>
    </row>
    <row r="246" spans="1:49">
      <c r="A246" s="2292"/>
      <c r="B246" s="2292"/>
      <c r="C246" s="2292"/>
      <c r="D246" s="2292"/>
      <c r="E246" s="2292"/>
      <c r="F246" s="2292"/>
      <c r="G246" s="2292"/>
      <c r="H246" s="2292"/>
      <c r="I246" s="2292"/>
      <c r="J246" s="2292"/>
      <c r="K246" s="2292"/>
      <c r="L246" s="2292"/>
      <c r="M246" s="2292"/>
      <c r="N246" s="2292"/>
      <c r="O246" s="2292"/>
      <c r="P246" s="2292"/>
      <c r="Q246" s="2292"/>
      <c r="R246" s="2292"/>
      <c r="S246" s="2292"/>
      <c r="T246" s="2292"/>
      <c r="U246" s="2292"/>
      <c r="V246" s="2292"/>
      <c r="W246" s="2292"/>
      <c r="X246" s="2292"/>
      <c r="Y246" s="2292"/>
      <c r="Z246" s="2292"/>
      <c r="AA246" s="2292"/>
      <c r="AB246" s="2292"/>
      <c r="AC246" s="2292"/>
      <c r="AD246" s="2292"/>
      <c r="AE246" s="2292"/>
      <c r="AF246" s="2292"/>
      <c r="AG246" s="2292"/>
      <c r="AH246" s="2292"/>
      <c r="AI246" s="3856" t="str">
        <f>Direktor</f>
        <v>Nedim Vilogorac</v>
      </c>
      <c r="AJ246" s="3832"/>
      <c r="AK246" s="2292"/>
      <c r="AL246" s="3851"/>
      <c r="AM246" s="3851"/>
      <c r="AN246" s="3851"/>
      <c r="AO246" s="3851"/>
      <c r="AP246" s="3851"/>
      <c r="AQ246" s="3851"/>
      <c r="AR246" s="3851"/>
      <c r="AS246" s="3851"/>
      <c r="AT246" s="3851"/>
      <c r="AV246" s="3833"/>
    </row>
    <row r="247" spans="1:49">
      <c r="A247" s="2292" t="s">
        <v>6347</v>
      </c>
      <c r="B247" s="2292"/>
      <c r="C247" s="2292"/>
      <c r="D247" s="2292"/>
      <c r="E247" s="3857">
        <f ca="1">UnosPod!AA5</f>
        <v>46120.4752662037</v>
      </c>
      <c r="F247" s="3857"/>
      <c r="G247" s="3857"/>
      <c r="H247" s="3857"/>
      <c r="I247" s="3857"/>
      <c r="J247" s="3857"/>
      <c r="K247" s="3857"/>
      <c r="L247" s="3857"/>
      <c r="M247" s="3857"/>
      <c r="AH247" s="3833"/>
      <c r="AI247" s="3446"/>
      <c r="AJ247" s="3446"/>
      <c r="AK247" s="3446"/>
      <c r="AL247" s="3446"/>
      <c r="AM247" s="3446"/>
      <c r="AN247" s="3446"/>
      <c r="AO247" s="3446"/>
      <c r="AP247" s="3446"/>
      <c r="AQ247" s="3446"/>
      <c r="AR247" s="3446"/>
      <c r="AS247" s="3446"/>
      <c r="AT247" s="3446"/>
      <c r="AU247" s="3446"/>
      <c r="AV247" s="3833"/>
    </row>
    <row r="248" spans="1:49">
      <c r="A248" s="2292"/>
      <c r="B248" s="2292"/>
      <c r="C248" s="2292"/>
      <c r="D248" s="2292"/>
      <c r="E248" s="2292"/>
      <c r="F248" s="2292"/>
      <c r="G248" s="2292"/>
      <c r="H248" s="2292"/>
      <c r="I248" s="2292"/>
      <c r="J248" s="2292"/>
      <c r="K248" s="2292"/>
      <c r="L248" s="2292"/>
      <c r="M248" s="3446"/>
      <c r="Y248" s="3858" t="s">
        <v>6348</v>
      </c>
      <c r="AH248" s="3833"/>
      <c r="AI248" s="2292"/>
      <c r="AJ248" s="2292"/>
      <c r="AK248" s="2292"/>
      <c r="AL248" s="2292"/>
      <c r="AM248" s="2292"/>
      <c r="AN248" s="2292"/>
      <c r="AO248" s="2292"/>
      <c r="AP248" s="2292"/>
      <c r="AQ248" s="2292"/>
      <c r="AR248" s="2292"/>
      <c r="AS248" s="2292"/>
      <c r="AT248" s="2292"/>
      <c r="AU248" s="2292"/>
      <c r="AV248" s="3833"/>
    </row>
    <row r="256" spans="1:49">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sheetData>
  <mergeCells count="519">
    <mergeCell ref="G2:S2"/>
    <mergeCell ref="G3:S3"/>
    <mergeCell ref="AJ3:AV3"/>
    <mergeCell ref="G4:S4"/>
    <mergeCell ref="AJ4:AV4"/>
    <mergeCell ref="G5:S5"/>
    <mergeCell ref="A7:AV7"/>
    <mergeCell ref="A8:AV8"/>
    <mergeCell ref="A9:AV9"/>
    <mergeCell ref="AP42:AV42"/>
    <mergeCell ref="AR46:AU46"/>
    <mergeCell ref="AR48:AU48"/>
    <mergeCell ref="AR50:AU50"/>
    <mergeCell ref="AR60:AU60"/>
    <mergeCell ref="A64:AN64"/>
    <mergeCell ref="A72:AN72"/>
    <mergeCell ref="A73:B73"/>
    <mergeCell ref="C73:AD73"/>
    <mergeCell ref="AE73:AJ73"/>
    <mergeCell ref="AK73:AN73"/>
    <mergeCell ref="AO73:AV73"/>
    <mergeCell ref="A74:B74"/>
    <mergeCell ref="C74:AD74"/>
    <mergeCell ref="AE74:AJ74"/>
    <mergeCell ref="AK74:AN74"/>
    <mergeCell ref="AO74:AV74"/>
    <mergeCell ref="A75:B75"/>
    <mergeCell ref="C75:AD75"/>
    <mergeCell ref="AE75:AJ75"/>
    <mergeCell ref="AK75:AN75"/>
    <mergeCell ref="AO75:AV75"/>
    <mergeCell ref="A76:B76"/>
    <mergeCell ref="C76:AD76"/>
    <mergeCell ref="AE76:AJ76"/>
    <mergeCell ref="AK76:AN76"/>
    <mergeCell ref="AO76:AV76"/>
    <mergeCell ref="A77:B77"/>
    <mergeCell ref="C77:AD77"/>
    <mergeCell ref="AE77:AJ77"/>
    <mergeCell ref="AK77:AN77"/>
    <mergeCell ref="AO77:AV77"/>
    <mergeCell ref="A78:B78"/>
    <mergeCell ref="C78:AD78"/>
    <mergeCell ref="AE78:AJ78"/>
    <mergeCell ref="AK78:AN78"/>
    <mergeCell ref="AO78:AV78"/>
    <mergeCell ref="A79:B79"/>
    <mergeCell ref="C79:AD79"/>
    <mergeCell ref="AE79:AJ79"/>
    <mergeCell ref="AK79:AN79"/>
    <mergeCell ref="AO79:AV79"/>
    <mergeCell ref="A80:B80"/>
    <mergeCell ref="C80:AD80"/>
    <mergeCell ref="AE80:AJ80"/>
    <mergeCell ref="AK80:AN80"/>
    <mergeCell ref="AO80:AV80"/>
    <mergeCell ref="A81:B81"/>
    <mergeCell ref="C81:AD81"/>
    <mergeCell ref="AE81:AJ81"/>
    <mergeCell ref="AK81:AN81"/>
    <mergeCell ref="AO81:AV81"/>
    <mergeCell ref="A82:B82"/>
    <mergeCell ref="C82:AD82"/>
    <mergeCell ref="AE82:AJ82"/>
    <mergeCell ref="AK82:AN82"/>
    <mergeCell ref="AO82:AV82"/>
    <mergeCell ref="A84:AV84"/>
    <mergeCell ref="A87:AN87"/>
    <mergeCell ref="A90:B90"/>
    <mergeCell ref="C90:AD90"/>
    <mergeCell ref="AE90:AJ90"/>
    <mergeCell ref="AK90:AN90"/>
    <mergeCell ref="AO90:AV90"/>
    <mergeCell ref="A91:B91"/>
    <mergeCell ref="C91:AD91"/>
    <mergeCell ref="AE91:AJ91"/>
    <mergeCell ref="AK91:AN91"/>
    <mergeCell ref="AO91:AV91"/>
    <mergeCell ref="A92:B92"/>
    <mergeCell ref="C92:AD92"/>
    <mergeCell ref="AE92:AJ92"/>
    <mergeCell ref="AK92:AN92"/>
    <mergeCell ref="AO92:AV92"/>
    <mergeCell ref="A93:B93"/>
    <mergeCell ref="C93:AD93"/>
    <mergeCell ref="AE93:AJ93"/>
    <mergeCell ref="AK93:AN93"/>
    <mergeCell ref="AO93:AV93"/>
    <mergeCell ref="A94:B94"/>
    <mergeCell ref="C94:AD94"/>
    <mergeCell ref="AE94:AJ94"/>
    <mergeCell ref="AK94:AN94"/>
    <mergeCell ref="AO94:AV94"/>
    <mergeCell ref="A95:B95"/>
    <mergeCell ref="C95:AD95"/>
    <mergeCell ref="AE95:AJ95"/>
    <mergeCell ref="AK95:AN95"/>
    <mergeCell ref="AO95:AV95"/>
    <mergeCell ref="A96:B96"/>
    <mergeCell ref="C96:AD96"/>
    <mergeCell ref="AE96:AJ96"/>
    <mergeCell ref="AK96:AN96"/>
    <mergeCell ref="AO96:AV96"/>
    <mergeCell ref="A97:B97"/>
    <mergeCell ref="C97:AD97"/>
    <mergeCell ref="AE97:AJ97"/>
    <mergeCell ref="AK97:AN97"/>
    <mergeCell ref="AO97:AV97"/>
    <mergeCell ref="A98:B98"/>
    <mergeCell ref="C98:AD98"/>
    <mergeCell ref="AE98:AJ98"/>
    <mergeCell ref="AK98:AN98"/>
    <mergeCell ref="AO98:AV98"/>
    <mergeCell ref="A99:B99"/>
    <mergeCell ref="C99:AD99"/>
    <mergeCell ref="AE99:AJ99"/>
    <mergeCell ref="AK99:AN99"/>
    <mergeCell ref="AO99:AV99"/>
    <mergeCell ref="A100:B100"/>
    <mergeCell ref="C100:AD100"/>
    <mergeCell ref="AE100:AJ100"/>
    <mergeCell ref="AK100:AN100"/>
    <mergeCell ref="AO100:AV100"/>
    <mergeCell ref="A101:B101"/>
    <mergeCell ref="C101:AD101"/>
    <mergeCell ref="AE101:AJ101"/>
    <mergeCell ref="AK101:AN101"/>
    <mergeCell ref="AO101:AV101"/>
    <mergeCell ref="A102:B102"/>
    <mergeCell ref="C102:AD102"/>
    <mergeCell ref="AE102:AJ102"/>
    <mergeCell ref="AK102:AN102"/>
    <mergeCell ref="AO102:AV102"/>
    <mergeCell ref="A103:B103"/>
    <mergeCell ref="C103:AD103"/>
    <mergeCell ref="AE103:AJ103"/>
    <mergeCell ref="AK103:AN103"/>
    <mergeCell ref="AO103:AV103"/>
    <mergeCell ref="A104:B104"/>
    <mergeCell ref="C104:AD104"/>
    <mergeCell ref="AE104:AJ104"/>
    <mergeCell ref="AK104:AN104"/>
    <mergeCell ref="AO104:AV104"/>
    <mergeCell ref="A105:B105"/>
    <mergeCell ref="C105:AD105"/>
    <mergeCell ref="AE105:AJ105"/>
    <mergeCell ref="AK105:AN105"/>
    <mergeCell ref="AO105:AV105"/>
    <mergeCell ref="A106:B106"/>
    <mergeCell ref="C106:AD106"/>
    <mergeCell ref="AE106:AJ106"/>
    <mergeCell ref="AK106:AN106"/>
    <mergeCell ref="AO106:AV106"/>
    <mergeCell ref="A107:B107"/>
    <mergeCell ref="C107:AD107"/>
    <mergeCell ref="AE107:AJ107"/>
    <mergeCell ref="AK107:AN107"/>
    <mergeCell ref="AO107:AV107"/>
    <mergeCell ref="A108:B108"/>
    <mergeCell ref="C108:AD108"/>
    <mergeCell ref="AE108:AJ108"/>
    <mergeCell ref="AK108:AN108"/>
    <mergeCell ref="AO108:AV108"/>
    <mergeCell ref="A109:B109"/>
    <mergeCell ref="C109:AD109"/>
    <mergeCell ref="AE109:AJ109"/>
    <mergeCell ref="AK109:AN109"/>
    <mergeCell ref="AO109:AV109"/>
    <mergeCell ref="A110:B110"/>
    <mergeCell ref="C110:AD110"/>
    <mergeCell ref="AE110:AJ110"/>
    <mergeCell ref="AK110:AN110"/>
    <mergeCell ref="AO110:AV110"/>
    <mergeCell ref="A111:B111"/>
    <mergeCell ref="C111:AD111"/>
    <mergeCell ref="AE111:AJ111"/>
    <mergeCell ref="AK111:AN111"/>
    <mergeCell ref="AO111:AV111"/>
    <mergeCell ref="A112:B112"/>
    <mergeCell ref="C112:AD112"/>
    <mergeCell ref="AE112:AJ112"/>
    <mergeCell ref="AK112:AN112"/>
    <mergeCell ref="AO112:AV112"/>
    <mergeCell ref="A113:B113"/>
    <mergeCell ref="C113:AD113"/>
    <mergeCell ref="AE113:AJ113"/>
    <mergeCell ref="AK113:AN113"/>
    <mergeCell ref="AO113:AV113"/>
    <mergeCell ref="A114:B114"/>
    <mergeCell ref="C114:AD114"/>
    <mergeCell ref="AE114:AJ114"/>
    <mergeCell ref="AK114:AN114"/>
    <mergeCell ref="AO114:AV114"/>
    <mergeCell ref="A115:B115"/>
    <mergeCell ref="C115:AD115"/>
    <mergeCell ref="AE115:AJ115"/>
    <mergeCell ref="AK115:AN115"/>
    <mergeCell ref="AO115:AV115"/>
    <mergeCell ref="A116:B116"/>
    <mergeCell ref="C116:AD116"/>
    <mergeCell ref="AE116:AJ116"/>
    <mergeCell ref="AK116:AN116"/>
    <mergeCell ref="AO116:AV116"/>
    <mergeCell ref="A117:B117"/>
    <mergeCell ref="C117:AD117"/>
    <mergeCell ref="AE117:AJ117"/>
    <mergeCell ref="AK117:AN117"/>
    <mergeCell ref="AO117:AV117"/>
    <mergeCell ref="A118:B118"/>
    <mergeCell ref="C118:AD118"/>
    <mergeCell ref="AE118:AJ118"/>
    <mergeCell ref="AK118:AN118"/>
    <mergeCell ref="AO118:AV118"/>
    <mergeCell ref="A119:B119"/>
    <mergeCell ref="C119:AD119"/>
    <mergeCell ref="AE119:AJ119"/>
    <mergeCell ref="AK119:AN119"/>
    <mergeCell ref="AO119:AV119"/>
    <mergeCell ref="A120:B120"/>
    <mergeCell ref="C120:AD120"/>
    <mergeCell ref="AE120:AJ120"/>
    <mergeCell ref="AK120:AN120"/>
    <mergeCell ref="AO120:AV120"/>
    <mergeCell ref="A121:B121"/>
    <mergeCell ref="C121:AD121"/>
    <mergeCell ref="AE121:AJ121"/>
    <mergeCell ref="AK121:AN121"/>
    <mergeCell ref="AO121:AV121"/>
    <mergeCell ref="A122:B122"/>
    <mergeCell ref="C122:AD122"/>
    <mergeCell ref="AE122:AJ122"/>
    <mergeCell ref="AK122:AN122"/>
    <mergeCell ref="AO122:AV122"/>
    <mergeCell ref="A123:B123"/>
    <mergeCell ref="C123:AD123"/>
    <mergeCell ref="AE123:AJ123"/>
    <mergeCell ref="AK123:AN123"/>
    <mergeCell ref="AO123:AV123"/>
    <mergeCell ref="A124:B124"/>
    <mergeCell ref="C124:AD124"/>
    <mergeCell ref="AE124:AJ124"/>
    <mergeCell ref="AK124:AN124"/>
    <mergeCell ref="AO124:AV124"/>
    <mergeCell ref="A125:AV125"/>
    <mergeCell ref="AI129:AV129"/>
    <mergeCell ref="A130:B130"/>
    <mergeCell ref="C130:W130"/>
    <mergeCell ref="X130:AC130"/>
    <mergeCell ref="AD130:AH130"/>
    <mergeCell ref="AI130:AN130"/>
    <mergeCell ref="AO130:AV130"/>
    <mergeCell ref="A131:B131"/>
    <mergeCell ref="C131:W131"/>
    <mergeCell ref="X131:AC131"/>
    <mergeCell ref="AD131:AH131"/>
    <mergeCell ref="AJ131:AN131"/>
    <mergeCell ref="AP131:AV131"/>
    <mergeCell ref="A132:B132"/>
    <mergeCell ref="C132:W132"/>
    <mergeCell ref="X132:AC132"/>
    <mergeCell ref="AD132:AH132"/>
    <mergeCell ref="AJ132:AN132"/>
    <mergeCell ref="AP132:AV132"/>
    <mergeCell ref="A133:B133"/>
    <mergeCell ref="C133:W133"/>
    <mergeCell ref="X133:AC133"/>
    <mergeCell ref="AD133:AH133"/>
    <mergeCell ref="AJ133:AN133"/>
    <mergeCell ref="AP133:AV133"/>
    <mergeCell ref="A134:B134"/>
    <mergeCell ref="C134:W134"/>
    <mergeCell ref="X134:AC134"/>
    <mergeCell ref="AD134:AH134"/>
    <mergeCell ref="AJ134:AN134"/>
    <mergeCell ref="AP134:AV134"/>
    <mergeCell ref="A135:Q135"/>
    <mergeCell ref="A141:AB141"/>
    <mergeCell ref="AC142:AN142"/>
    <mergeCell ref="AC143:AH143"/>
    <mergeCell ref="AI143:AN143"/>
    <mergeCell ref="A144:B144"/>
    <mergeCell ref="C144:W144"/>
    <mergeCell ref="X144:AB144"/>
    <mergeCell ref="AD144:AH144"/>
    <mergeCell ref="AJ144:AN144"/>
    <mergeCell ref="AP144:AV144"/>
    <mergeCell ref="A145:B145"/>
    <mergeCell ref="C145:W145"/>
    <mergeCell ref="X145:AB145"/>
    <mergeCell ref="AD145:AH145"/>
    <mergeCell ref="AJ145:AN145"/>
    <mergeCell ref="AP145:AV145"/>
    <mergeCell ref="A146:B146"/>
    <mergeCell ref="C146:W146"/>
    <mergeCell ref="X146:AB146"/>
    <mergeCell ref="AD146:AH146"/>
    <mergeCell ref="AJ146:AN146"/>
    <mergeCell ref="AP146:AV146"/>
    <mergeCell ref="A147:B147"/>
    <mergeCell ref="C147:W147"/>
    <mergeCell ref="X147:AB147"/>
    <mergeCell ref="AD147:AH147"/>
    <mergeCell ref="AJ147:AN147"/>
    <mergeCell ref="AP147:AV147"/>
    <mergeCell ref="A148:B148"/>
    <mergeCell ref="C148:W148"/>
    <mergeCell ref="X148:AB148"/>
    <mergeCell ref="AD148:AH148"/>
    <mergeCell ref="AJ148:AN148"/>
    <mergeCell ref="AP148:AV148"/>
    <mergeCell ref="A149:B149"/>
    <mergeCell ref="C149:W149"/>
    <mergeCell ref="X149:AB149"/>
    <mergeCell ref="AD149:AH149"/>
    <mergeCell ref="AJ149:AN149"/>
    <mergeCell ref="AP149:AV149"/>
    <mergeCell ref="A151:AV151"/>
    <mergeCell ref="A154:AO154"/>
    <mergeCell ref="A157:B157"/>
    <mergeCell ref="C157:W157"/>
    <mergeCell ref="X157:AC157"/>
    <mergeCell ref="AE157:AH157"/>
    <mergeCell ref="AJ157:AN157"/>
    <mergeCell ref="AP157:AV157"/>
    <mergeCell ref="A158:B158"/>
    <mergeCell ref="C158:W158"/>
    <mergeCell ref="X158:AC158"/>
    <mergeCell ref="AE158:AH158"/>
    <mergeCell ref="AJ158:AN158"/>
    <mergeCell ref="AP158:AV158"/>
    <mergeCell ref="A159:B159"/>
    <mergeCell ref="C159:W159"/>
    <mergeCell ref="X159:AC159"/>
    <mergeCell ref="AE159:AH159"/>
    <mergeCell ref="AJ159:AN159"/>
    <mergeCell ref="AP159:AV159"/>
    <mergeCell ref="A162:AU162"/>
    <mergeCell ref="A163:B163"/>
    <mergeCell ref="C163:AH163"/>
    <mergeCell ref="AI163:AN163"/>
    <mergeCell ref="AO163:AV163"/>
    <mergeCell ref="A164:B164"/>
    <mergeCell ref="C164:AH164"/>
    <mergeCell ref="AI164:AN164"/>
    <mergeCell ref="AO164:AV164"/>
    <mergeCell ref="A165:B165"/>
    <mergeCell ref="C165:AH165"/>
    <mergeCell ref="AI165:AN165"/>
    <mergeCell ref="AO165:AV165"/>
    <mergeCell ref="A166:B166"/>
    <mergeCell ref="C166:AH166"/>
    <mergeCell ref="AI166:AN166"/>
    <mergeCell ref="AO166:AV166"/>
    <mergeCell ref="A167:B167"/>
    <mergeCell ref="C167:AH167"/>
    <mergeCell ref="AI167:AN167"/>
    <mergeCell ref="AO167:AV167"/>
    <mergeCell ref="A168:B168"/>
    <mergeCell ref="C168:AH168"/>
    <mergeCell ref="AI168:AN168"/>
    <mergeCell ref="AO168:AV168"/>
    <mergeCell ref="A169:B169"/>
    <mergeCell ref="C169:AH169"/>
    <mergeCell ref="AI169:AN169"/>
    <mergeCell ref="AO169:AV169"/>
    <mergeCell ref="A170:B170"/>
    <mergeCell ref="C170:AH170"/>
    <mergeCell ref="AI170:AN170"/>
    <mergeCell ref="AO170:AV170"/>
    <mergeCell ref="A171:B171"/>
    <mergeCell ref="C171:AH171"/>
    <mergeCell ref="AI171:AN171"/>
    <mergeCell ref="AO171:AV171"/>
    <mergeCell ref="A173:AV173"/>
    <mergeCell ref="A189:AV189"/>
    <mergeCell ref="A190:B190"/>
    <mergeCell ref="C190:AA190"/>
    <mergeCell ref="AB190:AH190"/>
    <mergeCell ref="AI190:AN190"/>
    <mergeCell ref="AO190:AV190"/>
    <mergeCell ref="A191:B191"/>
    <mergeCell ref="C191:AA191"/>
    <mergeCell ref="AB191:AH191"/>
    <mergeCell ref="AI191:AN191"/>
    <mergeCell ref="AO191:AV191"/>
    <mergeCell ref="A192:B192"/>
    <mergeCell ref="C192:AA192"/>
    <mergeCell ref="AB192:AH192"/>
    <mergeCell ref="AI192:AN192"/>
    <mergeCell ref="AO192:AV192"/>
    <mergeCell ref="A193:B193"/>
    <mergeCell ref="C193:AA193"/>
    <mergeCell ref="AB193:AH193"/>
    <mergeCell ref="AI193:AN193"/>
    <mergeCell ref="AO193:AV193"/>
    <mergeCell ref="A194:B194"/>
    <mergeCell ref="C194:AA194"/>
    <mergeCell ref="AB194:AH194"/>
    <mergeCell ref="AI194:AN194"/>
    <mergeCell ref="AO194:AV194"/>
    <mergeCell ref="A195:B195"/>
    <mergeCell ref="C195:AA195"/>
    <mergeCell ref="AB195:AH195"/>
    <mergeCell ref="AI195:AN195"/>
    <mergeCell ref="AO195:AV195"/>
    <mergeCell ref="A196:B196"/>
    <mergeCell ref="C196:AA196"/>
    <mergeCell ref="AB196:AH196"/>
    <mergeCell ref="AI196:AN196"/>
    <mergeCell ref="AO196:AV196"/>
    <mergeCell ref="A197:B197"/>
    <mergeCell ref="C197:AA197"/>
    <mergeCell ref="AB197:AH197"/>
    <mergeCell ref="AI197:AN197"/>
    <mergeCell ref="AO197:AV197"/>
    <mergeCell ref="A198:B198"/>
    <mergeCell ref="C198:AA198"/>
    <mergeCell ref="AB198:AH198"/>
    <mergeCell ref="AI198:AN198"/>
    <mergeCell ref="AO198:AV198"/>
    <mergeCell ref="A199:B199"/>
    <mergeCell ref="C199:AA199"/>
    <mergeCell ref="AB199:AH199"/>
    <mergeCell ref="AI199:AN199"/>
    <mergeCell ref="AO199:AV199"/>
    <mergeCell ref="A200:B200"/>
    <mergeCell ref="C200:AA200"/>
    <mergeCell ref="AB200:AH200"/>
    <mergeCell ref="AI200:AN200"/>
    <mergeCell ref="AO200:AV200"/>
    <mergeCell ref="A201:B201"/>
    <mergeCell ref="C201:AA201"/>
    <mergeCell ref="AB201:AH201"/>
    <mergeCell ref="AI201:AN201"/>
    <mergeCell ref="AO201:AV201"/>
    <mergeCell ref="A202:B202"/>
    <mergeCell ref="C202:AA202"/>
    <mergeCell ref="AB202:AH202"/>
    <mergeCell ref="AI202:AN202"/>
    <mergeCell ref="AO202:AV202"/>
    <mergeCell ref="A203:B203"/>
    <mergeCell ref="C203:AA203"/>
    <mergeCell ref="AB203:AH203"/>
    <mergeCell ref="AI203:AN203"/>
    <mergeCell ref="AO203:AV203"/>
    <mergeCell ref="A204:B204"/>
    <mergeCell ref="C204:AA204"/>
    <mergeCell ref="AB204:AH204"/>
    <mergeCell ref="AI204:AN204"/>
    <mergeCell ref="AO204:AV204"/>
    <mergeCell ref="A205:B205"/>
    <mergeCell ref="C205:AA205"/>
    <mergeCell ref="AB205:AH205"/>
    <mergeCell ref="AI205:AN205"/>
    <mergeCell ref="AO205:AV205"/>
    <mergeCell ref="A206:B206"/>
    <mergeCell ref="C206:AA206"/>
    <mergeCell ref="AB206:AH206"/>
    <mergeCell ref="AI206:AN206"/>
    <mergeCell ref="AO206:AV206"/>
    <mergeCell ref="A207:B207"/>
    <mergeCell ref="C207:AA207"/>
    <mergeCell ref="AB207:AH207"/>
    <mergeCell ref="AI207:AN207"/>
    <mergeCell ref="AO207:AV207"/>
    <mergeCell ref="A208:B208"/>
    <mergeCell ref="C208:AA208"/>
    <mergeCell ref="AB208:AH208"/>
    <mergeCell ref="AI208:AN208"/>
    <mergeCell ref="AO208:AV208"/>
    <mergeCell ref="A209:B209"/>
    <mergeCell ref="C209:AA209"/>
    <mergeCell ref="AB209:AH209"/>
    <mergeCell ref="AI209:AN209"/>
    <mergeCell ref="AO209:AV209"/>
    <mergeCell ref="A210:B210"/>
    <mergeCell ref="C210:AA210"/>
    <mergeCell ref="AB210:AH210"/>
    <mergeCell ref="AI210:AN210"/>
    <mergeCell ref="AO210:AV210"/>
    <mergeCell ref="A214:AO214"/>
    <mergeCell ref="A215:B215"/>
    <mergeCell ref="C215:AA215"/>
    <mergeCell ref="AB215:AH215"/>
    <mergeCell ref="AI215:AV215"/>
    <mergeCell ref="A216:B216"/>
    <mergeCell ref="C216:AA216"/>
    <mergeCell ref="AB216:AH216"/>
    <mergeCell ref="AI216:AV216"/>
    <mergeCell ref="A217:B217"/>
    <mergeCell ref="C217:AA217"/>
    <mergeCell ref="AB217:AH217"/>
    <mergeCell ref="AI217:AV217"/>
    <mergeCell ref="AR222:AS222"/>
    <mergeCell ref="W224:AH224"/>
    <mergeCell ref="W225:AH225"/>
    <mergeCell ref="W226:AH226"/>
    <mergeCell ref="W227:AH227"/>
    <mergeCell ref="W243:AI243"/>
    <mergeCell ref="W245:AI245"/>
    <mergeCell ref="E247:M247"/>
    <mergeCell ref="A11:AV13"/>
    <mergeCell ref="A38:AP40"/>
    <mergeCell ref="A65:AV66"/>
    <mergeCell ref="A88:B89"/>
    <mergeCell ref="C88:AD89"/>
    <mergeCell ref="AE88:AJ89"/>
    <mergeCell ref="AK88:AN89"/>
    <mergeCell ref="AO88:AV89"/>
    <mergeCell ref="A142:B143"/>
    <mergeCell ref="C142:W143"/>
    <mergeCell ref="X142:AB143"/>
    <mergeCell ref="AO142:AV143"/>
    <mergeCell ref="A155:B156"/>
    <mergeCell ref="C155:W156"/>
    <mergeCell ref="X155:AC156"/>
    <mergeCell ref="AD155:AH156"/>
    <mergeCell ref="AI155:AN156"/>
    <mergeCell ref="AO155:AV156"/>
  </mergeCells>
  <pageMargins left="0.708661417322835" right="0.708661417322835" top="0.748031496062992" bottom="0.354330708661417" header="0.31496062992126" footer="0.31496062992126"/>
  <pageSetup paperSize="9" scale="84" fitToHeight="0"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0">
    <pageSetUpPr fitToPage="1"/>
  </sheetPr>
  <dimension ref="A1:AW1352"/>
  <sheetViews>
    <sheetView workbookViewId="0">
      <selection activeCell="BW166" sqref="BW166"/>
    </sheetView>
  </sheetViews>
  <sheetFormatPr defaultColWidth="2.14285714285714" defaultRowHeight="12.75"/>
  <cols>
    <col min="1" max="49" width="2.14285714285714" style="572"/>
  </cols>
  <sheetData>
    <row r="1" spans="1:49">
      <c r="A1" s="3445"/>
      <c r="B1" s="3445"/>
      <c r="C1" s="3445"/>
      <c r="D1" s="3445"/>
      <c r="E1" s="3445"/>
      <c r="F1" s="3445"/>
      <c r="G1" s="3445"/>
      <c r="H1" s="3445"/>
      <c r="I1" s="3445"/>
      <c r="J1" s="3445"/>
      <c r="K1" s="3445"/>
      <c r="L1" s="3445"/>
      <c r="M1" s="3445"/>
      <c r="N1" s="3445"/>
      <c r="O1" s="3445"/>
      <c r="P1" s="3445"/>
      <c r="Q1" s="3445"/>
      <c r="R1" s="3445"/>
      <c r="S1" s="3445"/>
      <c r="T1" s="3445"/>
      <c r="U1" s="3445"/>
      <c r="V1" s="3445"/>
      <c r="W1" s="3445"/>
      <c r="X1" s="3445"/>
      <c r="Y1" s="3445"/>
      <c r="Z1" s="3445"/>
      <c r="AA1" s="3445"/>
      <c r="AB1" s="3445"/>
      <c r="AC1" s="3445"/>
      <c r="AD1" s="3445"/>
      <c r="AE1" s="3445"/>
      <c r="AF1" s="3445"/>
      <c r="AG1" s="3445"/>
      <c r="AH1" s="3446"/>
      <c r="AI1" s="3445"/>
      <c r="AJ1" s="3445"/>
      <c r="AK1" s="3445"/>
      <c r="AL1" s="3445"/>
      <c r="AM1" s="3445"/>
      <c r="AN1" s="3445"/>
      <c r="AP1" s="3445"/>
      <c r="AQ1" s="3445"/>
      <c r="AR1" s="3445"/>
      <c r="AS1" s="3445"/>
      <c r="AT1" s="3445"/>
      <c r="AU1" s="3445"/>
      <c r="AV1" s="3447" t="str">
        <f ca="1">"Obrazac TRG SPS-D / "&amp;PoslGod</f>
        <v>Obrazac TRG SPS-D / 2025</v>
      </c>
      <c r="AW1" s="3445"/>
    </row>
    <row r="2" spans="1:49">
      <c r="G2" s="3448" t="s">
        <v>6054</v>
      </c>
      <c r="H2" s="3448"/>
      <c r="I2" s="3448"/>
      <c r="J2" s="3448"/>
      <c r="K2" s="3448"/>
      <c r="L2" s="3448"/>
      <c r="M2" s="3448"/>
      <c r="N2" s="3448"/>
      <c r="O2" s="3448"/>
      <c r="P2" s="3448"/>
      <c r="Q2" s="3448"/>
      <c r="R2" s="3448"/>
      <c r="S2" s="3448"/>
      <c r="T2" s="3449"/>
      <c r="U2" s="3449"/>
      <c r="V2" s="3449"/>
      <c r="W2" s="3445"/>
      <c r="X2" s="3445"/>
      <c r="Y2" s="3445"/>
      <c r="Z2" s="3445"/>
      <c r="AA2" s="3445"/>
      <c r="AB2" s="3445"/>
      <c r="AC2" s="3445"/>
      <c r="AD2" s="3445"/>
      <c r="AE2" s="3445"/>
      <c r="AF2" s="3445"/>
      <c r="AG2" s="3445"/>
      <c r="AH2" s="3445"/>
      <c r="AI2" s="3445"/>
      <c r="AJ2" s="3445"/>
      <c r="AK2" s="3445"/>
      <c r="AL2" s="3445"/>
      <c r="AM2" s="3445"/>
      <c r="AN2" s="3445"/>
      <c r="AO2" s="3445"/>
      <c r="AP2" s="3445"/>
      <c r="AQ2" s="3445"/>
      <c r="AR2" s="3445"/>
      <c r="AS2" s="3445"/>
      <c r="AT2" s="3445"/>
      <c r="AU2" s="3445"/>
      <c r="AV2" s="3445"/>
      <c r="AW2" s="3445"/>
    </row>
    <row r="3" spans="1:49">
      <c r="G3" s="3448" t="s">
        <v>6055</v>
      </c>
      <c r="H3" s="3448"/>
      <c r="I3" s="3448"/>
      <c r="J3" s="3448"/>
      <c r="K3" s="3448"/>
      <c r="L3" s="3448"/>
      <c r="M3" s="3448"/>
      <c r="N3" s="3448"/>
      <c r="O3" s="3448"/>
      <c r="P3" s="3448"/>
      <c r="Q3" s="3448"/>
      <c r="R3" s="3448"/>
      <c r="S3" s="3448"/>
      <c r="T3" s="3449"/>
      <c r="U3" s="3449"/>
      <c r="V3" s="3449"/>
      <c r="W3" s="3445"/>
      <c r="X3" s="3445"/>
      <c r="Y3" s="3445"/>
      <c r="Z3" s="3445"/>
      <c r="AA3" s="3445"/>
      <c r="AB3" s="3445"/>
      <c r="AC3" s="3445"/>
      <c r="AD3" s="3445"/>
      <c r="AE3" s="3445"/>
      <c r="AF3" s="3445"/>
      <c r="AG3" s="3450"/>
      <c r="AJ3" s="3451" t="s">
        <v>6056</v>
      </c>
      <c r="AK3" s="3452"/>
      <c r="AL3" s="3452"/>
      <c r="AM3" s="3452"/>
      <c r="AN3" s="3452"/>
      <c r="AO3" s="3452"/>
      <c r="AP3" s="3452"/>
      <c r="AQ3" s="3452"/>
      <c r="AR3" s="3452"/>
      <c r="AS3" s="3452"/>
      <c r="AT3" s="3452"/>
      <c r="AU3" s="3452"/>
      <c r="AV3" s="3453"/>
    </row>
    <row r="4" spans="1:49">
      <c r="G4" s="3448" t="s">
        <v>6057</v>
      </c>
      <c r="H4" s="3448"/>
      <c r="I4" s="3448"/>
      <c r="J4" s="3448"/>
      <c r="K4" s="3448"/>
      <c r="L4" s="3448"/>
      <c r="M4" s="3448"/>
      <c r="N4" s="3448"/>
      <c r="O4" s="3448"/>
      <c r="P4" s="3448"/>
      <c r="Q4" s="3448"/>
      <c r="R4" s="3448"/>
      <c r="S4" s="3448"/>
      <c r="T4" s="3449"/>
      <c r="U4" s="3449"/>
      <c r="V4" s="3449"/>
      <c r="W4" s="3445"/>
      <c r="X4" s="3445"/>
      <c r="Y4" s="3445"/>
      <c r="Z4" s="3445"/>
      <c r="AA4" s="3445"/>
      <c r="AB4" s="3445"/>
      <c r="AC4" s="3445"/>
      <c r="AD4" s="3445"/>
      <c r="AE4" s="3445"/>
      <c r="AF4" s="3445"/>
      <c r="AJ4" s="3454" t="s">
        <v>6058</v>
      </c>
      <c r="AK4" s="3455"/>
      <c r="AL4" s="3455"/>
      <c r="AM4" s="3455"/>
      <c r="AN4" s="3455"/>
      <c r="AO4" s="3455"/>
      <c r="AP4" s="3455"/>
      <c r="AQ4" s="3455"/>
      <c r="AR4" s="3455"/>
      <c r="AS4" s="3455"/>
      <c r="AT4" s="3455"/>
      <c r="AU4" s="3455"/>
      <c r="AV4" s="3456"/>
    </row>
    <row r="5" spans="1:49">
      <c r="G5" s="3448" t="s">
        <v>6059</v>
      </c>
      <c r="H5" s="3448"/>
      <c r="I5" s="3448"/>
      <c r="J5" s="3448"/>
      <c r="K5" s="3448"/>
      <c r="L5" s="3448"/>
      <c r="M5" s="3448"/>
      <c r="N5" s="3448"/>
      <c r="O5" s="3448"/>
      <c r="P5" s="3448"/>
      <c r="Q5" s="3448"/>
      <c r="R5" s="3448"/>
      <c r="S5" s="3448"/>
      <c r="T5" s="3449"/>
      <c r="U5" s="3449"/>
      <c r="V5" s="3449"/>
      <c r="W5" s="3445"/>
      <c r="X5" s="3445"/>
      <c r="Y5" s="3445"/>
      <c r="Z5" s="3445"/>
      <c r="AA5" s="3445"/>
      <c r="AB5" s="3445"/>
      <c r="AC5" s="3445"/>
      <c r="AD5" s="3445"/>
      <c r="AE5" s="3445"/>
      <c r="AF5" s="3445"/>
    </row>
    <row r="6" spans="1:49">
      <c r="A6" s="3457"/>
      <c r="B6" s="3457"/>
      <c r="C6" s="3457"/>
      <c r="D6" s="3457"/>
      <c r="E6" s="3457"/>
      <c r="F6" s="3457"/>
      <c r="G6" s="3457"/>
      <c r="H6" s="3457"/>
      <c r="I6" s="3457"/>
      <c r="J6" s="3457"/>
      <c r="K6" s="3457"/>
      <c r="L6" s="3457"/>
      <c r="M6" s="3457"/>
      <c r="N6" s="3457"/>
      <c r="O6" s="3457"/>
      <c r="P6" s="3457"/>
      <c r="Q6" s="3457"/>
      <c r="R6" s="3457"/>
      <c r="S6" s="3457"/>
      <c r="T6" s="3458"/>
      <c r="U6" s="3445"/>
      <c r="V6" s="3445"/>
      <c r="W6" s="3445"/>
      <c r="X6" s="3445"/>
      <c r="Y6" s="3445"/>
      <c r="Z6" s="3445"/>
      <c r="AA6" s="3445"/>
      <c r="AB6" s="3445"/>
      <c r="AC6" s="3445"/>
      <c r="AD6" s="3445"/>
      <c r="AE6" s="3445"/>
      <c r="AF6" s="3445"/>
      <c r="AG6" s="3445"/>
      <c r="AH6" s="3445"/>
      <c r="AI6" s="3445"/>
      <c r="AJ6" s="3445"/>
      <c r="AK6" s="3445"/>
      <c r="AL6" s="3445"/>
      <c r="AM6" s="3445"/>
      <c r="AN6" s="3445"/>
      <c r="AO6" s="3445"/>
      <c r="AP6" s="3445"/>
      <c r="AQ6" s="3445"/>
      <c r="AR6" s="3445"/>
      <c r="AS6" s="3445"/>
      <c r="AT6" s="3445"/>
      <c r="AU6" s="3445"/>
      <c r="AV6" s="3445"/>
      <c r="AW6" s="3445"/>
    </row>
    <row r="7" spans="1:49">
      <c r="A7" s="3459" t="s">
        <v>6060</v>
      </c>
      <c r="B7" s="3459"/>
      <c r="C7" s="3459"/>
      <c r="D7" s="3459"/>
      <c r="E7" s="3459"/>
      <c r="F7" s="3459"/>
      <c r="G7" s="3459"/>
      <c r="H7" s="3459"/>
      <c r="I7" s="3459"/>
      <c r="J7" s="3459"/>
      <c r="K7" s="3459"/>
      <c r="L7" s="3459"/>
      <c r="M7" s="3459"/>
      <c r="N7" s="3459"/>
      <c r="O7" s="3459"/>
      <c r="P7" s="3459"/>
      <c r="Q7" s="3459"/>
      <c r="R7" s="3459"/>
      <c r="S7" s="3459"/>
      <c r="T7" s="3459"/>
      <c r="U7" s="3459"/>
      <c r="V7" s="3459"/>
      <c r="W7" s="3459"/>
      <c r="X7" s="3459"/>
      <c r="Y7" s="3459"/>
      <c r="Z7" s="3459"/>
      <c r="AA7" s="3459"/>
      <c r="AB7" s="3459"/>
      <c r="AC7" s="3459"/>
      <c r="AD7" s="3459"/>
      <c r="AE7" s="3459"/>
      <c r="AF7" s="3459"/>
      <c r="AG7" s="3459"/>
      <c r="AH7" s="3459"/>
      <c r="AI7" s="3459"/>
      <c r="AJ7" s="3459"/>
      <c r="AK7" s="3459"/>
      <c r="AL7" s="3459"/>
      <c r="AM7" s="3459"/>
      <c r="AN7" s="3459"/>
      <c r="AO7" s="3459"/>
      <c r="AP7" s="3459"/>
      <c r="AQ7" s="3459"/>
      <c r="AR7" s="3459"/>
      <c r="AS7" s="3459"/>
      <c r="AT7" s="3459"/>
      <c r="AU7" s="3459"/>
      <c r="AV7" s="3459"/>
      <c r="AW7" s="3446"/>
    </row>
    <row r="8" spans="1:49">
      <c r="A8" s="3459" t="s">
        <v>6354</v>
      </c>
      <c r="B8" s="3459"/>
      <c r="C8" s="3459"/>
      <c r="D8" s="3459"/>
      <c r="E8" s="3459"/>
      <c r="F8" s="3459"/>
      <c r="G8" s="3459"/>
      <c r="H8" s="3459"/>
      <c r="I8" s="3459"/>
      <c r="J8" s="3459"/>
      <c r="K8" s="3459"/>
      <c r="L8" s="3459"/>
      <c r="M8" s="3459"/>
      <c r="N8" s="3459"/>
      <c r="O8" s="3459"/>
      <c r="P8" s="3459"/>
      <c r="Q8" s="3459"/>
      <c r="R8" s="3459"/>
      <c r="S8" s="3459"/>
      <c r="T8" s="3459"/>
      <c r="U8" s="3459"/>
      <c r="V8" s="3459"/>
      <c r="W8" s="3459"/>
      <c r="X8" s="3459"/>
      <c r="Y8" s="3459"/>
      <c r="Z8" s="3459"/>
      <c r="AA8" s="3459"/>
      <c r="AB8" s="3459"/>
      <c r="AC8" s="3459"/>
      <c r="AD8" s="3459"/>
      <c r="AE8" s="3459"/>
      <c r="AF8" s="3459"/>
      <c r="AG8" s="3459"/>
      <c r="AH8" s="3459"/>
      <c r="AI8" s="3459"/>
      <c r="AJ8" s="3459"/>
      <c r="AK8" s="3459"/>
      <c r="AL8" s="3459"/>
      <c r="AM8" s="3459"/>
      <c r="AN8" s="3459"/>
      <c r="AO8" s="3459"/>
      <c r="AP8" s="3459"/>
      <c r="AQ8" s="3459"/>
      <c r="AR8" s="3459"/>
      <c r="AS8" s="3459"/>
      <c r="AT8" s="3459"/>
      <c r="AU8" s="3459"/>
      <c r="AV8" s="3459"/>
      <c r="AW8" s="3460"/>
    </row>
    <row r="9" spans="1:49">
      <c r="A9" s="2302" t="str">
        <f ca="1">"ZA "&amp;PoslGod&amp;". GODINU"</f>
        <v>ZA 2025. GODINU</v>
      </c>
      <c r="B9" s="2302"/>
      <c r="C9" s="2302"/>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c r="AK9" s="2302"/>
      <c r="AL9" s="2302"/>
      <c r="AM9" s="2302"/>
      <c r="AN9" s="2302"/>
      <c r="AO9" s="2302"/>
      <c r="AP9" s="2302"/>
      <c r="AQ9" s="2302"/>
      <c r="AR9" s="2302"/>
      <c r="AS9" s="2302"/>
      <c r="AT9" s="2302"/>
      <c r="AU9" s="2302"/>
      <c r="AV9" s="2302"/>
      <c r="AW9" s="3446"/>
    </row>
    <row r="10" spans="1:49">
      <c r="A10" s="3461"/>
      <c r="B10" s="3461"/>
      <c r="C10" s="3461"/>
      <c r="D10" s="3461"/>
      <c r="E10" s="3461"/>
      <c r="F10" s="3461"/>
      <c r="G10" s="3461"/>
      <c r="H10" s="3461"/>
      <c r="I10" s="3461"/>
      <c r="J10" s="3461"/>
      <c r="K10" s="3461"/>
      <c r="L10" s="3461"/>
      <c r="M10" s="3461"/>
      <c r="N10" s="3461"/>
      <c r="O10" s="3461"/>
      <c r="P10" s="3461"/>
      <c r="Q10" s="3461"/>
      <c r="R10" s="3461"/>
      <c r="S10" s="3461"/>
      <c r="T10" s="3461"/>
      <c r="U10" s="3461"/>
      <c r="V10" s="3461"/>
      <c r="W10" s="3461"/>
      <c r="X10" s="3461"/>
      <c r="Y10" s="3461"/>
      <c r="Z10" s="3461"/>
      <c r="AA10" s="3461"/>
      <c r="AB10" s="3461"/>
      <c r="AC10" s="3461"/>
      <c r="AD10" s="3461"/>
      <c r="AE10" s="3461"/>
      <c r="AF10" s="3461"/>
      <c r="AG10" s="3461"/>
      <c r="AH10" s="3461"/>
      <c r="AI10" s="3461"/>
      <c r="AJ10" s="3461"/>
      <c r="AK10" s="3461"/>
      <c r="AL10" s="3461"/>
      <c r="AM10" s="3461"/>
      <c r="AN10" s="3461"/>
      <c r="AO10" s="3461"/>
      <c r="AP10" s="3461"/>
      <c r="AQ10" s="3461"/>
      <c r="AR10" s="3461"/>
      <c r="AS10" s="3461"/>
      <c r="AT10" s="3461"/>
      <c r="AU10" s="3461"/>
      <c r="AV10" s="3461"/>
      <c r="AW10" s="3446"/>
    </row>
    <row r="11" ht="19.5" customHeight="1" spans="1:49">
      <c r="A11" s="3462" t="s">
        <v>6062</v>
      </c>
      <c r="B11" s="3463"/>
      <c r="C11" s="3463"/>
      <c r="D11" s="3463"/>
      <c r="E11" s="3463"/>
      <c r="F11" s="3463"/>
      <c r="G11" s="3463"/>
      <c r="H11" s="3463"/>
      <c r="I11" s="3463"/>
      <c r="J11" s="3463"/>
      <c r="K11" s="3463"/>
      <c r="L11" s="3463"/>
      <c r="M11" s="3463"/>
      <c r="N11" s="3463"/>
      <c r="O11" s="3463"/>
      <c r="P11" s="3463"/>
      <c r="Q11" s="3463"/>
      <c r="R11" s="3463"/>
      <c r="S11" s="3463"/>
      <c r="T11" s="3463"/>
      <c r="U11" s="3463"/>
      <c r="V11" s="3463"/>
      <c r="W11" s="3463"/>
      <c r="X11" s="3463"/>
      <c r="Y11" s="3463"/>
      <c r="Z11" s="3463"/>
      <c r="AA11" s="3463"/>
      <c r="AB11" s="3463"/>
      <c r="AC11" s="3463"/>
      <c r="AD11" s="3463"/>
      <c r="AE11" s="3463"/>
      <c r="AF11" s="3463"/>
      <c r="AG11" s="3463"/>
      <c r="AH11" s="3463"/>
      <c r="AI11" s="3463"/>
      <c r="AJ11" s="3463"/>
      <c r="AK11" s="3463"/>
      <c r="AL11" s="3463"/>
      <c r="AM11" s="3463"/>
      <c r="AN11" s="3463"/>
      <c r="AO11" s="3463"/>
      <c r="AP11" s="3463"/>
      <c r="AQ11" s="3463"/>
      <c r="AR11" s="3463"/>
      <c r="AS11" s="3463"/>
      <c r="AT11" s="3463"/>
      <c r="AU11" s="3463"/>
      <c r="AV11" s="3464"/>
      <c r="AW11" s="3465"/>
    </row>
    <row r="12" ht="19.5" customHeight="1" spans="1:49">
      <c r="A12" s="3466"/>
      <c r="B12" s="3467"/>
      <c r="C12" s="3467"/>
      <c r="D12" s="3467"/>
      <c r="E12" s="3467"/>
      <c r="F12" s="3467"/>
      <c r="G12" s="3467"/>
      <c r="H12" s="3467"/>
      <c r="I12" s="3467"/>
      <c r="J12" s="3467"/>
      <c r="K12" s="3467"/>
      <c r="L12" s="3467"/>
      <c r="M12" s="3467"/>
      <c r="N12" s="3467"/>
      <c r="O12" s="3467"/>
      <c r="P12" s="3467"/>
      <c r="Q12" s="3467"/>
      <c r="R12" s="3467"/>
      <c r="S12" s="3467"/>
      <c r="T12" s="3467"/>
      <c r="U12" s="3467"/>
      <c r="V12" s="3467"/>
      <c r="W12" s="3467"/>
      <c r="X12" s="3467"/>
      <c r="Y12" s="3467"/>
      <c r="Z12" s="3467"/>
      <c r="AA12" s="3467"/>
      <c r="AB12" s="3467"/>
      <c r="AC12" s="3467"/>
      <c r="AD12" s="3467"/>
      <c r="AE12" s="3467"/>
      <c r="AF12" s="3467"/>
      <c r="AG12" s="3467"/>
      <c r="AH12" s="3467"/>
      <c r="AI12" s="3467"/>
      <c r="AJ12" s="3467"/>
      <c r="AK12" s="3467"/>
      <c r="AL12" s="3467"/>
      <c r="AM12" s="3467"/>
      <c r="AN12" s="3467"/>
      <c r="AO12" s="3467"/>
      <c r="AP12" s="3467"/>
      <c r="AQ12" s="3467"/>
      <c r="AR12" s="3467"/>
      <c r="AS12" s="3467"/>
      <c r="AT12" s="3467"/>
      <c r="AU12" s="3467"/>
      <c r="AV12" s="3468"/>
      <c r="AW12" s="3465"/>
    </row>
    <row r="13" ht="19.5" customHeight="1" spans="1:49">
      <c r="A13" s="3469"/>
      <c r="B13" s="3470"/>
      <c r="C13" s="3470"/>
      <c r="D13" s="3470"/>
      <c r="E13" s="3470"/>
      <c r="F13" s="3470"/>
      <c r="G13" s="3470"/>
      <c r="H13" s="3470"/>
      <c r="I13" s="3470"/>
      <c r="J13" s="3470"/>
      <c r="K13" s="3470"/>
      <c r="L13" s="3470"/>
      <c r="M13" s="3470"/>
      <c r="N13" s="3470"/>
      <c r="O13" s="3470"/>
      <c r="P13" s="3470"/>
      <c r="Q13" s="3470"/>
      <c r="R13" s="3470"/>
      <c r="S13" s="3470"/>
      <c r="T13" s="3470"/>
      <c r="U13" s="3470"/>
      <c r="V13" s="3470"/>
      <c r="W13" s="3470"/>
      <c r="X13" s="3470"/>
      <c r="Y13" s="3470"/>
      <c r="Z13" s="3470"/>
      <c r="AA13" s="3470"/>
      <c r="AB13" s="3470"/>
      <c r="AC13" s="3470"/>
      <c r="AD13" s="3470"/>
      <c r="AE13" s="3470"/>
      <c r="AF13" s="3470"/>
      <c r="AG13" s="3470"/>
      <c r="AH13" s="3470"/>
      <c r="AI13" s="3470"/>
      <c r="AJ13" s="3470"/>
      <c r="AK13" s="3470"/>
      <c r="AL13" s="3470"/>
      <c r="AM13" s="3470"/>
      <c r="AN13" s="3470"/>
      <c r="AO13" s="3470"/>
      <c r="AP13" s="3470"/>
      <c r="AQ13" s="3470"/>
      <c r="AR13" s="3470"/>
      <c r="AS13" s="3470"/>
      <c r="AT13" s="3470"/>
      <c r="AU13" s="3470"/>
      <c r="AV13" s="3471"/>
      <c r="AW13" s="3465"/>
    </row>
    <row r="14" spans="1:49">
      <c r="A14" s="3472"/>
      <c r="B14" s="3472"/>
      <c r="C14" s="3472"/>
      <c r="D14" s="3472"/>
      <c r="E14" s="3472"/>
      <c r="F14" s="3473"/>
      <c r="G14" s="3473"/>
      <c r="H14" s="3473"/>
      <c r="I14" s="3473"/>
      <c r="J14" s="3473"/>
      <c r="K14" s="3473"/>
      <c r="L14" s="3473"/>
      <c r="M14" s="3473"/>
      <c r="N14" s="3473"/>
      <c r="O14" s="3473"/>
      <c r="P14" s="3473"/>
      <c r="Q14" s="3473"/>
      <c r="R14" s="3473"/>
      <c r="S14" s="3473"/>
      <c r="T14" s="3473"/>
      <c r="U14" s="3473"/>
      <c r="V14" s="3473"/>
      <c r="W14" s="3473"/>
      <c r="X14" s="3473"/>
      <c r="Y14" s="3473"/>
      <c r="Z14" s="3473"/>
      <c r="AA14" s="3473"/>
      <c r="AB14" s="3473"/>
      <c r="AC14" s="3473"/>
      <c r="AD14" s="3473"/>
      <c r="AE14" s="3473"/>
      <c r="AF14" s="3473"/>
      <c r="AG14" s="3473"/>
      <c r="AH14" s="3473"/>
      <c r="AI14" s="3473"/>
      <c r="AJ14" s="3473"/>
      <c r="AK14" s="3473"/>
      <c r="AL14" s="3473"/>
      <c r="AM14" s="3473"/>
      <c r="AN14" s="3473"/>
      <c r="AO14" s="3473"/>
      <c r="AP14" s="3473"/>
      <c r="AQ14" s="3473"/>
      <c r="AR14" s="3473"/>
      <c r="AS14" s="3472"/>
      <c r="AT14" s="3472"/>
      <c r="AU14" s="3472"/>
      <c r="AV14" s="3472"/>
      <c r="AW14" s="3465"/>
    </row>
    <row r="15" spans="1:49">
      <c r="A15" s="3474"/>
      <c r="B15" s="3475"/>
      <c r="C15" s="3475"/>
      <c r="D15" s="3475"/>
      <c r="E15" s="3475"/>
      <c r="F15" s="3475"/>
      <c r="G15" s="3475"/>
      <c r="H15" s="3475"/>
      <c r="I15" s="3475"/>
      <c r="J15" s="3475"/>
      <c r="K15" s="3475"/>
      <c r="L15" s="3475"/>
      <c r="M15" s="3475"/>
      <c r="N15" s="3475"/>
      <c r="O15" s="3475"/>
      <c r="P15" s="3475"/>
      <c r="Q15" s="3475"/>
      <c r="R15" s="3475"/>
      <c r="S15" s="3475"/>
      <c r="T15" s="3475"/>
      <c r="U15" s="3475"/>
      <c r="V15" s="3475"/>
      <c r="W15" s="3475"/>
      <c r="X15" s="3475"/>
      <c r="Y15" s="3475"/>
      <c r="Z15" s="3475"/>
      <c r="AA15" s="3475"/>
      <c r="AB15" s="3475"/>
      <c r="AC15" s="3475"/>
      <c r="AD15" s="3475"/>
      <c r="AE15" s="3475"/>
      <c r="AF15" s="3475"/>
      <c r="AG15" s="3475"/>
      <c r="AH15" s="3475"/>
      <c r="AI15" s="3475"/>
      <c r="AJ15" s="3475"/>
      <c r="AK15" s="3475"/>
      <c r="AL15" s="3475"/>
      <c r="AM15" s="3475"/>
      <c r="AN15" s="3475"/>
      <c r="AO15" s="3475"/>
      <c r="AP15" s="3475"/>
      <c r="AQ15" s="3475"/>
      <c r="AR15" s="3475"/>
      <c r="AS15" s="3475"/>
      <c r="AT15" s="3475"/>
      <c r="AU15" s="3475"/>
      <c r="AV15" s="3475"/>
      <c r="AW15" s="3446"/>
    </row>
    <row r="16" ht="15" spans="1:49">
      <c r="A16" s="3476"/>
      <c r="B16" s="3476"/>
      <c r="C16" s="3476"/>
      <c r="D16" s="3476"/>
      <c r="E16" s="3476"/>
      <c r="F16" s="3476"/>
      <c r="G16" s="3476"/>
      <c r="H16" s="3476"/>
      <c r="I16" s="3476"/>
      <c r="J16" s="3476"/>
      <c r="K16" s="3476"/>
      <c r="L16" s="3476"/>
      <c r="M16" s="3476"/>
      <c r="N16" s="3476"/>
      <c r="O16" s="3476"/>
      <c r="P16" s="3476"/>
      <c r="Q16" s="3476"/>
      <c r="R16" s="3476"/>
      <c r="S16" s="3476"/>
      <c r="T16" s="3476"/>
      <c r="U16" s="3476"/>
      <c r="V16" s="3476"/>
      <c r="W16" s="3476"/>
      <c r="X16" s="3476"/>
      <c r="Y16" s="3476"/>
      <c r="Z16" s="3476"/>
      <c r="AA16" s="3476"/>
      <c r="AB16" s="3476"/>
      <c r="AC16" s="3476"/>
      <c r="AD16" s="3476"/>
      <c r="AE16" s="3476"/>
      <c r="AF16" s="3476"/>
      <c r="AG16" s="3476"/>
      <c r="AH16" s="3476"/>
      <c r="AI16" s="3476"/>
      <c r="AJ16" s="3476"/>
      <c r="AK16" s="3476"/>
      <c r="AL16" s="3476"/>
      <c r="AM16" s="3476"/>
      <c r="AN16" s="3476"/>
      <c r="AO16" s="3476"/>
      <c r="AP16" s="3476"/>
      <c r="AQ16" s="3476"/>
      <c r="AR16" s="3476"/>
      <c r="AS16" s="3476"/>
      <c r="AT16" s="3476"/>
      <c r="AU16" s="3476"/>
      <c r="AV16" s="3476"/>
      <c r="AW16" s="3477"/>
    </row>
    <row r="17" ht="15" spans="1:49">
      <c r="A17" s="3476"/>
      <c r="B17" s="3476"/>
      <c r="C17" s="3476"/>
      <c r="D17" s="3476"/>
      <c r="E17" s="3476"/>
      <c r="F17" s="3476"/>
      <c r="G17" s="3476"/>
      <c r="H17" s="3476"/>
      <c r="I17" s="3476"/>
      <c r="J17" s="3476"/>
      <c r="K17" s="3476"/>
      <c r="L17" s="3476"/>
      <c r="M17" s="3476"/>
      <c r="N17" s="3476"/>
      <c r="O17" s="3476"/>
      <c r="P17" s="3476"/>
      <c r="Q17" s="3476"/>
      <c r="R17" s="3476"/>
      <c r="S17" s="3476"/>
      <c r="T17" s="3476"/>
      <c r="U17" s="3476"/>
      <c r="V17" s="3476"/>
      <c r="W17" s="3476"/>
      <c r="X17" s="3476"/>
      <c r="Y17" s="3476"/>
      <c r="Z17" s="3476"/>
      <c r="AA17" s="3476"/>
      <c r="AB17" s="3476"/>
      <c r="AC17" s="3476"/>
      <c r="AD17" s="3476"/>
      <c r="AE17" s="3476"/>
      <c r="AF17" s="3476"/>
      <c r="AG17" s="3476"/>
      <c r="AH17" s="3476"/>
      <c r="AI17" s="3476"/>
      <c r="AJ17" s="3476"/>
      <c r="AK17" s="3476"/>
      <c r="AL17" s="3476"/>
      <c r="AM17" s="3476"/>
      <c r="AN17" s="3476"/>
      <c r="AO17" s="3476"/>
      <c r="AP17" s="3476"/>
      <c r="AQ17" s="3476"/>
      <c r="AR17" s="3476"/>
      <c r="AS17" s="3476"/>
      <c r="AT17" s="3476"/>
      <c r="AU17" s="3476"/>
      <c r="AV17" s="3476"/>
      <c r="AW17" s="3477"/>
    </row>
    <row r="18" ht="15.75" spans="1:49">
      <c r="A18" s="3460" t="s">
        <v>6063</v>
      </c>
      <c r="K18" s="3460"/>
      <c r="L18" s="3478"/>
      <c r="M18" s="3479" t="str">
        <f>Firma</f>
        <v>LILIUM ASSET MANAGEMENT d.o.o. Sarajevo</v>
      </c>
      <c r="N18" s="3478"/>
      <c r="O18" s="3478"/>
      <c r="P18" s="3478"/>
      <c r="Q18" s="3478"/>
      <c r="R18" s="3478"/>
      <c r="S18" s="3478"/>
      <c r="T18" s="3478"/>
      <c r="U18" s="3478"/>
      <c r="V18" s="3478"/>
      <c r="W18" s="3478"/>
      <c r="X18" s="3480"/>
      <c r="Y18" s="3480"/>
      <c r="Z18" s="3480"/>
      <c r="AA18" s="3480"/>
      <c r="AB18" s="3480"/>
      <c r="AC18" s="3480"/>
      <c r="AD18" s="3480"/>
      <c r="AE18" s="3480"/>
      <c r="AF18" s="3480"/>
      <c r="AG18" s="3480"/>
      <c r="AH18" s="3480"/>
      <c r="AI18" s="3480"/>
      <c r="AJ18" s="3480"/>
      <c r="AK18" s="3480"/>
      <c r="AL18" s="2211"/>
      <c r="AM18" s="2211"/>
      <c r="AN18" s="2211"/>
      <c r="AO18" s="3480"/>
      <c r="AP18" s="3480"/>
      <c r="AQ18" s="3480"/>
      <c r="AR18" s="3480"/>
      <c r="AS18" s="3480"/>
      <c r="AT18" s="3480"/>
      <c r="AU18" s="3480"/>
      <c r="AV18" s="3445"/>
    </row>
    <row r="19" spans="1:49">
      <c r="A19" s="3460"/>
      <c r="K19" s="3460"/>
      <c r="L19" s="3460"/>
      <c r="M19" s="3481"/>
      <c r="N19" s="3481"/>
      <c r="O19" s="3481"/>
      <c r="P19" s="3481"/>
      <c r="Q19" s="3481"/>
      <c r="R19" s="3481"/>
      <c r="S19" s="3481"/>
      <c r="T19" s="3481"/>
      <c r="U19" s="3481"/>
      <c r="V19" s="3481"/>
      <c r="W19" s="3481"/>
      <c r="X19" s="3482"/>
      <c r="Y19" s="3482"/>
      <c r="Z19" s="3482"/>
      <c r="AA19" s="3482"/>
      <c r="AB19" s="3482"/>
      <c r="AC19" s="3482"/>
      <c r="AD19" s="3482"/>
      <c r="AE19" s="3482"/>
      <c r="AF19" s="3482"/>
      <c r="AG19" s="3482"/>
      <c r="AH19" s="3482"/>
      <c r="AI19" s="3482"/>
      <c r="AJ19" s="3445"/>
      <c r="AK19" s="3445"/>
      <c r="AO19" s="3445"/>
      <c r="AP19" s="3445"/>
      <c r="AQ19" s="3445"/>
      <c r="AR19" s="3445"/>
      <c r="AS19" s="3445"/>
      <c r="AT19" s="3445"/>
      <c r="AU19" s="3445"/>
    </row>
    <row r="20" spans="1:49">
      <c r="A20" s="3460"/>
      <c r="B20" s="3478"/>
      <c r="C20" s="3478"/>
      <c r="D20" s="3478"/>
      <c r="E20" s="3478"/>
      <c r="F20" s="3478"/>
      <c r="G20" s="3478"/>
      <c r="H20" s="3478"/>
      <c r="I20" s="3478"/>
      <c r="J20" s="3478"/>
      <c r="K20" s="3478"/>
      <c r="L20" s="3478"/>
      <c r="M20" s="3478"/>
      <c r="N20" s="3478"/>
      <c r="O20" s="3478"/>
      <c r="P20" s="3478"/>
      <c r="Q20" s="3478"/>
      <c r="R20" s="3478"/>
      <c r="S20" s="3478"/>
      <c r="T20" s="3478"/>
      <c r="U20" s="3478"/>
      <c r="V20" s="3478"/>
      <c r="W20" s="3478"/>
      <c r="X20" s="3480"/>
      <c r="Y20" s="3480"/>
      <c r="Z20" s="3480"/>
      <c r="AA20" s="3480"/>
      <c r="AB20" s="3480"/>
      <c r="AC20" s="3480"/>
      <c r="AD20" s="3480"/>
      <c r="AE20" s="3480"/>
      <c r="AF20" s="3480"/>
      <c r="AG20" s="3480"/>
      <c r="AH20" s="3480"/>
      <c r="AI20" s="3480"/>
      <c r="AJ20" s="3480"/>
      <c r="AK20" s="3480"/>
      <c r="AL20" s="2211"/>
      <c r="AM20" s="2211"/>
      <c r="AN20" s="2211"/>
      <c r="AO20" s="3480"/>
      <c r="AP20" s="3480"/>
      <c r="AQ20" s="3480"/>
      <c r="AR20" s="3480"/>
      <c r="AS20" s="3480"/>
      <c r="AT20" s="3480"/>
      <c r="AU20" s="3480"/>
    </row>
    <row r="21" spans="1:49">
      <c r="A21" s="3460"/>
      <c r="B21" s="3460"/>
      <c r="C21" s="3460"/>
      <c r="D21" s="3460"/>
      <c r="E21" s="3460"/>
      <c r="F21" s="3460"/>
      <c r="G21" s="3460"/>
      <c r="H21" s="3460"/>
      <c r="I21" s="3460"/>
      <c r="J21" s="3460"/>
      <c r="K21" s="3460"/>
      <c r="L21" s="3460"/>
      <c r="M21" s="3460"/>
      <c r="N21" s="3460"/>
      <c r="O21" s="3460"/>
      <c r="P21" s="3460"/>
      <c r="Q21" s="3460"/>
      <c r="R21" s="3460"/>
      <c r="S21" s="3460"/>
      <c r="T21" s="3460"/>
      <c r="U21" s="3460"/>
      <c r="V21" s="3460"/>
      <c r="W21" s="3460"/>
      <c r="X21" s="3445"/>
      <c r="Y21" s="3445"/>
      <c r="Z21" s="3445"/>
      <c r="AA21" s="3445"/>
      <c r="AB21" s="3445"/>
      <c r="AC21" s="3445"/>
      <c r="AD21" s="3445"/>
      <c r="AE21" s="3445"/>
      <c r="AF21" s="3445"/>
      <c r="AG21" s="3445"/>
      <c r="AH21" s="3445"/>
      <c r="AI21" s="3445"/>
      <c r="AJ21" s="3445"/>
      <c r="AK21" s="3445"/>
      <c r="AO21" s="3445"/>
      <c r="AP21" s="3445"/>
      <c r="AQ21" s="3445"/>
      <c r="AR21" s="3445"/>
      <c r="AS21" s="3445"/>
      <c r="AT21" s="3445"/>
      <c r="AU21" s="3445"/>
    </row>
    <row r="22" spans="1:49">
      <c r="A22" s="3460"/>
      <c r="B22" s="3460"/>
      <c r="C22" s="3460"/>
      <c r="D22" s="3460"/>
      <c r="E22" s="3460"/>
      <c r="F22" s="3460"/>
      <c r="G22" s="3460"/>
      <c r="H22" s="3460"/>
      <c r="I22" s="3460"/>
      <c r="J22" s="3460"/>
      <c r="K22" s="3460"/>
      <c r="L22" s="3460"/>
      <c r="M22" s="3460"/>
      <c r="N22" s="3460"/>
      <c r="O22" s="3460"/>
      <c r="P22" s="3460"/>
      <c r="Q22" s="3460"/>
      <c r="R22" s="3460"/>
      <c r="S22" s="3460"/>
      <c r="T22" s="3460"/>
      <c r="U22" s="3460"/>
      <c r="V22" s="3460"/>
      <c r="W22" s="3460"/>
      <c r="X22" s="3445"/>
      <c r="Y22" s="3445"/>
      <c r="Z22" s="3445"/>
      <c r="AA22" s="3445"/>
      <c r="AB22" s="3445"/>
      <c r="AC22" s="3445"/>
      <c r="AD22" s="3445"/>
      <c r="AE22" s="3445"/>
      <c r="AF22" s="3445"/>
      <c r="AG22" s="3445"/>
      <c r="AH22" s="3445"/>
      <c r="AI22" s="3445"/>
      <c r="AJ22" s="3445"/>
      <c r="AK22" s="3445"/>
      <c r="AO22" s="3445"/>
      <c r="AP22" s="3445"/>
      <c r="AQ22" s="3445"/>
      <c r="AS22" s="3483"/>
      <c r="AT22" s="3483"/>
      <c r="AU22" s="3483"/>
    </row>
    <row r="23" ht="15" spans="1:49">
      <c r="A23" s="3460" t="s">
        <v>6064</v>
      </c>
      <c r="B23" s="3460"/>
      <c r="C23" s="3460"/>
      <c r="D23" s="3460"/>
      <c r="E23" s="3460"/>
      <c r="F23" s="3460"/>
      <c r="G23" s="3460"/>
      <c r="H23" s="3460"/>
      <c r="I23" s="3460"/>
      <c r="J23" s="3460"/>
      <c r="K23" s="3460"/>
      <c r="L23" s="3460"/>
      <c r="M23" s="3460"/>
      <c r="N23" s="3460"/>
      <c r="O23" s="3460"/>
      <c r="P23" s="3460"/>
      <c r="Q23" s="3460"/>
      <c r="R23" s="3460"/>
      <c r="S23" s="3460"/>
      <c r="T23"/>
      <c r="U23"/>
      <c r="V23"/>
      <c r="W23"/>
      <c r="X23"/>
      <c r="Y23"/>
      <c r="Z23"/>
      <c r="AA23"/>
      <c r="AB23"/>
      <c r="AC23"/>
      <c r="AD23"/>
      <c r="AE23"/>
      <c r="AF23"/>
      <c r="AG23"/>
      <c r="AH23" s="3484">
        <f>UnosPod!AA8</f>
        <v>4</v>
      </c>
      <c r="AI23" s="3484">
        <f>UnosPod!AB8</f>
        <v>2</v>
      </c>
      <c r="AJ23" s="3484">
        <f>UnosPod!AC8</f>
        <v>0</v>
      </c>
      <c r="AK23" s="3484">
        <f>UnosPod!AD8</f>
        <v>1</v>
      </c>
      <c r="AL23" s="3484">
        <f>UnosPod!AE8</f>
        <v>3</v>
      </c>
      <c r="AM23" s="3484">
        <f>UnosPod!AF8</f>
        <v>3</v>
      </c>
      <c r="AN23" s="3484">
        <f>UnosPod!AG8</f>
        <v>7</v>
      </c>
      <c r="AO23" s="3484">
        <f>UnosPod!AH8</f>
        <v>6</v>
      </c>
      <c r="AP23" s="3484">
        <f>UnosPod!AI8</f>
        <v>7</v>
      </c>
      <c r="AQ23" s="3484">
        <f>UnosPod!AJ8</f>
        <v>0</v>
      </c>
      <c r="AR23" s="3484">
        <f>UnosPod!AK8</f>
        <v>0</v>
      </c>
      <c r="AS23" s="3484">
        <f>UnosPod!AL8</f>
        <v>0</v>
      </c>
      <c r="AT23" s="3484">
        <f>UnosPod!AM8</f>
        <v>9</v>
      </c>
    </row>
    <row r="24" spans="1:49">
      <c r="A24" s="3460"/>
      <c r="B24" s="3460"/>
      <c r="C24" s="3460"/>
      <c r="D24" s="3460"/>
      <c r="E24" s="3460"/>
      <c r="F24" s="3460"/>
      <c r="G24" s="3460"/>
      <c r="H24" s="3460"/>
      <c r="I24" s="3460"/>
      <c r="J24" s="3460"/>
      <c r="K24" s="3460"/>
      <c r="L24" s="3460"/>
      <c r="M24" s="3460"/>
      <c r="N24" s="3460"/>
      <c r="O24" s="3460"/>
      <c r="P24" s="3460"/>
      <c r="Q24" s="3460"/>
      <c r="R24" s="3460"/>
      <c r="S24" s="3460"/>
      <c r="T24"/>
      <c r="U24"/>
      <c r="V24"/>
      <c r="W24"/>
      <c r="X24"/>
      <c r="Y24"/>
      <c r="Z24"/>
      <c r="AA24"/>
      <c r="AB24"/>
      <c r="AC24"/>
      <c r="AD24"/>
      <c r="AE24"/>
      <c r="AF24"/>
      <c r="AG24"/>
      <c r="AH24"/>
      <c r="AO24" s="3445"/>
      <c r="AP24" s="3445"/>
      <c r="AQ24" s="3445"/>
      <c r="AR24" s="3445"/>
      <c r="AS24" s="3445"/>
      <c r="AT24" s="3445"/>
      <c r="AU24" s="3445"/>
    </row>
    <row r="25" spans="1:49">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c r="A26" s="3460"/>
      <c r="B26" s="3460"/>
      <c r="C26" s="3460"/>
      <c r="D26" s="3460"/>
      <c r="E26" s="3460"/>
      <c r="F26" s="3460"/>
      <c r="G26" s="3460"/>
      <c r="H26" s="3460"/>
      <c r="I26" s="3460"/>
      <c r="J26" s="3460"/>
      <c r="K26" s="3460"/>
      <c r="L26" s="3460"/>
      <c r="M26" s="3460"/>
      <c r="N26" s="3460"/>
      <c r="O26" s="3460"/>
      <c r="P26" s="3460"/>
      <c r="Q26" s="3460"/>
      <c r="R26" s="3460"/>
      <c r="S26" s="3460"/>
      <c r="T26" s="3460"/>
      <c r="U26" s="3460"/>
      <c r="V26" s="3460"/>
      <c r="W26" s="3460"/>
      <c r="X26" s="3460"/>
      <c r="Y26" s="3460"/>
      <c r="Z26" s="3460"/>
      <c r="AA26" s="3460"/>
      <c r="AJ26" s="3485"/>
      <c r="AK26" s="3485"/>
      <c r="AO26" s="3445"/>
      <c r="AP26" s="3445"/>
      <c r="AQ26" s="3445"/>
      <c r="AR26" s="3445"/>
      <c r="AS26" s="3445"/>
      <c r="AT26" s="3445"/>
      <c r="AU26" s="3445"/>
    </row>
    <row r="27" ht="15" spans="1:49">
      <c r="A27" s="3460" t="s">
        <v>6065</v>
      </c>
      <c r="E27" s="2211"/>
      <c r="F27" s="2211"/>
      <c r="G27" s="3486" t="str">
        <f>UnosPod!F11</f>
        <v>Sarajevo</v>
      </c>
      <c r="H27" s="3487"/>
      <c r="I27" s="3487"/>
      <c r="J27" s="3478"/>
      <c r="K27" s="3478"/>
      <c r="L27" s="3478"/>
      <c r="M27" s="3478"/>
      <c r="N27" s="3478"/>
      <c r="O27" s="3478"/>
      <c r="P27" s="3478"/>
      <c r="Q27" s="3478"/>
      <c r="R27" s="3478"/>
      <c r="S27" s="3478"/>
      <c r="T27" s="3460"/>
      <c r="U27" s="3460"/>
      <c r="V27" s="3460"/>
      <c r="AH27" s="3460" t="s">
        <v>6066</v>
      </c>
      <c r="AI27" s="3445"/>
      <c r="AJ27" s="3445"/>
      <c r="AK27" s="3445"/>
      <c r="AL27" s="3486" t="str">
        <f>UnosPod!AT11</f>
        <v>Sarajevo-Stari Grad</v>
      </c>
      <c r="AM27" s="3487"/>
      <c r="AN27" s="2211"/>
      <c r="AO27" s="2211"/>
      <c r="AP27" s="2211"/>
      <c r="AQ27" s="2211"/>
      <c r="AR27" s="2211"/>
      <c r="AS27" s="2211"/>
      <c r="AT27" s="2211"/>
      <c r="AU27" s="3445"/>
    </row>
    <row r="28" ht="15" spans="1:49">
      <c r="A28" s="3460"/>
      <c r="B28" s="3460"/>
      <c r="C28" s="3460"/>
      <c r="D28" s="3460"/>
      <c r="E28" s="3460"/>
      <c r="F28" s="3460"/>
      <c r="G28" s="491"/>
      <c r="H28" s="491"/>
      <c r="I28" s="491"/>
      <c r="J28" s="3460"/>
      <c r="K28" s="3460"/>
      <c r="L28" s="3460"/>
      <c r="M28" s="3460"/>
      <c r="N28" s="3460"/>
      <c r="O28" s="3460"/>
      <c r="P28" s="3460"/>
      <c r="Q28" s="3460"/>
      <c r="R28" s="3460"/>
      <c r="S28" s="3460"/>
      <c r="T28" s="3460"/>
      <c r="U28" s="3460"/>
      <c r="V28" s="3460"/>
      <c r="W28" s="3460"/>
      <c r="X28" s="3445"/>
      <c r="Y28" s="3445"/>
      <c r="Z28" s="3445"/>
      <c r="AA28" s="3445"/>
      <c r="AB28" s="3445"/>
      <c r="AC28" s="3445"/>
      <c r="AD28" s="3445"/>
      <c r="AJ28" s="3445"/>
      <c r="AK28" s="3445"/>
      <c r="AL28" s="491"/>
      <c r="AM28" s="491"/>
      <c r="AO28" s="3445"/>
      <c r="AP28" s="3445"/>
      <c r="AQ28" s="3445"/>
      <c r="AR28" s="3445"/>
      <c r="AS28" s="3445"/>
      <c r="AT28" s="3445"/>
      <c r="AU28" s="3445"/>
    </row>
    <row r="29" ht="15" spans="1:49">
      <c r="A29" s="3460"/>
      <c r="B29" s="3460"/>
      <c r="C29" s="3460"/>
      <c r="D29" s="3460"/>
      <c r="E29" s="3460"/>
      <c r="F29" s="3460"/>
      <c r="G29" s="491"/>
      <c r="H29" s="491"/>
      <c r="I29" s="491"/>
      <c r="J29" s="3460"/>
      <c r="K29" s="3460"/>
      <c r="L29" s="3460"/>
      <c r="M29" s="3460"/>
      <c r="N29" s="3460"/>
      <c r="O29" s="3460"/>
      <c r="P29" s="3460"/>
      <c r="Q29" s="3460"/>
      <c r="R29" s="3460"/>
      <c r="S29" s="3460"/>
      <c r="T29" s="3460"/>
      <c r="U29" s="3460"/>
      <c r="V29" s="3460"/>
      <c r="W29" s="3460"/>
      <c r="X29" s="3445"/>
      <c r="Y29" s="3445"/>
      <c r="Z29" s="3445"/>
      <c r="AA29" s="3445"/>
      <c r="AB29" s="3445"/>
      <c r="AC29" s="3445"/>
      <c r="AD29" s="3445"/>
      <c r="AE29" s="3488"/>
      <c r="AF29" s="3445"/>
      <c r="AG29" s="3445"/>
      <c r="AH29" s="3445"/>
      <c r="AI29" s="3460"/>
      <c r="AJ29" s="3445"/>
      <c r="AK29" s="3445"/>
      <c r="AL29" s="491"/>
      <c r="AM29" s="491"/>
      <c r="AO29" s="3445"/>
      <c r="AP29" s="3445"/>
      <c r="AQ29" s="3445"/>
      <c r="AR29" s="3445"/>
      <c r="AS29" s="3445"/>
      <c r="AT29" s="3445"/>
      <c r="AU29" s="3445"/>
    </row>
    <row r="30" ht="15" spans="1:49">
      <c r="A30" s="3460" t="s">
        <v>6067</v>
      </c>
      <c r="F30" s="2211"/>
      <c r="G30" s="3486" t="str">
        <f>Adresa</f>
        <v>Dženetića čikma br.8</v>
      </c>
      <c r="H30" s="3487"/>
      <c r="I30" s="3487"/>
      <c r="J30" s="3478"/>
      <c r="K30" s="3478"/>
      <c r="L30" s="3478"/>
      <c r="M30" s="3478"/>
      <c r="N30" s="3478"/>
      <c r="O30" s="3478"/>
      <c r="P30" s="3478"/>
      <c r="Q30" s="3478"/>
      <c r="R30" s="3478"/>
      <c r="S30" s="3478"/>
      <c r="T30" s="3460"/>
      <c r="U30" s="3460"/>
      <c r="V30" s="3460"/>
      <c r="AH30" s="3460" t="s">
        <v>6068</v>
      </c>
      <c r="AI30" s="3445"/>
      <c r="AJ30" s="3445"/>
      <c r="AK30" s="3445"/>
      <c r="AL30" s="3486" t="str">
        <f>UnosPod!F15</f>
        <v>033/953-480</v>
      </c>
      <c r="AM30" s="3487"/>
      <c r="AN30" s="2211"/>
      <c r="AO30" s="2211"/>
      <c r="AP30" s="2211"/>
      <c r="AQ30" s="2211"/>
      <c r="AR30" s="2211"/>
      <c r="AS30" s="2211"/>
      <c r="AT30" s="2211"/>
      <c r="AU30" s="3483"/>
    </row>
    <row r="31" spans="1:49">
      <c r="AO31" s="3445"/>
      <c r="AP31" s="3445"/>
      <c r="AQ31" s="3445"/>
      <c r="AS31" s="3483"/>
      <c r="AT31" s="3483"/>
      <c r="AU31" s="3483"/>
    </row>
    <row r="32" spans="1:49">
      <c r="A32" s="3460"/>
      <c r="B32" s="3460"/>
      <c r="C32" s="3460"/>
      <c r="D32" s="3460"/>
      <c r="E32" s="3460"/>
      <c r="F32" s="3460"/>
      <c r="G32" s="3460"/>
      <c r="H32" s="3460"/>
      <c r="I32" s="3460"/>
      <c r="J32" s="3460"/>
      <c r="K32" s="3460"/>
      <c r="L32" s="3460"/>
      <c r="M32" s="3460"/>
      <c r="N32" s="3460"/>
      <c r="O32" s="3460"/>
      <c r="P32" s="3460"/>
      <c r="Q32" s="3460"/>
      <c r="R32" s="3460"/>
      <c r="S32" s="3460"/>
      <c r="T32" s="3460"/>
      <c r="U32" s="3460"/>
      <c r="V32" s="3460"/>
      <c r="W32" s="3460"/>
      <c r="X32" s="3445"/>
      <c r="Y32" s="3445"/>
      <c r="Z32" s="3445"/>
      <c r="AA32" s="3445"/>
      <c r="AB32" s="3445"/>
      <c r="AC32" s="3445"/>
      <c r="AD32" s="3445"/>
      <c r="AE32" s="3460"/>
      <c r="AF32" s="3460"/>
      <c r="AG32" s="3460"/>
      <c r="AH32" s="3460"/>
      <c r="AI32" s="3460"/>
      <c r="AJ32" s="3445"/>
      <c r="AK32" s="3445"/>
      <c r="AL32" s="3485"/>
      <c r="AM32" s="3445"/>
      <c r="AN32" s="3445"/>
      <c r="AO32" s="3445"/>
      <c r="AP32" s="3445"/>
      <c r="AQ32" s="3445"/>
      <c r="AS32" s="3483"/>
      <c r="AT32" s="3483"/>
      <c r="AU32" s="3483"/>
    </row>
    <row r="33" spans="1:49">
      <c r="A33" s="3460"/>
      <c r="B33" s="3460"/>
      <c r="C33" s="3460"/>
      <c r="D33" s="3460"/>
      <c r="E33" s="3460"/>
      <c r="F33" s="3460"/>
      <c r="G33" s="3460"/>
      <c r="H33" s="3460"/>
      <c r="I33" s="3460"/>
      <c r="J33" s="3460"/>
      <c r="K33" s="3460"/>
      <c r="L33" s="3460"/>
      <c r="M33" s="3460"/>
      <c r="N33" s="3460"/>
      <c r="O33" s="3460"/>
      <c r="P33" s="3460"/>
      <c r="Q33" s="3460"/>
      <c r="R33" s="3460"/>
      <c r="S33" s="3460"/>
      <c r="T33" s="3460"/>
      <c r="U33" s="3460"/>
      <c r="V33" s="3460"/>
      <c r="W33" s="3460"/>
      <c r="X33" s="3445"/>
      <c r="Y33" s="3445"/>
      <c r="Z33" s="3445"/>
      <c r="AA33" s="3445"/>
      <c r="AB33" s="3445"/>
      <c r="AC33" s="3445"/>
      <c r="AD33" s="3445"/>
      <c r="AE33" s="3460"/>
      <c r="AF33" s="3460"/>
      <c r="AG33" s="3460"/>
      <c r="AH33" s="3460"/>
      <c r="AI33" s="3460"/>
      <c r="AJ33" s="3445"/>
      <c r="AK33" s="3445"/>
      <c r="AL33" s="3485"/>
      <c r="AM33" s="3445"/>
      <c r="AN33" s="3445"/>
      <c r="AO33" s="3445"/>
      <c r="AP33" s="3445"/>
      <c r="AQ33" s="3445"/>
      <c r="AS33" s="3483"/>
      <c r="AT33" s="3483"/>
      <c r="AU33" s="3483"/>
    </row>
    <row r="34" spans="1:49">
      <c r="A34" s="3460"/>
      <c r="B34" s="3460"/>
      <c r="C34" s="3460"/>
      <c r="D34" s="3460"/>
      <c r="E34" s="3460"/>
      <c r="F34" s="3460"/>
      <c r="G34" s="3460"/>
      <c r="H34" s="3460"/>
      <c r="I34" s="3460"/>
      <c r="J34" s="3460"/>
      <c r="K34" s="3460"/>
      <c r="L34" s="3460"/>
      <c r="M34" s="3460"/>
      <c r="N34" s="3460"/>
      <c r="O34" s="3460"/>
      <c r="P34" s="3460"/>
      <c r="Q34" s="3460"/>
      <c r="R34" s="3460"/>
      <c r="S34" s="3460"/>
      <c r="T34" s="3460"/>
      <c r="U34" s="3460"/>
      <c r="V34" s="3460"/>
      <c r="W34" s="3460"/>
      <c r="X34" s="3445"/>
      <c r="Y34" s="3445"/>
      <c r="Z34" s="3445"/>
      <c r="AA34" s="3445"/>
      <c r="AB34" s="3445"/>
      <c r="AC34" s="3445"/>
      <c r="AD34" s="3445"/>
      <c r="AE34" s="3460"/>
      <c r="AF34" s="3460"/>
      <c r="AG34" s="3460"/>
      <c r="AH34" s="3460"/>
      <c r="AI34" s="3460"/>
      <c r="AJ34" s="3445"/>
      <c r="AK34" s="3445"/>
      <c r="AL34" s="3485"/>
      <c r="AM34" s="3445"/>
      <c r="AN34" s="3445"/>
      <c r="AO34" s="3445"/>
      <c r="AP34" s="3445"/>
      <c r="AQ34" s="3445"/>
      <c r="AS34" s="3483"/>
      <c r="AT34" s="3483"/>
      <c r="AU34" s="3483"/>
    </row>
    <row r="35" spans="1:49">
      <c r="A35" s="3460"/>
      <c r="B35" s="3460"/>
      <c r="C35" s="3460"/>
      <c r="D35" s="3460"/>
      <c r="E35" s="3460"/>
      <c r="F35" s="3460"/>
      <c r="G35" s="3460"/>
      <c r="H35" s="3460"/>
      <c r="I35" s="3460"/>
      <c r="J35" s="3460"/>
      <c r="K35" s="3460"/>
      <c r="L35" s="3460"/>
      <c r="M35" s="3460"/>
      <c r="N35" s="3460"/>
      <c r="O35" s="3460"/>
      <c r="P35" s="3460"/>
      <c r="Q35" s="3460"/>
      <c r="R35" s="3460"/>
      <c r="S35" s="3460"/>
      <c r="T35" s="3460"/>
      <c r="U35" s="3460"/>
      <c r="V35" s="3460"/>
      <c r="W35" s="3460"/>
      <c r="X35" s="3445"/>
      <c r="Y35" s="3445"/>
      <c r="Z35" s="3445"/>
      <c r="AA35" s="3445"/>
      <c r="AB35" s="3445"/>
      <c r="AC35" s="3445"/>
      <c r="AD35" s="3445"/>
      <c r="AE35" s="3460"/>
      <c r="AF35" s="3460"/>
      <c r="AG35" s="3460"/>
      <c r="AH35" s="3460"/>
      <c r="AI35" s="3460"/>
      <c r="AJ35" s="3445"/>
      <c r="AK35" s="3445"/>
      <c r="AL35" s="3485"/>
      <c r="AM35" s="3445"/>
      <c r="AN35" s="3445"/>
      <c r="AO35" s="3445"/>
      <c r="AP35" s="3445"/>
      <c r="AQ35" s="3445"/>
      <c r="AS35" s="3483"/>
      <c r="AT35" s="3483"/>
      <c r="AU35" s="3483"/>
    </row>
    <row r="36" ht="13.5" spans="1:49">
      <c r="A36" s="3460" t="s">
        <v>6069</v>
      </c>
      <c r="B36" s="3460"/>
      <c r="C36" s="3460"/>
      <c r="D36" s="3460"/>
      <c r="E36" s="3460"/>
      <c r="F36" s="3460"/>
      <c r="G36" s="3460"/>
      <c r="H36" s="3460"/>
      <c r="I36" s="3460"/>
      <c r="J36" s="3460"/>
      <c r="K36" s="3460"/>
      <c r="L36" s="3460"/>
      <c r="M36" s="3460"/>
      <c r="N36" s="3460"/>
      <c r="O36" s="3460"/>
      <c r="P36" s="3460"/>
      <c r="Q36" s="3460"/>
      <c r="R36" s="3460"/>
      <c r="S36" s="3460"/>
      <c r="T36" s="3460"/>
      <c r="U36" s="3460"/>
      <c r="V36" s="3460"/>
      <c r="W36" s="3460"/>
      <c r="X36" s="3480"/>
      <c r="Y36" s="3480"/>
      <c r="Z36" s="3480"/>
      <c r="AA36" s="3480"/>
      <c r="AB36" s="3480"/>
      <c r="AC36" s="3480"/>
      <c r="AD36" s="3480"/>
      <c r="AE36" s="3478"/>
      <c r="AF36" s="3478"/>
      <c r="AG36" s="3478"/>
      <c r="AH36" s="3478"/>
      <c r="AI36" s="3478"/>
      <c r="AJ36" s="3480"/>
      <c r="AK36" s="3480"/>
      <c r="AL36" s="3489"/>
      <c r="AM36" s="3480"/>
      <c r="AN36" s="3445"/>
      <c r="AO36" s="3445"/>
      <c r="AP36"/>
      <c r="AQ36"/>
      <c r="AR36" s="410"/>
      <c r="AS36" s="410"/>
      <c r="AT36" s="410"/>
      <c r="AU36" s="410"/>
      <c r="AV36"/>
    </row>
    <row r="37" spans="1:49">
      <c r="R37" s="3460"/>
      <c r="S37" s="3460"/>
      <c r="T37" s="3460"/>
      <c r="U37" s="3460"/>
      <c r="V37" s="3460"/>
      <c r="W37" s="3460"/>
      <c r="X37" s="3445"/>
      <c r="Y37" s="3445"/>
      <c r="Z37" s="3445"/>
      <c r="AA37" s="3445"/>
      <c r="AB37" s="3445"/>
      <c r="AC37" s="3445"/>
      <c r="AD37" s="3445"/>
      <c r="AE37" s="3445"/>
      <c r="AF37" s="3445"/>
      <c r="AG37" s="3445"/>
      <c r="AH37" s="3445"/>
      <c r="AI37" s="3445"/>
      <c r="AJ37" s="3445"/>
      <c r="AK37" s="3445"/>
      <c r="AL37" s="3445"/>
      <c r="AM37" s="3445"/>
      <c r="AN37" s="3482"/>
      <c r="AO37" s="3445"/>
      <c r="AP37"/>
      <c r="AQ37"/>
      <c r="AR37"/>
      <c r="AS37"/>
      <c r="AT37"/>
      <c r="AU37"/>
      <c r="AV37"/>
    </row>
    <row r="38" spans="1:49">
      <c r="A38" s="3490" t="s">
        <v>6070</v>
      </c>
      <c r="B38" s="3490"/>
      <c r="C38" s="3490"/>
      <c r="D38" s="3490"/>
      <c r="E38" s="3490"/>
      <c r="F38" s="3490"/>
      <c r="G38" s="3490"/>
      <c r="H38" s="3490"/>
      <c r="I38" s="3490"/>
      <c r="J38" s="3490"/>
      <c r="K38" s="3490"/>
      <c r="L38" s="3490"/>
      <c r="M38" s="3490"/>
      <c r="N38" s="3490"/>
      <c r="O38" s="3490"/>
      <c r="P38" s="3490"/>
      <c r="Q38" s="3490"/>
      <c r="R38" s="3490"/>
      <c r="S38" s="3490"/>
      <c r="T38" s="3490"/>
      <c r="U38" s="3490"/>
      <c r="V38" s="3490"/>
      <c r="W38" s="3490"/>
      <c r="X38" s="3490"/>
      <c r="Y38" s="3490"/>
      <c r="Z38" s="3490"/>
      <c r="AA38" s="3490"/>
      <c r="AB38" s="3490"/>
      <c r="AC38" s="3490"/>
      <c r="AD38" s="3490"/>
      <c r="AE38" s="3490"/>
      <c r="AF38" s="3490"/>
      <c r="AG38" s="3490"/>
      <c r="AH38" s="3490"/>
      <c r="AI38" s="3490"/>
      <c r="AJ38" s="3490"/>
      <c r="AK38" s="3490"/>
      <c r="AL38" s="3490"/>
      <c r="AM38" s="3490"/>
      <c r="AN38" s="3490"/>
      <c r="AO38" s="3490"/>
      <c r="AP38" s="3490"/>
      <c r="AQ38" s="3460"/>
      <c r="AR38" s="3460"/>
      <c r="AS38" s="3491"/>
      <c r="AT38" s="3460"/>
      <c r="AU38" s="3460"/>
      <c r="AV38" s="3445"/>
    </row>
    <row r="39" spans="1:49">
      <c r="A39" s="3490"/>
      <c r="B39" s="3490"/>
      <c r="C39" s="3490"/>
      <c r="D39" s="3490"/>
      <c r="E39" s="3490"/>
      <c r="F39" s="3490"/>
      <c r="G39" s="3490"/>
      <c r="H39" s="3490"/>
      <c r="I39" s="3490"/>
      <c r="J39" s="3490"/>
      <c r="K39" s="3490"/>
      <c r="L39" s="3490"/>
      <c r="M39" s="3490"/>
      <c r="N39" s="3490"/>
      <c r="O39" s="3490"/>
      <c r="P39" s="3490"/>
      <c r="Q39" s="3490"/>
      <c r="R39" s="3490"/>
      <c r="S39" s="3490"/>
      <c r="T39" s="3490"/>
      <c r="U39" s="3490"/>
      <c r="V39" s="3490"/>
      <c r="W39" s="3490"/>
      <c r="X39" s="3490"/>
      <c r="Y39" s="3490"/>
      <c r="Z39" s="3490"/>
      <c r="AA39" s="3490"/>
      <c r="AB39" s="3490"/>
      <c r="AC39" s="3490"/>
      <c r="AD39" s="3490"/>
      <c r="AE39" s="3490"/>
      <c r="AF39" s="3490"/>
      <c r="AG39" s="3490"/>
      <c r="AH39" s="3490"/>
      <c r="AI39" s="3490"/>
      <c r="AJ39" s="3490"/>
      <c r="AK39" s="3490"/>
      <c r="AL39" s="3490"/>
      <c r="AM39" s="3490"/>
      <c r="AN39" s="3490"/>
      <c r="AO39" s="3490"/>
      <c r="AP39" s="3490"/>
      <c r="AQ39" s="3460"/>
      <c r="AR39" s="3460"/>
      <c r="AS39" s="3491"/>
      <c r="AT39" s="3460"/>
      <c r="AU39" s="3460"/>
      <c r="AV39" s="3445"/>
    </row>
    <row r="40" spans="1:49">
      <c r="A40" s="3490"/>
      <c r="B40" s="3490"/>
      <c r="C40" s="3490"/>
      <c r="D40" s="3490"/>
      <c r="E40" s="3490"/>
      <c r="F40" s="3490"/>
      <c r="G40" s="3490"/>
      <c r="H40" s="3490"/>
      <c r="I40" s="3490"/>
      <c r="J40" s="3490"/>
      <c r="K40" s="3490"/>
      <c r="L40" s="3490"/>
      <c r="M40" s="3490"/>
      <c r="N40" s="3490"/>
      <c r="O40" s="3490"/>
      <c r="P40" s="3490"/>
      <c r="Q40" s="3490"/>
      <c r="R40" s="3490"/>
      <c r="S40" s="3490"/>
      <c r="T40" s="3490"/>
      <c r="U40" s="3490"/>
      <c r="V40" s="3490"/>
      <c r="W40" s="3490"/>
      <c r="X40" s="3490"/>
      <c r="Y40" s="3490"/>
      <c r="Z40" s="3490"/>
      <c r="AA40" s="3490"/>
      <c r="AB40" s="3490"/>
      <c r="AC40" s="3490"/>
      <c r="AD40" s="3490"/>
      <c r="AE40" s="3490"/>
      <c r="AF40" s="3490"/>
      <c r="AG40" s="3490"/>
      <c r="AH40" s="3490"/>
      <c r="AI40" s="3490"/>
      <c r="AJ40" s="3490"/>
      <c r="AK40" s="3490"/>
      <c r="AL40" s="3490"/>
      <c r="AM40" s="3490"/>
      <c r="AN40" s="3490"/>
      <c r="AO40" s="3490"/>
      <c r="AP40" s="3490"/>
      <c r="AQ40" s="3460"/>
      <c r="AR40" s="3460"/>
      <c r="AS40" s="3491"/>
      <c r="AT40" s="3460"/>
      <c r="AU40" s="3460"/>
      <c r="AV40" s="3445"/>
    </row>
    <row r="41" spans="1:49">
      <c r="A41" s="3492"/>
      <c r="B41" s="3492"/>
      <c r="C41" s="3492"/>
      <c r="D41" s="3492"/>
      <c r="E41" s="3492"/>
      <c r="F41" s="3492"/>
      <c r="G41" s="3492"/>
      <c r="H41" s="3492"/>
      <c r="I41" s="3492"/>
      <c r="J41" s="3492"/>
      <c r="K41" s="3492"/>
      <c r="L41" s="3492"/>
      <c r="M41" s="3492"/>
      <c r="N41" s="3492"/>
      <c r="O41" s="3492"/>
      <c r="P41" s="3492"/>
      <c r="Q41" s="3492"/>
      <c r="R41" s="3492"/>
      <c r="S41" s="3492"/>
      <c r="T41" s="3492"/>
      <c r="U41" s="3492"/>
      <c r="V41" s="3492"/>
      <c r="W41" s="3492"/>
      <c r="X41" s="3492"/>
      <c r="Y41" s="3492"/>
      <c r="Z41" s="3492"/>
      <c r="AA41" s="3492"/>
      <c r="AB41" s="3492"/>
      <c r="AC41" s="3492"/>
      <c r="AD41" s="3492"/>
      <c r="AE41" s="3492"/>
      <c r="AF41" s="3492"/>
      <c r="AG41" s="3492"/>
      <c r="AH41" s="3492"/>
      <c r="AI41" s="3492"/>
      <c r="AJ41" s="3492"/>
      <c r="AK41" s="3492"/>
      <c r="AL41" s="3492"/>
      <c r="AM41" s="3492"/>
      <c r="AN41" s="3492"/>
      <c r="AO41" s="3492"/>
      <c r="AP41" s="3492"/>
      <c r="AQ41" s="3460"/>
      <c r="AR41" s="3460"/>
      <c r="AS41" s="3491"/>
      <c r="AT41" s="3460"/>
      <c r="AU41" s="3460"/>
      <c r="AV41" s="3445"/>
    </row>
    <row r="42" spans="1:49">
      <c r="A42" s="3493"/>
      <c r="B42" s="3493"/>
      <c r="C42" s="3493"/>
      <c r="D42" s="3493"/>
      <c r="E42" s="3493"/>
      <c r="F42" s="3493"/>
      <c r="G42" s="3493"/>
      <c r="H42" s="3493"/>
      <c r="I42" s="3460"/>
      <c r="J42" s="3460"/>
      <c r="K42" s="3460"/>
      <c r="L42" s="3460"/>
      <c r="M42" s="3460"/>
      <c r="N42" s="3460"/>
      <c r="O42" s="3460"/>
      <c r="P42" s="3460"/>
      <c r="Q42" s="3460"/>
      <c r="R42" s="3460"/>
      <c r="S42" s="3460"/>
      <c r="T42" s="3460"/>
      <c r="U42" s="3460"/>
      <c r="V42" s="3460"/>
      <c r="W42" s="3460"/>
      <c r="X42" s="3445"/>
      <c r="Y42" s="3445"/>
      <c r="Z42" s="3445"/>
      <c r="AA42" s="3445"/>
      <c r="AB42" s="3445"/>
      <c r="AC42" s="3445"/>
      <c r="AJ42" s="3445"/>
      <c r="AK42" s="3445"/>
      <c r="AP42" s="3483"/>
      <c r="AQ42" s="3483"/>
      <c r="AR42" s="3483"/>
      <c r="AS42" s="3483"/>
      <c r="AT42" s="3483"/>
      <c r="AU42" s="3483"/>
      <c r="AV42" s="3483"/>
    </row>
    <row r="43" spans="1:49">
      <c r="A43" s="3460" t="s">
        <v>6071</v>
      </c>
      <c r="B43" s="3460"/>
      <c r="C43" s="3460"/>
      <c r="D43" s="3460"/>
      <c r="E43" s="3460"/>
      <c r="F43" s="3460"/>
      <c r="G43" s="3460"/>
      <c r="H43" s="3460"/>
      <c r="I43" s="3460"/>
      <c r="J43" s="3460"/>
      <c r="K43" s="3460"/>
      <c r="L43" s="3460"/>
      <c r="M43" s="3460"/>
      <c r="N43" s="3460"/>
      <c r="O43" s="3460"/>
      <c r="P43" s="3460"/>
      <c r="Q43" s="3460"/>
      <c r="R43" s="3460"/>
      <c r="S43" s="3460"/>
      <c r="T43" s="3460"/>
      <c r="U43" s="3460"/>
      <c r="V43" s="3460"/>
      <c r="W43" s="3445"/>
      <c r="Z43" s="324" t="s">
        <v>6072</v>
      </c>
      <c r="AV43" s="3445"/>
      <c r="AW43" s="3446"/>
    </row>
    <row r="44" spans="1:49">
      <c r="B44" s="3494" t="s">
        <v>6073</v>
      </c>
      <c r="C44" s="3460"/>
      <c r="D44" s="3460"/>
      <c r="E44" s="3460"/>
      <c r="F44" s="3460"/>
      <c r="G44" s="3460"/>
      <c r="H44" s="3460"/>
      <c r="I44" s="3460"/>
      <c r="J44" s="3460"/>
      <c r="K44" s="3460"/>
      <c r="L44" s="3460"/>
      <c r="M44" s="3460"/>
      <c r="N44" s="3460"/>
      <c r="O44" s="3460"/>
      <c r="P44" s="3460"/>
      <c r="Q44" s="3460"/>
      <c r="R44" s="3460"/>
      <c r="S44" s="3460"/>
      <c r="T44" s="3460"/>
      <c r="U44" s="3460"/>
      <c r="V44" s="3460"/>
      <c r="W44" s="3445"/>
      <c r="Z44" s="572" t="s">
        <v>6074</v>
      </c>
      <c r="AV44" s="3445"/>
      <c r="AW44" s="3446"/>
    </row>
    <row r="45" spans="1:49">
      <c r="A45" s="3445"/>
      <c r="B45" s="3460"/>
      <c r="C45" s="3460"/>
      <c r="D45" s="3460"/>
      <c r="E45" s="3460"/>
      <c r="F45" s="3460"/>
      <c r="G45" s="3460"/>
      <c r="H45" s="3460"/>
      <c r="I45" s="3460"/>
      <c r="J45" s="3460"/>
      <c r="K45" s="3460"/>
      <c r="L45" s="3460"/>
      <c r="M45" s="3460"/>
      <c r="N45" s="3460"/>
      <c r="O45" s="3460"/>
      <c r="P45" s="3460"/>
      <c r="Q45" s="3460"/>
      <c r="R45" s="3460"/>
      <c r="S45" s="3460"/>
      <c r="T45" s="3460"/>
      <c r="U45" s="3460"/>
      <c r="V45" s="3460"/>
      <c r="W45" s="3445"/>
      <c r="AV45" s="3445"/>
      <c r="AW45" s="3446"/>
    </row>
    <row r="46" spans="1:49">
      <c r="A46" s="3460" t="s">
        <v>6075</v>
      </c>
      <c r="B46" s="3460"/>
      <c r="C46" s="3460"/>
      <c r="D46" s="3460"/>
      <c r="E46" s="3460"/>
      <c r="F46" s="3460"/>
      <c r="G46" s="3460"/>
      <c r="H46" s="3460"/>
      <c r="I46" s="3460"/>
      <c r="J46" s="3460"/>
      <c r="K46" s="3460"/>
      <c r="L46" s="3460"/>
      <c r="M46" s="3460"/>
      <c r="N46" s="3460"/>
      <c r="O46" s="3460"/>
      <c r="P46" s="3460"/>
      <c r="Q46" s="3460"/>
      <c r="R46" s="3460"/>
      <c r="S46" s="3460"/>
      <c r="T46" s="3460"/>
      <c r="U46" s="3460"/>
      <c r="V46" s="3460"/>
      <c r="W46" s="3460">
        <v>1</v>
      </c>
      <c r="X46" s="3460"/>
      <c r="Y46" s="3460"/>
      <c r="Z46" s="3460"/>
      <c r="AA46" s="3460"/>
      <c r="AB46" s="3460"/>
      <c r="AC46" s="3460"/>
      <c r="AD46" s="3460"/>
      <c r="AE46" s="3460"/>
      <c r="AF46" s="3460"/>
      <c r="AG46" s="3460"/>
      <c r="AH46" s="3460"/>
      <c r="AI46" s="3460"/>
      <c r="AJ46" s="3460"/>
      <c r="AK46" s="3460"/>
      <c r="AL46" s="3460"/>
      <c r="AM46" s="3460"/>
      <c r="AN46" s="3460"/>
      <c r="AO46" s="3445"/>
      <c r="AP46" s="3445"/>
      <c r="AQ46" s="3445"/>
      <c r="AR46" s="3455"/>
      <c r="AS46" s="3455"/>
      <c r="AT46" s="3455"/>
      <c r="AU46" s="3455"/>
    </row>
    <row r="47" spans="1:49">
      <c r="A47" s="3460" t="s">
        <v>6076</v>
      </c>
      <c r="B47" s="3460"/>
      <c r="C47" s="3460"/>
      <c r="D47" s="3460"/>
      <c r="E47" s="3460"/>
      <c r="F47" s="3460"/>
      <c r="G47" s="3460"/>
      <c r="H47" s="3460"/>
      <c r="I47" s="3460"/>
      <c r="J47" s="3460"/>
      <c r="K47" s="3460"/>
      <c r="L47" s="3460"/>
      <c r="M47" s="3460"/>
      <c r="N47" s="3460"/>
      <c r="O47" s="3460"/>
      <c r="P47" s="3460"/>
      <c r="Q47" s="3460"/>
      <c r="R47" s="3460"/>
      <c r="S47" s="3460"/>
      <c r="T47" s="3460"/>
      <c r="U47" s="3460"/>
      <c r="V47" s="3460"/>
      <c r="W47" s="3495">
        <v>2</v>
      </c>
      <c r="X47" s="3460"/>
      <c r="Y47" s="3460"/>
      <c r="Z47" s="3481"/>
      <c r="AA47" s="3481"/>
      <c r="AB47" s="3481"/>
      <c r="AC47" s="3481"/>
      <c r="AD47" s="3481"/>
      <c r="AE47" s="3481"/>
      <c r="AF47" s="3481"/>
      <c r="AG47" s="3481"/>
      <c r="AH47" s="3481"/>
      <c r="AI47" s="3481"/>
      <c r="AJ47" s="3481"/>
      <c r="AK47" s="3482"/>
      <c r="AL47" s="3445"/>
      <c r="AM47" s="3445"/>
      <c r="AN47" s="3460"/>
      <c r="AO47" s="3460"/>
      <c r="AP47" s="3445"/>
      <c r="AQ47" s="3445"/>
      <c r="AR47" s="3445"/>
      <c r="AS47" s="3445"/>
      <c r="AT47" s="3445"/>
      <c r="AU47" s="3445"/>
    </row>
    <row r="48" spans="1:49">
      <c r="A48" s="3460" t="s">
        <v>6077</v>
      </c>
      <c r="B48" s="3460"/>
      <c r="C48" s="3460"/>
      <c r="D48" s="3460"/>
      <c r="E48" s="3460"/>
      <c r="F48" s="3460"/>
      <c r="G48" s="3460"/>
      <c r="H48" s="3460"/>
      <c r="I48" s="3460"/>
      <c r="J48" s="3460"/>
      <c r="K48" s="3460"/>
      <c r="L48" s="3460"/>
      <c r="M48" s="3460"/>
      <c r="N48" s="3460"/>
      <c r="O48" s="3460"/>
      <c r="P48" s="3460"/>
      <c r="Q48" s="3460"/>
      <c r="R48" s="3460"/>
      <c r="S48" s="3460"/>
      <c r="T48" s="3460"/>
      <c r="U48" s="3460"/>
      <c r="V48" s="3460"/>
      <c r="W48" s="3460">
        <v>3</v>
      </c>
      <c r="X48" s="3460"/>
      <c r="Y48" s="3460"/>
      <c r="Z48" s="3460"/>
      <c r="AA48" s="3460"/>
      <c r="AB48" s="3460"/>
      <c r="AC48" s="3460"/>
      <c r="AD48" s="3460"/>
      <c r="AE48" s="3460"/>
      <c r="AF48" s="3460"/>
      <c r="AG48" s="3460"/>
      <c r="AH48" s="3460"/>
      <c r="AI48" s="3460"/>
      <c r="AJ48" s="3460"/>
      <c r="AK48" s="3445"/>
      <c r="AL48" s="3445"/>
      <c r="AM48" s="3445"/>
      <c r="AN48" s="3460"/>
      <c r="AO48" s="3460"/>
      <c r="AP48" s="3445"/>
      <c r="AQ48" s="3445"/>
      <c r="AR48" s="3455"/>
      <c r="AS48" s="3455"/>
      <c r="AT48" s="3455"/>
      <c r="AU48" s="3455"/>
    </row>
    <row r="49" spans="1:49">
      <c r="A49" s="3460" t="s">
        <v>6078</v>
      </c>
      <c r="B49" s="3460"/>
      <c r="C49" s="3460"/>
      <c r="D49" s="3460"/>
      <c r="E49" s="3460"/>
      <c r="F49" s="3460"/>
      <c r="G49" s="3460"/>
      <c r="H49" s="3460"/>
      <c r="I49" s="3460"/>
      <c r="J49" s="3460"/>
      <c r="K49" s="3460"/>
      <c r="L49" s="3460"/>
      <c r="M49" s="3460"/>
      <c r="N49" s="3460"/>
      <c r="O49" s="3460"/>
      <c r="P49" s="3460"/>
      <c r="Q49" s="3460"/>
      <c r="R49" s="3460"/>
      <c r="S49" s="3460"/>
      <c r="T49" s="3460"/>
      <c r="U49" s="3460"/>
      <c r="V49" s="3460"/>
      <c r="W49" s="3460">
        <v>4</v>
      </c>
      <c r="X49" s="3460"/>
      <c r="Y49" s="3460"/>
      <c r="Z49" s="3481"/>
      <c r="AA49" s="3481"/>
      <c r="AB49" s="3481"/>
      <c r="AC49" s="3481"/>
      <c r="AD49" s="3481"/>
      <c r="AE49" s="3481"/>
      <c r="AF49" s="3481"/>
      <c r="AG49" s="3481"/>
      <c r="AH49" s="3481"/>
      <c r="AI49" s="3481"/>
      <c r="AJ49" s="3481"/>
      <c r="AK49" s="3482"/>
      <c r="AL49" s="3445"/>
      <c r="AM49" s="3445"/>
      <c r="AN49" s="3460"/>
      <c r="AO49" s="3460"/>
      <c r="AP49" s="3445"/>
      <c r="AQ49" s="3445"/>
      <c r="AR49" s="3482"/>
      <c r="AS49" s="3482"/>
      <c r="AT49" s="3482"/>
      <c r="AU49" s="3482"/>
    </row>
    <row r="50" spans="1:49">
      <c r="A50" s="3460" t="s">
        <v>6079</v>
      </c>
      <c r="B50" s="3460"/>
      <c r="C50" s="3460"/>
      <c r="D50" s="3460"/>
      <c r="E50" s="3460"/>
      <c r="F50" s="3460"/>
      <c r="G50" s="3460"/>
      <c r="H50" s="3460"/>
      <c r="I50" s="3460"/>
      <c r="J50" s="3460"/>
      <c r="K50" s="3460"/>
      <c r="L50" s="3460"/>
      <c r="M50" s="3460"/>
      <c r="N50" s="3460"/>
      <c r="O50" s="3460"/>
      <c r="P50" s="3460"/>
      <c r="Q50" s="3460"/>
      <c r="R50" s="3460"/>
      <c r="S50" s="3460"/>
      <c r="T50" s="3460"/>
      <c r="U50" s="3460"/>
      <c r="V50" s="3460"/>
      <c r="W50" s="3460">
        <v>5</v>
      </c>
      <c r="X50" s="3460"/>
      <c r="Y50" s="3460"/>
      <c r="Z50" s="3478"/>
      <c r="AA50" s="3478"/>
      <c r="AB50" s="3478"/>
      <c r="AC50" s="3478"/>
      <c r="AD50" s="3478"/>
      <c r="AE50" s="3478"/>
      <c r="AF50" s="3478"/>
      <c r="AG50" s="3478"/>
      <c r="AH50" s="3478"/>
      <c r="AI50" s="3478"/>
      <c r="AJ50" s="3478"/>
      <c r="AK50" s="3480"/>
      <c r="AL50" s="3445"/>
      <c r="AM50" s="3445"/>
      <c r="AN50" s="3460"/>
      <c r="AO50" s="3460"/>
      <c r="AP50" s="3445"/>
      <c r="AQ50" s="3445"/>
      <c r="AR50" s="3455"/>
      <c r="AS50" s="3455"/>
      <c r="AT50" s="3455"/>
      <c r="AU50" s="3455"/>
    </row>
    <row r="51" spans="1:49">
      <c r="A51" s="3460"/>
      <c r="B51" s="3460"/>
      <c r="C51" s="3460"/>
      <c r="D51" s="3460"/>
      <c r="E51" s="3460"/>
      <c r="F51" s="3460"/>
      <c r="G51" s="3460"/>
      <c r="H51" s="3460"/>
      <c r="I51" s="3460"/>
      <c r="J51" s="3460"/>
      <c r="K51" s="3460"/>
      <c r="L51" s="3460"/>
      <c r="M51" s="3460"/>
      <c r="N51" s="3460"/>
      <c r="O51" s="3460"/>
      <c r="P51" s="3460"/>
      <c r="Q51" s="3460"/>
      <c r="R51" s="3460"/>
      <c r="S51" s="3460"/>
      <c r="T51" s="3460"/>
      <c r="U51" s="3460"/>
      <c r="V51" s="3460"/>
      <c r="W51" s="3460"/>
      <c r="X51" s="3460"/>
      <c r="Y51" s="3460"/>
      <c r="AM51" s="3445"/>
      <c r="AN51" s="3460"/>
      <c r="AO51" s="3460"/>
      <c r="AP51" s="3445"/>
    </row>
    <row r="52" spans="1:49">
      <c r="A52" s="3460"/>
      <c r="B52" s="3460"/>
      <c r="C52" s="3460"/>
      <c r="D52" s="3460"/>
      <c r="E52" s="3460"/>
      <c r="F52" s="3460"/>
      <c r="G52" s="3460"/>
      <c r="H52" s="3460"/>
      <c r="I52" s="3460"/>
      <c r="J52" s="3460"/>
      <c r="K52" s="3460"/>
      <c r="L52" s="3460"/>
      <c r="M52" s="3460"/>
      <c r="N52" s="3460"/>
      <c r="O52" s="3460"/>
      <c r="P52" s="3460"/>
      <c r="Q52" s="3460"/>
      <c r="R52" s="3460"/>
      <c r="S52" s="3460"/>
      <c r="T52" s="3460"/>
      <c r="U52" s="3460"/>
      <c r="V52" s="3460"/>
      <c r="W52" s="3460"/>
      <c r="X52" s="3460"/>
      <c r="Y52" s="3460"/>
      <c r="AM52" s="3445"/>
      <c r="AN52" s="3460"/>
      <c r="AO52" s="3460"/>
      <c r="AP52" s="3445"/>
      <c r="AQ52" s="3445"/>
    </row>
    <row r="53" spans="1:49">
      <c r="A53" s="3460" t="str">
        <f ca="1">"7) Broj lokalnih jedinica na dan 31.12."&amp;PoslGod&amp;".  2)"</f>
        <v>7) Broj lokalnih jedinica na dan 31.12.2025.  2)</v>
      </c>
      <c r="B53" s="3460"/>
      <c r="C53" s="3460"/>
      <c r="D53" s="3460"/>
      <c r="E53" s="3460"/>
      <c r="F53" s="3460"/>
      <c r="G53" s="3460"/>
      <c r="H53" s="3460"/>
      <c r="I53" s="3460"/>
      <c r="J53" s="3460"/>
      <c r="K53" s="3460"/>
      <c r="L53" s="3460"/>
      <c r="M53" s="3460"/>
      <c r="N53" s="3460"/>
      <c r="O53" s="3460"/>
      <c r="P53" s="3460"/>
      <c r="Q53" s="3460"/>
      <c r="R53" s="3460"/>
      <c r="S53" s="3460"/>
      <c r="T53" s="3460"/>
      <c r="U53" s="3460"/>
      <c r="V53" s="3460"/>
      <c r="W53" s="3460"/>
      <c r="X53" s="3460"/>
      <c r="Y53" s="3460"/>
      <c r="Z53" s="3460"/>
      <c r="AA53" s="3460"/>
      <c r="AB53" s="3460"/>
      <c r="AC53" s="3460"/>
      <c r="AD53" s="3460"/>
      <c r="AE53" s="3460"/>
      <c r="AI53" s="3460"/>
      <c r="AJ53" s="3460"/>
      <c r="AK53" s="3460"/>
      <c r="AN53" s="3460"/>
      <c r="AO53" s="3460"/>
      <c r="AP53" s="3445"/>
      <c r="AQ53" s="3445"/>
      <c r="AR53" s="3445"/>
      <c r="AS53" s="3445"/>
      <c r="AT53" s="3496">
        <f>UnosPod!F20</f>
        <v>1</v>
      </c>
      <c r="AU53" s="3497"/>
    </row>
    <row r="54" spans="1:49">
      <c r="A54" s="3460"/>
      <c r="B54" s="3460"/>
      <c r="C54" s="3460"/>
      <c r="D54" s="3460"/>
      <c r="E54" s="3460"/>
      <c r="F54" s="3460"/>
      <c r="G54" s="3460"/>
      <c r="H54" s="3460"/>
      <c r="I54" s="3460"/>
      <c r="J54" s="3460"/>
      <c r="K54" s="3460"/>
      <c r="L54" s="3460"/>
      <c r="M54" s="3460"/>
      <c r="N54" s="3460"/>
      <c r="O54" s="3460"/>
      <c r="P54" s="3460"/>
      <c r="Q54" s="3460"/>
      <c r="R54" s="3460"/>
      <c r="S54" s="3460"/>
      <c r="T54" s="3460"/>
      <c r="U54" s="3460"/>
      <c r="V54" s="3460"/>
      <c r="W54" s="3460"/>
      <c r="X54" s="3460"/>
      <c r="Y54" s="3460"/>
      <c r="Z54" s="3460"/>
      <c r="AA54" s="3460"/>
      <c r="AB54" s="3460"/>
      <c r="AC54" s="3460"/>
      <c r="AD54" s="3460"/>
      <c r="AE54" s="3460"/>
      <c r="AI54" s="3460"/>
      <c r="AJ54" s="3460"/>
      <c r="AK54" s="3460"/>
      <c r="AN54" s="3460"/>
      <c r="AO54" s="3460"/>
      <c r="AP54" s="3445"/>
      <c r="AQ54" s="3445"/>
      <c r="AR54" s="3445"/>
      <c r="AS54" s="3445"/>
      <c r="AT54" s="3460"/>
      <c r="AU54" s="3460"/>
    </row>
    <row r="56" spans="1:49">
      <c r="A56" s="3460" t="s">
        <v>6080</v>
      </c>
      <c r="B56" s="3460"/>
      <c r="C56" s="3460"/>
      <c r="D56" s="3460"/>
      <c r="E56" s="3460"/>
      <c r="F56" s="3460"/>
      <c r="G56" s="3460"/>
      <c r="H56" s="3460"/>
      <c r="I56" s="3460"/>
      <c r="J56" s="3460"/>
      <c r="K56" s="3460"/>
      <c r="L56" s="3460"/>
      <c r="M56" s="3460"/>
      <c r="N56" s="3460"/>
      <c r="O56" s="3460"/>
      <c r="P56" s="3460"/>
      <c r="Q56" s="3460"/>
      <c r="R56" s="3460"/>
      <c r="S56" s="3460"/>
      <c r="T56" s="3460"/>
      <c r="U56" s="3460"/>
      <c r="V56" s="3460"/>
      <c r="W56" s="3460"/>
      <c r="X56" s="3460"/>
      <c r="Y56" s="3460"/>
      <c r="Z56" s="3460"/>
      <c r="AA56" s="3460"/>
      <c r="AB56" s="3460"/>
      <c r="AC56" s="3460"/>
      <c r="AD56" s="3460"/>
      <c r="AE56" s="3460"/>
      <c r="AF56" s="3460"/>
      <c r="AG56" s="3460"/>
      <c r="AH56" s="3460"/>
      <c r="AI56" s="3460"/>
      <c r="AJ56" s="3460"/>
      <c r="AK56" s="3460"/>
      <c r="AL56" s="3460"/>
      <c r="AM56" s="3460"/>
      <c r="AN56" s="3460"/>
      <c r="AO56" s="3445"/>
      <c r="AP56" s="3445"/>
      <c r="AQ56" s="3445"/>
      <c r="AR56" s="3445"/>
      <c r="AS56" s="3445"/>
      <c r="AT56" s="3445"/>
      <c r="AU56" s="3445"/>
      <c r="AV56" s="3445"/>
      <c r="AW56" s="324"/>
    </row>
    <row r="57" spans="1:49">
      <c r="A57" s="3494" t="s">
        <v>6081</v>
      </c>
      <c r="B57" s="3460"/>
      <c r="C57" s="3460"/>
      <c r="D57" s="3460"/>
      <c r="E57" s="3460"/>
      <c r="F57" s="3460"/>
      <c r="G57" s="3460"/>
      <c r="H57" s="3460"/>
      <c r="I57" s="3460"/>
      <c r="J57" s="3460"/>
      <c r="K57" s="3460"/>
      <c r="L57" s="3460"/>
      <c r="M57" s="3460"/>
      <c r="N57" s="3460"/>
      <c r="O57" s="3460"/>
      <c r="P57" s="3460"/>
      <c r="Q57" s="3460"/>
      <c r="R57" s="3460"/>
      <c r="S57" s="3460"/>
      <c r="T57" s="3460"/>
      <c r="U57" s="3460"/>
      <c r="V57" s="3460"/>
      <c r="W57" s="3460"/>
      <c r="X57" s="3460"/>
      <c r="Y57" s="3460"/>
      <c r="Z57" s="3460"/>
      <c r="AA57" s="3460"/>
      <c r="AB57" s="3460"/>
      <c r="AC57" s="3460"/>
      <c r="AD57" s="3460"/>
      <c r="AE57" s="3460"/>
      <c r="AF57" s="3460"/>
      <c r="AG57" s="3460"/>
      <c r="AH57" s="3460"/>
      <c r="AI57" s="3460"/>
      <c r="AJ57" s="3460"/>
      <c r="AK57" s="3460"/>
      <c r="AL57" s="3460"/>
      <c r="AM57" s="3460"/>
      <c r="AN57" s="3460"/>
      <c r="AO57" s="3445"/>
      <c r="AP57" s="3445"/>
      <c r="AQ57" s="3445"/>
      <c r="AR57" s="3445"/>
      <c r="AS57" s="3445"/>
      <c r="AT57" s="3445"/>
      <c r="AU57" s="3445"/>
      <c r="AV57" s="3445"/>
      <c r="AW57" s="324"/>
    </row>
    <row r="58" spans="1:49">
      <c r="A58" s="3460"/>
      <c r="B58" s="3460"/>
      <c r="C58" s="3460"/>
      <c r="D58" s="3460"/>
      <c r="E58" s="3460"/>
      <c r="F58" s="3460"/>
      <c r="G58" s="3460"/>
      <c r="H58" s="3460"/>
      <c r="I58" s="3460"/>
      <c r="J58" s="3460"/>
      <c r="K58" s="3445"/>
      <c r="L58" s="3445"/>
      <c r="M58" s="3445"/>
      <c r="N58" s="3445"/>
      <c r="O58" s="3445"/>
      <c r="P58" s="3460" t="s">
        <v>6082</v>
      </c>
      <c r="Q58" s="3460"/>
      <c r="R58" s="3460"/>
      <c r="S58" s="3460"/>
      <c r="T58" s="3460"/>
      <c r="U58" s="3460">
        <v>1</v>
      </c>
      <c r="V58" s="3460"/>
      <c r="W58" s="3460"/>
      <c r="X58" s="3460" t="s">
        <v>6083</v>
      </c>
      <c r="AF58" s="3460">
        <v>4</v>
      </c>
      <c r="AH58" s="3460"/>
      <c r="AI58" s="3460"/>
      <c r="AJ58" s="3460"/>
      <c r="AK58" s="3460"/>
      <c r="AL58" s="3460"/>
      <c r="AM58" s="3460"/>
      <c r="AN58" s="3460"/>
      <c r="AO58" s="3445"/>
      <c r="AP58" s="3445"/>
      <c r="AQ58" s="3445"/>
      <c r="AR58" s="3445"/>
      <c r="AS58" s="3445"/>
      <c r="AT58" s="3445"/>
      <c r="AU58" s="3445"/>
      <c r="AV58" s="3445"/>
      <c r="AW58" s="324"/>
    </row>
    <row r="59" spans="1:49">
      <c r="A59" s="3460"/>
      <c r="B59" s="3460"/>
      <c r="C59" s="3460"/>
      <c r="D59" s="3460"/>
      <c r="E59" s="3460"/>
      <c r="F59" s="3460"/>
      <c r="G59" s="3460"/>
      <c r="H59" s="3460"/>
      <c r="I59" s="3460"/>
      <c r="J59" s="3460"/>
      <c r="K59" s="3445"/>
      <c r="L59" s="3445"/>
      <c r="M59" s="3445"/>
      <c r="N59" s="3445"/>
      <c r="O59" s="3445"/>
      <c r="P59" s="3460" t="s">
        <v>6084</v>
      </c>
      <c r="Q59" s="3460"/>
      <c r="R59" s="3460"/>
      <c r="S59" s="3460"/>
      <c r="T59" s="3460"/>
      <c r="U59" s="3460">
        <v>2</v>
      </c>
      <c r="V59" s="3460"/>
      <c r="W59" s="3460"/>
      <c r="X59" s="3460" t="s">
        <v>6085</v>
      </c>
      <c r="Y59" s="3460"/>
      <c r="Z59" s="3460"/>
      <c r="AA59" s="3460"/>
      <c r="AB59" s="3460"/>
      <c r="AC59" s="3460"/>
      <c r="AD59" s="3460"/>
      <c r="AE59" s="3445"/>
      <c r="AF59" s="3460">
        <v>5</v>
      </c>
      <c r="AG59" s="3460"/>
      <c r="AH59" s="3445"/>
      <c r="AI59" s="3445"/>
      <c r="AJ59" s="3460" t="s">
        <v>6086</v>
      </c>
      <c r="AK59" s="3460"/>
      <c r="AL59" s="3460"/>
      <c r="AM59" s="3460"/>
      <c r="AN59" s="3460"/>
      <c r="AO59" s="3498"/>
      <c r="AP59" s="3498"/>
      <c r="AQ59" s="3445"/>
      <c r="AR59" s="3498">
        <v>2</v>
      </c>
      <c r="AS59" s="3498">
        <v>0</v>
      </c>
      <c r="AT59" s="3498">
        <v>2</v>
      </c>
      <c r="AU59" s="3498">
        <f>UnosPod!AH22-1</f>
        <v>5</v>
      </c>
      <c r="AW59" s="3445"/>
    </row>
    <row r="60" spans="1:49">
      <c r="A60" s="3460"/>
      <c r="B60" s="3460"/>
      <c r="C60" s="3460"/>
      <c r="D60" s="3460"/>
      <c r="E60" s="3460"/>
      <c r="F60" s="3460"/>
      <c r="G60" s="3460"/>
      <c r="H60" s="3460"/>
      <c r="I60" s="3460"/>
      <c r="J60" s="3460"/>
      <c r="K60" s="3445"/>
      <c r="L60" s="3445"/>
      <c r="M60" s="3445"/>
      <c r="N60" s="3445"/>
      <c r="O60" s="3445"/>
      <c r="P60" s="3460" t="s">
        <v>6087</v>
      </c>
      <c r="Q60" s="3460"/>
      <c r="R60" s="3460"/>
      <c r="S60" s="3460"/>
      <c r="T60" s="3460"/>
      <c r="U60" s="3460">
        <v>3</v>
      </c>
      <c r="V60" s="3460"/>
      <c r="W60" s="3460"/>
      <c r="X60" s="3460" t="s">
        <v>6088</v>
      </c>
      <c r="Y60" s="3460"/>
      <c r="Z60" s="3460"/>
      <c r="AA60" s="3460"/>
      <c r="AB60" s="3460"/>
      <c r="AC60" s="3460"/>
      <c r="AD60" s="3460"/>
      <c r="AE60" s="3445"/>
      <c r="AF60" s="3460">
        <v>6</v>
      </c>
      <c r="AG60" s="3460"/>
      <c r="AH60" s="3460"/>
      <c r="AI60" s="3460"/>
      <c r="AJ60" s="3460"/>
      <c r="AK60" s="3460"/>
      <c r="AL60" s="3460"/>
      <c r="AM60" s="3460"/>
      <c r="AN60" s="3460"/>
      <c r="AO60" s="3445" t="s">
        <v>6089</v>
      </c>
      <c r="AP60" s="3445"/>
      <c r="AQ60" s="3445"/>
      <c r="AR60" s="3452" t="s">
        <v>6090</v>
      </c>
      <c r="AS60" s="3452"/>
      <c r="AT60" s="3452"/>
      <c r="AU60" s="3452"/>
      <c r="AW60" s="3499"/>
    </row>
    <row r="61" spans="1:49">
      <c r="A61" s="3460"/>
      <c r="B61" s="3460"/>
      <c r="C61" s="3460"/>
      <c r="D61" s="3460"/>
      <c r="E61" s="3460"/>
      <c r="F61" s="3460"/>
      <c r="G61" s="3460"/>
      <c r="H61" s="3460"/>
      <c r="I61" s="3460"/>
      <c r="J61" s="3460"/>
      <c r="K61" s="3445"/>
      <c r="L61" s="3445"/>
      <c r="M61" s="3445"/>
      <c r="N61" s="3445"/>
      <c r="O61" s="3445"/>
      <c r="Q61" s="3460"/>
      <c r="R61" s="3460"/>
      <c r="S61" s="3460"/>
      <c r="T61" s="3460"/>
      <c r="V61" s="3460"/>
      <c r="W61" s="3460"/>
      <c r="X61" s="3460" t="s">
        <v>6091</v>
      </c>
      <c r="Y61" s="3460"/>
      <c r="Z61" s="3460"/>
      <c r="AA61" s="3460"/>
      <c r="AB61" s="3460"/>
      <c r="AC61" s="3460"/>
      <c r="AD61" s="3460"/>
      <c r="AE61" s="3445"/>
      <c r="AF61" s="3460">
        <v>7</v>
      </c>
      <c r="AG61" s="3460"/>
      <c r="AH61" s="3460"/>
      <c r="AI61" s="3460"/>
      <c r="AJ61" s="3460"/>
      <c r="AK61" s="3460"/>
      <c r="AL61" s="3460"/>
      <c r="AM61" s="3460"/>
      <c r="AN61" s="3460"/>
      <c r="AO61" s="3445"/>
      <c r="AP61" s="3445"/>
      <c r="AQ61" s="3445"/>
      <c r="AR61" s="3445"/>
      <c r="AS61" s="3483"/>
      <c r="AT61" s="3483"/>
      <c r="AU61" s="3483"/>
      <c r="AV61" s="3483"/>
      <c r="AW61" s="3445"/>
    </row>
    <row r="62" spans="1:49">
      <c r="A62" s="3460"/>
      <c r="B62" s="3460"/>
      <c r="C62" s="3460"/>
      <c r="D62" s="3460"/>
      <c r="E62" s="3460"/>
      <c r="F62" s="3460"/>
      <c r="G62" s="3460"/>
      <c r="H62" s="3460"/>
      <c r="I62" s="3460"/>
      <c r="J62" s="3460"/>
      <c r="K62" s="3445"/>
      <c r="L62" s="3445"/>
      <c r="M62" s="3445"/>
      <c r="N62" s="3445"/>
      <c r="O62" s="3445"/>
      <c r="P62" s="3460"/>
      <c r="Q62" s="3460"/>
      <c r="R62" s="3460"/>
      <c r="S62" s="3460"/>
      <c r="T62" s="3460"/>
      <c r="U62" s="3460"/>
      <c r="V62" s="3460"/>
      <c r="W62" s="3460"/>
      <c r="X62" s="3460"/>
      <c r="Y62" s="3460"/>
      <c r="Z62" s="3460"/>
      <c r="AA62" s="3460"/>
      <c r="AB62" s="3460"/>
      <c r="AC62" s="3460"/>
      <c r="AD62" s="3460"/>
      <c r="AE62" s="3445"/>
      <c r="AF62" s="3460"/>
      <c r="AG62" s="3460"/>
      <c r="AH62" s="3460"/>
      <c r="AI62" s="3460"/>
      <c r="AJ62" s="3460"/>
      <c r="AK62" s="3460"/>
      <c r="AL62" s="3460"/>
      <c r="AM62" s="3460"/>
      <c r="AN62" s="3460"/>
      <c r="AO62" s="3445"/>
      <c r="AP62" s="3445"/>
      <c r="AQ62" s="3445"/>
      <c r="AR62" s="3445"/>
      <c r="AS62" s="3483"/>
      <c r="AT62" s="3483"/>
      <c r="AU62" s="3483"/>
      <c r="AV62" s="3483"/>
      <c r="AW62" s="3445"/>
    </row>
    <row r="64" ht="13.5" spans="1:49">
      <c r="A64" s="3500" t="s">
        <v>6092</v>
      </c>
      <c r="B64" s="3500"/>
      <c r="C64" s="3500"/>
      <c r="D64" s="3500"/>
      <c r="E64" s="3500"/>
      <c r="F64" s="3500"/>
      <c r="G64" s="3500"/>
      <c r="H64" s="3500"/>
      <c r="I64" s="3500"/>
      <c r="J64" s="3500"/>
      <c r="K64" s="3500"/>
      <c r="L64" s="3500"/>
      <c r="M64" s="3500"/>
      <c r="N64" s="3500"/>
      <c r="O64" s="3500"/>
      <c r="P64" s="3500"/>
      <c r="Q64" s="3500"/>
      <c r="R64" s="3500"/>
      <c r="S64" s="3500"/>
      <c r="T64" s="3500"/>
      <c r="U64" s="3500"/>
      <c r="V64" s="3500"/>
      <c r="W64" s="3500"/>
      <c r="X64" s="3500"/>
      <c r="Y64" s="3500"/>
      <c r="Z64" s="3500"/>
      <c r="AA64" s="3500"/>
      <c r="AB64" s="3500"/>
      <c r="AC64" s="3500"/>
      <c r="AD64" s="3500"/>
      <c r="AE64" s="3500"/>
      <c r="AF64" s="3500"/>
      <c r="AG64" s="3500"/>
      <c r="AH64" s="3500"/>
      <c r="AI64" s="3500"/>
      <c r="AJ64" s="3500"/>
      <c r="AK64" s="3500"/>
      <c r="AL64" s="3500"/>
      <c r="AM64" s="3500"/>
      <c r="AN64" s="3500"/>
      <c r="AO64" s="3445"/>
      <c r="AP64" s="3445"/>
      <c r="AQ64" s="3445"/>
      <c r="AR64" s="3445"/>
      <c r="AS64" s="3445"/>
      <c r="AT64" s="3445"/>
      <c r="AU64" s="3445"/>
      <c r="AV64" s="3445"/>
      <c r="AW64" s="3445"/>
    </row>
    <row r="65" spans="1:49">
      <c r="A65" s="3501" t="s">
        <v>6093</v>
      </c>
      <c r="B65" s="3501"/>
      <c r="C65" s="3501"/>
      <c r="D65" s="3501"/>
      <c r="E65" s="3501"/>
      <c r="F65" s="3501"/>
      <c r="G65" s="3501"/>
      <c r="H65" s="3501"/>
      <c r="I65" s="3501"/>
      <c r="J65" s="3501"/>
      <c r="K65" s="3501"/>
      <c r="L65" s="3501"/>
      <c r="M65" s="3501"/>
      <c r="N65" s="3501"/>
      <c r="O65" s="3501"/>
      <c r="P65" s="3501"/>
      <c r="Q65" s="3501"/>
      <c r="R65" s="3501"/>
      <c r="S65" s="3501"/>
      <c r="T65" s="3501"/>
      <c r="U65" s="3501"/>
      <c r="V65" s="3501"/>
      <c r="W65" s="3501"/>
      <c r="X65" s="3501"/>
      <c r="Y65" s="3501"/>
      <c r="Z65" s="3501"/>
      <c r="AA65" s="3501"/>
      <c r="AB65" s="3501"/>
      <c r="AC65" s="3501"/>
      <c r="AD65" s="3501"/>
      <c r="AE65" s="3501"/>
      <c r="AF65" s="3501"/>
      <c r="AG65" s="3501"/>
      <c r="AH65" s="3501"/>
      <c r="AI65" s="3501"/>
      <c r="AJ65" s="3501"/>
      <c r="AK65" s="3501"/>
      <c r="AL65" s="3501"/>
      <c r="AM65" s="3501"/>
      <c r="AN65" s="3501"/>
      <c r="AO65" s="3501"/>
      <c r="AP65" s="3501"/>
      <c r="AQ65" s="3501"/>
      <c r="AR65" s="3501"/>
      <c r="AS65" s="3501"/>
      <c r="AT65" s="3501"/>
      <c r="AU65" s="3501"/>
      <c r="AV65" s="3501"/>
      <c r="AW65" s="3502"/>
    </row>
    <row r="66" spans="1:49">
      <c r="A66" s="3501"/>
      <c r="B66" s="3501"/>
      <c r="C66" s="3501"/>
      <c r="D66" s="3501"/>
      <c r="E66" s="3501"/>
      <c r="F66" s="3501"/>
      <c r="G66" s="3501"/>
      <c r="H66" s="3501"/>
      <c r="I66" s="3501"/>
      <c r="J66" s="3501"/>
      <c r="K66" s="3501"/>
      <c r="L66" s="3501"/>
      <c r="M66" s="3501"/>
      <c r="N66" s="3501"/>
      <c r="O66" s="3501"/>
      <c r="P66" s="3501"/>
      <c r="Q66" s="3501"/>
      <c r="R66" s="3501"/>
      <c r="S66" s="3501"/>
      <c r="T66" s="3501"/>
      <c r="U66" s="3501"/>
      <c r="V66" s="3501"/>
      <c r="W66" s="3501"/>
      <c r="X66" s="3501"/>
      <c r="Y66" s="3501"/>
      <c r="Z66" s="3501"/>
      <c r="AA66" s="3501"/>
      <c r="AB66" s="3501"/>
      <c r="AC66" s="3501"/>
      <c r="AD66" s="3501"/>
      <c r="AE66" s="3501"/>
      <c r="AF66" s="3501"/>
      <c r="AG66" s="3501"/>
      <c r="AH66" s="3501"/>
      <c r="AI66" s="3501"/>
      <c r="AJ66" s="3501"/>
      <c r="AK66" s="3501"/>
      <c r="AL66" s="3501"/>
      <c r="AM66" s="3501"/>
      <c r="AN66" s="3501"/>
      <c r="AO66" s="3501"/>
      <c r="AP66" s="3501"/>
      <c r="AQ66" s="3501"/>
      <c r="AR66" s="3501"/>
      <c r="AS66" s="3501"/>
      <c r="AT66" s="3501"/>
      <c r="AU66" s="3501"/>
      <c r="AV66" s="3501"/>
      <c r="AW66" s="3502"/>
    </row>
    <row r="67" spans="1:49">
      <c r="A67" s="3503" t="s">
        <v>6094</v>
      </c>
      <c r="B67" s="3504"/>
      <c r="C67" s="3504"/>
      <c r="D67" s="2297"/>
      <c r="E67" s="2297"/>
      <c r="F67" s="2297"/>
      <c r="G67" s="2297"/>
      <c r="H67" s="2297"/>
      <c r="I67" s="2297"/>
      <c r="J67" s="2297"/>
      <c r="K67" s="2297"/>
      <c r="L67" s="2297"/>
      <c r="M67" s="2297"/>
      <c r="N67" s="2297"/>
      <c r="O67" s="2297"/>
      <c r="P67" s="2297"/>
      <c r="Q67" s="2297"/>
      <c r="R67" s="2297"/>
      <c r="S67" s="2297"/>
      <c r="T67" s="2297"/>
      <c r="U67" s="2297"/>
      <c r="V67" s="2297"/>
      <c r="W67" s="2297"/>
      <c r="X67" s="2297"/>
      <c r="Y67" s="2297"/>
      <c r="Z67" s="2297"/>
      <c r="AA67" s="2297"/>
      <c r="AB67" s="2297"/>
      <c r="AC67" s="2297"/>
      <c r="AD67" s="2297"/>
      <c r="AE67" s="2297"/>
      <c r="AF67" s="2297"/>
      <c r="AG67" s="2297"/>
      <c r="AH67" s="2297"/>
      <c r="AI67" s="2297"/>
      <c r="AJ67" s="2297"/>
      <c r="AK67" s="2297"/>
      <c r="AL67" s="2297"/>
      <c r="AM67" s="2297"/>
      <c r="AN67" s="2297"/>
      <c r="AO67" s="2297"/>
      <c r="AP67" s="2297"/>
      <c r="AQ67" s="2297"/>
      <c r="AR67" s="2297"/>
      <c r="AS67" s="2297"/>
      <c r="AT67" s="2297"/>
      <c r="AU67" s="2297"/>
      <c r="AV67" s="3504"/>
      <c r="AW67" s="3445"/>
    </row>
    <row r="68" spans="1:49">
      <c r="A68" s="2178"/>
      <c r="B68" s="578"/>
      <c r="C68" s="578"/>
      <c r="AV68" s="578"/>
      <c r="AW68" s="3445"/>
    </row>
    <row r="69" spans="1:49">
      <c r="A69" s="2178"/>
      <c r="B69" s="578"/>
      <c r="C69" s="578"/>
      <c r="AV69" s="578"/>
      <c r="AW69" s="3445"/>
    </row>
    <row r="70" spans="1:49">
      <c r="A70" s="2178"/>
      <c r="B70" s="578"/>
      <c r="C70" s="578"/>
      <c r="AV70" s="578"/>
      <c r="AW70" s="3445"/>
    </row>
    <row r="71" ht="13.5" spans="1:49">
      <c r="A71" s="3505" t="s">
        <v>6095</v>
      </c>
      <c r="B71" s="3505"/>
      <c r="C71" s="3505"/>
      <c r="D71" s="3505"/>
      <c r="E71" s="3505"/>
      <c r="F71" s="3505"/>
      <c r="G71" s="3505"/>
      <c r="H71" s="3505"/>
      <c r="I71" s="3505"/>
      <c r="J71" s="3505"/>
      <c r="K71" s="3505"/>
      <c r="L71" s="3505"/>
      <c r="M71" s="3505"/>
      <c r="N71" s="3505"/>
      <c r="O71" s="3505"/>
      <c r="P71" s="3505"/>
      <c r="Q71" s="3505"/>
      <c r="R71" s="3505"/>
      <c r="S71" s="3505"/>
      <c r="T71" s="3505"/>
      <c r="U71" s="3505"/>
      <c r="V71" s="3505"/>
      <c r="W71" s="3505"/>
      <c r="X71" s="3505"/>
      <c r="Y71" s="3505"/>
      <c r="Z71" s="3505"/>
      <c r="AA71" s="3505"/>
      <c r="AB71" s="3505"/>
      <c r="AC71" s="3505"/>
      <c r="AD71" s="3505"/>
      <c r="AE71" s="3505"/>
      <c r="AF71" s="3505"/>
      <c r="AG71" s="3505"/>
      <c r="AH71" s="3505"/>
      <c r="AI71" s="3505"/>
      <c r="AJ71" s="3505"/>
      <c r="AK71" s="3505"/>
      <c r="AL71" s="3505"/>
      <c r="AM71" s="3505"/>
      <c r="AN71" s="3505"/>
      <c r="AO71" s="3499"/>
      <c r="AP71" s="3499"/>
      <c r="AQ71" s="3499"/>
      <c r="AR71" s="3499"/>
      <c r="AS71" s="3499"/>
      <c r="AT71" s="3499"/>
      <c r="AU71" s="3499"/>
      <c r="AV71" s="3499"/>
    </row>
    <row r="72" ht="19.5" customHeight="1" spans="1:49">
      <c r="A72" s="3506" t="s">
        <v>6096</v>
      </c>
      <c r="B72" s="3506"/>
      <c r="C72" s="3507" t="s">
        <v>6097</v>
      </c>
      <c r="D72" s="3507"/>
      <c r="E72" s="3507"/>
      <c r="F72" s="3507"/>
      <c r="G72" s="3507"/>
      <c r="H72" s="3507"/>
      <c r="I72" s="3507"/>
      <c r="J72" s="3507"/>
      <c r="K72" s="3507"/>
      <c r="L72" s="3507"/>
      <c r="M72" s="3507"/>
      <c r="N72" s="3507"/>
      <c r="O72" s="3507"/>
      <c r="P72" s="3507"/>
      <c r="Q72" s="3507"/>
      <c r="R72" s="3507"/>
      <c r="S72" s="3507"/>
      <c r="T72" s="3507"/>
      <c r="U72" s="3507"/>
      <c r="V72" s="3507"/>
      <c r="W72" s="3507"/>
      <c r="X72" s="3507"/>
      <c r="Y72" s="3507"/>
      <c r="Z72" s="3507"/>
      <c r="AA72" s="3507"/>
      <c r="AB72" s="3507"/>
      <c r="AC72" s="3507"/>
      <c r="AD72" s="3507"/>
      <c r="AE72" s="3508" t="s">
        <v>6098</v>
      </c>
      <c r="AF72" s="3508"/>
      <c r="AG72" s="3508"/>
      <c r="AH72" s="3508"/>
      <c r="AI72" s="3508"/>
      <c r="AJ72" s="3508"/>
      <c r="AK72" s="3509" t="s">
        <v>6099</v>
      </c>
      <c r="AL72" s="3509"/>
      <c r="AM72" s="3509"/>
      <c r="AN72" s="3509"/>
      <c r="AO72" s="3510" t="s">
        <v>6100</v>
      </c>
      <c r="AP72" s="3511"/>
      <c r="AQ72" s="3511"/>
      <c r="AR72" s="3511"/>
      <c r="AS72" s="3511"/>
      <c r="AT72" s="3511"/>
      <c r="AU72" s="3511"/>
      <c r="AV72" s="3512"/>
    </row>
    <row r="73" spans="1:49">
      <c r="A73" s="3513">
        <v>1</v>
      </c>
      <c r="B73" s="3514"/>
      <c r="C73" s="3515" t="s">
        <v>6101</v>
      </c>
      <c r="D73" s="3515"/>
      <c r="E73" s="3515"/>
      <c r="F73" s="3515"/>
      <c r="G73" s="3515"/>
      <c r="H73" s="3515"/>
      <c r="I73" s="3515"/>
      <c r="J73" s="3515"/>
      <c r="K73" s="3515"/>
      <c r="L73" s="3515"/>
      <c r="M73" s="3515"/>
      <c r="N73" s="3515"/>
      <c r="O73" s="3515"/>
      <c r="P73" s="3515"/>
      <c r="Q73" s="3515"/>
      <c r="R73" s="3515"/>
      <c r="S73" s="3515"/>
      <c r="T73" s="3515"/>
      <c r="U73" s="3515"/>
      <c r="V73" s="3515"/>
      <c r="W73" s="3515"/>
      <c r="X73" s="3515"/>
      <c r="Y73" s="3515"/>
      <c r="Z73" s="3515"/>
      <c r="AA73" s="3515"/>
      <c r="AB73" s="3515"/>
      <c r="AC73" s="3515"/>
      <c r="AD73" s="3515"/>
      <c r="AE73" s="3516" t="s">
        <v>6106</v>
      </c>
      <c r="AF73" s="3517"/>
      <c r="AG73" s="3517"/>
      <c r="AH73" s="3517"/>
      <c r="AI73" s="3517"/>
      <c r="AJ73" s="3518"/>
      <c r="AK73" s="3519">
        <v>60</v>
      </c>
      <c r="AL73" s="3519"/>
      <c r="AM73" s="3519"/>
      <c r="AN73" s="3519"/>
      <c r="AO73" s="3520">
        <f>UnosPod!F123</f>
        <v>0</v>
      </c>
      <c r="AP73" s="3521"/>
      <c r="AQ73" s="3521"/>
      <c r="AR73" s="3521"/>
      <c r="AS73" s="3521"/>
      <c r="AT73" s="3521"/>
      <c r="AU73" s="3521"/>
      <c r="AV73" s="3522"/>
    </row>
    <row r="74" spans="1:49">
      <c r="A74" s="3523">
        <v>2</v>
      </c>
      <c r="B74" s="3524"/>
      <c r="C74" s="3525" t="s">
        <v>6355</v>
      </c>
      <c r="D74" s="3526"/>
      <c r="E74" s="3526"/>
      <c r="F74" s="3526"/>
      <c r="G74" s="3526"/>
      <c r="H74" s="3526"/>
      <c r="I74" s="3526"/>
      <c r="J74" s="3526"/>
      <c r="K74" s="3526"/>
      <c r="L74" s="3526"/>
      <c r="M74" s="3526"/>
      <c r="N74" s="3526"/>
      <c r="O74" s="3526"/>
      <c r="P74" s="3526"/>
      <c r="Q74" s="3526"/>
      <c r="R74" s="3526"/>
      <c r="S74" s="3526"/>
      <c r="T74" s="3526"/>
      <c r="U74" s="3526"/>
      <c r="V74" s="3526"/>
      <c r="W74" s="3526"/>
      <c r="X74" s="3526"/>
      <c r="Y74" s="3526"/>
      <c r="Z74" s="3526"/>
      <c r="AA74" s="3526"/>
      <c r="AB74" s="3526"/>
      <c r="AC74" s="3526"/>
      <c r="AD74" s="3527"/>
      <c r="AE74" s="3528" t="s">
        <v>6356</v>
      </c>
      <c r="AF74" s="3529"/>
      <c r="AG74" s="3529"/>
      <c r="AH74" s="3529"/>
      <c r="AI74" s="3529"/>
      <c r="AJ74" s="3530"/>
      <c r="AK74" s="3531"/>
      <c r="AL74" s="3532"/>
      <c r="AM74" s="3532"/>
      <c r="AN74" s="3533"/>
      <c r="AO74" s="3534"/>
      <c r="AP74" s="3535"/>
      <c r="AQ74" s="3535"/>
      <c r="AR74" s="3535"/>
      <c r="AS74" s="3535"/>
      <c r="AT74" s="3535"/>
      <c r="AU74" s="3535"/>
      <c r="AV74" s="3536"/>
    </row>
    <row r="75" spans="1:49">
      <c r="A75" s="3537">
        <v>3</v>
      </c>
      <c r="B75" s="3538"/>
      <c r="C75" s="3539" t="s">
        <v>6357</v>
      </c>
      <c r="D75" s="3540"/>
      <c r="E75" s="3540"/>
      <c r="F75" s="3540"/>
      <c r="G75" s="3540"/>
      <c r="H75" s="3540"/>
      <c r="I75" s="3540"/>
      <c r="J75" s="3540"/>
      <c r="K75" s="3540"/>
      <c r="L75" s="3540"/>
      <c r="M75" s="3540"/>
      <c r="N75" s="3540"/>
      <c r="O75" s="3540"/>
      <c r="P75" s="3540"/>
      <c r="Q75" s="3540"/>
      <c r="R75" s="3540"/>
      <c r="S75" s="3540"/>
      <c r="T75" s="3540"/>
      <c r="U75" s="3540"/>
      <c r="V75" s="3540"/>
      <c r="W75" s="3540"/>
      <c r="X75" s="3540"/>
      <c r="Y75" s="3540"/>
      <c r="Z75" s="3540"/>
      <c r="AA75" s="3540"/>
      <c r="AB75" s="3540"/>
      <c r="AC75" s="3540"/>
      <c r="AD75" s="3541"/>
      <c r="AE75" s="3542" t="s">
        <v>6358</v>
      </c>
      <c r="AF75" s="3543"/>
      <c r="AG75" s="3543"/>
      <c r="AH75" s="3543"/>
      <c r="AI75" s="3543"/>
      <c r="AJ75" s="3544"/>
      <c r="AK75" s="3545"/>
      <c r="AL75" s="3546"/>
      <c r="AM75" s="3546"/>
      <c r="AN75" s="3547"/>
      <c r="AO75" s="3548"/>
      <c r="AP75" s="3549"/>
      <c r="AQ75" s="3549"/>
      <c r="AR75" s="3549"/>
      <c r="AS75" s="3549"/>
      <c r="AT75" s="3549"/>
      <c r="AU75" s="3549"/>
      <c r="AV75" s="3550"/>
    </row>
    <row r="76" spans="1:49">
      <c r="A76" s="3551">
        <v>4</v>
      </c>
      <c r="B76" s="3552"/>
      <c r="C76" s="3553" t="s">
        <v>6359</v>
      </c>
      <c r="D76" s="3554"/>
      <c r="E76" s="3554"/>
      <c r="F76" s="3554"/>
      <c r="G76" s="3554"/>
      <c r="H76" s="3554"/>
      <c r="I76" s="3554"/>
      <c r="J76" s="3554"/>
      <c r="K76" s="3554"/>
      <c r="L76" s="3554"/>
      <c r="M76" s="3554"/>
      <c r="N76" s="3554"/>
      <c r="O76" s="3554"/>
      <c r="P76" s="3554"/>
      <c r="Q76" s="3554"/>
      <c r="R76" s="3554"/>
      <c r="S76" s="3554"/>
      <c r="T76" s="3554"/>
      <c r="U76" s="3554"/>
      <c r="V76" s="3554"/>
      <c r="W76" s="3554"/>
      <c r="X76" s="3554"/>
      <c r="Y76" s="3554"/>
      <c r="Z76" s="3554"/>
      <c r="AA76" s="3554"/>
      <c r="AB76" s="3554"/>
      <c r="AC76" s="3554"/>
      <c r="AD76" s="3555"/>
      <c r="AE76" s="3556" t="s">
        <v>6360</v>
      </c>
      <c r="AF76" s="3557"/>
      <c r="AG76" s="3557"/>
      <c r="AH76" s="3557"/>
      <c r="AI76" s="3557"/>
      <c r="AJ76" s="3558"/>
      <c r="AK76" s="3559"/>
      <c r="AL76" s="3559"/>
      <c r="AM76" s="3559"/>
      <c r="AN76" s="3560"/>
      <c r="AO76" s="3561">
        <f>UnosPod!F123-AO74-AO75</f>
        <v>0</v>
      </c>
      <c r="AP76" s="3562"/>
      <c r="AQ76" s="3562"/>
      <c r="AR76" s="3562"/>
      <c r="AS76" s="3562"/>
      <c r="AT76" s="3562"/>
      <c r="AU76" s="3562"/>
      <c r="AV76" s="3563"/>
    </row>
    <row r="77" spans="1:49">
      <c r="A77" s="3513">
        <v>5</v>
      </c>
      <c r="B77" s="3514"/>
      <c r="C77" s="3564" t="s">
        <v>6103</v>
      </c>
      <c r="D77" s="3564"/>
      <c r="E77" s="3564"/>
      <c r="F77" s="3564"/>
      <c r="G77" s="3564"/>
      <c r="H77" s="3564"/>
      <c r="I77" s="3564"/>
      <c r="J77" s="3564"/>
      <c r="K77" s="3564"/>
      <c r="L77" s="3564"/>
      <c r="M77" s="3564"/>
      <c r="N77" s="3564"/>
      <c r="O77" s="3564"/>
      <c r="P77" s="3564"/>
      <c r="Q77" s="3564"/>
      <c r="R77" s="3564"/>
      <c r="S77" s="3564"/>
      <c r="T77" s="3564"/>
      <c r="U77" s="3564"/>
      <c r="V77" s="3564"/>
      <c r="W77" s="3564"/>
      <c r="X77" s="3564"/>
      <c r="Y77" s="3564"/>
      <c r="Z77" s="3564"/>
      <c r="AA77" s="3564"/>
      <c r="AB77" s="3564"/>
      <c r="AC77" s="3564"/>
      <c r="AD77" s="3564"/>
      <c r="AE77" s="3516" t="s">
        <v>6104</v>
      </c>
      <c r="AF77" s="3517"/>
      <c r="AG77" s="3517"/>
      <c r="AH77" s="3517"/>
      <c r="AI77" s="3517"/>
      <c r="AJ77" s="3518"/>
      <c r="AK77" s="3519">
        <v>62</v>
      </c>
      <c r="AL77" s="3519"/>
      <c r="AM77" s="3519"/>
      <c r="AN77" s="3519"/>
      <c r="AO77" s="3520">
        <f>UnosPod!F151</f>
        <v>245707</v>
      </c>
      <c r="AP77" s="3521"/>
      <c r="AQ77" s="3521"/>
      <c r="AR77" s="3521"/>
      <c r="AS77" s="3521"/>
      <c r="AT77" s="3521"/>
      <c r="AU77" s="3521"/>
      <c r="AV77" s="3522"/>
    </row>
    <row r="78" spans="1:49">
      <c r="A78" s="3513">
        <v>6</v>
      </c>
      <c r="B78" s="3514"/>
      <c r="C78" s="3565" t="s">
        <v>6361</v>
      </c>
      <c r="D78" s="3566"/>
      <c r="E78" s="3566"/>
      <c r="F78" s="3566"/>
      <c r="G78" s="3566"/>
      <c r="H78" s="3566"/>
      <c r="I78" s="3566"/>
      <c r="J78" s="3566"/>
      <c r="K78" s="3566"/>
      <c r="L78" s="3566"/>
      <c r="M78" s="3566"/>
      <c r="N78" s="3566"/>
      <c r="O78" s="3566"/>
      <c r="P78" s="3566"/>
      <c r="Q78" s="3566"/>
      <c r="R78" s="3566"/>
      <c r="S78" s="3566"/>
      <c r="T78" s="3566"/>
      <c r="U78" s="3566"/>
      <c r="V78" s="3566"/>
      <c r="W78" s="3566"/>
      <c r="X78" s="3566"/>
      <c r="Y78" s="3566"/>
      <c r="Z78" s="3566"/>
      <c r="AA78" s="3566"/>
      <c r="AB78" s="3566"/>
      <c r="AC78" s="3566"/>
      <c r="AD78" s="3567"/>
      <c r="AE78" s="3568" t="s">
        <v>6362</v>
      </c>
      <c r="AF78" s="3569"/>
      <c r="AG78" s="3569"/>
      <c r="AH78" s="3569"/>
      <c r="AI78" s="3569"/>
      <c r="AJ78" s="3570"/>
      <c r="AK78" s="3571"/>
      <c r="AL78" s="3572"/>
      <c r="AM78" s="3572"/>
      <c r="AN78" s="3573"/>
      <c r="AO78" s="3520"/>
      <c r="AP78" s="3521"/>
      <c r="AQ78" s="3521"/>
      <c r="AR78" s="3521"/>
      <c r="AS78" s="3521"/>
      <c r="AT78" s="3521"/>
      <c r="AU78" s="3521"/>
      <c r="AV78" s="3522"/>
    </row>
    <row r="79" spans="1:49">
      <c r="A79" s="3513">
        <v>7</v>
      </c>
      <c r="B79" s="3514"/>
      <c r="C79" s="3515" t="s">
        <v>6101</v>
      </c>
      <c r="D79" s="3515"/>
      <c r="E79" s="3515"/>
      <c r="F79" s="3515"/>
      <c r="G79" s="3515"/>
      <c r="H79" s="3515"/>
      <c r="I79" s="3515"/>
      <c r="J79" s="3515"/>
      <c r="K79" s="3515"/>
      <c r="L79" s="3515"/>
      <c r="M79" s="3515"/>
      <c r="N79" s="3515"/>
      <c r="O79" s="3515"/>
      <c r="P79" s="3515"/>
      <c r="Q79" s="3515"/>
      <c r="R79" s="3515"/>
      <c r="S79" s="3515"/>
      <c r="T79" s="3515"/>
      <c r="U79" s="3515"/>
      <c r="V79" s="3515"/>
      <c r="W79" s="3515"/>
      <c r="X79" s="3515"/>
      <c r="Y79" s="3515"/>
      <c r="Z79" s="3515"/>
      <c r="AA79" s="3515"/>
      <c r="AB79" s="3515"/>
      <c r="AC79" s="3515"/>
      <c r="AD79" s="3515"/>
      <c r="AE79" s="3516" t="s">
        <v>6102</v>
      </c>
      <c r="AF79" s="3517"/>
      <c r="AG79" s="3517"/>
      <c r="AH79" s="3517"/>
      <c r="AI79" s="3517"/>
      <c r="AJ79" s="3518"/>
      <c r="AK79" s="3519">
        <v>61</v>
      </c>
      <c r="AL79" s="3519"/>
      <c r="AM79" s="3519"/>
      <c r="AN79" s="3519"/>
      <c r="AO79" s="3520">
        <f>UnosPod!F137</f>
        <v>0</v>
      </c>
      <c r="AP79" s="3521"/>
      <c r="AQ79" s="3521"/>
      <c r="AR79" s="3521"/>
      <c r="AS79" s="3521"/>
      <c r="AT79" s="3521"/>
      <c r="AU79" s="3521"/>
      <c r="AV79" s="3522"/>
    </row>
    <row r="80" spans="1:49">
      <c r="A80" s="3513">
        <v>8</v>
      </c>
      <c r="B80" s="3514"/>
      <c r="C80" s="3574" t="s">
        <v>6107</v>
      </c>
      <c r="D80" s="3575"/>
      <c r="E80" s="3575"/>
      <c r="F80" s="3575"/>
      <c r="G80" s="3575"/>
      <c r="H80" s="3575"/>
      <c r="I80" s="3575"/>
      <c r="J80" s="3575"/>
      <c r="K80" s="3575"/>
      <c r="L80" s="3575"/>
      <c r="M80" s="3575"/>
      <c r="N80" s="3575"/>
      <c r="O80" s="3575"/>
      <c r="P80" s="3575"/>
      <c r="Q80" s="3575"/>
      <c r="R80" s="3575"/>
      <c r="S80" s="3575"/>
      <c r="T80" s="3575"/>
      <c r="U80" s="3575"/>
      <c r="V80" s="3575"/>
      <c r="W80" s="3575"/>
      <c r="X80" s="3575"/>
      <c r="Y80" s="3575"/>
      <c r="Z80" s="3575"/>
      <c r="AA80" s="3575"/>
      <c r="AB80" s="3575"/>
      <c r="AC80" s="3575"/>
      <c r="AD80" s="3576"/>
      <c r="AE80" s="3516" t="s">
        <v>6108</v>
      </c>
      <c r="AF80" s="3517"/>
      <c r="AG80" s="3517"/>
      <c r="AH80" s="3517"/>
      <c r="AI80" s="3517"/>
      <c r="AJ80" s="3518"/>
      <c r="AK80" s="3519"/>
      <c r="AL80" s="3519"/>
      <c r="AM80" s="3519"/>
      <c r="AN80" s="3519"/>
      <c r="AO80" s="3520"/>
      <c r="AP80" s="3521"/>
      <c r="AQ80" s="3521"/>
      <c r="AR80" s="3521"/>
      <c r="AS80" s="3521"/>
      <c r="AT80" s="3521"/>
      <c r="AU80" s="3521"/>
      <c r="AV80" s="3522"/>
    </row>
    <row r="81" ht="20.25" customHeight="1" spans="1:48">
      <c r="A81" s="3513">
        <v>9</v>
      </c>
      <c r="B81" s="3514"/>
      <c r="C81" s="3574" t="s">
        <v>6109</v>
      </c>
      <c r="D81" s="3575"/>
      <c r="E81" s="3575"/>
      <c r="F81" s="3575"/>
      <c r="G81" s="3575"/>
      <c r="H81" s="3575"/>
      <c r="I81" s="3575"/>
      <c r="J81" s="3575"/>
      <c r="K81" s="3575"/>
      <c r="L81" s="3575"/>
      <c r="M81" s="3575"/>
      <c r="N81" s="3575"/>
      <c r="O81" s="3575"/>
      <c r="P81" s="3575"/>
      <c r="Q81" s="3575"/>
      <c r="R81" s="3575"/>
      <c r="S81" s="3575"/>
      <c r="T81" s="3575"/>
      <c r="U81" s="3575"/>
      <c r="V81" s="3575"/>
      <c r="W81" s="3575"/>
      <c r="X81" s="3575"/>
      <c r="Y81" s="3575"/>
      <c r="Z81" s="3575"/>
      <c r="AA81" s="3575"/>
      <c r="AB81" s="3575"/>
      <c r="AC81" s="3575"/>
      <c r="AD81" s="3576"/>
      <c r="AE81" s="3516" t="s">
        <v>6110</v>
      </c>
      <c r="AF81" s="3517"/>
      <c r="AG81" s="3517"/>
      <c r="AH81" s="3517"/>
      <c r="AI81" s="3517"/>
      <c r="AJ81" s="3518"/>
      <c r="AK81" s="3571" t="s">
        <v>6111</v>
      </c>
      <c r="AL81" s="3572"/>
      <c r="AM81" s="3572"/>
      <c r="AN81" s="3573"/>
      <c r="AO81" s="3520">
        <f>UnosPod!F165-UnosPod!F157-UnosPod!F163</f>
        <v>0</v>
      </c>
      <c r="AP81" s="3521"/>
      <c r="AQ81" s="3521"/>
      <c r="AR81" s="3521"/>
      <c r="AS81" s="3521"/>
      <c r="AT81" s="3521"/>
      <c r="AU81" s="3521"/>
      <c r="AV81" s="3522"/>
    </row>
    <row r="82" ht="26.25" customHeight="1" spans="1:48">
      <c r="A82" s="3513">
        <v>10</v>
      </c>
      <c r="B82" s="3514"/>
      <c r="C82" s="3577" t="s">
        <v>6112</v>
      </c>
      <c r="D82" s="3577"/>
      <c r="E82" s="3577"/>
      <c r="F82" s="3577"/>
      <c r="G82" s="3577"/>
      <c r="H82" s="3577"/>
      <c r="I82" s="3577"/>
      <c r="J82" s="3577"/>
      <c r="K82" s="3577"/>
      <c r="L82" s="3577"/>
      <c r="M82" s="3577"/>
      <c r="N82" s="3577"/>
      <c r="O82" s="3577"/>
      <c r="P82" s="3577"/>
      <c r="Q82" s="3577"/>
      <c r="R82" s="3577"/>
      <c r="S82" s="3577"/>
      <c r="T82" s="3577"/>
      <c r="U82" s="3577"/>
      <c r="V82" s="3577"/>
      <c r="W82" s="3577"/>
      <c r="X82" s="3577"/>
      <c r="Y82" s="3577"/>
      <c r="Z82" s="3577"/>
      <c r="AA82" s="3577"/>
      <c r="AB82" s="3577"/>
      <c r="AC82" s="3577"/>
      <c r="AD82" s="3577"/>
      <c r="AE82" s="3516" t="s">
        <v>6113</v>
      </c>
      <c r="AF82" s="3517"/>
      <c r="AG82" s="3517"/>
      <c r="AH82" s="3517"/>
      <c r="AI82" s="3517"/>
      <c r="AJ82" s="3518"/>
      <c r="AK82" s="3519" t="s">
        <v>6114</v>
      </c>
      <c r="AL82" s="3519"/>
      <c r="AM82" s="3519"/>
      <c r="AN82" s="3519"/>
      <c r="AO82" s="3520"/>
      <c r="AP82" s="3521"/>
      <c r="AQ82" s="3521"/>
      <c r="AR82" s="3521"/>
      <c r="AS82" s="3521"/>
      <c r="AT82" s="3521"/>
      <c r="AU82" s="3521"/>
      <c r="AV82" s="3522"/>
    </row>
    <row r="83" spans="1:48">
      <c r="A83" s="3513">
        <v>11</v>
      </c>
      <c r="B83" s="3514"/>
      <c r="C83" s="3564" t="s">
        <v>6115</v>
      </c>
      <c r="D83" s="3564"/>
      <c r="E83" s="3564"/>
      <c r="F83" s="3564"/>
      <c r="G83" s="3564"/>
      <c r="H83" s="3564"/>
      <c r="I83" s="3564"/>
      <c r="J83" s="3564"/>
      <c r="K83" s="3564"/>
      <c r="L83" s="3564"/>
      <c r="M83" s="3564"/>
      <c r="N83" s="3564"/>
      <c r="O83" s="3564"/>
      <c r="P83" s="3564"/>
      <c r="Q83" s="3564"/>
      <c r="R83" s="3564"/>
      <c r="S83" s="3564"/>
      <c r="T83" s="3564"/>
      <c r="U83" s="3564"/>
      <c r="V83" s="3564"/>
      <c r="W83" s="3564"/>
      <c r="X83" s="3564"/>
      <c r="Y83" s="3564"/>
      <c r="Z83" s="3564"/>
      <c r="AA83" s="3564"/>
      <c r="AB83" s="3564"/>
      <c r="AC83" s="3564"/>
      <c r="AD83" s="3564"/>
      <c r="AE83" s="3516" t="s">
        <v>6116</v>
      </c>
      <c r="AF83" s="3517"/>
      <c r="AG83" s="3517"/>
      <c r="AH83" s="3517"/>
      <c r="AI83" s="3517"/>
      <c r="AJ83" s="3518"/>
      <c r="AK83" s="3519" t="s">
        <v>6114</v>
      </c>
      <c r="AL83" s="3519"/>
      <c r="AM83" s="3519"/>
      <c r="AN83" s="3519"/>
      <c r="AO83" s="3520">
        <f>UnosPod!F157-AO82</f>
        <v>0</v>
      </c>
      <c r="AP83" s="3521"/>
      <c r="AQ83" s="3521"/>
      <c r="AR83" s="3521"/>
      <c r="AS83" s="3521"/>
      <c r="AT83" s="3521"/>
      <c r="AU83" s="3521"/>
      <c r="AV83" s="3522"/>
    </row>
    <row r="84" spans="1:48">
      <c r="A84" s="3513">
        <v>12</v>
      </c>
      <c r="B84" s="3514"/>
      <c r="C84" s="3564" t="s">
        <v>6363</v>
      </c>
      <c r="D84" s="3564"/>
      <c r="E84" s="3564"/>
      <c r="F84" s="3564"/>
      <c r="G84" s="3564"/>
      <c r="H84" s="3564"/>
      <c r="I84" s="3564"/>
      <c r="J84" s="3564"/>
      <c r="K84" s="3564"/>
      <c r="L84" s="3564"/>
      <c r="M84" s="3564"/>
      <c r="N84" s="3564"/>
      <c r="O84" s="3564"/>
      <c r="P84" s="3564"/>
      <c r="Q84" s="3564"/>
      <c r="R84" s="3564"/>
      <c r="S84" s="3564"/>
      <c r="T84" s="3564"/>
      <c r="U84" s="3564"/>
      <c r="V84" s="3564"/>
      <c r="W84" s="3564"/>
      <c r="X84" s="3564"/>
      <c r="Y84" s="3564"/>
      <c r="Z84" s="3564"/>
      <c r="AA84" s="3564"/>
      <c r="AB84" s="3564"/>
      <c r="AC84" s="3564"/>
      <c r="AD84" s="3564"/>
      <c r="AE84" s="3516" t="s">
        <v>6118</v>
      </c>
      <c r="AF84" s="3517"/>
      <c r="AG84" s="3517"/>
      <c r="AH84" s="3517"/>
      <c r="AI84" s="3517"/>
      <c r="AJ84" s="3518"/>
      <c r="AK84" s="3519"/>
      <c r="AL84" s="3519"/>
      <c r="AM84" s="3519"/>
      <c r="AN84" s="3519"/>
      <c r="AO84" s="3520">
        <f>AO73+AO77+AO79+AO80+AO81+AO82+AO83</f>
        <v>245707</v>
      </c>
      <c r="AP84" s="3521"/>
      <c r="AQ84" s="3521"/>
      <c r="AR84" s="3521"/>
      <c r="AS84" s="3521"/>
      <c r="AT84" s="3521"/>
      <c r="AU84" s="3521"/>
      <c r="AV84" s="3522"/>
    </row>
    <row r="85" ht="13.5" spans="1:48">
      <c r="A85" s="3500" t="s">
        <v>6119</v>
      </c>
      <c r="B85" s="3500"/>
      <c r="C85" s="3500"/>
      <c r="D85" s="3500"/>
      <c r="E85" s="3500"/>
      <c r="F85" s="3500"/>
      <c r="G85" s="3500"/>
      <c r="H85" s="3500"/>
      <c r="I85" s="3500"/>
      <c r="J85" s="3500"/>
      <c r="K85" s="3500"/>
      <c r="L85" s="3500"/>
      <c r="M85" s="3500"/>
      <c r="N85" s="3500"/>
      <c r="O85" s="3500"/>
      <c r="P85" s="3500"/>
      <c r="Q85" s="3500"/>
      <c r="R85" s="3500"/>
      <c r="S85" s="3500"/>
      <c r="T85" s="3500"/>
      <c r="U85" s="3500"/>
      <c r="V85" s="3500"/>
      <c r="W85" s="3500"/>
      <c r="X85" s="3500"/>
      <c r="Y85" s="3500"/>
      <c r="Z85" s="3500"/>
      <c r="AA85" s="3500"/>
      <c r="AB85" s="3500"/>
      <c r="AC85" s="3500"/>
      <c r="AD85" s="3500"/>
      <c r="AE85" s="3500"/>
      <c r="AF85" s="3500"/>
      <c r="AG85" s="3500"/>
      <c r="AH85" s="3500"/>
      <c r="AI85" s="3500"/>
      <c r="AJ85" s="3500"/>
      <c r="AK85" s="3500"/>
      <c r="AL85" s="3500"/>
      <c r="AM85" s="3500"/>
      <c r="AN85" s="3500"/>
      <c r="AO85" s="3500"/>
      <c r="AP85" s="3500"/>
      <c r="AQ85" s="3500"/>
      <c r="AR85" s="3500"/>
      <c r="AS85" s="3500"/>
      <c r="AT85" s="3500"/>
      <c r="AU85" s="3500"/>
      <c r="AV85" s="3500"/>
    </row>
    <row r="86" spans="1:48">
      <c r="A86" s="3500"/>
      <c r="B86" s="3500"/>
      <c r="C86" s="3500"/>
      <c r="D86" s="3500"/>
      <c r="E86" s="3500"/>
      <c r="F86" s="3500"/>
      <c r="G86" s="3500"/>
      <c r="H86" s="3500"/>
      <c r="I86" s="3500"/>
      <c r="J86" s="3500"/>
      <c r="K86" s="3500"/>
      <c r="L86" s="3500"/>
      <c r="M86" s="3500"/>
      <c r="N86" s="3500"/>
      <c r="O86" s="3500"/>
      <c r="P86" s="3500"/>
      <c r="Q86" s="3500"/>
      <c r="R86" s="3500"/>
      <c r="S86" s="3500"/>
      <c r="T86" s="3500"/>
      <c r="U86" s="3500"/>
      <c r="V86" s="3500"/>
      <c r="W86" s="3500"/>
      <c r="X86" s="3500"/>
      <c r="Y86" s="3500"/>
      <c r="Z86" s="3500"/>
      <c r="AA86" s="3500"/>
      <c r="AB86" s="3500"/>
      <c r="AC86" s="3500"/>
      <c r="AD86" s="3500"/>
      <c r="AE86" s="3500"/>
      <c r="AF86" s="3500"/>
      <c r="AG86" s="3500"/>
      <c r="AH86" s="3500"/>
      <c r="AI86" s="3500"/>
      <c r="AJ86" s="3500"/>
      <c r="AK86" s="3500"/>
      <c r="AL86" s="3500"/>
      <c r="AM86" s="3500"/>
      <c r="AN86" s="3500"/>
      <c r="AO86" s="3500"/>
      <c r="AP86" s="3500"/>
      <c r="AQ86" s="3500"/>
      <c r="AR86" s="3500"/>
      <c r="AS86" s="3500"/>
      <c r="AT86" s="3500"/>
      <c r="AU86" s="3500"/>
      <c r="AV86" s="3500"/>
    </row>
    <row r="87" spans="1:48">
      <c r="A87" s="3500"/>
      <c r="B87" s="3500"/>
      <c r="C87" s="3500"/>
      <c r="D87" s="3500"/>
      <c r="E87" s="3500"/>
      <c r="F87" s="3500"/>
      <c r="G87" s="3500"/>
      <c r="H87" s="3500"/>
      <c r="I87" s="3500"/>
      <c r="J87" s="3500"/>
      <c r="K87" s="3500"/>
      <c r="L87" s="3500"/>
      <c r="M87" s="3500"/>
      <c r="N87" s="3500"/>
      <c r="O87" s="3500"/>
      <c r="P87" s="3500"/>
      <c r="Q87" s="3500"/>
      <c r="R87" s="3500"/>
      <c r="S87" s="3500"/>
      <c r="T87" s="3500"/>
      <c r="U87" s="3500"/>
      <c r="V87" s="3500"/>
      <c r="W87" s="3500"/>
      <c r="X87" s="3500"/>
      <c r="Y87" s="3500"/>
      <c r="Z87" s="3500"/>
      <c r="AA87" s="3500"/>
      <c r="AB87" s="3500"/>
      <c r="AC87" s="3500"/>
      <c r="AD87" s="3500"/>
      <c r="AE87" s="3500"/>
      <c r="AF87" s="3500"/>
      <c r="AG87" s="3500"/>
      <c r="AH87" s="3500"/>
      <c r="AI87" s="3500"/>
      <c r="AJ87" s="3500"/>
      <c r="AK87" s="3500"/>
      <c r="AL87" s="3500"/>
      <c r="AM87" s="3500"/>
      <c r="AN87" s="3500"/>
      <c r="AO87" s="3500"/>
      <c r="AP87" s="3500"/>
      <c r="AQ87" s="3500"/>
      <c r="AR87" s="3500"/>
      <c r="AS87" s="3500"/>
      <c r="AT87" s="3500"/>
      <c r="AU87" s="3500"/>
      <c r="AV87" s="3500"/>
    </row>
    <row r="88" ht="13.5" spans="1:48">
      <c r="A88" s="3505" t="s">
        <v>6120</v>
      </c>
      <c r="B88" s="3505"/>
      <c r="C88" s="3505"/>
      <c r="D88" s="3505"/>
      <c r="E88" s="3505"/>
      <c r="F88" s="3505"/>
      <c r="G88" s="3505"/>
      <c r="H88" s="3505"/>
      <c r="I88" s="3505"/>
      <c r="J88" s="3505"/>
      <c r="K88" s="3505"/>
      <c r="L88" s="3505"/>
      <c r="M88" s="3505"/>
      <c r="N88" s="3505"/>
      <c r="O88" s="3505"/>
      <c r="P88" s="3505"/>
      <c r="Q88" s="3505"/>
      <c r="R88" s="3505"/>
      <c r="S88" s="3505"/>
      <c r="T88" s="3505"/>
      <c r="U88" s="3505"/>
      <c r="V88" s="3505"/>
      <c r="W88" s="3505"/>
      <c r="X88" s="3505"/>
      <c r="Y88" s="3505"/>
      <c r="Z88" s="3505"/>
      <c r="AA88" s="3505"/>
      <c r="AB88" s="3505"/>
      <c r="AC88" s="3505"/>
      <c r="AD88" s="3505"/>
      <c r="AE88" s="3505"/>
      <c r="AF88" s="3505"/>
      <c r="AG88" s="3505"/>
      <c r="AH88" s="3505"/>
      <c r="AI88" s="3505"/>
      <c r="AJ88" s="3505"/>
      <c r="AK88" s="3505"/>
      <c r="AL88" s="3505"/>
      <c r="AM88" s="3505"/>
      <c r="AN88" s="3505"/>
      <c r="AO88" s="3445"/>
      <c r="AP88" s="3445"/>
      <c r="AQ88" s="3445"/>
      <c r="AR88" s="3445"/>
      <c r="AS88" s="3445"/>
      <c r="AT88" s="3445"/>
      <c r="AU88" s="3445"/>
      <c r="AV88" s="3445"/>
    </row>
    <row r="89" spans="1:48">
      <c r="A89" s="3506" t="s">
        <v>6096</v>
      </c>
      <c r="B89" s="3506"/>
      <c r="C89" s="3578" t="s">
        <v>6097</v>
      </c>
      <c r="D89" s="3579"/>
      <c r="E89" s="3579"/>
      <c r="F89" s="3579"/>
      <c r="G89" s="3579"/>
      <c r="H89" s="3579"/>
      <c r="I89" s="3579"/>
      <c r="J89" s="3579"/>
      <c r="K89" s="3579"/>
      <c r="L89" s="3579"/>
      <c r="M89" s="3579"/>
      <c r="N89" s="3579"/>
      <c r="O89" s="3579"/>
      <c r="P89" s="3579"/>
      <c r="Q89" s="3579"/>
      <c r="R89" s="3579"/>
      <c r="S89" s="3579"/>
      <c r="T89" s="3579"/>
      <c r="U89" s="3579"/>
      <c r="V89" s="3579"/>
      <c r="W89" s="3579"/>
      <c r="X89" s="3579"/>
      <c r="Y89" s="3579"/>
      <c r="Z89" s="3579"/>
      <c r="AA89" s="3579"/>
      <c r="AB89" s="3579"/>
      <c r="AC89" s="3579"/>
      <c r="AD89" s="3579"/>
      <c r="AE89" s="3580" t="s">
        <v>6098</v>
      </c>
      <c r="AF89" s="3581"/>
      <c r="AG89" s="3581"/>
      <c r="AH89" s="3581"/>
      <c r="AI89" s="3581"/>
      <c r="AJ89" s="3582"/>
      <c r="AK89" s="3583" t="s">
        <v>6099</v>
      </c>
      <c r="AL89" s="3584"/>
      <c r="AM89" s="3584"/>
      <c r="AN89" s="3585"/>
      <c r="AO89" s="3583" t="s">
        <v>6100</v>
      </c>
      <c r="AP89" s="3584"/>
      <c r="AQ89" s="3584"/>
      <c r="AR89" s="3584"/>
      <c r="AS89" s="3584"/>
      <c r="AT89" s="3584"/>
      <c r="AU89" s="3584"/>
      <c r="AV89" s="3585"/>
    </row>
    <row r="90" spans="1:48">
      <c r="A90" s="3506"/>
      <c r="B90" s="3506"/>
      <c r="C90" s="3586"/>
      <c r="D90" s="3587"/>
      <c r="E90" s="3587"/>
      <c r="F90" s="3587"/>
      <c r="G90" s="3587"/>
      <c r="H90" s="3587"/>
      <c r="I90" s="3587"/>
      <c r="J90" s="3587"/>
      <c r="K90" s="3587"/>
      <c r="L90" s="3587"/>
      <c r="M90" s="3587"/>
      <c r="N90" s="3587"/>
      <c r="O90" s="3587"/>
      <c r="P90" s="3587"/>
      <c r="Q90" s="3587"/>
      <c r="R90" s="3587"/>
      <c r="S90" s="3587"/>
      <c r="T90" s="3587"/>
      <c r="U90" s="3587"/>
      <c r="V90" s="3587"/>
      <c r="W90" s="3587"/>
      <c r="X90" s="3587"/>
      <c r="Y90" s="3587"/>
      <c r="Z90" s="3587"/>
      <c r="AA90" s="3587"/>
      <c r="AB90" s="3587"/>
      <c r="AC90" s="3587"/>
      <c r="AD90" s="3587"/>
      <c r="AE90" s="3588"/>
      <c r="AF90" s="3589"/>
      <c r="AG90" s="3589"/>
      <c r="AH90" s="3589"/>
      <c r="AI90" s="3589"/>
      <c r="AJ90" s="3590"/>
      <c r="AK90" s="3591"/>
      <c r="AL90" s="3592"/>
      <c r="AM90" s="3592"/>
      <c r="AN90" s="3593"/>
      <c r="AO90" s="3591"/>
      <c r="AP90" s="3592"/>
      <c r="AQ90" s="3592"/>
      <c r="AR90" s="3592"/>
      <c r="AS90" s="3592"/>
      <c r="AT90" s="3592"/>
      <c r="AU90" s="3592"/>
      <c r="AV90" s="3593"/>
    </row>
    <row r="91" ht="24.75" customHeight="1" spans="1:48">
      <c r="A91" s="3594" t="s">
        <v>5336</v>
      </c>
      <c r="B91" s="3595"/>
      <c r="C91" s="3577" t="s">
        <v>6121</v>
      </c>
      <c r="D91" s="3577"/>
      <c r="E91" s="3577"/>
      <c r="F91" s="3577"/>
      <c r="G91" s="3577"/>
      <c r="H91" s="3577"/>
      <c r="I91" s="3577"/>
      <c r="J91" s="3577"/>
      <c r="K91" s="3577"/>
      <c r="L91" s="3577"/>
      <c r="M91" s="3577"/>
      <c r="N91" s="3577"/>
      <c r="O91" s="3577"/>
      <c r="P91" s="3577"/>
      <c r="Q91" s="3577"/>
      <c r="R91" s="3577"/>
      <c r="S91" s="3577"/>
      <c r="T91" s="3577"/>
      <c r="U91" s="3577"/>
      <c r="V91" s="3577"/>
      <c r="W91" s="3577"/>
      <c r="X91" s="3577"/>
      <c r="Y91" s="3577"/>
      <c r="Z91" s="3577"/>
      <c r="AA91" s="3577"/>
      <c r="AB91" s="3577"/>
      <c r="AC91" s="3577"/>
      <c r="AD91" s="3577"/>
      <c r="AE91" s="3596" t="s">
        <v>6122</v>
      </c>
      <c r="AF91" s="3597"/>
      <c r="AG91" s="3597"/>
      <c r="AH91" s="3597"/>
      <c r="AI91" s="3597"/>
      <c r="AJ91" s="3598"/>
      <c r="AK91" s="3599" t="s">
        <v>6123</v>
      </c>
      <c r="AL91" s="3600"/>
      <c r="AM91" s="3600"/>
      <c r="AN91" s="3601"/>
      <c r="AO91" s="3602">
        <f>UnosPod!F234+UnosPod!F236+UnosPod!F237</f>
        <v>804</v>
      </c>
      <c r="AP91" s="3603"/>
      <c r="AQ91" s="3603"/>
      <c r="AR91" s="3603"/>
      <c r="AS91" s="3603"/>
      <c r="AT91" s="3603"/>
      <c r="AU91" s="3603"/>
      <c r="AV91" s="3604"/>
    </row>
    <row r="92" spans="1:48">
      <c r="A92" s="3594" t="s">
        <v>5428</v>
      </c>
      <c r="B92" s="3595"/>
      <c r="C92" s="3515" t="s">
        <v>6124</v>
      </c>
      <c r="D92" s="3515"/>
      <c r="E92" s="3515"/>
      <c r="F92" s="3515"/>
      <c r="G92" s="3515"/>
      <c r="H92" s="3515"/>
      <c r="I92" s="3515"/>
      <c r="J92" s="3515"/>
      <c r="K92" s="3515"/>
      <c r="L92" s="3515"/>
      <c r="M92" s="3515"/>
      <c r="N92" s="3515"/>
      <c r="O92" s="3515"/>
      <c r="P92" s="3515"/>
      <c r="Q92" s="3515"/>
      <c r="R92" s="3515"/>
      <c r="S92" s="3515"/>
      <c r="T92" s="3515"/>
      <c r="U92" s="3515"/>
      <c r="V92" s="3515"/>
      <c r="W92" s="3515"/>
      <c r="X92" s="3515"/>
      <c r="Y92" s="3515"/>
      <c r="Z92" s="3515"/>
      <c r="AA92" s="3515"/>
      <c r="AB92" s="3515"/>
      <c r="AC92" s="3515"/>
      <c r="AD92" s="3515"/>
      <c r="AE92" s="3596" t="s">
        <v>6125</v>
      </c>
      <c r="AF92" s="3597"/>
      <c r="AG92" s="3597"/>
      <c r="AH92" s="3597"/>
      <c r="AI92" s="3597"/>
      <c r="AJ92" s="3598"/>
      <c r="AK92" s="3513">
        <v>512</v>
      </c>
      <c r="AL92" s="3605"/>
      <c r="AM92" s="3605"/>
      <c r="AN92" s="3514"/>
      <c r="AO92" s="3602">
        <f>UnosPod!F235</f>
        <v>7591</v>
      </c>
      <c r="AP92" s="3603"/>
      <c r="AQ92" s="3603"/>
      <c r="AR92" s="3603"/>
      <c r="AS92" s="3603"/>
      <c r="AT92" s="3603"/>
      <c r="AU92" s="3603"/>
      <c r="AV92" s="3604"/>
    </row>
    <row r="93" ht="25.5" customHeight="1" spans="1:48">
      <c r="A93" s="3594" t="s">
        <v>5469</v>
      </c>
      <c r="B93" s="3595"/>
      <c r="C93" s="3606" t="s">
        <v>6126</v>
      </c>
      <c r="D93" s="3607"/>
      <c r="E93" s="3607"/>
      <c r="F93" s="3607"/>
      <c r="G93" s="3607"/>
      <c r="H93" s="3607"/>
      <c r="I93" s="3607"/>
      <c r="J93" s="3607"/>
      <c r="K93" s="3607"/>
      <c r="L93" s="3607"/>
      <c r="M93" s="3607"/>
      <c r="N93" s="3607"/>
      <c r="O93" s="3607"/>
      <c r="P93" s="3607"/>
      <c r="Q93" s="3607"/>
      <c r="R93" s="3607"/>
      <c r="S93" s="3607"/>
      <c r="T93" s="3607"/>
      <c r="U93" s="3607"/>
      <c r="V93" s="3607"/>
      <c r="W93" s="3607"/>
      <c r="X93" s="3607"/>
      <c r="Y93" s="3607"/>
      <c r="Z93" s="3607"/>
      <c r="AA93" s="3607"/>
      <c r="AB93" s="3607"/>
      <c r="AC93" s="3607"/>
      <c r="AD93" s="3608"/>
      <c r="AE93" s="3596" t="s">
        <v>6127</v>
      </c>
      <c r="AF93" s="3597"/>
      <c r="AG93" s="3597"/>
      <c r="AH93" s="3597"/>
      <c r="AI93" s="3597"/>
      <c r="AJ93" s="3598"/>
      <c r="AK93" s="3609" t="s">
        <v>6128</v>
      </c>
      <c r="AL93" s="3610"/>
      <c r="AM93" s="3610"/>
      <c r="AN93" s="3611"/>
      <c r="AO93" s="3602">
        <f>UnosPod!F230+UnosPod!F231</f>
        <v>0</v>
      </c>
      <c r="AP93" s="3603"/>
      <c r="AQ93" s="3603"/>
      <c r="AR93" s="3603"/>
      <c r="AS93" s="3603"/>
      <c r="AT93" s="3603"/>
      <c r="AU93" s="3603"/>
      <c r="AV93" s="3604"/>
    </row>
    <row r="94" spans="1:48">
      <c r="A94" s="3594" t="s">
        <v>5600</v>
      </c>
      <c r="B94" s="3595"/>
      <c r="C94" s="3515" t="s">
        <v>6129</v>
      </c>
      <c r="D94" s="3515"/>
      <c r="E94" s="3515"/>
      <c r="F94" s="3515"/>
      <c r="G94" s="3515"/>
      <c r="H94" s="3515"/>
      <c r="I94" s="3515"/>
      <c r="J94" s="3515"/>
      <c r="K94" s="3515"/>
      <c r="L94" s="3515"/>
      <c r="M94" s="3515"/>
      <c r="N94" s="3515"/>
      <c r="O94" s="3515"/>
      <c r="P94" s="3515"/>
      <c r="Q94" s="3515"/>
      <c r="R94" s="3515"/>
      <c r="S94" s="3515"/>
      <c r="T94" s="3515"/>
      <c r="U94" s="3515"/>
      <c r="V94" s="3515"/>
      <c r="W94" s="3515"/>
      <c r="X94" s="3515"/>
      <c r="Y94" s="3515"/>
      <c r="Z94" s="3515"/>
      <c r="AA94" s="3515"/>
      <c r="AB94" s="3515"/>
      <c r="AC94" s="3515"/>
      <c r="AD94" s="3515"/>
      <c r="AE94" s="3596" t="s">
        <v>6130</v>
      </c>
      <c r="AF94" s="3597"/>
      <c r="AG94" s="3597"/>
      <c r="AH94" s="3597"/>
      <c r="AI94" s="3597"/>
      <c r="AJ94" s="3598"/>
      <c r="AK94" s="3609"/>
      <c r="AL94" s="3610"/>
      <c r="AM94" s="3610"/>
      <c r="AN94" s="3611"/>
      <c r="AO94" s="3602">
        <f>SUM(AO95:AV108)</f>
        <v>44443</v>
      </c>
      <c r="AP94" s="3603"/>
      <c r="AQ94" s="3603"/>
      <c r="AR94" s="3603"/>
      <c r="AS94" s="3603"/>
      <c r="AT94" s="3603"/>
      <c r="AU94" s="3603"/>
      <c r="AV94" s="3604"/>
    </row>
    <row r="95" spans="1:48">
      <c r="A95" s="3594" t="s">
        <v>5078</v>
      </c>
      <c r="B95" s="3595"/>
      <c r="C95" s="3612" t="s">
        <v>6131</v>
      </c>
      <c r="D95" s="3612"/>
      <c r="E95" s="3612"/>
      <c r="F95" s="3612"/>
      <c r="G95" s="3612"/>
      <c r="H95" s="3612"/>
      <c r="I95" s="3612"/>
      <c r="J95" s="3612"/>
      <c r="K95" s="3612"/>
      <c r="L95" s="3612"/>
      <c r="M95" s="3612"/>
      <c r="N95" s="3612"/>
      <c r="O95" s="3612"/>
      <c r="P95" s="3612"/>
      <c r="Q95" s="3612"/>
      <c r="R95" s="3612"/>
      <c r="S95" s="3612"/>
      <c r="T95" s="3612"/>
      <c r="U95" s="3612"/>
      <c r="V95" s="3612"/>
      <c r="W95" s="3612"/>
      <c r="X95" s="3612"/>
      <c r="Y95" s="3612"/>
      <c r="Z95" s="3612"/>
      <c r="AA95" s="3612"/>
      <c r="AB95" s="3612"/>
      <c r="AC95" s="3612"/>
      <c r="AD95" s="3612"/>
      <c r="AE95" s="3613" t="s">
        <v>6132</v>
      </c>
      <c r="AF95" s="3614"/>
      <c r="AG95" s="3614"/>
      <c r="AH95" s="3614"/>
      <c r="AI95" s="3614"/>
      <c r="AJ95" s="3615"/>
      <c r="AK95" s="3609">
        <v>530</v>
      </c>
      <c r="AL95" s="3610"/>
      <c r="AM95" s="3610"/>
      <c r="AN95" s="3611"/>
      <c r="AO95" s="3520">
        <f>UnosPod!F255</f>
        <v>0</v>
      </c>
      <c r="AP95" s="3521"/>
      <c r="AQ95" s="3521"/>
      <c r="AR95" s="3521"/>
      <c r="AS95" s="3521"/>
      <c r="AT95" s="3521"/>
      <c r="AU95" s="3521"/>
      <c r="AV95" s="3522"/>
    </row>
    <row r="96" spans="1:48">
      <c r="A96" s="3594" t="s">
        <v>6133</v>
      </c>
      <c r="B96" s="3595"/>
      <c r="C96" s="3612" t="s">
        <v>6134</v>
      </c>
      <c r="D96" s="3612"/>
      <c r="E96" s="3612"/>
      <c r="F96" s="3612"/>
      <c r="G96" s="3612"/>
      <c r="H96" s="3612"/>
      <c r="I96" s="3612"/>
      <c r="J96" s="3612"/>
      <c r="K96" s="3612"/>
      <c r="L96" s="3612"/>
      <c r="M96" s="3612"/>
      <c r="N96" s="3612"/>
      <c r="O96" s="3612"/>
      <c r="P96" s="3612"/>
      <c r="Q96" s="3612"/>
      <c r="R96" s="3612"/>
      <c r="S96" s="3612"/>
      <c r="T96" s="3612"/>
      <c r="U96" s="3612"/>
      <c r="V96" s="3612"/>
      <c r="W96" s="3612"/>
      <c r="X96" s="3612"/>
      <c r="Y96" s="3612"/>
      <c r="Z96" s="3612"/>
      <c r="AA96" s="3612"/>
      <c r="AB96" s="3612"/>
      <c r="AC96" s="3612"/>
      <c r="AD96" s="3612"/>
      <c r="AE96" s="3613" t="s">
        <v>6135</v>
      </c>
      <c r="AF96" s="3614"/>
      <c r="AG96" s="3614"/>
      <c r="AH96" s="3614"/>
      <c r="AI96" s="3614"/>
      <c r="AJ96" s="3615"/>
      <c r="AK96" s="3513" t="s">
        <v>6136</v>
      </c>
      <c r="AL96" s="3605"/>
      <c r="AM96" s="3605"/>
      <c r="AN96" s="3514"/>
      <c r="AO96" s="3520">
        <f>UnosPod!F257</f>
        <v>24172</v>
      </c>
      <c r="AP96" s="3521"/>
      <c r="AQ96" s="3521"/>
      <c r="AR96" s="3521"/>
      <c r="AS96" s="3521"/>
      <c r="AT96" s="3521"/>
      <c r="AU96" s="3521"/>
      <c r="AV96" s="3522"/>
    </row>
    <row r="97" spans="1:49">
      <c r="A97" s="3594" t="s">
        <v>6137</v>
      </c>
      <c r="B97" s="3595"/>
      <c r="C97" s="3616" t="s">
        <v>6138</v>
      </c>
      <c r="D97" s="3616"/>
      <c r="E97" s="3616"/>
      <c r="F97" s="3616"/>
      <c r="G97" s="3616"/>
      <c r="H97" s="3616"/>
      <c r="I97" s="3616"/>
      <c r="J97" s="3616"/>
      <c r="K97" s="3616"/>
      <c r="L97" s="3616"/>
      <c r="M97" s="3616"/>
      <c r="N97" s="3616"/>
      <c r="O97" s="3616"/>
      <c r="P97" s="3616"/>
      <c r="Q97" s="3616"/>
      <c r="R97" s="3616"/>
      <c r="S97" s="3616"/>
      <c r="T97" s="3616"/>
      <c r="U97" s="3616"/>
      <c r="V97" s="3616"/>
      <c r="W97" s="3616"/>
      <c r="X97" s="3616"/>
      <c r="Y97" s="3616"/>
      <c r="Z97" s="3616"/>
      <c r="AA97" s="3616"/>
      <c r="AB97" s="3616"/>
      <c r="AC97" s="3616"/>
      <c r="AD97" s="3616"/>
      <c r="AE97" s="3613" t="s">
        <v>6139</v>
      </c>
      <c r="AF97" s="3614"/>
      <c r="AG97" s="3614"/>
      <c r="AH97" s="3614"/>
      <c r="AI97" s="3614"/>
      <c r="AJ97" s="3615"/>
      <c r="AK97" s="3513">
        <v>531</v>
      </c>
      <c r="AL97" s="3605"/>
      <c r="AM97" s="3605"/>
      <c r="AN97" s="3514"/>
      <c r="AO97" s="3520">
        <f>UnosPod!F256</f>
        <v>0</v>
      </c>
      <c r="AP97" s="3521"/>
      <c r="AQ97" s="3521"/>
      <c r="AR97" s="3521"/>
      <c r="AS97" s="3521"/>
      <c r="AT97" s="3521"/>
      <c r="AU97" s="3521"/>
      <c r="AV97" s="3522"/>
    </row>
    <row r="98" spans="1:49">
      <c r="A98" s="3594" t="s">
        <v>6140</v>
      </c>
      <c r="B98" s="3595"/>
      <c r="C98" s="3616" t="s">
        <v>6141</v>
      </c>
      <c r="D98" s="3616"/>
      <c r="E98" s="3616"/>
      <c r="F98" s="3616"/>
      <c r="G98" s="3616"/>
      <c r="H98" s="3616"/>
      <c r="I98" s="3616"/>
      <c r="J98" s="3616"/>
      <c r="K98" s="3616"/>
      <c r="L98" s="3616"/>
      <c r="M98" s="3616"/>
      <c r="N98" s="3616"/>
      <c r="O98" s="3616"/>
      <c r="P98" s="3616"/>
      <c r="Q98" s="3616"/>
      <c r="R98" s="3616"/>
      <c r="S98" s="3616"/>
      <c r="T98" s="3616"/>
      <c r="U98" s="3616"/>
      <c r="V98" s="3616"/>
      <c r="W98" s="3616"/>
      <c r="X98" s="3616"/>
      <c r="Y98" s="3616"/>
      <c r="Z98" s="3616"/>
      <c r="AA98" s="3616"/>
      <c r="AB98" s="3616"/>
      <c r="AC98" s="3616"/>
      <c r="AD98" s="3616"/>
      <c r="AE98" s="3613" t="s">
        <v>6142</v>
      </c>
      <c r="AF98" s="3614"/>
      <c r="AG98" s="3614"/>
      <c r="AH98" s="3614"/>
      <c r="AI98" s="3614"/>
      <c r="AJ98" s="3615"/>
      <c r="AK98" s="3513">
        <v>554</v>
      </c>
      <c r="AL98" s="3605"/>
      <c r="AM98" s="3605"/>
      <c r="AN98" s="3514"/>
      <c r="AO98" s="3520">
        <f>UnosPod!F301</f>
        <v>11889</v>
      </c>
      <c r="AP98" s="3521"/>
      <c r="AQ98" s="3521"/>
      <c r="AR98" s="3521"/>
      <c r="AS98" s="3521"/>
      <c r="AT98" s="3521"/>
      <c r="AU98" s="3521"/>
      <c r="AV98" s="3522"/>
    </row>
    <row r="99" spans="1:49">
      <c r="A99" s="3594" t="s">
        <v>6143</v>
      </c>
      <c r="B99" s="3595"/>
      <c r="C99" s="3616" t="s">
        <v>6144</v>
      </c>
      <c r="D99" s="3616"/>
      <c r="E99" s="3616"/>
      <c r="F99" s="3616"/>
      <c r="G99" s="3616"/>
      <c r="H99" s="3616"/>
      <c r="I99" s="3616"/>
      <c r="J99" s="3616"/>
      <c r="K99" s="3616"/>
      <c r="L99" s="3616"/>
      <c r="M99" s="3616"/>
      <c r="N99" s="3616"/>
      <c r="O99" s="3616"/>
      <c r="P99" s="3616"/>
      <c r="Q99" s="3616"/>
      <c r="R99" s="3616"/>
      <c r="S99" s="3616"/>
      <c r="T99" s="3616"/>
      <c r="U99" s="3616"/>
      <c r="V99" s="3616"/>
      <c r="W99" s="3616"/>
      <c r="X99" s="3616"/>
      <c r="Y99" s="3616"/>
      <c r="Z99" s="3616"/>
      <c r="AA99" s="3616"/>
      <c r="AB99" s="3616"/>
      <c r="AC99" s="3616"/>
      <c r="AD99" s="3616"/>
      <c r="AE99" s="3613" t="s">
        <v>6145</v>
      </c>
      <c r="AF99" s="3614"/>
      <c r="AG99" s="3614"/>
      <c r="AH99" s="3614"/>
      <c r="AI99" s="3614"/>
      <c r="AJ99" s="3615"/>
      <c r="AK99" s="3513" t="s">
        <v>6146</v>
      </c>
      <c r="AL99" s="3605"/>
      <c r="AM99" s="3605"/>
      <c r="AN99" s="3514"/>
      <c r="AO99" s="3520">
        <f>UnosPod!F259+UnosPod!F260</f>
        <v>0</v>
      </c>
      <c r="AP99" s="3521"/>
      <c r="AQ99" s="3521"/>
      <c r="AR99" s="3521"/>
      <c r="AS99" s="3521"/>
      <c r="AT99" s="3521"/>
      <c r="AU99" s="3521"/>
      <c r="AV99" s="3522"/>
    </row>
    <row r="100" spans="1:49">
      <c r="A100" s="3594" t="s">
        <v>301</v>
      </c>
      <c r="B100" s="3595"/>
      <c r="C100" s="3616" t="s">
        <v>6147</v>
      </c>
      <c r="D100" s="3616"/>
      <c r="E100" s="3616"/>
      <c r="F100" s="3616"/>
      <c r="G100" s="3616"/>
      <c r="H100" s="3616"/>
      <c r="I100" s="3616"/>
      <c r="J100" s="3616"/>
      <c r="K100" s="3616"/>
      <c r="L100" s="3616"/>
      <c r="M100" s="3616"/>
      <c r="N100" s="3616"/>
      <c r="O100" s="3616"/>
      <c r="P100" s="3616"/>
      <c r="Q100" s="3616"/>
      <c r="R100" s="3616"/>
      <c r="S100" s="3616"/>
      <c r="T100" s="3616"/>
      <c r="U100" s="3616"/>
      <c r="V100" s="3616"/>
      <c r="W100" s="3616"/>
      <c r="X100" s="3616"/>
      <c r="Y100" s="3616"/>
      <c r="Z100" s="3616"/>
      <c r="AA100" s="3616"/>
      <c r="AB100" s="3616"/>
      <c r="AC100" s="3616"/>
      <c r="AD100" s="3616"/>
      <c r="AE100" s="3613" t="s">
        <v>6148</v>
      </c>
      <c r="AF100" s="3614"/>
      <c r="AG100" s="3614"/>
      <c r="AH100" s="3614"/>
      <c r="AI100" s="3614"/>
      <c r="AJ100" s="3615"/>
      <c r="AK100" s="3513" t="s">
        <v>6149</v>
      </c>
      <c r="AL100" s="3605"/>
      <c r="AM100" s="3605"/>
      <c r="AN100" s="3514"/>
      <c r="AO100" s="3520">
        <f>UnosPod!F261+UnosPod!F262</f>
        <v>0</v>
      </c>
      <c r="AP100" s="3521"/>
      <c r="AQ100" s="3521"/>
      <c r="AR100" s="3521"/>
      <c r="AS100" s="3521"/>
      <c r="AT100" s="3521"/>
      <c r="AU100" s="3521"/>
      <c r="AV100" s="3522"/>
    </row>
    <row r="101" spans="1:49">
      <c r="A101" s="3594" t="s">
        <v>303</v>
      </c>
      <c r="B101" s="3595"/>
      <c r="C101" s="3617" t="s">
        <v>6150</v>
      </c>
      <c r="D101" s="3618"/>
      <c r="E101" s="3618"/>
      <c r="F101" s="3618"/>
      <c r="G101" s="3618"/>
      <c r="H101" s="3618"/>
      <c r="I101" s="3618"/>
      <c r="J101" s="3618"/>
      <c r="K101" s="3618"/>
      <c r="L101" s="3618"/>
      <c r="M101" s="3618"/>
      <c r="N101" s="3618"/>
      <c r="O101" s="3618"/>
      <c r="P101" s="3618"/>
      <c r="Q101" s="3618"/>
      <c r="R101" s="3618"/>
      <c r="S101" s="3618"/>
      <c r="T101" s="3618"/>
      <c r="U101" s="3618"/>
      <c r="V101" s="3618"/>
      <c r="W101" s="3618"/>
      <c r="X101" s="3618"/>
      <c r="Y101" s="3618"/>
      <c r="Z101" s="3618"/>
      <c r="AA101" s="3618"/>
      <c r="AB101" s="3618"/>
      <c r="AC101" s="3618"/>
      <c r="AD101" s="3619"/>
      <c r="AE101" s="3613" t="s">
        <v>6151</v>
      </c>
      <c r="AF101" s="3614"/>
      <c r="AG101" s="3614"/>
      <c r="AH101" s="3614"/>
      <c r="AI101" s="3614"/>
      <c r="AJ101" s="3615"/>
      <c r="AK101" s="3513" t="s">
        <v>6152</v>
      </c>
      <c r="AL101" s="3605"/>
      <c r="AM101" s="3605"/>
      <c r="AN101" s="3514"/>
      <c r="AO101" s="3520">
        <f>UnosPod!F297-AO117</f>
        <v>7255</v>
      </c>
      <c r="AP101" s="3521"/>
      <c r="AQ101" s="3521"/>
      <c r="AR101" s="3521"/>
      <c r="AS101" s="3521"/>
      <c r="AT101" s="3521"/>
      <c r="AU101" s="3521"/>
      <c r="AV101" s="3522"/>
    </row>
    <row r="102" spans="1:49">
      <c r="A102" s="3594" t="s">
        <v>305</v>
      </c>
      <c r="B102" s="3595"/>
      <c r="C102" s="3616" t="s">
        <v>6153</v>
      </c>
      <c r="D102" s="3616"/>
      <c r="E102" s="3616"/>
      <c r="F102" s="3616"/>
      <c r="G102" s="3616"/>
      <c r="H102" s="3616"/>
      <c r="I102" s="3616"/>
      <c r="J102" s="3616"/>
      <c r="K102" s="3616"/>
      <c r="L102" s="3616"/>
      <c r="M102" s="3616"/>
      <c r="N102" s="3616"/>
      <c r="O102" s="3616"/>
      <c r="P102" s="3616"/>
      <c r="Q102" s="3616"/>
      <c r="R102" s="3616"/>
      <c r="S102" s="3616"/>
      <c r="T102" s="3616"/>
      <c r="U102" s="3616"/>
      <c r="V102" s="3616"/>
      <c r="W102" s="3616"/>
      <c r="X102" s="3616"/>
      <c r="Y102" s="3616"/>
      <c r="Z102" s="3616"/>
      <c r="AA102" s="3616"/>
      <c r="AB102" s="3616"/>
      <c r="AC102" s="3616"/>
      <c r="AD102" s="3616"/>
      <c r="AE102" s="3613" t="s">
        <v>6154</v>
      </c>
      <c r="AF102" s="3614"/>
      <c r="AG102" s="3614"/>
      <c r="AH102" s="3614"/>
      <c r="AI102" s="3614"/>
      <c r="AJ102" s="3615"/>
      <c r="AK102" s="3513">
        <v>552</v>
      </c>
      <c r="AL102" s="3605"/>
      <c r="AM102" s="3605"/>
      <c r="AN102" s="3514"/>
      <c r="AO102" s="3520">
        <f>UnosPod!F299</f>
        <v>0</v>
      </c>
      <c r="AP102" s="3521"/>
      <c r="AQ102" s="3521"/>
      <c r="AR102" s="3521"/>
      <c r="AS102" s="3521"/>
      <c r="AT102" s="3521"/>
      <c r="AU102" s="3521"/>
      <c r="AV102" s="3522"/>
    </row>
    <row r="103" spans="1:49">
      <c r="A103" s="3594" t="s">
        <v>307</v>
      </c>
      <c r="B103" s="3595"/>
      <c r="C103" s="3620" t="s">
        <v>6155</v>
      </c>
      <c r="D103" s="3620"/>
      <c r="E103" s="3620"/>
      <c r="F103" s="3620"/>
      <c r="G103" s="3620"/>
      <c r="H103" s="3620"/>
      <c r="I103" s="3620"/>
      <c r="J103" s="3620"/>
      <c r="K103" s="3620"/>
      <c r="L103" s="3620"/>
      <c r="M103" s="3620"/>
      <c r="N103" s="3620"/>
      <c r="O103" s="3620"/>
      <c r="P103" s="3620"/>
      <c r="Q103" s="3620"/>
      <c r="R103" s="3620"/>
      <c r="S103" s="3620"/>
      <c r="T103" s="3620"/>
      <c r="U103" s="3620"/>
      <c r="V103" s="3620"/>
      <c r="W103" s="3620"/>
      <c r="X103" s="3620"/>
      <c r="Y103" s="3620"/>
      <c r="Z103" s="3620"/>
      <c r="AA103" s="3620"/>
      <c r="AB103" s="3620"/>
      <c r="AC103" s="3620"/>
      <c r="AD103" s="3620"/>
      <c r="AE103" s="3613" t="s">
        <v>6156</v>
      </c>
      <c r="AF103" s="3614"/>
      <c r="AG103" s="3614"/>
      <c r="AH103" s="3614"/>
      <c r="AI103" s="3614"/>
      <c r="AJ103" s="3615"/>
      <c r="AK103" s="3513"/>
      <c r="AL103" s="3605"/>
      <c r="AM103" s="3605"/>
      <c r="AN103" s="3514"/>
      <c r="AO103" s="3520"/>
      <c r="AP103" s="3521"/>
      <c r="AQ103" s="3521"/>
      <c r="AR103" s="3521"/>
      <c r="AS103" s="3521"/>
      <c r="AT103" s="3521"/>
      <c r="AU103" s="3521"/>
      <c r="AV103" s="3522"/>
    </row>
    <row r="104" spans="1:49">
      <c r="A104" s="3594" t="s">
        <v>309</v>
      </c>
      <c r="B104" s="3595"/>
      <c r="C104" s="3612" t="s">
        <v>6157</v>
      </c>
      <c r="D104" s="3612"/>
      <c r="E104" s="3612"/>
      <c r="F104" s="3612"/>
      <c r="G104" s="3612"/>
      <c r="H104" s="3612"/>
      <c r="I104" s="3612"/>
      <c r="J104" s="3612"/>
      <c r="K104" s="3612"/>
      <c r="L104" s="3612"/>
      <c r="M104" s="3612"/>
      <c r="N104" s="3612"/>
      <c r="O104" s="3612"/>
      <c r="P104" s="3612"/>
      <c r="Q104" s="3612"/>
      <c r="R104" s="3612"/>
      <c r="S104" s="3612"/>
      <c r="T104" s="3612"/>
      <c r="U104" s="3612"/>
      <c r="V104" s="3612"/>
      <c r="W104" s="3612"/>
      <c r="X104" s="3612"/>
      <c r="Y104" s="3612"/>
      <c r="Z104" s="3612"/>
      <c r="AA104" s="3612"/>
      <c r="AB104" s="3612"/>
      <c r="AC104" s="3612"/>
      <c r="AD104" s="3612"/>
      <c r="AE104" s="3613" t="s">
        <v>6158</v>
      </c>
      <c r="AF104" s="3614"/>
      <c r="AG104" s="3614"/>
      <c r="AH104" s="3614"/>
      <c r="AI104" s="3614"/>
      <c r="AJ104" s="3615"/>
      <c r="AK104" s="3513" t="s">
        <v>6159</v>
      </c>
      <c r="AL104" s="3605"/>
      <c r="AM104" s="3605"/>
      <c r="AN104" s="3514"/>
      <c r="AO104" s="3520">
        <f>UnosPod!F263</f>
        <v>0</v>
      </c>
      <c r="AP104" s="3521"/>
      <c r="AQ104" s="3521"/>
      <c r="AR104" s="3521"/>
      <c r="AS104" s="3521"/>
      <c r="AT104" s="3521"/>
      <c r="AU104" s="3521"/>
      <c r="AV104" s="3522"/>
    </row>
    <row r="105" spans="1:49">
      <c r="A105" s="3594" t="s">
        <v>311</v>
      </c>
      <c r="B105" s="3595"/>
      <c r="C105" s="3621" t="s">
        <v>6160</v>
      </c>
      <c r="D105" s="3622"/>
      <c r="E105" s="3622"/>
      <c r="F105" s="3622"/>
      <c r="G105" s="3622"/>
      <c r="H105" s="3622"/>
      <c r="I105" s="3622"/>
      <c r="J105" s="3622"/>
      <c r="K105" s="3622"/>
      <c r="L105" s="3622"/>
      <c r="M105" s="3622"/>
      <c r="N105" s="3622"/>
      <c r="O105" s="3622"/>
      <c r="P105" s="3622"/>
      <c r="Q105" s="3622"/>
      <c r="R105" s="3622"/>
      <c r="S105" s="3622"/>
      <c r="T105" s="3622"/>
      <c r="U105" s="3622"/>
      <c r="V105" s="3622"/>
      <c r="W105" s="3622"/>
      <c r="X105" s="3622"/>
      <c r="Y105" s="3622"/>
      <c r="Z105" s="3622"/>
      <c r="AA105" s="3622"/>
      <c r="AB105" s="3622"/>
      <c r="AC105" s="3622"/>
      <c r="AD105" s="3623"/>
      <c r="AE105" s="3613" t="s">
        <v>6161</v>
      </c>
      <c r="AF105" s="3614"/>
      <c r="AG105" s="3614"/>
      <c r="AH105" s="3614"/>
      <c r="AI105" s="3614"/>
      <c r="AJ105" s="3615"/>
      <c r="AK105" s="3513">
        <v>553</v>
      </c>
      <c r="AL105" s="3605"/>
      <c r="AM105" s="3605"/>
      <c r="AN105" s="3514"/>
      <c r="AO105" s="3520">
        <f>UnosPod!F300</f>
        <v>1127</v>
      </c>
      <c r="AP105" s="3521"/>
      <c r="AQ105" s="3521"/>
      <c r="AR105" s="3521"/>
      <c r="AS105" s="3521"/>
      <c r="AT105" s="3521"/>
      <c r="AU105" s="3521"/>
      <c r="AV105" s="3522"/>
    </row>
    <row r="106" ht="24.75" customHeight="1" spans="1:49">
      <c r="A106" s="3594" t="s">
        <v>313</v>
      </c>
      <c r="B106" s="3595"/>
      <c r="C106" s="3624" t="s">
        <v>6162</v>
      </c>
      <c r="D106" s="3625"/>
      <c r="E106" s="3625"/>
      <c r="F106" s="3625"/>
      <c r="G106" s="3625"/>
      <c r="H106" s="3625"/>
      <c r="I106" s="3625"/>
      <c r="J106" s="3625"/>
      <c r="K106" s="3625"/>
      <c r="L106" s="3625"/>
      <c r="M106" s="3625"/>
      <c r="N106" s="3625"/>
      <c r="O106" s="3625"/>
      <c r="P106" s="3625"/>
      <c r="Q106" s="3625"/>
      <c r="R106" s="3625"/>
      <c r="S106" s="3625"/>
      <c r="T106" s="3625"/>
      <c r="U106" s="3625"/>
      <c r="V106" s="3625"/>
      <c r="W106" s="3625"/>
      <c r="X106" s="3625"/>
      <c r="Y106" s="3625"/>
      <c r="Z106" s="3625"/>
      <c r="AA106" s="3625"/>
      <c r="AB106" s="3625"/>
      <c r="AC106" s="3625"/>
      <c r="AD106" s="3626"/>
      <c r="AE106" s="3613" t="s">
        <v>6163</v>
      </c>
      <c r="AF106" s="3614"/>
      <c r="AG106" s="3614"/>
      <c r="AH106" s="3614"/>
      <c r="AI106" s="3614"/>
      <c r="AJ106" s="3615"/>
      <c r="AK106" s="3568" t="s">
        <v>6164</v>
      </c>
      <c r="AL106" s="3569"/>
      <c r="AM106" s="3569"/>
      <c r="AN106" s="3570"/>
      <c r="AO106" s="3520">
        <f>UnosPod!F253-AO108</f>
        <v>0</v>
      </c>
      <c r="AP106" s="3521"/>
      <c r="AQ106" s="3521"/>
      <c r="AR106" s="3521"/>
      <c r="AS106" s="3521"/>
      <c r="AT106" s="3521"/>
      <c r="AU106" s="3521"/>
      <c r="AV106" s="3522"/>
      <c r="AW106" s="2085"/>
    </row>
    <row r="107" spans="1:49">
      <c r="A107" s="3594" t="s">
        <v>508</v>
      </c>
      <c r="B107" s="3595"/>
      <c r="C107" s="3612" t="s">
        <v>6165</v>
      </c>
      <c r="D107" s="3612"/>
      <c r="E107" s="3612"/>
      <c r="F107" s="3612"/>
      <c r="G107" s="3612"/>
      <c r="H107" s="3612"/>
      <c r="I107" s="3612"/>
      <c r="J107" s="3612"/>
      <c r="K107" s="3612"/>
      <c r="L107" s="3612"/>
      <c r="M107" s="3612"/>
      <c r="N107" s="3612"/>
      <c r="O107" s="3612"/>
      <c r="P107" s="3612"/>
      <c r="Q107" s="3612"/>
      <c r="R107" s="3612"/>
      <c r="S107" s="3612"/>
      <c r="T107" s="3612"/>
      <c r="U107" s="3612"/>
      <c r="V107" s="3612"/>
      <c r="W107" s="3612"/>
      <c r="X107" s="3612"/>
      <c r="Y107" s="3612"/>
      <c r="Z107" s="3612"/>
      <c r="AA107" s="3612"/>
      <c r="AB107" s="3612"/>
      <c r="AC107" s="3612"/>
      <c r="AD107" s="3612"/>
      <c r="AE107" s="3613" t="s">
        <v>6166</v>
      </c>
      <c r="AF107" s="3614"/>
      <c r="AG107" s="3614"/>
      <c r="AH107" s="3614"/>
      <c r="AI107" s="3614"/>
      <c r="AJ107" s="3615"/>
      <c r="AK107" s="3513">
        <v>533</v>
      </c>
      <c r="AL107" s="3605"/>
      <c r="AM107" s="3605"/>
      <c r="AN107" s="3514"/>
      <c r="AO107" s="3520">
        <f>UnosPod!F258</f>
        <v>0</v>
      </c>
      <c r="AP107" s="3521"/>
      <c r="AQ107" s="3521"/>
      <c r="AR107" s="3521"/>
      <c r="AS107" s="3521"/>
      <c r="AT107" s="3521"/>
      <c r="AU107" s="3521"/>
      <c r="AV107" s="3522"/>
    </row>
    <row r="108" ht="29.25" customHeight="1" spans="1:49">
      <c r="A108" s="3594" t="s">
        <v>522</v>
      </c>
      <c r="B108" s="3595"/>
      <c r="C108" s="3620" t="s">
        <v>6353</v>
      </c>
      <c r="D108" s="3620"/>
      <c r="E108" s="3620"/>
      <c r="F108" s="3620"/>
      <c r="G108" s="3620"/>
      <c r="H108" s="3620"/>
      <c r="I108" s="3620"/>
      <c r="J108" s="3620"/>
      <c r="K108" s="3620"/>
      <c r="L108" s="3620"/>
      <c r="M108" s="3620"/>
      <c r="N108" s="3620"/>
      <c r="O108" s="3620"/>
      <c r="P108" s="3620"/>
      <c r="Q108" s="3620"/>
      <c r="R108" s="3620"/>
      <c r="S108" s="3620"/>
      <c r="T108" s="3620"/>
      <c r="U108" s="3620"/>
      <c r="V108" s="3620"/>
      <c r="W108" s="3620"/>
      <c r="X108" s="3620"/>
      <c r="Y108" s="3620"/>
      <c r="Z108" s="3620"/>
      <c r="AA108" s="3620"/>
      <c r="AB108" s="3620"/>
      <c r="AC108" s="3620"/>
      <c r="AD108" s="3620"/>
      <c r="AE108" s="3613" t="s">
        <v>6168</v>
      </c>
      <c r="AF108" s="3614"/>
      <c r="AG108" s="3614"/>
      <c r="AH108" s="3614"/>
      <c r="AI108" s="3614"/>
      <c r="AJ108" s="3615"/>
      <c r="AK108" s="3513" t="s">
        <v>6159</v>
      </c>
      <c r="AL108" s="3605"/>
      <c r="AM108" s="3605"/>
      <c r="AN108" s="3514"/>
      <c r="AO108" s="3520"/>
      <c r="AP108" s="3521"/>
      <c r="AQ108" s="3521"/>
      <c r="AR108" s="3521"/>
      <c r="AS108" s="3521"/>
      <c r="AT108" s="3521"/>
      <c r="AU108" s="3521"/>
      <c r="AV108" s="3522"/>
    </row>
    <row r="109" ht="24.75" customHeight="1" spans="1:49">
      <c r="A109" s="3594" t="s">
        <v>536</v>
      </c>
      <c r="B109" s="3595"/>
      <c r="C109" s="3627" t="s">
        <v>6169</v>
      </c>
      <c r="D109" s="3628"/>
      <c r="E109" s="3628"/>
      <c r="F109" s="3628"/>
      <c r="G109" s="3628"/>
      <c r="H109" s="3628"/>
      <c r="I109" s="3628"/>
      <c r="J109" s="3628"/>
      <c r="K109" s="3628"/>
      <c r="L109" s="3628"/>
      <c r="M109" s="3628"/>
      <c r="N109" s="3628"/>
      <c r="O109" s="3628"/>
      <c r="P109" s="3628"/>
      <c r="Q109" s="3628"/>
      <c r="R109" s="3628"/>
      <c r="S109" s="3628"/>
      <c r="T109" s="3628"/>
      <c r="U109" s="3628"/>
      <c r="V109" s="3628"/>
      <c r="W109" s="3628"/>
      <c r="X109" s="3628"/>
      <c r="Y109" s="3628"/>
      <c r="Z109" s="3628"/>
      <c r="AA109" s="3628"/>
      <c r="AB109" s="3628"/>
      <c r="AC109" s="3628"/>
      <c r="AD109" s="3629"/>
      <c r="AE109" s="3596" t="s">
        <v>6170</v>
      </c>
      <c r="AF109" s="3597"/>
      <c r="AG109" s="3597"/>
      <c r="AH109" s="3597"/>
      <c r="AI109" s="3597"/>
      <c r="AJ109" s="3598"/>
      <c r="AK109" s="3513"/>
      <c r="AL109" s="3605"/>
      <c r="AM109" s="3605"/>
      <c r="AN109" s="3514"/>
      <c r="AO109" s="3602">
        <f>AO110+AO111+AO112</f>
        <v>197104</v>
      </c>
      <c r="AP109" s="3603"/>
      <c r="AQ109" s="3603"/>
      <c r="AR109" s="3603"/>
      <c r="AS109" s="3603"/>
      <c r="AT109" s="3603"/>
      <c r="AU109" s="3603"/>
      <c r="AV109" s="3604"/>
    </row>
    <row r="110" ht="24.75" customHeight="1" spans="1:49">
      <c r="A110" s="3594" t="s">
        <v>550</v>
      </c>
      <c r="B110" s="3595"/>
      <c r="C110" s="3630" t="s">
        <v>6171</v>
      </c>
      <c r="D110" s="3631"/>
      <c r="E110" s="3631"/>
      <c r="F110" s="3631"/>
      <c r="G110" s="3631"/>
      <c r="H110" s="3631"/>
      <c r="I110" s="3631"/>
      <c r="J110" s="3631"/>
      <c r="K110" s="3631"/>
      <c r="L110" s="3631"/>
      <c r="M110" s="3631"/>
      <c r="N110" s="3631"/>
      <c r="O110" s="3631"/>
      <c r="P110" s="3631"/>
      <c r="Q110" s="3631"/>
      <c r="R110" s="3631"/>
      <c r="S110" s="3631"/>
      <c r="T110" s="3631"/>
      <c r="U110" s="3631"/>
      <c r="V110" s="3631"/>
      <c r="W110" s="3631"/>
      <c r="X110" s="3631"/>
      <c r="Y110" s="3631"/>
      <c r="Z110" s="3631"/>
      <c r="AA110" s="3631"/>
      <c r="AB110" s="3631"/>
      <c r="AC110" s="3631"/>
      <c r="AD110" s="3632"/>
      <c r="AE110" s="3633" t="s">
        <v>6172</v>
      </c>
      <c r="AF110" s="3634"/>
      <c r="AG110" s="3634"/>
      <c r="AH110" s="3634"/>
      <c r="AI110" s="3634"/>
      <c r="AJ110" s="3635"/>
      <c r="AK110" s="3513" t="s">
        <v>6173</v>
      </c>
      <c r="AL110" s="3605"/>
      <c r="AM110" s="3605"/>
      <c r="AN110" s="3514"/>
      <c r="AO110" s="3520">
        <f>UnosPod!F244+UnosPod!F249-UnosPod!F243-UnosPod!F248</f>
        <v>152542</v>
      </c>
      <c r="AP110" s="3521"/>
      <c r="AQ110" s="3521"/>
      <c r="AR110" s="3521"/>
      <c r="AS110" s="3521"/>
      <c r="AT110" s="3521"/>
      <c r="AU110" s="3521"/>
      <c r="AV110" s="3522"/>
    </row>
    <row r="111" ht="24.75" customHeight="1" spans="1:49">
      <c r="A111" s="3594" t="s">
        <v>563</v>
      </c>
      <c r="B111" s="3595"/>
      <c r="C111" s="3630" t="s">
        <v>6174</v>
      </c>
      <c r="D111" s="3631"/>
      <c r="E111" s="3631"/>
      <c r="F111" s="3631"/>
      <c r="G111" s="3631"/>
      <c r="H111" s="3631"/>
      <c r="I111" s="3631"/>
      <c r="J111" s="3631"/>
      <c r="K111" s="3631"/>
      <c r="L111" s="3631"/>
      <c r="M111" s="3631"/>
      <c r="N111" s="3631"/>
      <c r="O111" s="3631"/>
      <c r="P111" s="3631"/>
      <c r="Q111" s="3631"/>
      <c r="R111" s="3631"/>
      <c r="S111" s="3631"/>
      <c r="T111" s="3631"/>
      <c r="U111" s="3631"/>
      <c r="V111" s="3631"/>
      <c r="W111" s="3631"/>
      <c r="X111" s="3631"/>
      <c r="Y111" s="3631"/>
      <c r="Z111" s="3631"/>
      <c r="AA111" s="3631"/>
      <c r="AB111" s="3631"/>
      <c r="AC111" s="3631"/>
      <c r="AD111" s="3632"/>
      <c r="AE111" s="3633" t="s">
        <v>6175</v>
      </c>
      <c r="AF111" s="3634"/>
      <c r="AG111" s="3634"/>
      <c r="AH111" s="3634"/>
      <c r="AI111" s="3634"/>
      <c r="AJ111" s="3635"/>
      <c r="AK111" s="3513" t="s">
        <v>6176</v>
      </c>
      <c r="AL111" s="3605"/>
      <c r="AM111" s="3605"/>
      <c r="AN111" s="3514"/>
      <c r="AO111" s="3520">
        <f>UnosPod!F251+UnosPod!F252</f>
        <v>33957</v>
      </c>
      <c r="AP111" s="3521"/>
      <c r="AQ111" s="3521"/>
      <c r="AR111" s="3521"/>
      <c r="AS111" s="3521"/>
      <c r="AT111" s="3521"/>
      <c r="AU111" s="3521"/>
      <c r="AV111" s="3522"/>
    </row>
    <row r="112" spans="1:49">
      <c r="A112" s="3594" t="s">
        <v>575</v>
      </c>
      <c r="B112" s="3595"/>
      <c r="C112" s="3636" t="s">
        <v>6177</v>
      </c>
      <c r="D112" s="3637"/>
      <c r="E112" s="3637"/>
      <c r="F112" s="3637"/>
      <c r="G112" s="3637"/>
      <c r="H112" s="3637"/>
      <c r="I112" s="3637"/>
      <c r="J112" s="3637"/>
      <c r="K112" s="3637"/>
      <c r="L112" s="3637"/>
      <c r="M112" s="3637"/>
      <c r="N112" s="3637"/>
      <c r="O112" s="3637"/>
      <c r="P112" s="3637"/>
      <c r="Q112" s="3637"/>
      <c r="R112" s="3637"/>
      <c r="S112" s="3637"/>
      <c r="T112" s="3637"/>
      <c r="U112" s="3637"/>
      <c r="V112" s="3637"/>
      <c r="W112" s="3637"/>
      <c r="X112" s="3637"/>
      <c r="Y112" s="3637"/>
      <c r="Z112" s="3637"/>
      <c r="AA112" s="3637"/>
      <c r="AB112" s="3637"/>
      <c r="AC112" s="3637"/>
      <c r="AD112" s="3638"/>
      <c r="AE112" s="3633" t="s">
        <v>6178</v>
      </c>
      <c r="AF112" s="3634"/>
      <c r="AG112" s="3634"/>
      <c r="AH112" s="3634"/>
      <c r="AI112" s="3634"/>
      <c r="AJ112" s="3635"/>
      <c r="AK112" s="3513" t="s">
        <v>6179</v>
      </c>
      <c r="AL112" s="3605"/>
      <c r="AM112" s="3605"/>
      <c r="AN112" s="3514"/>
      <c r="AO112" s="3520">
        <f>UnosPod!F243+UnosPod!F248</f>
        <v>10605</v>
      </c>
      <c r="AP112" s="3521"/>
      <c r="AQ112" s="3521"/>
      <c r="AR112" s="3521"/>
      <c r="AS112" s="3521"/>
      <c r="AT112" s="3521"/>
      <c r="AU112" s="3521"/>
      <c r="AV112" s="3522"/>
    </row>
    <row r="113" ht="14.25" customHeight="1" spans="1:49">
      <c r="A113" s="3594" t="s">
        <v>588</v>
      </c>
      <c r="B113" s="3595"/>
      <c r="C113" s="3564" t="s">
        <v>6180</v>
      </c>
      <c r="D113" s="3564"/>
      <c r="E113" s="3564"/>
      <c r="F113" s="3564"/>
      <c r="G113" s="3564"/>
      <c r="H113" s="3564"/>
      <c r="I113" s="3564"/>
      <c r="J113" s="3564"/>
      <c r="K113" s="3564"/>
      <c r="L113" s="3564"/>
      <c r="M113" s="3564"/>
      <c r="N113" s="3564"/>
      <c r="O113" s="3564"/>
      <c r="P113" s="3564"/>
      <c r="Q113" s="3564"/>
      <c r="R113" s="3564"/>
      <c r="S113" s="3564"/>
      <c r="T113" s="3564"/>
      <c r="U113" s="3564"/>
      <c r="V113" s="3564"/>
      <c r="W113" s="3564"/>
      <c r="X113" s="3564"/>
      <c r="Y113" s="3564"/>
      <c r="Z113" s="3564"/>
      <c r="AA113" s="3564"/>
      <c r="AB113" s="3564"/>
      <c r="AC113" s="3564"/>
      <c r="AD113" s="3564"/>
      <c r="AE113" s="3596" t="s">
        <v>6181</v>
      </c>
      <c r="AF113" s="3597"/>
      <c r="AG113" s="3597"/>
      <c r="AH113" s="3597"/>
      <c r="AI113" s="3597"/>
      <c r="AJ113" s="3598"/>
      <c r="AK113" s="3639" t="s">
        <v>6182</v>
      </c>
      <c r="AL113" s="3640"/>
      <c r="AM113" s="3640"/>
      <c r="AN113" s="3641"/>
      <c r="AO113" s="3602">
        <f>UnosPod!F272+UnosPod!F280+UnosPod!F288</f>
        <v>4549</v>
      </c>
      <c r="AP113" s="3603"/>
      <c r="AQ113" s="3603"/>
      <c r="AR113" s="3603"/>
      <c r="AS113" s="3603"/>
      <c r="AT113" s="3603"/>
      <c r="AU113" s="3603"/>
      <c r="AV113" s="3604"/>
    </row>
    <row r="114" ht="14.25" customHeight="1" spans="1:49">
      <c r="A114" s="3594" t="s">
        <v>601</v>
      </c>
      <c r="B114" s="3595"/>
      <c r="C114" s="3564" t="s">
        <v>6183</v>
      </c>
      <c r="D114" s="3564"/>
      <c r="E114" s="3564"/>
      <c r="F114" s="3564"/>
      <c r="G114" s="3564"/>
      <c r="H114" s="3564"/>
      <c r="I114" s="3564"/>
      <c r="J114" s="3564"/>
      <c r="K114" s="3564"/>
      <c r="L114" s="3564"/>
      <c r="M114" s="3564"/>
      <c r="N114" s="3564"/>
      <c r="O114" s="3564"/>
      <c r="P114" s="3564"/>
      <c r="Q114" s="3564"/>
      <c r="R114" s="3564"/>
      <c r="S114" s="3564"/>
      <c r="T114" s="3564"/>
      <c r="U114" s="3564"/>
      <c r="V114" s="3564"/>
      <c r="W114" s="3564"/>
      <c r="X114" s="3564"/>
      <c r="Y114" s="3564"/>
      <c r="Z114" s="3564"/>
      <c r="AA114" s="3564"/>
      <c r="AB114" s="3564"/>
      <c r="AC114" s="3564"/>
      <c r="AD114" s="3564"/>
      <c r="AE114" s="3596" t="s">
        <v>6184</v>
      </c>
      <c r="AF114" s="3597"/>
      <c r="AG114" s="3597"/>
      <c r="AH114" s="3597"/>
      <c r="AI114" s="3597"/>
      <c r="AJ114" s="3598"/>
      <c r="AK114" s="3513" t="s">
        <v>6185</v>
      </c>
      <c r="AL114" s="3605"/>
      <c r="AM114" s="3605"/>
      <c r="AN114" s="3514"/>
      <c r="AO114" s="3602">
        <f>SUM(UnosPod!F289:L295)</f>
        <v>0</v>
      </c>
      <c r="AP114" s="3603"/>
      <c r="AQ114" s="3603"/>
      <c r="AR114" s="3603"/>
      <c r="AS114" s="3603"/>
      <c r="AT114" s="3603"/>
      <c r="AU114" s="3603"/>
      <c r="AV114" s="3604"/>
    </row>
    <row r="115" ht="14.25" customHeight="1" spans="1:49">
      <c r="A115" s="3594" t="s">
        <v>612</v>
      </c>
      <c r="B115" s="3595"/>
      <c r="C115" s="3564" t="s">
        <v>6186</v>
      </c>
      <c r="D115" s="3564"/>
      <c r="E115" s="3564"/>
      <c r="F115" s="3564"/>
      <c r="G115" s="3564"/>
      <c r="H115" s="3564"/>
      <c r="I115" s="3564"/>
      <c r="J115" s="3564"/>
      <c r="K115" s="3564"/>
      <c r="L115" s="3564"/>
      <c r="M115" s="3564"/>
      <c r="N115" s="3564"/>
      <c r="O115" s="3564"/>
      <c r="P115" s="3564"/>
      <c r="Q115" s="3564"/>
      <c r="R115" s="3564"/>
      <c r="S115" s="3564"/>
      <c r="T115" s="3564"/>
      <c r="U115" s="3564"/>
      <c r="V115" s="3564"/>
      <c r="W115" s="3564"/>
      <c r="X115" s="3564"/>
      <c r="Y115" s="3564"/>
      <c r="Z115" s="3564"/>
      <c r="AA115" s="3564"/>
      <c r="AB115" s="3564"/>
      <c r="AC115" s="3564"/>
      <c r="AD115" s="3564"/>
      <c r="AE115" s="3596" t="s">
        <v>6187</v>
      </c>
      <c r="AF115" s="3597"/>
      <c r="AG115" s="3597"/>
      <c r="AH115" s="3597"/>
      <c r="AI115" s="3597"/>
      <c r="AJ115" s="3598"/>
      <c r="AK115" s="3513"/>
      <c r="AL115" s="3605"/>
      <c r="AM115" s="3605"/>
      <c r="AN115" s="3514"/>
      <c r="AO115" s="3602">
        <f>SUM(AO116:AV121)</f>
        <v>64871</v>
      </c>
      <c r="AP115" s="3603"/>
      <c r="AQ115" s="3603"/>
      <c r="AR115" s="3603"/>
      <c r="AS115" s="3603"/>
      <c r="AT115" s="3603"/>
      <c r="AU115" s="3603"/>
      <c r="AV115" s="3604"/>
    </row>
    <row r="116" ht="25.5" customHeight="1" spans="1:49">
      <c r="A116" s="3594" t="s">
        <v>624</v>
      </c>
      <c r="B116" s="3595"/>
      <c r="C116" s="3620" t="s">
        <v>6188</v>
      </c>
      <c r="D116" s="3620"/>
      <c r="E116" s="3620"/>
      <c r="F116" s="3620"/>
      <c r="G116" s="3620"/>
      <c r="H116" s="3620"/>
      <c r="I116" s="3620"/>
      <c r="J116" s="3620"/>
      <c r="K116" s="3620"/>
      <c r="L116" s="3620"/>
      <c r="M116" s="3620"/>
      <c r="N116" s="3620"/>
      <c r="O116" s="3620"/>
      <c r="P116" s="3620"/>
      <c r="Q116" s="3620"/>
      <c r="R116" s="3620"/>
      <c r="S116" s="3620"/>
      <c r="T116" s="3620"/>
      <c r="U116" s="3620"/>
      <c r="V116" s="3620"/>
      <c r="W116" s="3620"/>
      <c r="X116" s="3620"/>
      <c r="Y116" s="3620"/>
      <c r="Z116" s="3620"/>
      <c r="AA116" s="3620"/>
      <c r="AB116" s="3620"/>
      <c r="AC116" s="3620"/>
      <c r="AD116" s="3620"/>
      <c r="AE116" s="3613" t="s">
        <v>6189</v>
      </c>
      <c r="AF116" s="3614"/>
      <c r="AG116" s="3614"/>
      <c r="AH116" s="3614"/>
      <c r="AI116" s="3614"/>
      <c r="AJ116" s="3615"/>
      <c r="AK116" s="3599" t="s">
        <v>6190</v>
      </c>
      <c r="AL116" s="3600"/>
      <c r="AM116" s="3600"/>
      <c r="AN116" s="3601"/>
      <c r="AO116" s="3520">
        <f>UnosPod!F250+UnosPod!F251</f>
        <v>36454</v>
      </c>
      <c r="AP116" s="3521"/>
      <c r="AQ116" s="3521"/>
      <c r="AR116" s="3521"/>
      <c r="AS116" s="3521"/>
      <c r="AT116" s="3521"/>
      <c r="AU116" s="3521"/>
      <c r="AV116" s="3522"/>
    </row>
    <row r="117" ht="26.25" customHeight="1" spans="1:49">
      <c r="A117" s="3594" t="s">
        <v>636</v>
      </c>
      <c r="B117" s="3595"/>
      <c r="C117" s="3642" t="s">
        <v>6191</v>
      </c>
      <c r="D117" s="3643"/>
      <c r="E117" s="3643"/>
      <c r="F117" s="3643"/>
      <c r="G117" s="3643"/>
      <c r="H117" s="3643"/>
      <c r="I117" s="3643"/>
      <c r="J117" s="3643"/>
      <c r="K117" s="3643"/>
      <c r="L117" s="3643"/>
      <c r="M117" s="3643"/>
      <c r="N117" s="3643"/>
      <c r="O117" s="3643"/>
      <c r="P117" s="3643"/>
      <c r="Q117" s="3643"/>
      <c r="R117" s="3643"/>
      <c r="S117" s="3643"/>
      <c r="T117" s="3643"/>
      <c r="U117" s="3643"/>
      <c r="V117" s="3643"/>
      <c r="W117" s="3643"/>
      <c r="X117" s="3643"/>
      <c r="Y117" s="3643"/>
      <c r="Z117" s="3643"/>
      <c r="AA117" s="3643"/>
      <c r="AB117" s="3643"/>
      <c r="AC117" s="3643"/>
      <c r="AD117" s="3644"/>
      <c r="AE117" s="3613" t="s">
        <v>6192</v>
      </c>
      <c r="AF117" s="3614"/>
      <c r="AG117" s="3614"/>
      <c r="AH117" s="3614"/>
      <c r="AI117" s="3614"/>
      <c r="AJ117" s="3615"/>
      <c r="AK117" s="3513" t="s">
        <v>6152</v>
      </c>
      <c r="AL117" s="3605"/>
      <c r="AM117" s="3605"/>
      <c r="AN117" s="3514"/>
      <c r="AO117" s="3520"/>
      <c r="AP117" s="3521"/>
      <c r="AQ117" s="3521"/>
      <c r="AR117" s="3521"/>
      <c r="AS117" s="3521"/>
      <c r="AT117" s="3521"/>
      <c r="AU117" s="3521"/>
      <c r="AV117" s="3522"/>
    </row>
    <row r="118" ht="17.25" customHeight="1" spans="1:49">
      <c r="A118" s="3594" t="s">
        <v>647</v>
      </c>
      <c r="B118" s="3595"/>
      <c r="C118" s="3612" t="s">
        <v>6193</v>
      </c>
      <c r="D118" s="3612"/>
      <c r="E118" s="3612"/>
      <c r="F118" s="3612"/>
      <c r="G118" s="3612"/>
      <c r="H118" s="3612"/>
      <c r="I118" s="3612"/>
      <c r="J118" s="3612"/>
      <c r="K118" s="3612"/>
      <c r="L118" s="3612"/>
      <c r="M118" s="3612"/>
      <c r="N118" s="3612"/>
      <c r="O118" s="3612"/>
      <c r="P118" s="3612"/>
      <c r="Q118" s="3612"/>
      <c r="R118" s="3612"/>
      <c r="S118" s="3612"/>
      <c r="T118" s="3612"/>
      <c r="U118" s="3612"/>
      <c r="V118" s="3612"/>
      <c r="W118" s="3612"/>
      <c r="X118" s="3612"/>
      <c r="Y118" s="3612"/>
      <c r="Z118" s="3612"/>
      <c r="AA118" s="3612"/>
      <c r="AB118" s="3612"/>
      <c r="AC118" s="3612"/>
      <c r="AD118" s="3612"/>
      <c r="AE118" s="3613" t="s">
        <v>6194</v>
      </c>
      <c r="AF118" s="3614"/>
      <c r="AG118" s="3614"/>
      <c r="AH118" s="3614"/>
      <c r="AI118" s="3614"/>
      <c r="AJ118" s="3615"/>
      <c r="AK118" s="3513">
        <v>551</v>
      </c>
      <c r="AL118" s="3605"/>
      <c r="AM118" s="3605"/>
      <c r="AN118" s="3514"/>
      <c r="AO118" s="3520">
        <f>UnosPod!F298</f>
        <v>775</v>
      </c>
      <c r="AP118" s="3521"/>
      <c r="AQ118" s="3521"/>
      <c r="AR118" s="3521"/>
      <c r="AS118" s="3521"/>
      <c r="AT118" s="3521"/>
      <c r="AU118" s="3521"/>
      <c r="AV118" s="3522"/>
    </row>
    <row r="119" ht="17.25" customHeight="1" spans="1:49">
      <c r="A119" s="3594" t="s">
        <v>656</v>
      </c>
      <c r="B119" s="3595"/>
      <c r="C119" s="3612" t="s">
        <v>6195</v>
      </c>
      <c r="D119" s="3612"/>
      <c r="E119" s="3612"/>
      <c r="F119" s="3612"/>
      <c r="G119" s="3612"/>
      <c r="H119" s="3612"/>
      <c r="I119" s="3612"/>
      <c r="J119" s="3612"/>
      <c r="K119" s="3612"/>
      <c r="L119" s="3612"/>
      <c r="M119" s="3612"/>
      <c r="N119" s="3612"/>
      <c r="O119" s="3612"/>
      <c r="P119" s="3612"/>
      <c r="Q119" s="3612"/>
      <c r="R119" s="3612"/>
      <c r="S119" s="3612"/>
      <c r="T119" s="3612"/>
      <c r="U119" s="3612"/>
      <c r="V119" s="3612"/>
      <c r="W119" s="3612"/>
      <c r="X119" s="3612"/>
      <c r="Y119" s="3612"/>
      <c r="Z119" s="3612"/>
      <c r="AA119" s="3612"/>
      <c r="AB119" s="3612"/>
      <c r="AC119" s="3612"/>
      <c r="AD119" s="3612"/>
      <c r="AE119" s="3613" t="s">
        <v>6196</v>
      </c>
      <c r="AF119" s="3614"/>
      <c r="AG119" s="3614"/>
      <c r="AH119" s="3614"/>
      <c r="AI119" s="3614"/>
      <c r="AJ119" s="3615"/>
      <c r="AK119" s="3513">
        <v>556</v>
      </c>
      <c r="AL119" s="3605"/>
      <c r="AM119" s="3605"/>
      <c r="AN119" s="3514"/>
      <c r="AO119" s="3520">
        <f>UnosPod!F303</f>
        <v>0</v>
      </c>
      <c r="AP119" s="3521"/>
      <c r="AQ119" s="3521"/>
      <c r="AR119" s="3521"/>
      <c r="AS119" s="3521"/>
      <c r="AT119" s="3521"/>
      <c r="AU119" s="3521"/>
      <c r="AV119" s="3522"/>
    </row>
    <row r="120" ht="17.25" customHeight="1" spans="1:49">
      <c r="A120" s="3594" t="s">
        <v>665</v>
      </c>
      <c r="B120" s="3595"/>
      <c r="C120" s="3612" t="s">
        <v>6197</v>
      </c>
      <c r="D120" s="3612"/>
      <c r="E120" s="3612"/>
      <c r="F120" s="3612"/>
      <c r="G120" s="3612"/>
      <c r="H120" s="3612"/>
      <c r="I120" s="3612"/>
      <c r="J120" s="3612"/>
      <c r="K120" s="3612"/>
      <c r="L120" s="3612"/>
      <c r="M120" s="3612"/>
      <c r="N120" s="3612"/>
      <c r="O120" s="3612"/>
      <c r="P120" s="3612"/>
      <c r="Q120" s="3612"/>
      <c r="R120" s="3612"/>
      <c r="S120" s="3612"/>
      <c r="T120" s="3612"/>
      <c r="U120" s="3612"/>
      <c r="V120" s="3612"/>
      <c r="W120" s="3612"/>
      <c r="X120" s="3612"/>
      <c r="Y120" s="3612"/>
      <c r="Z120" s="3612"/>
      <c r="AA120" s="3612"/>
      <c r="AB120" s="3612"/>
      <c r="AC120" s="3612"/>
      <c r="AD120" s="3612"/>
      <c r="AE120" s="3613" t="s">
        <v>6198</v>
      </c>
      <c r="AF120" s="3614"/>
      <c r="AG120" s="3614"/>
      <c r="AH120" s="3614"/>
      <c r="AI120" s="3614"/>
      <c r="AJ120" s="3615"/>
      <c r="AK120" s="3513" t="s">
        <v>6199</v>
      </c>
      <c r="AL120" s="3605"/>
      <c r="AM120" s="3605"/>
      <c r="AN120" s="3514"/>
      <c r="AO120" s="3520">
        <f>UnosPod!F302</f>
        <v>27285</v>
      </c>
      <c r="AP120" s="3521"/>
      <c r="AQ120" s="3521"/>
      <c r="AR120" s="3521"/>
      <c r="AS120" s="3521"/>
      <c r="AT120" s="3521"/>
      <c r="AU120" s="3521"/>
      <c r="AV120" s="3522"/>
    </row>
    <row r="121" ht="17.25" customHeight="1" spans="1:49">
      <c r="A121" s="3594" t="s">
        <v>675</v>
      </c>
      <c r="B121" s="3595"/>
      <c r="C121" s="3645" t="s">
        <v>6200</v>
      </c>
      <c r="D121" s="3646"/>
      <c r="E121" s="3646"/>
      <c r="F121" s="3646"/>
      <c r="G121" s="3646"/>
      <c r="H121" s="3646"/>
      <c r="I121" s="3646"/>
      <c r="J121" s="3646"/>
      <c r="K121" s="3646"/>
      <c r="L121" s="3646"/>
      <c r="M121" s="3646"/>
      <c r="N121" s="3646"/>
      <c r="O121" s="3646"/>
      <c r="P121" s="3646"/>
      <c r="Q121" s="3646"/>
      <c r="R121" s="3646"/>
      <c r="S121" s="3646"/>
      <c r="T121" s="3646"/>
      <c r="U121" s="3646"/>
      <c r="V121" s="3646"/>
      <c r="W121" s="3646"/>
      <c r="X121" s="3646"/>
      <c r="Y121" s="3646"/>
      <c r="Z121" s="3646"/>
      <c r="AA121" s="3646"/>
      <c r="AB121" s="3646"/>
      <c r="AC121" s="3646"/>
      <c r="AD121" s="3647"/>
      <c r="AE121" s="3613" t="s">
        <v>6201</v>
      </c>
      <c r="AF121" s="3614"/>
      <c r="AG121" s="3614"/>
      <c r="AH121" s="3614"/>
      <c r="AI121" s="3614"/>
      <c r="AJ121" s="3615"/>
      <c r="AK121" s="3513">
        <v>559</v>
      </c>
      <c r="AL121" s="3605"/>
      <c r="AM121" s="3605"/>
      <c r="AN121" s="3514"/>
      <c r="AO121" s="3520">
        <f>UnosPod!F304</f>
        <v>357</v>
      </c>
      <c r="AP121" s="3521"/>
      <c r="AQ121" s="3521"/>
      <c r="AR121" s="3521"/>
      <c r="AS121" s="3521"/>
      <c r="AT121" s="3521"/>
      <c r="AU121" s="3521"/>
      <c r="AV121" s="3522"/>
    </row>
    <row r="122" spans="1:49">
      <c r="A122" s="3594" t="s">
        <v>683</v>
      </c>
      <c r="B122" s="3595"/>
      <c r="C122" s="3636" t="s">
        <v>6202</v>
      </c>
      <c r="D122" s="3622"/>
      <c r="E122" s="3622"/>
      <c r="F122" s="3622"/>
      <c r="G122" s="3622"/>
      <c r="H122" s="3622"/>
      <c r="I122" s="3622"/>
      <c r="J122" s="3622"/>
      <c r="K122" s="3622"/>
      <c r="L122" s="3622"/>
      <c r="M122" s="3622"/>
      <c r="N122" s="3622"/>
      <c r="O122" s="3622"/>
      <c r="P122" s="3622"/>
      <c r="Q122" s="3622"/>
      <c r="R122" s="3622"/>
      <c r="S122" s="3622"/>
      <c r="T122" s="3622"/>
      <c r="U122" s="3622"/>
      <c r="V122" s="3622"/>
      <c r="W122" s="3622"/>
      <c r="X122" s="3622"/>
      <c r="Y122" s="3622"/>
      <c r="Z122" s="3622"/>
      <c r="AA122" s="3622"/>
      <c r="AB122" s="3622"/>
      <c r="AC122" s="3622"/>
      <c r="AD122" s="3623"/>
      <c r="AE122" s="3596" t="s">
        <v>6203</v>
      </c>
      <c r="AF122" s="3597"/>
      <c r="AG122" s="3597"/>
      <c r="AH122" s="3597"/>
      <c r="AI122" s="3597"/>
      <c r="AJ122" s="3598"/>
      <c r="AK122" s="3513" t="s">
        <v>6199</v>
      </c>
      <c r="AL122" s="3605"/>
      <c r="AM122" s="3605"/>
      <c r="AN122" s="3514"/>
      <c r="AO122" s="3602"/>
      <c r="AP122" s="3603"/>
      <c r="AQ122" s="3603"/>
      <c r="AR122" s="3603"/>
      <c r="AS122" s="3603"/>
      <c r="AT122" s="3603"/>
      <c r="AU122" s="3603"/>
      <c r="AV122" s="3604"/>
    </row>
    <row r="123" spans="1:49">
      <c r="A123" s="3594" t="s">
        <v>693</v>
      </c>
      <c r="B123" s="3595"/>
      <c r="C123" s="3515" t="s">
        <v>6204</v>
      </c>
      <c r="D123" s="3515"/>
      <c r="E123" s="3515"/>
      <c r="F123" s="3515"/>
      <c r="G123" s="3515"/>
      <c r="H123" s="3515"/>
      <c r="I123" s="3515"/>
      <c r="J123" s="3515"/>
      <c r="K123" s="3515"/>
      <c r="L123" s="3515"/>
      <c r="M123" s="3515"/>
      <c r="N123" s="3515"/>
      <c r="O123" s="3515"/>
      <c r="P123" s="3515"/>
      <c r="Q123" s="3515"/>
      <c r="R123" s="3515"/>
      <c r="S123" s="3515"/>
      <c r="T123" s="3515"/>
      <c r="U123" s="3515"/>
      <c r="V123" s="3515"/>
      <c r="W123" s="3515"/>
      <c r="X123" s="3515"/>
      <c r="Y123" s="3515"/>
      <c r="Z123" s="3515"/>
      <c r="AA123" s="3515"/>
      <c r="AB123" s="3515"/>
      <c r="AC123" s="3515"/>
      <c r="AD123" s="3515"/>
      <c r="AE123" s="3596" t="s">
        <v>6205</v>
      </c>
      <c r="AF123" s="3597"/>
      <c r="AG123" s="3597"/>
      <c r="AH123" s="3597"/>
      <c r="AI123" s="3597"/>
      <c r="AJ123" s="3598"/>
      <c r="AK123" s="3513" t="s">
        <v>6199</v>
      </c>
      <c r="AL123" s="3605"/>
      <c r="AM123" s="3605"/>
      <c r="AN123" s="3514"/>
      <c r="AO123" s="3602"/>
      <c r="AP123" s="3603"/>
      <c r="AQ123" s="3603"/>
      <c r="AR123" s="3603"/>
      <c r="AS123" s="3603"/>
      <c r="AT123" s="3603"/>
      <c r="AU123" s="3603"/>
      <c r="AV123" s="3604"/>
    </row>
    <row r="124" spans="1:49">
      <c r="A124" s="3594" t="s">
        <v>702</v>
      </c>
      <c r="B124" s="3595"/>
      <c r="C124" s="3515" t="s">
        <v>6364</v>
      </c>
      <c r="D124" s="3515"/>
      <c r="E124" s="3515"/>
      <c r="F124" s="3515"/>
      <c r="G124" s="3515"/>
      <c r="H124" s="3515"/>
      <c r="I124" s="3515"/>
      <c r="J124" s="3515"/>
      <c r="K124" s="3515"/>
      <c r="L124" s="3515"/>
      <c r="M124" s="3515"/>
      <c r="N124" s="3515"/>
      <c r="O124" s="3515"/>
      <c r="P124" s="3515"/>
      <c r="Q124" s="3515"/>
      <c r="R124" s="3515"/>
      <c r="S124" s="3515"/>
      <c r="T124" s="3515"/>
      <c r="U124" s="3515"/>
      <c r="V124" s="3515"/>
      <c r="W124" s="3515"/>
      <c r="X124" s="3515"/>
      <c r="Y124" s="3515"/>
      <c r="Z124" s="3515"/>
      <c r="AA124" s="3515"/>
      <c r="AB124" s="3515"/>
      <c r="AC124" s="3515"/>
      <c r="AD124" s="3515"/>
      <c r="AE124" s="3596" t="s">
        <v>6207</v>
      </c>
      <c r="AF124" s="3597"/>
      <c r="AG124" s="3597"/>
      <c r="AH124" s="3597"/>
      <c r="AI124" s="3597"/>
      <c r="AJ124" s="3598"/>
      <c r="AK124" s="3648"/>
      <c r="AL124" s="3649"/>
      <c r="AM124" s="3649"/>
      <c r="AN124" s="3650"/>
      <c r="AO124" s="3602">
        <f>AO91+AO92+AO93+AO94+AO109+AO113+AO114+AO114+AO122+AO123</f>
        <v>254491</v>
      </c>
      <c r="AP124" s="3603"/>
      <c r="AQ124" s="3603"/>
      <c r="AR124" s="3603"/>
      <c r="AS124" s="3603"/>
      <c r="AT124" s="3603"/>
      <c r="AU124" s="3603"/>
      <c r="AV124" s="3604"/>
    </row>
    <row r="125" ht="25.5" customHeight="1" spans="1:49">
      <c r="A125" s="3568" t="s">
        <v>709</v>
      </c>
      <c r="B125" s="3570"/>
      <c r="C125" s="3651" t="s">
        <v>6208</v>
      </c>
      <c r="D125" s="3652"/>
      <c r="E125" s="3652"/>
      <c r="F125" s="3652"/>
      <c r="G125" s="3652"/>
      <c r="H125" s="3652"/>
      <c r="I125" s="3652"/>
      <c r="J125" s="3652"/>
      <c r="K125" s="3652"/>
      <c r="L125" s="3652"/>
      <c r="M125" s="3652"/>
      <c r="N125" s="3652"/>
      <c r="O125" s="3652"/>
      <c r="P125" s="3652"/>
      <c r="Q125" s="3652"/>
      <c r="R125" s="3652"/>
      <c r="S125" s="3652"/>
      <c r="T125" s="3652"/>
      <c r="U125" s="3652"/>
      <c r="V125" s="3652"/>
      <c r="W125" s="3652"/>
      <c r="X125" s="3652"/>
      <c r="Y125" s="3652"/>
      <c r="Z125" s="3652"/>
      <c r="AA125" s="3652"/>
      <c r="AB125" s="3652"/>
      <c r="AC125" s="3652"/>
      <c r="AD125" s="3653"/>
      <c r="AE125" s="3654" t="s">
        <v>6209</v>
      </c>
      <c r="AF125" s="3654"/>
      <c r="AG125" s="3654"/>
      <c r="AH125" s="3654"/>
      <c r="AI125" s="3654"/>
      <c r="AJ125" s="3654"/>
      <c r="AK125" s="3655"/>
      <c r="AL125" s="3656"/>
      <c r="AM125" s="3656"/>
      <c r="AN125" s="3657"/>
      <c r="AO125" s="3520"/>
      <c r="AP125" s="3521"/>
      <c r="AQ125" s="3521"/>
      <c r="AR125" s="3521"/>
      <c r="AS125" s="3521"/>
      <c r="AT125" s="3521"/>
      <c r="AU125" s="3521"/>
      <c r="AV125" s="3522"/>
    </row>
    <row r="126" ht="14.25" spans="1:49">
      <c r="A126" s="3500" t="s">
        <v>6210</v>
      </c>
      <c r="B126" s="3658"/>
      <c r="C126" s="3658"/>
      <c r="D126" s="3658"/>
      <c r="E126" s="3658"/>
      <c r="F126" s="3658"/>
      <c r="G126" s="3658"/>
      <c r="H126" s="3658"/>
      <c r="I126" s="3658"/>
      <c r="J126" s="3658"/>
      <c r="K126" s="3658"/>
      <c r="L126" s="3658"/>
      <c r="M126" s="3658"/>
      <c r="N126" s="3658"/>
      <c r="O126" s="3658"/>
      <c r="P126" s="3658"/>
      <c r="Q126" s="3658"/>
      <c r="R126" s="3658"/>
      <c r="S126" s="3658"/>
      <c r="T126" s="3658"/>
      <c r="U126" s="3658"/>
      <c r="V126" s="3658"/>
      <c r="W126" s="3658"/>
      <c r="X126" s="3658"/>
      <c r="Y126" s="3658"/>
      <c r="Z126" s="3658"/>
      <c r="AA126" s="3658"/>
      <c r="AB126" s="3658"/>
      <c r="AC126" s="3658"/>
      <c r="AD126" s="3658"/>
      <c r="AE126" s="3658"/>
      <c r="AF126" s="3658"/>
      <c r="AG126" s="3658"/>
      <c r="AH126" s="3658"/>
      <c r="AI126" s="3658"/>
      <c r="AJ126" s="3658"/>
      <c r="AK126" s="3658"/>
      <c r="AL126" s="3658"/>
      <c r="AM126" s="3658"/>
      <c r="AN126" s="3658"/>
      <c r="AO126" s="3658"/>
      <c r="AP126" s="3658"/>
      <c r="AQ126" s="3658"/>
      <c r="AR126" s="3658"/>
      <c r="AS126" s="3658"/>
      <c r="AT126" s="3658"/>
      <c r="AU126" s="3658"/>
      <c r="AV126" s="3658"/>
      <c r="AW126" s="3659"/>
    </row>
    <row r="127" spans="1:49">
      <c r="A127" s="3500"/>
      <c r="B127" s="3658"/>
      <c r="C127" s="3658"/>
      <c r="D127" s="3658"/>
      <c r="E127" s="3658"/>
      <c r="F127" s="3658"/>
      <c r="G127" s="3658"/>
      <c r="H127" s="3658"/>
      <c r="I127" s="3658"/>
      <c r="J127" s="3658"/>
      <c r="K127" s="3658"/>
      <c r="L127" s="3658"/>
      <c r="M127" s="3658"/>
      <c r="N127" s="3658"/>
      <c r="O127" s="3658"/>
      <c r="P127" s="3658"/>
      <c r="Q127" s="3658"/>
      <c r="R127" s="3658"/>
      <c r="S127" s="3658"/>
      <c r="T127" s="3658"/>
      <c r="U127" s="3658"/>
      <c r="V127" s="3658"/>
      <c r="W127" s="3658"/>
      <c r="X127" s="3658"/>
      <c r="Y127" s="3658"/>
      <c r="Z127" s="3658"/>
      <c r="AA127" s="3658"/>
      <c r="AB127" s="3658"/>
      <c r="AC127" s="3658"/>
      <c r="AD127" s="3658"/>
      <c r="AE127" s="3658"/>
      <c r="AF127" s="3658"/>
      <c r="AG127" s="3658"/>
      <c r="AH127" s="3658"/>
      <c r="AI127" s="3658"/>
      <c r="AJ127" s="3658"/>
      <c r="AK127" s="3658"/>
      <c r="AL127" s="3658"/>
      <c r="AM127" s="3658"/>
      <c r="AN127" s="3658"/>
      <c r="AO127" s="3658"/>
      <c r="AP127" s="3658"/>
      <c r="AQ127" s="3658"/>
      <c r="AR127" s="3658"/>
      <c r="AS127" s="3658"/>
      <c r="AT127" s="3658"/>
      <c r="AU127" s="3658"/>
      <c r="AV127" s="3658"/>
      <c r="AW127" s="3659"/>
    </row>
    <row r="128" spans="1:49">
      <c r="A128" s="3500"/>
      <c r="B128" s="3658"/>
      <c r="C128" s="3658"/>
      <c r="D128" s="3658"/>
      <c r="E128" s="3658"/>
      <c r="F128" s="3658"/>
      <c r="G128" s="3658"/>
      <c r="H128" s="3658"/>
      <c r="I128" s="3658"/>
      <c r="J128" s="3658"/>
      <c r="K128" s="3658"/>
      <c r="L128" s="3658"/>
      <c r="M128" s="3658"/>
      <c r="N128" s="3658"/>
      <c r="O128" s="3658"/>
      <c r="P128" s="3658"/>
      <c r="Q128" s="3658"/>
      <c r="R128" s="3658"/>
      <c r="S128" s="3658"/>
      <c r="T128" s="3658"/>
      <c r="U128" s="3658"/>
      <c r="V128" s="3658"/>
      <c r="W128" s="3658"/>
      <c r="X128" s="3658"/>
      <c r="Y128" s="3658"/>
      <c r="Z128" s="3658"/>
      <c r="AA128" s="3658"/>
      <c r="AB128" s="3658"/>
      <c r="AC128" s="3658"/>
      <c r="AD128" s="3658"/>
      <c r="AE128" s="3658"/>
      <c r="AF128" s="3658"/>
      <c r="AG128" s="3658"/>
      <c r="AH128" s="3658"/>
      <c r="AI128" s="3658"/>
      <c r="AJ128" s="3658"/>
      <c r="AK128" s="3658"/>
      <c r="AL128" s="3658"/>
      <c r="AM128" s="3658"/>
      <c r="AN128" s="3658"/>
      <c r="AO128" s="3658"/>
      <c r="AP128" s="3658"/>
      <c r="AQ128" s="3658"/>
      <c r="AR128" s="3658"/>
      <c r="AS128" s="3658"/>
      <c r="AT128" s="3658"/>
      <c r="AU128" s="3658"/>
      <c r="AV128" s="3658"/>
      <c r="AW128" s="3659"/>
    </row>
    <row r="129" spans="1:49">
      <c r="A129" s="3500"/>
      <c r="B129" s="3658"/>
      <c r="C129" s="3658"/>
      <c r="D129" s="3658"/>
      <c r="E129" s="3658"/>
      <c r="F129" s="3658"/>
      <c r="G129" s="3658"/>
      <c r="H129" s="3658"/>
      <c r="I129" s="3658"/>
      <c r="J129" s="3658"/>
      <c r="K129" s="3658"/>
      <c r="L129" s="3658"/>
      <c r="M129" s="3658"/>
      <c r="N129" s="3658"/>
      <c r="O129" s="3658"/>
      <c r="P129" s="3658"/>
      <c r="Q129" s="3658"/>
      <c r="R129" s="3658"/>
      <c r="S129" s="3658"/>
      <c r="T129" s="3658"/>
      <c r="U129" s="3658"/>
      <c r="V129" s="3658"/>
      <c r="W129" s="3658"/>
      <c r="X129" s="3658"/>
      <c r="Y129" s="3658"/>
      <c r="Z129" s="3658"/>
      <c r="AA129" s="3658"/>
      <c r="AB129" s="3658"/>
      <c r="AC129" s="3658"/>
      <c r="AD129" s="3658"/>
      <c r="AE129" s="3658"/>
      <c r="AF129" s="3658"/>
      <c r="AG129" s="3658"/>
      <c r="AH129" s="3658"/>
      <c r="AI129" s="3658"/>
      <c r="AJ129" s="3658"/>
      <c r="AK129" s="3658"/>
      <c r="AL129" s="3658"/>
      <c r="AM129" s="3658"/>
      <c r="AN129" s="3658"/>
      <c r="AO129" s="3658"/>
      <c r="AP129" s="3658"/>
      <c r="AQ129" s="3658"/>
      <c r="AR129" s="3658"/>
      <c r="AS129" s="3658"/>
      <c r="AT129" s="3658"/>
      <c r="AU129" s="3658"/>
      <c r="AV129" s="3658"/>
      <c r="AW129" s="3659"/>
    </row>
    <row r="130" ht="14.25" spans="1:49">
      <c r="A130" s="3660" t="s">
        <v>6211</v>
      </c>
      <c r="B130" s="3660"/>
      <c r="C130" s="3660"/>
      <c r="D130" s="3660"/>
      <c r="E130" s="3660"/>
      <c r="F130" s="3660"/>
      <c r="G130" s="3660"/>
      <c r="H130" s="3660"/>
      <c r="I130" s="3660"/>
      <c r="J130" s="3660"/>
      <c r="K130" s="3660"/>
      <c r="L130" s="3660"/>
      <c r="M130" s="3660"/>
      <c r="N130" s="3660"/>
      <c r="O130" s="3660"/>
      <c r="P130" s="3660"/>
      <c r="Q130" s="3660"/>
      <c r="R130" s="3660"/>
      <c r="S130" s="3660"/>
      <c r="T130" s="3660"/>
      <c r="U130" s="3660"/>
      <c r="V130" s="3660"/>
      <c r="W130" s="3660"/>
      <c r="X130" s="3660"/>
      <c r="Y130" s="3660"/>
      <c r="Z130" s="3660"/>
      <c r="AA130" s="3660"/>
      <c r="AB130" s="3660"/>
      <c r="AC130" s="3660"/>
      <c r="AD130" s="3660"/>
      <c r="AE130" s="3660"/>
      <c r="AF130" s="3660"/>
      <c r="AG130" s="3660"/>
      <c r="AH130" s="3660"/>
      <c r="AI130" s="3661"/>
      <c r="AJ130" s="3661"/>
      <c r="AK130" s="3661"/>
      <c r="AL130" s="3661"/>
      <c r="AM130" s="3661"/>
      <c r="AN130" s="3661"/>
      <c r="AO130" s="3661"/>
      <c r="AP130" s="3661"/>
      <c r="AQ130" s="3661"/>
      <c r="AR130" s="3661"/>
      <c r="AS130" s="3661"/>
      <c r="AT130" s="3661"/>
      <c r="AU130" s="3661"/>
      <c r="AV130" s="3661"/>
    </row>
    <row r="131" ht="23.25" customHeight="1" spans="1:49">
      <c r="A131" s="3662" t="s">
        <v>6096</v>
      </c>
      <c r="B131" s="3663"/>
      <c r="C131" s="3664" t="s">
        <v>6097</v>
      </c>
      <c r="D131" s="3665"/>
      <c r="E131" s="3665"/>
      <c r="F131" s="3665"/>
      <c r="G131" s="3665"/>
      <c r="H131" s="3665"/>
      <c r="I131" s="3665"/>
      <c r="J131" s="3665"/>
      <c r="K131" s="3665"/>
      <c r="L131" s="3665"/>
      <c r="M131" s="3665"/>
      <c r="N131" s="3665"/>
      <c r="O131" s="3665"/>
      <c r="P131" s="3665"/>
      <c r="Q131" s="3665"/>
      <c r="R131" s="3665"/>
      <c r="S131" s="3665"/>
      <c r="T131" s="3665"/>
      <c r="U131" s="3665"/>
      <c r="V131" s="3665"/>
      <c r="W131" s="3666"/>
      <c r="X131" s="3509" t="s">
        <v>6098</v>
      </c>
      <c r="Y131" s="3509"/>
      <c r="Z131" s="3509"/>
      <c r="AA131" s="3509"/>
      <c r="AB131" s="3509"/>
      <c r="AC131" s="3509"/>
      <c r="AD131" s="3510" t="s">
        <v>6099</v>
      </c>
      <c r="AE131" s="3511"/>
      <c r="AF131" s="3511"/>
      <c r="AG131" s="3511"/>
      <c r="AH131" s="3512"/>
      <c r="AI131" s="3667" t="str">
        <f ca="1">"01.01."&amp;PoslGod</f>
        <v>01.01.2025</v>
      </c>
      <c r="AJ131" s="3668"/>
      <c r="AK131" s="3668"/>
      <c r="AL131" s="3668"/>
      <c r="AM131" s="3668"/>
      <c r="AN131" s="3669"/>
      <c r="AO131" s="3667" t="str">
        <f ca="1">"31.12."&amp;PoslGod</f>
        <v>31.12.2025</v>
      </c>
      <c r="AP131" s="3668"/>
      <c r="AQ131" s="3668"/>
      <c r="AR131" s="3668"/>
      <c r="AS131" s="3668"/>
      <c r="AT131" s="3668"/>
      <c r="AU131" s="3668"/>
      <c r="AV131" s="3669"/>
    </row>
    <row r="132" ht="18" customHeight="1" spans="1:49">
      <c r="A132" s="3670" t="s">
        <v>5336</v>
      </c>
      <c r="B132" s="3670"/>
      <c r="C132" s="3621" t="s">
        <v>6212</v>
      </c>
      <c r="D132" s="3622"/>
      <c r="E132" s="3622"/>
      <c r="F132" s="3622"/>
      <c r="G132" s="3622"/>
      <c r="H132" s="3622"/>
      <c r="I132" s="3622"/>
      <c r="J132" s="3622"/>
      <c r="K132" s="3622"/>
      <c r="L132" s="3622"/>
      <c r="M132" s="3622"/>
      <c r="N132" s="3622"/>
      <c r="O132" s="3622"/>
      <c r="P132" s="3622"/>
      <c r="Q132" s="3622"/>
      <c r="R132" s="3622"/>
      <c r="S132" s="3622"/>
      <c r="T132" s="3622"/>
      <c r="U132" s="3622"/>
      <c r="V132" s="3622"/>
      <c r="W132" s="3623"/>
      <c r="X132" s="3670" t="s">
        <v>6213</v>
      </c>
      <c r="Y132" s="3670"/>
      <c r="Z132" s="3670"/>
      <c r="AA132" s="3670"/>
      <c r="AB132" s="3670"/>
      <c r="AC132" s="3670"/>
      <c r="AD132" s="3671">
        <v>10</v>
      </c>
      <c r="AE132" s="3672"/>
      <c r="AF132" s="3672"/>
      <c r="AG132" s="3672"/>
      <c r="AH132" s="3673"/>
      <c r="AI132" s="3674">
        <v>1</v>
      </c>
      <c r="AJ132" s="3675">
        <f>B_Stanja!AP61</f>
        <v>0</v>
      </c>
      <c r="AK132" s="3675"/>
      <c r="AL132" s="3675"/>
      <c r="AM132" s="3675"/>
      <c r="AN132" s="3675"/>
      <c r="AO132" s="3674">
        <v>2</v>
      </c>
      <c r="AP132" s="3676">
        <f>B_Stanja!AI61</f>
        <v>0</v>
      </c>
      <c r="AQ132" s="3677"/>
      <c r="AR132" s="3677"/>
      <c r="AS132" s="3677"/>
      <c r="AT132" s="3677"/>
      <c r="AU132" s="3677"/>
      <c r="AV132" s="3678"/>
    </row>
    <row r="133" ht="18" customHeight="1" spans="1:49">
      <c r="A133" s="3670" t="s">
        <v>5428</v>
      </c>
      <c r="B133" s="3670"/>
      <c r="C133" s="3621" t="s">
        <v>6214</v>
      </c>
      <c r="D133" s="3622"/>
      <c r="E133" s="3622"/>
      <c r="F133" s="3622"/>
      <c r="G133" s="3622"/>
      <c r="H133" s="3622"/>
      <c r="I133" s="3622"/>
      <c r="J133" s="3622"/>
      <c r="K133" s="3622"/>
      <c r="L133" s="3622"/>
      <c r="M133" s="3622"/>
      <c r="N133" s="3622"/>
      <c r="O133" s="3622"/>
      <c r="P133" s="3622"/>
      <c r="Q133" s="3622"/>
      <c r="R133" s="3622"/>
      <c r="S133" s="3622"/>
      <c r="T133" s="3622"/>
      <c r="U133" s="3622"/>
      <c r="V133" s="3622"/>
      <c r="W133" s="3623"/>
      <c r="X133" s="3670" t="s">
        <v>6215</v>
      </c>
      <c r="Y133" s="3670"/>
      <c r="Z133" s="3670"/>
      <c r="AA133" s="3670"/>
      <c r="AB133" s="3670"/>
      <c r="AC133" s="3670"/>
      <c r="AD133" s="3679"/>
      <c r="AE133" s="3680"/>
      <c r="AF133" s="3680"/>
      <c r="AG133" s="3680"/>
      <c r="AH133" s="3681"/>
      <c r="AI133" s="3674">
        <v>1</v>
      </c>
      <c r="AJ133" s="3676"/>
      <c r="AK133" s="3677"/>
      <c r="AL133" s="3677"/>
      <c r="AM133" s="3677"/>
      <c r="AN133" s="3678"/>
      <c r="AO133" s="3674">
        <v>2</v>
      </c>
      <c r="AP133" s="3676"/>
      <c r="AQ133" s="3677"/>
      <c r="AR133" s="3677"/>
      <c r="AS133" s="3677"/>
      <c r="AT133" s="3677"/>
      <c r="AU133" s="3677"/>
      <c r="AV133" s="3678"/>
    </row>
    <row r="134" ht="18" customHeight="1" spans="1:49">
      <c r="A134" s="3670" t="s">
        <v>5469</v>
      </c>
      <c r="B134" s="3670"/>
      <c r="C134" s="3621" t="s">
        <v>6216</v>
      </c>
      <c r="D134" s="3622"/>
      <c r="E134" s="3622"/>
      <c r="F134" s="3622"/>
      <c r="G134" s="3622"/>
      <c r="H134" s="3622"/>
      <c r="I134" s="3622"/>
      <c r="J134" s="3622"/>
      <c r="K134" s="3622"/>
      <c r="L134" s="3622"/>
      <c r="M134" s="3622"/>
      <c r="N134" s="3622"/>
      <c r="O134" s="3622"/>
      <c r="P134" s="3622"/>
      <c r="Q134" s="3622"/>
      <c r="R134" s="3622"/>
      <c r="S134" s="3622"/>
      <c r="T134" s="3622"/>
      <c r="U134" s="3622"/>
      <c r="V134" s="3622"/>
      <c r="W134" s="3623"/>
      <c r="X134" s="3670" t="s">
        <v>6217</v>
      </c>
      <c r="Y134" s="3670"/>
      <c r="Z134" s="3670"/>
      <c r="AA134" s="3670"/>
      <c r="AB134" s="3670"/>
      <c r="AC134" s="3670"/>
      <c r="AD134" s="3679">
        <v>13</v>
      </c>
      <c r="AE134" s="3680"/>
      <c r="AF134" s="3680"/>
      <c r="AG134" s="3680"/>
      <c r="AH134" s="3681"/>
      <c r="AI134" s="3674">
        <v>1</v>
      </c>
      <c r="AJ134" s="3675">
        <f>B_Stanja!AP64</f>
        <v>0</v>
      </c>
      <c r="AK134" s="3675"/>
      <c r="AL134" s="3675"/>
      <c r="AM134" s="3675"/>
      <c r="AN134" s="3675"/>
      <c r="AO134" s="3674">
        <v>2</v>
      </c>
      <c r="AP134" s="3676">
        <f>B_Stanja!AI64</f>
        <v>0</v>
      </c>
      <c r="AQ134" s="3677"/>
      <c r="AR134" s="3677"/>
      <c r="AS134" s="3677"/>
      <c r="AT134" s="3677"/>
      <c r="AU134" s="3677"/>
      <c r="AV134" s="3678"/>
    </row>
    <row r="135" ht="18" customHeight="1" spans="1:49">
      <c r="A135" s="3670" t="s">
        <v>5600</v>
      </c>
      <c r="B135" s="3670"/>
      <c r="C135" s="3682" t="s">
        <v>6218</v>
      </c>
      <c r="D135" s="3683"/>
      <c r="E135" s="3683"/>
      <c r="F135" s="3683"/>
      <c r="G135" s="3683"/>
      <c r="H135" s="3683"/>
      <c r="I135" s="3683"/>
      <c r="J135" s="3683"/>
      <c r="K135" s="3683"/>
      <c r="L135" s="3683"/>
      <c r="M135" s="3683"/>
      <c r="N135" s="3683"/>
      <c r="O135" s="3683"/>
      <c r="P135" s="3683"/>
      <c r="Q135" s="3683"/>
      <c r="R135" s="3683"/>
      <c r="S135" s="3683"/>
      <c r="T135" s="3683"/>
      <c r="U135" s="3683"/>
      <c r="V135" s="3683"/>
      <c r="W135" s="3684"/>
      <c r="X135" s="3670" t="s">
        <v>6219</v>
      </c>
      <c r="Y135" s="3670"/>
      <c r="Z135" s="3670"/>
      <c r="AA135" s="3670"/>
      <c r="AB135" s="3670"/>
      <c r="AC135" s="3670"/>
      <c r="AD135" s="3571">
        <v>11</v>
      </c>
      <c r="AE135" s="3572"/>
      <c r="AF135" s="3572"/>
      <c r="AG135" s="3572"/>
      <c r="AH135" s="3573"/>
      <c r="AI135" s="3674">
        <v>1</v>
      </c>
      <c r="AJ135" s="3675">
        <f>B_Stanja!AP62</f>
        <v>0</v>
      </c>
      <c r="AK135" s="3675"/>
      <c r="AL135" s="3675"/>
      <c r="AM135" s="3675"/>
      <c r="AN135" s="3675"/>
      <c r="AO135" s="3674">
        <v>2</v>
      </c>
      <c r="AP135" s="3676">
        <f>B_Stanja!AI62</f>
        <v>0</v>
      </c>
      <c r="AQ135" s="3677"/>
      <c r="AR135" s="3677"/>
      <c r="AS135" s="3677"/>
      <c r="AT135" s="3677"/>
      <c r="AU135" s="3677"/>
      <c r="AV135" s="3678"/>
    </row>
    <row r="136" ht="18" customHeight="1" spans="1:49">
      <c r="A136" s="3670" t="s">
        <v>5078</v>
      </c>
      <c r="B136" s="3670"/>
      <c r="C136" s="3682" t="s">
        <v>6220</v>
      </c>
      <c r="D136" s="3683"/>
      <c r="E136" s="3683"/>
      <c r="F136" s="3683"/>
      <c r="G136" s="3683"/>
      <c r="H136" s="3683"/>
      <c r="I136" s="3683"/>
      <c r="J136" s="3683"/>
      <c r="K136" s="3683"/>
      <c r="L136" s="3683"/>
      <c r="M136" s="3683"/>
      <c r="N136" s="3683"/>
      <c r="O136" s="3683"/>
      <c r="P136" s="3683"/>
      <c r="Q136" s="3683"/>
      <c r="R136" s="3683"/>
      <c r="S136" s="3683"/>
      <c r="T136" s="3683"/>
      <c r="U136" s="3683"/>
      <c r="V136" s="3683"/>
      <c r="W136" s="3684"/>
      <c r="X136" s="3670" t="s">
        <v>6221</v>
      </c>
      <c r="Y136" s="3670"/>
      <c r="Z136" s="3670"/>
      <c r="AA136" s="3670"/>
      <c r="AB136" s="3670"/>
      <c r="AC136" s="3670"/>
      <c r="AD136" s="3571">
        <v>12</v>
      </c>
      <c r="AE136" s="3572"/>
      <c r="AF136" s="3572"/>
      <c r="AG136" s="3572"/>
      <c r="AH136" s="3573"/>
      <c r="AI136" s="3674">
        <v>1</v>
      </c>
      <c r="AJ136" s="3675">
        <f>B_Stanja!AP63</f>
        <v>0</v>
      </c>
      <c r="AK136" s="3675"/>
      <c r="AL136" s="3675"/>
      <c r="AM136" s="3675"/>
      <c r="AN136" s="3675"/>
      <c r="AO136" s="3674">
        <v>2</v>
      </c>
      <c r="AP136" s="3676">
        <f>B_Stanja!AI63</f>
        <v>0</v>
      </c>
      <c r="AQ136" s="3677"/>
      <c r="AR136" s="3677"/>
      <c r="AS136" s="3677"/>
      <c r="AT136" s="3677"/>
      <c r="AU136" s="3677"/>
      <c r="AV136" s="3678"/>
    </row>
    <row r="137" ht="13.5" spans="1:49">
      <c r="A137" s="3500" t="s">
        <v>6222</v>
      </c>
      <c r="B137" s="3500"/>
      <c r="C137" s="3500"/>
      <c r="D137" s="3500"/>
      <c r="E137" s="3500"/>
      <c r="F137" s="3500"/>
      <c r="G137" s="3500"/>
      <c r="H137" s="3500"/>
      <c r="I137" s="3500"/>
      <c r="J137" s="3500"/>
      <c r="K137" s="3500"/>
      <c r="L137" s="3500"/>
      <c r="M137" s="3500"/>
      <c r="N137" s="3500"/>
      <c r="O137" s="3500"/>
      <c r="P137" s="3500"/>
      <c r="Q137" s="3500"/>
      <c r="R137" s="3488"/>
      <c r="S137" s="3488"/>
      <c r="T137" s="3488"/>
      <c r="U137" s="3488"/>
      <c r="V137" s="3488"/>
      <c r="W137" s="3488"/>
      <c r="X137" s="3488"/>
      <c r="Y137" s="3488"/>
      <c r="Z137" s="3488"/>
      <c r="AA137" s="3488"/>
      <c r="AB137" s="3488"/>
      <c r="AC137" s="3488"/>
      <c r="AD137" s="3488"/>
      <c r="AE137" s="3488"/>
      <c r="AF137" s="3446"/>
      <c r="AG137" s="3446"/>
      <c r="AH137" s="3446"/>
      <c r="AI137" s="3446"/>
      <c r="AJ137" s="3446"/>
      <c r="AK137" s="3446"/>
      <c r="AL137" s="3446"/>
      <c r="AM137" s="3446"/>
      <c r="AN137" s="3446"/>
      <c r="AO137" s="3446"/>
      <c r="AP137" s="3446"/>
      <c r="AQ137" s="3446"/>
      <c r="AR137" s="3446"/>
      <c r="AS137" s="3446"/>
      <c r="AT137" s="3446"/>
      <c r="AU137" s="3446"/>
      <c r="AV137" s="3446"/>
    </row>
    <row r="138" spans="1:49">
      <c r="A138" s="3500"/>
      <c r="B138" s="3500"/>
      <c r="C138" s="3500"/>
      <c r="D138" s="3500"/>
      <c r="E138" s="3500"/>
      <c r="F138" s="3500"/>
      <c r="G138" s="3500"/>
      <c r="H138" s="3500"/>
      <c r="I138" s="3500"/>
      <c r="J138" s="3500"/>
      <c r="K138" s="3500"/>
      <c r="L138" s="3500"/>
      <c r="M138" s="3500"/>
      <c r="N138" s="3500"/>
      <c r="O138" s="3500"/>
      <c r="P138" s="3500"/>
      <c r="Q138" s="3500"/>
      <c r="R138" s="3488"/>
      <c r="S138" s="3488"/>
      <c r="T138" s="3488"/>
      <c r="U138" s="3488"/>
      <c r="V138" s="3488"/>
      <c r="W138" s="3488"/>
      <c r="X138" s="3488"/>
      <c r="Y138" s="3488"/>
      <c r="Z138" s="3488"/>
      <c r="AA138" s="3488"/>
      <c r="AB138" s="3488"/>
      <c r="AC138" s="3488"/>
      <c r="AD138" s="3488"/>
      <c r="AE138" s="3488"/>
      <c r="AF138" s="3446"/>
      <c r="AG138" s="3446"/>
      <c r="AH138" s="3446"/>
      <c r="AI138" s="3446"/>
      <c r="AJ138" s="3446"/>
      <c r="AK138" s="3446"/>
      <c r="AL138" s="3446"/>
      <c r="AM138" s="3446"/>
      <c r="AN138" s="3446"/>
      <c r="AO138" s="3446"/>
      <c r="AP138" s="3446"/>
      <c r="AQ138" s="3446"/>
      <c r="AR138" s="3446"/>
      <c r="AS138" s="3446"/>
      <c r="AT138" s="3446"/>
      <c r="AU138" s="3446"/>
      <c r="AV138" s="3446"/>
    </row>
    <row r="139" spans="1:49">
      <c r="A139" s="3500"/>
      <c r="B139" s="3500"/>
      <c r="C139" s="3500"/>
      <c r="D139" s="3500"/>
      <c r="E139" s="3500"/>
      <c r="F139" s="3500"/>
      <c r="G139" s="3500"/>
      <c r="H139" s="3500"/>
      <c r="I139" s="3500"/>
      <c r="J139" s="3500"/>
      <c r="K139" s="3500"/>
      <c r="L139" s="3500"/>
      <c r="M139" s="3500"/>
      <c r="N139" s="3500"/>
      <c r="O139" s="3500"/>
      <c r="P139" s="3500"/>
      <c r="Q139" s="3500"/>
      <c r="R139" s="3488"/>
      <c r="S139" s="3488"/>
      <c r="T139" s="3488"/>
      <c r="U139" s="3488"/>
      <c r="V139" s="3488"/>
      <c r="W139" s="3488"/>
      <c r="X139" s="3488"/>
      <c r="Y139" s="3488"/>
      <c r="Z139" s="3488"/>
      <c r="AA139" s="3488"/>
      <c r="AB139" s="3488"/>
      <c r="AC139" s="3488"/>
      <c r="AD139" s="3488"/>
      <c r="AE139" s="3488"/>
      <c r="AF139" s="3446"/>
      <c r="AG139" s="3446"/>
      <c r="AH139" s="3446"/>
      <c r="AI139" s="3446"/>
      <c r="AJ139" s="3446"/>
      <c r="AK139" s="3446"/>
      <c r="AL139" s="3446"/>
      <c r="AM139" s="3446"/>
      <c r="AN139" s="3446"/>
      <c r="AO139" s="3446"/>
      <c r="AP139" s="3446"/>
      <c r="AQ139" s="3446"/>
      <c r="AR139" s="3446"/>
      <c r="AS139" s="3446"/>
      <c r="AT139" s="3446"/>
      <c r="AU139" s="3446"/>
      <c r="AV139" s="3446"/>
    </row>
    <row r="140" spans="1:49">
      <c r="A140" s="3500"/>
      <c r="B140" s="3500"/>
      <c r="C140" s="3500"/>
      <c r="D140" s="3500"/>
      <c r="E140" s="3500"/>
      <c r="F140" s="3500"/>
      <c r="G140" s="3500"/>
      <c r="H140" s="3500"/>
      <c r="I140" s="3500"/>
      <c r="J140" s="3500"/>
      <c r="K140" s="3500"/>
      <c r="L140" s="3500"/>
      <c r="M140" s="3500"/>
      <c r="N140" s="3500"/>
      <c r="O140" s="3500"/>
      <c r="P140" s="3500"/>
      <c r="Q140" s="3500"/>
      <c r="R140" s="3488"/>
      <c r="S140" s="3488"/>
      <c r="T140" s="3488"/>
      <c r="U140" s="3488"/>
      <c r="V140" s="3488"/>
      <c r="W140" s="3488"/>
      <c r="X140" s="3488"/>
      <c r="Y140" s="3488"/>
      <c r="Z140" s="3488"/>
      <c r="AA140" s="3488"/>
      <c r="AB140" s="3488"/>
      <c r="AC140" s="3488"/>
      <c r="AD140" s="3488"/>
      <c r="AE140" s="3488"/>
      <c r="AF140" s="3446"/>
      <c r="AG140" s="3446"/>
      <c r="AH140" s="3446"/>
      <c r="AI140" s="3446"/>
      <c r="AJ140" s="3446"/>
      <c r="AK140" s="3446"/>
      <c r="AL140" s="3446"/>
      <c r="AM140" s="3446"/>
      <c r="AN140" s="3446"/>
      <c r="AO140" s="3446"/>
      <c r="AP140" s="3446"/>
      <c r="AQ140" s="3446"/>
      <c r="AR140" s="3446"/>
      <c r="AS140" s="3446"/>
      <c r="AT140" s="3446"/>
      <c r="AU140" s="3446"/>
      <c r="AV140" s="3446"/>
    </row>
    <row r="141" spans="1:49">
      <c r="A141" s="3505" t="s">
        <v>6223</v>
      </c>
      <c r="B141" s="3505"/>
      <c r="C141" s="3505"/>
      <c r="D141" s="3505"/>
      <c r="E141" s="3505"/>
      <c r="F141" s="3505"/>
      <c r="G141" s="3505"/>
      <c r="H141" s="3505"/>
      <c r="I141" s="3505"/>
      <c r="J141" s="3505"/>
      <c r="K141" s="3505"/>
      <c r="L141" s="3505"/>
      <c r="M141" s="3505"/>
      <c r="N141" s="3505"/>
      <c r="O141" s="3505"/>
      <c r="P141" s="3505"/>
      <c r="Q141" s="3505"/>
      <c r="R141" s="3505"/>
      <c r="S141" s="3505"/>
      <c r="T141" s="3505"/>
      <c r="U141" s="3505"/>
      <c r="V141" s="3505"/>
      <c r="W141" s="3505"/>
      <c r="X141" s="3505"/>
      <c r="Y141" s="3505"/>
      <c r="Z141" s="3505"/>
      <c r="AA141" s="3505"/>
      <c r="AB141" s="3505"/>
      <c r="AC141" s="3499"/>
      <c r="AD141" s="3499"/>
      <c r="AE141" s="3499"/>
      <c r="AF141" s="3499"/>
      <c r="AG141" s="3499"/>
      <c r="AH141" s="3499"/>
      <c r="AI141" s="3499"/>
      <c r="AJ141" s="3499"/>
      <c r="AK141" s="3499"/>
      <c r="AL141" s="3499"/>
      <c r="AM141" s="3499"/>
      <c r="AN141" s="3499"/>
      <c r="AO141" s="3499"/>
      <c r="AP141" s="3499"/>
      <c r="AQ141" s="3499"/>
      <c r="AR141" s="3499"/>
      <c r="AS141" s="3499"/>
      <c r="AT141" s="3499"/>
      <c r="AU141" s="3499"/>
      <c r="AV141" s="3499"/>
    </row>
    <row r="142" spans="1:49">
      <c r="A142" s="3685" t="s">
        <v>6096</v>
      </c>
      <c r="B142" s="3686"/>
      <c r="C142" s="3687" t="s">
        <v>6224</v>
      </c>
      <c r="D142" s="3688"/>
      <c r="E142" s="3688"/>
      <c r="F142" s="3688"/>
      <c r="G142" s="3688"/>
      <c r="H142" s="3688"/>
      <c r="I142" s="3688"/>
      <c r="J142" s="3688"/>
      <c r="K142" s="3688"/>
      <c r="L142" s="3688"/>
      <c r="M142" s="3688"/>
      <c r="N142" s="3688"/>
      <c r="O142" s="3688"/>
      <c r="P142" s="3688"/>
      <c r="Q142" s="3688"/>
      <c r="R142" s="3688"/>
      <c r="S142" s="3688"/>
      <c r="T142" s="3688"/>
      <c r="U142" s="3688"/>
      <c r="V142" s="3688"/>
      <c r="W142" s="3688"/>
      <c r="X142" s="3509" t="s">
        <v>6098</v>
      </c>
      <c r="Y142" s="3509"/>
      <c r="Z142" s="3509"/>
      <c r="AA142" s="3509"/>
      <c r="AB142" s="3509"/>
      <c r="AC142" s="3689" t="s">
        <v>6225</v>
      </c>
      <c r="AD142" s="3689"/>
      <c r="AE142" s="3689"/>
      <c r="AF142" s="3689"/>
      <c r="AG142" s="3689"/>
      <c r="AH142" s="3689"/>
      <c r="AI142" s="3689"/>
      <c r="AJ142" s="3689"/>
      <c r="AK142" s="3689"/>
      <c r="AL142" s="3689"/>
      <c r="AM142" s="3689"/>
      <c r="AN142" s="3689"/>
      <c r="AO142" s="3690" t="s">
        <v>6226</v>
      </c>
      <c r="AP142" s="3691"/>
      <c r="AQ142" s="3691"/>
      <c r="AR142" s="3691"/>
      <c r="AS142" s="3691"/>
      <c r="AT142" s="3691"/>
      <c r="AU142" s="3691"/>
      <c r="AV142" s="3692"/>
    </row>
    <row r="143" spans="1:49">
      <c r="A143" s="3693"/>
      <c r="B143" s="3694"/>
      <c r="C143" s="3695"/>
      <c r="D143" s="3696"/>
      <c r="E143" s="3696"/>
      <c r="F143" s="3696"/>
      <c r="G143" s="3696"/>
      <c r="H143" s="3696"/>
      <c r="I143" s="3696"/>
      <c r="J143" s="3696"/>
      <c r="K143" s="3696"/>
      <c r="L143" s="3696"/>
      <c r="M143" s="3696"/>
      <c r="N143" s="3696"/>
      <c r="O143" s="3696"/>
      <c r="P143" s="3696"/>
      <c r="Q143" s="3696"/>
      <c r="R143" s="3696"/>
      <c r="S143" s="3696"/>
      <c r="T143" s="3696"/>
      <c r="U143" s="3696"/>
      <c r="V143" s="3696"/>
      <c r="W143" s="3696"/>
      <c r="X143" s="3509"/>
      <c r="Y143" s="3509"/>
      <c r="Z143" s="3509"/>
      <c r="AA143" s="3509"/>
      <c r="AB143" s="3509"/>
      <c r="AC143" s="3689" t="s">
        <v>4671</v>
      </c>
      <c r="AD143" s="3689"/>
      <c r="AE143" s="3689"/>
      <c r="AF143" s="3689"/>
      <c r="AG143" s="3689"/>
      <c r="AH143" s="3689"/>
      <c r="AI143" s="3689" t="s">
        <v>6227</v>
      </c>
      <c r="AJ143" s="3689"/>
      <c r="AK143" s="3689"/>
      <c r="AL143" s="3689"/>
      <c r="AM143" s="3689"/>
      <c r="AN143" s="3689"/>
      <c r="AO143" s="3697"/>
      <c r="AP143" s="3698"/>
      <c r="AQ143" s="3698"/>
      <c r="AR143" s="3698"/>
      <c r="AS143" s="3698"/>
      <c r="AT143" s="3698"/>
      <c r="AU143" s="3698"/>
      <c r="AV143" s="3699"/>
    </row>
    <row r="144" ht="26.25" customHeight="1" spans="1:49">
      <c r="A144" s="3670" t="s">
        <v>5336</v>
      </c>
      <c r="B144" s="3670"/>
      <c r="C144" s="3630" t="s">
        <v>6228</v>
      </c>
      <c r="D144" s="3643"/>
      <c r="E144" s="3643"/>
      <c r="F144" s="3643"/>
      <c r="G144" s="3643"/>
      <c r="H144" s="3643"/>
      <c r="I144" s="3643"/>
      <c r="J144" s="3643"/>
      <c r="K144" s="3643"/>
      <c r="L144" s="3643"/>
      <c r="M144" s="3643"/>
      <c r="N144" s="3643"/>
      <c r="O144" s="3643"/>
      <c r="P144" s="3643"/>
      <c r="Q144" s="3643"/>
      <c r="R144" s="3643"/>
      <c r="S144" s="3643"/>
      <c r="T144" s="3643"/>
      <c r="U144" s="3643"/>
      <c r="V144" s="3643"/>
      <c r="W144" s="3644"/>
      <c r="X144" s="3670" t="s">
        <v>6229</v>
      </c>
      <c r="Y144" s="3670"/>
      <c r="Z144" s="3670"/>
      <c r="AA144" s="3670"/>
      <c r="AB144" s="3670"/>
      <c r="AC144" s="3674">
        <v>1</v>
      </c>
      <c r="AD144" s="3676"/>
      <c r="AE144" s="3677"/>
      <c r="AF144" s="3677"/>
      <c r="AG144" s="3677"/>
      <c r="AH144" s="3678"/>
      <c r="AI144" s="3674">
        <v>2</v>
      </c>
      <c r="AJ144" s="3648"/>
      <c r="AK144" s="3649"/>
      <c r="AL144" s="3649"/>
      <c r="AM144" s="3649"/>
      <c r="AN144" s="3650"/>
      <c r="AO144" s="3674">
        <v>3</v>
      </c>
      <c r="AP144" s="3676"/>
      <c r="AQ144" s="3677"/>
      <c r="AR144" s="3677"/>
      <c r="AS144" s="3677"/>
      <c r="AT144" s="3677"/>
      <c r="AU144" s="3677"/>
      <c r="AV144" s="3678"/>
    </row>
    <row r="145" ht="17.25" customHeight="1" spans="1:49">
      <c r="A145" s="3670" t="s">
        <v>5428</v>
      </c>
      <c r="B145" s="3670"/>
      <c r="C145" s="3636" t="s">
        <v>6230</v>
      </c>
      <c r="D145" s="3637"/>
      <c r="E145" s="3637"/>
      <c r="F145" s="3637"/>
      <c r="G145" s="3637"/>
      <c r="H145" s="3637"/>
      <c r="I145" s="3637"/>
      <c r="J145" s="3637"/>
      <c r="K145" s="3637"/>
      <c r="L145" s="3637"/>
      <c r="M145" s="3637"/>
      <c r="N145" s="3637"/>
      <c r="O145" s="3637"/>
      <c r="P145" s="3637"/>
      <c r="Q145" s="3637"/>
      <c r="R145" s="3637"/>
      <c r="S145" s="3637"/>
      <c r="T145" s="3637"/>
      <c r="U145" s="3637"/>
      <c r="V145" s="3637"/>
      <c r="W145" s="3638"/>
      <c r="X145" s="3670" t="s">
        <v>6231</v>
      </c>
      <c r="Y145" s="3670"/>
      <c r="Z145" s="3670"/>
      <c r="AA145" s="3670"/>
      <c r="AB145" s="3670"/>
      <c r="AC145" s="3674">
        <v>1</v>
      </c>
      <c r="AD145" s="3676">
        <f>AD146+AD147+AD148</f>
        <v>6</v>
      </c>
      <c r="AE145" s="3677"/>
      <c r="AF145" s="3677"/>
      <c r="AG145" s="3677"/>
      <c r="AH145" s="3678"/>
      <c r="AI145" s="3674">
        <v>2</v>
      </c>
      <c r="AJ145" s="3676">
        <f>AJ146+AJ147+AJ148</f>
        <v>0</v>
      </c>
      <c r="AK145" s="3677"/>
      <c r="AL145" s="3677"/>
      <c r="AM145" s="3677"/>
      <c r="AN145" s="3678"/>
      <c r="AO145" s="3674">
        <v>3</v>
      </c>
      <c r="AP145" s="3676">
        <f>UnosPod!Y481</f>
        <v>12184</v>
      </c>
      <c r="AQ145" s="3677"/>
      <c r="AR145" s="3677"/>
      <c r="AS145" s="3677"/>
      <c r="AT145" s="3677"/>
      <c r="AU145" s="3677"/>
      <c r="AV145" s="3678"/>
    </row>
    <row r="146" ht="17.25" customHeight="1" spans="1:49">
      <c r="A146" s="3670" t="s">
        <v>5469</v>
      </c>
      <c r="B146" s="3670"/>
      <c r="C146" s="3617" t="s">
        <v>6232</v>
      </c>
      <c r="D146" s="3618"/>
      <c r="E146" s="3618"/>
      <c r="F146" s="3618"/>
      <c r="G146" s="3618"/>
      <c r="H146" s="3618"/>
      <c r="I146" s="3618"/>
      <c r="J146" s="3618"/>
      <c r="K146" s="3618"/>
      <c r="L146" s="3618"/>
      <c r="M146" s="3618"/>
      <c r="N146" s="3618"/>
      <c r="O146" s="3618"/>
      <c r="P146" s="3618"/>
      <c r="Q146" s="3618"/>
      <c r="R146" s="3618"/>
      <c r="S146" s="3618"/>
      <c r="T146" s="3618"/>
      <c r="U146" s="3618"/>
      <c r="V146" s="3618"/>
      <c r="W146" s="3619"/>
      <c r="X146" s="3670" t="s">
        <v>6233</v>
      </c>
      <c r="Y146" s="3670"/>
      <c r="Z146" s="3670"/>
      <c r="AA146" s="3670"/>
      <c r="AB146" s="3670"/>
      <c r="AC146" s="3674">
        <v>1</v>
      </c>
      <c r="AD146" s="3676"/>
      <c r="AE146" s="3677"/>
      <c r="AF146" s="3677"/>
      <c r="AG146" s="3677"/>
      <c r="AH146" s="3678"/>
      <c r="AI146" s="3674">
        <v>2</v>
      </c>
      <c r="AJ146" s="3700"/>
      <c r="AK146" s="3700"/>
      <c r="AL146" s="3700"/>
      <c r="AM146" s="3700"/>
      <c r="AN146" s="3700"/>
      <c r="AO146" s="3674">
        <v>3</v>
      </c>
      <c r="AP146" s="3701"/>
      <c r="AQ146" s="3702"/>
      <c r="AR146" s="3702"/>
      <c r="AS146" s="3702"/>
      <c r="AT146" s="3702"/>
      <c r="AU146" s="3702"/>
      <c r="AV146" s="3703"/>
    </row>
    <row r="147" ht="17.25" customHeight="1" spans="1:49">
      <c r="A147" s="3670" t="s">
        <v>5600</v>
      </c>
      <c r="B147" s="3670"/>
      <c r="C147" s="3617" t="s">
        <v>6234</v>
      </c>
      <c r="D147" s="3618"/>
      <c r="E147" s="3618"/>
      <c r="F147" s="3618"/>
      <c r="G147" s="3618"/>
      <c r="H147" s="3618"/>
      <c r="I147" s="3618"/>
      <c r="J147" s="3618"/>
      <c r="K147" s="3618"/>
      <c r="L147" s="3618"/>
      <c r="M147" s="3618"/>
      <c r="N147" s="3618"/>
      <c r="O147" s="3618"/>
      <c r="P147" s="3618"/>
      <c r="Q147" s="3618"/>
      <c r="R147" s="3618"/>
      <c r="S147" s="3618"/>
      <c r="T147" s="3618"/>
      <c r="U147" s="3618"/>
      <c r="V147" s="3618"/>
      <c r="W147" s="3619"/>
      <c r="X147" s="3670" t="s">
        <v>6235</v>
      </c>
      <c r="Y147" s="3670"/>
      <c r="Z147" s="3670"/>
      <c r="AA147" s="3670"/>
      <c r="AB147" s="3670"/>
      <c r="AC147" s="3674">
        <v>1</v>
      </c>
      <c r="AD147" s="3676">
        <f>UnosPod!H481-AD148-AD146</f>
        <v>6</v>
      </c>
      <c r="AE147" s="3677"/>
      <c r="AF147" s="3677"/>
      <c r="AG147" s="3677"/>
      <c r="AH147" s="3678"/>
      <c r="AI147" s="3674">
        <v>2</v>
      </c>
      <c r="AJ147" s="3700"/>
      <c r="AK147" s="3700"/>
      <c r="AL147" s="3700"/>
      <c r="AM147" s="3700"/>
      <c r="AN147" s="3700"/>
      <c r="AO147" s="3674">
        <v>3</v>
      </c>
      <c r="AP147" s="3676">
        <f>AP145-AP146-AP148</f>
        <v>12184</v>
      </c>
      <c r="AQ147" s="3677"/>
      <c r="AR147" s="3677"/>
      <c r="AS147" s="3677"/>
      <c r="AT147" s="3677"/>
      <c r="AU147" s="3677"/>
      <c r="AV147" s="3678"/>
    </row>
    <row r="148" ht="17.25" customHeight="1" spans="1:49">
      <c r="A148" s="3670" t="s">
        <v>5078</v>
      </c>
      <c r="B148" s="3670"/>
      <c r="C148" s="3704" t="s">
        <v>6236</v>
      </c>
      <c r="D148" s="3705"/>
      <c r="E148" s="3705"/>
      <c r="F148" s="3705"/>
      <c r="G148" s="3705"/>
      <c r="H148" s="3705"/>
      <c r="I148" s="3705"/>
      <c r="J148" s="3705"/>
      <c r="K148" s="3705"/>
      <c r="L148" s="3705"/>
      <c r="M148" s="3705"/>
      <c r="N148" s="3705"/>
      <c r="O148" s="3705"/>
      <c r="P148" s="3705"/>
      <c r="Q148" s="3705"/>
      <c r="R148" s="3705"/>
      <c r="S148" s="3705"/>
      <c r="T148" s="3705"/>
      <c r="U148" s="3705"/>
      <c r="V148" s="3705"/>
      <c r="W148" s="3706"/>
      <c r="X148" s="3707" t="s">
        <v>6237</v>
      </c>
      <c r="Y148" s="3708"/>
      <c r="Z148" s="3708"/>
      <c r="AA148" s="3708"/>
      <c r="AB148" s="3709"/>
      <c r="AC148" s="3674">
        <v>1</v>
      </c>
      <c r="AD148" s="3676"/>
      <c r="AE148" s="3677"/>
      <c r="AF148" s="3677"/>
      <c r="AG148" s="3677"/>
      <c r="AH148" s="3678"/>
      <c r="AI148" s="3674">
        <v>2</v>
      </c>
      <c r="AJ148" s="3700"/>
      <c r="AK148" s="3700"/>
      <c r="AL148" s="3700"/>
      <c r="AM148" s="3700"/>
      <c r="AN148" s="3700"/>
      <c r="AO148" s="3674">
        <v>3</v>
      </c>
      <c r="AP148" s="3701"/>
      <c r="AQ148" s="3702"/>
      <c r="AR148" s="3702"/>
      <c r="AS148" s="3702"/>
      <c r="AT148" s="3702"/>
      <c r="AU148" s="3702"/>
      <c r="AV148" s="3703"/>
    </row>
    <row r="149" ht="17.25" customHeight="1" spans="1:49">
      <c r="A149" s="3670" t="s">
        <v>6133</v>
      </c>
      <c r="B149" s="3670"/>
      <c r="C149" s="3710" t="s">
        <v>6238</v>
      </c>
      <c r="D149" s="3711"/>
      <c r="E149" s="3711"/>
      <c r="F149" s="3711"/>
      <c r="G149" s="3711"/>
      <c r="H149" s="3711"/>
      <c r="I149" s="3711"/>
      <c r="J149" s="3711"/>
      <c r="K149" s="3711"/>
      <c r="L149" s="3711"/>
      <c r="M149" s="3711"/>
      <c r="N149" s="3711"/>
      <c r="O149" s="3711"/>
      <c r="P149" s="3711"/>
      <c r="Q149" s="3711"/>
      <c r="R149" s="3711"/>
      <c r="S149" s="3711"/>
      <c r="T149" s="3711"/>
      <c r="U149" s="3711"/>
      <c r="V149" s="3711"/>
      <c r="W149" s="3712"/>
      <c r="X149" s="3713" t="s">
        <v>6239</v>
      </c>
      <c r="Y149" s="3713"/>
      <c r="Z149" s="3713"/>
      <c r="AA149" s="3713"/>
      <c r="AB149" s="3713"/>
      <c r="AC149" s="3674">
        <v>1</v>
      </c>
      <c r="AD149" s="3676">
        <f>AD145+AD144</f>
        <v>6</v>
      </c>
      <c r="AE149" s="3677"/>
      <c r="AF149" s="3677"/>
      <c r="AG149" s="3677"/>
      <c r="AH149" s="3678"/>
      <c r="AI149" s="3674">
        <v>2</v>
      </c>
      <c r="AJ149" s="3676">
        <f>AJ145+AJ144</f>
        <v>0</v>
      </c>
      <c r="AK149" s="3677"/>
      <c r="AL149" s="3677"/>
      <c r="AM149" s="3677"/>
      <c r="AN149" s="3678"/>
      <c r="AO149" s="3674">
        <v>3</v>
      </c>
      <c r="AP149" s="3676">
        <f>AP144+AP145</f>
        <v>12184</v>
      </c>
      <c r="AQ149" s="3677"/>
      <c r="AR149" s="3677"/>
      <c r="AS149" s="3677"/>
      <c r="AT149" s="3677"/>
      <c r="AU149" s="3677"/>
      <c r="AV149" s="3678"/>
    </row>
    <row r="150" spans="1:49">
      <c r="A150" s="3714"/>
      <c r="B150" s="3714"/>
      <c r="C150" s="3715"/>
      <c r="D150" s="3715"/>
      <c r="E150" s="3715"/>
      <c r="F150" s="3715"/>
      <c r="G150" s="3715"/>
      <c r="H150" s="3715"/>
      <c r="I150" s="3715"/>
      <c r="J150" s="3715"/>
      <c r="K150" s="3715"/>
      <c r="L150" s="3715"/>
      <c r="M150" s="3715"/>
      <c r="N150" s="3715"/>
      <c r="O150" s="3715"/>
      <c r="P150" s="3715"/>
      <c r="Q150" s="3715"/>
      <c r="R150" s="3715"/>
      <c r="S150" s="3715"/>
      <c r="T150" s="3715"/>
      <c r="U150" s="3715"/>
      <c r="V150" s="3715"/>
      <c r="W150" s="3715"/>
      <c r="X150" s="3716"/>
      <c r="Y150" s="3716"/>
      <c r="Z150" s="3716"/>
      <c r="AA150" s="3716"/>
      <c r="AB150" s="3716"/>
      <c r="AC150" s="3717"/>
      <c r="AD150" s="3718"/>
      <c r="AE150" s="3718"/>
      <c r="AF150" s="3718"/>
      <c r="AG150" s="3718"/>
      <c r="AH150" s="3718"/>
      <c r="AI150" s="3717"/>
      <c r="AJ150" s="3483"/>
      <c r="AK150" s="3483"/>
      <c r="AL150" s="3483"/>
      <c r="AM150" s="3483"/>
      <c r="AN150" s="3483"/>
      <c r="AO150" s="3717"/>
      <c r="AP150" s="3483"/>
      <c r="AQ150" s="3483"/>
      <c r="AR150" s="3483"/>
      <c r="AS150" s="3483"/>
      <c r="AT150" s="3483"/>
      <c r="AU150" s="3483"/>
      <c r="AV150" s="3483"/>
    </row>
    <row r="151" spans="1:49">
      <c r="A151" s="3501" t="s">
        <v>6240</v>
      </c>
      <c r="B151" s="3501"/>
      <c r="C151" s="3501"/>
      <c r="D151" s="3501"/>
      <c r="E151" s="3501"/>
      <c r="F151" s="3501"/>
      <c r="G151" s="3501"/>
      <c r="H151" s="3501"/>
      <c r="I151" s="3501"/>
      <c r="J151" s="3501"/>
      <c r="K151" s="3501"/>
      <c r="L151" s="3501"/>
      <c r="M151" s="3501"/>
      <c r="N151" s="3501"/>
      <c r="O151" s="3501"/>
      <c r="P151" s="3501"/>
      <c r="Q151" s="3501"/>
      <c r="R151" s="3501"/>
      <c r="S151" s="3501"/>
      <c r="T151" s="3501"/>
      <c r="U151" s="3501"/>
      <c r="V151" s="3501"/>
      <c r="W151" s="3501"/>
      <c r="X151" s="3501"/>
      <c r="Y151" s="3501"/>
      <c r="Z151" s="3501"/>
      <c r="AA151" s="3501"/>
      <c r="AB151" s="3501"/>
      <c r="AC151" s="3501"/>
      <c r="AD151" s="3501"/>
      <c r="AE151" s="3501"/>
      <c r="AF151" s="3501"/>
      <c r="AG151" s="3501"/>
      <c r="AH151" s="3501"/>
      <c r="AI151" s="3501"/>
      <c r="AJ151" s="3501"/>
      <c r="AK151" s="3501"/>
      <c r="AL151" s="3501"/>
      <c r="AM151" s="3501"/>
      <c r="AN151" s="3501"/>
      <c r="AO151" s="3501"/>
      <c r="AP151" s="3501"/>
      <c r="AQ151" s="3501"/>
      <c r="AR151" s="3501"/>
      <c r="AS151" s="3501"/>
      <c r="AT151" s="3501"/>
      <c r="AU151" s="3501"/>
      <c r="AV151" s="3501"/>
    </row>
    <row r="152" spans="1:49">
      <c r="A152" s="3501"/>
      <c r="B152" s="3501"/>
      <c r="C152" s="3501"/>
      <c r="D152" s="3501"/>
      <c r="E152" s="3501"/>
      <c r="F152" s="3501"/>
      <c r="G152" s="3501"/>
      <c r="H152" s="3501"/>
      <c r="I152" s="3501"/>
      <c r="J152" s="3501"/>
      <c r="K152" s="3501"/>
      <c r="L152" s="3501"/>
      <c r="M152" s="3501"/>
      <c r="N152" s="3501"/>
      <c r="O152" s="3501"/>
      <c r="P152" s="3501"/>
      <c r="Q152" s="3501"/>
      <c r="R152" s="3501"/>
      <c r="S152" s="3501"/>
      <c r="T152" s="3501"/>
      <c r="U152" s="3501"/>
      <c r="V152" s="3501"/>
      <c r="W152" s="3501"/>
      <c r="X152" s="3501"/>
      <c r="Y152" s="3501"/>
      <c r="Z152" s="3501"/>
      <c r="AA152" s="3501"/>
      <c r="AB152" s="3501"/>
      <c r="AC152" s="3501"/>
      <c r="AD152" s="3501"/>
      <c r="AE152" s="3501"/>
      <c r="AF152" s="3501"/>
      <c r="AG152" s="3501"/>
      <c r="AH152" s="3501"/>
      <c r="AI152" s="3501"/>
      <c r="AJ152" s="3501"/>
      <c r="AK152" s="3501"/>
      <c r="AL152" s="3501"/>
      <c r="AM152" s="3501"/>
      <c r="AN152" s="3501"/>
      <c r="AO152" s="3501"/>
      <c r="AP152" s="3501"/>
      <c r="AQ152" s="3501"/>
      <c r="AR152" s="3501"/>
      <c r="AS152" s="3501"/>
      <c r="AT152" s="3501"/>
      <c r="AU152" s="3501"/>
      <c r="AV152" s="3501"/>
    </row>
    <row r="153" spans="1:49">
      <c r="A153" s="3501"/>
      <c r="B153" s="3501"/>
      <c r="C153" s="3501"/>
      <c r="D153" s="3501"/>
      <c r="E153" s="3501"/>
      <c r="F153" s="3501"/>
      <c r="G153" s="3501"/>
      <c r="H153" s="3501"/>
      <c r="I153" s="3501"/>
      <c r="J153" s="3501"/>
      <c r="K153" s="3501"/>
      <c r="L153" s="3501"/>
      <c r="M153" s="3501"/>
      <c r="N153" s="3501"/>
      <c r="O153" s="3501"/>
      <c r="P153" s="3501"/>
      <c r="Q153" s="3501"/>
      <c r="R153" s="3501"/>
      <c r="S153" s="3501"/>
      <c r="T153" s="3501"/>
      <c r="U153" s="3501"/>
      <c r="V153" s="3501"/>
      <c r="W153" s="3501"/>
      <c r="X153" s="3501"/>
      <c r="Y153" s="3501"/>
      <c r="Z153" s="3501"/>
      <c r="AA153" s="3501"/>
      <c r="AB153" s="3501"/>
      <c r="AC153" s="3501"/>
      <c r="AD153" s="3501"/>
      <c r="AE153" s="3501"/>
      <c r="AF153" s="3501"/>
      <c r="AG153" s="3501"/>
      <c r="AH153" s="3501"/>
      <c r="AI153" s="3501"/>
      <c r="AJ153" s="3501"/>
      <c r="AK153" s="3501"/>
      <c r="AL153" s="3501"/>
      <c r="AM153" s="3501"/>
      <c r="AN153" s="3501"/>
      <c r="AO153" s="3501"/>
      <c r="AP153" s="3501"/>
      <c r="AQ153" s="3501"/>
      <c r="AR153" s="3501"/>
      <c r="AS153" s="3501"/>
      <c r="AT153" s="3501"/>
      <c r="AU153" s="3501"/>
      <c r="AV153" s="3501"/>
    </row>
    <row r="154" spans="1:49">
      <c r="A154" s="3505" t="s">
        <v>6241</v>
      </c>
      <c r="B154" s="3505"/>
      <c r="C154" s="3505"/>
      <c r="D154" s="3505"/>
      <c r="E154" s="3505"/>
      <c r="F154" s="3505"/>
      <c r="G154" s="3505"/>
      <c r="H154" s="3505"/>
      <c r="I154" s="3505"/>
      <c r="J154" s="3505"/>
      <c r="K154" s="3505"/>
      <c r="L154" s="3505"/>
      <c r="M154" s="3505"/>
      <c r="N154" s="3505"/>
      <c r="O154" s="3505"/>
      <c r="P154" s="3505"/>
      <c r="Q154" s="3505"/>
      <c r="R154" s="3505"/>
      <c r="S154" s="3505"/>
      <c r="T154" s="3505"/>
      <c r="U154" s="3505"/>
      <c r="V154" s="3505"/>
      <c r="W154" s="3505"/>
      <c r="X154" s="3505"/>
      <c r="Y154" s="3505"/>
      <c r="Z154" s="3505"/>
      <c r="AA154" s="3505"/>
      <c r="AB154" s="3505"/>
      <c r="AC154" s="3505"/>
      <c r="AD154" s="3505"/>
      <c r="AE154" s="3505"/>
      <c r="AF154" s="3505"/>
      <c r="AG154" s="3505"/>
      <c r="AH154" s="3505"/>
      <c r="AI154" s="3505"/>
      <c r="AJ154" s="3505"/>
      <c r="AK154" s="3505"/>
      <c r="AL154" s="3505"/>
      <c r="AM154" s="3505"/>
      <c r="AN154" s="3505"/>
      <c r="AO154" s="3505"/>
      <c r="AP154" s="3499"/>
      <c r="AQ154" s="3499"/>
      <c r="AR154" s="3499"/>
      <c r="AS154" s="3499"/>
      <c r="AT154" s="3499"/>
      <c r="AU154" s="3499"/>
      <c r="AV154" s="3499"/>
    </row>
    <row r="155" spans="1:49">
      <c r="A155" s="3719" t="s">
        <v>6096</v>
      </c>
      <c r="B155" s="3719"/>
      <c r="C155" s="3720" t="s">
        <v>6242</v>
      </c>
      <c r="D155" s="3721"/>
      <c r="E155" s="3721"/>
      <c r="F155" s="3721"/>
      <c r="G155" s="3721"/>
      <c r="H155" s="3721"/>
      <c r="I155" s="3721"/>
      <c r="J155" s="3721"/>
      <c r="K155" s="3721"/>
      <c r="L155" s="3721"/>
      <c r="M155" s="3721"/>
      <c r="N155" s="3721"/>
      <c r="O155" s="3721"/>
      <c r="P155" s="3721"/>
      <c r="Q155" s="3721"/>
      <c r="R155" s="3721"/>
      <c r="S155" s="3721"/>
      <c r="T155" s="3721"/>
      <c r="U155" s="3721"/>
      <c r="V155" s="3721"/>
      <c r="W155" s="3722"/>
      <c r="X155" s="3723" t="s">
        <v>6098</v>
      </c>
      <c r="Y155" s="3724"/>
      <c r="Z155" s="3724"/>
      <c r="AA155" s="3724"/>
      <c r="AB155" s="3724"/>
      <c r="AC155" s="3725"/>
      <c r="AD155" s="3726" t="s">
        <v>6243</v>
      </c>
      <c r="AE155" s="3727"/>
      <c r="AF155" s="3727"/>
      <c r="AG155" s="3727"/>
      <c r="AH155" s="3728"/>
      <c r="AI155" s="3726" t="s">
        <v>6244</v>
      </c>
      <c r="AJ155" s="3727"/>
      <c r="AK155" s="3727"/>
      <c r="AL155" s="3727"/>
      <c r="AM155" s="3727"/>
      <c r="AN155" s="3728"/>
      <c r="AO155" s="3726" t="s">
        <v>6245</v>
      </c>
      <c r="AP155" s="3727"/>
      <c r="AQ155" s="3727"/>
      <c r="AR155" s="3727"/>
      <c r="AS155" s="3727"/>
      <c r="AT155" s="3727"/>
      <c r="AU155" s="3727"/>
      <c r="AV155" s="3728"/>
      <c r="AW155" s="3729"/>
    </row>
    <row r="156" spans="1:49">
      <c r="A156" s="3719"/>
      <c r="B156" s="3719"/>
      <c r="C156" s="3730"/>
      <c r="D156" s="3731"/>
      <c r="E156" s="3731"/>
      <c r="F156" s="3731"/>
      <c r="G156" s="3731"/>
      <c r="H156" s="3731"/>
      <c r="I156" s="3731"/>
      <c r="J156" s="3731"/>
      <c r="K156" s="3731"/>
      <c r="L156" s="3731"/>
      <c r="M156" s="3731"/>
      <c r="N156" s="3731"/>
      <c r="O156" s="3731"/>
      <c r="P156" s="3731"/>
      <c r="Q156" s="3731"/>
      <c r="R156" s="3731"/>
      <c r="S156" s="3731"/>
      <c r="T156" s="3731"/>
      <c r="U156" s="3731"/>
      <c r="V156" s="3731"/>
      <c r="W156" s="3732"/>
      <c r="X156" s="3733"/>
      <c r="Y156" s="3734"/>
      <c r="Z156" s="3734"/>
      <c r="AA156" s="3734"/>
      <c r="AB156" s="3734"/>
      <c r="AC156" s="3735"/>
      <c r="AD156" s="3736"/>
      <c r="AE156" s="3737"/>
      <c r="AF156" s="3737"/>
      <c r="AG156" s="3737"/>
      <c r="AH156" s="3738"/>
      <c r="AI156" s="3736"/>
      <c r="AJ156" s="3737"/>
      <c r="AK156" s="3737"/>
      <c r="AL156" s="3737"/>
      <c r="AM156" s="3737"/>
      <c r="AN156" s="3738"/>
      <c r="AO156" s="3736"/>
      <c r="AP156" s="3737"/>
      <c r="AQ156" s="3737"/>
      <c r="AR156" s="3737"/>
      <c r="AS156" s="3737"/>
      <c r="AT156" s="3737"/>
      <c r="AU156" s="3737"/>
      <c r="AV156" s="3738"/>
      <c r="AW156" s="3729"/>
    </row>
    <row r="157" ht="28.5" customHeight="1" spans="1:49">
      <c r="A157" s="3739" t="s">
        <v>5336</v>
      </c>
      <c r="B157" s="3739"/>
      <c r="C157" s="3740" t="s">
        <v>6246</v>
      </c>
      <c r="D157" s="3741"/>
      <c r="E157" s="3741"/>
      <c r="F157" s="3741"/>
      <c r="G157" s="3741"/>
      <c r="H157" s="3741"/>
      <c r="I157" s="3741"/>
      <c r="J157" s="3741"/>
      <c r="K157" s="3741"/>
      <c r="L157" s="3741"/>
      <c r="M157" s="3741"/>
      <c r="N157" s="3741"/>
      <c r="O157" s="3741"/>
      <c r="P157" s="3741"/>
      <c r="Q157" s="3741"/>
      <c r="R157" s="3741"/>
      <c r="S157" s="3741"/>
      <c r="T157" s="3741"/>
      <c r="U157" s="3741"/>
      <c r="V157" s="3741"/>
      <c r="W157" s="3742"/>
      <c r="X157" s="3743" t="s">
        <v>6247</v>
      </c>
      <c r="Y157" s="3744"/>
      <c r="Z157" s="3744"/>
      <c r="AA157" s="3744"/>
      <c r="AB157" s="3744"/>
      <c r="AC157" s="3745"/>
      <c r="AD157" s="3746">
        <v>1</v>
      </c>
      <c r="AE157" s="3747"/>
      <c r="AF157" s="3747"/>
      <c r="AG157" s="3747"/>
      <c r="AH157" s="3747"/>
      <c r="AI157" s="3746">
        <v>2</v>
      </c>
      <c r="AJ157" s="3748"/>
      <c r="AK157" s="3748"/>
      <c r="AL157" s="3748"/>
      <c r="AM157" s="3748"/>
      <c r="AN157" s="3748"/>
      <c r="AO157" s="3746">
        <v>3</v>
      </c>
      <c r="AP157" s="3749"/>
      <c r="AQ157" s="3750"/>
      <c r="AR157" s="3750"/>
      <c r="AS157" s="3750"/>
      <c r="AT157" s="3750"/>
      <c r="AU157" s="3750"/>
      <c r="AV157" s="3751"/>
      <c r="AW157" s="3729"/>
    </row>
    <row r="158" ht="24.75" customHeight="1" spans="1:49">
      <c r="A158" s="3739" t="s">
        <v>5428</v>
      </c>
      <c r="B158" s="3739"/>
      <c r="C158" s="3752" t="s">
        <v>6248</v>
      </c>
      <c r="D158" s="3753"/>
      <c r="E158" s="3753"/>
      <c r="F158" s="3753"/>
      <c r="G158" s="3753"/>
      <c r="H158" s="3753"/>
      <c r="I158" s="3753"/>
      <c r="J158" s="3753"/>
      <c r="K158" s="3753"/>
      <c r="L158" s="3753"/>
      <c r="M158" s="3753"/>
      <c r="N158" s="3753"/>
      <c r="O158" s="3753"/>
      <c r="P158" s="3753"/>
      <c r="Q158" s="3753"/>
      <c r="R158" s="3753"/>
      <c r="S158" s="3753"/>
      <c r="T158" s="3753"/>
      <c r="U158" s="3753"/>
      <c r="V158" s="3753"/>
      <c r="W158" s="3754"/>
      <c r="X158" s="3743" t="s">
        <v>6249</v>
      </c>
      <c r="Y158" s="3744"/>
      <c r="Z158" s="3744"/>
      <c r="AA158" s="3744"/>
      <c r="AB158" s="3744"/>
      <c r="AC158" s="3745"/>
      <c r="AD158" s="3746">
        <v>1</v>
      </c>
      <c r="AE158" s="3747"/>
      <c r="AF158" s="3747"/>
      <c r="AG158" s="3747"/>
      <c r="AH158" s="3747"/>
      <c r="AI158" s="3746">
        <v>2</v>
      </c>
      <c r="AJ158" s="3748"/>
      <c r="AK158" s="3748"/>
      <c r="AL158" s="3748"/>
      <c r="AM158" s="3748"/>
      <c r="AN158" s="3748"/>
      <c r="AO158" s="3746">
        <v>3</v>
      </c>
      <c r="AP158" s="3749"/>
      <c r="AQ158" s="3750"/>
      <c r="AR158" s="3750"/>
      <c r="AS158" s="3750"/>
      <c r="AT158" s="3750"/>
      <c r="AU158" s="3750"/>
      <c r="AV158" s="3751"/>
      <c r="AW158" s="3729"/>
    </row>
    <row r="159" spans="1:49">
      <c r="A159" s="3755" t="s">
        <v>5469</v>
      </c>
      <c r="B159" s="3755"/>
      <c r="C159" s="3636" t="s">
        <v>6250</v>
      </c>
      <c r="D159" s="3637"/>
      <c r="E159" s="3637"/>
      <c r="F159" s="3637"/>
      <c r="G159" s="3637"/>
      <c r="H159" s="3637"/>
      <c r="I159" s="3637"/>
      <c r="J159" s="3637"/>
      <c r="K159" s="3637"/>
      <c r="L159" s="3637"/>
      <c r="M159" s="3637"/>
      <c r="N159" s="3637"/>
      <c r="O159" s="3637"/>
      <c r="P159" s="3637"/>
      <c r="Q159" s="3637"/>
      <c r="R159" s="3637"/>
      <c r="S159" s="3637"/>
      <c r="T159" s="3637"/>
      <c r="U159" s="3637"/>
      <c r="V159" s="3637"/>
      <c r="W159" s="3638"/>
      <c r="X159" s="3707" t="s">
        <v>6251</v>
      </c>
      <c r="Y159" s="3708"/>
      <c r="Z159" s="3708"/>
      <c r="AA159" s="3708"/>
      <c r="AB159" s="3708"/>
      <c r="AC159" s="3709"/>
      <c r="AD159" s="3674">
        <v>1</v>
      </c>
      <c r="AE159" s="3756"/>
      <c r="AF159" s="3756"/>
      <c r="AG159" s="3756"/>
      <c r="AH159" s="3756"/>
      <c r="AI159" s="3674">
        <v>2</v>
      </c>
      <c r="AJ159" s="3700"/>
      <c r="AK159" s="3700"/>
      <c r="AL159" s="3700"/>
      <c r="AM159" s="3700"/>
      <c r="AN159" s="3700"/>
      <c r="AO159" s="3674">
        <v>3</v>
      </c>
      <c r="AP159" s="3757"/>
      <c r="AQ159" s="3758"/>
      <c r="AR159" s="3758"/>
      <c r="AS159" s="3758"/>
      <c r="AT159" s="3758"/>
      <c r="AU159" s="3758"/>
      <c r="AV159" s="3759"/>
    </row>
    <row r="160" spans="1:49">
      <c r="A160" s="3760"/>
      <c r="B160" s="3760"/>
      <c r="C160" s="3467"/>
      <c r="D160" s="3467"/>
      <c r="E160" s="3467"/>
      <c r="F160" s="3467"/>
      <c r="G160" s="3467"/>
      <c r="H160" s="3467"/>
      <c r="I160" s="3467"/>
      <c r="J160" s="3467"/>
      <c r="K160" s="3467"/>
      <c r="L160" s="3467"/>
      <c r="M160" s="3467"/>
      <c r="N160" s="3467"/>
      <c r="O160" s="3467"/>
      <c r="P160" s="3467"/>
      <c r="Q160" s="3467"/>
      <c r="R160" s="3467"/>
      <c r="S160" s="3467"/>
      <c r="T160" s="3467"/>
      <c r="U160" s="3467"/>
      <c r="V160" s="3467"/>
      <c r="W160" s="3467"/>
      <c r="X160" s="3714"/>
      <c r="Y160" s="3714"/>
      <c r="Z160" s="3714"/>
      <c r="AA160" s="3714"/>
      <c r="AB160" s="3714"/>
      <c r="AC160" s="3714"/>
      <c r="AD160" s="3717"/>
      <c r="AE160" s="3761"/>
      <c r="AF160" s="3761"/>
      <c r="AG160" s="3761"/>
      <c r="AH160" s="3761"/>
      <c r="AI160" s="3717"/>
      <c r="AJ160" s="3483"/>
      <c r="AK160" s="3483"/>
      <c r="AL160" s="3483"/>
      <c r="AM160" s="3483"/>
      <c r="AN160" s="3483"/>
      <c r="AO160" s="3717"/>
      <c r="AP160" s="3762"/>
      <c r="AQ160" s="3762"/>
      <c r="AR160" s="3762"/>
      <c r="AS160" s="3762"/>
      <c r="AT160" s="3762"/>
      <c r="AU160" s="3762"/>
      <c r="AV160" s="3762"/>
    </row>
    <row r="161" spans="1:49">
      <c r="A161" s="3760"/>
      <c r="B161" s="3760"/>
      <c r="C161" s="3467"/>
      <c r="D161" s="3467"/>
      <c r="E161" s="3467"/>
      <c r="F161" s="3467"/>
      <c r="G161" s="3467"/>
      <c r="H161" s="3467"/>
      <c r="I161" s="3467"/>
      <c r="J161" s="3467"/>
      <c r="K161" s="3467"/>
      <c r="L161" s="3467"/>
      <c r="M161" s="3467"/>
      <c r="N161" s="3467"/>
      <c r="O161" s="3467"/>
      <c r="P161" s="3467"/>
      <c r="Q161" s="3467"/>
      <c r="R161" s="3467"/>
      <c r="S161" s="3467"/>
      <c r="T161" s="3467"/>
      <c r="U161" s="3467"/>
      <c r="V161" s="3467"/>
      <c r="W161" s="3467"/>
      <c r="X161" s="3714"/>
      <c r="Y161" s="3714"/>
      <c r="Z161" s="3714"/>
      <c r="AA161" s="3714"/>
      <c r="AB161" s="3714"/>
      <c r="AC161" s="3714"/>
      <c r="AD161" s="3717"/>
      <c r="AE161" s="3761"/>
      <c r="AF161" s="3761"/>
      <c r="AG161" s="3761"/>
      <c r="AH161" s="3761"/>
      <c r="AI161" s="3717"/>
      <c r="AJ161" s="3483"/>
      <c r="AK161" s="3483"/>
      <c r="AL161" s="3483"/>
      <c r="AM161" s="3483"/>
      <c r="AN161" s="3483"/>
      <c r="AO161" s="3717"/>
      <c r="AP161" s="3762"/>
      <c r="AQ161" s="3762"/>
      <c r="AR161" s="3762"/>
      <c r="AS161" s="3762"/>
      <c r="AT161" s="3762"/>
      <c r="AU161" s="3762"/>
      <c r="AV161" s="3762"/>
    </row>
    <row r="162" spans="1:49">
      <c r="A162" s="3763" t="s">
        <v>6252</v>
      </c>
      <c r="B162" s="3763"/>
      <c r="C162" s="3764"/>
      <c r="D162" s="3764"/>
      <c r="E162" s="3764"/>
      <c r="F162" s="3764"/>
      <c r="G162" s="3764"/>
      <c r="H162" s="3764"/>
      <c r="I162" s="3764"/>
      <c r="J162" s="3764"/>
      <c r="K162" s="3764"/>
      <c r="L162" s="3764"/>
      <c r="M162" s="3764"/>
      <c r="N162" s="3764"/>
      <c r="O162" s="3764"/>
      <c r="P162" s="3764"/>
      <c r="Q162" s="3764"/>
      <c r="R162" s="3764"/>
      <c r="S162" s="3764"/>
      <c r="T162" s="3764"/>
      <c r="U162" s="3764"/>
      <c r="V162" s="3764"/>
      <c r="W162" s="3764"/>
      <c r="X162" s="3764"/>
      <c r="Y162" s="3764"/>
      <c r="Z162" s="3764"/>
      <c r="AA162" s="3764"/>
      <c r="AB162" s="3764"/>
      <c r="AC162" s="3764"/>
      <c r="AD162" s="3764"/>
      <c r="AE162" s="3764"/>
      <c r="AF162" s="3764"/>
      <c r="AG162" s="3764"/>
      <c r="AH162" s="3764"/>
      <c r="AI162" s="3764"/>
      <c r="AJ162" s="3764"/>
      <c r="AK162" s="3764"/>
      <c r="AL162" s="3764"/>
      <c r="AM162" s="3764"/>
      <c r="AN162" s="3764"/>
      <c r="AO162" s="3764"/>
      <c r="AP162" s="3764"/>
      <c r="AQ162" s="3764"/>
      <c r="AR162" s="3764"/>
      <c r="AS162" s="3764"/>
      <c r="AT162" s="3764"/>
      <c r="AU162" s="3764"/>
      <c r="AV162" s="3765"/>
      <c r="AW162" s="3766"/>
    </row>
    <row r="163" spans="1:49">
      <c r="A163" s="3767" t="s">
        <v>6253</v>
      </c>
      <c r="B163" s="3767"/>
      <c r="C163" s="3768" t="s">
        <v>6254</v>
      </c>
      <c r="D163" s="3768"/>
      <c r="E163" s="3768"/>
      <c r="F163" s="3768"/>
      <c r="G163" s="3768"/>
      <c r="H163" s="3768"/>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768"/>
      <c r="AD163" s="3768"/>
      <c r="AE163" s="3768"/>
      <c r="AF163" s="3768"/>
      <c r="AG163" s="3768"/>
      <c r="AH163" s="3769"/>
      <c r="AI163" s="3770" t="s">
        <v>6098</v>
      </c>
      <c r="AJ163" s="3771"/>
      <c r="AK163" s="3771"/>
      <c r="AL163" s="3771"/>
      <c r="AM163" s="3771"/>
      <c r="AN163" s="3772"/>
      <c r="AO163" s="3768" t="s">
        <v>6100</v>
      </c>
      <c r="AP163" s="3768"/>
      <c r="AQ163" s="3768"/>
      <c r="AR163" s="3768"/>
      <c r="AS163" s="3768"/>
      <c r="AT163" s="3768"/>
      <c r="AU163" s="3768"/>
      <c r="AV163" s="3769"/>
      <c r="AW163" s="3766"/>
    </row>
    <row r="164" ht="18.75" customHeight="1" spans="1:49">
      <c r="A164" s="3773" t="s">
        <v>5336</v>
      </c>
      <c r="B164" s="3773" t="s">
        <v>3953</v>
      </c>
      <c r="C164" s="3774" t="s">
        <v>6255</v>
      </c>
      <c r="D164" s="3775"/>
      <c r="E164" s="3775"/>
      <c r="F164" s="3775"/>
      <c r="G164" s="3775"/>
      <c r="H164" s="3775"/>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775"/>
      <c r="AD164" s="3775"/>
      <c r="AE164" s="3775"/>
      <c r="AF164" s="3775"/>
      <c r="AG164" s="3775"/>
      <c r="AH164" s="3776"/>
      <c r="AI164" s="3777" t="s">
        <v>6256</v>
      </c>
      <c r="AJ164" s="3778"/>
      <c r="AK164" s="3778"/>
      <c r="AL164" s="3778"/>
      <c r="AM164" s="3778"/>
      <c r="AN164" s="3779"/>
      <c r="AO164" s="3520">
        <f>AO73</f>
        <v>0</v>
      </c>
      <c r="AP164" s="3521"/>
      <c r="AQ164" s="3521"/>
      <c r="AR164" s="3521"/>
      <c r="AS164" s="3521"/>
      <c r="AT164" s="3521"/>
      <c r="AU164" s="3521"/>
      <c r="AV164" s="3522"/>
      <c r="AW164" s="3766"/>
    </row>
    <row r="165" ht="18.75" customHeight="1" spans="1:49">
      <c r="A165" s="3780" t="s">
        <v>5428</v>
      </c>
      <c r="B165" s="3780" t="s">
        <v>3953</v>
      </c>
      <c r="C165" s="3774" t="s">
        <v>6257</v>
      </c>
      <c r="D165" s="3775"/>
      <c r="E165" s="3775"/>
      <c r="F165" s="3775"/>
      <c r="G165" s="3775"/>
      <c r="H165" s="3775"/>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775"/>
      <c r="AD165" s="3775"/>
      <c r="AE165" s="3775"/>
      <c r="AF165" s="3775"/>
      <c r="AG165" s="3775"/>
      <c r="AH165" s="3776"/>
      <c r="AI165" s="3777" t="s">
        <v>6258</v>
      </c>
      <c r="AJ165" s="3778"/>
      <c r="AK165" s="3778"/>
      <c r="AL165" s="3778"/>
      <c r="AM165" s="3778"/>
      <c r="AN165" s="3779"/>
      <c r="AO165" s="3520">
        <f>AO79</f>
        <v>0</v>
      </c>
      <c r="AP165" s="3521"/>
      <c r="AQ165" s="3521"/>
      <c r="AR165" s="3521"/>
      <c r="AS165" s="3521"/>
      <c r="AT165" s="3521"/>
      <c r="AU165" s="3521"/>
      <c r="AV165" s="3522"/>
      <c r="AW165" s="3766"/>
    </row>
    <row r="166" ht="18.75" customHeight="1" spans="1:49">
      <c r="A166" s="3780" t="s">
        <v>5469</v>
      </c>
      <c r="B166" s="3780" t="s">
        <v>3953</v>
      </c>
      <c r="C166" s="3774" t="s">
        <v>6259</v>
      </c>
      <c r="D166" s="3775"/>
      <c r="E166" s="3775"/>
      <c r="F166" s="3775"/>
      <c r="G166" s="3775"/>
      <c r="H166" s="3775"/>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775"/>
      <c r="AD166" s="3775"/>
      <c r="AE166" s="3775"/>
      <c r="AF166" s="3775"/>
      <c r="AG166" s="3775"/>
      <c r="AH166" s="3776"/>
      <c r="AI166" s="3777" t="s">
        <v>6260</v>
      </c>
      <c r="AJ166" s="3778"/>
      <c r="AK166" s="3778"/>
      <c r="AL166" s="3778"/>
      <c r="AM166" s="3778"/>
      <c r="AN166" s="3779"/>
      <c r="AO166" s="3520">
        <f>AO171-AO164-AO165-AO169-AO170</f>
        <v>245707</v>
      </c>
      <c r="AP166" s="3521"/>
      <c r="AQ166" s="3521"/>
      <c r="AR166" s="3521"/>
      <c r="AS166" s="3521"/>
      <c r="AT166" s="3521"/>
      <c r="AU166" s="3521"/>
      <c r="AV166" s="3522"/>
      <c r="AW166" s="3766"/>
    </row>
    <row r="167" ht="18.75" customHeight="1" spans="1:49">
      <c r="A167" s="3780" t="s">
        <v>5600</v>
      </c>
      <c r="B167" s="3780" t="s">
        <v>3953</v>
      </c>
      <c r="C167" s="3781" t="s">
        <v>6261</v>
      </c>
      <c r="D167" s="3782"/>
      <c r="E167" s="3782"/>
      <c r="F167" s="3782"/>
      <c r="G167" s="3782"/>
      <c r="H167" s="3782"/>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782"/>
      <c r="AD167" s="3782"/>
      <c r="AE167" s="3782"/>
      <c r="AF167" s="3782"/>
      <c r="AG167" s="3782"/>
      <c r="AH167" s="3783"/>
      <c r="AI167" s="3784" t="s">
        <v>6262</v>
      </c>
      <c r="AJ167" s="3785"/>
      <c r="AK167" s="3785"/>
      <c r="AL167" s="3785"/>
      <c r="AM167" s="3785"/>
      <c r="AN167" s="3786"/>
      <c r="AO167" s="3520">
        <f>AO166-AO168</f>
        <v>245707</v>
      </c>
      <c r="AP167" s="3521"/>
      <c r="AQ167" s="3521"/>
      <c r="AR167" s="3521"/>
      <c r="AS167" s="3521"/>
      <c r="AT167" s="3521"/>
      <c r="AU167" s="3521"/>
      <c r="AV167" s="3522"/>
      <c r="AW167" s="3766"/>
    </row>
    <row r="168" ht="18.75" customHeight="1" spans="1:49">
      <c r="A168" s="3780" t="s">
        <v>5078</v>
      </c>
      <c r="B168" s="3780" t="s">
        <v>3953</v>
      </c>
      <c r="C168" s="3781" t="s">
        <v>6263</v>
      </c>
      <c r="D168" s="3782"/>
      <c r="E168" s="3782"/>
      <c r="F168" s="3782"/>
      <c r="G168" s="3782"/>
      <c r="H168" s="3782"/>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782"/>
      <c r="AD168" s="3782"/>
      <c r="AE168" s="3782"/>
      <c r="AF168" s="3782"/>
      <c r="AG168" s="3782"/>
      <c r="AH168" s="3783"/>
      <c r="AI168" s="3784" t="s">
        <v>6264</v>
      </c>
      <c r="AJ168" s="3785"/>
      <c r="AK168" s="3785"/>
      <c r="AL168" s="3785"/>
      <c r="AM168" s="3785"/>
      <c r="AN168" s="3786"/>
      <c r="AO168" s="3520"/>
      <c r="AP168" s="3521"/>
      <c r="AQ168" s="3521"/>
      <c r="AR168" s="3521"/>
      <c r="AS168" s="3521"/>
      <c r="AT168" s="3521"/>
      <c r="AU168" s="3521"/>
      <c r="AV168" s="3522"/>
      <c r="AW168" s="3766"/>
    </row>
    <row r="169" ht="18.75" customHeight="1" spans="1:49">
      <c r="A169" s="3780" t="s">
        <v>6133</v>
      </c>
      <c r="B169" s="3780" t="s">
        <v>3953</v>
      </c>
      <c r="C169" s="3787" t="s">
        <v>6265</v>
      </c>
      <c r="D169" s="3788"/>
      <c r="E169" s="3788"/>
      <c r="F169" s="3788"/>
      <c r="G169" s="3788"/>
      <c r="H169" s="3788"/>
      <c r="I169" s="3788"/>
      <c r="J169" s="3788"/>
      <c r="K169" s="3788"/>
      <c r="L169" s="3788"/>
      <c r="M169" s="3788"/>
      <c r="N169" s="3788"/>
      <c r="O169" s="3788"/>
      <c r="P169" s="3788"/>
      <c r="Q169" s="3788"/>
      <c r="R169" s="3788"/>
      <c r="S169" s="3788"/>
      <c r="T169" s="3788"/>
      <c r="U169" s="3788"/>
      <c r="V169" s="3788"/>
      <c r="W169" s="3788"/>
      <c r="X169" s="3788"/>
      <c r="Y169" s="3788"/>
      <c r="Z169" s="3788"/>
      <c r="AA169" s="3788"/>
      <c r="AB169" s="3788"/>
      <c r="AC169" s="3788"/>
      <c r="AD169" s="3788"/>
      <c r="AE169" s="3788"/>
      <c r="AF169" s="3788"/>
      <c r="AG169" s="3788"/>
      <c r="AH169" s="3789"/>
      <c r="AI169" s="3777" t="s">
        <v>6266</v>
      </c>
      <c r="AJ169" s="3778"/>
      <c r="AK169" s="3778"/>
      <c r="AL169" s="3778"/>
      <c r="AM169" s="3778"/>
      <c r="AN169" s="3779"/>
      <c r="AO169" s="3520"/>
      <c r="AP169" s="3521"/>
      <c r="AQ169" s="3521"/>
      <c r="AR169" s="3521"/>
      <c r="AS169" s="3521"/>
      <c r="AT169" s="3521"/>
      <c r="AU169" s="3521"/>
      <c r="AV169" s="3522"/>
      <c r="AW169" s="3766"/>
    </row>
    <row r="170" ht="18.75" customHeight="1" spans="1:49">
      <c r="A170" s="3780" t="s">
        <v>6137</v>
      </c>
      <c r="B170" s="3780" t="s">
        <v>3953</v>
      </c>
      <c r="C170" s="3774" t="s">
        <v>6267</v>
      </c>
      <c r="D170" s="3775"/>
      <c r="E170" s="3775"/>
      <c r="F170" s="3775"/>
      <c r="G170" s="3775"/>
      <c r="H170" s="3775"/>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775"/>
      <c r="AD170" s="3775"/>
      <c r="AE170" s="3775"/>
      <c r="AF170" s="3775"/>
      <c r="AG170" s="3775"/>
      <c r="AH170" s="3776"/>
      <c r="AI170" s="3777" t="s">
        <v>6268</v>
      </c>
      <c r="AJ170" s="3778"/>
      <c r="AK170" s="3778"/>
      <c r="AL170" s="3778"/>
      <c r="AM170" s="3778"/>
      <c r="AN170" s="3779"/>
      <c r="AO170" s="3520"/>
      <c r="AP170" s="3521"/>
      <c r="AQ170" s="3521"/>
      <c r="AR170" s="3521"/>
      <c r="AS170" s="3521"/>
      <c r="AT170" s="3521"/>
      <c r="AU170" s="3521"/>
      <c r="AV170" s="3522"/>
      <c r="AW170" s="3766"/>
    </row>
    <row r="171" ht="18.75" customHeight="1" spans="1:49">
      <c r="A171" s="3780" t="s">
        <v>6140</v>
      </c>
      <c r="B171" s="3780" t="s">
        <v>3953</v>
      </c>
      <c r="C171" s="3774" t="s">
        <v>6269</v>
      </c>
      <c r="D171" s="3775"/>
      <c r="E171" s="3775"/>
      <c r="F171" s="3775"/>
      <c r="G171" s="3775"/>
      <c r="H171" s="3775"/>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775"/>
      <c r="AD171" s="3775"/>
      <c r="AE171" s="3775"/>
      <c r="AF171" s="3775"/>
      <c r="AG171" s="3775"/>
      <c r="AH171" s="3776"/>
      <c r="AI171" s="3777" t="s">
        <v>6270</v>
      </c>
      <c r="AJ171" s="3778"/>
      <c r="AK171" s="3778"/>
      <c r="AL171" s="3778"/>
      <c r="AM171" s="3778"/>
      <c r="AN171" s="3779"/>
      <c r="AO171" s="3520">
        <f>AO84</f>
        <v>245707</v>
      </c>
      <c r="AP171" s="3521"/>
      <c r="AQ171" s="3521"/>
      <c r="AR171" s="3521"/>
      <c r="AS171" s="3521"/>
      <c r="AT171" s="3521"/>
      <c r="AU171" s="3521"/>
      <c r="AV171" s="3522"/>
      <c r="AW171" s="3766"/>
    </row>
    <row r="172" spans="1:49">
      <c r="A172" s="3790"/>
      <c r="B172" s="3790"/>
      <c r="C172" s="3791"/>
      <c r="D172" s="3791"/>
      <c r="E172" s="3791"/>
      <c r="F172" s="3791"/>
      <c r="G172" s="3791"/>
      <c r="H172" s="3791"/>
      <c r="I172" s="3791"/>
      <c r="J172" s="3791"/>
      <c r="K172" s="3791"/>
      <c r="L172" s="3791"/>
      <c r="M172" s="3791"/>
      <c r="N172" s="3791"/>
      <c r="O172" s="3791"/>
      <c r="P172" s="3791"/>
      <c r="Q172" s="3791"/>
      <c r="R172" s="3791"/>
      <c r="S172" s="3791"/>
      <c r="T172" s="3791"/>
      <c r="U172" s="3791"/>
      <c r="V172" s="3791"/>
      <c r="W172" s="3791"/>
      <c r="X172" s="3791"/>
      <c r="Y172" s="3791"/>
      <c r="Z172" s="3791"/>
      <c r="AA172" s="3791"/>
      <c r="AB172" s="3791"/>
      <c r="AC172" s="3791"/>
      <c r="AD172" s="3791"/>
      <c r="AE172" s="3791"/>
      <c r="AF172" s="3791"/>
      <c r="AG172" s="3791"/>
      <c r="AH172" s="3791"/>
      <c r="AI172" s="3792"/>
      <c r="AJ172" s="3792"/>
      <c r="AK172" s="3792"/>
      <c r="AL172" s="3792"/>
      <c r="AM172" s="3792"/>
      <c r="AN172" s="3792"/>
      <c r="AO172" s="3793"/>
      <c r="AP172" s="3793"/>
      <c r="AQ172" s="3793"/>
      <c r="AR172" s="3793"/>
      <c r="AS172" s="3793"/>
      <c r="AT172" s="3793"/>
      <c r="AU172" s="3793"/>
      <c r="AV172" s="3793"/>
      <c r="AW172" s="3766"/>
    </row>
    <row r="173" spans="1:49">
      <c r="A173" s="3794" t="s">
        <v>6365</v>
      </c>
      <c r="B173" s="3794"/>
      <c r="C173" s="3794"/>
      <c r="D173" s="3794"/>
      <c r="E173" s="3794"/>
      <c r="F173" s="3794"/>
      <c r="G173" s="3794"/>
      <c r="H173" s="3794"/>
      <c r="I173" s="3794"/>
      <c r="J173" s="3794"/>
      <c r="K173" s="3794"/>
      <c r="L173" s="3794"/>
      <c r="M173" s="3794"/>
      <c r="N173" s="3794"/>
      <c r="O173" s="3794"/>
      <c r="P173" s="3794"/>
      <c r="Q173" s="3794"/>
      <c r="R173" s="3794"/>
      <c r="S173" s="3794"/>
      <c r="T173" s="3794"/>
      <c r="U173" s="3794"/>
      <c r="V173" s="3794"/>
      <c r="W173" s="3794"/>
      <c r="X173" s="3794"/>
      <c r="Y173" s="3794"/>
      <c r="Z173" s="3794"/>
      <c r="AA173" s="3794"/>
      <c r="AB173" s="3794"/>
      <c r="AC173" s="3794"/>
      <c r="AD173" s="3794"/>
      <c r="AE173" s="3794"/>
      <c r="AF173" s="3794"/>
      <c r="AG173" s="3794"/>
      <c r="AH173" s="3794"/>
      <c r="AI173" s="3794"/>
      <c r="AJ173" s="3794"/>
      <c r="AK173" s="3794"/>
      <c r="AL173" s="3794"/>
      <c r="AM173" s="3794"/>
      <c r="AN173" s="3794"/>
      <c r="AO173" s="3794"/>
      <c r="AP173" s="3794"/>
      <c r="AQ173" s="3794"/>
      <c r="AR173" s="3794"/>
      <c r="AS173" s="3794"/>
      <c r="AT173" s="3794"/>
      <c r="AU173" s="3794"/>
      <c r="AV173" s="3794"/>
    </row>
    <row r="174" spans="1:49">
      <c r="A174" s="3795"/>
      <c r="B174" s="3795"/>
      <c r="C174" s="3795"/>
      <c r="D174" s="3795"/>
      <c r="E174" s="3795"/>
      <c r="F174" s="3795"/>
      <c r="G174" s="3795"/>
      <c r="H174" s="3795"/>
      <c r="I174" s="3795"/>
      <c r="J174" s="3795"/>
      <c r="K174" s="3795"/>
      <c r="L174" s="3795"/>
      <c r="M174" s="3795"/>
      <c r="N174" s="3795"/>
      <c r="O174" s="3795"/>
      <c r="P174" s="3795"/>
      <c r="Q174" s="3795"/>
      <c r="R174" s="3795"/>
      <c r="S174" s="3795"/>
      <c r="T174" s="3795"/>
      <c r="U174" s="3795"/>
      <c r="V174" s="3795"/>
      <c r="W174" s="3795"/>
      <c r="X174" s="3795"/>
      <c r="Y174" s="3795"/>
      <c r="Z174" s="3795"/>
      <c r="AA174" s="3795"/>
      <c r="AB174" s="3795"/>
      <c r="AC174" s="3795"/>
      <c r="AD174" s="3795"/>
      <c r="AE174" s="3795"/>
      <c r="AF174" s="3795"/>
      <c r="AG174" s="3795"/>
      <c r="AH174" s="3795"/>
      <c r="AI174" s="3795"/>
      <c r="AJ174" s="3795"/>
      <c r="AK174" s="3795"/>
      <c r="AL174" s="3795"/>
      <c r="AM174" s="3795"/>
      <c r="AN174" s="3795"/>
      <c r="AO174" s="3795"/>
      <c r="AP174" s="3795"/>
      <c r="AQ174" s="3795"/>
      <c r="AR174" s="3795"/>
      <c r="AS174" s="3795"/>
      <c r="AT174" s="3795"/>
      <c r="AU174" s="3795"/>
      <c r="AV174" s="3795"/>
    </row>
    <row r="175" spans="1:49">
      <c r="A175" s="3795"/>
      <c r="B175" s="3795"/>
      <c r="C175" s="3795"/>
      <c r="D175" s="3795"/>
      <c r="E175" s="3795"/>
      <c r="F175" s="3795"/>
      <c r="G175" s="3795"/>
      <c r="H175" s="3795"/>
      <c r="I175" s="3795"/>
      <c r="J175" s="3795"/>
      <c r="K175" s="3795"/>
      <c r="L175" s="3795"/>
      <c r="M175" s="3795"/>
      <c r="N175" s="3795"/>
      <c r="O175" s="3795"/>
      <c r="P175" s="3795"/>
      <c r="Q175" s="3795"/>
      <c r="R175" s="3795"/>
      <c r="S175" s="3795"/>
      <c r="T175" s="3795"/>
      <c r="U175" s="3795"/>
      <c r="V175" s="3795"/>
      <c r="W175" s="3795"/>
      <c r="X175" s="3795"/>
      <c r="Y175" s="3795"/>
      <c r="Z175" s="3795"/>
      <c r="AA175" s="3795"/>
      <c r="AB175" s="3795"/>
      <c r="AC175" s="3795"/>
      <c r="AD175" s="3795"/>
      <c r="AE175" s="3795"/>
      <c r="AF175" s="3795"/>
      <c r="AG175" s="3795"/>
      <c r="AH175" s="3795"/>
      <c r="AI175" s="3795"/>
      <c r="AJ175" s="3795"/>
      <c r="AK175" s="3795"/>
      <c r="AL175" s="3795"/>
      <c r="AM175" s="3795"/>
      <c r="AN175" s="3795"/>
      <c r="AO175" s="3795"/>
      <c r="AP175" s="3795"/>
      <c r="AQ175" s="3795"/>
      <c r="AR175" s="3795"/>
      <c r="AS175" s="3795"/>
      <c r="AT175" s="3795"/>
      <c r="AU175" s="3795"/>
      <c r="AV175" s="3795"/>
    </row>
    <row r="176" spans="1:49">
      <c r="A176" s="3795"/>
      <c r="B176" s="3795"/>
      <c r="C176" s="3795"/>
      <c r="D176" s="3795"/>
      <c r="E176" s="3795"/>
      <c r="F176" s="3795"/>
      <c r="G176" s="3795"/>
      <c r="H176" s="3795"/>
      <c r="I176" s="3795"/>
      <c r="J176" s="3795"/>
      <c r="K176" s="3795"/>
      <c r="L176" s="3795"/>
      <c r="M176" s="3795"/>
      <c r="N176" s="3795"/>
      <c r="O176" s="3795"/>
      <c r="P176" s="3795"/>
      <c r="Q176" s="3795"/>
      <c r="R176" s="3795"/>
      <c r="S176" s="3795"/>
      <c r="T176" s="3795"/>
      <c r="U176" s="3795"/>
      <c r="V176" s="3795"/>
      <c r="W176" s="3795"/>
      <c r="X176" s="3795"/>
      <c r="Y176" s="3795"/>
      <c r="Z176" s="3795"/>
      <c r="AA176" s="3795"/>
      <c r="AB176" s="3795"/>
      <c r="AC176" s="3795"/>
      <c r="AD176" s="3795"/>
      <c r="AE176" s="3795"/>
      <c r="AF176" s="3795"/>
      <c r="AG176" s="3795"/>
      <c r="AH176" s="3795"/>
      <c r="AI176" s="3795"/>
      <c r="AJ176" s="3795"/>
      <c r="AK176" s="3795"/>
      <c r="AL176" s="3795"/>
      <c r="AM176" s="3795"/>
      <c r="AN176" s="3795"/>
      <c r="AO176" s="3795"/>
      <c r="AP176" s="3795"/>
      <c r="AQ176" s="3795"/>
      <c r="AR176" s="3795"/>
      <c r="AS176" s="3795"/>
      <c r="AT176" s="3795"/>
      <c r="AU176" s="3795"/>
      <c r="AV176" s="3795"/>
    </row>
    <row r="177" spans="1:48">
      <c r="A177" s="3795"/>
      <c r="B177" s="3795"/>
      <c r="C177" s="3795"/>
      <c r="D177" s="3795"/>
      <c r="E177" s="3795"/>
      <c r="F177" s="3795"/>
      <c r="G177" s="3795"/>
      <c r="H177" s="3795"/>
      <c r="I177" s="3795"/>
      <c r="J177" s="3795"/>
      <c r="K177" s="3795"/>
      <c r="L177" s="3795"/>
      <c r="M177" s="3795"/>
      <c r="N177" s="3795"/>
      <c r="O177" s="3795"/>
      <c r="P177" s="3795"/>
      <c r="Q177" s="3795"/>
      <c r="R177" s="3795"/>
      <c r="S177" s="3795"/>
      <c r="T177" s="3795"/>
      <c r="U177" s="3795"/>
      <c r="V177" s="3795"/>
      <c r="W177" s="3795"/>
      <c r="X177" s="3795"/>
      <c r="Y177" s="3795"/>
      <c r="Z177" s="3795"/>
      <c r="AA177" s="3795"/>
      <c r="AB177" s="3795"/>
      <c r="AC177" s="3795"/>
      <c r="AD177" s="3795"/>
      <c r="AE177" s="3795"/>
      <c r="AF177" s="3795"/>
      <c r="AG177" s="3795"/>
      <c r="AH177" s="3795"/>
      <c r="AI177" s="3795"/>
      <c r="AJ177" s="3795"/>
      <c r="AK177" s="3795"/>
      <c r="AL177" s="3795"/>
      <c r="AM177" s="3795"/>
      <c r="AN177" s="3795"/>
      <c r="AO177" s="3795"/>
      <c r="AP177" s="3795"/>
      <c r="AQ177" s="3795"/>
      <c r="AR177" s="3795"/>
      <c r="AS177" s="3795"/>
      <c r="AT177" s="3795"/>
      <c r="AU177" s="3795"/>
      <c r="AV177" s="3795"/>
    </row>
    <row r="178" spans="1:48">
      <c r="A178" s="3795"/>
      <c r="B178" s="3795"/>
      <c r="C178" s="3795"/>
      <c r="D178" s="3795"/>
      <c r="E178" s="3795"/>
      <c r="F178" s="3795"/>
      <c r="G178" s="3795"/>
      <c r="H178" s="3795"/>
      <c r="I178" s="3795"/>
      <c r="J178" s="3795"/>
      <c r="K178" s="3795"/>
      <c r="L178" s="3795"/>
      <c r="M178" s="3795"/>
      <c r="N178" s="3795"/>
      <c r="O178" s="3795"/>
      <c r="P178" s="3795"/>
      <c r="Q178" s="3795"/>
      <c r="R178" s="3795"/>
      <c r="S178" s="3795"/>
      <c r="T178" s="3795"/>
      <c r="U178" s="3795"/>
      <c r="V178" s="3795"/>
      <c r="W178" s="3795"/>
      <c r="X178" s="3795"/>
      <c r="Y178" s="3795"/>
      <c r="Z178" s="3795"/>
      <c r="AA178" s="3795"/>
      <c r="AB178" s="3795"/>
      <c r="AC178" s="3795"/>
      <c r="AD178" s="3795"/>
      <c r="AE178" s="3795"/>
      <c r="AF178" s="3795"/>
      <c r="AG178" s="3795"/>
      <c r="AH178" s="3795"/>
      <c r="AI178" s="3795"/>
      <c r="AJ178" s="3795"/>
      <c r="AK178" s="3795"/>
      <c r="AL178" s="3795"/>
      <c r="AM178" s="3795"/>
      <c r="AN178" s="3795"/>
      <c r="AO178" s="3795"/>
      <c r="AP178" s="3795"/>
      <c r="AQ178" s="3795"/>
      <c r="AR178" s="3795"/>
      <c r="AS178" s="3795"/>
      <c r="AT178" s="3795"/>
      <c r="AU178" s="3795"/>
      <c r="AV178" s="3795"/>
    </row>
    <row r="179" spans="1:48">
      <c r="A179" s="3795"/>
      <c r="B179" s="3795"/>
      <c r="C179" s="3795"/>
      <c r="D179" s="3795"/>
      <c r="E179" s="3795"/>
      <c r="F179" s="3795"/>
      <c r="G179" s="3795"/>
      <c r="H179" s="3795"/>
      <c r="I179" s="3795"/>
      <c r="J179" s="3795"/>
      <c r="K179" s="3795"/>
      <c r="L179" s="3795"/>
      <c r="M179" s="3795"/>
      <c r="N179" s="3795"/>
      <c r="O179" s="3795"/>
      <c r="P179" s="3795"/>
      <c r="Q179" s="3795"/>
      <c r="R179" s="3795"/>
      <c r="S179" s="3795"/>
      <c r="T179" s="3795"/>
      <c r="U179" s="3795"/>
      <c r="V179" s="3795"/>
      <c r="W179" s="3795"/>
      <c r="X179" s="3795"/>
      <c r="Y179" s="3795"/>
      <c r="Z179" s="3795"/>
      <c r="AA179" s="3795"/>
      <c r="AB179" s="3795"/>
      <c r="AC179" s="3795"/>
      <c r="AD179" s="3795"/>
      <c r="AE179" s="3795"/>
      <c r="AF179" s="3795"/>
      <c r="AG179" s="3795"/>
      <c r="AH179" s="3795"/>
      <c r="AI179" s="3795"/>
      <c r="AJ179" s="3795"/>
      <c r="AK179" s="3795"/>
      <c r="AL179" s="3795"/>
      <c r="AM179" s="3795"/>
      <c r="AN179" s="3795"/>
      <c r="AO179" s="3795"/>
      <c r="AP179" s="3795"/>
      <c r="AQ179" s="3795"/>
      <c r="AR179" s="3795"/>
      <c r="AS179" s="3795"/>
      <c r="AT179" s="3795"/>
      <c r="AU179" s="3795"/>
      <c r="AV179" s="3795"/>
    </row>
    <row r="180" spans="1:48">
      <c r="A180" s="3795"/>
      <c r="B180" s="3795"/>
      <c r="C180" s="3795"/>
      <c r="D180" s="3795"/>
      <c r="E180" s="3795"/>
      <c r="F180" s="3795"/>
      <c r="G180" s="3795"/>
      <c r="H180" s="3795"/>
      <c r="I180" s="3795"/>
      <c r="J180" s="3795"/>
      <c r="K180" s="3795"/>
      <c r="L180" s="3795"/>
      <c r="M180" s="3795"/>
      <c r="N180" s="3795"/>
      <c r="O180" s="3795"/>
      <c r="P180" s="3795"/>
      <c r="Q180" s="3795"/>
      <c r="R180" s="3795"/>
      <c r="S180" s="3795"/>
      <c r="T180" s="3795"/>
      <c r="U180" s="3795"/>
      <c r="V180" s="3795"/>
      <c r="W180" s="3795"/>
      <c r="X180" s="3795"/>
      <c r="Y180" s="3795"/>
      <c r="Z180" s="3795"/>
      <c r="AA180" s="3795"/>
      <c r="AB180" s="3795"/>
      <c r="AC180" s="3795"/>
      <c r="AD180" s="3795"/>
      <c r="AE180" s="3795"/>
      <c r="AF180" s="3795"/>
      <c r="AG180" s="3795"/>
      <c r="AH180" s="3795"/>
      <c r="AI180" s="3795"/>
      <c r="AJ180" s="3795"/>
      <c r="AK180" s="3795"/>
      <c r="AL180" s="3795"/>
      <c r="AM180" s="3795"/>
      <c r="AN180" s="3795"/>
      <c r="AO180" s="3795"/>
      <c r="AP180" s="3795"/>
      <c r="AQ180" s="3795"/>
      <c r="AR180" s="3795"/>
      <c r="AS180" s="3795"/>
      <c r="AT180" s="3795"/>
      <c r="AU180" s="3795"/>
      <c r="AV180" s="3795"/>
    </row>
    <row r="181" spans="1:48">
      <c r="A181" s="3795"/>
      <c r="B181" s="3795"/>
      <c r="C181" s="3795"/>
      <c r="D181" s="3795"/>
      <c r="E181" s="3795"/>
      <c r="F181" s="3795"/>
      <c r="G181" s="3795"/>
      <c r="H181" s="3795"/>
      <c r="I181" s="3795"/>
      <c r="J181" s="3795"/>
      <c r="K181" s="3795"/>
      <c r="L181" s="3795"/>
      <c r="M181" s="3795"/>
      <c r="N181" s="3795"/>
      <c r="O181" s="3795"/>
      <c r="P181" s="3795"/>
      <c r="Q181" s="3795"/>
      <c r="R181" s="3795"/>
      <c r="S181" s="3795"/>
      <c r="T181" s="3795"/>
      <c r="U181" s="3795"/>
      <c r="V181" s="3795"/>
      <c r="W181" s="3795"/>
      <c r="X181" s="3795"/>
      <c r="Y181" s="3795"/>
      <c r="Z181" s="3795"/>
      <c r="AA181" s="3795"/>
      <c r="AB181" s="3795"/>
      <c r="AC181" s="3795"/>
      <c r="AD181" s="3795"/>
      <c r="AE181" s="3795"/>
      <c r="AF181" s="3795"/>
      <c r="AG181" s="3795"/>
      <c r="AH181" s="3795"/>
      <c r="AI181" s="3795"/>
      <c r="AJ181" s="3795"/>
      <c r="AK181" s="3795"/>
      <c r="AL181" s="3795"/>
      <c r="AM181" s="3795"/>
      <c r="AN181" s="3795"/>
      <c r="AO181" s="3795"/>
      <c r="AP181" s="3795"/>
      <c r="AQ181" s="3795"/>
      <c r="AR181" s="3795"/>
      <c r="AS181" s="3795"/>
      <c r="AT181" s="3795"/>
      <c r="AU181" s="3795"/>
      <c r="AV181" s="3795"/>
    </row>
    <row r="182" spans="1:48">
      <c r="A182" s="3795"/>
      <c r="B182" s="3795"/>
      <c r="C182" s="3795"/>
      <c r="D182" s="3795"/>
      <c r="E182" s="3795"/>
      <c r="F182" s="3795"/>
      <c r="G182" s="3795"/>
      <c r="H182" s="3795"/>
      <c r="I182" s="3795"/>
      <c r="J182" s="3795"/>
      <c r="K182" s="3795"/>
      <c r="L182" s="3795"/>
      <c r="M182" s="3795"/>
      <c r="N182" s="3795"/>
      <c r="O182" s="3795"/>
      <c r="P182" s="3795"/>
      <c r="Q182" s="3795"/>
      <c r="R182" s="3795"/>
      <c r="S182" s="3795"/>
      <c r="T182" s="3795"/>
      <c r="U182" s="3795"/>
      <c r="V182" s="3795"/>
      <c r="W182" s="3795"/>
      <c r="X182" s="3795"/>
      <c r="Y182" s="3795"/>
      <c r="Z182" s="3795"/>
      <c r="AA182" s="3795"/>
      <c r="AB182" s="3795"/>
      <c r="AC182" s="3795"/>
      <c r="AD182" s="3795"/>
      <c r="AE182" s="3795"/>
      <c r="AF182" s="3795"/>
      <c r="AG182" s="3795"/>
      <c r="AH182" s="3795"/>
      <c r="AI182" s="3795"/>
      <c r="AJ182" s="3795"/>
      <c r="AK182" s="3795"/>
      <c r="AL182" s="3795"/>
      <c r="AM182" s="3795"/>
      <c r="AN182" s="3795"/>
      <c r="AO182" s="3795"/>
      <c r="AP182" s="3795"/>
      <c r="AQ182" s="3795"/>
      <c r="AR182" s="3795"/>
      <c r="AS182" s="3795"/>
      <c r="AT182" s="3795"/>
      <c r="AU182" s="3795"/>
      <c r="AV182" s="3795"/>
    </row>
    <row r="183" spans="1:48">
      <c r="A183" s="3795"/>
      <c r="B183" s="3795"/>
      <c r="C183" s="3795"/>
      <c r="D183" s="3795"/>
      <c r="E183" s="3795"/>
      <c r="F183" s="3795"/>
      <c r="G183" s="3795"/>
      <c r="H183" s="3795"/>
      <c r="I183" s="3795"/>
      <c r="J183" s="3795"/>
      <c r="K183" s="3795"/>
      <c r="L183" s="3795"/>
      <c r="M183" s="3795"/>
      <c r="N183" s="3795"/>
      <c r="O183" s="3795"/>
      <c r="P183" s="3795"/>
      <c r="Q183" s="3795"/>
      <c r="R183" s="3795"/>
      <c r="S183" s="3795"/>
      <c r="T183" s="3795"/>
      <c r="U183" s="3795"/>
      <c r="V183" s="3795"/>
      <c r="W183" s="3795"/>
      <c r="X183" s="3795"/>
      <c r="Y183" s="3795"/>
      <c r="Z183" s="3795"/>
      <c r="AA183" s="3795"/>
      <c r="AB183" s="3795"/>
      <c r="AC183" s="3795"/>
      <c r="AD183" s="3795"/>
      <c r="AE183" s="3795"/>
      <c r="AF183" s="3795"/>
      <c r="AG183" s="3795"/>
      <c r="AH183" s="3795"/>
      <c r="AI183" s="3795"/>
      <c r="AJ183" s="3795"/>
      <c r="AK183" s="3795"/>
      <c r="AL183" s="3795"/>
      <c r="AM183" s="3795"/>
      <c r="AN183" s="3795"/>
      <c r="AO183" s="3795"/>
      <c r="AP183" s="3795"/>
      <c r="AQ183" s="3795"/>
      <c r="AR183" s="3795"/>
      <c r="AS183" s="3795"/>
      <c r="AT183" s="3795"/>
      <c r="AU183" s="3795"/>
      <c r="AV183" s="3795"/>
    </row>
    <row r="184" spans="1:48">
      <c r="A184" s="3795"/>
      <c r="B184" s="3795"/>
      <c r="C184" s="3795"/>
      <c r="D184" s="3795"/>
      <c r="E184" s="3795"/>
      <c r="F184" s="3795"/>
      <c r="G184" s="3795"/>
      <c r="H184" s="3795"/>
      <c r="I184" s="3795"/>
      <c r="J184" s="3795"/>
      <c r="K184" s="3795"/>
      <c r="L184" s="3795"/>
      <c r="M184" s="3795"/>
      <c r="N184" s="3795"/>
      <c r="O184" s="3795"/>
      <c r="P184" s="3795"/>
      <c r="Q184" s="3795"/>
      <c r="R184" s="3795"/>
      <c r="S184" s="3795"/>
      <c r="T184" s="3795"/>
      <c r="U184" s="3795"/>
      <c r="V184" s="3795"/>
      <c r="W184" s="3795"/>
      <c r="X184" s="3795"/>
      <c r="Y184" s="3795"/>
      <c r="Z184" s="3795"/>
      <c r="AA184" s="3795"/>
      <c r="AB184" s="3795"/>
      <c r="AC184" s="3795"/>
      <c r="AD184" s="3795"/>
      <c r="AE184" s="3795"/>
      <c r="AF184" s="3795"/>
      <c r="AG184" s="3795"/>
      <c r="AH184" s="3795"/>
      <c r="AI184" s="3795"/>
      <c r="AJ184" s="3795"/>
      <c r="AK184" s="3795"/>
      <c r="AL184" s="3795"/>
      <c r="AM184" s="3795"/>
      <c r="AN184" s="3795"/>
      <c r="AO184" s="3795"/>
      <c r="AP184" s="3795"/>
      <c r="AQ184" s="3795"/>
      <c r="AR184" s="3795"/>
      <c r="AS184" s="3795"/>
      <c r="AT184" s="3795"/>
      <c r="AU184" s="3795"/>
      <c r="AV184" s="3795"/>
    </row>
    <row r="185" spans="1:48">
      <c r="A185" s="3795"/>
      <c r="B185" s="3795"/>
      <c r="C185" s="3795"/>
      <c r="D185" s="3795"/>
      <c r="E185" s="3795"/>
      <c r="F185" s="3795"/>
      <c r="G185" s="3795"/>
      <c r="H185" s="3795"/>
      <c r="I185" s="3795"/>
      <c r="J185" s="3795"/>
      <c r="K185" s="3795"/>
      <c r="L185" s="3795"/>
      <c r="M185" s="3795"/>
      <c r="N185" s="3795"/>
      <c r="O185" s="3795"/>
      <c r="P185" s="3795"/>
      <c r="Q185" s="3795"/>
      <c r="R185" s="3795"/>
      <c r="S185" s="3795"/>
      <c r="T185" s="3795"/>
      <c r="U185" s="3795"/>
      <c r="V185" s="3795"/>
      <c r="W185" s="3795"/>
      <c r="X185" s="3795"/>
      <c r="Y185" s="3795"/>
      <c r="Z185" s="3795"/>
      <c r="AA185" s="3795"/>
      <c r="AB185" s="3795"/>
      <c r="AC185" s="3795"/>
      <c r="AD185" s="3795"/>
      <c r="AE185" s="3795"/>
      <c r="AF185" s="3795"/>
      <c r="AG185" s="3795"/>
      <c r="AH185" s="3795"/>
      <c r="AI185" s="3795"/>
      <c r="AJ185" s="3795"/>
      <c r="AK185" s="3795"/>
      <c r="AL185" s="3795"/>
      <c r="AM185" s="3795"/>
      <c r="AN185" s="3795"/>
      <c r="AO185" s="3795"/>
      <c r="AP185" s="3795"/>
      <c r="AQ185" s="3795"/>
      <c r="AR185" s="3795"/>
      <c r="AS185" s="3795"/>
      <c r="AT185" s="3795"/>
      <c r="AU185" s="3795"/>
      <c r="AV185" s="3795"/>
    </row>
    <row r="186" spans="1:48">
      <c r="A186" s="3795"/>
      <c r="B186" s="3795"/>
      <c r="C186" s="3795"/>
      <c r="D186" s="3795"/>
      <c r="E186" s="3795"/>
      <c r="F186" s="3795"/>
      <c r="G186" s="3795"/>
      <c r="H186" s="3795"/>
      <c r="I186" s="3795"/>
      <c r="J186" s="3795"/>
      <c r="K186" s="3795"/>
      <c r="L186" s="3795"/>
      <c r="M186" s="3795"/>
      <c r="N186" s="3795"/>
      <c r="O186" s="3795"/>
      <c r="P186" s="3795"/>
      <c r="Q186" s="3795"/>
      <c r="R186" s="3795"/>
      <c r="S186" s="3795"/>
      <c r="T186" s="3795"/>
      <c r="U186" s="3795"/>
      <c r="V186" s="3795"/>
      <c r="W186" s="3795"/>
      <c r="X186" s="3795"/>
      <c r="Y186" s="3795"/>
      <c r="Z186" s="3795"/>
      <c r="AA186" s="3795"/>
      <c r="AB186" s="3795"/>
      <c r="AC186" s="3795"/>
      <c r="AD186" s="3795"/>
      <c r="AE186" s="3795"/>
      <c r="AF186" s="3795"/>
      <c r="AG186" s="3795"/>
      <c r="AH186" s="3795"/>
      <c r="AI186" s="3795"/>
      <c r="AJ186" s="3795"/>
      <c r="AK186" s="3795"/>
      <c r="AL186" s="3795"/>
      <c r="AM186" s="3795"/>
      <c r="AN186" s="3795"/>
      <c r="AO186" s="3795"/>
      <c r="AP186" s="3795"/>
      <c r="AQ186" s="3795"/>
      <c r="AR186" s="3795"/>
      <c r="AS186" s="3795"/>
      <c r="AT186" s="3795"/>
      <c r="AU186" s="3795"/>
      <c r="AV186" s="3795"/>
    </row>
    <row r="187" spans="1:48">
      <c r="A187" s="3796"/>
      <c r="B187" s="3796"/>
      <c r="C187" s="3796"/>
      <c r="D187" s="3796"/>
      <c r="E187" s="3796"/>
      <c r="F187" s="3796"/>
      <c r="G187" s="3796"/>
      <c r="H187" s="3796"/>
      <c r="I187" s="3796"/>
      <c r="J187" s="3796"/>
      <c r="K187" s="3796"/>
      <c r="L187" s="3796"/>
      <c r="M187" s="3796"/>
      <c r="N187" s="3796"/>
      <c r="O187" s="3796"/>
      <c r="P187" s="3796"/>
      <c r="Q187" s="3796"/>
      <c r="R187" s="3796"/>
      <c r="S187" s="3796"/>
      <c r="T187" s="3796"/>
      <c r="U187" s="3796"/>
      <c r="V187" s="3796"/>
      <c r="W187" s="3796"/>
      <c r="X187" s="3796"/>
      <c r="Y187" s="3796"/>
      <c r="Z187" s="3796"/>
      <c r="AA187" s="3796"/>
      <c r="AB187" s="3796"/>
      <c r="AC187" s="3796"/>
      <c r="AD187" s="3796"/>
      <c r="AE187" s="3796"/>
      <c r="AF187" s="3796"/>
      <c r="AG187" s="3796"/>
      <c r="AH187" s="3796"/>
      <c r="AI187" s="3796"/>
      <c r="AJ187" s="3796"/>
      <c r="AK187" s="3796"/>
      <c r="AL187" s="3796"/>
      <c r="AM187" s="3796"/>
      <c r="AN187" s="3796"/>
      <c r="AO187" s="3796"/>
      <c r="AP187" s="3796"/>
      <c r="AQ187" s="3796"/>
      <c r="AR187" s="3796"/>
      <c r="AS187" s="3796"/>
      <c r="AT187" s="3796"/>
      <c r="AU187" s="3796"/>
      <c r="AV187" s="3796"/>
    </row>
    <row r="188" spans="1:48">
      <c r="A188" s="3505" t="s">
        <v>6272</v>
      </c>
      <c r="B188" s="3505"/>
      <c r="C188" s="3505"/>
      <c r="D188" s="3505"/>
      <c r="E188" s="3505"/>
      <c r="F188" s="3505"/>
      <c r="G188" s="3505"/>
      <c r="H188" s="3505"/>
      <c r="I188" s="3505"/>
      <c r="J188" s="3505"/>
      <c r="K188" s="3505"/>
      <c r="L188" s="3505"/>
      <c r="M188" s="3505"/>
      <c r="N188" s="3505"/>
      <c r="O188" s="3505"/>
      <c r="P188" s="3505"/>
      <c r="Q188" s="3505"/>
      <c r="R188" s="3505"/>
      <c r="S188" s="3505"/>
      <c r="T188" s="3505"/>
      <c r="U188" s="3505"/>
      <c r="V188" s="3505"/>
      <c r="W188" s="3505"/>
      <c r="X188" s="3505"/>
      <c r="Y188" s="3505"/>
      <c r="Z188" s="3505"/>
      <c r="AA188" s="3505"/>
      <c r="AB188" s="3505"/>
      <c r="AC188" s="3505"/>
      <c r="AD188" s="3505"/>
      <c r="AE188" s="3505"/>
      <c r="AF188" s="3505"/>
      <c r="AG188" s="3505"/>
      <c r="AH188" s="3505"/>
      <c r="AI188" s="3505"/>
      <c r="AJ188" s="3505"/>
      <c r="AK188" s="3505"/>
      <c r="AL188" s="3505"/>
      <c r="AM188" s="3505"/>
      <c r="AN188" s="3505"/>
      <c r="AO188" s="3505"/>
      <c r="AP188" s="3505"/>
      <c r="AQ188" s="3505"/>
      <c r="AR188" s="3505"/>
      <c r="AS188" s="3505"/>
      <c r="AT188" s="3505"/>
      <c r="AU188" s="3505"/>
      <c r="AV188" s="3505"/>
    </row>
    <row r="189" ht="25.5" customHeight="1" spans="1:48">
      <c r="A189" s="3506" t="s">
        <v>6096</v>
      </c>
      <c r="B189" s="3506"/>
      <c r="C189" s="3797" t="s">
        <v>6097</v>
      </c>
      <c r="D189" s="3507"/>
      <c r="E189" s="3507"/>
      <c r="F189" s="3507"/>
      <c r="G189" s="3507"/>
      <c r="H189" s="3507"/>
      <c r="I189" s="3507"/>
      <c r="J189" s="3507"/>
      <c r="K189" s="3507"/>
      <c r="L189" s="3507"/>
      <c r="M189" s="3507"/>
      <c r="N189" s="3507"/>
      <c r="O189" s="3507"/>
      <c r="P189" s="3507"/>
      <c r="Q189" s="3507"/>
      <c r="R189" s="3507"/>
      <c r="S189" s="3507"/>
      <c r="T189" s="3507"/>
      <c r="U189" s="3507"/>
      <c r="V189" s="3507"/>
      <c r="W189" s="3507"/>
      <c r="X189" s="3507"/>
      <c r="Y189" s="3507"/>
      <c r="Z189" s="3507"/>
      <c r="AA189" s="3507"/>
      <c r="AB189" s="3798" t="s">
        <v>6098</v>
      </c>
      <c r="AC189" s="3799"/>
      <c r="AD189" s="3799"/>
      <c r="AE189" s="3799"/>
      <c r="AF189" s="3799"/>
      <c r="AG189" s="3799"/>
      <c r="AH189" s="3800"/>
      <c r="AI189" s="3510" t="s">
        <v>6273</v>
      </c>
      <c r="AJ189" s="3511"/>
      <c r="AK189" s="3511"/>
      <c r="AL189" s="3511"/>
      <c r="AM189" s="3511"/>
      <c r="AN189" s="3512"/>
      <c r="AO189" s="3510" t="s">
        <v>6100</v>
      </c>
      <c r="AP189" s="3511"/>
      <c r="AQ189" s="3511"/>
      <c r="AR189" s="3511"/>
      <c r="AS189" s="3511"/>
      <c r="AT189" s="3511"/>
      <c r="AU189" s="3511"/>
      <c r="AV189" s="3512"/>
    </row>
    <row r="190" ht="24" customHeight="1" spans="1:48">
      <c r="A190" s="3801" t="s">
        <v>5336</v>
      </c>
      <c r="B190" s="3801" t="s">
        <v>3953</v>
      </c>
      <c r="C190" s="3645" t="s">
        <v>6274</v>
      </c>
      <c r="D190" s="3646"/>
      <c r="E190" s="3646"/>
      <c r="F190" s="3646"/>
      <c r="G190" s="3646"/>
      <c r="H190" s="3646"/>
      <c r="I190" s="3646"/>
      <c r="J190" s="3646"/>
      <c r="K190" s="3646"/>
      <c r="L190" s="3646"/>
      <c r="M190" s="3646"/>
      <c r="N190" s="3646"/>
      <c r="O190" s="3646"/>
      <c r="P190" s="3646"/>
      <c r="Q190" s="3646"/>
      <c r="R190" s="3646"/>
      <c r="S190" s="3646"/>
      <c r="T190" s="3646"/>
      <c r="U190" s="3646"/>
      <c r="V190" s="3646"/>
      <c r="W190" s="3646"/>
      <c r="X190" s="3646"/>
      <c r="Y190" s="3646"/>
      <c r="Z190" s="3646"/>
      <c r="AA190" s="3647"/>
      <c r="AB190" s="3802" t="s">
        <v>6275</v>
      </c>
      <c r="AC190" s="3803"/>
      <c r="AD190" s="3803"/>
      <c r="AE190" s="3803"/>
      <c r="AF190" s="3803"/>
      <c r="AG190" s="3803"/>
      <c r="AH190" s="3804"/>
      <c r="AI190" s="3571" t="s">
        <v>6276</v>
      </c>
      <c r="AJ190" s="3572"/>
      <c r="AK190" s="3572"/>
      <c r="AL190" s="3572"/>
      <c r="AM190" s="3572"/>
      <c r="AN190" s="3573"/>
      <c r="AO190" s="3805">
        <f>ROUND(UnosPod!F453,0)</f>
        <v>0</v>
      </c>
      <c r="AP190" s="3806"/>
      <c r="AQ190" s="3806"/>
      <c r="AR190" s="3806"/>
      <c r="AS190" s="3806"/>
      <c r="AT190" s="3806"/>
      <c r="AU190" s="3806"/>
      <c r="AV190" s="3807"/>
    </row>
    <row r="191" ht="24" customHeight="1" spans="1:48">
      <c r="A191" s="3739" t="s">
        <v>5428</v>
      </c>
      <c r="B191" s="3739" t="s">
        <v>3953</v>
      </c>
      <c r="C191" s="3645" t="s">
        <v>6277</v>
      </c>
      <c r="D191" s="3646"/>
      <c r="E191" s="3646"/>
      <c r="F191" s="3646"/>
      <c r="G191" s="3646"/>
      <c r="H191" s="3646"/>
      <c r="I191" s="3646"/>
      <c r="J191" s="3646"/>
      <c r="K191" s="3646"/>
      <c r="L191" s="3646"/>
      <c r="M191" s="3646"/>
      <c r="N191" s="3646"/>
      <c r="O191" s="3646"/>
      <c r="P191" s="3646"/>
      <c r="Q191" s="3646"/>
      <c r="R191" s="3646"/>
      <c r="S191" s="3646"/>
      <c r="T191" s="3646"/>
      <c r="U191" s="3646"/>
      <c r="V191" s="3646"/>
      <c r="W191" s="3646"/>
      <c r="X191" s="3646"/>
      <c r="Y191" s="3646"/>
      <c r="Z191" s="3646"/>
      <c r="AA191" s="3647"/>
      <c r="AB191" s="3802" t="s">
        <v>6278</v>
      </c>
      <c r="AC191" s="3803"/>
      <c r="AD191" s="3803"/>
      <c r="AE191" s="3803"/>
      <c r="AF191" s="3803"/>
      <c r="AG191" s="3803"/>
      <c r="AH191" s="3804"/>
      <c r="AI191" s="3571" t="s">
        <v>6279</v>
      </c>
      <c r="AJ191" s="3572"/>
      <c r="AK191" s="3572"/>
      <c r="AL191" s="3572"/>
      <c r="AM191" s="3572"/>
      <c r="AN191" s="3573"/>
      <c r="AO191" s="3805">
        <f>ROUND(UnosPod!F452,0)</f>
        <v>0</v>
      </c>
      <c r="AP191" s="3806"/>
      <c r="AQ191" s="3806"/>
      <c r="AR191" s="3806"/>
      <c r="AS191" s="3806"/>
      <c r="AT191" s="3806"/>
      <c r="AU191" s="3806"/>
      <c r="AV191" s="3807"/>
    </row>
    <row r="192" spans="1:48">
      <c r="A192" s="3739" t="s">
        <v>5469</v>
      </c>
      <c r="B192" s="3739" t="s">
        <v>3953</v>
      </c>
      <c r="C192" s="3645" t="s">
        <v>5138</v>
      </c>
      <c r="D192" s="3646"/>
      <c r="E192" s="3646"/>
      <c r="F192" s="3646"/>
      <c r="G192" s="3646"/>
      <c r="H192" s="3646"/>
      <c r="I192" s="3646"/>
      <c r="J192" s="3646"/>
      <c r="K192" s="3646"/>
      <c r="L192" s="3646"/>
      <c r="M192" s="3646"/>
      <c r="N192" s="3646"/>
      <c r="O192" s="3646"/>
      <c r="P192" s="3646"/>
      <c r="Q192" s="3646"/>
      <c r="R192" s="3646"/>
      <c r="S192" s="3646"/>
      <c r="T192" s="3646"/>
      <c r="U192" s="3646"/>
      <c r="V192" s="3646"/>
      <c r="W192" s="3646"/>
      <c r="X192" s="3646"/>
      <c r="Y192" s="3646"/>
      <c r="Z192" s="3646"/>
      <c r="AA192" s="3647"/>
      <c r="AB192" s="3802" t="s">
        <v>6280</v>
      </c>
      <c r="AC192" s="3803"/>
      <c r="AD192" s="3803"/>
      <c r="AE192" s="3803"/>
      <c r="AF192" s="3803"/>
      <c r="AG192" s="3803"/>
      <c r="AH192" s="3804"/>
      <c r="AI192" s="3571">
        <v>271</v>
      </c>
      <c r="AJ192" s="3572"/>
      <c r="AK192" s="3572"/>
      <c r="AL192" s="3572"/>
      <c r="AM192" s="3572"/>
      <c r="AN192" s="3573"/>
      <c r="AO192" s="3805">
        <f>UnosPod!F454</f>
        <v>0</v>
      </c>
      <c r="AP192" s="3806"/>
      <c r="AQ192" s="3806"/>
      <c r="AR192" s="3806"/>
      <c r="AS192" s="3806"/>
      <c r="AT192" s="3806"/>
      <c r="AU192" s="3806"/>
      <c r="AV192" s="3807"/>
    </row>
    <row r="193" spans="1:49">
      <c r="A193" s="3808" t="s">
        <v>5600</v>
      </c>
      <c r="B193" s="3809"/>
      <c r="C193" s="3645" t="s">
        <v>5139</v>
      </c>
      <c r="D193" s="3646"/>
      <c r="E193" s="3646"/>
      <c r="F193" s="3646"/>
      <c r="G193" s="3646"/>
      <c r="H193" s="3646"/>
      <c r="I193" s="3646"/>
      <c r="J193" s="3646"/>
      <c r="K193" s="3646"/>
      <c r="L193" s="3646"/>
      <c r="M193" s="3646"/>
      <c r="N193" s="3646"/>
      <c r="O193" s="3646"/>
      <c r="P193" s="3646"/>
      <c r="Q193" s="3646"/>
      <c r="R193" s="3646"/>
      <c r="S193" s="3646"/>
      <c r="T193" s="3646"/>
      <c r="U193" s="3646"/>
      <c r="V193" s="3646"/>
      <c r="W193" s="3646"/>
      <c r="X193" s="3646"/>
      <c r="Y193" s="3646"/>
      <c r="Z193" s="3646"/>
      <c r="AA193" s="3647"/>
      <c r="AB193" s="3802" t="s">
        <v>6281</v>
      </c>
      <c r="AC193" s="3803"/>
      <c r="AD193" s="3803"/>
      <c r="AE193" s="3803"/>
      <c r="AF193" s="3803"/>
      <c r="AG193" s="3803"/>
      <c r="AH193" s="3804"/>
      <c r="AI193" s="3571">
        <v>484</v>
      </c>
      <c r="AJ193" s="3572"/>
      <c r="AK193" s="3572"/>
      <c r="AL193" s="3572"/>
      <c r="AM193" s="3572"/>
      <c r="AN193" s="3573"/>
      <c r="AO193" s="3805">
        <f>UnosPod!F456</f>
        <v>0</v>
      </c>
      <c r="AP193" s="3806"/>
      <c r="AQ193" s="3806"/>
      <c r="AR193" s="3806"/>
      <c r="AS193" s="3806"/>
      <c r="AT193" s="3806"/>
      <c r="AU193" s="3806"/>
      <c r="AV193" s="3807"/>
    </row>
    <row r="194" spans="1:49">
      <c r="A194" s="3801" t="s">
        <v>5078</v>
      </c>
      <c r="B194" s="3801" t="s">
        <v>3953</v>
      </c>
      <c r="C194" s="3645" t="s">
        <v>6282</v>
      </c>
      <c r="D194" s="3646"/>
      <c r="E194" s="3646"/>
      <c r="F194" s="3646"/>
      <c r="G194" s="3646"/>
      <c r="H194" s="3646"/>
      <c r="I194" s="3646"/>
      <c r="J194" s="3646"/>
      <c r="K194" s="3646"/>
      <c r="L194" s="3646"/>
      <c r="M194" s="3646"/>
      <c r="N194" s="3646"/>
      <c r="O194" s="3646"/>
      <c r="P194" s="3646"/>
      <c r="Q194" s="3646"/>
      <c r="R194" s="3646"/>
      <c r="S194" s="3646"/>
      <c r="T194" s="3646"/>
      <c r="U194" s="3646"/>
      <c r="V194" s="3646"/>
      <c r="W194" s="3646"/>
      <c r="X194" s="3646"/>
      <c r="Y194" s="3646"/>
      <c r="Z194" s="3646"/>
      <c r="AA194" s="3647"/>
      <c r="AB194" s="3802" t="s">
        <v>6283</v>
      </c>
      <c r="AC194" s="3803"/>
      <c r="AD194" s="3803"/>
      <c r="AE194" s="3803"/>
      <c r="AF194" s="3803"/>
      <c r="AG194" s="3803"/>
      <c r="AH194" s="3804"/>
      <c r="AI194" s="3571">
        <v>480</v>
      </c>
      <c r="AJ194" s="3572"/>
      <c r="AK194" s="3572"/>
      <c r="AL194" s="3572"/>
      <c r="AM194" s="3572"/>
      <c r="AN194" s="3573"/>
      <c r="AO194" s="3805">
        <f>UnosPod!F455</f>
        <v>0</v>
      </c>
      <c r="AP194" s="3806"/>
      <c r="AQ194" s="3806"/>
      <c r="AR194" s="3806"/>
      <c r="AS194" s="3806"/>
      <c r="AT194" s="3806"/>
      <c r="AU194" s="3806"/>
      <c r="AV194" s="3807"/>
    </row>
    <row r="195" ht="25.5" customHeight="1" spans="1:49">
      <c r="A195" s="3739" t="s">
        <v>6133</v>
      </c>
      <c r="B195" s="3739" t="s">
        <v>3953</v>
      </c>
      <c r="C195" s="3620" t="s">
        <v>6284</v>
      </c>
      <c r="D195" s="3620"/>
      <c r="E195" s="3620"/>
      <c r="F195" s="3620"/>
      <c r="G195" s="3620"/>
      <c r="H195" s="3620"/>
      <c r="I195" s="3620"/>
      <c r="J195" s="3620"/>
      <c r="K195" s="3620"/>
      <c r="L195" s="3620"/>
      <c r="M195" s="3620"/>
      <c r="N195" s="3620"/>
      <c r="O195" s="3620"/>
      <c r="P195" s="3620"/>
      <c r="Q195" s="3620"/>
      <c r="R195" s="3620"/>
      <c r="S195" s="3620"/>
      <c r="T195" s="3620"/>
      <c r="U195" s="3620"/>
      <c r="V195" s="3620"/>
      <c r="W195" s="3620"/>
      <c r="X195" s="3620"/>
      <c r="Y195" s="3620"/>
      <c r="Z195" s="3620"/>
      <c r="AA195" s="3620"/>
      <c r="AB195" s="3802" t="s">
        <v>6285</v>
      </c>
      <c r="AC195" s="3803"/>
      <c r="AD195" s="3803"/>
      <c r="AE195" s="3803"/>
      <c r="AF195" s="3803"/>
      <c r="AG195" s="3803"/>
      <c r="AH195" s="3804"/>
      <c r="AI195" s="3571" t="s">
        <v>6286</v>
      </c>
      <c r="AJ195" s="3572"/>
      <c r="AK195" s="3572"/>
      <c r="AL195" s="3572"/>
      <c r="AM195" s="3572"/>
      <c r="AN195" s="3573"/>
      <c r="AO195" s="3805">
        <f>UnosPod!F118+UnosPod!F121+UnosPod!F135</f>
        <v>0</v>
      </c>
      <c r="AP195" s="3806"/>
      <c r="AQ195" s="3806"/>
      <c r="AR195" s="3806"/>
      <c r="AS195" s="3806"/>
      <c r="AT195" s="3806"/>
      <c r="AU195" s="3806"/>
      <c r="AV195" s="3807"/>
    </row>
    <row r="196" spans="1:49">
      <c r="A196" s="3739" t="s">
        <v>6137</v>
      </c>
      <c r="B196" s="3739" t="s">
        <v>3953</v>
      </c>
      <c r="C196" s="3620" t="s">
        <v>6287</v>
      </c>
      <c r="D196" s="3620"/>
      <c r="E196" s="3620"/>
      <c r="F196" s="3620"/>
      <c r="G196" s="3620"/>
      <c r="H196" s="3620"/>
      <c r="I196" s="3620"/>
      <c r="J196" s="3620"/>
      <c r="K196" s="3620"/>
      <c r="L196" s="3620"/>
      <c r="M196" s="3620"/>
      <c r="N196" s="3620"/>
      <c r="O196" s="3620"/>
      <c r="P196" s="3620"/>
      <c r="Q196" s="3620"/>
      <c r="R196" s="3620"/>
      <c r="S196" s="3620"/>
      <c r="T196" s="3620"/>
      <c r="U196" s="3620"/>
      <c r="V196" s="3620"/>
      <c r="W196" s="3620"/>
      <c r="X196" s="3620"/>
      <c r="Y196" s="3620"/>
      <c r="Z196" s="3620"/>
      <c r="AA196" s="3620"/>
      <c r="AB196" s="3802" t="s">
        <v>6288</v>
      </c>
      <c r="AC196" s="3803"/>
      <c r="AD196" s="3803"/>
      <c r="AE196" s="3803"/>
      <c r="AF196" s="3803"/>
      <c r="AG196" s="3803"/>
      <c r="AH196" s="3804"/>
      <c r="AI196" s="3571" t="s">
        <v>6289</v>
      </c>
      <c r="AJ196" s="3572"/>
      <c r="AK196" s="3572"/>
      <c r="AL196" s="3572"/>
      <c r="AM196" s="3572"/>
      <c r="AN196" s="3573"/>
      <c r="AO196" s="3805">
        <f>UnosPod!F146+UnosPod!F149</f>
        <v>0</v>
      </c>
      <c r="AP196" s="3806"/>
      <c r="AQ196" s="3806"/>
      <c r="AR196" s="3806"/>
      <c r="AS196" s="3806"/>
      <c r="AT196" s="3806"/>
      <c r="AU196" s="3806"/>
      <c r="AV196" s="3807"/>
    </row>
    <row r="197" spans="1:49">
      <c r="A197" s="3808" t="s">
        <v>6140</v>
      </c>
      <c r="B197" s="3809"/>
      <c r="C197" s="3620" t="s">
        <v>6290</v>
      </c>
      <c r="D197" s="3620"/>
      <c r="E197" s="3620"/>
      <c r="F197" s="3620"/>
      <c r="G197" s="3620"/>
      <c r="H197" s="3620"/>
      <c r="I197" s="3620"/>
      <c r="J197" s="3620"/>
      <c r="K197" s="3620"/>
      <c r="L197" s="3620"/>
      <c r="M197" s="3620"/>
      <c r="N197" s="3620"/>
      <c r="O197" s="3620"/>
      <c r="P197" s="3620"/>
      <c r="Q197" s="3620"/>
      <c r="R197" s="3620"/>
      <c r="S197" s="3620"/>
      <c r="T197" s="3620"/>
      <c r="U197" s="3620"/>
      <c r="V197" s="3620"/>
      <c r="W197" s="3620"/>
      <c r="X197" s="3620"/>
      <c r="Y197" s="3620"/>
      <c r="Z197" s="3620"/>
      <c r="AA197" s="3620"/>
      <c r="AB197" s="3802" t="s">
        <v>6291</v>
      </c>
      <c r="AC197" s="3803"/>
      <c r="AD197" s="3803"/>
      <c r="AE197" s="3803"/>
      <c r="AF197" s="3803"/>
      <c r="AG197" s="3803"/>
      <c r="AH197" s="3804"/>
      <c r="AI197" s="3571" t="s">
        <v>6292</v>
      </c>
      <c r="AJ197" s="3572"/>
      <c r="AK197" s="3572"/>
      <c r="AL197" s="3572"/>
      <c r="AM197" s="3572"/>
      <c r="AN197" s="3573"/>
      <c r="AO197" s="3805">
        <f>UnosPod!F792-AO198</f>
        <v>0</v>
      </c>
      <c r="AP197" s="3806"/>
      <c r="AQ197" s="3806"/>
      <c r="AR197" s="3806"/>
      <c r="AS197" s="3806"/>
      <c r="AT197" s="3806"/>
      <c r="AU197" s="3806"/>
      <c r="AV197" s="3807"/>
    </row>
    <row r="198" spans="1:49">
      <c r="A198" s="3801" t="s">
        <v>6143</v>
      </c>
      <c r="B198" s="3801" t="s">
        <v>3953</v>
      </c>
      <c r="C198" s="3620" t="s">
        <v>6293</v>
      </c>
      <c r="D198" s="3620"/>
      <c r="E198" s="3620"/>
      <c r="F198" s="3620"/>
      <c r="G198" s="3620"/>
      <c r="H198" s="3620"/>
      <c r="I198" s="3620"/>
      <c r="J198" s="3620"/>
      <c r="K198" s="3620"/>
      <c r="L198" s="3620"/>
      <c r="M198" s="3620"/>
      <c r="N198" s="3620"/>
      <c r="O198" s="3620"/>
      <c r="P198" s="3620"/>
      <c r="Q198" s="3620"/>
      <c r="R198" s="3620"/>
      <c r="S198" s="3620"/>
      <c r="T198" s="3620"/>
      <c r="U198" s="3620"/>
      <c r="V198" s="3620"/>
      <c r="W198" s="3620"/>
      <c r="X198" s="3620"/>
      <c r="Y198" s="3620"/>
      <c r="Z198" s="3620"/>
      <c r="AA198" s="3620"/>
      <c r="AB198" s="3802" t="s">
        <v>6294</v>
      </c>
      <c r="AC198" s="3803"/>
      <c r="AD198" s="3803"/>
      <c r="AE198" s="3803"/>
      <c r="AF198" s="3803"/>
      <c r="AG198" s="3803"/>
      <c r="AH198" s="3804"/>
      <c r="AI198" s="3571" t="s">
        <v>6292</v>
      </c>
      <c r="AJ198" s="3572"/>
      <c r="AK198" s="3572"/>
      <c r="AL198" s="3572"/>
      <c r="AM198" s="3572"/>
      <c r="AN198" s="3573"/>
      <c r="AO198" s="3805"/>
      <c r="AP198" s="3806"/>
      <c r="AQ198" s="3806"/>
      <c r="AR198" s="3806"/>
      <c r="AS198" s="3806"/>
      <c r="AT198" s="3806"/>
      <c r="AU198" s="3806"/>
      <c r="AV198" s="3807"/>
    </row>
    <row r="199" spans="1:49">
      <c r="A199" s="3739" t="s">
        <v>301</v>
      </c>
      <c r="B199" s="3739" t="s">
        <v>3953</v>
      </c>
      <c r="C199" s="3620" t="s">
        <v>6295</v>
      </c>
      <c r="D199" s="3620"/>
      <c r="E199" s="3620"/>
      <c r="F199" s="3620"/>
      <c r="G199" s="3620"/>
      <c r="H199" s="3620"/>
      <c r="I199" s="3620"/>
      <c r="J199" s="3620"/>
      <c r="K199" s="3620"/>
      <c r="L199" s="3620"/>
      <c r="M199" s="3620"/>
      <c r="N199" s="3620"/>
      <c r="O199" s="3620"/>
      <c r="P199" s="3620"/>
      <c r="Q199" s="3620"/>
      <c r="R199" s="3620"/>
      <c r="S199" s="3620"/>
      <c r="T199" s="3620"/>
      <c r="U199" s="3620"/>
      <c r="V199" s="3620"/>
      <c r="W199" s="3620"/>
      <c r="X199" s="3620"/>
      <c r="Y199" s="3620"/>
      <c r="Z199" s="3620"/>
      <c r="AA199" s="3620"/>
      <c r="AB199" s="3802" t="s">
        <v>6296</v>
      </c>
      <c r="AC199" s="3803"/>
      <c r="AD199" s="3803"/>
      <c r="AE199" s="3803"/>
      <c r="AF199" s="3803"/>
      <c r="AG199" s="3803"/>
      <c r="AH199" s="3804"/>
      <c r="AI199" s="3571" t="s">
        <v>6297</v>
      </c>
      <c r="AJ199" s="3572"/>
      <c r="AK199" s="3572"/>
      <c r="AL199" s="3572"/>
      <c r="AM199" s="3572"/>
      <c r="AN199" s="3573"/>
      <c r="AO199" s="3805"/>
      <c r="AP199" s="3806"/>
      <c r="AQ199" s="3806"/>
      <c r="AR199" s="3806"/>
      <c r="AS199" s="3806"/>
      <c r="AT199" s="3806"/>
      <c r="AU199" s="3806"/>
      <c r="AV199" s="3807"/>
    </row>
    <row r="200" spans="1:49">
      <c r="A200" s="3739" t="s">
        <v>303</v>
      </c>
      <c r="B200" s="3739" t="s">
        <v>3953</v>
      </c>
      <c r="C200" s="3620" t="s">
        <v>6298</v>
      </c>
      <c r="D200" s="3620"/>
      <c r="E200" s="3620"/>
      <c r="F200" s="3620"/>
      <c r="G200" s="3620"/>
      <c r="H200" s="3620"/>
      <c r="I200" s="3620"/>
      <c r="J200" s="3620"/>
      <c r="K200" s="3620"/>
      <c r="L200" s="3620"/>
      <c r="M200" s="3620"/>
      <c r="N200" s="3620"/>
      <c r="O200" s="3620"/>
      <c r="P200" s="3620"/>
      <c r="Q200" s="3620"/>
      <c r="R200" s="3620"/>
      <c r="S200" s="3620"/>
      <c r="T200" s="3620"/>
      <c r="U200" s="3620"/>
      <c r="V200" s="3620"/>
      <c r="W200" s="3620"/>
      <c r="X200" s="3620"/>
      <c r="Y200" s="3620"/>
      <c r="Z200" s="3620"/>
      <c r="AA200" s="3620"/>
      <c r="AB200" s="3802" t="s">
        <v>6299</v>
      </c>
      <c r="AC200" s="3803"/>
      <c r="AD200" s="3803"/>
      <c r="AE200" s="3803"/>
      <c r="AF200" s="3803"/>
      <c r="AG200" s="3803"/>
      <c r="AH200" s="3804"/>
      <c r="AI200" s="3571">
        <v>651</v>
      </c>
      <c r="AJ200" s="3572"/>
      <c r="AK200" s="3572"/>
      <c r="AL200" s="3572"/>
      <c r="AM200" s="3572"/>
      <c r="AN200" s="3573"/>
      <c r="AO200" s="3805">
        <f>UnosPod!F158</f>
        <v>0</v>
      </c>
      <c r="AP200" s="3806"/>
      <c r="AQ200" s="3806"/>
      <c r="AR200" s="3806"/>
      <c r="AS200" s="3806"/>
      <c r="AT200" s="3806"/>
      <c r="AU200" s="3806"/>
      <c r="AV200" s="3807"/>
    </row>
    <row r="201" spans="1:49">
      <c r="A201" s="3808" t="s">
        <v>305</v>
      </c>
      <c r="B201" s="3809"/>
      <c r="C201" s="3810" t="s">
        <v>6300</v>
      </c>
      <c r="D201" s="3810"/>
      <c r="E201" s="3810"/>
      <c r="F201" s="3810"/>
      <c r="G201" s="3810"/>
      <c r="H201" s="3810"/>
      <c r="I201" s="3810"/>
      <c r="J201" s="3810"/>
      <c r="K201" s="3810"/>
      <c r="L201" s="3810"/>
      <c r="M201" s="3810"/>
      <c r="N201" s="3810"/>
      <c r="O201" s="3810"/>
      <c r="P201" s="3810"/>
      <c r="Q201" s="3810"/>
      <c r="R201" s="3810"/>
      <c r="S201" s="3810"/>
      <c r="T201" s="3810"/>
      <c r="U201" s="3810"/>
      <c r="V201" s="3810"/>
      <c r="W201" s="3810"/>
      <c r="X201" s="3810"/>
      <c r="Y201" s="3810"/>
      <c r="Z201" s="3810"/>
      <c r="AA201" s="3810"/>
      <c r="AB201" s="3802" t="s">
        <v>6301</v>
      </c>
      <c r="AC201" s="3803"/>
      <c r="AD201" s="3803"/>
      <c r="AE201" s="3803"/>
      <c r="AF201" s="3803"/>
      <c r="AG201" s="3803"/>
      <c r="AH201" s="3804"/>
      <c r="AI201" s="3571">
        <v>656</v>
      </c>
      <c r="AJ201" s="3572"/>
      <c r="AK201" s="3572"/>
      <c r="AL201" s="3572"/>
      <c r="AM201" s="3572"/>
      <c r="AN201" s="3573"/>
      <c r="AO201" s="3805">
        <f>UnosPod!F163</f>
        <v>0</v>
      </c>
      <c r="AP201" s="3806"/>
      <c r="AQ201" s="3806"/>
      <c r="AR201" s="3806"/>
      <c r="AS201" s="3806"/>
      <c r="AT201" s="3806"/>
      <c r="AU201" s="3806"/>
      <c r="AV201" s="3807"/>
    </row>
    <row r="202" spans="1:49">
      <c r="A202" s="3801" t="s">
        <v>307</v>
      </c>
      <c r="B202" s="3801" t="s">
        <v>3953</v>
      </c>
      <c r="C202" s="3811" t="s">
        <v>6302</v>
      </c>
      <c r="D202" s="3811"/>
      <c r="E202" s="3811"/>
      <c r="F202" s="3811"/>
      <c r="G202" s="3811"/>
      <c r="H202" s="3811"/>
      <c r="I202" s="3811"/>
      <c r="J202" s="3811"/>
      <c r="K202" s="3811"/>
      <c r="L202" s="3811"/>
      <c r="M202" s="3811"/>
      <c r="N202" s="3811"/>
      <c r="O202" s="3811"/>
      <c r="P202" s="3811"/>
      <c r="Q202" s="3811"/>
      <c r="R202" s="3811"/>
      <c r="S202" s="3811"/>
      <c r="T202" s="3811"/>
      <c r="U202" s="3811"/>
      <c r="V202" s="3811"/>
      <c r="W202" s="3811"/>
      <c r="X202" s="3811"/>
      <c r="Y202" s="3811"/>
      <c r="Z202" s="3811"/>
      <c r="AA202" s="3811"/>
      <c r="AB202" s="3802" t="s">
        <v>6303</v>
      </c>
      <c r="AC202" s="3803"/>
      <c r="AD202" s="3803"/>
      <c r="AE202" s="3803"/>
      <c r="AF202" s="3803"/>
      <c r="AG202" s="3803"/>
      <c r="AH202" s="3804"/>
      <c r="AI202" s="3571">
        <v>654</v>
      </c>
      <c r="AJ202" s="3572"/>
      <c r="AK202" s="3572"/>
      <c r="AL202" s="3572"/>
      <c r="AM202" s="3572"/>
      <c r="AN202" s="3573"/>
      <c r="AO202" s="3805">
        <f>UnosPod!F161</f>
        <v>0</v>
      </c>
      <c r="AP202" s="3806"/>
      <c r="AQ202" s="3806"/>
      <c r="AR202" s="3806"/>
      <c r="AS202" s="3806"/>
      <c r="AT202" s="3806"/>
      <c r="AU202" s="3806"/>
      <c r="AV202" s="3807"/>
    </row>
    <row r="203" ht="25.5" customHeight="1" spans="1:49">
      <c r="A203" s="3739" t="s">
        <v>309</v>
      </c>
      <c r="B203" s="3739" t="s">
        <v>3953</v>
      </c>
      <c r="C203" s="3620" t="s">
        <v>6304</v>
      </c>
      <c r="D203" s="3620"/>
      <c r="E203" s="3620"/>
      <c r="F203" s="3620"/>
      <c r="G203" s="3620"/>
      <c r="H203" s="3620"/>
      <c r="I203" s="3620"/>
      <c r="J203" s="3620"/>
      <c r="K203" s="3620"/>
      <c r="L203" s="3620"/>
      <c r="M203" s="3620"/>
      <c r="N203" s="3620"/>
      <c r="O203" s="3620"/>
      <c r="P203" s="3620"/>
      <c r="Q203" s="3620"/>
      <c r="R203" s="3620"/>
      <c r="S203" s="3620"/>
      <c r="T203" s="3620"/>
      <c r="U203" s="3620"/>
      <c r="V203" s="3620"/>
      <c r="W203" s="3620"/>
      <c r="X203" s="3620"/>
      <c r="Y203" s="3620"/>
      <c r="Z203" s="3620"/>
      <c r="AA203" s="3620"/>
      <c r="AB203" s="3802" t="s">
        <v>6305</v>
      </c>
      <c r="AC203" s="3803"/>
      <c r="AD203" s="3803"/>
      <c r="AE203" s="3803"/>
      <c r="AF203" s="3803"/>
      <c r="AG203" s="3803"/>
      <c r="AH203" s="3804"/>
      <c r="AI203" s="3571" t="s">
        <v>6306</v>
      </c>
      <c r="AJ203" s="3572"/>
      <c r="AK203" s="3572"/>
      <c r="AL203" s="3572"/>
      <c r="AM203" s="3572"/>
      <c r="AN203" s="3573"/>
      <c r="AO203" s="3805">
        <f>UnosPod!F157+UnosPod!F159</f>
        <v>0</v>
      </c>
      <c r="AP203" s="3806"/>
      <c r="AQ203" s="3806"/>
      <c r="AR203" s="3806"/>
      <c r="AS203" s="3806"/>
      <c r="AT203" s="3806"/>
      <c r="AU203" s="3806"/>
      <c r="AV203" s="3807"/>
    </row>
    <row r="204" spans="1:49">
      <c r="A204" s="3739" t="s">
        <v>311</v>
      </c>
      <c r="B204" s="3739" t="s">
        <v>3953</v>
      </c>
      <c r="C204" s="3811" t="s">
        <v>6307</v>
      </c>
      <c r="D204" s="3811"/>
      <c r="E204" s="3811"/>
      <c r="F204" s="3811"/>
      <c r="G204" s="3811"/>
      <c r="H204" s="3811"/>
      <c r="I204" s="3811"/>
      <c r="J204" s="3811"/>
      <c r="K204" s="3811"/>
      <c r="L204" s="3811"/>
      <c r="M204" s="3811"/>
      <c r="N204" s="3811"/>
      <c r="O204" s="3811"/>
      <c r="P204" s="3811"/>
      <c r="Q204" s="3811"/>
      <c r="R204" s="3811"/>
      <c r="S204" s="3811"/>
      <c r="T204" s="3811"/>
      <c r="U204" s="3811"/>
      <c r="V204" s="3811"/>
      <c r="W204" s="3811"/>
      <c r="X204" s="3811"/>
      <c r="Y204" s="3811"/>
      <c r="Z204" s="3811"/>
      <c r="AA204" s="3811"/>
      <c r="AB204" s="3802" t="s">
        <v>6308</v>
      </c>
      <c r="AC204" s="3803"/>
      <c r="AD204" s="3803"/>
      <c r="AE204" s="3803"/>
      <c r="AF204" s="3803"/>
      <c r="AG204" s="3803"/>
      <c r="AH204" s="3804"/>
      <c r="AI204" s="3571" t="s">
        <v>6309</v>
      </c>
      <c r="AJ204" s="3572"/>
      <c r="AK204" s="3572"/>
      <c r="AL204" s="3572"/>
      <c r="AM204" s="3572"/>
      <c r="AN204" s="3573"/>
      <c r="AO204" s="3805">
        <f>UnosPod!F173</f>
        <v>0</v>
      </c>
      <c r="AP204" s="3806"/>
      <c r="AQ204" s="3806"/>
      <c r="AR204" s="3806"/>
      <c r="AS204" s="3806"/>
      <c r="AT204" s="3806"/>
      <c r="AU204" s="3806"/>
      <c r="AV204" s="3807"/>
    </row>
    <row r="205" ht="39" customHeight="1" spans="1:49">
      <c r="A205" s="3808" t="s">
        <v>313</v>
      </c>
      <c r="B205" s="3809"/>
      <c r="C205" s="3642" t="s">
        <v>6310</v>
      </c>
      <c r="D205" s="3643"/>
      <c r="E205" s="3643"/>
      <c r="F205" s="3643"/>
      <c r="G205" s="3643"/>
      <c r="H205" s="3643"/>
      <c r="I205" s="3643"/>
      <c r="J205" s="3643"/>
      <c r="K205" s="3643"/>
      <c r="L205" s="3643"/>
      <c r="M205" s="3643"/>
      <c r="N205" s="3643"/>
      <c r="O205" s="3643"/>
      <c r="P205" s="3643"/>
      <c r="Q205" s="3643"/>
      <c r="R205" s="3643"/>
      <c r="S205" s="3643"/>
      <c r="T205" s="3643"/>
      <c r="U205" s="3643"/>
      <c r="V205" s="3643"/>
      <c r="W205" s="3643"/>
      <c r="X205" s="3643"/>
      <c r="Y205" s="3643"/>
      <c r="Z205" s="3643"/>
      <c r="AA205" s="3644"/>
      <c r="AB205" s="3802" t="s">
        <v>6311</v>
      </c>
      <c r="AC205" s="3803"/>
      <c r="AD205" s="3803"/>
      <c r="AE205" s="3803"/>
      <c r="AF205" s="3803"/>
      <c r="AG205" s="3803"/>
      <c r="AH205" s="3804"/>
      <c r="AI205" s="3571" t="s">
        <v>6312</v>
      </c>
      <c r="AJ205" s="3572"/>
      <c r="AK205" s="3572"/>
      <c r="AL205" s="3572"/>
      <c r="AM205" s="3572"/>
      <c r="AN205" s="3573"/>
      <c r="AO205" s="3805"/>
      <c r="AP205" s="3806"/>
      <c r="AQ205" s="3806"/>
      <c r="AR205" s="3806"/>
      <c r="AS205" s="3806"/>
      <c r="AT205" s="3806"/>
      <c r="AU205" s="3806"/>
      <c r="AV205" s="3807"/>
      <c r="AW205" s="3446"/>
    </row>
    <row r="206" spans="1:49">
      <c r="A206" s="3801" t="s">
        <v>508</v>
      </c>
      <c r="B206" s="3801" t="s">
        <v>3953</v>
      </c>
      <c r="C206" s="3642" t="s">
        <v>6313</v>
      </c>
      <c r="D206" s="3643"/>
      <c r="E206" s="3643"/>
      <c r="F206" s="3643"/>
      <c r="G206" s="3643"/>
      <c r="H206" s="3643"/>
      <c r="I206" s="3643"/>
      <c r="J206" s="3643"/>
      <c r="K206" s="3643"/>
      <c r="L206" s="3643"/>
      <c r="M206" s="3643"/>
      <c r="N206" s="3643"/>
      <c r="O206" s="3643"/>
      <c r="P206" s="3643"/>
      <c r="Q206" s="3643"/>
      <c r="R206" s="3643"/>
      <c r="S206" s="3643"/>
      <c r="T206" s="3643"/>
      <c r="U206" s="3643"/>
      <c r="V206" s="3643"/>
      <c r="W206" s="3643"/>
      <c r="X206" s="3643"/>
      <c r="Y206" s="3643"/>
      <c r="Z206" s="3643"/>
      <c r="AA206" s="3644"/>
      <c r="AB206" s="3802" t="s">
        <v>6314</v>
      </c>
      <c r="AC206" s="3803"/>
      <c r="AD206" s="3803"/>
      <c r="AE206" s="3803"/>
      <c r="AF206" s="3803"/>
      <c r="AG206" s="3803"/>
      <c r="AH206" s="3804"/>
      <c r="AI206" s="3571" t="s">
        <v>6315</v>
      </c>
      <c r="AJ206" s="3572"/>
      <c r="AK206" s="3572"/>
      <c r="AL206" s="3572"/>
      <c r="AM206" s="3572"/>
      <c r="AN206" s="3573"/>
      <c r="AO206" s="3805"/>
      <c r="AP206" s="3806"/>
      <c r="AQ206" s="3806"/>
      <c r="AR206" s="3806"/>
      <c r="AS206" s="3806"/>
      <c r="AT206" s="3806"/>
      <c r="AU206" s="3806"/>
      <c r="AV206" s="3807"/>
    </row>
    <row r="207" spans="1:49">
      <c r="A207" s="3739" t="s">
        <v>522</v>
      </c>
      <c r="B207" s="3739" t="s">
        <v>3953</v>
      </c>
      <c r="C207" s="3620" t="s">
        <v>6316</v>
      </c>
      <c r="D207" s="3620"/>
      <c r="E207" s="3620"/>
      <c r="F207" s="3620"/>
      <c r="G207" s="3620"/>
      <c r="H207" s="3620"/>
      <c r="I207" s="3620"/>
      <c r="J207" s="3620"/>
      <c r="K207" s="3620"/>
      <c r="L207" s="3620"/>
      <c r="M207" s="3620"/>
      <c r="N207" s="3620"/>
      <c r="O207" s="3620"/>
      <c r="P207" s="3620"/>
      <c r="Q207" s="3620"/>
      <c r="R207" s="3620"/>
      <c r="S207" s="3620"/>
      <c r="T207" s="3620"/>
      <c r="U207" s="3620"/>
      <c r="V207" s="3620"/>
      <c r="W207" s="3620"/>
      <c r="X207" s="3620"/>
      <c r="Y207" s="3620"/>
      <c r="Z207" s="3620"/>
      <c r="AA207" s="3620"/>
      <c r="AB207" s="3802" t="s">
        <v>6317</v>
      </c>
      <c r="AC207" s="3803"/>
      <c r="AD207" s="3803"/>
      <c r="AE207" s="3803"/>
      <c r="AF207" s="3803"/>
      <c r="AG207" s="3803"/>
      <c r="AH207" s="3804"/>
      <c r="AI207" s="3571">
        <v>661</v>
      </c>
      <c r="AJ207" s="3572"/>
      <c r="AK207" s="3572"/>
      <c r="AL207" s="3572"/>
      <c r="AM207" s="3572"/>
      <c r="AN207" s="3573"/>
      <c r="AO207" s="3805">
        <f>UnosPod!F167</f>
        <v>1319</v>
      </c>
      <c r="AP207" s="3806"/>
      <c r="AQ207" s="3806"/>
      <c r="AR207" s="3806"/>
      <c r="AS207" s="3806"/>
      <c r="AT207" s="3806"/>
      <c r="AU207" s="3806"/>
      <c r="AV207" s="3807"/>
    </row>
    <row r="208" spans="1:49">
      <c r="A208" s="3739" t="s">
        <v>536</v>
      </c>
      <c r="B208" s="3739" t="s">
        <v>3953</v>
      </c>
      <c r="C208" s="3620" t="s">
        <v>6318</v>
      </c>
      <c r="D208" s="3620"/>
      <c r="E208" s="3620"/>
      <c r="F208" s="3620"/>
      <c r="G208" s="3620"/>
      <c r="H208" s="3620"/>
      <c r="I208" s="3620"/>
      <c r="J208" s="3620"/>
      <c r="K208" s="3620"/>
      <c r="L208" s="3620"/>
      <c r="M208" s="3620"/>
      <c r="N208" s="3620"/>
      <c r="O208" s="3620"/>
      <c r="P208" s="3620"/>
      <c r="Q208" s="3620"/>
      <c r="R208" s="3620"/>
      <c r="S208" s="3620"/>
      <c r="T208" s="3620"/>
      <c r="U208" s="3620"/>
      <c r="V208" s="3620"/>
      <c r="W208" s="3620"/>
      <c r="X208" s="3620"/>
      <c r="Y208" s="3620"/>
      <c r="Z208" s="3620"/>
      <c r="AA208" s="3620"/>
      <c r="AB208" s="3802" t="s">
        <v>6319</v>
      </c>
      <c r="AC208" s="3803"/>
      <c r="AD208" s="3803"/>
      <c r="AE208" s="3803"/>
      <c r="AF208" s="3803"/>
      <c r="AG208" s="3803"/>
      <c r="AH208" s="3804"/>
      <c r="AI208" s="3571">
        <v>561</v>
      </c>
      <c r="AJ208" s="3572"/>
      <c r="AK208" s="3572"/>
      <c r="AL208" s="3572"/>
      <c r="AM208" s="3572"/>
      <c r="AN208" s="3573"/>
      <c r="AO208" s="3805">
        <f>UnosPod!F307</f>
        <v>0</v>
      </c>
      <c r="AP208" s="3806"/>
      <c r="AQ208" s="3806"/>
      <c r="AR208" s="3806"/>
      <c r="AS208" s="3806"/>
      <c r="AT208" s="3806"/>
      <c r="AU208" s="3806"/>
      <c r="AV208" s="3807"/>
    </row>
    <row r="209" ht="25.5" customHeight="1" spans="1:48">
      <c r="A209" s="3739" t="s">
        <v>550</v>
      </c>
      <c r="B209" s="3739" t="s">
        <v>3953</v>
      </c>
      <c r="C209" s="3642" t="s">
        <v>6320</v>
      </c>
      <c r="D209" s="3643"/>
      <c r="E209" s="3643"/>
      <c r="F209" s="3643"/>
      <c r="G209" s="3643"/>
      <c r="H209" s="3643"/>
      <c r="I209" s="3643"/>
      <c r="J209" s="3643"/>
      <c r="K209" s="3643"/>
      <c r="L209" s="3643"/>
      <c r="M209" s="3643"/>
      <c r="N209" s="3643"/>
      <c r="O209" s="3643"/>
      <c r="P209" s="3643"/>
      <c r="Q209" s="3643"/>
      <c r="R209" s="3643"/>
      <c r="S209" s="3643"/>
      <c r="T209" s="3643"/>
      <c r="U209" s="3643"/>
      <c r="V209" s="3643"/>
      <c r="W209" s="3643"/>
      <c r="X209" s="3643"/>
      <c r="Y209" s="3643"/>
      <c r="Z209" s="3643"/>
      <c r="AA209" s="3644"/>
      <c r="AB209" s="3802" t="s">
        <v>6321</v>
      </c>
      <c r="AC209" s="3803"/>
      <c r="AD209" s="3803"/>
      <c r="AE209" s="3803"/>
      <c r="AF209" s="3803"/>
      <c r="AG209" s="3803"/>
      <c r="AH209" s="3804"/>
      <c r="AI209" s="3802" t="s">
        <v>3894</v>
      </c>
      <c r="AJ209" s="3803"/>
      <c r="AK209" s="3803"/>
      <c r="AL209" s="3803"/>
      <c r="AM209" s="3803"/>
      <c r="AN209" s="3804"/>
      <c r="AO209" s="3805">
        <f>UnosPod!F600-UnosPod!M600</f>
        <v>0</v>
      </c>
      <c r="AP209" s="3806"/>
      <c r="AQ209" s="3806"/>
      <c r="AR209" s="3806"/>
      <c r="AS209" s="3806"/>
      <c r="AT209" s="3806"/>
      <c r="AU209" s="3806"/>
      <c r="AV209" s="3807"/>
    </row>
    <row r="210" spans="1:48">
      <c r="A210" s="3812"/>
      <c r="B210" s="3812"/>
      <c r="C210" s="3812"/>
      <c r="D210" s="3812"/>
      <c r="E210" s="3812"/>
      <c r="F210" s="3812"/>
      <c r="G210" s="3812"/>
      <c r="H210" s="3812"/>
      <c r="I210" s="3812"/>
      <c r="J210" s="3812"/>
      <c r="K210" s="3812"/>
      <c r="L210" s="3812"/>
      <c r="M210" s="3812"/>
      <c r="N210" s="3812"/>
      <c r="O210" s="3812"/>
      <c r="P210" s="3812"/>
      <c r="Q210" s="3812"/>
      <c r="R210" s="3812"/>
      <c r="S210" s="3812"/>
      <c r="T210" s="3812"/>
      <c r="U210" s="3812"/>
      <c r="V210" s="3812"/>
      <c r="W210" s="3812"/>
      <c r="X210" s="3812"/>
      <c r="Y210" s="3812"/>
      <c r="Z210" s="3812"/>
      <c r="AA210" s="3812"/>
      <c r="AB210" s="3614"/>
      <c r="AC210" s="3614"/>
      <c r="AD210" s="3614"/>
      <c r="AE210" s="3614"/>
      <c r="AF210" s="3614"/>
      <c r="AG210" s="3614"/>
      <c r="AH210" s="3614"/>
      <c r="AI210" s="3614"/>
      <c r="AJ210" s="3614"/>
      <c r="AK210" s="3614"/>
      <c r="AL210" s="3614"/>
      <c r="AM210" s="3614"/>
      <c r="AN210" s="3614"/>
      <c r="AO210" s="3813"/>
      <c r="AP210" s="3814"/>
      <c r="AQ210" s="3814"/>
      <c r="AR210" s="3814"/>
      <c r="AS210" s="3814"/>
      <c r="AT210" s="3814"/>
      <c r="AU210" s="3814"/>
      <c r="AV210" s="3814"/>
    </row>
    <row r="211" spans="1:48">
      <c r="A211" s="3815"/>
      <c r="B211" s="3815"/>
      <c r="C211" s="3815"/>
      <c r="D211" s="3815"/>
      <c r="E211" s="3815"/>
      <c r="F211" s="3815"/>
      <c r="G211" s="3815"/>
      <c r="H211" s="3815"/>
      <c r="I211" s="3815"/>
      <c r="J211" s="3815"/>
      <c r="K211" s="3815"/>
      <c r="L211" s="3815"/>
      <c r="M211" s="3815"/>
      <c r="N211" s="3815"/>
      <c r="O211" s="3815"/>
      <c r="P211" s="3815"/>
      <c r="Q211" s="3815"/>
      <c r="R211" s="3815"/>
      <c r="S211" s="3815"/>
      <c r="T211" s="3815"/>
      <c r="U211" s="3815"/>
      <c r="V211" s="3815"/>
      <c r="W211" s="3815"/>
      <c r="X211" s="3815"/>
      <c r="Y211" s="3815"/>
      <c r="Z211" s="3815"/>
      <c r="AA211" s="3815"/>
      <c r="AB211" s="3760"/>
      <c r="AC211" s="3760"/>
      <c r="AD211" s="3760"/>
      <c r="AE211" s="3760"/>
      <c r="AF211" s="3760"/>
      <c r="AG211" s="3760"/>
      <c r="AH211" s="3760"/>
      <c r="AI211" s="3760"/>
      <c r="AJ211" s="3760"/>
      <c r="AK211" s="3760"/>
      <c r="AL211" s="3760"/>
      <c r="AM211" s="3760"/>
      <c r="AN211" s="3760"/>
      <c r="AO211" s="3814"/>
      <c r="AP211" s="3814"/>
      <c r="AQ211" s="3814"/>
      <c r="AR211" s="3814"/>
      <c r="AS211" s="3814"/>
      <c r="AT211" s="3814"/>
      <c r="AU211" s="3814"/>
      <c r="AV211" s="3814"/>
    </row>
    <row r="212" spans="1:48">
      <c r="A212" s="3815"/>
      <c r="B212" s="3815"/>
      <c r="C212" s="3815"/>
      <c r="D212" s="3815"/>
      <c r="E212" s="3815"/>
      <c r="F212" s="3815"/>
      <c r="G212" s="3815"/>
      <c r="H212" s="3815"/>
      <c r="I212" s="3815"/>
      <c r="J212" s="3815"/>
      <c r="K212" s="3815"/>
      <c r="L212" s="3815"/>
      <c r="M212" s="3815"/>
      <c r="N212" s="3815"/>
      <c r="O212" s="3815"/>
      <c r="P212" s="3815"/>
      <c r="Q212" s="3815"/>
      <c r="R212" s="3815"/>
      <c r="S212" s="3815"/>
      <c r="T212" s="3815"/>
      <c r="U212" s="3815"/>
      <c r="V212" s="3815"/>
      <c r="W212" s="3815"/>
      <c r="X212" s="3815"/>
      <c r="Y212" s="3815"/>
      <c r="Z212" s="3815"/>
      <c r="AA212" s="3815"/>
      <c r="AB212" s="3760"/>
      <c r="AC212" s="3760"/>
      <c r="AD212" s="3760"/>
      <c r="AE212" s="3760"/>
      <c r="AF212" s="3760"/>
      <c r="AG212" s="3760"/>
      <c r="AH212" s="3760"/>
      <c r="AI212" s="3760"/>
      <c r="AJ212" s="3760"/>
      <c r="AK212" s="3760"/>
      <c r="AL212" s="3760"/>
      <c r="AM212" s="3760"/>
      <c r="AN212" s="3760"/>
      <c r="AO212" s="3814"/>
      <c r="AP212" s="3814"/>
      <c r="AQ212" s="3814"/>
      <c r="AR212" s="3814"/>
      <c r="AS212" s="3814"/>
      <c r="AT212" s="3814"/>
      <c r="AU212" s="3814"/>
      <c r="AV212" s="3814"/>
    </row>
    <row r="213" spans="1:48">
      <c r="A213" s="3505" t="str">
        <f ca="1">"Tabela 8  PODACI ZA PRETHODNU GODINU - "&amp;PoslGod-1</f>
        <v>Tabela 8  PODACI ZA PRETHODNU GODINU - 2024</v>
      </c>
      <c r="B213" s="3505"/>
      <c r="C213" s="3505"/>
      <c r="D213" s="3505"/>
      <c r="E213" s="3505"/>
      <c r="F213" s="3505"/>
      <c r="G213" s="3505"/>
      <c r="H213" s="3505"/>
      <c r="I213" s="3505"/>
      <c r="J213" s="3505"/>
      <c r="K213" s="3505"/>
      <c r="L213" s="3505"/>
      <c r="M213" s="3505"/>
      <c r="N213" s="3505"/>
      <c r="O213" s="3505"/>
      <c r="P213" s="3505"/>
      <c r="Q213" s="3505"/>
      <c r="R213" s="3505"/>
      <c r="S213" s="3505"/>
      <c r="T213" s="3505"/>
      <c r="U213" s="3505"/>
      <c r="V213" s="3505"/>
      <c r="W213" s="3505"/>
      <c r="X213" s="3505"/>
      <c r="Y213" s="3505"/>
      <c r="Z213" s="3505"/>
      <c r="AA213" s="3505"/>
      <c r="AB213" s="3505"/>
      <c r="AC213" s="3505"/>
      <c r="AD213" s="3505"/>
      <c r="AE213" s="3505"/>
      <c r="AF213" s="3505"/>
      <c r="AG213" s="3505"/>
      <c r="AH213" s="3505"/>
      <c r="AI213" s="3505"/>
      <c r="AJ213" s="3505"/>
      <c r="AK213" s="3505"/>
      <c r="AL213" s="3505"/>
      <c r="AM213" s="3505"/>
      <c r="AN213" s="3505"/>
      <c r="AO213" s="3505"/>
      <c r="AP213" s="3460"/>
      <c r="AQ213" s="3460"/>
      <c r="AR213" s="3460"/>
      <c r="AS213" s="3460"/>
      <c r="AT213" s="3460"/>
      <c r="AU213" s="3460"/>
      <c r="AV213" s="3460"/>
    </row>
    <row r="214" spans="1:48">
      <c r="A214" s="3719" t="s">
        <v>6096</v>
      </c>
      <c r="B214" s="3719"/>
      <c r="C214" s="3507" t="s">
        <v>6097</v>
      </c>
      <c r="D214" s="3507"/>
      <c r="E214" s="3507"/>
      <c r="F214" s="3507"/>
      <c r="G214" s="3507"/>
      <c r="H214" s="3507"/>
      <c r="I214" s="3507"/>
      <c r="J214" s="3507"/>
      <c r="K214" s="3507"/>
      <c r="L214" s="3507"/>
      <c r="M214" s="3507"/>
      <c r="N214" s="3507"/>
      <c r="O214" s="3507"/>
      <c r="P214" s="3507"/>
      <c r="Q214" s="3507"/>
      <c r="R214" s="3507"/>
      <c r="S214" s="3507"/>
      <c r="T214" s="3507"/>
      <c r="U214" s="3507"/>
      <c r="V214" s="3507"/>
      <c r="W214" s="3507"/>
      <c r="X214" s="3507"/>
      <c r="Y214" s="3507"/>
      <c r="Z214" s="3507"/>
      <c r="AA214" s="3507"/>
      <c r="AB214" s="3798" t="s">
        <v>6098</v>
      </c>
      <c r="AC214" s="3799"/>
      <c r="AD214" s="3799"/>
      <c r="AE214" s="3799"/>
      <c r="AF214" s="3799"/>
      <c r="AG214" s="3799"/>
      <c r="AH214" s="3800"/>
      <c r="AI214" s="3510" t="s">
        <v>6322</v>
      </c>
      <c r="AJ214" s="3511"/>
      <c r="AK214" s="3511"/>
      <c r="AL214" s="3511"/>
      <c r="AM214" s="3511"/>
      <c r="AN214" s="3511"/>
      <c r="AO214" s="3511"/>
      <c r="AP214" s="3511"/>
      <c r="AQ214" s="3511"/>
      <c r="AR214" s="3511"/>
      <c r="AS214" s="3511"/>
      <c r="AT214" s="3511"/>
      <c r="AU214" s="3511"/>
      <c r="AV214" s="3512"/>
    </row>
    <row r="215" spans="1:48">
      <c r="A215" s="3739" t="s">
        <v>5336</v>
      </c>
      <c r="B215" s="3739" t="s">
        <v>3953</v>
      </c>
      <c r="C215" s="3645" t="s">
        <v>6323</v>
      </c>
      <c r="D215" s="3646"/>
      <c r="E215" s="3646"/>
      <c r="F215" s="3646"/>
      <c r="G215" s="3646"/>
      <c r="H215" s="3646"/>
      <c r="I215" s="3646"/>
      <c r="J215" s="3646"/>
      <c r="K215" s="3646"/>
      <c r="L215" s="3646"/>
      <c r="M215" s="3646"/>
      <c r="N215" s="3646"/>
      <c r="O215" s="3646"/>
      <c r="P215" s="3646"/>
      <c r="Q215" s="3646"/>
      <c r="R215" s="3646"/>
      <c r="S215" s="3646"/>
      <c r="T215" s="3646"/>
      <c r="U215" s="3646"/>
      <c r="V215" s="3646"/>
      <c r="W215" s="3646"/>
      <c r="X215" s="3646"/>
      <c r="Y215" s="3646"/>
      <c r="Z215" s="3646"/>
      <c r="AA215" s="3647"/>
      <c r="AB215" s="3802" t="s">
        <v>6324</v>
      </c>
      <c r="AC215" s="3803"/>
      <c r="AD215" s="3803"/>
      <c r="AE215" s="3803"/>
      <c r="AF215" s="3803"/>
      <c r="AG215" s="3803"/>
      <c r="AH215" s="3804"/>
      <c r="AI215" s="3816">
        <f>P.Podaci!Y44</f>
        <v>6</v>
      </c>
      <c r="AJ215" s="3817"/>
      <c r="AK215" s="3817"/>
      <c r="AL215" s="3817"/>
      <c r="AM215" s="3817"/>
      <c r="AN215" s="3817"/>
      <c r="AO215" s="3817"/>
      <c r="AP215" s="3817"/>
      <c r="AQ215" s="3817"/>
      <c r="AR215" s="3817"/>
      <c r="AS215" s="3817"/>
      <c r="AT215" s="3817"/>
      <c r="AU215" s="3817"/>
      <c r="AV215" s="3818"/>
    </row>
    <row r="216" spans="1:48">
      <c r="A216" s="3739" t="s">
        <v>5428</v>
      </c>
      <c r="B216" s="3739" t="s">
        <v>3953</v>
      </c>
      <c r="C216" s="3645" t="s">
        <v>6325</v>
      </c>
      <c r="D216" s="3646"/>
      <c r="E216" s="3646"/>
      <c r="F216" s="3646"/>
      <c r="G216" s="3646"/>
      <c r="H216" s="3646"/>
      <c r="I216" s="3646"/>
      <c r="J216" s="3646"/>
      <c r="K216" s="3646"/>
      <c r="L216" s="3646"/>
      <c r="M216" s="3646"/>
      <c r="N216" s="3646"/>
      <c r="O216" s="3646"/>
      <c r="P216" s="3646"/>
      <c r="Q216" s="3646"/>
      <c r="R216" s="3646"/>
      <c r="S216" s="3646"/>
      <c r="T216" s="3646"/>
      <c r="U216" s="3646"/>
      <c r="V216" s="3646"/>
      <c r="W216" s="3646"/>
      <c r="X216" s="3646"/>
      <c r="Y216" s="3646"/>
      <c r="Z216" s="3646"/>
      <c r="AA216" s="3647"/>
      <c r="AB216" s="3802" t="s">
        <v>6326</v>
      </c>
      <c r="AC216" s="3803"/>
      <c r="AD216" s="3803"/>
      <c r="AE216" s="3803"/>
      <c r="AF216" s="3803"/>
      <c r="AG216" s="3803"/>
      <c r="AH216" s="3804"/>
      <c r="AI216" s="3819">
        <f>B_Uspjeha!AP21</f>
        <v>308500</v>
      </c>
      <c r="AJ216" s="3820"/>
      <c r="AK216" s="3820"/>
      <c r="AL216" s="3820"/>
      <c r="AM216" s="3820"/>
      <c r="AN216" s="3820"/>
      <c r="AO216" s="3820"/>
      <c r="AP216" s="3820"/>
      <c r="AQ216" s="3820"/>
      <c r="AR216" s="3820"/>
      <c r="AS216" s="3820"/>
      <c r="AT216" s="3820"/>
      <c r="AU216" s="3820"/>
      <c r="AV216" s="3821"/>
    </row>
    <row r="217" spans="1:48">
      <c r="A217" s="3822"/>
      <c r="B217" s="3822"/>
      <c r="C217" s="3823"/>
      <c r="D217" s="3823"/>
      <c r="E217" s="3823"/>
      <c r="F217" s="3823"/>
      <c r="G217" s="3823"/>
      <c r="H217" s="3823"/>
      <c r="I217" s="3823"/>
      <c r="J217" s="3823"/>
      <c r="K217" s="3823"/>
      <c r="L217" s="3823"/>
      <c r="M217" s="3823"/>
      <c r="N217" s="3823"/>
      <c r="O217" s="3823"/>
      <c r="P217" s="3823"/>
      <c r="Q217" s="3823"/>
      <c r="R217" s="3823"/>
      <c r="S217" s="3823"/>
      <c r="T217" s="3823"/>
      <c r="U217" s="3823"/>
      <c r="V217" s="3823"/>
      <c r="W217" s="3823"/>
      <c r="X217" s="3823"/>
      <c r="Y217" s="3823"/>
      <c r="Z217" s="3823"/>
      <c r="AA217" s="3823"/>
      <c r="AB217" s="3760"/>
      <c r="AC217" s="3760"/>
      <c r="AD217" s="3760"/>
      <c r="AE217" s="3760"/>
      <c r="AF217" s="3760"/>
      <c r="AG217" s="3760"/>
      <c r="AH217" s="3760"/>
      <c r="AI217" s="3824"/>
      <c r="AJ217" s="3824"/>
      <c r="AK217" s="3824"/>
      <c r="AL217" s="3824"/>
      <c r="AM217" s="3824"/>
      <c r="AN217" s="3824"/>
      <c r="AO217" s="3824"/>
      <c r="AP217" s="3824"/>
      <c r="AQ217" s="3824"/>
      <c r="AR217" s="3824"/>
      <c r="AS217" s="3824"/>
      <c r="AT217" s="3824"/>
      <c r="AU217" s="3824"/>
      <c r="AV217" s="3824"/>
    </row>
    <row r="218" spans="1:48">
      <c r="A218" s="3814"/>
      <c r="B218" s="3814"/>
      <c r="C218" s="3814"/>
      <c r="D218" s="3825"/>
      <c r="E218" s="3825"/>
      <c r="F218" s="3825"/>
      <c r="G218" s="3825"/>
      <c r="H218" s="3825"/>
      <c r="I218" s="3825"/>
      <c r="J218" s="3825"/>
      <c r="K218" s="3825"/>
      <c r="L218" s="3825"/>
      <c r="M218" s="3825"/>
      <c r="N218" s="3825"/>
      <c r="O218" s="3825"/>
      <c r="P218" s="3825"/>
      <c r="Q218" s="3825"/>
      <c r="R218" s="3825"/>
      <c r="S218" s="3825"/>
      <c r="T218" s="3825"/>
      <c r="U218" s="3825"/>
      <c r="V218" s="3825"/>
      <c r="W218" s="3825"/>
      <c r="X218" s="3825"/>
      <c r="Y218" s="3825"/>
      <c r="Z218" s="3825"/>
      <c r="AA218" s="3825"/>
      <c r="AB218" s="3825"/>
      <c r="AC218" s="3825"/>
      <c r="AD218" s="3825"/>
      <c r="AE218" s="3825"/>
      <c r="AF218" s="3825"/>
      <c r="AG218" s="3825"/>
      <c r="AH218" s="3825"/>
      <c r="AI218" s="3825"/>
      <c r="AJ218" s="3825"/>
      <c r="AK218" s="3825"/>
      <c r="AL218" s="3825"/>
      <c r="AM218" s="3825"/>
      <c r="AN218" s="3825"/>
      <c r="AO218" s="3825"/>
      <c r="AP218" s="3826"/>
      <c r="AQ218" s="3826"/>
      <c r="AR218" s="3826"/>
      <c r="AS218" s="3826"/>
      <c r="AT218" s="3826"/>
      <c r="AU218" s="3826"/>
      <c r="AV218" s="3826"/>
    </row>
    <row r="219" spans="1:48">
      <c r="A219" s="3827" t="s">
        <v>6327</v>
      </c>
      <c r="B219" s="3828"/>
      <c r="C219" s="3828"/>
      <c r="D219" s="3828"/>
      <c r="E219" s="3828"/>
      <c r="F219" s="3828"/>
      <c r="G219" s="3828"/>
      <c r="H219" s="3828"/>
      <c r="I219" s="3828"/>
      <c r="J219" s="3828"/>
      <c r="K219" s="3828"/>
      <c r="L219" s="3828"/>
      <c r="M219" s="3828"/>
      <c r="N219" s="3828"/>
      <c r="O219" s="3828"/>
      <c r="P219" s="3828"/>
      <c r="Q219" s="3828"/>
      <c r="R219" s="3828"/>
      <c r="S219" s="3828"/>
      <c r="T219" s="3828"/>
      <c r="U219" s="3828"/>
      <c r="V219" s="3828"/>
      <c r="W219" s="3460"/>
      <c r="X219" s="3460"/>
      <c r="Y219" s="3460"/>
      <c r="Z219" s="3460"/>
      <c r="AA219" s="3460"/>
      <c r="AB219" s="3460"/>
      <c r="AC219" s="3460"/>
      <c r="AD219" s="3460"/>
      <c r="AE219" s="3460"/>
      <c r="AF219" s="3460"/>
      <c r="AG219" s="3460"/>
      <c r="AH219" s="3460"/>
      <c r="AI219" s="3460"/>
      <c r="AJ219" s="3460"/>
      <c r="AK219" s="3460"/>
      <c r="AL219" s="3460"/>
      <c r="AM219" s="3460"/>
      <c r="AN219" s="3460"/>
      <c r="AO219" s="3460"/>
      <c r="AP219" s="3460"/>
      <c r="AQ219" s="3460"/>
      <c r="AR219" s="3460"/>
      <c r="AS219" s="3460"/>
      <c r="AT219" s="3460"/>
      <c r="AU219" s="3460"/>
      <c r="AV219" s="3460"/>
    </row>
    <row r="220" spans="1:48">
      <c r="A220" s="3827"/>
      <c r="B220" s="3828"/>
      <c r="C220" s="3828"/>
      <c r="D220" s="3828"/>
      <c r="E220" s="3828"/>
      <c r="F220" s="3828"/>
      <c r="G220" s="3828"/>
      <c r="H220" s="3828"/>
      <c r="I220" s="3828"/>
      <c r="J220" s="3828"/>
      <c r="K220" s="3828"/>
      <c r="L220" s="3828"/>
      <c r="M220" s="3828"/>
      <c r="N220" s="3828"/>
      <c r="O220" s="3828"/>
      <c r="P220" s="3828"/>
      <c r="Q220" s="3828"/>
      <c r="R220" s="3828"/>
      <c r="S220" s="3828"/>
      <c r="T220" s="3828"/>
      <c r="U220" s="3828"/>
      <c r="V220" s="3828"/>
      <c r="W220" s="3460"/>
      <c r="X220" s="3460"/>
      <c r="Y220" s="3460"/>
      <c r="Z220" s="3460"/>
      <c r="AA220" s="3460"/>
      <c r="AB220" s="3460"/>
      <c r="AC220" s="3460"/>
      <c r="AD220" s="3460"/>
      <c r="AE220" s="3460"/>
      <c r="AF220" s="3460"/>
      <c r="AG220" s="3460"/>
      <c r="AH220" s="3460"/>
      <c r="AI220" s="3460"/>
      <c r="AJ220" s="3460"/>
      <c r="AK220" s="3460"/>
      <c r="AL220" s="3460"/>
      <c r="AM220" s="3460"/>
      <c r="AN220" s="3460"/>
      <c r="AO220" s="3460"/>
      <c r="AP220" s="3460"/>
      <c r="AQ220" s="3460"/>
      <c r="AR220" s="3460"/>
      <c r="AS220" s="3460"/>
      <c r="AT220" s="3460"/>
      <c r="AU220" s="3460"/>
      <c r="AV220" s="3460"/>
    </row>
    <row r="221" spans="1:48">
      <c r="A221" s="2292" t="s">
        <v>6328</v>
      </c>
      <c r="B221" s="2292"/>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3829">
        <v>0</v>
      </c>
      <c r="AQ221" s="3829">
        <v>0</v>
      </c>
      <c r="AR221" s="3830" t="s">
        <v>6329</v>
      </c>
      <c r="AS221" s="3831"/>
      <c r="AT221" s="3829">
        <v>3</v>
      </c>
      <c r="AU221" s="3829">
        <v>0</v>
      </c>
      <c r="AV221" s="3460"/>
    </row>
    <row r="222" spans="1:48">
      <c r="A222" s="2292"/>
      <c r="B222" s="2292"/>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3761" t="s">
        <v>6330</v>
      </c>
      <c r="AQ222" s="2292"/>
      <c r="AR222" s="2292"/>
      <c r="AS222" s="2292"/>
      <c r="AT222" s="3832" t="s">
        <v>6331</v>
      </c>
      <c r="AU222" s="2292"/>
      <c r="AV222" s="2292"/>
    </row>
    <row r="223" spans="1:48">
      <c r="A223" s="2292" t="s">
        <v>6332</v>
      </c>
      <c r="B223" s="2292"/>
      <c r="C223" s="2292"/>
      <c r="D223" s="2292"/>
      <c r="E223" s="2292"/>
      <c r="F223" s="2292"/>
      <c r="G223" s="2292"/>
      <c r="H223" s="2292"/>
      <c r="I223" s="2292"/>
      <c r="J223" s="2292"/>
      <c r="K223" s="2292"/>
      <c r="L223" s="2292"/>
      <c r="M223" s="2292"/>
      <c r="N223" s="2292"/>
      <c r="O223" s="2292"/>
      <c r="P223" s="2292"/>
      <c r="Q223" s="2292"/>
      <c r="R223" s="3832" t="s">
        <v>6333</v>
      </c>
      <c r="S223" s="2292"/>
      <c r="T223" s="3833"/>
      <c r="U223" s="3834"/>
      <c r="V223" s="2292"/>
      <c r="W223" s="3835" t="str">
        <f>UnosPod!F14</f>
        <v>info@lilium_dzu.ba</v>
      </c>
      <c r="X223" s="3835"/>
      <c r="Y223" s="3835"/>
      <c r="Z223" s="3835"/>
      <c r="AA223" s="3835"/>
      <c r="AB223" s="3835"/>
      <c r="AC223" s="3835"/>
      <c r="AD223" s="3835"/>
      <c r="AE223" s="3835"/>
      <c r="AF223" s="3835"/>
      <c r="AG223" s="3835"/>
      <c r="AH223" s="3835"/>
      <c r="AI223" s="2292"/>
      <c r="AJ223" s="3832" t="s">
        <v>6334</v>
      </c>
      <c r="AK223" s="2292"/>
      <c r="AL223" s="3833"/>
      <c r="AM223" s="3834"/>
      <c r="AN223" s="2292"/>
      <c r="AO223" s="2292"/>
      <c r="AP223" s="2292"/>
      <c r="AQ223" s="2292"/>
      <c r="AR223" s="2292"/>
      <c r="AS223" s="2292"/>
      <c r="AT223" s="2292"/>
      <c r="AU223" s="2292"/>
      <c r="AV223" s="2292"/>
    </row>
    <row r="224" spans="1:48">
      <c r="A224" s="2292"/>
      <c r="B224" s="2292"/>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3836" t="s">
        <v>6335</v>
      </c>
      <c r="X224" s="3836"/>
      <c r="Y224" s="3836"/>
      <c r="Z224" s="3836"/>
      <c r="AA224" s="3836"/>
      <c r="AB224" s="3836"/>
      <c r="AC224" s="3836"/>
      <c r="AD224" s="3836"/>
      <c r="AE224" s="3836"/>
      <c r="AF224" s="3836"/>
      <c r="AG224" s="3836"/>
      <c r="AH224" s="3836"/>
      <c r="AI224" s="2292"/>
      <c r="AJ224" s="2292"/>
      <c r="AK224" s="2292"/>
      <c r="AL224" s="2292"/>
      <c r="AM224" s="2292"/>
      <c r="AN224" s="2292"/>
      <c r="AO224" s="2292"/>
      <c r="AP224" s="3833"/>
      <c r="AQ224" s="3833"/>
      <c r="AR224" s="3833"/>
      <c r="AS224" s="3833"/>
      <c r="AT224" s="3833"/>
      <c r="AU224" s="3833"/>
      <c r="AV224" s="2292"/>
    </row>
    <row r="225" spans="1:49">
      <c r="A225" s="2292" t="s">
        <v>6336</v>
      </c>
      <c r="B225" s="2292"/>
      <c r="C225" s="2292"/>
      <c r="D225" s="2292"/>
      <c r="E225" s="2292"/>
      <c r="F225" s="2292"/>
      <c r="G225" s="2292"/>
      <c r="H225" s="2292"/>
      <c r="I225" s="2292"/>
      <c r="J225" s="2292"/>
      <c r="K225" s="2292"/>
      <c r="L225" s="2292"/>
      <c r="M225" s="2292"/>
      <c r="N225" s="2292"/>
      <c r="O225" s="2292"/>
      <c r="P225" s="2292"/>
      <c r="Q225" s="2292"/>
      <c r="R225" s="3832" t="s">
        <v>6333</v>
      </c>
      <c r="S225" s="2292"/>
      <c r="T225" s="3833"/>
      <c r="U225" s="3834"/>
      <c r="V225" s="2292"/>
      <c r="W225" s="3835" t="str">
        <f>UnosPod!F16</f>
        <v>www.lilium-dzu.ba</v>
      </c>
      <c r="X225" s="3835"/>
      <c r="Y225" s="3835"/>
      <c r="Z225" s="3835"/>
      <c r="AA225" s="3835"/>
      <c r="AB225" s="3835"/>
      <c r="AC225" s="3835"/>
      <c r="AD225" s="3835"/>
      <c r="AE225" s="3835"/>
      <c r="AF225" s="3835"/>
      <c r="AG225" s="3835"/>
      <c r="AH225" s="3835"/>
      <c r="AI225" s="2292"/>
      <c r="AJ225" s="3832" t="s">
        <v>6334</v>
      </c>
      <c r="AK225" s="2292"/>
      <c r="AL225" s="3833"/>
      <c r="AM225" s="3834"/>
      <c r="AN225" s="2292"/>
      <c r="AO225" s="2292"/>
      <c r="AP225" s="2292"/>
      <c r="AQ225" s="2292"/>
      <c r="AR225" s="2292"/>
      <c r="AS225" s="2292"/>
      <c r="AT225" s="2292"/>
      <c r="AU225" s="2292"/>
      <c r="AV225" s="3833"/>
    </row>
    <row r="226" spans="1:49">
      <c r="A226" s="2292"/>
      <c r="B226" s="2292"/>
      <c r="C226" s="2292"/>
      <c r="D226" s="2292"/>
      <c r="E226" s="2292"/>
      <c r="F226" s="2292"/>
      <c r="G226" s="2292"/>
      <c r="H226" s="2292"/>
      <c r="I226" s="2292"/>
      <c r="J226" s="2292"/>
      <c r="K226" s="2292"/>
      <c r="L226" s="2292"/>
      <c r="M226" s="2292"/>
      <c r="N226" s="2292"/>
      <c r="O226" s="2292"/>
      <c r="P226" s="2292"/>
      <c r="Q226" s="2292"/>
      <c r="R226" s="2292"/>
      <c r="S226" s="2292"/>
      <c r="T226" s="2292"/>
      <c r="U226" s="2292"/>
      <c r="V226" s="2292"/>
      <c r="W226" s="3836" t="s">
        <v>6335</v>
      </c>
      <c r="X226" s="3836"/>
      <c r="Y226" s="3836"/>
      <c r="Z226" s="3836"/>
      <c r="AA226" s="3836"/>
      <c r="AB226" s="3836"/>
      <c r="AC226" s="3836"/>
      <c r="AD226" s="3836"/>
      <c r="AE226" s="3836"/>
      <c r="AF226" s="3836"/>
      <c r="AG226" s="3836"/>
      <c r="AH226" s="3836"/>
      <c r="AI226" s="2292"/>
      <c r="AJ226" s="2292"/>
      <c r="AK226" s="2292"/>
      <c r="AL226" s="2292"/>
      <c r="AM226" s="2292"/>
      <c r="AN226" s="2292"/>
      <c r="AO226" s="2292"/>
      <c r="AP226" s="3833"/>
      <c r="AQ226" s="3833"/>
      <c r="AR226" s="3833"/>
      <c r="AS226" s="3833"/>
      <c r="AT226" s="3833"/>
      <c r="AU226" s="3833"/>
      <c r="AV226" s="2292"/>
    </row>
    <row r="227" spans="1:49">
      <c r="A227" s="2292"/>
      <c r="B227" s="2292"/>
      <c r="C227" s="2292"/>
      <c r="D227" s="2292"/>
      <c r="E227" s="2292"/>
      <c r="F227" s="2292"/>
      <c r="G227" s="2292"/>
      <c r="H227" s="2292"/>
      <c r="I227" s="2292"/>
      <c r="J227" s="2292"/>
      <c r="K227" s="2292"/>
      <c r="L227" s="2292"/>
      <c r="M227" s="2292"/>
      <c r="N227" s="2292"/>
      <c r="O227" s="2292"/>
      <c r="P227" s="2292"/>
      <c r="Q227" s="2292"/>
      <c r="R227" s="2292"/>
      <c r="S227" s="2292"/>
      <c r="T227" s="2292"/>
      <c r="U227" s="2292"/>
      <c r="V227" s="2292"/>
      <c r="W227" s="3837"/>
      <c r="X227" s="3837"/>
      <c r="Y227" s="3837"/>
      <c r="Z227" s="3837"/>
      <c r="AA227" s="3837"/>
      <c r="AB227" s="3837"/>
      <c r="AC227" s="3837"/>
      <c r="AD227" s="3837"/>
      <c r="AE227" s="3837"/>
      <c r="AF227" s="3837"/>
      <c r="AG227" s="3837"/>
      <c r="AH227" s="3837"/>
      <c r="AI227" s="2292"/>
      <c r="AJ227" s="2292"/>
      <c r="AK227" s="2292"/>
      <c r="AL227" s="2292"/>
      <c r="AM227" s="2292"/>
      <c r="AN227" s="2292"/>
      <c r="AO227" s="2292"/>
      <c r="AP227" s="3833"/>
      <c r="AQ227" s="3833"/>
      <c r="AR227" s="3833"/>
      <c r="AS227" s="3833"/>
      <c r="AT227" s="3833"/>
      <c r="AU227" s="3833"/>
      <c r="AV227" s="3833"/>
    </row>
    <row r="228" spans="1:49">
      <c r="A228" s="2292" t="s">
        <v>6337</v>
      </c>
      <c r="B228" s="2292"/>
      <c r="C228" s="2292"/>
      <c r="D228" s="2292"/>
      <c r="E228" s="2292"/>
      <c r="F228" s="2292"/>
      <c r="G228" s="2292"/>
      <c r="H228" s="2292"/>
      <c r="I228" s="2292"/>
      <c r="J228" s="2292"/>
      <c r="K228" s="2292"/>
      <c r="L228" s="2292"/>
      <c r="M228" s="2292"/>
      <c r="N228" s="2292"/>
      <c r="O228" s="2292"/>
      <c r="P228" s="2292"/>
      <c r="Q228" s="2292"/>
      <c r="R228" s="2292"/>
      <c r="S228" s="2292"/>
      <c r="T228" s="2292"/>
      <c r="U228" s="2292"/>
      <c r="V228" s="2292"/>
      <c r="W228" s="3837"/>
      <c r="X228" s="3837"/>
      <c r="Y228" s="3837"/>
      <c r="Z228" s="3837"/>
      <c r="AA228" s="3837"/>
      <c r="AB228" s="3837"/>
      <c r="AC228" s="3832"/>
      <c r="AD228" s="3832" t="s">
        <v>6333</v>
      </c>
      <c r="AE228" s="2292"/>
      <c r="AF228" s="3833"/>
      <c r="AG228" s="3834"/>
      <c r="AH228" s="3837"/>
      <c r="AI228" s="2292"/>
      <c r="AJ228" s="3832" t="s">
        <v>6334</v>
      </c>
      <c r="AK228" s="2292"/>
      <c r="AL228" s="3833"/>
      <c r="AM228" s="3829" t="s">
        <v>6338</v>
      </c>
      <c r="AN228" s="2292"/>
      <c r="AO228" s="2292"/>
      <c r="AP228" s="3833"/>
      <c r="AQ228" s="3833"/>
      <c r="AR228" s="3833"/>
      <c r="AS228" s="3833"/>
      <c r="AT228" s="3833"/>
      <c r="AU228" s="3833"/>
      <c r="AV228" s="3833"/>
    </row>
    <row r="229" spans="1:49">
      <c r="A229" s="2292"/>
      <c r="B229" s="2292"/>
      <c r="C229" s="2292"/>
      <c r="D229" s="2292"/>
      <c r="E229" s="2292"/>
      <c r="F229" s="2292"/>
      <c r="G229" s="2292"/>
      <c r="H229" s="2292"/>
      <c r="I229" s="2292"/>
      <c r="J229" s="2292"/>
      <c r="K229" s="2292"/>
      <c r="L229" s="2292"/>
      <c r="M229" s="2292"/>
      <c r="N229" s="2292"/>
      <c r="O229" s="2292"/>
      <c r="P229" s="2292"/>
      <c r="Q229" s="2292"/>
      <c r="R229" s="2292"/>
      <c r="S229" s="2292"/>
      <c r="T229" s="2292"/>
      <c r="U229" s="2292"/>
      <c r="V229" s="2292"/>
      <c r="W229" s="3837"/>
      <c r="X229" s="3837"/>
      <c r="Y229" s="3837"/>
      <c r="Z229" s="3837"/>
      <c r="AA229" s="3837"/>
      <c r="AB229" s="3837"/>
      <c r="AC229" s="3832"/>
      <c r="AD229" s="3832"/>
      <c r="AE229" s="2292"/>
      <c r="AF229" s="3833"/>
      <c r="AG229" s="2292"/>
      <c r="AH229" s="3837"/>
      <c r="AI229" s="2292"/>
      <c r="AJ229" s="3832"/>
      <c r="AK229" s="2292"/>
      <c r="AL229" s="3833"/>
      <c r="AM229" s="2292"/>
      <c r="AN229" s="2292"/>
      <c r="AO229" s="2292"/>
      <c r="AP229" s="3833"/>
      <c r="AQ229" s="3833"/>
      <c r="AR229" s="3833"/>
      <c r="AS229" s="3833"/>
      <c r="AT229" s="3833"/>
      <c r="AU229" s="3833"/>
      <c r="AV229" s="3833"/>
    </row>
    <row r="230" spans="1:49">
      <c r="A230" s="2292"/>
      <c r="B230" s="2292"/>
      <c r="C230" s="2292"/>
      <c r="D230" s="2292"/>
      <c r="E230" s="2292"/>
      <c r="F230" s="2292"/>
      <c r="G230" s="2292"/>
      <c r="H230" s="2292"/>
      <c r="I230" s="2292"/>
      <c r="J230" s="2292"/>
      <c r="K230" s="2292"/>
      <c r="L230" s="2292"/>
      <c r="M230" s="2292"/>
      <c r="N230" s="3837"/>
      <c r="O230" s="3837"/>
      <c r="P230" s="3837"/>
      <c r="Q230" s="3837"/>
      <c r="R230" s="3837"/>
      <c r="S230" s="3837"/>
      <c r="T230" s="3837"/>
      <c r="U230" s="3837"/>
      <c r="V230" s="3837"/>
      <c r="W230" s="3837"/>
      <c r="X230" s="3837"/>
      <c r="Y230" s="3837"/>
      <c r="AS230" s="2292"/>
      <c r="AT230" s="2292"/>
      <c r="AU230" s="2292"/>
      <c r="AV230" s="2292"/>
    </row>
    <row r="231" spans="1:49">
      <c r="A231" s="3838" t="s">
        <v>6339</v>
      </c>
      <c r="B231" s="2292"/>
      <c r="C231" s="2292"/>
      <c r="D231" s="2292"/>
      <c r="E231" s="2292"/>
      <c r="F231" s="2292"/>
      <c r="G231" s="2292"/>
      <c r="H231" s="2292"/>
      <c r="I231" s="2292"/>
      <c r="J231" s="2292"/>
      <c r="K231" s="2292"/>
      <c r="L231" s="2292"/>
      <c r="M231" s="2292"/>
      <c r="N231" s="2292"/>
      <c r="O231" s="2292"/>
      <c r="P231" s="2292"/>
      <c r="Q231" s="2292"/>
      <c r="R231" s="2292"/>
      <c r="S231" s="2292"/>
      <c r="T231" s="2292"/>
      <c r="U231" s="2292"/>
      <c r="V231" s="2292"/>
      <c r="W231" s="2292"/>
      <c r="X231" s="2292"/>
      <c r="Y231" s="2292"/>
      <c r="Z231" s="2292"/>
      <c r="AA231" s="2292"/>
      <c r="AB231" s="2292"/>
      <c r="AC231" s="2292"/>
      <c r="AD231" s="2292"/>
      <c r="AE231" s="2292"/>
      <c r="AF231" s="2292"/>
      <c r="AG231" s="3839"/>
      <c r="AH231" s="3832"/>
      <c r="AI231" s="3832"/>
      <c r="AJ231" s="3832"/>
      <c r="AK231" s="2292"/>
      <c r="AL231" s="2292"/>
      <c r="AM231" s="2292"/>
      <c r="AN231" s="2292"/>
      <c r="AO231" s="2292"/>
      <c r="AP231" s="2292"/>
      <c r="AQ231" s="2292"/>
      <c r="AR231" s="2292"/>
      <c r="AS231" s="2292"/>
      <c r="AT231" s="2292"/>
      <c r="AU231" s="2292"/>
      <c r="AV231" s="2292"/>
    </row>
    <row r="232" spans="1:49">
      <c r="A232" s="3840" t="s">
        <v>6340</v>
      </c>
      <c r="B232" s="3460"/>
      <c r="C232" s="3460"/>
      <c r="D232" s="3460"/>
      <c r="E232" s="3460"/>
      <c r="F232" s="3460"/>
      <c r="G232" s="3460"/>
      <c r="H232" s="3460"/>
      <c r="I232" s="3460"/>
      <c r="J232" s="3460"/>
      <c r="K232" s="3460"/>
      <c r="L232" s="3460"/>
      <c r="M232" s="3460"/>
      <c r="N232" s="3460"/>
      <c r="O232" s="3460"/>
      <c r="P232" s="3460"/>
      <c r="Q232" s="3460"/>
      <c r="R232" s="3460"/>
      <c r="S232" s="3460"/>
      <c r="T232" s="3460"/>
      <c r="U232" s="3460"/>
      <c r="V232" s="3460"/>
      <c r="W232" s="3460"/>
      <c r="X232" s="3460"/>
      <c r="Y232" s="3460"/>
      <c r="Z232" s="3460"/>
      <c r="AA232" s="3460"/>
      <c r="AB232" s="3460"/>
      <c r="AC232" s="3460"/>
      <c r="AD232" s="3460"/>
      <c r="AE232" s="3460"/>
      <c r="AF232" s="3460"/>
      <c r="AG232" s="3841"/>
      <c r="AH232" s="2292"/>
      <c r="AI232" s="2292"/>
      <c r="AJ232" s="2292"/>
      <c r="AK232" s="2292"/>
      <c r="AL232" s="2292"/>
      <c r="AM232" s="2292"/>
      <c r="AN232" s="2292"/>
      <c r="AO232" s="2292"/>
      <c r="AP232" s="2292"/>
      <c r="AQ232" s="2292"/>
      <c r="AR232" s="2292"/>
      <c r="AS232" s="2292"/>
      <c r="AT232" s="2292"/>
      <c r="AU232" s="2292"/>
      <c r="AV232" s="2292"/>
      <c r="AW232" s="3460"/>
    </row>
    <row r="233" spans="1:49">
      <c r="A233" s="3842"/>
      <c r="B233" s="3445"/>
      <c r="C233" s="3445"/>
      <c r="D233" s="3445"/>
      <c r="E233" s="3445"/>
      <c r="F233" s="3445"/>
      <c r="G233" s="3445"/>
      <c r="H233" s="3445"/>
      <c r="I233" s="3445"/>
      <c r="J233" s="3445"/>
      <c r="K233" s="3445"/>
      <c r="L233" s="3445"/>
      <c r="M233" s="3445"/>
      <c r="N233" s="3445"/>
      <c r="O233" s="3445"/>
      <c r="P233" s="3445"/>
      <c r="Q233" s="3445"/>
      <c r="R233" s="3445"/>
      <c r="S233" s="3445"/>
      <c r="T233" s="3445"/>
      <c r="U233" s="3445"/>
      <c r="V233" s="3445"/>
      <c r="W233" s="3445"/>
      <c r="X233" s="3445"/>
      <c r="Y233" s="3445"/>
      <c r="Z233" s="3445"/>
      <c r="AA233" s="3445"/>
      <c r="AB233" s="3445"/>
      <c r="AC233" s="3445"/>
      <c r="AD233" s="3445"/>
      <c r="AE233" s="3445"/>
      <c r="AF233" s="3445"/>
      <c r="AG233" s="3839"/>
      <c r="AH233" s="3832"/>
      <c r="AI233" s="3832"/>
      <c r="AJ233" s="3832"/>
      <c r="AK233" s="2292"/>
      <c r="AL233" s="2292"/>
      <c r="AM233" s="2292"/>
      <c r="AN233" s="2292"/>
      <c r="AO233" s="2292"/>
      <c r="AP233" s="2292"/>
      <c r="AQ233" s="2292"/>
      <c r="AR233" s="2292"/>
      <c r="AS233" s="2292"/>
      <c r="AT233" s="2292"/>
      <c r="AU233" s="2292"/>
      <c r="AV233" s="2292"/>
    </row>
    <row r="234" spans="1:49">
      <c r="A234" s="3843"/>
      <c r="B234" s="2297"/>
      <c r="C234" s="2297"/>
      <c r="D234" s="2297"/>
      <c r="E234" s="2297"/>
      <c r="F234" s="2297"/>
      <c r="G234" s="2297"/>
      <c r="H234" s="2297"/>
      <c r="I234" s="2297"/>
      <c r="J234" s="2297"/>
      <c r="K234" s="2297"/>
      <c r="L234" s="2297"/>
      <c r="M234" s="2297"/>
      <c r="N234" s="2297"/>
      <c r="O234" s="2297"/>
      <c r="P234" s="2297"/>
      <c r="Q234" s="2297"/>
      <c r="R234" s="2297"/>
      <c r="S234" s="2297"/>
      <c r="T234" s="2297"/>
      <c r="U234" s="2297"/>
      <c r="V234" s="2297"/>
      <c r="W234" s="2297"/>
      <c r="X234" s="2297"/>
      <c r="Y234" s="2297"/>
      <c r="Z234" s="2297"/>
      <c r="AA234" s="2297"/>
      <c r="AB234" s="2297"/>
      <c r="AC234" s="2297"/>
      <c r="AD234" s="2297"/>
      <c r="AE234" s="2297"/>
      <c r="AF234" s="2297"/>
      <c r="AG234" s="2297"/>
      <c r="AH234" s="2297"/>
      <c r="AI234" s="2297"/>
      <c r="AJ234" s="2297"/>
      <c r="AK234" s="2297"/>
      <c r="AL234" s="2297"/>
      <c r="AM234" s="2297"/>
      <c r="AN234" s="2297"/>
      <c r="AO234" s="2297"/>
      <c r="AP234" s="2297"/>
      <c r="AQ234" s="2297"/>
      <c r="AR234" s="2297"/>
      <c r="AS234" s="2297"/>
      <c r="AT234" s="2297"/>
      <c r="AU234" s="3844"/>
    </row>
    <row r="235" spans="1:49">
      <c r="A235" s="3845"/>
      <c r="AU235" s="2190"/>
    </row>
    <row r="236" spans="1:49">
      <c r="A236" s="3845"/>
      <c r="AU236" s="2190"/>
    </row>
    <row r="237" spans="1:49">
      <c r="A237" s="3845"/>
      <c r="AU237" s="2190"/>
    </row>
    <row r="238" spans="1:49">
      <c r="A238" s="3845"/>
      <c r="AU238" s="2190"/>
    </row>
    <row r="239" spans="1:49">
      <c r="A239" s="3845"/>
      <c r="AU239" s="2190"/>
    </row>
    <row r="240" spans="1:49">
      <c r="A240" s="3846"/>
      <c r="B240" s="2211"/>
      <c r="C240" s="2211"/>
      <c r="D240" s="2211"/>
      <c r="E240" s="2211"/>
      <c r="F240" s="2211"/>
      <c r="G240" s="2211"/>
      <c r="H240" s="2211"/>
      <c r="I240" s="2211"/>
      <c r="J240" s="2211"/>
      <c r="K240" s="2211"/>
      <c r="L240" s="2211"/>
      <c r="M240" s="2211"/>
      <c r="N240" s="2211"/>
      <c r="O240" s="2211"/>
      <c r="P240" s="2211"/>
      <c r="Q240" s="2211"/>
      <c r="R240" s="2211"/>
      <c r="S240" s="2211"/>
      <c r="T240" s="2211"/>
      <c r="U240" s="2211"/>
      <c r="V240" s="2211"/>
      <c r="W240" s="2211"/>
      <c r="X240" s="2211"/>
      <c r="Y240" s="2211"/>
      <c r="Z240" s="2211"/>
      <c r="AA240" s="2211"/>
      <c r="AB240" s="2211"/>
      <c r="AC240" s="2211"/>
      <c r="AD240" s="2211"/>
      <c r="AE240" s="2211"/>
      <c r="AF240" s="2211"/>
      <c r="AG240" s="2211"/>
      <c r="AH240" s="2211"/>
      <c r="AI240" s="2211"/>
      <c r="AJ240" s="2211"/>
      <c r="AK240" s="2211"/>
      <c r="AL240" s="2211"/>
      <c r="AM240" s="2211"/>
      <c r="AN240" s="2211"/>
      <c r="AO240" s="2211"/>
      <c r="AP240" s="2211"/>
      <c r="AQ240" s="2211"/>
      <c r="AR240" s="2211"/>
      <c r="AS240" s="2211"/>
      <c r="AT240" s="2211"/>
      <c r="AU240" s="2212"/>
    </row>
    <row r="242" spans="1:49">
      <c r="A242" s="2292" t="s">
        <v>6341</v>
      </c>
      <c r="B242" s="2292"/>
      <c r="C242" s="2292"/>
      <c r="D242" s="2292"/>
      <c r="E242" s="2292"/>
      <c r="F242" s="2292"/>
      <c r="G242" s="2292"/>
      <c r="H242" s="2292"/>
      <c r="I242" s="2292"/>
      <c r="J242" s="2292"/>
      <c r="K242" s="2292"/>
      <c r="L242" s="2292"/>
      <c r="M242" s="2292"/>
      <c r="N242" s="2292"/>
      <c r="O242" s="2292"/>
      <c r="P242" s="2292"/>
      <c r="Q242" s="3847"/>
      <c r="R242" s="3847"/>
      <c r="S242" s="3847"/>
      <c r="T242" s="3847"/>
      <c r="V242" s="3848"/>
      <c r="W242" s="3849" t="str">
        <f>Racunovoda</f>
        <v>Elvira Žilić</v>
      </c>
      <c r="X242" s="3849"/>
      <c r="Y242" s="3849"/>
      <c r="Z242" s="3849"/>
      <c r="AA242" s="3849"/>
      <c r="AB242" s="3849"/>
      <c r="AC242" s="3849"/>
      <c r="AD242" s="3849"/>
      <c r="AE242" s="3849"/>
      <c r="AF242" s="3849"/>
      <c r="AG242" s="3849"/>
      <c r="AH242" s="3849"/>
      <c r="AI242" s="3849"/>
      <c r="AK242" s="3832" t="s">
        <v>6342</v>
      </c>
      <c r="AL242" s="2292" t="s">
        <v>6343</v>
      </c>
      <c r="AM242" s="3832"/>
      <c r="AN242" s="3832"/>
      <c r="AO242" s="2292"/>
      <c r="AP242" s="3850" t="str">
        <f>UnosPod!AL3</f>
        <v>061/599-615</v>
      </c>
      <c r="AQ242" s="3848"/>
      <c r="AR242" s="3848"/>
      <c r="AS242" s="3848"/>
      <c r="AT242" s="3848"/>
      <c r="AU242" s="3848"/>
      <c r="AV242" s="2292"/>
    </row>
    <row r="243" spans="1:49">
      <c r="A243" s="2292"/>
      <c r="B243" s="2292"/>
      <c r="C243" s="2292"/>
      <c r="D243" s="2292"/>
      <c r="E243" s="2292"/>
      <c r="F243" s="2292"/>
      <c r="G243" s="2292"/>
      <c r="H243" s="2292"/>
      <c r="I243" s="2292"/>
      <c r="J243" s="2292"/>
      <c r="K243" s="2292"/>
      <c r="L243" s="2292"/>
      <c r="U243" s="2292"/>
      <c r="V243" s="2292"/>
      <c r="W243" s="2292"/>
      <c r="X243" s="2292"/>
      <c r="Y243" s="3847"/>
      <c r="Z243" s="3837" t="s">
        <v>6344</v>
      </c>
      <c r="AA243" s="3837"/>
      <c r="AB243" s="3836"/>
      <c r="AC243" s="3836"/>
      <c r="AD243" s="3836"/>
      <c r="AE243" s="3836"/>
      <c r="AF243" s="3836"/>
      <c r="AG243" s="3836"/>
      <c r="AH243" s="3836"/>
      <c r="AI243" s="3836"/>
      <c r="AK243" s="3832"/>
      <c r="AL243" s="3832"/>
      <c r="AM243" s="3832"/>
      <c r="AN243" s="3832"/>
      <c r="AO243" s="2292"/>
      <c r="AP243" s="3851"/>
      <c r="AQ243" s="3851"/>
      <c r="AR243" s="3851"/>
      <c r="AS243" s="3851"/>
      <c r="AT243" s="3851"/>
      <c r="AU243" s="3851"/>
      <c r="AV243" s="2292"/>
    </row>
    <row r="244" ht="17.25" customHeight="1" spans="1:49">
      <c r="A244" s="3460" t="s">
        <v>6345</v>
      </c>
      <c r="B244" s="3460"/>
      <c r="C244" s="3460"/>
      <c r="D244" s="3460"/>
      <c r="E244" s="3460"/>
      <c r="F244" s="3460"/>
      <c r="G244" s="3460"/>
      <c r="H244" s="3460"/>
      <c r="I244" s="3460"/>
      <c r="J244" s="3460"/>
      <c r="K244" s="3460"/>
      <c r="L244" s="3460"/>
      <c r="M244" s="3460"/>
      <c r="N244" s="3460"/>
      <c r="O244" s="3460"/>
      <c r="P244" s="3460"/>
      <c r="Q244" s="3852"/>
      <c r="R244" s="3852"/>
      <c r="S244" s="3852"/>
      <c r="T244" s="3852"/>
      <c r="U244" s="3852"/>
      <c r="V244" s="3852"/>
      <c r="W244" s="3853"/>
      <c r="X244" s="3853"/>
      <c r="Y244" s="3853"/>
      <c r="Z244" s="3853"/>
      <c r="AA244" s="3853"/>
      <c r="AB244" s="3853"/>
      <c r="AC244" s="3853"/>
      <c r="AD244" s="3853"/>
      <c r="AE244" s="3853"/>
      <c r="AF244" s="3853"/>
      <c r="AG244" s="3853"/>
      <c r="AH244" s="3853"/>
      <c r="AI244" s="3853"/>
      <c r="AK244" s="3445" t="s">
        <v>6346</v>
      </c>
      <c r="AL244" s="3460" t="s">
        <v>6343</v>
      </c>
      <c r="AM244" s="3445"/>
      <c r="AN244" s="3445"/>
      <c r="AO244" s="3460"/>
      <c r="AP244" s="3854" t="str">
        <f>UnosPod!F15</f>
        <v>033/953-480</v>
      </c>
      <c r="AQ244" s="3855"/>
      <c r="AR244" s="3855"/>
      <c r="AS244" s="3855"/>
      <c r="AT244" s="3855"/>
      <c r="AU244" s="3855"/>
    </row>
    <row r="245" spans="1:49">
      <c r="A245" s="2292"/>
      <c r="B245" s="2292"/>
      <c r="C245" s="2292"/>
      <c r="D245" s="2292"/>
      <c r="E245" s="2292"/>
      <c r="F245" s="2292"/>
      <c r="G245" s="2292"/>
      <c r="H245" s="2292"/>
      <c r="I245" s="2292"/>
      <c r="J245" s="2292"/>
      <c r="K245" s="2292"/>
      <c r="L245" s="2292"/>
      <c r="M245" s="2292"/>
      <c r="N245" s="2292"/>
      <c r="O245" s="2292"/>
      <c r="P245" s="2292"/>
      <c r="Q245" s="2292"/>
      <c r="R245" s="2292"/>
      <c r="S245" s="2292"/>
      <c r="T245" s="2292"/>
      <c r="U245" s="2292"/>
      <c r="V245" s="2292"/>
      <c r="W245" s="2292"/>
      <c r="X245" s="2292"/>
      <c r="Y245" s="2292"/>
      <c r="Z245" s="2292"/>
      <c r="AA245" s="2292"/>
      <c r="AB245" s="2292"/>
      <c r="AC245" s="2292"/>
      <c r="AD245" s="2292"/>
      <c r="AE245" s="2292"/>
      <c r="AF245" s="2292"/>
      <c r="AG245" s="2292"/>
      <c r="AH245" s="2292"/>
      <c r="AI245" s="3856" t="str">
        <f>Direktor</f>
        <v>Nedim Vilogorac</v>
      </c>
      <c r="AJ245" s="3832"/>
      <c r="AK245" s="2292"/>
      <c r="AL245" s="3851"/>
      <c r="AM245" s="3851"/>
      <c r="AN245" s="3851"/>
      <c r="AO245" s="3851"/>
      <c r="AP245" s="3851"/>
      <c r="AQ245" s="3851"/>
      <c r="AR245" s="3851"/>
      <c r="AS245" s="3851"/>
      <c r="AT245" s="3851"/>
      <c r="AV245" s="3833"/>
    </row>
    <row r="246" spans="1:49">
      <c r="A246" s="2292" t="s">
        <v>6347</v>
      </c>
      <c r="B246" s="2292"/>
      <c r="C246" s="2292"/>
      <c r="D246" s="2292"/>
      <c r="E246" s="3857">
        <f ca="1">UnosPod!AA5</f>
        <v>46120.4752662037</v>
      </c>
      <c r="F246" s="3857"/>
      <c r="G246" s="3857"/>
      <c r="H246" s="3857"/>
      <c r="I246" s="3857"/>
      <c r="J246" s="3857"/>
      <c r="K246" s="3857"/>
      <c r="L246" s="3857"/>
      <c r="M246" s="3857"/>
      <c r="AH246" s="3833"/>
      <c r="AI246" s="3446"/>
      <c r="AJ246" s="3446"/>
      <c r="AK246" s="3446"/>
      <c r="AL246" s="3446"/>
      <c r="AM246" s="3446"/>
      <c r="AN246" s="3446"/>
      <c r="AO246" s="3446"/>
      <c r="AP246" s="3446"/>
      <c r="AQ246" s="3446"/>
      <c r="AR246" s="3446"/>
      <c r="AS246" s="3446"/>
      <c r="AT246" s="3446"/>
      <c r="AU246" s="3446"/>
      <c r="AV246" s="3833"/>
    </row>
    <row r="247" spans="1:49">
      <c r="A247" s="2292"/>
      <c r="B247" s="2292"/>
      <c r="C247" s="2292"/>
      <c r="D247" s="2292"/>
      <c r="E247" s="2292"/>
      <c r="F247" s="2292"/>
      <c r="G247" s="2292"/>
      <c r="H247" s="2292"/>
      <c r="I247" s="2292"/>
      <c r="J247" s="2292"/>
      <c r="K247" s="2292"/>
      <c r="L247" s="2292"/>
      <c r="M247" s="3446"/>
      <c r="Y247" s="3858" t="s">
        <v>6348</v>
      </c>
      <c r="AH247" s="3833"/>
      <c r="AI247" s="2292"/>
      <c r="AJ247" s="2292"/>
      <c r="AK247" s="2292"/>
      <c r="AL247" s="2292"/>
      <c r="AM247" s="2292"/>
      <c r="AN247" s="2292"/>
      <c r="AO247" s="2292"/>
      <c r="AP247" s="2292"/>
      <c r="AQ247" s="2292"/>
      <c r="AR247" s="2292"/>
      <c r="AS247" s="2292"/>
      <c r="AT247" s="2292"/>
      <c r="AU247" s="2292"/>
      <c r="AV247" s="3833"/>
    </row>
    <row r="255" spans="1:49">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row>
    <row r="256" spans="1:49">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row>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sheetData>
  <mergeCells count="541">
    <mergeCell ref="G2:S2"/>
    <mergeCell ref="G3:S3"/>
    <mergeCell ref="AJ3:AV3"/>
    <mergeCell ref="G4:S4"/>
    <mergeCell ref="AJ4:AV4"/>
    <mergeCell ref="G5:S5"/>
    <mergeCell ref="A7:AV7"/>
    <mergeCell ref="A8:AV8"/>
    <mergeCell ref="A9:AV9"/>
    <mergeCell ref="AP42:AV42"/>
    <mergeCell ref="AR46:AU46"/>
    <mergeCell ref="AR48:AU48"/>
    <mergeCell ref="AR50:AU50"/>
    <mergeCell ref="AT53:AU53"/>
    <mergeCell ref="AR60:AU60"/>
    <mergeCell ref="A64:AN64"/>
    <mergeCell ref="A71:AN71"/>
    <mergeCell ref="A72:B72"/>
    <mergeCell ref="C72:AD72"/>
    <mergeCell ref="AE72:AJ72"/>
    <mergeCell ref="AK72:AN72"/>
    <mergeCell ref="AO72:AV72"/>
    <mergeCell ref="A73:B73"/>
    <mergeCell ref="C73:AD73"/>
    <mergeCell ref="AE73:AJ73"/>
    <mergeCell ref="AK73:AN73"/>
    <mergeCell ref="AO73:AV73"/>
    <mergeCell ref="A74:B74"/>
    <mergeCell ref="C74:AD74"/>
    <mergeCell ref="AE74:AJ74"/>
    <mergeCell ref="AK74:AN74"/>
    <mergeCell ref="AO74:AV74"/>
    <mergeCell ref="A75:B75"/>
    <mergeCell ref="C75:AD75"/>
    <mergeCell ref="AE75:AJ75"/>
    <mergeCell ref="AK75:AN75"/>
    <mergeCell ref="AO75:AV75"/>
    <mergeCell ref="A76:B76"/>
    <mergeCell ref="C76:AD76"/>
    <mergeCell ref="AE76:AJ76"/>
    <mergeCell ref="AK76:AN76"/>
    <mergeCell ref="AO76:AV76"/>
    <mergeCell ref="A77:B77"/>
    <mergeCell ref="C77:AD77"/>
    <mergeCell ref="AE77:AJ77"/>
    <mergeCell ref="AK77:AN77"/>
    <mergeCell ref="AO77:AV77"/>
    <mergeCell ref="A78:B78"/>
    <mergeCell ref="C78:AD78"/>
    <mergeCell ref="AE78:AJ78"/>
    <mergeCell ref="AK78:AN78"/>
    <mergeCell ref="AO78:AV78"/>
    <mergeCell ref="A79:B79"/>
    <mergeCell ref="C79:AD79"/>
    <mergeCell ref="AE79:AJ79"/>
    <mergeCell ref="AK79:AN79"/>
    <mergeCell ref="AO79:AV79"/>
    <mergeCell ref="A80:B80"/>
    <mergeCell ref="C80:AD80"/>
    <mergeCell ref="AE80:AJ80"/>
    <mergeCell ref="AK80:AN80"/>
    <mergeCell ref="AO80:AV80"/>
    <mergeCell ref="A81:B81"/>
    <mergeCell ref="C81:AD81"/>
    <mergeCell ref="AE81:AJ81"/>
    <mergeCell ref="AK81:AN81"/>
    <mergeCell ref="AO81:AV81"/>
    <mergeCell ref="A82:B82"/>
    <mergeCell ref="C82:AD82"/>
    <mergeCell ref="AE82:AJ82"/>
    <mergeCell ref="AK82:AN82"/>
    <mergeCell ref="AO82:AV82"/>
    <mergeCell ref="A83:B83"/>
    <mergeCell ref="C83:AD83"/>
    <mergeCell ref="AE83:AJ83"/>
    <mergeCell ref="AK83:AN83"/>
    <mergeCell ref="AO83:AV83"/>
    <mergeCell ref="A84:B84"/>
    <mergeCell ref="C84:AD84"/>
    <mergeCell ref="AE84:AJ84"/>
    <mergeCell ref="AK84:AN84"/>
    <mergeCell ref="AO84:AV84"/>
    <mergeCell ref="A85:AV85"/>
    <mergeCell ref="A88:AN88"/>
    <mergeCell ref="A91:B91"/>
    <mergeCell ref="C91:AD91"/>
    <mergeCell ref="AE91:AJ91"/>
    <mergeCell ref="AK91:AN91"/>
    <mergeCell ref="AO91:AV91"/>
    <mergeCell ref="A92:B92"/>
    <mergeCell ref="C92:AD92"/>
    <mergeCell ref="AE92:AJ92"/>
    <mergeCell ref="AK92:AN92"/>
    <mergeCell ref="AO92:AV92"/>
    <mergeCell ref="A93:B93"/>
    <mergeCell ref="C93:AD93"/>
    <mergeCell ref="AE93:AJ93"/>
    <mergeCell ref="AK93:AN93"/>
    <mergeCell ref="AO93:AV93"/>
    <mergeCell ref="A94:B94"/>
    <mergeCell ref="C94:AD94"/>
    <mergeCell ref="AE94:AJ94"/>
    <mergeCell ref="AK94:AN94"/>
    <mergeCell ref="AO94:AV94"/>
    <mergeCell ref="A95:B95"/>
    <mergeCell ref="C95:AD95"/>
    <mergeCell ref="AE95:AJ95"/>
    <mergeCell ref="AK95:AN95"/>
    <mergeCell ref="AO95:AV95"/>
    <mergeCell ref="A96:B96"/>
    <mergeCell ref="C96:AD96"/>
    <mergeCell ref="AE96:AJ96"/>
    <mergeCell ref="AK96:AN96"/>
    <mergeCell ref="AO96:AV96"/>
    <mergeCell ref="A97:B97"/>
    <mergeCell ref="C97:AD97"/>
    <mergeCell ref="AE97:AJ97"/>
    <mergeCell ref="AK97:AN97"/>
    <mergeCell ref="AO97:AV97"/>
    <mergeCell ref="A98:B98"/>
    <mergeCell ref="C98:AD98"/>
    <mergeCell ref="AE98:AJ98"/>
    <mergeCell ref="AK98:AN98"/>
    <mergeCell ref="AO98:AV98"/>
    <mergeCell ref="A99:B99"/>
    <mergeCell ref="C99:AD99"/>
    <mergeCell ref="AE99:AJ99"/>
    <mergeCell ref="AK99:AN99"/>
    <mergeCell ref="AO99:AV99"/>
    <mergeCell ref="A100:B100"/>
    <mergeCell ref="C100:AD100"/>
    <mergeCell ref="AE100:AJ100"/>
    <mergeCell ref="AK100:AN100"/>
    <mergeCell ref="AO100:AV100"/>
    <mergeCell ref="A101:B101"/>
    <mergeCell ref="C101:AD101"/>
    <mergeCell ref="AE101:AJ101"/>
    <mergeCell ref="AK101:AN101"/>
    <mergeCell ref="AO101:AV101"/>
    <mergeCell ref="A102:B102"/>
    <mergeCell ref="C102:AD102"/>
    <mergeCell ref="AE102:AJ102"/>
    <mergeCell ref="AK102:AN102"/>
    <mergeCell ref="AO102:AV102"/>
    <mergeCell ref="A103:B103"/>
    <mergeCell ref="C103:AD103"/>
    <mergeCell ref="AE103:AJ103"/>
    <mergeCell ref="AK103:AN103"/>
    <mergeCell ref="AO103:AV103"/>
    <mergeCell ref="A104:B104"/>
    <mergeCell ref="C104:AD104"/>
    <mergeCell ref="AE104:AJ104"/>
    <mergeCell ref="AK104:AN104"/>
    <mergeCell ref="AO104:AV104"/>
    <mergeCell ref="A105:B105"/>
    <mergeCell ref="C105:AD105"/>
    <mergeCell ref="AE105:AJ105"/>
    <mergeCell ref="AK105:AN105"/>
    <mergeCell ref="AO105:AV105"/>
    <mergeCell ref="A106:B106"/>
    <mergeCell ref="C106:AD106"/>
    <mergeCell ref="AE106:AJ106"/>
    <mergeCell ref="AK106:AN106"/>
    <mergeCell ref="AO106:AV106"/>
    <mergeCell ref="A107:B107"/>
    <mergeCell ref="C107:AD107"/>
    <mergeCell ref="AE107:AJ107"/>
    <mergeCell ref="AK107:AN107"/>
    <mergeCell ref="AO107:AV107"/>
    <mergeCell ref="A108:B108"/>
    <mergeCell ref="C108:AD108"/>
    <mergeCell ref="AE108:AJ108"/>
    <mergeCell ref="AK108:AN108"/>
    <mergeCell ref="AO108:AV108"/>
    <mergeCell ref="A109:B109"/>
    <mergeCell ref="C109:AD109"/>
    <mergeCell ref="AE109:AJ109"/>
    <mergeCell ref="AK109:AN109"/>
    <mergeCell ref="AO109:AV109"/>
    <mergeCell ref="A110:B110"/>
    <mergeCell ref="C110:AD110"/>
    <mergeCell ref="AE110:AJ110"/>
    <mergeCell ref="AK110:AN110"/>
    <mergeCell ref="AO110:AV110"/>
    <mergeCell ref="A111:B111"/>
    <mergeCell ref="C111:AD111"/>
    <mergeCell ref="AE111:AJ111"/>
    <mergeCell ref="AK111:AN111"/>
    <mergeCell ref="AO111:AV111"/>
    <mergeCell ref="A112:B112"/>
    <mergeCell ref="C112:AD112"/>
    <mergeCell ref="AE112:AJ112"/>
    <mergeCell ref="AK112:AN112"/>
    <mergeCell ref="AO112:AV112"/>
    <mergeCell ref="A113:B113"/>
    <mergeCell ref="C113:AD113"/>
    <mergeCell ref="AE113:AJ113"/>
    <mergeCell ref="AK113:AN113"/>
    <mergeCell ref="AO113:AV113"/>
    <mergeCell ref="A114:B114"/>
    <mergeCell ref="C114:AD114"/>
    <mergeCell ref="AE114:AJ114"/>
    <mergeCell ref="AK114:AN114"/>
    <mergeCell ref="AO114:AV114"/>
    <mergeCell ref="A115:B115"/>
    <mergeCell ref="C115:AD115"/>
    <mergeCell ref="AE115:AJ115"/>
    <mergeCell ref="AK115:AN115"/>
    <mergeCell ref="AO115:AV115"/>
    <mergeCell ref="A116:B116"/>
    <mergeCell ref="C116:AD116"/>
    <mergeCell ref="AE116:AJ116"/>
    <mergeCell ref="AK116:AN116"/>
    <mergeCell ref="AO116:AV116"/>
    <mergeCell ref="A117:B117"/>
    <mergeCell ref="C117:AD117"/>
    <mergeCell ref="AE117:AJ117"/>
    <mergeCell ref="AK117:AN117"/>
    <mergeCell ref="AO117:AV117"/>
    <mergeCell ref="A118:B118"/>
    <mergeCell ref="C118:AD118"/>
    <mergeCell ref="AE118:AJ118"/>
    <mergeCell ref="AK118:AN118"/>
    <mergeCell ref="AO118:AV118"/>
    <mergeCell ref="A119:B119"/>
    <mergeCell ref="C119:AD119"/>
    <mergeCell ref="AE119:AJ119"/>
    <mergeCell ref="AK119:AN119"/>
    <mergeCell ref="AO119:AV119"/>
    <mergeCell ref="A120:B120"/>
    <mergeCell ref="C120:AD120"/>
    <mergeCell ref="AE120:AJ120"/>
    <mergeCell ref="AK120:AN120"/>
    <mergeCell ref="AO120:AV120"/>
    <mergeCell ref="A121:B121"/>
    <mergeCell ref="C121:AD121"/>
    <mergeCell ref="AE121:AJ121"/>
    <mergeCell ref="AK121:AN121"/>
    <mergeCell ref="AO121:AV121"/>
    <mergeCell ref="A122:B122"/>
    <mergeCell ref="C122:AD122"/>
    <mergeCell ref="AE122:AJ122"/>
    <mergeCell ref="AK122:AN122"/>
    <mergeCell ref="AO122:AV122"/>
    <mergeCell ref="A123:B123"/>
    <mergeCell ref="C123:AD123"/>
    <mergeCell ref="AE123:AJ123"/>
    <mergeCell ref="AK123:AN123"/>
    <mergeCell ref="AO123:AV123"/>
    <mergeCell ref="A124:B124"/>
    <mergeCell ref="C124:AD124"/>
    <mergeCell ref="AE124:AJ124"/>
    <mergeCell ref="AK124:AN124"/>
    <mergeCell ref="AO124:AV124"/>
    <mergeCell ref="A125:B125"/>
    <mergeCell ref="C125:AD125"/>
    <mergeCell ref="AE125:AJ125"/>
    <mergeCell ref="AK125:AN125"/>
    <mergeCell ref="AO125:AV125"/>
    <mergeCell ref="A126:AV126"/>
    <mergeCell ref="AI130:AV130"/>
    <mergeCell ref="A131:B131"/>
    <mergeCell ref="C131:W131"/>
    <mergeCell ref="X131:AC131"/>
    <mergeCell ref="AD131:AH131"/>
    <mergeCell ref="AI131:AN131"/>
    <mergeCell ref="AO131:AV131"/>
    <mergeCell ref="A132:B132"/>
    <mergeCell ref="C132:W132"/>
    <mergeCell ref="X132:AC132"/>
    <mergeCell ref="AD132:AH132"/>
    <mergeCell ref="AJ132:AN132"/>
    <mergeCell ref="AP132:AV132"/>
    <mergeCell ref="A133:B133"/>
    <mergeCell ref="C133:W133"/>
    <mergeCell ref="X133:AC133"/>
    <mergeCell ref="AD133:AH133"/>
    <mergeCell ref="AJ133:AN133"/>
    <mergeCell ref="AP133:AV133"/>
    <mergeCell ref="A134:B134"/>
    <mergeCell ref="C134:W134"/>
    <mergeCell ref="X134:AC134"/>
    <mergeCell ref="AD134:AH134"/>
    <mergeCell ref="AJ134:AN134"/>
    <mergeCell ref="AP134:AV134"/>
    <mergeCell ref="A135:B135"/>
    <mergeCell ref="C135:W135"/>
    <mergeCell ref="X135:AC135"/>
    <mergeCell ref="AD135:AH135"/>
    <mergeCell ref="AJ135:AN135"/>
    <mergeCell ref="AP135:AV135"/>
    <mergeCell ref="A136:B136"/>
    <mergeCell ref="C136:W136"/>
    <mergeCell ref="X136:AC136"/>
    <mergeCell ref="AD136:AH136"/>
    <mergeCell ref="AJ136:AN136"/>
    <mergeCell ref="AP136:AV136"/>
    <mergeCell ref="A137:Q137"/>
    <mergeCell ref="A141:AB141"/>
    <mergeCell ref="AC142:AN142"/>
    <mergeCell ref="AC143:AH143"/>
    <mergeCell ref="AI143:AN143"/>
    <mergeCell ref="A144:B144"/>
    <mergeCell ref="C144:W144"/>
    <mergeCell ref="X144:AB144"/>
    <mergeCell ref="AD144:AH144"/>
    <mergeCell ref="AJ144:AN144"/>
    <mergeCell ref="AP144:AV144"/>
    <mergeCell ref="A145:B145"/>
    <mergeCell ref="C145:W145"/>
    <mergeCell ref="X145:AB145"/>
    <mergeCell ref="AD145:AH145"/>
    <mergeCell ref="AJ145:AN145"/>
    <mergeCell ref="AP145:AV145"/>
    <mergeCell ref="A146:B146"/>
    <mergeCell ref="C146:W146"/>
    <mergeCell ref="X146:AB146"/>
    <mergeCell ref="AD146:AH146"/>
    <mergeCell ref="AJ146:AN146"/>
    <mergeCell ref="AP146:AV146"/>
    <mergeCell ref="A147:B147"/>
    <mergeCell ref="C147:W147"/>
    <mergeCell ref="X147:AB147"/>
    <mergeCell ref="AD147:AH147"/>
    <mergeCell ref="AJ147:AN147"/>
    <mergeCell ref="AP147:AV147"/>
    <mergeCell ref="A148:B148"/>
    <mergeCell ref="C148:W148"/>
    <mergeCell ref="X148:AB148"/>
    <mergeCell ref="AD148:AH148"/>
    <mergeCell ref="AJ148:AN148"/>
    <mergeCell ref="AP148:AV148"/>
    <mergeCell ref="A149:B149"/>
    <mergeCell ref="C149:W149"/>
    <mergeCell ref="X149:AB149"/>
    <mergeCell ref="AD149:AH149"/>
    <mergeCell ref="AJ149:AN149"/>
    <mergeCell ref="AP149:AV149"/>
    <mergeCell ref="A151:AV151"/>
    <mergeCell ref="A154:AO154"/>
    <mergeCell ref="A157:B157"/>
    <mergeCell ref="C157:W157"/>
    <mergeCell ref="X157:AC157"/>
    <mergeCell ref="AE157:AH157"/>
    <mergeCell ref="AJ157:AN157"/>
    <mergeCell ref="AP157:AV157"/>
    <mergeCell ref="A158:B158"/>
    <mergeCell ref="C158:W158"/>
    <mergeCell ref="X158:AC158"/>
    <mergeCell ref="AE158:AH158"/>
    <mergeCell ref="AJ158:AN158"/>
    <mergeCell ref="AP158:AV158"/>
    <mergeCell ref="A159:B159"/>
    <mergeCell ref="C159:W159"/>
    <mergeCell ref="X159:AC159"/>
    <mergeCell ref="AE159:AH159"/>
    <mergeCell ref="AJ159:AN159"/>
    <mergeCell ref="AP159:AV159"/>
    <mergeCell ref="A162:AU162"/>
    <mergeCell ref="A163:B163"/>
    <mergeCell ref="C163:AH163"/>
    <mergeCell ref="AI163:AN163"/>
    <mergeCell ref="AO163:AV163"/>
    <mergeCell ref="A164:B164"/>
    <mergeCell ref="C164:AH164"/>
    <mergeCell ref="AI164:AN164"/>
    <mergeCell ref="AO164:AV164"/>
    <mergeCell ref="A165:B165"/>
    <mergeCell ref="C165:AH165"/>
    <mergeCell ref="AI165:AN165"/>
    <mergeCell ref="AO165:AV165"/>
    <mergeCell ref="A166:B166"/>
    <mergeCell ref="C166:AH166"/>
    <mergeCell ref="AI166:AN166"/>
    <mergeCell ref="AO166:AV166"/>
    <mergeCell ref="A167:B167"/>
    <mergeCell ref="C167:AH167"/>
    <mergeCell ref="AI167:AN167"/>
    <mergeCell ref="AO167:AV167"/>
    <mergeCell ref="A168:B168"/>
    <mergeCell ref="C168:AH168"/>
    <mergeCell ref="AI168:AN168"/>
    <mergeCell ref="AO168:AV168"/>
    <mergeCell ref="A169:B169"/>
    <mergeCell ref="C169:AH169"/>
    <mergeCell ref="AI169:AN169"/>
    <mergeCell ref="AO169:AV169"/>
    <mergeCell ref="A170:B170"/>
    <mergeCell ref="C170:AH170"/>
    <mergeCell ref="AI170:AN170"/>
    <mergeCell ref="AO170:AV170"/>
    <mergeCell ref="A171:B171"/>
    <mergeCell ref="C171:AH171"/>
    <mergeCell ref="AI171:AN171"/>
    <mergeCell ref="AO171:AV171"/>
    <mergeCell ref="A173:AV173"/>
    <mergeCell ref="A188:AV188"/>
    <mergeCell ref="A189:B189"/>
    <mergeCell ref="C189:AA189"/>
    <mergeCell ref="AB189:AH189"/>
    <mergeCell ref="AI189:AN189"/>
    <mergeCell ref="AO189:AV189"/>
    <mergeCell ref="A190:B190"/>
    <mergeCell ref="C190:AA190"/>
    <mergeCell ref="AB190:AH190"/>
    <mergeCell ref="AI190:AN190"/>
    <mergeCell ref="AO190:AV190"/>
    <mergeCell ref="A191:B191"/>
    <mergeCell ref="C191:AA191"/>
    <mergeCell ref="AB191:AH191"/>
    <mergeCell ref="AI191:AN191"/>
    <mergeCell ref="AO191:AV191"/>
    <mergeCell ref="A192:B192"/>
    <mergeCell ref="C192:AA192"/>
    <mergeCell ref="AB192:AH192"/>
    <mergeCell ref="AI192:AN192"/>
    <mergeCell ref="AO192:AV192"/>
    <mergeCell ref="A193:B193"/>
    <mergeCell ref="C193:AA193"/>
    <mergeCell ref="AB193:AH193"/>
    <mergeCell ref="AI193:AN193"/>
    <mergeCell ref="AO193:AV193"/>
    <mergeCell ref="A194:B194"/>
    <mergeCell ref="C194:AA194"/>
    <mergeCell ref="AB194:AH194"/>
    <mergeCell ref="AI194:AN194"/>
    <mergeCell ref="AO194:AV194"/>
    <mergeCell ref="A195:B195"/>
    <mergeCell ref="C195:AA195"/>
    <mergeCell ref="AB195:AH195"/>
    <mergeCell ref="AI195:AN195"/>
    <mergeCell ref="AO195:AV195"/>
    <mergeCell ref="A196:B196"/>
    <mergeCell ref="C196:AA196"/>
    <mergeCell ref="AB196:AH196"/>
    <mergeCell ref="AI196:AN196"/>
    <mergeCell ref="AO196:AV196"/>
    <mergeCell ref="A197:B197"/>
    <mergeCell ref="C197:AA197"/>
    <mergeCell ref="AB197:AH197"/>
    <mergeCell ref="AI197:AN197"/>
    <mergeCell ref="AO197:AV197"/>
    <mergeCell ref="A198:B198"/>
    <mergeCell ref="C198:AA198"/>
    <mergeCell ref="AB198:AH198"/>
    <mergeCell ref="AI198:AN198"/>
    <mergeCell ref="AO198:AV198"/>
    <mergeCell ref="A199:B199"/>
    <mergeCell ref="C199:AA199"/>
    <mergeCell ref="AB199:AH199"/>
    <mergeCell ref="AI199:AN199"/>
    <mergeCell ref="AO199:AV199"/>
    <mergeCell ref="A200:B200"/>
    <mergeCell ref="C200:AA200"/>
    <mergeCell ref="AB200:AH200"/>
    <mergeCell ref="AI200:AN200"/>
    <mergeCell ref="AO200:AV200"/>
    <mergeCell ref="A201:B201"/>
    <mergeCell ref="C201:AA201"/>
    <mergeCell ref="AB201:AH201"/>
    <mergeCell ref="AI201:AN201"/>
    <mergeCell ref="AO201:AV201"/>
    <mergeCell ref="A202:B202"/>
    <mergeCell ref="C202:AA202"/>
    <mergeCell ref="AB202:AH202"/>
    <mergeCell ref="AI202:AN202"/>
    <mergeCell ref="AO202:AV202"/>
    <mergeCell ref="A203:B203"/>
    <mergeCell ref="C203:AA203"/>
    <mergeCell ref="AB203:AH203"/>
    <mergeCell ref="AI203:AN203"/>
    <mergeCell ref="AO203:AV203"/>
    <mergeCell ref="A204:B204"/>
    <mergeCell ref="C204:AA204"/>
    <mergeCell ref="AB204:AH204"/>
    <mergeCell ref="AI204:AN204"/>
    <mergeCell ref="AO204:AV204"/>
    <mergeCell ref="A205:B205"/>
    <mergeCell ref="C205:AA205"/>
    <mergeCell ref="AB205:AH205"/>
    <mergeCell ref="AI205:AN205"/>
    <mergeCell ref="AO205:AV205"/>
    <mergeCell ref="A206:B206"/>
    <mergeCell ref="C206:AA206"/>
    <mergeCell ref="AB206:AH206"/>
    <mergeCell ref="AI206:AN206"/>
    <mergeCell ref="AO206:AV206"/>
    <mergeCell ref="A207:B207"/>
    <mergeCell ref="C207:AA207"/>
    <mergeCell ref="AB207:AH207"/>
    <mergeCell ref="AI207:AN207"/>
    <mergeCell ref="AO207:AV207"/>
    <mergeCell ref="A208:B208"/>
    <mergeCell ref="C208:AA208"/>
    <mergeCell ref="AB208:AH208"/>
    <mergeCell ref="AI208:AN208"/>
    <mergeCell ref="AO208:AV208"/>
    <mergeCell ref="A209:B209"/>
    <mergeCell ref="C209:AA209"/>
    <mergeCell ref="AB209:AH209"/>
    <mergeCell ref="AI209:AN209"/>
    <mergeCell ref="AO209:AV209"/>
    <mergeCell ref="A213:AO213"/>
    <mergeCell ref="A214:B214"/>
    <mergeCell ref="C214:AA214"/>
    <mergeCell ref="AB214:AH214"/>
    <mergeCell ref="AI214:AV214"/>
    <mergeCell ref="A215:B215"/>
    <mergeCell ref="C215:AA215"/>
    <mergeCell ref="AB215:AH215"/>
    <mergeCell ref="AI215:AV215"/>
    <mergeCell ref="A216:B216"/>
    <mergeCell ref="C216:AA216"/>
    <mergeCell ref="AB216:AH216"/>
    <mergeCell ref="AI216:AV216"/>
    <mergeCell ref="AR221:AS221"/>
    <mergeCell ref="W223:AH223"/>
    <mergeCell ref="W224:AH224"/>
    <mergeCell ref="W225:AH225"/>
    <mergeCell ref="W226:AH226"/>
    <mergeCell ref="W242:AI242"/>
    <mergeCell ref="W244:AI244"/>
    <mergeCell ref="E246:M246"/>
    <mergeCell ref="A11:AV13"/>
    <mergeCell ref="A38:AP40"/>
    <mergeCell ref="A65:AV66"/>
    <mergeCell ref="A89:B90"/>
    <mergeCell ref="C89:AD90"/>
    <mergeCell ref="AE89:AJ90"/>
    <mergeCell ref="AK89:AN90"/>
    <mergeCell ref="AO89:AV90"/>
    <mergeCell ref="A142:B143"/>
    <mergeCell ref="C142:W143"/>
    <mergeCell ref="X142:AB143"/>
    <mergeCell ref="AO142:AV143"/>
    <mergeCell ref="A155:B156"/>
    <mergeCell ref="C155:W156"/>
    <mergeCell ref="X155:AC156"/>
    <mergeCell ref="AD155:AH156"/>
    <mergeCell ref="AI155:AN156"/>
    <mergeCell ref="AO155:AV156"/>
  </mergeCells>
  <pageMargins left="0.708661417322835" right="0.708661417322835" top="0.748031496062992" bottom="0.354330708661417" header="0.31496062992126" footer="0.31496062992126"/>
  <pageSetup paperSize="9" scale="84" fitToHeight="0"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3">
    <tabColor rgb="FF333399"/>
  </sheetPr>
  <dimension ref="A1:BN679"/>
  <sheetViews>
    <sheetView topLeftCell="A414" workbookViewId="0">
      <selection activeCell="G6" sqref="G6"/>
    </sheetView>
  </sheetViews>
  <sheetFormatPr defaultColWidth="2.71428571428571" defaultRowHeight="12.75"/>
  <cols>
    <col min="1" max="1" width="4.42857142857143" customWidth="1"/>
    <col min="2" max="2" width="13" customWidth="1"/>
    <col min="3" max="3" width="28.1428571428571" customWidth="1"/>
    <col min="4" max="4" width="17.7142857142857" customWidth="1"/>
    <col min="5" max="5" width="14.1428571428571" customWidth="1"/>
    <col min="6" max="8" width="15.4285714285714" customWidth="1"/>
  </cols>
  <sheetData>
    <row r="1" ht="26.25" spans="1:66">
      <c r="A1" s="3392" t="s">
        <v>6039</v>
      </c>
      <c r="B1" s="3392"/>
      <c r="C1" s="3392"/>
      <c r="D1" s="3392"/>
      <c r="E1" s="3392"/>
      <c r="F1" s="3392"/>
      <c r="G1" s="3392"/>
      <c r="H1" s="3392"/>
      <c r="I1" s="3393"/>
      <c r="J1" s="3394"/>
      <c r="K1" s="3394"/>
      <c r="L1" s="3394"/>
      <c r="M1" s="3394"/>
      <c r="N1" s="3394"/>
      <c r="O1" s="3394"/>
      <c r="P1" s="3394"/>
      <c r="Q1" s="3394"/>
      <c r="R1" s="3394"/>
      <c r="S1" s="3394"/>
      <c r="T1" s="3394"/>
      <c r="U1" s="3395"/>
      <c r="V1" s="3395"/>
      <c r="W1" s="3395"/>
      <c r="X1" s="3395"/>
      <c r="Y1" s="3395"/>
      <c r="Z1" s="3395"/>
      <c r="AA1" s="3395"/>
      <c r="AB1" s="3395"/>
      <c r="AC1" s="3395"/>
      <c r="AD1" s="3395"/>
      <c r="AE1" s="3395"/>
      <c r="AF1" s="3395"/>
      <c r="AG1" s="3395"/>
      <c r="AH1" s="3395"/>
      <c r="AI1" s="3395"/>
      <c r="AJ1" s="3395"/>
      <c r="AK1" s="3395"/>
      <c r="AL1" s="3395"/>
      <c r="AM1" s="3395"/>
      <c r="AN1" s="3395"/>
      <c r="AO1" s="3395"/>
      <c r="AP1" s="3395"/>
      <c r="AQ1" s="3396"/>
      <c r="AR1" s="3396"/>
      <c r="AS1" s="3396"/>
      <c r="AT1" s="3396"/>
      <c r="AU1" s="3396"/>
      <c r="AV1" s="3396"/>
      <c r="AW1" s="3396"/>
      <c r="AX1" s="3396"/>
      <c r="AY1" s="3396"/>
      <c r="AZ1" s="3396"/>
      <c r="BA1" s="3396"/>
      <c r="BB1" s="3396"/>
      <c r="BC1" s="3396"/>
      <c r="BD1" s="3396"/>
      <c r="BE1" s="3396"/>
      <c r="BF1" s="3396"/>
      <c r="BG1" s="3396"/>
      <c r="BH1" s="3396"/>
      <c r="BI1" s="3396"/>
      <c r="BJ1" s="3396"/>
      <c r="BK1" s="3396"/>
      <c r="BL1" s="3396"/>
      <c r="BM1" s="3396"/>
      <c r="BN1" s="3396"/>
    </row>
    <row r="2" s="75" customFormat="1" ht="26.25" customHeight="1" spans="1:66">
      <c r="A2" s="3397" t="s">
        <v>5941</v>
      </c>
      <c r="B2" s="3398"/>
      <c r="C2" s="3399"/>
      <c r="D2" s="3400"/>
      <c r="E2" s="3398"/>
      <c r="F2" s="3398"/>
      <c r="G2" s="3398"/>
      <c r="H2" s="3398"/>
      <c r="I2" s="3401"/>
      <c r="J2" s="3398"/>
      <c r="K2" s="3398"/>
      <c r="L2" s="3398"/>
      <c r="M2" s="3398"/>
      <c r="N2" s="3398"/>
      <c r="O2" s="3398"/>
      <c r="P2" s="3398"/>
      <c r="Q2" s="3398"/>
      <c r="R2" s="3398"/>
      <c r="S2" s="3398"/>
      <c r="T2" s="3398"/>
      <c r="U2" s="3395"/>
      <c r="V2" s="3395"/>
      <c r="W2" s="3395"/>
      <c r="X2" s="3395"/>
      <c r="Y2" s="3395"/>
      <c r="Z2" s="3395"/>
      <c r="AA2" s="3395"/>
      <c r="AB2" s="3395"/>
      <c r="AC2" s="3395"/>
      <c r="AD2" s="3395"/>
      <c r="AE2" s="3395"/>
      <c r="AF2" s="3395"/>
      <c r="AG2" s="3395"/>
      <c r="AH2" s="3395"/>
      <c r="AI2" s="3395"/>
      <c r="AJ2" s="3395"/>
      <c r="AK2" s="3395"/>
      <c r="AL2" s="3395"/>
      <c r="AM2" s="3395"/>
      <c r="AN2" s="3395"/>
      <c r="AO2" s="3395"/>
      <c r="AP2" s="3395"/>
      <c r="AQ2" s="3396"/>
      <c r="AR2" s="3396"/>
      <c r="AS2" s="3396"/>
      <c r="AT2" s="3396"/>
      <c r="AU2" s="3396"/>
      <c r="AV2" s="3396"/>
      <c r="AW2" s="3396"/>
      <c r="AX2" s="3396"/>
      <c r="AY2" s="3396"/>
      <c r="AZ2" s="3396"/>
      <c r="BA2" s="3396"/>
      <c r="BB2" s="3396"/>
      <c r="BC2" s="3396"/>
      <c r="BD2" s="3396"/>
      <c r="BE2" s="3396"/>
      <c r="BF2" s="3396"/>
      <c r="BG2" s="3396"/>
      <c r="BH2" s="3396"/>
      <c r="BI2" s="3396"/>
      <c r="BJ2" s="3396"/>
      <c r="BK2" s="3396"/>
      <c r="BL2" s="3396"/>
      <c r="BM2" s="3396"/>
      <c r="BN2" s="3396"/>
    </row>
    <row r="3" s="687" customFormat="1" ht="21" customHeight="1" spans="1:66">
      <c r="A3" s="3402" t="s">
        <v>6366</v>
      </c>
      <c r="B3" s="3396"/>
      <c r="C3" s="3396"/>
      <c r="D3" s="3396"/>
      <c r="E3" s="3396"/>
      <c r="F3" s="3396"/>
      <c r="G3" s="3396"/>
      <c r="H3" s="3396"/>
      <c r="I3" s="3396"/>
      <c r="J3" s="3396"/>
      <c r="K3" s="3396"/>
      <c r="L3" s="3396"/>
      <c r="M3" s="3396"/>
      <c r="N3" s="3396"/>
      <c r="O3" s="3396"/>
      <c r="P3" s="3396"/>
      <c r="Q3" s="3396"/>
      <c r="R3" s="3396"/>
      <c r="S3" s="3396"/>
      <c r="T3" s="3396"/>
      <c r="U3" s="3396"/>
      <c r="V3" s="3396"/>
      <c r="W3" s="3396"/>
      <c r="X3" s="3396"/>
      <c r="Y3" s="3403"/>
      <c r="Z3" s="3403"/>
      <c r="AA3" s="3403"/>
      <c r="AB3" s="3403"/>
      <c r="AC3" s="3403"/>
      <c r="AD3" s="3403"/>
      <c r="AE3" s="3403"/>
      <c r="AF3" s="3403"/>
      <c r="AG3" s="3403"/>
      <c r="AH3" s="3403"/>
      <c r="AI3" s="3403"/>
      <c r="AJ3" s="3403"/>
      <c r="AK3" s="3403"/>
      <c r="AL3" s="3403"/>
      <c r="AM3" s="3403"/>
      <c r="AN3" s="3403"/>
      <c r="AO3" s="3403"/>
      <c r="AP3" s="3403"/>
      <c r="AQ3" s="3396"/>
      <c r="AR3" s="3396"/>
      <c r="AS3" s="3396"/>
      <c r="AT3" s="3396"/>
      <c r="AU3" s="3396"/>
      <c r="AV3" s="3396"/>
      <c r="AW3" s="3396"/>
      <c r="AX3" s="3396"/>
      <c r="AY3" s="3396"/>
      <c r="AZ3" s="3396"/>
      <c r="BA3" s="3396"/>
      <c r="BB3" s="3396"/>
      <c r="BC3" s="3396"/>
      <c r="BD3" s="3396"/>
      <c r="BE3" s="3396"/>
      <c r="BF3" s="3396"/>
      <c r="BG3" s="3396"/>
      <c r="BH3" s="3396"/>
      <c r="BI3" s="3396"/>
      <c r="BJ3" s="3396"/>
      <c r="BK3" s="3396"/>
      <c r="BL3" s="3396"/>
      <c r="BM3" s="3396"/>
      <c r="BN3" s="3396"/>
    </row>
    <row r="4" s="688" customFormat="1" ht="34.5" customHeight="1" spans="1:66">
      <c r="A4" s="3404" t="s">
        <v>6009</v>
      </c>
      <c r="B4" s="3404" t="s">
        <v>6367</v>
      </c>
      <c r="C4" s="3405" t="s">
        <v>6368</v>
      </c>
      <c r="D4" s="3404" t="s">
        <v>6369</v>
      </c>
      <c r="E4" s="3404" t="s">
        <v>6370</v>
      </c>
      <c r="F4" s="3404" t="s">
        <v>6371</v>
      </c>
      <c r="G4" s="3404" t="s">
        <v>6372</v>
      </c>
      <c r="H4" s="3404" t="s">
        <v>6373</v>
      </c>
      <c r="I4" s="3396"/>
      <c r="J4" s="3406" t="s">
        <v>6374</v>
      </c>
      <c r="K4" s="3406"/>
      <c r="L4" s="3406"/>
      <c r="M4" s="3406"/>
      <c r="N4" s="3406"/>
      <c r="O4" s="3406"/>
      <c r="P4" s="3406"/>
      <c r="Q4" s="3406"/>
      <c r="R4" s="3406"/>
      <c r="S4" s="3406"/>
      <c r="T4" s="3406"/>
      <c r="U4" s="3406"/>
      <c r="V4" s="3406"/>
      <c r="W4" s="3406"/>
      <c r="X4" s="3406"/>
      <c r="Y4" s="3406"/>
      <c r="Z4" s="3406"/>
      <c r="AA4" s="3406"/>
      <c r="AB4" s="3396"/>
      <c r="AC4" s="3396"/>
      <c r="AD4" s="3396"/>
      <c r="AE4" s="3396"/>
      <c r="AF4" s="3396"/>
      <c r="AG4" s="3396"/>
      <c r="AH4" s="3396"/>
      <c r="AI4" s="3396"/>
      <c r="AJ4" s="3396"/>
      <c r="AK4" s="3396"/>
      <c r="AL4" s="3396"/>
      <c r="AM4" s="3396"/>
      <c r="AN4" s="3396"/>
      <c r="AO4" s="3396"/>
      <c r="AP4" s="3396"/>
      <c r="AQ4" s="3396"/>
      <c r="AR4" s="3396"/>
      <c r="AS4" s="3396"/>
      <c r="AT4" s="3396"/>
      <c r="AU4" s="3396"/>
      <c r="AV4" s="3396"/>
      <c r="AW4" s="3396"/>
      <c r="AX4" s="3396"/>
      <c r="AY4" s="3396"/>
      <c r="AZ4" s="3396"/>
      <c r="BA4" s="3396"/>
      <c r="BB4" s="3396"/>
      <c r="BC4" s="3396"/>
      <c r="BD4" s="3396"/>
      <c r="BE4" s="3396"/>
      <c r="BF4" s="3396"/>
      <c r="BG4" s="3396"/>
      <c r="BH4" s="3396"/>
      <c r="BI4" s="3396"/>
      <c r="BJ4" s="3396"/>
      <c r="BK4" s="3396"/>
      <c r="BL4" s="3396"/>
      <c r="BM4" s="3396"/>
      <c r="BN4" s="3396"/>
    </row>
    <row r="5" s="687" customFormat="1" ht="13.5" customHeight="1" spans="1:66">
      <c r="A5" s="3407" t="s">
        <v>3953</v>
      </c>
      <c r="B5" s="3408" t="s">
        <v>6375</v>
      </c>
      <c r="C5" s="3409" t="s">
        <v>4625</v>
      </c>
      <c r="D5" s="3409" t="s">
        <v>6376</v>
      </c>
      <c r="E5" s="3408" t="s">
        <v>6377</v>
      </c>
      <c r="F5" s="3410">
        <v>20325.41</v>
      </c>
      <c r="G5" s="3410">
        <v>9131.67</v>
      </c>
      <c r="H5" s="3411">
        <f>F5+G5</f>
        <v>29457.08</v>
      </c>
      <c r="I5" s="3396"/>
      <c r="J5" s="3406"/>
      <c r="K5" s="3406"/>
      <c r="L5" s="3406"/>
      <c r="M5" s="3406"/>
      <c r="N5" s="3406"/>
      <c r="O5" s="3406"/>
      <c r="P5" s="3406"/>
      <c r="Q5" s="3406"/>
      <c r="R5" s="3406"/>
      <c r="S5" s="3406"/>
      <c r="T5" s="3406"/>
      <c r="U5" s="3406"/>
      <c r="V5" s="3406"/>
      <c r="W5" s="3406"/>
      <c r="X5" s="3406"/>
      <c r="Y5" s="3406"/>
      <c r="Z5" s="3406"/>
      <c r="AA5" s="3406"/>
      <c r="AB5" s="3396"/>
      <c r="AC5" s="3396"/>
      <c r="AD5" s="3396"/>
      <c r="AE5" s="3396"/>
      <c r="AF5" s="3396"/>
      <c r="AG5" s="3396"/>
      <c r="AH5" s="3396"/>
      <c r="AI5" s="3396"/>
      <c r="AJ5" s="3396"/>
      <c r="AK5" s="3396"/>
      <c r="AL5" s="3396"/>
      <c r="AM5" s="3396"/>
      <c r="AN5" s="3396"/>
      <c r="AO5" s="3396"/>
      <c r="AP5" s="3396"/>
      <c r="AQ5" s="3396"/>
      <c r="AR5" s="3396"/>
      <c r="AS5" s="3396"/>
      <c r="AT5" s="3396"/>
      <c r="AU5" s="3396"/>
      <c r="AV5" s="3396"/>
      <c r="AW5" s="3396"/>
      <c r="AX5" s="3396"/>
      <c r="AY5" s="3396"/>
      <c r="AZ5" s="3396"/>
      <c r="BA5" s="3396"/>
      <c r="BB5" s="3396"/>
      <c r="BC5" s="3396"/>
      <c r="BD5" s="3396"/>
      <c r="BE5" s="3396"/>
      <c r="BF5" s="3396"/>
      <c r="BG5" s="3396"/>
      <c r="BH5" s="3396"/>
      <c r="BI5" s="3396"/>
      <c r="BJ5" s="3396"/>
      <c r="BK5" s="3396"/>
      <c r="BL5" s="3396"/>
      <c r="BM5" s="3396"/>
      <c r="BN5" s="3396"/>
    </row>
    <row r="6" s="687" customFormat="1" ht="13.5" customHeight="1" spans="1:66">
      <c r="A6" s="3407" t="s">
        <v>3891</v>
      </c>
      <c r="B6" s="3408"/>
      <c r="C6" s="3409"/>
      <c r="D6" s="3409"/>
      <c r="E6" s="3408"/>
      <c r="F6" s="3410"/>
      <c r="G6" s="3410"/>
      <c r="H6" s="3411">
        <f>F6+G6</f>
        <v>0</v>
      </c>
      <c r="I6" s="3396"/>
      <c r="J6" s="3406"/>
      <c r="K6" s="3406"/>
      <c r="L6" s="3406"/>
      <c r="M6" s="3406"/>
      <c r="N6" s="3406"/>
      <c r="O6" s="3406"/>
      <c r="P6" s="3406"/>
      <c r="Q6" s="3406"/>
      <c r="R6" s="3406"/>
      <c r="S6" s="3406"/>
      <c r="T6" s="3406"/>
      <c r="U6" s="3406"/>
      <c r="V6" s="3406"/>
      <c r="W6" s="3406"/>
      <c r="X6" s="3406"/>
      <c r="Y6" s="3406"/>
      <c r="Z6" s="3406"/>
      <c r="AA6" s="3406"/>
      <c r="AB6" s="3396"/>
      <c r="AC6" s="3396"/>
      <c r="AD6" s="3396"/>
      <c r="AE6" s="3396"/>
      <c r="AF6" s="3396"/>
      <c r="AG6" s="3396"/>
      <c r="AH6" s="3396"/>
      <c r="AI6" s="3396"/>
      <c r="AJ6" s="3396"/>
      <c r="AK6" s="3396"/>
      <c r="AL6" s="3396"/>
      <c r="AM6" s="3396"/>
      <c r="AN6" s="3396"/>
      <c r="AO6" s="3396"/>
      <c r="AP6" s="3396"/>
      <c r="AQ6" s="3396"/>
      <c r="AR6" s="3396"/>
      <c r="AS6" s="3396"/>
      <c r="AT6" s="3396"/>
      <c r="AU6" s="3396"/>
      <c r="AV6" s="3396"/>
      <c r="AW6" s="3396"/>
      <c r="AX6" s="3396"/>
      <c r="AY6" s="3396"/>
      <c r="AZ6" s="3396"/>
      <c r="BA6" s="3396"/>
      <c r="BB6" s="3396"/>
      <c r="BC6" s="3396"/>
      <c r="BD6" s="3396"/>
      <c r="BE6" s="3396"/>
      <c r="BF6" s="3396"/>
      <c r="BG6" s="3396"/>
      <c r="BH6" s="3396"/>
      <c r="BI6" s="3396"/>
      <c r="BJ6" s="3396"/>
      <c r="BK6" s="3396"/>
      <c r="BL6" s="3396"/>
      <c r="BM6" s="3396"/>
      <c r="BN6" s="3396"/>
    </row>
    <row r="7" s="687" customFormat="1" ht="13.5" customHeight="1" spans="1:66">
      <c r="A7" s="3407" t="s">
        <v>3902</v>
      </c>
      <c r="B7" s="3408"/>
      <c r="C7" s="3409"/>
      <c r="D7" s="3409"/>
      <c r="E7" s="3408"/>
      <c r="F7" s="3410"/>
      <c r="G7" s="3410"/>
      <c r="H7" s="3411">
        <f t="shared" ref="H7:H70" si="0">F7+G7</f>
        <v>0</v>
      </c>
      <c r="I7" s="3396"/>
      <c r="J7" s="3406"/>
      <c r="K7" s="3406"/>
      <c r="L7" s="3406"/>
      <c r="M7" s="3406"/>
      <c r="N7" s="3406"/>
      <c r="O7" s="3406"/>
      <c r="P7" s="3406"/>
      <c r="Q7" s="3406"/>
      <c r="R7" s="3406"/>
      <c r="S7" s="3406"/>
      <c r="T7" s="3406"/>
      <c r="U7" s="3406"/>
      <c r="V7" s="3406"/>
      <c r="W7" s="3406"/>
      <c r="X7" s="3406"/>
      <c r="Y7" s="3406"/>
      <c r="Z7" s="3406"/>
      <c r="AA7" s="3406"/>
      <c r="AB7" s="3396"/>
      <c r="AC7" s="3396"/>
      <c r="AD7" s="3396"/>
      <c r="AE7" s="3396"/>
      <c r="AF7" s="3396"/>
      <c r="AG7" s="3396"/>
      <c r="AH7" s="3396"/>
      <c r="AI7" s="3396"/>
      <c r="AJ7" s="3396"/>
      <c r="AK7" s="3396"/>
      <c r="AL7" s="3396"/>
      <c r="AM7" s="3396"/>
      <c r="AN7" s="3396"/>
      <c r="AO7" s="3396"/>
      <c r="AP7" s="3396"/>
      <c r="AQ7" s="3396"/>
      <c r="AR7" s="3396"/>
      <c r="AS7" s="3396"/>
      <c r="AT7" s="3396"/>
      <c r="AU7" s="3396"/>
      <c r="AV7" s="3396"/>
      <c r="AW7" s="3396"/>
      <c r="AX7" s="3396"/>
      <c r="AY7" s="3396"/>
      <c r="AZ7" s="3396"/>
      <c r="BA7" s="3396"/>
      <c r="BB7" s="3396"/>
      <c r="BC7" s="3396"/>
      <c r="BD7" s="3396"/>
      <c r="BE7" s="3396"/>
      <c r="BF7" s="3396"/>
      <c r="BG7" s="3396"/>
      <c r="BH7" s="3396"/>
      <c r="BI7" s="3396"/>
      <c r="BJ7" s="3396"/>
      <c r="BK7" s="3396"/>
      <c r="BL7" s="3396"/>
      <c r="BM7" s="3396"/>
      <c r="BN7" s="3396"/>
    </row>
    <row r="8" s="687" customFormat="1" ht="13.5" customHeight="1" spans="1:66">
      <c r="A8" s="3407" t="s">
        <v>3905</v>
      </c>
      <c r="B8" s="3408"/>
      <c r="C8" s="3409"/>
      <c r="D8" s="3409"/>
      <c r="E8" s="3408"/>
      <c r="F8" s="3410"/>
      <c r="G8" s="3410"/>
      <c r="H8" s="3411">
        <f t="shared" si="0"/>
        <v>0</v>
      </c>
      <c r="I8" s="3396"/>
      <c r="J8" s="3406"/>
      <c r="K8" s="3406"/>
      <c r="L8" s="3406"/>
      <c r="M8" s="3406"/>
      <c r="N8" s="3406"/>
      <c r="O8" s="3406"/>
      <c r="P8" s="3406"/>
      <c r="Q8" s="3406"/>
      <c r="R8" s="3406"/>
      <c r="S8" s="3406"/>
      <c r="T8" s="3406"/>
      <c r="U8" s="3406"/>
      <c r="V8" s="3406"/>
      <c r="W8" s="3406"/>
      <c r="X8" s="3406"/>
      <c r="Y8" s="3406"/>
      <c r="Z8" s="3406"/>
      <c r="AA8" s="3406"/>
      <c r="AB8" s="3396"/>
      <c r="AC8" s="3396"/>
      <c r="AD8" s="3396"/>
      <c r="AE8" s="3396"/>
      <c r="AF8" s="3396"/>
      <c r="AG8" s="3396"/>
      <c r="AH8" s="3396"/>
      <c r="AI8" s="3396"/>
      <c r="AJ8" s="3396"/>
      <c r="AK8" s="3396"/>
      <c r="AL8" s="3396"/>
      <c r="AM8" s="3396"/>
      <c r="AN8" s="3396"/>
      <c r="AO8" s="3396"/>
      <c r="AP8" s="3396"/>
      <c r="AQ8" s="3396"/>
      <c r="AR8" s="3396"/>
      <c r="AS8" s="3396"/>
      <c r="AT8" s="3396"/>
      <c r="AU8" s="3396"/>
      <c r="AV8" s="3396"/>
      <c r="AW8" s="3396"/>
      <c r="AX8" s="3396"/>
      <c r="AY8" s="3396"/>
      <c r="AZ8" s="3396"/>
      <c r="BA8" s="3396"/>
      <c r="BB8" s="3396"/>
      <c r="BC8" s="3396"/>
      <c r="BD8" s="3396"/>
      <c r="BE8" s="3396"/>
      <c r="BF8" s="3396"/>
      <c r="BG8" s="3396"/>
      <c r="BH8" s="3396"/>
      <c r="BI8" s="3396"/>
      <c r="BJ8" s="3396"/>
      <c r="BK8" s="3396"/>
      <c r="BL8" s="3396"/>
      <c r="BM8" s="3396"/>
      <c r="BN8" s="3396"/>
    </row>
    <row r="9" s="687" customFormat="1" ht="13.5" customHeight="1" spans="1:66">
      <c r="A9" s="3407" t="s">
        <v>3915</v>
      </c>
      <c r="B9" s="3408"/>
      <c r="C9" s="3409"/>
      <c r="D9" s="3409"/>
      <c r="E9" s="3408"/>
      <c r="F9" s="3410"/>
      <c r="G9" s="3410"/>
      <c r="H9" s="3411">
        <f t="shared" si="0"/>
        <v>0</v>
      </c>
      <c r="I9" s="3396"/>
      <c r="J9" s="3406"/>
      <c r="K9" s="3406"/>
      <c r="L9" s="3406"/>
      <c r="M9" s="3406"/>
      <c r="N9" s="3406"/>
      <c r="O9" s="3406"/>
      <c r="P9" s="3406"/>
      <c r="Q9" s="3406"/>
      <c r="R9" s="3406"/>
      <c r="S9" s="3406"/>
      <c r="T9" s="3406"/>
      <c r="U9" s="3406"/>
      <c r="V9" s="3406"/>
      <c r="W9" s="3406"/>
      <c r="X9" s="3406"/>
      <c r="Y9" s="3406"/>
      <c r="Z9" s="3406"/>
      <c r="AA9" s="3406"/>
      <c r="AB9" s="3396"/>
      <c r="AC9" s="3396"/>
      <c r="AD9" s="3396"/>
      <c r="AE9" s="3396"/>
      <c r="AF9" s="3396"/>
      <c r="AG9" s="3396"/>
      <c r="AH9" s="3396"/>
      <c r="AI9" s="3396"/>
      <c r="AJ9" s="3396"/>
      <c r="AK9" s="3396"/>
      <c r="AL9" s="3396"/>
      <c r="AM9" s="3396"/>
      <c r="AN9" s="3396"/>
      <c r="AO9" s="3396"/>
      <c r="AP9" s="3396"/>
      <c r="AQ9" s="3396"/>
      <c r="AR9" s="3396"/>
      <c r="AS9" s="3396"/>
      <c r="AT9" s="3396"/>
      <c r="AU9" s="3396"/>
      <c r="AV9" s="3396"/>
      <c r="AW9" s="3396"/>
      <c r="AX9" s="3396"/>
      <c r="AY9" s="3396"/>
      <c r="AZ9" s="3396"/>
      <c r="BA9" s="3396"/>
      <c r="BB9" s="3396"/>
      <c r="BC9" s="3396"/>
      <c r="BD9" s="3396"/>
      <c r="BE9" s="3396"/>
      <c r="BF9" s="3396"/>
      <c r="BG9" s="3396"/>
      <c r="BH9" s="3396"/>
      <c r="BI9" s="3396"/>
      <c r="BJ9" s="3396"/>
      <c r="BK9" s="3396"/>
      <c r="BL9" s="3396"/>
      <c r="BM9" s="3396"/>
      <c r="BN9" s="3396"/>
    </row>
    <row r="10" s="687" customFormat="1" ht="13.5" customHeight="1" spans="1:66">
      <c r="A10" s="3407" t="s">
        <v>3918</v>
      </c>
      <c r="B10" s="3408"/>
      <c r="C10" s="3409"/>
      <c r="D10" s="3409"/>
      <c r="E10" s="3408"/>
      <c r="F10" s="3410"/>
      <c r="G10" s="3410"/>
      <c r="H10" s="3411">
        <f t="shared" si="0"/>
        <v>0</v>
      </c>
      <c r="I10" s="3396"/>
      <c r="J10" s="3406"/>
      <c r="K10" s="3406"/>
      <c r="L10" s="3406"/>
      <c r="M10" s="3406"/>
      <c r="N10" s="3406"/>
      <c r="O10" s="3406"/>
      <c r="P10" s="3406"/>
      <c r="Q10" s="3406"/>
      <c r="R10" s="3406"/>
      <c r="S10" s="3406"/>
      <c r="T10" s="3406"/>
      <c r="U10" s="3406"/>
      <c r="V10" s="3406"/>
      <c r="W10" s="3406"/>
      <c r="X10" s="3406"/>
      <c r="Y10" s="3406"/>
      <c r="Z10" s="3406"/>
      <c r="AA10" s="3406"/>
      <c r="AB10" s="3396"/>
      <c r="AC10" s="3396"/>
      <c r="AD10" s="3396"/>
      <c r="AE10" s="3396"/>
      <c r="AF10" s="3396"/>
      <c r="AG10" s="3396"/>
      <c r="AH10" s="3396"/>
      <c r="AI10" s="3396"/>
      <c r="AJ10" s="3396"/>
      <c r="AK10" s="3396"/>
      <c r="AL10" s="3396"/>
      <c r="AM10" s="3396"/>
      <c r="AN10" s="3396"/>
      <c r="AO10" s="3396"/>
      <c r="AP10" s="3396"/>
      <c r="AQ10" s="3396"/>
      <c r="AR10" s="3396"/>
      <c r="AS10" s="3396"/>
      <c r="AT10" s="3396"/>
      <c r="AU10" s="3396"/>
      <c r="AV10" s="3396"/>
      <c r="AW10" s="3396"/>
      <c r="AX10" s="3396"/>
      <c r="AY10" s="3396"/>
      <c r="AZ10" s="3396"/>
      <c r="BA10" s="3396"/>
      <c r="BB10" s="3396"/>
      <c r="BC10" s="3396"/>
      <c r="BD10" s="3396"/>
      <c r="BE10" s="3396"/>
      <c r="BF10" s="3396"/>
      <c r="BG10" s="3396"/>
      <c r="BH10" s="3396"/>
      <c r="BI10" s="3396"/>
      <c r="BJ10" s="3396"/>
      <c r="BK10" s="3396"/>
      <c r="BL10" s="3396"/>
      <c r="BM10" s="3396"/>
      <c r="BN10" s="3396"/>
    </row>
    <row r="11" s="687" customFormat="1" ht="13.5" customHeight="1" spans="1:66">
      <c r="A11" s="3407" t="s">
        <v>3920</v>
      </c>
      <c r="B11" s="3408"/>
      <c r="C11" s="3409"/>
      <c r="D11" s="3409"/>
      <c r="E11" s="3408"/>
      <c r="F11" s="3410"/>
      <c r="G11" s="3410"/>
      <c r="H11" s="3411">
        <f t="shared" si="0"/>
        <v>0</v>
      </c>
      <c r="I11" s="3396"/>
      <c r="J11" s="3406"/>
      <c r="K11" s="3406"/>
      <c r="L11" s="3406"/>
      <c r="M11" s="3406"/>
      <c r="N11" s="3406"/>
      <c r="O11" s="3406"/>
      <c r="P11" s="3406"/>
      <c r="Q11" s="3406"/>
      <c r="R11" s="3406"/>
      <c r="S11" s="3406"/>
      <c r="T11" s="3406"/>
      <c r="U11" s="3406"/>
      <c r="V11" s="3406"/>
      <c r="W11" s="3406"/>
      <c r="X11" s="3406"/>
      <c r="Y11" s="3406"/>
      <c r="Z11" s="3406"/>
      <c r="AA11" s="3406"/>
      <c r="AB11" s="3396"/>
      <c r="AC11" s="3396"/>
      <c r="AD11" s="3396"/>
      <c r="AE11" s="3396"/>
      <c r="AF11" s="3396"/>
      <c r="AG11" s="3396"/>
      <c r="AH11" s="3396"/>
      <c r="AI11" s="3396"/>
      <c r="AJ11" s="3396"/>
      <c r="AK11" s="3396"/>
      <c r="AL11" s="3396"/>
      <c r="AM11" s="3396"/>
      <c r="AN11" s="3396"/>
      <c r="AO11" s="3396"/>
      <c r="AP11" s="3396"/>
      <c r="AQ11" s="3396"/>
      <c r="AR11" s="3396"/>
      <c r="AS11" s="3396"/>
      <c r="AT11" s="3396"/>
      <c r="AU11" s="3396"/>
      <c r="AV11" s="3396"/>
      <c r="AW11" s="3396"/>
      <c r="AX11" s="3396"/>
      <c r="AY11" s="3396"/>
      <c r="AZ11" s="3396"/>
      <c r="BA11" s="3396"/>
      <c r="BB11" s="3396"/>
      <c r="BC11" s="3396"/>
      <c r="BD11" s="3396"/>
      <c r="BE11" s="3396"/>
      <c r="BF11" s="3396"/>
      <c r="BG11" s="3396"/>
      <c r="BH11" s="3396"/>
      <c r="BI11" s="3396"/>
      <c r="BJ11" s="3396"/>
      <c r="BK11" s="3396"/>
      <c r="BL11" s="3396"/>
      <c r="BM11" s="3396"/>
      <c r="BN11" s="3396"/>
    </row>
    <row r="12" s="687" customFormat="1" ht="13.5" customHeight="1" spans="1:66">
      <c r="A12" s="3407" t="s">
        <v>3923</v>
      </c>
      <c r="B12" s="3408"/>
      <c r="C12" s="3409"/>
      <c r="D12" s="3409"/>
      <c r="E12" s="3408"/>
      <c r="F12" s="3410"/>
      <c r="G12" s="3410"/>
      <c r="H12" s="3411">
        <f t="shared" si="0"/>
        <v>0</v>
      </c>
      <c r="I12" s="3396"/>
      <c r="J12" s="3406"/>
      <c r="K12" s="3406"/>
      <c r="L12" s="3406"/>
      <c r="M12" s="3406"/>
      <c r="N12" s="3406"/>
      <c r="O12" s="3406"/>
      <c r="P12" s="3406"/>
      <c r="Q12" s="3406"/>
      <c r="R12" s="3406"/>
      <c r="S12" s="3406"/>
      <c r="T12" s="3406"/>
      <c r="U12" s="3406"/>
      <c r="V12" s="3406"/>
      <c r="W12" s="3406"/>
      <c r="X12" s="3406"/>
      <c r="Y12" s="3406"/>
      <c r="Z12" s="3406"/>
      <c r="AA12" s="3406"/>
      <c r="AB12" s="3396"/>
      <c r="AC12" s="3396"/>
      <c r="AD12" s="3396"/>
      <c r="AE12" s="3396"/>
      <c r="AF12" s="3396"/>
      <c r="AG12" s="3396"/>
      <c r="AH12" s="3396"/>
      <c r="AI12" s="3396"/>
      <c r="AJ12" s="3396"/>
      <c r="AK12" s="3396"/>
      <c r="AL12" s="3396"/>
      <c r="AM12" s="3396"/>
      <c r="AN12" s="3396"/>
      <c r="AO12" s="3396"/>
      <c r="AP12" s="3396"/>
      <c r="AQ12" s="3396"/>
      <c r="AR12" s="3396"/>
      <c r="AS12" s="3396"/>
      <c r="AT12" s="3396"/>
      <c r="AU12" s="3396"/>
      <c r="AV12" s="3396"/>
      <c r="AW12" s="3396"/>
      <c r="AX12" s="3396"/>
      <c r="AY12" s="3396"/>
      <c r="AZ12" s="3396"/>
      <c r="BA12" s="3396"/>
      <c r="BB12" s="3396"/>
      <c r="BC12" s="3396"/>
      <c r="BD12" s="3396"/>
      <c r="BE12" s="3396"/>
      <c r="BF12" s="3396"/>
      <c r="BG12" s="3396"/>
      <c r="BH12" s="3396"/>
      <c r="BI12" s="3396"/>
      <c r="BJ12" s="3396"/>
      <c r="BK12" s="3396"/>
      <c r="BL12" s="3396"/>
      <c r="BM12" s="3396"/>
      <c r="BN12" s="3396"/>
    </row>
    <row r="13" s="687" customFormat="1" ht="13.5" customHeight="1" spans="1:66">
      <c r="A13" s="3407" t="s">
        <v>3925</v>
      </c>
      <c r="B13" s="3408"/>
      <c r="C13" s="3409"/>
      <c r="D13" s="3409"/>
      <c r="E13" s="3408"/>
      <c r="F13" s="3410"/>
      <c r="G13" s="3410"/>
      <c r="H13" s="3411">
        <f t="shared" si="0"/>
        <v>0</v>
      </c>
      <c r="I13" s="3396"/>
      <c r="J13" s="3406" t="s">
        <v>6378</v>
      </c>
      <c r="K13" s="3406"/>
      <c r="L13" s="3406"/>
      <c r="M13" s="3406"/>
      <c r="N13" s="3406"/>
      <c r="O13" s="3406"/>
      <c r="P13" s="3406"/>
      <c r="Q13" s="3406"/>
      <c r="R13" s="3406"/>
      <c r="S13" s="3406"/>
      <c r="T13" s="3406"/>
      <c r="U13" s="3406"/>
      <c r="V13" s="3406"/>
      <c r="W13" s="3406"/>
      <c r="X13" s="3406"/>
      <c r="Y13" s="3406"/>
      <c r="Z13" s="3406"/>
      <c r="AA13" s="3406"/>
      <c r="AB13" s="3396"/>
      <c r="AC13" s="3396"/>
      <c r="AD13" s="3396"/>
      <c r="AE13" s="3396"/>
      <c r="AF13" s="3396"/>
      <c r="AG13" s="3396"/>
      <c r="AH13" s="3396"/>
      <c r="AI13" s="3396"/>
      <c r="AJ13" s="3396"/>
      <c r="AK13" s="3396"/>
      <c r="AL13" s="3396"/>
      <c r="AM13" s="3396"/>
      <c r="AN13" s="3396"/>
      <c r="AO13" s="3396"/>
      <c r="AP13" s="3396"/>
      <c r="AQ13" s="3396"/>
      <c r="AR13" s="3396"/>
      <c r="AS13" s="3396"/>
      <c r="AT13" s="3396"/>
      <c r="AU13" s="3396"/>
      <c r="AV13" s="3396"/>
      <c r="AW13" s="3396"/>
      <c r="AX13" s="3396"/>
      <c r="AY13" s="3396"/>
      <c r="AZ13" s="3396"/>
      <c r="BA13" s="3396"/>
      <c r="BB13" s="3396"/>
      <c r="BC13" s="3396"/>
      <c r="BD13" s="3396"/>
      <c r="BE13" s="3396"/>
      <c r="BF13" s="3396"/>
      <c r="BG13" s="3396"/>
      <c r="BH13" s="3396"/>
      <c r="BI13" s="3396"/>
      <c r="BJ13" s="3396"/>
      <c r="BK13" s="3396"/>
      <c r="BL13" s="3396"/>
      <c r="BM13" s="3396"/>
      <c r="BN13" s="3396"/>
    </row>
    <row r="14" s="687" customFormat="1" ht="13.5" customHeight="1" spans="1:66">
      <c r="A14" s="3407" t="s">
        <v>3928</v>
      </c>
      <c r="B14" s="3408"/>
      <c r="C14" s="3409"/>
      <c r="D14" s="3409"/>
      <c r="E14" s="3408"/>
      <c r="F14" s="3410"/>
      <c r="G14" s="3410"/>
      <c r="H14" s="3411">
        <f t="shared" si="0"/>
        <v>0</v>
      </c>
      <c r="I14" s="3396"/>
      <c r="J14" s="3406"/>
      <c r="K14" s="3406"/>
      <c r="L14" s="3406"/>
      <c r="M14" s="3406"/>
      <c r="N14" s="3406"/>
      <c r="O14" s="3406"/>
      <c r="P14" s="3406"/>
      <c r="Q14" s="3406"/>
      <c r="R14" s="3406"/>
      <c r="S14" s="3406"/>
      <c r="T14" s="3406"/>
      <c r="U14" s="3406"/>
      <c r="V14" s="3406"/>
      <c r="W14" s="3406"/>
      <c r="X14" s="3406"/>
      <c r="Y14" s="3406"/>
      <c r="Z14" s="3406"/>
      <c r="AA14" s="3406"/>
      <c r="AB14" s="3396"/>
      <c r="AC14" s="3396"/>
      <c r="AD14" s="3396"/>
      <c r="AE14" s="3396"/>
      <c r="AF14" s="3396"/>
      <c r="AG14" s="3396"/>
      <c r="AH14" s="3396"/>
      <c r="AI14" s="3396"/>
      <c r="AJ14" s="3396"/>
      <c r="AK14" s="3396"/>
      <c r="AL14" s="3396"/>
      <c r="AM14" s="3396"/>
      <c r="AN14" s="3396"/>
      <c r="AO14" s="3396"/>
      <c r="AP14" s="3396"/>
      <c r="AQ14" s="3396"/>
      <c r="AR14" s="3396"/>
      <c r="AS14" s="3396"/>
      <c r="AT14" s="3396"/>
      <c r="AU14" s="3396"/>
      <c r="AV14" s="3396"/>
      <c r="AW14" s="3396"/>
      <c r="AX14" s="3396"/>
      <c r="AY14" s="3396"/>
      <c r="AZ14" s="3396"/>
      <c r="BA14" s="3396"/>
      <c r="BB14" s="3396"/>
      <c r="BC14" s="3396"/>
      <c r="BD14" s="3396"/>
      <c r="BE14" s="3396"/>
      <c r="BF14" s="3396"/>
      <c r="BG14" s="3396"/>
      <c r="BH14" s="3396"/>
      <c r="BI14" s="3396"/>
      <c r="BJ14" s="3396"/>
      <c r="BK14" s="3396"/>
      <c r="BL14" s="3396"/>
      <c r="BM14" s="3396"/>
      <c r="BN14" s="3396"/>
    </row>
    <row r="15" s="687" customFormat="1" ht="13.5" customHeight="1" spans="1:66">
      <c r="A15" s="3407" t="s">
        <v>3934</v>
      </c>
      <c r="B15" s="3408"/>
      <c r="C15" s="3409"/>
      <c r="D15" s="3409"/>
      <c r="E15" s="3408"/>
      <c r="F15" s="3410"/>
      <c r="G15" s="3410"/>
      <c r="H15" s="3411">
        <f t="shared" si="0"/>
        <v>0</v>
      </c>
      <c r="I15" s="3396"/>
      <c r="J15" s="3406"/>
      <c r="K15" s="3406"/>
      <c r="L15" s="3406"/>
      <c r="M15" s="3406"/>
      <c r="N15" s="3406"/>
      <c r="O15" s="3406"/>
      <c r="P15" s="3406"/>
      <c r="Q15" s="3406"/>
      <c r="R15" s="3406"/>
      <c r="S15" s="3406"/>
      <c r="T15" s="3406"/>
      <c r="U15" s="3406"/>
      <c r="V15" s="3406"/>
      <c r="W15" s="3406"/>
      <c r="X15" s="3406"/>
      <c r="Y15" s="3406"/>
      <c r="Z15" s="3406"/>
      <c r="AA15" s="3406"/>
      <c r="AB15" s="3396"/>
      <c r="AC15" s="3396"/>
      <c r="AD15" s="3396"/>
      <c r="AE15" s="3396"/>
      <c r="AF15" s="3396"/>
      <c r="AG15" s="3396"/>
      <c r="AH15" s="3396"/>
      <c r="AI15" s="3396"/>
      <c r="AJ15" s="3396"/>
      <c r="AK15" s="3396"/>
      <c r="AL15" s="3396"/>
      <c r="AM15" s="3396"/>
      <c r="AN15" s="3396"/>
      <c r="AO15" s="3396"/>
      <c r="AP15" s="3396"/>
      <c r="AQ15" s="3396"/>
      <c r="AR15" s="3396"/>
      <c r="AS15" s="3396"/>
      <c r="AT15" s="3396"/>
      <c r="AU15" s="3396"/>
      <c r="AV15" s="3396"/>
      <c r="AW15" s="3396"/>
      <c r="AX15" s="3396"/>
      <c r="AY15" s="3396"/>
      <c r="AZ15" s="3396"/>
      <c r="BA15" s="3396"/>
      <c r="BB15" s="3396"/>
      <c r="BC15" s="3396"/>
      <c r="BD15" s="3396"/>
      <c r="BE15" s="3396"/>
      <c r="BF15" s="3396"/>
      <c r="BG15" s="3396"/>
      <c r="BH15" s="3396"/>
      <c r="BI15" s="3396"/>
      <c r="BJ15" s="3396"/>
      <c r="BK15" s="3396"/>
      <c r="BL15" s="3396"/>
      <c r="BM15" s="3396"/>
      <c r="BN15" s="3396"/>
    </row>
    <row r="16" s="687" customFormat="1" ht="13.5" customHeight="1" spans="1:66">
      <c r="A16" s="3407" t="s">
        <v>3945</v>
      </c>
      <c r="B16" s="3408"/>
      <c r="C16" s="3409"/>
      <c r="D16" s="3409"/>
      <c r="E16" s="3408"/>
      <c r="F16" s="3410"/>
      <c r="G16" s="3410"/>
      <c r="H16" s="3411">
        <f t="shared" si="0"/>
        <v>0</v>
      </c>
      <c r="I16" s="3396"/>
      <c r="J16" s="3406"/>
      <c r="K16" s="3406"/>
      <c r="L16" s="3406"/>
      <c r="M16" s="3406"/>
      <c r="N16" s="3406"/>
      <c r="O16" s="3406"/>
      <c r="P16" s="3406"/>
      <c r="Q16" s="3406"/>
      <c r="R16" s="3406"/>
      <c r="S16" s="3406"/>
      <c r="T16" s="3406"/>
      <c r="U16" s="3406"/>
      <c r="V16" s="3406"/>
      <c r="W16" s="3406"/>
      <c r="X16" s="3406"/>
      <c r="Y16" s="3406"/>
      <c r="Z16" s="3406"/>
      <c r="AA16" s="3406"/>
      <c r="AB16" s="3396"/>
      <c r="AC16" s="3396"/>
      <c r="AD16" s="3396"/>
      <c r="AE16" s="3396"/>
      <c r="AF16" s="3396"/>
      <c r="AG16" s="3396"/>
      <c r="AH16" s="3396"/>
      <c r="AI16" s="3396"/>
      <c r="AJ16" s="3396"/>
      <c r="AK16" s="3396"/>
      <c r="AL16" s="3396"/>
      <c r="AM16" s="3396"/>
      <c r="AN16" s="3396"/>
      <c r="AO16" s="3396"/>
      <c r="AP16" s="3396"/>
      <c r="AQ16" s="3396"/>
      <c r="AR16" s="3396"/>
      <c r="AS16" s="3396"/>
      <c r="AT16" s="3396"/>
      <c r="AU16" s="3396"/>
      <c r="AV16" s="3396"/>
      <c r="AW16" s="3396"/>
      <c r="AX16" s="3396"/>
      <c r="AY16" s="3396"/>
      <c r="AZ16" s="3396"/>
      <c r="BA16" s="3396"/>
      <c r="BB16" s="3396"/>
      <c r="BC16" s="3396"/>
      <c r="BD16" s="3396"/>
      <c r="BE16" s="3396"/>
      <c r="BF16" s="3396"/>
      <c r="BG16" s="3396"/>
      <c r="BH16" s="3396"/>
      <c r="BI16" s="3396"/>
      <c r="BJ16" s="3396"/>
      <c r="BK16" s="3396"/>
      <c r="BL16" s="3396"/>
      <c r="BM16" s="3396"/>
      <c r="BN16" s="3396"/>
    </row>
    <row r="17" s="687" customFormat="1" ht="13.5" customHeight="1" spans="1:66">
      <c r="A17" s="3407" t="s">
        <v>3947</v>
      </c>
      <c r="B17" s="3408"/>
      <c r="C17" s="3409"/>
      <c r="D17" s="3409"/>
      <c r="E17" s="3408"/>
      <c r="F17" s="3410"/>
      <c r="G17" s="3410"/>
      <c r="H17" s="3411">
        <f t="shared" si="0"/>
        <v>0</v>
      </c>
      <c r="I17" s="3396"/>
      <c r="J17" s="3396"/>
      <c r="K17" s="3396"/>
      <c r="L17" s="3396"/>
      <c r="M17" s="3396"/>
      <c r="N17" s="3396"/>
      <c r="O17" s="3396"/>
      <c r="P17" s="3396"/>
      <c r="Q17" s="3396"/>
      <c r="R17" s="3396"/>
      <c r="S17" s="3396"/>
      <c r="T17" s="3396"/>
      <c r="U17" s="3396"/>
      <c r="V17" s="3396"/>
      <c r="W17" s="3396"/>
      <c r="X17" s="3396"/>
      <c r="Y17" s="3396"/>
      <c r="Z17" s="3396"/>
      <c r="AA17" s="3396"/>
      <c r="AB17" s="3396"/>
      <c r="AC17" s="3396"/>
      <c r="AD17" s="3396"/>
      <c r="AE17" s="3396"/>
      <c r="AF17" s="3396"/>
      <c r="AG17" s="3396"/>
      <c r="AH17" s="3396"/>
      <c r="AI17" s="3396"/>
      <c r="AJ17" s="3396"/>
      <c r="AK17" s="3396"/>
      <c r="AL17" s="3396"/>
      <c r="AM17" s="3396"/>
      <c r="AN17" s="3396"/>
      <c r="AO17" s="3396"/>
      <c r="AP17" s="3396"/>
      <c r="AQ17" s="3396"/>
      <c r="AR17" s="3396"/>
      <c r="AS17" s="3396"/>
      <c r="AT17" s="3396"/>
      <c r="AU17" s="3396"/>
      <c r="AV17" s="3396"/>
      <c r="AW17" s="3396"/>
      <c r="AX17" s="3396"/>
      <c r="AY17" s="3396"/>
      <c r="AZ17" s="3396"/>
      <c r="BA17" s="3396"/>
      <c r="BB17" s="3396"/>
      <c r="BC17" s="3396"/>
      <c r="BD17" s="3396"/>
      <c r="BE17" s="3396"/>
      <c r="BF17" s="3396"/>
      <c r="BG17" s="3396"/>
      <c r="BH17" s="3396"/>
      <c r="BI17" s="3396"/>
      <c r="BJ17" s="3396"/>
      <c r="BK17" s="3396"/>
      <c r="BL17" s="3396"/>
      <c r="BM17" s="3396"/>
      <c r="BN17" s="3396"/>
    </row>
    <row r="18" s="687" customFormat="1" ht="13.5" customHeight="1" spans="1:66">
      <c r="A18" s="3407" t="s">
        <v>5705</v>
      </c>
      <c r="B18" s="3408"/>
      <c r="C18" s="3409"/>
      <c r="D18" s="3409"/>
      <c r="E18" s="3408"/>
      <c r="F18" s="3410"/>
      <c r="G18" s="3410"/>
      <c r="H18" s="3411">
        <f t="shared" si="0"/>
        <v>0</v>
      </c>
      <c r="I18" s="3396"/>
      <c r="J18" s="3396"/>
      <c r="K18" s="3396"/>
      <c r="L18" s="3396"/>
      <c r="M18" s="3396"/>
      <c r="N18" s="3396"/>
      <c r="O18" s="3396"/>
      <c r="P18" s="3396"/>
      <c r="Q18" s="3396"/>
      <c r="R18" s="3396"/>
      <c r="S18" s="3396"/>
      <c r="T18" s="3396"/>
      <c r="U18" s="3396"/>
      <c r="V18" s="3396"/>
      <c r="W18" s="3396"/>
      <c r="X18" s="3396"/>
      <c r="Y18" s="3396"/>
      <c r="Z18" s="3396"/>
      <c r="AA18" s="3396"/>
      <c r="AB18" s="3396"/>
      <c r="AC18" s="3396"/>
      <c r="AD18" s="3396"/>
      <c r="AE18" s="3396"/>
      <c r="AF18" s="3396"/>
      <c r="AG18" s="3396"/>
      <c r="AH18" s="3396"/>
      <c r="AI18" s="3396"/>
      <c r="AJ18" s="3396"/>
      <c r="AK18" s="3396"/>
      <c r="AL18" s="3396"/>
      <c r="AM18" s="3396"/>
      <c r="AN18" s="3396"/>
      <c r="AO18" s="3396"/>
      <c r="AP18" s="3396"/>
      <c r="AQ18" s="3396"/>
      <c r="AR18" s="3396"/>
      <c r="AS18" s="3396"/>
      <c r="AT18" s="3396"/>
      <c r="AU18" s="3396"/>
      <c r="AV18" s="3396"/>
      <c r="AW18" s="3396"/>
      <c r="AX18" s="3396"/>
      <c r="AY18" s="3396"/>
      <c r="AZ18" s="3396"/>
      <c r="BA18" s="3396"/>
      <c r="BB18" s="3396"/>
      <c r="BC18" s="3396"/>
      <c r="BD18" s="3396"/>
      <c r="BE18" s="3396"/>
      <c r="BF18" s="3396"/>
      <c r="BG18" s="3396"/>
      <c r="BH18" s="3396"/>
      <c r="BI18" s="3396"/>
      <c r="BJ18" s="3396"/>
      <c r="BK18" s="3396"/>
      <c r="BL18" s="3396"/>
      <c r="BM18" s="3396"/>
      <c r="BN18" s="3396"/>
    </row>
    <row r="19" s="687" customFormat="1" ht="13.5" customHeight="1" spans="1:66">
      <c r="A19" s="3407" t="s">
        <v>5707</v>
      </c>
      <c r="B19" s="3408"/>
      <c r="C19" s="3409"/>
      <c r="D19" s="3409"/>
      <c r="E19" s="3408"/>
      <c r="F19" s="3410"/>
      <c r="G19" s="3410"/>
      <c r="H19" s="3411">
        <f t="shared" si="0"/>
        <v>0</v>
      </c>
      <c r="I19" s="3396"/>
      <c r="J19" s="3396"/>
      <c r="K19" s="3396"/>
      <c r="L19" s="3396"/>
      <c r="M19" s="3396"/>
      <c r="N19" s="3396"/>
      <c r="O19" s="3396"/>
      <c r="P19" s="3396"/>
      <c r="Q19" s="3396"/>
      <c r="R19" s="3396"/>
      <c r="S19" s="3396"/>
      <c r="T19" s="3396"/>
      <c r="U19" s="3396"/>
      <c r="V19" s="3396"/>
      <c r="W19" s="3396"/>
      <c r="X19" s="3396"/>
      <c r="Y19" s="3396"/>
      <c r="Z19" s="3396"/>
      <c r="AA19" s="3396"/>
      <c r="AB19" s="3396"/>
      <c r="AC19" s="3396"/>
      <c r="AD19" s="3396"/>
      <c r="AE19" s="3396"/>
      <c r="AF19" s="3396"/>
      <c r="AG19" s="3396"/>
      <c r="AH19" s="3396"/>
      <c r="AI19" s="3396"/>
      <c r="AJ19" s="3396"/>
      <c r="AK19" s="3396"/>
      <c r="AL19" s="3396"/>
      <c r="AM19" s="3396"/>
      <c r="AN19" s="3396"/>
      <c r="AO19" s="3396"/>
      <c r="AP19" s="3396"/>
      <c r="AQ19" s="3396"/>
      <c r="AR19" s="3396"/>
      <c r="AS19" s="3396"/>
      <c r="AT19" s="3396"/>
      <c r="AU19" s="3396"/>
      <c r="AV19" s="3396"/>
      <c r="AW19" s="3396"/>
      <c r="AX19" s="3396"/>
      <c r="AY19" s="3396"/>
      <c r="AZ19" s="3396"/>
      <c r="BA19" s="3396"/>
      <c r="BB19" s="3396"/>
      <c r="BC19" s="3396"/>
      <c r="BD19" s="3396"/>
      <c r="BE19" s="3396"/>
      <c r="BF19" s="3396"/>
      <c r="BG19" s="3396"/>
      <c r="BH19" s="3396"/>
      <c r="BI19" s="3396"/>
      <c r="BJ19" s="3396"/>
      <c r="BK19" s="3396"/>
      <c r="BL19" s="3396"/>
      <c r="BM19" s="3396"/>
      <c r="BN19" s="3396"/>
    </row>
    <row r="20" s="687" customFormat="1" ht="13.5" customHeight="1" spans="1:66">
      <c r="A20" s="3407" t="s">
        <v>5708</v>
      </c>
      <c r="B20" s="3408"/>
      <c r="C20" s="3409"/>
      <c r="D20" s="3409"/>
      <c r="E20" s="3408"/>
      <c r="F20" s="3410"/>
      <c r="G20" s="3410"/>
      <c r="H20" s="3411">
        <f t="shared" si="0"/>
        <v>0</v>
      </c>
      <c r="I20" s="3396"/>
      <c r="J20" s="3396"/>
      <c r="K20" s="3396"/>
      <c r="L20" s="3396"/>
      <c r="M20" s="3396"/>
      <c r="N20" s="3396"/>
      <c r="O20" s="3396"/>
      <c r="P20" s="3396"/>
      <c r="Q20" s="3396"/>
      <c r="R20" s="3396"/>
      <c r="S20" s="3396"/>
      <c r="T20" s="3396"/>
      <c r="U20" s="3396"/>
      <c r="V20" s="3396"/>
      <c r="W20" s="3396"/>
      <c r="X20" s="3396"/>
      <c r="Y20" s="3396"/>
      <c r="Z20" s="3396"/>
      <c r="AA20" s="3396"/>
      <c r="AB20" s="3396"/>
      <c r="AC20" s="3396"/>
      <c r="AD20" s="3396"/>
      <c r="AE20" s="3396"/>
      <c r="AF20" s="3396"/>
      <c r="AG20" s="3396"/>
      <c r="AH20" s="3396"/>
      <c r="AI20" s="3396"/>
      <c r="AJ20" s="3396"/>
      <c r="AK20" s="3396"/>
      <c r="AL20" s="3396"/>
      <c r="AM20" s="3396"/>
      <c r="AN20" s="3396"/>
      <c r="AO20" s="3396"/>
      <c r="AP20" s="3396"/>
      <c r="AQ20" s="3396"/>
      <c r="AR20" s="3396"/>
      <c r="AS20" s="3396"/>
      <c r="AT20" s="3396"/>
      <c r="AU20" s="3396"/>
      <c r="AV20" s="3396"/>
      <c r="AW20" s="3396"/>
      <c r="AX20" s="3396"/>
      <c r="AY20" s="3396"/>
      <c r="AZ20" s="3396"/>
      <c r="BA20" s="3396"/>
      <c r="BB20" s="3396"/>
      <c r="BC20" s="3396"/>
      <c r="BD20" s="3396"/>
      <c r="BE20" s="3396"/>
      <c r="BF20" s="3396"/>
      <c r="BG20" s="3396"/>
      <c r="BH20" s="3396"/>
      <c r="BI20" s="3396"/>
      <c r="BJ20" s="3396"/>
      <c r="BK20" s="3396"/>
      <c r="BL20" s="3396"/>
      <c r="BM20" s="3396"/>
      <c r="BN20" s="3396"/>
    </row>
    <row r="21" s="687" customFormat="1" ht="13.5" customHeight="1" spans="1:66">
      <c r="A21" s="3407" t="s">
        <v>5709</v>
      </c>
      <c r="B21" s="3408"/>
      <c r="C21" s="3409"/>
      <c r="D21" s="3409"/>
      <c r="E21" s="3408"/>
      <c r="F21" s="3410"/>
      <c r="G21" s="3410"/>
      <c r="H21" s="3411">
        <f t="shared" si="0"/>
        <v>0</v>
      </c>
      <c r="I21" s="3396"/>
      <c r="J21" s="3396"/>
      <c r="K21" s="3396"/>
      <c r="L21" s="3396"/>
      <c r="M21" s="3396"/>
      <c r="N21" s="3396"/>
      <c r="O21" s="3396"/>
      <c r="P21" s="3396"/>
      <c r="Q21" s="3396"/>
      <c r="R21" s="3396"/>
      <c r="S21" s="3396"/>
      <c r="T21" s="3396"/>
      <c r="U21" s="3396"/>
      <c r="V21" s="3396"/>
      <c r="W21" s="3396"/>
      <c r="X21" s="3396"/>
      <c r="Y21" s="3396"/>
      <c r="Z21" s="3396"/>
      <c r="AA21" s="3396"/>
      <c r="AB21" s="3396"/>
      <c r="AC21" s="3396"/>
      <c r="AD21" s="3396"/>
      <c r="AE21" s="3396"/>
      <c r="AF21" s="3396"/>
      <c r="AG21" s="3396"/>
      <c r="AH21" s="3396"/>
      <c r="AI21" s="3396"/>
      <c r="AJ21" s="3396"/>
      <c r="AK21" s="3396"/>
      <c r="AL21" s="3396"/>
      <c r="AM21" s="3396"/>
      <c r="AN21" s="3396"/>
      <c r="AO21" s="3396"/>
      <c r="AP21" s="3396"/>
      <c r="AQ21" s="3396"/>
      <c r="AR21" s="3396"/>
      <c r="AS21" s="3396"/>
      <c r="AT21" s="3396"/>
      <c r="AU21" s="3396"/>
      <c r="AV21" s="3396"/>
      <c r="AW21" s="3396"/>
      <c r="AX21" s="3396"/>
      <c r="AY21" s="3396"/>
      <c r="AZ21" s="3396"/>
      <c r="BA21" s="3396"/>
      <c r="BB21" s="3396"/>
      <c r="BC21" s="3396"/>
      <c r="BD21" s="3396"/>
      <c r="BE21" s="3396"/>
      <c r="BF21" s="3396"/>
      <c r="BG21" s="3396"/>
      <c r="BH21" s="3396"/>
      <c r="BI21" s="3396"/>
      <c r="BJ21" s="3396"/>
      <c r="BK21" s="3396"/>
      <c r="BL21" s="3396"/>
      <c r="BM21" s="3396"/>
      <c r="BN21" s="3396"/>
    </row>
    <row r="22" s="687" customFormat="1" ht="13.5" customHeight="1" spans="1:66">
      <c r="A22" s="3407" t="s">
        <v>5710</v>
      </c>
      <c r="B22" s="3408"/>
      <c r="C22" s="3409"/>
      <c r="D22" s="3409"/>
      <c r="E22" s="3408"/>
      <c r="F22" s="3410"/>
      <c r="G22" s="3410"/>
      <c r="H22" s="3411">
        <f t="shared" si="0"/>
        <v>0</v>
      </c>
      <c r="I22" s="3396"/>
      <c r="J22" s="3396"/>
      <c r="K22" s="3396"/>
      <c r="L22" s="3396"/>
      <c r="M22" s="3396"/>
      <c r="N22" s="3396"/>
      <c r="O22" s="3396"/>
      <c r="P22" s="3396"/>
      <c r="Q22" s="3396"/>
      <c r="R22" s="3396"/>
      <c r="S22" s="3396"/>
      <c r="T22" s="3396"/>
      <c r="U22" s="3396"/>
      <c r="V22" s="3396"/>
      <c r="W22" s="3396"/>
      <c r="X22" s="3396"/>
      <c r="Y22" s="3396"/>
      <c r="Z22" s="3396"/>
      <c r="AA22" s="3396"/>
      <c r="AB22" s="3396"/>
      <c r="AC22" s="3396"/>
      <c r="AD22" s="3396"/>
      <c r="AE22" s="3396"/>
      <c r="AF22" s="3396"/>
      <c r="AG22" s="3396"/>
      <c r="AH22" s="3396"/>
      <c r="AI22" s="3396"/>
      <c r="AJ22" s="3396"/>
      <c r="AK22" s="3396"/>
      <c r="AL22" s="3396"/>
      <c r="AM22" s="3396"/>
      <c r="AN22" s="3396"/>
      <c r="AO22" s="3396"/>
      <c r="AP22" s="3396"/>
      <c r="AQ22" s="3396"/>
      <c r="AR22" s="3396"/>
      <c r="AS22" s="3396"/>
      <c r="AT22" s="3396"/>
      <c r="AU22" s="3396"/>
      <c r="AV22" s="3396"/>
      <c r="AW22" s="3396"/>
      <c r="AX22" s="3396"/>
      <c r="AY22" s="3396"/>
      <c r="AZ22" s="3396"/>
      <c r="BA22" s="3396"/>
      <c r="BB22" s="3396"/>
      <c r="BC22" s="3396"/>
      <c r="BD22" s="3396"/>
      <c r="BE22" s="3396"/>
      <c r="BF22" s="3396"/>
      <c r="BG22" s="3396"/>
      <c r="BH22" s="3396"/>
      <c r="BI22" s="3396"/>
      <c r="BJ22" s="3396"/>
      <c r="BK22" s="3396"/>
      <c r="BL22" s="3396"/>
      <c r="BM22" s="3396"/>
      <c r="BN22" s="3396"/>
    </row>
    <row r="23" s="687" customFormat="1" ht="13.5" customHeight="1" spans="1:66">
      <c r="A23" s="3407" t="s">
        <v>5711</v>
      </c>
      <c r="B23" s="3408"/>
      <c r="C23" s="3409"/>
      <c r="D23" s="3409"/>
      <c r="E23" s="3408"/>
      <c r="F23" s="3410"/>
      <c r="G23" s="3410"/>
      <c r="H23" s="3411">
        <f t="shared" si="0"/>
        <v>0</v>
      </c>
      <c r="I23" s="3396"/>
      <c r="J23" s="3396"/>
      <c r="K23" s="3396"/>
      <c r="L23" s="3396"/>
      <c r="M23" s="3396"/>
      <c r="N23" s="3396"/>
      <c r="O23" s="3396"/>
      <c r="P23" s="3396"/>
      <c r="Q23" s="3396"/>
      <c r="R23" s="3396"/>
      <c r="S23" s="3396"/>
      <c r="T23" s="3396"/>
      <c r="U23" s="3396"/>
      <c r="V23" s="3396"/>
      <c r="W23" s="3396"/>
      <c r="X23" s="3396"/>
      <c r="Y23" s="3396"/>
      <c r="Z23" s="3396"/>
      <c r="AA23" s="3396"/>
      <c r="AB23" s="3396"/>
      <c r="AC23" s="3396"/>
      <c r="AD23" s="3396"/>
      <c r="AE23" s="3396"/>
      <c r="AF23" s="3396"/>
      <c r="AG23" s="3396"/>
      <c r="AH23" s="3396"/>
      <c r="AI23" s="3396"/>
      <c r="AJ23" s="3396"/>
      <c r="AK23" s="3396"/>
      <c r="AL23" s="3396"/>
      <c r="AM23" s="3396"/>
      <c r="AN23" s="3396"/>
      <c r="AO23" s="3396"/>
      <c r="AP23" s="3396"/>
      <c r="AQ23" s="3396"/>
      <c r="AR23" s="3396"/>
      <c r="AS23" s="3396"/>
      <c r="AT23" s="3396"/>
      <c r="AU23" s="3396"/>
      <c r="AV23" s="3396"/>
      <c r="AW23" s="3396"/>
      <c r="AX23" s="3396"/>
      <c r="AY23" s="3396"/>
      <c r="AZ23" s="3396"/>
      <c r="BA23" s="3396"/>
      <c r="BB23" s="3396"/>
      <c r="BC23" s="3396"/>
      <c r="BD23" s="3396"/>
      <c r="BE23" s="3396"/>
      <c r="BF23" s="3396"/>
      <c r="BG23" s="3396"/>
      <c r="BH23" s="3396"/>
      <c r="BI23" s="3396"/>
      <c r="BJ23" s="3396"/>
      <c r="BK23" s="3396"/>
      <c r="BL23" s="3396"/>
      <c r="BM23" s="3396"/>
      <c r="BN23" s="3396"/>
    </row>
    <row r="24" s="687" customFormat="1" ht="13.5" customHeight="1" spans="1:66">
      <c r="A24" s="3412" t="s">
        <v>5713</v>
      </c>
      <c r="B24" s="3408"/>
      <c r="C24" s="3409"/>
      <c r="D24" s="3409"/>
      <c r="E24" s="3408"/>
      <c r="F24" s="3410"/>
      <c r="G24" s="3410"/>
      <c r="H24" s="3411">
        <f t="shared" si="0"/>
        <v>0</v>
      </c>
      <c r="I24" s="3396"/>
      <c r="J24" s="3396"/>
      <c r="K24" s="3396"/>
      <c r="L24" s="3396"/>
      <c r="M24" s="3396"/>
      <c r="N24" s="3396"/>
      <c r="O24" s="3396"/>
      <c r="P24" s="3396"/>
      <c r="Q24" s="3396"/>
      <c r="R24" s="3396"/>
      <c r="S24" s="3396"/>
      <c r="T24" s="3396"/>
      <c r="U24" s="3396"/>
      <c r="V24" s="3396"/>
      <c r="W24" s="3396"/>
      <c r="X24" s="3396"/>
      <c r="Y24" s="3396"/>
      <c r="Z24" s="3396"/>
      <c r="AA24" s="3396"/>
      <c r="AB24" s="3396"/>
      <c r="AC24" s="3396"/>
      <c r="AD24" s="3396"/>
      <c r="AE24" s="3396"/>
      <c r="AF24" s="3396"/>
      <c r="AG24" s="3396"/>
      <c r="AH24" s="3396"/>
      <c r="AI24" s="3396"/>
      <c r="AJ24" s="3396"/>
      <c r="AK24" s="3396"/>
      <c r="AL24" s="3396"/>
      <c r="AM24" s="3396"/>
      <c r="AN24" s="3396"/>
      <c r="AO24" s="3396"/>
      <c r="AP24" s="3396"/>
      <c r="AQ24" s="3396"/>
      <c r="AR24" s="3396"/>
      <c r="AS24" s="3396"/>
      <c r="AT24" s="3396"/>
      <c r="AU24" s="3396"/>
      <c r="AV24" s="3396"/>
      <c r="AW24" s="3396"/>
      <c r="AX24" s="3396"/>
      <c r="AY24" s="3396"/>
      <c r="AZ24" s="3396"/>
      <c r="BA24" s="3396"/>
      <c r="BB24" s="3396"/>
      <c r="BC24" s="3396"/>
      <c r="BD24" s="3396"/>
      <c r="BE24" s="3396"/>
      <c r="BF24" s="3396"/>
      <c r="BG24" s="3396"/>
      <c r="BH24" s="3396"/>
      <c r="BI24" s="3396"/>
      <c r="BJ24" s="3396"/>
      <c r="BK24" s="3396"/>
      <c r="BL24" s="3396"/>
      <c r="BM24" s="3396"/>
      <c r="BN24" s="3396"/>
    </row>
    <row r="25" s="687" customFormat="1" ht="13.5" hidden="1" customHeight="1" spans="1:66">
      <c r="A25" s="3407" t="s">
        <v>5714</v>
      </c>
      <c r="B25" s="3408"/>
      <c r="C25" s="3409"/>
      <c r="D25" s="3409"/>
      <c r="E25" s="3408"/>
      <c r="F25" s="3410"/>
      <c r="G25" s="3410"/>
      <c r="H25" s="3411">
        <f t="shared" si="0"/>
        <v>0</v>
      </c>
      <c r="I25" s="3396"/>
      <c r="J25" s="3396"/>
      <c r="K25" s="3396"/>
      <c r="L25" s="3396"/>
      <c r="M25" s="3396"/>
      <c r="N25" s="3396"/>
      <c r="O25" s="3396"/>
      <c r="P25" s="3396"/>
      <c r="Q25" s="3396"/>
      <c r="R25" s="3396"/>
      <c r="S25" s="3396"/>
      <c r="T25" s="3396"/>
      <c r="U25" s="3396"/>
      <c r="V25" s="3396"/>
      <c r="W25" s="3396"/>
      <c r="X25" s="3396"/>
      <c r="Y25" s="3396"/>
      <c r="Z25" s="3396"/>
      <c r="AA25" s="3396"/>
      <c r="AB25" s="3396"/>
      <c r="AC25" s="3396"/>
      <c r="AD25" s="3396"/>
      <c r="AE25" s="3396"/>
      <c r="AF25" s="3396"/>
      <c r="AG25" s="3396"/>
      <c r="AH25" s="3396"/>
      <c r="AI25" s="3396"/>
      <c r="AJ25" s="3396"/>
      <c r="AK25" s="3396"/>
      <c r="AL25" s="3396"/>
      <c r="AM25" s="3396"/>
      <c r="AN25" s="3396"/>
      <c r="AO25" s="3396"/>
      <c r="AP25" s="3396"/>
      <c r="AQ25" s="3396"/>
      <c r="AR25" s="3396"/>
      <c r="AS25" s="3396"/>
      <c r="AT25" s="3396"/>
      <c r="AU25" s="3396"/>
      <c r="AV25" s="3396"/>
      <c r="AW25" s="3396"/>
      <c r="AX25" s="3396"/>
      <c r="AY25" s="3396"/>
      <c r="AZ25" s="3396"/>
      <c r="BA25" s="3396"/>
      <c r="BB25" s="3396"/>
      <c r="BC25" s="3396"/>
      <c r="BD25" s="3396"/>
      <c r="BE25" s="3396"/>
      <c r="BF25" s="3396"/>
      <c r="BG25" s="3396"/>
      <c r="BH25" s="3396"/>
      <c r="BI25" s="3396"/>
      <c r="BJ25" s="3396"/>
      <c r="BK25" s="3396"/>
      <c r="BL25" s="3396"/>
      <c r="BM25" s="3396"/>
      <c r="BN25" s="3396"/>
    </row>
    <row r="26" s="687" customFormat="1" ht="13.5" hidden="1" customHeight="1" spans="1:66">
      <c r="A26" s="3407" t="s">
        <v>5715</v>
      </c>
      <c r="B26" s="3408"/>
      <c r="C26" s="3409"/>
      <c r="D26" s="3409"/>
      <c r="E26" s="3408"/>
      <c r="F26" s="3410"/>
      <c r="G26" s="3410"/>
      <c r="H26" s="3411">
        <f t="shared" si="0"/>
        <v>0</v>
      </c>
      <c r="I26" s="3396"/>
      <c r="J26" s="3396"/>
      <c r="K26" s="3396"/>
      <c r="L26" s="3396"/>
      <c r="M26" s="3396"/>
      <c r="N26" s="3396"/>
      <c r="O26" s="3396"/>
      <c r="P26" s="3396"/>
      <c r="Q26" s="3396"/>
      <c r="R26" s="3396"/>
      <c r="S26" s="3396"/>
      <c r="T26" s="3396"/>
      <c r="U26" s="3396"/>
      <c r="V26" s="3396"/>
      <c r="W26" s="3396"/>
      <c r="X26" s="3396"/>
      <c r="Y26" s="3396"/>
      <c r="Z26" s="3396"/>
      <c r="AA26" s="3396"/>
      <c r="AB26" s="3396"/>
      <c r="AC26" s="3396"/>
      <c r="AD26" s="3396"/>
      <c r="AE26" s="3396"/>
      <c r="AF26" s="3396"/>
      <c r="AG26" s="3396"/>
      <c r="AH26" s="3396"/>
      <c r="AI26" s="3396"/>
      <c r="AJ26" s="3396"/>
      <c r="AK26" s="3396"/>
      <c r="AL26" s="3396"/>
      <c r="AM26" s="3396"/>
      <c r="AN26" s="3396"/>
      <c r="AO26" s="3396"/>
      <c r="AP26" s="3396"/>
      <c r="AQ26" s="3396"/>
      <c r="AR26" s="3396"/>
      <c r="AS26" s="3396"/>
      <c r="AT26" s="3396"/>
      <c r="AU26" s="3396"/>
      <c r="AV26" s="3396"/>
      <c r="AW26" s="3396"/>
      <c r="AX26" s="3396"/>
      <c r="AY26" s="3396"/>
      <c r="AZ26" s="3396"/>
      <c r="BA26" s="3396"/>
      <c r="BB26" s="3396"/>
      <c r="BC26" s="3396"/>
      <c r="BD26" s="3396"/>
      <c r="BE26" s="3396"/>
      <c r="BF26" s="3396"/>
      <c r="BG26" s="3396"/>
      <c r="BH26" s="3396"/>
      <c r="BI26" s="3396"/>
      <c r="BJ26" s="3396"/>
      <c r="BK26" s="3396"/>
      <c r="BL26" s="3396"/>
      <c r="BM26" s="3396"/>
      <c r="BN26" s="3396"/>
    </row>
    <row r="27" s="687" customFormat="1" ht="13.5" hidden="1" customHeight="1" spans="1:66">
      <c r="A27" s="3407" t="s">
        <v>5716</v>
      </c>
      <c r="B27" s="3408"/>
      <c r="C27" s="3409"/>
      <c r="D27" s="3409"/>
      <c r="E27" s="3408"/>
      <c r="F27" s="3410"/>
      <c r="G27" s="3410"/>
      <c r="H27" s="3411">
        <f t="shared" si="0"/>
        <v>0</v>
      </c>
      <c r="I27" s="3396"/>
      <c r="J27" s="3396"/>
      <c r="K27" s="3396"/>
      <c r="L27" s="3396"/>
      <c r="M27" s="3396"/>
      <c r="N27" s="3396"/>
      <c r="O27" s="3396"/>
      <c r="P27" s="3396"/>
      <c r="Q27" s="3396"/>
      <c r="R27" s="3396"/>
      <c r="S27" s="3396"/>
      <c r="T27" s="3396"/>
      <c r="U27" s="3396"/>
      <c r="V27" s="3396"/>
      <c r="W27" s="3396"/>
      <c r="X27" s="3396"/>
      <c r="Y27" s="3396"/>
      <c r="Z27" s="3396"/>
      <c r="AA27" s="3396"/>
      <c r="AB27" s="3396"/>
      <c r="AC27" s="3396"/>
      <c r="AD27" s="3396"/>
      <c r="AE27" s="3396"/>
      <c r="AF27" s="3396"/>
      <c r="AG27" s="3396"/>
      <c r="AH27" s="3396"/>
      <c r="AI27" s="3396"/>
      <c r="AJ27" s="3396"/>
      <c r="AK27" s="3396"/>
      <c r="AL27" s="3396"/>
      <c r="AM27" s="3396"/>
      <c r="AN27" s="3396"/>
      <c r="AO27" s="3396"/>
      <c r="AP27" s="3396"/>
      <c r="AQ27" s="3396"/>
      <c r="AR27" s="3396"/>
      <c r="AS27" s="3396"/>
      <c r="AT27" s="3396"/>
      <c r="AU27" s="3396"/>
      <c r="AV27" s="3396"/>
      <c r="AW27" s="3396"/>
      <c r="AX27" s="3396"/>
      <c r="AY27" s="3396"/>
      <c r="AZ27" s="3396"/>
      <c r="BA27" s="3396"/>
      <c r="BB27" s="3396"/>
      <c r="BC27" s="3396"/>
      <c r="BD27" s="3396"/>
      <c r="BE27" s="3396"/>
      <c r="BF27" s="3396"/>
      <c r="BG27" s="3396"/>
      <c r="BH27" s="3396"/>
      <c r="BI27" s="3396"/>
      <c r="BJ27" s="3396"/>
      <c r="BK27" s="3396"/>
      <c r="BL27" s="3396"/>
      <c r="BM27" s="3396"/>
      <c r="BN27" s="3396"/>
    </row>
    <row r="28" s="687" customFormat="1" ht="13.5" hidden="1" customHeight="1" spans="1:66">
      <c r="A28" s="3407" t="s">
        <v>5717</v>
      </c>
      <c r="B28" s="3408"/>
      <c r="C28" s="3409"/>
      <c r="D28" s="3409"/>
      <c r="E28" s="3408"/>
      <c r="F28" s="3410"/>
      <c r="G28" s="3410"/>
      <c r="H28" s="3411">
        <f t="shared" si="0"/>
        <v>0</v>
      </c>
      <c r="I28" s="3396"/>
      <c r="J28" s="3396"/>
      <c r="K28" s="3396"/>
      <c r="L28" s="3396"/>
      <c r="M28" s="3396"/>
      <c r="N28" s="3396"/>
      <c r="O28" s="3396"/>
      <c r="P28" s="3396"/>
      <c r="Q28" s="3396"/>
      <c r="R28" s="3396"/>
      <c r="S28" s="3396"/>
      <c r="T28" s="3396"/>
      <c r="U28" s="3396"/>
      <c r="V28" s="3396"/>
      <c r="W28" s="3396"/>
      <c r="X28" s="3396"/>
      <c r="Y28" s="3396"/>
      <c r="Z28" s="3396"/>
      <c r="AA28" s="3396"/>
      <c r="AB28" s="3396"/>
      <c r="AC28" s="3396"/>
      <c r="AD28" s="3396"/>
      <c r="AE28" s="3396"/>
      <c r="AF28" s="3396"/>
      <c r="AG28" s="3396"/>
      <c r="AH28" s="3396"/>
      <c r="AI28" s="3396"/>
      <c r="AJ28" s="3396"/>
      <c r="AK28" s="3396"/>
      <c r="AL28" s="3396"/>
      <c r="AM28" s="3396"/>
      <c r="AN28" s="3396"/>
      <c r="AO28" s="3396"/>
      <c r="AP28" s="3396"/>
      <c r="AQ28" s="3396"/>
      <c r="AR28" s="3396"/>
      <c r="AS28" s="3396"/>
      <c r="AT28" s="3396"/>
      <c r="AU28" s="3396"/>
      <c r="AV28" s="3396"/>
      <c r="AW28" s="3396"/>
      <c r="AX28" s="3396"/>
      <c r="AY28" s="3396"/>
      <c r="AZ28" s="3396"/>
      <c r="BA28" s="3396"/>
      <c r="BB28" s="3396"/>
      <c r="BC28" s="3396"/>
      <c r="BD28" s="3396"/>
      <c r="BE28" s="3396"/>
      <c r="BF28" s="3396"/>
      <c r="BG28" s="3396"/>
      <c r="BH28" s="3396"/>
      <c r="BI28" s="3396"/>
      <c r="BJ28" s="3396"/>
      <c r="BK28" s="3396"/>
      <c r="BL28" s="3396"/>
      <c r="BM28" s="3396"/>
      <c r="BN28" s="3396"/>
    </row>
    <row r="29" s="687" customFormat="1" ht="13.5" hidden="1" customHeight="1" spans="1:66">
      <c r="A29" s="3407" t="s">
        <v>5718</v>
      </c>
      <c r="B29" s="3408"/>
      <c r="C29" s="3409"/>
      <c r="D29" s="3409"/>
      <c r="E29" s="3408"/>
      <c r="F29" s="3410"/>
      <c r="G29" s="3410"/>
      <c r="H29" s="3411">
        <f t="shared" si="0"/>
        <v>0</v>
      </c>
      <c r="I29" s="3396"/>
      <c r="J29" s="3396"/>
      <c r="K29" s="3396"/>
      <c r="L29" s="3396"/>
      <c r="M29" s="3396"/>
      <c r="N29" s="3396"/>
      <c r="O29" s="3396"/>
      <c r="P29" s="3396"/>
      <c r="Q29" s="3396"/>
      <c r="R29" s="3396"/>
      <c r="S29" s="3396"/>
      <c r="T29" s="3396"/>
      <c r="U29" s="3396"/>
      <c r="V29" s="3396"/>
      <c r="W29" s="3396"/>
      <c r="X29" s="3396"/>
      <c r="Y29" s="3396"/>
      <c r="Z29" s="3396"/>
      <c r="AA29" s="3396"/>
      <c r="AB29" s="3396"/>
      <c r="AC29" s="3396"/>
      <c r="AD29" s="3396"/>
      <c r="AE29" s="3396"/>
      <c r="AF29" s="3396"/>
      <c r="AG29" s="3396"/>
      <c r="AH29" s="3396"/>
      <c r="AI29" s="3396"/>
      <c r="AJ29" s="3396"/>
      <c r="AK29" s="3396"/>
      <c r="AL29" s="3396"/>
      <c r="AM29" s="3396"/>
      <c r="AN29" s="3396"/>
      <c r="AO29" s="3396"/>
      <c r="AP29" s="3396"/>
      <c r="AQ29" s="3396"/>
      <c r="AR29" s="3396"/>
      <c r="AS29" s="3396"/>
      <c r="AT29" s="3396"/>
      <c r="AU29" s="3396"/>
      <c r="AV29" s="3396"/>
      <c r="AW29" s="3396"/>
      <c r="AX29" s="3396"/>
      <c r="AY29" s="3396"/>
      <c r="AZ29" s="3396"/>
      <c r="BA29" s="3396"/>
      <c r="BB29" s="3396"/>
      <c r="BC29" s="3396"/>
      <c r="BD29" s="3396"/>
      <c r="BE29" s="3396"/>
      <c r="BF29" s="3396"/>
      <c r="BG29" s="3396"/>
      <c r="BH29" s="3396"/>
      <c r="BI29" s="3396"/>
      <c r="BJ29" s="3396"/>
      <c r="BK29" s="3396"/>
      <c r="BL29" s="3396"/>
      <c r="BM29" s="3396"/>
      <c r="BN29" s="3396"/>
    </row>
    <row r="30" s="687" customFormat="1" ht="13.5" hidden="1" customHeight="1" spans="1:66">
      <c r="A30" s="3407" t="s">
        <v>5835</v>
      </c>
      <c r="B30" s="3408"/>
      <c r="C30" s="3409"/>
      <c r="D30" s="3409"/>
      <c r="E30" s="3408"/>
      <c r="F30" s="3410"/>
      <c r="G30" s="3410"/>
      <c r="H30" s="3411">
        <f t="shared" si="0"/>
        <v>0</v>
      </c>
      <c r="I30" s="3396"/>
      <c r="J30" s="3396"/>
      <c r="K30" s="3396"/>
      <c r="L30" s="3396"/>
      <c r="M30" s="3396"/>
      <c r="N30" s="3396"/>
      <c r="O30" s="3396"/>
      <c r="P30" s="3396"/>
      <c r="Q30" s="3396"/>
      <c r="R30" s="3396"/>
      <c r="S30" s="3396"/>
      <c r="T30" s="3396"/>
      <c r="U30" s="3396"/>
      <c r="V30" s="3396"/>
      <c r="W30" s="3396"/>
      <c r="X30" s="3396"/>
      <c r="Y30" s="3396"/>
      <c r="Z30" s="3396"/>
      <c r="AA30" s="3396"/>
      <c r="AB30" s="3396"/>
      <c r="AC30" s="3396"/>
      <c r="AD30" s="3396"/>
      <c r="AE30" s="3396"/>
      <c r="AF30" s="3396"/>
      <c r="AG30" s="3396"/>
      <c r="AH30" s="3396"/>
      <c r="AI30" s="3396"/>
      <c r="AJ30" s="3396"/>
      <c r="AK30" s="3396"/>
      <c r="AL30" s="3396"/>
      <c r="AM30" s="3396"/>
      <c r="AN30" s="3396"/>
      <c r="AO30" s="3396"/>
      <c r="AP30" s="3396"/>
      <c r="AQ30" s="3396"/>
      <c r="AR30" s="3396"/>
      <c r="AS30" s="3396"/>
      <c r="AT30" s="3396"/>
      <c r="AU30" s="3396"/>
      <c r="AV30" s="3396"/>
      <c r="AW30" s="3396"/>
      <c r="AX30" s="3396"/>
      <c r="AY30" s="3396"/>
      <c r="AZ30" s="3396"/>
      <c r="BA30" s="3396"/>
      <c r="BB30" s="3396"/>
      <c r="BC30" s="3396"/>
      <c r="BD30" s="3396"/>
      <c r="BE30" s="3396"/>
      <c r="BF30" s="3396"/>
      <c r="BG30" s="3396"/>
      <c r="BH30" s="3396"/>
      <c r="BI30" s="3396"/>
      <c r="BJ30" s="3396"/>
      <c r="BK30" s="3396"/>
      <c r="BL30" s="3396"/>
      <c r="BM30" s="3396"/>
      <c r="BN30" s="3396"/>
    </row>
    <row r="31" s="687" customFormat="1" ht="13.5" hidden="1" customHeight="1" spans="1:66">
      <c r="A31" s="3407" t="s">
        <v>5837</v>
      </c>
      <c r="B31" s="3408"/>
      <c r="C31" s="3409"/>
      <c r="D31" s="3409"/>
      <c r="E31" s="3408"/>
      <c r="F31" s="3410"/>
      <c r="G31" s="3410"/>
      <c r="H31" s="3411">
        <f t="shared" si="0"/>
        <v>0</v>
      </c>
      <c r="I31" s="3396"/>
      <c r="J31" s="3396"/>
      <c r="K31" s="3396"/>
      <c r="L31" s="3396"/>
      <c r="M31" s="3396"/>
      <c r="N31" s="3396"/>
      <c r="O31" s="3396"/>
      <c r="P31" s="3396"/>
      <c r="Q31" s="3396"/>
      <c r="R31" s="3396"/>
      <c r="S31" s="3396"/>
      <c r="T31" s="3396"/>
      <c r="U31" s="3396"/>
      <c r="V31" s="3396"/>
      <c r="W31" s="3396"/>
      <c r="X31" s="3396"/>
      <c r="Y31" s="3396"/>
      <c r="Z31" s="3396"/>
      <c r="AA31" s="3396"/>
      <c r="AB31" s="3396"/>
      <c r="AC31" s="3396"/>
      <c r="AD31" s="3396"/>
      <c r="AE31" s="3396"/>
      <c r="AF31" s="3396"/>
      <c r="AG31" s="3396"/>
      <c r="AH31" s="3396"/>
      <c r="AI31" s="3396"/>
      <c r="AJ31" s="3396"/>
      <c r="AK31" s="3396"/>
      <c r="AL31" s="3396"/>
      <c r="AM31" s="3396"/>
      <c r="AN31" s="3396"/>
      <c r="AO31" s="3396"/>
      <c r="AP31" s="3396"/>
      <c r="AQ31" s="3396"/>
      <c r="AR31" s="3396"/>
      <c r="AS31" s="3396"/>
      <c r="AT31" s="3396"/>
      <c r="AU31" s="3396"/>
      <c r="AV31" s="3396"/>
      <c r="AW31" s="3396"/>
      <c r="AX31" s="3396"/>
      <c r="AY31" s="3396"/>
      <c r="AZ31" s="3396"/>
      <c r="BA31" s="3396"/>
      <c r="BB31" s="3396"/>
      <c r="BC31" s="3396"/>
      <c r="BD31" s="3396"/>
      <c r="BE31" s="3396"/>
      <c r="BF31" s="3396"/>
      <c r="BG31" s="3396"/>
      <c r="BH31" s="3396"/>
      <c r="BI31" s="3396"/>
      <c r="BJ31" s="3396"/>
      <c r="BK31" s="3396"/>
      <c r="BL31" s="3396"/>
      <c r="BM31" s="3396"/>
      <c r="BN31" s="3396"/>
    </row>
    <row r="32" s="687" customFormat="1" ht="13.5" hidden="1" customHeight="1" spans="1:66">
      <c r="A32" s="3407" t="s">
        <v>5839</v>
      </c>
      <c r="B32" s="3408"/>
      <c r="C32" s="3409"/>
      <c r="D32" s="3409"/>
      <c r="E32" s="3408"/>
      <c r="F32" s="3410"/>
      <c r="G32" s="3410"/>
      <c r="H32" s="3411">
        <f t="shared" si="0"/>
        <v>0</v>
      </c>
      <c r="I32" s="3396"/>
      <c r="J32" s="3396"/>
      <c r="K32" s="3396"/>
      <c r="L32" s="3396"/>
      <c r="M32" s="3396"/>
      <c r="N32" s="3396"/>
      <c r="O32" s="3396"/>
      <c r="P32" s="3396"/>
      <c r="Q32" s="3396"/>
      <c r="R32" s="3396"/>
      <c r="S32" s="3396"/>
      <c r="T32" s="3396"/>
      <c r="U32" s="3396"/>
      <c r="V32" s="3396"/>
      <c r="W32" s="3396"/>
      <c r="X32" s="3396"/>
      <c r="Y32" s="3396"/>
      <c r="Z32" s="3396"/>
      <c r="AA32" s="3396"/>
      <c r="AB32" s="3396"/>
      <c r="AC32" s="3396"/>
      <c r="AD32" s="3396"/>
      <c r="AE32" s="3396"/>
      <c r="AF32" s="3396"/>
      <c r="AG32" s="3396"/>
      <c r="AH32" s="3396"/>
      <c r="AI32" s="3396"/>
      <c r="AJ32" s="3396"/>
      <c r="AK32" s="3396"/>
      <c r="AL32" s="3396"/>
      <c r="AM32" s="3396"/>
      <c r="AN32" s="3396"/>
      <c r="AO32" s="3396"/>
      <c r="AP32" s="3396"/>
      <c r="AQ32" s="3396"/>
      <c r="AR32" s="3396"/>
      <c r="AS32" s="3396"/>
      <c r="AT32" s="3396"/>
      <c r="AU32" s="3396"/>
      <c r="AV32" s="3396"/>
      <c r="AW32" s="3396"/>
      <c r="AX32" s="3396"/>
      <c r="AY32" s="3396"/>
      <c r="AZ32" s="3396"/>
      <c r="BA32" s="3396"/>
      <c r="BB32" s="3396"/>
      <c r="BC32" s="3396"/>
      <c r="BD32" s="3396"/>
      <c r="BE32" s="3396"/>
      <c r="BF32" s="3396"/>
      <c r="BG32" s="3396"/>
      <c r="BH32" s="3396"/>
      <c r="BI32" s="3396"/>
      <c r="BJ32" s="3396"/>
      <c r="BK32" s="3396"/>
      <c r="BL32" s="3396"/>
      <c r="BM32" s="3396"/>
      <c r="BN32" s="3396"/>
    </row>
    <row r="33" s="687" customFormat="1" ht="13.5" hidden="1" customHeight="1" spans="1:66">
      <c r="A33" s="3407" t="s">
        <v>5841</v>
      </c>
      <c r="B33" s="3408"/>
      <c r="C33" s="3409"/>
      <c r="D33" s="3409"/>
      <c r="E33" s="3408"/>
      <c r="F33" s="3410"/>
      <c r="G33" s="3410"/>
      <c r="H33" s="3411">
        <f t="shared" si="0"/>
        <v>0</v>
      </c>
      <c r="I33" s="3396"/>
      <c r="J33" s="3396"/>
      <c r="K33" s="3396"/>
      <c r="L33" s="3396"/>
      <c r="M33" s="3396"/>
      <c r="N33" s="3396"/>
      <c r="O33" s="3396"/>
      <c r="P33" s="3396"/>
      <c r="Q33" s="3396"/>
      <c r="R33" s="3396"/>
      <c r="S33" s="3396"/>
      <c r="T33" s="3396"/>
      <c r="U33" s="3396"/>
      <c r="V33" s="3396"/>
      <c r="W33" s="3396"/>
      <c r="X33" s="3396"/>
      <c r="Y33" s="3396"/>
      <c r="Z33" s="3396"/>
      <c r="AA33" s="3396"/>
      <c r="AB33" s="3396"/>
      <c r="AC33" s="3396"/>
      <c r="AD33" s="3396"/>
      <c r="AE33" s="3396"/>
      <c r="AF33" s="3396"/>
      <c r="AG33" s="3396"/>
      <c r="AH33" s="3396"/>
      <c r="AI33" s="3396"/>
      <c r="AJ33" s="3396"/>
      <c r="AK33" s="3396"/>
      <c r="AL33" s="3396"/>
      <c r="AM33" s="3396"/>
      <c r="AN33" s="3396"/>
      <c r="AO33" s="3396"/>
      <c r="AP33" s="3396"/>
      <c r="AQ33" s="3396"/>
      <c r="AR33" s="3396"/>
      <c r="AS33" s="3396"/>
      <c r="AT33" s="3396"/>
      <c r="AU33" s="3396"/>
      <c r="AV33" s="3396"/>
      <c r="AW33" s="3396"/>
      <c r="AX33" s="3396"/>
      <c r="AY33" s="3396"/>
      <c r="AZ33" s="3396"/>
      <c r="BA33" s="3396"/>
      <c r="BB33" s="3396"/>
      <c r="BC33" s="3396"/>
      <c r="BD33" s="3396"/>
      <c r="BE33" s="3396"/>
      <c r="BF33" s="3396"/>
      <c r="BG33" s="3396"/>
      <c r="BH33" s="3396"/>
      <c r="BI33" s="3396"/>
      <c r="BJ33" s="3396"/>
      <c r="BK33" s="3396"/>
      <c r="BL33" s="3396"/>
      <c r="BM33" s="3396"/>
      <c r="BN33" s="3396"/>
    </row>
    <row r="34" s="687" customFormat="1" ht="13.5" hidden="1" customHeight="1" spans="1:66">
      <c r="A34" s="3407" t="s">
        <v>5843</v>
      </c>
      <c r="B34" s="3408"/>
      <c r="C34" s="3409"/>
      <c r="D34" s="3409"/>
      <c r="E34" s="3408"/>
      <c r="F34" s="3410"/>
      <c r="G34" s="3410"/>
      <c r="H34" s="3411">
        <f t="shared" si="0"/>
        <v>0</v>
      </c>
      <c r="I34" s="3396"/>
      <c r="J34" s="3396"/>
      <c r="K34" s="3396"/>
      <c r="L34" s="3396"/>
      <c r="M34" s="3396"/>
      <c r="N34" s="3396"/>
      <c r="O34" s="3396"/>
      <c r="P34" s="3396"/>
      <c r="Q34" s="3396"/>
      <c r="R34" s="3396"/>
      <c r="S34" s="3396"/>
      <c r="T34" s="3396"/>
      <c r="U34" s="3396"/>
      <c r="V34" s="3396"/>
      <c r="W34" s="3396"/>
      <c r="X34" s="3396"/>
      <c r="Y34" s="3396"/>
      <c r="Z34" s="3396"/>
      <c r="AA34" s="3396"/>
      <c r="AB34" s="3396"/>
      <c r="AC34" s="3396"/>
      <c r="AD34" s="3396"/>
      <c r="AE34" s="3396"/>
      <c r="AF34" s="3396"/>
      <c r="AG34" s="3396"/>
      <c r="AH34" s="3396"/>
      <c r="AI34" s="3396"/>
      <c r="AJ34" s="3396"/>
      <c r="AK34" s="3396"/>
      <c r="AL34" s="3396"/>
      <c r="AM34" s="3396"/>
      <c r="AN34" s="3396"/>
      <c r="AO34" s="3396"/>
      <c r="AP34" s="3396"/>
      <c r="AQ34" s="3396"/>
      <c r="AR34" s="3396"/>
      <c r="AS34" s="3396"/>
      <c r="AT34" s="3396"/>
      <c r="AU34" s="3396"/>
      <c r="AV34" s="3396"/>
      <c r="AW34" s="3396"/>
      <c r="AX34" s="3396"/>
      <c r="AY34" s="3396"/>
      <c r="AZ34" s="3396"/>
      <c r="BA34" s="3396"/>
      <c r="BB34" s="3396"/>
      <c r="BC34" s="3396"/>
      <c r="BD34" s="3396"/>
      <c r="BE34" s="3396"/>
      <c r="BF34" s="3396"/>
      <c r="BG34" s="3396"/>
      <c r="BH34" s="3396"/>
      <c r="BI34" s="3396"/>
      <c r="BJ34" s="3396"/>
      <c r="BK34" s="3396"/>
      <c r="BL34" s="3396"/>
      <c r="BM34" s="3396"/>
      <c r="BN34" s="3396"/>
    </row>
    <row r="35" s="687" customFormat="1" ht="13.5" hidden="1" customHeight="1" spans="1:66">
      <c r="A35" s="3407" t="s">
        <v>5845</v>
      </c>
      <c r="B35" s="3408"/>
      <c r="C35" s="3409"/>
      <c r="D35" s="3409"/>
      <c r="E35" s="3408"/>
      <c r="F35" s="3410"/>
      <c r="G35" s="3410"/>
      <c r="H35" s="3411">
        <f t="shared" si="0"/>
        <v>0</v>
      </c>
      <c r="I35" s="3396"/>
      <c r="J35" s="3396"/>
      <c r="K35" s="3396"/>
      <c r="L35" s="3396"/>
      <c r="M35" s="3396"/>
      <c r="N35" s="3396"/>
      <c r="O35" s="3396"/>
      <c r="P35" s="3396"/>
      <c r="Q35" s="3396"/>
      <c r="R35" s="3396"/>
      <c r="S35" s="3396"/>
      <c r="T35" s="3396"/>
      <c r="U35" s="3396"/>
      <c r="V35" s="3396"/>
      <c r="W35" s="3396"/>
      <c r="X35" s="3396"/>
      <c r="Y35" s="3396"/>
      <c r="Z35" s="3396"/>
      <c r="AA35" s="3396"/>
      <c r="AB35" s="3396"/>
      <c r="AC35" s="3396"/>
      <c r="AD35" s="3396"/>
      <c r="AE35" s="3396"/>
      <c r="AF35" s="3396"/>
      <c r="AG35" s="3396"/>
      <c r="AH35" s="3396"/>
      <c r="AI35" s="3396"/>
      <c r="AJ35" s="3396"/>
      <c r="AK35" s="3396"/>
      <c r="AL35" s="3396"/>
      <c r="AM35" s="3396"/>
      <c r="AN35" s="3396"/>
      <c r="AO35" s="3396"/>
      <c r="AP35" s="3396"/>
      <c r="AQ35" s="3396"/>
      <c r="AR35" s="3396"/>
      <c r="AS35" s="3396"/>
      <c r="AT35" s="3396"/>
      <c r="AU35" s="3396"/>
      <c r="AV35" s="3396"/>
      <c r="AW35" s="3396"/>
      <c r="AX35" s="3396"/>
      <c r="AY35" s="3396"/>
      <c r="AZ35" s="3396"/>
      <c r="BA35" s="3396"/>
      <c r="BB35" s="3396"/>
      <c r="BC35" s="3396"/>
      <c r="BD35" s="3396"/>
      <c r="BE35" s="3396"/>
      <c r="BF35" s="3396"/>
      <c r="BG35" s="3396"/>
      <c r="BH35" s="3396"/>
      <c r="BI35" s="3396"/>
      <c r="BJ35" s="3396"/>
      <c r="BK35" s="3396"/>
      <c r="BL35" s="3396"/>
      <c r="BM35" s="3396"/>
      <c r="BN35" s="3396"/>
    </row>
    <row r="36" s="687" customFormat="1" ht="13.5" hidden="1" customHeight="1" spans="1:66">
      <c r="A36" s="3407" t="s">
        <v>5847</v>
      </c>
      <c r="B36" s="3408"/>
      <c r="C36" s="3409"/>
      <c r="D36" s="3409"/>
      <c r="E36" s="3408"/>
      <c r="F36" s="3410"/>
      <c r="G36" s="3410"/>
      <c r="H36" s="3411">
        <f t="shared" si="0"/>
        <v>0</v>
      </c>
      <c r="I36" s="3396"/>
      <c r="J36" s="3396"/>
      <c r="K36" s="3396"/>
      <c r="L36" s="3396"/>
      <c r="M36" s="3396"/>
      <c r="N36" s="3396"/>
      <c r="O36" s="3396"/>
      <c r="P36" s="3396"/>
      <c r="Q36" s="3396"/>
      <c r="R36" s="3396"/>
      <c r="S36" s="3396"/>
      <c r="T36" s="3396"/>
      <c r="U36" s="3396"/>
      <c r="V36" s="3396"/>
      <c r="W36" s="3396"/>
      <c r="X36" s="3396"/>
      <c r="Y36" s="3396"/>
      <c r="Z36" s="3396"/>
      <c r="AA36" s="3396"/>
      <c r="AB36" s="3396"/>
      <c r="AC36" s="3396"/>
      <c r="AD36" s="3396"/>
      <c r="AE36" s="3396"/>
      <c r="AF36" s="3396"/>
      <c r="AG36" s="3396"/>
      <c r="AH36" s="3396"/>
      <c r="AI36" s="3396"/>
      <c r="AJ36" s="3396"/>
      <c r="AK36" s="3396"/>
      <c r="AL36" s="3396"/>
      <c r="AM36" s="3396"/>
      <c r="AN36" s="3396"/>
      <c r="AO36" s="3396"/>
      <c r="AP36" s="3396"/>
      <c r="AQ36" s="3396"/>
      <c r="AR36" s="3396"/>
      <c r="AS36" s="3396"/>
      <c r="AT36" s="3396"/>
      <c r="AU36" s="3396"/>
      <c r="AV36" s="3396"/>
      <c r="AW36" s="3396"/>
      <c r="AX36" s="3396"/>
      <c r="AY36" s="3396"/>
      <c r="AZ36" s="3396"/>
      <c r="BA36" s="3396"/>
      <c r="BB36" s="3396"/>
      <c r="BC36" s="3396"/>
      <c r="BD36" s="3396"/>
      <c r="BE36" s="3396"/>
      <c r="BF36" s="3396"/>
      <c r="BG36" s="3396"/>
      <c r="BH36" s="3396"/>
      <c r="BI36" s="3396"/>
      <c r="BJ36" s="3396"/>
      <c r="BK36" s="3396"/>
      <c r="BL36" s="3396"/>
      <c r="BM36" s="3396"/>
      <c r="BN36" s="3396"/>
    </row>
    <row r="37" s="687" customFormat="1" ht="13.5" hidden="1" customHeight="1" spans="1:66">
      <c r="A37" s="3407" t="s">
        <v>5849</v>
      </c>
      <c r="B37" s="3408"/>
      <c r="C37" s="3409"/>
      <c r="D37" s="3409"/>
      <c r="E37" s="3408"/>
      <c r="F37" s="3410"/>
      <c r="G37" s="3410"/>
      <c r="H37" s="3411">
        <f t="shared" si="0"/>
        <v>0</v>
      </c>
      <c r="I37" s="3396"/>
      <c r="J37" s="3396"/>
      <c r="K37" s="3396"/>
      <c r="L37" s="3396"/>
      <c r="M37" s="3396"/>
      <c r="N37" s="3396"/>
      <c r="O37" s="3396"/>
      <c r="P37" s="3396"/>
      <c r="Q37" s="3396"/>
      <c r="R37" s="3396"/>
      <c r="S37" s="3396"/>
      <c r="T37" s="3396"/>
      <c r="U37" s="3396"/>
      <c r="V37" s="3396"/>
      <c r="W37" s="3396"/>
      <c r="X37" s="3396"/>
      <c r="Y37" s="3396"/>
      <c r="Z37" s="3396"/>
      <c r="AA37" s="3396"/>
      <c r="AB37" s="3396"/>
      <c r="AC37" s="3396"/>
      <c r="AD37" s="3396"/>
      <c r="AE37" s="3396"/>
      <c r="AF37" s="3396"/>
      <c r="AG37" s="3396"/>
      <c r="AH37" s="3396"/>
      <c r="AI37" s="3396"/>
      <c r="AJ37" s="3396"/>
      <c r="AK37" s="3396"/>
      <c r="AL37" s="3396"/>
      <c r="AM37" s="3396"/>
      <c r="AN37" s="3396"/>
      <c r="AO37" s="3396"/>
      <c r="AP37" s="3396"/>
      <c r="AQ37" s="3396"/>
      <c r="AR37" s="3396"/>
      <c r="AS37" s="3396"/>
      <c r="AT37" s="3396"/>
      <c r="AU37" s="3396"/>
      <c r="AV37" s="3396"/>
      <c r="AW37" s="3396"/>
      <c r="AX37" s="3396"/>
      <c r="AY37" s="3396"/>
      <c r="AZ37" s="3396"/>
      <c r="BA37" s="3396"/>
      <c r="BB37" s="3396"/>
      <c r="BC37" s="3396"/>
      <c r="BD37" s="3396"/>
      <c r="BE37" s="3396"/>
      <c r="BF37" s="3396"/>
      <c r="BG37" s="3396"/>
      <c r="BH37" s="3396"/>
      <c r="BI37" s="3396"/>
      <c r="BJ37" s="3396"/>
      <c r="BK37" s="3396"/>
      <c r="BL37" s="3396"/>
      <c r="BM37" s="3396"/>
      <c r="BN37" s="3396"/>
    </row>
    <row r="38" s="687" customFormat="1" ht="13.5" hidden="1" customHeight="1" spans="1:66">
      <c r="A38" s="3407" t="s">
        <v>5851</v>
      </c>
      <c r="B38" s="3408"/>
      <c r="C38" s="3409"/>
      <c r="D38" s="3409"/>
      <c r="E38" s="3408"/>
      <c r="F38" s="3410"/>
      <c r="G38" s="3410"/>
      <c r="H38" s="3411">
        <f t="shared" si="0"/>
        <v>0</v>
      </c>
      <c r="I38" s="3396"/>
      <c r="J38" s="3396"/>
      <c r="K38" s="3396"/>
      <c r="L38" s="3396"/>
      <c r="M38" s="3396"/>
      <c r="N38" s="3396"/>
      <c r="O38" s="3396"/>
      <c r="P38" s="3396"/>
      <c r="Q38" s="3396"/>
      <c r="R38" s="3396"/>
      <c r="S38" s="3396"/>
      <c r="T38" s="3396"/>
      <c r="U38" s="3396"/>
      <c r="V38" s="3396"/>
      <c r="W38" s="3396"/>
      <c r="X38" s="3396"/>
      <c r="Y38" s="3396"/>
      <c r="Z38" s="3396"/>
      <c r="AA38" s="3396"/>
      <c r="AB38" s="3396"/>
      <c r="AC38" s="3396"/>
      <c r="AD38" s="3396"/>
      <c r="AE38" s="3396"/>
      <c r="AF38" s="3396"/>
      <c r="AG38" s="3396"/>
      <c r="AH38" s="3396"/>
      <c r="AI38" s="3396"/>
      <c r="AJ38" s="3396"/>
      <c r="AK38" s="3396"/>
      <c r="AL38" s="3396"/>
      <c r="AM38" s="3396"/>
      <c r="AN38" s="3396"/>
      <c r="AO38" s="3396"/>
      <c r="AP38" s="3396"/>
      <c r="AQ38" s="3396"/>
      <c r="AR38" s="3396"/>
      <c r="AS38" s="3396"/>
      <c r="AT38" s="3396"/>
      <c r="AU38" s="3396"/>
      <c r="AV38" s="3396"/>
      <c r="AW38" s="3396"/>
      <c r="AX38" s="3396"/>
      <c r="AY38" s="3396"/>
      <c r="AZ38" s="3396"/>
      <c r="BA38" s="3396"/>
      <c r="BB38" s="3396"/>
      <c r="BC38" s="3396"/>
      <c r="BD38" s="3396"/>
      <c r="BE38" s="3396"/>
      <c r="BF38" s="3396"/>
      <c r="BG38" s="3396"/>
      <c r="BH38" s="3396"/>
      <c r="BI38" s="3396"/>
      <c r="BJ38" s="3396"/>
      <c r="BK38" s="3396"/>
      <c r="BL38" s="3396"/>
      <c r="BM38" s="3396"/>
      <c r="BN38" s="3396"/>
    </row>
    <row r="39" s="687" customFormat="1" ht="13.5" hidden="1" customHeight="1" spans="1:66">
      <c r="A39" s="3407" t="s">
        <v>5853</v>
      </c>
      <c r="B39" s="3408"/>
      <c r="C39" s="3409"/>
      <c r="D39" s="3409"/>
      <c r="E39" s="3408"/>
      <c r="F39" s="3410"/>
      <c r="G39" s="3410"/>
      <c r="H39" s="3411">
        <f t="shared" si="0"/>
        <v>0</v>
      </c>
      <c r="I39" s="3396"/>
      <c r="J39" s="3396"/>
      <c r="K39" s="3396"/>
      <c r="L39" s="3396"/>
      <c r="M39" s="3396"/>
      <c r="N39" s="3396"/>
      <c r="O39" s="3396"/>
      <c r="P39" s="3396"/>
      <c r="Q39" s="3396"/>
      <c r="R39" s="3396"/>
      <c r="S39" s="3396"/>
      <c r="T39" s="3396"/>
      <c r="U39" s="3396"/>
      <c r="V39" s="3396"/>
      <c r="W39" s="3396"/>
      <c r="X39" s="3396"/>
      <c r="Y39" s="3396"/>
      <c r="Z39" s="3396"/>
      <c r="AA39" s="3396"/>
      <c r="AB39" s="3396"/>
      <c r="AC39" s="3396"/>
      <c r="AD39" s="3396"/>
      <c r="AE39" s="3396"/>
      <c r="AF39" s="3396"/>
      <c r="AG39" s="3396"/>
      <c r="AH39" s="3396"/>
      <c r="AI39" s="3396"/>
      <c r="AJ39" s="3396"/>
      <c r="AK39" s="3396"/>
      <c r="AL39" s="3396"/>
      <c r="AM39" s="3396"/>
      <c r="AN39" s="3396"/>
      <c r="AO39" s="3396"/>
      <c r="AP39" s="3396"/>
      <c r="AQ39" s="3396"/>
      <c r="AR39" s="3396"/>
      <c r="AS39" s="3396"/>
      <c r="AT39" s="3396"/>
      <c r="AU39" s="3396"/>
      <c r="AV39" s="3396"/>
      <c r="AW39" s="3396"/>
      <c r="AX39" s="3396"/>
      <c r="AY39" s="3396"/>
      <c r="AZ39" s="3396"/>
      <c r="BA39" s="3396"/>
      <c r="BB39" s="3396"/>
      <c r="BC39" s="3396"/>
      <c r="BD39" s="3396"/>
      <c r="BE39" s="3396"/>
      <c r="BF39" s="3396"/>
      <c r="BG39" s="3396"/>
      <c r="BH39" s="3396"/>
      <c r="BI39" s="3396"/>
      <c r="BJ39" s="3396"/>
      <c r="BK39" s="3396"/>
      <c r="BL39" s="3396"/>
      <c r="BM39" s="3396"/>
      <c r="BN39" s="3396"/>
    </row>
    <row r="40" s="687" customFormat="1" ht="13.5" hidden="1" customHeight="1" spans="1:66">
      <c r="A40" s="3407" t="s">
        <v>5855</v>
      </c>
      <c r="B40" s="3408"/>
      <c r="C40" s="3409"/>
      <c r="D40" s="3409"/>
      <c r="E40" s="3408"/>
      <c r="F40" s="3410"/>
      <c r="G40" s="3410"/>
      <c r="H40" s="3411">
        <f t="shared" si="0"/>
        <v>0</v>
      </c>
      <c r="I40" s="3396"/>
      <c r="J40" s="3396"/>
      <c r="K40" s="3396"/>
      <c r="L40" s="3396"/>
      <c r="M40" s="3396"/>
      <c r="N40" s="3396"/>
      <c r="O40" s="3396"/>
      <c r="P40" s="3396"/>
      <c r="Q40" s="3396"/>
      <c r="R40" s="3396"/>
      <c r="S40" s="3396"/>
      <c r="T40" s="3396"/>
      <c r="U40" s="3396"/>
      <c r="V40" s="3396"/>
      <c r="W40" s="3396"/>
      <c r="X40" s="3396"/>
      <c r="Y40" s="3396"/>
      <c r="Z40" s="3396"/>
      <c r="AA40" s="3396"/>
      <c r="AB40" s="3396"/>
      <c r="AC40" s="3396"/>
      <c r="AD40" s="3396"/>
      <c r="AE40" s="3396"/>
      <c r="AF40" s="3396"/>
      <c r="AG40" s="3396"/>
      <c r="AH40" s="3396"/>
      <c r="AI40" s="3396"/>
      <c r="AJ40" s="3396"/>
      <c r="AK40" s="3396"/>
      <c r="AL40" s="3396"/>
      <c r="AM40" s="3396"/>
      <c r="AN40" s="3396"/>
      <c r="AO40" s="3396"/>
      <c r="AP40" s="3396"/>
      <c r="AQ40" s="3396"/>
      <c r="AR40" s="3396"/>
      <c r="AS40" s="3396"/>
      <c r="AT40" s="3396"/>
      <c r="AU40" s="3396"/>
      <c r="AV40" s="3396"/>
      <c r="AW40" s="3396"/>
      <c r="AX40" s="3396"/>
      <c r="AY40" s="3396"/>
      <c r="AZ40" s="3396"/>
      <c r="BA40" s="3396"/>
      <c r="BB40" s="3396"/>
      <c r="BC40" s="3396"/>
      <c r="BD40" s="3396"/>
      <c r="BE40" s="3396"/>
      <c r="BF40" s="3396"/>
      <c r="BG40" s="3396"/>
      <c r="BH40" s="3396"/>
      <c r="BI40" s="3396"/>
      <c r="BJ40" s="3396"/>
      <c r="BK40" s="3396"/>
      <c r="BL40" s="3396"/>
      <c r="BM40" s="3396"/>
      <c r="BN40" s="3396"/>
    </row>
    <row r="41" s="687" customFormat="1" ht="13.5" hidden="1" customHeight="1" spans="1:66">
      <c r="A41" s="3407" t="s">
        <v>5856</v>
      </c>
      <c r="B41" s="3408"/>
      <c r="C41" s="3409"/>
      <c r="D41" s="3409"/>
      <c r="E41" s="3408"/>
      <c r="F41" s="3410"/>
      <c r="G41" s="3410"/>
      <c r="H41" s="3411">
        <f t="shared" si="0"/>
        <v>0</v>
      </c>
      <c r="I41" s="3396"/>
      <c r="J41" s="3396"/>
      <c r="K41" s="3396"/>
      <c r="L41" s="3396"/>
      <c r="M41" s="3396"/>
      <c r="N41" s="3396"/>
      <c r="O41" s="3396"/>
      <c r="P41" s="3396"/>
      <c r="Q41" s="3396"/>
      <c r="R41" s="3396"/>
      <c r="S41" s="3396"/>
      <c r="T41" s="3396"/>
      <c r="U41" s="3396"/>
      <c r="V41" s="3396"/>
      <c r="W41" s="3396"/>
      <c r="X41" s="3396"/>
      <c r="Y41" s="3396"/>
      <c r="Z41" s="3396"/>
      <c r="AA41" s="3396"/>
      <c r="AB41" s="3396"/>
      <c r="AC41" s="3396"/>
      <c r="AD41" s="3396"/>
      <c r="AE41" s="3396"/>
      <c r="AF41" s="3396"/>
      <c r="AG41" s="3396"/>
      <c r="AH41" s="3396"/>
      <c r="AI41" s="3396"/>
      <c r="AJ41" s="3396"/>
      <c r="AK41" s="3396"/>
      <c r="AL41" s="3396"/>
      <c r="AM41" s="3396"/>
      <c r="AN41" s="3396"/>
      <c r="AO41" s="3396"/>
      <c r="AP41" s="3396"/>
      <c r="AQ41" s="3396"/>
      <c r="AR41" s="3396"/>
      <c r="AS41" s="3396"/>
      <c r="AT41" s="3396"/>
      <c r="AU41" s="3396"/>
      <c r="AV41" s="3396"/>
      <c r="AW41" s="3396"/>
      <c r="AX41" s="3396"/>
      <c r="AY41" s="3396"/>
      <c r="AZ41" s="3396"/>
      <c r="BA41" s="3396"/>
      <c r="BB41" s="3396"/>
      <c r="BC41" s="3396"/>
      <c r="BD41" s="3396"/>
      <c r="BE41" s="3396"/>
      <c r="BF41" s="3396"/>
      <c r="BG41" s="3396"/>
      <c r="BH41" s="3396"/>
      <c r="BI41" s="3396"/>
      <c r="BJ41" s="3396"/>
      <c r="BK41" s="3396"/>
      <c r="BL41" s="3396"/>
      <c r="BM41" s="3396"/>
      <c r="BN41" s="3396"/>
    </row>
    <row r="42" s="687" customFormat="1" ht="13.5" hidden="1" customHeight="1" spans="1:66">
      <c r="A42" s="3407" t="s">
        <v>5857</v>
      </c>
      <c r="B42" s="3408"/>
      <c r="C42" s="3409"/>
      <c r="D42" s="3409"/>
      <c r="E42" s="3408"/>
      <c r="F42" s="3410"/>
      <c r="G42" s="3410"/>
      <c r="H42" s="3411">
        <f t="shared" si="0"/>
        <v>0</v>
      </c>
      <c r="I42" s="3396"/>
      <c r="J42" s="3396"/>
      <c r="K42" s="3396"/>
      <c r="L42" s="3396"/>
      <c r="M42" s="3396"/>
      <c r="N42" s="3396"/>
      <c r="O42" s="3396"/>
      <c r="P42" s="3396"/>
      <c r="Q42" s="3396"/>
      <c r="R42" s="3396"/>
      <c r="S42" s="3396"/>
      <c r="T42" s="3396"/>
      <c r="U42" s="3396"/>
      <c r="V42" s="3396"/>
      <c r="W42" s="3396"/>
      <c r="X42" s="3396"/>
      <c r="Y42" s="3396"/>
      <c r="Z42" s="3396"/>
      <c r="AA42" s="3396"/>
      <c r="AB42" s="3396"/>
      <c r="AC42" s="3396"/>
      <c r="AD42" s="3396"/>
      <c r="AE42" s="3396"/>
      <c r="AF42" s="3396"/>
      <c r="AG42" s="3396"/>
      <c r="AH42" s="3396"/>
      <c r="AI42" s="3396"/>
      <c r="AJ42" s="3396"/>
      <c r="AK42" s="3396"/>
      <c r="AL42" s="3396"/>
      <c r="AM42" s="3396"/>
      <c r="AN42" s="3396"/>
      <c r="AO42" s="3396"/>
      <c r="AP42" s="3396"/>
      <c r="AQ42" s="3396"/>
      <c r="AR42" s="3396"/>
      <c r="AS42" s="3396"/>
      <c r="AT42" s="3396"/>
      <c r="AU42" s="3396"/>
      <c r="AV42" s="3396"/>
      <c r="AW42" s="3396"/>
      <c r="AX42" s="3396"/>
      <c r="AY42" s="3396"/>
      <c r="AZ42" s="3396"/>
      <c r="BA42" s="3396"/>
      <c r="BB42" s="3396"/>
      <c r="BC42" s="3396"/>
      <c r="BD42" s="3396"/>
      <c r="BE42" s="3396"/>
      <c r="BF42" s="3396"/>
      <c r="BG42" s="3396"/>
      <c r="BH42" s="3396"/>
      <c r="BI42" s="3396"/>
      <c r="BJ42" s="3396"/>
      <c r="BK42" s="3396"/>
      <c r="BL42" s="3396"/>
      <c r="BM42" s="3396"/>
      <c r="BN42" s="3396"/>
    </row>
    <row r="43" s="687" customFormat="1" ht="13.5" hidden="1" customHeight="1" spans="1:66">
      <c r="A43" s="3407" t="s">
        <v>5859</v>
      </c>
      <c r="B43" s="3408"/>
      <c r="C43" s="3409"/>
      <c r="D43" s="3409"/>
      <c r="E43" s="3408"/>
      <c r="F43" s="3410"/>
      <c r="G43" s="3410"/>
      <c r="H43" s="3411">
        <f t="shared" si="0"/>
        <v>0</v>
      </c>
      <c r="I43" s="3396"/>
      <c r="J43" s="3396"/>
      <c r="K43" s="3396"/>
      <c r="L43" s="3396"/>
      <c r="M43" s="3396"/>
      <c r="N43" s="3396"/>
      <c r="O43" s="3396"/>
      <c r="P43" s="3396"/>
      <c r="Q43" s="3396"/>
      <c r="R43" s="3396"/>
      <c r="S43" s="3396"/>
      <c r="T43" s="3396"/>
      <c r="U43" s="3396"/>
      <c r="V43" s="3396"/>
      <c r="W43" s="3396"/>
      <c r="X43" s="3396"/>
      <c r="Y43" s="3396"/>
      <c r="Z43" s="3396"/>
      <c r="AA43" s="3396"/>
      <c r="AB43" s="3396"/>
      <c r="AC43" s="3396"/>
      <c r="AD43" s="3396"/>
      <c r="AE43" s="3396"/>
      <c r="AF43" s="3396"/>
      <c r="AG43" s="3396"/>
      <c r="AH43" s="3396"/>
      <c r="AI43" s="3396"/>
      <c r="AJ43" s="3396"/>
      <c r="AK43" s="3396"/>
      <c r="AL43" s="3396"/>
      <c r="AM43" s="3396"/>
      <c r="AN43" s="3396"/>
      <c r="AO43" s="3396"/>
      <c r="AP43" s="3396"/>
      <c r="AQ43" s="3396"/>
      <c r="AR43" s="3396"/>
      <c r="AS43" s="3396"/>
      <c r="AT43" s="3396"/>
      <c r="AU43" s="3396"/>
      <c r="AV43" s="3396"/>
      <c r="AW43" s="3396"/>
      <c r="AX43" s="3396"/>
      <c r="AY43" s="3396"/>
      <c r="AZ43" s="3396"/>
      <c r="BA43" s="3396"/>
      <c r="BB43" s="3396"/>
      <c r="BC43" s="3396"/>
      <c r="BD43" s="3396"/>
      <c r="BE43" s="3396"/>
      <c r="BF43" s="3396"/>
      <c r="BG43" s="3396"/>
      <c r="BH43" s="3396"/>
      <c r="BI43" s="3396"/>
      <c r="BJ43" s="3396"/>
      <c r="BK43" s="3396"/>
      <c r="BL43" s="3396"/>
      <c r="BM43" s="3396"/>
      <c r="BN43" s="3396"/>
    </row>
    <row r="44" s="687" customFormat="1" ht="13.5" hidden="1" customHeight="1" spans="1:66">
      <c r="A44" s="3407" t="s">
        <v>5862</v>
      </c>
      <c r="B44" s="3408"/>
      <c r="C44" s="3409"/>
      <c r="D44" s="3409"/>
      <c r="E44" s="3408"/>
      <c r="F44" s="3410"/>
      <c r="G44" s="3410"/>
      <c r="H44" s="3411">
        <f t="shared" si="0"/>
        <v>0</v>
      </c>
      <c r="I44" s="3396"/>
      <c r="J44" s="3396"/>
      <c r="K44" s="3396"/>
      <c r="L44" s="3396"/>
      <c r="M44" s="3396"/>
      <c r="N44" s="3396"/>
      <c r="O44" s="3396"/>
      <c r="P44" s="3396"/>
      <c r="Q44" s="3396"/>
      <c r="R44" s="3396"/>
      <c r="S44" s="3396"/>
      <c r="T44" s="3396"/>
      <c r="U44" s="3396"/>
      <c r="V44" s="3396"/>
      <c r="W44" s="3396"/>
      <c r="X44" s="3396"/>
      <c r="Y44" s="3396"/>
      <c r="Z44" s="3396"/>
      <c r="AA44" s="3396"/>
      <c r="AB44" s="3396"/>
      <c r="AC44" s="3396"/>
      <c r="AD44" s="3396"/>
      <c r="AE44" s="3396"/>
      <c r="AF44" s="3396"/>
      <c r="AG44" s="3396"/>
      <c r="AH44" s="3396"/>
      <c r="AI44" s="3396"/>
      <c r="AJ44" s="3396"/>
      <c r="AK44" s="3396"/>
      <c r="AL44" s="3396"/>
      <c r="AM44" s="3396"/>
      <c r="AN44" s="3396"/>
      <c r="AO44" s="3396"/>
      <c r="AP44" s="3396"/>
      <c r="AQ44" s="3396"/>
      <c r="AR44" s="3396"/>
      <c r="AS44" s="3396"/>
      <c r="AT44" s="3396"/>
      <c r="AU44" s="3396"/>
      <c r="AV44" s="3396"/>
      <c r="AW44" s="3396"/>
      <c r="AX44" s="3396"/>
      <c r="AY44" s="3396"/>
      <c r="AZ44" s="3396"/>
      <c r="BA44" s="3396"/>
      <c r="BB44" s="3396"/>
      <c r="BC44" s="3396"/>
      <c r="BD44" s="3396"/>
      <c r="BE44" s="3396"/>
      <c r="BF44" s="3396"/>
      <c r="BG44" s="3396"/>
      <c r="BH44" s="3396"/>
      <c r="BI44" s="3396"/>
      <c r="BJ44" s="3396"/>
      <c r="BK44" s="3396"/>
      <c r="BL44" s="3396"/>
      <c r="BM44" s="3396"/>
      <c r="BN44" s="3396"/>
    </row>
    <row r="45" s="687" customFormat="1" ht="13.5" hidden="1" customHeight="1" spans="1:66">
      <c r="A45" s="3407" t="s">
        <v>5864</v>
      </c>
      <c r="B45" s="3408"/>
      <c r="C45" s="3409"/>
      <c r="D45" s="3409"/>
      <c r="E45" s="3408"/>
      <c r="F45" s="3410"/>
      <c r="G45" s="3410"/>
      <c r="H45" s="3411">
        <f t="shared" si="0"/>
        <v>0</v>
      </c>
      <c r="I45" s="3396"/>
      <c r="J45" s="3396"/>
      <c r="K45" s="3396"/>
      <c r="L45" s="3396"/>
      <c r="M45" s="3396"/>
      <c r="N45" s="3396"/>
      <c r="O45" s="3396"/>
      <c r="P45" s="3396"/>
      <c r="Q45" s="3396"/>
      <c r="R45" s="3396"/>
      <c r="S45" s="3396"/>
      <c r="T45" s="3396"/>
      <c r="U45" s="3396"/>
      <c r="V45" s="3396"/>
      <c r="W45" s="3396"/>
      <c r="X45" s="3396"/>
      <c r="Y45" s="3396"/>
      <c r="Z45" s="3396"/>
      <c r="AA45" s="3396"/>
      <c r="AB45" s="3396"/>
      <c r="AC45" s="3396"/>
      <c r="AD45" s="3396"/>
      <c r="AE45" s="3396"/>
      <c r="AF45" s="3396"/>
      <c r="AG45" s="3396"/>
      <c r="AH45" s="3396"/>
      <c r="AI45" s="3396"/>
      <c r="AJ45" s="3396"/>
      <c r="AK45" s="3396"/>
      <c r="AL45" s="3396"/>
      <c r="AM45" s="3396"/>
      <c r="AN45" s="3396"/>
      <c r="AO45" s="3396"/>
      <c r="AP45" s="3396"/>
      <c r="AQ45" s="3396"/>
      <c r="AR45" s="3396"/>
      <c r="AS45" s="3396"/>
      <c r="AT45" s="3396"/>
      <c r="AU45" s="3396"/>
      <c r="AV45" s="3396"/>
      <c r="AW45" s="3396"/>
      <c r="AX45" s="3396"/>
      <c r="AY45" s="3396"/>
      <c r="AZ45" s="3396"/>
      <c r="BA45" s="3396"/>
      <c r="BB45" s="3396"/>
      <c r="BC45" s="3396"/>
      <c r="BD45" s="3396"/>
      <c r="BE45" s="3396"/>
      <c r="BF45" s="3396"/>
      <c r="BG45" s="3396"/>
      <c r="BH45" s="3396"/>
      <c r="BI45" s="3396"/>
      <c r="BJ45" s="3396"/>
      <c r="BK45" s="3396"/>
      <c r="BL45" s="3396"/>
      <c r="BM45" s="3396"/>
      <c r="BN45" s="3396"/>
    </row>
    <row r="46" s="687" customFormat="1" ht="13.5" hidden="1" customHeight="1" spans="1:66">
      <c r="A46" s="3407" t="s">
        <v>5865</v>
      </c>
      <c r="B46" s="3408"/>
      <c r="C46" s="3409"/>
      <c r="D46" s="3409"/>
      <c r="E46" s="3408"/>
      <c r="F46" s="3410"/>
      <c r="G46" s="3410"/>
      <c r="H46" s="3411">
        <f t="shared" si="0"/>
        <v>0</v>
      </c>
      <c r="I46" s="3396"/>
      <c r="J46" s="3396"/>
      <c r="K46" s="3396"/>
      <c r="L46" s="3396"/>
      <c r="M46" s="3396"/>
      <c r="N46" s="3396"/>
      <c r="O46" s="3396"/>
      <c r="P46" s="3396"/>
      <c r="Q46" s="3396"/>
      <c r="R46" s="3396"/>
      <c r="S46" s="3396"/>
      <c r="T46" s="3396"/>
      <c r="U46" s="3396"/>
      <c r="V46" s="3396"/>
      <c r="W46" s="3396"/>
      <c r="X46" s="3396"/>
      <c r="Y46" s="3396"/>
      <c r="Z46" s="3396"/>
      <c r="AA46" s="3396"/>
      <c r="AB46" s="3396"/>
      <c r="AC46" s="3396"/>
      <c r="AD46" s="3396"/>
      <c r="AE46" s="3396"/>
      <c r="AF46" s="3396"/>
      <c r="AG46" s="3396"/>
      <c r="AH46" s="3396"/>
      <c r="AI46" s="3396"/>
      <c r="AJ46" s="3396"/>
      <c r="AK46" s="3396"/>
      <c r="AL46" s="3396"/>
      <c r="AM46" s="3396"/>
      <c r="AN46" s="3396"/>
      <c r="AO46" s="3396"/>
      <c r="AP46" s="3396"/>
      <c r="AQ46" s="3396"/>
      <c r="AR46" s="3396"/>
      <c r="AS46" s="3396"/>
      <c r="AT46" s="3396"/>
      <c r="AU46" s="3396"/>
      <c r="AV46" s="3396"/>
      <c r="AW46" s="3396"/>
      <c r="AX46" s="3396"/>
      <c r="AY46" s="3396"/>
      <c r="AZ46" s="3396"/>
      <c r="BA46" s="3396"/>
      <c r="BB46" s="3396"/>
      <c r="BC46" s="3396"/>
      <c r="BD46" s="3396"/>
      <c r="BE46" s="3396"/>
      <c r="BF46" s="3396"/>
      <c r="BG46" s="3396"/>
      <c r="BH46" s="3396"/>
      <c r="BI46" s="3396"/>
      <c r="BJ46" s="3396"/>
      <c r="BK46" s="3396"/>
      <c r="BL46" s="3396"/>
      <c r="BM46" s="3396"/>
      <c r="BN46" s="3396"/>
    </row>
    <row r="47" s="687" customFormat="1" ht="13.5" hidden="1" customHeight="1" spans="1:66">
      <c r="A47" s="3407" t="s">
        <v>5867</v>
      </c>
      <c r="B47" s="3408"/>
      <c r="C47" s="3409"/>
      <c r="D47" s="3409"/>
      <c r="E47" s="3408"/>
      <c r="F47" s="3410"/>
      <c r="G47" s="3410"/>
      <c r="H47" s="3411">
        <f t="shared" si="0"/>
        <v>0</v>
      </c>
      <c r="I47" s="3396"/>
      <c r="J47" s="3396"/>
      <c r="K47" s="3396"/>
      <c r="L47" s="3396"/>
      <c r="M47" s="3396"/>
      <c r="N47" s="3396"/>
      <c r="O47" s="3396"/>
      <c r="P47" s="3396"/>
      <c r="Q47" s="3396"/>
      <c r="R47" s="3396"/>
      <c r="S47" s="3396"/>
      <c r="T47" s="3396"/>
      <c r="U47" s="3396"/>
      <c r="V47" s="3396"/>
      <c r="W47" s="3396"/>
      <c r="X47" s="3396"/>
      <c r="Y47" s="3396"/>
      <c r="Z47" s="3396"/>
      <c r="AA47" s="3396"/>
      <c r="AB47" s="3396"/>
      <c r="AC47" s="3396"/>
      <c r="AD47" s="3396"/>
      <c r="AE47" s="3396"/>
      <c r="AF47" s="3396"/>
      <c r="AG47" s="3396"/>
      <c r="AH47" s="3396"/>
      <c r="AI47" s="3396"/>
      <c r="AJ47" s="3396"/>
      <c r="AK47" s="3396"/>
      <c r="AL47" s="3396"/>
      <c r="AM47" s="3396"/>
      <c r="AN47" s="3396"/>
      <c r="AO47" s="3396"/>
      <c r="AP47" s="3396"/>
      <c r="AQ47" s="3396"/>
      <c r="AR47" s="3396"/>
      <c r="AS47" s="3396"/>
      <c r="AT47" s="3396"/>
      <c r="AU47" s="3396"/>
      <c r="AV47" s="3396"/>
      <c r="AW47" s="3396"/>
      <c r="AX47" s="3396"/>
      <c r="AY47" s="3396"/>
      <c r="AZ47" s="3396"/>
      <c r="BA47" s="3396"/>
      <c r="BB47" s="3396"/>
      <c r="BC47" s="3396"/>
      <c r="BD47" s="3396"/>
      <c r="BE47" s="3396"/>
      <c r="BF47" s="3396"/>
      <c r="BG47" s="3396"/>
      <c r="BH47" s="3396"/>
      <c r="BI47" s="3396"/>
      <c r="BJ47" s="3396"/>
      <c r="BK47" s="3396"/>
      <c r="BL47" s="3396"/>
      <c r="BM47" s="3396"/>
      <c r="BN47" s="3396"/>
    </row>
    <row r="48" s="687" customFormat="1" ht="13.5" hidden="1" customHeight="1" spans="1:66">
      <c r="A48" s="3407" t="s">
        <v>5869</v>
      </c>
      <c r="B48" s="3408"/>
      <c r="C48" s="3409"/>
      <c r="D48" s="3409"/>
      <c r="E48" s="3408"/>
      <c r="F48" s="3410"/>
      <c r="G48" s="3410"/>
      <c r="H48" s="3411">
        <f t="shared" si="0"/>
        <v>0</v>
      </c>
      <c r="I48" s="3396"/>
      <c r="J48" s="3396"/>
      <c r="K48" s="3396"/>
      <c r="L48" s="3396"/>
      <c r="M48" s="3396"/>
      <c r="N48" s="3396"/>
      <c r="O48" s="3396"/>
      <c r="P48" s="3396"/>
      <c r="Q48" s="3396"/>
      <c r="R48" s="3396"/>
      <c r="S48" s="3396"/>
      <c r="T48" s="3396"/>
      <c r="U48" s="3396"/>
      <c r="V48" s="3396"/>
      <c r="W48" s="3396"/>
      <c r="X48" s="3396"/>
      <c r="Y48" s="3396"/>
      <c r="Z48" s="3396"/>
      <c r="AA48" s="3396"/>
      <c r="AB48" s="3396"/>
      <c r="AC48" s="3396"/>
      <c r="AD48" s="3396"/>
      <c r="AE48" s="3396"/>
      <c r="AF48" s="3396"/>
      <c r="AG48" s="3396"/>
      <c r="AH48" s="3396"/>
      <c r="AI48" s="3396"/>
      <c r="AJ48" s="3396"/>
      <c r="AK48" s="3396"/>
      <c r="AL48" s="3396"/>
      <c r="AM48" s="3396"/>
      <c r="AN48" s="3396"/>
      <c r="AO48" s="3396"/>
      <c r="AP48" s="3396"/>
      <c r="AQ48" s="3396"/>
      <c r="AR48" s="3396"/>
      <c r="AS48" s="3396"/>
      <c r="AT48" s="3396"/>
      <c r="AU48" s="3396"/>
      <c r="AV48" s="3396"/>
      <c r="AW48" s="3396"/>
      <c r="AX48" s="3396"/>
      <c r="AY48" s="3396"/>
      <c r="AZ48" s="3396"/>
      <c r="BA48" s="3396"/>
      <c r="BB48" s="3396"/>
      <c r="BC48" s="3396"/>
      <c r="BD48" s="3396"/>
      <c r="BE48" s="3396"/>
      <c r="BF48" s="3396"/>
      <c r="BG48" s="3396"/>
      <c r="BH48" s="3396"/>
      <c r="BI48" s="3396"/>
      <c r="BJ48" s="3396"/>
      <c r="BK48" s="3396"/>
      <c r="BL48" s="3396"/>
      <c r="BM48" s="3396"/>
      <c r="BN48" s="3396"/>
    </row>
    <row r="49" s="687" customFormat="1" ht="13.5" hidden="1" customHeight="1" spans="1:66">
      <c r="A49" s="3407" t="s">
        <v>5871</v>
      </c>
      <c r="B49" s="3408"/>
      <c r="C49" s="3409"/>
      <c r="D49" s="3409"/>
      <c r="E49" s="3408"/>
      <c r="F49" s="3410"/>
      <c r="G49" s="3410"/>
      <c r="H49" s="3411">
        <f t="shared" si="0"/>
        <v>0</v>
      </c>
      <c r="I49" s="3396"/>
      <c r="J49" s="3396"/>
      <c r="K49" s="3396"/>
      <c r="L49" s="3396"/>
      <c r="M49" s="3396"/>
      <c r="N49" s="3396"/>
      <c r="O49" s="3396"/>
      <c r="P49" s="3396"/>
      <c r="Q49" s="3396"/>
      <c r="R49" s="3396"/>
      <c r="S49" s="3396"/>
      <c r="T49" s="3396"/>
      <c r="U49" s="3396"/>
      <c r="V49" s="3396"/>
      <c r="W49" s="3396"/>
      <c r="X49" s="3396"/>
      <c r="Y49" s="3396"/>
      <c r="Z49" s="3396"/>
      <c r="AA49" s="3396"/>
      <c r="AB49" s="3396"/>
      <c r="AC49" s="3396"/>
      <c r="AD49" s="3396"/>
      <c r="AE49" s="3396"/>
      <c r="AF49" s="3396"/>
      <c r="AG49" s="3396"/>
      <c r="AH49" s="3396"/>
      <c r="AI49" s="3396"/>
      <c r="AJ49" s="3396"/>
      <c r="AK49" s="3396"/>
      <c r="AL49" s="3396"/>
      <c r="AM49" s="3396"/>
      <c r="AN49" s="3396"/>
      <c r="AO49" s="3396"/>
      <c r="AP49" s="3396"/>
      <c r="AQ49" s="3396"/>
      <c r="AR49" s="3396"/>
      <c r="AS49" s="3396"/>
      <c r="AT49" s="3396"/>
      <c r="AU49" s="3396"/>
      <c r="AV49" s="3396"/>
      <c r="AW49" s="3396"/>
      <c r="AX49" s="3396"/>
      <c r="AY49" s="3396"/>
      <c r="AZ49" s="3396"/>
      <c r="BA49" s="3396"/>
      <c r="BB49" s="3396"/>
      <c r="BC49" s="3396"/>
      <c r="BD49" s="3396"/>
      <c r="BE49" s="3396"/>
      <c r="BF49" s="3396"/>
      <c r="BG49" s="3396"/>
      <c r="BH49" s="3396"/>
      <c r="BI49" s="3396"/>
      <c r="BJ49" s="3396"/>
      <c r="BK49" s="3396"/>
      <c r="BL49" s="3396"/>
      <c r="BM49" s="3396"/>
      <c r="BN49" s="3396"/>
    </row>
    <row r="50" s="687" customFormat="1" ht="13.5" hidden="1" customHeight="1" spans="1:66">
      <c r="A50" s="3407" t="s">
        <v>5873</v>
      </c>
      <c r="B50" s="3408"/>
      <c r="C50" s="3409"/>
      <c r="D50" s="3409"/>
      <c r="E50" s="3408"/>
      <c r="F50" s="3410"/>
      <c r="G50" s="3410"/>
      <c r="H50" s="3411">
        <f t="shared" si="0"/>
        <v>0</v>
      </c>
      <c r="I50" s="3396"/>
      <c r="J50" s="3396"/>
      <c r="K50" s="3396"/>
      <c r="L50" s="3396"/>
      <c r="M50" s="3396"/>
      <c r="N50" s="3396"/>
      <c r="O50" s="3396"/>
      <c r="P50" s="3396"/>
      <c r="Q50" s="3396"/>
      <c r="R50" s="3396"/>
      <c r="S50" s="3396"/>
      <c r="T50" s="3396"/>
      <c r="U50" s="3396"/>
      <c r="V50" s="3396"/>
      <c r="W50" s="3396"/>
      <c r="X50" s="3396"/>
      <c r="Y50" s="3396"/>
      <c r="Z50" s="3396"/>
      <c r="AA50" s="3396"/>
      <c r="AB50" s="3396"/>
      <c r="AC50" s="3396"/>
      <c r="AD50" s="3396"/>
      <c r="AE50" s="3396"/>
      <c r="AF50" s="3396"/>
      <c r="AG50" s="3396"/>
      <c r="AH50" s="3396"/>
      <c r="AI50" s="3396"/>
      <c r="AJ50" s="3396"/>
      <c r="AK50" s="3396"/>
      <c r="AL50" s="3396"/>
      <c r="AM50" s="3396"/>
      <c r="AN50" s="3396"/>
      <c r="AO50" s="3396"/>
      <c r="AP50" s="3396"/>
      <c r="AQ50" s="3396"/>
      <c r="AR50" s="3396"/>
      <c r="AS50" s="3396"/>
      <c r="AT50" s="3396"/>
      <c r="AU50" s="3396"/>
      <c r="AV50" s="3396"/>
      <c r="AW50" s="3396"/>
      <c r="AX50" s="3396"/>
      <c r="AY50" s="3396"/>
      <c r="AZ50" s="3396"/>
      <c r="BA50" s="3396"/>
      <c r="BB50" s="3396"/>
      <c r="BC50" s="3396"/>
      <c r="BD50" s="3396"/>
      <c r="BE50" s="3396"/>
      <c r="BF50" s="3396"/>
      <c r="BG50" s="3396"/>
      <c r="BH50" s="3396"/>
      <c r="BI50" s="3396"/>
      <c r="BJ50" s="3396"/>
      <c r="BK50" s="3396"/>
      <c r="BL50" s="3396"/>
      <c r="BM50" s="3396"/>
      <c r="BN50" s="3396"/>
    </row>
    <row r="51" s="687" customFormat="1" ht="13.5" hidden="1" customHeight="1" spans="1:66">
      <c r="A51" s="3407" t="s">
        <v>5875</v>
      </c>
      <c r="B51" s="3408"/>
      <c r="C51" s="3409"/>
      <c r="D51" s="3409"/>
      <c r="E51" s="3408"/>
      <c r="F51" s="3410"/>
      <c r="G51" s="3410"/>
      <c r="H51" s="3411">
        <f t="shared" si="0"/>
        <v>0</v>
      </c>
      <c r="I51" s="3396"/>
      <c r="J51" s="3396"/>
      <c r="K51" s="3396"/>
      <c r="L51" s="3396"/>
      <c r="M51" s="3396"/>
      <c r="N51" s="3396"/>
      <c r="O51" s="3396"/>
      <c r="P51" s="3396"/>
      <c r="Q51" s="3396"/>
      <c r="R51" s="3396"/>
      <c r="S51" s="3396"/>
      <c r="T51" s="3396"/>
      <c r="U51" s="3396"/>
      <c r="V51" s="3396"/>
      <c r="W51" s="3396"/>
      <c r="X51" s="3396"/>
      <c r="Y51" s="3396"/>
      <c r="Z51" s="3396"/>
      <c r="AA51" s="3396"/>
      <c r="AB51" s="3396"/>
      <c r="AC51" s="3396"/>
      <c r="AD51" s="3396"/>
      <c r="AE51" s="3396"/>
      <c r="AF51" s="3396"/>
      <c r="AG51" s="3396"/>
      <c r="AH51" s="3396"/>
      <c r="AI51" s="3396"/>
      <c r="AJ51" s="3396"/>
      <c r="AK51" s="3396"/>
      <c r="AL51" s="3396"/>
      <c r="AM51" s="3396"/>
      <c r="AN51" s="3396"/>
      <c r="AO51" s="3396"/>
      <c r="AP51" s="3396"/>
      <c r="AQ51" s="3396"/>
      <c r="AR51" s="3396"/>
      <c r="AS51" s="3396"/>
      <c r="AT51" s="3396"/>
      <c r="AU51" s="3396"/>
      <c r="AV51" s="3396"/>
      <c r="AW51" s="3396"/>
      <c r="AX51" s="3396"/>
      <c r="AY51" s="3396"/>
      <c r="AZ51" s="3396"/>
      <c r="BA51" s="3396"/>
      <c r="BB51" s="3396"/>
      <c r="BC51" s="3396"/>
      <c r="BD51" s="3396"/>
      <c r="BE51" s="3396"/>
      <c r="BF51" s="3396"/>
      <c r="BG51" s="3396"/>
      <c r="BH51" s="3396"/>
      <c r="BI51" s="3396"/>
      <c r="BJ51" s="3396"/>
      <c r="BK51" s="3396"/>
      <c r="BL51" s="3396"/>
      <c r="BM51" s="3396"/>
      <c r="BN51" s="3396"/>
    </row>
    <row r="52" s="687" customFormat="1" ht="13.5" hidden="1" customHeight="1" spans="1:66">
      <c r="A52" s="3407" t="s">
        <v>5877</v>
      </c>
      <c r="B52" s="3408"/>
      <c r="C52" s="3409"/>
      <c r="D52" s="3409"/>
      <c r="E52" s="3408"/>
      <c r="F52" s="3410"/>
      <c r="G52" s="3410"/>
      <c r="H52" s="3411">
        <f t="shared" si="0"/>
        <v>0</v>
      </c>
      <c r="I52" s="3396"/>
      <c r="J52" s="3396"/>
      <c r="K52" s="3396"/>
      <c r="L52" s="3396"/>
      <c r="M52" s="3396"/>
      <c r="N52" s="3396"/>
      <c r="O52" s="3396"/>
      <c r="P52" s="3396"/>
      <c r="Q52" s="3396"/>
      <c r="R52" s="3396"/>
      <c r="S52" s="3396"/>
      <c r="T52" s="3396"/>
      <c r="U52" s="3396"/>
      <c r="V52" s="3396"/>
      <c r="W52" s="3396"/>
      <c r="X52" s="3396"/>
      <c r="Y52" s="3396"/>
      <c r="Z52" s="3396"/>
      <c r="AA52" s="3396"/>
      <c r="AB52" s="3396"/>
      <c r="AC52" s="3396"/>
      <c r="AD52" s="3396"/>
      <c r="AE52" s="3396"/>
      <c r="AF52" s="3396"/>
      <c r="AG52" s="3396"/>
      <c r="AH52" s="3396"/>
      <c r="AI52" s="3396"/>
      <c r="AJ52" s="3396"/>
      <c r="AK52" s="3396"/>
      <c r="AL52" s="3396"/>
      <c r="AM52" s="3396"/>
      <c r="AN52" s="3396"/>
      <c r="AO52" s="3396"/>
      <c r="AP52" s="3396"/>
      <c r="AQ52" s="3396"/>
      <c r="AR52" s="3396"/>
      <c r="AS52" s="3396"/>
      <c r="AT52" s="3396"/>
      <c r="AU52" s="3396"/>
      <c r="AV52" s="3396"/>
      <c r="AW52" s="3396"/>
      <c r="AX52" s="3396"/>
      <c r="AY52" s="3396"/>
      <c r="AZ52" s="3396"/>
      <c r="BA52" s="3396"/>
      <c r="BB52" s="3396"/>
      <c r="BC52" s="3396"/>
      <c r="BD52" s="3396"/>
      <c r="BE52" s="3396"/>
      <c r="BF52" s="3396"/>
      <c r="BG52" s="3396"/>
      <c r="BH52" s="3396"/>
      <c r="BI52" s="3396"/>
      <c r="BJ52" s="3396"/>
      <c r="BK52" s="3396"/>
      <c r="BL52" s="3396"/>
      <c r="BM52" s="3396"/>
      <c r="BN52" s="3396"/>
    </row>
    <row r="53" s="687" customFormat="1" ht="13.5" hidden="1" customHeight="1" spans="1:66">
      <c r="A53" s="3407" t="s">
        <v>5879</v>
      </c>
      <c r="B53" s="3408"/>
      <c r="C53" s="3409"/>
      <c r="D53" s="3409"/>
      <c r="E53" s="3408"/>
      <c r="F53" s="3410"/>
      <c r="G53" s="3410"/>
      <c r="H53" s="3411">
        <f t="shared" si="0"/>
        <v>0</v>
      </c>
      <c r="I53" s="3396"/>
      <c r="J53" s="3396"/>
      <c r="K53" s="3396"/>
      <c r="L53" s="3396"/>
      <c r="M53" s="3396"/>
      <c r="N53" s="3396"/>
      <c r="O53" s="3396"/>
      <c r="P53" s="3396"/>
      <c r="Q53" s="3396"/>
      <c r="R53" s="3396"/>
      <c r="S53" s="3396"/>
      <c r="T53" s="3396"/>
      <c r="U53" s="3396"/>
      <c r="V53" s="3396"/>
      <c r="W53" s="3396"/>
      <c r="X53" s="3396"/>
      <c r="Y53" s="3396"/>
      <c r="Z53" s="3396"/>
      <c r="AA53" s="3396"/>
      <c r="AB53" s="3396"/>
      <c r="AC53" s="3396"/>
      <c r="AD53" s="3396"/>
      <c r="AE53" s="3396"/>
      <c r="AF53" s="3396"/>
      <c r="AG53" s="3396"/>
      <c r="AH53" s="3396"/>
      <c r="AI53" s="3396"/>
      <c r="AJ53" s="3396"/>
      <c r="AK53" s="3396"/>
      <c r="AL53" s="3396"/>
      <c r="AM53" s="3396"/>
      <c r="AN53" s="3396"/>
      <c r="AO53" s="3396"/>
      <c r="AP53" s="3396"/>
      <c r="AQ53" s="3396"/>
      <c r="AR53" s="3396"/>
      <c r="AS53" s="3396"/>
      <c r="AT53" s="3396"/>
      <c r="AU53" s="3396"/>
      <c r="AV53" s="3396"/>
      <c r="AW53" s="3396"/>
      <c r="AX53" s="3396"/>
      <c r="AY53" s="3396"/>
      <c r="AZ53" s="3396"/>
      <c r="BA53" s="3396"/>
      <c r="BB53" s="3396"/>
      <c r="BC53" s="3396"/>
      <c r="BD53" s="3396"/>
      <c r="BE53" s="3396"/>
      <c r="BF53" s="3396"/>
      <c r="BG53" s="3396"/>
      <c r="BH53" s="3396"/>
      <c r="BI53" s="3396"/>
      <c r="BJ53" s="3396"/>
      <c r="BK53" s="3396"/>
      <c r="BL53" s="3396"/>
      <c r="BM53" s="3396"/>
      <c r="BN53" s="3396"/>
    </row>
    <row r="54" s="687" customFormat="1" ht="13.5" hidden="1" customHeight="1" spans="1:66">
      <c r="A54" s="3407" t="s">
        <v>5881</v>
      </c>
      <c r="B54" s="3408"/>
      <c r="C54" s="3409"/>
      <c r="D54" s="3409"/>
      <c r="E54" s="3408"/>
      <c r="F54" s="3410"/>
      <c r="G54" s="3410"/>
      <c r="H54" s="3411">
        <f t="shared" si="0"/>
        <v>0</v>
      </c>
      <c r="I54" s="3396"/>
      <c r="J54" s="3396"/>
      <c r="K54" s="3396"/>
      <c r="L54" s="3396"/>
      <c r="M54" s="3396"/>
      <c r="N54" s="3396"/>
      <c r="O54" s="3396"/>
      <c r="P54" s="3396"/>
      <c r="Q54" s="3396"/>
      <c r="R54" s="3396"/>
      <c r="S54" s="3396"/>
      <c r="T54" s="3396"/>
      <c r="U54" s="3396"/>
      <c r="V54" s="3396"/>
      <c r="W54" s="3396"/>
      <c r="X54" s="3396"/>
      <c r="Y54" s="3396"/>
      <c r="Z54" s="3396"/>
      <c r="AA54" s="3396"/>
      <c r="AB54" s="3396"/>
      <c r="AC54" s="3396"/>
      <c r="AD54" s="3396"/>
      <c r="AE54" s="3396"/>
      <c r="AF54" s="3396"/>
      <c r="AG54" s="3396"/>
      <c r="AH54" s="3396"/>
      <c r="AI54" s="3396"/>
      <c r="AJ54" s="3396"/>
      <c r="AK54" s="3396"/>
      <c r="AL54" s="3396"/>
      <c r="AM54" s="3396"/>
      <c r="AN54" s="3396"/>
      <c r="AO54" s="3396"/>
      <c r="AP54" s="3396"/>
      <c r="AQ54" s="3396"/>
      <c r="AR54" s="3396"/>
      <c r="AS54" s="3396"/>
      <c r="AT54" s="3396"/>
      <c r="AU54" s="3396"/>
      <c r="AV54" s="3396"/>
      <c r="AW54" s="3396"/>
      <c r="AX54" s="3396"/>
      <c r="AY54" s="3396"/>
      <c r="AZ54" s="3396"/>
      <c r="BA54" s="3396"/>
      <c r="BB54" s="3396"/>
      <c r="BC54" s="3396"/>
      <c r="BD54" s="3396"/>
      <c r="BE54" s="3396"/>
      <c r="BF54" s="3396"/>
      <c r="BG54" s="3396"/>
      <c r="BH54" s="3396"/>
      <c r="BI54" s="3396"/>
      <c r="BJ54" s="3396"/>
      <c r="BK54" s="3396"/>
      <c r="BL54" s="3396"/>
      <c r="BM54" s="3396"/>
      <c r="BN54" s="3396"/>
    </row>
    <row r="55" s="687" customFormat="1" ht="13.5" hidden="1" customHeight="1" spans="1:66">
      <c r="A55" s="3407" t="s">
        <v>5882</v>
      </c>
      <c r="B55" s="3408"/>
      <c r="C55" s="3409"/>
      <c r="D55" s="3409"/>
      <c r="E55" s="3408"/>
      <c r="F55" s="3410"/>
      <c r="G55" s="3410"/>
      <c r="H55" s="3411">
        <f t="shared" si="0"/>
        <v>0</v>
      </c>
      <c r="I55" s="3396"/>
      <c r="J55" s="3396"/>
      <c r="K55" s="3396"/>
      <c r="L55" s="3396"/>
      <c r="M55" s="3396"/>
      <c r="N55" s="3396"/>
      <c r="O55" s="3396"/>
      <c r="P55" s="3396"/>
      <c r="Q55" s="3396"/>
      <c r="R55" s="3396"/>
      <c r="S55" s="3396"/>
      <c r="T55" s="3396"/>
      <c r="U55" s="3396"/>
      <c r="V55" s="3396"/>
      <c r="W55" s="3396"/>
      <c r="X55" s="3396"/>
      <c r="Y55" s="3396"/>
      <c r="Z55" s="3396"/>
      <c r="AA55" s="3396"/>
      <c r="AB55" s="3396"/>
      <c r="AC55" s="3396"/>
      <c r="AD55" s="3396"/>
      <c r="AE55" s="3396"/>
      <c r="AF55" s="3396"/>
      <c r="AG55" s="3396"/>
      <c r="AH55" s="3396"/>
      <c r="AI55" s="3396"/>
      <c r="AJ55" s="3396"/>
      <c r="AK55" s="3396"/>
      <c r="AL55" s="3396"/>
      <c r="AM55" s="3396"/>
      <c r="AN55" s="3396"/>
      <c r="AO55" s="3396"/>
      <c r="AP55" s="3396"/>
      <c r="AQ55" s="3396"/>
      <c r="AR55" s="3396"/>
      <c r="AS55" s="3396"/>
      <c r="AT55" s="3396"/>
      <c r="AU55" s="3396"/>
      <c r="AV55" s="3396"/>
      <c r="AW55" s="3396"/>
      <c r="AX55" s="3396"/>
      <c r="AY55" s="3396"/>
      <c r="AZ55" s="3396"/>
      <c r="BA55" s="3396"/>
      <c r="BB55" s="3396"/>
      <c r="BC55" s="3396"/>
      <c r="BD55" s="3396"/>
      <c r="BE55" s="3396"/>
      <c r="BF55" s="3396"/>
      <c r="BG55" s="3396"/>
      <c r="BH55" s="3396"/>
      <c r="BI55" s="3396"/>
      <c r="BJ55" s="3396"/>
      <c r="BK55" s="3396"/>
      <c r="BL55" s="3396"/>
      <c r="BM55" s="3396"/>
      <c r="BN55" s="3396"/>
    </row>
    <row r="56" s="687" customFormat="1" ht="13.5" hidden="1" customHeight="1" spans="1:66">
      <c r="A56" s="3407" t="s">
        <v>5884</v>
      </c>
      <c r="B56" s="3408"/>
      <c r="C56" s="3409"/>
      <c r="D56" s="3409"/>
      <c r="E56" s="3408"/>
      <c r="F56" s="3410"/>
      <c r="G56" s="3410"/>
      <c r="H56" s="3411">
        <f t="shared" si="0"/>
        <v>0</v>
      </c>
      <c r="I56" s="3396"/>
      <c r="J56" s="3396"/>
      <c r="K56" s="3396"/>
      <c r="L56" s="3396"/>
      <c r="M56" s="3396"/>
      <c r="N56" s="3396"/>
      <c r="O56" s="3396"/>
      <c r="P56" s="3396"/>
      <c r="Q56" s="3396"/>
      <c r="R56" s="3396"/>
      <c r="S56" s="3396"/>
      <c r="T56" s="3396"/>
      <c r="U56" s="3396"/>
      <c r="V56" s="3396"/>
      <c r="W56" s="3396"/>
      <c r="X56" s="3396"/>
      <c r="Y56" s="3396"/>
      <c r="Z56" s="3396"/>
      <c r="AA56" s="3396"/>
      <c r="AB56" s="3396"/>
      <c r="AC56" s="3396"/>
      <c r="AD56" s="3396"/>
      <c r="AE56" s="3396"/>
      <c r="AF56" s="3396"/>
      <c r="AG56" s="3396"/>
      <c r="AH56" s="3396"/>
      <c r="AI56" s="3396"/>
      <c r="AJ56" s="3396"/>
      <c r="AK56" s="3396"/>
      <c r="AL56" s="3396"/>
      <c r="AM56" s="3396"/>
      <c r="AN56" s="3396"/>
      <c r="AO56" s="3396"/>
      <c r="AP56" s="3396"/>
      <c r="AQ56" s="3396"/>
      <c r="AR56" s="3396"/>
      <c r="AS56" s="3396"/>
      <c r="AT56" s="3396"/>
      <c r="AU56" s="3396"/>
      <c r="AV56" s="3396"/>
      <c r="AW56" s="3396"/>
      <c r="AX56" s="3396"/>
      <c r="AY56" s="3396"/>
      <c r="AZ56" s="3396"/>
      <c r="BA56" s="3396"/>
      <c r="BB56" s="3396"/>
      <c r="BC56" s="3396"/>
      <c r="BD56" s="3396"/>
      <c r="BE56" s="3396"/>
      <c r="BF56" s="3396"/>
      <c r="BG56" s="3396"/>
      <c r="BH56" s="3396"/>
      <c r="BI56" s="3396"/>
      <c r="BJ56" s="3396"/>
      <c r="BK56" s="3396"/>
      <c r="BL56" s="3396"/>
      <c r="BM56" s="3396"/>
      <c r="BN56" s="3396"/>
    </row>
    <row r="57" s="687" customFormat="1" ht="13.5" hidden="1" customHeight="1" spans="1:66">
      <c r="A57" s="3407" t="s">
        <v>5886</v>
      </c>
      <c r="B57" s="3408"/>
      <c r="C57" s="3409"/>
      <c r="D57" s="3409"/>
      <c r="E57" s="3408"/>
      <c r="F57" s="3410"/>
      <c r="G57" s="3410"/>
      <c r="H57" s="3411">
        <f t="shared" si="0"/>
        <v>0</v>
      </c>
      <c r="I57" s="3396"/>
      <c r="J57" s="3396"/>
      <c r="K57" s="3396"/>
      <c r="L57" s="3396"/>
      <c r="M57" s="3396"/>
      <c r="N57" s="3396"/>
      <c r="O57" s="3396"/>
      <c r="P57" s="3396"/>
      <c r="Q57" s="3396"/>
      <c r="R57" s="3396"/>
      <c r="S57" s="3396"/>
      <c r="T57" s="3396"/>
      <c r="U57" s="3396"/>
      <c r="V57" s="3396"/>
      <c r="W57" s="3396"/>
      <c r="X57" s="3396"/>
      <c r="Y57" s="3396"/>
      <c r="Z57" s="3396"/>
      <c r="AA57" s="3396"/>
      <c r="AB57" s="3396"/>
      <c r="AC57" s="3396"/>
      <c r="AD57" s="3396"/>
      <c r="AE57" s="3396"/>
      <c r="AF57" s="3396"/>
      <c r="AG57" s="3396"/>
      <c r="AH57" s="3396"/>
      <c r="AI57" s="3396"/>
      <c r="AJ57" s="3396"/>
      <c r="AK57" s="3396"/>
      <c r="AL57" s="3396"/>
      <c r="AM57" s="3396"/>
      <c r="AN57" s="3396"/>
      <c r="AO57" s="3396"/>
      <c r="AP57" s="3396"/>
      <c r="AQ57" s="3396"/>
      <c r="AR57" s="3396"/>
      <c r="AS57" s="3396"/>
      <c r="AT57" s="3396"/>
      <c r="AU57" s="3396"/>
      <c r="AV57" s="3396"/>
      <c r="AW57" s="3396"/>
      <c r="AX57" s="3396"/>
      <c r="AY57" s="3396"/>
      <c r="AZ57" s="3396"/>
      <c r="BA57" s="3396"/>
      <c r="BB57" s="3396"/>
      <c r="BC57" s="3396"/>
      <c r="BD57" s="3396"/>
      <c r="BE57" s="3396"/>
      <c r="BF57" s="3396"/>
      <c r="BG57" s="3396"/>
      <c r="BH57" s="3396"/>
      <c r="BI57" s="3396"/>
      <c r="BJ57" s="3396"/>
      <c r="BK57" s="3396"/>
      <c r="BL57" s="3396"/>
      <c r="BM57" s="3396"/>
      <c r="BN57" s="3396"/>
    </row>
    <row r="58" s="687" customFormat="1" ht="13.5" hidden="1" customHeight="1" spans="1:66">
      <c r="A58" s="3407" t="s">
        <v>5888</v>
      </c>
      <c r="B58" s="3408"/>
      <c r="C58" s="3409"/>
      <c r="D58" s="3409"/>
      <c r="E58" s="3408"/>
      <c r="F58" s="3410"/>
      <c r="G58" s="3410"/>
      <c r="H58" s="3411">
        <f t="shared" si="0"/>
        <v>0</v>
      </c>
      <c r="I58" s="3396"/>
      <c r="J58" s="3396"/>
      <c r="K58" s="3396"/>
      <c r="L58" s="3396"/>
      <c r="M58" s="3396"/>
      <c r="N58" s="3396"/>
      <c r="O58" s="3396"/>
      <c r="P58" s="3396"/>
      <c r="Q58" s="3396"/>
      <c r="R58" s="3396"/>
      <c r="S58" s="3396"/>
      <c r="T58" s="3396"/>
      <c r="U58" s="3396"/>
      <c r="V58" s="3396"/>
      <c r="W58" s="3396"/>
      <c r="X58" s="3396"/>
      <c r="Y58" s="3396"/>
      <c r="Z58" s="3396"/>
      <c r="AA58" s="3396"/>
      <c r="AB58" s="3396"/>
      <c r="AC58" s="3396"/>
      <c r="AD58" s="3396"/>
      <c r="AE58" s="3396"/>
      <c r="AF58" s="3396"/>
      <c r="AG58" s="3396"/>
      <c r="AH58" s="3396"/>
      <c r="AI58" s="3396"/>
      <c r="AJ58" s="3396"/>
      <c r="AK58" s="3396"/>
      <c r="AL58" s="3396"/>
      <c r="AM58" s="3396"/>
      <c r="AN58" s="3396"/>
      <c r="AO58" s="3396"/>
      <c r="AP58" s="3396"/>
      <c r="AQ58" s="3396"/>
      <c r="AR58" s="3396"/>
      <c r="AS58" s="3396"/>
      <c r="AT58" s="3396"/>
      <c r="AU58" s="3396"/>
      <c r="AV58" s="3396"/>
      <c r="AW58" s="3396"/>
      <c r="AX58" s="3396"/>
      <c r="AY58" s="3396"/>
      <c r="AZ58" s="3396"/>
      <c r="BA58" s="3396"/>
      <c r="BB58" s="3396"/>
      <c r="BC58" s="3396"/>
      <c r="BD58" s="3396"/>
      <c r="BE58" s="3396"/>
      <c r="BF58" s="3396"/>
      <c r="BG58" s="3396"/>
      <c r="BH58" s="3396"/>
      <c r="BI58" s="3396"/>
      <c r="BJ58" s="3396"/>
      <c r="BK58" s="3396"/>
      <c r="BL58" s="3396"/>
      <c r="BM58" s="3396"/>
      <c r="BN58" s="3396"/>
    </row>
    <row r="59" s="687" customFormat="1" ht="13.5" hidden="1" customHeight="1" spans="1:66">
      <c r="A59" s="3407" t="s">
        <v>5890</v>
      </c>
      <c r="B59" s="3408"/>
      <c r="C59" s="3409"/>
      <c r="D59" s="3409"/>
      <c r="E59" s="3408"/>
      <c r="F59" s="3410"/>
      <c r="G59" s="3410"/>
      <c r="H59" s="3411">
        <f t="shared" si="0"/>
        <v>0</v>
      </c>
      <c r="I59" s="3396"/>
      <c r="J59" s="3396"/>
      <c r="K59" s="3396"/>
      <c r="L59" s="3396"/>
      <c r="M59" s="3396"/>
      <c r="N59" s="3396"/>
      <c r="O59" s="3396"/>
      <c r="P59" s="3396"/>
      <c r="Q59" s="3396"/>
      <c r="R59" s="3396"/>
      <c r="S59" s="3396"/>
      <c r="T59" s="3396"/>
      <c r="U59" s="3396"/>
      <c r="V59" s="3396"/>
      <c r="W59" s="3396"/>
      <c r="X59" s="3396"/>
      <c r="Y59" s="3396"/>
      <c r="Z59" s="3396"/>
      <c r="AA59" s="3396"/>
      <c r="AB59" s="3396"/>
      <c r="AC59" s="3396"/>
      <c r="AD59" s="3396"/>
      <c r="AE59" s="3396"/>
      <c r="AF59" s="3396"/>
      <c r="AG59" s="3396"/>
      <c r="AH59" s="3396"/>
      <c r="AI59" s="3396"/>
      <c r="AJ59" s="3396"/>
      <c r="AK59" s="3396"/>
      <c r="AL59" s="3396"/>
      <c r="AM59" s="3396"/>
      <c r="AN59" s="3396"/>
      <c r="AO59" s="3396"/>
      <c r="AP59" s="3396"/>
      <c r="AQ59" s="3396"/>
      <c r="AR59" s="3396"/>
      <c r="AS59" s="3396"/>
      <c r="AT59" s="3396"/>
      <c r="AU59" s="3396"/>
      <c r="AV59" s="3396"/>
      <c r="AW59" s="3396"/>
      <c r="AX59" s="3396"/>
      <c r="AY59" s="3396"/>
      <c r="AZ59" s="3396"/>
      <c r="BA59" s="3396"/>
      <c r="BB59" s="3396"/>
      <c r="BC59" s="3396"/>
      <c r="BD59" s="3396"/>
      <c r="BE59" s="3396"/>
      <c r="BF59" s="3396"/>
      <c r="BG59" s="3396"/>
      <c r="BH59" s="3396"/>
      <c r="BI59" s="3396"/>
      <c r="BJ59" s="3396"/>
      <c r="BK59" s="3396"/>
      <c r="BL59" s="3396"/>
      <c r="BM59" s="3396"/>
      <c r="BN59" s="3396"/>
    </row>
    <row r="60" s="687" customFormat="1" ht="13.5" hidden="1" customHeight="1" spans="1:66">
      <c r="A60" s="3407" t="s">
        <v>5892</v>
      </c>
      <c r="B60" s="3408"/>
      <c r="C60" s="3409"/>
      <c r="D60" s="3409"/>
      <c r="E60" s="3408"/>
      <c r="F60" s="3410"/>
      <c r="G60" s="3410"/>
      <c r="H60" s="3411">
        <f t="shared" si="0"/>
        <v>0</v>
      </c>
      <c r="I60" s="3396"/>
      <c r="J60" s="3396"/>
      <c r="K60" s="3396"/>
      <c r="L60" s="3396"/>
      <c r="M60" s="3396"/>
      <c r="N60" s="3396"/>
      <c r="O60" s="3396"/>
      <c r="P60" s="3396"/>
      <c r="Q60" s="3396"/>
      <c r="R60" s="3396"/>
      <c r="S60" s="3396"/>
      <c r="T60" s="3396"/>
      <c r="U60" s="3396"/>
      <c r="V60" s="3396"/>
      <c r="W60" s="3396"/>
      <c r="X60" s="3396"/>
      <c r="Y60" s="3396"/>
      <c r="Z60" s="3396"/>
      <c r="AA60" s="3396"/>
      <c r="AB60" s="3396"/>
      <c r="AC60" s="3396"/>
      <c r="AD60" s="3396"/>
      <c r="AE60" s="3396"/>
      <c r="AF60" s="3396"/>
      <c r="AG60" s="3396"/>
      <c r="AH60" s="3396"/>
      <c r="AI60" s="3396"/>
      <c r="AJ60" s="3396"/>
      <c r="AK60" s="3396"/>
      <c r="AL60" s="3396"/>
      <c r="AM60" s="3396"/>
      <c r="AN60" s="3396"/>
      <c r="AO60" s="3396"/>
      <c r="AP60" s="3396"/>
      <c r="AQ60" s="3396"/>
      <c r="AR60" s="3396"/>
      <c r="AS60" s="3396"/>
      <c r="AT60" s="3396"/>
      <c r="AU60" s="3396"/>
      <c r="AV60" s="3396"/>
      <c r="AW60" s="3396"/>
      <c r="AX60" s="3396"/>
      <c r="AY60" s="3396"/>
      <c r="AZ60" s="3396"/>
      <c r="BA60" s="3396"/>
      <c r="BB60" s="3396"/>
      <c r="BC60" s="3396"/>
      <c r="BD60" s="3396"/>
      <c r="BE60" s="3396"/>
      <c r="BF60" s="3396"/>
      <c r="BG60" s="3396"/>
      <c r="BH60" s="3396"/>
      <c r="BI60" s="3396"/>
      <c r="BJ60" s="3396"/>
      <c r="BK60" s="3396"/>
      <c r="BL60" s="3396"/>
      <c r="BM60" s="3396"/>
      <c r="BN60" s="3396"/>
    </row>
    <row r="61" s="687" customFormat="1" ht="13.5" hidden="1" customHeight="1" spans="1:66">
      <c r="A61" s="3407" t="s">
        <v>5894</v>
      </c>
      <c r="B61" s="3408"/>
      <c r="C61" s="3409"/>
      <c r="D61" s="3409"/>
      <c r="E61" s="3408"/>
      <c r="F61" s="3410"/>
      <c r="G61" s="3410"/>
      <c r="H61" s="3411">
        <f t="shared" si="0"/>
        <v>0</v>
      </c>
      <c r="I61" s="3396"/>
      <c r="J61" s="3396"/>
      <c r="K61" s="3396"/>
      <c r="L61" s="3396"/>
      <c r="M61" s="3396"/>
      <c r="N61" s="3396"/>
      <c r="O61" s="3396"/>
      <c r="P61" s="3396"/>
      <c r="Q61" s="3396"/>
      <c r="R61" s="3396"/>
      <c r="S61" s="3396"/>
      <c r="T61" s="3396"/>
      <c r="U61" s="3396"/>
      <c r="V61" s="3396"/>
      <c r="W61" s="3396"/>
      <c r="X61" s="3396"/>
      <c r="Y61" s="3396"/>
      <c r="Z61" s="3396"/>
      <c r="AA61" s="3396"/>
      <c r="AB61" s="3396"/>
      <c r="AC61" s="3396"/>
      <c r="AD61" s="3396"/>
      <c r="AE61" s="3396"/>
      <c r="AF61" s="3396"/>
      <c r="AG61" s="3396"/>
      <c r="AH61" s="3396"/>
      <c r="AI61" s="3396"/>
      <c r="AJ61" s="3396"/>
      <c r="AK61" s="3396"/>
      <c r="AL61" s="3396"/>
      <c r="AM61" s="3396"/>
      <c r="AN61" s="3396"/>
      <c r="AO61" s="3396"/>
      <c r="AP61" s="3396"/>
      <c r="AQ61" s="3396"/>
      <c r="AR61" s="3396"/>
      <c r="AS61" s="3396"/>
      <c r="AT61" s="3396"/>
      <c r="AU61" s="3396"/>
      <c r="AV61" s="3396"/>
      <c r="AW61" s="3396"/>
      <c r="AX61" s="3396"/>
      <c r="AY61" s="3396"/>
      <c r="AZ61" s="3396"/>
      <c r="BA61" s="3396"/>
      <c r="BB61" s="3396"/>
      <c r="BC61" s="3396"/>
      <c r="BD61" s="3396"/>
      <c r="BE61" s="3396"/>
      <c r="BF61" s="3396"/>
      <c r="BG61" s="3396"/>
      <c r="BH61" s="3396"/>
      <c r="BI61" s="3396"/>
      <c r="BJ61" s="3396"/>
      <c r="BK61" s="3396"/>
      <c r="BL61" s="3396"/>
      <c r="BM61" s="3396"/>
      <c r="BN61" s="3396"/>
    </row>
    <row r="62" s="687" customFormat="1" ht="13.5" hidden="1" customHeight="1" spans="1:66">
      <c r="A62" s="3407" t="s">
        <v>5896</v>
      </c>
      <c r="B62" s="3408"/>
      <c r="C62" s="3409"/>
      <c r="D62" s="3409"/>
      <c r="E62" s="3408"/>
      <c r="F62" s="3410"/>
      <c r="G62" s="3410"/>
      <c r="H62" s="3411">
        <f t="shared" si="0"/>
        <v>0</v>
      </c>
      <c r="I62" s="3396"/>
      <c r="J62" s="3396"/>
      <c r="K62" s="3396"/>
      <c r="L62" s="3396"/>
      <c r="M62" s="3396"/>
      <c r="N62" s="3396"/>
      <c r="O62" s="3396"/>
      <c r="P62" s="3396"/>
      <c r="Q62" s="3396"/>
      <c r="R62" s="3396"/>
      <c r="S62" s="3396"/>
      <c r="T62" s="3396"/>
      <c r="U62" s="3396"/>
      <c r="V62" s="3396"/>
      <c r="W62" s="3396"/>
      <c r="X62" s="3396"/>
      <c r="Y62" s="3396"/>
      <c r="Z62" s="3396"/>
      <c r="AA62" s="3396"/>
      <c r="AB62" s="3396"/>
      <c r="AC62" s="3396"/>
      <c r="AD62" s="3396"/>
      <c r="AE62" s="3396"/>
      <c r="AF62" s="3396"/>
      <c r="AG62" s="3396"/>
      <c r="AH62" s="3396"/>
      <c r="AI62" s="3396"/>
      <c r="AJ62" s="3396"/>
      <c r="AK62" s="3396"/>
      <c r="AL62" s="3396"/>
      <c r="AM62" s="3396"/>
      <c r="AN62" s="3396"/>
      <c r="AO62" s="3396"/>
      <c r="AP62" s="3396"/>
      <c r="AQ62" s="3396"/>
      <c r="AR62" s="3396"/>
      <c r="AS62" s="3396"/>
      <c r="AT62" s="3396"/>
      <c r="AU62" s="3396"/>
      <c r="AV62" s="3396"/>
      <c r="AW62" s="3396"/>
      <c r="AX62" s="3396"/>
      <c r="AY62" s="3396"/>
      <c r="AZ62" s="3396"/>
      <c r="BA62" s="3396"/>
      <c r="BB62" s="3396"/>
      <c r="BC62" s="3396"/>
      <c r="BD62" s="3396"/>
      <c r="BE62" s="3396"/>
      <c r="BF62" s="3396"/>
      <c r="BG62" s="3396"/>
      <c r="BH62" s="3396"/>
      <c r="BI62" s="3396"/>
      <c r="BJ62" s="3396"/>
      <c r="BK62" s="3396"/>
      <c r="BL62" s="3396"/>
      <c r="BM62" s="3396"/>
      <c r="BN62" s="3396"/>
    </row>
    <row r="63" s="687" customFormat="1" ht="13.5" hidden="1" customHeight="1" spans="1:66">
      <c r="A63" s="3407" t="s">
        <v>5898</v>
      </c>
      <c r="B63" s="3408"/>
      <c r="C63" s="3409"/>
      <c r="D63" s="3409"/>
      <c r="E63" s="3408"/>
      <c r="F63" s="3410"/>
      <c r="G63" s="3410"/>
      <c r="H63" s="3411">
        <f t="shared" si="0"/>
        <v>0</v>
      </c>
      <c r="I63" s="3396"/>
      <c r="J63" s="3396"/>
      <c r="K63" s="3396"/>
      <c r="L63" s="3396"/>
      <c r="M63" s="3396"/>
      <c r="N63" s="3396"/>
      <c r="O63" s="3396"/>
      <c r="P63" s="3396"/>
      <c r="Q63" s="3396"/>
      <c r="R63" s="3396"/>
      <c r="S63" s="3396"/>
      <c r="T63" s="3396"/>
      <c r="U63" s="3396"/>
      <c r="V63" s="3396"/>
      <c r="W63" s="3396"/>
      <c r="X63" s="3396"/>
      <c r="Y63" s="3396"/>
      <c r="Z63" s="3396"/>
      <c r="AA63" s="3396"/>
      <c r="AB63" s="3396"/>
      <c r="AC63" s="3396"/>
      <c r="AD63" s="3396"/>
      <c r="AE63" s="3396"/>
      <c r="AF63" s="3396"/>
      <c r="AG63" s="3396"/>
      <c r="AH63" s="3396"/>
      <c r="AI63" s="3396"/>
      <c r="AJ63" s="3396"/>
      <c r="AK63" s="3396"/>
      <c r="AL63" s="3396"/>
      <c r="AM63" s="3396"/>
      <c r="AN63" s="3396"/>
      <c r="AO63" s="3396"/>
      <c r="AP63" s="3396"/>
      <c r="AQ63" s="3396"/>
      <c r="AR63" s="3396"/>
      <c r="AS63" s="3396"/>
      <c r="AT63" s="3396"/>
      <c r="AU63" s="3396"/>
      <c r="AV63" s="3396"/>
      <c r="AW63" s="3396"/>
      <c r="AX63" s="3396"/>
      <c r="AY63" s="3396"/>
      <c r="AZ63" s="3396"/>
      <c r="BA63" s="3396"/>
      <c r="BB63" s="3396"/>
      <c r="BC63" s="3396"/>
      <c r="BD63" s="3396"/>
      <c r="BE63" s="3396"/>
      <c r="BF63" s="3396"/>
      <c r="BG63" s="3396"/>
      <c r="BH63" s="3396"/>
      <c r="BI63" s="3396"/>
      <c r="BJ63" s="3396"/>
      <c r="BK63" s="3396"/>
      <c r="BL63" s="3396"/>
      <c r="BM63" s="3396"/>
      <c r="BN63" s="3396"/>
    </row>
    <row r="64" s="687" customFormat="1" ht="13.5" hidden="1" customHeight="1" spans="1:66">
      <c r="A64" s="3407" t="s">
        <v>5900</v>
      </c>
      <c r="B64" s="3408"/>
      <c r="C64" s="3409"/>
      <c r="D64" s="3409"/>
      <c r="E64" s="3408"/>
      <c r="F64" s="3410"/>
      <c r="G64" s="3410"/>
      <c r="H64" s="3411">
        <f t="shared" si="0"/>
        <v>0</v>
      </c>
      <c r="I64" s="3396"/>
      <c r="J64" s="3396"/>
      <c r="K64" s="3396"/>
      <c r="L64" s="3396"/>
      <c r="M64" s="3396"/>
      <c r="N64" s="3396"/>
      <c r="O64" s="3396"/>
      <c r="P64" s="3396"/>
      <c r="Q64" s="3396"/>
      <c r="R64" s="3396"/>
      <c r="S64" s="3396"/>
      <c r="T64" s="3396"/>
      <c r="U64" s="3396"/>
      <c r="V64" s="3396"/>
      <c r="W64" s="3396"/>
      <c r="X64" s="3396"/>
      <c r="Y64" s="3396"/>
      <c r="Z64" s="3396"/>
      <c r="AA64" s="3396"/>
      <c r="AB64" s="3396"/>
      <c r="AC64" s="3396"/>
      <c r="AD64" s="3396"/>
      <c r="AE64" s="3396"/>
      <c r="AF64" s="3396"/>
      <c r="AG64" s="3396"/>
      <c r="AH64" s="3396"/>
      <c r="AI64" s="3396"/>
      <c r="AJ64" s="3396"/>
      <c r="AK64" s="3396"/>
      <c r="AL64" s="3396"/>
      <c r="AM64" s="3396"/>
      <c r="AN64" s="3396"/>
      <c r="AO64" s="3396"/>
      <c r="AP64" s="3396"/>
      <c r="AQ64" s="3396"/>
      <c r="AR64" s="3396"/>
      <c r="AS64" s="3396"/>
      <c r="AT64" s="3396"/>
      <c r="AU64" s="3396"/>
      <c r="AV64" s="3396"/>
      <c r="AW64" s="3396"/>
      <c r="AX64" s="3396"/>
      <c r="AY64" s="3396"/>
      <c r="AZ64" s="3396"/>
      <c r="BA64" s="3396"/>
      <c r="BB64" s="3396"/>
      <c r="BC64" s="3396"/>
      <c r="BD64" s="3396"/>
      <c r="BE64" s="3396"/>
      <c r="BF64" s="3396"/>
      <c r="BG64" s="3396"/>
      <c r="BH64" s="3396"/>
      <c r="BI64" s="3396"/>
      <c r="BJ64" s="3396"/>
      <c r="BK64" s="3396"/>
      <c r="BL64" s="3396"/>
      <c r="BM64" s="3396"/>
      <c r="BN64" s="3396"/>
    </row>
    <row r="65" s="687" customFormat="1" ht="13.5" hidden="1" customHeight="1" spans="1:66">
      <c r="A65" s="3407" t="s">
        <v>5902</v>
      </c>
      <c r="B65" s="3408"/>
      <c r="C65" s="3409"/>
      <c r="D65" s="3409"/>
      <c r="E65" s="3408"/>
      <c r="F65" s="3410"/>
      <c r="G65" s="3410"/>
      <c r="H65" s="3411">
        <f t="shared" si="0"/>
        <v>0</v>
      </c>
      <c r="I65" s="3396"/>
      <c r="J65" s="3396"/>
      <c r="K65" s="3396"/>
      <c r="L65" s="3396"/>
      <c r="M65" s="3396"/>
      <c r="N65" s="3396"/>
      <c r="O65" s="3396"/>
      <c r="P65" s="3396"/>
      <c r="Q65" s="3396"/>
      <c r="R65" s="3396"/>
      <c r="S65" s="3396"/>
      <c r="T65" s="3396"/>
      <c r="U65" s="3396"/>
      <c r="V65" s="3396"/>
      <c r="W65" s="3396"/>
      <c r="X65" s="3396"/>
      <c r="Y65" s="3396"/>
      <c r="Z65" s="3396"/>
      <c r="AA65" s="3396"/>
      <c r="AB65" s="3396"/>
      <c r="AC65" s="3396"/>
      <c r="AD65" s="3396"/>
      <c r="AE65" s="3396"/>
      <c r="AF65" s="3396"/>
      <c r="AG65" s="3396"/>
      <c r="AH65" s="3396"/>
      <c r="AI65" s="3396"/>
      <c r="AJ65" s="3396"/>
      <c r="AK65" s="3396"/>
      <c r="AL65" s="3396"/>
      <c r="AM65" s="3396"/>
      <c r="AN65" s="3396"/>
      <c r="AO65" s="3396"/>
      <c r="AP65" s="3396"/>
      <c r="AQ65" s="3396"/>
      <c r="AR65" s="3396"/>
      <c r="AS65" s="3396"/>
      <c r="AT65" s="3396"/>
      <c r="AU65" s="3396"/>
      <c r="AV65" s="3396"/>
      <c r="AW65" s="3396"/>
      <c r="AX65" s="3396"/>
      <c r="AY65" s="3396"/>
      <c r="AZ65" s="3396"/>
      <c r="BA65" s="3396"/>
      <c r="BB65" s="3396"/>
      <c r="BC65" s="3396"/>
      <c r="BD65" s="3396"/>
      <c r="BE65" s="3396"/>
      <c r="BF65" s="3396"/>
      <c r="BG65" s="3396"/>
      <c r="BH65" s="3396"/>
      <c r="BI65" s="3396"/>
      <c r="BJ65" s="3396"/>
      <c r="BK65" s="3396"/>
      <c r="BL65" s="3396"/>
      <c r="BM65" s="3396"/>
      <c r="BN65" s="3396"/>
    </row>
    <row r="66" s="687" customFormat="1" ht="13.5" hidden="1" customHeight="1" spans="1:66">
      <c r="A66" s="3407" t="s">
        <v>5904</v>
      </c>
      <c r="B66" s="3408"/>
      <c r="C66" s="3409"/>
      <c r="D66" s="3409"/>
      <c r="E66" s="3408"/>
      <c r="F66" s="3410"/>
      <c r="G66" s="3410"/>
      <c r="H66" s="3411">
        <f t="shared" si="0"/>
        <v>0</v>
      </c>
      <c r="I66" s="3396"/>
      <c r="J66" s="3396"/>
      <c r="K66" s="3396"/>
      <c r="L66" s="3396"/>
      <c r="M66" s="3396"/>
      <c r="N66" s="3396"/>
      <c r="O66" s="3396"/>
      <c r="P66" s="3396"/>
      <c r="Q66" s="3396"/>
      <c r="R66" s="3396"/>
      <c r="S66" s="3396"/>
      <c r="T66" s="3396"/>
      <c r="U66" s="3396"/>
      <c r="V66" s="3396"/>
      <c r="W66" s="3396"/>
      <c r="X66" s="3396"/>
      <c r="Y66" s="3396"/>
      <c r="Z66" s="3396"/>
      <c r="AA66" s="3396"/>
      <c r="AB66" s="3396"/>
      <c r="AC66" s="3396"/>
      <c r="AD66" s="3396"/>
      <c r="AE66" s="3396"/>
      <c r="AF66" s="3396"/>
      <c r="AG66" s="3396"/>
      <c r="AH66" s="3396"/>
      <c r="AI66" s="3396"/>
      <c r="AJ66" s="3396"/>
      <c r="AK66" s="3396"/>
      <c r="AL66" s="3396"/>
      <c r="AM66" s="3396"/>
      <c r="AN66" s="3396"/>
      <c r="AO66" s="3396"/>
      <c r="AP66" s="3396"/>
      <c r="AQ66" s="3396"/>
      <c r="AR66" s="3396"/>
      <c r="AS66" s="3396"/>
      <c r="AT66" s="3396"/>
      <c r="AU66" s="3396"/>
      <c r="AV66" s="3396"/>
      <c r="AW66" s="3396"/>
      <c r="AX66" s="3396"/>
      <c r="AY66" s="3396"/>
      <c r="AZ66" s="3396"/>
      <c r="BA66" s="3396"/>
      <c r="BB66" s="3396"/>
      <c r="BC66" s="3396"/>
      <c r="BD66" s="3396"/>
      <c r="BE66" s="3396"/>
      <c r="BF66" s="3396"/>
      <c r="BG66" s="3396"/>
      <c r="BH66" s="3396"/>
      <c r="BI66" s="3396"/>
      <c r="BJ66" s="3396"/>
      <c r="BK66" s="3396"/>
      <c r="BL66" s="3396"/>
      <c r="BM66" s="3396"/>
      <c r="BN66" s="3396"/>
    </row>
    <row r="67" s="687" customFormat="1" ht="13.5" hidden="1" customHeight="1" spans="1:66">
      <c r="A67" s="3407" t="s">
        <v>5908</v>
      </c>
      <c r="B67" s="3408"/>
      <c r="C67" s="3409"/>
      <c r="D67" s="3409"/>
      <c r="E67" s="3408"/>
      <c r="F67" s="3410"/>
      <c r="G67" s="3410"/>
      <c r="H67" s="3411">
        <f t="shared" si="0"/>
        <v>0</v>
      </c>
      <c r="I67" s="3396"/>
      <c r="J67" s="3396"/>
      <c r="K67" s="3396"/>
      <c r="L67" s="3396"/>
      <c r="M67" s="3396"/>
      <c r="N67" s="3396"/>
      <c r="O67" s="3396"/>
      <c r="P67" s="3396"/>
      <c r="Q67" s="3396"/>
      <c r="R67" s="3396"/>
      <c r="S67" s="3396"/>
      <c r="T67" s="3396"/>
      <c r="U67" s="3396"/>
      <c r="V67" s="3396"/>
      <c r="W67" s="3396"/>
      <c r="X67" s="3396"/>
      <c r="Y67" s="3396"/>
      <c r="Z67" s="3396"/>
      <c r="AA67" s="3396"/>
      <c r="AB67" s="3396"/>
      <c r="AC67" s="3396"/>
      <c r="AD67" s="3396"/>
      <c r="AE67" s="3396"/>
      <c r="AF67" s="3396"/>
      <c r="AG67" s="3396"/>
      <c r="AH67" s="3396"/>
      <c r="AI67" s="3396"/>
      <c r="AJ67" s="3396"/>
      <c r="AK67" s="3396"/>
      <c r="AL67" s="3396"/>
      <c r="AM67" s="3396"/>
      <c r="AN67" s="3396"/>
      <c r="AO67" s="3396"/>
      <c r="AP67" s="3396"/>
      <c r="AQ67" s="3396"/>
      <c r="AR67" s="3396"/>
      <c r="AS67" s="3396"/>
      <c r="AT67" s="3396"/>
      <c r="AU67" s="3396"/>
      <c r="AV67" s="3396"/>
      <c r="AW67" s="3396"/>
      <c r="AX67" s="3396"/>
      <c r="AY67" s="3396"/>
      <c r="AZ67" s="3396"/>
      <c r="BA67" s="3396"/>
      <c r="BB67" s="3396"/>
      <c r="BC67" s="3396"/>
      <c r="BD67" s="3396"/>
      <c r="BE67" s="3396"/>
      <c r="BF67" s="3396"/>
      <c r="BG67" s="3396"/>
      <c r="BH67" s="3396"/>
      <c r="BI67" s="3396"/>
      <c r="BJ67" s="3396"/>
      <c r="BK67" s="3396"/>
      <c r="BL67" s="3396"/>
      <c r="BM67" s="3396"/>
      <c r="BN67" s="3396"/>
    </row>
    <row r="68" s="687" customFormat="1" ht="13.5" hidden="1" customHeight="1" spans="1:66">
      <c r="A68" s="3407" t="s">
        <v>5910</v>
      </c>
      <c r="B68" s="3408"/>
      <c r="C68" s="3409"/>
      <c r="D68" s="3409"/>
      <c r="E68" s="3408"/>
      <c r="F68" s="3410"/>
      <c r="G68" s="3410"/>
      <c r="H68" s="3411">
        <f t="shared" si="0"/>
        <v>0</v>
      </c>
      <c r="I68" s="3396"/>
      <c r="J68" s="3396"/>
      <c r="K68" s="3396"/>
      <c r="L68" s="3396"/>
      <c r="M68" s="3396"/>
      <c r="N68" s="3396"/>
      <c r="O68" s="3396"/>
      <c r="P68" s="3396"/>
      <c r="Q68" s="3396"/>
      <c r="R68" s="3396"/>
      <c r="S68" s="3396"/>
      <c r="T68" s="3396"/>
      <c r="U68" s="3396"/>
      <c r="V68" s="3396"/>
      <c r="W68" s="3396"/>
      <c r="X68" s="3396"/>
      <c r="Y68" s="3396"/>
      <c r="Z68" s="3396"/>
      <c r="AA68" s="3396"/>
      <c r="AB68" s="3396"/>
      <c r="AC68" s="3396"/>
      <c r="AD68" s="3396"/>
      <c r="AE68" s="3396"/>
      <c r="AF68" s="3396"/>
      <c r="AG68" s="3396"/>
      <c r="AH68" s="3396"/>
      <c r="AI68" s="3396"/>
      <c r="AJ68" s="3396"/>
      <c r="AK68" s="3396"/>
      <c r="AL68" s="3396"/>
      <c r="AM68" s="3396"/>
      <c r="AN68" s="3396"/>
      <c r="AO68" s="3396"/>
      <c r="AP68" s="3396"/>
      <c r="AQ68" s="3396"/>
      <c r="AR68" s="3396"/>
      <c r="AS68" s="3396"/>
      <c r="AT68" s="3396"/>
      <c r="AU68" s="3396"/>
      <c r="AV68" s="3396"/>
      <c r="AW68" s="3396"/>
      <c r="AX68" s="3396"/>
      <c r="AY68" s="3396"/>
      <c r="AZ68" s="3396"/>
      <c r="BA68" s="3396"/>
      <c r="BB68" s="3396"/>
      <c r="BC68" s="3396"/>
      <c r="BD68" s="3396"/>
      <c r="BE68" s="3396"/>
      <c r="BF68" s="3396"/>
      <c r="BG68" s="3396"/>
      <c r="BH68" s="3396"/>
      <c r="BI68" s="3396"/>
      <c r="BJ68" s="3396"/>
      <c r="BK68" s="3396"/>
      <c r="BL68" s="3396"/>
      <c r="BM68" s="3396"/>
      <c r="BN68" s="3396"/>
    </row>
    <row r="69" s="687" customFormat="1" ht="13.5" hidden="1" customHeight="1" spans="1:66">
      <c r="A69" s="3407" t="s">
        <v>5914</v>
      </c>
      <c r="B69" s="3408"/>
      <c r="C69" s="3409"/>
      <c r="D69" s="3409"/>
      <c r="E69" s="3408"/>
      <c r="F69" s="3410"/>
      <c r="G69" s="3410"/>
      <c r="H69" s="3411">
        <f t="shared" si="0"/>
        <v>0</v>
      </c>
      <c r="I69" s="3396"/>
      <c r="J69" s="3396"/>
      <c r="K69" s="3396"/>
      <c r="L69" s="3396"/>
      <c r="M69" s="3396"/>
      <c r="N69" s="3396"/>
      <c r="O69" s="3396"/>
      <c r="P69" s="3396"/>
      <c r="Q69" s="3396"/>
      <c r="R69" s="3396"/>
      <c r="S69" s="3396"/>
      <c r="T69" s="3396"/>
      <c r="U69" s="3396"/>
      <c r="V69" s="3396"/>
      <c r="W69" s="3396"/>
      <c r="X69" s="3396"/>
      <c r="Y69" s="3396"/>
      <c r="Z69" s="3396"/>
      <c r="AA69" s="3396"/>
      <c r="AB69" s="3396"/>
      <c r="AC69" s="3396"/>
      <c r="AD69" s="3396"/>
      <c r="AE69" s="3396"/>
      <c r="AF69" s="3396"/>
      <c r="AG69" s="3396"/>
      <c r="AH69" s="3396"/>
      <c r="AI69" s="3396"/>
      <c r="AJ69" s="3396"/>
      <c r="AK69" s="3396"/>
      <c r="AL69" s="3396"/>
      <c r="AM69" s="3396"/>
      <c r="AN69" s="3396"/>
      <c r="AO69" s="3396"/>
      <c r="AP69" s="3396"/>
      <c r="AQ69" s="3396"/>
      <c r="AR69" s="3396"/>
      <c r="AS69" s="3396"/>
      <c r="AT69" s="3396"/>
      <c r="AU69" s="3396"/>
      <c r="AV69" s="3396"/>
      <c r="AW69" s="3396"/>
      <c r="AX69" s="3396"/>
      <c r="AY69" s="3396"/>
      <c r="AZ69" s="3396"/>
      <c r="BA69" s="3396"/>
      <c r="BB69" s="3396"/>
      <c r="BC69" s="3396"/>
      <c r="BD69" s="3396"/>
      <c r="BE69" s="3396"/>
      <c r="BF69" s="3396"/>
      <c r="BG69" s="3396"/>
      <c r="BH69" s="3396"/>
      <c r="BI69" s="3396"/>
      <c r="BJ69" s="3396"/>
      <c r="BK69" s="3396"/>
      <c r="BL69" s="3396"/>
      <c r="BM69" s="3396"/>
      <c r="BN69" s="3396"/>
    </row>
    <row r="70" s="687" customFormat="1" ht="13.5" hidden="1" customHeight="1" spans="1:66">
      <c r="A70" s="3407" t="s">
        <v>5916</v>
      </c>
      <c r="B70" s="3408"/>
      <c r="C70" s="3409"/>
      <c r="D70" s="3409"/>
      <c r="E70" s="3408"/>
      <c r="F70" s="3410"/>
      <c r="G70" s="3410"/>
      <c r="H70" s="3411">
        <f t="shared" si="0"/>
        <v>0</v>
      </c>
      <c r="I70" s="3396"/>
      <c r="J70" s="3396"/>
      <c r="K70" s="3396"/>
      <c r="L70" s="3396"/>
      <c r="M70" s="3396"/>
      <c r="N70" s="3396"/>
      <c r="O70" s="3396"/>
      <c r="P70" s="3396"/>
      <c r="Q70" s="3396"/>
      <c r="R70" s="3396"/>
      <c r="S70" s="3396"/>
      <c r="T70" s="3396"/>
      <c r="U70" s="3396"/>
      <c r="V70" s="3396"/>
      <c r="W70" s="3396"/>
      <c r="X70" s="3396"/>
      <c r="Y70" s="3396"/>
      <c r="Z70" s="3396"/>
      <c r="AA70" s="3396"/>
      <c r="AB70" s="3396"/>
      <c r="AC70" s="3396"/>
      <c r="AD70" s="3396"/>
      <c r="AE70" s="3396"/>
      <c r="AF70" s="3396"/>
      <c r="AG70" s="3396"/>
      <c r="AH70" s="3396"/>
      <c r="AI70" s="3396"/>
      <c r="AJ70" s="3396"/>
      <c r="AK70" s="3396"/>
      <c r="AL70" s="3396"/>
      <c r="AM70" s="3396"/>
      <c r="AN70" s="3396"/>
      <c r="AO70" s="3396"/>
      <c r="AP70" s="3396"/>
      <c r="AQ70" s="3396"/>
      <c r="AR70" s="3396"/>
      <c r="AS70" s="3396"/>
      <c r="AT70" s="3396"/>
      <c r="AU70" s="3396"/>
      <c r="AV70" s="3396"/>
      <c r="AW70" s="3396"/>
      <c r="AX70" s="3396"/>
      <c r="AY70" s="3396"/>
      <c r="AZ70" s="3396"/>
      <c r="BA70" s="3396"/>
      <c r="BB70" s="3396"/>
      <c r="BC70" s="3396"/>
      <c r="BD70" s="3396"/>
      <c r="BE70" s="3396"/>
      <c r="BF70" s="3396"/>
      <c r="BG70" s="3396"/>
      <c r="BH70" s="3396"/>
      <c r="BI70" s="3396"/>
      <c r="BJ70" s="3396"/>
      <c r="BK70" s="3396"/>
      <c r="BL70" s="3396"/>
      <c r="BM70" s="3396"/>
      <c r="BN70" s="3396"/>
    </row>
    <row r="71" s="687" customFormat="1" ht="13.5" hidden="1" customHeight="1" spans="1:66">
      <c r="A71" s="3407" t="s">
        <v>5918</v>
      </c>
      <c r="B71" s="3408"/>
      <c r="C71" s="3409"/>
      <c r="D71" s="3409"/>
      <c r="E71" s="3408"/>
      <c r="F71" s="3410"/>
      <c r="G71" s="3410"/>
      <c r="H71" s="3411">
        <f t="shared" ref="H71:H134" si="1">F71+G71</f>
        <v>0</v>
      </c>
      <c r="I71" s="3396"/>
      <c r="J71" s="3396"/>
      <c r="K71" s="3396"/>
      <c r="L71" s="3396"/>
      <c r="M71" s="3396"/>
      <c r="N71" s="3396"/>
      <c r="O71" s="3396"/>
      <c r="P71" s="3396"/>
      <c r="Q71" s="3396"/>
      <c r="R71" s="3396"/>
      <c r="S71" s="3396"/>
      <c r="T71" s="3396"/>
      <c r="U71" s="3396"/>
      <c r="V71" s="3396"/>
      <c r="W71" s="3396"/>
      <c r="X71" s="3396"/>
      <c r="Y71" s="3396"/>
      <c r="Z71" s="3396"/>
      <c r="AA71" s="3396"/>
      <c r="AB71" s="3396"/>
      <c r="AC71" s="3396"/>
      <c r="AD71" s="3396"/>
      <c r="AE71" s="3396"/>
      <c r="AF71" s="3396"/>
      <c r="AG71" s="3396"/>
      <c r="AH71" s="3396"/>
      <c r="AI71" s="3396"/>
      <c r="AJ71" s="3396"/>
      <c r="AK71" s="3396"/>
      <c r="AL71" s="3396"/>
      <c r="AM71" s="3396"/>
      <c r="AN71" s="3396"/>
      <c r="AO71" s="3396"/>
      <c r="AP71" s="3396"/>
      <c r="AQ71" s="3396"/>
      <c r="AR71" s="3396"/>
      <c r="AS71" s="3396"/>
      <c r="AT71" s="3396"/>
      <c r="AU71" s="3396"/>
      <c r="AV71" s="3396"/>
      <c r="AW71" s="3396"/>
      <c r="AX71" s="3396"/>
      <c r="AY71" s="3396"/>
      <c r="AZ71" s="3396"/>
      <c r="BA71" s="3396"/>
      <c r="BB71" s="3396"/>
      <c r="BC71" s="3396"/>
      <c r="BD71" s="3396"/>
      <c r="BE71" s="3396"/>
      <c r="BF71" s="3396"/>
      <c r="BG71" s="3396"/>
      <c r="BH71" s="3396"/>
      <c r="BI71" s="3396"/>
      <c r="BJ71" s="3396"/>
      <c r="BK71" s="3396"/>
      <c r="BL71" s="3396"/>
      <c r="BM71" s="3396"/>
      <c r="BN71" s="3396"/>
    </row>
    <row r="72" s="687" customFormat="1" ht="13.5" hidden="1" customHeight="1" spans="1:66">
      <c r="A72" s="3407" t="s">
        <v>5923</v>
      </c>
      <c r="B72" s="3408"/>
      <c r="C72" s="3409"/>
      <c r="D72" s="3409"/>
      <c r="E72" s="3408"/>
      <c r="F72" s="3410"/>
      <c r="G72" s="3410"/>
      <c r="H72" s="3411">
        <f t="shared" si="1"/>
        <v>0</v>
      </c>
      <c r="I72" s="3396"/>
      <c r="J72" s="3396"/>
      <c r="K72" s="3396"/>
      <c r="L72" s="3396"/>
      <c r="M72" s="3396"/>
      <c r="N72" s="3396"/>
      <c r="O72" s="3396"/>
      <c r="P72" s="3396"/>
      <c r="Q72" s="3396"/>
      <c r="R72" s="3396"/>
      <c r="S72" s="3396"/>
      <c r="T72" s="3396"/>
      <c r="U72" s="3396"/>
      <c r="V72" s="3396"/>
      <c r="W72" s="3396"/>
      <c r="X72" s="3396"/>
      <c r="Y72" s="3396"/>
      <c r="Z72" s="3396"/>
      <c r="AA72" s="3396"/>
      <c r="AB72" s="3396"/>
      <c r="AC72" s="3396"/>
      <c r="AD72" s="3396"/>
      <c r="AE72" s="3396"/>
      <c r="AF72" s="3396"/>
      <c r="AG72" s="3396"/>
      <c r="AH72" s="3396"/>
      <c r="AI72" s="3396"/>
      <c r="AJ72" s="3396"/>
      <c r="AK72" s="3396"/>
      <c r="AL72" s="3396"/>
      <c r="AM72" s="3396"/>
      <c r="AN72" s="3396"/>
      <c r="AO72" s="3396"/>
      <c r="AP72" s="3396"/>
      <c r="AQ72" s="3396"/>
      <c r="AR72" s="3396"/>
      <c r="AS72" s="3396"/>
      <c r="AT72" s="3396"/>
      <c r="AU72" s="3396"/>
      <c r="AV72" s="3396"/>
      <c r="AW72" s="3396"/>
      <c r="AX72" s="3396"/>
      <c r="AY72" s="3396"/>
      <c r="AZ72" s="3396"/>
      <c r="BA72" s="3396"/>
      <c r="BB72" s="3396"/>
      <c r="BC72" s="3396"/>
      <c r="BD72" s="3396"/>
      <c r="BE72" s="3396"/>
      <c r="BF72" s="3396"/>
      <c r="BG72" s="3396"/>
      <c r="BH72" s="3396"/>
      <c r="BI72" s="3396"/>
      <c r="BJ72" s="3396"/>
      <c r="BK72" s="3396"/>
      <c r="BL72" s="3396"/>
      <c r="BM72" s="3396"/>
      <c r="BN72" s="3396"/>
    </row>
    <row r="73" s="687" customFormat="1" ht="13.5" hidden="1" customHeight="1" spans="1:66">
      <c r="A73" s="3407" t="s">
        <v>5925</v>
      </c>
      <c r="B73" s="3408"/>
      <c r="C73" s="3409"/>
      <c r="D73" s="3409"/>
      <c r="E73" s="3408"/>
      <c r="F73" s="3410"/>
      <c r="G73" s="3410"/>
      <c r="H73" s="3411">
        <f t="shared" si="1"/>
        <v>0</v>
      </c>
      <c r="I73" s="3396"/>
      <c r="J73" s="3396"/>
      <c r="K73" s="3396"/>
      <c r="L73" s="3396"/>
      <c r="M73" s="3396"/>
      <c r="N73" s="3396"/>
      <c r="O73" s="3396"/>
      <c r="P73" s="3396"/>
      <c r="Q73" s="3396"/>
      <c r="R73" s="3396"/>
      <c r="S73" s="3396"/>
      <c r="T73" s="3396"/>
      <c r="U73" s="3396"/>
      <c r="V73" s="3396"/>
      <c r="W73" s="3396"/>
      <c r="X73" s="3396"/>
      <c r="Y73" s="3396"/>
      <c r="Z73" s="3396"/>
      <c r="AA73" s="3396"/>
      <c r="AB73" s="3396"/>
      <c r="AC73" s="3396"/>
      <c r="AD73" s="3396"/>
      <c r="AE73" s="3396"/>
      <c r="AF73" s="3396"/>
      <c r="AG73" s="3396"/>
      <c r="AH73" s="3396"/>
      <c r="AI73" s="3396"/>
      <c r="AJ73" s="3396"/>
      <c r="AK73" s="3396"/>
      <c r="AL73" s="3396"/>
      <c r="AM73" s="3396"/>
      <c r="AN73" s="3396"/>
      <c r="AO73" s="3396"/>
      <c r="AP73" s="3396"/>
      <c r="AQ73" s="3396"/>
      <c r="AR73" s="3396"/>
      <c r="AS73" s="3396"/>
      <c r="AT73" s="3396"/>
      <c r="AU73" s="3396"/>
      <c r="AV73" s="3396"/>
      <c r="AW73" s="3396"/>
      <c r="AX73" s="3396"/>
      <c r="AY73" s="3396"/>
      <c r="AZ73" s="3396"/>
      <c r="BA73" s="3396"/>
      <c r="BB73" s="3396"/>
      <c r="BC73" s="3396"/>
      <c r="BD73" s="3396"/>
      <c r="BE73" s="3396"/>
      <c r="BF73" s="3396"/>
      <c r="BG73" s="3396"/>
      <c r="BH73" s="3396"/>
      <c r="BI73" s="3396"/>
      <c r="BJ73" s="3396"/>
      <c r="BK73" s="3396"/>
      <c r="BL73" s="3396"/>
      <c r="BM73" s="3396"/>
      <c r="BN73" s="3396"/>
    </row>
    <row r="74" s="687" customFormat="1" ht="13.5" hidden="1" customHeight="1" spans="1:66">
      <c r="A74" s="3407" t="s">
        <v>5929</v>
      </c>
      <c r="B74" s="3408"/>
      <c r="C74" s="3409"/>
      <c r="D74" s="3409"/>
      <c r="E74" s="3408"/>
      <c r="F74" s="3410"/>
      <c r="G74" s="3410"/>
      <c r="H74" s="3411">
        <f t="shared" si="1"/>
        <v>0</v>
      </c>
      <c r="I74" s="3396"/>
      <c r="J74" s="3396"/>
      <c r="K74" s="3396"/>
      <c r="L74" s="3396"/>
      <c r="M74" s="3396"/>
      <c r="N74" s="3396"/>
      <c r="O74" s="3396"/>
      <c r="P74" s="3396"/>
      <c r="Q74" s="3396"/>
      <c r="R74" s="3396"/>
      <c r="S74" s="3396"/>
      <c r="T74" s="3396"/>
      <c r="U74" s="3396"/>
      <c r="V74" s="3396"/>
      <c r="W74" s="3396"/>
      <c r="X74" s="3396"/>
      <c r="Y74" s="3396"/>
      <c r="Z74" s="3396"/>
      <c r="AA74" s="3396"/>
      <c r="AB74" s="3396"/>
      <c r="AC74" s="3396"/>
      <c r="AD74" s="3396"/>
      <c r="AE74" s="3396"/>
      <c r="AF74" s="3396"/>
      <c r="AG74" s="3396"/>
      <c r="AH74" s="3396"/>
      <c r="AI74" s="3396"/>
      <c r="AJ74" s="3396"/>
      <c r="AK74" s="3396"/>
      <c r="AL74" s="3396"/>
      <c r="AM74" s="3396"/>
      <c r="AN74" s="3396"/>
      <c r="AO74" s="3396"/>
      <c r="AP74" s="3396"/>
      <c r="AQ74" s="3396"/>
      <c r="AR74" s="3396"/>
      <c r="AS74" s="3396"/>
      <c r="AT74" s="3396"/>
      <c r="AU74" s="3396"/>
      <c r="AV74" s="3396"/>
      <c r="AW74" s="3396"/>
      <c r="AX74" s="3396"/>
      <c r="AY74" s="3396"/>
      <c r="AZ74" s="3396"/>
      <c r="BA74" s="3396"/>
      <c r="BB74" s="3396"/>
      <c r="BC74" s="3396"/>
      <c r="BD74" s="3396"/>
      <c r="BE74" s="3396"/>
      <c r="BF74" s="3396"/>
      <c r="BG74" s="3396"/>
      <c r="BH74" s="3396"/>
      <c r="BI74" s="3396"/>
      <c r="BJ74" s="3396"/>
      <c r="BK74" s="3396"/>
      <c r="BL74" s="3396"/>
      <c r="BM74" s="3396"/>
      <c r="BN74" s="3396"/>
    </row>
    <row r="75" s="687" customFormat="1" ht="13.5" hidden="1" customHeight="1" spans="1:66">
      <c r="A75" s="3407" t="s">
        <v>5931</v>
      </c>
      <c r="B75" s="3408"/>
      <c r="C75" s="3409"/>
      <c r="D75" s="3409"/>
      <c r="E75" s="3408"/>
      <c r="F75" s="3410"/>
      <c r="G75" s="3410"/>
      <c r="H75" s="3411">
        <f t="shared" si="1"/>
        <v>0</v>
      </c>
      <c r="I75" s="3396"/>
      <c r="J75" s="3396"/>
      <c r="K75" s="3396"/>
      <c r="L75" s="3396"/>
      <c r="M75" s="3396"/>
      <c r="N75" s="3396"/>
      <c r="O75" s="3396"/>
      <c r="P75" s="3396"/>
      <c r="Q75" s="3396"/>
      <c r="R75" s="3396"/>
      <c r="S75" s="3396"/>
      <c r="T75" s="3396"/>
      <c r="U75" s="3396"/>
      <c r="V75" s="3396"/>
      <c r="W75" s="3396"/>
      <c r="X75" s="3396"/>
      <c r="Y75" s="3396"/>
      <c r="Z75" s="3396"/>
      <c r="AA75" s="3396"/>
      <c r="AB75" s="3396"/>
      <c r="AC75" s="3396"/>
      <c r="AD75" s="3396"/>
      <c r="AE75" s="3396"/>
      <c r="AF75" s="3396"/>
      <c r="AG75" s="3396"/>
      <c r="AH75" s="3396"/>
      <c r="AI75" s="3396"/>
      <c r="AJ75" s="3396"/>
      <c r="AK75" s="3396"/>
      <c r="AL75" s="3396"/>
      <c r="AM75" s="3396"/>
      <c r="AN75" s="3396"/>
      <c r="AO75" s="3396"/>
      <c r="AP75" s="3396"/>
      <c r="AQ75" s="3396"/>
      <c r="AR75" s="3396"/>
      <c r="AS75" s="3396"/>
      <c r="AT75" s="3396"/>
      <c r="AU75" s="3396"/>
      <c r="AV75" s="3396"/>
      <c r="AW75" s="3396"/>
      <c r="AX75" s="3396"/>
      <c r="AY75" s="3396"/>
      <c r="AZ75" s="3396"/>
      <c r="BA75" s="3396"/>
      <c r="BB75" s="3396"/>
      <c r="BC75" s="3396"/>
      <c r="BD75" s="3396"/>
      <c r="BE75" s="3396"/>
      <c r="BF75" s="3396"/>
      <c r="BG75" s="3396"/>
      <c r="BH75" s="3396"/>
      <c r="BI75" s="3396"/>
      <c r="BJ75" s="3396"/>
      <c r="BK75" s="3396"/>
      <c r="BL75" s="3396"/>
      <c r="BM75" s="3396"/>
      <c r="BN75" s="3396"/>
    </row>
    <row r="76" s="687" customFormat="1" ht="13.5" hidden="1" customHeight="1" spans="1:66">
      <c r="A76" s="3407" t="s">
        <v>5945</v>
      </c>
      <c r="B76" s="3408"/>
      <c r="C76" s="3409"/>
      <c r="D76" s="3409"/>
      <c r="E76" s="3408"/>
      <c r="F76" s="3410"/>
      <c r="G76" s="3410"/>
      <c r="H76" s="3411">
        <f t="shared" si="1"/>
        <v>0</v>
      </c>
      <c r="I76" s="3396"/>
      <c r="J76" s="3396"/>
      <c r="K76" s="3396"/>
      <c r="L76" s="3396"/>
      <c r="M76" s="3396"/>
      <c r="N76" s="3396"/>
      <c r="O76" s="3396"/>
      <c r="P76" s="3396"/>
      <c r="Q76" s="3396"/>
      <c r="R76" s="3396"/>
      <c r="S76" s="3396"/>
      <c r="T76" s="3396"/>
      <c r="U76" s="3396"/>
      <c r="V76" s="3396"/>
      <c r="W76" s="3396"/>
      <c r="X76" s="3396"/>
      <c r="Y76" s="3396"/>
      <c r="Z76" s="3396"/>
      <c r="AA76" s="3396"/>
      <c r="AB76" s="3396"/>
      <c r="AC76" s="3396"/>
      <c r="AD76" s="3396"/>
      <c r="AE76" s="3396"/>
      <c r="AF76" s="3396"/>
      <c r="AG76" s="3396"/>
      <c r="AH76" s="3396"/>
      <c r="AI76" s="3396"/>
      <c r="AJ76" s="3396"/>
      <c r="AK76" s="3396"/>
      <c r="AL76" s="3396"/>
      <c r="AM76" s="3396"/>
      <c r="AN76" s="3396"/>
      <c r="AO76" s="3396"/>
      <c r="AP76" s="3396"/>
      <c r="AQ76" s="3396"/>
      <c r="AR76" s="3396"/>
      <c r="AS76" s="3396"/>
      <c r="AT76" s="3396"/>
      <c r="AU76" s="3396"/>
      <c r="AV76" s="3396"/>
      <c r="AW76" s="3396"/>
      <c r="AX76" s="3396"/>
      <c r="AY76" s="3396"/>
      <c r="AZ76" s="3396"/>
      <c r="BA76" s="3396"/>
      <c r="BB76" s="3396"/>
      <c r="BC76" s="3396"/>
      <c r="BD76" s="3396"/>
      <c r="BE76" s="3396"/>
      <c r="BF76" s="3396"/>
      <c r="BG76" s="3396"/>
      <c r="BH76" s="3396"/>
      <c r="BI76" s="3396"/>
      <c r="BJ76" s="3396"/>
      <c r="BK76" s="3396"/>
      <c r="BL76" s="3396"/>
      <c r="BM76" s="3396"/>
      <c r="BN76" s="3396"/>
    </row>
    <row r="77" s="687" customFormat="1" ht="13.5" hidden="1" customHeight="1" spans="1:66">
      <c r="A77" s="3407" t="s">
        <v>5947</v>
      </c>
      <c r="B77" s="3408"/>
      <c r="C77" s="3409"/>
      <c r="D77" s="3409"/>
      <c r="E77" s="3408"/>
      <c r="F77" s="3410"/>
      <c r="G77" s="3410"/>
      <c r="H77" s="3411">
        <f t="shared" si="1"/>
        <v>0</v>
      </c>
      <c r="I77" s="3396"/>
      <c r="J77" s="3396"/>
      <c r="K77" s="3396"/>
      <c r="L77" s="3396"/>
      <c r="M77" s="3396"/>
      <c r="N77" s="3396"/>
      <c r="O77" s="3396"/>
      <c r="P77" s="3396"/>
      <c r="Q77" s="3396"/>
      <c r="R77" s="3396"/>
      <c r="S77" s="3396"/>
      <c r="T77" s="3396"/>
      <c r="U77" s="3396"/>
      <c r="V77" s="3396"/>
      <c r="W77" s="3396"/>
      <c r="X77" s="3396"/>
      <c r="Y77" s="3396"/>
      <c r="Z77" s="3396"/>
      <c r="AA77" s="3396"/>
      <c r="AB77" s="3396"/>
      <c r="AC77" s="3396"/>
      <c r="AD77" s="3396"/>
      <c r="AE77" s="3396"/>
      <c r="AF77" s="3396"/>
      <c r="AG77" s="3396"/>
      <c r="AH77" s="3396"/>
      <c r="AI77" s="3396"/>
      <c r="AJ77" s="3396"/>
      <c r="AK77" s="3396"/>
      <c r="AL77" s="3396"/>
      <c r="AM77" s="3396"/>
      <c r="AN77" s="3396"/>
      <c r="AO77" s="3396"/>
      <c r="AP77" s="3396"/>
      <c r="AQ77" s="3396"/>
      <c r="AR77" s="3396"/>
      <c r="AS77" s="3396"/>
      <c r="AT77" s="3396"/>
      <c r="AU77" s="3396"/>
      <c r="AV77" s="3396"/>
      <c r="AW77" s="3396"/>
      <c r="AX77" s="3396"/>
      <c r="AY77" s="3396"/>
      <c r="AZ77" s="3396"/>
      <c r="BA77" s="3396"/>
      <c r="BB77" s="3396"/>
      <c r="BC77" s="3396"/>
      <c r="BD77" s="3396"/>
      <c r="BE77" s="3396"/>
      <c r="BF77" s="3396"/>
      <c r="BG77" s="3396"/>
      <c r="BH77" s="3396"/>
      <c r="BI77" s="3396"/>
      <c r="BJ77" s="3396"/>
      <c r="BK77" s="3396"/>
      <c r="BL77" s="3396"/>
      <c r="BM77" s="3396"/>
      <c r="BN77" s="3396"/>
    </row>
    <row r="78" s="687" customFormat="1" ht="13.5" hidden="1" customHeight="1" spans="1:66">
      <c r="A78" s="3407" t="s">
        <v>5951</v>
      </c>
      <c r="B78" s="3408"/>
      <c r="C78" s="3409"/>
      <c r="D78" s="3409"/>
      <c r="E78" s="3408"/>
      <c r="F78" s="3410"/>
      <c r="G78" s="3410"/>
      <c r="H78" s="3411">
        <f t="shared" si="1"/>
        <v>0</v>
      </c>
      <c r="I78" s="3396"/>
      <c r="J78" s="3396"/>
      <c r="K78" s="3396"/>
      <c r="L78" s="3396"/>
      <c r="M78" s="3396"/>
      <c r="N78" s="3396"/>
      <c r="O78" s="3396"/>
      <c r="P78" s="3396"/>
      <c r="Q78" s="3396"/>
      <c r="R78" s="3396"/>
      <c r="S78" s="3396"/>
      <c r="T78" s="3396"/>
      <c r="U78" s="3396"/>
      <c r="V78" s="3396"/>
      <c r="W78" s="3396"/>
      <c r="X78" s="3396"/>
      <c r="Y78" s="3396"/>
      <c r="Z78" s="3396"/>
      <c r="AA78" s="3396"/>
      <c r="AB78" s="3396"/>
      <c r="AC78" s="3396"/>
      <c r="AD78" s="3396"/>
      <c r="AE78" s="3396"/>
      <c r="AF78" s="3396"/>
      <c r="AG78" s="3396"/>
      <c r="AH78" s="3396"/>
      <c r="AI78" s="3396"/>
      <c r="AJ78" s="3396"/>
      <c r="AK78" s="3396"/>
      <c r="AL78" s="3396"/>
      <c r="AM78" s="3396"/>
      <c r="AN78" s="3396"/>
      <c r="AO78" s="3396"/>
      <c r="AP78" s="3396"/>
      <c r="AQ78" s="3396"/>
      <c r="AR78" s="3396"/>
      <c r="AS78" s="3396"/>
      <c r="AT78" s="3396"/>
      <c r="AU78" s="3396"/>
      <c r="AV78" s="3396"/>
      <c r="AW78" s="3396"/>
      <c r="AX78" s="3396"/>
      <c r="AY78" s="3396"/>
      <c r="AZ78" s="3396"/>
      <c r="BA78" s="3396"/>
      <c r="BB78" s="3396"/>
      <c r="BC78" s="3396"/>
      <c r="BD78" s="3396"/>
      <c r="BE78" s="3396"/>
      <c r="BF78" s="3396"/>
      <c r="BG78" s="3396"/>
      <c r="BH78" s="3396"/>
      <c r="BI78" s="3396"/>
      <c r="BJ78" s="3396"/>
      <c r="BK78" s="3396"/>
      <c r="BL78" s="3396"/>
      <c r="BM78" s="3396"/>
      <c r="BN78" s="3396"/>
    </row>
    <row r="79" s="687" customFormat="1" ht="13.5" hidden="1" customHeight="1" spans="1:66">
      <c r="A79" s="3407" t="s">
        <v>5953</v>
      </c>
      <c r="B79" s="3408"/>
      <c r="C79" s="3409"/>
      <c r="D79" s="3409"/>
      <c r="E79" s="3408"/>
      <c r="F79" s="3410"/>
      <c r="G79" s="3410"/>
      <c r="H79" s="3411">
        <f t="shared" si="1"/>
        <v>0</v>
      </c>
      <c r="I79" s="3396"/>
      <c r="J79" s="3396"/>
      <c r="K79" s="3396"/>
      <c r="L79" s="3396"/>
      <c r="M79" s="3396"/>
      <c r="N79" s="3396"/>
      <c r="O79" s="3396"/>
      <c r="P79" s="3396"/>
      <c r="Q79" s="3396"/>
      <c r="R79" s="3396"/>
      <c r="S79" s="3396"/>
      <c r="T79" s="3396"/>
      <c r="U79" s="3396"/>
      <c r="V79" s="3396"/>
      <c r="W79" s="3396"/>
      <c r="X79" s="3396"/>
      <c r="Y79" s="3396"/>
      <c r="Z79" s="3396"/>
      <c r="AA79" s="3396"/>
      <c r="AB79" s="3396"/>
      <c r="AC79" s="3396"/>
      <c r="AD79" s="3396"/>
      <c r="AE79" s="3396"/>
      <c r="AF79" s="3396"/>
      <c r="AG79" s="3396"/>
      <c r="AH79" s="3396"/>
      <c r="AI79" s="3396"/>
      <c r="AJ79" s="3396"/>
      <c r="AK79" s="3396"/>
      <c r="AL79" s="3396"/>
      <c r="AM79" s="3396"/>
      <c r="AN79" s="3396"/>
      <c r="AO79" s="3396"/>
      <c r="AP79" s="3396"/>
      <c r="AQ79" s="3396"/>
      <c r="AR79" s="3396"/>
      <c r="AS79" s="3396"/>
      <c r="AT79" s="3396"/>
      <c r="AU79" s="3396"/>
      <c r="AV79" s="3396"/>
      <c r="AW79" s="3396"/>
      <c r="AX79" s="3396"/>
      <c r="AY79" s="3396"/>
      <c r="AZ79" s="3396"/>
      <c r="BA79" s="3396"/>
      <c r="BB79" s="3396"/>
      <c r="BC79" s="3396"/>
      <c r="BD79" s="3396"/>
      <c r="BE79" s="3396"/>
      <c r="BF79" s="3396"/>
      <c r="BG79" s="3396"/>
      <c r="BH79" s="3396"/>
      <c r="BI79" s="3396"/>
      <c r="BJ79" s="3396"/>
      <c r="BK79" s="3396"/>
      <c r="BL79" s="3396"/>
      <c r="BM79" s="3396"/>
      <c r="BN79" s="3396"/>
    </row>
    <row r="80" s="687" customFormat="1" ht="13.5" hidden="1" customHeight="1" spans="1:66">
      <c r="A80" s="3407" t="s">
        <v>5955</v>
      </c>
      <c r="B80" s="3408"/>
      <c r="C80" s="3409"/>
      <c r="D80" s="3409"/>
      <c r="E80" s="3408"/>
      <c r="F80" s="3410"/>
      <c r="G80" s="3410"/>
      <c r="H80" s="3411">
        <f t="shared" si="1"/>
        <v>0</v>
      </c>
      <c r="I80" s="3396"/>
      <c r="J80" s="3396"/>
      <c r="K80" s="3396"/>
      <c r="L80" s="3396"/>
      <c r="M80" s="3396"/>
      <c r="N80" s="3396"/>
      <c r="O80" s="3396"/>
      <c r="P80" s="3396"/>
      <c r="Q80" s="3396"/>
      <c r="R80" s="3396"/>
      <c r="S80" s="3396"/>
      <c r="T80" s="3396"/>
      <c r="U80" s="3396"/>
      <c r="V80" s="3396"/>
      <c r="W80" s="3396"/>
      <c r="X80" s="3396"/>
      <c r="Y80" s="3396"/>
      <c r="Z80" s="3396"/>
      <c r="AA80" s="3396"/>
      <c r="AB80" s="3396"/>
      <c r="AC80" s="3396"/>
      <c r="AD80" s="3396"/>
      <c r="AE80" s="3396"/>
      <c r="AF80" s="3396"/>
      <c r="AG80" s="3396"/>
      <c r="AH80" s="3396"/>
      <c r="AI80" s="3396"/>
      <c r="AJ80" s="3396"/>
      <c r="AK80" s="3396"/>
      <c r="AL80" s="3396"/>
      <c r="AM80" s="3396"/>
      <c r="AN80" s="3396"/>
      <c r="AO80" s="3396"/>
      <c r="AP80" s="3396"/>
      <c r="AQ80" s="3396"/>
      <c r="AR80" s="3396"/>
      <c r="AS80" s="3396"/>
      <c r="AT80" s="3396"/>
      <c r="AU80" s="3396"/>
      <c r="AV80" s="3396"/>
      <c r="AW80" s="3396"/>
      <c r="AX80" s="3396"/>
      <c r="AY80" s="3396"/>
      <c r="AZ80" s="3396"/>
      <c r="BA80" s="3396"/>
      <c r="BB80" s="3396"/>
      <c r="BC80" s="3396"/>
      <c r="BD80" s="3396"/>
      <c r="BE80" s="3396"/>
      <c r="BF80" s="3396"/>
      <c r="BG80" s="3396"/>
      <c r="BH80" s="3396"/>
      <c r="BI80" s="3396"/>
      <c r="BJ80" s="3396"/>
      <c r="BK80" s="3396"/>
      <c r="BL80" s="3396"/>
      <c r="BM80" s="3396"/>
      <c r="BN80" s="3396"/>
    </row>
    <row r="81" s="687" customFormat="1" ht="13.5" hidden="1" customHeight="1" spans="1:66">
      <c r="A81" s="3407" t="s">
        <v>5964</v>
      </c>
      <c r="B81" s="3408"/>
      <c r="C81" s="3409"/>
      <c r="D81" s="3409"/>
      <c r="E81" s="3408"/>
      <c r="F81" s="3410"/>
      <c r="G81" s="3410"/>
      <c r="H81" s="3411">
        <f t="shared" si="1"/>
        <v>0</v>
      </c>
      <c r="I81" s="3396"/>
      <c r="J81" s="3396"/>
      <c r="K81" s="3396"/>
      <c r="L81" s="3396"/>
      <c r="M81" s="3396"/>
      <c r="N81" s="3396"/>
      <c r="O81" s="3396"/>
      <c r="P81" s="3396"/>
      <c r="Q81" s="3396"/>
      <c r="R81" s="3396"/>
      <c r="S81" s="3396"/>
      <c r="T81" s="3396"/>
      <c r="U81" s="3396"/>
      <c r="V81" s="3396"/>
      <c r="W81" s="3396"/>
      <c r="X81" s="3396"/>
      <c r="Y81" s="3396"/>
      <c r="Z81" s="3396"/>
      <c r="AA81" s="3396"/>
      <c r="AB81" s="3396"/>
      <c r="AC81" s="3396"/>
      <c r="AD81" s="3396"/>
      <c r="AE81" s="3396"/>
      <c r="AF81" s="3396"/>
      <c r="AG81" s="3396"/>
      <c r="AH81" s="3396"/>
      <c r="AI81" s="3396"/>
      <c r="AJ81" s="3396"/>
      <c r="AK81" s="3396"/>
      <c r="AL81" s="3396"/>
      <c r="AM81" s="3396"/>
      <c r="AN81" s="3396"/>
      <c r="AO81" s="3396"/>
      <c r="AP81" s="3396"/>
      <c r="AQ81" s="3396"/>
      <c r="AR81" s="3396"/>
      <c r="AS81" s="3396"/>
      <c r="AT81" s="3396"/>
      <c r="AU81" s="3396"/>
      <c r="AV81" s="3396"/>
      <c r="AW81" s="3396"/>
      <c r="AX81" s="3396"/>
      <c r="AY81" s="3396"/>
      <c r="AZ81" s="3396"/>
      <c r="BA81" s="3396"/>
      <c r="BB81" s="3396"/>
      <c r="BC81" s="3396"/>
      <c r="BD81" s="3396"/>
      <c r="BE81" s="3396"/>
      <c r="BF81" s="3396"/>
      <c r="BG81" s="3396"/>
      <c r="BH81" s="3396"/>
      <c r="BI81" s="3396"/>
      <c r="BJ81" s="3396"/>
      <c r="BK81" s="3396"/>
      <c r="BL81" s="3396"/>
      <c r="BM81" s="3396"/>
      <c r="BN81" s="3396"/>
    </row>
    <row r="82" s="687" customFormat="1" ht="13.5" hidden="1" customHeight="1" spans="1:66">
      <c r="A82" s="3407" t="s">
        <v>5971</v>
      </c>
      <c r="B82" s="3408"/>
      <c r="C82" s="3409"/>
      <c r="D82" s="3409"/>
      <c r="E82" s="3408"/>
      <c r="F82" s="3410"/>
      <c r="G82" s="3410"/>
      <c r="H82" s="3411">
        <f t="shared" si="1"/>
        <v>0</v>
      </c>
      <c r="I82" s="3396"/>
      <c r="J82" s="3396"/>
      <c r="K82" s="3396"/>
      <c r="L82" s="3396"/>
      <c r="M82" s="3396"/>
      <c r="N82" s="3396"/>
      <c r="O82" s="3396"/>
      <c r="P82" s="3396"/>
      <c r="Q82" s="3396"/>
      <c r="R82" s="3396"/>
      <c r="S82" s="3396"/>
      <c r="T82" s="3396"/>
      <c r="U82" s="3396"/>
      <c r="V82" s="3396"/>
      <c r="W82" s="3396"/>
      <c r="X82" s="3396"/>
      <c r="Y82" s="3396"/>
      <c r="Z82" s="3396"/>
      <c r="AA82" s="3396"/>
      <c r="AB82" s="3396"/>
      <c r="AC82" s="3396"/>
      <c r="AD82" s="3396"/>
      <c r="AE82" s="3396"/>
      <c r="AF82" s="3396"/>
      <c r="AG82" s="3396"/>
      <c r="AH82" s="3396"/>
      <c r="AI82" s="3396"/>
      <c r="AJ82" s="3396"/>
      <c r="AK82" s="3396"/>
      <c r="AL82" s="3396"/>
      <c r="AM82" s="3396"/>
      <c r="AN82" s="3396"/>
      <c r="AO82" s="3396"/>
      <c r="AP82" s="3396"/>
      <c r="AQ82" s="3396"/>
      <c r="AR82" s="3396"/>
      <c r="AS82" s="3396"/>
      <c r="AT82" s="3396"/>
      <c r="AU82" s="3396"/>
      <c r="AV82" s="3396"/>
      <c r="AW82" s="3396"/>
      <c r="AX82" s="3396"/>
      <c r="AY82" s="3396"/>
      <c r="AZ82" s="3396"/>
      <c r="BA82" s="3396"/>
      <c r="BB82" s="3396"/>
      <c r="BC82" s="3396"/>
      <c r="BD82" s="3396"/>
      <c r="BE82" s="3396"/>
      <c r="BF82" s="3396"/>
      <c r="BG82" s="3396"/>
      <c r="BH82" s="3396"/>
      <c r="BI82" s="3396"/>
      <c r="BJ82" s="3396"/>
      <c r="BK82" s="3396"/>
      <c r="BL82" s="3396"/>
      <c r="BM82" s="3396"/>
      <c r="BN82" s="3396"/>
    </row>
    <row r="83" s="687" customFormat="1" ht="13.5" hidden="1" customHeight="1" spans="1:66">
      <c r="A83" s="3407" t="s">
        <v>5973</v>
      </c>
      <c r="B83" s="3408"/>
      <c r="C83" s="3409"/>
      <c r="D83" s="3409"/>
      <c r="E83" s="3408"/>
      <c r="F83" s="3410"/>
      <c r="G83" s="3410"/>
      <c r="H83" s="3411">
        <f t="shared" si="1"/>
        <v>0</v>
      </c>
      <c r="I83" s="3396"/>
      <c r="J83" s="3396"/>
      <c r="K83" s="3396"/>
      <c r="L83" s="3396"/>
      <c r="M83" s="3396"/>
      <c r="N83" s="3396"/>
      <c r="O83" s="3396"/>
      <c r="P83" s="3396"/>
      <c r="Q83" s="3396"/>
      <c r="R83" s="3396"/>
      <c r="S83" s="3396"/>
      <c r="T83" s="3396"/>
      <c r="U83" s="3396"/>
      <c r="V83" s="3396"/>
      <c r="W83" s="3396"/>
      <c r="X83" s="3396"/>
      <c r="Y83" s="3396"/>
      <c r="Z83" s="3396"/>
      <c r="AA83" s="3396"/>
      <c r="AB83" s="3396"/>
      <c r="AC83" s="3396"/>
      <c r="AD83" s="3396"/>
      <c r="AE83" s="3396"/>
      <c r="AF83" s="3396"/>
      <c r="AG83" s="3396"/>
      <c r="AH83" s="3396"/>
      <c r="AI83" s="3396"/>
      <c r="AJ83" s="3396"/>
      <c r="AK83" s="3396"/>
      <c r="AL83" s="3396"/>
      <c r="AM83" s="3396"/>
      <c r="AN83" s="3396"/>
      <c r="AO83" s="3396"/>
      <c r="AP83" s="3396"/>
      <c r="AQ83" s="3396"/>
      <c r="AR83" s="3396"/>
      <c r="AS83" s="3396"/>
      <c r="AT83" s="3396"/>
      <c r="AU83" s="3396"/>
      <c r="AV83" s="3396"/>
      <c r="AW83" s="3396"/>
      <c r="AX83" s="3396"/>
      <c r="AY83" s="3396"/>
      <c r="AZ83" s="3396"/>
      <c r="BA83" s="3396"/>
      <c r="BB83" s="3396"/>
      <c r="BC83" s="3396"/>
      <c r="BD83" s="3396"/>
      <c r="BE83" s="3396"/>
      <c r="BF83" s="3396"/>
      <c r="BG83" s="3396"/>
      <c r="BH83" s="3396"/>
      <c r="BI83" s="3396"/>
      <c r="BJ83" s="3396"/>
      <c r="BK83" s="3396"/>
      <c r="BL83" s="3396"/>
      <c r="BM83" s="3396"/>
      <c r="BN83" s="3396"/>
    </row>
    <row r="84" s="687" customFormat="1" ht="13.5" hidden="1" customHeight="1" spans="1:66">
      <c r="A84" s="3407" t="s">
        <v>5975</v>
      </c>
      <c r="B84" s="3408"/>
      <c r="C84" s="3409"/>
      <c r="D84" s="3409"/>
      <c r="E84" s="3408"/>
      <c r="F84" s="3410"/>
      <c r="G84" s="3410"/>
      <c r="H84" s="3411">
        <f t="shared" si="1"/>
        <v>0</v>
      </c>
      <c r="I84" s="3396"/>
      <c r="J84" s="3396"/>
      <c r="K84" s="3396"/>
      <c r="L84" s="3396"/>
      <c r="M84" s="3396"/>
      <c r="N84" s="3396"/>
      <c r="O84" s="3396"/>
      <c r="P84" s="3396"/>
      <c r="Q84" s="3396"/>
      <c r="R84" s="3396"/>
      <c r="S84" s="3396"/>
      <c r="T84" s="3396"/>
      <c r="U84" s="3396"/>
      <c r="V84" s="3396"/>
      <c r="W84" s="3396"/>
      <c r="X84" s="3396"/>
      <c r="Y84" s="3396"/>
      <c r="Z84" s="3396"/>
      <c r="AA84" s="3396"/>
      <c r="AB84" s="3396"/>
      <c r="AC84" s="3396"/>
      <c r="AD84" s="3396"/>
      <c r="AE84" s="3396"/>
      <c r="AF84" s="3396"/>
      <c r="AG84" s="3396"/>
      <c r="AH84" s="3396"/>
      <c r="AI84" s="3396"/>
      <c r="AJ84" s="3396"/>
      <c r="AK84" s="3396"/>
      <c r="AL84" s="3396"/>
      <c r="AM84" s="3396"/>
      <c r="AN84" s="3396"/>
      <c r="AO84" s="3396"/>
      <c r="AP84" s="3396"/>
      <c r="AQ84" s="3396"/>
      <c r="AR84" s="3396"/>
      <c r="AS84" s="3396"/>
      <c r="AT84" s="3396"/>
      <c r="AU84" s="3396"/>
      <c r="AV84" s="3396"/>
      <c r="AW84" s="3396"/>
      <c r="AX84" s="3396"/>
      <c r="AY84" s="3396"/>
      <c r="AZ84" s="3396"/>
      <c r="BA84" s="3396"/>
      <c r="BB84" s="3396"/>
      <c r="BC84" s="3396"/>
      <c r="BD84" s="3396"/>
      <c r="BE84" s="3396"/>
      <c r="BF84" s="3396"/>
      <c r="BG84" s="3396"/>
      <c r="BH84" s="3396"/>
      <c r="BI84" s="3396"/>
      <c r="BJ84" s="3396"/>
      <c r="BK84" s="3396"/>
      <c r="BL84" s="3396"/>
      <c r="BM84" s="3396"/>
      <c r="BN84" s="3396"/>
    </row>
    <row r="85" s="687" customFormat="1" ht="13.5" hidden="1" customHeight="1" spans="1:66">
      <c r="A85" s="3407" t="s">
        <v>5977</v>
      </c>
      <c r="B85" s="3408"/>
      <c r="C85" s="3409"/>
      <c r="D85" s="3409"/>
      <c r="E85" s="3408"/>
      <c r="F85" s="3410"/>
      <c r="G85" s="3410"/>
      <c r="H85" s="3411">
        <f t="shared" si="1"/>
        <v>0</v>
      </c>
      <c r="I85" s="3396"/>
      <c r="J85" s="3396"/>
      <c r="K85" s="3396"/>
      <c r="L85" s="3396"/>
      <c r="M85" s="3396"/>
      <c r="N85" s="3396"/>
      <c r="O85" s="3396"/>
      <c r="P85" s="3396"/>
      <c r="Q85" s="3396"/>
      <c r="R85" s="3396"/>
      <c r="S85" s="3396"/>
      <c r="T85" s="3396"/>
      <c r="U85" s="3396"/>
      <c r="V85" s="3396"/>
      <c r="W85" s="3396"/>
      <c r="X85" s="3396"/>
      <c r="Y85" s="3396"/>
      <c r="Z85" s="3396"/>
      <c r="AA85" s="3396"/>
      <c r="AB85" s="3396"/>
      <c r="AC85" s="3396"/>
      <c r="AD85" s="3396"/>
      <c r="AE85" s="3396"/>
      <c r="AF85" s="3396"/>
      <c r="AG85" s="3396"/>
      <c r="AH85" s="3396"/>
      <c r="AI85" s="3396"/>
      <c r="AJ85" s="3396"/>
      <c r="AK85" s="3396"/>
      <c r="AL85" s="3396"/>
      <c r="AM85" s="3396"/>
      <c r="AN85" s="3396"/>
      <c r="AO85" s="3396"/>
      <c r="AP85" s="3396"/>
      <c r="AQ85" s="3396"/>
      <c r="AR85" s="3396"/>
      <c r="AS85" s="3396"/>
      <c r="AT85" s="3396"/>
      <c r="AU85" s="3396"/>
      <c r="AV85" s="3396"/>
      <c r="AW85" s="3396"/>
      <c r="AX85" s="3396"/>
      <c r="AY85" s="3396"/>
      <c r="AZ85" s="3396"/>
      <c r="BA85" s="3396"/>
      <c r="BB85" s="3396"/>
      <c r="BC85" s="3396"/>
      <c r="BD85" s="3396"/>
      <c r="BE85" s="3396"/>
      <c r="BF85" s="3396"/>
      <c r="BG85" s="3396"/>
      <c r="BH85" s="3396"/>
      <c r="BI85" s="3396"/>
      <c r="BJ85" s="3396"/>
      <c r="BK85" s="3396"/>
      <c r="BL85" s="3396"/>
      <c r="BM85" s="3396"/>
      <c r="BN85" s="3396"/>
    </row>
    <row r="86" s="687" customFormat="1" ht="13.5" hidden="1" customHeight="1" spans="1:66">
      <c r="A86" s="3407" t="s">
        <v>5979</v>
      </c>
      <c r="B86" s="3408"/>
      <c r="C86" s="3409"/>
      <c r="D86" s="3409"/>
      <c r="E86" s="3408"/>
      <c r="F86" s="3410"/>
      <c r="G86" s="3410"/>
      <c r="H86" s="3411">
        <f t="shared" si="1"/>
        <v>0</v>
      </c>
      <c r="I86" s="3396"/>
      <c r="J86" s="3396"/>
      <c r="K86" s="3396"/>
      <c r="L86" s="3396"/>
      <c r="M86" s="3396"/>
      <c r="N86" s="3396"/>
      <c r="O86" s="3396"/>
      <c r="P86" s="3396"/>
      <c r="Q86" s="3396"/>
      <c r="R86" s="3396"/>
      <c r="S86" s="3396"/>
      <c r="T86" s="3396"/>
      <c r="U86" s="3396"/>
      <c r="V86" s="3396"/>
      <c r="W86" s="3396"/>
      <c r="X86" s="3396"/>
      <c r="Y86" s="3396"/>
      <c r="Z86" s="3396"/>
      <c r="AA86" s="3396"/>
      <c r="AB86" s="3396"/>
      <c r="AC86" s="3396"/>
      <c r="AD86" s="3396"/>
      <c r="AE86" s="3396"/>
      <c r="AF86" s="3396"/>
      <c r="AG86" s="3396"/>
      <c r="AH86" s="3396"/>
      <c r="AI86" s="3396"/>
      <c r="AJ86" s="3396"/>
      <c r="AK86" s="3396"/>
      <c r="AL86" s="3396"/>
      <c r="AM86" s="3396"/>
      <c r="AN86" s="3396"/>
      <c r="AO86" s="3396"/>
      <c r="AP86" s="3396"/>
      <c r="AQ86" s="3396"/>
      <c r="AR86" s="3396"/>
      <c r="AS86" s="3396"/>
      <c r="AT86" s="3396"/>
      <c r="AU86" s="3396"/>
      <c r="AV86" s="3396"/>
      <c r="AW86" s="3396"/>
      <c r="AX86" s="3396"/>
      <c r="AY86" s="3396"/>
      <c r="AZ86" s="3396"/>
      <c r="BA86" s="3396"/>
      <c r="BB86" s="3396"/>
      <c r="BC86" s="3396"/>
      <c r="BD86" s="3396"/>
      <c r="BE86" s="3396"/>
      <c r="BF86" s="3396"/>
      <c r="BG86" s="3396"/>
      <c r="BH86" s="3396"/>
      <c r="BI86" s="3396"/>
      <c r="BJ86" s="3396"/>
      <c r="BK86" s="3396"/>
      <c r="BL86" s="3396"/>
      <c r="BM86" s="3396"/>
      <c r="BN86" s="3396"/>
    </row>
    <row r="87" s="687" customFormat="1" ht="13.5" hidden="1" customHeight="1" spans="1:66">
      <c r="A87" s="3407" t="s">
        <v>5981</v>
      </c>
      <c r="B87" s="3408"/>
      <c r="C87" s="3409"/>
      <c r="D87" s="3409"/>
      <c r="E87" s="3408"/>
      <c r="F87" s="3410"/>
      <c r="G87" s="3410"/>
      <c r="H87" s="3411">
        <f t="shared" si="1"/>
        <v>0</v>
      </c>
      <c r="I87" s="3396"/>
      <c r="J87" s="3396"/>
      <c r="K87" s="3396"/>
      <c r="L87" s="3396"/>
      <c r="M87" s="3396"/>
      <c r="N87" s="3396"/>
      <c r="O87" s="3396"/>
      <c r="P87" s="3396"/>
      <c r="Q87" s="3396"/>
      <c r="R87" s="3396"/>
      <c r="S87" s="3396"/>
      <c r="T87" s="3396"/>
      <c r="U87" s="3396"/>
      <c r="V87" s="3396"/>
      <c r="W87" s="3396"/>
      <c r="X87" s="3396"/>
      <c r="Y87" s="3396"/>
      <c r="Z87" s="3396"/>
      <c r="AA87" s="3396"/>
      <c r="AB87" s="3396"/>
      <c r="AC87" s="3396"/>
      <c r="AD87" s="3396"/>
      <c r="AE87" s="3396"/>
      <c r="AF87" s="3396"/>
      <c r="AG87" s="3396"/>
      <c r="AH87" s="3396"/>
      <c r="AI87" s="3396"/>
      <c r="AJ87" s="3396"/>
      <c r="AK87" s="3396"/>
      <c r="AL87" s="3396"/>
      <c r="AM87" s="3396"/>
      <c r="AN87" s="3396"/>
      <c r="AO87" s="3396"/>
      <c r="AP87" s="3396"/>
      <c r="AQ87" s="3396"/>
      <c r="AR87" s="3396"/>
      <c r="AS87" s="3396"/>
      <c r="AT87" s="3396"/>
      <c r="AU87" s="3396"/>
      <c r="AV87" s="3396"/>
      <c r="AW87" s="3396"/>
      <c r="AX87" s="3396"/>
      <c r="AY87" s="3396"/>
      <c r="AZ87" s="3396"/>
      <c r="BA87" s="3396"/>
      <c r="BB87" s="3396"/>
      <c r="BC87" s="3396"/>
      <c r="BD87" s="3396"/>
      <c r="BE87" s="3396"/>
      <c r="BF87" s="3396"/>
      <c r="BG87" s="3396"/>
      <c r="BH87" s="3396"/>
      <c r="BI87" s="3396"/>
      <c r="BJ87" s="3396"/>
      <c r="BK87" s="3396"/>
      <c r="BL87" s="3396"/>
      <c r="BM87" s="3396"/>
      <c r="BN87" s="3396"/>
    </row>
    <row r="88" s="687" customFormat="1" ht="13.5" hidden="1" customHeight="1" spans="1:66">
      <c r="A88" s="3407" t="s">
        <v>6022</v>
      </c>
      <c r="B88" s="3408"/>
      <c r="C88" s="3409"/>
      <c r="D88" s="3409"/>
      <c r="E88" s="3408"/>
      <c r="F88" s="3410"/>
      <c r="G88" s="3410"/>
      <c r="H88" s="3411">
        <f t="shared" si="1"/>
        <v>0</v>
      </c>
      <c r="I88" s="3396"/>
      <c r="J88" s="3396"/>
      <c r="K88" s="3396"/>
      <c r="L88" s="3396"/>
      <c r="M88" s="3396"/>
      <c r="N88" s="3396"/>
      <c r="O88" s="3396"/>
      <c r="P88" s="3396"/>
      <c r="Q88" s="3396"/>
      <c r="R88" s="3396"/>
      <c r="S88" s="3396"/>
      <c r="T88" s="3396"/>
      <c r="U88" s="3396"/>
      <c r="V88" s="3396"/>
      <c r="W88" s="3396"/>
      <c r="X88" s="3396"/>
      <c r="Y88" s="3396"/>
      <c r="Z88" s="3396"/>
      <c r="AA88" s="3396"/>
      <c r="AB88" s="3396"/>
      <c r="AC88" s="3396"/>
      <c r="AD88" s="3396"/>
      <c r="AE88" s="3396"/>
      <c r="AF88" s="3396"/>
      <c r="AG88" s="3396"/>
      <c r="AH88" s="3396"/>
      <c r="AI88" s="3396"/>
      <c r="AJ88" s="3396"/>
      <c r="AK88" s="3396"/>
      <c r="AL88" s="3396"/>
      <c r="AM88" s="3396"/>
      <c r="AN88" s="3396"/>
      <c r="AO88" s="3396"/>
      <c r="AP88" s="3396"/>
      <c r="AQ88" s="3396"/>
      <c r="AR88" s="3396"/>
      <c r="AS88" s="3396"/>
      <c r="AT88" s="3396"/>
      <c r="AU88" s="3396"/>
      <c r="AV88" s="3396"/>
      <c r="AW88" s="3396"/>
      <c r="AX88" s="3396"/>
      <c r="AY88" s="3396"/>
      <c r="AZ88" s="3396"/>
      <c r="BA88" s="3396"/>
      <c r="BB88" s="3396"/>
      <c r="BC88" s="3396"/>
      <c r="BD88" s="3396"/>
      <c r="BE88" s="3396"/>
      <c r="BF88" s="3396"/>
      <c r="BG88" s="3396"/>
      <c r="BH88" s="3396"/>
      <c r="BI88" s="3396"/>
      <c r="BJ88" s="3396"/>
      <c r="BK88" s="3396"/>
      <c r="BL88" s="3396"/>
      <c r="BM88" s="3396"/>
      <c r="BN88" s="3396"/>
    </row>
    <row r="89" s="687" customFormat="1" ht="13.5" hidden="1" customHeight="1" spans="1:66">
      <c r="A89" s="3407" t="s">
        <v>6023</v>
      </c>
      <c r="B89" s="3408"/>
      <c r="C89" s="3409"/>
      <c r="D89" s="3409"/>
      <c r="E89" s="3408"/>
      <c r="F89" s="3410"/>
      <c r="G89" s="3410"/>
      <c r="H89" s="3411">
        <f t="shared" si="1"/>
        <v>0</v>
      </c>
      <c r="I89" s="3396"/>
      <c r="J89" s="3396"/>
      <c r="K89" s="3396"/>
      <c r="L89" s="3396"/>
      <c r="M89" s="3396"/>
      <c r="N89" s="3396"/>
      <c r="O89" s="3396"/>
      <c r="P89" s="3396"/>
      <c r="Q89" s="3396"/>
      <c r="R89" s="3396"/>
      <c r="S89" s="3396"/>
      <c r="T89" s="3396"/>
      <c r="U89" s="3396"/>
      <c r="V89" s="3396"/>
      <c r="W89" s="3396"/>
      <c r="X89" s="3396"/>
      <c r="Y89" s="3396"/>
      <c r="Z89" s="3396"/>
      <c r="AA89" s="3396"/>
      <c r="AB89" s="3396"/>
      <c r="AC89" s="3396"/>
      <c r="AD89" s="3396"/>
      <c r="AE89" s="3396"/>
      <c r="AF89" s="3396"/>
      <c r="AG89" s="3396"/>
      <c r="AH89" s="3396"/>
      <c r="AI89" s="3396"/>
      <c r="AJ89" s="3396"/>
      <c r="AK89" s="3396"/>
      <c r="AL89" s="3396"/>
      <c r="AM89" s="3396"/>
      <c r="AN89" s="3396"/>
      <c r="AO89" s="3396"/>
      <c r="AP89" s="3396"/>
      <c r="AQ89" s="3396"/>
      <c r="AR89" s="3396"/>
      <c r="AS89" s="3396"/>
      <c r="AT89" s="3396"/>
      <c r="AU89" s="3396"/>
      <c r="AV89" s="3396"/>
      <c r="AW89" s="3396"/>
      <c r="AX89" s="3396"/>
      <c r="AY89" s="3396"/>
      <c r="AZ89" s="3396"/>
      <c r="BA89" s="3396"/>
      <c r="BB89" s="3396"/>
      <c r="BC89" s="3396"/>
      <c r="BD89" s="3396"/>
      <c r="BE89" s="3396"/>
      <c r="BF89" s="3396"/>
      <c r="BG89" s="3396"/>
      <c r="BH89" s="3396"/>
      <c r="BI89" s="3396"/>
      <c r="BJ89" s="3396"/>
      <c r="BK89" s="3396"/>
      <c r="BL89" s="3396"/>
      <c r="BM89" s="3396"/>
      <c r="BN89" s="3396"/>
    </row>
    <row r="90" s="687" customFormat="1" ht="13.5" hidden="1" customHeight="1" spans="1:66">
      <c r="A90" s="3407" t="s">
        <v>6024</v>
      </c>
      <c r="B90" s="3408"/>
      <c r="C90" s="3409"/>
      <c r="D90" s="3409"/>
      <c r="E90" s="3408"/>
      <c r="F90" s="3410"/>
      <c r="G90" s="3410"/>
      <c r="H90" s="3411">
        <f t="shared" si="1"/>
        <v>0</v>
      </c>
      <c r="I90" s="3396"/>
      <c r="J90" s="3396"/>
      <c r="K90" s="3396"/>
      <c r="L90" s="3396"/>
      <c r="M90" s="3396"/>
      <c r="N90" s="3396"/>
      <c r="O90" s="3396"/>
      <c r="P90" s="3396"/>
      <c r="Q90" s="3396"/>
      <c r="R90" s="3396"/>
      <c r="S90" s="3396"/>
      <c r="T90" s="3396"/>
      <c r="U90" s="3396"/>
      <c r="V90" s="3396"/>
      <c r="W90" s="3396"/>
      <c r="X90" s="3396"/>
      <c r="Y90" s="3396"/>
      <c r="Z90" s="3396"/>
      <c r="AA90" s="3396"/>
      <c r="AB90" s="3396"/>
      <c r="AC90" s="3396"/>
      <c r="AD90" s="3396"/>
      <c r="AE90" s="3396"/>
      <c r="AF90" s="3396"/>
      <c r="AG90" s="3396"/>
      <c r="AH90" s="3396"/>
      <c r="AI90" s="3396"/>
      <c r="AJ90" s="3396"/>
      <c r="AK90" s="3396"/>
      <c r="AL90" s="3396"/>
      <c r="AM90" s="3396"/>
      <c r="AN90" s="3396"/>
      <c r="AO90" s="3396"/>
      <c r="AP90" s="3396"/>
      <c r="AQ90" s="3396"/>
      <c r="AR90" s="3396"/>
      <c r="AS90" s="3396"/>
      <c r="AT90" s="3396"/>
      <c r="AU90" s="3396"/>
      <c r="AV90" s="3396"/>
      <c r="AW90" s="3396"/>
      <c r="AX90" s="3396"/>
      <c r="AY90" s="3396"/>
      <c r="AZ90" s="3396"/>
      <c r="BA90" s="3396"/>
      <c r="BB90" s="3396"/>
      <c r="BC90" s="3396"/>
      <c r="BD90" s="3396"/>
      <c r="BE90" s="3396"/>
      <c r="BF90" s="3396"/>
      <c r="BG90" s="3396"/>
      <c r="BH90" s="3396"/>
      <c r="BI90" s="3396"/>
      <c r="BJ90" s="3396"/>
      <c r="BK90" s="3396"/>
      <c r="BL90" s="3396"/>
      <c r="BM90" s="3396"/>
      <c r="BN90" s="3396"/>
    </row>
    <row r="91" s="687" customFormat="1" ht="13.5" hidden="1" customHeight="1" spans="1:66">
      <c r="A91" s="3407" t="s">
        <v>6025</v>
      </c>
      <c r="B91" s="3408"/>
      <c r="C91" s="3409"/>
      <c r="D91" s="3409"/>
      <c r="E91" s="3408"/>
      <c r="F91" s="3410"/>
      <c r="G91" s="3410"/>
      <c r="H91" s="3411">
        <f t="shared" si="1"/>
        <v>0</v>
      </c>
      <c r="I91" s="3396"/>
      <c r="J91" s="3396"/>
      <c r="K91" s="3396"/>
      <c r="L91" s="3396"/>
      <c r="M91" s="3396"/>
      <c r="N91" s="3396"/>
      <c r="O91" s="3396"/>
      <c r="P91" s="3396"/>
      <c r="Q91" s="3396"/>
      <c r="R91" s="3396"/>
      <c r="S91" s="3396"/>
      <c r="T91" s="3396"/>
      <c r="U91" s="3396"/>
      <c r="V91" s="3396"/>
      <c r="W91" s="3396"/>
      <c r="X91" s="3396"/>
      <c r="Y91" s="3396"/>
      <c r="Z91" s="3396"/>
      <c r="AA91" s="3396"/>
      <c r="AB91" s="3396"/>
      <c r="AC91" s="3396"/>
      <c r="AD91" s="3396"/>
      <c r="AE91" s="3396"/>
      <c r="AF91" s="3396"/>
      <c r="AG91" s="3396"/>
      <c r="AH91" s="3396"/>
      <c r="AI91" s="3396"/>
      <c r="AJ91" s="3396"/>
      <c r="AK91" s="3396"/>
      <c r="AL91" s="3396"/>
      <c r="AM91" s="3396"/>
      <c r="AN91" s="3396"/>
      <c r="AO91" s="3396"/>
      <c r="AP91" s="3396"/>
      <c r="AQ91" s="3396"/>
      <c r="AR91" s="3396"/>
      <c r="AS91" s="3396"/>
      <c r="AT91" s="3396"/>
      <c r="AU91" s="3396"/>
      <c r="AV91" s="3396"/>
      <c r="AW91" s="3396"/>
      <c r="AX91" s="3396"/>
      <c r="AY91" s="3396"/>
      <c r="AZ91" s="3396"/>
      <c r="BA91" s="3396"/>
      <c r="BB91" s="3396"/>
      <c r="BC91" s="3396"/>
      <c r="BD91" s="3396"/>
      <c r="BE91" s="3396"/>
      <c r="BF91" s="3396"/>
      <c r="BG91" s="3396"/>
      <c r="BH91" s="3396"/>
      <c r="BI91" s="3396"/>
      <c r="BJ91" s="3396"/>
      <c r="BK91" s="3396"/>
      <c r="BL91" s="3396"/>
      <c r="BM91" s="3396"/>
      <c r="BN91" s="3396"/>
    </row>
    <row r="92" s="687" customFormat="1" ht="13.5" hidden="1" customHeight="1" spans="1:66">
      <c r="A92" s="3407" t="s">
        <v>6026</v>
      </c>
      <c r="B92" s="3408"/>
      <c r="C92" s="3409"/>
      <c r="D92" s="3409"/>
      <c r="E92" s="3408"/>
      <c r="F92" s="3410"/>
      <c r="G92" s="3410"/>
      <c r="H92" s="3411">
        <f t="shared" si="1"/>
        <v>0</v>
      </c>
      <c r="I92" s="3396"/>
      <c r="J92" s="3396"/>
      <c r="K92" s="3396"/>
      <c r="L92" s="3396"/>
      <c r="M92" s="3396"/>
      <c r="N92" s="3396"/>
      <c r="O92" s="3396"/>
      <c r="P92" s="3396"/>
      <c r="Q92" s="3396"/>
      <c r="R92" s="3396"/>
      <c r="S92" s="3396"/>
      <c r="T92" s="3396"/>
      <c r="U92" s="3396"/>
      <c r="V92" s="3396"/>
      <c r="W92" s="3396"/>
      <c r="X92" s="3396"/>
      <c r="Y92" s="3396"/>
      <c r="Z92" s="3396"/>
      <c r="AA92" s="3396"/>
      <c r="AB92" s="3396"/>
      <c r="AC92" s="3396"/>
      <c r="AD92" s="3396"/>
      <c r="AE92" s="3396"/>
      <c r="AF92" s="3396"/>
      <c r="AG92" s="3396"/>
      <c r="AH92" s="3396"/>
      <c r="AI92" s="3396"/>
      <c r="AJ92" s="3396"/>
      <c r="AK92" s="3396"/>
      <c r="AL92" s="3396"/>
      <c r="AM92" s="3396"/>
      <c r="AN92" s="3396"/>
      <c r="AO92" s="3396"/>
      <c r="AP92" s="3396"/>
      <c r="AQ92" s="3396"/>
      <c r="AR92" s="3396"/>
      <c r="AS92" s="3396"/>
      <c r="AT92" s="3396"/>
      <c r="AU92" s="3396"/>
      <c r="AV92" s="3396"/>
      <c r="AW92" s="3396"/>
      <c r="AX92" s="3396"/>
      <c r="AY92" s="3396"/>
      <c r="AZ92" s="3396"/>
      <c r="BA92" s="3396"/>
      <c r="BB92" s="3396"/>
      <c r="BC92" s="3396"/>
      <c r="BD92" s="3396"/>
      <c r="BE92" s="3396"/>
      <c r="BF92" s="3396"/>
      <c r="BG92" s="3396"/>
      <c r="BH92" s="3396"/>
      <c r="BI92" s="3396"/>
      <c r="BJ92" s="3396"/>
      <c r="BK92" s="3396"/>
      <c r="BL92" s="3396"/>
      <c r="BM92" s="3396"/>
      <c r="BN92" s="3396"/>
    </row>
    <row r="93" s="687" customFormat="1" ht="13.5" hidden="1" customHeight="1" spans="1:66">
      <c r="A93" s="3407" t="s">
        <v>6027</v>
      </c>
      <c r="B93" s="3408"/>
      <c r="C93" s="3409"/>
      <c r="D93" s="3409"/>
      <c r="E93" s="3408"/>
      <c r="F93" s="3410"/>
      <c r="G93" s="3410"/>
      <c r="H93" s="3411">
        <f t="shared" si="1"/>
        <v>0</v>
      </c>
      <c r="I93" s="3396"/>
      <c r="J93" s="3396"/>
      <c r="K93" s="3396"/>
      <c r="L93" s="3396"/>
      <c r="M93" s="3396"/>
      <c r="N93" s="3396"/>
      <c r="O93" s="3396"/>
      <c r="P93" s="3396"/>
      <c r="Q93" s="3396"/>
      <c r="R93" s="3396"/>
      <c r="S93" s="3396"/>
      <c r="T93" s="3396"/>
      <c r="U93" s="3396"/>
      <c r="V93" s="3396"/>
      <c r="W93" s="3396"/>
      <c r="X93" s="3396"/>
      <c r="Y93" s="3396"/>
      <c r="Z93" s="3396"/>
      <c r="AA93" s="3396"/>
      <c r="AB93" s="3396"/>
      <c r="AC93" s="3396"/>
      <c r="AD93" s="3396"/>
      <c r="AE93" s="3396"/>
      <c r="AF93" s="3396"/>
      <c r="AG93" s="3396"/>
      <c r="AH93" s="3396"/>
      <c r="AI93" s="3396"/>
      <c r="AJ93" s="3396"/>
      <c r="AK93" s="3396"/>
      <c r="AL93" s="3396"/>
      <c r="AM93" s="3396"/>
      <c r="AN93" s="3396"/>
      <c r="AO93" s="3396"/>
      <c r="AP93" s="3396"/>
      <c r="AQ93" s="3396"/>
      <c r="AR93" s="3396"/>
      <c r="AS93" s="3396"/>
      <c r="AT93" s="3396"/>
      <c r="AU93" s="3396"/>
      <c r="AV93" s="3396"/>
      <c r="AW93" s="3396"/>
      <c r="AX93" s="3396"/>
      <c r="AY93" s="3396"/>
      <c r="AZ93" s="3396"/>
      <c r="BA93" s="3396"/>
      <c r="BB93" s="3396"/>
      <c r="BC93" s="3396"/>
      <c r="BD93" s="3396"/>
      <c r="BE93" s="3396"/>
      <c r="BF93" s="3396"/>
      <c r="BG93" s="3396"/>
      <c r="BH93" s="3396"/>
      <c r="BI93" s="3396"/>
      <c r="BJ93" s="3396"/>
      <c r="BK93" s="3396"/>
      <c r="BL93" s="3396"/>
      <c r="BM93" s="3396"/>
      <c r="BN93" s="3396"/>
    </row>
    <row r="94" s="687" customFormat="1" ht="13.5" hidden="1" customHeight="1" spans="1:66">
      <c r="A94" s="3407" t="s">
        <v>6028</v>
      </c>
      <c r="B94" s="3408"/>
      <c r="C94" s="3409"/>
      <c r="D94" s="3409"/>
      <c r="E94" s="3408"/>
      <c r="F94" s="3410"/>
      <c r="G94" s="3410"/>
      <c r="H94" s="3411">
        <f t="shared" si="1"/>
        <v>0</v>
      </c>
      <c r="I94" s="3396"/>
      <c r="J94" s="3396"/>
      <c r="K94" s="3396"/>
      <c r="L94" s="3396"/>
      <c r="M94" s="3396"/>
      <c r="N94" s="3396"/>
      <c r="O94" s="3396"/>
      <c r="P94" s="3396"/>
      <c r="Q94" s="3396"/>
      <c r="R94" s="3396"/>
      <c r="S94" s="3396"/>
      <c r="T94" s="3396"/>
      <c r="U94" s="3396"/>
      <c r="V94" s="3396"/>
      <c r="W94" s="3396"/>
      <c r="X94" s="3396"/>
      <c r="Y94" s="3396"/>
      <c r="Z94" s="3396"/>
      <c r="AA94" s="3396"/>
      <c r="AB94" s="3396"/>
      <c r="AC94" s="3396"/>
      <c r="AD94" s="3396"/>
      <c r="AE94" s="3396"/>
      <c r="AF94" s="3396"/>
      <c r="AG94" s="3396"/>
      <c r="AH94" s="3396"/>
      <c r="AI94" s="3396"/>
      <c r="AJ94" s="3396"/>
      <c r="AK94" s="3396"/>
      <c r="AL94" s="3396"/>
      <c r="AM94" s="3396"/>
      <c r="AN94" s="3396"/>
      <c r="AO94" s="3396"/>
      <c r="AP94" s="3396"/>
      <c r="AQ94" s="3396"/>
      <c r="AR94" s="3396"/>
      <c r="AS94" s="3396"/>
      <c r="AT94" s="3396"/>
      <c r="AU94" s="3396"/>
      <c r="AV94" s="3396"/>
      <c r="AW94" s="3396"/>
      <c r="AX94" s="3396"/>
      <c r="AY94" s="3396"/>
      <c r="AZ94" s="3396"/>
      <c r="BA94" s="3396"/>
      <c r="BB94" s="3396"/>
      <c r="BC94" s="3396"/>
      <c r="BD94" s="3396"/>
      <c r="BE94" s="3396"/>
      <c r="BF94" s="3396"/>
      <c r="BG94" s="3396"/>
      <c r="BH94" s="3396"/>
      <c r="BI94" s="3396"/>
      <c r="BJ94" s="3396"/>
      <c r="BK94" s="3396"/>
      <c r="BL94" s="3396"/>
      <c r="BM94" s="3396"/>
      <c r="BN94" s="3396"/>
    </row>
    <row r="95" s="687" customFormat="1" ht="13.5" hidden="1" customHeight="1" spans="1:66">
      <c r="A95" s="3407" t="s">
        <v>6029</v>
      </c>
      <c r="B95" s="3408"/>
      <c r="C95" s="3409"/>
      <c r="D95" s="3409"/>
      <c r="E95" s="3408"/>
      <c r="F95" s="3410"/>
      <c r="G95" s="3410"/>
      <c r="H95" s="3411">
        <f t="shared" si="1"/>
        <v>0</v>
      </c>
      <c r="I95" s="3396"/>
      <c r="J95" s="3396"/>
      <c r="K95" s="3396"/>
      <c r="L95" s="3396"/>
      <c r="M95" s="3396"/>
      <c r="N95" s="3396"/>
      <c r="O95" s="3396"/>
      <c r="P95" s="3396"/>
      <c r="Q95" s="3396"/>
      <c r="R95" s="3396"/>
      <c r="S95" s="3396"/>
      <c r="T95" s="3396"/>
      <c r="U95" s="3396"/>
      <c r="V95" s="3396"/>
      <c r="W95" s="3396"/>
      <c r="X95" s="3396"/>
      <c r="Y95" s="3396"/>
      <c r="Z95" s="3396"/>
      <c r="AA95" s="3396"/>
      <c r="AB95" s="3396"/>
      <c r="AC95" s="3396"/>
      <c r="AD95" s="3396"/>
      <c r="AE95" s="3396"/>
      <c r="AF95" s="3396"/>
      <c r="AG95" s="3396"/>
      <c r="AH95" s="3396"/>
      <c r="AI95" s="3396"/>
      <c r="AJ95" s="3396"/>
      <c r="AK95" s="3396"/>
      <c r="AL95" s="3396"/>
      <c r="AM95" s="3396"/>
      <c r="AN95" s="3396"/>
      <c r="AO95" s="3396"/>
      <c r="AP95" s="3396"/>
      <c r="AQ95" s="3396"/>
      <c r="AR95" s="3396"/>
      <c r="AS95" s="3396"/>
      <c r="AT95" s="3396"/>
      <c r="AU95" s="3396"/>
      <c r="AV95" s="3396"/>
      <c r="AW95" s="3396"/>
      <c r="AX95" s="3396"/>
      <c r="AY95" s="3396"/>
      <c r="AZ95" s="3396"/>
      <c r="BA95" s="3396"/>
      <c r="BB95" s="3396"/>
      <c r="BC95" s="3396"/>
      <c r="BD95" s="3396"/>
      <c r="BE95" s="3396"/>
      <c r="BF95" s="3396"/>
      <c r="BG95" s="3396"/>
      <c r="BH95" s="3396"/>
      <c r="BI95" s="3396"/>
      <c r="BJ95" s="3396"/>
      <c r="BK95" s="3396"/>
      <c r="BL95" s="3396"/>
      <c r="BM95" s="3396"/>
      <c r="BN95" s="3396"/>
    </row>
    <row r="96" s="687" customFormat="1" ht="13.5" hidden="1" customHeight="1" spans="1:66">
      <c r="A96" s="3407" t="s">
        <v>6030</v>
      </c>
      <c r="B96" s="3408"/>
      <c r="C96" s="3409"/>
      <c r="D96" s="3409"/>
      <c r="E96" s="3408"/>
      <c r="F96" s="3410"/>
      <c r="G96" s="3410"/>
      <c r="H96" s="3411">
        <f t="shared" si="1"/>
        <v>0</v>
      </c>
      <c r="I96" s="3396"/>
      <c r="J96" s="3396"/>
      <c r="K96" s="3396"/>
      <c r="L96" s="3396"/>
      <c r="M96" s="3396"/>
      <c r="N96" s="3396"/>
      <c r="O96" s="3396"/>
      <c r="P96" s="3396"/>
      <c r="Q96" s="3396"/>
      <c r="R96" s="3396"/>
      <c r="S96" s="3396"/>
      <c r="T96" s="3396"/>
      <c r="U96" s="3396"/>
      <c r="V96" s="3396"/>
      <c r="W96" s="3396"/>
      <c r="X96" s="3396"/>
      <c r="Y96" s="3396"/>
      <c r="Z96" s="3396"/>
      <c r="AA96" s="3396"/>
      <c r="AB96" s="3396"/>
      <c r="AC96" s="3396"/>
      <c r="AD96" s="3396"/>
      <c r="AE96" s="3396"/>
      <c r="AF96" s="3396"/>
      <c r="AG96" s="3396"/>
      <c r="AH96" s="3396"/>
      <c r="AI96" s="3396"/>
      <c r="AJ96" s="3396"/>
      <c r="AK96" s="3396"/>
      <c r="AL96" s="3396"/>
      <c r="AM96" s="3396"/>
      <c r="AN96" s="3396"/>
      <c r="AO96" s="3396"/>
      <c r="AP96" s="3396"/>
      <c r="AQ96" s="3396"/>
      <c r="AR96" s="3396"/>
      <c r="AS96" s="3396"/>
      <c r="AT96" s="3396"/>
      <c r="AU96" s="3396"/>
      <c r="AV96" s="3396"/>
      <c r="AW96" s="3396"/>
      <c r="AX96" s="3396"/>
      <c r="AY96" s="3396"/>
      <c r="AZ96" s="3396"/>
      <c r="BA96" s="3396"/>
      <c r="BB96" s="3396"/>
      <c r="BC96" s="3396"/>
      <c r="BD96" s="3396"/>
      <c r="BE96" s="3396"/>
      <c r="BF96" s="3396"/>
      <c r="BG96" s="3396"/>
      <c r="BH96" s="3396"/>
      <c r="BI96" s="3396"/>
      <c r="BJ96" s="3396"/>
      <c r="BK96" s="3396"/>
      <c r="BL96" s="3396"/>
      <c r="BM96" s="3396"/>
      <c r="BN96" s="3396"/>
    </row>
    <row r="97" s="687" customFormat="1" ht="13.5" hidden="1" customHeight="1" spans="1:66">
      <c r="A97" s="3407" t="s">
        <v>6031</v>
      </c>
      <c r="B97" s="3408"/>
      <c r="C97" s="3409"/>
      <c r="D97" s="3409"/>
      <c r="E97" s="3408"/>
      <c r="F97" s="3410"/>
      <c r="G97" s="3410"/>
      <c r="H97" s="3411">
        <f t="shared" si="1"/>
        <v>0</v>
      </c>
      <c r="I97" s="3396"/>
      <c r="J97" s="3396"/>
      <c r="K97" s="3396"/>
      <c r="L97" s="3396"/>
      <c r="M97" s="3396"/>
      <c r="N97" s="3396"/>
      <c r="O97" s="3396"/>
      <c r="P97" s="3396"/>
      <c r="Q97" s="3396"/>
      <c r="R97" s="3396"/>
      <c r="S97" s="3396"/>
      <c r="T97" s="3396"/>
      <c r="U97" s="3396"/>
      <c r="V97" s="3396"/>
      <c r="W97" s="3396"/>
      <c r="X97" s="3396"/>
      <c r="Y97" s="3396"/>
      <c r="Z97" s="3396"/>
      <c r="AA97" s="3396"/>
      <c r="AB97" s="3396"/>
      <c r="AC97" s="3396"/>
      <c r="AD97" s="3396"/>
      <c r="AE97" s="3396"/>
      <c r="AF97" s="3396"/>
      <c r="AG97" s="3396"/>
      <c r="AH97" s="3396"/>
      <c r="AI97" s="3396"/>
      <c r="AJ97" s="3396"/>
      <c r="AK97" s="3396"/>
      <c r="AL97" s="3396"/>
      <c r="AM97" s="3396"/>
      <c r="AN97" s="3396"/>
      <c r="AO97" s="3396"/>
      <c r="AP97" s="3396"/>
      <c r="AQ97" s="3396"/>
      <c r="AR97" s="3396"/>
      <c r="AS97" s="3396"/>
      <c r="AT97" s="3396"/>
      <c r="AU97" s="3396"/>
      <c r="AV97" s="3396"/>
      <c r="AW97" s="3396"/>
      <c r="AX97" s="3396"/>
      <c r="AY97" s="3396"/>
      <c r="AZ97" s="3396"/>
      <c r="BA97" s="3396"/>
      <c r="BB97" s="3396"/>
      <c r="BC97" s="3396"/>
      <c r="BD97" s="3396"/>
      <c r="BE97" s="3396"/>
      <c r="BF97" s="3396"/>
      <c r="BG97" s="3396"/>
      <c r="BH97" s="3396"/>
      <c r="BI97" s="3396"/>
      <c r="BJ97" s="3396"/>
      <c r="BK97" s="3396"/>
      <c r="BL97" s="3396"/>
      <c r="BM97" s="3396"/>
      <c r="BN97" s="3396"/>
    </row>
    <row r="98" s="687" customFormat="1" ht="13.5" hidden="1" customHeight="1" spans="1:66">
      <c r="A98" s="3407" t="s">
        <v>6032</v>
      </c>
      <c r="B98" s="3408"/>
      <c r="C98" s="3409"/>
      <c r="D98" s="3409"/>
      <c r="E98" s="3408"/>
      <c r="F98" s="3410"/>
      <c r="G98" s="3410"/>
      <c r="H98" s="3411">
        <f t="shared" si="1"/>
        <v>0</v>
      </c>
      <c r="I98" s="3396"/>
      <c r="J98" s="3396"/>
      <c r="K98" s="3396"/>
      <c r="L98" s="3396"/>
      <c r="M98" s="3396"/>
      <c r="N98" s="3396"/>
      <c r="O98" s="3396"/>
      <c r="P98" s="3396"/>
      <c r="Q98" s="3396"/>
      <c r="R98" s="3396"/>
      <c r="S98" s="3396"/>
      <c r="T98" s="3396"/>
      <c r="U98" s="3396"/>
      <c r="V98" s="3396"/>
      <c r="W98" s="3396"/>
      <c r="X98" s="3396"/>
      <c r="Y98" s="3396"/>
      <c r="Z98" s="3396"/>
      <c r="AA98" s="3396"/>
      <c r="AB98" s="3396"/>
      <c r="AC98" s="3396"/>
      <c r="AD98" s="3396"/>
      <c r="AE98" s="3396"/>
      <c r="AF98" s="3396"/>
      <c r="AG98" s="3396"/>
      <c r="AH98" s="3396"/>
      <c r="AI98" s="3396"/>
      <c r="AJ98" s="3396"/>
      <c r="AK98" s="3396"/>
      <c r="AL98" s="3396"/>
      <c r="AM98" s="3396"/>
      <c r="AN98" s="3396"/>
      <c r="AO98" s="3396"/>
      <c r="AP98" s="3396"/>
      <c r="AQ98" s="3396"/>
      <c r="AR98" s="3396"/>
      <c r="AS98" s="3396"/>
      <c r="AT98" s="3396"/>
      <c r="AU98" s="3396"/>
      <c r="AV98" s="3396"/>
      <c r="AW98" s="3396"/>
      <c r="AX98" s="3396"/>
      <c r="AY98" s="3396"/>
      <c r="AZ98" s="3396"/>
      <c r="BA98" s="3396"/>
      <c r="BB98" s="3396"/>
      <c r="BC98" s="3396"/>
      <c r="BD98" s="3396"/>
      <c r="BE98" s="3396"/>
      <c r="BF98" s="3396"/>
      <c r="BG98" s="3396"/>
      <c r="BH98" s="3396"/>
      <c r="BI98" s="3396"/>
      <c r="BJ98" s="3396"/>
      <c r="BK98" s="3396"/>
      <c r="BL98" s="3396"/>
      <c r="BM98" s="3396"/>
      <c r="BN98" s="3396"/>
    </row>
    <row r="99" s="687" customFormat="1" ht="13.5" hidden="1" customHeight="1" spans="1:66">
      <c r="A99" s="3407" t="s">
        <v>6033</v>
      </c>
      <c r="B99" s="3408"/>
      <c r="C99" s="3409"/>
      <c r="D99" s="3409"/>
      <c r="E99" s="3408"/>
      <c r="F99" s="3410"/>
      <c r="G99" s="3410"/>
      <c r="H99" s="3411">
        <f t="shared" si="1"/>
        <v>0</v>
      </c>
      <c r="I99" s="3396"/>
      <c r="J99" s="3396"/>
      <c r="K99" s="3396"/>
      <c r="L99" s="3396"/>
      <c r="M99" s="3396"/>
      <c r="N99" s="3396"/>
      <c r="O99" s="3396"/>
      <c r="P99" s="3396"/>
      <c r="Q99" s="3396"/>
      <c r="R99" s="3396"/>
      <c r="S99" s="3396"/>
      <c r="T99" s="3396"/>
      <c r="U99" s="3396"/>
      <c r="V99" s="3396"/>
      <c r="W99" s="3396"/>
      <c r="X99" s="3396"/>
      <c r="Y99" s="3396"/>
      <c r="Z99" s="3396"/>
      <c r="AA99" s="3396"/>
      <c r="AB99" s="3396"/>
      <c r="AC99" s="3396"/>
      <c r="AD99" s="3396"/>
      <c r="AE99" s="3396"/>
      <c r="AF99" s="3396"/>
      <c r="AG99" s="3396"/>
      <c r="AH99" s="3396"/>
      <c r="AI99" s="3396"/>
      <c r="AJ99" s="3396"/>
      <c r="AK99" s="3396"/>
      <c r="AL99" s="3396"/>
      <c r="AM99" s="3396"/>
      <c r="AN99" s="3396"/>
      <c r="AO99" s="3396"/>
      <c r="AP99" s="3396"/>
      <c r="AQ99" s="3396"/>
      <c r="AR99" s="3396"/>
      <c r="AS99" s="3396"/>
      <c r="AT99" s="3396"/>
      <c r="AU99" s="3396"/>
      <c r="AV99" s="3396"/>
      <c r="AW99" s="3396"/>
      <c r="AX99" s="3396"/>
      <c r="AY99" s="3396"/>
      <c r="AZ99" s="3396"/>
      <c r="BA99" s="3396"/>
      <c r="BB99" s="3396"/>
      <c r="BC99" s="3396"/>
      <c r="BD99" s="3396"/>
      <c r="BE99" s="3396"/>
      <c r="BF99" s="3396"/>
      <c r="BG99" s="3396"/>
      <c r="BH99" s="3396"/>
      <c r="BI99" s="3396"/>
      <c r="BJ99" s="3396"/>
      <c r="BK99" s="3396"/>
      <c r="BL99" s="3396"/>
      <c r="BM99" s="3396"/>
      <c r="BN99" s="3396"/>
    </row>
    <row r="100" s="687" customFormat="1" ht="13.5" hidden="1" customHeight="1" spans="1:66">
      <c r="A100" s="3407" t="s">
        <v>6034</v>
      </c>
      <c r="B100" s="3408"/>
      <c r="C100" s="3409"/>
      <c r="D100" s="3409"/>
      <c r="E100" s="3408"/>
      <c r="F100" s="3410"/>
      <c r="G100" s="3410"/>
      <c r="H100" s="3411">
        <f t="shared" si="1"/>
        <v>0</v>
      </c>
      <c r="I100" s="3396"/>
      <c r="J100" s="3396"/>
      <c r="K100" s="3396"/>
      <c r="L100" s="3396"/>
      <c r="M100" s="3396"/>
      <c r="N100" s="3396"/>
      <c r="O100" s="3396"/>
      <c r="P100" s="3396"/>
      <c r="Q100" s="3396"/>
      <c r="R100" s="3396"/>
      <c r="S100" s="3396"/>
      <c r="T100" s="3396"/>
      <c r="U100" s="3396"/>
      <c r="V100" s="3396"/>
      <c r="W100" s="3396"/>
      <c r="X100" s="3396"/>
      <c r="Y100" s="3396"/>
      <c r="Z100" s="3396"/>
      <c r="AA100" s="3396"/>
      <c r="AB100" s="3396"/>
      <c r="AC100" s="3396"/>
      <c r="AD100" s="3396"/>
      <c r="AE100" s="3396"/>
      <c r="AF100" s="3396"/>
      <c r="AG100" s="3396"/>
      <c r="AH100" s="3396"/>
      <c r="AI100" s="3396"/>
      <c r="AJ100" s="3396"/>
      <c r="AK100" s="3396"/>
      <c r="AL100" s="3396"/>
      <c r="AM100" s="3396"/>
      <c r="AN100" s="3396"/>
      <c r="AO100" s="3396"/>
      <c r="AP100" s="3396"/>
      <c r="AQ100" s="3396"/>
      <c r="AR100" s="3396"/>
      <c r="AS100" s="3396"/>
      <c r="AT100" s="3396"/>
      <c r="AU100" s="3396"/>
      <c r="AV100" s="3396"/>
      <c r="AW100" s="3396"/>
      <c r="AX100" s="3396"/>
      <c r="AY100" s="3396"/>
      <c r="AZ100" s="3396"/>
      <c r="BA100" s="3396"/>
      <c r="BB100" s="3396"/>
      <c r="BC100" s="3396"/>
      <c r="BD100" s="3396"/>
      <c r="BE100" s="3396"/>
      <c r="BF100" s="3396"/>
      <c r="BG100" s="3396"/>
      <c r="BH100" s="3396"/>
      <c r="BI100" s="3396"/>
      <c r="BJ100" s="3396"/>
      <c r="BK100" s="3396"/>
      <c r="BL100" s="3396"/>
      <c r="BM100" s="3396"/>
      <c r="BN100" s="3396"/>
    </row>
    <row r="101" s="687" customFormat="1" ht="13.5" hidden="1" customHeight="1" spans="1:66">
      <c r="A101" s="3407" t="s">
        <v>6035</v>
      </c>
      <c r="B101" s="3408"/>
      <c r="C101" s="3409"/>
      <c r="D101" s="3409"/>
      <c r="E101" s="3408"/>
      <c r="F101" s="3410"/>
      <c r="G101" s="3410"/>
      <c r="H101" s="3411">
        <f t="shared" si="1"/>
        <v>0</v>
      </c>
      <c r="I101" s="3396"/>
      <c r="J101" s="3396"/>
      <c r="K101" s="3396"/>
      <c r="L101" s="3396"/>
      <c r="M101" s="3396"/>
      <c r="N101" s="3396"/>
      <c r="O101" s="3396"/>
      <c r="P101" s="3396"/>
      <c r="Q101" s="3396"/>
      <c r="R101" s="3396"/>
      <c r="S101" s="3396"/>
      <c r="T101" s="3396"/>
      <c r="U101" s="3396"/>
      <c r="V101" s="3396"/>
      <c r="W101" s="3396"/>
      <c r="X101" s="3396"/>
      <c r="Y101" s="3396"/>
      <c r="Z101" s="3396"/>
      <c r="AA101" s="3396"/>
      <c r="AB101" s="3396"/>
      <c r="AC101" s="3396"/>
      <c r="AD101" s="3396"/>
      <c r="AE101" s="3396"/>
      <c r="AF101" s="3396"/>
      <c r="AG101" s="3396"/>
      <c r="AH101" s="3396"/>
      <c r="AI101" s="3396"/>
      <c r="AJ101" s="3396"/>
      <c r="AK101" s="3396"/>
      <c r="AL101" s="3396"/>
      <c r="AM101" s="3396"/>
      <c r="AN101" s="3396"/>
      <c r="AO101" s="3396"/>
      <c r="AP101" s="3396"/>
      <c r="AQ101" s="3396"/>
      <c r="AR101" s="3396"/>
      <c r="AS101" s="3396"/>
      <c r="AT101" s="3396"/>
      <c r="AU101" s="3396"/>
      <c r="AV101" s="3396"/>
      <c r="AW101" s="3396"/>
      <c r="AX101" s="3396"/>
      <c r="AY101" s="3396"/>
      <c r="AZ101" s="3396"/>
      <c r="BA101" s="3396"/>
      <c r="BB101" s="3396"/>
      <c r="BC101" s="3396"/>
      <c r="BD101" s="3396"/>
      <c r="BE101" s="3396"/>
      <c r="BF101" s="3396"/>
      <c r="BG101" s="3396"/>
      <c r="BH101" s="3396"/>
      <c r="BI101" s="3396"/>
      <c r="BJ101" s="3396"/>
      <c r="BK101" s="3396"/>
      <c r="BL101" s="3396"/>
      <c r="BM101" s="3396"/>
      <c r="BN101" s="3396"/>
    </row>
    <row r="102" s="687" customFormat="1" ht="13.5" hidden="1" customHeight="1" spans="1:66">
      <c r="A102" s="3407" t="s">
        <v>6036</v>
      </c>
      <c r="B102" s="3408"/>
      <c r="C102" s="3409"/>
      <c r="D102" s="3409"/>
      <c r="E102" s="3408"/>
      <c r="F102" s="3410"/>
      <c r="G102" s="3410"/>
      <c r="H102" s="3411">
        <f t="shared" si="1"/>
        <v>0</v>
      </c>
      <c r="I102" s="3396"/>
      <c r="J102" s="3396"/>
      <c r="K102" s="3396"/>
      <c r="L102" s="3396"/>
      <c r="M102" s="3396"/>
      <c r="N102" s="3396"/>
      <c r="O102" s="3396"/>
      <c r="P102" s="3396"/>
      <c r="Q102" s="3396"/>
      <c r="R102" s="3396"/>
      <c r="S102" s="3396"/>
      <c r="T102" s="3396"/>
      <c r="U102" s="3396"/>
      <c r="V102" s="3396"/>
      <c r="W102" s="3396"/>
      <c r="X102" s="3396"/>
      <c r="Y102" s="3396"/>
      <c r="Z102" s="3396"/>
      <c r="AA102" s="3396"/>
      <c r="AB102" s="3396"/>
      <c r="AC102" s="3396"/>
      <c r="AD102" s="3396"/>
      <c r="AE102" s="3396"/>
      <c r="AF102" s="3396"/>
      <c r="AG102" s="3396"/>
      <c r="AH102" s="3396"/>
      <c r="AI102" s="3396"/>
      <c r="AJ102" s="3396"/>
      <c r="AK102" s="3396"/>
      <c r="AL102" s="3396"/>
      <c r="AM102" s="3396"/>
      <c r="AN102" s="3396"/>
      <c r="AO102" s="3396"/>
      <c r="AP102" s="3396"/>
      <c r="AQ102" s="3396"/>
      <c r="AR102" s="3396"/>
      <c r="AS102" s="3396"/>
      <c r="AT102" s="3396"/>
      <c r="AU102" s="3396"/>
      <c r="AV102" s="3396"/>
      <c r="AW102" s="3396"/>
      <c r="AX102" s="3396"/>
      <c r="AY102" s="3396"/>
      <c r="AZ102" s="3396"/>
      <c r="BA102" s="3396"/>
      <c r="BB102" s="3396"/>
      <c r="BC102" s="3396"/>
      <c r="BD102" s="3396"/>
      <c r="BE102" s="3396"/>
      <c r="BF102" s="3396"/>
      <c r="BG102" s="3396"/>
      <c r="BH102" s="3396"/>
      <c r="BI102" s="3396"/>
      <c r="BJ102" s="3396"/>
      <c r="BK102" s="3396"/>
      <c r="BL102" s="3396"/>
      <c r="BM102" s="3396"/>
      <c r="BN102" s="3396"/>
    </row>
    <row r="103" s="687" customFormat="1" ht="13.5" hidden="1" customHeight="1" spans="1:66">
      <c r="A103" s="3407" t="s">
        <v>6037</v>
      </c>
      <c r="B103" s="3408"/>
      <c r="C103" s="3409"/>
      <c r="D103" s="3409"/>
      <c r="E103" s="3408"/>
      <c r="F103" s="3410"/>
      <c r="G103" s="3410"/>
      <c r="H103" s="3411">
        <f t="shared" si="1"/>
        <v>0</v>
      </c>
      <c r="I103" s="3396"/>
      <c r="J103" s="3396"/>
      <c r="K103" s="3396"/>
      <c r="L103" s="3396"/>
      <c r="M103" s="3396"/>
      <c r="N103" s="3396"/>
      <c r="O103" s="3396"/>
      <c r="P103" s="3396"/>
      <c r="Q103" s="3396"/>
      <c r="R103" s="3396"/>
      <c r="S103" s="3396"/>
      <c r="T103" s="3396"/>
      <c r="U103" s="3396"/>
      <c r="V103" s="3396"/>
      <c r="W103" s="3396"/>
      <c r="X103" s="3396"/>
      <c r="Y103" s="3396"/>
      <c r="Z103" s="3396"/>
      <c r="AA103" s="3396"/>
      <c r="AB103" s="3396"/>
      <c r="AC103" s="3396"/>
      <c r="AD103" s="3396"/>
      <c r="AE103" s="3396"/>
      <c r="AF103" s="3396"/>
      <c r="AG103" s="3396"/>
      <c r="AH103" s="3396"/>
      <c r="AI103" s="3396"/>
      <c r="AJ103" s="3396"/>
      <c r="AK103" s="3396"/>
      <c r="AL103" s="3396"/>
      <c r="AM103" s="3396"/>
      <c r="AN103" s="3396"/>
      <c r="AO103" s="3396"/>
      <c r="AP103" s="3396"/>
      <c r="AQ103" s="3396"/>
      <c r="AR103" s="3396"/>
      <c r="AS103" s="3396"/>
      <c r="AT103" s="3396"/>
      <c r="AU103" s="3396"/>
      <c r="AV103" s="3396"/>
      <c r="AW103" s="3396"/>
      <c r="AX103" s="3396"/>
      <c r="AY103" s="3396"/>
      <c r="AZ103" s="3396"/>
      <c r="BA103" s="3396"/>
      <c r="BB103" s="3396"/>
      <c r="BC103" s="3396"/>
      <c r="BD103" s="3396"/>
      <c r="BE103" s="3396"/>
      <c r="BF103" s="3396"/>
      <c r="BG103" s="3396"/>
      <c r="BH103" s="3396"/>
      <c r="BI103" s="3396"/>
      <c r="BJ103" s="3396"/>
      <c r="BK103" s="3396"/>
      <c r="BL103" s="3396"/>
      <c r="BM103" s="3396"/>
      <c r="BN103" s="3396"/>
    </row>
    <row r="104" s="687" customFormat="1" ht="13.5" hidden="1" customHeight="1" spans="1:66">
      <c r="A104" s="3407" t="s">
        <v>6038</v>
      </c>
      <c r="B104" s="3408"/>
      <c r="C104" s="3409"/>
      <c r="D104" s="3409"/>
      <c r="E104" s="3408"/>
      <c r="F104" s="3410"/>
      <c r="G104" s="3410"/>
      <c r="H104" s="3411">
        <f t="shared" si="1"/>
        <v>0</v>
      </c>
      <c r="I104" s="3396"/>
      <c r="J104" s="3396"/>
      <c r="K104" s="3396"/>
      <c r="L104" s="3396"/>
      <c r="M104" s="3396"/>
      <c r="N104" s="3396"/>
      <c r="O104" s="3396"/>
      <c r="P104" s="3396"/>
      <c r="Q104" s="3396"/>
      <c r="R104" s="3396"/>
      <c r="S104" s="3396"/>
      <c r="T104" s="3396"/>
      <c r="U104" s="3396"/>
      <c r="V104" s="3396"/>
      <c r="W104" s="3396"/>
      <c r="X104" s="3396"/>
      <c r="Y104" s="3396"/>
      <c r="Z104" s="3396"/>
      <c r="AA104" s="3396"/>
      <c r="AB104" s="3396"/>
      <c r="AC104" s="3396"/>
      <c r="AD104" s="3396"/>
      <c r="AE104" s="3396"/>
      <c r="AF104" s="3396"/>
      <c r="AG104" s="3396"/>
      <c r="AH104" s="3396"/>
      <c r="AI104" s="3396"/>
      <c r="AJ104" s="3396"/>
      <c r="AK104" s="3396"/>
      <c r="AL104" s="3396"/>
      <c r="AM104" s="3396"/>
      <c r="AN104" s="3396"/>
      <c r="AO104" s="3396"/>
      <c r="AP104" s="3396"/>
      <c r="AQ104" s="3396"/>
      <c r="AR104" s="3396"/>
      <c r="AS104" s="3396"/>
      <c r="AT104" s="3396"/>
      <c r="AU104" s="3396"/>
      <c r="AV104" s="3396"/>
      <c r="AW104" s="3396"/>
      <c r="AX104" s="3396"/>
      <c r="AY104" s="3396"/>
      <c r="AZ104" s="3396"/>
      <c r="BA104" s="3396"/>
      <c r="BB104" s="3396"/>
      <c r="BC104" s="3396"/>
      <c r="BD104" s="3396"/>
      <c r="BE104" s="3396"/>
      <c r="BF104" s="3396"/>
      <c r="BG104" s="3396"/>
      <c r="BH104" s="3396"/>
      <c r="BI104" s="3396"/>
      <c r="BJ104" s="3396"/>
      <c r="BK104" s="3396"/>
      <c r="BL104" s="3396"/>
      <c r="BM104" s="3396"/>
      <c r="BN104" s="3396"/>
    </row>
    <row r="105" s="687" customFormat="1" ht="13.5" hidden="1" customHeight="1" spans="1:66">
      <c r="A105" s="3407" t="s">
        <v>6379</v>
      </c>
      <c r="B105" s="3408"/>
      <c r="C105" s="3409"/>
      <c r="D105" s="3409"/>
      <c r="E105" s="3408"/>
      <c r="F105" s="3410"/>
      <c r="G105" s="3410"/>
      <c r="H105" s="3411">
        <f t="shared" si="1"/>
        <v>0</v>
      </c>
      <c r="I105" s="3396"/>
      <c r="J105" s="3396"/>
      <c r="K105" s="3396"/>
      <c r="L105" s="3396"/>
      <c r="M105" s="3396"/>
      <c r="N105" s="3396"/>
      <c r="O105" s="3396"/>
      <c r="P105" s="3396"/>
      <c r="Q105" s="3396"/>
      <c r="R105" s="3396"/>
      <c r="S105" s="3396"/>
      <c r="T105" s="3396"/>
      <c r="U105" s="3396"/>
      <c r="V105" s="3396"/>
      <c r="W105" s="3396"/>
      <c r="X105" s="3396"/>
      <c r="Y105" s="3396"/>
      <c r="Z105" s="3396"/>
      <c r="AA105" s="3396"/>
      <c r="AB105" s="3396"/>
      <c r="AC105" s="3396"/>
      <c r="AD105" s="3396"/>
      <c r="AE105" s="3396"/>
      <c r="AF105" s="3396"/>
      <c r="AG105" s="3396"/>
      <c r="AH105" s="3396"/>
      <c r="AI105" s="3396"/>
      <c r="AJ105" s="3396"/>
      <c r="AK105" s="3396"/>
      <c r="AL105" s="3396"/>
      <c r="AM105" s="3396"/>
      <c r="AN105" s="3396"/>
      <c r="AO105" s="3396"/>
      <c r="AP105" s="3396"/>
      <c r="AQ105" s="3396"/>
      <c r="AR105" s="3396"/>
      <c r="AS105" s="3396"/>
      <c r="AT105" s="3396"/>
      <c r="AU105" s="3396"/>
      <c r="AV105" s="3396"/>
      <c r="AW105" s="3396"/>
      <c r="AX105" s="3396"/>
      <c r="AY105" s="3396"/>
      <c r="AZ105" s="3396"/>
      <c r="BA105" s="3396"/>
      <c r="BB105" s="3396"/>
      <c r="BC105" s="3396"/>
      <c r="BD105" s="3396"/>
      <c r="BE105" s="3396"/>
      <c r="BF105" s="3396"/>
      <c r="BG105" s="3396"/>
      <c r="BH105" s="3396"/>
      <c r="BI105" s="3396"/>
      <c r="BJ105" s="3396"/>
      <c r="BK105" s="3396"/>
      <c r="BL105" s="3396"/>
      <c r="BM105" s="3396"/>
      <c r="BN105" s="3396"/>
    </row>
    <row r="106" s="687" customFormat="1" ht="13.5" hidden="1" customHeight="1" spans="1:66">
      <c r="A106" s="3407" t="s">
        <v>6380</v>
      </c>
      <c r="B106" s="3408"/>
      <c r="C106" s="3409"/>
      <c r="D106" s="3409"/>
      <c r="E106" s="3408"/>
      <c r="F106" s="3410"/>
      <c r="G106" s="3410"/>
      <c r="H106" s="3411">
        <f t="shared" si="1"/>
        <v>0</v>
      </c>
      <c r="I106" s="3396"/>
      <c r="J106" s="3396"/>
      <c r="K106" s="3396"/>
      <c r="L106" s="3396"/>
      <c r="M106" s="3396"/>
      <c r="N106" s="3396"/>
      <c r="O106" s="3396"/>
      <c r="P106" s="3396"/>
      <c r="Q106" s="3396"/>
      <c r="R106" s="3396"/>
      <c r="S106" s="3396"/>
      <c r="T106" s="3396"/>
      <c r="U106" s="3396"/>
      <c r="V106" s="3396"/>
      <c r="W106" s="3396"/>
      <c r="X106" s="3396"/>
      <c r="Y106" s="3396"/>
      <c r="Z106" s="3396"/>
      <c r="AA106" s="3396"/>
      <c r="AB106" s="3396"/>
      <c r="AC106" s="3396"/>
      <c r="AD106" s="3396"/>
      <c r="AE106" s="3396"/>
      <c r="AF106" s="3396"/>
      <c r="AG106" s="3396"/>
      <c r="AH106" s="3396"/>
      <c r="AI106" s="3396"/>
      <c r="AJ106" s="3396"/>
      <c r="AK106" s="3396"/>
      <c r="AL106" s="3396"/>
      <c r="AM106" s="3396"/>
      <c r="AN106" s="3396"/>
      <c r="AO106" s="3396"/>
      <c r="AP106" s="3396"/>
      <c r="AQ106" s="3396"/>
      <c r="AR106" s="3396"/>
      <c r="AS106" s="3396"/>
      <c r="AT106" s="3396"/>
      <c r="AU106" s="3396"/>
      <c r="AV106" s="3396"/>
      <c r="AW106" s="3396"/>
      <c r="AX106" s="3396"/>
      <c r="AY106" s="3396"/>
      <c r="AZ106" s="3396"/>
      <c r="BA106" s="3396"/>
      <c r="BB106" s="3396"/>
      <c r="BC106" s="3396"/>
      <c r="BD106" s="3396"/>
      <c r="BE106" s="3396"/>
      <c r="BF106" s="3396"/>
      <c r="BG106" s="3396"/>
      <c r="BH106" s="3396"/>
      <c r="BI106" s="3396"/>
      <c r="BJ106" s="3396"/>
      <c r="BK106" s="3396"/>
      <c r="BL106" s="3396"/>
      <c r="BM106" s="3396"/>
      <c r="BN106" s="3396"/>
    </row>
    <row r="107" s="687" customFormat="1" ht="13.5" hidden="1" customHeight="1" spans="1:66">
      <c r="A107" s="3407" t="s">
        <v>6381</v>
      </c>
      <c r="B107" s="3408"/>
      <c r="C107" s="3409"/>
      <c r="D107" s="3409"/>
      <c r="E107" s="3408"/>
      <c r="F107" s="3410"/>
      <c r="G107" s="3410"/>
      <c r="H107" s="3411">
        <f t="shared" si="1"/>
        <v>0</v>
      </c>
      <c r="I107" s="3396"/>
      <c r="J107" s="3396"/>
      <c r="K107" s="3396"/>
      <c r="L107" s="3396"/>
      <c r="M107" s="3396"/>
      <c r="N107" s="3396"/>
      <c r="O107" s="3396"/>
      <c r="P107" s="3396"/>
      <c r="Q107" s="3396"/>
      <c r="R107" s="3396"/>
      <c r="S107" s="3396"/>
      <c r="T107" s="3396"/>
      <c r="U107" s="3396"/>
      <c r="V107" s="3396"/>
      <c r="W107" s="3396"/>
      <c r="X107" s="3396"/>
      <c r="Y107" s="3396"/>
      <c r="Z107" s="3396"/>
      <c r="AA107" s="3396"/>
      <c r="AB107" s="3396"/>
      <c r="AC107" s="3396"/>
      <c r="AD107" s="3396"/>
      <c r="AE107" s="3396"/>
      <c r="AF107" s="3396"/>
      <c r="AG107" s="3396"/>
      <c r="AH107" s="3396"/>
      <c r="AI107" s="3396"/>
      <c r="AJ107" s="3396"/>
      <c r="AK107" s="3396"/>
      <c r="AL107" s="3396"/>
      <c r="AM107" s="3396"/>
      <c r="AN107" s="3396"/>
      <c r="AO107" s="3396"/>
      <c r="AP107" s="3396"/>
      <c r="AQ107" s="3396"/>
      <c r="AR107" s="3396"/>
      <c r="AS107" s="3396"/>
      <c r="AT107" s="3396"/>
      <c r="AU107" s="3396"/>
      <c r="AV107" s="3396"/>
      <c r="AW107" s="3396"/>
      <c r="AX107" s="3396"/>
      <c r="AY107" s="3396"/>
      <c r="AZ107" s="3396"/>
      <c r="BA107" s="3396"/>
      <c r="BB107" s="3396"/>
      <c r="BC107" s="3396"/>
      <c r="BD107" s="3396"/>
      <c r="BE107" s="3396"/>
      <c r="BF107" s="3396"/>
      <c r="BG107" s="3396"/>
      <c r="BH107" s="3396"/>
      <c r="BI107" s="3396"/>
      <c r="BJ107" s="3396"/>
      <c r="BK107" s="3396"/>
      <c r="BL107" s="3396"/>
      <c r="BM107" s="3396"/>
      <c r="BN107" s="3396"/>
    </row>
    <row r="108" s="687" customFormat="1" ht="13.5" hidden="1" customHeight="1" spans="1:66">
      <c r="A108" s="3407" t="s">
        <v>6382</v>
      </c>
      <c r="B108" s="3408"/>
      <c r="C108" s="3409"/>
      <c r="D108" s="3409"/>
      <c r="E108" s="3408"/>
      <c r="F108" s="3410"/>
      <c r="G108" s="3410"/>
      <c r="H108" s="3411">
        <f t="shared" si="1"/>
        <v>0</v>
      </c>
      <c r="I108" s="3396"/>
      <c r="J108" s="3396"/>
      <c r="K108" s="3396"/>
      <c r="L108" s="3396"/>
      <c r="M108" s="3396"/>
      <c r="N108" s="3396"/>
      <c r="O108" s="3396"/>
      <c r="P108" s="3396"/>
      <c r="Q108" s="3396"/>
      <c r="R108" s="3396"/>
      <c r="S108" s="3396"/>
      <c r="T108" s="3396"/>
      <c r="U108" s="3396"/>
      <c r="V108" s="3396"/>
      <c r="W108" s="3396"/>
      <c r="X108" s="3396"/>
      <c r="Y108" s="3396"/>
      <c r="Z108" s="3396"/>
      <c r="AA108" s="3396"/>
      <c r="AB108" s="3396"/>
      <c r="AC108" s="3396"/>
      <c r="AD108" s="3396"/>
      <c r="AE108" s="3396"/>
      <c r="AF108" s="3396"/>
      <c r="AG108" s="3396"/>
      <c r="AH108" s="3396"/>
      <c r="AI108" s="3396"/>
      <c r="AJ108" s="3396"/>
      <c r="AK108" s="3396"/>
      <c r="AL108" s="3396"/>
      <c r="AM108" s="3396"/>
      <c r="AN108" s="3396"/>
      <c r="AO108" s="3396"/>
      <c r="AP108" s="3396"/>
      <c r="AQ108" s="3396"/>
      <c r="AR108" s="3396"/>
      <c r="AS108" s="3396"/>
      <c r="AT108" s="3396"/>
      <c r="AU108" s="3396"/>
      <c r="AV108" s="3396"/>
      <c r="AW108" s="3396"/>
      <c r="AX108" s="3396"/>
      <c r="AY108" s="3396"/>
      <c r="AZ108" s="3396"/>
      <c r="BA108" s="3396"/>
      <c r="BB108" s="3396"/>
      <c r="BC108" s="3396"/>
      <c r="BD108" s="3396"/>
      <c r="BE108" s="3396"/>
      <c r="BF108" s="3396"/>
      <c r="BG108" s="3396"/>
      <c r="BH108" s="3396"/>
      <c r="BI108" s="3396"/>
      <c r="BJ108" s="3396"/>
      <c r="BK108" s="3396"/>
      <c r="BL108" s="3396"/>
      <c r="BM108" s="3396"/>
      <c r="BN108" s="3396"/>
    </row>
    <row r="109" s="687" customFormat="1" ht="13.5" hidden="1" customHeight="1" spans="1:66">
      <c r="A109" s="3407" t="s">
        <v>6383</v>
      </c>
      <c r="B109" s="3408"/>
      <c r="C109" s="3409"/>
      <c r="D109" s="3409"/>
      <c r="E109" s="3408"/>
      <c r="F109" s="3410"/>
      <c r="G109" s="3410"/>
      <c r="H109" s="3411">
        <f t="shared" si="1"/>
        <v>0</v>
      </c>
      <c r="I109" s="3396"/>
      <c r="J109" s="3396"/>
      <c r="K109" s="3396"/>
      <c r="L109" s="3396"/>
      <c r="M109" s="3396"/>
      <c r="N109" s="3396"/>
      <c r="O109" s="3396"/>
      <c r="P109" s="3396"/>
      <c r="Q109" s="3396"/>
      <c r="R109" s="3396"/>
      <c r="S109" s="3396"/>
      <c r="T109" s="3396"/>
      <c r="U109" s="3396"/>
      <c r="V109" s="3396"/>
      <c r="W109" s="3396"/>
      <c r="X109" s="3396"/>
      <c r="Y109" s="3396"/>
      <c r="Z109" s="3396"/>
      <c r="AA109" s="3396"/>
      <c r="AB109" s="3396"/>
      <c r="AC109" s="3396"/>
      <c r="AD109" s="3396"/>
      <c r="AE109" s="3396"/>
      <c r="AF109" s="3396"/>
      <c r="AG109" s="3396"/>
      <c r="AH109" s="3396"/>
      <c r="AI109" s="3396"/>
      <c r="AJ109" s="3396"/>
      <c r="AK109" s="3396"/>
      <c r="AL109" s="3396"/>
      <c r="AM109" s="3396"/>
      <c r="AN109" s="3396"/>
      <c r="AO109" s="3396"/>
      <c r="AP109" s="3396"/>
      <c r="AQ109" s="3396"/>
      <c r="AR109" s="3396"/>
      <c r="AS109" s="3396"/>
      <c r="AT109" s="3396"/>
      <c r="AU109" s="3396"/>
      <c r="AV109" s="3396"/>
      <c r="AW109" s="3396"/>
      <c r="AX109" s="3396"/>
      <c r="AY109" s="3396"/>
      <c r="AZ109" s="3396"/>
      <c r="BA109" s="3396"/>
      <c r="BB109" s="3396"/>
      <c r="BC109" s="3396"/>
      <c r="BD109" s="3396"/>
      <c r="BE109" s="3396"/>
      <c r="BF109" s="3396"/>
      <c r="BG109" s="3396"/>
      <c r="BH109" s="3396"/>
      <c r="BI109" s="3396"/>
      <c r="BJ109" s="3396"/>
      <c r="BK109" s="3396"/>
      <c r="BL109" s="3396"/>
      <c r="BM109" s="3396"/>
      <c r="BN109" s="3396"/>
    </row>
    <row r="110" s="687" customFormat="1" ht="13.5" hidden="1" customHeight="1" spans="1:66">
      <c r="A110" s="3407" t="s">
        <v>6384</v>
      </c>
      <c r="B110" s="3408"/>
      <c r="C110" s="3409"/>
      <c r="D110" s="3409"/>
      <c r="E110" s="3408"/>
      <c r="F110" s="3410"/>
      <c r="G110" s="3410"/>
      <c r="H110" s="3411">
        <f t="shared" si="1"/>
        <v>0</v>
      </c>
      <c r="I110" s="3396"/>
      <c r="J110" s="3396"/>
      <c r="K110" s="3396"/>
      <c r="L110" s="3396"/>
      <c r="M110" s="3396"/>
      <c r="N110" s="3396"/>
      <c r="O110" s="3396"/>
      <c r="P110" s="3396"/>
      <c r="Q110" s="3396"/>
      <c r="R110" s="3396"/>
      <c r="S110" s="3396"/>
      <c r="T110" s="3396"/>
      <c r="U110" s="3396"/>
      <c r="V110" s="3396"/>
      <c r="W110" s="3396"/>
      <c r="X110" s="3396"/>
      <c r="Y110" s="3396"/>
      <c r="Z110" s="3396"/>
      <c r="AA110" s="3396"/>
      <c r="AB110" s="3396"/>
      <c r="AC110" s="3396"/>
      <c r="AD110" s="3396"/>
      <c r="AE110" s="3396"/>
      <c r="AF110" s="3396"/>
      <c r="AG110" s="3396"/>
      <c r="AH110" s="3396"/>
      <c r="AI110" s="3396"/>
      <c r="AJ110" s="3396"/>
      <c r="AK110" s="3396"/>
      <c r="AL110" s="3396"/>
      <c r="AM110" s="3396"/>
      <c r="AN110" s="3396"/>
      <c r="AO110" s="3396"/>
      <c r="AP110" s="3396"/>
      <c r="AQ110" s="3396"/>
      <c r="AR110" s="3396"/>
      <c r="AS110" s="3396"/>
      <c r="AT110" s="3396"/>
      <c r="AU110" s="3396"/>
      <c r="AV110" s="3396"/>
      <c r="AW110" s="3396"/>
      <c r="AX110" s="3396"/>
      <c r="AY110" s="3396"/>
      <c r="AZ110" s="3396"/>
      <c r="BA110" s="3396"/>
      <c r="BB110" s="3396"/>
      <c r="BC110" s="3396"/>
      <c r="BD110" s="3396"/>
      <c r="BE110" s="3396"/>
      <c r="BF110" s="3396"/>
      <c r="BG110" s="3396"/>
      <c r="BH110" s="3396"/>
      <c r="BI110" s="3396"/>
      <c r="BJ110" s="3396"/>
      <c r="BK110" s="3396"/>
      <c r="BL110" s="3396"/>
      <c r="BM110" s="3396"/>
      <c r="BN110" s="3396"/>
    </row>
    <row r="111" s="687" customFormat="1" ht="13.5" hidden="1" customHeight="1" spans="1:66">
      <c r="A111" s="3407" t="s">
        <v>6385</v>
      </c>
      <c r="B111" s="3408"/>
      <c r="C111" s="3409"/>
      <c r="D111" s="3409"/>
      <c r="E111" s="3408"/>
      <c r="F111" s="3410"/>
      <c r="G111" s="3410"/>
      <c r="H111" s="3411">
        <f t="shared" si="1"/>
        <v>0</v>
      </c>
      <c r="I111" s="3396"/>
      <c r="J111" s="3396"/>
      <c r="K111" s="3396"/>
      <c r="L111" s="3396"/>
      <c r="M111" s="3396"/>
      <c r="N111" s="3396"/>
      <c r="O111" s="3396"/>
      <c r="P111" s="3396"/>
      <c r="Q111" s="3396"/>
      <c r="R111" s="3396"/>
      <c r="S111" s="3396"/>
      <c r="T111" s="3396"/>
      <c r="U111" s="3396"/>
      <c r="V111" s="3396"/>
      <c r="W111" s="3396"/>
      <c r="X111" s="3396"/>
      <c r="Y111" s="3396"/>
      <c r="Z111" s="3396"/>
      <c r="AA111" s="3396"/>
      <c r="AB111" s="3396"/>
      <c r="AC111" s="3396"/>
      <c r="AD111" s="3396"/>
      <c r="AE111" s="3396"/>
      <c r="AF111" s="3396"/>
      <c r="AG111" s="3396"/>
      <c r="AH111" s="3396"/>
      <c r="AI111" s="3396"/>
      <c r="AJ111" s="3396"/>
      <c r="AK111" s="3396"/>
      <c r="AL111" s="3396"/>
      <c r="AM111" s="3396"/>
      <c r="AN111" s="3396"/>
      <c r="AO111" s="3396"/>
      <c r="AP111" s="3396"/>
      <c r="AQ111" s="3396"/>
      <c r="AR111" s="3396"/>
      <c r="AS111" s="3396"/>
      <c r="AT111" s="3396"/>
      <c r="AU111" s="3396"/>
      <c r="AV111" s="3396"/>
      <c r="AW111" s="3396"/>
      <c r="AX111" s="3396"/>
      <c r="AY111" s="3396"/>
      <c r="AZ111" s="3396"/>
      <c r="BA111" s="3396"/>
      <c r="BB111" s="3396"/>
      <c r="BC111" s="3396"/>
      <c r="BD111" s="3396"/>
      <c r="BE111" s="3396"/>
      <c r="BF111" s="3396"/>
      <c r="BG111" s="3396"/>
      <c r="BH111" s="3396"/>
      <c r="BI111" s="3396"/>
      <c r="BJ111" s="3396"/>
      <c r="BK111" s="3396"/>
      <c r="BL111" s="3396"/>
      <c r="BM111" s="3396"/>
      <c r="BN111" s="3396"/>
    </row>
    <row r="112" s="687" customFormat="1" ht="13.5" hidden="1" customHeight="1" spans="1:66">
      <c r="A112" s="3407" t="s">
        <v>6386</v>
      </c>
      <c r="B112" s="3408"/>
      <c r="C112" s="3409"/>
      <c r="D112" s="3409"/>
      <c r="E112" s="3408"/>
      <c r="F112" s="3410"/>
      <c r="G112" s="3410"/>
      <c r="H112" s="3411">
        <f t="shared" si="1"/>
        <v>0</v>
      </c>
      <c r="I112" s="3396"/>
      <c r="J112" s="3396"/>
      <c r="K112" s="3396"/>
      <c r="L112" s="3396"/>
      <c r="M112" s="3396"/>
      <c r="N112" s="3396"/>
      <c r="O112" s="3396"/>
      <c r="P112" s="3396"/>
      <c r="Q112" s="3396"/>
      <c r="R112" s="3396"/>
      <c r="S112" s="3396"/>
      <c r="T112" s="3396"/>
      <c r="U112" s="3396"/>
      <c r="V112" s="3396"/>
      <c r="W112" s="3396"/>
      <c r="X112" s="3396"/>
      <c r="Y112" s="3396"/>
      <c r="Z112" s="3396"/>
      <c r="AA112" s="3396"/>
      <c r="AB112" s="3396"/>
      <c r="AC112" s="3396"/>
      <c r="AD112" s="3396"/>
      <c r="AE112" s="3396"/>
      <c r="AF112" s="3396"/>
      <c r="AG112" s="3396"/>
      <c r="AH112" s="3396"/>
      <c r="AI112" s="3396"/>
      <c r="AJ112" s="3396"/>
      <c r="AK112" s="3396"/>
      <c r="AL112" s="3396"/>
      <c r="AM112" s="3396"/>
      <c r="AN112" s="3396"/>
      <c r="AO112" s="3396"/>
      <c r="AP112" s="3396"/>
      <c r="AQ112" s="3396"/>
      <c r="AR112" s="3396"/>
      <c r="AS112" s="3396"/>
      <c r="AT112" s="3396"/>
      <c r="AU112" s="3396"/>
      <c r="AV112" s="3396"/>
      <c r="AW112" s="3396"/>
      <c r="AX112" s="3396"/>
      <c r="AY112" s="3396"/>
      <c r="AZ112" s="3396"/>
      <c r="BA112" s="3396"/>
      <c r="BB112" s="3396"/>
      <c r="BC112" s="3396"/>
      <c r="BD112" s="3396"/>
      <c r="BE112" s="3396"/>
      <c r="BF112" s="3396"/>
      <c r="BG112" s="3396"/>
      <c r="BH112" s="3396"/>
      <c r="BI112" s="3396"/>
      <c r="BJ112" s="3396"/>
      <c r="BK112" s="3396"/>
      <c r="BL112" s="3396"/>
      <c r="BM112" s="3396"/>
      <c r="BN112" s="3396"/>
    </row>
    <row r="113" s="687" customFormat="1" ht="13.5" hidden="1" customHeight="1" spans="1:66">
      <c r="A113" s="3407" t="s">
        <v>6387</v>
      </c>
      <c r="B113" s="3408"/>
      <c r="C113" s="3409"/>
      <c r="D113" s="3409"/>
      <c r="E113" s="3408"/>
      <c r="F113" s="3410"/>
      <c r="G113" s="3410"/>
      <c r="H113" s="3411">
        <f t="shared" si="1"/>
        <v>0</v>
      </c>
      <c r="I113" s="3396"/>
      <c r="J113" s="3396"/>
      <c r="K113" s="3396"/>
      <c r="L113" s="3396"/>
      <c r="M113" s="3396"/>
      <c r="N113" s="3396"/>
      <c r="O113" s="3396"/>
      <c r="P113" s="3396"/>
      <c r="Q113" s="3396"/>
      <c r="R113" s="3396"/>
      <c r="S113" s="3396"/>
      <c r="T113" s="3396"/>
      <c r="U113" s="3396"/>
      <c r="V113" s="3396"/>
      <c r="W113" s="3396"/>
      <c r="X113" s="3396"/>
      <c r="Y113" s="3396"/>
      <c r="Z113" s="3396"/>
      <c r="AA113" s="3396"/>
      <c r="AB113" s="3396"/>
      <c r="AC113" s="3396"/>
      <c r="AD113" s="3396"/>
      <c r="AE113" s="3396"/>
      <c r="AF113" s="3396"/>
      <c r="AG113" s="3396"/>
      <c r="AH113" s="3396"/>
      <c r="AI113" s="3396"/>
      <c r="AJ113" s="3396"/>
      <c r="AK113" s="3396"/>
      <c r="AL113" s="3396"/>
      <c r="AM113" s="3396"/>
      <c r="AN113" s="3396"/>
      <c r="AO113" s="3396"/>
      <c r="AP113" s="3396"/>
      <c r="AQ113" s="3396"/>
      <c r="AR113" s="3396"/>
      <c r="AS113" s="3396"/>
      <c r="AT113" s="3396"/>
      <c r="AU113" s="3396"/>
      <c r="AV113" s="3396"/>
      <c r="AW113" s="3396"/>
      <c r="AX113" s="3396"/>
      <c r="AY113" s="3396"/>
      <c r="AZ113" s="3396"/>
      <c r="BA113" s="3396"/>
      <c r="BB113" s="3396"/>
      <c r="BC113" s="3396"/>
      <c r="BD113" s="3396"/>
      <c r="BE113" s="3396"/>
      <c r="BF113" s="3396"/>
      <c r="BG113" s="3396"/>
      <c r="BH113" s="3396"/>
      <c r="BI113" s="3396"/>
      <c r="BJ113" s="3396"/>
      <c r="BK113" s="3396"/>
      <c r="BL113" s="3396"/>
      <c r="BM113" s="3396"/>
      <c r="BN113" s="3396"/>
    </row>
    <row r="114" s="687" customFormat="1" ht="13.5" hidden="1" customHeight="1" spans="1:66">
      <c r="A114" s="3407" t="s">
        <v>6388</v>
      </c>
      <c r="B114" s="3408"/>
      <c r="C114" s="3409"/>
      <c r="D114" s="3409"/>
      <c r="E114" s="3408"/>
      <c r="F114" s="3410"/>
      <c r="G114" s="3410"/>
      <c r="H114" s="3411">
        <f t="shared" si="1"/>
        <v>0</v>
      </c>
      <c r="I114" s="3396"/>
      <c r="J114" s="3396"/>
      <c r="K114" s="3396"/>
      <c r="L114" s="3396"/>
      <c r="M114" s="3396"/>
      <c r="N114" s="3396"/>
      <c r="O114" s="3396"/>
      <c r="P114" s="3396"/>
      <c r="Q114" s="3396"/>
      <c r="R114" s="3396"/>
      <c r="S114" s="3396"/>
      <c r="T114" s="3396"/>
      <c r="U114" s="3396"/>
      <c r="V114" s="3396"/>
      <c r="W114" s="3396"/>
      <c r="X114" s="3396"/>
      <c r="Y114" s="3396"/>
      <c r="Z114" s="3396"/>
      <c r="AA114" s="3396"/>
      <c r="AB114" s="3396"/>
      <c r="AC114" s="3396"/>
      <c r="AD114" s="3396"/>
      <c r="AE114" s="3396"/>
      <c r="AF114" s="3396"/>
      <c r="AG114" s="3396"/>
      <c r="AH114" s="3396"/>
      <c r="AI114" s="3396"/>
      <c r="AJ114" s="3396"/>
      <c r="AK114" s="3396"/>
      <c r="AL114" s="3396"/>
      <c r="AM114" s="3396"/>
      <c r="AN114" s="3396"/>
      <c r="AO114" s="3396"/>
      <c r="AP114" s="3396"/>
      <c r="AQ114" s="3396"/>
      <c r="AR114" s="3396"/>
      <c r="AS114" s="3396"/>
      <c r="AT114" s="3396"/>
      <c r="AU114" s="3396"/>
      <c r="AV114" s="3396"/>
      <c r="AW114" s="3396"/>
      <c r="AX114" s="3396"/>
      <c r="AY114" s="3396"/>
      <c r="AZ114" s="3396"/>
      <c r="BA114" s="3396"/>
      <c r="BB114" s="3396"/>
      <c r="BC114" s="3396"/>
      <c r="BD114" s="3396"/>
      <c r="BE114" s="3396"/>
      <c r="BF114" s="3396"/>
      <c r="BG114" s="3396"/>
      <c r="BH114" s="3396"/>
      <c r="BI114" s="3396"/>
      <c r="BJ114" s="3396"/>
      <c r="BK114" s="3396"/>
      <c r="BL114" s="3396"/>
      <c r="BM114" s="3396"/>
      <c r="BN114" s="3396"/>
    </row>
    <row r="115" s="687" customFormat="1" ht="13.5" hidden="1" customHeight="1" spans="1:66">
      <c r="A115" s="3407" t="s">
        <v>6389</v>
      </c>
      <c r="B115" s="3408"/>
      <c r="C115" s="3409"/>
      <c r="D115" s="3409"/>
      <c r="E115" s="3408"/>
      <c r="F115" s="3410"/>
      <c r="G115" s="3410"/>
      <c r="H115" s="3411">
        <f t="shared" si="1"/>
        <v>0</v>
      </c>
      <c r="I115" s="3396"/>
      <c r="J115" s="3396"/>
      <c r="K115" s="3396"/>
      <c r="L115" s="3396"/>
      <c r="M115" s="3396"/>
      <c r="N115" s="3396"/>
      <c r="O115" s="3396"/>
      <c r="P115" s="3396"/>
      <c r="Q115" s="3396"/>
      <c r="R115" s="3396"/>
      <c r="S115" s="3396"/>
      <c r="T115" s="3396"/>
      <c r="U115" s="3396"/>
      <c r="V115" s="3396"/>
      <c r="W115" s="3396"/>
      <c r="X115" s="3396"/>
      <c r="Y115" s="3396"/>
      <c r="Z115" s="3396"/>
      <c r="AA115" s="3396"/>
      <c r="AB115" s="3396"/>
      <c r="AC115" s="3396"/>
      <c r="AD115" s="3396"/>
      <c r="AE115" s="3396"/>
      <c r="AF115" s="3396"/>
      <c r="AG115" s="3396"/>
      <c r="AH115" s="3396"/>
      <c r="AI115" s="3396"/>
      <c r="AJ115" s="3396"/>
      <c r="AK115" s="3396"/>
      <c r="AL115" s="3396"/>
      <c r="AM115" s="3396"/>
      <c r="AN115" s="3396"/>
      <c r="AO115" s="3396"/>
      <c r="AP115" s="3396"/>
      <c r="AQ115" s="3396"/>
      <c r="AR115" s="3396"/>
      <c r="AS115" s="3396"/>
      <c r="AT115" s="3396"/>
      <c r="AU115" s="3396"/>
      <c r="AV115" s="3396"/>
      <c r="AW115" s="3396"/>
      <c r="AX115" s="3396"/>
      <c r="AY115" s="3396"/>
      <c r="AZ115" s="3396"/>
      <c r="BA115" s="3396"/>
      <c r="BB115" s="3396"/>
      <c r="BC115" s="3396"/>
      <c r="BD115" s="3396"/>
      <c r="BE115" s="3396"/>
      <c r="BF115" s="3396"/>
      <c r="BG115" s="3396"/>
      <c r="BH115" s="3396"/>
      <c r="BI115" s="3396"/>
      <c r="BJ115" s="3396"/>
      <c r="BK115" s="3396"/>
      <c r="BL115" s="3396"/>
      <c r="BM115" s="3396"/>
      <c r="BN115" s="3396"/>
    </row>
    <row r="116" s="687" customFormat="1" ht="13.5" hidden="1" customHeight="1" spans="1:66">
      <c r="A116" s="3407" t="s">
        <v>6390</v>
      </c>
      <c r="B116" s="3408"/>
      <c r="C116" s="3409"/>
      <c r="D116" s="3409"/>
      <c r="E116" s="3408"/>
      <c r="F116" s="3410"/>
      <c r="G116" s="3410"/>
      <c r="H116" s="3411">
        <f t="shared" si="1"/>
        <v>0</v>
      </c>
      <c r="I116" s="3396"/>
      <c r="J116" s="3396"/>
      <c r="K116" s="3396"/>
      <c r="L116" s="3396"/>
      <c r="M116" s="3396"/>
      <c r="N116" s="3396"/>
      <c r="O116" s="3396"/>
      <c r="P116" s="3396"/>
      <c r="Q116" s="3396"/>
      <c r="R116" s="3396"/>
      <c r="S116" s="3396"/>
      <c r="T116" s="3396"/>
      <c r="U116" s="3396"/>
      <c r="V116" s="3396"/>
      <c r="W116" s="3396"/>
      <c r="X116" s="3396"/>
      <c r="Y116" s="3396"/>
      <c r="Z116" s="3396"/>
      <c r="AA116" s="3396"/>
      <c r="AB116" s="3396"/>
      <c r="AC116" s="3396"/>
      <c r="AD116" s="3396"/>
      <c r="AE116" s="3396"/>
      <c r="AF116" s="3396"/>
      <c r="AG116" s="3396"/>
      <c r="AH116" s="3396"/>
      <c r="AI116" s="3396"/>
      <c r="AJ116" s="3396"/>
      <c r="AK116" s="3396"/>
      <c r="AL116" s="3396"/>
      <c r="AM116" s="3396"/>
      <c r="AN116" s="3396"/>
      <c r="AO116" s="3396"/>
      <c r="AP116" s="3396"/>
      <c r="AQ116" s="3396"/>
      <c r="AR116" s="3396"/>
      <c r="AS116" s="3396"/>
      <c r="AT116" s="3396"/>
      <c r="AU116" s="3396"/>
      <c r="AV116" s="3396"/>
      <c r="AW116" s="3396"/>
      <c r="AX116" s="3396"/>
      <c r="AY116" s="3396"/>
      <c r="AZ116" s="3396"/>
      <c r="BA116" s="3396"/>
      <c r="BB116" s="3396"/>
      <c r="BC116" s="3396"/>
      <c r="BD116" s="3396"/>
      <c r="BE116" s="3396"/>
      <c r="BF116" s="3396"/>
      <c r="BG116" s="3396"/>
      <c r="BH116" s="3396"/>
      <c r="BI116" s="3396"/>
      <c r="BJ116" s="3396"/>
      <c r="BK116" s="3396"/>
      <c r="BL116" s="3396"/>
      <c r="BM116" s="3396"/>
      <c r="BN116" s="3396"/>
    </row>
    <row r="117" s="687" customFormat="1" ht="13.5" hidden="1" customHeight="1" spans="1:66">
      <c r="A117" s="3407" t="s">
        <v>6391</v>
      </c>
      <c r="B117" s="3408"/>
      <c r="C117" s="3409"/>
      <c r="D117" s="3409"/>
      <c r="E117" s="3408"/>
      <c r="F117" s="3410"/>
      <c r="G117" s="3410"/>
      <c r="H117" s="3411">
        <f t="shared" si="1"/>
        <v>0</v>
      </c>
      <c r="I117" s="3396"/>
      <c r="J117" s="3396"/>
      <c r="K117" s="3396"/>
      <c r="L117" s="3396"/>
      <c r="M117" s="3396"/>
      <c r="N117" s="3396"/>
      <c r="O117" s="3396"/>
      <c r="P117" s="3396"/>
      <c r="Q117" s="3396"/>
      <c r="R117" s="3396"/>
      <c r="S117" s="3396"/>
      <c r="T117" s="3396"/>
      <c r="U117" s="3396"/>
      <c r="V117" s="3396"/>
      <c r="W117" s="3396"/>
      <c r="X117" s="3396"/>
      <c r="Y117" s="3396"/>
      <c r="Z117" s="3396"/>
      <c r="AA117" s="3396"/>
      <c r="AB117" s="3396"/>
      <c r="AC117" s="3396"/>
      <c r="AD117" s="3396"/>
      <c r="AE117" s="3396"/>
      <c r="AF117" s="3396"/>
      <c r="AG117" s="3396"/>
      <c r="AH117" s="3396"/>
      <c r="AI117" s="3396"/>
      <c r="AJ117" s="3396"/>
      <c r="AK117" s="3396"/>
      <c r="AL117" s="3396"/>
      <c r="AM117" s="3396"/>
      <c r="AN117" s="3396"/>
      <c r="AO117" s="3396"/>
      <c r="AP117" s="3396"/>
      <c r="AQ117" s="3396"/>
      <c r="AR117" s="3396"/>
      <c r="AS117" s="3396"/>
      <c r="AT117" s="3396"/>
      <c r="AU117" s="3396"/>
      <c r="AV117" s="3396"/>
      <c r="AW117" s="3396"/>
      <c r="AX117" s="3396"/>
      <c r="AY117" s="3396"/>
      <c r="AZ117" s="3396"/>
      <c r="BA117" s="3396"/>
      <c r="BB117" s="3396"/>
      <c r="BC117" s="3396"/>
      <c r="BD117" s="3396"/>
      <c r="BE117" s="3396"/>
      <c r="BF117" s="3396"/>
      <c r="BG117" s="3396"/>
      <c r="BH117" s="3396"/>
      <c r="BI117" s="3396"/>
      <c r="BJ117" s="3396"/>
      <c r="BK117" s="3396"/>
      <c r="BL117" s="3396"/>
      <c r="BM117" s="3396"/>
      <c r="BN117" s="3396"/>
    </row>
    <row r="118" s="687" customFormat="1" ht="13.5" hidden="1" customHeight="1" spans="1:66">
      <c r="A118" s="3407" t="s">
        <v>6392</v>
      </c>
      <c r="B118" s="3408"/>
      <c r="C118" s="3409"/>
      <c r="D118" s="3409"/>
      <c r="E118" s="3408"/>
      <c r="F118" s="3410"/>
      <c r="G118" s="3410"/>
      <c r="H118" s="3411">
        <f t="shared" si="1"/>
        <v>0</v>
      </c>
      <c r="I118" s="3396"/>
      <c r="J118" s="3396"/>
      <c r="K118" s="3396"/>
      <c r="L118" s="3396"/>
      <c r="M118" s="3396"/>
      <c r="N118" s="3396"/>
      <c r="O118" s="3396"/>
      <c r="P118" s="3396"/>
      <c r="Q118" s="3396"/>
      <c r="R118" s="3396"/>
      <c r="S118" s="3396"/>
      <c r="T118" s="3396"/>
      <c r="U118" s="3396"/>
      <c r="V118" s="3396"/>
      <c r="W118" s="3396"/>
      <c r="X118" s="3396"/>
      <c r="Y118" s="3396"/>
      <c r="Z118" s="3396"/>
      <c r="AA118" s="3396"/>
      <c r="AB118" s="3396"/>
      <c r="AC118" s="3396"/>
      <c r="AD118" s="3396"/>
      <c r="AE118" s="3396"/>
      <c r="AF118" s="3396"/>
      <c r="AG118" s="3396"/>
      <c r="AH118" s="3396"/>
      <c r="AI118" s="3396"/>
      <c r="AJ118" s="3396"/>
      <c r="AK118" s="3396"/>
      <c r="AL118" s="3396"/>
      <c r="AM118" s="3396"/>
      <c r="AN118" s="3396"/>
      <c r="AO118" s="3396"/>
      <c r="AP118" s="3396"/>
      <c r="AQ118" s="3396"/>
      <c r="AR118" s="3396"/>
      <c r="AS118" s="3396"/>
      <c r="AT118" s="3396"/>
      <c r="AU118" s="3396"/>
      <c r="AV118" s="3396"/>
      <c r="AW118" s="3396"/>
      <c r="AX118" s="3396"/>
      <c r="AY118" s="3396"/>
      <c r="AZ118" s="3396"/>
      <c r="BA118" s="3396"/>
      <c r="BB118" s="3396"/>
      <c r="BC118" s="3396"/>
      <c r="BD118" s="3396"/>
      <c r="BE118" s="3396"/>
      <c r="BF118" s="3396"/>
      <c r="BG118" s="3396"/>
      <c r="BH118" s="3396"/>
      <c r="BI118" s="3396"/>
      <c r="BJ118" s="3396"/>
      <c r="BK118" s="3396"/>
      <c r="BL118" s="3396"/>
      <c r="BM118" s="3396"/>
      <c r="BN118" s="3396"/>
    </row>
    <row r="119" s="687" customFormat="1" ht="13.5" hidden="1" customHeight="1" spans="1:66">
      <c r="A119" s="3407" t="s">
        <v>6393</v>
      </c>
      <c r="B119" s="3408"/>
      <c r="C119" s="3409"/>
      <c r="D119" s="3409"/>
      <c r="E119" s="3408"/>
      <c r="F119" s="3410"/>
      <c r="G119" s="3410"/>
      <c r="H119" s="3411">
        <f t="shared" si="1"/>
        <v>0</v>
      </c>
      <c r="I119" s="3396"/>
      <c r="J119" s="3396"/>
      <c r="K119" s="3396"/>
      <c r="L119" s="3396"/>
      <c r="M119" s="3396"/>
      <c r="N119" s="3396"/>
      <c r="O119" s="3396"/>
      <c r="P119" s="3396"/>
      <c r="Q119" s="3396"/>
      <c r="R119" s="3396"/>
      <c r="S119" s="3396"/>
      <c r="T119" s="3396"/>
      <c r="U119" s="3396"/>
      <c r="V119" s="3396"/>
      <c r="W119" s="3396"/>
      <c r="X119" s="3396"/>
      <c r="Y119" s="3396"/>
      <c r="Z119" s="3396"/>
      <c r="AA119" s="3396"/>
      <c r="AB119" s="3396"/>
      <c r="AC119" s="3396"/>
      <c r="AD119" s="3396"/>
      <c r="AE119" s="3396"/>
      <c r="AF119" s="3396"/>
      <c r="AG119" s="3396"/>
      <c r="AH119" s="3396"/>
      <c r="AI119" s="3396"/>
      <c r="AJ119" s="3396"/>
      <c r="AK119" s="3396"/>
      <c r="AL119" s="3396"/>
      <c r="AM119" s="3396"/>
      <c r="AN119" s="3396"/>
      <c r="AO119" s="3396"/>
      <c r="AP119" s="3396"/>
      <c r="AQ119" s="3396"/>
      <c r="AR119" s="3396"/>
      <c r="AS119" s="3396"/>
      <c r="AT119" s="3396"/>
      <c r="AU119" s="3396"/>
      <c r="AV119" s="3396"/>
      <c r="AW119" s="3396"/>
      <c r="AX119" s="3396"/>
      <c r="AY119" s="3396"/>
      <c r="AZ119" s="3396"/>
      <c r="BA119" s="3396"/>
      <c r="BB119" s="3396"/>
      <c r="BC119" s="3396"/>
      <c r="BD119" s="3396"/>
      <c r="BE119" s="3396"/>
      <c r="BF119" s="3396"/>
      <c r="BG119" s="3396"/>
      <c r="BH119" s="3396"/>
      <c r="BI119" s="3396"/>
      <c r="BJ119" s="3396"/>
      <c r="BK119" s="3396"/>
      <c r="BL119" s="3396"/>
      <c r="BM119" s="3396"/>
      <c r="BN119" s="3396"/>
    </row>
    <row r="120" s="687" customFormat="1" ht="13.5" hidden="1" customHeight="1" spans="1:66">
      <c r="A120" s="3407" t="s">
        <v>6394</v>
      </c>
      <c r="B120" s="3408"/>
      <c r="C120" s="3409"/>
      <c r="D120" s="3409"/>
      <c r="E120" s="3408"/>
      <c r="F120" s="3410"/>
      <c r="G120" s="3410"/>
      <c r="H120" s="3411">
        <f t="shared" si="1"/>
        <v>0</v>
      </c>
      <c r="I120" s="3396"/>
      <c r="J120" s="3396"/>
      <c r="K120" s="3396"/>
      <c r="L120" s="3396"/>
      <c r="M120" s="3396"/>
      <c r="N120" s="3396"/>
      <c r="O120" s="3396"/>
      <c r="P120" s="3396"/>
      <c r="Q120" s="3396"/>
      <c r="R120" s="3396"/>
      <c r="S120" s="3396"/>
      <c r="T120" s="3396"/>
      <c r="U120" s="3396"/>
      <c r="V120" s="3396"/>
      <c r="W120" s="3396"/>
      <c r="X120" s="3396"/>
      <c r="Y120" s="3396"/>
      <c r="Z120" s="3396"/>
      <c r="AA120" s="3396"/>
      <c r="AB120" s="3396"/>
      <c r="AC120" s="3396"/>
      <c r="AD120" s="3396"/>
      <c r="AE120" s="3396"/>
      <c r="AF120" s="3396"/>
      <c r="AG120" s="3396"/>
      <c r="AH120" s="3396"/>
      <c r="AI120" s="3396"/>
      <c r="AJ120" s="3396"/>
      <c r="AK120" s="3396"/>
      <c r="AL120" s="3396"/>
      <c r="AM120" s="3396"/>
      <c r="AN120" s="3396"/>
      <c r="AO120" s="3396"/>
      <c r="AP120" s="3396"/>
      <c r="AQ120" s="3396"/>
      <c r="AR120" s="3396"/>
      <c r="AS120" s="3396"/>
      <c r="AT120" s="3396"/>
      <c r="AU120" s="3396"/>
      <c r="AV120" s="3396"/>
      <c r="AW120" s="3396"/>
      <c r="AX120" s="3396"/>
      <c r="AY120" s="3396"/>
      <c r="AZ120" s="3396"/>
      <c r="BA120" s="3396"/>
      <c r="BB120" s="3396"/>
      <c r="BC120" s="3396"/>
      <c r="BD120" s="3396"/>
      <c r="BE120" s="3396"/>
      <c r="BF120" s="3396"/>
      <c r="BG120" s="3396"/>
      <c r="BH120" s="3396"/>
      <c r="BI120" s="3396"/>
      <c r="BJ120" s="3396"/>
      <c r="BK120" s="3396"/>
      <c r="BL120" s="3396"/>
      <c r="BM120" s="3396"/>
      <c r="BN120" s="3396"/>
    </row>
    <row r="121" s="687" customFormat="1" ht="13.5" hidden="1" customHeight="1" spans="1:66">
      <c r="A121" s="3407" t="s">
        <v>6395</v>
      </c>
      <c r="B121" s="3408"/>
      <c r="C121" s="3409"/>
      <c r="D121" s="3409"/>
      <c r="E121" s="3408"/>
      <c r="F121" s="3410"/>
      <c r="G121" s="3410"/>
      <c r="H121" s="3411">
        <f t="shared" si="1"/>
        <v>0</v>
      </c>
      <c r="I121" s="3396"/>
      <c r="J121" s="3396"/>
      <c r="K121" s="3396"/>
      <c r="L121" s="3396"/>
      <c r="M121" s="3396"/>
      <c r="N121" s="3396"/>
      <c r="O121" s="3396"/>
      <c r="P121" s="3396"/>
      <c r="Q121" s="3396"/>
      <c r="R121" s="3396"/>
      <c r="S121" s="3396"/>
      <c r="T121" s="3396"/>
      <c r="U121" s="3396"/>
      <c r="V121" s="3396"/>
      <c r="W121" s="3396"/>
      <c r="X121" s="3396"/>
      <c r="Y121" s="3396"/>
      <c r="Z121" s="3396"/>
      <c r="AA121" s="3396"/>
      <c r="AB121" s="3396"/>
      <c r="AC121" s="3396"/>
      <c r="AD121" s="3396"/>
      <c r="AE121" s="3396"/>
      <c r="AF121" s="3396"/>
      <c r="AG121" s="3396"/>
      <c r="AH121" s="3396"/>
      <c r="AI121" s="3396"/>
      <c r="AJ121" s="3396"/>
      <c r="AK121" s="3396"/>
      <c r="AL121" s="3396"/>
      <c r="AM121" s="3396"/>
      <c r="AN121" s="3396"/>
      <c r="AO121" s="3396"/>
      <c r="AP121" s="3396"/>
      <c r="AQ121" s="3396"/>
      <c r="AR121" s="3396"/>
      <c r="AS121" s="3396"/>
      <c r="AT121" s="3396"/>
      <c r="AU121" s="3396"/>
      <c r="AV121" s="3396"/>
      <c r="AW121" s="3396"/>
      <c r="AX121" s="3396"/>
      <c r="AY121" s="3396"/>
      <c r="AZ121" s="3396"/>
      <c r="BA121" s="3396"/>
      <c r="BB121" s="3396"/>
      <c r="BC121" s="3396"/>
      <c r="BD121" s="3396"/>
      <c r="BE121" s="3396"/>
      <c r="BF121" s="3396"/>
      <c r="BG121" s="3396"/>
      <c r="BH121" s="3396"/>
      <c r="BI121" s="3396"/>
      <c r="BJ121" s="3396"/>
      <c r="BK121" s="3396"/>
      <c r="BL121" s="3396"/>
      <c r="BM121" s="3396"/>
      <c r="BN121" s="3396"/>
    </row>
    <row r="122" s="687" customFormat="1" ht="13.5" hidden="1" customHeight="1" spans="1:66">
      <c r="A122" s="3407" t="s">
        <v>6396</v>
      </c>
      <c r="B122" s="3408"/>
      <c r="C122" s="3409"/>
      <c r="D122" s="3409"/>
      <c r="E122" s="3408"/>
      <c r="F122" s="3410"/>
      <c r="G122" s="3410"/>
      <c r="H122" s="3411">
        <f t="shared" si="1"/>
        <v>0</v>
      </c>
      <c r="I122" s="3396"/>
      <c r="J122" s="3396"/>
      <c r="K122" s="3396"/>
      <c r="L122" s="3396"/>
      <c r="M122" s="3396"/>
      <c r="N122" s="3396"/>
      <c r="O122" s="3396"/>
      <c r="P122" s="3396"/>
      <c r="Q122" s="3396"/>
      <c r="R122" s="3396"/>
      <c r="S122" s="3396"/>
      <c r="T122" s="3396"/>
      <c r="U122" s="3396"/>
      <c r="V122" s="3396"/>
      <c r="W122" s="3396"/>
      <c r="X122" s="3396"/>
      <c r="Y122" s="3396"/>
      <c r="Z122" s="3396"/>
      <c r="AA122" s="3396"/>
      <c r="AB122" s="3396"/>
      <c r="AC122" s="3396"/>
      <c r="AD122" s="3396"/>
      <c r="AE122" s="3396"/>
      <c r="AF122" s="3396"/>
      <c r="AG122" s="3396"/>
      <c r="AH122" s="3396"/>
      <c r="AI122" s="3396"/>
      <c r="AJ122" s="3396"/>
      <c r="AK122" s="3396"/>
      <c r="AL122" s="3396"/>
      <c r="AM122" s="3396"/>
      <c r="AN122" s="3396"/>
      <c r="AO122" s="3396"/>
      <c r="AP122" s="3396"/>
      <c r="AQ122" s="3396"/>
      <c r="AR122" s="3396"/>
      <c r="AS122" s="3396"/>
      <c r="AT122" s="3396"/>
      <c r="AU122" s="3396"/>
      <c r="AV122" s="3396"/>
      <c r="AW122" s="3396"/>
      <c r="AX122" s="3396"/>
      <c r="AY122" s="3396"/>
      <c r="AZ122" s="3396"/>
      <c r="BA122" s="3396"/>
      <c r="BB122" s="3396"/>
      <c r="BC122" s="3396"/>
      <c r="BD122" s="3396"/>
      <c r="BE122" s="3396"/>
      <c r="BF122" s="3396"/>
      <c r="BG122" s="3396"/>
      <c r="BH122" s="3396"/>
      <c r="BI122" s="3396"/>
      <c r="BJ122" s="3396"/>
      <c r="BK122" s="3396"/>
      <c r="BL122" s="3396"/>
      <c r="BM122" s="3396"/>
      <c r="BN122" s="3396"/>
    </row>
    <row r="123" s="687" customFormat="1" ht="13.5" hidden="1" customHeight="1" spans="1:66">
      <c r="A123" s="3407" t="s">
        <v>6397</v>
      </c>
      <c r="B123" s="3408"/>
      <c r="C123" s="3409"/>
      <c r="D123" s="3409"/>
      <c r="E123" s="3408"/>
      <c r="F123" s="3410"/>
      <c r="G123" s="3410"/>
      <c r="H123" s="3411">
        <f t="shared" si="1"/>
        <v>0</v>
      </c>
      <c r="I123" s="3396"/>
      <c r="J123" s="3396"/>
      <c r="K123" s="3396"/>
      <c r="L123" s="3396"/>
      <c r="M123" s="3396"/>
      <c r="N123" s="3396"/>
      <c r="O123" s="3396"/>
      <c r="P123" s="3396"/>
      <c r="Q123" s="3396"/>
      <c r="R123" s="3396"/>
      <c r="S123" s="3396"/>
      <c r="T123" s="3396"/>
      <c r="U123" s="3396"/>
      <c r="V123" s="3396"/>
      <c r="W123" s="3396"/>
      <c r="X123" s="3396"/>
      <c r="Y123" s="3396"/>
      <c r="Z123" s="3396"/>
      <c r="AA123" s="3396"/>
      <c r="AB123" s="3396"/>
      <c r="AC123" s="3396"/>
      <c r="AD123" s="3396"/>
      <c r="AE123" s="3396"/>
      <c r="AF123" s="3396"/>
      <c r="AG123" s="3396"/>
      <c r="AH123" s="3396"/>
      <c r="AI123" s="3396"/>
      <c r="AJ123" s="3396"/>
      <c r="AK123" s="3396"/>
      <c r="AL123" s="3396"/>
      <c r="AM123" s="3396"/>
      <c r="AN123" s="3396"/>
      <c r="AO123" s="3396"/>
      <c r="AP123" s="3396"/>
      <c r="AQ123" s="3396"/>
      <c r="AR123" s="3396"/>
      <c r="AS123" s="3396"/>
      <c r="AT123" s="3396"/>
      <c r="AU123" s="3396"/>
      <c r="AV123" s="3396"/>
      <c r="AW123" s="3396"/>
      <c r="AX123" s="3396"/>
      <c r="AY123" s="3396"/>
      <c r="AZ123" s="3396"/>
      <c r="BA123" s="3396"/>
      <c r="BB123" s="3396"/>
      <c r="BC123" s="3396"/>
      <c r="BD123" s="3396"/>
      <c r="BE123" s="3396"/>
      <c r="BF123" s="3396"/>
      <c r="BG123" s="3396"/>
      <c r="BH123" s="3396"/>
      <c r="BI123" s="3396"/>
      <c r="BJ123" s="3396"/>
      <c r="BK123" s="3396"/>
      <c r="BL123" s="3396"/>
      <c r="BM123" s="3396"/>
      <c r="BN123" s="3396"/>
    </row>
    <row r="124" s="687" customFormat="1" ht="13.5" hidden="1" customHeight="1" spans="1:66">
      <c r="A124" s="3407" t="s">
        <v>6398</v>
      </c>
      <c r="B124" s="3408"/>
      <c r="C124" s="3409"/>
      <c r="D124" s="3409"/>
      <c r="E124" s="3408"/>
      <c r="F124" s="3410"/>
      <c r="G124" s="3410"/>
      <c r="H124" s="3411">
        <f t="shared" si="1"/>
        <v>0</v>
      </c>
      <c r="I124" s="3396"/>
      <c r="J124" s="3396"/>
      <c r="K124" s="3396"/>
      <c r="L124" s="3396"/>
      <c r="M124" s="3396"/>
      <c r="N124" s="3396"/>
      <c r="O124" s="3396"/>
      <c r="P124" s="3396"/>
      <c r="Q124" s="3396"/>
      <c r="R124" s="3396"/>
      <c r="S124" s="3396"/>
      <c r="T124" s="3396"/>
      <c r="U124" s="3396"/>
      <c r="V124" s="3396"/>
      <c r="W124" s="3396"/>
      <c r="X124" s="3396"/>
      <c r="Y124" s="3396"/>
      <c r="Z124" s="3396"/>
      <c r="AA124" s="3396"/>
      <c r="AB124" s="3396"/>
      <c r="AC124" s="3396"/>
      <c r="AD124" s="3396"/>
      <c r="AE124" s="3396"/>
      <c r="AF124" s="3396"/>
      <c r="AG124" s="3396"/>
      <c r="AH124" s="3396"/>
      <c r="AI124" s="3396"/>
      <c r="AJ124" s="3396"/>
      <c r="AK124" s="3396"/>
      <c r="AL124" s="3396"/>
      <c r="AM124" s="3396"/>
      <c r="AN124" s="3396"/>
      <c r="AO124" s="3396"/>
      <c r="AP124" s="3396"/>
      <c r="AQ124" s="3396"/>
      <c r="AR124" s="3396"/>
      <c r="AS124" s="3396"/>
      <c r="AT124" s="3396"/>
      <c r="AU124" s="3396"/>
      <c r="AV124" s="3396"/>
      <c r="AW124" s="3396"/>
      <c r="AX124" s="3396"/>
      <c r="AY124" s="3396"/>
      <c r="AZ124" s="3396"/>
      <c r="BA124" s="3396"/>
      <c r="BB124" s="3396"/>
      <c r="BC124" s="3396"/>
      <c r="BD124" s="3396"/>
      <c r="BE124" s="3396"/>
      <c r="BF124" s="3396"/>
      <c r="BG124" s="3396"/>
      <c r="BH124" s="3396"/>
      <c r="BI124" s="3396"/>
      <c r="BJ124" s="3396"/>
      <c r="BK124" s="3396"/>
      <c r="BL124" s="3396"/>
      <c r="BM124" s="3396"/>
      <c r="BN124" s="3396"/>
    </row>
    <row r="125" s="687" customFormat="1" ht="13.5" hidden="1" customHeight="1" spans="1:66">
      <c r="A125" s="3407" t="s">
        <v>6399</v>
      </c>
      <c r="B125" s="3408"/>
      <c r="C125" s="3409"/>
      <c r="D125" s="3409"/>
      <c r="E125" s="3408"/>
      <c r="F125" s="3410"/>
      <c r="G125" s="3410"/>
      <c r="H125" s="3411">
        <f t="shared" si="1"/>
        <v>0</v>
      </c>
      <c r="I125" s="3396"/>
      <c r="J125" s="3396"/>
      <c r="K125" s="3396"/>
      <c r="L125" s="3396"/>
      <c r="M125" s="3396"/>
      <c r="N125" s="3396"/>
      <c r="O125" s="3396"/>
      <c r="P125" s="3396"/>
      <c r="Q125" s="3396"/>
      <c r="R125" s="3396"/>
      <c r="S125" s="3396"/>
      <c r="T125" s="3396"/>
      <c r="U125" s="3396"/>
      <c r="V125" s="3396"/>
      <c r="W125" s="3396"/>
      <c r="X125" s="3396"/>
      <c r="Y125" s="3396"/>
      <c r="Z125" s="3396"/>
      <c r="AA125" s="3396"/>
      <c r="AB125" s="3396"/>
      <c r="AC125" s="3396"/>
      <c r="AD125" s="3396"/>
      <c r="AE125" s="3396"/>
      <c r="AF125" s="3396"/>
      <c r="AG125" s="3396"/>
      <c r="AH125" s="3396"/>
      <c r="AI125" s="3396"/>
      <c r="AJ125" s="3396"/>
      <c r="AK125" s="3396"/>
      <c r="AL125" s="3396"/>
      <c r="AM125" s="3396"/>
      <c r="AN125" s="3396"/>
      <c r="AO125" s="3396"/>
      <c r="AP125" s="3396"/>
      <c r="AQ125" s="3396"/>
      <c r="AR125" s="3396"/>
      <c r="AS125" s="3396"/>
      <c r="AT125" s="3396"/>
      <c r="AU125" s="3396"/>
      <c r="AV125" s="3396"/>
      <c r="AW125" s="3396"/>
      <c r="AX125" s="3396"/>
      <c r="AY125" s="3396"/>
      <c r="AZ125" s="3396"/>
      <c r="BA125" s="3396"/>
      <c r="BB125" s="3396"/>
      <c r="BC125" s="3396"/>
      <c r="BD125" s="3396"/>
      <c r="BE125" s="3396"/>
      <c r="BF125" s="3396"/>
      <c r="BG125" s="3396"/>
      <c r="BH125" s="3396"/>
      <c r="BI125" s="3396"/>
      <c r="BJ125" s="3396"/>
      <c r="BK125" s="3396"/>
      <c r="BL125" s="3396"/>
      <c r="BM125" s="3396"/>
      <c r="BN125" s="3396"/>
    </row>
    <row r="126" s="687" customFormat="1" ht="13.5" hidden="1" customHeight="1" spans="1:66">
      <c r="A126" s="3407" t="s">
        <v>6400</v>
      </c>
      <c r="B126" s="3408"/>
      <c r="C126" s="3409"/>
      <c r="D126" s="3409"/>
      <c r="E126" s="3408"/>
      <c r="F126" s="3410"/>
      <c r="G126" s="3410"/>
      <c r="H126" s="3411">
        <f t="shared" si="1"/>
        <v>0</v>
      </c>
      <c r="I126" s="3396"/>
      <c r="J126" s="3396"/>
      <c r="K126" s="3396"/>
      <c r="L126" s="3396"/>
      <c r="M126" s="3396"/>
      <c r="N126" s="3396"/>
      <c r="O126" s="3396"/>
      <c r="P126" s="3396"/>
      <c r="Q126" s="3396"/>
      <c r="R126" s="3396"/>
      <c r="S126" s="3396"/>
      <c r="T126" s="3396"/>
      <c r="U126" s="3396"/>
      <c r="V126" s="3396"/>
      <c r="W126" s="3396"/>
      <c r="X126" s="3396"/>
      <c r="Y126" s="3396"/>
      <c r="Z126" s="3396"/>
      <c r="AA126" s="3396"/>
      <c r="AB126" s="3396"/>
      <c r="AC126" s="3396"/>
      <c r="AD126" s="3396"/>
      <c r="AE126" s="3396"/>
      <c r="AF126" s="3396"/>
      <c r="AG126" s="3396"/>
      <c r="AH126" s="3396"/>
      <c r="AI126" s="3396"/>
      <c r="AJ126" s="3396"/>
      <c r="AK126" s="3396"/>
      <c r="AL126" s="3396"/>
      <c r="AM126" s="3396"/>
      <c r="AN126" s="3396"/>
      <c r="AO126" s="3396"/>
      <c r="AP126" s="3396"/>
      <c r="AQ126" s="3396"/>
      <c r="AR126" s="3396"/>
      <c r="AS126" s="3396"/>
      <c r="AT126" s="3396"/>
      <c r="AU126" s="3396"/>
      <c r="AV126" s="3396"/>
      <c r="AW126" s="3396"/>
      <c r="AX126" s="3396"/>
      <c r="AY126" s="3396"/>
      <c r="AZ126" s="3396"/>
      <c r="BA126" s="3396"/>
      <c r="BB126" s="3396"/>
      <c r="BC126" s="3396"/>
      <c r="BD126" s="3396"/>
      <c r="BE126" s="3396"/>
      <c r="BF126" s="3396"/>
      <c r="BG126" s="3396"/>
      <c r="BH126" s="3396"/>
      <c r="BI126" s="3396"/>
      <c r="BJ126" s="3396"/>
      <c r="BK126" s="3396"/>
      <c r="BL126" s="3396"/>
      <c r="BM126" s="3396"/>
      <c r="BN126" s="3396"/>
    </row>
    <row r="127" s="687" customFormat="1" ht="13.5" hidden="1" customHeight="1" spans="1:66">
      <c r="A127" s="3407" t="s">
        <v>6401</v>
      </c>
      <c r="B127" s="3408"/>
      <c r="C127" s="3409"/>
      <c r="D127" s="3409"/>
      <c r="E127" s="3408"/>
      <c r="F127" s="3410"/>
      <c r="G127" s="3410"/>
      <c r="H127" s="3411">
        <f t="shared" si="1"/>
        <v>0</v>
      </c>
      <c r="I127" s="3396"/>
      <c r="J127" s="3396"/>
      <c r="K127" s="3396"/>
      <c r="L127" s="3396"/>
      <c r="M127" s="3396"/>
      <c r="N127" s="3396"/>
      <c r="O127" s="3396"/>
      <c r="P127" s="3396"/>
      <c r="Q127" s="3396"/>
      <c r="R127" s="3396"/>
      <c r="S127" s="3396"/>
      <c r="T127" s="3396"/>
      <c r="U127" s="3396"/>
      <c r="V127" s="3396"/>
      <c r="W127" s="3396"/>
      <c r="X127" s="3396"/>
      <c r="Y127" s="3396"/>
      <c r="Z127" s="3396"/>
      <c r="AA127" s="3396"/>
      <c r="AB127" s="3396"/>
      <c r="AC127" s="3396"/>
      <c r="AD127" s="3396"/>
      <c r="AE127" s="3396"/>
      <c r="AF127" s="3396"/>
      <c r="AG127" s="3396"/>
      <c r="AH127" s="3396"/>
      <c r="AI127" s="3396"/>
      <c r="AJ127" s="3396"/>
      <c r="AK127" s="3396"/>
      <c r="AL127" s="3396"/>
      <c r="AM127" s="3396"/>
      <c r="AN127" s="3396"/>
      <c r="AO127" s="3396"/>
      <c r="AP127" s="3396"/>
      <c r="AQ127" s="3396"/>
      <c r="AR127" s="3396"/>
      <c r="AS127" s="3396"/>
      <c r="AT127" s="3396"/>
      <c r="AU127" s="3396"/>
      <c r="AV127" s="3396"/>
      <c r="AW127" s="3396"/>
      <c r="AX127" s="3396"/>
      <c r="AY127" s="3396"/>
      <c r="AZ127" s="3396"/>
      <c r="BA127" s="3396"/>
      <c r="BB127" s="3396"/>
      <c r="BC127" s="3396"/>
      <c r="BD127" s="3396"/>
      <c r="BE127" s="3396"/>
      <c r="BF127" s="3396"/>
      <c r="BG127" s="3396"/>
      <c r="BH127" s="3396"/>
      <c r="BI127" s="3396"/>
      <c r="BJ127" s="3396"/>
      <c r="BK127" s="3396"/>
      <c r="BL127" s="3396"/>
      <c r="BM127" s="3396"/>
      <c r="BN127" s="3396"/>
    </row>
    <row r="128" s="687" customFormat="1" ht="13.5" hidden="1" customHeight="1" spans="1:66">
      <c r="A128" s="3407" t="s">
        <v>6402</v>
      </c>
      <c r="B128" s="3408"/>
      <c r="C128" s="3409"/>
      <c r="D128" s="3409"/>
      <c r="E128" s="3408"/>
      <c r="F128" s="3410"/>
      <c r="G128" s="3410"/>
      <c r="H128" s="3411">
        <f t="shared" si="1"/>
        <v>0</v>
      </c>
      <c r="I128" s="3396"/>
      <c r="J128" s="3396"/>
      <c r="K128" s="3396"/>
      <c r="L128" s="3396"/>
      <c r="M128" s="3396"/>
      <c r="N128" s="3396"/>
      <c r="O128" s="3396"/>
      <c r="P128" s="3396"/>
      <c r="Q128" s="3396"/>
      <c r="R128" s="3396"/>
      <c r="S128" s="3396"/>
      <c r="T128" s="3396"/>
      <c r="U128" s="3396"/>
      <c r="V128" s="3396"/>
      <c r="W128" s="3396"/>
      <c r="X128" s="3396"/>
      <c r="Y128" s="3396"/>
      <c r="Z128" s="3396"/>
      <c r="AA128" s="3396"/>
      <c r="AB128" s="3396"/>
      <c r="AC128" s="3396"/>
      <c r="AD128" s="3396"/>
      <c r="AE128" s="3396"/>
      <c r="AF128" s="3396"/>
      <c r="AG128" s="3396"/>
      <c r="AH128" s="3396"/>
      <c r="AI128" s="3396"/>
      <c r="AJ128" s="3396"/>
      <c r="AK128" s="3396"/>
      <c r="AL128" s="3396"/>
      <c r="AM128" s="3396"/>
      <c r="AN128" s="3396"/>
      <c r="AO128" s="3396"/>
      <c r="AP128" s="3396"/>
      <c r="AQ128" s="3396"/>
      <c r="AR128" s="3396"/>
      <c r="AS128" s="3396"/>
      <c r="AT128" s="3396"/>
      <c r="AU128" s="3396"/>
      <c r="AV128" s="3396"/>
      <c r="AW128" s="3396"/>
      <c r="AX128" s="3396"/>
      <c r="AY128" s="3396"/>
      <c r="AZ128" s="3396"/>
      <c r="BA128" s="3396"/>
      <c r="BB128" s="3396"/>
      <c r="BC128" s="3396"/>
      <c r="BD128" s="3396"/>
      <c r="BE128" s="3396"/>
      <c r="BF128" s="3396"/>
      <c r="BG128" s="3396"/>
      <c r="BH128" s="3396"/>
      <c r="BI128" s="3396"/>
      <c r="BJ128" s="3396"/>
      <c r="BK128" s="3396"/>
      <c r="BL128" s="3396"/>
      <c r="BM128" s="3396"/>
      <c r="BN128" s="3396"/>
    </row>
    <row r="129" s="687" customFormat="1" ht="13.5" hidden="1" customHeight="1" spans="1:66">
      <c r="A129" s="3407" t="s">
        <v>6403</v>
      </c>
      <c r="B129" s="3408"/>
      <c r="C129" s="3409"/>
      <c r="D129" s="3409"/>
      <c r="E129" s="3408"/>
      <c r="F129" s="3410"/>
      <c r="G129" s="3410"/>
      <c r="H129" s="3411">
        <f t="shared" si="1"/>
        <v>0</v>
      </c>
      <c r="I129" s="3396"/>
      <c r="J129" s="3396"/>
      <c r="K129" s="3396"/>
      <c r="L129" s="3396"/>
      <c r="M129" s="3396"/>
      <c r="N129" s="3396"/>
      <c r="O129" s="3396"/>
      <c r="P129" s="3396"/>
      <c r="Q129" s="3396"/>
      <c r="R129" s="3396"/>
      <c r="S129" s="3396"/>
      <c r="T129" s="3396"/>
      <c r="U129" s="3396"/>
      <c r="V129" s="3396"/>
      <c r="W129" s="3396"/>
      <c r="X129" s="3396"/>
      <c r="Y129" s="3396"/>
      <c r="Z129" s="3396"/>
      <c r="AA129" s="3396"/>
      <c r="AB129" s="3396"/>
      <c r="AC129" s="3396"/>
      <c r="AD129" s="3396"/>
      <c r="AE129" s="3396"/>
      <c r="AF129" s="3396"/>
      <c r="AG129" s="3396"/>
      <c r="AH129" s="3396"/>
      <c r="AI129" s="3396"/>
      <c r="AJ129" s="3396"/>
      <c r="AK129" s="3396"/>
      <c r="AL129" s="3396"/>
      <c r="AM129" s="3396"/>
      <c r="AN129" s="3396"/>
      <c r="AO129" s="3396"/>
      <c r="AP129" s="3396"/>
      <c r="AQ129" s="3396"/>
      <c r="AR129" s="3396"/>
      <c r="AS129" s="3396"/>
      <c r="AT129" s="3396"/>
      <c r="AU129" s="3396"/>
      <c r="AV129" s="3396"/>
      <c r="AW129" s="3396"/>
      <c r="AX129" s="3396"/>
      <c r="AY129" s="3396"/>
      <c r="AZ129" s="3396"/>
      <c r="BA129" s="3396"/>
      <c r="BB129" s="3396"/>
      <c r="BC129" s="3396"/>
      <c r="BD129" s="3396"/>
      <c r="BE129" s="3396"/>
      <c r="BF129" s="3396"/>
      <c r="BG129" s="3396"/>
      <c r="BH129" s="3396"/>
      <c r="BI129" s="3396"/>
      <c r="BJ129" s="3396"/>
      <c r="BK129" s="3396"/>
      <c r="BL129" s="3396"/>
      <c r="BM129" s="3396"/>
      <c r="BN129" s="3396"/>
    </row>
    <row r="130" s="687" customFormat="1" ht="13.5" hidden="1" customHeight="1" spans="1:66">
      <c r="A130" s="3407" t="s">
        <v>6404</v>
      </c>
      <c r="B130" s="3408"/>
      <c r="C130" s="3409"/>
      <c r="D130" s="3409"/>
      <c r="E130" s="3408"/>
      <c r="F130" s="3410"/>
      <c r="G130" s="3410"/>
      <c r="H130" s="3411">
        <f t="shared" si="1"/>
        <v>0</v>
      </c>
      <c r="I130" s="3396"/>
      <c r="J130" s="3396"/>
      <c r="K130" s="3396"/>
      <c r="L130" s="3396"/>
      <c r="M130" s="3396"/>
      <c r="N130" s="3396"/>
      <c r="O130" s="3396"/>
      <c r="P130" s="3396"/>
      <c r="Q130" s="3396"/>
      <c r="R130" s="3396"/>
      <c r="S130" s="3396"/>
      <c r="T130" s="3396"/>
      <c r="U130" s="3396"/>
      <c r="V130" s="3396"/>
      <c r="W130" s="3396"/>
      <c r="X130" s="3396"/>
      <c r="Y130" s="3396"/>
      <c r="Z130" s="3396"/>
      <c r="AA130" s="3396"/>
      <c r="AB130" s="3396"/>
      <c r="AC130" s="3396"/>
      <c r="AD130" s="3396"/>
      <c r="AE130" s="3396"/>
      <c r="AF130" s="3396"/>
      <c r="AG130" s="3396"/>
      <c r="AH130" s="3396"/>
      <c r="AI130" s="3396"/>
      <c r="AJ130" s="3396"/>
      <c r="AK130" s="3396"/>
      <c r="AL130" s="3396"/>
      <c r="AM130" s="3396"/>
      <c r="AN130" s="3396"/>
      <c r="AO130" s="3396"/>
      <c r="AP130" s="3396"/>
      <c r="AQ130" s="3396"/>
      <c r="AR130" s="3396"/>
      <c r="AS130" s="3396"/>
      <c r="AT130" s="3396"/>
      <c r="AU130" s="3396"/>
      <c r="AV130" s="3396"/>
      <c r="AW130" s="3396"/>
      <c r="AX130" s="3396"/>
      <c r="AY130" s="3396"/>
      <c r="AZ130" s="3396"/>
      <c r="BA130" s="3396"/>
      <c r="BB130" s="3396"/>
      <c r="BC130" s="3396"/>
      <c r="BD130" s="3396"/>
      <c r="BE130" s="3396"/>
      <c r="BF130" s="3396"/>
      <c r="BG130" s="3396"/>
      <c r="BH130" s="3396"/>
      <c r="BI130" s="3396"/>
      <c r="BJ130" s="3396"/>
      <c r="BK130" s="3396"/>
      <c r="BL130" s="3396"/>
      <c r="BM130" s="3396"/>
      <c r="BN130" s="3396"/>
    </row>
    <row r="131" s="687" customFormat="1" ht="13.5" hidden="1" customHeight="1" spans="1:66">
      <c r="A131" s="3407" t="s">
        <v>6405</v>
      </c>
      <c r="B131" s="3408"/>
      <c r="C131" s="3409"/>
      <c r="D131" s="3409"/>
      <c r="E131" s="3408"/>
      <c r="F131" s="3410"/>
      <c r="G131" s="3410"/>
      <c r="H131" s="3411">
        <f t="shared" si="1"/>
        <v>0</v>
      </c>
      <c r="I131" s="3396"/>
      <c r="J131" s="3396"/>
      <c r="K131" s="3396"/>
      <c r="L131" s="3396"/>
      <c r="M131" s="3396"/>
      <c r="N131" s="3396"/>
      <c r="O131" s="3396"/>
      <c r="P131" s="3396"/>
      <c r="Q131" s="3396"/>
      <c r="R131" s="3396"/>
      <c r="S131" s="3396"/>
      <c r="T131" s="3396"/>
      <c r="U131" s="3396"/>
      <c r="V131" s="3396"/>
      <c r="W131" s="3396"/>
      <c r="X131" s="3396"/>
      <c r="Y131" s="3396"/>
      <c r="Z131" s="3396"/>
      <c r="AA131" s="3396"/>
      <c r="AB131" s="3396"/>
      <c r="AC131" s="3396"/>
      <c r="AD131" s="3396"/>
      <c r="AE131" s="3396"/>
      <c r="AF131" s="3396"/>
      <c r="AG131" s="3396"/>
      <c r="AH131" s="3396"/>
      <c r="AI131" s="3396"/>
      <c r="AJ131" s="3396"/>
      <c r="AK131" s="3396"/>
      <c r="AL131" s="3396"/>
      <c r="AM131" s="3396"/>
      <c r="AN131" s="3396"/>
      <c r="AO131" s="3396"/>
      <c r="AP131" s="3396"/>
      <c r="AQ131" s="3396"/>
      <c r="AR131" s="3396"/>
      <c r="AS131" s="3396"/>
      <c r="AT131" s="3396"/>
      <c r="AU131" s="3396"/>
      <c r="AV131" s="3396"/>
      <c r="AW131" s="3396"/>
      <c r="AX131" s="3396"/>
      <c r="AY131" s="3396"/>
      <c r="AZ131" s="3396"/>
      <c r="BA131" s="3396"/>
      <c r="BB131" s="3396"/>
      <c r="BC131" s="3396"/>
      <c r="BD131" s="3396"/>
      <c r="BE131" s="3396"/>
      <c r="BF131" s="3396"/>
      <c r="BG131" s="3396"/>
      <c r="BH131" s="3396"/>
      <c r="BI131" s="3396"/>
      <c r="BJ131" s="3396"/>
      <c r="BK131" s="3396"/>
      <c r="BL131" s="3396"/>
      <c r="BM131" s="3396"/>
      <c r="BN131" s="3396"/>
    </row>
    <row r="132" s="687" customFormat="1" ht="13.5" hidden="1" customHeight="1" spans="1:66">
      <c r="A132" s="3407" t="s">
        <v>6406</v>
      </c>
      <c r="B132" s="3408"/>
      <c r="C132" s="3409"/>
      <c r="D132" s="3409"/>
      <c r="E132" s="3408"/>
      <c r="F132" s="3410"/>
      <c r="G132" s="3410"/>
      <c r="H132" s="3411">
        <f t="shared" si="1"/>
        <v>0</v>
      </c>
      <c r="I132" s="3396"/>
      <c r="J132" s="3396"/>
      <c r="K132" s="3396"/>
      <c r="L132" s="3396"/>
      <c r="M132" s="3396"/>
      <c r="N132" s="3396"/>
      <c r="O132" s="3396"/>
      <c r="P132" s="3396"/>
      <c r="Q132" s="3396"/>
      <c r="R132" s="3396"/>
      <c r="S132" s="3396"/>
      <c r="T132" s="3396"/>
      <c r="U132" s="3396"/>
      <c r="V132" s="3396"/>
      <c r="W132" s="3396"/>
      <c r="X132" s="3396"/>
      <c r="Y132" s="3396"/>
      <c r="Z132" s="3396"/>
      <c r="AA132" s="3396"/>
      <c r="AB132" s="3396"/>
      <c r="AC132" s="3396"/>
      <c r="AD132" s="3396"/>
      <c r="AE132" s="3396"/>
      <c r="AF132" s="3396"/>
      <c r="AG132" s="3396"/>
      <c r="AH132" s="3396"/>
      <c r="AI132" s="3396"/>
      <c r="AJ132" s="3396"/>
      <c r="AK132" s="3396"/>
      <c r="AL132" s="3396"/>
      <c r="AM132" s="3396"/>
      <c r="AN132" s="3396"/>
      <c r="AO132" s="3396"/>
      <c r="AP132" s="3396"/>
      <c r="AQ132" s="3396"/>
      <c r="AR132" s="3396"/>
      <c r="AS132" s="3396"/>
      <c r="AT132" s="3396"/>
      <c r="AU132" s="3396"/>
      <c r="AV132" s="3396"/>
      <c r="AW132" s="3396"/>
      <c r="AX132" s="3396"/>
      <c r="AY132" s="3396"/>
      <c r="AZ132" s="3396"/>
      <c r="BA132" s="3396"/>
      <c r="BB132" s="3396"/>
      <c r="BC132" s="3396"/>
      <c r="BD132" s="3396"/>
      <c r="BE132" s="3396"/>
      <c r="BF132" s="3396"/>
      <c r="BG132" s="3396"/>
      <c r="BH132" s="3396"/>
      <c r="BI132" s="3396"/>
      <c r="BJ132" s="3396"/>
      <c r="BK132" s="3396"/>
      <c r="BL132" s="3396"/>
      <c r="BM132" s="3396"/>
      <c r="BN132" s="3396"/>
    </row>
    <row r="133" s="687" customFormat="1" ht="13.5" hidden="1" customHeight="1" spans="1:66">
      <c r="A133" s="3407" t="s">
        <v>6407</v>
      </c>
      <c r="B133" s="3408"/>
      <c r="C133" s="3409"/>
      <c r="D133" s="3409"/>
      <c r="E133" s="3408"/>
      <c r="F133" s="3410"/>
      <c r="G133" s="3410"/>
      <c r="H133" s="3411">
        <f t="shared" si="1"/>
        <v>0</v>
      </c>
      <c r="I133" s="3396"/>
      <c r="J133" s="3396"/>
      <c r="K133" s="3396"/>
      <c r="L133" s="3396"/>
      <c r="M133" s="3396"/>
      <c r="N133" s="3396"/>
      <c r="O133" s="3396"/>
      <c r="P133" s="3396"/>
      <c r="Q133" s="3396"/>
      <c r="R133" s="3396"/>
      <c r="S133" s="3396"/>
      <c r="T133" s="3396"/>
      <c r="U133" s="3396"/>
      <c r="V133" s="3396"/>
      <c r="W133" s="3396"/>
      <c r="X133" s="3396"/>
      <c r="Y133" s="3396"/>
      <c r="Z133" s="3396"/>
      <c r="AA133" s="3396"/>
      <c r="AB133" s="3396"/>
      <c r="AC133" s="3396"/>
      <c r="AD133" s="3396"/>
      <c r="AE133" s="3396"/>
      <c r="AF133" s="3396"/>
      <c r="AG133" s="3396"/>
      <c r="AH133" s="3396"/>
      <c r="AI133" s="3396"/>
      <c r="AJ133" s="3396"/>
      <c r="AK133" s="3396"/>
      <c r="AL133" s="3396"/>
      <c r="AM133" s="3396"/>
      <c r="AN133" s="3396"/>
      <c r="AO133" s="3396"/>
      <c r="AP133" s="3396"/>
      <c r="AQ133" s="3396"/>
      <c r="AR133" s="3396"/>
      <c r="AS133" s="3396"/>
      <c r="AT133" s="3396"/>
      <c r="AU133" s="3396"/>
      <c r="AV133" s="3396"/>
      <c r="AW133" s="3396"/>
      <c r="AX133" s="3396"/>
      <c r="AY133" s="3396"/>
      <c r="AZ133" s="3396"/>
      <c r="BA133" s="3396"/>
      <c r="BB133" s="3396"/>
      <c r="BC133" s="3396"/>
      <c r="BD133" s="3396"/>
      <c r="BE133" s="3396"/>
      <c r="BF133" s="3396"/>
      <c r="BG133" s="3396"/>
      <c r="BH133" s="3396"/>
      <c r="BI133" s="3396"/>
      <c r="BJ133" s="3396"/>
      <c r="BK133" s="3396"/>
      <c r="BL133" s="3396"/>
      <c r="BM133" s="3396"/>
      <c r="BN133" s="3396"/>
    </row>
    <row r="134" s="687" customFormat="1" ht="13.5" hidden="1" customHeight="1" spans="1:66">
      <c r="A134" s="3407" t="s">
        <v>6408</v>
      </c>
      <c r="B134" s="3408"/>
      <c r="C134" s="3409"/>
      <c r="D134" s="3409"/>
      <c r="E134" s="3408"/>
      <c r="F134" s="3410"/>
      <c r="G134" s="3410"/>
      <c r="H134" s="3411">
        <f t="shared" si="1"/>
        <v>0</v>
      </c>
      <c r="I134" s="3396"/>
      <c r="J134" s="3396"/>
      <c r="K134" s="3396"/>
      <c r="L134" s="3396"/>
      <c r="M134" s="3396"/>
      <c r="N134" s="3396"/>
      <c r="O134" s="3396"/>
      <c r="P134" s="3396"/>
      <c r="Q134" s="3396"/>
      <c r="R134" s="3396"/>
      <c r="S134" s="3396"/>
      <c r="T134" s="3396"/>
      <c r="U134" s="3396"/>
      <c r="V134" s="3396"/>
      <c r="W134" s="3396"/>
      <c r="X134" s="3396"/>
      <c r="Y134" s="3396"/>
      <c r="Z134" s="3396"/>
      <c r="AA134" s="3396"/>
      <c r="AB134" s="3396"/>
      <c r="AC134" s="3396"/>
      <c r="AD134" s="3396"/>
      <c r="AE134" s="3396"/>
      <c r="AF134" s="3396"/>
      <c r="AG134" s="3396"/>
      <c r="AH134" s="3396"/>
      <c r="AI134" s="3396"/>
      <c r="AJ134" s="3396"/>
      <c r="AK134" s="3396"/>
      <c r="AL134" s="3396"/>
      <c r="AM134" s="3396"/>
      <c r="AN134" s="3396"/>
      <c r="AO134" s="3396"/>
      <c r="AP134" s="3396"/>
      <c r="AQ134" s="3396"/>
      <c r="AR134" s="3396"/>
      <c r="AS134" s="3396"/>
      <c r="AT134" s="3396"/>
      <c r="AU134" s="3396"/>
      <c r="AV134" s="3396"/>
      <c r="AW134" s="3396"/>
      <c r="AX134" s="3396"/>
      <c r="AY134" s="3396"/>
      <c r="AZ134" s="3396"/>
      <c r="BA134" s="3396"/>
      <c r="BB134" s="3396"/>
      <c r="BC134" s="3396"/>
      <c r="BD134" s="3396"/>
      <c r="BE134" s="3396"/>
      <c r="BF134" s="3396"/>
      <c r="BG134" s="3396"/>
      <c r="BH134" s="3396"/>
      <c r="BI134" s="3396"/>
      <c r="BJ134" s="3396"/>
      <c r="BK134" s="3396"/>
      <c r="BL134" s="3396"/>
      <c r="BM134" s="3396"/>
      <c r="BN134" s="3396"/>
    </row>
    <row r="135" s="687" customFormat="1" ht="13.5" hidden="1" customHeight="1" spans="1:66">
      <c r="A135" s="3407" t="s">
        <v>6409</v>
      </c>
      <c r="B135" s="3408"/>
      <c r="C135" s="3409"/>
      <c r="D135" s="3409"/>
      <c r="E135" s="3408"/>
      <c r="F135" s="3410"/>
      <c r="G135" s="3410"/>
      <c r="H135" s="3411">
        <f t="shared" ref="H135:H198" si="2">F135+G135</f>
        <v>0</v>
      </c>
      <c r="I135" s="3396"/>
      <c r="J135" s="3396"/>
      <c r="K135" s="3396"/>
      <c r="L135" s="3396"/>
      <c r="M135" s="3396"/>
      <c r="N135" s="3396"/>
      <c r="O135" s="3396"/>
      <c r="P135" s="3396"/>
      <c r="Q135" s="3396"/>
      <c r="R135" s="3396"/>
      <c r="S135" s="3396"/>
      <c r="T135" s="3396"/>
      <c r="U135" s="3396"/>
      <c r="V135" s="3396"/>
      <c r="W135" s="3396"/>
      <c r="X135" s="3396"/>
      <c r="Y135" s="3396"/>
      <c r="Z135" s="3396"/>
      <c r="AA135" s="3396"/>
      <c r="AB135" s="3396"/>
      <c r="AC135" s="3396"/>
      <c r="AD135" s="3396"/>
      <c r="AE135" s="3396"/>
      <c r="AF135" s="3396"/>
      <c r="AG135" s="3396"/>
      <c r="AH135" s="3396"/>
      <c r="AI135" s="3396"/>
      <c r="AJ135" s="3396"/>
      <c r="AK135" s="3396"/>
      <c r="AL135" s="3396"/>
      <c r="AM135" s="3396"/>
      <c r="AN135" s="3396"/>
      <c r="AO135" s="3396"/>
      <c r="AP135" s="3396"/>
      <c r="AQ135" s="3396"/>
      <c r="AR135" s="3396"/>
      <c r="AS135" s="3396"/>
      <c r="AT135" s="3396"/>
      <c r="AU135" s="3396"/>
      <c r="AV135" s="3396"/>
      <c r="AW135" s="3396"/>
      <c r="AX135" s="3396"/>
      <c r="AY135" s="3396"/>
      <c r="AZ135" s="3396"/>
      <c r="BA135" s="3396"/>
      <c r="BB135" s="3396"/>
      <c r="BC135" s="3396"/>
      <c r="BD135" s="3396"/>
      <c r="BE135" s="3396"/>
      <c r="BF135" s="3396"/>
      <c r="BG135" s="3396"/>
      <c r="BH135" s="3396"/>
      <c r="BI135" s="3396"/>
      <c r="BJ135" s="3396"/>
      <c r="BK135" s="3396"/>
      <c r="BL135" s="3396"/>
      <c r="BM135" s="3396"/>
      <c r="BN135" s="3396"/>
    </row>
    <row r="136" s="687" customFormat="1" ht="13.5" hidden="1" customHeight="1" spans="1:66">
      <c r="A136" s="3407" t="s">
        <v>6410</v>
      </c>
      <c r="B136" s="3408"/>
      <c r="C136" s="3409"/>
      <c r="D136" s="3409"/>
      <c r="E136" s="3408"/>
      <c r="F136" s="3410"/>
      <c r="G136" s="3410"/>
      <c r="H136" s="3411">
        <f t="shared" si="2"/>
        <v>0</v>
      </c>
      <c r="I136" s="3396"/>
      <c r="J136" s="3396"/>
      <c r="K136" s="3396"/>
      <c r="L136" s="3396"/>
      <c r="M136" s="3396"/>
      <c r="N136" s="3396"/>
      <c r="O136" s="3396"/>
      <c r="P136" s="3396"/>
      <c r="Q136" s="3396"/>
      <c r="R136" s="3396"/>
      <c r="S136" s="3396"/>
      <c r="T136" s="3396"/>
      <c r="U136" s="3396"/>
      <c r="V136" s="3396"/>
      <c r="W136" s="3396"/>
      <c r="X136" s="3396"/>
      <c r="Y136" s="3396"/>
      <c r="Z136" s="3396"/>
      <c r="AA136" s="3396"/>
      <c r="AB136" s="3396"/>
      <c r="AC136" s="3396"/>
      <c r="AD136" s="3396"/>
      <c r="AE136" s="3396"/>
      <c r="AF136" s="3396"/>
      <c r="AG136" s="3396"/>
      <c r="AH136" s="3396"/>
      <c r="AI136" s="3396"/>
      <c r="AJ136" s="3396"/>
      <c r="AK136" s="3396"/>
      <c r="AL136" s="3396"/>
      <c r="AM136" s="3396"/>
      <c r="AN136" s="3396"/>
      <c r="AO136" s="3396"/>
      <c r="AP136" s="3396"/>
      <c r="AQ136" s="3396"/>
      <c r="AR136" s="3396"/>
      <c r="AS136" s="3396"/>
      <c r="AT136" s="3396"/>
      <c r="AU136" s="3396"/>
      <c r="AV136" s="3396"/>
      <c r="AW136" s="3396"/>
      <c r="AX136" s="3396"/>
      <c r="AY136" s="3396"/>
      <c r="AZ136" s="3396"/>
      <c r="BA136" s="3396"/>
      <c r="BB136" s="3396"/>
      <c r="BC136" s="3396"/>
      <c r="BD136" s="3396"/>
      <c r="BE136" s="3396"/>
      <c r="BF136" s="3396"/>
      <c r="BG136" s="3396"/>
      <c r="BH136" s="3396"/>
      <c r="BI136" s="3396"/>
      <c r="BJ136" s="3396"/>
      <c r="BK136" s="3396"/>
      <c r="BL136" s="3396"/>
      <c r="BM136" s="3396"/>
      <c r="BN136" s="3396"/>
    </row>
    <row r="137" s="687" customFormat="1" ht="13.5" hidden="1" customHeight="1" spans="1:66">
      <c r="A137" s="3407" t="s">
        <v>6411</v>
      </c>
      <c r="B137" s="3408"/>
      <c r="C137" s="3409"/>
      <c r="D137" s="3409"/>
      <c r="E137" s="3408"/>
      <c r="F137" s="3410"/>
      <c r="G137" s="3410"/>
      <c r="H137" s="3411">
        <f t="shared" si="2"/>
        <v>0</v>
      </c>
      <c r="I137" s="3396"/>
      <c r="J137" s="3396"/>
      <c r="K137" s="3396"/>
      <c r="L137" s="3396"/>
      <c r="M137" s="3396"/>
      <c r="N137" s="3396"/>
      <c r="O137" s="3396"/>
      <c r="P137" s="3396"/>
      <c r="Q137" s="3396"/>
      <c r="R137" s="3396"/>
      <c r="S137" s="3396"/>
      <c r="T137" s="3396"/>
      <c r="U137" s="3396"/>
      <c r="V137" s="3396"/>
      <c r="W137" s="3396"/>
      <c r="X137" s="3396"/>
      <c r="Y137" s="3396"/>
      <c r="Z137" s="3396"/>
      <c r="AA137" s="3396"/>
      <c r="AB137" s="3396"/>
      <c r="AC137" s="3396"/>
      <c r="AD137" s="3396"/>
      <c r="AE137" s="3396"/>
      <c r="AF137" s="3396"/>
      <c r="AG137" s="3396"/>
      <c r="AH137" s="3396"/>
      <c r="AI137" s="3396"/>
      <c r="AJ137" s="3396"/>
      <c r="AK137" s="3396"/>
      <c r="AL137" s="3396"/>
      <c r="AM137" s="3396"/>
      <c r="AN137" s="3396"/>
      <c r="AO137" s="3396"/>
      <c r="AP137" s="3396"/>
      <c r="AQ137" s="3396"/>
      <c r="AR137" s="3396"/>
      <c r="AS137" s="3396"/>
      <c r="AT137" s="3396"/>
      <c r="AU137" s="3396"/>
      <c r="AV137" s="3396"/>
      <c r="AW137" s="3396"/>
      <c r="AX137" s="3396"/>
      <c r="AY137" s="3396"/>
      <c r="AZ137" s="3396"/>
      <c r="BA137" s="3396"/>
      <c r="BB137" s="3396"/>
      <c r="BC137" s="3396"/>
      <c r="BD137" s="3396"/>
      <c r="BE137" s="3396"/>
      <c r="BF137" s="3396"/>
      <c r="BG137" s="3396"/>
      <c r="BH137" s="3396"/>
      <c r="BI137" s="3396"/>
      <c r="BJ137" s="3396"/>
      <c r="BK137" s="3396"/>
      <c r="BL137" s="3396"/>
      <c r="BM137" s="3396"/>
      <c r="BN137" s="3396"/>
    </row>
    <row r="138" s="687" customFormat="1" ht="13.5" hidden="1" customHeight="1" spans="1:66">
      <c r="A138" s="3407" t="s">
        <v>6412</v>
      </c>
      <c r="B138" s="3408"/>
      <c r="C138" s="3409"/>
      <c r="D138" s="3409"/>
      <c r="E138" s="3408"/>
      <c r="F138" s="3410"/>
      <c r="G138" s="3410"/>
      <c r="H138" s="3411">
        <f t="shared" si="2"/>
        <v>0</v>
      </c>
      <c r="I138" s="3396"/>
      <c r="J138" s="3396"/>
      <c r="K138" s="3396"/>
      <c r="L138" s="3396"/>
      <c r="M138" s="3396"/>
      <c r="N138" s="3396"/>
      <c r="O138" s="3396"/>
      <c r="P138" s="3396"/>
      <c r="Q138" s="3396"/>
      <c r="R138" s="3396"/>
      <c r="S138" s="3396"/>
      <c r="T138" s="3396"/>
      <c r="U138" s="3396"/>
      <c r="V138" s="3396"/>
      <c r="W138" s="3396"/>
      <c r="X138" s="3396"/>
      <c r="Y138" s="3396"/>
      <c r="Z138" s="3396"/>
      <c r="AA138" s="3396"/>
      <c r="AB138" s="3396"/>
      <c r="AC138" s="3396"/>
      <c r="AD138" s="3396"/>
      <c r="AE138" s="3396"/>
      <c r="AF138" s="3396"/>
      <c r="AG138" s="3396"/>
      <c r="AH138" s="3396"/>
      <c r="AI138" s="3396"/>
      <c r="AJ138" s="3396"/>
      <c r="AK138" s="3396"/>
      <c r="AL138" s="3396"/>
      <c r="AM138" s="3396"/>
      <c r="AN138" s="3396"/>
      <c r="AO138" s="3396"/>
      <c r="AP138" s="3396"/>
      <c r="AQ138" s="3396"/>
      <c r="AR138" s="3396"/>
      <c r="AS138" s="3396"/>
      <c r="AT138" s="3396"/>
      <c r="AU138" s="3396"/>
      <c r="AV138" s="3396"/>
      <c r="AW138" s="3396"/>
      <c r="AX138" s="3396"/>
      <c r="AY138" s="3396"/>
      <c r="AZ138" s="3396"/>
      <c r="BA138" s="3396"/>
      <c r="BB138" s="3396"/>
      <c r="BC138" s="3396"/>
      <c r="BD138" s="3396"/>
      <c r="BE138" s="3396"/>
      <c r="BF138" s="3396"/>
      <c r="BG138" s="3396"/>
      <c r="BH138" s="3396"/>
      <c r="BI138" s="3396"/>
      <c r="BJ138" s="3396"/>
      <c r="BK138" s="3396"/>
      <c r="BL138" s="3396"/>
      <c r="BM138" s="3396"/>
      <c r="BN138" s="3396"/>
    </row>
    <row r="139" s="687" customFormat="1" ht="13.5" hidden="1" customHeight="1" spans="1:66">
      <c r="A139" s="3407" t="s">
        <v>6413</v>
      </c>
      <c r="B139" s="3408"/>
      <c r="C139" s="3409"/>
      <c r="D139" s="3409"/>
      <c r="E139" s="3408"/>
      <c r="F139" s="3410"/>
      <c r="G139" s="3410"/>
      <c r="H139" s="3411">
        <f t="shared" si="2"/>
        <v>0</v>
      </c>
      <c r="I139" s="3396"/>
      <c r="J139" s="3396"/>
      <c r="K139" s="3396"/>
      <c r="L139" s="3396"/>
      <c r="M139" s="3396"/>
      <c r="N139" s="3396"/>
      <c r="O139" s="3396"/>
      <c r="P139" s="3396"/>
      <c r="Q139" s="3396"/>
      <c r="R139" s="3396"/>
      <c r="S139" s="3396"/>
      <c r="T139" s="3396"/>
      <c r="U139" s="3396"/>
      <c r="V139" s="3396"/>
      <c r="W139" s="3396"/>
      <c r="X139" s="3396"/>
      <c r="Y139" s="3396"/>
      <c r="Z139" s="3396"/>
      <c r="AA139" s="3396"/>
      <c r="AB139" s="3396"/>
      <c r="AC139" s="3396"/>
      <c r="AD139" s="3396"/>
      <c r="AE139" s="3396"/>
      <c r="AF139" s="3396"/>
      <c r="AG139" s="3396"/>
      <c r="AH139" s="3396"/>
      <c r="AI139" s="3396"/>
      <c r="AJ139" s="3396"/>
      <c r="AK139" s="3396"/>
      <c r="AL139" s="3396"/>
      <c r="AM139" s="3396"/>
      <c r="AN139" s="3396"/>
      <c r="AO139" s="3396"/>
      <c r="AP139" s="3396"/>
      <c r="AQ139" s="3396"/>
      <c r="AR139" s="3396"/>
      <c r="AS139" s="3396"/>
      <c r="AT139" s="3396"/>
      <c r="AU139" s="3396"/>
      <c r="AV139" s="3396"/>
      <c r="AW139" s="3396"/>
      <c r="AX139" s="3396"/>
      <c r="AY139" s="3396"/>
      <c r="AZ139" s="3396"/>
      <c r="BA139" s="3396"/>
      <c r="BB139" s="3396"/>
      <c r="BC139" s="3396"/>
      <c r="BD139" s="3396"/>
      <c r="BE139" s="3396"/>
      <c r="BF139" s="3396"/>
      <c r="BG139" s="3396"/>
      <c r="BH139" s="3396"/>
      <c r="BI139" s="3396"/>
      <c r="BJ139" s="3396"/>
      <c r="BK139" s="3396"/>
      <c r="BL139" s="3396"/>
      <c r="BM139" s="3396"/>
      <c r="BN139" s="3396"/>
    </row>
    <row r="140" s="687" customFormat="1" ht="13.5" hidden="1" customHeight="1" spans="1:66">
      <c r="A140" s="3407" t="s">
        <v>6414</v>
      </c>
      <c r="B140" s="3408"/>
      <c r="C140" s="3409"/>
      <c r="D140" s="3409"/>
      <c r="E140" s="3408"/>
      <c r="F140" s="3410"/>
      <c r="G140" s="3410"/>
      <c r="H140" s="3411">
        <f t="shared" si="2"/>
        <v>0</v>
      </c>
      <c r="I140" s="3396"/>
      <c r="J140" s="3396"/>
      <c r="K140" s="3396"/>
      <c r="L140" s="3396"/>
      <c r="M140" s="3396"/>
      <c r="N140" s="3396"/>
      <c r="O140" s="3396"/>
      <c r="P140" s="3396"/>
      <c r="Q140" s="3396"/>
      <c r="R140" s="3396"/>
      <c r="S140" s="3396"/>
      <c r="T140" s="3396"/>
      <c r="U140" s="3396"/>
      <c r="V140" s="3396"/>
      <c r="W140" s="3396"/>
      <c r="X140" s="3396"/>
      <c r="Y140" s="3396"/>
      <c r="Z140" s="3396"/>
      <c r="AA140" s="3396"/>
      <c r="AB140" s="3396"/>
      <c r="AC140" s="3396"/>
      <c r="AD140" s="3396"/>
      <c r="AE140" s="3396"/>
      <c r="AF140" s="3396"/>
      <c r="AG140" s="3396"/>
      <c r="AH140" s="3396"/>
      <c r="AI140" s="3396"/>
      <c r="AJ140" s="3396"/>
      <c r="AK140" s="3396"/>
      <c r="AL140" s="3396"/>
      <c r="AM140" s="3396"/>
      <c r="AN140" s="3396"/>
      <c r="AO140" s="3396"/>
      <c r="AP140" s="3396"/>
      <c r="AQ140" s="3396"/>
      <c r="AR140" s="3396"/>
      <c r="AS140" s="3396"/>
      <c r="AT140" s="3396"/>
      <c r="AU140" s="3396"/>
      <c r="AV140" s="3396"/>
      <c r="AW140" s="3396"/>
      <c r="AX140" s="3396"/>
      <c r="AY140" s="3396"/>
      <c r="AZ140" s="3396"/>
      <c r="BA140" s="3396"/>
      <c r="BB140" s="3396"/>
      <c r="BC140" s="3396"/>
      <c r="BD140" s="3396"/>
      <c r="BE140" s="3396"/>
      <c r="BF140" s="3396"/>
      <c r="BG140" s="3396"/>
      <c r="BH140" s="3396"/>
      <c r="BI140" s="3396"/>
      <c r="BJ140" s="3396"/>
      <c r="BK140" s="3396"/>
      <c r="BL140" s="3396"/>
      <c r="BM140" s="3396"/>
      <c r="BN140" s="3396"/>
    </row>
    <row r="141" s="687" customFormat="1" ht="13.5" hidden="1" customHeight="1" spans="1:66">
      <c r="A141" s="3407" t="s">
        <v>6415</v>
      </c>
      <c r="B141" s="3408"/>
      <c r="C141" s="3409"/>
      <c r="D141" s="3409"/>
      <c r="E141" s="3408"/>
      <c r="F141" s="3410"/>
      <c r="G141" s="3410"/>
      <c r="H141" s="3411">
        <f t="shared" si="2"/>
        <v>0</v>
      </c>
      <c r="I141" s="3396"/>
      <c r="J141" s="3396"/>
      <c r="K141" s="3396"/>
      <c r="L141" s="3396"/>
      <c r="M141" s="3396"/>
      <c r="N141" s="3396"/>
      <c r="O141" s="3396"/>
      <c r="P141" s="3396"/>
      <c r="Q141" s="3396"/>
      <c r="R141" s="3396"/>
      <c r="S141" s="3396"/>
      <c r="T141" s="3396"/>
      <c r="U141" s="3396"/>
      <c r="V141" s="3396"/>
      <c r="W141" s="3396"/>
      <c r="X141" s="3396"/>
      <c r="Y141" s="3396"/>
      <c r="Z141" s="3396"/>
      <c r="AA141" s="3396"/>
      <c r="AB141" s="3396"/>
      <c r="AC141" s="3396"/>
      <c r="AD141" s="3396"/>
      <c r="AE141" s="3396"/>
      <c r="AF141" s="3396"/>
      <c r="AG141" s="3396"/>
      <c r="AH141" s="3396"/>
      <c r="AI141" s="3396"/>
      <c r="AJ141" s="3396"/>
      <c r="AK141" s="3396"/>
      <c r="AL141" s="3396"/>
      <c r="AM141" s="3396"/>
      <c r="AN141" s="3396"/>
      <c r="AO141" s="3396"/>
      <c r="AP141" s="3396"/>
      <c r="AQ141" s="3396"/>
      <c r="AR141" s="3396"/>
      <c r="AS141" s="3396"/>
      <c r="AT141" s="3396"/>
      <c r="AU141" s="3396"/>
      <c r="AV141" s="3396"/>
      <c r="AW141" s="3396"/>
      <c r="AX141" s="3396"/>
      <c r="AY141" s="3396"/>
      <c r="AZ141" s="3396"/>
      <c r="BA141" s="3396"/>
      <c r="BB141" s="3396"/>
      <c r="BC141" s="3396"/>
      <c r="BD141" s="3396"/>
      <c r="BE141" s="3396"/>
      <c r="BF141" s="3396"/>
      <c r="BG141" s="3396"/>
      <c r="BH141" s="3396"/>
      <c r="BI141" s="3396"/>
      <c r="BJ141" s="3396"/>
      <c r="BK141" s="3396"/>
      <c r="BL141" s="3396"/>
      <c r="BM141" s="3396"/>
      <c r="BN141" s="3396"/>
    </row>
    <row r="142" s="687" customFormat="1" ht="13.5" hidden="1" customHeight="1" spans="1:66">
      <c r="A142" s="3407" t="s">
        <v>6416</v>
      </c>
      <c r="B142" s="3408"/>
      <c r="C142" s="3409"/>
      <c r="D142" s="3409"/>
      <c r="E142" s="3408"/>
      <c r="F142" s="3410"/>
      <c r="G142" s="3410"/>
      <c r="H142" s="3411">
        <f t="shared" si="2"/>
        <v>0</v>
      </c>
      <c r="I142" s="3396"/>
      <c r="J142" s="3396"/>
      <c r="K142" s="3396"/>
      <c r="L142" s="3396"/>
      <c r="M142" s="3396"/>
      <c r="N142" s="3396"/>
      <c r="O142" s="3396"/>
      <c r="P142" s="3396"/>
      <c r="Q142" s="3396"/>
      <c r="R142" s="3396"/>
      <c r="S142" s="3396"/>
      <c r="T142" s="3396"/>
      <c r="U142" s="3396"/>
      <c r="V142" s="3396"/>
      <c r="W142" s="3396"/>
      <c r="X142" s="3396"/>
      <c r="Y142" s="3396"/>
      <c r="Z142" s="3396"/>
      <c r="AA142" s="3396"/>
      <c r="AB142" s="3396"/>
      <c r="AC142" s="3396"/>
      <c r="AD142" s="3396"/>
      <c r="AE142" s="3396"/>
      <c r="AF142" s="3396"/>
      <c r="AG142" s="3396"/>
      <c r="AH142" s="3396"/>
      <c r="AI142" s="3396"/>
      <c r="AJ142" s="3396"/>
      <c r="AK142" s="3396"/>
      <c r="AL142" s="3396"/>
      <c r="AM142" s="3396"/>
      <c r="AN142" s="3396"/>
      <c r="AO142" s="3396"/>
      <c r="AP142" s="3396"/>
      <c r="AQ142" s="3396"/>
      <c r="AR142" s="3396"/>
      <c r="AS142" s="3396"/>
      <c r="AT142" s="3396"/>
      <c r="AU142" s="3396"/>
      <c r="AV142" s="3396"/>
      <c r="AW142" s="3396"/>
      <c r="AX142" s="3396"/>
      <c r="AY142" s="3396"/>
      <c r="AZ142" s="3396"/>
      <c r="BA142" s="3396"/>
      <c r="BB142" s="3396"/>
      <c r="BC142" s="3396"/>
      <c r="BD142" s="3396"/>
      <c r="BE142" s="3396"/>
      <c r="BF142" s="3396"/>
      <c r="BG142" s="3396"/>
      <c r="BH142" s="3396"/>
      <c r="BI142" s="3396"/>
      <c r="BJ142" s="3396"/>
      <c r="BK142" s="3396"/>
      <c r="BL142" s="3396"/>
      <c r="BM142" s="3396"/>
      <c r="BN142" s="3396"/>
    </row>
    <row r="143" s="687" customFormat="1" ht="13.5" hidden="1" customHeight="1" spans="1:66">
      <c r="A143" s="3407" t="s">
        <v>6417</v>
      </c>
      <c r="B143" s="3408"/>
      <c r="C143" s="3409"/>
      <c r="D143" s="3409"/>
      <c r="E143" s="3408"/>
      <c r="F143" s="3410"/>
      <c r="G143" s="3410"/>
      <c r="H143" s="3411">
        <f t="shared" si="2"/>
        <v>0</v>
      </c>
      <c r="I143" s="3396"/>
      <c r="J143" s="3396"/>
      <c r="K143" s="3396"/>
      <c r="L143" s="3396"/>
      <c r="M143" s="3396"/>
      <c r="N143" s="3396"/>
      <c r="O143" s="3396"/>
      <c r="P143" s="3396"/>
      <c r="Q143" s="3396"/>
      <c r="R143" s="3396"/>
      <c r="S143" s="3396"/>
      <c r="T143" s="3396"/>
      <c r="U143" s="3396"/>
      <c r="V143" s="3396"/>
      <c r="W143" s="3396"/>
      <c r="X143" s="3396"/>
      <c r="Y143" s="3396"/>
      <c r="Z143" s="3396"/>
      <c r="AA143" s="3396"/>
      <c r="AB143" s="3396"/>
      <c r="AC143" s="3396"/>
      <c r="AD143" s="3396"/>
      <c r="AE143" s="3396"/>
      <c r="AF143" s="3396"/>
      <c r="AG143" s="3396"/>
      <c r="AH143" s="3396"/>
      <c r="AI143" s="3396"/>
      <c r="AJ143" s="3396"/>
      <c r="AK143" s="3396"/>
      <c r="AL143" s="3396"/>
      <c r="AM143" s="3396"/>
      <c r="AN143" s="3396"/>
      <c r="AO143" s="3396"/>
      <c r="AP143" s="3396"/>
      <c r="AQ143" s="3396"/>
      <c r="AR143" s="3396"/>
      <c r="AS143" s="3396"/>
      <c r="AT143" s="3396"/>
      <c r="AU143" s="3396"/>
      <c r="AV143" s="3396"/>
      <c r="AW143" s="3396"/>
      <c r="AX143" s="3396"/>
      <c r="AY143" s="3396"/>
      <c r="AZ143" s="3396"/>
      <c r="BA143" s="3396"/>
      <c r="BB143" s="3396"/>
      <c r="BC143" s="3396"/>
      <c r="BD143" s="3396"/>
      <c r="BE143" s="3396"/>
      <c r="BF143" s="3396"/>
      <c r="BG143" s="3396"/>
      <c r="BH143" s="3396"/>
      <c r="BI143" s="3396"/>
      <c r="BJ143" s="3396"/>
      <c r="BK143" s="3396"/>
      <c r="BL143" s="3396"/>
      <c r="BM143" s="3396"/>
      <c r="BN143" s="3396"/>
    </row>
    <row r="144" s="687" customFormat="1" ht="13.5" hidden="1" customHeight="1" spans="1:66">
      <c r="A144" s="3407" t="s">
        <v>6418</v>
      </c>
      <c r="B144" s="3408"/>
      <c r="C144" s="3409"/>
      <c r="D144" s="3409"/>
      <c r="E144" s="3408"/>
      <c r="F144" s="3410"/>
      <c r="G144" s="3410"/>
      <c r="H144" s="3411">
        <f t="shared" si="2"/>
        <v>0</v>
      </c>
      <c r="I144" s="3396"/>
      <c r="J144" s="3396"/>
      <c r="K144" s="3396"/>
      <c r="L144" s="3396"/>
      <c r="M144" s="3396"/>
      <c r="N144" s="3396"/>
      <c r="O144" s="3396"/>
      <c r="P144" s="3396"/>
      <c r="Q144" s="3396"/>
      <c r="R144" s="3396"/>
      <c r="S144" s="3396"/>
      <c r="T144" s="3396"/>
      <c r="U144" s="3396"/>
      <c r="V144" s="3396"/>
      <c r="W144" s="3396"/>
      <c r="X144" s="3396"/>
      <c r="Y144" s="3396"/>
      <c r="Z144" s="3396"/>
      <c r="AA144" s="3396"/>
      <c r="AB144" s="3396"/>
      <c r="AC144" s="3396"/>
      <c r="AD144" s="3396"/>
      <c r="AE144" s="3396"/>
      <c r="AF144" s="3396"/>
      <c r="AG144" s="3396"/>
      <c r="AH144" s="3396"/>
      <c r="AI144" s="3396"/>
      <c r="AJ144" s="3396"/>
      <c r="AK144" s="3396"/>
      <c r="AL144" s="3396"/>
      <c r="AM144" s="3396"/>
      <c r="AN144" s="3396"/>
      <c r="AO144" s="3396"/>
      <c r="AP144" s="3396"/>
      <c r="AQ144" s="3396"/>
      <c r="AR144" s="3396"/>
      <c r="AS144" s="3396"/>
      <c r="AT144" s="3396"/>
      <c r="AU144" s="3396"/>
      <c r="AV144" s="3396"/>
      <c r="AW144" s="3396"/>
      <c r="AX144" s="3396"/>
      <c r="AY144" s="3396"/>
      <c r="AZ144" s="3396"/>
      <c r="BA144" s="3396"/>
      <c r="BB144" s="3396"/>
      <c r="BC144" s="3396"/>
      <c r="BD144" s="3396"/>
      <c r="BE144" s="3396"/>
      <c r="BF144" s="3396"/>
      <c r="BG144" s="3396"/>
      <c r="BH144" s="3396"/>
      <c r="BI144" s="3396"/>
      <c r="BJ144" s="3396"/>
      <c r="BK144" s="3396"/>
      <c r="BL144" s="3396"/>
      <c r="BM144" s="3396"/>
      <c r="BN144" s="3396"/>
    </row>
    <row r="145" s="687" customFormat="1" ht="13.5" hidden="1" customHeight="1" spans="1:66">
      <c r="A145" s="3407" t="s">
        <v>6419</v>
      </c>
      <c r="B145" s="3408"/>
      <c r="C145" s="3409"/>
      <c r="D145" s="3409"/>
      <c r="E145" s="3408"/>
      <c r="F145" s="3410"/>
      <c r="G145" s="3410"/>
      <c r="H145" s="3411">
        <f t="shared" si="2"/>
        <v>0</v>
      </c>
      <c r="I145" s="3396"/>
      <c r="J145" s="3396"/>
      <c r="K145" s="3396"/>
      <c r="L145" s="3396"/>
      <c r="M145" s="3396"/>
      <c r="N145" s="3396"/>
      <c r="O145" s="3396"/>
      <c r="P145" s="3396"/>
      <c r="Q145" s="3396"/>
      <c r="R145" s="3396"/>
      <c r="S145" s="3396"/>
      <c r="T145" s="3396"/>
      <c r="U145" s="3396"/>
      <c r="V145" s="3396"/>
      <c r="W145" s="3396"/>
      <c r="X145" s="3396"/>
      <c r="Y145" s="3396"/>
      <c r="Z145" s="3396"/>
      <c r="AA145" s="3396"/>
      <c r="AB145" s="3396"/>
      <c r="AC145" s="3396"/>
      <c r="AD145" s="3396"/>
      <c r="AE145" s="3396"/>
      <c r="AF145" s="3396"/>
      <c r="AG145" s="3396"/>
      <c r="AH145" s="3396"/>
      <c r="AI145" s="3396"/>
      <c r="AJ145" s="3396"/>
      <c r="AK145" s="3396"/>
      <c r="AL145" s="3396"/>
      <c r="AM145" s="3396"/>
      <c r="AN145" s="3396"/>
      <c r="AO145" s="3396"/>
      <c r="AP145" s="3396"/>
      <c r="AQ145" s="3396"/>
      <c r="AR145" s="3396"/>
      <c r="AS145" s="3396"/>
      <c r="AT145" s="3396"/>
      <c r="AU145" s="3396"/>
      <c r="AV145" s="3396"/>
      <c r="AW145" s="3396"/>
      <c r="AX145" s="3396"/>
      <c r="AY145" s="3396"/>
      <c r="AZ145" s="3396"/>
      <c r="BA145" s="3396"/>
      <c r="BB145" s="3396"/>
      <c r="BC145" s="3396"/>
      <c r="BD145" s="3396"/>
      <c r="BE145" s="3396"/>
      <c r="BF145" s="3396"/>
      <c r="BG145" s="3396"/>
      <c r="BH145" s="3396"/>
      <c r="BI145" s="3396"/>
      <c r="BJ145" s="3396"/>
      <c r="BK145" s="3396"/>
      <c r="BL145" s="3396"/>
      <c r="BM145" s="3396"/>
      <c r="BN145" s="3396"/>
    </row>
    <row r="146" s="687" customFormat="1" ht="13.5" hidden="1" customHeight="1" spans="1:66">
      <c r="A146" s="3407" t="s">
        <v>6420</v>
      </c>
      <c r="B146" s="3408"/>
      <c r="C146" s="3409"/>
      <c r="D146" s="3409"/>
      <c r="E146" s="3408"/>
      <c r="F146" s="3410"/>
      <c r="G146" s="3410"/>
      <c r="H146" s="3411">
        <f t="shared" si="2"/>
        <v>0</v>
      </c>
      <c r="I146" s="3396"/>
      <c r="J146" s="3396"/>
      <c r="K146" s="3396"/>
      <c r="L146" s="3396"/>
      <c r="M146" s="3396"/>
      <c r="N146" s="3396"/>
      <c r="O146" s="3396"/>
      <c r="P146" s="3396"/>
      <c r="Q146" s="3396"/>
      <c r="R146" s="3396"/>
      <c r="S146" s="3396"/>
      <c r="T146" s="3396"/>
      <c r="U146" s="3396"/>
      <c r="V146" s="3396"/>
      <c r="W146" s="3396"/>
      <c r="X146" s="3396"/>
      <c r="Y146" s="3396"/>
      <c r="Z146" s="3396"/>
      <c r="AA146" s="3396"/>
      <c r="AB146" s="3396"/>
      <c r="AC146" s="3396"/>
      <c r="AD146" s="3396"/>
      <c r="AE146" s="3396"/>
      <c r="AF146" s="3396"/>
      <c r="AG146" s="3396"/>
      <c r="AH146" s="3396"/>
      <c r="AI146" s="3396"/>
      <c r="AJ146" s="3396"/>
      <c r="AK146" s="3396"/>
      <c r="AL146" s="3396"/>
      <c r="AM146" s="3396"/>
      <c r="AN146" s="3396"/>
      <c r="AO146" s="3396"/>
      <c r="AP146" s="3396"/>
      <c r="AQ146" s="3396"/>
      <c r="AR146" s="3396"/>
      <c r="AS146" s="3396"/>
      <c r="AT146" s="3396"/>
      <c r="AU146" s="3396"/>
      <c r="AV146" s="3396"/>
      <c r="AW146" s="3396"/>
      <c r="AX146" s="3396"/>
      <c r="AY146" s="3396"/>
      <c r="AZ146" s="3396"/>
      <c r="BA146" s="3396"/>
      <c r="BB146" s="3396"/>
      <c r="BC146" s="3396"/>
      <c r="BD146" s="3396"/>
      <c r="BE146" s="3396"/>
      <c r="BF146" s="3396"/>
      <c r="BG146" s="3396"/>
      <c r="BH146" s="3396"/>
      <c r="BI146" s="3396"/>
      <c r="BJ146" s="3396"/>
      <c r="BK146" s="3396"/>
      <c r="BL146" s="3396"/>
      <c r="BM146" s="3396"/>
      <c r="BN146" s="3396"/>
    </row>
    <row r="147" s="687" customFormat="1" ht="13.5" hidden="1" customHeight="1" spans="1:66">
      <c r="A147" s="3407" t="s">
        <v>6421</v>
      </c>
      <c r="B147" s="3408"/>
      <c r="C147" s="3409"/>
      <c r="D147" s="3409"/>
      <c r="E147" s="3408"/>
      <c r="F147" s="3410"/>
      <c r="G147" s="3410"/>
      <c r="H147" s="3411">
        <f t="shared" si="2"/>
        <v>0</v>
      </c>
      <c r="I147" s="3396"/>
      <c r="J147" s="3396"/>
      <c r="K147" s="3396"/>
      <c r="L147" s="3396"/>
      <c r="M147" s="3396"/>
      <c r="N147" s="3396"/>
      <c r="O147" s="3396"/>
      <c r="P147" s="3396"/>
      <c r="Q147" s="3396"/>
      <c r="R147" s="3396"/>
      <c r="S147" s="3396"/>
      <c r="T147" s="3396"/>
      <c r="U147" s="3396"/>
      <c r="V147" s="3396"/>
      <c r="W147" s="3396"/>
      <c r="X147" s="3396"/>
      <c r="Y147" s="3396"/>
      <c r="Z147" s="3396"/>
      <c r="AA147" s="3396"/>
      <c r="AB147" s="3396"/>
      <c r="AC147" s="3396"/>
      <c r="AD147" s="3396"/>
      <c r="AE147" s="3396"/>
      <c r="AF147" s="3396"/>
      <c r="AG147" s="3396"/>
      <c r="AH147" s="3396"/>
      <c r="AI147" s="3396"/>
      <c r="AJ147" s="3396"/>
      <c r="AK147" s="3396"/>
      <c r="AL147" s="3396"/>
      <c r="AM147" s="3396"/>
      <c r="AN147" s="3396"/>
      <c r="AO147" s="3396"/>
      <c r="AP147" s="3396"/>
      <c r="AQ147" s="3396"/>
      <c r="AR147" s="3396"/>
      <c r="AS147" s="3396"/>
      <c r="AT147" s="3396"/>
      <c r="AU147" s="3396"/>
      <c r="AV147" s="3396"/>
      <c r="AW147" s="3396"/>
      <c r="AX147" s="3396"/>
      <c r="AY147" s="3396"/>
      <c r="AZ147" s="3396"/>
      <c r="BA147" s="3396"/>
      <c r="BB147" s="3396"/>
      <c r="BC147" s="3396"/>
      <c r="BD147" s="3396"/>
      <c r="BE147" s="3396"/>
      <c r="BF147" s="3396"/>
      <c r="BG147" s="3396"/>
      <c r="BH147" s="3396"/>
      <c r="BI147" s="3396"/>
      <c r="BJ147" s="3396"/>
      <c r="BK147" s="3396"/>
      <c r="BL147" s="3396"/>
      <c r="BM147" s="3396"/>
      <c r="BN147" s="3396"/>
    </row>
    <row r="148" s="687" customFormat="1" ht="13.5" hidden="1" customHeight="1" spans="1:66">
      <c r="A148" s="3407" t="s">
        <v>6422</v>
      </c>
      <c r="B148" s="3408"/>
      <c r="C148" s="3409"/>
      <c r="D148" s="3409"/>
      <c r="E148" s="3408"/>
      <c r="F148" s="3410"/>
      <c r="G148" s="3410"/>
      <c r="H148" s="3411">
        <f t="shared" si="2"/>
        <v>0</v>
      </c>
      <c r="I148" s="3396"/>
      <c r="J148" s="3396"/>
      <c r="K148" s="3396"/>
      <c r="L148" s="3396"/>
      <c r="M148" s="3396"/>
      <c r="N148" s="3396"/>
      <c r="O148" s="3396"/>
      <c r="P148" s="3396"/>
      <c r="Q148" s="3396"/>
      <c r="R148" s="3396"/>
      <c r="S148" s="3396"/>
      <c r="T148" s="3396"/>
      <c r="U148" s="3396"/>
      <c r="V148" s="3396"/>
      <c r="W148" s="3396"/>
      <c r="X148" s="3396"/>
      <c r="Y148" s="3396"/>
      <c r="Z148" s="3396"/>
      <c r="AA148" s="3396"/>
      <c r="AB148" s="3396"/>
      <c r="AC148" s="3396"/>
      <c r="AD148" s="3396"/>
      <c r="AE148" s="3396"/>
      <c r="AF148" s="3396"/>
      <c r="AG148" s="3396"/>
      <c r="AH148" s="3396"/>
      <c r="AI148" s="3396"/>
      <c r="AJ148" s="3396"/>
      <c r="AK148" s="3396"/>
      <c r="AL148" s="3396"/>
      <c r="AM148" s="3396"/>
      <c r="AN148" s="3396"/>
      <c r="AO148" s="3396"/>
      <c r="AP148" s="3396"/>
      <c r="AQ148" s="3396"/>
      <c r="AR148" s="3396"/>
      <c r="AS148" s="3396"/>
      <c r="AT148" s="3396"/>
      <c r="AU148" s="3396"/>
      <c r="AV148" s="3396"/>
      <c r="AW148" s="3396"/>
      <c r="AX148" s="3396"/>
      <c r="AY148" s="3396"/>
      <c r="AZ148" s="3396"/>
      <c r="BA148" s="3396"/>
      <c r="BB148" s="3396"/>
      <c r="BC148" s="3396"/>
      <c r="BD148" s="3396"/>
      <c r="BE148" s="3396"/>
      <c r="BF148" s="3396"/>
      <c r="BG148" s="3396"/>
      <c r="BH148" s="3396"/>
      <c r="BI148" s="3396"/>
      <c r="BJ148" s="3396"/>
      <c r="BK148" s="3396"/>
      <c r="BL148" s="3396"/>
      <c r="BM148" s="3396"/>
      <c r="BN148" s="3396"/>
    </row>
    <row r="149" s="687" customFormat="1" ht="13.5" hidden="1" customHeight="1" spans="1:66">
      <c r="A149" s="3407" t="s">
        <v>6423</v>
      </c>
      <c r="B149" s="3408"/>
      <c r="C149" s="3409"/>
      <c r="D149" s="3409"/>
      <c r="E149" s="3408"/>
      <c r="F149" s="3410"/>
      <c r="G149" s="3410"/>
      <c r="H149" s="3411">
        <f t="shared" si="2"/>
        <v>0</v>
      </c>
      <c r="I149" s="3396"/>
      <c r="J149" s="3396"/>
      <c r="K149" s="3396"/>
      <c r="L149" s="3396"/>
      <c r="M149" s="3396"/>
      <c r="N149" s="3396"/>
      <c r="O149" s="3396"/>
      <c r="P149" s="3396"/>
      <c r="Q149" s="3396"/>
      <c r="R149" s="3396"/>
      <c r="S149" s="3396"/>
      <c r="T149" s="3396"/>
      <c r="U149" s="3396"/>
      <c r="V149" s="3396"/>
      <c r="W149" s="3396"/>
      <c r="X149" s="3396"/>
      <c r="Y149" s="3396"/>
      <c r="Z149" s="3396"/>
      <c r="AA149" s="3396"/>
      <c r="AB149" s="3396"/>
      <c r="AC149" s="3396"/>
      <c r="AD149" s="3396"/>
      <c r="AE149" s="3396"/>
      <c r="AF149" s="3396"/>
      <c r="AG149" s="3396"/>
      <c r="AH149" s="3396"/>
      <c r="AI149" s="3396"/>
      <c r="AJ149" s="3396"/>
      <c r="AK149" s="3396"/>
      <c r="AL149" s="3396"/>
      <c r="AM149" s="3396"/>
      <c r="AN149" s="3396"/>
      <c r="AO149" s="3396"/>
      <c r="AP149" s="3396"/>
      <c r="AQ149" s="3396"/>
      <c r="AR149" s="3396"/>
      <c r="AS149" s="3396"/>
      <c r="AT149" s="3396"/>
      <c r="AU149" s="3396"/>
      <c r="AV149" s="3396"/>
      <c r="AW149" s="3396"/>
      <c r="AX149" s="3396"/>
      <c r="AY149" s="3396"/>
      <c r="AZ149" s="3396"/>
      <c r="BA149" s="3396"/>
      <c r="BB149" s="3396"/>
      <c r="BC149" s="3396"/>
      <c r="BD149" s="3396"/>
      <c r="BE149" s="3396"/>
      <c r="BF149" s="3396"/>
      <c r="BG149" s="3396"/>
      <c r="BH149" s="3396"/>
      <c r="BI149" s="3396"/>
      <c r="BJ149" s="3396"/>
      <c r="BK149" s="3396"/>
      <c r="BL149" s="3396"/>
      <c r="BM149" s="3396"/>
      <c r="BN149" s="3396"/>
    </row>
    <row r="150" s="687" customFormat="1" ht="13.5" hidden="1" customHeight="1" spans="1:66">
      <c r="A150" s="3407" t="s">
        <v>6424</v>
      </c>
      <c r="B150" s="3408"/>
      <c r="C150" s="3409"/>
      <c r="D150" s="3409"/>
      <c r="E150" s="3408"/>
      <c r="F150" s="3410"/>
      <c r="G150" s="3410"/>
      <c r="H150" s="3411">
        <f t="shared" si="2"/>
        <v>0</v>
      </c>
      <c r="I150" s="3396"/>
      <c r="J150" s="3396"/>
      <c r="K150" s="3396"/>
      <c r="L150" s="3396"/>
      <c r="M150" s="3396"/>
      <c r="N150" s="3396"/>
      <c r="O150" s="3396"/>
      <c r="P150" s="3396"/>
      <c r="Q150" s="3396"/>
      <c r="R150" s="3396"/>
      <c r="S150" s="3396"/>
      <c r="T150" s="3396"/>
      <c r="U150" s="3396"/>
      <c r="V150" s="3396"/>
      <c r="W150" s="3396"/>
      <c r="X150" s="3396"/>
      <c r="Y150" s="3396"/>
      <c r="Z150" s="3396"/>
      <c r="AA150" s="3396"/>
      <c r="AB150" s="3396"/>
      <c r="AC150" s="3396"/>
      <c r="AD150" s="3396"/>
      <c r="AE150" s="3396"/>
      <c r="AF150" s="3396"/>
      <c r="AG150" s="3396"/>
      <c r="AH150" s="3396"/>
      <c r="AI150" s="3396"/>
      <c r="AJ150" s="3396"/>
      <c r="AK150" s="3396"/>
      <c r="AL150" s="3396"/>
      <c r="AM150" s="3396"/>
      <c r="AN150" s="3396"/>
      <c r="AO150" s="3396"/>
      <c r="AP150" s="3396"/>
      <c r="AQ150" s="3396"/>
      <c r="AR150" s="3396"/>
      <c r="AS150" s="3396"/>
      <c r="AT150" s="3396"/>
      <c r="AU150" s="3396"/>
      <c r="AV150" s="3396"/>
      <c r="AW150" s="3396"/>
      <c r="AX150" s="3396"/>
      <c r="AY150" s="3396"/>
      <c r="AZ150" s="3396"/>
      <c r="BA150" s="3396"/>
      <c r="BB150" s="3396"/>
      <c r="BC150" s="3396"/>
      <c r="BD150" s="3396"/>
      <c r="BE150" s="3396"/>
      <c r="BF150" s="3396"/>
      <c r="BG150" s="3396"/>
      <c r="BH150" s="3396"/>
      <c r="BI150" s="3396"/>
      <c r="BJ150" s="3396"/>
      <c r="BK150" s="3396"/>
      <c r="BL150" s="3396"/>
      <c r="BM150" s="3396"/>
      <c r="BN150" s="3396"/>
    </row>
    <row r="151" s="687" customFormat="1" ht="13.5" hidden="1" customHeight="1" spans="1:66">
      <c r="A151" s="3407" t="s">
        <v>6425</v>
      </c>
      <c r="B151" s="3408"/>
      <c r="C151" s="3409"/>
      <c r="D151" s="3409"/>
      <c r="E151" s="3408"/>
      <c r="F151" s="3410"/>
      <c r="G151" s="3410"/>
      <c r="H151" s="3411">
        <f t="shared" si="2"/>
        <v>0</v>
      </c>
      <c r="I151" s="3396"/>
      <c r="J151" s="3396"/>
      <c r="K151" s="3396"/>
      <c r="L151" s="3396"/>
      <c r="M151" s="3396"/>
      <c r="N151" s="3396"/>
      <c r="O151" s="3396"/>
      <c r="P151" s="3396"/>
      <c r="Q151" s="3396"/>
      <c r="R151" s="3396"/>
      <c r="S151" s="3396"/>
      <c r="T151" s="3396"/>
      <c r="U151" s="3396"/>
      <c r="V151" s="3396"/>
      <c r="W151" s="3396"/>
      <c r="X151" s="3396"/>
      <c r="Y151" s="3396"/>
      <c r="Z151" s="3396"/>
      <c r="AA151" s="3396"/>
      <c r="AB151" s="3396"/>
      <c r="AC151" s="3396"/>
      <c r="AD151" s="3396"/>
      <c r="AE151" s="3396"/>
      <c r="AF151" s="3396"/>
      <c r="AG151" s="3396"/>
      <c r="AH151" s="3396"/>
      <c r="AI151" s="3396"/>
      <c r="AJ151" s="3396"/>
      <c r="AK151" s="3396"/>
      <c r="AL151" s="3396"/>
      <c r="AM151" s="3396"/>
      <c r="AN151" s="3396"/>
      <c r="AO151" s="3396"/>
      <c r="AP151" s="3396"/>
      <c r="AQ151" s="3396"/>
      <c r="AR151" s="3396"/>
      <c r="AS151" s="3396"/>
      <c r="AT151" s="3396"/>
      <c r="AU151" s="3396"/>
      <c r="AV151" s="3396"/>
      <c r="AW151" s="3396"/>
      <c r="AX151" s="3396"/>
      <c r="AY151" s="3396"/>
      <c r="AZ151" s="3396"/>
      <c r="BA151" s="3396"/>
      <c r="BB151" s="3396"/>
      <c r="BC151" s="3396"/>
      <c r="BD151" s="3396"/>
      <c r="BE151" s="3396"/>
      <c r="BF151" s="3396"/>
      <c r="BG151" s="3396"/>
      <c r="BH151" s="3396"/>
      <c r="BI151" s="3396"/>
      <c r="BJ151" s="3396"/>
      <c r="BK151" s="3396"/>
      <c r="BL151" s="3396"/>
      <c r="BM151" s="3396"/>
      <c r="BN151" s="3396"/>
    </row>
    <row r="152" s="687" customFormat="1" ht="13.5" hidden="1" customHeight="1" spans="1:66">
      <c r="A152" s="3407" t="s">
        <v>6426</v>
      </c>
      <c r="B152" s="3408"/>
      <c r="C152" s="3409"/>
      <c r="D152" s="3409"/>
      <c r="E152" s="3408"/>
      <c r="F152" s="3410"/>
      <c r="G152" s="3410"/>
      <c r="H152" s="3411">
        <f t="shared" si="2"/>
        <v>0</v>
      </c>
      <c r="I152" s="3396"/>
      <c r="J152" s="3396"/>
      <c r="K152" s="3396"/>
      <c r="L152" s="3396"/>
      <c r="M152" s="3396"/>
      <c r="N152" s="3396"/>
      <c r="O152" s="3396"/>
      <c r="P152" s="3396"/>
      <c r="Q152" s="3396"/>
      <c r="R152" s="3396"/>
      <c r="S152" s="3396"/>
      <c r="T152" s="3396"/>
      <c r="U152" s="3396"/>
      <c r="V152" s="3396"/>
      <c r="W152" s="3396"/>
      <c r="X152" s="3396"/>
      <c r="Y152" s="3396"/>
      <c r="Z152" s="3396"/>
      <c r="AA152" s="3396"/>
      <c r="AB152" s="3396"/>
      <c r="AC152" s="3396"/>
      <c r="AD152" s="3396"/>
      <c r="AE152" s="3396"/>
      <c r="AF152" s="3396"/>
      <c r="AG152" s="3396"/>
      <c r="AH152" s="3396"/>
      <c r="AI152" s="3396"/>
      <c r="AJ152" s="3396"/>
      <c r="AK152" s="3396"/>
      <c r="AL152" s="3396"/>
      <c r="AM152" s="3396"/>
      <c r="AN152" s="3396"/>
      <c r="AO152" s="3396"/>
      <c r="AP152" s="3396"/>
      <c r="AQ152" s="3396"/>
      <c r="AR152" s="3396"/>
      <c r="AS152" s="3396"/>
      <c r="AT152" s="3396"/>
      <c r="AU152" s="3396"/>
      <c r="AV152" s="3396"/>
      <c r="AW152" s="3396"/>
      <c r="AX152" s="3396"/>
      <c r="AY152" s="3396"/>
      <c r="AZ152" s="3396"/>
      <c r="BA152" s="3396"/>
      <c r="BB152" s="3396"/>
      <c r="BC152" s="3396"/>
      <c r="BD152" s="3396"/>
      <c r="BE152" s="3396"/>
      <c r="BF152" s="3396"/>
      <c r="BG152" s="3396"/>
      <c r="BH152" s="3396"/>
      <c r="BI152" s="3396"/>
      <c r="BJ152" s="3396"/>
      <c r="BK152" s="3396"/>
      <c r="BL152" s="3396"/>
      <c r="BM152" s="3396"/>
      <c r="BN152" s="3396"/>
    </row>
    <row r="153" s="687" customFormat="1" ht="13.5" hidden="1" customHeight="1" spans="1:66">
      <c r="A153" s="3407" t="s">
        <v>6427</v>
      </c>
      <c r="B153" s="3408"/>
      <c r="C153" s="3409"/>
      <c r="D153" s="3409"/>
      <c r="E153" s="3408"/>
      <c r="F153" s="3410"/>
      <c r="G153" s="3410"/>
      <c r="H153" s="3411">
        <f t="shared" si="2"/>
        <v>0</v>
      </c>
      <c r="I153" s="3396"/>
      <c r="J153" s="3396"/>
      <c r="K153" s="3396"/>
      <c r="L153" s="3396"/>
      <c r="M153" s="3396"/>
      <c r="N153" s="3396"/>
      <c r="O153" s="3396"/>
      <c r="P153" s="3396"/>
      <c r="Q153" s="3396"/>
      <c r="R153" s="3396"/>
      <c r="S153" s="3396"/>
      <c r="T153" s="3396"/>
      <c r="U153" s="3396"/>
      <c r="V153" s="3396"/>
      <c r="W153" s="3396"/>
      <c r="X153" s="3396"/>
      <c r="Y153" s="3396"/>
      <c r="Z153" s="3396"/>
      <c r="AA153" s="3396"/>
      <c r="AB153" s="3396"/>
      <c r="AC153" s="3396"/>
      <c r="AD153" s="3396"/>
      <c r="AE153" s="3396"/>
      <c r="AF153" s="3396"/>
      <c r="AG153" s="3396"/>
      <c r="AH153" s="3396"/>
      <c r="AI153" s="3396"/>
      <c r="AJ153" s="3396"/>
      <c r="AK153" s="3396"/>
      <c r="AL153" s="3396"/>
      <c r="AM153" s="3396"/>
      <c r="AN153" s="3396"/>
      <c r="AO153" s="3396"/>
      <c r="AP153" s="3396"/>
      <c r="AQ153" s="3396"/>
      <c r="AR153" s="3396"/>
      <c r="AS153" s="3396"/>
      <c r="AT153" s="3396"/>
      <c r="AU153" s="3396"/>
      <c r="AV153" s="3396"/>
      <c r="AW153" s="3396"/>
      <c r="AX153" s="3396"/>
      <c r="AY153" s="3396"/>
      <c r="AZ153" s="3396"/>
      <c r="BA153" s="3396"/>
      <c r="BB153" s="3396"/>
      <c r="BC153" s="3396"/>
      <c r="BD153" s="3396"/>
      <c r="BE153" s="3396"/>
      <c r="BF153" s="3396"/>
      <c r="BG153" s="3396"/>
      <c r="BH153" s="3396"/>
      <c r="BI153" s="3396"/>
      <c r="BJ153" s="3396"/>
      <c r="BK153" s="3396"/>
      <c r="BL153" s="3396"/>
      <c r="BM153" s="3396"/>
      <c r="BN153" s="3396"/>
    </row>
    <row r="154" s="687" customFormat="1" ht="13.5" hidden="1" customHeight="1" spans="1:66">
      <c r="A154" s="3407" t="s">
        <v>6428</v>
      </c>
      <c r="B154" s="3408"/>
      <c r="C154" s="3409"/>
      <c r="D154" s="3409"/>
      <c r="E154" s="3408"/>
      <c r="F154" s="3410"/>
      <c r="G154" s="3410"/>
      <c r="H154" s="3411">
        <f t="shared" si="2"/>
        <v>0</v>
      </c>
      <c r="I154" s="3396"/>
      <c r="J154" s="3396"/>
      <c r="K154" s="3396"/>
      <c r="L154" s="3396"/>
      <c r="M154" s="3396"/>
      <c r="N154" s="3396"/>
      <c r="O154" s="3396"/>
      <c r="P154" s="3396"/>
      <c r="Q154" s="3396"/>
      <c r="R154" s="3396"/>
      <c r="S154" s="3396"/>
      <c r="T154" s="3396"/>
      <c r="U154" s="3396"/>
      <c r="V154" s="3396"/>
      <c r="W154" s="3396"/>
      <c r="X154" s="3396"/>
      <c r="Y154" s="3396"/>
      <c r="Z154" s="3396"/>
      <c r="AA154" s="3396"/>
      <c r="AB154" s="3396"/>
      <c r="AC154" s="3396"/>
      <c r="AD154" s="3396"/>
      <c r="AE154" s="3396"/>
      <c r="AF154" s="3396"/>
      <c r="AG154" s="3396"/>
      <c r="AH154" s="3396"/>
      <c r="AI154" s="3396"/>
      <c r="AJ154" s="3396"/>
      <c r="AK154" s="3396"/>
      <c r="AL154" s="3396"/>
      <c r="AM154" s="3396"/>
      <c r="AN154" s="3396"/>
      <c r="AO154" s="3396"/>
      <c r="AP154" s="3396"/>
      <c r="AQ154" s="3396"/>
      <c r="AR154" s="3396"/>
      <c r="AS154" s="3396"/>
      <c r="AT154" s="3396"/>
      <c r="AU154" s="3396"/>
      <c r="AV154" s="3396"/>
      <c r="AW154" s="3396"/>
      <c r="AX154" s="3396"/>
      <c r="AY154" s="3396"/>
      <c r="AZ154" s="3396"/>
      <c r="BA154" s="3396"/>
      <c r="BB154" s="3396"/>
      <c r="BC154" s="3396"/>
      <c r="BD154" s="3396"/>
      <c r="BE154" s="3396"/>
      <c r="BF154" s="3396"/>
      <c r="BG154" s="3396"/>
      <c r="BH154" s="3396"/>
      <c r="BI154" s="3396"/>
      <c r="BJ154" s="3396"/>
      <c r="BK154" s="3396"/>
      <c r="BL154" s="3396"/>
      <c r="BM154" s="3396"/>
      <c r="BN154" s="3396"/>
    </row>
    <row r="155" s="687" customFormat="1" ht="13.5" hidden="1" customHeight="1" spans="1:66">
      <c r="A155" s="3407" t="s">
        <v>6429</v>
      </c>
      <c r="B155" s="3408"/>
      <c r="C155" s="3409"/>
      <c r="D155" s="3409"/>
      <c r="E155" s="3408"/>
      <c r="F155" s="3410"/>
      <c r="G155" s="3410"/>
      <c r="H155" s="3411">
        <f t="shared" si="2"/>
        <v>0</v>
      </c>
      <c r="I155" s="3396"/>
      <c r="J155" s="3396"/>
      <c r="K155" s="3396"/>
      <c r="L155" s="3396"/>
      <c r="M155" s="3396"/>
      <c r="N155" s="3396"/>
      <c r="O155" s="3396"/>
      <c r="P155" s="3396"/>
      <c r="Q155" s="3396"/>
      <c r="R155" s="3396"/>
      <c r="S155" s="3396"/>
      <c r="T155" s="3396"/>
      <c r="U155" s="3396"/>
      <c r="V155" s="3396"/>
      <c r="W155" s="3396"/>
      <c r="X155" s="3396"/>
      <c r="Y155" s="3396"/>
      <c r="Z155" s="3396"/>
      <c r="AA155" s="3396"/>
      <c r="AB155" s="3396"/>
      <c r="AC155" s="3396"/>
      <c r="AD155" s="3396"/>
      <c r="AE155" s="3396"/>
      <c r="AF155" s="3396"/>
      <c r="AG155" s="3396"/>
      <c r="AH155" s="3396"/>
      <c r="AI155" s="3396"/>
      <c r="AJ155" s="3396"/>
      <c r="AK155" s="3396"/>
      <c r="AL155" s="3396"/>
      <c r="AM155" s="3396"/>
      <c r="AN155" s="3396"/>
      <c r="AO155" s="3396"/>
      <c r="AP155" s="3396"/>
      <c r="AQ155" s="3396"/>
      <c r="AR155" s="3396"/>
      <c r="AS155" s="3396"/>
      <c r="AT155" s="3396"/>
      <c r="AU155" s="3396"/>
      <c r="AV155" s="3396"/>
      <c r="AW155" s="3396"/>
      <c r="AX155" s="3396"/>
      <c r="AY155" s="3396"/>
      <c r="AZ155" s="3396"/>
      <c r="BA155" s="3396"/>
      <c r="BB155" s="3396"/>
      <c r="BC155" s="3396"/>
      <c r="BD155" s="3396"/>
      <c r="BE155" s="3396"/>
      <c r="BF155" s="3396"/>
      <c r="BG155" s="3396"/>
      <c r="BH155" s="3396"/>
      <c r="BI155" s="3396"/>
      <c r="BJ155" s="3396"/>
      <c r="BK155" s="3396"/>
      <c r="BL155" s="3396"/>
      <c r="BM155" s="3396"/>
      <c r="BN155" s="3396"/>
    </row>
    <row r="156" s="687" customFormat="1" ht="13.5" hidden="1" customHeight="1" spans="1:66">
      <c r="A156" s="3407" t="s">
        <v>6430</v>
      </c>
      <c r="B156" s="3408"/>
      <c r="C156" s="3409"/>
      <c r="D156" s="3409"/>
      <c r="E156" s="3408"/>
      <c r="F156" s="3410"/>
      <c r="G156" s="3410"/>
      <c r="H156" s="3411">
        <f t="shared" si="2"/>
        <v>0</v>
      </c>
      <c r="I156" s="3396"/>
      <c r="J156" s="3396"/>
      <c r="K156" s="3396"/>
      <c r="L156" s="3396"/>
      <c r="M156" s="3396"/>
      <c r="N156" s="3396"/>
      <c r="O156" s="3396"/>
      <c r="P156" s="3396"/>
      <c r="Q156" s="3396"/>
      <c r="R156" s="3396"/>
      <c r="S156" s="3396"/>
      <c r="T156" s="3396"/>
      <c r="U156" s="3396"/>
      <c r="V156" s="3396"/>
      <c r="W156" s="3396"/>
      <c r="X156" s="3396"/>
      <c r="Y156" s="3396"/>
      <c r="Z156" s="3396"/>
      <c r="AA156" s="3396"/>
      <c r="AB156" s="3396"/>
      <c r="AC156" s="3396"/>
      <c r="AD156" s="3396"/>
      <c r="AE156" s="3396"/>
      <c r="AF156" s="3396"/>
      <c r="AG156" s="3396"/>
      <c r="AH156" s="3396"/>
      <c r="AI156" s="3396"/>
      <c r="AJ156" s="3396"/>
      <c r="AK156" s="3396"/>
      <c r="AL156" s="3396"/>
      <c r="AM156" s="3396"/>
      <c r="AN156" s="3396"/>
      <c r="AO156" s="3396"/>
      <c r="AP156" s="3396"/>
      <c r="AQ156" s="3396"/>
      <c r="AR156" s="3396"/>
      <c r="AS156" s="3396"/>
      <c r="AT156" s="3396"/>
      <c r="AU156" s="3396"/>
      <c r="AV156" s="3396"/>
      <c r="AW156" s="3396"/>
      <c r="AX156" s="3396"/>
      <c r="AY156" s="3396"/>
      <c r="AZ156" s="3396"/>
      <c r="BA156" s="3396"/>
      <c r="BB156" s="3396"/>
      <c r="BC156" s="3396"/>
      <c r="BD156" s="3396"/>
      <c r="BE156" s="3396"/>
      <c r="BF156" s="3396"/>
      <c r="BG156" s="3396"/>
      <c r="BH156" s="3396"/>
      <c r="BI156" s="3396"/>
      <c r="BJ156" s="3396"/>
      <c r="BK156" s="3396"/>
      <c r="BL156" s="3396"/>
      <c r="BM156" s="3396"/>
      <c r="BN156" s="3396"/>
    </row>
    <row r="157" s="687" customFormat="1" ht="13.5" hidden="1" customHeight="1" spans="1:66">
      <c r="A157" s="3407" t="s">
        <v>6431</v>
      </c>
      <c r="B157" s="3408"/>
      <c r="C157" s="3409"/>
      <c r="D157" s="3409"/>
      <c r="E157" s="3408"/>
      <c r="F157" s="3410"/>
      <c r="G157" s="3410"/>
      <c r="H157" s="3411">
        <f t="shared" si="2"/>
        <v>0</v>
      </c>
      <c r="I157" s="3396"/>
      <c r="J157" s="3396"/>
      <c r="K157" s="3396"/>
      <c r="L157" s="3396"/>
      <c r="M157" s="3396"/>
      <c r="N157" s="3396"/>
      <c r="O157" s="3396"/>
      <c r="P157" s="3396"/>
      <c r="Q157" s="3396"/>
      <c r="R157" s="3396"/>
      <c r="S157" s="3396"/>
      <c r="T157" s="3396"/>
      <c r="U157" s="3396"/>
      <c r="V157" s="3396"/>
      <c r="W157" s="3396"/>
      <c r="X157" s="3396"/>
      <c r="Y157" s="3396"/>
      <c r="Z157" s="3396"/>
      <c r="AA157" s="3396"/>
      <c r="AB157" s="3396"/>
      <c r="AC157" s="3396"/>
      <c r="AD157" s="3396"/>
      <c r="AE157" s="3396"/>
      <c r="AF157" s="3396"/>
      <c r="AG157" s="3396"/>
      <c r="AH157" s="3396"/>
      <c r="AI157" s="3396"/>
      <c r="AJ157" s="3396"/>
      <c r="AK157" s="3396"/>
      <c r="AL157" s="3396"/>
      <c r="AM157" s="3396"/>
      <c r="AN157" s="3396"/>
      <c r="AO157" s="3396"/>
      <c r="AP157" s="3396"/>
      <c r="AQ157" s="3396"/>
      <c r="AR157" s="3396"/>
      <c r="AS157" s="3396"/>
      <c r="AT157" s="3396"/>
      <c r="AU157" s="3396"/>
      <c r="AV157" s="3396"/>
      <c r="AW157" s="3396"/>
      <c r="AX157" s="3396"/>
      <c r="AY157" s="3396"/>
      <c r="AZ157" s="3396"/>
      <c r="BA157" s="3396"/>
      <c r="BB157" s="3396"/>
      <c r="BC157" s="3396"/>
      <c r="BD157" s="3396"/>
      <c r="BE157" s="3396"/>
      <c r="BF157" s="3396"/>
      <c r="BG157" s="3396"/>
      <c r="BH157" s="3396"/>
      <c r="BI157" s="3396"/>
      <c r="BJ157" s="3396"/>
      <c r="BK157" s="3396"/>
      <c r="BL157" s="3396"/>
      <c r="BM157" s="3396"/>
      <c r="BN157" s="3396"/>
    </row>
    <row r="158" s="687" customFormat="1" ht="13.5" hidden="1" customHeight="1" spans="1:66">
      <c r="A158" s="3407" t="s">
        <v>6432</v>
      </c>
      <c r="B158" s="3408"/>
      <c r="C158" s="3409"/>
      <c r="D158" s="3409"/>
      <c r="E158" s="3408"/>
      <c r="F158" s="3410"/>
      <c r="G158" s="3410"/>
      <c r="H158" s="3411">
        <f t="shared" si="2"/>
        <v>0</v>
      </c>
      <c r="I158" s="3396"/>
      <c r="J158" s="3396"/>
      <c r="K158" s="3396"/>
      <c r="L158" s="3396"/>
      <c r="M158" s="3396"/>
      <c r="N158" s="3396"/>
      <c r="O158" s="3396"/>
      <c r="P158" s="3396"/>
      <c r="Q158" s="3396"/>
      <c r="R158" s="3396"/>
      <c r="S158" s="3396"/>
      <c r="T158" s="3396"/>
      <c r="U158" s="3396"/>
      <c r="V158" s="3396"/>
      <c r="W158" s="3396"/>
      <c r="X158" s="3396"/>
      <c r="Y158" s="3396"/>
      <c r="Z158" s="3396"/>
      <c r="AA158" s="3396"/>
      <c r="AB158" s="3396"/>
      <c r="AC158" s="3396"/>
      <c r="AD158" s="3396"/>
      <c r="AE158" s="3396"/>
      <c r="AF158" s="3396"/>
      <c r="AG158" s="3396"/>
      <c r="AH158" s="3396"/>
      <c r="AI158" s="3396"/>
      <c r="AJ158" s="3396"/>
      <c r="AK158" s="3396"/>
      <c r="AL158" s="3396"/>
      <c r="AM158" s="3396"/>
      <c r="AN158" s="3396"/>
      <c r="AO158" s="3396"/>
      <c r="AP158" s="3396"/>
      <c r="AQ158" s="3396"/>
      <c r="AR158" s="3396"/>
      <c r="AS158" s="3396"/>
      <c r="AT158" s="3396"/>
      <c r="AU158" s="3396"/>
      <c r="AV158" s="3396"/>
      <c r="AW158" s="3396"/>
      <c r="AX158" s="3396"/>
      <c r="AY158" s="3396"/>
      <c r="AZ158" s="3396"/>
      <c r="BA158" s="3396"/>
      <c r="BB158" s="3396"/>
      <c r="BC158" s="3396"/>
      <c r="BD158" s="3396"/>
      <c r="BE158" s="3396"/>
      <c r="BF158" s="3396"/>
      <c r="BG158" s="3396"/>
      <c r="BH158" s="3396"/>
      <c r="BI158" s="3396"/>
      <c r="BJ158" s="3396"/>
      <c r="BK158" s="3396"/>
      <c r="BL158" s="3396"/>
      <c r="BM158" s="3396"/>
      <c r="BN158" s="3396"/>
    </row>
    <row r="159" s="687" customFormat="1" ht="13.5" hidden="1" customHeight="1" spans="1:66">
      <c r="A159" s="3407" t="s">
        <v>6433</v>
      </c>
      <c r="B159" s="3408"/>
      <c r="C159" s="3409"/>
      <c r="D159" s="3409"/>
      <c r="E159" s="3408"/>
      <c r="F159" s="3410"/>
      <c r="G159" s="3410"/>
      <c r="H159" s="3411">
        <f t="shared" si="2"/>
        <v>0</v>
      </c>
      <c r="I159" s="3396"/>
      <c r="J159" s="3396"/>
      <c r="K159" s="3396"/>
      <c r="L159" s="3396"/>
      <c r="M159" s="3396"/>
      <c r="N159" s="3396"/>
      <c r="O159" s="3396"/>
      <c r="P159" s="3396"/>
      <c r="Q159" s="3396"/>
      <c r="R159" s="3396"/>
      <c r="S159" s="3396"/>
      <c r="T159" s="3396"/>
      <c r="U159" s="3396"/>
      <c r="V159" s="3396"/>
      <c r="W159" s="3396"/>
      <c r="X159" s="3396"/>
      <c r="Y159" s="3396"/>
      <c r="Z159" s="3396"/>
      <c r="AA159" s="3396"/>
      <c r="AB159" s="3396"/>
      <c r="AC159" s="3396"/>
      <c r="AD159" s="3396"/>
      <c r="AE159" s="3396"/>
      <c r="AF159" s="3396"/>
      <c r="AG159" s="3396"/>
      <c r="AH159" s="3396"/>
      <c r="AI159" s="3396"/>
      <c r="AJ159" s="3396"/>
      <c r="AK159" s="3396"/>
      <c r="AL159" s="3396"/>
      <c r="AM159" s="3396"/>
      <c r="AN159" s="3396"/>
      <c r="AO159" s="3396"/>
      <c r="AP159" s="3396"/>
      <c r="AQ159" s="3396"/>
      <c r="AR159" s="3396"/>
      <c r="AS159" s="3396"/>
      <c r="AT159" s="3396"/>
      <c r="AU159" s="3396"/>
      <c r="AV159" s="3396"/>
      <c r="AW159" s="3396"/>
      <c r="AX159" s="3396"/>
      <c r="AY159" s="3396"/>
      <c r="AZ159" s="3396"/>
      <c r="BA159" s="3396"/>
      <c r="BB159" s="3396"/>
      <c r="BC159" s="3396"/>
      <c r="BD159" s="3396"/>
      <c r="BE159" s="3396"/>
      <c r="BF159" s="3396"/>
      <c r="BG159" s="3396"/>
      <c r="BH159" s="3396"/>
      <c r="BI159" s="3396"/>
      <c r="BJ159" s="3396"/>
      <c r="BK159" s="3396"/>
      <c r="BL159" s="3396"/>
      <c r="BM159" s="3396"/>
      <c r="BN159" s="3396"/>
    </row>
    <row r="160" s="687" customFormat="1" ht="13.5" hidden="1" customHeight="1" spans="1:66">
      <c r="A160" s="3407" t="s">
        <v>6434</v>
      </c>
      <c r="B160" s="3408"/>
      <c r="C160" s="3409"/>
      <c r="D160" s="3409"/>
      <c r="E160" s="3408"/>
      <c r="F160" s="3410"/>
      <c r="G160" s="3410"/>
      <c r="H160" s="3411">
        <f t="shared" si="2"/>
        <v>0</v>
      </c>
      <c r="I160" s="3396"/>
      <c r="J160" s="3396"/>
      <c r="K160" s="3396"/>
      <c r="L160" s="3396"/>
      <c r="M160" s="3396"/>
      <c r="N160" s="3396"/>
      <c r="O160" s="3396"/>
      <c r="P160" s="3396"/>
      <c r="Q160" s="3396"/>
      <c r="R160" s="3396"/>
      <c r="S160" s="3396"/>
      <c r="T160" s="3396"/>
      <c r="U160" s="3396"/>
      <c r="V160" s="3396"/>
      <c r="W160" s="3396"/>
      <c r="X160" s="3396"/>
      <c r="Y160" s="3396"/>
      <c r="Z160" s="3396"/>
      <c r="AA160" s="3396"/>
      <c r="AB160" s="3396"/>
      <c r="AC160" s="3396"/>
      <c r="AD160" s="3396"/>
      <c r="AE160" s="3396"/>
      <c r="AF160" s="3396"/>
      <c r="AG160" s="3396"/>
      <c r="AH160" s="3396"/>
      <c r="AI160" s="3396"/>
      <c r="AJ160" s="3396"/>
      <c r="AK160" s="3396"/>
      <c r="AL160" s="3396"/>
      <c r="AM160" s="3396"/>
      <c r="AN160" s="3396"/>
      <c r="AO160" s="3396"/>
      <c r="AP160" s="3396"/>
      <c r="AQ160" s="3396"/>
      <c r="AR160" s="3396"/>
      <c r="AS160" s="3396"/>
      <c r="AT160" s="3396"/>
      <c r="AU160" s="3396"/>
      <c r="AV160" s="3396"/>
      <c r="AW160" s="3396"/>
      <c r="AX160" s="3396"/>
      <c r="AY160" s="3396"/>
      <c r="AZ160" s="3396"/>
      <c r="BA160" s="3396"/>
      <c r="BB160" s="3396"/>
      <c r="BC160" s="3396"/>
      <c r="BD160" s="3396"/>
      <c r="BE160" s="3396"/>
      <c r="BF160" s="3396"/>
      <c r="BG160" s="3396"/>
      <c r="BH160" s="3396"/>
      <c r="BI160" s="3396"/>
      <c r="BJ160" s="3396"/>
      <c r="BK160" s="3396"/>
      <c r="BL160" s="3396"/>
      <c r="BM160" s="3396"/>
      <c r="BN160" s="3396"/>
    </row>
    <row r="161" s="687" customFormat="1" ht="13.5" hidden="1" customHeight="1" spans="1:66">
      <c r="A161" s="3407" t="s">
        <v>6435</v>
      </c>
      <c r="B161" s="3408"/>
      <c r="C161" s="3409"/>
      <c r="D161" s="3409"/>
      <c r="E161" s="3408"/>
      <c r="F161" s="3410"/>
      <c r="G161" s="3410"/>
      <c r="H161" s="3411">
        <f t="shared" si="2"/>
        <v>0</v>
      </c>
      <c r="I161" s="3396"/>
      <c r="J161" s="3396"/>
      <c r="K161" s="3396"/>
      <c r="L161" s="3396"/>
      <c r="M161" s="3396"/>
      <c r="N161" s="3396"/>
      <c r="O161" s="3396"/>
      <c r="P161" s="3396"/>
      <c r="Q161" s="3396"/>
      <c r="R161" s="3396"/>
      <c r="S161" s="3396"/>
      <c r="T161" s="3396"/>
      <c r="U161" s="3396"/>
      <c r="V161" s="3396"/>
      <c r="W161" s="3396"/>
      <c r="X161" s="3396"/>
      <c r="Y161" s="3396"/>
      <c r="Z161" s="3396"/>
      <c r="AA161" s="3396"/>
      <c r="AB161" s="3396"/>
      <c r="AC161" s="3396"/>
      <c r="AD161" s="3396"/>
      <c r="AE161" s="3396"/>
      <c r="AF161" s="3396"/>
      <c r="AG161" s="3396"/>
      <c r="AH161" s="3396"/>
      <c r="AI161" s="3396"/>
      <c r="AJ161" s="3396"/>
      <c r="AK161" s="3396"/>
      <c r="AL161" s="3396"/>
      <c r="AM161" s="3396"/>
      <c r="AN161" s="3396"/>
      <c r="AO161" s="3396"/>
      <c r="AP161" s="3396"/>
      <c r="AQ161" s="3396"/>
      <c r="AR161" s="3396"/>
      <c r="AS161" s="3396"/>
      <c r="AT161" s="3396"/>
      <c r="AU161" s="3396"/>
      <c r="AV161" s="3396"/>
      <c r="AW161" s="3396"/>
      <c r="AX161" s="3396"/>
      <c r="AY161" s="3396"/>
      <c r="AZ161" s="3396"/>
      <c r="BA161" s="3396"/>
      <c r="BB161" s="3396"/>
      <c r="BC161" s="3396"/>
      <c r="BD161" s="3396"/>
      <c r="BE161" s="3396"/>
      <c r="BF161" s="3396"/>
      <c r="BG161" s="3396"/>
      <c r="BH161" s="3396"/>
      <c r="BI161" s="3396"/>
      <c r="BJ161" s="3396"/>
      <c r="BK161" s="3396"/>
      <c r="BL161" s="3396"/>
      <c r="BM161" s="3396"/>
      <c r="BN161" s="3396"/>
    </row>
    <row r="162" s="687" customFormat="1" ht="13.5" hidden="1" customHeight="1" spans="1:66">
      <c r="A162" s="3407" t="s">
        <v>6436</v>
      </c>
      <c r="B162" s="3408"/>
      <c r="C162" s="3409"/>
      <c r="D162" s="3409"/>
      <c r="E162" s="3408"/>
      <c r="F162" s="3410"/>
      <c r="G162" s="3410"/>
      <c r="H162" s="3411">
        <f t="shared" si="2"/>
        <v>0</v>
      </c>
      <c r="I162" s="3396"/>
      <c r="J162" s="3396"/>
      <c r="K162" s="3396"/>
      <c r="L162" s="3396"/>
      <c r="M162" s="3396"/>
      <c r="N162" s="3396"/>
      <c r="O162" s="3396"/>
      <c r="P162" s="3396"/>
      <c r="Q162" s="3396"/>
      <c r="R162" s="3396"/>
      <c r="S162" s="3396"/>
      <c r="T162" s="3396"/>
      <c r="U162" s="3396"/>
      <c r="V162" s="3396"/>
      <c r="W162" s="3396"/>
      <c r="X162" s="3396"/>
      <c r="Y162" s="3396"/>
      <c r="Z162" s="3396"/>
      <c r="AA162" s="3396"/>
      <c r="AB162" s="3396"/>
      <c r="AC162" s="3396"/>
      <c r="AD162" s="3396"/>
      <c r="AE162" s="3396"/>
      <c r="AF162" s="3396"/>
      <c r="AG162" s="3396"/>
      <c r="AH162" s="3396"/>
      <c r="AI162" s="3396"/>
      <c r="AJ162" s="3396"/>
      <c r="AK162" s="3396"/>
      <c r="AL162" s="3396"/>
      <c r="AM162" s="3396"/>
      <c r="AN162" s="3396"/>
      <c r="AO162" s="3396"/>
      <c r="AP162" s="3396"/>
      <c r="AQ162" s="3396"/>
      <c r="AR162" s="3396"/>
      <c r="AS162" s="3396"/>
      <c r="AT162" s="3396"/>
      <c r="AU162" s="3396"/>
      <c r="AV162" s="3396"/>
      <c r="AW162" s="3396"/>
      <c r="AX162" s="3396"/>
      <c r="AY162" s="3396"/>
      <c r="AZ162" s="3396"/>
      <c r="BA162" s="3396"/>
      <c r="BB162" s="3396"/>
      <c r="BC162" s="3396"/>
      <c r="BD162" s="3396"/>
      <c r="BE162" s="3396"/>
      <c r="BF162" s="3396"/>
      <c r="BG162" s="3396"/>
      <c r="BH162" s="3396"/>
      <c r="BI162" s="3396"/>
      <c r="BJ162" s="3396"/>
      <c r="BK162" s="3396"/>
      <c r="BL162" s="3396"/>
      <c r="BM162" s="3396"/>
      <c r="BN162" s="3396"/>
    </row>
    <row r="163" s="687" customFormat="1" ht="13.5" hidden="1" customHeight="1" spans="1:66">
      <c r="A163" s="3407" t="s">
        <v>6437</v>
      </c>
      <c r="B163" s="3408"/>
      <c r="C163" s="3409"/>
      <c r="D163" s="3409"/>
      <c r="E163" s="3408"/>
      <c r="F163" s="3410"/>
      <c r="G163" s="3410"/>
      <c r="H163" s="3411">
        <f t="shared" si="2"/>
        <v>0</v>
      </c>
      <c r="I163" s="3396"/>
      <c r="J163" s="3396"/>
      <c r="K163" s="3396"/>
      <c r="L163" s="3396"/>
      <c r="M163" s="3396"/>
      <c r="N163" s="3396"/>
      <c r="O163" s="3396"/>
      <c r="P163" s="3396"/>
      <c r="Q163" s="3396"/>
      <c r="R163" s="3396"/>
      <c r="S163" s="3396"/>
      <c r="T163" s="3396"/>
      <c r="U163" s="3396"/>
      <c r="V163" s="3396"/>
      <c r="W163" s="3396"/>
      <c r="X163" s="3396"/>
      <c r="Y163" s="3396"/>
      <c r="Z163" s="3396"/>
      <c r="AA163" s="3396"/>
      <c r="AB163" s="3396"/>
      <c r="AC163" s="3396"/>
      <c r="AD163" s="3396"/>
      <c r="AE163" s="3396"/>
      <c r="AF163" s="3396"/>
      <c r="AG163" s="3396"/>
      <c r="AH163" s="3396"/>
      <c r="AI163" s="3396"/>
      <c r="AJ163" s="3396"/>
      <c r="AK163" s="3396"/>
      <c r="AL163" s="3396"/>
      <c r="AM163" s="3396"/>
      <c r="AN163" s="3396"/>
      <c r="AO163" s="3396"/>
      <c r="AP163" s="3396"/>
      <c r="AQ163" s="3396"/>
      <c r="AR163" s="3396"/>
      <c r="AS163" s="3396"/>
      <c r="AT163" s="3396"/>
      <c r="AU163" s="3396"/>
      <c r="AV163" s="3396"/>
      <c r="AW163" s="3396"/>
      <c r="AX163" s="3396"/>
      <c r="AY163" s="3396"/>
      <c r="AZ163" s="3396"/>
      <c r="BA163" s="3396"/>
      <c r="BB163" s="3396"/>
      <c r="BC163" s="3396"/>
      <c r="BD163" s="3396"/>
      <c r="BE163" s="3396"/>
      <c r="BF163" s="3396"/>
      <c r="BG163" s="3396"/>
      <c r="BH163" s="3396"/>
      <c r="BI163" s="3396"/>
      <c r="BJ163" s="3396"/>
      <c r="BK163" s="3396"/>
      <c r="BL163" s="3396"/>
      <c r="BM163" s="3396"/>
      <c r="BN163" s="3396"/>
    </row>
    <row r="164" s="687" customFormat="1" ht="13.5" hidden="1" customHeight="1" spans="1:66">
      <c r="A164" s="3407" t="s">
        <v>6438</v>
      </c>
      <c r="B164" s="3408"/>
      <c r="C164" s="3409"/>
      <c r="D164" s="3409"/>
      <c r="E164" s="3408"/>
      <c r="F164" s="3410"/>
      <c r="G164" s="3410"/>
      <c r="H164" s="3411">
        <f t="shared" si="2"/>
        <v>0</v>
      </c>
      <c r="I164" s="3396"/>
      <c r="J164" s="3396"/>
      <c r="K164" s="3396"/>
      <c r="L164" s="3396"/>
      <c r="M164" s="3396"/>
      <c r="N164" s="3396"/>
      <c r="O164" s="3396"/>
      <c r="P164" s="3396"/>
      <c r="Q164" s="3396"/>
      <c r="R164" s="3396"/>
      <c r="S164" s="3396"/>
      <c r="T164" s="3396"/>
      <c r="U164" s="3396"/>
      <c r="V164" s="3396"/>
      <c r="W164" s="3396"/>
      <c r="X164" s="3396"/>
      <c r="Y164" s="3396"/>
      <c r="Z164" s="3396"/>
      <c r="AA164" s="3396"/>
      <c r="AB164" s="3396"/>
      <c r="AC164" s="3396"/>
      <c r="AD164" s="3396"/>
      <c r="AE164" s="3396"/>
      <c r="AF164" s="3396"/>
      <c r="AG164" s="3396"/>
      <c r="AH164" s="3396"/>
      <c r="AI164" s="3396"/>
      <c r="AJ164" s="3396"/>
      <c r="AK164" s="3396"/>
      <c r="AL164" s="3396"/>
      <c r="AM164" s="3396"/>
      <c r="AN164" s="3396"/>
      <c r="AO164" s="3396"/>
      <c r="AP164" s="3396"/>
      <c r="AQ164" s="3396"/>
      <c r="AR164" s="3396"/>
      <c r="AS164" s="3396"/>
      <c r="AT164" s="3396"/>
      <c r="AU164" s="3396"/>
      <c r="AV164" s="3396"/>
      <c r="AW164" s="3396"/>
      <c r="AX164" s="3396"/>
      <c r="AY164" s="3396"/>
      <c r="AZ164" s="3396"/>
      <c r="BA164" s="3396"/>
      <c r="BB164" s="3396"/>
      <c r="BC164" s="3396"/>
      <c r="BD164" s="3396"/>
      <c r="BE164" s="3396"/>
      <c r="BF164" s="3396"/>
      <c r="BG164" s="3396"/>
      <c r="BH164" s="3396"/>
      <c r="BI164" s="3396"/>
      <c r="BJ164" s="3396"/>
      <c r="BK164" s="3396"/>
      <c r="BL164" s="3396"/>
      <c r="BM164" s="3396"/>
      <c r="BN164" s="3396"/>
    </row>
    <row r="165" s="687" customFormat="1" ht="13.5" hidden="1" customHeight="1" spans="1:66">
      <c r="A165" s="3407" t="s">
        <v>6439</v>
      </c>
      <c r="B165" s="3408"/>
      <c r="C165" s="3409"/>
      <c r="D165" s="3409"/>
      <c r="E165" s="3408"/>
      <c r="F165" s="3410"/>
      <c r="G165" s="3410"/>
      <c r="H165" s="3411">
        <f t="shared" si="2"/>
        <v>0</v>
      </c>
      <c r="I165" s="3396"/>
      <c r="J165" s="3396"/>
      <c r="K165" s="3396"/>
      <c r="L165" s="3396"/>
      <c r="M165" s="3396"/>
      <c r="N165" s="3396"/>
      <c r="O165" s="3396"/>
      <c r="P165" s="3396"/>
      <c r="Q165" s="3396"/>
      <c r="R165" s="3396"/>
      <c r="S165" s="3396"/>
      <c r="T165" s="3396"/>
      <c r="U165" s="3396"/>
      <c r="V165" s="3396"/>
      <c r="W165" s="3396"/>
      <c r="X165" s="3396"/>
      <c r="Y165" s="3396"/>
      <c r="Z165" s="3396"/>
      <c r="AA165" s="3396"/>
      <c r="AB165" s="3396"/>
      <c r="AC165" s="3396"/>
      <c r="AD165" s="3396"/>
      <c r="AE165" s="3396"/>
      <c r="AF165" s="3396"/>
      <c r="AG165" s="3396"/>
      <c r="AH165" s="3396"/>
      <c r="AI165" s="3396"/>
      <c r="AJ165" s="3396"/>
      <c r="AK165" s="3396"/>
      <c r="AL165" s="3396"/>
      <c r="AM165" s="3396"/>
      <c r="AN165" s="3396"/>
      <c r="AO165" s="3396"/>
      <c r="AP165" s="3396"/>
      <c r="AQ165" s="3396"/>
      <c r="AR165" s="3396"/>
      <c r="AS165" s="3396"/>
      <c r="AT165" s="3396"/>
      <c r="AU165" s="3396"/>
      <c r="AV165" s="3396"/>
      <c r="AW165" s="3396"/>
      <c r="AX165" s="3396"/>
      <c r="AY165" s="3396"/>
      <c r="AZ165" s="3396"/>
      <c r="BA165" s="3396"/>
      <c r="BB165" s="3396"/>
      <c r="BC165" s="3396"/>
      <c r="BD165" s="3396"/>
      <c r="BE165" s="3396"/>
      <c r="BF165" s="3396"/>
      <c r="BG165" s="3396"/>
      <c r="BH165" s="3396"/>
      <c r="BI165" s="3396"/>
      <c r="BJ165" s="3396"/>
      <c r="BK165" s="3396"/>
      <c r="BL165" s="3396"/>
      <c r="BM165" s="3396"/>
      <c r="BN165" s="3396"/>
    </row>
    <row r="166" s="687" customFormat="1" ht="13.5" hidden="1" customHeight="1" spans="1:66">
      <c r="A166" s="3407" t="s">
        <v>6440</v>
      </c>
      <c r="B166" s="3408"/>
      <c r="C166" s="3409"/>
      <c r="D166" s="3409"/>
      <c r="E166" s="3408"/>
      <c r="F166" s="3410"/>
      <c r="G166" s="3410"/>
      <c r="H166" s="3411">
        <f t="shared" si="2"/>
        <v>0</v>
      </c>
      <c r="I166" s="3396"/>
      <c r="J166" s="3396"/>
      <c r="K166" s="3396"/>
      <c r="L166" s="3396"/>
      <c r="M166" s="3396"/>
      <c r="N166" s="3396"/>
      <c r="O166" s="3396"/>
      <c r="P166" s="3396"/>
      <c r="Q166" s="3396"/>
      <c r="R166" s="3396"/>
      <c r="S166" s="3396"/>
      <c r="T166" s="3396"/>
      <c r="U166" s="3396"/>
      <c r="V166" s="3396"/>
      <c r="W166" s="3396"/>
      <c r="X166" s="3396"/>
      <c r="Y166" s="3396"/>
      <c r="Z166" s="3396"/>
      <c r="AA166" s="3396"/>
      <c r="AB166" s="3396"/>
      <c r="AC166" s="3396"/>
      <c r="AD166" s="3396"/>
      <c r="AE166" s="3396"/>
      <c r="AF166" s="3396"/>
      <c r="AG166" s="3396"/>
      <c r="AH166" s="3396"/>
      <c r="AI166" s="3396"/>
      <c r="AJ166" s="3396"/>
      <c r="AK166" s="3396"/>
      <c r="AL166" s="3396"/>
      <c r="AM166" s="3396"/>
      <c r="AN166" s="3396"/>
      <c r="AO166" s="3396"/>
      <c r="AP166" s="3396"/>
      <c r="AQ166" s="3396"/>
      <c r="AR166" s="3396"/>
      <c r="AS166" s="3396"/>
      <c r="AT166" s="3396"/>
      <c r="AU166" s="3396"/>
      <c r="AV166" s="3396"/>
      <c r="AW166" s="3396"/>
      <c r="AX166" s="3396"/>
      <c r="AY166" s="3396"/>
      <c r="AZ166" s="3396"/>
      <c r="BA166" s="3396"/>
      <c r="BB166" s="3396"/>
      <c r="BC166" s="3396"/>
      <c r="BD166" s="3396"/>
      <c r="BE166" s="3396"/>
      <c r="BF166" s="3396"/>
      <c r="BG166" s="3396"/>
      <c r="BH166" s="3396"/>
      <c r="BI166" s="3396"/>
      <c r="BJ166" s="3396"/>
      <c r="BK166" s="3396"/>
      <c r="BL166" s="3396"/>
      <c r="BM166" s="3396"/>
      <c r="BN166" s="3396"/>
    </row>
    <row r="167" s="687" customFormat="1" ht="13.5" hidden="1" customHeight="1" spans="1:66">
      <c r="A167" s="3407" t="s">
        <v>6441</v>
      </c>
      <c r="B167" s="3408"/>
      <c r="C167" s="3409"/>
      <c r="D167" s="3409"/>
      <c r="E167" s="3408"/>
      <c r="F167" s="3410"/>
      <c r="G167" s="3410"/>
      <c r="H167" s="3411">
        <f t="shared" si="2"/>
        <v>0</v>
      </c>
      <c r="I167" s="3396"/>
      <c r="J167" s="3396"/>
      <c r="K167" s="3396"/>
      <c r="L167" s="3396"/>
      <c r="M167" s="3396"/>
      <c r="N167" s="3396"/>
      <c r="O167" s="3396"/>
      <c r="P167" s="3396"/>
      <c r="Q167" s="3396"/>
      <c r="R167" s="3396"/>
      <c r="S167" s="3396"/>
      <c r="T167" s="3396"/>
      <c r="U167" s="3396"/>
      <c r="V167" s="3396"/>
      <c r="W167" s="3396"/>
      <c r="X167" s="3396"/>
      <c r="Y167" s="3396"/>
      <c r="Z167" s="3396"/>
      <c r="AA167" s="3396"/>
      <c r="AB167" s="3396"/>
      <c r="AC167" s="3396"/>
      <c r="AD167" s="3396"/>
      <c r="AE167" s="3396"/>
      <c r="AF167" s="3396"/>
      <c r="AG167" s="3396"/>
      <c r="AH167" s="3396"/>
      <c r="AI167" s="3396"/>
      <c r="AJ167" s="3396"/>
      <c r="AK167" s="3396"/>
      <c r="AL167" s="3396"/>
      <c r="AM167" s="3396"/>
      <c r="AN167" s="3396"/>
      <c r="AO167" s="3396"/>
      <c r="AP167" s="3396"/>
      <c r="AQ167" s="3396"/>
      <c r="AR167" s="3396"/>
      <c r="AS167" s="3396"/>
      <c r="AT167" s="3396"/>
      <c r="AU167" s="3396"/>
      <c r="AV167" s="3396"/>
      <c r="AW167" s="3396"/>
      <c r="AX167" s="3396"/>
      <c r="AY167" s="3396"/>
      <c r="AZ167" s="3396"/>
      <c r="BA167" s="3396"/>
      <c r="BB167" s="3396"/>
      <c r="BC167" s="3396"/>
      <c r="BD167" s="3396"/>
      <c r="BE167" s="3396"/>
      <c r="BF167" s="3396"/>
      <c r="BG167" s="3396"/>
      <c r="BH167" s="3396"/>
      <c r="BI167" s="3396"/>
      <c r="BJ167" s="3396"/>
      <c r="BK167" s="3396"/>
      <c r="BL167" s="3396"/>
      <c r="BM167" s="3396"/>
      <c r="BN167" s="3396"/>
    </row>
    <row r="168" s="687" customFormat="1" ht="13.5" hidden="1" customHeight="1" spans="1:66">
      <c r="A168" s="3407" t="s">
        <v>6442</v>
      </c>
      <c r="B168" s="3408"/>
      <c r="C168" s="3409"/>
      <c r="D168" s="3409"/>
      <c r="E168" s="3408"/>
      <c r="F168" s="3410"/>
      <c r="G168" s="3410"/>
      <c r="H168" s="3411">
        <f t="shared" si="2"/>
        <v>0</v>
      </c>
      <c r="I168" s="3396"/>
      <c r="J168" s="3396"/>
      <c r="K168" s="3396"/>
      <c r="L168" s="3396"/>
      <c r="M168" s="3396"/>
      <c r="N168" s="3396"/>
      <c r="O168" s="3396"/>
      <c r="P168" s="3396"/>
      <c r="Q168" s="3396"/>
      <c r="R168" s="3396"/>
      <c r="S168" s="3396"/>
      <c r="T168" s="3396"/>
      <c r="U168" s="3396"/>
      <c r="V168" s="3396"/>
      <c r="W168" s="3396"/>
      <c r="X168" s="3396"/>
      <c r="Y168" s="3396"/>
      <c r="Z168" s="3396"/>
      <c r="AA168" s="3396"/>
      <c r="AB168" s="3396"/>
      <c r="AC168" s="3396"/>
      <c r="AD168" s="3396"/>
      <c r="AE168" s="3396"/>
      <c r="AF168" s="3396"/>
      <c r="AG168" s="3396"/>
      <c r="AH168" s="3396"/>
      <c r="AI168" s="3396"/>
      <c r="AJ168" s="3396"/>
      <c r="AK168" s="3396"/>
      <c r="AL168" s="3396"/>
      <c r="AM168" s="3396"/>
      <c r="AN168" s="3396"/>
      <c r="AO168" s="3396"/>
      <c r="AP168" s="3396"/>
      <c r="AQ168" s="3396"/>
      <c r="AR168" s="3396"/>
      <c r="AS168" s="3396"/>
      <c r="AT168" s="3396"/>
      <c r="AU168" s="3396"/>
      <c r="AV168" s="3396"/>
      <c r="AW168" s="3396"/>
      <c r="AX168" s="3396"/>
      <c r="AY168" s="3396"/>
      <c r="AZ168" s="3396"/>
      <c r="BA168" s="3396"/>
      <c r="BB168" s="3396"/>
      <c r="BC168" s="3396"/>
      <c r="BD168" s="3396"/>
      <c r="BE168" s="3396"/>
      <c r="BF168" s="3396"/>
      <c r="BG168" s="3396"/>
      <c r="BH168" s="3396"/>
      <c r="BI168" s="3396"/>
      <c r="BJ168" s="3396"/>
      <c r="BK168" s="3396"/>
      <c r="BL168" s="3396"/>
      <c r="BM168" s="3396"/>
      <c r="BN168" s="3396"/>
    </row>
    <row r="169" s="687" customFormat="1" ht="13.5" hidden="1" customHeight="1" spans="1:66">
      <c r="A169" s="3407" t="s">
        <v>6443</v>
      </c>
      <c r="B169" s="3408"/>
      <c r="C169" s="3409"/>
      <c r="D169" s="3409"/>
      <c r="E169" s="3408"/>
      <c r="F169" s="3410"/>
      <c r="G169" s="3410"/>
      <c r="H169" s="3411">
        <f t="shared" si="2"/>
        <v>0</v>
      </c>
      <c r="I169" s="3396"/>
      <c r="J169" s="3396"/>
      <c r="K169" s="3396"/>
      <c r="L169" s="3396"/>
      <c r="M169" s="3396"/>
      <c r="N169" s="3396"/>
      <c r="O169" s="3396"/>
      <c r="P169" s="3396"/>
      <c r="Q169" s="3396"/>
      <c r="R169" s="3396"/>
      <c r="S169" s="3396"/>
      <c r="T169" s="3396"/>
      <c r="U169" s="3396"/>
      <c r="V169" s="3396"/>
      <c r="W169" s="3396"/>
      <c r="X169" s="3396"/>
      <c r="Y169" s="3396"/>
      <c r="Z169" s="3396"/>
      <c r="AA169" s="3396"/>
      <c r="AB169" s="3396"/>
      <c r="AC169" s="3396"/>
      <c r="AD169" s="3396"/>
      <c r="AE169" s="3396"/>
      <c r="AF169" s="3396"/>
      <c r="AG169" s="3396"/>
      <c r="AH169" s="3396"/>
      <c r="AI169" s="3396"/>
      <c r="AJ169" s="3396"/>
      <c r="AK169" s="3396"/>
      <c r="AL169" s="3396"/>
      <c r="AM169" s="3396"/>
      <c r="AN169" s="3396"/>
      <c r="AO169" s="3396"/>
      <c r="AP169" s="3396"/>
      <c r="AQ169" s="3396"/>
      <c r="AR169" s="3396"/>
      <c r="AS169" s="3396"/>
      <c r="AT169" s="3396"/>
      <c r="AU169" s="3396"/>
      <c r="AV169" s="3396"/>
      <c r="AW169" s="3396"/>
      <c r="AX169" s="3396"/>
      <c r="AY169" s="3396"/>
      <c r="AZ169" s="3396"/>
      <c r="BA169" s="3396"/>
      <c r="BB169" s="3396"/>
      <c r="BC169" s="3396"/>
      <c r="BD169" s="3396"/>
      <c r="BE169" s="3396"/>
      <c r="BF169" s="3396"/>
      <c r="BG169" s="3396"/>
      <c r="BH169" s="3396"/>
      <c r="BI169" s="3396"/>
      <c r="BJ169" s="3396"/>
      <c r="BK169" s="3396"/>
      <c r="BL169" s="3396"/>
      <c r="BM169" s="3396"/>
      <c r="BN169" s="3396"/>
    </row>
    <row r="170" s="687" customFormat="1" ht="13.5" hidden="1" customHeight="1" spans="1:66">
      <c r="A170" s="3407" t="s">
        <v>6444</v>
      </c>
      <c r="B170" s="3408"/>
      <c r="C170" s="3409"/>
      <c r="D170" s="3409"/>
      <c r="E170" s="3408"/>
      <c r="F170" s="3410"/>
      <c r="G170" s="3410"/>
      <c r="H170" s="3411">
        <f t="shared" si="2"/>
        <v>0</v>
      </c>
      <c r="I170" s="3396"/>
      <c r="J170" s="3396"/>
      <c r="K170" s="3396"/>
      <c r="L170" s="3396"/>
      <c r="M170" s="3396"/>
      <c r="N170" s="3396"/>
      <c r="O170" s="3396"/>
      <c r="P170" s="3396"/>
      <c r="Q170" s="3396"/>
      <c r="R170" s="3396"/>
      <c r="S170" s="3396"/>
      <c r="T170" s="3396"/>
      <c r="U170" s="3396"/>
      <c r="V170" s="3396"/>
      <c r="W170" s="3396"/>
      <c r="X170" s="3396"/>
      <c r="Y170" s="3396"/>
      <c r="Z170" s="3396"/>
      <c r="AA170" s="3396"/>
      <c r="AB170" s="3396"/>
      <c r="AC170" s="3396"/>
      <c r="AD170" s="3396"/>
      <c r="AE170" s="3396"/>
      <c r="AF170" s="3396"/>
      <c r="AG170" s="3396"/>
      <c r="AH170" s="3396"/>
      <c r="AI170" s="3396"/>
      <c r="AJ170" s="3396"/>
      <c r="AK170" s="3396"/>
      <c r="AL170" s="3396"/>
      <c r="AM170" s="3396"/>
      <c r="AN170" s="3396"/>
      <c r="AO170" s="3396"/>
      <c r="AP170" s="3396"/>
      <c r="AQ170" s="3396"/>
      <c r="AR170" s="3396"/>
      <c r="AS170" s="3396"/>
      <c r="AT170" s="3396"/>
      <c r="AU170" s="3396"/>
      <c r="AV170" s="3396"/>
      <c r="AW170" s="3396"/>
      <c r="AX170" s="3396"/>
      <c r="AY170" s="3396"/>
      <c r="AZ170" s="3396"/>
      <c r="BA170" s="3396"/>
      <c r="BB170" s="3396"/>
      <c r="BC170" s="3396"/>
      <c r="BD170" s="3396"/>
      <c r="BE170" s="3396"/>
      <c r="BF170" s="3396"/>
      <c r="BG170" s="3396"/>
      <c r="BH170" s="3396"/>
      <c r="BI170" s="3396"/>
      <c r="BJ170" s="3396"/>
      <c r="BK170" s="3396"/>
      <c r="BL170" s="3396"/>
      <c r="BM170" s="3396"/>
      <c r="BN170" s="3396"/>
    </row>
    <row r="171" s="687" customFormat="1" ht="13.5" hidden="1" customHeight="1" spans="1:66">
      <c r="A171" s="3407" t="s">
        <v>6445</v>
      </c>
      <c r="B171" s="3408"/>
      <c r="C171" s="3409"/>
      <c r="D171" s="3409"/>
      <c r="E171" s="3408"/>
      <c r="F171" s="3410"/>
      <c r="G171" s="3410"/>
      <c r="H171" s="3411">
        <f t="shared" si="2"/>
        <v>0</v>
      </c>
      <c r="I171" s="3396"/>
      <c r="J171" s="3396"/>
      <c r="K171" s="3396"/>
      <c r="L171" s="3396"/>
      <c r="M171" s="3396"/>
      <c r="N171" s="3396"/>
      <c r="O171" s="3396"/>
      <c r="P171" s="3396"/>
      <c r="Q171" s="3396"/>
      <c r="R171" s="3396"/>
      <c r="S171" s="3396"/>
      <c r="T171" s="3396"/>
      <c r="U171" s="3396"/>
      <c r="V171" s="3396"/>
      <c r="W171" s="3396"/>
      <c r="X171" s="3396"/>
      <c r="Y171" s="3396"/>
      <c r="Z171" s="3396"/>
      <c r="AA171" s="3396"/>
      <c r="AB171" s="3396"/>
      <c r="AC171" s="3396"/>
      <c r="AD171" s="3396"/>
      <c r="AE171" s="3396"/>
      <c r="AF171" s="3396"/>
      <c r="AG171" s="3396"/>
      <c r="AH171" s="3396"/>
      <c r="AI171" s="3396"/>
      <c r="AJ171" s="3396"/>
      <c r="AK171" s="3396"/>
      <c r="AL171" s="3396"/>
      <c r="AM171" s="3396"/>
      <c r="AN171" s="3396"/>
      <c r="AO171" s="3396"/>
      <c r="AP171" s="3396"/>
      <c r="AQ171" s="3396"/>
      <c r="AR171" s="3396"/>
      <c r="AS171" s="3396"/>
      <c r="AT171" s="3396"/>
      <c r="AU171" s="3396"/>
      <c r="AV171" s="3396"/>
      <c r="AW171" s="3396"/>
      <c r="AX171" s="3396"/>
      <c r="AY171" s="3396"/>
      <c r="AZ171" s="3396"/>
      <c r="BA171" s="3396"/>
      <c r="BB171" s="3396"/>
      <c r="BC171" s="3396"/>
      <c r="BD171" s="3396"/>
      <c r="BE171" s="3396"/>
      <c r="BF171" s="3396"/>
      <c r="BG171" s="3396"/>
      <c r="BH171" s="3396"/>
      <c r="BI171" s="3396"/>
      <c r="BJ171" s="3396"/>
      <c r="BK171" s="3396"/>
      <c r="BL171" s="3396"/>
      <c r="BM171" s="3396"/>
      <c r="BN171" s="3396"/>
    </row>
    <row r="172" s="687" customFormat="1" ht="13.5" hidden="1" customHeight="1" spans="1:66">
      <c r="A172" s="3407" t="s">
        <v>6446</v>
      </c>
      <c r="B172" s="3408"/>
      <c r="C172" s="3409"/>
      <c r="D172" s="3409"/>
      <c r="E172" s="3408"/>
      <c r="F172" s="3410"/>
      <c r="G172" s="3410"/>
      <c r="H172" s="3411">
        <f t="shared" si="2"/>
        <v>0</v>
      </c>
      <c r="I172" s="3396"/>
      <c r="J172" s="3396"/>
      <c r="K172" s="3396"/>
      <c r="L172" s="3396"/>
      <c r="M172" s="3396"/>
      <c r="N172" s="3396"/>
      <c r="O172" s="3396"/>
      <c r="P172" s="3396"/>
      <c r="Q172" s="3396"/>
      <c r="R172" s="3396"/>
      <c r="S172" s="3396"/>
      <c r="T172" s="3396"/>
      <c r="U172" s="3396"/>
      <c r="V172" s="3396"/>
      <c r="W172" s="3396"/>
      <c r="X172" s="3396"/>
      <c r="Y172" s="3396"/>
      <c r="Z172" s="3396"/>
      <c r="AA172" s="3396"/>
      <c r="AB172" s="3396"/>
      <c r="AC172" s="3396"/>
      <c r="AD172" s="3396"/>
      <c r="AE172" s="3396"/>
      <c r="AF172" s="3396"/>
      <c r="AG172" s="3396"/>
      <c r="AH172" s="3396"/>
      <c r="AI172" s="3396"/>
      <c r="AJ172" s="3396"/>
      <c r="AK172" s="3396"/>
      <c r="AL172" s="3396"/>
      <c r="AM172" s="3396"/>
      <c r="AN172" s="3396"/>
      <c r="AO172" s="3396"/>
      <c r="AP172" s="3396"/>
      <c r="AQ172" s="3396"/>
      <c r="AR172" s="3396"/>
      <c r="AS172" s="3396"/>
      <c r="AT172" s="3396"/>
      <c r="AU172" s="3396"/>
      <c r="AV172" s="3396"/>
      <c r="AW172" s="3396"/>
      <c r="AX172" s="3396"/>
      <c r="AY172" s="3396"/>
      <c r="AZ172" s="3396"/>
      <c r="BA172" s="3396"/>
      <c r="BB172" s="3396"/>
      <c r="BC172" s="3396"/>
      <c r="BD172" s="3396"/>
      <c r="BE172" s="3396"/>
      <c r="BF172" s="3396"/>
      <c r="BG172" s="3396"/>
      <c r="BH172" s="3396"/>
      <c r="BI172" s="3396"/>
      <c r="BJ172" s="3396"/>
      <c r="BK172" s="3396"/>
      <c r="BL172" s="3396"/>
      <c r="BM172" s="3396"/>
      <c r="BN172" s="3396"/>
    </row>
    <row r="173" s="687" customFormat="1" ht="13.5" hidden="1" customHeight="1" spans="1:66">
      <c r="A173" s="3407" t="s">
        <v>6447</v>
      </c>
      <c r="B173" s="3408"/>
      <c r="C173" s="3409"/>
      <c r="D173" s="3409"/>
      <c r="E173" s="3408"/>
      <c r="F173" s="3410"/>
      <c r="G173" s="3410"/>
      <c r="H173" s="3411">
        <f t="shared" si="2"/>
        <v>0</v>
      </c>
      <c r="I173" s="3396"/>
      <c r="J173" s="3396"/>
      <c r="K173" s="3396"/>
      <c r="L173" s="3396"/>
      <c r="M173" s="3396"/>
      <c r="N173" s="3396"/>
      <c r="O173" s="3396"/>
      <c r="P173" s="3396"/>
      <c r="Q173" s="3396"/>
      <c r="R173" s="3396"/>
      <c r="S173" s="3396"/>
      <c r="T173" s="3396"/>
      <c r="U173" s="3396"/>
      <c r="V173" s="3396"/>
      <c r="W173" s="3396"/>
      <c r="X173" s="3396"/>
      <c r="Y173" s="3396"/>
      <c r="Z173" s="3396"/>
      <c r="AA173" s="3396"/>
      <c r="AB173" s="3396"/>
      <c r="AC173" s="3396"/>
      <c r="AD173" s="3396"/>
      <c r="AE173" s="3396"/>
      <c r="AF173" s="3396"/>
      <c r="AG173" s="3396"/>
      <c r="AH173" s="3396"/>
      <c r="AI173" s="3396"/>
      <c r="AJ173" s="3396"/>
      <c r="AK173" s="3396"/>
      <c r="AL173" s="3396"/>
      <c r="AM173" s="3396"/>
      <c r="AN173" s="3396"/>
      <c r="AO173" s="3396"/>
      <c r="AP173" s="3396"/>
      <c r="AQ173" s="3396"/>
      <c r="AR173" s="3396"/>
      <c r="AS173" s="3396"/>
      <c r="AT173" s="3396"/>
      <c r="AU173" s="3396"/>
      <c r="AV173" s="3396"/>
      <c r="AW173" s="3396"/>
      <c r="AX173" s="3396"/>
      <c r="AY173" s="3396"/>
      <c r="AZ173" s="3396"/>
      <c r="BA173" s="3396"/>
      <c r="BB173" s="3396"/>
      <c r="BC173" s="3396"/>
      <c r="BD173" s="3396"/>
      <c r="BE173" s="3396"/>
      <c r="BF173" s="3396"/>
      <c r="BG173" s="3396"/>
      <c r="BH173" s="3396"/>
      <c r="BI173" s="3396"/>
      <c r="BJ173" s="3396"/>
      <c r="BK173" s="3396"/>
      <c r="BL173" s="3396"/>
      <c r="BM173" s="3396"/>
      <c r="BN173" s="3396"/>
    </row>
    <row r="174" s="687" customFormat="1" ht="13.5" hidden="1" customHeight="1" spans="1:66">
      <c r="A174" s="3407" t="s">
        <v>6448</v>
      </c>
      <c r="B174" s="3408"/>
      <c r="C174" s="3409"/>
      <c r="D174" s="3409"/>
      <c r="E174" s="3408"/>
      <c r="F174" s="3410"/>
      <c r="G174" s="3410"/>
      <c r="H174" s="3411">
        <f t="shared" si="2"/>
        <v>0</v>
      </c>
      <c r="I174" s="3396"/>
      <c r="J174" s="3396"/>
      <c r="K174" s="3396"/>
      <c r="L174" s="3396"/>
      <c r="M174" s="3396"/>
      <c r="N174" s="3396"/>
      <c r="O174" s="3396"/>
      <c r="P174" s="3396"/>
      <c r="Q174" s="3396"/>
      <c r="R174" s="3396"/>
      <c r="S174" s="3396"/>
      <c r="T174" s="3396"/>
      <c r="U174" s="3396"/>
      <c r="V174" s="3396"/>
      <c r="W174" s="3396"/>
      <c r="X174" s="3396"/>
      <c r="Y174" s="3396"/>
      <c r="Z174" s="3396"/>
      <c r="AA174" s="3396"/>
      <c r="AB174" s="3396"/>
      <c r="AC174" s="3396"/>
      <c r="AD174" s="3396"/>
      <c r="AE174" s="3396"/>
      <c r="AF174" s="3396"/>
      <c r="AG174" s="3396"/>
      <c r="AH174" s="3396"/>
      <c r="AI174" s="3396"/>
      <c r="AJ174" s="3396"/>
      <c r="AK174" s="3396"/>
      <c r="AL174" s="3396"/>
      <c r="AM174" s="3396"/>
      <c r="AN174" s="3396"/>
      <c r="AO174" s="3396"/>
      <c r="AP174" s="3396"/>
      <c r="AQ174" s="3396"/>
      <c r="AR174" s="3396"/>
      <c r="AS174" s="3396"/>
      <c r="AT174" s="3396"/>
      <c r="AU174" s="3396"/>
      <c r="AV174" s="3396"/>
      <c r="AW174" s="3396"/>
      <c r="AX174" s="3396"/>
      <c r="AY174" s="3396"/>
      <c r="AZ174" s="3396"/>
      <c r="BA174" s="3396"/>
      <c r="BB174" s="3396"/>
      <c r="BC174" s="3396"/>
      <c r="BD174" s="3396"/>
      <c r="BE174" s="3396"/>
      <c r="BF174" s="3396"/>
      <c r="BG174" s="3396"/>
      <c r="BH174" s="3396"/>
      <c r="BI174" s="3396"/>
      <c r="BJ174" s="3396"/>
      <c r="BK174" s="3396"/>
      <c r="BL174" s="3396"/>
      <c r="BM174" s="3396"/>
      <c r="BN174" s="3396"/>
    </row>
    <row r="175" s="687" customFormat="1" ht="13.5" hidden="1" customHeight="1" spans="1:66">
      <c r="A175" s="3407" t="s">
        <v>6449</v>
      </c>
      <c r="B175" s="3408"/>
      <c r="C175" s="3409"/>
      <c r="D175" s="3409"/>
      <c r="E175" s="3408"/>
      <c r="F175" s="3410"/>
      <c r="G175" s="3410"/>
      <c r="H175" s="3411">
        <f t="shared" si="2"/>
        <v>0</v>
      </c>
      <c r="I175" s="3396"/>
      <c r="J175" s="3396"/>
      <c r="K175" s="3396"/>
      <c r="L175" s="3396"/>
      <c r="M175" s="3396"/>
      <c r="N175" s="3396"/>
      <c r="O175" s="3396"/>
      <c r="P175" s="3396"/>
      <c r="Q175" s="3396"/>
      <c r="R175" s="3396"/>
      <c r="S175" s="3396"/>
      <c r="T175" s="3396"/>
      <c r="U175" s="3396"/>
      <c r="V175" s="3396"/>
      <c r="W175" s="3396"/>
      <c r="X175" s="3396"/>
      <c r="Y175" s="3396"/>
      <c r="Z175" s="3396"/>
      <c r="AA175" s="3396"/>
      <c r="AB175" s="3396"/>
      <c r="AC175" s="3396"/>
      <c r="AD175" s="3396"/>
      <c r="AE175" s="3396"/>
      <c r="AF175" s="3396"/>
      <c r="AG175" s="3396"/>
      <c r="AH175" s="3396"/>
      <c r="AI175" s="3396"/>
      <c r="AJ175" s="3396"/>
      <c r="AK175" s="3396"/>
      <c r="AL175" s="3396"/>
      <c r="AM175" s="3396"/>
      <c r="AN175" s="3396"/>
      <c r="AO175" s="3396"/>
      <c r="AP175" s="3396"/>
      <c r="AQ175" s="3396"/>
      <c r="AR175" s="3396"/>
      <c r="AS175" s="3396"/>
      <c r="AT175" s="3396"/>
      <c r="AU175" s="3396"/>
      <c r="AV175" s="3396"/>
      <c r="AW175" s="3396"/>
      <c r="AX175" s="3396"/>
      <c r="AY175" s="3396"/>
      <c r="AZ175" s="3396"/>
      <c r="BA175" s="3396"/>
      <c r="BB175" s="3396"/>
      <c r="BC175" s="3396"/>
      <c r="BD175" s="3396"/>
      <c r="BE175" s="3396"/>
      <c r="BF175" s="3396"/>
      <c r="BG175" s="3396"/>
      <c r="BH175" s="3396"/>
      <c r="BI175" s="3396"/>
      <c r="BJ175" s="3396"/>
      <c r="BK175" s="3396"/>
      <c r="BL175" s="3396"/>
      <c r="BM175" s="3396"/>
      <c r="BN175" s="3396"/>
    </row>
    <row r="176" s="687" customFormat="1" ht="13.5" hidden="1" customHeight="1" spans="1:66">
      <c r="A176" s="3407" t="s">
        <v>6450</v>
      </c>
      <c r="B176" s="3408"/>
      <c r="C176" s="3409"/>
      <c r="D176" s="3409"/>
      <c r="E176" s="3408"/>
      <c r="F176" s="3410"/>
      <c r="G176" s="3410"/>
      <c r="H176" s="3411">
        <f t="shared" si="2"/>
        <v>0</v>
      </c>
      <c r="I176" s="3396"/>
      <c r="J176" s="3396"/>
      <c r="K176" s="3396"/>
      <c r="L176" s="3396"/>
      <c r="M176" s="3396"/>
      <c r="N176" s="3396"/>
      <c r="O176" s="3396"/>
      <c r="P176" s="3396"/>
      <c r="Q176" s="3396"/>
      <c r="R176" s="3396"/>
      <c r="S176" s="3396"/>
      <c r="T176" s="3396"/>
      <c r="U176" s="3396"/>
      <c r="V176" s="3396"/>
      <c r="W176" s="3396"/>
      <c r="X176" s="3396"/>
      <c r="Y176" s="3396"/>
      <c r="Z176" s="3396"/>
      <c r="AA176" s="3396"/>
      <c r="AB176" s="3396"/>
      <c r="AC176" s="3396"/>
      <c r="AD176" s="3396"/>
      <c r="AE176" s="3396"/>
      <c r="AF176" s="3396"/>
      <c r="AG176" s="3396"/>
      <c r="AH176" s="3396"/>
      <c r="AI176" s="3396"/>
      <c r="AJ176" s="3396"/>
      <c r="AK176" s="3396"/>
      <c r="AL176" s="3396"/>
      <c r="AM176" s="3396"/>
      <c r="AN176" s="3396"/>
      <c r="AO176" s="3396"/>
      <c r="AP176" s="3396"/>
      <c r="AQ176" s="3396"/>
      <c r="AR176" s="3396"/>
      <c r="AS176" s="3396"/>
      <c r="AT176" s="3396"/>
      <c r="AU176" s="3396"/>
      <c r="AV176" s="3396"/>
      <c r="AW176" s="3396"/>
      <c r="AX176" s="3396"/>
      <c r="AY176" s="3396"/>
      <c r="AZ176" s="3396"/>
      <c r="BA176" s="3396"/>
      <c r="BB176" s="3396"/>
      <c r="BC176" s="3396"/>
      <c r="BD176" s="3396"/>
      <c r="BE176" s="3396"/>
      <c r="BF176" s="3396"/>
      <c r="BG176" s="3396"/>
      <c r="BH176" s="3396"/>
      <c r="BI176" s="3396"/>
      <c r="BJ176" s="3396"/>
      <c r="BK176" s="3396"/>
      <c r="BL176" s="3396"/>
      <c r="BM176" s="3396"/>
      <c r="BN176" s="3396"/>
    </row>
    <row r="177" s="687" customFormat="1" ht="13.5" hidden="1" customHeight="1" spans="1:66">
      <c r="A177" s="3407" t="s">
        <v>6451</v>
      </c>
      <c r="B177" s="3408"/>
      <c r="C177" s="3409"/>
      <c r="D177" s="3409"/>
      <c r="E177" s="3408"/>
      <c r="F177" s="3410"/>
      <c r="G177" s="3410"/>
      <c r="H177" s="3411">
        <f t="shared" si="2"/>
        <v>0</v>
      </c>
      <c r="I177" s="3396"/>
      <c r="J177" s="3396"/>
      <c r="K177" s="3396"/>
      <c r="L177" s="3396"/>
      <c r="M177" s="3396"/>
      <c r="N177" s="3396"/>
      <c r="O177" s="3396"/>
      <c r="P177" s="3396"/>
      <c r="Q177" s="3396"/>
      <c r="R177" s="3396"/>
      <c r="S177" s="3396"/>
      <c r="T177" s="3396"/>
      <c r="U177" s="3396"/>
      <c r="V177" s="3396"/>
      <c r="W177" s="3396"/>
      <c r="X177" s="3396"/>
      <c r="Y177" s="3396"/>
      <c r="Z177" s="3396"/>
      <c r="AA177" s="3396"/>
      <c r="AB177" s="3396"/>
      <c r="AC177" s="3396"/>
      <c r="AD177" s="3396"/>
      <c r="AE177" s="3396"/>
      <c r="AF177" s="3396"/>
      <c r="AG177" s="3396"/>
      <c r="AH177" s="3396"/>
      <c r="AI177" s="3396"/>
      <c r="AJ177" s="3396"/>
      <c r="AK177" s="3396"/>
      <c r="AL177" s="3396"/>
      <c r="AM177" s="3396"/>
      <c r="AN177" s="3396"/>
      <c r="AO177" s="3396"/>
      <c r="AP177" s="3396"/>
      <c r="AQ177" s="3396"/>
      <c r="AR177" s="3396"/>
      <c r="AS177" s="3396"/>
      <c r="AT177" s="3396"/>
      <c r="AU177" s="3396"/>
      <c r="AV177" s="3396"/>
      <c r="AW177" s="3396"/>
      <c r="AX177" s="3396"/>
      <c r="AY177" s="3396"/>
      <c r="AZ177" s="3396"/>
      <c r="BA177" s="3396"/>
      <c r="BB177" s="3396"/>
      <c r="BC177" s="3396"/>
      <c r="BD177" s="3396"/>
      <c r="BE177" s="3396"/>
      <c r="BF177" s="3396"/>
      <c r="BG177" s="3396"/>
      <c r="BH177" s="3396"/>
      <c r="BI177" s="3396"/>
      <c r="BJ177" s="3396"/>
      <c r="BK177" s="3396"/>
      <c r="BL177" s="3396"/>
      <c r="BM177" s="3396"/>
      <c r="BN177" s="3396"/>
    </row>
    <row r="178" s="687" customFormat="1" ht="13.5" hidden="1" customHeight="1" spans="1:66">
      <c r="A178" s="3407" t="s">
        <v>6452</v>
      </c>
      <c r="B178" s="3408"/>
      <c r="C178" s="3409"/>
      <c r="D178" s="3409"/>
      <c r="E178" s="3408"/>
      <c r="F178" s="3410"/>
      <c r="G178" s="3410"/>
      <c r="H178" s="3411">
        <f t="shared" si="2"/>
        <v>0</v>
      </c>
      <c r="I178" s="3396"/>
      <c r="J178" s="3396"/>
      <c r="K178" s="3396"/>
      <c r="L178" s="3396"/>
      <c r="M178" s="3396"/>
      <c r="N178" s="3396"/>
      <c r="O178" s="3396"/>
      <c r="P178" s="3396"/>
      <c r="Q178" s="3396"/>
      <c r="R178" s="3396"/>
      <c r="S178" s="3396"/>
      <c r="T178" s="3396"/>
      <c r="U178" s="3396"/>
      <c r="V178" s="3396"/>
      <c r="W178" s="3396"/>
      <c r="X178" s="3396"/>
      <c r="Y178" s="3396"/>
      <c r="Z178" s="3396"/>
      <c r="AA178" s="3396"/>
      <c r="AB178" s="3396"/>
      <c r="AC178" s="3396"/>
      <c r="AD178" s="3396"/>
      <c r="AE178" s="3396"/>
      <c r="AF178" s="3396"/>
      <c r="AG178" s="3396"/>
      <c r="AH178" s="3396"/>
      <c r="AI178" s="3396"/>
      <c r="AJ178" s="3396"/>
      <c r="AK178" s="3396"/>
      <c r="AL178" s="3396"/>
      <c r="AM178" s="3396"/>
      <c r="AN178" s="3396"/>
      <c r="AO178" s="3396"/>
      <c r="AP178" s="3396"/>
      <c r="AQ178" s="3396"/>
      <c r="AR178" s="3396"/>
      <c r="AS178" s="3396"/>
      <c r="AT178" s="3396"/>
      <c r="AU178" s="3396"/>
      <c r="AV178" s="3396"/>
      <c r="AW178" s="3396"/>
      <c r="AX178" s="3396"/>
      <c r="AY178" s="3396"/>
      <c r="AZ178" s="3396"/>
      <c r="BA178" s="3396"/>
      <c r="BB178" s="3396"/>
      <c r="BC178" s="3396"/>
      <c r="BD178" s="3396"/>
      <c r="BE178" s="3396"/>
      <c r="BF178" s="3396"/>
      <c r="BG178" s="3396"/>
      <c r="BH178" s="3396"/>
      <c r="BI178" s="3396"/>
      <c r="BJ178" s="3396"/>
      <c r="BK178" s="3396"/>
      <c r="BL178" s="3396"/>
      <c r="BM178" s="3396"/>
      <c r="BN178" s="3396"/>
    </row>
    <row r="179" s="687" customFormat="1" ht="13.5" hidden="1" customHeight="1" spans="1:66">
      <c r="A179" s="3407" t="s">
        <v>6453</v>
      </c>
      <c r="B179" s="3408"/>
      <c r="C179" s="3409"/>
      <c r="D179" s="3409"/>
      <c r="E179" s="3408"/>
      <c r="F179" s="3410"/>
      <c r="G179" s="3410"/>
      <c r="H179" s="3411">
        <f t="shared" si="2"/>
        <v>0</v>
      </c>
      <c r="I179" s="3396"/>
      <c r="J179" s="3396"/>
      <c r="K179" s="3396"/>
      <c r="L179" s="3396"/>
      <c r="M179" s="3396"/>
      <c r="N179" s="3396"/>
      <c r="O179" s="3396"/>
      <c r="P179" s="3396"/>
      <c r="Q179" s="3396"/>
      <c r="R179" s="3396"/>
      <c r="S179" s="3396"/>
      <c r="T179" s="3396"/>
      <c r="U179" s="3396"/>
      <c r="V179" s="3396"/>
      <c r="W179" s="3396"/>
      <c r="X179" s="3396"/>
      <c r="Y179" s="3396"/>
      <c r="Z179" s="3396"/>
      <c r="AA179" s="3396"/>
      <c r="AB179" s="3396"/>
      <c r="AC179" s="3396"/>
      <c r="AD179" s="3396"/>
      <c r="AE179" s="3396"/>
      <c r="AF179" s="3396"/>
      <c r="AG179" s="3396"/>
      <c r="AH179" s="3396"/>
      <c r="AI179" s="3396"/>
      <c r="AJ179" s="3396"/>
      <c r="AK179" s="3396"/>
      <c r="AL179" s="3396"/>
      <c r="AM179" s="3396"/>
      <c r="AN179" s="3396"/>
      <c r="AO179" s="3396"/>
      <c r="AP179" s="3396"/>
      <c r="AQ179" s="3396"/>
      <c r="AR179" s="3396"/>
      <c r="AS179" s="3396"/>
      <c r="AT179" s="3396"/>
      <c r="AU179" s="3396"/>
      <c r="AV179" s="3396"/>
      <c r="AW179" s="3396"/>
      <c r="AX179" s="3396"/>
      <c r="AY179" s="3396"/>
      <c r="AZ179" s="3396"/>
      <c r="BA179" s="3396"/>
      <c r="BB179" s="3396"/>
      <c r="BC179" s="3396"/>
      <c r="BD179" s="3396"/>
      <c r="BE179" s="3396"/>
      <c r="BF179" s="3396"/>
      <c r="BG179" s="3396"/>
      <c r="BH179" s="3396"/>
      <c r="BI179" s="3396"/>
      <c r="BJ179" s="3396"/>
      <c r="BK179" s="3396"/>
      <c r="BL179" s="3396"/>
      <c r="BM179" s="3396"/>
      <c r="BN179" s="3396"/>
    </row>
    <row r="180" s="687" customFormat="1" ht="13.5" hidden="1" customHeight="1" spans="1:66">
      <c r="A180" s="3407" t="s">
        <v>6454</v>
      </c>
      <c r="B180" s="3408"/>
      <c r="C180" s="3409"/>
      <c r="D180" s="3409"/>
      <c r="E180" s="3408"/>
      <c r="F180" s="3410"/>
      <c r="G180" s="3410"/>
      <c r="H180" s="3411">
        <f t="shared" si="2"/>
        <v>0</v>
      </c>
      <c r="I180" s="3396"/>
      <c r="J180" s="3396"/>
      <c r="K180" s="3396"/>
      <c r="L180" s="3396"/>
      <c r="M180" s="3396"/>
      <c r="N180" s="3396"/>
      <c r="O180" s="3396"/>
      <c r="P180" s="3396"/>
      <c r="Q180" s="3396"/>
      <c r="R180" s="3396"/>
      <c r="S180" s="3396"/>
      <c r="T180" s="3396"/>
      <c r="U180" s="3396"/>
      <c r="V180" s="3396"/>
      <c r="W180" s="3396"/>
      <c r="X180" s="3396"/>
      <c r="Y180" s="3396"/>
      <c r="Z180" s="3396"/>
      <c r="AA180" s="3396"/>
      <c r="AB180" s="3396"/>
      <c r="AC180" s="3396"/>
      <c r="AD180" s="3396"/>
      <c r="AE180" s="3396"/>
      <c r="AF180" s="3396"/>
      <c r="AG180" s="3396"/>
      <c r="AH180" s="3396"/>
      <c r="AI180" s="3396"/>
      <c r="AJ180" s="3396"/>
      <c r="AK180" s="3396"/>
      <c r="AL180" s="3396"/>
      <c r="AM180" s="3396"/>
      <c r="AN180" s="3396"/>
      <c r="AO180" s="3396"/>
      <c r="AP180" s="3396"/>
      <c r="AQ180" s="3396"/>
      <c r="AR180" s="3396"/>
      <c r="AS180" s="3396"/>
      <c r="AT180" s="3396"/>
      <c r="AU180" s="3396"/>
      <c r="AV180" s="3396"/>
      <c r="AW180" s="3396"/>
      <c r="AX180" s="3396"/>
      <c r="AY180" s="3396"/>
      <c r="AZ180" s="3396"/>
      <c r="BA180" s="3396"/>
      <c r="BB180" s="3396"/>
      <c r="BC180" s="3396"/>
      <c r="BD180" s="3396"/>
      <c r="BE180" s="3396"/>
      <c r="BF180" s="3396"/>
      <c r="BG180" s="3396"/>
      <c r="BH180" s="3396"/>
      <c r="BI180" s="3396"/>
      <c r="BJ180" s="3396"/>
      <c r="BK180" s="3396"/>
      <c r="BL180" s="3396"/>
      <c r="BM180" s="3396"/>
      <c r="BN180" s="3396"/>
    </row>
    <row r="181" s="687" customFormat="1" ht="13.5" hidden="1" customHeight="1" spans="1:66">
      <c r="A181" s="3407" t="s">
        <v>6455</v>
      </c>
      <c r="B181" s="3408"/>
      <c r="C181" s="3409"/>
      <c r="D181" s="3409"/>
      <c r="E181" s="3408"/>
      <c r="F181" s="3410"/>
      <c r="G181" s="3410"/>
      <c r="H181" s="3411">
        <f t="shared" si="2"/>
        <v>0</v>
      </c>
      <c r="I181" s="3396"/>
      <c r="J181" s="3396"/>
      <c r="K181" s="3396"/>
      <c r="L181" s="3396"/>
      <c r="M181" s="3396"/>
      <c r="N181" s="3396"/>
      <c r="O181" s="3396"/>
      <c r="P181" s="3396"/>
      <c r="Q181" s="3396"/>
      <c r="R181" s="3396"/>
      <c r="S181" s="3396"/>
      <c r="T181" s="3396"/>
      <c r="U181" s="3396"/>
      <c r="V181" s="3396"/>
      <c r="W181" s="3396"/>
      <c r="X181" s="3396"/>
      <c r="Y181" s="3396"/>
      <c r="Z181" s="3396"/>
      <c r="AA181" s="3396"/>
      <c r="AB181" s="3396"/>
      <c r="AC181" s="3396"/>
      <c r="AD181" s="3396"/>
      <c r="AE181" s="3396"/>
      <c r="AF181" s="3396"/>
      <c r="AG181" s="3396"/>
      <c r="AH181" s="3396"/>
      <c r="AI181" s="3396"/>
      <c r="AJ181" s="3396"/>
      <c r="AK181" s="3396"/>
      <c r="AL181" s="3396"/>
      <c r="AM181" s="3396"/>
      <c r="AN181" s="3396"/>
      <c r="AO181" s="3396"/>
      <c r="AP181" s="3396"/>
      <c r="AQ181" s="3396"/>
      <c r="AR181" s="3396"/>
      <c r="AS181" s="3396"/>
      <c r="AT181" s="3396"/>
      <c r="AU181" s="3396"/>
      <c r="AV181" s="3396"/>
      <c r="AW181" s="3396"/>
      <c r="AX181" s="3396"/>
      <c r="AY181" s="3396"/>
      <c r="AZ181" s="3396"/>
      <c r="BA181" s="3396"/>
      <c r="BB181" s="3396"/>
      <c r="BC181" s="3396"/>
      <c r="BD181" s="3396"/>
      <c r="BE181" s="3396"/>
      <c r="BF181" s="3396"/>
      <c r="BG181" s="3396"/>
      <c r="BH181" s="3396"/>
      <c r="BI181" s="3396"/>
      <c r="BJ181" s="3396"/>
      <c r="BK181" s="3396"/>
      <c r="BL181" s="3396"/>
      <c r="BM181" s="3396"/>
      <c r="BN181" s="3396"/>
    </row>
    <row r="182" s="687" customFormat="1" ht="13.5" hidden="1" customHeight="1" spans="1:66">
      <c r="A182" s="3407" t="s">
        <v>6456</v>
      </c>
      <c r="B182" s="3408"/>
      <c r="C182" s="3409"/>
      <c r="D182" s="3409"/>
      <c r="E182" s="3408"/>
      <c r="F182" s="3410"/>
      <c r="G182" s="3410"/>
      <c r="H182" s="3411">
        <f t="shared" si="2"/>
        <v>0</v>
      </c>
      <c r="I182" s="3396"/>
      <c r="J182" s="3396"/>
      <c r="K182" s="3396"/>
      <c r="L182" s="3396"/>
      <c r="M182" s="3396"/>
      <c r="N182" s="3396"/>
      <c r="O182" s="3396"/>
      <c r="P182" s="3396"/>
      <c r="Q182" s="3396"/>
      <c r="R182" s="3396"/>
      <c r="S182" s="3396"/>
      <c r="T182" s="3396"/>
      <c r="U182" s="3396"/>
      <c r="V182" s="3396"/>
      <c r="W182" s="3396"/>
      <c r="X182" s="3396"/>
      <c r="Y182" s="3396"/>
      <c r="Z182" s="3396"/>
      <c r="AA182" s="3396"/>
      <c r="AB182" s="3396"/>
      <c r="AC182" s="3396"/>
      <c r="AD182" s="3396"/>
      <c r="AE182" s="3396"/>
      <c r="AF182" s="3396"/>
      <c r="AG182" s="3396"/>
      <c r="AH182" s="3396"/>
      <c r="AI182" s="3396"/>
      <c r="AJ182" s="3396"/>
      <c r="AK182" s="3396"/>
      <c r="AL182" s="3396"/>
      <c r="AM182" s="3396"/>
      <c r="AN182" s="3396"/>
      <c r="AO182" s="3396"/>
      <c r="AP182" s="3396"/>
      <c r="AQ182" s="3396"/>
      <c r="AR182" s="3396"/>
      <c r="AS182" s="3396"/>
      <c r="AT182" s="3396"/>
      <c r="AU182" s="3396"/>
      <c r="AV182" s="3396"/>
      <c r="AW182" s="3396"/>
      <c r="AX182" s="3396"/>
      <c r="AY182" s="3396"/>
      <c r="AZ182" s="3396"/>
      <c r="BA182" s="3396"/>
      <c r="BB182" s="3396"/>
      <c r="BC182" s="3396"/>
      <c r="BD182" s="3396"/>
      <c r="BE182" s="3396"/>
      <c r="BF182" s="3396"/>
      <c r="BG182" s="3396"/>
      <c r="BH182" s="3396"/>
      <c r="BI182" s="3396"/>
      <c r="BJ182" s="3396"/>
      <c r="BK182" s="3396"/>
      <c r="BL182" s="3396"/>
      <c r="BM182" s="3396"/>
      <c r="BN182" s="3396"/>
    </row>
    <row r="183" s="687" customFormat="1" ht="13.5" hidden="1" customHeight="1" spans="1:66">
      <c r="A183" s="3407" t="s">
        <v>6457</v>
      </c>
      <c r="B183" s="3408"/>
      <c r="C183" s="3409"/>
      <c r="D183" s="3409"/>
      <c r="E183" s="3408"/>
      <c r="F183" s="3410"/>
      <c r="G183" s="3410"/>
      <c r="H183" s="3411">
        <f t="shared" si="2"/>
        <v>0</v>
      </c>
      <c r="I183" s="3396"/>
      <c r="J183" s="3396"/>
      <c r="K183" s="3396"/>
      <c r="L183" s="3396"/>
      <c r="M183" s="3396"/>
      <c r="N183" s="3396"/>
      <c r="O183" s="3396"/>
      <c r="P183" s="3396"/>
      <c r="Q183" s="3396"/>
      <c r="R183" s="3396"/>
      <c r="S183" s="3396"/>
      <c r="T183" s="3396"/>
      <c r="U183" s="3396"/>
      <c r="V183" s="3396"/>
      <c r="W183" s="3396"/>
      <c r="X183" s="3396"/>
      <c r="Y183" s="3396"/>
      <c r="Z183" s="3396"/>
      <c r="AA183" s="3396"/>
      <c r="AB183" s="3396"/>
      <c r="AC183" s="3396"/>
      <c r="AD183" s="3396"/>
      <c r="AE183" s="3396"/>
      <c r="AF183" s="3396"/>
      <c r="AG183" s="3396"/>
      <c r="AH183" s="3396"/>
      <c r="AI183" s="3396"/>
      <c r="AJ183" s="3396"/>
      <c r="AK183" s="3396"/>
      <c r="AL183" s="3396"/>
      <c r="AM183" s="3396"/>
      <c r="AN183" s="3396"/>
      <c r="AO183" s="3396"/>
      <c r="AP183" s="3396"/>
      <c r="AQ183" s="3396"/>
      <c r="AR183" s="3396"/>
      <c r="AS183" s="3396"/>
      <c r="AT183" s="3396"/>
      <c r="AU183" s="3396"/>
      <c r="AV183" s="3396"/>
      <c r="AW183" s="3396"/>
      <c r="AX183" s="3396"/>
      <c r="AY183" s="3396"/>
      <c r="AZ183" s="3396"/>
      <c r="BA183" s="3396"/>
      <c r="BB183" s="3396"/>
      <c r="BC183" s="3396"/>
      <c r="BD183" s="3396"/>
      <c r="BE183" s="3396"/>
      <c r="BF183" s="3396"/>
      <c r="BG183" s="3396"/>
      <c r="BH183" s="3396"/>
      <c r="BI183" s="3396"/>
      <c r="BJ183" s="3396"/>
      <c r="BK183" s="3396"/>
      <c r="BL183" s="3396"/>
      <c r="BM183" s="3396"/>
      <c r="BN183" s="3396"/>
    </row>
    <row r="184" s="687" customFormat="1" ht="13.5" hidden="1" customHeight="1" spans="1:66">
      <c r="A184" s="3407" t="s">
        <v>6458</v>
      </c>
      <c r="B184" s="3408"/>
      <c r="C184" s="3409"/>
      <c r="D184" s="3409"/>
      <c r="E184" s="3408"/>
      <c r="F184" s="3410"/>
      <c r="G184" s="3410"/>
      <c r="H184" s="3411">
        <f t="shared" si="2"/>
        <v>0</v>
      </c>
      <c r="I184" s="3396"/>
      <c r="J184" s="3396"/>
      <c r="K184" s="3396"/>
      <c r="L184" s="3396"/>
      <c r="M184" s="3396"/>
      <c r="N184" s="3396"/>
      <c r="O184" s="3396"/>
      <c r="P184" s="3396"/>
      <c r="Q184" s="3396"/>
      <c r="R184" s="3396"/>
      <c r="S184" s="3396"/>
      <c r="T184" s="3396"/>
      <c r="U184" s="3396"/>
      <c r="V184" s="3396"/>
      <c r="W184" s="3396"/>
      <c r="X184" s="3396"/>
      <c r="Y184" s="3396"/>
      <c r="Z184" s="3396"/>
      <c r="AA184" s="3396"/>
      <c r="AB184" s="3396"/>
      <c r="AC184" s="3396"/>
      <c r="AD184" s="3396"/>
      <c r="AE184" s="3396"/>
      <c r="AF184" s="3396"/>
      <c r="AG184" s="3396"/>
      <c r="AH184" s="3396"/>
      <c r="AI184" s="3396"/>
      <c r="AJ184" s="3396"/>
      <c r="AK184" s="3396"/>
      <c r="AL184" s="3396"/>
      <c r="AM184" s="3396"/>
      <c r="AN184" s="3396"/>
      <c r="AO184" s="3396"/>
      <c r="AP184" s="3396"/>
      <c r="AQ184" s="3396"/>
      <c r="AR184" s="3396"/>
      <c r="AS184" s="3396"/>
      <c r="AT184" s="3396"/>
      <c r="AU184" s="3396"/>
      <c r="AV184" s="3396"/>
      <c r="AW184" s="3396"/>
      <c r="AX184" s="3396"/>
      <c r="AY184" s="3396"/>
      <c r="AZ184" s="3396"/>
      <c r="BA184" s="3396"/>
      <c r="BB184" s="3396"/>
      <c r="BC184" s="3396"/>
      <c r="BD184" s="3396"/>
      <c r="BE184" s="3396"/>
      <c r="BF184" s="3396"/>
      <c r="BG184" s="3396"/>
      <c r="BH184" s="3396"/>
      <c r="BI184" s="3396"/>
      <c r="BJ184" s="3396"/>
      <c r="BK184" s="3396"/>
      <c r="BL184" s="3396"/>
      <c r="BM184" s="3396"/>
      <c r="BN184" s="3396"/>
    </row>
    <row r="185" s="687" customFormat="1" ht="13.5" hidden="1" customHeight="1" spans="1:66">
      <c r="A185" s="3407" t="s">
        <v>6459</v>
      </c>
      <c r="B185" s="3408"/>
      <c r="C185" s="3409"/>
      <c r="D185" s="3409"/>
      <c r="E185" s="3408"/>
      <c r="F185" s="3410"/>
      <c r="G185" s="3410"/>
      <c r="H185" s="3411">
        <f t="shared" si="2"/>
        <v>0</v>
      </c>
      <c r="I185" s="3396"/>
      <c r="J185" s="3396"/>
      <c r="K185" s="3396"/>
      <c r="L185" s="3396"/>
      <c r="M185" s="3396"/>
      <c r="N185" s="3396"/>
      <c r="O185" s="3396"/>
      <c r="P185" s="3396"/>
      <c r="Q185" s="3396"/>
      <c r="R185" s="3396"/>
      <c r="S185" s="3396"/>
      <c r="T185" s="3396"/>
      <c r="U185" s="3396"/>
      <c r="V185" s="3396"/>
      <c r="W185" s="3396"/>
      <c r="X185" s="3396"/>
      <c r="Y185" s="3396"/>
      <c r="Z185" s="3396"/>
      <c r="AA185" s="3396"/>
      <c r="AB185" s="3396"/>
      <c r="AC185" s="3396"/>
      <c r="AD185" s="3396"/>
      <c r="AE185" s="3396"/>
      <c r="AF185" s="3396"/>
      <c r="AG185" s="3396"/>
      <c r="AH185" s="3396"/>
      <c r="AI185" s="3396"/>
      <c r="AJ185" s="3396"/>
      <c r="AK185" s="3396"/>
      <c r="AL185" s="3396"/>
      <c r="AM185" s="3396"/>
      <c r="AN185" s="3396"/>
      <c r="AO185" s="3396"/>
      <c r="AP185" s="3396"/>
      <c r="AQ185" s="3396"/>
      <c r="AR185" s="3396"/>
      <c r="AS185" s="3396"/>
      <c r="AT185" s="3396"/>
      <c r="AU185" s="3396"/>
      <c r="AV185" s="3396"/>
      <c r="AW185" s="3396"/>
      <c r="AX185" s="3396"/>
      <c r="AY185" s="3396"/>
      <c r="AZ185" s="3396"/>
      <c r="BA185" s="3396"/>
      <c r="BB185" s="3396"/>
      <c r="BC185" s="3396"/>
      <c r="BD185" s="3396"/>
      <c r="BE185" s="3396"/>
      <c r="BF185" s="3396"/>
      <c r="BG185" s="3396"/>
      <c r="BH185" s="3396"/>
      <c r="BI185" s="3396"/>
      <c r="BJ185" s="3396"/>
      <c r="BK185" s="3396"/>
      <c r="BL185" s="3396"/>
      <c r="BM185" s="3396"/>
      <c r="BN185" s="3396"/>
    </row>
    <row r="186" s="687" customFormat="1" ht="13.5" hidden="1" customHeight="1" spans="1:66">
      <c r="A186" s="3407" t="s">
        <v>6460</v>
      </c>
      <c r="B186" s="3408"/>
      <c r="C186" s="3409"/>
      <c r="D186" s="3409"/>
      <c r="E186" s="3408"/>
      <c r="F186" s="3410"/>
      <c r="G186" s="3410"/>
      <c r="H186" s="3411">
        <f t="shared" si="2"/>
        <v>0</v>
      </c>
      <c r="I186" s="3396"/>
      <c r="J186" s="3396"/>
      <c r="K186" s="3396"/>
      <c r="L186" s="3396"/>
      <c r="M186" s="3396"/>
      <c r="N186" s="3396"/>
      <c r="O186" s="3396"/>
      <c r="P186" s="3396"/>
      <c r="Q186" s="3396"/>
      <c r="R186" s="3396"/>
      <c r="S186" s="3396"/>
      <c r="T186" s="3396"/>
      <c r="U186" s="3396"/>
      <c r="V186" s="3396"/>
      <c r="W186" s="3396"/>
      <c r="X186" s="3396"/>
      <c r="Y186" s="3396"/>
      <c r="Z186" s="3396"/>
      <c r="AA186" s="3396"/>
      <c r="AB186" s="3396"/>
      <c r="AC186" s="3396"/>
      <c r="AD186" s="3396"/>
      <c r="AE186" s="3396"/>
      <c r="AF186" s="3396"/>
      <c r="AG186" s="3396"/>
      <c r="AH186" s="3396"/>
      <c r="AI186" s="3396"/>
      <c r="AJ186" s="3396"/>
      <c r="AK186" s="3396"/>
      <c r="AL186" s="3396"/>
      <c r="AM186" s="3396"/>
      <c r="AN186" s="3396"/>
      <c r="AO186" s="3396"/>
      <c r="AP186" s="3396"/>
      <c r="AQ186" s="3396"/>
      <c r="AR186" s="3396"/>
      <c r="AS186" s="3396"/>
      <c r="AT186" s="3396"/>
      <c r="AU186" s="3396"/>
      <c r="AV186" s="3396"/>
      <c r="AW186" s="3396"/>
      <c r="AX186" s="3396"/>
      <c r="AY186" s="3396"/>
      <c r="AZ186" s="3396"/>
      <c r="BA186" s="3396"/>
      <c r="BB186" s="3396"/>
      <c r="BC186" s="3396"/>
      <c r="BD186" s="3396"/>
      <c r="BE186" s="3396"/>
      <c r="BF186" s="3396"/>
      <c r="BG186" s="3396"/>
      <c r="BH186" s="3396"/>
      <c r="BI186" s="3396"/>
      <c r="BJ186" s="3396"/>
      <c r="BK186" s="3396"/>
      <c r="BL186" s="3396"/>
      <c r="BM186" s="3396"/>
      <c r="BN186" s="3396"/>
    </row>
    <row r="187" s="687" customFormat="1" ht="13.5" hidden="1" customHeight="1" spans="1:66">
      <c r="A187" s="3407" t="s">
        <v>6461</v>
      </c>
      <c r="B187" s="3408"/>
      <c r="C187" s="3409"/>
      <c r="D187" s="3409"/>
      <c r="E187" s="3408"/>
      <c r="F187" s="3410"/>
      <c r="G187" s="3410"/>
      <c r="H187" s="3411">
        <f t="shared" si="2"/>
        <v>0</v>
      </c>
      <c r="I187" s="3396"/>
      <c r="J187" s="3396"/>
      <c r="K187" s="3396"/>
      <c r="L187" s="3396"/>
      <c r="M187" s="3396"/>
      <c r="N187" s="3396"/>
      <c r="O187" s="3396"/>
      <c r="P187" s="3396"/>
      <c r="Q187" s="3396"/>
      <c r="R187" s="3396"/>
      <c r="S187" s="3396"/>
      <c r="T187" s="3396"/>
      <c r="U187" s="3396"/>
      <c r="V187" s="3396"/>
      <c r="W187" s="3396"/>
      <c r="X187" s="3396"/>
      <c r="Y187" s="3396"/>
      <c r="Z187" s="3396"/>
      <c r="AA187" s="3396"/>
      <c r="AB187" s="3396"/>
      <c r="AC187" s="3396"/>
      <c r="AD187" s="3396"/>
      <c r="AE187" s="3396"/>
      <c r="AF187" s="3396"/>
      <c r="AG187" s="3396"/>
      <c r="AH187" s="3396"/>
      <c r="AI187" s="3396"/>
      <c r="AJ187" s="3396"/>
      <c r="AK187" s="3396"/>
      <c r="AL187" s="3396"/>
      <c r="AM187" s="3396"/>
      <c r="AN187" s="3396"/>
      <c r="AO187" s="3396"/>
      <c r="AP187" s="3396"/>
      <c r="AQ187" s="3396"/>
      <c r="AR187" s="3396"/>
      <c r="AS187" s="3396"/>
      <c r="AT187" s="3396"/>
      <c r="AU187" s="3396"/>
      <c r="AV187" s="3396"/>
      <c r="AW187" s="3396"/>
      <c r="AX187" s="3396"/>
      <c r="AY187" s="3396"/>
      <c r="AZ187" s="3396"/>
      <c r="BA187" s="3396"/>
      <c r="BB187" s="3396"/>
      <c r="BC187" s="3396"/>
      <c r="BD187" s="3396"/>
      <c r="BE187" s="3396"/>
      <c r="BF187" s="3396"/>
      <c r="BG187" s="3396"/>
      <c r="BH187" s="3396"/>
      <c r="BI187" s="3396"/>
      <c r="BJ187" s="3396"/>
      <c r="BK187" s="3396"/>
      <c r="BL187" s="3396"/>
      <c r="BM187" s="3396"/>
      <c r="BN187" s="3396"/>
    </row>
    <row r="188" s="687" customFormat="1" ht="13.5" hidden="1" customHeight="1" spans="1:66">
      <c r="A188" s="3407" t="s">
        <v>6462</v>
      </c>
      <c r="B188" s="3408"/>
      <c r="C188" s="3409"/>
      <c r="D188" s="3409"/>
      <c r="E188" s="3408"/>
      <c r="F188" s="3410"/>
      <c r="G188" s="3410"/>
      <c r="H188" s="3411">
        <f t="shared" si="2"/>
        <v>0</v>
      </c>
      <c r="I188" s="3396"/>
      <c r="J188" s="3396"/>
      <c r="K188" s="3396"/>
      <c r="L188" s="3396"/>
      <c r="M188" s="3396"/>
      <c r="N188" s="3396"/>
      <c r="O188" s="3396"/>
      <c r="P188" s="3396"/>
      <c r="Q188" s="3396"/>
      <c r="R188" s="3396"/>
      <c r="S188" s="3396"/>
      <c r="T188" s="3396"/>
      <c r="U188" s="3396"/>
      <c r="V188" s="3396"/>
      <c r="W188" s="3396"/>
      <c r="X188" s="3396"/>
      <c r="Y188" s="3396"/>
      <c r="Z188" s="3396"/>
      <c r="AA188" s="3396"/>
      <c r="AB188" s="3396"/>
      <c r="AC188" s="3396"/>
      <c r="AD188" s="3396"/>
      <c r="AE188" s="3396"/>
      <c r="AF188" s="3396"/>
      <c r="AG188" s="3396"/>
      <c r="AH188" s="3396"/>
      <c r="AI188" s="3396"/>
      <c r="AJ188" s="3396"/>
      <c r="AK188" s="3396"/>
      <c r="AL188" s="3396"/>
      <c r="AM188" s="3396"/>
      <c r="AN188" s="3396"/>
      <c r="AO188" s="3396"/>
      <c r="AP188" s="3396"/>
      <c r="AQ188" s="3396"/>
      <c r="AR188" s="3396"/>
      <c r="AS188" s="3396"/>
      <c r="AT188" s="3396"/>
      <c r="AU188" s="3396"/>
      <c r="AV188" s="3396"/>
      <c r="AW188" s="3396"/>
      <c r="AX188" s="3396"/>
      <c r="AY188" s="3396"/>
      <c r="AZ188" s="3396"/>
      <c r="BA188" s="3396"/>
      <c r="BB188" s="3396"/>
      <c r="BC188" s="3396"/>
      <c r="BD188" s="3396"/>
      <c r="BE188" s="3396"/>
      <c r="BF188" s="3396"/>
      <c r="BG188" s="3396"/>
      <c r="BH188" s="3396"/>
      <c r="BI188" s="3396"/>
      <c r="BJ188" s="3396"/>
      <c r="BK188" s="3396"/>
      <c r="BL188" s="3396"/>
      <c r="BM188" s="3396"/>
      <c r="BN188" s="3396"/>
    </row>
    <row r="189" s="687" customFormat="1" ht="13.5" hidden="1" customHeight="1" spans="1:66">
      <c r="A189" s="3407" t="s">
        <v>6463</v>
      </c>
      <c r="B189" s="3408"/>
      <c r="C189" s="3409"/>
      <c r="D189" s="3409"/>
      <c r="E189" s="3408"/>
      <c r="F189" s="3410"/>
      <c r="G189" s="3410"/>
      <c r="H189" s="3411">
        <f t="shared" si="2"/>
        <v>0</v>
      </c>
      <c r="I189" s="3396"/>
      <c r="J189" s="3396"/>
      <c r="K189" s="3396"/>
      <c r="L189" s="3396"/>
      <c r="M189" s="3396"/>
      <c r="N189" s="3396"/>
      <c r="O189" s="3396"/>
      <c r="P189" s="3396"/>
      <c r="Q189" s="3396"/>
      <c r="R189" s="3396"/>
      <c r="S189" s="3396"/>
      <c r="T189" s="3396"/>
      <c r="U189" s="3396"/>
      <c r="V189" s="3396"/>
      <c r="W189" s="3396"/>
      <c r="X189" s="3396"/>
      <c r="Y189" s="3396"/>
      <c r="Z189" s="3396"/>
      <c r="AA189" s="3396"/>
      <c r="AB189" s="3396"/>
      <c r="AC189" s="3396"/>
      <c r="AD189" s="3396"/>
      <c r="AE189" s="3396"/>
      <c r="AF189" s="3396"/>
      <c r="AG189" s="3396"/>
      <c r="AH189" s="3396"/>
      <c r="AI189" s="3396"/>
      <c r="AJ189" s="3396"/>
      <c r="AK189" s="3396"/>
      <c r="AL189" s="3396"/>
      <c r="AM189" s="3396"/>
      <c r="AN189" s="3396"/>
      <c r="AO189" s="3396"/>
      <c r="AP189" s="3396"/>
      <c r="AQ189" s="3396"/>
      <c r="AR189" s="3396"/>
      <c r="AS189" s="3396"/>
      <c r="AT189" s="3396"/>
      <c r="AU189" s="3396"/>
      <c r="AV189" s="3396"/>
      <c r="AW189" s="3396"/>
      <c r="AX189" s="3396"/>
      <c r="AY189" s="3396"/>
      <c r="AZ189" s="3396"/>
      <c r="BA189" s="3396"/>
      <c r="BB189" s="3396"/>
      <c r="BC189" s="3396"/>
      <c r="BD189" s="3396"/>
      <c r="BE189" s="3396"/>
      <c r="BF189" s="3396"/>
      <c r="BG189" s="3396"/>
      <c r="BH189" s="3396"/>
      <c r="BI189" s="3396"/>
      <c r="BJ189" s="3396"/>
      <c r="BK189" s="3396"/>
      <c r="BL189" s="3396"/>
      <c r="BM189" s="3396"/>
      <c r="BN189" s="3396"/>
    </row>
    <row r="190" s="687" customFormat="1" ht="13.5" hidden="1" customHeight="1" spans="1:66">
      <c r="A190" s="3407" t="s">
        <v>6464</v>
      </c>
      <c r="B190" s="3408"/>
      <c r="C190" s="3409"/>
      <c r="D190" s="3409"/>
      <c r="E190" s="3408"/>
      <c r="F190" s="3410"/>
      <c r="G190" s="3410"/>
      <c r="H190" s="3411">
        <f t="shared" si="2"/>
        <v>0</v>
      </c>
      <c r="I190" s="3396"/>
      <c r="J190" s="3396"/>
      <c r="K190" s="3396"/>
      <c r="L190" s="3396"/>
      <c r="M190" s="3396"/>
      <c r="N190" s="3396"/>
      <c r="O190" s="3396"/>
      <c r="P190" s="3396"/>
      <c r="Q190" s="3396"/>
      <c r="R190" s="3396"/>
      <c r="S190" s="3396"/>
      <c r="T190" s="3396"/>
      <c r="U190" s="3396"/>
      <c r="V190" s="3396"/>
      <c r="W190" s="3396"/>
      <c r="X190" s="3396"/>
      <c r="Y190" s="3396"/>
      <c r="Z190" s="3396"/>
      <c r="AA190" s="3396"/>
      <c r="AB190" s="3396"/>
      <c r="AC190" s="3396"/>
      <c r="AD190" s="3396"/>
      <c r="AE190" s="3396"/>
      <c r="AF190" s="3396"/>
      <c r="AG190" s="3396"/>
      <c r="AH190" s="3396"/>
      <c r="AI190" s="3396"/>
      <c r="AJ190" s="3396"/>
      <c r="AK190" s="3396"/>
      <c r="AL190" s="3396"/>
      <c r="AM190" s="3396"/>
      <c r="AN190" s="3396"/>
      <c r="AO190" s="3396"/>
      <c r="AP190" s="3396"/>
      <c r="AQ190" s="3396"/>
      <c r="AR190" s="3396"/>
      <c r="AS190" s="3396"/>
      <c r="AT190" s="3396"/>
      <c r="AU190" s="3396"/>
      <c r="AV190" s="3396"/>
      <c r="AW190" s="3396"/>
      <c r="AX190" s="3396"/>
      <c r="AY190" s="3396"/>
      <c r="AZ190" s="3396"/>
      <c r="BA190" s="3396"/>
      <c r="BB190" s="3396"/>
      <c r="BC190" s="3396"/>
      <c r="BD190" s="3396"/>
      <c r="BE190" s="3396"/>
      <c r="BF190" s="3396"/>
      <c r="BG190" s="3396"/>
      <c r="BH190" s="3396"/>
      <c r="BI190" s="3396"/>
      <c r="BJ190" s="3396"/>
      <c r="BK190" s="3396"/>
      <c r="BL190" s="3396"/>
      <c r="BM190" s="3396"/>
      <c r="BN190" s="3396"/>
    </row>
    <row r="191" s="687" customFormat="1" ht="13.5" hidden="1" customHeight="1" spans="1:66">
      <c r="A191" s="3407" t="s">
        <v>6465</v>
      </c>
      <c r="B191" s="3408"/>
      <c r="C191" s="3409"/>
      <c r="D191" s="3409"/>
      <c r="E191" s="3408"/>
      <c r="F191" s="3410"/>
      <c r="G191" s="3410"/>
      <c r="H191" s="3411">
        <f t="shared" si="2"/>
        <v>0</v>
      </c>
      <c r="I191" s="3396"/>
      <c r="J191" s="3396"/>
      <c r="K191" s="3396"/>
      <c r="L191" s="3396"/>
      <c r="M191" s="3396"/>
      <c r="N191" s="3396"/>
      <c r="O191" s="3396"/>
      <c r="P191" s="3396"/>
      <c r="Q191" s="3396"/>
      <c r="R191" s="3396"/>
      <c r="S191" s="3396"/>
      <c r="T191" s="3396"/>
      <c r="U191" s="3396"/>
      <c r="V191" s="3396"/>
      <c r="W191" s="3396"/>
      <c r="X191" s="3396"/>
      <c r="Y191" s="3396"/>
      <c r="Z191" s="3396"/>
      <c r="AA191" s="3396"/>
      <c r="AB191" s="3396"/>
      <c r="AC191" s="3396"/>
      <c r="AD191" s="3396"/>
      <c r="AE191" s="3396"/>
      <c r="AF191" s="3396"/>
      <c r="AG191" s="3396"/>
      <c r="AH191" s="3396"/>
      <c r="AI191" s="3396"/>
      <c r="AJ191" s="3396"/>
      <c r="AK191" s="3396"/>
      <c r="AL191" s="3396"/>
      <c r="AM191" s="3396"/>
      <c r="AN191" s="3396"/>
      <c r="AO191" s="3396"/>
      <c r="AP191" s="3396"/>
      <c r="AQ191" s="3396"/>
      <c r="AR191" s="3396"/>
      <c r="AS191" s="3396"/>
      <c r="AT191" s="3396"/>
      <c r="AU191" s="3396"/>
      <c r="AV191" s="3396"/>
      <c r="AW191" s="3396"/>
      <c r="AX191" s="3396"/>
      <c r="AY191" s="3396"/>
      <c r="AZ191" s="3396"/>
      <c r="BA191" s="3396"/>
      <c r="BB191" s="3396"/>
      <c r="BC191" s="3396"/>
      <c r="BD191" s="3396"/>
      <c r="BE191" s="3396"/>
      <c r="BF191" s="3396"/>
      <c r="BG191" s="3396"/>
      <c r="BH191" s="3396"/>
      <c r="BI191" s="3396"/>
      <c r="BJ191" s="3396"/>
      <c r="BK191" s="3396"/>
      <c r="BL191" s="3396"/>
      <c r="BM191" s="3396"/>
      <c r="BN191" s="3396"/>
    </row>
    <row r="192" s="687" customFormat="1" ht="13.5" hidden="1" customHeight="1" spans="1:66">
      <c r="A192" s="3407" t="s">
        <v>6466</v>
      </c>
      <c r="B192" s="3408"/>
      <c r="C192" s="3409"/>
      <c r="D192" s="3409"/>
      <c r="E192" s="3408"/>
      <c r="F192" s="3410"/>
      <c r="G192" s="3410"/>
      <c r="H192" s="3411">
        <f t="shared" si="2"/>
        <v>0</v>
      </c>
      <c r="I192" s="3396"/>
      <c r="J192" s="3396"/>
      <c r="K192" s="3396"/>
      <c r="L192" s="3396"/>
      <c r="M192" s="3396"/>
      <c r="N192" s="3396"/>
      <c r="O192" s="3396"/>
      <c r="P192" s="3396"/>
      <c r="Q192" s="3396"/>
      <c r="R192" s="3396"/>
      <c r="S192" s="3396"/>
      <c r="T192" s="3396"/>
      <c r="U192" s="3396"/>
      <c r="V192" s="3396"/>
      <c r="W192" s="3396"/>
      <c r="X192" s="3396"/>
      <c r="Y192" s="3396"/>
      <c r="Z192" s="3396"/>
      <c r="AA192" s="3396"/>
      <c r="AB192" s="3396"/>
      <c r="AC192" s="3396"/>
      <c r="AD192" s="3396"/>
      <c r="AE192" s="3396"/>
      <c r="AF192" s="3396"/>
      <c r="AG192" s="3396"/>
      <c r="AH192" s="3396"/>
      <c r="AI192" s="3396"/>
      <c r="AJ192" s="3396"/>
      <c r="AK192" s="3396"/>
      <c r="AL192" s="3396"/>
      <c r="AM192" s="3396"/>
      <c r="AN192" s="3396"/>
      <c r="AO192" s="3396"/>
      <c r="AP192" s="3396"/>
      <c r="AQ192" s="3396"/>
      <c r="AR192" s="3396"/>
      <c r="AS192" s="3396"/>
      <c r="AT192" s="3396"/>
      <c r="AU192" s="3396"/>
      <c r="AV192" s="3396"/>
      <c r="AW192" s="3396"/>
      <c r="AX192" s="3396"/>
      <c r="AY192" s="3396"/>
      <c r="AZ192" s="3396"/>
      <c r="BA192" s="3396"/>
      <c r="BB192" s="3396"/>
      <c r="BC192" s="3396"/>
      <c r="BD192" s="3396"/>
      <c r="BE192" s="3396"/>
      <c r="BF192" s="3396"/>
      <c r="BG192" s="3396"/>
      <c r="BH192" s="3396"/>
      <c r="BI192" s="3396"/>
      <c r="BJ192" s="3396"/>
      <c r="BK192" s="3396"/>
      <c r="BL192" s="3396"/>
      <c r="BM192" s="3396"/>
      <c r="BN192" s="3396"/>
    </row>
    <row r="193" s="687" customFormat="1" ht="13.5" hidden="1" customHeight="1" spans="1:66">
      <c r="A193" s="3407" t="s">
        <v>6467</v>
      </c>
      <c r="B193" s="3408"/>
      <c r="C193" s="3409"/>
      <c r="D193" s="3409"/>
      <c r="E193" s="3408"/>
      <c r="F193" s="3410"/>
      <c r="G193" s="3410"/>
      <c r="H193" s="3411">
        <f t="shared" si="2"/>
        <v>0</v>
      </c>
      <c r="I193" s="3396"/>
      <c r="J193" s="3396"/>
      <c r="K193" s="3396"/>
      <c r="L193" s="3396"/>
      <c r="M193" s="3396"/>
      <c r="N193" s="3396"/>
      <c r="O193" s="3396"/>
      <c r="P193" s="3396"/>
      <c r="Q193" s="3396"/>
      <c r="R193" s="3396"/>
      <c r="S193" s="3396"/>
      <c r="T193" s="3396"/>
      <c r="U193" s="3396"/>
      <c r="V193" s="3396"/>
      <c r="W193" s="3396"/>
      <c r="X193" s="3396"/>
      <c r="Y193" s="3396"/>
      <c r="Z193" s="3396"/>
      <c r="AA193" s="3396"/>
      <c r="AB193" s="3396"/>
      <c r="AC193" s="3396"/>
      <c r="AD193" s="3396"/>
      <c r="AE193" s="3396"/>
      <c r="AF193" s="3396"/>
      <c r="AG193" s="3396"/>
      <c r="AH193" s="3396"/>
      <c r="AI193" s="3396"/>
      <c r="AJ193" s="3396"/>
      <c r="AK193" s="3396"/>
      <c r="AL193" s="3396"/>
      <c r="AM193" s="3396"/>
      <c r="AN193" s="3396"/>
      <c r="AO193" s="3396"/>
      <c r="AP193" s="3396"/>
      <c r="AQ193" s="3396"/>
      <c r="AR193" s="3396"/>
      <c r="AS193" s="3396"/>
      <c r="AT193" s="3396"/>
      <c r="AU193" s="3396"/>
      <c r="AV193" s="3396"/>
      <c r="AW193" s="3396"/>
      <c r="AX193" s="3396"/>
      <c r="AY193" s="3396"/>
      <c r="AZ193" s="3396"/>
      <c r="BA193" s="3396"/>
      <c r="BB193" s="3396"/>
      <c r="BC193" s="3396"/>
      <c r="BD193" s="3396"/>
      <c r="BE193" s="3396"/>
      <c r="BF193" s="3396"/>
      <c r="BG193" s="3396"/>
      <c r="BH193" s="3396"/>
      <c r="BI193" s="3396"/>
      <c r="BJ193" s="3396"/>
      <c r="BK193" s="3396"/>
      <c r="BL193" s="3396"/>
      <c r="BM193" s="3396"/>
      <c r="BN193" s="3396"/>
    </row>
    <row r="194" s="687" customFormat="1" ht="13.5" hidden="1" customHeight="1" spans="1:66">
      <c r="A194" s="3407" t="s">
        <v>6468</v>
      </c>
      <c r="B194" s="3408"/>
      <c r="C194" s="3409"/>
      <c r="D194" s="3409"/>
      <c r="E194" s="3408"/>
      <c r="F194" s="3410"/>
      <c r="G194" s="3410"/>
      <c r="H194" s="3411">
        <f t="shared" si="2"/>
        <v>0</v>
      </c>
      <c r="I194" s="3396"/>
      <c r="J194" s="3396"/>
      <c r="K194" s="3396"/>
      <c r="L194" s="3396"/>
      <c r="M194" s="3396"/>
      <c r="N194" s="3396"/>
      <c r="O194" s="3396"/>
      <c r="P194" s="3396"/>
      <c r="Q194" s="3396"/>
      <c r="R194" s="3396"/>
      <c r="S194" s="3396"/>
      <c r="T194" s="3396"/>
      <c r="U194" s="3396"/>
      <c r="V194" s="3396"/>
      <c r="W194" s="3396"/>
      <c r="X194" s="3396"/>
      <c r="Y194" s="3396"/>
      <c r="Z194" s="3396"/>
      <c r="AA194" s="3396"/>
      <c r="AB194" s="3396"/>
      <c r="AC194" s="3396"/>
      <c r="AD194" s="3396"/>
      <c r="AE194" s="3396"/>
      <c r="AF194" s="3396"/>
      <c r="AG194" s="3396"/>
      <c r="AH194" s="3396"/>
      <c r="AI194" s="3396"/>
      <c r="AJ194" s="3396"/>
      <c r="AK194" s="3396"/>
      <c r="AL194" s="3396"/>
      <c r="AM194" s="3396"/>
      <c r="AN194" s="3396"/>
      <c r="AO194" s="3396"/>
      <c r="AP194" s="3396"/>
      <c r="AQ194" s="3396"/>
      <c r="AR194" s="3396"/>
      <c r="AS194" s="3396"/>
      <c r="AT194" s="3396"/>
      <c r="AU194" s="3396"/>
      <c r="AV194" s="3396"/>
      <c r="AW194" s="3396"/>
      <c r="AX194" s="3396"/>
      <c r="AY194" s="3396"/>
      <c r="AZ194" s="3396"/>
      <c r="BA194" s="3396"/>
      <c r="BB194" s="3396"/>
      <c r="BC194" s="3396"/>
      <c r="BD194" s="3396"/>
      <c r="BE194" s="3396"/>
      <c r="BF194" s="3396"/>
      <c r="BG194" s="3396"/>
      <c r="BH194" s="3396"/>
      <c r="BI194" s="3396"/>
      <c r="BJ194" s="3396"/>
      <c r="BK194" s="3396"/>
      <c r="BL194" s="3396"/>
      <c r="BM194" s="3396"/>
      <c r="BN194" s="3396"/>
    </row>
    <row r="195" s="687" customFormat="1" ht="13.5" hidden="1" customHeight="1" spans="1:66">
      <c r="A195" s="3407" t="s">
        <v>6469</v>
      </c>
      <c r="B195" s="3408"/>
      <c r="C195" s="3409"/>
      <c r="D195" s="3409"/>
      <c r="E195" s="3408"/>
      <c r="F195" s="3410"/>
      <c r="G195" s="3410"/>
      <c r="H195" s="3411">
        <f t="shared" si="2"/>
        <v>0</v>
      </c>
      <c r="I195" s="3396"/>
      <c r="J195" s="3396"/>
      <c r="K195" s="3396"/>
      <c r="L195" s="3396"/>
      <c r="M195" s="3396"/>
      <c r="N195" s="3396"/>
      <c r="O195" s="3396"/>
      <c r="P195" s="3396"/>
      <c r="Q195" s="3396"/>
      <c r="R195" s="3396"/>
      <c r="S195" s="3396"/>
      <c r="T195" s="3396"/>
      <c r="U195" s="3396"/>
      <c r="V195" s="3396"/>
      <c r="W195" s="3396"/>
      <c r="X195" s="3396"/>
      <c r="Y195" s="3396"/>
      <c r="Z195" s="3396"/>
      <c r="AA195" s="3396"/>
      <c r="AB195" s="3396"/>
      <c r="AC195" s="3396"/>
      <c r="AD195" s="3396"/>
      <c r="AE195" s="3396"/>
      <c r="AF195" s="3396"/>
      <c r="AG195" s="3396"/>
      <c r="AH195" s="3396"/>
      <c r="AI195" s="3396"/>
      <c r="AJ195" s="3396"/>
      <c r="AK195" s="3396"/>
      <c r="AL195" s="3396"/>
      <c r="AM195" s="3396"/>
      <c r="AN195" s="3396"/>
      <c r="AO195" s="3396"/>
      <c r="AP195" s="3396"/>
      <c r="AQ195" s="3396"/>
      <c r="AR195" s="3396"/>
      <c r="AS195" s="3396"/>
      <c r="AT195" s="3396"/>
      <c r="AU195" s="3396"/>
      <c r="AV195" s="3396"/>
      <c r="AW195" s="3396"/>
      <c r="AX195" s="3396"/>
      <c r="AY195" s="3396"/>
      <c r="AZ195" s="3396"/>
      <c r="BA195" s="3396"/>
      <c r="BB195" s="3396"/>
      <c r="BC195" s="3396"/>
      <c r="BD195" s="3396"/>
      <c r="BE195" s="3396"/>
      <c r="BF195" s="3396"/>
      <c r="BG195" s="3396"/>
      <c r="BH195" s="3396"/>
      <c r="BI195" s="3396"/>
      <c r="BJ195" s="3396"/>
      <c r="BK195" s="3396"/>
      <c r="BL195" s="3396"/>
      <c r="BM195" s="3396"/>
      <c r="BN195" s="3396"/>
    </row>
    <row r="196" s="687" customFormat="1" ht="13.5" hidden="1" customHeight="1" spans="1:66">
      <c r="A196" s="3407" t="s">
        <v>6470</v>
      </c>
      <c r="B196" s="3408"/>
      <c r="C196" s="3409"/>
      <c r="D196" s="3409"/>
      <c r="E196" s="3408"/>
      <c r="F196" s="3410"/>
      <c r="G196" s="3410"/>
      <c r="H196" s="3411">
        <f t="shared" si="2"/>
        <v>0</v>
      </c>
      <c r="I196" s="3396"/>
      <c r="J196" s="3396"/>
      <c r="K196" s="3396"/>
      <c r="L196" s="3396"/>
      <c r="M196" s="3396"/>
      <c r="N196" s="3396"/>
      <c r="O196" s="3396"/>
      <c r="P196" s="3396"/>
      <c r="Q196" s="3396"/>
      <c r="R196" s="3396"/>
      <c r="S196" s="3396"/>
      <c r="T196" s="3396"/>
      <c r="U196" s="3396"/>
      <c r="V196" s="3396"/>
      <c r="W196" s="3396"/>
      <c r="X196" s="3396"/>
      <c r="Y196" s="3396"/>
      <c r="Z196" s="3396"/>
      <c r="AA196" s="3396"/>
      <c r="AB196" s="3396"/>
      <c r="AC196" s="3396"/>
      <c r="AD196" s="3396"/>
      <c r="AE196" s="3396"/>
      <c r="AF196" s="3396"/>
      <c r="AG196" s="3396"/>
      <c r="AH196" s="3396"/>
      <c r="AI196" s="3396"/>
      <c r="AJ196" s="3396"/>
      <c r="AK196" s="3396"/>
      <c r="AL196" s="3396"/>
      <c r="AM196" s="3396"/>
      <c r="AN196" s="3396"/>
      <c r="AO196" s="3396"/>
      <c r="AP196" s="3396"/>
      <c r="AQ196" s="3396"/>
      <c r="AR196" s="3396"/>
      <c r="AS196" s="3396"/>
      <c r="AT196" s="3396"/>
      <c r="AU196" s="3396"/>
      <c r="AV196" s="3396"/>
      <c r="AW196" s="3396"/>
      <c r="AX196" s="3396"/>
      <c r="AY196" s="3396"/>
      <c r="AZ196" s="3396"/>
      <c r="BA196" s="3396"/>
      <c r="BB196" s="3396"/>
      <c r="BC196" s="3396"/>
      <c r="BD196" s="3396"/>
      <c r="BE196" s="3396"/>
      <c r="BF196" s="3396"/>
      <c r="BG196" s="3396"/>
      <c r="BH196" s="3396"/>
      <c r="BI196" s="3396"/>
      <c r="BJ196" s="3396"/>
      <c r="BK196" s="3396"/>
      <c r="BL196" s="3396"/>
      <c r="BM196" s="3396"/>
      <c r="BN196" s="3396"/>
    </row>
    <row r="197" s="687" customFormat="1" ht="13.5" hidden="1" customHeight="1" spans="1:66">
      <c r="A197" s="3407" t="s">
        <v>6471</v>
      </c>
      <c r="B197" s="3408"/>
      <c r="C197" s="3409"/>
      <c r="D197" s="3409"/>
      <c r="E197" s="3408"/>
      <c r="F197" s="3410"/>
      <c r="G197" s="3410"/>
      <c r="H197" s="3411">
        <f t="shared" si="2"/>
        <v>0</v>
      </c>
      <c r="I197" s="3396"/>
      <c r="J197" s="3396"/>
      <c r="K197" s="3396"/>
      <c r="L197" s="3396"/>
      <c r="M197" s="3396"/>
      <c r="N197" s="3396"/>
      <c r="O197" s="3396"/>
      <c r="P197" s="3396"/>
      <c r="Q197" s="3396"/>
      <c r="R197" s="3396"/>
      <c r="S197" s="3396"/>
      <c r="T197" s="3396"/>
      <c r="U197" s="3396"/>
      <c r="V197" s="3396"/>
      <c r="W197" s="3396"/>
      <c r="X197" s="3396"/>
      <c r="Y197" s="3396"/>
      <c r="Z197" s="3396"/>
      <c r="AA197" s="3396"/>
      <c r="AB197" s="3396"/>
      <c r="AC197" s="3396"/>
      <c r="AD197" s="3396"/>
      <c r="AE197" s="3396"/>
      <c r="AF197" s="3396"/>
      <c r="AG197" s="3396"/>
      <c r="AH197" s="3396"/>
      <c r="AI197" s="3396"/>
      <c r="AJ197" s="3396"/>
      <c r="AK197" s="3396"/>
      <c r="AL197" s="3396"/>
      <c r="AM197" s="3396"/>
      <c r="AN197" s="3396"/>
      <c r="AO197" s="3396"/>
      <c r="AP197" s="3396"/>
      <c r="AQ197" s="3396"/>
      <c r="AR197" s="3396"/>
      <c r="AS197" s="3396"/>
      <c r="AT197" s="3396"/>
      <c r="AU197" s="3396"/>
      <c r="AV197" s="3396"/>
      <c r="AW197" s="3396"/>
      <c r="AX197" s="3396"/>
      <c r="AY197" s="3396"/>
      <c r="AZ197" s="3396"/>
      <c r="BA197" s="3396"/>
      <c r="BB197" s="3396"/>
      <c r="BC197" s="3396"/>
      <c r="BD197" s="3396"/>
      <c r="BE197" s="3396"/>
      <c r="BF197" s="3396"/>
      <c r="BG197" s="3396"/>
      <c r="BH197" s="3396"/>
      <c r="BI197" s="3396"/>
      <c r="BJ197" s="3396"/>
      <c r="BK197" s="3396"/>
      <c r="BL197" s="3396"/>
      <c r="BM197" s="3396"/>
      <c r="BN197" s="3396"/>
    </row>
    <row r="198" s="687" customFormat="1" ht="13.5" hidden="1" customHeight="1" spans="1:66">
      <c r="A198" s="3407" t="s">
        <v>6472</v>
      </c>
      <c r="B198" s="3408"/>
      <c r="C198" s="3409"/>
      <c r="D198" s="3409"/>
      <c r="E198" s="3408"/>
      <c r="F198" s="3410"/>
      <c r="G198" s="3410"/>
      <c r="H198" s="3411">
        <f t="shared" si="2"/>
        <v>0</v>
      </c>
      <c r="I198" s="3396"/>
      <c r="J198" s="3396"/>
      <c r="K198" s="3396"/>
      <c r="L198" s="3396"/>
      <c r="M198" s="3396"/>
      <c r="N198" s="3396"/>
      <c r="O198" s="3396"/>
      <c r="P198" s="3396"/>
      <c r="Q198" s="3396"/>
      <c r="R198" s="3396"/>
      <c r="S198" s="3396"/>
      <c r="T198" s="3396"/>
      <c r="U198" s="3396"/>
      <c r="V198" s="3396"/>
      <c r="W198" s="3396"/>
      <c r="X198" s="3396"/>
      <c r="Y198" s="3396"/>
      <c r="Z198" s="3396"/>
      <c r="AA198" s="3396"/>
      <c r="AB198" s="3396"/>
      <c r="AC198" s="3396"/>
      <c r="AD198" s="3396"/>
      <c r="AE198" s="3396"/>
      <c r="AF198" s="3396"/>
      <c r="AG198" s="3396"/>
      <c r="AH198" s="3396"/>
      <c r="AI198" s="3396"/>
      <c r="AJ198" s="3396"/>
      <c r="AK198" s="3396"/>
      <c r="AL198" s="3396"/>
      <c r="AM198" s="3396"/>
      <c r="AN198" s="3396"/>
      <c r="AO198" s="3396"/>
      <c r="AP198" s="3396"/>
      <c r="AQ198" s="3396"/>
      <c r="AR198" s="3396"/>
      <c r="AS198" s="3396"/>
      <c r="AT198" s="3396"/>
      <c r="AU198" s="3396"/>
      <c r="AV198" s="3396"/>
      <c r="AW198" s="3396"/>
      <c r="AX198" s="3396"/>
      <c r="AY198" s="3396"/>
      <c r="AZ198" s="3396"/>
      <c r="BA198" s="3396"/>
      <c r="BB198" s="3396"/>
      <c r="BC198" s="3396"/>
      <c r="BD198" s="3396"/>
      <c r="BE198" s="3396"/>
      <c r="BF198" s="3396"/>
      <c r="BG198" s="3396"/>
      <c r="BH198" s="3396"/>
      <c r="BI198" s="3396"/>
      <c r="BJ198" s="3396"/>
      <c r="BK198" s="3396"/>
      <c r="BL198" s="3396"/>
      <c r="BM198" s="3396"/>
      <c r="BN198" s="3396"/>
    </row>
    <row r="199" s="687" customFormat="1" ht="13.5" hidden="1" customHeight="1" spans="1:66">
      <c r="A199" s="3407" t="s">
        <v>6473</v>
      </c>
      <c r="B199" s="3408"/>
      <c r="C199" s="3409"/>
      <c r="D199" s="3409"/>
      <c r="E199" s="3408"/>
      <c r="F199" s="3410"/>
      <c r="G199" s="3410"/>
      <c r="H199" s="3411">
        <f t="shared" ref="H199:H204" si="3">F199+G199</f>
        <v>0</v>
      </c>
      <c r="I199" s="3396"/>
      <c r="J199" s="3396"/>
      <c r="K199" s="3396"/>
      <c r="L199" s="3396"/>
      <c r="M199" s="3396"/>
      <c r="N199" s="3396"/>
      <c r="O199" s="3396"/>
      <c r="P199" s="3396"/>
      <c r="Q199" s="3396"/>
      <c r="R199" s="3396"/>
      <c r="S199" s="3396"/>
      <c r="T199" s="3396"/>
      <c r="U199" s="3396"/>
      <c r="V199" s="3396"/>
      <c r="W199" s="3396"/>
      <c r="X199" s="3396"/>
      <c r="Y199" s="3396"/>
      <c r="Z199" s="3396"/>
      <c r="AA199" s="3396"/>
      <c r="AB199" s="3396"/>
      <c r="AC199" s="3396"/>
      <c r="AD199" s="3396"/>
      <c r="AE199" s="3396"/>
      <c r="AF199" s="3396"/>
      <c r="AG199" s="3396"/>
      <c r="AH199" s="3396"/>
      <c r="AI199" s="3396"/>
      <c r="AJ199" s="3396"/>
      <c r="AK199" s="3396"/>
      <c r="AL199" s="3396"/>
      <c r="AM199" s="3396"/>
      <c r="AN199" s="3396"/>
      <c r="AO199" s="3396"/>
      <c r="AP199" s="3396"/>
      <c r="AQ199" s="3396"/>
      <c r="AR199" s="3396"/>
      <c r="AS199" s="3396"/>
      <c r="AT199" s="3396"/>
      <c r="AU199" s="3396"/>
      <c r="AV199" s="3396"/>
      <c r="AW199" s="3396"/>
      <c r="AX199" s="3396"/>
      <c r="AY199" s="3396"/>
      <c r="AZ199" s="3396"/>
      <c r="BA199" s="3396"/>
      <c r="BB199" s="3396"/>
      <c r="BC199" s="3396"/>
      <c r="BD199" s="3396"/>
      <c r="BE199" s="3396"/>
      <c r="BF199" s="3396"/>
      <c r="BG199" s="3396"/>
      <c r="BH199" s="3396"/>
      <c r="BI199" s="3396"/>
      <c r="BJ199" s="3396"/>
      <c r="BK199" s="3396"/>
      <c r="BL199" s="3396"/>
      <c r="BM199" s="3396"/>
      <c r="BN199" s="3396"/>
    </row>
    <row r="200" s="687" customFormat="1" ht="13.5" hidden="1" customHeight="1" spans="1:66">
      <c r="A200" s="3407" t="s">
        <v>6474</v>
      </c>
      <c r="B200" s="3408"/>
      <c r="C200" s="3409"/>
      <c r="D200" s="3409"/>
      <c r="E200" s="3408"/>
      <c r="F200" s="3410"/>
      <c r="G200" s="3410"/>
      <c r="H200" s="3411">
        <f t="shared" si="3"/>
        <v>0</v>
      </c>
      <c r="I200" s="3396"/>
      <c r="J200" s="3396"/>
      <c r="K200" s="3396"/>
      <c r="L200" s="3396"/>
      <c r="M200" s="3396"/>
      <c r="N200" s="3396"/>
      <c r="O200" s="3396"/>
      <c r="P200" s="3396"/>
      <c r="Q200" s="3396"/>
      <c r="R200" s="3396"/>
      <c r="S200" s="3396"/>
      <c r="T200" s="3396"/>
      <c r="U200" s="3396"/>
      <c r="V200" s="3396"/>
      <c r="W200" s="3396"/>
      <c r="X200" s="3396"/>
      <c r="Y200" s="3396"/>
      <c r="Z200" s="3396"/>
      <c r="AA200" s="3396"/>
      <c r="AB200" s="3396"/>
      <c r="AC200" s="3396"/>
      <c r="AD200" s="3396"/>
      <c r="AE200" s="3396"/>
      <c r="AF200" s="3396"/>
      <c r="AG200" s="3396"/>
      <c r="AH200" s="3396"/>
      <c r="AI200" s="3396"/>
      <c r="AJ200" s="3396"/>
      <c r="AK200" s="3396"/>
      <c r="AL200" s="3396"/>
      <c r="AM200" s="3396"/>
      <c r="AN200" s="3396"/>
      <c r="AO200" s="3396"/>
      <c r="AP200" s="3396"/>
      <c r="AQ200" s="3396"/>
      <c r="AR200" s="3396"/>
      <c r="AS200" s="3396"/>
      <c r="AT200" s="3396"/>
      <c r="AU200" s="3396"/>
      <c r="AV200" s="3396"/>
      <c r="AW200" s="3396"/>
      <c r="AX200" s="3396"/>
      <c r="AY200" s="3396"/>
      <c r="AZ200" s="3396"/>
      <c r="BA200" s="3396"/>
      <c r="BB200" s="3396"/>
      <c r="BC200" s="3396"/>
      <c r="BD200" s="3396"/>
      <c r="BE200" s="3396"/>
      <c r="BF200" s="3396"/>
      <c r="BG200" s="3396"/>
      <c r="BH200" s="3396"/>
      <c r="BI200" s="3396"/>
      <c r="BJ200" s="3396"/>
      <c r="BK200" s="3396"/>
      <c r="BL200" s="3396"/>
      <c r="BM200" s="3396"/>
      <c r="BN200" s="3396"/>
    </row>
    <row r="201" s="687" customFormat="1" ht="13.5" hidden="1" customHeight="1" spans="1:66">
      <c r="A201" s="3407" t="s">
        <v>6475</v>
      </c>
      <c r="B201" s="3408"/>
      <c r="C201" s="3409"/>
      <c r="D201" s="3409"/>
      <c r="E201" s="3408"/>
      <c r="F201" s="3410"/>
      <c r="G201" s="3410"/>
      <c r="H201" s="3411">
        <f t="shared" si="3"/>
        <v>0</v>
      </c>
      <c r="I201" s="3396"/>
      <c r="J201" s="3396"/>
      <c r="K201" s="3396"/>
      <c r="L201" s="3396"/>
      <c r="M201" s="3396"/>
      <c r="N201" s="3396"/>
      <c r="O201" s="3396"/>
      <c r="P201" s="3396"/>
      <c r="Q201" s="3396"/>
      <c r="R201" s="3396"/>
      <c r="S201" s="3396"/>
      <c r="T201" s="3396"/>
      <c r="U201" s="3396"/>
      <c r="V201" s="3396"/>
      <c r="W201" s="3396"/>
      <c r="X201" s="3396"/>
      <c r="Y201" s="3396"/>
      <c r="Z201" s="3396"/>
      <c r="AA201" s="3396"/>
      <c r="AB201" s="3396"/>
      <c r="AC201" s="3396"/>
      <c r="AD201" s="3396"/>
      <c r="AE201" s="3396"/>
      <c r="AF201" s="3396"/>
      <c r="AG201" s="3396"/>
      <c r="AH201" s="3396"/>
      <c r="AI201" s="3396"/>
      <c r="AJ201" s="3396"/>
      <c r="AK201" s="3396"/>
      <c r="AL201" s="3396"/>
      <c r="AM201" s="3396"/>
      <c r="AN201" s="3396"/>
      <c r="AO201" s="3396"/>
      <c r="AP201" s="3396"/>
      <c r="AQ201" s="3396"/>
      <c r="AR201" s="3396"/>
      <c r="AS201" s="3396"/>
      <c r="AT201" s="3396"/>
      <c r="AU201" s="3396"/>
      <c r="AV201" s="3396"/>
      <c r="AW201" s="3396"/>
      <c r="AX201" s="3396"/>
      <c r="AY201" s="3396"/>
      <c r="AZ201" s="3396"/>
      <c r="BA201" s="3396"/>
      <c r="BB201" s="3396"/>
      <c r="BC201" s="3396"/>
      <c r="BD201" s="3396"/>
      <c r="BE201" s="3396"/>
      <c r="BF201" s="3396"/>
      <c r="BG201" s="3396"/>
      <c r="BH201" s="3396"/>
      <c r="BI201" s="3396"/>
      <c r="BJ201" s="3396"/>
      <c r="BK201" s="3396"/>
      <c r="BL201" s="3396"/>
      <c r="BM201" s="3396"/>
      <c r="BN201" s="3396"/>
    </row>
    <row r="202" s="687" customFormat="1" ht="13.5" hidden="1" customHeight="1" spans="1:66">
      <c r="A202" s="3407" t="s">
        <v>6476</v>
      </c>
      <c r="B202" s="3408"/>
      <c r="C202" s="3409"/>
      <c r="D202" s="3409"/>
      <c r="E202" s="3408"/>
      <c r="F202" s="3410"/>
      <c r="G202" s="3410"/>
      <c r="H202" s="3411">
        <f t="shared" si="3"/>
        <v>0</v>
      </c>
      <c r="I202" s="3396"/>
      <c r="J202" s="3396"/>
      <c r="K202" s="3396"/>
      <c r="L202" s="3396"/>
      <c r="M202" s="3396"/>
      <c r="N202" s="3396"/>
      <c r="O202" s="3396"/>
      <c r="P202" s="3396"/>
      <c r="Q202" s="3396"/>
      <c r="R202" s="3396"/>
      <c r="S202" s="3396"/>
      <c r="T202" s="3396"/>
      <c r="U202" s="3396"/>
      <c r="V202" s="3396"/>
      <c r="W202" s="3396"/>
      <c r="X202" s="3396"/>
      <c r="Y202" s="3396"/>
      <c r="Z202" s="3396"/>
      <c r="AA202" s="3396"/>
      <c r="AB202" s="3396"/>
      <c r="AC202" s="3396"/>
      <c r="AD202" s="3396"/>
      <c r="AE202" s="3396"/>
      <c r="AF202" s="3396"/>
      <c r="AG202" s="3396"/>
      <c r="AH202" s="3396"/>
      <c r="AI202" s="3396"/>
      <c r="AJ202" s="3396"/>
      <c r="AK202" s="3396"/>
      <c r="AL202" s="3396"/>
      <c r="AM202" s="3396"/>
      <c r="AN202" s="3396"/>
      <c r="AO202" s="3396"/>
      <c r="AP202" s="3396"/>
      <c r="AQ202" s="3396"/>
      <c r="AR202" s="3396"/>
      <c r="AS202" s="3396"/>
      <c r="AT202" s="3396"/>
      <c r="AU202" s="3396"/>
      <c r="AV202" s="3396"/>
      <c r="AW202" s="3396"/>
      <c r="AX202" s="3396"/>
      <c r="AY202" s="3396"/>
      <c r="AZ202" s="3396"/>
      <c r="BA202" s="3396"/>
      <c r="BB202" s="3396"/>
      <c r="BC202" s="3396"/>
      <c r="BD202" s="3396"/>
      <c r="BE202" s="3396"/>
      <c r="BF202" s="3396"/>
      <c r="BG202" s="3396"/>
      <c r="BH202" s="3396"/>
      <c r="BI202" s="3396"/>
      <c r="BJ202" s="3396"/>
      <c r="BK202" s="3396"/>
      <c r="BL202" s="3396"/>
      <c r="BM202" s="3396"/>
      <c r="BN202" s="3396"/>
    </row>
    <row r="203" s="687" customFormat="1" ht="13.5" hidden="1" customHeight="1" spans="1:66">
      <c r="A203" s="3407" t="s">
        <v>6477</v>
      </c>
      <c r="B203" s="3408"/>
      <c r="C203" s="3409"/>
      <c r="D203" s="3409"/>
      <c r="E203" s="3408"/>
      <c r="F203" s="3410"/>
      <c r="G203" s="3410"/>
      <c r="H203" s="3411">
        <f t="shared" si="3"/>
        <v>0</v>
      </c>
      <c r="I203" s="3396"/>
      <c r="J203" s="3396"/>
      <c r="K203" s="3396"/>
      <c r="L203" s="3396"/>
      <c r="M203" s="3396"/>
      <c r="N203" s="3396"/>
      <c r="O203" s="3396"/>
      <c r="P203" s="3396"/>
      <c r="Q203" s="3396"/>
      <c r="R203" s="3396"/>
      <c r="S203" s="3396"/>
      <c r="T203" s="3396"/>
      <c r="U203" s="3396"/>
      <c r="V203" s="3396"/>
      <c r="W203" s="3396"/>
      <c r="X203" s="3396"/>
      <c r="Y203" s="3396"/>
      <c r="Z203" s="3396"/>
      <c r="AA203" s="3396"/>
      <c r="AB203" s="3396"/>
      <c r="AC203" s="3396"/>
      <c r="AD203" s="3396"/>
      <c r="AE203" s="3396"/>
      <c r="AF203" s="3396"/>
      <c r="AG203" s="3396"/>
      <c r="AH203" s="3396"/>
      <c r="AI203" s="3396"/>
      <c r="AJ203" s="3396"/>
      <c r="AK203" s="3396"/>
      <c r="AL203" s="3396"/>
      <c r="AM203" s="3396"/>
      <c r="AN203" s="3396"/>
      <c r="AO203" s="3396"/>
      <c r="AP203" s="3396"/>
      <c r="AQ203" s="3396"/>
      <c r="AR203" s="3396"/>
      <c r="AS203" s="3396"/>
      <c r="AT203" s="3396"/>
      <c r="AU203" s="3396"/>
      <c r="AV203" s="3396"/>
      <c r="AW203" s="3396"/>
      <c r="AX203" s="3396"/>
      <c r="AY203" s="3396"/>
      <c r="AZ203" s="3396"/>
      <c r="BA203" s="3396"/>
      <c r="BB203" s="3396"/>
      <c r="BC203" s="3396"/>
      <c r="BD203" s="3396"/>
      <c r="BE203" s="3396"/>
      <c r="BF203" s="3396"/>
      <c r="BG203" s="3396"/>
      <c r="BH203" s="3396"/>
      <c r="BI203" s="3396"/>
      <c r="BJ203" s="3396"/>
      <c r="BK203" s="3396"/>
      <c r="BL203" s="3396"/>
      <c r="BM203" s="3396"/>
      <c r="BN203" s="3396"/>
    </row>
    <row r="204" s="687" customFormat="1" ht="13.5" hidden="1" customHeight="1" spans="1:66">
      <c r="A204" s="3407" t="s">
        <v>6478</v>
      </c>
      <c r="B204" s="3408"/>
      <c r="C204" s="3409"/>
      <c r="D204" s="3409"/>
      <c r="E204" s="3408"/>
      <c r="F204" s="3410"/>
      <c r="G204" s="3410"/>
      <c r="H204" s="3411">
        <f t="shared" si="3"/>
        <v>0</v>
      </c>
      <c r="I204" s="3396"/>
      <c r="J204" s="3396"/>
      <c r="K204" s="3396"/>
      <c r="L204" s="3396"/>
      <c r="M204" s="3396"/>
      <c r="N204" s="3396"/>
      <c r="O204" s="3396"/>
      <c r="P204" s="3396"/>
      <c r="Q204" s="3396"/>
      <c r="R204" s="3396"/>
      <c r="S204" s="3396"/>
      <c r="T204" s="3396"/>
      <c r="U204" s="3396"/>
      <c r="V204" s="3396"/>
      <c r="W204" s="3396"/>
      <c r="X204" s="3396"/>
      <c r="Y204" s="3396"/>
      <c r="Z204" s="3396"/>
      <c r="AA204" s="3396"/>
      <c r="AB204" s="3396"/>
      <c r="AC204" s="3396"/>
      <c r="AD204" s="3396"/>
      <c r="AE204" s="3396"/>
      <c r="AF204" s="3396"/>
      <c r="AG204" s="3396"/>
      <c r="AH204" s="3396"/>
      <c r="AI204" s="3396"/>
      <c r="AJ204" s="3396"/>
      <c r="AK204" s="3396"/>
      <c r="AL204" s="3396"/>
      <c r="AM204" s="3396"/>
      <c r="AN204" s="3396"/>
      <c r="AO204" s="3396"/>
      <c r="AP204" s="3396"/>
      <c r="AQ204" s="3396"/>
      <c r="AR204" s="3396"/>
      <c r="AS204" s="3396"/>
      <c r="AT204" s="3396"/>
      <c r="AU204" s="3396"/>
      <c r="AV204" s="3396"/>
      <c r="AW204" s="3396"/>
      <c r="AX204" s="3396"/>
      <c r="AY204" s="3396"/>
      <c r="AZ204" s="3396"/>
      <c r="BA204" s="3396"/>
      <c r="BB204" s="3396"/>
      <c r="BC204" s="3396"/>
      <c r="BD204" s="3396"/>
      <c r="BE204" s="3396"/>
      <c r="BF204" s="3396"/>
      <c r="BG204" s="3396"/>
      <c r="BH204" s="3396"/>
      <c r="BI204" s="3396"/>
      <c r="BJ204" s="3396"/>
      <c r="BK204" s="3396"/>
      <c r="BL204" s="3396"/>
      <c r="BM204" s="3396"/>
      <c r="BN204" s="3396"/>
    </row>
    <row r="205" s="687" customFormat="1" ht="18" customHeight="1" spans="1:66">
      <c r="A205" s="3413">
        <v>201</v>
      </c>
      <c r="B205" s="3414"/>
      <c r="C205" s="3415" t="s">
        <v>4671</v>
      </c>
      <c r="D205" s="3414"/>
      <c r="E205" s="3414"/>
      <c r="F205" s="3416">
        <f>SUM(F5:F204)</f>
        <v>20325.41</v>
      </c>
      <c r="G205" s="3416">
        <f>SUM(G5:G204)</f>
        <v>9131.67</v>
      </c>
      <c r="H205" s="3416">
        <f>SUM(H5:H204)</f>
        <v>29457.08</v>
      </c>
      <c r="I205" s="3396"/>
      <c r="J205" s="3396"/>
      <c r="K205" s="3396"/>
      <c r="L205" s="3396"/>
      <c r="M205" s="3396"/>
      <c r="N205" s="3396"/>
      <c r="O205" s="3396"/>
      <c r="P205" s="3396"/>
      <c r="Q205" s="3396"/>
      <c r="R205" s="3396"/>
      <c r="S205" s="3396"/>
      <c r="T205" s="3396"/>
      <c r="U205" s="3396"/>
      <c r="V205" s="3396"/>
      <c r="W205" s="3396"/>
      <c r="X205" s="3396"/>
      <c r="Y205" s="3396"/>
      <c r="Z205" s="3396"/>
      <c r="AA205" s="3396"/>
      <c r="AB205" s="3396"/>
      <c r="AC205" s="3396"/>
      <c r="AD205" s="3396"/>
      <c r="AE205" s="3396"/>
      <c r="AF205" s="3396"/>
      <c r="AG205" s="3396"/>
      <c r="AH205" s="3396"/>
      <c r="AI205" s="3396"/>
      <c r="AJ205" s="3396"/>
      <c r="AK205" s="3396"/>
      <c r="AL205" s="3396"/>
      <c r="AM205" s="3396"/>
      <c r="AN205" s="3396"/>
      <c r="AO205" s="3396"/>
      <c r="AP205" s="3396"/>
      <c r="AQ205" s="3396"/>
      <c r="AR205" s="3396"/>
      <c r="AS205" s="3396"/>
      <c r="AT205" s="3396"/>
      <c r="AU205" s="3396"/>
      <c r="AV205" s="3396"/>
      <c r="AW205" s="3396"/>
      <c r="AX205" s="3396"/>
      <c r="AY205" s="3396"/>
      <c r="AZ205" s="3396"/>
      <c r="BA205" s="3396"/>
      <c r="BB205" s="3396"/>
      <c r="BC205" s="3396"/>
      <c r="BD205" s="3396"/>
      <c r="BE205" s="3396"/>
      <c r="BF205" s="3396"/>
      <c r="BG205" s="3396"/>
      <c r="BH205" s="3396"/>
      <c r="BI205" s="3396"/>
      <c r="BJ205" s="3396"/>
      <c r="BK205" s="3396"/>
      <c r="BL205" s="3396"/>
      <c r="BM205" s="3396"/>
      <c r="BN205" s="3396"/>
    </row>
    <row r="206" s="687" customFormat="1" ht="20.25" customHeight="1" spans="1:66">
      <c r="A206" s="3402" t="s">
        <v>6479</v>
      </c>
      <c r="B206" s="3396"/>
      <c r="C206" s="3396"/>
      <c r="D206" s="3396"/>
      <c r="E206" s="3396"/>
      <c r="F206" s="3396"/>
      <c r="G206" s="3396"/>
      <c r="H206" s="3396"/>
      <c r="I206" s="3396"/>
      <c r="J206" s="3396"/>
      <c r="K206" s="3396"/>
      <c r="L206" s="3396"/>
      <c r="M206" s="3396"/>
      <c r="N206" s="3396"/>
      <c r="O206" s="3396"/>
      <c r="P206" s="3396"/>
      <c r="Q206" s="3396"/>
      <c r="R206" s="3396"/>
      <c r="S206" s="3396"/>
      <c r="T206" s="3396"/>
      <c r="U206" s="3396"/>
      <c r="V206" s="3396"/>
      <c r="W206" s="3396"/>
      <c r="X206" s="3396"/>
      <c r="Y206" s="3396"/>
      <c r="Z206" s="3396"/>
      <c r="AA206" s="3396"/>
      <c r="AB206" s="3396"/>
      <c r="AC206" s="3396"/>
      <c r="AD206" s="3396"/>
      <c r="AE206" s="3396"/>
      <c r="AF206" s="3396"/>
      <c r="AG206" s="3396"/>
      <c r="AH206" s="3396"/>
      <c r="AI206" s="3396"/>
      <c r="AJ206" s="3396"/>
      <c r="AK206" s="3396"/>
      <c r="AL206" s="3396"/>
      <c r="AM206" s="3396"/>
      <c r="AN206" s="3396"/>
      <c r="AO206" s="3396"/>
      <c r="AP206" s="3396"/>
      <c r="AQ206" s="3396"/>
      <c r="AR206" s="3396"/>
      <c r="AS206" s="3396"/>
      <c r="AT206" s="3396"/>
      <c r="AU206" s="3396"/>
      <c r="AV206" s="3396"/>
      <c r="AW206" s="3396"/>
      <c r="AX206" s="3396"/>
      <c r="AY206" s="3396"/>
      <c r="AZ206" s="3396"/>
      <c r="BA206" s="3396"/>
      <c r="BB206" s="3396"/>
      <c r="BC206" s="3396"/>
      <c r="BD206" s="3396"/>
      <c r="BE206" s="3396"/>
      <c r="BF206" s="3396"/>
      <c r="BG206" s="3396"/>
      <c r="BH206" s="3396"/>
      <c r="BI206" s="3396"/>
      <c r="BJ206" s="3396"/>
      <c r="BK206" s="3396"/>
      <c r="BL206" s="3396"/>
      <c r="BM206" s="3396"/>
      <c r="BN206" s="3396"/>
    </row>
    <row r="207" s="688" customFormat="1" ht="29.25" customHeight="1" spans="1:66">
      <c r="A207" s="3404" t="s">
        <v>6009</v>
      </c>
      <c r="B207" s="3404" t="s">
        <v>6367</v>
      </c>
      <c r="C207" s="3405" t="s">
        <v>6368</v>
      </c>
      <c r="D207" s="3404" t="s">
        <v>6369</v>
      </c>
      <c r="E207" s="3404" t="s">
        <v>6370</v>
      </c>
      <c r="F207" s="3404" t="s">
        <v>6480</v>
      </c>
      <c r="G207" s="3404" t="s">
        <v>6372</v>
      </c>
      <c r="H207" s="3404" t="s">
        <v>6373</v>
      </c>
      <c r="I207" s="3396"/>
      <c r="J207" s="3396"/>
      <c r="K207" s="3396"/>
      <c r="L207" s="3396"/>
      <c r="M207" s="3396"/>
      <c r="N207" s="3396"/>
      <c r="O207" s="3396"/>
      <c r="P207" s="3396"/>
      <c r="Q207" s="3396"/>
      <c r="R207" s="3396"/>
      <c r="S207" s="3396"/>
      <c r="T207" s="3396"/>
      <c r="U207" s="3396"/>
      <c r="V207" s="3396"/>
      <c r="W207" s="3396"/>
      <c r="X207" s="3396"/>
      <c r="Y207" s="3396"/>
      <c r="Z207" s="3396"/>
      <c r="AA207" s="3396"/>
      <c r="AB207" s="3396"/>
      <c r="AC207" s="3396"/>
      <c r="AD207" s="3396"/>
      <c r="AE207" s="3396"/>
      <c r="AF207" s="3396"/>
      <c r="AG207" s="3396"/>
      <c r="AH207" s="3396"/>
      <c r="AI207" s="3396"/>
      <c r="AJ207" s="3396"/>
      <c r="AK207" s="3396"/>
      <c r="AL207" s="3396"/>
      <c r="AM207" s="3396"/>
      <c r="AN207" s="3396"/>
      <c r="AO207" s="3396"/>
      <c r="AP207" s="3396"/>
      <c r="AQ207" s="3396"/>
      <c r="AR207" s="3396"/>
      <c r="AS207" s="3396"/>
      <c r="AT207" s="3396"/>
      <c r="AU207" s="3396"/>
      <c r="AV207" s="3396"/>
      <c r="AW207" s="3396"/>
      <c r="AX207" s="3396"/>
      <c r="AY207" s="3396"/>
      <c r="AZ207" s="3396"/>
      <c r="BA207" s="3396"/>
      <c r="BB207" s="3396"/>
      <c r="BC207" s="3396"/>
      <c r="BD207" s="3396"/>
      <c r="BE207" s="3396"/>
      <c r="BF207" s="3396"/>
      <c r="BG207" s="3396"/>
      <c r="BH207" s="3396"/>
      <c r="BI207" s="3396"/>
      <c r="BJ207" s="3396"/>
      <c r="BK207" s="3396"/>
      <c r="BL207" s="3396"/>
      <c r="BM207" s="3396"/>
      <c r="BN207" s="3396"/>
    </row>
    <row r="208" s="687" customFormat="1" ht="15" customHeight="1" spans="1:66">
      <c r="A208" s="3407" t="s">
        <v>3953</v>
      </c>
      <c r="B208" s="3408"/>
      <c r="C208" s="3409"/>
      <c r="D208" s="3409"/>
      <c r="E208" s="3408"/>
      <c r="F208" s="3410"/>
      <c r="G208" s="3410"/>
      <c r="H208" s="3411">
        <f t="shared" ref="H208:H210" si="4">F208+G208</f>
        <v>0</v>
      </c>
      <c r="I208" s="3396"/>
      <c r="J208" s="3396"/>
      <c r="K208" s="3396"/>
      <c r="L208" s="3396"/>
      <c r="M208" s="3396"/>
      <c r="N208" s="3396"/>
      <c r="O208" s="3396"/>
      <c r="P208" s="3396"/>
      <c r="Q208" s="3396"/>
      <c r="R208" s="3396"/>
      <c r="S208" s="3396"/>
      <c r="T208" s="3396"/>
      <c r="U208" s="3396"/>
      <c r="V208" s="3396"/>
      <c r="W208" s="3396"/>
      <c r="X208" s="3396"/>
      <c r="Y208" s="3396"/>
      <c r="Z208" s="3396"/>
      <c r="AA208" s="3396"/>
      <c r="AB208" s="3396"/>
      <c r="AC208" s="3396"/>
      <c r="AD208" s="3396"/>
      <c r="AE208" s="3396"/>
      <c r="AF208" s="3396"/>
      <c r="AG208" s="3396"/>
      <c r="AH208" s="3396"/>
      <c r="AI208" s="3396"/>
      <c r="AJ208" s="3396"/>
      <c r="AK208" s="3396"/>
      <c r="AL208" s="3396"/>
      <c r="AM208" s="3396"/>
      <c r="AN208" s="3396"/>
      <c r="AO208" s="3396"/>
      <c r="AP208" s="3396"/>
      <c r="AQ208" s="3396"/>
      <c r="AR208" s="3396"/>
      <c r="AS208" s="3396"/>
      <c r="AT208" s="3396"/>
      <c r="AU208" s="3396"/>
      <c r="AV208" s="3396"/>
      <c r="AW208" s="3396"/>
      <c r="AX208" s="3396"/>
      <c r="AY208" s="3396"/>
      <c r="AZ208" s="3396"/>
      <c r="BA208" s="3396"/>
      <c r="BB208" s="3396"/>
      <c r="BC208" s="3396"/>
      <c r="BD208" s="3396"/>
      <c r="BE208" s="3396"/>
      <c r="BF208" s="3396"/>
      <c r="BG208" s="3396"/>
      <c r="BH208" s="3396"/>
      <c r="BI208" s="3396"/>
      <c r="BJ208" s="3396"/>
      <c r="BK208" s="3396"/>
      <c r="BL208" s="3396"/>
      <c r="BM208" s="3396"/>
      <c r="BN208" s="3396"/>
    </row>
    <row r="209" s="687" customFormat="1" ht="15" customHeight="1" spans="1:66">
      <c r="A209" s="3407" t="s">
        <v>3891</v>
      </c>
      <c r="B209" s="3408"/>
      <c r="C209" s="3409"/>
      <c r="D209" s="3409"/>
      <c r="E209" s="3408"/>
      <c r="F209" s="3410"/>
      <c r="G209" s="3410"/>
      <c r="H209" s="3411">
        <f t="shared" si="4"/>
        <v>0</v>
      </c>
      <c r="I209" s="3396"/>
      <c r="J209" s="3396"/>
      <c r="K209" s="3396"/>
      <c r="L209" s="3396"/>
      <c r="M209" s="3396"/>
      <c r="N209" s="3396"/>
      <c r="O209" s="3396"/>
      <c r="P209" s="3396"/>
      <c r="Q209" s="3396"/>
      <c r="R209" s="3396"/>
      <c r="S209" s="3396"/>
      <c r="T209" s="3396"/>
      <c r="U209" s="3396"/>
      <c r="V209" s="3396"/>
      <c r="W209" s="3396"/>
      <c r="X209" s="3396"/>
      <c r="Y209" s="3396"/>
      <c r="Z209" s="3396"/>
      <c r="AA209" s="3396"/>
      <c r="AB209" s="3396"/>
      <c r="AC209" s="3396"/>
      <c r="AD209" s="3396"/>
      <c r="AE209" s="3396"/>
      <c r="AF209" s="3396"/>
      <c r="AG209" s="3396"/>
      <c r="AH209" s="3396"/>
      <c r="AI209" s="3396"/>
      <c r="AJ209" s="3396"/>
      <c r="AK209" s="3396"/>
      <c r="AL209" s="3396"/>
      <c r="AM209" s="3396"/>
      <c r="AN209" s="3396"/>
      <c r="AO209" s="3396"/>
      <c r="AP209" s="3396"/>
      <c r="AQ209" s="3396"/>
      <c r="AR209" s="3396"/>
      <c r="AS209" s="3396"/>
      <c r="AT209" s="3396"/>
      <c r="AU209" s="3396"/>
      <c r="AV209" s="3396"/>
      <c r="AW209" s="3396"/>
      <c r="AX209" s="3396"/>
      <c r="AY209" s="3396"/>
      <c r="AZ209" s="3396"/>
      <c r="BA209" s="3396"/>
      <c r="BB209" s="3396"/>
      <c r="BC209" s="3396"/>
      <c r="BD209" s="3396"/>
      <c r="BE209" s="3396"/>
      <c r="BF209" s="3396"/>
      <c r="BG209" s="3396"/>
      <c r="BH209" s="3396"/>
      <c r="BI209" s="3396"/>
      <c r="BJ209" s="3396"/>
      <c r="BK209" s="3396"/>
      <c r="BL209" s="3396"/>
      <c r="BM209" s="3396"/>
      <c r="BN209" s="3396"/>
    </row>
    <row r="210" s="687" customFormat="1" ht="15" customHeight="1" spans="1:66">
      <c r="A210" s="3407" t="s">
        <v>3902</v>
      </c>
      <c r="B210" s="3408"/>
      <c r="C210" s="3409"/>
      <c r="D210" s="3409"/>
      <c r="E210" s="3408"/>
      <c r="F210" s="3410"/>
      <c r="G210" s="3410"/>
      <c r="H210" s="3411">
        <f t="shared" si="4"/>
        <v>0</v>
      </c>
      <c r="I210" s="3396"/>
      <c r="J210" s="3396"/>
      <c r="K210" s="3396"/>
      <c r="L210" s="3396"/>
      <c r="M210" s="3396"/>
      <c r="N210" s="3396"/>
      <c r="O210" s="3396"/>
      <c r="P210" s="3396"/>
      <c r="Q210" s="3396"/>
      <c r="R210" s="3396"/>
      <c r="S210" s="3396"/>
      <c r="T210" s="3396"/>
      <c r="U210" s="3396"/>
      <c r="V210" s="3396"/>
      <c r="W210" s="3396"/>
      <c r="X210" s="3396"/>
      <c r="Y210" s="3396"/>
      <c r="Z210" s="3396"/>
      <c r="AA210" s="3396"/>
      <c r="AB210" s="3396"/>
      <c r="AC210" s="3396"/>
      <c r="AD210" s="3396"/>
      <c r="AE210" s="3396"/>
      <c r="AF210" s="3396"/>
      <c r="AG210" s="3396"/>
      <c r="AH210" s="3396"/>
      <c r="AI210" s="3396"/>
      <c r="AJ210" s="3396"/>
      <c r="AK210" s="3396"/>
      <c r="AL210" s="3396"/>
      <c r="AM210" s="3396"/>
      <c r="AN210" s="3396"/>
      <c r="AO210" s="3396"/>
      <c r="AP210" s="3396"/>
      <c r="AQ210" s="3396"/>
      <c r="AR210" s="3396"/>
      <c r="AS210" s="3396"/>
      <c r="AT210" s="3396"/>
      <c r="AU210" s="3396"/>
      <c r="AV210" s="3396"/>
      <c r="AW210" s="3396"/>
      <c r="AX210" s="3396"/>
      <c r="AY210" s="3396"/>
      <c r="AZ210" s="3396"/>
      <c r="BA210" s="3396"/>
      <c r="BB210" s="3396"/>
      <c r="BC210" s="3396"/>
      <c r="BD210" s="3396"/>
      <c r="BE210" s="3396"/>
      <c r="BF210" s="3396"/>
      <c r="BG210" s="3396"/>
      <c r="BH210" s="3396"/>
      <c r="BI210" s="3396"/>
      <c r="BJ210" s="3396"/>
      <c r="BK210" s="3396"/>
      <c r="BL210" s="3396"/>
      <c r="BM210" s="3396"/>
      <c r="BN210" s="3396"/>
    </row>
    <row r="211" s="687" customFormat="1" ht="15" customHeight="1" spans="1:66">
      <c r="A211" s="3407" t="s">
        <v>3905</v>
      </c>
      <c r="B211" s="3408"/>
      <c r="C211" s="3409"/>
      <c r="D211" s="3409"/>
      <c r="E211" s="3408"/>
      <c r="F211" s="3410"/>
      <c r="G211" s="3410"/>
      <c r="H211" s="3411">
        <f t="shared" ref="H211:H274" si="5">F211+G211</f>
        <v>0</v>
      </c>
      <c r="I211" s="3396"/>
      <c r="J211" s="3396"/>
      <c r="K211" s="3396"/>
      <c r="L211" s="3396"/>
      <c r="M211" s="3396"/>
      <c r="N211" s="3396"/>
      <c r="O211" s="3396"/>
      <c r="P211" s="3396"/>
      <c r="Q211" s="3396"/>
      <c r="R211" s="3396"/>
      <c r="S211" s="3396"/>
      <c r="T211" s="3396"/>
      <c r="U211" s="3396"/>
      <c r="V211" s="3396"/>
      <c r="W211" s="3396"/>
      <c r="X211" s="3396"/>
      <c r="Y211" s="3396"/>
      <c r="Z211" s="3396"/>
      <c r="AA211" s="3396"/>
      <c r="AB211" s="3396"/>
      <c r="AC211" s="3396"/>
      <c r="AD211" s="3396"/>
      <c r="AE211" s="3396"/>
      <c r="AF211" s="3396"/>
      <c r="AG211" s="3396"/>
      <c r="AH211" s="3396"/>
      <c r="AI211" s="3396"/>
      <c r="AJ211" s="3396"/>
      <c r="AK211" s="3396"/>
      <c r="AL211" s="3396"/>
      <c r="AM211" s="3396"/>
      <c r="AN211" s="3396"/>
      <c r="AO211" s="3396"/>
      <c r="AP211" s="3396"/>
      <c r="AQ211" s="3396"/>
      <c r="AR211" s="3396"/>
      <c r="AS211" s="3396"/>
      <c r="AT211" s="3396"/>
      <c r="AU211" s="3396"/>
      <c r="AV211" s="3396"/>
      <c r="AW211" s="3396"/>
      <c r="AX211" s="3396"/>
      <c r="AY211" s="3396"/>
      <c r="AZ211" s="3396"/>
      <c r="BA211" s="3396"/>
      <c r="BB211" s="3396"/>
      <c r="BC211" s="3396"/>
      <c r="BD211" s="3396"/>
      <c r="BE211" s="3396"/>
      <c r="BF211" s="3396"/>
      <c r="BG211" s="3396"/>
      <c r="BH211" s="3396"/>
      <c r="BI211" s="3396"/>
      <c r="BJ211" s="3396"/>
      <c r="BK211" s="3396"/>
      <c r="BL211" s="3396"/>
      <c r="BM211" s="3396"/>
      <c r="BN211" s="3396"/>
    </row>
    <row r="212" s="687" customFormat="1" ht="15" customHeight="1" spans="1:66">
      <c r="A212" s="3407" t="s">
        <v>3915</v>
      </c>
      <c r="B212" s="3408"/>
      <c r="C212" s="3409"/>
      <c r="D212" s="3409"/>
      <c r="E212" s="3408"/>
      <c r="F212" s="3410"/>
      <c r="G212" s="3410"/>
      <c r="H212" s="3411">
        <f t="shared" si="5"/>
        <v>0</v>
      </c>
      <c r="I212" s="3396"/>
      <c r="J212" s="3396"/>
      <c r="K212" s="3396"/>
      <c r="L212" s="3396"/>
      <c r="M212" s="3396"/>
      <c r="N212" s="3396"/>
      <c r="O212" s="3396"/>
      <c r="P212" s="3396"/>
      <c r="Q212" s="3396"/>
      <c r="R212" s="3396"/>
      <c r="S212" s="3396"/>
      <c r="T212" s="3396"/>
      <c r="U212" s="3396"/>
      <c r="V212" s="3396"/>
      <c r="W212" s="3396"/>
      <c r="X212" s="3396"/>
      <c r="Y212" s="3396"/>
      <c r="Z212" s="3396"/>
      <c r="AA212" s="3396"/>
      <c r="AB212" s="3396"/>
      <c r="AC212" s="3396"/>
      <c r="AD212" s="3396"/>
      <c r="AE212" s="3396"/>
      <c r="AF212" s="3396"/>
      <c r="AG212" s="3396"/>
      <c r="AH212" s="3396"/>
      <c r="AI212" s="3396"/>
      <c r="AJ212" s="3396"/>
      <c r="AK212" s="3396"/>
      <c r="AL212" s="3396"/>
      <c r="AM212" s="3396"/>
      <c r="AN212" s="3396"/>
      <c r="AO212" s="3396"/>
      <c r="AP212" s="3396"/>
      <c r="AQ212" s="3396"/>
      <c r="AR212" s="3396"/>
      <c r="AS212" s="3396"/>
      <c r="AT212" s="3396"/>
      <c r="AU212" s="3396"/>
      <c r="AV212" s="3396"/>
      <c r="AW212" s="3396"/>
      <c r="AX212" s="3396"/>
      <c r="AY212" s="3396"/>
      <c r="AZ212" s="3396"/>
      <c r="BA212" s="3396"/>
      <c r="BB212" s="3396"/>
      <c r="BC212" s="3396"/>
      <c r="BD212" s="3396"/>
      <c r="BE212" s="3396"/>
      <c r="BF212" s="3396"/>
      <c r="BG212" s="3396"/>
      <c r="BH212" s="3396"/>
      <c r="BI212" s="3396"/>
      <c r="BJ212" s="3396"/>
      <c r="BK212" s="3396"/>
      <c r="BL212" s="3396"/>
      <c r="BM212" s="3396"/>
      <c r="BN212" s="3396"/>
    </row>
    <row r="213" s="687" customFormat="1" ht="15" customHeight="1" spans="1:66">
      <c r="A213" s="3407" t="s">
        <v>3918</v>
      </c>
      <c r="B213" s="3408"/>
      <c r="C213" s="3409"/>
      <c r="D213" s="3409"/>
      <c r="E213" s="3408"/>
      <c r="F213" s="3410"/>
      <c r="G213" s="3410"/>
      <c r="H213" s="3411">
        <f t="shared" si="5"/>
        <v>0</v>
      </c>
      <c r="I213" s="3396"/>
      <c r="J213" s="3396"/>
      <c r="K213" s="3396"/>
      <c r="L213" s="3396"/>
      <c r="M213" s="3396"/>
      <c r="N213" s="3396"/>
      <c r="O213" s="3396"/>
      <c r="P213" s="3396"/>
      <c r="Q213" s="3396"/>
      <c r="R213" s="3396"/>
      <c r="S213" s="3396"/>
      <c r="T213" s="3396"/>
      <c r="U213" s="3396"/>
      <c r="V213" s="3396"/>
      <c r="W213" s="3396"/>
      <c r="X213" s="3396"/>
      <c r="Y213" s="3396"/>
      <c r="Z213" s="3396"/>
      <c r="AA213" s="3396"/>
      <c r="AB213" s="3396"/>
      <c r="AC213" s="3396"/>
      <c r="AD213" s="3396"/>
      <c r="AE213" s="3396"/>
      <c r="AF213" s="3396"/>
      <c r="AG213" s="3396"/>
      <c r="AH213" s="3396"/>
      <c r="AI213" s="3396"/>
      <c r="AJ213" s="3396"/>
      <c r="AK213" s="3396"/>
      <c r="AL213" s="3396"/>
      <c r="AM213" s="3396"/>
      <c r="AN213" s="3396"/>
      <c r="AO213" s="3396"/>
      <c r="AP213" s="3396"/>
      <c r="AQ213" s="3396"/>
      <c r="AR213" s="3396"/>
      <c r="AS213" s="3396"/>
      <c r="AT213" s="3396"/>
      <c r="AU213" s="3396"/>
      <c r="AV213" s="3396"/>
      <c r="AW213" s="3396"/>
      <c r="AX213" s="3396"/>
      <c r="AY213" s="3396"/>
      <c r="AZ213" s="3396"/>
      <c r="BA213" s="3396"/>
      <c r="BB213" s="3396"/>
      <c r="BC213" s="3396"/>
      <c r="BD213" s="3396"/>
      <c r="BE213" s="3396"/>
      <c r="BF213" s="3396"/>
      <c r="BG213" s="3396"/>
      <c r="BH213" s="3396"/>
      <c r="BI213" s="3396"/>
      <c r="BJ213" s="3396"/>
      <c r="BK213" s="3396"/>
      <c r="BL213" s="3396"/>
      <c r="BM213" s="3396"/>
      <c r="BN213" s="3396"/>
    </row>
    <row r="214" s="687" customFormat="1" ht="15" customHeight="1" spans="1:66">
      <c r="A214" s="3407" t="s">
        <v>3920</v>
      </c>
      <c r="B214" s="3408"/>
      <c r="C214" s="3409"/>
      <c r="D214" s="3409"/>
      <c r="E214" s="3408"/>
      <c r="F214" s="3410"/>
      <c r="G214" s="3410"/>
      <c r="H214" s="3411">
        <f t="shared" si="5"/>
        <v>0</v>
      </c>
      <c r="I214" s="3396"/>
      <c r="J214" s="3396"/>
      <c r="K214" s="3396"/>
      <c r="L214" s="3396"/>
      <c r="M214" s="3396"/>
      <c r="N214" s="3396"/>
      <c r="O214" s="3396"/>
      <c r="P214" s="3396"/>
      <c r="Q214" s="3396"/>
      <c r="R214" s="3396"/>
      <c r="S214" s="3396"/>
      <c r="T214" s="3396"/>
      <c r="U214" s="3396"/>
      <c r="V214" s="3396"/>
      <c r="W214" s="3396"/>
      <c r="X214" s="3396"/>
      <c r="Y214" s="3396"/>
      <c r="Z214" s="3396"/>
      <c r="AA214" s="3396"/>
      <c r="AB214" s="3396"/>
      <c r="AC214" s="3396"/>
      <c r="AD214" s="3396"/>
      <c r="AE214" s="3396"/>
      <c r="AF214" s="3396"/>
      <c r="AG214" s="3396"/>
      <c r="AH214" s="3396"/>
      <c r="AI214" s="3396"/>
      <c r="AJ214" s="3396"/>
      <c r="AK214" s="3396"/>
      <c r="AL214" s="3396"/>
      <c r="AM214" s="3396"/>
      <c r="AN214" s="3396"/>
      <c r="AO214" s="3396"/>
      <c r="AP214" s="3396"/>
      <c r="AQ214" s="3396"/>
      <c r="AR214" s="3396"/>
      <c r="AS214" s="3396"/>
      <c r="AT214" s="3396"/>
      <c r="AU214" s="3396"/>
      <c r="AV214" s="3396"/>
      <c r="AW214" s="3396"/>
      <c r="AX214" s="3396"/>
      <c r="AY214" s="3396"/>
      <c r="AZ214" s="3396"/>
      <c r="BA214" s="3396"/>
      <c r="BB214" s="3396"/>
      <c r="BC214" s="3396"/>
      <c r="BD214" s="3396"/>
      <c r="BE214" s="3396"/>
      <c r="BF214" s="3396"/>
      <c r="BG214" s="3396"/>
      <c r="BH214" s="3396"/>
      <c r="BI214" s="3396"/>
      <c r="BJ214" s="3396"/>
      <c r="BK214" s="3396"/>
      <c r="BL214" s="3396"/>
      <c r="BM214" s="3396"/>
      <c r="BN214" s="3396"/>
    </row>
    <row r="215" s="687" customFormat="1" ht="15" customHeight="1" spans="1:66">
      <c r="A215" s="3407" t="s">
        <v>3923</v>
      </c>
      <c r="B215" s="3408"/>
      <c r="C215" s="3409"/>
      <c r="D215" s="3409"/>
      <c r="E215" s="3408"/>
      <c r="F215" s="3410"/>
      <c r="G215" s="3410"/>
      <c r="H215" s="3411">
        <f t="shared" si="5"/>
        <v>0</v>
      </c>
      <c r="I215" s="3396"/>
      <c r="J215" s="3396"/>
      <c r="K215" s="3396"/>
      <c r="L215" s="3396"/>
      <c r="M215" s="3396"/>
      <c r="N215" s="3396"/>
      <c r="O215" s="3396"/>
      <c r="P215" s="3396"/>
      <c r="Q215" s="3396"/>
      <c r="R215" s="3396"/>
      <c r="S215" s="3396"/>
      <c r="T215" s="3396"/>
      <c r="U215" s="3396"/>
      <c r="V215" s="3396"/>
      <c r="W215" s="3396"/>
      <c r="X215" s="3396"/>
      <c r="Y215" s="3396"/>
      <c r="Z215" s="3396"/>
      <c r="AA215" s="3396"/>
      <c r="AB215" s="3396"/>
      <c r="AC215" s="3396"/>
      <c r="AD215" s="3396"/>
      <c r="AE215" s="3396"/>
      <c r="AF215" s="3396"/>
      <c r="AG215" s="3396"/>
      <c r="AH215" s="3396"/>
      <c r="AI215" s="3396"/>
      <c r="AJ215" s="3396"/>
      <c r="AK215" s="3396"/>
      <c r="AL215" s="3396"/>
      <c r="AM215" s="3396"/>
      <c r="AN215" s="3396"/>
      <c r="AO215" s="3396"/>
      <c r="AP215" s="3396"/>
      <c r="AQ215" s="3396"/>
      <c r="AR215" s="3396"/>
      <c r="AS215" s="3396"/>
      <c r="AT215" s="3396"/>
      <c r="AU215" s="3396"/>
      <c r="AV215" s="3396"/>
      <c r="AW215" s="3396"/>
      <c r="AX215" s="3396"/>
      <c r="AY215" s="3396"/>
      <c r="AZ215" s="3396"/>
      <c r="BA215" s="3396"/>
      <c r="BB215" s="3396"/>
      <c r="BC215" s="3396"/>
      <c r="BD215" s="3396"/>
      <c r="BE215" s="3396"/>
      <c r="BF215" s="3396"/>
      <c r="BG215" s="3396"/>
      <c r="BH215" s="3396"/>
      <c r="BI215" s="3396"/>
      <c r="BJ215" s="3396"/>
      <c r="BK215" s="3396"/>
      <c r="BL215" s="3396"/>
      <c r="BM215" s="3396"/>
      <c r="BN215" s="3396"/>
    </row>
    <row r="216" s="687" customFormat="1" ht="15" customHeight="1" spans="1:66">
      <c r="A216" s="3407" t="s">
        <v>3925</v>
      </c>
      <c r="B216" s="3408"/>
      <c r="C216" s="3409"/>
      <c r="D216" s="3409"/>
      <c r="E216" s="3408"/>
      <c r="F216" s="3410"/>
      <c r="G216" s="3410"/>
      <c r="H216" s="3411">
        <f t="shared" si="5"/>
        <v>0</v>
      </c>
      <c r="I216" s="3396"/>
      <c r="J216" s="3396"/>
      <c r="K216" s="3396"/>
      <c r="L216" s="3396"/>
      <c r="M216" s="3396"/>
      <c r="N216" s="3396"/>
      <c r="O216" s="3396"/>
      <c r="P216" s="3396"/>
      <c r="Q216" s="3396"/>
      <c r="R216" s="3396"/>
      <c r="S216" s="3396"/>
      <c r="T216" s="3396"/>
      <c r="U216" s="3396"/>
      <c r="V216" s="3396"/>
      <c r="W216" s="3396"/>
      <c r="X216" s="3396"/>
      <c r="Y216" s="3396"/>
      <c r="Z216" s="3396"/>
      <c r="AA216" s="3396"/>
      <c r="AB216" s="3396"/>
      <c r="AC216" s="3396"/>
      <c r="AD216" s="3396"/>
      <c r="AE216" s="3396"/>
      <c r="AF216" s="3396"/>
      <c r="AG216" s="3396"/>
      <c r="AH216" s="3396"/>
      <c r="AI216" s="3396"/>
      <c r="AJ216" s="3396"/>
      <c r="AK216" s="3396"/>
      <c r="AL216" s="3396"/>
      <c r="AM216" s="3396"/>
      <c r="AN216" s="3396"/>
      <c r="AO216" s="3396"/>
      <c r="AP216" s="3396"/>
      <c r="AQ216" s="3396"/>
      <c r="AR216" s="3396"/>
      <c r="AS216" s="3396"/>
      <c r="AT216" s="3396"/>
      <c r="AU216" s="3396"/>
      <c r="AV216" s="3396"/>
      <c r="AW216" s="3396"/>
      <c r="AX216" s="3396"/>
      <c r="AY216" s="3396"/>
      <c r="AZ216" s="3396"/>
      <c r="BA216" s="3396"/>
      <c r="BB216" s="3396"/>
      <c r="BC216" s="3396"/>
      <c r="BD216" s="3396"/>
      <c r="BE216" s="3396"/>
      <c r="BF216" s="3396"/>
      <c r="BG216" s="3396"/>
      <c r="BH216" s="3396"/>
      <c r="BI216" s="3396"/>
      <c r="BJ216" s="3396"/>
      <c r="BK216" s="3396"/>
      <c r="BL216" s="3396"/>
      <c r="BM216" s="3396"/>
      <c r="BN216" s="3396"/>
    </row>
    <row r="217" s="687" customFormat="1" ht="15" customHeight="1" spans="1:66">
      <c r="A217" s="3407" t="s">
        <v>3928</v>
      </c>
      <c r="B217" s="3408"/>
      <c r="C217" s="3409"/>
      <c r="D217" s="3409"/>
      <c r="E217" s="3408"/>
      <c r="F217" s="3410"/>
      <c r="G217" s="3410"/>
      <c r="H217" s="3411">
        <f t="shared" si="5"/>
        <v>0</v>
      </c>
      <c r="I217" s="3396"/>
      <c r="J217" s="3396"/>
      <c r="K217" s="3396"/>
      <c r="L217" s="3396"/>
      <c r="M217" s="3396"/>
      <c r="N217" s="3396"/>
      <c r="O217" s="3396"/>
      <c r="P217" s="3396"/>
      <c r="Q217" s="3396"/>
      <c r="R217" s="3396"/>
      <c r="S217" s="3396"/>
      <c r="T217" s="3396"/>
      <c r="U217" s="3396"/>
      <c r="V217" s="3396"/>
      <c r="W217" s="3396"/>
      <c r="X217" s="3396"/>
      <c r="Y217" s="3396"/>
      <c r="Z217" s="3396"/>
      <c r="AA217" s="3396"/>
      <c r="AB217" s="3396"/>
      <c r="AC217" s="3396"/>
      <c r="AD217" s="3396"/>
      <c r="AE217" s="3396"/>
      <c r="AF217" s="3396"/>
      <c r="AG217" s="3396"/>
      <c r="AH217" s="3396"/>
      <c r="AI217" s="3396"/>
      <c r="AJ217" s="3396"/>
      <c r="AK217" s="3396"/>
      <c r="AL217" s="3396"/>
      <c r="AM217" s="3396"/>
      <c r="AN217" s="3396"/>
      <c r="AO217" s="3396"/>
      <c r="AP217" s="3396"/>
      <c r="AQ217" s="3396"/>
      <c r="AR217" s="3396"/>
      <c r="AS217" s="3396"/>
      <c r="AT217" s="3396"/>
      <c r="AU217" s="3396"/>
      <c r="AV217" s="3396"/>
      <c r="AW217" s="3396"/>
      <c r="AX217" s="3396"/>
      <c r="AY217" s="3396"/>
      <c r="AZ217" s="3396"/>
      <c r="BA217" s="3396"/>
      <c r="BB217" s="3396"/>
      <c r="BC217" s="3396"/>
      <c r="BD217" s="3396"/>
      <c r="BE217" s="3396"/>
      <c r="BF217" s="3396"/>
      <c r="BG217" s="3396"/>
      <c r="BH217" s="3396"/>
      <c r="BI217" s="3396"/>
      <c r="BJ217" s="3396"/>
      <c r="BK217" s="3396"/>
      <c r="BL217" s="3396"/>
      <c r="BM217" s="3396"/>
      <c r="BN217" s="3396"/>
    </row>
    <row r="218" s="687" customFormat="1" ht="15" customHeight="1" spans="1:66">
      <c r="A218" s="3407" t="s">
        <v>3934</v>
      </c>
      <c r="B218" s="3408"/>
      <c r="C218" s="3409"/>
      <c r="D218" s="3409"/>
      <c r="E218" s="3408"/>
      <c r="F218" s="3410"/>
      <c r="G218" s="3410"/>
      <c r="H218" s="3411">
        <f t="shared" si="5"/>
        <v>0</v>
      </c>
      <c r="I218" s="3396"/>
      <c r="J218" s="3396"/>
      <c r="K218" s="3396"/>
      <c r="L218" s="3396"/>
      <c r="M218" s="3396"/>
      <c r="N218" s="3396"/>
      <c r="O218" s="3396"/>
      <c r="P218" s="3396"/>
      <c r="Q218" s="3396"/>
      <c r="R218" s="3396"/>
      <c r="S218" s="3396"/>
      <c r="T218" s="3396"/>
      <c r="U218" s="3396"/>
      <c r="V218" s="3396"/>
      <c r="W218" s="3396"/>
      <c r="X218" s="3396"/>
      <c r="Y218" s="3396"/>
      <c r="Z218" s="3396"/>
      <c r="AA218" s="3396"/>
      <c r="AB218" s="3396"/>
      <c r="AC218" s="3396"/>
      <c r="AD218" s="3396"/>
      <c r="AE218" s="3396"/>
      <c r="AF218" s="3396"/>
      <c r="AG218" s="3396"/>
      <c r="AH218" s="3396"/>
      <c r="AI218" s="3396"/>
      <c r="AJ218" s="3396"/>
      <c r="AK218" s="3396"/>
      <c r="AL218" s="3396"/>
      <c r="AM218" s="3396"/>
      <c r="AN218" s="3396"/>
      <c r="AO218" s="3396"/>
      <c r="AP218" s="3396"/>
      <c r="AQ218" s="3396"/>
      <c r="AR218" s="3396"/>
      <c r="AS218" s="3396"/>
      <c r="AT218" s="3396"/>
      <c r="AU218" s="3396"/>
      <c r="AV218" s="3396"/>
      <c r="AW218" s="3396"/>
      <c r="AX218" s="3396"/>
      <c r="AY218" s="3396"/>
      <c r="AZ218" s="3396"/>
      <c r="BA218" s="3396"/>
      <c r="BB218" s="3396"/>
      <c r="BC218" s="3396"/>
      <c r="BD218" s="3396"/>
      <c r="BE218" s="3396"/>
      <c r="BF218" s="3396"/>
      <c r="BG218" s="3396"/>
      <c r="BH218" s="3396"/>
      <c r="BI218" s="3396"/>
      <c r="BJ218" s="3396"/>
      <c r="BK218" s="3396"/>
      <c r="BL218" s="3396"/>
      <c r="BM218" s="3396"/>
      <c r="BN218" s="3396"/>
    </row>
    <row r="219" s="687" customFormat="1" ht="15" customHeight="1" spans="1:66">
      <c r="A219" s="3407" t="s">
        <v>3945</v>
      </c>
      <c r="B219" s="3408"/>
      <c r="C219" s="3409"/>
      <c r="D219" s="3409"/>
      <c r="E219" s="3408"/>
      <c r="F219" s="3410"/>
      <c r="G219" s="3410"/>
      <c r="H219" s="3411">
        <f t="shared" si="5"/>
        <v>0</v>
      </c>
      <c r="I219" s="3396"/>
      <c r="J219" s="3396"/>
      <c r="K219" s="3396"/>
      <c r="L219" s="3396"/>
      <c r="M219" s="3396"/>
      <c r="N219" s="3396"/>
      <c r="O219" s="3396"/>
      <c r="P219" s="3396"/>
      <c r="Q219" s="3396"/>
      <c r="R219" s="3396"/>
      <c r="S219" s="3396"/>
      <c r="T219" s="3396"/>
      <c r="U219" s="3396"/>
      <c r="V219" s="3396"/>
      <c r="W219" s="3396"/>
      <c r="X219" s="3396"/>
      <c r="Y219" s="3396"/>
      <c r="Z219" s="3396"/>
      <c r="AA219" s="3396"/>
      <c r="AB219" s="3396"/>
      <c r="AC219" s="3396"/>
      <c r="AD219" s="3396"/>
      <c r="AE219" s="3396"/>
      <c r="AF219" s="3396"/>
      <c r="AG219" s="3396"/>
      <c r="AH219" s="3396"/>
      <c r="AI219" s="3396"/>
      <c r="AJ219" s="3396"/>
      <c r="AK219" s="3396"/>
      <c r="AL219" s="3396"/>
      <c r="AM219" s="3396"/>
      <c r="AN219" s="3396"/>
      <c r="AO219" s="3396"/>
      <c r="AP219" s="3396"/>
      <c r="AQ219" s="3396"/>
      <c r="AR219" s="3396"/>
      <c r="AS219" s="3396"/>
      <c r="AT219" s="3396"/>
      <c r="AU219" s="3396"/>
      <c r="AV219" s="3396"/>
      <c r="AW219" s="3396"/>
      <c r="AX219" s="3396"/>
      <c r="AY219" s="3396"/>
      <c r="AZ219" s="3396"/>
      <c r="BA219" s="3396"/>
      <c r="BB219" s="3396"/>
      <c r="BC219" s="3396"/>
      <c r="BD219" s="3396"/>
      <c r="BE219" s="3396"/>
      <c r="BF219" s="3396"/>
      <c r="BG219" s="3396"/>
      <c r="BH219" s="3396"/>
      <c r="BI219" s="3396"/>
      <c r="BJ219" s="3396"/>
      <c r="BK219" s="3396"/>
      <c r="BL219" s="3396"/>
      <c r="BM219" s="3396"/>
      <c r="BN219" s="3396"/>
    </row>
    <row r="220" s="687" customFormat="1" ht="15" customHeight="1" spans="1:66">
      <c r="A220" s="3407" t="s">
        <v>3947</v>
      </c>
      <c r="B220" s="3408"/>
      <c r="C220" s="3409"/>
      <c r="D220" s="3409"/>
      <c r="E220" s="3408"/>
      <c r="F220" s="3410"/>
      <c r="G220" s="3410"/>
      <c r="H220" s="3411">
        <f t="shared" si="5"/>
        <v>0</v>
      </c>
      <c r="I220" s="3396"/>
      <c r="J220" s="3396"/>
      <c r="K220" s="3396"/>
      <c r="L220" s="3396"/>
      <c r="M220" s="3396"/>
      <c r="N220" s="3396"/>
      <c r="O220" s="3396"/>
      <c r="P220" s="3396"/>
      <c r="Q220" s="3396"/>
      <c r="R220" s="3396"/>
      <c r="S220" s="3396"/>
      <c r="T220" s="3396"/>
      <c r="U220" s="3396"/>
      <c r="V220" s="3396"/>
      <c r="W220" s="3396"/>
      <c r="X220" s="3396"/>
      <c r="Y220" s="3396"/>
      <c r="Z220" s="3396"/>
      <c r="AA220" s="3396"/>
      <c r="AB220" s="3396"/>
      <c r="AC220" s="3396"/>
      <c r="AD220" s="3396"/>
      <c r="AE220" s="3396"/>
      <c r="AF220" s="3396"/>
      <c r="AG220" s="3396"/>
      <c r="AH220" s="3396"/>
      <c r="AI220" s="3396"/>
      <c r="AJ220" s="3396"/>
      <c r="AK220" s="3396"/>
      <c r="AL220" s="3396"/>
      <c r="AM220" s="3396"/>
      <c r="AN220" s="3396"/>
      <c r="AO220" s="3396"/>
      <c r="AP220" s="3396"/>
      <c r="AQ220" s="3396"/>
      <c r="AR220" s="3396"/>
      <c r="AS220" s="3396"/>
      <c r="AT220" s="3396"/>
      <c r="AU220" s="3396"/>
      <c r="AV220" s="3396"/>
      <c r="AW220" s="3396"/>
      <c r="AX220" s="3396"/>
      <c r="AY220" s="3396"/>
      <c r="AZ220" s="3396"/>
      <c r="BA220" s="3396"/>
      <c r="BB220" s="3396"/>
      <c r="BC220" s="3396"/>
      <c r="BD220" s="3396"/>
      <c r="BE220" s="3396"/>
      <c r="BF220" s="3396"/>
      <c r="BG220" s="3396"/>
      <c r="BH220" s="3396"/>
      <c r="BI220" s="3396"/>
      <c r="BJ220" s="3396"/>
      <c r="BK220" s="3396"/>
      <c r="BL220" s="3396"/>
      <c r="BM220" s="3396"/>
      <c r="BN220" s="3396"/>
    </row>
    <row r="221" s="687" customFormat="1" ht="15" customHeight="1" spans="1:66">
      <c r="A221" s="3407" t="s">
        <v>5705</v>
      </c>
      <c r="B221" s="3408"/>
      <c r="C221" s="3409"/>
      <c r="D221" s="3409"/>
      <c r="E221" s="3408"/>
      <c r="F221" s="3410"/>
      <c r="G221" s="3410"/>
      <c r="H221" s="3411">
        <f t="shared" si="5"/>
        <v>0</v>
      </c>
      <c r="I221" s="3396"/>
      <c r="J221" s="3396"/>
      <c r="K221" s="3396"/>
      <c r="L221" s="3396"/>
      <c r="M221" s="3396"/>
      <c r="N221" s="3396"/>
      <c r="O221" s="3396"/>
      <c r="P221" s="3396"/>
      <c r="Q221" s="3396"/>
      <c r="R221" s="3396"/>
      <c r="S221" s="3396"/>
      <c r="T221" s="3396"/>
      <c r="U221" s="3396"/>
      <c r="V221" s="3396"/>
      <c r="W221" s="3396"/>
      <c r="X221" s="3396"/>
      <c r="Y221" s="3396"/>
      <c r="Z221" s="3396"/>
      <c r="AA221" s="3396"/>
      <c r="AB221" s="3396"/>
      <c r="AC221" s="3396"/>
      <c r="AD221" s="3396"/>
      <c r="AE221" s="3396"/>
      <c r="AF221" s="3396"/>
      <c r="AG221" s="3396"/>
      <c r="AH221" s="3396"/>
      <c r="AI221" s="3396"/>
      <c r="AJ221" s="3396"/>
      <c r="AK221" s="3396"/>
      <c r="AL221" s="3396"/>
      <c r="AM221" s="3396"/>
      <c r="AN221" s="3396"/>
      <c r="AO221" s="3396"/>
      <c r="AP221" s="3396"/>
      <c r="AQ221" s="3396"/>
      <c r="AR221" s="3396"/>
      <c r="AS221" s="3396"/>
      <c r="AT221" s="3396"/>
      <c r="AU221" s="3396"/>
      <c r="AV221" s="3396"/>
      <c r="AW221" s="3396"/>
      <c r="AX221" s="3396"/>
      <c r="AY221" s="3396"/>
      <c r="AZ221" s="3396"/>
      <c r="BA221" s="3396"/>
      <c r="BB221" s="3396"/>
      <c r="BC221" s="3396"/>
      <c r="BD221" s="3396"/>
      <c r="BE221" s="3396"/>
      <c r="BF221" s="3396"/>
      <c r="BG221" s="3396"/>
      <c r="BH221" s="3396"/>
      <c r="BI221" s="3396"/>
      <c r="BJ221" s="3396"/>
      <c r="BK221" s="3396"/>
      <c r="BL221" s="3396"/>
      <c r="BM221" s="3396"/>
      <c r="BN221" s="3396"/>
    </row>
    <row r="222" s="687" customFormat="1" ht="15" customHeight="1" spans="1:66">
      <c r="A222" s="3407" t="s">
        <v>5707</v>
      </c>
      <c r="B222" s="3408"/>
      <c r="C222" s="3409"/>
      <c r="D222" s="3409"/>
      <c r="E222" s="3408"/>
      <c r="F222" s="3410"/>
      <c r="G222" s="3410"/>
      <c r="H222" s="3411">
        <f t="shared" si="5"/>
        <v>0</v>
      </c>
      <c r="I222" s="3396"/>
      <c r="J222" s="3396"/>
      <c r="K222" s="3396"/>
      <c r="L222" s="3396"/>
      <c r="M222" s="3396"/>
      <c r="N222" s="3396"/>
      <c r="O222" s="3396"/>
      <c r="P222" s="3396"/>
      <c r="Q222" s="3396"/>
      <c r="R222" s="3396"/>
      <c r="S222" s="3396"/>
      <c r="T222" s="3396"/>
      <c r="U222" s="3396"/>
      <c r="V222" s="3396"/>
      <c r="W222" s="3396"/>
      <c r="X222" s="3396"/>
      <c r="Y222" s="3396"/>
      <c r="Z222" s="3396"/>
      <c r="AA222" s="3396"/>
      <c r="AB222" s="3396"/>
      <c r="AC222" s="3396"/>
      <c r="AD222" s="3396"/>
      <c r="AE222" s="3396"/>
      <c r="AF222" s="3396"/>
      <c r="AG222" s="3396"/>
      <c r="AH222" s="3396"/>
      <c r="AI222" s="3396"/>
      <c r="AJ222" s="3396"/>
      <c r="AK222" s="3396"/>
      <c r="AL222" s="3396"/>
      <c r="AM222" s="3396"/>
      <c r="AN222" s="3396"/>
      <c r="AO222" s="3396"/>
      <c r="AP222" s="3396"/>
      <c r="AQ222" s="3396"/>
      <c r="AR222" s="3396"/>
      <c r="AS222" s="3396"/>
      <c r="AT222" s="3396"/>
      <c r="AU222" s="3396"/>
      <c r="AV222" s="3396"/>
      <c r="AW222" s="3396"/>
      <c r="AX222" s="3396"/>
      <c r="AY222" s="3396"/>
      <c r="AZ222" s="3396"/>
      <c r="BA222" s="3396"/>
      <c r="BB222" s="3396"/>
      <c r="BC222" s="3396"/>
      <c r="BD222" s="3396"/>
      <c r="BE222" s="3396"/>
      <c r="BF222" s="3396"/>
      <c r="BG222" s="3396"/>
      <c r="BH222" s="3396"/>
      <c r="BI222" s="3396"/>
      <c r="BJ222" s="3396"/>
      <c r="BK222" s="3396"/>
      <c r="BL222" s="3396"/>
      <c r="BM222" s="3396"/>
      <c r="BN222" s="3396"/>
    </row>
    <row r="223" s="687" customFormat="1" ht="15" customHeight="1" spans="1:66">
      <c r="A223" s="3407" t="s">
        <v>5708</v>
      </c>
      <c r="B223" s="3408"/>
      <c r="C223" s="3409"/>
      <c r="D223" s="3409"/>
      <c r="E223" s="3408"/>
      <c r="F223" s="3410"/>
      <c r="G223" s="3410"/>
      <c r="H223" s="3411">
        <f t="shared" si="5"/>
        <v>0</v>
      </c>
      <c r="I223" s="3396"/>
      <c r="J223" s="3396"/>
      <c r="K223" s="3396"/>
      <c r="L223" s="3396"/>
      <c r="M223" s="3396"/>
      <c r="N223" s="3396"/>
      <c r="O223" s="3396"/>
      <c r="P223" s="3396"/>
      <c r="Q223" s="3396"/>
      <c r="R223" s="3396"/>
      <c r="S223" s="3396"/>
      <c r="T223" s="3396"/>
      <c r="U223" s="3396"/>
      <c r="V223" s="3396"/>
      <c r="W223" s="3396"/>
      <c r="X223" s="3396"/>
      <c r="Y223" s="3396"/>
      <c r="Z223" s="3396"/>
      <c r="AA223" s="3396"/>
      <c r="AB223" s="3396"/>
      <c r="AC223" s="3396"/>
      <c r="AD223" s="3396"/>
      <c r="AE223" s="3396"/>
      <c r="AF223" s="3396"/>
      <c r="AG223" s="3396"/>
      <c r="AH223" s="3396"/>
      <c r="AI223" s="3396"/>
      <c r="AJ223" s="3396"/>
      <c r="AK223" s="3396"/>
      <c r="AL223" s="3396"/>
      <c r="AM223" s="3396"/>
      <c r="AN223" s="3396"/>
      <c r="AO223" s="3396"/>
      <c r="AP223" s="3396"/>
      <c r="AQ223" s="3396"/>
      <c r="AR223" s="3396"/>
      <c r="AS223" s="3396"/>
      <c r="AT223" s="3396"/>
      <c r="AU223" s="3396"/>
      <c r="AV223" s="3396"/>
      <c r="AW223" s="3396"/>
      <c r="AX223" s="3396"/>
      <c r="AY223" s="3396"/>
      <c r="AZ223" s="3396"/>
      <c r="BA223" s="3396"/>
      <c r="BB223" s="3396"/>
      <c r="BC223" s="3396"/>
      <c r="BD223" s="3396"/>
      <c r="BE223" s="3396"/>
      <c r="BF223" s="3396"/>
      <c r="BG223" s="3396"/>
      <c r="BH223" s="3396"/>
      <c r="BI223" s="3396"/>
      <c r="BJ223" s="3396"/>
      <c r="BK223" s="3396"/>
      <c r="BL223" s="3396"/>
      <c r="BM223" s="3396"/>
      <c r="BN223" s="3396"/>
    </row>
    <row r="224" s="687" customFormat="1" ht="15" customHeight="1" spans="1:66">
      <c r="A224" s="3407" t="s">
        <v>5709</v>
      </c>
      <c r="B224" s="3408"/>
      <c r="C224" s="3409"/>
      <c r="D224" s="3409"/>
      <c r="E224" s="3408"/>
      <c r="F224" s="3410"/>
      <c r="G224" s="3410"/>
      <c r="H224" s="3411">
        <f t="shared" si="5"/>
        <v>0</v>
      </c>
      <c r="I224" s="3396"/>
      <c r="J224" s="3396"/>
      <c r="K224" s="3396"/>
      <c r="L224" s="3396"/>
      <c r="M224" s="3396"/>
      <c r="N224" s="3396"/>
      <c r="O224" s="3396"/>
      <c r="P224" s="3396"/>
      <c r="Q224" s="3396"/>
      <c r="R224" s="3396"/>
      <c r="S224" s="3396"/>
      <c r="T224" s="3396"/>
      <c r="U224" s="3396"/>
      <c r="V224" s="3396"/>
      <c r="W224" s="3396"/>
      <c r="X224" s="3396"/>
      <c r="Y224" s="3396"/>
      <c r="Z224" s="3396"/>
      <c r="AA224" s="3396"/>
      <c r="AB224" s="3396"/>
      <c r="AC224" s="3396"/>
      <c r="AD224" s="3396"/>
      <c r="AE224" s="3396"/>
      <c r="AF224" s="3396"/>
      <c r="AG224" s="3396"/>
      <c r="AH224" s="3396"/>
      <c r="AI224" s="3396"/>
      <c r="AJ224" s="3396"/>
      <c r="AK224" s="3396"/>
      <c r="AL224" s="3396"/>
      <c r="AM224" s="3396"/>
      <c r="AN224" s="3396"/>
      <c r="AO224" s="3396"/>
      <c r="AP224" s="3396"/>
      <c r="AQ224" s="3396"/>
      <c r="AR224" s="3396"/>
      <c r="AS224" s="3396"/>
      <c r="AT224" s="3396"/>
      <c r="AU224" s="3396"/>
      <c r="AV224" s="3396"/>
      <c r="AW224" s="3396"/>
      <c r="AX224" s="3396"/>
      <c r="AY224" s="3396"/>
      <c r="AZ224" s="3396"/>
      <c r="BA224" s="3396"/>
      <c r="BB224" s="3396"/>
      <c r="BC224" s="3396"/>
      <c r="BD224" s="3396"/>
      <c r="BE224" s="3396"/>
      <c r="BF224" s="3396"/>
      <c r="BG224" s="3396"/>
      <c r="BH224" s="3396"/>
      <c r="BI224" s="3396"/>
      <c r="BJ224" s="3396"/>
      <c r="BK224" s="3396"/>
      <c r="BL224" s="3396"/>
      <c r="BM224" s="3396"/>
      <c r="BN224" s="3396"/>
    </row>
    <row r="225" s="687" customFormat="1" ht="15" customHeight="1" spans="1:66">
      <c r="A225" s="3407" t="s">
        <v>5710</v>
      </c>
      <c r="B225" s="3408"/>
      <c r="C225" s="3409"/>
      <c r="D225" s="3409"/>
      <c r="E225" s="3408"/>
      <c r="F225" s="3410"/>
      <c r="G225" s="3410"/>
      <c r="H225" s="3411">
        <f t="shared" si="5"/>
        <v>0</v>
      </c>
      <c r="I225" s="3396"/>
      <c r="J225" s="3396"/>
      <c r="K225" s="3396"/>
      <c r="L225" s="3396"/>
      <c r="M225" s="3396"/>
      <c r="N225" s="3396"/>
      <c r="O225" s="3396"/>
      <c r="P225" s="3396"/>
      <c r="Q225" s="3396"/>
      <c r="R225" s="3396"/>
      <c r="S225" s="3396"/>
      <c r="T225" s="3396"/>
      <c r="U225" s="3396"/>
      <c r="V225" s="3396"/>
      <c r="W225" s="3396"/>
      <c r="X225" s="3396"/>
      <c r="Y225" s="3396"/>
      <c r="Z225" s="3396"/>
      <c r="AA225" s="3396"/>
      <c r="AB225" s="3396"/>
      <c r="AC225" s="3396"/>
      <c r="AD225" s="3396"/>
      <c r="AE225" s="3396"/>
      <c r="AF225" s="3396"/>
      <c r="AG225" s="3396"/>
      <c r="AH225" s="3396"/>
      <c r="AI225" s="3396"/>
      <c r="AJ225" s="3396"/>
      <c r="AK225" s="3396"/>
      <c r="AL225" s="3396"/>
      <c r="AM225" s="3396"/>
      <c r="AN225" s="3396"/>
      <c r="AO225" s="3396"/>
      <c r="AP225" s="3396"/>
      <c r="AQ225" s="3396"/>
      <c r="AR225" s="3396"/>
      <c r="AS225" s="3396"/>
      <c r="AT225" s="3396"/>
      <c r="AU225" s="3396"/>
      <c r="AV225" s="3396"/>
      <c r="AW225" s="3396"/>
      <c r="AX225" s="3396"/>
      <c r="AY225" s="3396"/>
      <c r="AZ225" s="3396"/>
      <c r="BA225" s="3396"/>
      <c r="BB225" s="3396"/>
      <c r="BC225" s="3396"/>
      <c r="BD225" s="3396"/>
      <c r="BE225" s="3396"/>
      <c r="BF225" s="3396"/>
      <c r="BG225" s="3396"/>
      <c r="BH225" s="3396"/>
      <c r="BI225" s="3396"/>
      <c r="BJ225" s="3396"/>
      <c r="BK225" s="3396"/>
      <c r="BL225" s="3396"/>
      <c r="BM225" s="3396"/>
      <c r="BN225" s="3396"/>
    </row>
    <row r="226" s="687" customFormat="1" ht="15" customHeight="1" spans="1:66">
      <c r="A226" s="3407" t="s">
        <v>5711</v>
      </c>
      <c r="B226" s="3408"/>
      <c r="C226" s="3409"/>
      <c r="D226" s="3409"/>
      <c r="E226" s="3408"/>
      <c r="F226" s="3410"/>
      <c r="G226" s="3410"/>
      <c r="H226" s="3411">
        <f t="shared" si="5"/>
        <v>0</v>
      </c>
      <c r="I226" s="3396"/>
      <c r="J226" s="3396"/>
      <c r="K226" s="3396"/>
      <c r="L226" s="3396"/>
      <c r="M226" s="3396"/>
      <c r="N226" s="3396"/>
      <c r="O226" s="3396"/>
      <c r="P226" s="3396"/>
      <c r="Q226" s="3396"/>
      <c r="R226" s="3396"/>
      <c r="S226" s="3396"/>
      <c r="T226" s="3396"/>
      <c r="U226" s="3396"/>
      <c r="V226" s="3396"/>
      <c r="W226" s="3396"/>
      <c r="X226" s="3396"/>
      <c r="Y226" s="3396"/>
      <c r="Z226" s="3396"/>
      <c r="AA226" s="3396"/>
      <c r="AB226" s="3396"/>
      <c r="AC226" s="3396"/>
      <c r="AD226" s="3396"/>
      <c r="AE226" s="3396"/>
      <c r="AF226" s="3396"/>
      <c r="AG226" s="3396"/>
      <c r="AH226" s="3396"/>
      <c r="AI226" s="3396"/>
      <c r="AJ226" s="3396"/>
      <c r="AK226" s="3396"/>
      <c r="AL226" s="3396"/>
      <c r="AM226" s="3396"/>
      <c r="AN226" s="3396"/>
      <c r="AO226" s="3396"/>
      <c r="AP226" s="3396"/>
      <c r="AQ226" s="3396"/>
      <c r="AR226" s="3396"/>
      <c r="AS226" s="3396"/>
      <c r="AT226" s="3396"/>
      <c r="AU226" s="3396"/>
      <c r="AV226" s="3396"/>
      <c r="AW226" s="3396"/>
      <c r="AX226" s="3396"/>
      <c r="AY226" s="3396"/>
      <c r="AZ226" s="3396"/>
      <c r="BA226" s="3396"/>
      <c r="BB226" s="3396"/>
      <c r="BC226" s="3396"/>
      <c r="BD226" s="3396"/>
      <c r="BE226" s="3396"/>
      <c r="BF226" s="3396"/>
      <c r="BG226" s="3396"/>
      <c r="BH226" s="3396"/>
      <c r="BI226" s="3396"/>
      <c r="BJ226" s="3396"/>
      <c r="BK226" s="3396"/>
      <c r="BL226" s="3396"/>
      <c r="BM226" s="3396"/>
      <c r="BN226" s="3396"/>
    </row>
    <row r="227" s="687" customFormat="1" ht="15" customHeight="1" spans="1:66">
      <c r="A227" s="3412" t="s">
        <v>5713</v>
      </c>
      <c r="B227" s="3408"/>
      <c r="C227" s="3409"/>
      <c r="D227" s="3409"/>
      <c r="E227" s="3408"/>
      <c r="F227" s="3410"/>
      <c r="G227" s="3410"/>
      <c r="H227" s="3411">
        <f t="shared" si="5"/>
        <v>0</v>
      </c>
      <c r="I227" s="3396"/>
      <c r="J227" s="3396"/>
      <c r="K227" s="3396"/>
      <c r="L227" s="3396"/>
      <c r="M227" s="3396"/>
      <c r="N227" s="3396"/>
      <c r="O227" s="3396"/>
      <c r="P227" s="3396"/>
      <c r="Q227" s="3396"/>
      <c r="R227" s="3396"/>
      <c r="S227" s="3396"/>
      <c r="T227" s="3396"/>
      <c r="U227" s="3396"/>
      <c r="V227" s="3396"/>
      <c r="W227" s="3396"/>
      <c r="X227" s="3396"/>
      <c r="Y227" s="3396"/>
      <c r="Z227" s="3396"/>
      <c r="AA227" s="3396"/>
      <c r="AB227" s="3396"/>
      <c r="AC227" s="3396"/>
      <c r="AD227" s="3396"/>
      <c r="AE227" s="3396"/>
      <c r="AF227" s="3396"/>
      <c r="AG227" s="3396"/>
      <c r="AH227" s="3396"/>
      <c r="AI227" s="3396"/>
      <c r="AJ227" s="3396"/>
      <c r="AK227" s="3396"/>
      <c r="AL227" s="3396"/>
      <c r="AM227" s="3396"/>
      <c r="AN227" s="3396"/>
      <c r="AO227" s="3396"/>
      <c r="AP227" s="3396"/>
      <c r="AQ227" s="3396"/>
      <c r="AR227" s="3396"/>
      <c r="AS227" s="3396"/>
      <c r="AT227" s="3396"/>
      <c r="AU227" s="3396"/>
      <c r="AV227" s="3396"/>
      <c r="AW227" s="3396"/>
      <c r="AX227" s="3396"/>
      <c r="AY227" s="3396"/>
      <c r="AZ227" s="3396"/>
      <c r="BA227" s="3396"/>
      <c r="BB227" s="3396"/>
      <c r="BC227" s="3396"/>
      <c r="BD227" s="3396"/>
      <c r="BE227" s="3396"/>
      <c r="BF227" s="3396"/>
      <c r="BG227" s="3396"/>
      <c r="BH227" s="3396"/>
      <c r="BI227" s="3396"/>
      <c r="BJ227" s="3396"/>
      <c r="BK227" s="3396"/>
      <c r="BL227" s="3396"/>
      <c r="BM227" s="3396"/>
      <c r="BN227" s="3396"/>
    </row>
    <row r="228" s="687" customFormat="1" ht="15" hidden="1" customHeight="1" spans="1:66">
      <c r="A228" s="3407" t="s">
        <v>5714</v>
      </c>
      <c r="B228" s="3408"/>
      <c r="C228" s="3409"/>
      <c r="D228" s="3409"/>
      <c r="E228" s="3408"/>
      <c r="F228" s="3410"/>
      <c r="G228" s="3410"/>
      <c r="H228" s="3411">
        <f t="shared" si="5"/>
        <v>0</v>
      </c>
      <c r="I228" s="3396"/>
      <c r="J228" s="3396"/>
      <c r="K228" s="3396"/>
      <c r="L228" s="3396"/>
      <c r="M228" s="3396"/>
      <c r="N228" s="3396"/>
      <c r="O228" s="3396"/>
      <c r="P228" s="3396"/>
      <c r="Q228" s="3396"/>
      <c r="R228" s="3396"/>
      <c r="S228" s="3396"/>
      <c r="T228" s="3396"/>
      <c r="U228" s="3396"/>
      <c r="V228" s="3396"/>
      <c r="W228" s="3396"/>
      <c r="X228" s="3396"/>
      <c r="Y228" s="3396"/>
      <c r="Z228" s="3396"/>
      <c r="AA228" s="3396"/>
      <c r="AB228" s="3396"/>
      <c r="AC228" s="3396"/>
      <c r="AD228" s="3396"/>
      <c r="AE228" s="3396"/>
      <c r="AF228" s="3396"/>
      <c r="AG228" s="3396"/>
      <c r="AH228" s="3396"/>
      <c r="AI228" s="3396"/>
      <c r="AJ228" s="3396"/>
      <c r="AK228" s="3396"/>
      <c r="AL228" s="3396"/>
      <c r="AM228" s="3396"/>
      <c r="AN228" s="3396"/>
      <c r="AO228" s="3396"/>
      <c r="AP228" s="3396"/>
      <c r="AQ228" s="3396"/>
      <c r="AR228" s="3396"/>
      <c r="AS228" s="3396"/>
      <c r="AT228" s="3396"/>
      <c r="AU228" s="3396"/>
      <c r="AV228" s="3396"/>
      <c r="AW228" s="3396"/>
      <c r="AX228" s="3396"/>
      <c r="AY228" s="3396"/>
      <c r="AZ228" s="3396"/>
      <c r="BA228" s="3396"/>
      <c r="BB228" s="3396"/>
      <c r="BC228" s="3396"/>
      <c r="BD228" s="3396"/>
      <c r="BE228" s="3396"/>
      <c r="BF228" s="3396"/>
      <c r="BG228" s="3396"/>
      <c r="BH228" s="3396"/>
      <c r="BI228" s="3396"/>
      <c r="BJ228" s="3396"/>
      <c r="BK228" s="3396"/>
      <c r="BL228" s="3396"/>
      <c r="BM228" s="3396"/>
      <c r="BN228" s="3396"/>
    </row>
    <row r="229" s="687" customFormat="1" ht="15" hidden="1" customHeight="1" spans="1:66">
      <c r="A229" s="3407" t="s">
        <v>5715</v>
      </c>
      <c r="B229" s="3408"/>
      <c r="C229" s="3409"/>
      <c r="D229" s="3409"/>
      <c r="E229" s="3408"/>
      <c r="F229" s="3410"/>
      <c r="G229" s="3410"/>
      <c r="H229" s="3411">
        <f t="shared" si="5"/>
        <v>0</v>
      </c>
      <c r="I229" s="3396"/>
      <c r="J229" s="3396"/>
      <c r="K229" s="3396"/>
      <c r="L229" s="3396"/>
      <c r="M229" s="3396"/>
      <c r="N229" s="3396"/>
      <c r="O229" s="3396"/>
      <c r="P229" s="3396"/>
      <c r="Q229" s="3396"/>
      <c r="R229" s="3396"/>
      <c r="S229" s="3396"/>
      <c r="T229" s="3396"/>
      <c r="U229" s="3396"/>
      <c r="V229" s="3396"/>
      <c r="W229" s="3396"/>
      <c r="X229" s="3396"/>
      <c r="Y229" s="3396"/>
      <c r="Z229" s="3396"/>
      <c r="AA229" s="3396"/>
      <c r="AB229" s="3396"/>
      <c r="AC229" s="3396"/>
      <c r="AD229" s="3396"/>
      <c r="AE229" s="3396"/>
      <c r="AF229" s="3396"/>
      <c r="AG229" s="3396"/>
      <c r="AH229" s="3396"/>
      <c r="AI229" s="3396"/>
      <c r="AJ229" s="3396"/>
      <c r="AK229" s="3396"/>
      <c r="AL229" s="3396"/>
      <c r="AM229" s="3396"/>
      <c r="AN229" s="3396"/>
      <c r="AO229" s="3396"/>
      <c r="AP229" s="3396"/>
      <c r="AQ229" s="3396"/>
      <c r="AR229" s="3396"/>
      <c r="AS229" s="3396"/>
      <c r="AT229" s="3396"/>
      <c r="AU229" s="3396"/>
      <c r="AV229" s="3396"/>
      <c r="AW229" s="3396"/>
      <c r="AX229" s="3396"/>
      <c r="AY229" s="3396"/>
      <c r="AZ229" s="3396"/>
      <c r="BA229" s="3396"/>
      <c r="BB229" s="3396"/>
      <c r="BC229" s="3396"/>
      <c r="BD229" s="3396"/>
      <c r="BE229" s="3396"/>
      <c r="BF229" s="3396"/>
      <c r="BG229" s="3396"/>
      <c r="BH229" s="3396"/>
      <c r="BI229" s="3396"/>
      <c r="BJ229" s="3396"/>
      <c r="BK229" s="3396"/>
      <c r="BL229" s="3396"/>
      <c r="BM229" s="3396"/>
      <c r="BN229" s="3396"/>
    </row>
    <row r="230" s="687" customFormat="1" ht="15" hidden="1" customHeight="1" spans="1:66">
      <c r="A230" s="3407" t="s">
        <v>5716</v>
      </c>
      <c r="B230" s="3408"/>
      <c r="C230" s="3409"/>
      <c r="D230" s="3409"/>
      <c r="E230" s="3408"/>
      <c r="F230" s="3410"/>
      <c r="G230" s="3410"/>
      <c r="H230" s="3411">
        <f t="shared" si="5"/>
        <v>0</v>
      </c>
      <c r="I230" s="3396"/>
      <c r="J230" s="3396"/>
      <c r="K230" s="3396"/>
      <c r="L230" s="3396"/>
      <c r="M230" s="3396"/>
      <c r="N230" s="3396"/>
      <c r="O230" s="3396"/>
      <c r="P230" s="3396"/>
      <c r="Q230" s="3396"/>
      <c r="R230" s="3396"/>
      <c r="S230" s="3396"/>
      <c r="T230" s="3396"/>
      <c r="U230" s="3396"/>
      <c r="V230" s="3396"/>
      <c r="W230" s="3396"/>
      <c r="X230" s="3396"/>
      <c r="Y230" s="3396"/>
      <c r="Z230" s="3396"/>
      <c r="AA230" s="3396"/>
      <c r="AB230" s="3396"/>
      <c r="AC230" s="3396"/>
      <c r="AD230" s="3396"/>
      <c r="AE230" s="3396"/>
      <c r="AF230" s="3396"/>
      <c r="AG230" s="3396"/>
      <c r="AH230" s="3396"/>
      <c r="AI230" s="3396"/>
      <c r="AJ230" s="3396"/>
      <c r="AK230" s="3396"/>
      <c r="AL230" s="3396"/>
      <c r="AM230" s="3396"/>
      <c r="AN230" s="3396"/>
      <c r="AO230" s="3396"/>
      <c r="AP230" s="3396"/>
      <c r="AQ230" s="3396"/>
      <c r="AR230" s="3396"/>
      <c r="AS230" s="3396"/>
      <c r="AT230" s="3396"/>
      <c r="AU230" s="3396"/>
      <c r="AV230" s="3396"/>
      <c r="AW230" s="3396"/>
      <c r="AX230" s="3396"/>
      <c r="AY230" s="3396"/>
      <c r="AZ230" s="3396"/>
      <c r="BA230" s="3396"/>
      <c r="BB230" s="3396"/>
      <c r="BC230" s="3396"/>
      <c r="BD230" s="3396"/>
      <c r="BE230" s="3396"/>
      <c r="BF230" s="3396"/>
      <c r="BG230" s="3396"/>
      <c r="BH230" s="3396"/>
      <c r="BI230" s="3396"/>
      <c r="BJ230" s="3396"/>
      <c r="BK230" s="3396"/>
      <c r="BL230" s="3396"/>
      <c r="BM230" s="3396"/>
      <c r="BN230" s="3396"/>
    </row>
    <row r="231" s="687" customFormat="1" ht="15" hidden="1" customHeight="1" spans="1:66">
      <c r="A231" s="3407" t="s">
        <v>5717</v>
      </c>
      <c r="B231" s="3408"/>
      <c r="C231" s="3409"/>
      <c r="D231" s="3409"/>
      <c r="E231" s="3408"/>
      <c r="F231" s="3410"/>
      <c r="G231" s="3410"/>
      <c r="H231" s="3411">
        <f t="shared" si="5"/>
        <v>0</v>
      </c>
      <c r="I231" s="3396"/>
      <c r="J231" s="3396"/>
      <c r="K231" s="3396"/>
      <c r="L231" s="3396"/>
      <c r="M231" s="3396"/>
      <c r="N231" s="3396"/>
      <c r="O231" s="3396"/>
      <c r="P231" s="3396"/>
      <c r="Q231" s="3396"/>
      <c r="R231" s="3396"/>
      <c r="S231" s="3396"/>
      <c r="T231" s="3396"/>
      <c r="U231" s="3396"/>
      <c r="V231" s="3396"/>
      <c r="W231" s="3396"/>
      <c r="X231" s="3396"/>
      <c r="Y231" s="3396"/>
      <c r="Z231" s="3396"/>
      <c r="AA231" s="3396"/>
      <c r="AB231" s="3396"/>
      <c r="AC231" s="3396"/>
      <c r="AD231" s="3396"/>
      <c r="AE231" s="3396"/>
      <c r="AF231" s="3396"/>
      <c r="AG231" s="3396"/>
      <c r="AH231" s="3396"/>
      <c r="AI231" s="3396"/>
      <c r="AJ231" s="3396"/>
      <c r="AK231" s="3396"/>
      <c r="AL231" s="3396"/>
      <c r="AM231" s="3396"/>
      <c r="AN231" s="3396"/>
      <c r="AO231" s="3396"/>
      <c r="AP231" s="3396"/>
      <c r="AQ231" s="3396"/>
      <c r="AR231" s="3396"/>
      <c r="AS231" s="3396"/>
      <c r="AT231" s="3396"/>
      <c r="AU231" s="3396"/>
      <c r="AV231" s="3396"/>
      <c r="AW231" s="3396"/>
      <c r="AX231" s="3396"/>
      <c r="AY231" s="3396"/>
      <c r="AZ231" s="3396"/>
      <c r="BA231" s="3396"/>
      <c r="BB231" s="3396"/>
      <c r="BC231" s="3396"/>
      <c r="BD231" s="3396"/>
      <c r="BE231" s="3396"/>
      <c r="BF231" s="3396"/>
      <c r="BG231" s="3396"/>
      <c r="BH231" s="3396"/>
      <c r="BI231" s="3396"/>
      <c r="BJ231" s="3396"/>
      <c r="BK231" s="3396"/>
      <c r="BL231" s="3396"/>
      <c r="BM231" s="3396"/>
      <c r="BN231" s="3396"/>
    </row>
    <row r="232" s="687" customFormat="1" ht="15" hidden="1" customHeight="1" spans="1:66">
      <c r="A232" s="3407" t="s">
        <v>5718</v>
      </c>
      <c r="B232" s="3408"/>
      <c r="C232" s="3409"/>
      <c r="D232" s="3409"/>
      <c r="E232" s="3408"/>
      <c r="F232" s="3410"/>
      <c r="G232" s="3410"/>
      <c r="H232" s="3411">
        <f t="shared" si="5"/>
        <v>0</v>
      </c>
      <c r="I232" s="3396"/>
      <c r="J232" s="3396"/>
      <c r="K232" s="3396"/>
      <c r="L232" s="3396"/>
      <c r="M232" s="3396"/>
      <c r="N232" s="3396"/>
      <c r="O232" s="3396"/>
      <c r="P232" s="3396"/>
      <c r="Q232" s="3396"/>
      <c r="R232" s="3396"/>
      <c r="S232" s="3396"/>
      <c r="T232" s="3396"/>
      <c r="U232" s="3396"/>
      <c r="V232" s="3396"/>
      <c r="W232" s="3396"/>
      <c r="X232" s="3396"/>
      <c r="Y232" s="3396"/>
      <c r="Z232" s="3396"/>
      <c r="AA232" s="3396"/>
      <c r="AB232" s="3396"/>
      <c r="AC232" s="3396"/>
      <c r="AD232" s="3396"/>
      <c r="AE232" s="3396"/>
      <c r="AF232" s="3396"/>
      <c r="AG232" s="3396"/>
      <c r="AH232" s="3396"/>
      <c r="AI232" s="3396"/>
      <c r="AJ232" s="3396"/>
      <c r="AK232" s="3396"/>
      <c r="AL232" s="3396"/>
      <c r="AM232" s="3396"/>
      <c r="AN232" s="3396"/>
      <c r="AO232" s="3396"/>
      <c r="AP232" s="3396"/>
      <c r="AQ232" s="3396"/>
      <c r="AR232" s="3396"/>
      <c r="AS232" s="3396"/>
      <c r="AT232" s="3396"/>
      <c r="AU232" s="3396"/>
      <c r="AV232" s="3396"/>
      <c r="AW232" s="3396"/>
      <c r="AX232" s="3396"/>
      <c r="AY232" s="3396"/>
      <c r="AZ232" s="3396"/>
      <c r="BA232" s="3396"/>
      <c r="BB232" s="3396"/>
      <c r="BC232" s="3396"/>
      <c r="BD232" s="3396"/>
      <c r="BE232" s="3396"/>
      <c r="BF232" s="3396"/>
      <c r="BG232" s="3396"/>
      <c r="BH232" s="3396"/>
      <c r="BI232" s="3396"/>
      <c r="BJ232" s="3396"/>
      <c r="BK232" s="3396"/>
      <c r="BL232" s="3396"/>
      <c r="BM232" s="3396"/>
      <c r="BN232" s="3396"/>
    </row>
    <row r="233" s="687" customFormat="1" ht="15" hidden="1" customHeight="1" spans="1:66">
      <c r="A233" s="3407" t="s">
        <v>5835</v>
      </c>
      <c r="B233" s="3408"/>
      <c r="C233" s="3409"/>
      <c r="D233" s="3409"/>
      <c r="E233" s="3408"/>
      <c r="F233" s="3410"/>
      <c r="G233" s="3410"/>
      <c r="H233" s="3411">
        <f t="shared" si="5"/>
        <v>0</v>
      </c>
      <c r="I233" s="3396"/>
      <c r="J233" s="3396"/>
      <c r="K233" s="3396"/>
      <c r="L233" s="3396"/>
      <c r="M233" s="3396"/>
      <c r="N233" s="3396"/>
      <c r="O233" s="3396"/>
      <c r="P233" s="3396"/>
      <c r="Q233" s="3396"/>
      <c r="R233" s="3396"/>
      <c r="S233" s="3396"/>
      <c r="T233" s="3396"/>
      <c r="U233" s="3396"/>
      <c r="V233" s="3396"/>
      <c r="W233" s="3396"/>
      <c r="X233" s="3396"/>
      <c r="Y233" s="3396"/>
      <c r="Z233" s="3396"/>
      <c r="AA233" s="3396"/>
      <c r="AB233" s="3396"/>
      <c r="AC233" s="3396"/>
      <c r="AD233" s="3396"/>
      <c r="AE233" s="3396"/>
      <c r="AF233" s="3396"/>
      <c r="AG233" s="3396"/>
      <c r="AH233" s="3396"/>
      <c r="AI233" s="3396"/>
      <c r="AJ233" s="3396"/>
      <c r="AK233" s="3396"/>
      <c r="AL233" s="3396"/>
      <c r="AM233" s="3396"/>
      <c r="AN233" s="3396"/>
      <c r="AO233" s="3396"/>
      <c r="AP233" s="3396"/>
      <c r="AQ233" s="3396"/>
      <c r="AR233" s="3396"/>
      <c r="AS233" s="3396"/>
      <c r="AT233" s="3396"/>
      <c r="AU233" s="3396"/>
      <c r="AV233" s="3396"/>
      <c r="AW233" s="3396"/>
      <c r="AX233" s="3396"/>
      <c r="AY233" s="3396"/>
      <c r="AZ233" s="3396"/>
      <c r="BA233" s="3396"/>
      <c r="BB233" s="3396"/>
      <c r="BC233" s="3396"/>
      <c r="BD233" s="3396"/>
      <c r="BE233" s="3396"/>
      <c r="BF233" s="3396"/>
      <c r="BG233" s="3396"/>
      <c r="BH233" s="3396"/>
      <c r="BI233" s="3396"/>
      <c r="BJ233" s="3396"/>
      <c r="BK233" s="3396"/>
      <c r="BL233" s="3396"/>
      <c r="BM233" s="3396"/>
      <c r="BN233" s="3396"/>
    </row>
    <row r="234" s="687" customFormat="1" ht="15" hidden="1" customHeight="1" spans="1:66">
      <c r="A234" s="3407" t="s">
        <v>5837</v>
      </c>
      <c r="B234" s="3408"/>
      <c r="C234" s="3409"/>
      <c r="D234" s="3409"/>
      <c r="E234" s="3408"/>
      <c r="F234" s="3410"/>
      <c r="G234" s="3410"/>
      <c r="H234" s="3411">
        <f t="shared" si="5"/>
        <v>0</v>
      </c>
      <c r="I234" s="3396"/>
      <c r="J234" s="3396"/>
      <c r="K234" s="3396"/>
      <c r="L234" s="3396"/>
      <c r="M234" s="3396"/>
      <c r="N234" s="3396"/>
      <c r="O234" s="3396"/>
      <c r="P234" s="3396"/>
      <c r="Q234" s="3396"/>
      <c r="R234" s="3396"/>
      <c r="S234" s="3396"/>
      <c r="T234" s="3396"/>
      <c r="U234" s="3396"/>
      <c r="V234" s="3396"/>
      <c r="W234" s="3396"/>
      <c r="X234" s="3396"/>
      <c r="Y234" s="3396"/>
      <c r="Z234" s="3396"/>
      <c r="AA234" s="3396"/>
      <c r="AB234" s="3396"/>
      <c r="AC234" s="3396"/>
      <c r="AD234" s="3396"/>
      <c r="AE234" s="3396"/>
      <c r="AF234" s="3396"/>
      <c r="AG234" s="3396"/>
      <c r="AH234" s="3396"/>
      <c r="AI234" s="3396"/>
      <c r="AJ234" s="3396"/>
      <c r="AK234" s="3396"/>
      <c r="AL234" s="3396"/>
      <c r="AM234" s="3396"/>
      <c r="AN234" s="3396"/>
      <c r="AO234" s="3396"/>
      <c r="AP234" s="3396"/>
      <c r="AQ234" s="3396"/>
      <c r="AR234" s="3396"/>
      <c r="AS234" s="3396"/>
      <c r="AT234" s="3396"/>
      <c r="AU234" s="3396"/>
      <c r="AV234" s="3396"/>
      <c r="AW234" s="3396"/>
      <c r="AX234" s="3396"/>
      <c r="AY234" s="3396"/>
      <c r="AZ234" s="3396"/>
      <c r="BA234" s="3396"/>
      <c r="BB234" s="3396"/>
      <c r="BC234" s="3396"/>
      <c r="BD234" s="3396"/>
      <c r="BE234" s="3396"/>
      <c r="BF234" s="3396"/>
      <c r="BG234" s="3396"/>
      <c r="BH234" s="3396"/>
      <c r="BI234" s="3396"/>
      <c r="BJ234" s="3396"/>
      <c r="BK234" s="3396"/>
      <c r="BL234" s="3396"/>
      <c r="BM234" s="3396"/>
      <c r="BN234" s="3396"/>
    </row>
    <row r="235" s="687" customFormat="1" ht="15" hidden="1" customHeight="1" spans="1:66">
      <c r="A235" s="3407" t="s">
        <v>5839</v>
      </c>
      <c r="B235" s="3408"/>
      <c r="C235" s="3409"/>
      <c r="D235" s="3409"/>
      <c r="E235" s="3408"/>
      <c r="F235" s="3410"/>
      <c r="G235" s="3410"/>
      <c r="H235" s="3411">
        <f t="shared" si="5"/>
        <v>0</v>
      </c>
      <c r="I235" s="3396"/>
      <c r="J235" s="3396"/>
      <c r="K235" s="3396"/>
      <c r="L235" s="3396"/>
      <c r="M235" s="3396"/>
      <c r="N235" s="3396"/>
      <c r="O235" s="3396"/>
      <c r="P235" s="3396"/>
      <c r="Q235" s="3396"/>
      <c r="R235" s="3396"/>
      <c r="S235" s="3396"/>
      <c r="T235" s="3396"/>
      <c r="U235" s="3396"/>
      <c r="V235" s="3396"/>
      <c r="W235" s="3396"/>
      <c r="X235" s="3396"/>
      <c r="Y235" s="3396"/>
      <c r="Z235" s="3396"/>
      <c r="AA235" s="3396"/>
      <c r="AB235" s="3396"/>
      <c r="AC235" s="3396"/>
      <c r="AD235" s="3396"/>
      <c r="AE235" s="3396"/>
      <c r="AF235" s="3396"/>
      <c r="AG235" s="3396"/>
      <c r="AH235" s="3396"/>
      <c r="AI235" s="3396"/>
      <c r="AJ235" s="3396"/>
      <c r="AK235" s="3396"/>
      <c r="AL235" s="3396"/>
      <c r="AM235" s="3396"/>
      <c r="AN235" s="3396"/>
      <c r="AO235" s="3396"/>
      <c r="AP235" s="3396"/>
      <c r="AQ235" s="3396"/>
      <c r="AR235" s="3396"/>
      <c r="AS235" s="3396"/>
      <c r="AT235" s="3396"/>
      <c r="AU235" s="3396"/>
      <c r="AV235" s="3396"/>
      <c r="AW235" s="3396"/>
      <c r="AX235" s="3396"/>
      <c r="AY235" s="3396"/>
      <c r="AZ235" s="3396"/>
      <c r="BA235" s="3396"/>
      <c r="BB235" s="3396"/>
      <c r="BC235" s="3396"/>
      <c r="BD235" s="3396"/>
      <c r="BE235" s="3396"/>
      <c r="BF235" s="3396"/>
      <c r="BG235" s="3396"/>
      <c r="BH235" s="3396"/>
      <c r="BI235" s="3396"/>
      <c r="BJ235" s="3396"/>
      <c r="BK235" s="3396"/>
      <c r="BL235" s="3396"/>
      <c r="BM235" s="3396"/>
      <c r="BN235" s="3396"/>
    </row>
    <row r="236" s="687" customFormat="1" ht="15" hidden="1" customHeight="1" spans="1:66">
      <c r="A236" s="3407" t="s">
        <v>5841</v>
      </c>
      <c r="B236" s="3408"/>
      <c r="C236" s="3409"/>
      <c r="D236" s="3409"/>
      <c r="E236" s="3408"/>
      <c r="F236" s="3410"/>
      <c r="G236" s="3410"/>
      <c r="H236" s="3411">
        <f t="shared" si="5"/>
        <v>0</v>
      </c>
      <c r="I236" s="3396"/>
      <c r="J236" s="3396"/>
      <c r="K236" s="3396"/>
      <c r="L236" s="3396"/>
      <c r="M236" s="3396"/>
      <c r="N236" s="3396"/>
      <c r="O236" s="3396"/>
      <c r="P236" s="3396"/>
      <c r="Q236" s="3396"/>
      <c r="R236" s="3396"/>
      <c r="S236" s="3396"/>
      <c r="T236" s="3396"/>
      <c r="U236" s="3396"/>
      <c r="V236" s="3396"/>
      <c r="W236" s="3396"/>
      <c r="X236" s="3396"/>
      <c r="Y236" s="3396"/>
      <c r="Z236" s="3396"/>
      <c r="AA236" s="3396"/>
      <c r="AB236" s="3396"/>
      <c r="AC236" s="3396"/>
      <c r="AD236" s="3396"/>
      <c r="AE236" s="3396"/>
      <c r="AF236" s="3396"/>
      <c r="AG236" s="3396"/>
      <c r="AH236" s="3396"/>
      <c r="AI236" s="3396"/>
      <c r="AJ236" s="3396"/>
      <c r="AK236" s="3396"/>
      <c r="AL236" s="3396"/>
      <c r="AM236" s="3396"/>
      <c r="AN236" s="3396"/>
      <c r="AO236" s="3396"/>
      <c r="AP236" s="3396"/>
      <c r="AQ236" s="3396"/>
      <c r="AR236" s="3396"/>
      <c r="AS236" s="3396"/>
      <c r="AT236" s="3396"/>
      <c r="AU236" s="3396"/>
      <c r="AV236" s="3396"/>
      <c r="AW236" s="3396"/>
      <c r="AX236" s="3396"/>
      <c r="AY236" s="3396"/>
      <c r="AZ236" s="3396"/>
      <c r="BA236" s="3396"/>
      <c r="BB236" s="3396"/>
      <c r="BC236" s="3396"/>
      <c r="BD236" s="3396"/>
      <c r="BE236" s="3396"/>
      <c r="BF236" s="3396"/>
      <c r="BG236" s="3396"/>
      <c r="BH236" s="3396"/>
      <c r="BI236" s="3396"/>
      <c r="BJ236" s="3396"/>
      <c r="BK236" s="3396"/>
      <c r="BL236" s="3396"/>
      <c r="BM236" s="3396"/>
      <c r="BN236" s="3396"/>
    </row>
    <row r="237" s="687" customFormat="1" ht="15" hidden="1" customHeight="1" spans="1:66">
      <c r="A237" s="3407" t="s">
        <v>5843</v>
      </c>
      <c r="B237" s="3408"/>
      <c r="C237" s="3409"/>
      <c r="D237" s="3409"/>
      <c r="E237" s="3408"/>
      <c r="F237" s="3410"/>
      <c r="G237" s="3410"/>
      <c r="H237" s="3411">
        <f t="shared" si="5"/>
        <v>0</v>
      </c>
      <c r="I237" s="3396"/>
      <c r="J237" s="3396"/>
      <c r="K237" s="3396"/>
      <c r="L237" s="3396"/>
      <c r="M237" s="3396"/>
      <c r="N237" s="3396"/>
      <c r="O237" s="3396"/>
      <c r="P237" s="3396"/>
      <c r="Q237" s="3396"/>
      <c r="R237" s="3396"/>
      <c r="S237" s="3396"/>
      <c r="T237" s="3396"/>
      <c r="U237" s="3396"/>
      <c r="V237" s="3396"/>
      <c r="W237" s="3396"/>
      <c r="X237" s="3396"/>
      <c r="Y237" s="3396"/>
      <c r="Z237" s="3396"/>
      <c r="AA237" s="3396"/>
      <c r="AB237" s="3396"/>
      <c r="AC237" s="3396"/>
      <c r="AD237" s="3396"/>
      <c r="AE237" s="3396"/>
      <c r="AF237" s="3396"/>
      <c r="AG237" s="3396"/>
      <c r="AH237" s="3396"/>
      <c r="AI237" s="3396"/>
      <c r="AJ237" s="3396"/>
      <c r="AK237" s="3396"/>
      <c r="AL237" s="3396"/>
      <c r="AM237" s="3396"/>
      <c r="AN237" s="3396"/>
      <c r="AO237" s="3396"/>
      <c r="AP237" s="3396"/>
      <c r="AQ237" s="3396"/>
      <c r="AR237" s="3396"/>
      <c r="AS237" s="3396"/>
      <c r="AT237" s="3396"/>
      <c r="AU237" s="3396"/>
      <c r="AV237" s="3396"/>
      <c r="AW237" s="3396"/>
      <c r="AX237" s="3396"/>
      <c r="AY237" s="3396"/>
      <c r="AZ237" s="3396"/>
      <c r="BA237" s="3396"/>
      <c r="BB237" s="3396"/>
      <c r="BC237" s="3396"/>
      <c r="BD237" s="3396"/>
      <c r="BE237" s="3396"/>
      <c r="BF237" s="3396"/>
      <c r="BG237" s="3396"/>
      <c r="BH237" s="3396"/>
      <c r="BI237" s="3396"/>
      <c r="BJ237" s="3396"/>
      <c r="BK237" s="3396"/>
      <c r="BL237" s="3396"/>
      <c r="BM237" s="3396"/>
      <c r="BN237" s="3396"/>
    </row>
    <row r="238" s="687" customFormat="1" ht="15" hidden="1" customHeight="1" spans="1:66">
      <c r="A238" s="3407" t="s">
        <v>5845</v>
      </c>
      <c r="B238" s="3408"/>
      <c r="C238" s="3409"/>
      <c r="D238" s="3409"/>
      <c r="E238" s="3408"/>
      <c r="F238" s="3410"/>
      <c r="G238" s="3410"/>
      <c r="H238" s="3411">
        <f t="shared" si="5"/>
        <v>0</v>
      </c>
      <c r="I238" s="3396"/>
      <c r="J238" s="3396"/>
      <c r="K238" s="3396"/>
      <c r="L238" s="3396"/>
      <c r="M238" s="3396"/>
      <c r="N238" s="3396"/>
      <c r="O238" s="3396"/>
      <c r="P238" s="3396"/>
      <c r="Q238" s="3396"/>
      <c r="R238" s="3396"/>
      <c r="S238" s="3396"/>
      <c r="T238" s="3396"/>
      <c r="U238" s="3396"/>
      <c r="V238" s="3396"/>
      <c r="W238" s="3396"/>
      <c r="X238" s="3396"/>
      <c r="Y238" s="3396"/>
      <c r="Z238" s="3396"/>
      <c r="AA238" s="3396"/>
      <c r="AB238" s="3396"/>
      <c r="AC238" s="3396"/>
      <c r="AD238" s="3396"/>
      <c r="AE238" s="3396"/>
      <c r="AF238" s="3396"/>
      <c r="AG238" s="3396"/>
      <c r="AH238" s="3396"/>
      <c r="AI238" s="3396"/>
      <c r="AJ238" s="3396"/>
      <c r="AK238" s="3396"/>
      <c r="AL238" s="3396"/>
      <c r="AM238" s="3396"/>
      <c r="AN238" s="3396"/>
      <c r="AO238" s="3396"/>
      <c r="AP238" s="3396"/>
      <c r="AQ238" s="3396"/>
      <c r="AR238" s="3396"/>
      <c r="AS238" s="3396"/>
      <c r="AT238" s="3396"/>
      <c r="AU238" s="3396"/>
      <c r="AV238" s="3396"/>
      <c r="AW238" s="3396"/>
      <c r="AX238" s="3396"/>
      <c r="AY238" s="3396"/>
      <c r="AZ238" s="3396"/>
      <c r="BA238" s="3396"/>
      <c r="BB238" s="3396"/>
      <c r="BC238" s="3396"/>
      <c r="BD238" s="3396"/>
      <c r="BE238" s="3396"/>
      <c r="BF238" s="3396"/>
      <c r="BG238" s="3396"/>
      <c r="BH238" s="3396"/>
      <c r="BI238" s="3396"/>
      <c r="BJ238" s="3396"/>
      <c r="BK238" s="3396"/>
      <c r="BL238" s="3396"/>
      <c r="BM238" s="3396"/>
      <c r="BN238" s="3396"/>
    </row>
    <row r="239" s="687" customFormat="1" ht="15" hidden="1" customHeight="1" spans="1:66">
      <c r="A239" s="3407" t="s">
        <v>5847</v>
      </c>
      <c r="B239" s="3408"/>
      <c r="C239" s="3409"/>
      <c r="D239" s="3409"/>
      <c r="E239" s="3408"/>
      <c r="F239" s="3410"/>
      <c r="G239" s="3410"/>
      <c r="H239" s="3411">
        <f t="shared" si="5"/>
        <v>0</v>
      </c>
      <c r="I239" s="3396"/>
      <c r="J239" s="3396"/>
      <c r="K239" s="3396"/>
      <c r="L239" s="3396"/>
      <c r="M239" s="3396"/>
      <c r="N239" s="3396"/>
      <c r="O239" s="3396"/>
      <c r="P239" s="3396"/>
      <c r="Q239" s="3396"/>
      <c r="R239" s="3396"/>
      <c r="S239" s="3396"/>
      <c r="T239" s="3396"/>
      <c r="U239" s="3396"/>
      <c r="V239" s="3396"/>
      <c r="W239" s="3396"/>
      <c r="X239" s="3396"/>
      <c r="Y239" s="3396"/>
      <c r="Z239" s="3396"/>
      <c r="AA239" s="3396"/>
      <c r="AB239" s="3396"/>
      <c r="AC239" s="3396"/>
      <c r="AD239" s="3396"/>
      <c r="AE239" s="3396"/>
      <c r="AF239" s="3396"/>
      <c r="AG239" s="3396"/>
      <c r="AH239" s="3396"/>
      <c r="AI239" s="3396"/>
      <c r="AJ239" s="3396"/>
      <c r="AK239" s="3396"/>
      <c r="AL239" s="3396"/>
      <c r="AM239" s="3396"/>
      <c r="AN239" s="3396"/>
      <c r="AO239" s="3396"/>
      <c r="AP239" s="3396"/>
      <c r="AQ239" s="3396"/>
      <c r="AR239" s="3396"/>
      <c r="AS239" s="3396"/>
      <c r="AT239" s="3396"/>
      <c r="AU239" s="3396"/>
      <c r="AV239" s="3396"/>
      <c r="AW239" s="3396"/>
      <c r="AX239" s="3396"/>
      <c r="AY239" s="3396"/>
      <c r="AZ239" s="3396"/>
      <c r="BA239" s="3396"/>
      <c r="BB239" s="3396"/>
      <c r="BC239" s="3396"/>
      <c r="BD239" s="3396"/>
      <c r="BE239" s="3396"/>
      <c r="BF239" s="3396"/>
      <c r="BG239" s="3396"/>
      <c r="BH239" s="3396"/>
      <c r="BI239" s="3396"/>
      <c r="BJ239" s="3396"/>
      <c r="BK239" s="3396"/>
      <c r="BL239" s="3396"/>
      <c r="BM239" s="3396"/>
      <c r="BN239" s="3396"/>
    </row>
    <row r="240" s="687" customFormat="1" ht="15" hidden="1" customHeight="1" spans="1:66">
      <c r="A240" s="3407" t="s">
        <v>5849</v>
      </c>
      <c r="B240" s="3408"/>
      <c r="C240" s="3409"/>
      <c r="D240" s="3409"/>
      <c r="E240" s="3408"/>
      <c r="F240" s="3410"/>
      <c r="G240" s="3410"/>
      <c r="H240" s="3411">
        <f t="shared" si="5"/>
        <v>0</v>
      </c>
      <c r="I240" s="3396"/>
      <c r="J240" s="3396"/>
      <c r="K240" s="3396"/>
      <c r="L240" s="3396"/>
      <c r="M240" s="3396"/>
      <c r="N240" s="3396"/>
      <c r="O240" s="3396"/>
      <c r="P240" s="3396"/>
      <c r="Q240" s="3396"/>
      <c r="R240" s="3396"/>
      <c r="S240" s="3396"/>
      <c r="T240" s="3396"/>
      <c r="U240" s="3396"/>
      <c r="V240" s="3396"/>
      <c r="W240" s="3396"/>
      <c r="X240" s="3396"/>
      <c r="Y240" s="3396"/>
      <c r="Z240" s="3396"/>
      <c r="AA240" s="3396"/>
      <c r="AB240" s="3396"/>
      <c r="AC240" s="3396"/>
      <c r="AD240" s="3396"/>
      <c r="AE240" s="3396"/>
      <c r="AF240" s="3396"/>
      <c r="AG240" s="3396"/>
      <c r="AH240" s="3396"/>
      <c r="AI240" s="3396"/>
      <c r="AJ240" s="3396"/>
      <c r="AK240" s="3396"/>
      <c r="AL240" s="3396"/>
      <c r="AM240" s="3396"/>
      <c r="AN240" s="3396"/>
      <c r="AO240" s="3396"/>
      <c r="AP240" s="3396"/>
      <c r="AQ240" s="3396"/>
      <c r="AR240" s="3396"/>
      <c r="AS240" s="3396"/>
      <c r="AT240" s="3396"/>
      <c r="AU240" s="3396"/>
      <c r="AV240" s="3396"/>
      <c r="AW240" s="3396"/>
      <c r="AX240" s="3396"/>
      <c r="AY240" s="3396"/>
      <c r="AZ240" s="3396"/>
      <c r="BA240" s="3396"/>
      <c r="BB240" s="3396"/>
      <c r="BC240" s="3396"/>
      <c r="BD240" s="3396"/>
      <c r="BE240" s="3396"/>
      <c r="BF240" s="3396"/>
      <c r="BG240" s="3396"/>
      <c r="BH240" s="3396"/>
      <c r="BI240" s="3396"/>
      <c r="BJ240" s="3396"/>
      <c r="BK240" s="3396"/>
      <c r="BL240" s="3396"/>
      <c r="BM240" s="3396"/>
      <c r="BN240" s="3396"/>
    </row>
    <row r="241" s="687" customFormat="1" ht="15" hidden="1" customHeight="1" spans="1:66">
      <c r="A241" s="3407" t="s">
        <v>5851</v>
      </c>
      <c r="B241" s="3408"/>
      <c r="C241" s="3409"/>
      <c r="D241" s="3409"/>
      <c r="E241" s="3408"/>
      <c r="F241" s="3410"/>
      <c r="G241" s="3410"/>
      <c r="H241" s="3411">
        <f t="shared" si="5"/>
        <v>0</v>
      </c>
      <c r="I241" s="3396"/>
      <c r="J241" s="3396"/>
      <c r="K241" s="3396"/>
      <c r="L241" s="3396"/>
      <c r="M241" s="3396"/>
      <c r="N241" s="3396"/>
      <c r="O241" s="3396"/>
      <c r="P241" s="3396"/>
      <c r="Q241" s="3396"/>
      <c r="R241" s="3396"/>
      <c r="S241" s="3396"/>
      <c r="T241" s="3396"/>
      <c r="U241" s="3396"/>
      <c r="V241" s="3396"/>
      <c r="W241" s="3396"/>
      <c r="X241" s="3396"/>
      <c r="Y241" s="3396"/>
      <c r="Z241" s="3396"/>
      <c r="AA241" s="3396"/>
      <c r="AB241" s="3396"/>
      <c r="AC241" s="3396"/>
      <c r="AD241" s="3396"/>
      <c r="AE241" s="3396"/>
      <c r="AF241" s="3396"/>
      <c r="AG241" s="3396"/>
      <c r="AH241" s="3396"/>
      <c r="AI241" s="3396"/>
      <c r="AJ241" s="3396"/>
      <c r="AK241" s="3396"/>
      <c r="AL241" s="3396"/>
      <c r="AM241" s="3396"/>
      <c r="AN241" s="3396"/>
      <c r="AO241" s="3396"/>
      <c r="AP241" s="3396"/>
      <c r="AQ241" s="3396"/>
      <c r="AR241" s="3396"/>
      <c r="AS241" s="3396"/>
      <c r="AT241" s="3396"/>
      <c r="AU241" s="3396"/>
      <c r="AV241" s="3396"/>
      <c r="AW241" s="3396"/>
      <c r="AX241" s="3396"/>
      <c r="AY241" s="3396"/>
      <c r="AZ241" s="3396"/>
      <c r="BA241" s="3396"/>
      <c r="BB241" s="3396"/>
      <c r="BC241" s="3396"/>
      <c r="BD241" s="3396"/>
      <c r="BE241" s="3396"/>
      <c r="BF241" s="3396"/>
      <c r="BG241" s="3396"/>
      <c r="BH241" s="3396"/>
      <c r="BI241" s="3396"/>
      <c r="BJ241" s="3396"/>
      <c r="BK241" s="3396"/>
      <c r="BL241" s="3396"/>
      <c r="BM241" s="3396"/>
      <c r="BN241" s="3396"/>
    </row>
    <row r="242" s="687" customFormat="1" ht="15" hidden="1" customHeight="1" spans="1:66">
      <c r="A242" s="3407" t="s">
        <v>5853</v>
      </c>
      <c r="B242" s="3408"/>
      <c r="C242" s="3409"/>
      <c r="D242" s="3409"/>
      <c r="E242" s="3408"/>
      <c r="F242" s="3410"/>
      <c r="G242" s="3410"/>
      <c r="H242" s="3411">
        <f t="shared" si="5"/>
        <v>0</v>
      </c>
      <c r="I242" s="3396"/>
      <c r="J242" s="3396"/>
      <c r="K242" s="3396"/>
      <c r="L242" s="3396"/>
      <c r="M242" s="3396"/>
      <c r="N242" s="3396"/>
      <c r="O242" s="3396"/>
      <c r="P242" s="3396"/>
      <c r="Q242" s="3396"/>
      <c r="R242" s="3396"/>
      <c r="S242" s="3396"/>
      <c r="T242" s="3396"/>
      <c r="U242" s="3396"/>
      <c r="V242" s="3396"/>
      <c r="W242" s="3396"/>
      <c r="X242" s="3396"/>
      <c r="Y242" s="3396"/>
      <c r="Z242" s="3396"/>
      <c r="AA242" s="3396"/>
      <c r="AB242" s="3396"/>
      <c r="AC242" s="3396"/>
      <c r="AD242" s="3396"/>
      <c r="AE242" s="3396"/>
      <c r="AF242" s="3396"/>
      <c r="AG242" s="3396"/>
      <c r="AH242" s="3396"/>
      <c r="AI242" s="3396"/>
      <c r="AJ242" s="3396"/>
      <c r="AK242" s="3396"/>
      <c r="AL242" s="3396"/>
      <c r="AM242" s="3396"/>
      <c r="AN242" s="3396"/>
      <c r="AO242" s="3396"/>
      <c r="AP242" s="3396"/>
      <c r="AQ242" s="3396"/>
      <c r="AR242" s="3396"/>
      <c r="AS242" s="3396"/>
      <c r="AT242" s="3396"/>
      <c r="AU242" s="3396"/>
      <c r="AV242" s="3396"/>
      <c r="AW242" s="3396"/>
      <c r="AX242" s="3396"/>
      <c r="AY242" s="3396"/>
      <c r="AZ242" s="3396"/>
      <c r="BA242" s="3396"/>
      <c r="BB242" s="3396"/>
      <c r="BC242" s="3396"/>
      <c r="BD242" s="3396"/>
      <c r="BE242" s="3396"/>
      <c r="BF242" s="3396"/>
      <c r="BG242" s="3396"/>
      <c r="BH242" s="3396"/>
      <c r="BI242" s="3396"/>
      <c r="BJ242" s="3396"/>
      <c r="BK242" s="3396"/>
      <c r="BL242" s="3396"/>
      <c r="BM242" s="3396"/>
      <c r="BN242" s="3396"/>
    </row>
    <row r="243" s="687" customFormat="1" ht="15" hidden="1" customHeight="1" spans="1:66">
      <c r="A243" s="3407" t="s">
        <v>5855</v>
      </c>
      <c r="B243" s="3408"/>
      <c r="C243" s="3409"/>
      <c r="D243" s="3409"/>
      <c r="E243" s="3408"/>
      <c r="F243" s="3410"/>
      <c r="G243" s="3410"/>
      <c r="H243" s="3411">
        <f t="shared" si="5"/>
        <v>0</v>
      </c>
      <c r="I243" s="3396"/>
      <c r="J243" s="3396"/>
      <c r="K243" s="3396"/>
      <c r="L243" s="3396"/>
      <c r="M243" s="3396"/>
      <c r="N243" s="3396"/>
      <c r="O243" s="3396"/>
      <c r="P243" s="3396"/>
      <c r="Q243" s="3396"/>
      <c r="R243" s="3396"/>
      <c r="S243" s="3396"/>
      <c r="T243" s="3396"/>
      <c r="U243" s="3396"/>
      <c r="V243" s="3396"/>
      <c r="W243" s="3396"/>
      <c r="X243" s="3396"/>
      <c r="Y243" s="3396"/>
      <c r="Z243" s="3396"/>
      <c r="AA243" s="3396"/>
      <c r="AB243" s="3396"/>
      <c r="AC243" s="3396"/>
      <c r="AD243" s="3396"/>
      <c r="AE243" s="3396"/>
      <c r="AF243" s="3396"/>
      <c r="AG243" s="3396"/>
      <c r="AH243" s="3396"/>
      <c r="AI243" s="3396"/>
      <c r="AJ243" s="3396"/>
      <c r="AK243" s="3396"/>
      <c r="AL243" s="3396"/>
      <c r="AM243" s="3396"/>
      <c r="AN243" s="3396"/>
      <c r="AO243" s="3396"/>
      <c r="AP243" s="3396"/>
      <c r="AQ243" s="3396"/>
      <c r="AR243" s="3396"/>
      <c r="AS243" s="3396"/>
      <c r="AT243" s="3396"/>
      <c r="AU243" s="3396"/>
      <c r="AV243" s="3396"/>
      <c r="AW243" s="3396"/>
      <c r="AX243" s="3396"/>
      <c r="AY243" s="3396"/>
      <c r="AZ243" s="3396"/>
      <c r="BA243" s="3396"/>
      <c r="BB243" s="3396"/>
      <c r="BC243" s="3396"/>
      <c r="BD243" s="3396"/>
      <c r="BE243" s="3396"/>
      <c r="BF243" s="3396"/>
      <c r="BG243" s="3396"/>
      <c r="BH243" s="3396"/>
      <c r="BI243" s="3396"/>
      <c r="BJ243" s="3396"/>
      <c r="BK243" s="3396"/>
      <c r="BL243" s="3396"/>
      <c r="BM243" s="3396"/>
      <c r="BN243" s="3396"/>
    </row>
    <row r="244" s="687" customFormat="1" ht="15" hidden="1" customHeight="1" spans="1:66">
      <c r="A244" s="3407" t="s">
        <v>5856</v>
      </c>
      <c r="B244" s="3408"/>
      <c r="C244" s="3409"/>
      <c r="D244" s="3409"/>
      <c r="E244" s="3408"/>
      <c r="F244" s="3410"/>
      <c r="G244" s="3410"/>
      <c r="H244" s="3411">
        <f t="shared" si="5"/>
        <v>0</v>
      </c>
      <c r="I244" s="3396"/>
      <c r="J244" s="3396"/>
      <c r="K244" s="3396"/>
      <c r="L244" s="3396"/>
      <c r="M244" s="3396"/>
      <c r="N244" s="3396"/>
      <c r="O244" s="3396"/>
      <c r="P244" s="3396"/>
      <c r="Q244" s="3396"/>
      <c r="R244" s="3396"/>
      <c r="S244" s="3396"/>
      <c r="T244" s="3396"/>
      <c r="U244" s="3396"/>
      <c r="V244" s="3396"/>
      <c r="W244" s="3396"/>
      <c r="X244" s="3396"/>
      <c r="Y244" s="3396"/>
      <c r="Z244" s="3396"/>
      <c r="AA244" s="3396"/>
      <c r="AB244" s="3396"/>
      <c r="AC244" s="3396"/>
      <c r="AD244" s="3396"/>
      <c r="AE244" s="3396"/>
      <c r="AF244" s="3396"/>
      <c r="AG244" s="3396"/>
      <c r="AH244" s="3396"/>
      <c r="AI244" s="3396"/>
      <c r="AJ244" s="3396"/>
      <c r="AK244" s="3396"/>
      <c r="AL244" s="3396"/>
      <c r="AM244" s="3396"/>
      <c r="AN244" s="3396"/>
      <c r="AO244" s="3396"/>
      <c r="AP244" s="3396"/>
      <c r="AQ244" s="3396"/>
      <c r="AR244" s="3396"/>
      <c r="AS244" s="3396"/>
      <c r="AT244" s="3396"/>
      <c r="AU244" s="3396"/>
      <c r="AV244" s="3396"/>
      <c r="AW244" s="3396"/>
      <c r="AX244" s="3396"/>
      <c r="AY244" s="3396"/>
      <c r="AZ244" s="3396"/>
      <c r="BA244" s="3396"/>
      <c r="BB244" s="3396"/>
      <c r="BC244" s="3396"/>
      <c r="BD244" s="3396"/>
      <c r="BE244" s="3396"/>
      <c r="BF244" s="3396"/>
      <c r="BG244" s="3396"/>
      <c r="BH244" s="3396"/>
      <c r="BI244" s="3396"/>
      <c r="BJ244" s="3396"/>
      <c r="BK244" s="3396"/>
      <c r="BL244" s="3396"/>
      <c r="BM244" s="3396"/>
      <c r="BN244" s="3396"/>
    </row>
    <row r="245" s="687" customFormat="1" ht="15" hidden="1" customHeight="1" spans="1:66">
      <c r="A245" s="3407" t="s">
        <v>5857</v>
      </c>
      <c r="B245" s="3408"/>
      <c r="C245" s="3409"/>
      <c r="D245" s="3409"/>
      <c r="E245" s="3408"/>
      <c r="F245" s="3410"/>
      <c r="G245" s="3410"/>
      <c r="H245" s="3411">
        <f t="shared" si="5"/>
        <v>0</v>
      </c>
      <c r="I245" s="3396"/>
      <c r="J245" s="3396"/>
      <c r="K245" s="3396"/>
      <c r="L245" s="3396"/>
      <c r="M245" s="3396"/>
      <c r="N245" s="3396"/>
      <c r="O245" s="3396"/>
      <c r="P245" s="3396"/>
      <c r="Q245" s="3396"/>
      <c r="R245" s="3396"/>
      <c r="S245" s="3396"/>
      <c r="T245" s="3396"/>
      <c r="U245" s="3396"/>
      <c r="V245" s="3396"/>
      <c r="W245" s="3396"/>
      <c r="X245" s="3396"/>
      <c r="Y245" s="3396"/>
      <c r="Z245" s="3396"/>
      <c r="AA245" s="3396"/>
      <c r="AB245" s="3396"/>
      <c r="AC245" s="3396"/>
      <c r="AD245" s="3396"/>
      <c r="AE245" s="3396"/>
      <c r="AF245" s="3396"/>
      <c r="AG245" s="3396"/>
      <c r="AH245" s="3396"/>
      <c r="AI245" s="3396"/>
      <c r="AJ245" s="3396"/>
      <c r="AK245" s="3396"/>
      <c r="AL245" s="3396"/>
      <c r="AM245" s="3396"/>
      <c r="AN245" s="3396"/>
      <c r="AO245" s="3396"/>
      <c r="AP245" s="3396"/>
      <c r="AQ245" s="3396"/>
      <c r="AR245" s="3396"/>
      <c r="AS245" s="3396"/>
      <c r="AT245" s="3396"/>
      <c r="AU245" s="3396"/>
      <c r="AV245" s="3396"/>
      <c r="AW245" s="3396"/>
      <c r="AX245" s="3396"/>
      <c r="AY245" s="3396"/>
      <c r="AZ245" s="3396"/>
      <c r="BA245" s="3396"/>
      <c r="BB245" s="3396"/>
      <c r="BC245" s="3396"/>
      <c r="BD245" s="3396"/>
      <c r="BE245" s="3396"/>
      <c r="BF245" s="3396"/>
      <c r="BG245" s="3396"/>
      <c r="BH245" s="3396"/>
      <c r="BI245" s="3396"/>
      <c r="BJ245" s="3396"/>
      <c r="BK245" s="3396"/>
      <c r="BL245" s="3396"/>
      <c r="BM245" s="3396"/>
      <c r="BN245" s="3396"/>
    </row>
    <row r="246" s="687" customFormat="1" ht="15" hidden="1" customHeight="1" spans="1:66">
      <c r="A246" s="3407" t="s">
        <v>5859</v>
      </c>
      <c r="B246" s="3408"/>
      <c r="C246" s="3409"/>
      <c r="D246" s="3409"/>
      <c r="E246" s="3408"/>
      <c r="F246" s="3410"/>
      <c r="G246" s="3410"/>
      <c r="H246" s="3411">
        <f t="shared" si="5"/>
        <v>0</v>
      </c>
      <c r="I246" s="3396"/>
      <c r="J246" s="3396"/>
      <c r="K246" s="3396"/>
      <c r="L246" s="3396"/>
      <c r="M246" s="3396"/>
      <c r="N246" s="3396"/>
      <c r="O246" s="3396"/>
      <c r="P246" s="3396"/>
      <c r="Q246" s="3396"/>
      <c r="R246" s="3396"/>
      <c r="S246" s="3396"/>
      <c r="T246" s="3396"/>
      <c r="U246" s="3396"/>
      <c r="V246" s="3396"/>
      <c r="W246" s="3396"/>
      <c r="X246" s="3396"/>
      <c r="Y246" s="3396"/>
      <c r="Z246" s="3396"/>
      <c r="AA246" s="3396"/>
      <c r="AB246" s="3396"/>
      <c r="AC246" s="3396"/>
      <c r="AD246" s="3396"/>
      <c r="AE246" s="3396"/>
      <c r="AF246" s="3396"/>
      <c r="AG246" s="3396"/>
      <c r="AH246" s="3396"/>
      <c r="AI246" s="3396"/>
      <c r="AJ246" s="3396"/>
      <c r="AK246" s="3396"/>
      <c r="AL246" s="3396"/>
      <c r="AM246" s="3396"/>
      <c r="AN246" s="3396"/>
      <c r="AO246" s="3396"/>
      <c r="AP246" s="3396"/>
      <c r="AQ246" s="3396"/>
      <c r="AR246" s="3396"/>
      <c r="AS246" s="3396"/>
      <c r="AT246" s="3396"/>
      <c r="AU246" s="3396"/>
      <c r="AV246" s="3396"/>
      <c r="AW246" s="3396"/>
      <c r="AX246" s="3396"/>
      <c r="AY246" s="3396"/>
      <c r="AZ246" s="3396"/>
      <c r="BA246" s="3396"/>
      <c r="BB246" s="3396"/>
      <c r="BC246" s="3396"/>
      <c r="BD246" s="3396"/>
      <c r="BE246" s="3396"/>
      <c r="BF246" s="3396"/>
      <c r="BG246" s="3396"/>
      <c r="BH246" s="3396"/>
      <c r="BI246" s="3396"/>
      <c r="BJ246" s="3396"/>
      <c r="BK246" s="3396"/>
      <c r="BL246" s="3396"/>
      <c r="BM246" s="3396"/>
      <c r="BN246" s="3396"/>
    </row>
    <row r="247" s="687" customFormat="1" ht="15" hidden="1" customHeight="1" spans="1:66">
      <c r="A247" s="3407" t="s">
        <v>5862</v>
      </c>
      <c r="B247" s="3408"/>
      <c r="C247" s="3409"/>
      <c r="D247" s="3409"/>
      <c r="E247" s="3408"/>
      <c r="F247" s="3410"/>
      <c r="G247" s="3410"/>
      <c r="H247" s="3411">
        <f t="shared" si="5"/>
        <v>0</v>
      </c>
      <c r="I247" s="3396"/>
      <c r="J247" s="3396"/>
      <c r="K247" s="3396"/>
      <c r="L247" s="3396"/>
      <c r="M247" s="3396"/>
      <c r="N247" s="3396"/>
      <c r="O247" s="3396"/>
      <c r="P247" s="3396"/>
      <c r="Q247" s="3396"/>
      <c r="R247" s="3396"/>
      <c r="S247" s="3396"/>
      <c r="T247" s="3396"/>
      <c r="U247" s="3396"/>
      <c r="V247" s="3396"/>
      <c r="W247" s="3396"/>
      <c r="X247" s="3396"/>
      <c r="Y247" s="3396"/>
      <c r="Z247" s="3396"/>
      <c r="AA247" s="3396"/>
      <c r="AB247" s="3396"/>
      <c r="AC247" s="3396"/>
      <c r="AD247" s="3396"/>
      <c r="AE247" s="3396"/>
      <c r="AF247" s="3396"/>
      <c r="AG247" s="3396"/>
      <c r="AH247" s="3396"/>
      <c r="AI247" s="3396"/>
      <c r="AJ247" s="3396"/>
      <c r="AK247" s="3396"/>
      <c r="AL247" s="3396"/>
      <c r="AM247" s="3396"/>
      <c r="AN247" s="3396"/>
      <c r="AO247" s="3396"/>
      <c r="AP247" s="3396"/>
      <c r="AQ247" s="3396"/>
      <c r="AR247" s="3396"/>
      <c r="AS247" s="3396"/>
      <c r="AT247" s="3396"/>
      <c r="AU247" s="3396"/>
      <c r="AV247" s="3396"/>
      <c r="AW247" s="3396"/>
      <c r="AX247" s="3396"/>
      <c r="AY247" s="3396"/>
      <c r="AZ247" s="3396"/>
      <c r="BA247" s="3396"/>
      <c r="BB247" s="3396"/>
      <c r="BC247" s="3396"/>
      <c r="BD247" s="3396"/>
      <c r="BE247" s="3396"/>
      <c r="BF247" s="3396"/>
      <c r="BG247" s="3396"/>
      <c r="BH247" s="3396"/>
      <c r="BI247" s="3396"/>
      <c r="BJ247" s="3396"/>
      <c r="BK247" s="3396"/>
      <c r="BL247" s="3396"/>
      <c r="BM247" s="3396"/>
      <c r="BN247" s="3396"/>
    </row>
    <row r="248" s="687" customFormat="1" ht="15" hidden="1" customHeight="1" spans="1:66">
      <c r="A248" s="3407" t="s">
        <v>5864</v>
      </c>
      <c r="B248" s="3408"/>
      <c r="C248" s="3409"/>
      <c r="D248" s="3409"/>
      <c r="E248" s="3408"/>
      <c r="F248" s="3410"/>
      <c r="G248" s="3410"/>
      <c r="H248" s="3411">
        <f t="shared" si="5"/>
        <v>0</v>
      </c>
      <c r="I248" s="3396"/>
      <c r="J248" s="3396"/>
      <c r="K248" s="3396"/>
      <c r="L248" s="3396"/>
      <c r="M248" s="3396"/>
      <c r="N248" s="3396"/>
      <c r="O248" s="3396"/>
      <c r="P248" s="3396"/>
      <c r="Q248" s="3396"/>
      <c r="R248" s="3396"/>
      <c r="S248" s="3396"/>
      <c r="T248" s="3396"/>
      <c r="U248" s="3396"/>
      <c r="V248" s="3396"/>
      <c r="W248" s="3396"/>
      <c r="X248" s="3396"/>
      <c r="Y248" s="3396"/>
      <c r="Z248" s="3396"/>
      <c r="AA248" s="3396"/>
      <c r="AB248" s="3396"/>
      <c r="AC248" s="3396"/>
      <c r="AD248" s="3396"/>
      <c r="AE248" s="3396"/>
      <c r="AF248" s="3396"/>
      <c r="AG248" s="3396"/>
      <c r="AH248" s="3396"/>
      <c r="AI248" s="3396"/>
      <c r="AJ248" s="3396"/>
      <c r="AK248" s="3396"/>
      <c r="AL248" s="3396"/>
      <c r="AM248" s="3396"/>
      <c r="AN248" s="3396"/>
      <c r="AO248" s="3396"/>
      <c r="AP248" s="3396"/>
      <c r="AQ248" s="3396"/>
      <c r="AR248" s="3396"/>
      <c r="AS248" s="3396"/>
      <c r="AT248" s="3396"/>
      <c r="AU248" s="3396"/>
      <c r="AV248" s="3396"/>
      <c r="AW248" s="3396"/>
      <c r="AX248" s="3396"/>
      <c r="AY248" s="3396"/>
      <c r="AZ248" s="3396"/>
      <c r="BA248" s="3396"/>
      <c r="BB248" s="3396"/>
      <c r="BC248" s="3396"/>
      <c r="BD248" s="3396"/>
      <c r="BE248" s="3396"/>
      <c r="BF248" s="3396"/>
      <c r="BG248" s="3396"/>
      <c r="BH248" s="3396"/>
      <c r="BI248" s="3396"/>
      <c r="BJ248" s="3396"/>
      <c r="BK248" s="3396"/>
      <c r="BL248" s="3396"/>
      <c r="BM248" s="3396"/>
      <c r="BN248" s="3396"/>
    </row>
    <row r="249" s="687" customFormat="1" ht="15" hidden="1" customHeight="1" spans="1:66">
      <c r="A249" s="3407" t="s">
        <v>5865</v>
      </c>
      <c r="B249" s="3408"/>
      <c r="C249" s="3409"/>
      <c r="D249" s="3409"/>
      <c r="E249" s="3408"/>
      <c r="F249" s="3410"/>
      <c r="G249" s="3410"/>
      <c r="H249" s="3411">
        <f t="shared" si="5"/>
        <v>0</v>
      </c>
      <c r="I249" s="3396"/>
      <c r="J249" s="3396"/>
      <c r="K249" s="3396"/>
      <c r="L249" s="3396"/>
      <c r="M249" s="3396"/>
      <c r="N249" s="3396"/>
      <c r="O249" s="3396"/>
      <c r="P249" s="3396"/>
      <c r="Q249" s="3396"/>
      <c r="R249" s="3396"/>
      <c r="S249" s="3396"/>
      <c r="T249" s="3396"/>
      <c r="U249" s="3396"/>
      <c r="V249" s="3396"/>
      <c r="W249" s="3396"/>
      <c r="X249" s="3396"/>
      <c r="Y249" s="3396"/>
      <c r="Z249" s="3396"/>
      <c r="AA249" s="3396"/>
      <c r="AB249" s="3396"/>
      <c r="AC249" s="3396"/>
      <c r="AD249" s="3396"/>
      <c r="AE249" s="3396"/>
      <c r="AF249" s="3396"/>
      <c r="AG249" s="3396"/>
      <c r="AH249" s="3396"/>
      <c r="AI249" s="3396"/>
      <c r="AJ249" s="3396"/>
      <c r="AK249" s="3396"/>
      <c r="AL249" s="3396"/>
      <c r="AM249" s="3396"/>
      <c r="AN249" s="3396"/>
      <c r="AO249" s="3396"/>
      <c r="AP249" s="3396"/>
      <c r="AQ249" s="3396"/>
      <c r="AR249" s="3396"/>
      <c r="AS249" s="3396"/>
      <c r="AT249" s="3396"/>
      <c r="AU249" s="3396"/>
      <c r="AV249" s="3396"/>
      <c r="AW249" s="3396"/>
      <c r="AX249" s="3396"/>
      <c r="AY249" s="3396"/>
      <c r="AZ249" s="3396"/>
      <c r="BA249" s="3396"/>
      <c r="BB249" s="3396"/>
      <c r="BC249" s="3396"/>
      <c r="BD249" s="3396"/>
      <c r="BE249" s="3396"/>
      <c r="BF249" s="3396"/>
      <c r="BG249" s="3396"/>
      <c r="BH249" s="3396"/>
      <c r="BI249" s="3396"/>
      <c r="BJ249" s="3396"/>
      <c r="BK249" s="3396"/>
      <c r="BL249" s="3396"/>
      <c r="BM249" s="3396"/>
      <c r="BN249" s="3396"/>
    </row>
    <row r="250" s="687" customFormat="1" ht="15" hidden="1" customHeight="1" spans="1:66">
      <c r="A250" s="3407" t="s">
        <v>5867</v>
      </c>
      <c r="B250" s="3408"/>
      <c r="C250" s="3409"/>
      <c r="D250" s="3409"/>
      <c r="E250" s="3408"/>
      <c r="F250" s="3410"/>
      <c r="G250" s="3410"/>
      <c r="H250" s="3411">
        <f t="shared" si="5"/>
        <v>0</v>
      </c>
      <c r="I250" s="3396"/>
      <c r="J250" s="3396"/>
      <c r="K250" s="3396"/>
      <c r="L250" s="3396"/>
      <c r="M250" s="3396"/>
      <c r="N250" s="3396"/>
      <c r="O250" s="3396"/>
      <c r="P250" s="3396"/>
      <c r="Q250" s="3396"/>
      <c r="R250" s="3396"/>
      <c r="S250" s="3396"/>
      <c r="T250" s="3396"/>
      <c r="U250" s="3396"/>
      <c r="V250" s="3396"/>
      <c r="W250" s="3396"/>
      <c r="X250" s="3396"/>
      <c r="Y250" s="3396"/>
      <c r="Z250" s="3396"/>
      <c r="AA250" s="3396"/>
      <c r="AB250" s="3396"/>
      <c r="AC250" s="3396"/>
      <c r="AD250" s="3396"/>
      <c r="AE250" s="3396"/>
      <c r="AF250" s="3396"/>
      <c r="AG250" s="3396"/>
      <c r="AH250" s="3396"/>
      <c r="AI250" s="3396"/>
      <c r="AJ250" s="3396"/>
      <c r="AK250" s="3396"/>
      <c r="AL250" s="3396"/>
      <c r="AM250" s="3396"/>
      <c r="AN250" s="3396"/>
      <c r="AO250" s="3396"/>
      <c r="AP250" s="3396"/>
      <c r="AQ250" s="3396"/>
      <c r="AR250" s="3396"/>
      <c r="AS250" s="3396"/>
      <c r="AT250" s="3396"/>
      <c r="AU250" s="3396"/>
      <c r="AV250" s="3396"/>
      <c r="AW250" s="3396"/>
      <c r="AX250" s="3396"/>
      <c r="AY250" s="3396"/>
      <c r="AZ250" s="3396"/>
      <c r="BA250" s="3396"/>
      <c r="BB250" s="3396"/>
      <c r="BC250" s="3396"/>
      <c r="BD250" s="3396"/>
      <c r="BE250" s="3396"/>
      <c r="BF250" s="3396"/>
      <c r="BG250" s="3396"/>
      <c r="BH250" s="3396"/>
      <c r="BI250" s="3396"/>
      <c r="BJ250" s="3396"/>
      <c r="BK250" s="3396"/>
      <c r="BL250" s="3396"/>
      <c r="BM250" s="3396"/>
      <c r="BN250" s="3396"/>
    </row>
    <row r="251" s="687" customFormat="1" ht="15" hidden="1" customHeight="1" spans="1:66">
      <c r="A251" s="3407" t="s">
        <v>5869</v>
      </c>
      <c r="B251" s="3408"/>
      <c r="C251" s="3409"/>
      <c r="D251" s="3409"/>
      <c r="E251" s="3408"/>
      <c r="F251" s="3410"/>
      <c r="G251" s="3410"/>
      <c r="H251" s="3411">
        <f t="shared" si="5"/>
        <v>0</v>
      </c>
      <c r="I251" s="3396"/>
      <c r="J251" s="3396"/>
      <c r="K251" s="3396"/>
      <c r="L251" s="3396"/>
      <c r="M251" s="3396"/>
      <c r="N251" s="3396"/>
      <c r="O251" s="3396"/>
      <c r="P251" s="3396"/>
      <c r="Q251" s="3396"/>
      <c r="R251" s="3396"/>
      <c r="S251" s="3396"/>
      <c r="T251" s="3396"/>
      <c r="U251" s="3396"/>
      <c r="V251" s="3396"/>
      <c r="W251" s="3396"/>
      <c r="X251" s="3396"/>
      <c r="Y251" s="3396"/>
      <c r="Z251" s="3396"/>
      <c r="AA251" s="3396"/>
      <c r="AB251" s="3396"/>
      <c r="AC251" s="3396"/>
      <c r="AD251" s="3396"/>
      <c r="AE251" s="3396"/>
      <c r="AF251" s="3396"/>
      <c r="AG251" s="3396"/>
      <c r="AH251" s="3396"/>
      <c r="AI251" s="3396"/>
      <c r="AJ251" s="3396"/>
      <c r="AK251" s="3396"/>
      <c r="AL251" s="3396"/>
      <c r="AM251" s="3396"/>
      <c r="AN251" s="3396"/>
      <c r="AO251" s="3396"/>
      <c r="AP251" s="3396"/>
      <c r="AQ251" s="3396"/>
      <c r="AR251" s="3396"/>
      <c r="AS251" s="3396"/>
      <c r="AT251" s="3396"/>
      <c r="AU251" s="3396"/>
      <c r="AV251" s="3396"/>
      <c r="AW251" s="3396"/>
      <c r="AX251" s="3396"/>
      <c r="AY251" s="3396"/>
      <c r="AZ251" s="3396"/>
      <c r="BA251" s="3396"/>
      <c r="BB251" s="3396"/>
      <c r="BC251" s="3396"/>
      <c r="BD251" s="3396"/>
      <c r="BE251" s="3396"/>
      <c r="BF251" s="3396"/>
      <c r="BG251" s="3396"/>
      <c r="BH251" s="3396"/>
      <c r="BI251" s="3396"/>
      <c r="BJ251" s="3396"/>
      <c r="BK251" s="3396"/>
      <c r="BL251" s="3396"/>
      <c r="BM251" s="3396"/>
      <c r="BN251" s="3396"/>
    </row>
    <row r="252" s="687" customFormat="1" ht="15" hidden="1" customHeight="1" spans="1:66">
      <c r="A252" s="3407" t="s">
        <v>5871</v>
      </c>
      <c r="B252" s="3408"/>
      <c r="C252" s="3409"/>
      <c r="D252" s="3409"/>
      <c r="E252" s="3408"/>
      <c r="F252" s="3410"/>
      <c r="G252" s="3410"/>
      <c r="H252" s="3411">
        <f t="shared" si="5"/>
        <v>0</v>
      </c>
      <c r="I252" s="3396"/>
      <c r="J252" s="3396"/>
      <c r="K252" s="3396"/>
      <c r="L252" s="3396"/>
      <c r="M252" s="3396"/>
      <c r="N252" s="3396"/>
      <c r="O252" s="3396"/>
      <c r="P252" s="3396"/>
      <c r="Q252" s="3396"/>
      <c r="R252" s="3396"/>
      <c r="S252" s="3396"/>
      <c r="T252" s="3396"/>
      <c r="U252" s="3396"/>
      <c r="V252" s="3396"/>
      <c r="W252" s="3396"/>
      <c r="X252" s="3396"/>
      <c r="Y252" s="3396"/>
      <c r="Z252" s="3396"/>
      <c r="AA252" s="3396"/>
      <c r="AB252" s="3396"/>
      <c r="AC252" s="3396"/>
      <c r="AD252" s="3396"/>
      <c r="AE252" s="3396"/>
      <c r="AF252" s="3396"/>
      <c r="AG252" s="3396"/>
      <c r="AH252" s="3396"/>
      <c r="AI252" s="3396"/>
      <c r="AJ252" s="3396"/>
      <c r="AK252" s="3396"/>
      <c r="AL252" s="3396"/>
      <c r="AM252" s="3396"/>
      <c r="AN252" s="3396"/>
      <c r="AO252" s="3396"/>
      <c r="AP252" s="3396"/>
      <c r="AQ252" s="3396"/>
      <c r="AR252" s="3396"/>
      <c r="AS252" s="3396"/>
      <c r="AT252" s="3396"/>
      <c r="AU252" s="3396"/>
      <c r="AV252" s="3396"/>
      <c r="AW252" s="3396"/>
      <c r="AX252" s="3396"/>
      <c r="AY252" s="3396"/>
      <c r="AZ252" s="3396"/>
      <c r="BA252" s="3396"/>
      <c r="BB252" s="3396"/>
      <c r="BC252" s="3396"/>
      <c r="BD252" s="3396"/>
      <c r="BE252" s="3396"/>
      <c r="BF252" s="3396"/>
      <c r="BG252" s="3396"/>
      <c r="BH252" s="3396"/>
      <c r="BI252" s="3396"/>
      <c r="BJ252" s="3396"/>
      <c r="BK252" s="3396"/>
      <c r="BL252" s="3396"/>
      <c r="BM252" s="3396"/>
      <c r="BN252" s="3396"/>
    </row>
    <row r="253" s="687" customFormat="1" ht="15" hidden="1" customHeight="1" spans="1:66">
      <c r="A253" s="3407" t="s">
        <v>5873</v>
      </c>
      <c r="B253" s="3408"/>
      <c r="C253" s="3409"/>
      <c r="D253" s="3409"/>
      <c r="E253" s="3408"/>
      <c r="F253" s="3410"/>
      <c r="G253" s="3410"/>
      <c r="H253" s="3411">
        <f t="shared" si="5"/>
        <v>0</v>
      </c>
      <c r="I253" s="3396"/>
      <c r="J253" s="3396"/>
      <c r="K253" s="3396"/>
      <c r="L253" s="3396"/>
      <c r="M253" s="3396"/>
      <c r="N253" s="3396"/>
      <c r="O253" s="3396"/>
      <c r="P253" s="3396"/>
      <c r="Q253" s="3396"/>
      <c r="R253" s="3396"/>
      <c r="S253" s="3396"/>
      <c r="T253" s="3396"/>
      <c r="U253" s="3396"/>
      <c r="V253" s="3396"/>
      <c r="W253" s="3396"/>
      <c r="X253" s="3396"/>
      <c r="Y253" s="3396"/>
      <c r="Z253" s="3396"/>
      <c r="AA253" s="3396"/>
      <c r="AB253" s="3396"/>
      <c r="AC253" s="3396"/>
      <c r="AD253" s="3396"/>
      <c r="AE253" s="3396"/>
      <c r="AF253" s="3396"/>
      <c r="AG253" s="3396"/>
      <c r="AH253" s="3396"/>
      <c r="AI253" s="3396"/>
      <c r="AJ253" s="3396"/>
      <c r="AK253" s="3396"/>
      <c r="AL253" s="3396"/>
      <c r="AM253" s="3396"/>
      <c r="AN253" s="3396"/>
      <c r="AO253" s="3396"/>
      <c r="AP253" s="3396"/>
      <c r="AQ253" s="3396"/>
      <c r="AR253" s="3396"/>
      <c r="AS253" s="3396"/>
      <c r="AT253" s="3396"/>
      <c r="AU253" s="3396"/>
      <c r="AV253" s="3396"/>
      <c r="AW253" s="3396"/>
      <c r="AX253" s="3396"/>
      <c r="AY253" s="3396"/>
      <c r="AZ253" s="3396"/>
      <c r="BA253" s="3396"/>
      <c r="BB253" s="3396"/>
      <c r="BC253" s="3396"/>
      <c r="BD253" s="3396"/>
      <c r="BE253" s="3396"/>
      <c r="BF253" s="3396"/>
      <c r="BG253" s="3396"/>
      <c r="BH253" s="3396"/>
      <c r="BI253" s="3396"/>
      <c r="BJ253" s="3396"/>
      <c r="BK253" s="3396"/>
      <c r="BL253" s="3396"/>
      <c r="BM253" s="3396"/>
      <c r="BN253" s="3396"/>
    </row>
    <row r="254" s="687" customFormat="1" ht="15" hidden="1" customHeight="1" spans="1:66">
      <c r="A254" s="3407" t="s">
        <v>5875</v>
      </c>
      <c r="B254" s="3408"/>
      <c r="C254" s="3409"/>
      <c r="D254" s="3409"/>
      <c r="E254" s="3408"/>
      <c r="F254" s="3410"/>
      <c r="G254" s="3410"/>
      <c r="H254" s="3411">
        <f t="shared" si="5"/>
        <v>0</v>
      </c>
      <c r="I254" s="3396"/>
      <c r="J254" s="3396"/>
      <c r="K254" s="3396"/>
      <c r="L254" s="3396"/>
      <c r="M254" s="3396"/>
      <c r="N254" s="3396"/>
      <c r="O254" s="3396"/>
      <c r="P254" s="3396"/>
      <c r="Q254" s="3396"/>
      <c r="R254" s="3396"/>
      <c r="S254" s="3396"/>
      <c r="T254" s="3396"/>
      <c r="U254" s="3396"/>
      <c r="V254" s="3396"/>
      <c r="W254" s="3396"/>
      <c r="X254" s="3396"/>
      <c r="Y254" s="3396"/>
      <c r="Z254" s="3396"/>
      <c r="AA254" s="3396"/>
      <c r="AB254" s="3396"/>
      <c r="AC254" s="3396"/>
      <c r="AD254" s="3396"/>
      <c r="AE254" s="3396"/>
      <c r="AF254" s="3396"/>
      <c r="AG254" s="3396"/>
      <c r="AH254" s="3396"/>
      <c r="AI254" s="3396"/>
      <c r="AJ254" s="3396"/>
      <c r="AK254" s="3396"/>
      <c r="AL254" s="3396"/>
      <c r="AM254" s="3396"/>
      <c r="AN254" s="3396"/>
      <c r="AO254" s="3396"/>
      <c r="AP254" s="3396"/>
      <c r="AQ254" s="3396"/>
      <c r="AR254" s="3396"/>
      <c r="AS254" s="3396"/>
      <c r="AT254" s="3396"/>
      <c r="AU254" s="3396"/>
      <c r="AV254" s="3396"/>
      <c r="AW254" s="3396"/>
      <c r="AX254" s="3396"/>
      <c r="AY254" s="3396"/>
      <c r="AZ254" s="3396"/>
      <c r="BA254" s="3396"/>
      <c r="BB254" s="3396"/>
      <c r="BC254" s="3396"/>
      <c r="BD254" s="3396"/>
      <c r="BE254" s="3396"/>
      <c r="BF254" s="3396"/>
      <c r="BG254" s="3396"/>
      <c r="BH254" s="3396"/>
      <c r="BI254" s="3396"/>
      <c r="BJ254" s="3396"/>
      <c r="BK254" s="3396"/>
      <c r="BL254" s="3396"/>
      <c r="BM254" s="3396"/>
      <c r="BN254" s="3396"/>
    </row>
    <row r="255" s="687" customFormat="1" ht="15" hidden="1" customHeight="1" spans="1:66">
      <c r="A255" s="3407" t="s">
        <v>5877</v>
      </c>
      <c r="B255" s="3408"/>
      <c r="C255" s="3409"/>
      <c r="D255" s="3409"/>
      <c r="E255" s="3408"/>
      <c r="F255" s="3410"/>
      <c r="G255" s="3410"/>
      <c r="H255" s="3411">
        <f t="shared" si="5"/>
        <v>0</v>
      </c>
      <c r="I255" s="3396"/>
      <c r="J255" s="3396"/>
      <c r="K255" s="3396"/>
      <c r="L255" s="3396"/>
      <c r="M255" s="3396"/>
      <c r="N255" s="3396"/>
      <c r="O255" s="3396"/>
      <c r="P255" s="3396"/>
      <c r="Q255" s="3396"/>
      <c r="R255" s="3396"/>
      <c r="S255" s="3396"/>
      <c r="T255" s="3396"/>
      <c r="U255" s="3396"/>
      <c r="V255" s="3396"/>
      <c r="W255" s="3396"/>
      <c r="X255" s="3396"/>
      <c r="Y255" s="3396"/>
      <c r="Z255" s="3396"/>
      <c r="AA255" s="3396"/>
      <c r="AB255" s="3396"/>
      <c r="AC255" s="3396"/>
      <c r="AD255" s="3396"/>
      <c r="AE255" s="3396"/>
      <c r="AF255" s="3396"/>
      <c r="AG255" s="3396"/>
      <c r="AH255" s="3396"/>
      <c r="AI255" s="3396"/>
      <c r="AJ255" s="3396"/>
      <c r="AK255" s="3396"/>
      <c r="AL255" s="3396"/>
      <c r="AM255" s="3396"/>
      <c r="AN255" s="3396"/>
      <c r="AO255" s="3396"/>
      <c r="AP255" s="3396"/>
      <c r="AQ255" s="3396"/>
      <c r="AR255" s="3396"/>
      <c r="AS255" s="3396"/>
      <c r="AT255" s="3396"/>
      <c r="AU255" s="3396"/>
      <c r="AV255" s="3396"/>
      <c r="AW255" s="3396"/>
      <c r="AX255" s="3396"/>
      <c r="AY255" s="3396"/>
      <c r="AZ255" s="3396"/>
      <c r="BA255" s="3396"/>
      <c r="BB255" s="3396"/>
      <c r="BC255" s="3396"/>
      <c r="BD255" s="3396"/>
      <c r="BE255" s="3396"/>
      <c r="BF255" s="3396"/>
      <c r="BG255" s="3396"/>
      <c r="BH255" s="3396"/>
      <c r="BI255" s="3396"/>
      <c r="BJ255" s="3396"/>
      <c r="BK255" s="3396"/>
      <c r="BL255" s="3396"/>
      <c r="BM255" s="3396"/>
      <c r="BN255" s="3396"/>
    </row>
    <row r="256" s="687" customFormat="1" ht="15" hidden="1" customHeight="1" spans="1:66">
      <c r="A256" s="3407" t="s">
        <v>5879</v>
      </c>
      <c r="B256" s="3408"/>
      <c r="C256" s="3409"/>
      <c r="D256" s="3409"/>
      <c r="E256" s="3408"/>
      <c r="F256" s="3410"/>
      <c r="G256" s="3410"/>
      <c r="H256" s="3411">
        <f t="shared" si="5"/>
        <v>0</v>
      </c>
      <c r="I256" s="3396"/>
      <c r="J256" s="3396"/>
      <c r="K256" s="3396"/>
      <c r="L256" s="3396"/>
      <c r="M256" s="3396"/>
      <c r="N256" s="3396"/>
      <c r="O256" s="3396"/>
      <c r="P256" s="3396"/>
      <c r="Q256" s="3396"/>
      <c r="R256" s="3396"/>
      <c r="S256" s="3396"/>
      <c r="T256" s="3396"/>
      <c r="U256" s="3396"/>
      <c r="V256" s="3396"/>
      <c r="W256" s="3396"/>
      <c r="X256" s="3396"/>
      <c r="Y256" s="3396"/>
      <c r="Z256" s="3396"/>
      <c r="AA256" s="3396"/>
      <c r="AB256" s="3396"/>
      <c r="AC256" s="3396"/>
      <c r="AD256" s="3396"/>
      <c r="AE256" s="3396"/>
      <c r="AF256" s="3396"/>
      <c r="AG256" s="3396"/>
      <c r="AH256" s="3396"/>
      <c r="AI256" s="3396"/>
      <c r="AJ256" s="3396"/>
      <c r="AK256" s="3396"/>
      <c r="AL256" s="3396"/>
      <c r="AM256" s="3396"/>
      <c r="AN256" s="3396"/>
      <c r="AO256" s="3396"/>
      <c r="AP256" s="3396"/>
      <c r="AQ256" s="3396"/>
      <c r="AR256" s="3396"/>
      <c r="AS256" s="3396"/>
      <c r="AT256" s="3396"/>
      <c r="AU256" s="3396"/>
      <c r="AV256" s="3396"/>
      <c r="AW256" s="3396"/>
      <c r="AX256" s="3396"/>
      <c r="AY256" s="3396"/>
      <c r="AZ256" s="3396"/>
      <c r="BA256" s="3396"/>
      <c r="BB256" s="3396"/>
      <c r="BC256" s="3396"/>
      <c r="BD256" s="3396"/>
      <c r="BE256" s="3396"/>
      <c r="BF256" s="3396"/>
      <c r="BG256" s="3396"/>
      <c r="BH256" s="3396"/>
      <c r="BI256" s="3396"/>
      <c r="BJ256" s="3396"/>
      <c r="BK256" s="3396"/>
      <c r="BL256" s="3396"/>
      <c r="BM256" s="3396"/>
      <c r="BN256" s="3396"/>
    </row>
    <row r="257" s="687" customFormat="1" ht="15" hidden="1" customHeight="1" spans="1:66">
      <c r="A257" s="3407" t="s">
        <v>5881</v>
      </c>
      <c r="B257" s="3408"/>
      <c r="C257" s="3409"/>
      <c r="D257" s="3409"/>
      <c r="E257" s="3408"/>
      <c r="F257" s="3410"/>
      <c r="G257" s="3410"/>
      <c r="H257" s="3411">
        <f t="shared" si="5"/>
        <v>0</v>
      </c>
      <c r="I257" s="3396"/>
      <c r="J257" s="3396"/>
      <c r="K257" s="3396"/>
      <c r="L257" s="3396"/>
      <c r="M257" s="3396"/>
      <c r="N257" s="3396"/>
      <c r="O257" s="3396"/>
      <c r="P257" s="3396"/>
      <c r="Q257" s="3396"/>
      <c r="R257" s="3396"/>
      <c r="S257" s="3396"/>
      <c r="T257" s="3396"/>
      <c r="U257" s="3396"/>
      <c r="V257" s="3396"/>
      <c r="W257" s="3396"/>
      <c r="X257" s="3396"/>
      <c r="Y257" s="3396"/>
      <c r="Z257" s="3396"/>
      <c r="AA257" s="3396"/>
      <c r="AB257" s="3396"/>
      <c r="AC257" s="3396"/>
      <c r="AD257" s="3396"/>
      <c r="AE257" s="3396"/>
      <c r="AF257" s="3396"/>
      <c r="AG257" s="3396"/>
      <c r="AH257" s="3396"/>
      <c r="AI257" s="3396"/>
      <c r="AJ257" s="3396"/>
      <c r="AK257" s="3396"/>
      <c r="AL257" s="3396"/>
      <c r="AM257" s="3396"/>
      <c r="AN257" s="3396"/>
      <c r="AO257" s="3396"/>
      <c r="AP257" s="3396"/>
      <c r="AQ257" s="3396"/>
      <c r="AR257" s="3396"/>
      <c r="AS257" s="3396"/>
      <c r="AT257" s="3396"/>
      <c r="AU257" s="3396"/>
      <c r="AV257" s="3396"/>
      <c r="AW257" s="3396"/>
      <c r="AX257" s="3396"/>
      <c r="AY257" s="3396"/>
      <c r="AZ257" s="3396"/>
      <c r="BA257" s="3396"/>
      <c r="BB257" s="3396"/>
      <c r="BC257" s="3396"/>
      <c r="BD257" s="3396"/>
      <c r="BE257" s="3396"/>
      <c r="BF257" s="3396"/>
      <c r="BG257" s="3396"/>
      <c r="BH257" s="3396"/>
      <c r="BI257" s="3396"/>
      <c r="BJ257" s="3396"/>
      <c r="BK257" s="3396"/>
      <c r="BL257" s="3396"/>
      <c r="BM257" s="3396"/>
      <c r="BN257" s="3396"/>
    </row>
    <row r="258" s="687" customFormat="1" ht="15" hidden="1" customHeight="1" spans="1:66">
      <c r="A258" s="3407" t="s">
        <v>5882</v>
      </c>
      <c r="B258" s="3408"/>
      <c r="C258" s="3409"/>
      <c r="D258" s="3409"/>
      <c r="E258" s="3408"/>
      <c r="F258" s="3410"/>
      <c r="G258" s="3410"/>
      <c r="H258" s="3411">
        <f t="shared" si="5"/>
        <v>0</v>
      </c>
      <c r="I258" s="3396"/>
      <c r="J258" s="3396"/>
      <c r="K258" s="3396"/>
      <c r="L258" s="3396"/>
      <c r="M258" s="3396"/>
      <c r="N258" s="3396"/>
      <c r="O258" s="3396"/>
      <c r="P258" s="3396"/>
      <c r="Q258" s="3396"/>
      <c r="R258" s="3396"/>
      <c r="S258" s="3396"/>
      <c r="T258" s="3396"/>
      <c r="U258" s="3396"/>
      <c r="V258" s="3396"/>
      <c r="W258" s="3396"/>
      <c r="X258" s="3396"/>
      <c r="Y258" s="3396"/>
      <c r="Z258" s="3396"/>
      <c r="AA258" s="3396"/>
      <c r="AB258" s="3396"/>
      <c r="AC258" s="3396"/>
      <c r="AD258" s="3396"/>
      <c r="AE258" s="3396"/>
      <c r="AF258" s="3396"/>
      <c r="AG258" s="3396"/>
      <c r="AH258" s="3396"/>
      <c r="AI258" s="3396"/>
      <c r="AJ258" s="3396"/>
      <c r="AK258" s="3396"/>
      <c r="AL258" s="3396"/>
      <c r="AM258" s="3396"/>
      <c r="AN258" s="3396"/>
      <c r="AO258" s="3396"/>
      <c r="AP258" s="3396"/>
      <c r="AQ258" s="3396"/>
      <c r="AR258" s="3396"/>
      <c r="AS258" s="3396"/>
      <c r="AT258" s="3396"/>
      <c r="AU258" s="3396"/>
      <c r="AV258" s="3396"/>
      <c r="AW258" s="3396"/>
      <c r="AX258" s="3396"/>
      <c r="AY258" s="3396"/>
      <c r="AZ258" s="3396"/>
      <c r="BA258" s="3396"/>
      <c r="BB258" s="3396"/>
      <c r="BC258" s="3396"/>
      <c r="BD258" s="3396"/>
      <c r="BE258" s="3396"/>
      <c r="BF258" s="3396"/>
      <c r="BG258" s="3396"/>
      <c r="BH258" s="3396"/>
      <c r="BI258" s="3396"/>
      <c r="BJ258" s="3396"/>
      <c r="BK258" s="3396"/>
      <c r="BL258" s="3396"/>
      <c r="BM258" s="3396"/>
      <c r="BN258" s="3396"/>
    </row>
    <row r="259" s="687" customFormat="1" ht="15" hidden="1" customHeight="1" spans="1:66">
      <c r="A259" s="3407" t="s">
        <v>5884</v>
      </c>
      <c r="B259" s="3408"/>
      <c r="C259" s="3409"/>
      <c r="D259" s="3409"/>
      <c r="E259" s="3408"/>
      <c r="F259" s="3410"/>
      <c r="G259" s="3410"/>
      <c r="H259" s="3411">
        <f t="shared" si="5"/>
        <v>0</v>
      </c>
      <c r="I259" s="3396"/>
      <c r="J259" s="3396"/>
      <c r="K259" s="3396"/>
      <c r="L259" s="3396"/>
      <c r="M259" s="3396"/>
      <c r="N259" s="3396"/>
      <c r="O259" s="3396"/>
      <c r="P259" s="3396"/>
      <c r="Q259" s="3396"/>
      <c r="R259" s="3396"/>
      <c r="S259" s="3396"/>
      <c r="T259" s="3396"/>
      <c r="U259" s="3396"/>
      <c r="V259" s="3396"/>
      <c r="W259" s="3396"/>
      <c r="X259" s="3396"/>
      <c r="Y259" s="3396"/>
      <c r="Z259" s="3396"/>
      <c r="AA259" s="3396"/>
      <c r="AB259" s="3396"/>
      <c r="AC259" s="3396"/>
      <c r="AD259" s="3396"/>
      <c r="AE259" s="3396"/>
      <c r="AF259" s="3396"/>
      <c r="AG259" s="3396"/>
      <c r="AH259" s="3396"/>
      <c r="AI259" s="3396"/>
      <c r="AJ259" s="3396"/>
      <c r="AK259" s="3396"/>
      <c r="AL259" s="3396"/>
      <c r="AM259" s="3396"/>
      <c r="AN259" s="3396"/>
      <c r="AO259" s="3396"/>
      <c r="AP259" s="3396"/>
      <c r="AQ259" s="3396"/>
      <c r="AR259" s="3396"/>
      <c r="AS259" s="3396"/>
      <c r="AT259" s="3396"/>
      <c r="AU259" s="3396"/>
      <c r="AV259" s="3396"/>
      <c r="AW259" s="3396"/>
      <c r="AX259" s="3396"/>
      <c r="AY259" s="3396"/>
      <c r="AZ259" s="3396"/>
      <c r="BA259" s="3396"/>
      <c r="BB259" s="3396"/>
      <c r="BC259" s="3396"/>
      <c r="BD259" s="3396"/>
      <c r="BE259" s="3396"/>
      <c r="BF259" s="3396"/>
      <c r="BG259" s="3396"/>
      <c r="BH259" s="3396"/>
      <c r="BI259" s="3396"/>
      <c r="BJ259" s="3396"/>
      <c r="BK259" s="3396"/>
      <c r="BL259" s="3396"/>
      <c r="BM259" s="3396"/>
      <c r="BN259" s="3396"/>
    </row>
    <row r="260" s="687" customFormat="1" ht="15" hidden="1" customHeight="1" spans="1:66">
      <c r="A260" s="3407" t="s">
        <v>5886</v>
      </c>
      <c r="B260" s="3408"/>
      <c r="C260" s="3409"/>
      <c r="D260" s="3409"/>
      <c r="E260" s="3408"/>
      <c r="F260" s="3410"/>
      <c r="G260" s="3410"/>
      <c r="H260" s="3411">
        <f t="shared" si="5"/>
        <v>0</v>
      </c>
      <c r="I260" s="3396"/>
      <c r="J260" s="3396"/>
      <c r="K260" s="3396"/>
      <c r="L260" s="3396"/>
      <c r="M260" s="3396"/>
      <c r="N260" s="3396"/>
      <c r="O260" s="3396"/>
      <c r="P260" s="3396"/>
      <c r="Q260" s="3396"/>
      <c r="R260" s="3396"/>
      <c r="S260" s="3396"/>
      <c r="T260" s="3396"/>
      <c r="U260" s="3396"/>
      <c r="V260" s="3396"/>
      <c r="W260" s="3396"/>
      <c r="X260" s="3396"/>
      <c r="Y260" s="3396"/>
      <c r="Z260" s="3396"/>
      <c r="AA260" s="3396"/>
      <c r="AB260" s="3396"/>
      <c r="AC260" s="3396"/>
      <c r="AD260" s="3396"/>
      <c r="AE260" s="3396"/>
      <c r="AF260" s="3396"/>
      <c r="AG260" s="3396"/>
      <c r="AH260" s="3396"/>
      <c r="AI260" s="3396"/>
      <c r="AJ260" s="3396"/>
      <c r="AK260" s="3396"/>
      <c r="AL260" s="3396"/>
      <c r="AM260" s="3396"/>
      <c r="AN260" s="3396"/>
      <c r="AO260" s="3396"/>
      <c r="AP260" s="3396"/>
      <c r="AQ260" s="3396"/>
      <c r="AR260" s="3396"/>
      <c r="AS260" s="3396"/>
      <c r="AT260" s="3396"/>
      <c r="AU260" s="3396"/>
      <c r="AV260" s="3396"/>
      <c r="AW260" s="3396"/>
      <c r="AX260" s="3396"/>
      <c r="AY260" s="3396"/>
      <c r="AZ260" s="3396"/>
      <c r="BA260" s="3396"/>
      <c r="BB260" s="3396"/>
      <c r="BC260" s="3396"/>
      <c r="BD260" s="3396"/>
      <c r="BE260" s="3396"/>
      <c r="BF260" s="3396"/>
      <c r="BG260" s="3396"/>
      <c r="BH260" s="3396"/>
      <c r="BI260" s="3396"/>
      <c r="BJ260" s="3396"/>
      <c r="BK260" s="3396"/>
      <c r="BL260" s="3396"/>
      <c r="BM260" s="3396"/>
      <c r="BN260" s="3396"/>
    </row>
    <row r="261" s="687" customFormat="1" ht="15" hidden="1" customHeight="1" spans="1:66">
      <c r="A261" s="3407" t="s">
        <v>5888</v>
      </c>
      <c r="B261" s="3408"/>
      <c r="C261" s="3409"/>
      <c r="D261" s="3409"/>
      <c r="E261" s="3408"/>
      <c r="F261" s="3410"/>
      <c r="G261" s="3410"/>
      <c r="H261" s="3411">
        <f t="shared" si="5"/>
        <v>0</v>
      </c>
      <c r="I261" s="3396"/>
      <c r="J261" s="3396"/>
      <c r="K261" s="3396"/>
      <c r="L261" s="3396"/>
      <c r="M261" s="3396"/>
      <c r="N261" s="3396"/>
      <c r="O261" s="3396"/>
      <c r="P261" s="3396"/>
      <c r="Q261" s="3396"/>
      <c r="R261" s="3396"/>
      <c r="S261" s="3396"/>
      <c r="T261" s="3396"/>
      <c r="U261" s="3396"/>
      <c r="V261" s="3396"/>
      <c r="W261" s="3396"/>
      <c r="X261" s="3396"/>
      <c r="Y261" s="3396"/>
      <c r="Z261" s="3396"/>
      <c r="AA261" s="3396"/>
      <c r="AB261" s="3396"/>
      <c r="AC261" s="3396"/>
      <c r="AD261" s="3396"/>
      <c r="AE261" s="3396"/>
      <c r="AF261" s="3396"/>
      <c r="AG261" s="3396"/>
      <c r="AH261" s="3396"/>
      <c r="AI261" s="3396"/>
      <c r="AJ261" s="3396"/>
      <c r="AK261" s="3396"/>
      <c r="AL261" s="3396"/>
      <c r="AM261" s="3396"/>
      <c r="AN261" s="3396"/>
      <c r="AO261" s="3396"/>
      <c r="AP261" s="3396"/>
      <c r="AQ261" s="3396"/>
      <c r="AR261" s="3396"/>
      <c r="AS261" s="3396"/>
      <c r="AT261" s="3396"/>
      <c r="AU261" s="3396"/>
      <c r="AV261" s="3396"/>
      <c r="AW261" s="3396"/>
      <c r="AX261" s="3396"/>
      <c r="AY261" s="3396"/>
      <c r="AZ261" s="3396"/>
      <c r="BA261" s="3396"/>
      <c r="BB261" s="3396"/>
      <c r="BC261" s="3396"/>
      <c r="BD261" s="3396"/>
      <c r="BE261" s="3396"/>
      <c r="BF261" s="3396"/>
      <c r="BG261" s="3396"/>
      <c r="BH261" s="3396"/>
      <c r="BI261" s="3396"/>
      <c r="BJ261" s="3396"/>
      <c r="BK261" s="3396"/>
      <c r="BL261" s="3396"/>
      <c r="BM261" s="3396"/>
      <c r="BN261" s="3396"/>
    </row>
    <row r="262" s="687" customFormat="1" ht="15" hidden="1" customHeight="1" spans="1:66">
      <c r="A262" s="3407" t="s">
        <v>5890</v>
      </c>
      <c r="B262" s="3408"/>
      <c r="C262" s="3409"/>
      <c r="D262" s="3409"/>
      <c r="E262" s="3408"/>
      <c r="F262" s="3410"/>
      <c r="G262" s="3410"/>
      <c r="H262" s="3411">
        <f t="shared" si="5"/>
        <v>0</v>
      </c>
      <c r="I262" s="3396"/>
      <c r="J262" s="3396"/>
      <c r="K262" s="3396"/>
      <c r="L262" s="3396"/>
      <c r="M262" s="3396"/>
      <c r="N262" s="3396"/>
      <c r="O262" s="3396"/>
      <c r="P262" s="3396"/>
      <c r="Q262" s="3396"/>
      <c r="R262" s="3396"/>
      <c r="S262" s="3396"/>
      <c r="T262" s="3396"/>
      <c r="U262" s="3396"/>
      <c r="V262" s="3396"/>
      <c r="W262" s="3396"/>
      <c r="X262" s="3396"/>
      <c r="Y262" s="3396"/>
      <c r="Z262" s="3396"/>
      <c r="AA262" s="3396"/>
      <c r="AB262" s="3396"/>
      <c r="AC262" s="3396"/>
      <c r="AD262" s="3396"/>
      <c r="AE262" s="3396"/>
      <c r="AF262" s="3396"/>
      <c r="AG262" s="3396"/>
      <c r="AH262" s="3396"/>
      <c r="AI262" s="3396"/>
      <c r="AJ262" s="3396"/>
      <c r="AK262" s="3396"/>
      <c r="AL262" s="3396"/>
      <c r="AM262" s="3396"/>
      <c r="AN262" s="3396"/>
      <c r="AO262" s="3396"/>
      <c r="AP262" s="3396"/>
      <c r="AQ262" s="3396"/>
      <c r="AR262" s="3396"/>
      <c r="AS262" s="3396"/>
      <c r="AT262" s="3396"/>
      <c r="AU262" s="3396"/>
      <c r="AV262" s="3396"/>
      <c r="AW262" s="3396"/>
      <c r="AX262" s="3396"/>
      <c r="AY262" s="3396"/>
      <c r="AZ262" s="3396"/>
      <c r="BA262" s="3396"/>
      <c r="BB262" s="3396"/>
      <c r="BC262" s="3396"/>
      <c r="BD262" s="3396"/>
      <c r="BE262" s="3396"/>
      <c r="BF262" s="3396"/>
      <c r="BG262" s="3396"/>
      <c r="BH262" s="3396"/>
      <c r="BI262" s="3396"/>
      <c r="BJ262" s="3396"/>
      <c r="BK262" s="3396"/>
      <c r="BL262" s="3396"/>
      <c r="BM262" s="3396"/>
      <c r="BN262" s="3396"/>
    </row>
    <row r="263" s="687" customFormat="1" ht="15" hidden="1" customHeight="1" spans="1:66">
      <c r="A263" s="3407" t="s">
        <v>5892</v>
      </c>
      <c r="B263" s="3408"/>
      <c r="C263" s="3409"/>
      <c r="D263" s="3409"/>
      <c r="E263" s="3408"/>
      <c r="F263" s="3410"/>
      <c r="G263" s="3410"/>
      <c r="H263" s="3411">
        <f t="shared" si="5"/>
        <v>0</v>
      </c>
      <c r="I263" s="3396"/>
      <c r="J263" s="3396"/>
      <c r="K263" s="3396"/>
      <c r="L263" s="3396"/>
      <c r="M263" s="3396"/>
      <c r="N263" s="3396"/>
      <c r="O263" s="3396"/>
      <c r="P263" s="3396"/>
      <c r="Q263" s="3396"/>
      <c r="R263" s="3396"/>
      <c r="S263" s="3396"/>
      <c r="T263" s="3396"/>
      <c r="U263" s="3396"/>
      <c r="V263" s="3396"/>
      <c r="W263" s="3396"/>
      <c r="X263" s="3396"/>
      <c r="Y263" s="3396"/>
      <c r="Z263" s="3396"/>
      <c r="AA263" s="3396"/>
      <c r="AB263" s="3396"/>
      <c r="AC263" s="3396"/>
      <c r="AD263" s="3396"/>
      <c r="AE263" s="3396"/>
      <c r="AF263" s="3396"/>
      <c r="AG263" s="3396"/>
      <c r="AH263" s="3396"/>
      <c r="AI263" s="3396"/>
      <c r="AJ263" s="3396"/>
      <c r="AK263" s="3396"/>
      <c r="AL263" s="3396"/>
      <c r="AM263" s="3396"/>
      <c r="AN263" s="3396"/>
      <c r="AO263" s="3396"/>
      <c r="AP263" s="3396"/>
      <c r="AQ263" s="3396"/>
      <c r="AR263" s="3396"/>
      <c r="AS263" s="3396"/>
      <c r="AT263" s="3396"/>
      <c r="AU263" s="3396"/>
      <c r="AV263" s="3396"/>
      <c r="AW263" s="3396"/>
      <c r="AX263" s="3396"/>
      <c r="AY263" s="3396"/>
      <c r="AZ263" s="3396"/>
      <c r="BA263" s="3396"/>
      <c r="BB263" s="3396"/>
      <c r="BC263" s="3396"/>
      <c r="BD263" s="3396"/>
      <c r="BE263" s="3396"/>
      <c r="BF263" s="3396"/>
      <c r="BG263" s="3396"/>
      <c r="BH263" s="3396"/>
      <c r="BI263" s="3396"/>
      <c r="BJ263" s="3396"/>
      <c r="BK263" s="3396"/>
      <c r="BL263" s="3396"/>
      <c r="BM263" s="3396"/>
      <c r="BN263" s="3396"/>
    </row>
    <row r="264" s="687" customFormat="1" ht="15" hidden="1" customHeight="1" spans="1:66">
      <c r="A264" s="3407" t="s">
        <v>5894</v>
      </c>
      <c r="B264" s="3408"/>
      <c r="C264" s="3409"/>
      <c r="D264" s="3409"/>
      <c r="E264" s="3408"/>
      <c r="F264" s="3410"/>
      <c r="G264" s="3410"/>
      <c r="H264" s="3411">
        <f t="shared" si="5"/>
        <v>0</v>
      </c>
      <c r="I264" s="3396"/>
      <c r="J264" s="3396"/>
      <c r="K264" s="3396"/>
      <c r="L264" s="3396"/>
      <c r="M264" s="3396"/>
      <c r="N264" s="3396"/>
      <c r="O264" s="3396"/>
      <c r="P264" s="3396"/>
      <c r="Q264" s="3396"/>
      <c r="R264" s="3396"/>
      <c r="S264" s="3396"/>
      <c r="T264" s="3396"/>
      <c r="U264" s="3396"/>
      <c r="V264" s="3396"/>
      <c r="W264" s="3396"/>
      <c r="X264" s="3396"/>
      <c r="Y264" s="3396"/>
      <c r="Z264" s="3396"/>
      <c r="AA264" s="3396"/>
      <c r="AB264" s="3396"/>
      <c r="AC264" s="3396"/>
      <c r="AD264" s="3396"/>
      <c r="AE264" s="3396"/>
      <c r="AF264" s="3396"/>
      <c r="AG264" s="3396"/>
      <c r="AH264" s="3396"/>
      <c r="AI264" s="3396"/>
      <c r="AJ264" s="3396"/>
      <c r="AK264" s="3396"/>
      <c r="AL264" s="3396"/>
      <c r="AM264" s="3396"/>
      <c r="AN264" s="3396"/>
      <c r="AO264" s="3396"/>
      <c r="AP264" s="3396"/>
      <c r="AQ264" s="3396"/>
      <c r="AR264" s="3396"/>
      <c r="AS264" s="3396"/>
      <c r="AT264" s="3396"/>
      <c r="AU264" s="3396"/>
      <c r="AV264" s="3396"/>
      <c r="AW264" s="3396"/>
      <c r="AX264" s="3396"/>
      <c r="AY264" s="3396"/>
      <c r="AZ264" s="3396"/>
      <c r="BA264" s="3396"/>
      <c r="BB264" s="3396"/>
      <c r="BC264" s="3396"/>
      <c r="BD264" s="3396"/>
      <c r="BE264" s="3396"/>
      <c r="BF264" s="3396"/>
      <c r="BG264" s="3396"/>
      <c r="BH264" s="3396"/>
      <c r="BI264" s="3396"/>
      <c r="BJ264" s="3396"/>
      <c r="BK264" s="3396"/>
      <c r="BL264" s="3396"/>
      <c r="BM264" s="3396"/>
      <c r="BN264" s="3396"/>
    </row>
    <row r="265" s="687" customFormat="1" ht="15" hidden="1" customHeight="1" spans="1:66">
      <c r="A265" s="3407" t="s">
        <v>5896</v>
      </c>
      <c r="B265" s="3408"/>
      <c r="C265" s="3409"/>
      <c r="D265" s="3409"/>
      <c r="E265" s="3408"/>
      <c r="F265" s="3410"/>
      <c r="G265" s="3410"/>
      <c r="H265" s="3411">
        <f t="shared" si="5"/>
        <v>0</v>
      </c>
      <c r="I265" s="3396"/>
      <c r="J265" s="3396"/>
      <c r="K265" s="3396"/>
      <c r="L265" s="3396"/>
      <c r="M265" s="3396"/>
      <c r="N265" s="3396"/>
      <c r="O265" s="3396"/>
      <c r="P265" s="3396"/>
      <c r="Q265" s="3396"/>
      <c r="R265" s="3396"/>
      <c r="S265" s="3396"/>
      <c r="T265" s="3396"/>
      <c r="U265" s="3396"/>
      <c r="V265" s="3396"/>
      <c r="W265" s="3396"/>
      <c r="X265" s="3396"/>
      <c r="Y265" s="3396"/>
      <c r="Z265" s="3396"/>
      <c r="AA265" s="3396"/>
      <c r="AB265" s="3396"/>
      <c r="AC265" s="3396"/>
      <c r="AD265" s="3396"/>
      <c r="AE265" s="3396"/>
      <c r="AF265" s="3396"/>
      <c r="AG265" s="3396"/>
      <c r="AH265" s="3396"/>
      <c r="AI265" s="3396"/>
      <c r="AJ265" s="3396"/>
      <c r="AK265" s="3396"/>
      <c r="AL265" s="3396"/>
      <c r="AM265" s="3396"/>
      <c r="AN265" s="3396"/>
      <c r="AO265" s="3396"/>
      <c r="AP265" s="3396"/>
      <c r="AQ265" s="3396"/>
      <c r="AR265" s="3396"/>
      <c r="AS265" s="3396"/>
      <c r="AT265" s="3396"/>
      <c r="AU265" s="3396"/>
      <c r="AV265" s="3396"/>
      <c r="AW265" s="3396"/>
      <c r="AX265" s="3396"/>
      <c r="AY265" s="3396"/>
      <c r="AZ265" s="3396"/>
      <c r="BA265" s="3396"/>
      <c r="BB265" s="3396"/>
      <c r="BC265" s="3396"/>
      <c r="BD265" s="3396"/>
      <c r="BE265" s="3396"/>
      <c r="BF265" s="3396"/>
      <c r="BG265" s="3396"/>
      <c r="BH265" s="3396"/>
      <c r="BI265" s="3396"/>
      <c r="BJ265" s="3396"/>
      <c r="BK265" s="3396"/>
      <c r="BL265" s="3396"/>
      <c r="BM265" s="3396"/>
      <c r="BN265" s="3396"/>
    </row>
    <row r="266" s="687" customFormat="1" ht="15" hidden="1" customHeight="1" spans="1:66">
      <c r="A266" s="3407" t="s">
        <v>5898</v>
      </c>
      <c r="B266" s="3408"/>
      <c r="C266" s="3409"/>
      <c r="D266" s="3409"/>
      <c r="E266" s="3408"/>
      <c r="F266" s="3410"/>
      <c r="G266" s="3410"/>
      <c r="H266" s="3411">
        <f t="shared" si="5"/>
        <v>0</v>
      </c>
      <c r="I266" s="3396"/>
      <c r="J266" s="3396"/>
      <c r="K266" s="3396"/>
      <c r="L266" s="3396"/>
      <c r="M266" s="3396"/>
      <c r="N266" s="3396"/>
      <c r="O266" s="3396"/>
      <c r="P266" s="3396"/>
      <c r="Q266" s="3396"/>
      <c r="R266" s="3396"/>
      <c r="S266" s="3396"/>
      <c r="T266" s="3396"/>
      <c r="U266" s="3396"/>
      <c r="V266" s="3396"/>
      <c r="W266" s="3396"/>
      <c r="X266" s="3396"/>
      <c r="Y266" s="3396"/>
      <c r="Z266" s="3396"/>
      <c r="AA266" s="3396"/>
      <c r="AB266" s="3396"/>
      <c r="AC266" s="3396"/>
      <c r="AD266" s="3396"/>
      <c r="AE266" s="3396"/>
      <c r="AF266" s="3396"/>
      <c r="AG266" s="3396"/>
      <c r="AH266" s="3396"/>
      <c r="AI266" s="3396"/>
      <c r="AJ266" s="3396"/>
      <c r="AK266" s="3396"/>
      <c r="AL266" s="3396"/>
      <c r="AM266" s="3396"/>
      <c r="AN266" s="3396"/>
      <c r="AO266" s="3396"/>
      <c r="AP266" s="3396"/>
      <c r="AQ266" s="3396"/>
      <c r="AR266" s="3396"/>
      <c r="AS266" s="3396"/>
      <c r="AT266" s="3396"/>
      <c r="AU266" s="3396"/>
      <c r="AV266" s="3396"/>
      <c r="AW266" s="3396"/>
      <c r="AX266" s="3396"/>
      <c r="AY266" s="3396"/>
      <c r="AZ266" s="3396"/>
      <c r="BA266" s="3396"/>
      <c r="BB266" s="3396"/>
      <c r="BC266" s="3396"/>
      <c r="BD266" s="3396"/>
      <c r="BE266" s="3396"/>
      <c r="BF266" s="3396"/>
      <c r="BG266" s="3396"/>
      <c r="BH266" s="3396"/>
      <c r="BI266" s="3396"/>
      <c r="BJ266" s="3396"/>
      <c r="BK266" s="3396"/>
      <c r="BL266" s="3396"/>
      <c r="BM266" s="3396"/>
      <c r="BN266" s="3396"/>
    </row>
    <row r="267" s="687" customFormat="1" ht="15" hidden="1" customHeight="1" spans="1:66">
      <c r="A267" s="3407" t="s">
        <v>5900</v>
      </c>
      <c r="B267" s="3408"/>
      <c r="C267" s="3409"/>
      <c r="D267" s="3409"/>
      <c r="E267" s="3408"/>
      <c r="F267" s="3410"/>
      <c r="G267" s="3410"/>
      <c r="H267" s="3411">
        <f t="shared" si="5"/>
        <v>0</v>
      </c>
      <c r="I267" s="3396"/>
      <c r="J267" s="3396"/>
      <c r="K267" s="3396"/>
      <c r="L267" s="3396"/>
      <c r="M267" s="3396"/>
      <c r="N267" s="3396"/>
      <c r="O267" s="3396"/>
      <c r="P267" s="3396"/>
      <c r="Q267" s="3396"/>
      <c r="R267" s="3396"/>
      <c r="S267" s="3396"/>
      <c r="T267" s="3396"/>
      <c r="U267" s="3396"/>
      <c r="V267" s="3396"/>
      <c r="W267" s="3396"/>
      <c r="X267" s="3396"/>
      <c r="Y267" s="3396"/>
      <c r="Z267" s="3396"/>
      <c r="AA267" s="3396"/>
      <c r="AB267" s="3396"/>
      <c r="AC267" s="3396"/>
      <c r="AD267" s="3396"/>
      <c r="AE267" s="3396"/>
      <c r="AF267" s="3396"/>
      <c r="AG267" s="3396"/>
      <c r="AH267" s="3396"/>
      <c r="AI267" s="3396"/>
      <c r="AJ267" s="3396"/>
      <c r="AK267" s="3396"/>
      <c r="AL267" s="3396"/>
      <c r="AM267" s="3396"/>
      <c r="AN267" s="3396"/>
      <c r="AO267" s="3396"/>
      <c r="AP267" s="3396"/>
      <c r="AQ267" s="3396"/>
      <c r="AR267" s="3396"/>
      <c r="AS267" s="3396"/>
      <c r="AT267" s="3396"/>
      <c r="AU267" s="3396"/>
      <c r="AV267" s="3396"/>
      <c r="AW267" s="3396"/>
      <c r="AX267" s="3396"/>
      <c r="AY267" s="3396"/>
      <c r="AZ267" s="3396"/>
      <c r="BA267" s="3396"/>
      <c r="BB267" s="3396"/>
      <c r="BC267" s="3396"/>
      <c r="BD267" s="3396"/>
      <c r="BE267" s="3396"/>
      <c r="BF267" s="3396"/>
      <c r="BG267" s="3396"/>
      <c r="BH267" s="3396"/>
      <c r="BI267" s="3396"/>
      <c r="BJ267" s="3396"/>
      <c r="BK267" s="3396"/>
      <c r="BL267" s="3396"/>
      <c r="BM267" s="3396"/>
      <c r="BN267" s="3396"/>
    </row>
    <row r="268" s="687" customFormat="1" ht="15" hidden="1" customHeight="1" spans="1:66">
      <c r="A268" s="3407" t="s">
        <v>5902</v>
      </c>
      <c r="B268" s="3408"/>
      <c r="C268" s="3409"/>
      <c r="D268" s="3409"/>
      <c r="E268" s="3408"/>
      <c r="F268" s="3410"/>
      <c r="G268" s="3410"/>
      <c r="H268" s="3411">
        <f t="shared" si="5"/>
        <v>0</v>
      </c>
      <c r="I268" s="3396"/>
      <c r="J268" s="3396"/>
      <c r="K268" s="3396"/>
      <c r="L268" s="3396"/>
      <c r="M268" s="3396"/>
      <c r="N268" s="3396"/>
      <c r="O268" s="3396"/>
      <c r="P268" s="3396"/>
      <c r="Q268" s="3396"/>
      <c r="R268" s="3396"/>
      <c r="S268" s="3396"/>
      <c r="T268" s="3396"/>
      <c r="U268" s="3396"/>
      <c r="V268" s="3396"/>
      <c r="W268" s="3396"/>
      <c r="X268" s="3396"/>
      <c r="Y268" s="3396"/>
      <c r="Z268" s="3396"/>
      <c r="AA268" s="3396"/>
      <c r="AB268" s="3396"/>
      <c r="AC268" s="3396"/>
      <c r="AD268" s="3396"/>
      <c r="AE268" s="3396"/>
      <c r="AF268" s="3396"/>
      <c r="AG268" s="3396"/>
      <c r="AH268" s="3396"/>
      <c r="AI268" s="3396"/>
      <c r="AJ268" s="3396"/>
      <c r="AK268" s="3396"/>
      <c r="AL268" s="3396"/>
      <c r="AM268" s="3396"/>
      <c r="AN268" s="3396"/>
      <c r="AO268" s="3396"/>
      <c r="AP268" s="3396"/>
      <c r="AQ268" s="3396"/>
      <c r="AR268" s="3396"/>
      <c r="AS268" s="3396"/>
      <c r="AT268" s="3396"/>
      <c r="AU268" s="3396"/>
      <c r="AV268" s="3396"/>
      <c r="AW268" s="3396"/>
      <c r="AX268" s="3396"/>
      <c r="AY268" s="3396"/>
      <c r="AZ268" s="3396"/>
      <c r="BA268" s="3396"/>
      <c r="BB268" s="3396"/>
      <c r="BC268" s="3396"/>
      <c r="BD268" s="3396"/>
      <c r="BE268" s="3396"/>
      <c r="BF268" s="3396"/>
      <c r="BG268" s="3396"/>
      <c r="BH268" s="3396"/>
      <c r="BI268" s="3396"/>
      <c r="BJ268" s="3396"/>
      <c r="BK268" s="3396"/>
      <c r="BL268" s="3396"/>
      <c r="BM268" s="3396"/>
      <c r="BN268" s="3396"/>
    </row>
    <row r="269" s="687" customFormat="1" ht="15" hidden="1" customHeight="1" spans="1:66">
      <c r="A269" s="3407" t="s">
        <v>5904</v>
      </c>
      <c r="B269" s="3408"/>
      <c r="C269" s="3409"/>
      <c r="D269" s="3409"/>
      <c r="E269" s="3408"/>
      <c r="F269" s="3410"/>
      <c r="G269" s="3410"/>
      <c r="H269" s="3411">
        <f t="shared" si="5"/>
        <v>0</v>
      </c>
      <c r="I269" s="3396"/>
      <c r="J269" s="3396"/>
      <c r="K269" s="3396"/>
      <c r="L269" s="3396"/>
      <c r="M269" s="3396"/>
      <c r="N269" s="3396"/>
      <c r="O269" s="3396"/>
      <c r="P269" s="3396"/>
      <c r="Q269" s="3396"/>
      <c r="R269" s="3396"/>
      <c r="S269" s="3396"/>
      <c r="T269" s="3396"/>
      <c r="U269" s="3396"/>
      <c r="V269" s="3396"/>
      <c r="W269" s="3396"/>
      <c r="X269" s="3396"/>
      <c r="Y269" s="3396"/>
      <c r="Z269" s="3396"/>
      <c r="AA269" s="3396"/>
      <c r="AB269" s="3396"/>
      <c r="AC269" s="3396"/>
      <c r="AD269" s="3396"/>
      <c r="AE269" s="3396"/>
      <c r="AF269" s="3396"/>
      <c r="AG269" s="3396"/>
      <c r="AH269" s="3396"/>
      <c r="AI269" s="3396"/>
      <c r="AJ269" s="3396"/>
      <c r="AK269" s="3396"/>
      <c r="AL269" s="3396"/>
      <c r="AM269" s="3396"/>
      <c r="AN269" s="3396"/>
      <c r="AO269" s="3396"/>
      <c r="AP269" s="3396"/>
      <c r="AQ269" s="3396"/>
      <c r="AR269" s="3396"/>
      <c r="AS269" s="3396"/>
      <c r="AT269" s="3396"/>
      <c r="AU269" s="3396"/>
      <c r="AV269" s="3396"/>
      <c r="AW269" s="3396"/>
      <c r="AX269" s="3396"/>
      <c r="AY269" s="3396"/>
      <c r="AZ269" s="3396"/>
      <c r="BA269" s="3396"/>
      <c r="BB269" s="3396"/>
      <c r="BC269" s="3396"/>
      <c r="BD269" s="3396"/>
      <c r="BE269" s="3396"/>
      <c r="BF269" s="3396"/>
      <c r="BG269" s="3396"/>
      <c r="BH269" s="3396"/>
      <c r="BI269" s="3396"/>
      <c r="BJ269" s="3396"/>
      <c r="BK269" s="3396"/>
      <c r="BL269" s="3396"/>
      <c r="BM269" s="3396"/>
      <c r="BN269" s="3396"/>
    </row>
    <row r="270" s="687" customFormat="1" ht="15" hidden="1" customHeight="1" spans="1:66">
      <c r="A270" s="3407" t="s">
        <v>5908</v>
      </c>
      <c r="B270" s="3408"/>
      <c r="C270" s="3409"/>
      <c r="D270" s="3409"/>
      <c r="E270" s="3408"/>
      <c r="F270" s="3410"/>
      <c r="G270" s="3410"/>
      <c r="H270" s="3411">
        <f t="shared" si="5"/>
        <v>0</v>
      </c>
      <c r="I270" s="3396"/>
      <c r="J270" s="3396"/>
      <c r="K270" s="3396"/>
      <c r="L270" s="3396"/>
      <c r="M270" s="3396"/>
      <c r="N270" s="3396"/>
      <c r="O270" s="3396"/>
      <c r="P270" s="3396"/>
      <c r="Q270" s="3396"/>
      <c r="R270" s="3396"/>
      <c r="S270" s="3396"/>
      <c r="T270" s="3396"/>
      <c r="U270" s="3396"/>
      <c r="V270" s="3396"/>
      <c r="W270" s="3396"/>
      <c r="X270" s="3396"/>
      <c r="Y270" s="3396"/>
      <c r="Z270" s="3396"/>
      <c r="AA270" s="3396"/>
      <c r="AB270" s="3396"/>
      <c r="AC270" s="3396"/>
      <c r="AD270" s="3396"/>
      <c r="AE270" s="3396"/>
      <c r="AF270" s="3396"/>
      <c r="AG270" s="3396"/>
      <c r="AH270" s="3396"/>
      <c r="AI270" s="3396"/>
      <c r="AJ270" s="3396"/>
      <c r="AK270" s="3396"/>
      <c r="AL270" s="3396"/>
      <c r="AM270" s="3396"/>
      <c r="AN270" s="3396"/>
      <c r="AO270" s="3396"/>
      <c r="AP270" s="3396"/>
      <c r="AQ270" s="3396"/>
      <c r="AR270" s="3396"/>
      <c r="AS270" s="3396"/>
      <c r="AT270" s="3396"/>
      <c r="AU270" s="3396"/>
      <c r="AV270" s="3396"/>
      <c r="AW270" s="3396"/>
      <c r="AX270" s="3396"/>
      <c r="AY270" s="3396"/>
      <c r="AZ270" s="3396"/>
      <c r="BA270" s="3396"/>
      <c r="BB270" s="3396"/>
      <c r="BC270" s="3396"/>
      <c r="BD270" s="3396"/>
      <c r="BE270" s="3396"/>
      <c r="BF270" s="3396"/>
      <c r="BG270" s="3396"/>
      <c r="BH270" s="3396"/>
      <c r="BI270" s="3396"/>
      <c r="BJ270" s="3396"/>
      <c r="BK270" s="3396"/>
      <c r="BL270" s="3396"/>
      <c r="BM270" s="3396"/>
      <c r="BN270" s="3396"/>
    </row>
    <row r="271" s="687" customFormat="1" ht="15" hidden="1" customHeight="1" spans="1:66">
      <c r="A271" s="3407" t="s">
        <v>5910</v>
      </c>
      <c r="B271" s="3408"/>
      <c r="C271" s="3409"/>
      <c r="D271" s="3409"/>
      <c r="E271" s="3408"/>
      <c r="F271" s="3410"/>
      <c r="G271" s="3410"/>
      <c r="H271" s="3411">
        <f t="shared" si="5"/>
        <v>0</v>
      </c>
      <c r="I271" s="3396"/>
      <c r="J271" s="3396"/>
      <c r="K271" s="3396"/>
      <c r="L271" s="3396"/>
      <c r="M271" s="3396"/>
      <c r="N271" s="3396"/>
      <c r="O271" s="3396"/>
      <c r="P271" s="3396"/>
      <c r="Q271" s="3396"/>
      <c r="R271" s="3396"/>
      <c r="S271" s="3396"/>
      <c r="T271" s="3396"/>
      <c r="U271" s="3396"/>
      <c r="V271" s="3396"/>
      <c r="W271" s="3396"/>
      <c r="X271" s="3396"/>
      <c r="Y271" s="3396"/>
      <c r="Z271" s="3396"/>
      <c r="AA271" s="3396"/>
      <c r="AB271" s="3396"/>
      <c r="AC271" s="3396"/>
      <c r="AD271" s="3396"/>
      <c r="AE271" s="3396"/>
      <c r="AF271" s="3396"/>
      <c r="AG271" s="3396"/>
      <c r="AH271" s="3396"/>
      <c r="AI271" s="3396"/>
      <c r="AJ271" s="3396"/>
      <c r="AK271" s="3396"/>
      <c r="AL271" s="3396"/>
      <c r="AM271" s="3396"/>
      <c r="AN271" s="3396"/>
      <c r="AO271" s="3396"/>
      <c r="AP271" s="3396"/>
      <c r="AQ271" s="3396"/>
      <c r="AR271" s="3396"/>
      <c r="AS271" s="3396"/>
      <c r="AT271" s="3396"/>
      <c r="AU271" s="3396"/>
      <c r="AV271" s="3396"/>
      <c r="AW271" s="3396"/>
      <c r="AX271" s="3396"/>
      <c r="AY271" s="3396"/>
      <c r="AZ271" s="3396"/>
      <c r="BA271" s="3396"/>
      <c r="BB271" s="3396"/>
      <c r="BC271" s="3396"/>
      <c r="BD271" s="3396"/>
      <c r="BE271" s="3396"/>
      <c r="BF271" s="3396"/>
      <c r="BG271" s="3396"/>
      <c r="BH271" s="3396"/>
      <c r="BI271" s="3396"/>
      <c r="BJ271" s="3396"/>
      <c r="BK271" s="3396"/>
      <c r="BL271" s="3396"/>
      <c r="BM271" s="3396"/>
      <c r="BN271" s="3396"/>
    </row>
    <row r="272" s="687" customFormat="1" ht="15" hidden="1" customHeight="1" spans="1:66">
      <c r="A272" s="3407" t="s">
        <v>5914</v>
      </c>
      <c r="B272" s="3408"/>
      <c r="C272" s="3409"/>
      <c r="D272" s="3409"/>
      <c r="E272" s="3408"/>
      <c r="F272" s="3410"/>
      <c r="G272" s="3410"/>
      <c r="H272" s="3411">
        <f t="shared" si="5"/>
        <v>0</v>
      </c>
      <c r="I272" s="3396"/>
      <c r="J272" s="3396"/>
      <c r="K272" s="3396"/>
      <c r="L272" s="3396"/>
      <c r="M272" s="3396"/>
      <c r="N272" s="3396"/>
      <c r="O272" s="3396"/>
      <c r="P272" s="3396"/>
      <c r="Q272" s="3396"/>
      <c r="R272" s="3396"/>
      <c r="S272" s="3396"/>
      <c r="T272" s="3396"/>
      <c r="U272" s="3396"/>
      <c r="V272" s="3396"/>
      <c r="W272" s="3396"/>
      <c r="X272" s="3396"/>
      <c r="Y272" s="3396"/>
      <c r="Z272" s="3396"/>
      <c r="AA272" s="3396"/>
      <c r="AB272" s="3396"/>
      <c r="AC272" s="3396"/>
      <c r="AD272" s="3396"/>
      <c r="AE272" s="3396"/>
      <c r="AF272" s="3396"/>
      <c r="AG272" s="3396"/>
      <c r="AH272" s="3396"/>
      <c r="AI272" s="3396"/>
      <c r="AJ272" s="3396"/>
      <c r="AK272" s="3396"/>
      <c r="AL272" s="3396"/>
      <c r="AM272" s="3396"/>
      <c r="AN272" s="3396"/>
      <c r="AO272" s="3396"/>
      <c r="AP272" s="3396"/>
      <c r="AQ272" s="3396"/>
      <c r="AR272" s="3396"/>
      <c r="AS272" s="3396"/>
      <c r="AT272" s="3396"/>
      <c r="AU272" s="3396"/>
      <c r="AV272" s="3396"/>
      <c r="AW272" s="3396"/>
      <c r="AX272" s="3396"/>
      <c r="AY272" s="3396"/>
      <c r="AZ272" s="3396"/>
      <c r="BA272" s="3396"/>
      <c r="BB272" s="3396"/>
      <c r="BC272" s="3396"/>
      <c r="BD272" s="3396"/>
      <c r="BE272" s="3396"/>
      <c r="BF272" s="3396"/>
      <c r="BG272" s="3396"/>
      <c r="BH272" s="3396"/>
      <c r="BI272" s="3396"/>
      <c r="BJ272" s="3396"/>
      <c r="BK272" s="3396"/>
      <c r="BL272" s="3396"/>
      <c r="BM272" s="3396"/>
      <c r="BN272" s="3396"/>
    </row>
    <row r="273" s="687" customFormat="1" ht="15" hidden="1" customHeight="1" spans="1:66">
      <c r="A273" s="3407" t="s">
        <v>5916</v>
      </c>
      <c r="B273" s="3408"/>
      <c r="C273" s="3409"/>
      <c r="D273" s="3409"/>
      <c r="E273" s="3408"/>
      <c r="F273" s="3410"/>
      <c r="G273" s="3410"/>
      <c r="H273" s="3411">
        <f t="shared" si="5"/>
        <v>0</v>
      </c>
      <c r="I273" s="3396"/>
      <c r="J273" s="3396"/>
      <c r="K273" s="3396"/>
      <c r="L273" s="3396"/>
      <c r="M273" s="3396"/>
      <c r="N273" s="3396"/>
      <c r="O273" s="3396"/>
      <c r="P273" s="3396"/>
      <c r="Q273" s="3396"/>
      <c r="R273" s="3396"/>
      <c r="S273" s="3396"/>
      <c r="T273" s="3396"/>
      <c r="U273" s="3396"/>
      <c r="V273" s="3396"/>
      <c r="W273" s="3396"/>
      <c r="X273" s="3396"/>
      <c r="Y273" s="3396"/>
      <c r="Z273" s="3396"/>
      <c r="AA273" s="3396"/>
      <c r="AB273" s="3396"/>
      <c r="AC273" s="3396"/>
      <c r="AD273" s="3396"/>
      <c r="AE273" s="3396"/>
      <c r="AF273" s="3396"/>
      <c r="AG273" s="3396"/>
      <c r="AH273" s="3396"/>
      <c r="AI273" s="3396"/>
      <c r="AJ273" s="3396"/>
      <c r="AK273" s="3396"/>
      <c r="AL273" s="3396"/>
      <c r="AM273" s="3396"/>
      <c r="AN273" s="3396"/>
      <c r="AO273" s="3396"/>
      <c r="AP273" s="3396"/>
      <c r="AQ273" s="3396"/>
      <c r="AR273" s="3396"/>
      <c r="AS273" s="3396"/>
      <c r="AT273" s="3396"/>
      <c r="AU273" s="3396"/>
      <c r="AV273" s="3396"/>
      <c r="AW273" s="3396"/>
      <c r="AX273" s="3396"/>
      <c r="AY273" s="3396"/>
      <c r="AZ273" s="3396"/>
      <c r="BA273" s="3396"/>
      <c r="BB273" s="3396"/>
      <c r="BC273" s="3396"/>
      <c r="BD273" s="3396"/>
      <c r="BE273" s="3396"/>
      <c r="BF273" s="3396"/>
      <c r="BG273" s="3396"/>
      <c r="BH273" s="3396"/>
      <c r="BI273" s="3396"/>
      <c r="BJ273" s="3396"/>
      <c r="BK273" s="3396"/>
      <c r="BL273" s="3396"/>
      <c r="BM273" s="3396"/>
      <c r="BN273" s="3396"/>
    </row>
    <row r="274" s="687" customFormat="1" ht="15" hidden="1" customHeight="1" spans="1:66">
      <c r="A274" s="3407" t="s">
        <v>5918</v>
      </c>
      <c r="B274" s="3408"/>
      <c r="C274" s="3409"/>
      <c r="D274" s="3409"/>
      <c r="E274" s="3408"/>
      <c r="F274" s="3410"/>
      <c r="G274" s="3410"/>
      <c r="H274" s="3411">
        <f t="shared" si="5"/>
        <v>0</v>
      </c>
      <c r="I274" s="3396"/>
      <c r="J274" s="3396"/>
      <c r="K274" s="3396"/>
      <c r="L274" s="3396"/>
      <c r="M274" s="3396"/>
      <c r="N274" s="3396"/>
      <c r="O274" s="3396"/>
      <c r="P274" s="3396"/>
      <c r="Q274" s="3396"/>
      <c r="R274" s="3396"/>
      <c r="S274" s="3396"/>
      <c r="T274" s="3396"/>
      <c r="U274" s="3396"/>
      <c r="V274" s="3396"/>
      <c r="W274" s="3396"/>
      <c r="X274" s="3396"/>
      <c r="Y274" s="3396"/>
      <c r="Z274" s="3396"/>
      <c r="AA274" s="3396"/>
      <c r="AB274" s="3396"/>
      <c r="AC274" s="3396"/>
      <c r="AD274" s="3396"/>
      <c r="AE274" s="3396"/>
      <c r="AF274" s="3396"/>
      <c r="AG274" s="3396"/>
      <c r="AH274" s="3396"/>
      <c r="AI274" s="3396"/>
      <c r="AJ274" s="3396"/>
      <c r="AK274" s="3396"/>
      <c r="AL274" s="3396"/>
      <c r="AM274" s="3396"/>
      <c r="AN274" s="3396"/>
      <c r="AO274" s="3396"/>
      <c r="AP274" s="3396"/>
      <c r="AQ274" s="3396"/>
      <c r="AR274" s="3396"/>
      <c r="AS274" s="3396"/>
      <c r="AT274" s="3396"/>
      <c r="AU274" s="3396"/>
      <c r="AV274" s="3396"/>
      <c r="AW274" s="3396"/>
      <c r="AX274" s="3396"/>
      <c r="AY274" s="3396"/>
      <c r="AZ274" s="3396"/>
      <c r="BA274" s="3396"/>
      <c r="BB274" s="3396"/>
      <c r="BC274" s="3396"/>
      <c r="BD274" s="3396"/>
      <c r="BE274" s="3396"/>
      <c r="BF274" s="3396"/>
      <c r="BG274" s="3396"/>
      <c r="BH274" s="3396"/>
      <c r="BI274" s="3396"/>
      <c r="BJ274" s="3396"/>
      <c r="BK274" s="3396"/>
      <c r="BL274" s="3396"/>
      <c r="BM274" s="3396"/>
      <c r="BN274" s="3396"/>
    </row>
    <row r="275" s="687" customFormat="1" ht="15" hidden="1" customHeight="1" spans="1:66">
      <c r="A275" s="3407" t="s">
        <v>5923</v>
      </c>
      <c r="B275" s="3408"/>
      <c r="C275" s="3409"/>
      <c r="D275" s="3409"/>
      <c r="E275" s="3408"/>
      <c r="F275" s="3410"/>
      <c r="G275" s="3410"/>
      <c r="H275" s="3411">
        <f t="shared" ref="H275:H338" si="6">F275+G275</f>
        <v>0</v>
      </c>
      <c r="I275" s="3396"/>
      <c r="J275" s="3396"/>
      <c r="K275" s="3396"/>
      <c r="L275" s="3396"/>
      <c r="M275" s="3396"/>
      <c r="N275" s="3396"/>
      <c r="O275" s="3396"/>
      <c r="P275" s="3396"/>
      <c r="Q275" s="3396"/>
      <c r="R275" s="3396"/>
      <c r="S275" s="3396"/>
      <c r="T275" s="3396"/>
      <c r="U275" s="3396"/>
      <c r="V275" s="3396"/>
      <c r="W275" s="3396"/>
      <c r="X275" s="3396"/>
      <c r="Y275" s="3396"/>
      <c r="Z275" s="3396"/>
      <c r="AA275" s="3396"/>
      <c r="AB275" s="3396"/>
      <c r="AC275" s="3396"/>
      <c r="AD275" s="3396"/>
      <c r="AE275" s="3396"/>
      <c r="AF275" s="3396"/>
      <c r="AG275" s="3396"/>
      <c r="AH275" s="3396"/>
      <c r="AI275" s="3396"/>
      <c r="AJ275" s="3396"/>
      <c r="AK275" s="3396"/>
      <c r="AL275" s="3396"/>
      <c r="AM275" s="3396"/>
      <c r="AN275" s="3396"/>
      <c r="AO275" s="3396"/>
      <c r="AP275" s="3396"/>
      <c r="AQ275" s="3396"/>
      <c r="AR275" s="3396"/>
      <c r="AS275" s="3396"/>
      <c r="AT275" s="3396"/>
      <c r="AU275" s="3396"/>
      <c r="AV275" s="3396"/>
      <c r="AW275" s="3396"/>
      <c r="AX275" s="3396"/>
      <c r="AY275" s="3396"/>
      <c r="AZ275" s="3396"/>
      <c r="BA275" s="3396"/>
      <c r="BB275" s="3396"/>
      <c r="BC275" s="3396"/>
      <c r="BD275" s="3396"/>
      <c r="BE275" s="3396"/>
      <c r="BF275" s="3396"/>
      <c r="BG275" s="3396"/>
      <c r="BH275" s="3396"/>
      <c r="BI275" s="3396"/>
      <c r="BJ275" s="3396"/>
      <c r="BK275" s="3396"/>
      <c r="BL275" s="3396"/>
      <c r="BM275" s="3396"/>
      <c r="BN275" s="3396"/>
    </row>
    <row r="276" s="687" customFormat="1" ht="15" hidden="1" customHeight="1" spans="1:66">
      <c r="A276" s="3407" t="s">
        <v>5925</v>
      </c>
      <c r="B276" s="3408"/>
      <c r="C276" s="3409"/>
      <c r="D276" s="3409"/>
      <c r="E276" s="3408"/>
      <c r="F276" s="3410"/>
      <c r="G276" s="3410"/>
      <c r="H276" s="3411">
        <f t="shared" si="6"/>
        <v>0</v>
      </c>
      <c r="I276" s="3396"/>
      <c r="J276" s="3396"/>
      <c r="K276" s="3396"/>
      <c r="L276" s="3396"/>
      <c r="M276" s="3396"/>
      <c r="N276" s="3396"/>
      <c r="O276" s="3396"/>
      <c r="P276" s="3396"/>
      <c r="Q276" s="3396"/>
      <c r="R276" s="3396"/>
      <c r="S276" s="3396"/>
      <c r="T276" s="3396"/>
      <c r="U276" s="3396"/>
      <c r="V276" s="3396"/>
      <c r="W276" s="3396"/>
      <c r="X276" s="3396"/>
      <c r="Y276" s="3396"/>
      <c r="Z276" s="3396"/>
      <c r="AA276" s="3396"/>
      <c r="AB276" s="3396"/>
      <c r="AC276" s="3396"/>
      <c r="AD276" s="3396"/>
      <c r="AE276" s="3396"/>
      <c r="AF276" s="3396"/>
      <c r="AG276" s="3396"/>
      <c r="AH276" s="3396"/>
      <c r="AI276" s="3396"/>
      <c r="AJ276" s="3396"/>
      <c r="AK276" s="3396"/>
      <c r="AL276" s="3396"/>
      <c r="AM276" s="3396"/>
      <c r="AN276" s="3396"/>
      <c r="AO276" s="3396"/>
      <c r="AP276" s="3396"/>
      <c r="AQ276" s="3396"/>
      <c r="AR276" s="3396"/>
      <c r="AS276" s="3396"/>
      <c r="AT276" s="3396"/>
      <c r="AU276" s="3396"/>
      <c r="AV276" s="3396"/>
      <c r="AW276" s="3396"/>
      <c r="AX276" s="3396"/>
      <c r="AY276" s="3396"/>
      <c r="AZ276" s="3396"/>
      <c r="BA276" s="3396"/>
      <c r="BB276" s="3396"/>
      <c r="BC276" s="3396"/>
      <c r="BD276" s="3396"/>
      <c r="BE276" s="3396"/>
      <c r="BF276" s="3396"/>
      <c r="BG276" s="3396"/>
      <c r="BH276" s="3396"/>
      <c r="BI276" s="3396"/>
      <c r="BJ276" s="3396"/>
      <c r="BK276" s="3396"/>
      <c r="BL276" s="3396"/>
      <c r="BM276" s="3396"/>
      <c r="BN276" s="3396"/>
    </row>
    <row r="277" s="687" customFormat="1" ht="15" hidden="1" customHeight="1" spans="1:66">
      <c r="A277" s="3407" t="s">
        <v>5929</v>
      </c>
      <c r="B277" s="3408"/>
      <c r="C277" s="3409"/>
      <c r="D277" s="3409"/>
      <c r="E277" s="3408"/>
      <c r="F277" s="3410"/>
      <c r="G277" s="3410"/>
      <c r="H277" s="3411">
        <f t="shared" si="6"/>
        <v>0</v>
      </c>
      <c r="I277" s="3396"/>
      <c r="J277" s="3396"/>
      <c r="K277" s="3396"/>
      <c r="L277" s="3396"/>
      <c r="M277" s="3396"/>
      <c r="N277" s="3396"/>
      <c r="O277" s="3396"/>
      <c r="P277" s="3396"/>
      <c r="Q277" s="3396"/>
      <c r="R277" s="3396"/>
      <c r="S277" s="3396"/>
      <c r="T277" s="3396"/>
      <c r="U277" s="3396"/>
      <c r="V277" s="3396"/>
      <c r="W277" s="3396"/>
      <c r="X277" s="3396"/>
      <c r="Y277" s="3396"/>
      <c r="Z277" s="3396"/>
      <c r="AA277" s="3396"/>
      <c r="AB277" s="3396"/>
      <c r="AC277" s="3396"/>
      <c r="AD277" s="3396"/>
      <c r="AE277" s="3396"/>
      <c r="AF277" s="3396"/>
      <c r="AG277" s="3396"/>
      <c r="AH277" s="3396"/>
      <c r="AI277" s="3396"/>
      <c r="AJ277" s="3396"/>
      <c r="AK277" s="3396"/>
      <c r="AL277" s="3396"/>
      <c r="AM277" s="3396"/>
      <c r="AN277" s="3396"/>
      <c r="AO277" s="3396"/>
      <c r="AP277" s="3396"/>
      <c r="AQ277" s="3396"/>
      <c r="AR277" s="3396"/>
      <c r="AS277" s="3396"/>
      <c r="AT277" s="3396"/>
      <c r="AU277" s="3396"/>
      <c r="AV277" s="3396"/>
      <c r="AW277" s="3396"/>
      <c r="AX277" s="3396"/>
      <c r="AY277" s="3396"/>
      <c r="AZ277" s="3396"/>
      <c r="BA277" s="3396"/>
      <c r="BB277" s="3396"/>
      <c r="BC277" s="3396"/>
      <c r="BD277" s="3396"/>
      <c r="BE277" s="3396"/>
      <c r="BF277" s="3396"/>
      <c r="BG277" s="3396"/>
      <c r="BH277" s="3396"/>
      <c r="BI277" s="3396"/>
      <c r="BJ277" s="3396"/>
      <c r="BK277" s="3396"/>
      <c r="BL277" s="3396"/>
      <c r="BM277" s="3396"/>
      <c r="BN277" s="3396"/>
    </row>
    <row r="278" s="687" customFormat="1" ht="15" hidden="1" customHeight="1" spans="1:66">
      <c r="A278" s="3407" t="s">
        <v>5931</v>
      </c>
      <c r="B278" s="3408"/>
      <c r="C278" s="3409"/>
      <c r="D278" s="3409"/>
      <c r="E278" s="3408"/>
      <c r="F278" s="3410"/>
      <c r="G278" s="3410"/>
      <c r="H278" s="3411">
        <f t="shared" si="6"/>
        <v>0</v>
      </c>
      <c r="I278" s="3396"/>
      <c r="J278" s="3396"/>
      <c r="K278" s="3396"/>
      <c r="L278" s="3396"/>
      <c r="M278" s="3396"/>
      <c r="N278" s="3396"/>
      <c r="O278" s="3396"/>
      <c r="P278" s="3396"/>
      <c r="Q278" s="3396"/>
      <c r="R278" s="3396"/>
      <c r="S278" s="3396"/>
      <c r="T278" s="3396"/>
      <c r="U278" s="3396"/>
      <c r="V278" s="3396"/>
      <c r="W278" s="3396"/>
      <c r="X278" s="3396"/>
      <c r="Y278" s="3396"/>
      <c r="Z278" s="3396"/>
      <c r="AA278" s="3396"/>
      <c r="AB278" s="3396"/>
      <c r="AC278" s="3396"/>
      <c r="AD278" s="3396"/>
      <c r="AE278" s="3396"/>
      <c r="AF278" s="3396"/>
      <c r="AG278" s="3396"/>
      <c r="AH278" s="3396"/>
      <c r="AI278" s="3396"/>
      <c r="AJ278" s="3396"/>
      <c r="AK278" s="3396"/>
      <c r="AL278" s="3396"/>
      <c r="AM278" s="3396"/>
      <c r="AN278" s="3396"/>
      <c r="AO278" s="3396"/>
      <c r="AP278" s="3396"/>
      <c r="AQ278" s="3396"/>
      <c r="AR278" s="3396"/>
      <c r="AS278" s="3396"/>
      <c r="AT278" s="3396"/>
      <c r="AU278" s="3396"/>
      <c r="AV278" s="3396"/>
      <c r="AW278" s="3396"/>
      <c r="AX278" s="3396"/>
      <c r="AY278" s="3396"/>
      <c r="AZ278" s="3396"/>
      <c r="BA278" s="3396"/>
      <c r="BB278" s="3396"/>
      <c r="BC278" s="3396"/>
      <c r="BD278" s="3396"/>
      <c r="BE278" s="3396"/>
      <c r="BF278" s="3396"/>
      <c r="BG278" s="3396"/>
      <c r="BH278" s="3396"/>
      <c r="BI278" s="3396"/>
      <c r="BJ278" s="3396"/>
      <c r="BK278" s="3396"/>
      <c r="BL278" s="3396"/>
      <c r="BM278" s="3396"/>
      <c r="BN278" s="3396"/>
    </row>
    <row r="279" s="687" customFormat="1" ht="15" hidden="1" customHeight="1" spans="1:66">
      <c r="A279" s="3407" t="s">
        <v>5945</v>
      </c>
      <c r="B279" s="3408"/>
      <c r="C279" s="3409"/>
      <c r="D279" s="3409"/>
      <c r="E279" s="3408"/>
      <c r="F279" s="3410"/>
      <c r="G279" s="3410"/>
      <c r="H279" s="3411">
        <f t="shared" si="6"/>
        <v>0</v>
      </c>
      <c r="I279" s="3396"/>
      <c r="J279" s="3396"/>
      <c r="K279" s="3396"/>
      <c r="L279" s="3396"/>
      <c r="M279" s="3396"/>
      <c r="N279" s="3396"/>
      <c r="O279" s="3396"/>
      <c r="P279" s="3396"/>
      <c r="Q279" s="3396"/>
      <c r="R279" s="3396"/>
      <c r="S279" s="3396"/>
      <c r="T279" s="3396"/>
      <c r="U279" s="3396"/>
      <c r="V279" s="3396"/>
      <c r="W279" s="3396"/>
      <c r="X279" s="3396"/>
      <c r="Y279" s="3396"/>
      <c r="Z279" s="3396"/>
      <c r="AA279" s="3396"/>
      <c r="AB279" s="3396"/>
      <c r="AC279" s="3396"/>
      <c r="AD279" s="3396"/>
      <c r="AE279" s="3396"/>
      <c r="AF279" s="3396"/>
      <c r="AG279" s="3396"/>
      <c r="AH279" s="3396"/>
      <c r="AI279" s="3396"/>
      <c r="AJ279" s="3396"/>
      <c r="AK279" s="3396"/>
      <c r="AL279" s="3396"/>
      <c r="AM279" s="3396"/>
      <c r="AN279" s="3396"/>
      <c r="AO279" s="3396"/>
      <c r="AP279" s="3396"/>
      <c r="AQ279" s="3396"/>
      <c r="AR279" s="3396"/>
      <c r="AS279" s="3396"/>
      <c r="AT279" s="3396"/>
      <c r="AU279" s="3396"/>
      <c r="AV279" s="3396"/>
      <c r="AW279" s="3396"/>
      <c r="AX279" s="3396"/>
      <c r="AY279" s="3396"/>
      <c r="AZ279" s="3396"/>
      <c r="BA279" s="3396"/>
      <c r="BB279" s="3396"/>
      <c r="BC279" s="3396"/>
      <c r="BD279" s="3396"/>
      <c r="BE279" s="3396"/>
      <c r="BF279" s="3396"/>
      <c r="BG279" s="3396"/>
      <c r="BH279" s="3396"/>
      <c r="BI279" s="3396"/>
      <c r="BJ279" s="3396"/>
      <c r="BK279" s="3396"/>
      <c r="BL279" s="3396"/>
      <c r="BM279" s="3396"/>
      <c r="BN279" s="3396"/>
    </row>
    <row r="280" s="687" customFormat="1" ht="15" hidden="1" customHeight="1" spans="1:66">
      <c r="A280" s="3407" t="s">
        <v>5947</v>
      </c>
      <c r="B280" s="3408"/>
      <c r="C280" s="3409"/>
      <c r="D280" s="3409"/>
      <c r="E280" s="3408"/>
      <c r="F280" s="3410"/>
      <c r="G280" s="3410"/>
      <c r="H280" s="3411">
        <f t="shared" si="6"/>
        <v>0</v>
      </c>
      <c r="I280" s="3396"/>
      <c r="J280" s="3396"/>
      <c r="K280" s="3396"/>
      <c r="L280" s="3396"/>
      <c r="M280" s="3396"/>
      <c r="N280" s="3396"/>
      <c r="O280" s="3396"/>
      <c r="P280" s="3396"/>
      <c r="Q280" s="3396"/>
      <c r="R280" s="3396"/>
      <c r="S280" s="3396"/>
      <c r="T280" s="3396"/>
      <c r="U280" s="3396"/>
      <c r="V280" s="3396"/>
      <c r="W280" s="3396"/>
      <c r="X280" s="3396"/>
      <c r="Y280" s="3396"/>
      <c r="Z280" s="3396"/>
      <c r="AA280" s="3396"/>
      <c r="AB280" s="3396"/>
      <c r="AC280" s="3396"/>
      <c r="AD280" s="3396"/>
      <c r="AE280" s="3396"/>
      <c r="AF280" s="3396"/>
      <c r="AG280" s="3396"/>
      <c r="AH280" s="3396"/>
      <c r="AI280" s="3396"/>
      <c r="AJ280" s="3396"/>
      <c r="AK280" s="3396"/>
      <c r="AL280" s="3396"/>
      <c r="AM280" s="3396"/>
      <c r="AN280" s="3396"/>
      <c r="AO280" s="3396"/>
      <c r="AP280" s="3396"/>
      <c r="AQ280" s="3396"/>
      <c r="AR280" s="3396"/>
      <c r="AS280" s="3396"/>
      <c r="AT280" s="3396"/>
      <c r="AU280" s="3396"/>
      <c r="AV280" s="3396"/>
      <c r="AW280" s="3396"/>
      <c r="AX280" s="3396"/>
      <c r="AY280" s="3396"/>
      <c r="AZ280" s="3396"/>
      <c r="BA280" s="3396"/>
      <c r="BB280" s="3396"/>
      <c r="BC280" s="3396"/>
      <c r="BD280" s="3396"/>
      <c r="BE280" s="3396"/>
      <c r="BF280" s="3396"/>
      <c r="BG280" s="3396"/>
      <c r="BH280" s="3396"/>
      <c r="BI280" s="3396"/>
      <c r="BJ280" s="3396"/>
      <c r="BK280" s="3396"/>
      <c r="BL280" s="3396"/>
      <c r="BM280" s="3396"/>
      <c r="BN280" s="3396"/>
    </row>
    <row r="281" s="687" customFormat="1" ht="15" hidden="1" customHeight="1" spans="1:66">
      <c r="A281" s="3407" t="s">
        <v>5951</v>
      </c>
      <c r="B281" s="3408"/>
      <c r="C281" s="3409"/>
      <c r="D281" s="3409"/>
      <c r="E281" s="3408"/>
      <c r="F281" s="3410"/>
      <c r="G281" s="3410"/>
      <c r="H281" s="3411">
        <f t="shared" si="6"/>
        <v>0</v>
      </c>
      <c r="I281" s="3396"/>
      <c r="J281" s="3396"/>
      <c r="K281" s="3396"/>
      <c r="L281" s="3396"/>
      <c r="M281" s="3396"/>
      <c r="N281" s="3396"/>
      <c r="O281" s="3396"/>
      <c r="P281" s="3396"/>
      <c r="Q281" s="3396"/>
      <c r="R281" s="3396"/>
      <c r="S281" s="3396"/>
      <c r="T281" s="3396"/>
      <c r="U281" s="3396"/>
      <c r="V281" s="3396"/>
      <c r="W281" s="3396"/>
      <c r="X281" s="3396"/>
      <c r="Y281" s="3396"/>
      <c r="Z281" s="3396"/>
      <c r="AA281" s="3396"/>
      <c r="AB281" s="3396"/>
      <c r="AC281" s="3396"/>
      <c r="AD281" s="3396"/>
      <c r="AE281" s="3396"/>
      <c r="AF281" s="3396"/>
      <c r="AG281" s="3396"/>
      <c r="AH281" s="3396"/>
      <c r="AI281" s="3396"/>
      <c r="AJ281" s="3396"/>
      <c r="AK281" s="3396"/>
      <c r="AL281" s="3396"/>
      <c r="AM281" s="3396"/>
      <c r="AN281" s="3396"/>
      <c r="AO281" s="3396"/>
      <c r="AP281" s="3396"/>
      <c r="AQ281" s="3396"/>
      <c r="AR281" s="3396"/>
      <c r="AS281" s="3396"/>
      <c r="AT281" s="3396"/>
      <c r="AU281" s="3396"/>
      <c r="AV281" s="3396"/>
      <c r="AW281" s="3396"/>
      <c r="AX281" s="3396"/>
      <c r="AY281" s="3396"/>
      <c r="AZ281" s="3396"/>
      <c r="BA281" s="3396"/>
      <c r="BB281" s="3396"/>
      <c r="BC281" s="3396"/>
      <c r="BD281" s="3396"/>
      <c r="BE281" s="3396"/>
      <c r="BF281" s="3396"/>
      <c r="BG281" s="3396"/>
      <c r="BH281" s="3396"/>
      <c r="BI281" s="3396"/>
      <c r="BJ281" s="3396"/>
      <c r="BK281" s="3396"/>
      <c r="BL281" s="3396"/>
      <c r="BM281" s="3396"/>
      <c r="BN281" s="3396"/>
    </row>
    <row r="282" s="687" customFormat="1" ht="15" hidden="1" customHeight="1" spans="1:66">
      <c r="A282" s="3407" t="s">
        <v>5953</v>
      </c>
      <c r="B282" s="3408"/>
      <c r="C282" s="3409"/>
      <c r="D282" s="3409"/>
      <c r="E282" s="3408"/>
      <c r="F282" s="3410"/>
      <c r="G282" s="3410"/>
      <c r="H282" s="3411">
        <f t="shared" si="6"/>
        <v>0</v>
      </c>
      <c r="I282" s="3396"/>
      <c r="J282" s="3396"/>
      <c r="K282" s="3396"/>
      <c r="L282" s="3396"/>
      <c r="M282" s="3396"/>
      <c r="N282" s="3396"/>
      <c r="O282" s="3396"/>
      <c r="P282" s="3396"/>
      <c r="Q282" s="3396"/>
      <c r="R282" s="3396"/>
      <c r="S282" s="3396"/>
      <c r="T282" s="3396"/>
      <c r="U282" s="3396"/>
      <c r="V282" s="3396"/>
      <c r="W282" s="3396"/>
      <c r="X282" s="3396"/>
      <c r="Y282" s="3396"/>
      <c r="Z282" s="3396"/>
      <c r="AA282" s="3396"/>
      <c r="AB282" s="3396"/>
      <c r="AC282" s="3396"/>
      <c r="AD282" s="3396"/>
      <c r="AE282" s="3396"/>
      <c r="AF282" s="3396"/>
      <c r="AG282" s="3396"/>
      <c r="AH282" s="3396"/>
      <c r="AI282" s="3396"/>
      <c r="AJ282" s="3396"/>
      <c r="AK282" s="3396"/>
      <c r="AL282" s="3396"/>
      <c r="AM282" s="3396"/>
      <c r="AN282" s="3396"/>
      <c r="AO282" s="3396"/>
      <c r="AP282" s="3396"/>
      <c r="AQ282" s="3396"/>
      <c r="AR282" s="3396"/>
      <c r="AS282" s="3396"/>
      <c r="AT282" s="3396"/>
      <c r="AU282" s="3396"/>
      <c r="AV282" s="3396"/>
      <c r="AW282" s="3396"/>
      <c r="AX282" s="3396"/>
      <c r="AY282" s="3396"/>
      <c r="AZ282" s="3396"/>
      <c r="BA282" s="3396"/>
      <c r="BB282" s="3396"/>
      <c r="BC282" s="3396"/>
      <c r="BD282" s="3396"/>
      <c r="BE282" s="3396"/>
      <c r="BF282" s="3396"/>
      <c r="BG282" s="3396"/>
      <c r="BH282" s="3396"/>
      <c r="BI282" s="3396"/>
      <c r="BJ282" s="3396"/>
      <c r="BK282" s="3396"/>
      <c r="BL282" s="3396"/>
      <c r="BM282" s="3396"/>
      <c r="BN282" s="3396"/>
    </row>
    <row r="283" s="687" customFormat="1" ht="15" hidden="1" customHeight="1" spans="1:66">
      <c r="A283" s="3407" t="s">
        <v>5955</v>
      </c>
      <c r="B283" s="3408"/>
      <c r="C283" s="3409"/>
      <c r="D283" s="3409"/>
      <c r="E283" s="3408"/>
      <c r="F283" s="3410"/>
      <c r="G283" s="3410"/>
      <c r="H283" s="3411">
        <f t="shared" si="6"/>
        <v>0</v>
      </c>
      <c r="I283" s="3396"/>
      <c r="J283" s="3396"/>
      <c r="K283" s="3396"/>
      <c r="L283" s="3396"/>
      <c r="M283" s="3396"/>
      <c r="N283" s="3396"/>
      <c r="O283" s="3396"/>
      <c r="P283" s="3396"/>
      <c r="Q283" s="3396"/>
      <c r="R283" s="3396"/>
      <c r="S283" s="3396"/>
      <c r="T283" s="3396"/>
      <c r="U283" s="3396"/>
      <c r="V283" s="3396"/>
      <c r="W283" s="3396"/>
      <c r="X283" s="3396"/>
      <c r="Y283" s="3396"/>
      <c r="Z283" s="3396"/>
      <c r="AA283" s="3396"/>
      <c r="AB283" s="3396"/>
      <c r="AC283" s="3396"/>
      <c r="AD283" s="3396"/>
      <c r="AE283" s="3396"/>
      <c r="AF283" s="3396"/>
      <c r="AG283" s="3396"/>
      <c r="AH283" s="3396"/>
      <c r="AI283" s="3396"/>
      <c r="AJ283" s="3396"/>
      <c r="AK283" s="3396"/>
      <c r="AL283" s="3396"/>
      <c r="AM283" s="3396"/>
      <c r="AN283" s="3396"/>
      <c r="AO283" s="3396"/>
      <c r="AP283" s="3396"/>
      <c r="AQ283" s="3396"/>
      <c r="AR283" s="3396"/>
      <c r="AS283" s="3396"/>
      <c r="AT283" s="3396"/>
      <c r="AU283" s="3396"/>
      <c r="AV283" s="3396"/>
      <c r="AW283" s="3396"/>
      <c r="AX283" s="3396"/>
      <c r="AY283" s="3396"/>
      <c r="AZ283" s="3396"/>
      <c r="BA283" s="3396"/>
      <c r="BB283" s="3396"/>
      <c r="BC283" s="3396"/>
      <c r="BD283" s="3396"/>
      <c r="BE283" s="3396"/>
      <c r="BF283" s="3396"/>
      <c r="BG283" s="3396"/>
      <c r="BH283" s="3396"/>
      <c r="BI283" s="3396"/>
      <c r="BJ283" s="3396"/>
      <c r="BK283" s="3396"/>
      <c r="BL283" s="3396"/>
      <c r="BM283" s="3396"/>
      <c r="BN283" s="3396"/>
    </row>
    <row r="284" s="687" customFormat="1" ht="15" hidden="1" customHeight="1" spans="1:66">
      <c r="A284" s="3407" t="s">
        <v>5964</v>
      </c>
      <c r="B284" s="3408"/>
      <c r="C284" s="3409"/>
      <c r="D284" s="3409"/>
      <c r="E284" s="3408"/>
      <c r="F284" s="3410"/>
      <c r="G284" s="3410"/>
      <c r="H284" s="3411">
        <f t="shared" si="6"/>
        <v>0</v>
      </c>
      <c r="I284" s="3396"/>
      <c r="J284" s="3396"/>
      <c r="K284" s="3396"/>
      <c r="L284" s="3396"/>
      <c r="M284" s="3396"/>
      <c r="N284" s="3396"/>
      <c r="O284" s="3396"/>
      <c r="P284" s="3396"/>
      <c r="Q284" s="3396"/>
      <c r="R284" s="3396"/>
      <c r="S284" s="3396"/>
      <c r="T284" s="3396"/>
      <c r="U284" s="3396"/>
      <c r="V284" s="3396"/>
      <c r="W284" s="3396"/>
      <c r="X284" s="3396"/>
      <c r="Y284" s="3396"/>
      <c r="Z284" s="3396"/>
      <c r="AA284" s="3396"/>
      <c r="AB284" s="3396"/>
      <c r="AC284" s="3396"/>
      <c r="AD284" s="3396"/>
      <c r="AE284" s="3396"/>
      <c r="AF284" s="3396"/>
      <c r="AG284" s="3396"/>
      <c r="AH284" s="3396"/>
      <c r="AI284" s="3396"/>
      <c r="AJ284" s="3396"/>
      <c r="AK284" s="3396"/>
      <c r="AL284" s="3396"/>
      <c r="AM284" s="3396"/>
      <c r="AN284" s="3396"/>
      <c r="AO284" s="3396"/>
      <c r="AP284" s="3396"/>
      <c r="AQ284" s="3396"/>
      <c r="AR284" s="3396"/>
      <c r="AS284" s="3396"/>
      <c r="AT284" s="3396"/>
      <c r="AU284" s="3396"/>
      <c r="AV284" s="3396"/>
      <c r="AW284" s="3396"/>
      <c r="AX284" s="3396"/>
      <c r="AY284" s="3396"/>
      <c r="AZ284" s="3396"/>
      <c r="BA284" s="3396"/>
      <c r="BB284" s="3396"/>
      <c r="BC284" s="3396"/>
      <c r="BD284" s="3396"/>
      <c r="BE284" s="3396"/>
      <c r="BF284" s="3396"/>
      <c r="BG284" s="3396"/>
      <c r="BH284" s="3396"/>
      <c r="BI284" s="3396"/>
      <c r="BJ284" s="3396"/>
      <c r="BK284" s="3396"/>
      <c r="BL284" s="3396"/>
      <c r="BM284" s="3396"/>
      <c r="BN284" s="3396"/>
    </row>
    <row r="285" s="687" customFormat="1" ht="15" hidden="1" customHeight="1" spans="1:66">
      <c r="A285" s="3407" t="s">
        <v>5971</v>
      </c>
      <c r="B285" s="3408"/>
      <c r="C285" s="3409"/>
      <c r="D285" s="3409"/>
      <c r="E285" s="3408"/>
      <c r="F285" s="3410"/>
      <c r="G285" s="3410"/>
      <c r="H285" s="3411">
        <f t="shared" si="6"/>
        <v>0</v>
      </c>
      <c r="I285" s="3396"/>
      <c r="J285" s="3396"/>
      <c r="K285" s="3396"/>
      <c r="L285" s="3396"/>
      <c r="M285" s="3396"/>
      <c r="N285" s="3396"/>
      <c r="O285" s="3396"/>
      <c r="P285" s="3396"/>
      <c r="Q285" s="3396"/>
      <c r="R285" s="3396"/>
      <c r="S285" s="3396"/>
      <c r="T285" s="3396"/>
      <c r="U285" s="3396"/>
      <c r="V285" s="3396"/>
      <c r="W285" s="3396"/>
      <c r="X285" s="3396"/>
      <c r="Y285" s="3396"/>
      <c r="Z285" s="3396"/>
      <c r="AA285" s="3396"/>
      <c r="AB285" s="3396"/>
      <c r="AC285" s="3396"/>
      <c r="AD285" s="3396"/>
      <c r="AE285" s="3396"/>
      <c r="AF285" s="3396"/>
      <c r="AG285" s="3396"/>
      <c r="AH285" s="3396"/>
      <c r="AI285" s="3396"/>
      <c r="AJ285" s="3396"/>
      <c r="AK285" s="3396"/>
      <c r="AL285" s="3396"/>
      <c r="AM285" s="3396"/>
      <c r="AN285" s="3396"/>
      <c r="AO285" s="3396"/>
      <c r="AP285" s="3396"/>
      <c r="AQ285" s="3396"/>
      <c r="AR285" s="3396"/>
      <c r="AS285" s="3396"/>
      <c r="AT285" s="3396"/>
      <c r="AU285" s="3396"/>
      <c r="AV285" s="3396"/>
      <c r="AW285" s="3396"/>
      <c r="AX285" s="3396"/>
      <c r="AY285" s="3396"/>
      <c r="AZ285" s="3396"/>
      <c r="BA285" s="3396"/>
      <c r="BB285" s="3396"/>
      <c r="BC285" s="3396"/>
      <c r="BD285" s="3396"/>
      <c r="BE285" s="3396"/>
      <c r="BF285" s="3396"/>
      <c r="BG285" s="3396"/>
      <c r="BH285" s="3396"/>
      <c r="BI285" s="3396"/>
      <c r="BJ285" s="3396"/>
      <c r="BK285" s="3396"/>
      <c r="BL285" s="3396"/>
      <c r="BM285" s="3396"/>
      <c r="BN285" s="3396"/>
    </row>
    <row r="286" s="687" customFormat="1" ht="15" hidden="1" customHeight="1" spans="1:66">
      <c r="A286" s="3407" t="s">
        <v>5973</v>
      </c>
      <c r="B286" s="3408"/>
      <c r="C286" s="3409"/>
      <c r="D286" s="3409"/>
      <c r="E286" s="3408"/>
      <c r="F286" s="3410"/>
      <c r="G286" s="3410"/>
      <c r="H286" s="3411">
        <f t="shared" si="6"/>
        <v>0</v>
      </c>
      <c r="I286" s="3396"/>
      <c r="J286" s="3396"/>
      <c r="K286" s="3396"/>
      <c r="L286" s="3396"/>
      <c r="M286" s="3396"/>
      <c r="N286" s="3396"/>
      <c r="O286" s="3396"/>
      <c r="P286" s="3396"/>
      <c r="Q286" s="3396"/>
      <c r="R286" s="3396"/>
      <c r="S286" s="3396"/>
      <c r="T286" s="3396"/>
      <c r="U286" s="3396"/>
      <c r="V286" s="3396"/>
      <c r="W286" s="3396"/>
      <c r="X286" s="3396"/>
      <c r="Y286" s="3396"/>
      <c r="Z286" s="3396"/>
      <c r="AA286" s="3396"/>
      <c r="AB286" s="3396"/>
      <c r="AC286" s="3396"/>
      <c r="AD286" s="3396"/>
      <c r="AE286" s="3396"/>
      <c r="AF286" s="3396"/>
      <c r="AG286" s="3396"/>
      <c r="AH286" s="3396"/>
      <c r="AI286" s="3396"/>
      <c r="AJ286" s="3396"/>
      <c r="AK286" s="3396"/>
      <c r="AL286" s="3396"/>
      <c r="AM286" s="3396"/>
      <c r="AN286" s="3396"/>
      <c r="AO286" s="3396"/>
      <c r="AP286" s="3396"/>
      <c r="AQ286" s="3396"/>
      <c r="AR286" s="3396"/>
      <c r="AS286" s="3396"/>
      <c r="AT286" s="3396"/>
      <c r="AU286" s="3396"/>
      <c r="AV286" s="3396"/>
      <c r="AW286" s="3396"/>
      <c r="AX286" s="3396"/>
      <c r="AY286" s="3396"/>
      <c r="AZ286" s="3396"/>
      <c r="BA286" s="3396"/>
      <c r="BB286" s="3396"/>
      <c r="BC286" s="3396"/>
      <c r="BD286" s="3396"/>
      <c r="BE286" s="3396"/>
      <c r="BF286" s="3396"/>
      <c r="BG286" s="3396"/>
      <c r="BH286" s="3396"/>
      <c r="BI286" s="3396"/>
      <c r="BJ286" s="3396"/>
      <c r="BK286" s="3396"/>
      <c r="BL286" s="3396"/>
      <c r="BM286" s="3396"/>
      <c r="BN286" s="3396"/>
    </row>
    <row r="287" s="687" customFormat="1" ht="15" hidden="1" customHeight="1" spans="1:66">
      <c r="A287" s="3407" t="s">
        <v>5975</v>
      </c>
      <c r="B287" s="3408"/>
      <c r="C287" s="3409"/>
      <c r="D287" s="3409"/>
      <c r="E287" s="3408"/>
      <c r="F287" s="3410"/>
      <c r="G287" s="3410"/>
      <c r="H287" s="3411">
        <f t="shared" si="6"/>
        <v>0</v>
      </c>
      <c r="I287" s="3396"/>
      <c r="J287" s="3396"/>
      <c r="K287" s="3396"/>
      <c r="L287" s="3396"/>
      <c r="M287" s="3396"/>
      <c r="N287" s="3396"/>
      <c r="O287" s="3396"/>
      <c r="P287" s="3396"/>
      <c r="Q287" s="3396"/>
      <c r="R287" s="3396"/>
      <c r="S287" s="3396"/>
      <c r="T287" s="3396"/>
      <c r="U287" s="3396"/>
      <c r="V287" s="3396"/>
      <c r="W287" s="3396"/>
      <c r="X287" s="3396"/>
      <c r="Y287" s="3396"/>
      <c r="Z287" s="3396"/>
      <c r="AA287" s="3396"/>
      <c r="AB287" s="3396"/>
      <c r="AC287" s="3396"/>
      <c r="AD287" s="3396"/>
      <c r="AE287" s="3396"/>
      <c r="AF287" s="3396"/>
      <c r="AG287" s="3396"/>
      <c r="AH287" s="3396"/>
      <c r="AI287" s="3396"/>
      <c r="AJ287" s="3396"/>
      <c r="AK287" s="3396"/>
      <c r="AL287" s="3396"/>
      <c r="AM287" s="3396"/>
      <c r="AN287" s="3396"/>
      <c r="AO287" s="3396"/>
      <c r="AP287" s="3396"/>
      <c r="AQ287" s="3396"/>
      <c r="AR287" s="3396"/>
      <c r="AS287" s="3396"/>
      <c r="AT287" s="3396"/>
      <c r="AU287" s="3396"/>
      <c r="AV287" s="3396"/>
      <c r="AW287" s="3396"/>
      <c r="AX287" s="3396"/>
      <c r="AY287" s="3396"/>
      <c r="AZ287" s="3396"/>
      <c r="BA287" s="3396"/>
      <c r="BB287" s="3396"/>
      <c r="BC287" s="3396"/>
      <c r="BD287" s="3396"/>
      <c r="BE287" s="3396"/>
      <c r="BF287" s="3396"/>
      <c r="BG287" s="3396"/>
      <c r="BH287" s="3396"/>
      <c r="BI287" s="3396"/>
      <c r="BJ287" s="3396"/>
      <c r="BK287" s="3396"/>
      <c r="BL287" s="3396"/>
      <c r="BM287" s="3396"/>
      <c r="BN287" s="3396"/>
    </row>
    <row r="288" s="687" customFormat="1" ht="15" hidden="1" customHeight="1" spans="1:66">
      <c r="A288" s="3407" t="s">
        <v>5977</v>
      </c>
      <c r="B288" s="3408"/>
      <c r="C288" s="3409"/>
      <c r="D288" s="3409"/>
      <c r="E288" s="3408"/>
      <c r="F288" s="3410"/>
      <c r="G288" s="3410"/>
      <c r="H288" s="3411">
        <f t="shared" si="6"/>
        <v>0</v>
      </c>
      <c r="I288" s="3396"/>
      <c r="J288" s="3396"/>
      <c r="K288" s="3396"/>
      <c r="L288" s="3396"/>
      <c r="M288" s="3396"/>
      <c r="N288" s="3396"/>
      <c r="O288" s="3396"/>
      <c r="P288" s="3396"/>
      <c r="Q288" s="3396"/>
      <c r="R288" s="3396"/>
      <c r="S288" s="3396"/>
      <c r="T288" s="3396"/>
      <c r="U288" s="3396"/>
      <c r="V288" s="3396"/>
      <c r="W288" s="3396"/>
      <c r="X288" s="3396"/>
      <c r="Y288" s="3396"/>
      <c r="Z288" s="3396"/>
      <c r="AA288" s="3396"/>
      <c r="AB288" s="3396"/>
      <c r="AC288" s="3396"/>
      <c r="AD288" s="3396"/>
      <c r="AE288" s="3396"/>
      <c r="AF288" s="3396"/>
      <c r="AG288" s="3396"/>
      <c r="AH288" s="3396"/>
      <c r="AI288" s="3396"/>
      <c r="AJ288" s="3396"/>
      <c r="AK288" s="3396"/>
      <c r="AL288" s="3396"/>
      <c r="AM288" s="3396"/>
      <c r="AN288" s="3396"/>
      <c r="AO288" s="3396"/>
      <c r="AP288" s="3396"/>
      <c r="AQ288" s="3396"/>
      <c r="AR288" s="3396"/>
      <c r="AS288" s="3396"/>
      <c r="AT288" s="3396"/>
      <c r="AU288" s="3396"/>
      <c r="AV288" s="3396"/>
      <c r="AW288" s="3396"/>
      <c r="AX288" s="3396"/>
      <c r="AY288" s="3396"/>
      <c r="AZ288" s="3396"/>
      <c r="BA288" s="3396"/>
      <c r="BB288" s="3396"/>
      <c r="BC288" s="3396"/>
      <c r="BD288" s="3396"/>
      <c r="BE288" s="3396"/>
      <c r="BF288" s="3396"/>
      <c r="BG288" s="3396"/>
      <c r="BH288" s="3396"/>
      <c r="BI288" s="3396"/>
      <c r="BJ288" s="3396"/>
      <c r="BK288" s="3396"/>
      <c r="BL288" s="3396"/>
      <c r="BM288" s="3396"/>
      <c r="BN288" s="3396"/>
    </row>
    <row r="289" s="687" customFormat="1" ht="15" hidden="1" customHeight="1" spans="1:66">
      <c r="A289" s="3407" t="s">
        <v>5979</v>
      </c>
      <c r="B289" s="3408"/>
      <c r="C289" s="3409"/>
      <c r="D289" s="3409"/>
      <c r="E289" s="3408"/>
      <c r="F289" s="3410"/>
      <c r="G289" s="3410"/>
      <c r="H289" s="3411">
        <f t="shared" si="6"/>
        <v>0</v>
      </c>
      <c r="I289" s="3396"/>
      <c r="J289" s="3396"/>
      <c r="K289" s="3396"/>
      <c r="L289" s="3396"/>
      <c r="M289" s="3396"/>
      <c r="N289" s="3396"/>
      <c r="O289" s="3396"/>
      <c r="P289" s="3396"/>
      <c r="Q289" s="3396"/>
      <c r="R289" s="3396"/>
      <c r="S289" s="3396"/>
      <c r="T289" s="3396"/>
      <c r="U289" s="3396"/>
      <c r="V289" s="3396"/>
      <c r="W289" s="3396"/>
      <c r="X289" s="3396"/>
      <c r="Y289" s="3396"/>
      <c r="Z289" s="3396"/>
      <c r="AA289" s="3396"/>
      <c r="AB289" s="3396"/>
      <c r="AC289" s="3396"/>
      <c r="AD289" s="3396"/>
      <c r="AE289" s="3396"/>
      <c r="AF289" s="3396"/>
      <c r="AG289" s="3396"/>
      <c r="AH289" s="3396"/>
      <c r="AI289" s="3396"/>
      <c r="AJ289" s="3396"/>
      <c r="AK289" s="3396"/>
      <c r="AL289" s="3396"/>
      <c r="AM289" s="3396"/>
      <c r="AN289" s="3396"/>
      <c r="AO289" s="3396"/>
      <c r="AP289" s="3396"/>
      <c r="AQ289" s="3396"/>
      <c r="AR289" s="3396"/>
      <c r="AS289" s="3396"/>
      <c r="AT289" s="3396"/>
      <c r="AU289" s="3396"/>
      <c r="AV289" s="3396"/>
      <c r="AW289" s="3396"/>
      <c r="AX289" s="3396"/>
      <c r="AY289" s="3396"/>
      <c r="AZ289" s="3396"/>
      <c r="BA289" s="3396"/>
      <c r="BB289" s="3396"/>
      <c r="BC289" s="3396"/>
      <c r="BD289" s="3396"/>
      <c r="BE289" s="3396"/>
      <c r="BF289" s="3396"/>
      <c r="BG289" s="3396"/>
      <c r="BH289" s="3396"/>
      <c r="BI289" s="3396"/>
      <c r="BJ289" s="3396"/>
      <c r="BK289" s="3396"/>
      <c r="BL289" s="3396"/>
      <c r="BM289" s="3396"/>
      <c r="BN289" s="3396"/>
    </row>
    <row r="290" s="687" customFormat="1" ht="15" hidden="1" customHeight="1" spans="1:66">
      <c r="A290" s="3407" t="s">
        <v>5981</v>
      </c>
      <c r="B290" s="3408"/>
      <c r="C290" s="3409"/>
      <c r="D290" s="3409"/>
      <c r="E290" s="3408"/>
      <c r="F290" s="3410"/>
      <c r="G290" s="3410"/>
      <c r="H290" s="3411">
        <f t="shared" si="6"/>
        <v>0</v>
      </c>
      <c r="I290" s="3396"/>
      <c r="J290" s="3396"/>
      <c r="K290" s="3396"/>
      <c r="L290" s="3396"/>
      <c r="M290" s="3396"/>
      <c r="N290" s="3396"/>
      <c r="O290" s="3396"/>
      <c r="P290" s="3396"/>
      <c r="Q290" s="3396"/>
      <c r="R290" s="3396"/>
      <c r="S290" s="3396"/>
      <c r="T290" s="3396"/>
      <c r="U290" s="3396"/>
      <c r="V290" s="3396"/>
      <c r="W290" s="3396"/>
      <c r="X290" s="3396"/>
      <c r="Y290" s="3396"/>
      <c r="Z290" s="3396"/>
      <c r="AA290" s="3396"/>
      <c r="AB290" s="3396"/>
      <c r="AC290" s="3396"/>
      <c r="AD290" s="3396"/>
      <c r="AE290" s="3396"/>
      <c r="AF290" s="3396"/>
      <c r="AG290" s="3396"/>
      <c r="AH290" s="3396"/>
      <c r="AI290" s="3396"/>
      <c r="AJ290" s="3396"/>
      <c r="AK290" s="3396"/>
      <c r="AL290" s="3396"/>
      <c r="AM290" s="3396"/>
      <c r="AN290" s="3396"/>
      <c r="AO290" s="3396"/>
      <c r="AP290" s="3396"/>
      <c r="AQ290" s="3396"/>
      <c r="AR290" s="3396"/>
      <c r="AS290" s="3396"/>
      <c r="AT290" s="3396"/>
      <c r="AU290" s="3396"/>
      <c r="AV290" s="3396"/>
      <c r="AW290" s="3396"/>
      <c r="AX290" s="3396"/>
      <c r="AY290" s="3396"/>
      <c r="AZ290" s="3396"/>
      <c r="BA290" s="3396"/>
      <c r="BB290" s="3396"/>
      <c r="BC290" s="3396"/>
      <c r="BD290" s="3396"/>
      <c r="BE290" s="3396"/>
      <c r="BF290" s="3396"/>
      <c r="BG290" s="3396"/>
      <c r="BH290" s="3396"/>
      <c r="BI290" s="3396"/>
      <c r="BJ290" s="3396"/>
      <c r="BK290" s="3396"/>
      <c r="BL290" s="3396"/>
      <c r="BM290" s="3396"/>
      <c r="BN290" s="3396"/>
    </row>
    <row r="291" s="687" customFormat="1" ht="15" hidden="1" customHeight="1" spans="1:66">
      <c r="A291" s="3407" t="s">
        <v>6022</v>
      </c>
      <c r="B291" s="3408"/>
      <c r="C291" s="3409"/>
      <c r="D291" s="3409"/>
      <c r="E291" s="3408"/>
      <c r="F291" s="3410"/>
      <c r="G291" s="3410"/>
      <c r="H291" s="3411">
        <f t="shared" si="6"/>
        <v>0</v>
      </c>
      <c r="I291" s="3396"/>
      <c r="J291" s="3396"/>
      <c r="K291" s="3396"/>
      <c r="L291" s="3396"/>
      <c r="M291" s="3396"/>
      <c r="N291" s="3396"/>
      <c r="O291" s="3396"/>
      <c r="P291" s="3396"/>
      <c r="Q291" s="3396"/>
      <c r="R291" s="3396"/>
      <c r="S291" s="3396"/>
      <c r="T291" s="3396"/>
      <c r="U291" s="3396"/>
      <c r="V291" s="3396"/>
      <c r="W291" s="3396"/>
      <c r="X291" s="3396"/>
      <c r="Y291" s="3396"/>
      <c r="Z291" s="3396"/>
      <c r="AA291" s="3396"/>
      <c r="AB291" s="3396"/>
      <c r="AC291" s="3396"/>
      <c r="AD291" s="3396"/>
      <c r="AE291" s="3396"/>
      <c r="AF291" s="3396"/>
      <c r="AG291" s="3396"/>
      <c r="AH291" s="3396"/>
      <c r="AI291" s="3396"/>
      <c r="AJ291" s="3396"/>
      <c r="AK291" s="3396"/>
      <c r="AL291" s="3396"/>
      <c r="AM291" s="3396"/>
      <c r="AN291" s="3396"/>
      <c r="AO291" s="3396"/>
      <c r="AP291" s="3396"/>
      <c r="AQ291" s="3396"/>
      <c r="AR291" s="3396"/>
      <c r="AS291" s="3396"/>
      <c r="AT291" s="3396"/>
      <c r="AU291" s="3396"/>
      <c r="AV291" s="3396"/>
      <c r="AW291" s="3396"/>
      <c r="AX291" s="3396"/>
      <c r="AY291" s="3396"/>
      <c r="AZ291" s="3396"/>
      <c r="BA291" s="3396"/>
      <c r="BB291" s="3396"/>
      <c r="BC291" s="3396"/>
      <c r="BD291" s="3396"/>
      <c r="BE291" s="3396"/>
      <c r="BF291" s="3396"/>
      <c r="BG291" s="3396"/>
      <c r="BH291" s="3396"/>
      <c r="BI291" s="3396"/>
      <c r="BJ291" s="3396"/>
      <c r="BK291" s="3396"/>
      <c r="BL291" s="3396"/>
      <c r="BM291" s="3396"/>
      <c r="BN291" s="3396"/>
    </row>
    <row r="292" s="687" customFormat="1" ht="15" hidden="1" customHeight="1" spans="1:66">
      <c r="A292" s="3407" t="s">
        <v>6023</v>
      </c>
      <c r="B292" s="3408"/>
      <c r="C292" s="3409"/>
      <c r="D292" s="3409"/>
      <c r="E292" s="3408"/>
      <c r="F292" s="3410"/>
      <c r="G292" s="3410"/>
      <c r="H292" s="3411">
        <f t="shared" si="6"/>
        <v>0</v>
      </c>
      <c r="I292" s="3396"/>
      <c r="J292" s="3396"/>
      <c r="K292" s="3396"/>
      <c r="L292" s="3396"/>
      <c r="M292" s="3396"/>
      <c r="N292" s="3396"/>
      <c r="O292" s="3396"/>
      <c r="P292" s="3396"/>
      <c r="Q292" s="3396"/>
      <c r="R292" s="3396"/>
      <c r="S292" s="3396"/>
      <c r="T292" s="3396"/>
      <c r="U292" s="3396"/>
      <c r="V292" s="3396"/>
      <c r="W292" s="3396"/>
      <c r="X292" s="3396"/>
      <c r="Y292" s="3396"/>
      <c r="Z292" s="3396"/>
      <c r="AA292" s="3396"/>
      <c r="AB292" s="3396"/>
      <c r="AC292" s="3396"/>
      <c r="AD292" s="3396"/>
      <c r="AE292" s="3396"/>
      <c r="AF292" s="3396"/>
      <c r="AG292" s="3396"/>
      <c r="AH292" s="3396"/>
      <c r="AI292" s="3396"/>
      <c r="AJ292" s="3396"/>
      <c r="AK292" s="3396"/>
      <c r="AL292" s="3396"/>
      <c r="AM292" s="3396"/>
      <c r="AN292" s="3396"/>
      <c r="AO292" s="3396"/>
      <c r="AP292" s="3396"/>
      <c r="AQ292" s="3396"/>
      <c r="AR292" s="3396"/>
      <c r="AS292" s="3396"/>
      <c r="AT292" s="3396"/>
      <c r="AU292" s="3396"/>
      <c r="AV292" s="3396"/>
      <c r="AW292" s="3396"/>
      <c r="AX292" s="3396"/>
      <c r="AY292" s="3396"/>
      <c r="AZ292" s="3396"/>
      <c r="BA292" s="3396"/>
      <c r="BB292" s="3396"/>
      <c r="BC292" s="3396"/>
      <c r="BD292" s="3396"/>
      <c r="BE292" s="3396"/>
      <c r="BF292" s="3396"/>
      <c r="BG292" s="3396"/>
      <c r="BH292" s="3396"/>
      <c r="BI292" s="3396"/>
      <c r="BJ292" s="3396"/>
      <c r="BK292" s="3396"/>
      <c r="BL292" s="3396"/>
      <c r="BM292" s="3396"/>
      <c r="BN292" s="3396"/>
    </row>
    <row r="293" s="687" customFormat="1" ht="15" hidden="1" customHeight="1" spans="1:66">
      <c r="A293" s="3407" t="s">
        <v>6024</v>
      </c>
      <c r="B293" s="3408"/>
      <c r="C293" s="3409"/>
      <c r="D293" s="3409"/>
      <c r="E293" s="3408"/>
      <c r="F293" s="3410"/>
      <c r="G293" s="3410"/>
      <c r="H293" s="3411">
        <f t="shared" si="6"/>
        <v>0</v>
      </c>
      <c r="I293" s="3396"/>
      <c r="J293" s="3396"/>
      <c r="K293" s="3396"/>
      <c r="L293" s="3396"/>
      <c r="M293" s="3396"/>
      <c r="N293" s="3396"/>
      <c r="O293" s="3396"/>
      <c r="P293" s="3396"/>
      <c r="Q293" s="3396"/>
      <c r="R293" s="3396"/>
      <c r="S293" s="3396"/>
      <c r="T293" s="3396"/>
      <c r="U293" s="3396"/>
      <c r="V293" s="3396"/>
      <c r="W293" s="3396"/>
      <c r="X293" s="3396"/>
      <c r="Y293" s="3396"/>
      <c r="Z293" s="3396"/>
      <c r="AA293" s="3396"/>
      <c r="AB293" s="3396"/>
      <c r="AC293" s="3396"/>
      <c r="AD293" s="3396"/>
      <c r="AE293" s="3396"/>
      <c r="AF293" s="3396"/>
      <c r="AG293" s="3396"/>
      <c r="AH293" s="3396"/>
      <c r="AI293" s="3396"/>
      <c r="AJ293" s="3396"/>
      <c r="AK293" s="3396"/>
      <c r="AL293" s="3396"/>
      <c r="AM293" s="3396"/>
      <c r="AN293" s="3396"/>
      <c r="AO293" s="3396"/>
      <c r="AP293" s="3396"/>
      <c r="AQ293" s="3396"/>
      <c r="AR293" s="3396"/>
      <c r="AS293" s="3396"/>
      <c r="AT293" s="3396"/>
      <c r="AU293" s="3396"/>
      <c r="AV293" s="3396"/>
      <c r="AW293" s="3396"/>
      <c r="AX293" s="3396"/>
      <c r="AY293" s="3396"/>
      <c r="AZ293" s="3396"/>
      <c r="BA293" s="3396"/>
      <c r="BB293" s="3396"/>
      <c r="BC293" s="3396"/>
      <c r="BD293" s="3396"/>
      <c r="BE293" s="3396"/>
      <c r="BF293" s="3396"/>
      <c r="BG293" s="3396"/>
      <c r="BH293" s="3396"/>
      <c r="BI293" s="3396"/>
      <c r="BJ293" s="3396"/>
      <c r="BK293" s="3396"/>
      <c r="BL293" s="3396"/>
      <c r="BM293" s="3396"/>
      <c r="BN293" s="3396"/>
    </row>
    <row r="294" s="687" customFormat="1" ht="15" hidden="1" customHeight="1" spans="1:66">
      <c r="A294" s="3407" t="s">
        <v>6025</v>
      </c>
      <c r="B294" s="3408"/>
      <c r="C294" s="3409"/>
      <c r="D294" s="3409"/>
      <c r="E294" s="3408"/>
      <c r="F294" s="3410"/>
      <c r="G294" s="3410"/>
      <c r="H294" s="3411">
        <f t="shared" si="6"/>
        <v>0</v>
      </c>
      <c r="I294" s="3396"/>
      <c r="J294" s="3396"/>
      <c r="K294" s="3396"/>
      <c r="L294" s="3396"/>
      <c r="M294" s="3396"/>
      <c r="N294" s="3396"/>
      <c r="O294" s="3396"/>
      <c r="P294" s="3396"/>
      <c r="Q294" s="3396"/>
      <c r="R294" s="3396"/>
      <c r="S294" s="3396"/>
      <c r="T294" s="3396"/>
      <c r="U294" s="3396"/>
      <c r="V294" s="3396"/>
      <c r="W294" s="3396"/>
      <c r="X294" s="3396"/>
      <c r="Y294" s="3396"/>
      <c r="Z294" s="3396"/>
      <c r="AA294" s="3396"/>
      <c r="AB294" s="3396"/>
      <c r="AC294" s="3396"/>
      <c r="AD294" s="3396"/>
      <c r="AE294" s="3396"/>
      <c r="AF294" s="3396"/>
      <c r="AG294" s="3396"/>
      <c r="AH294" s="3396"/>
      <c r="AI294" s="3396"/>
      <c r="AJ294" s="3396"/>
      <c r="AK294" s="3396"/>
      <c r="AL294" s="3396"/>
      <c r="AM294" s="3396"/>
      <c r="AN294" s="3396"/>
      <c r="AO294" s="3396"/>
      <c r="AP294" s="3396"/>
      <c r="AQ294" s="3396"/>
      <c r="AR294" s="3396"/>
      <c r="AS294" s="3396"/>
      <c r="AT294" s="3396"/>
      <c r="AU294" s="3396"/>
      <c r="AV294" s="3396"/>
      <c r="AW294" s="3396"/>
      <c r="AX294" s="3396"/>
      <c r="AY294" s="3396"/>
      <c r="AZ294" s="3396"/>
      <c r="BA294" s="3396"/>
      <c r="BB294" s="3396"/>
      <c r="BC294" s="3396"/>
      <c r="BD294" s="3396"/>
      <c r="BE294" s="3396"/>
      <c r="BF294" s="3396"/>
      <c r="BG294" s="3396"/>
      <c r="BH294" s="3396"/>
      <c r="BI294" s="3396"/>
      <c r="BJ294" s="3396"/>
      <c r="BK294" s="3396"/>
      <c r="BL294" s="3396"/>
      <c r="BM294" s="3396"/>
      <c r="BN294" s="3396"/>
    </row>
    <row r="295" s="687" customFormat="1" ht="15" hidden="1" customHeight="1" spans="1:66">
      <c r="A295" s="3407" t="s">
        <v>6026</v>
      </c>
      <c r="B295" s="3408"/>
      <c r="C295" s="3409"/>
      <c r="D295" s="3409"/>
      <c r="E295" s="3408"/>
      <c r="F295" s="3410"/>
      <c r="G295" s="3410"/>
      <c r="H295" s="3411">
        <f t="shared" si="6"/>
        <v>0</v>
      </c>
      <c r="I295" s="3396"/>
      <c r="J295" s="3396"/>
      <c r="K295" s="3396"/>
      <c r="L295" s="3396"/>
      <c r="M295" s="3396"/>
      <c r="N295" s="3396"/>
      <c r="O295" s="3396"/>
      <c r="P295" s="3396"/>
      <c r="Q295" s="3396"/>
      <c r="R295" s="3396"/>
      <c r="S295" s="3396"/>
      <c r="T295" s="3396"/>
      <c r="U295" s="3396"/>
      <c r="V295" s="3396"/>
      <c r="W295" s="3396"/>
      <c r="X295" s="3396"/>
      <c r="Y295" s="3396"/>
      <c r="Z295" s="3396"/>
      <c r="AA295" s="3396"/>
      <c r="AB295" s="3396"/>
      <c r="AC295" s="3396"/>
      <c r="AD295" s="3396"/>
      <c r="AE295" s="3396"/>
      <c r="AF295" s="3396"/>
      <c r="AG295" s="3396"/>
      <c r="AH295" s="3396"/>
      <c r="AI295" s="3396"/>
      <c r="AJ295" s="3396"/>
      <c r="AK295" s="3396"/>
      <c r="AL295" s="3396"/>
      <c r="AM295" s="3396"/>
      <c r="AN295" s="3396"/>
      <c r="AO295" s="3396"/>
      <c r="AP295" s="3396"/>
      <c r="AQ295" s="3396"/>
      <c r="AR295" s="3396"/>
      <c r="AS295" s="3396"/>
      <c r="AT295" s="3396"/>
      <c r="AU295" s="3396"/>
      <c r="AV295" s="3396"/>
      <c r="AW295" s="3396"/>
      <c r="AX295" s="3396"/>
      <c r="AY295" s="3396"/>
      <c r="AZ295" s="3396"/>
      <c r="BA295" s="3396"/>
      <c r="BB295" s="3396"/>
      <c r="BC295" s="3396"/>
      <c r="BD295" s="3396"/>
      <c r="BE295" s="3396"/>
      <c r="BF295" s="3396"/>
      <c r="BG295" s="3396"/>
      <c r="BH295" s="3396"/>
      <c r="BI295" s="3396"/>
      <c r="BJ295" s="3396"/>
      <c r="BK295" s="3396"/>
      <c r="BL295" s="3396"/>
      <c r="BM295" s="3396"/>
      <c r="BN295" s="3396"/>
    </row>
    <row r="296" s="687" customFormat="1" ht="15" hidden="1" customHeight="1" spans="1:66">
      <c r="A296" s="3407" t="s">
        <v>6027</v>
      </c>
      <c r="B296" s="3408"/>
      <c r="C296" s="3409"/>
      <c r="D296" s="3409"/>
      <c r="E296" s="3408"/>
      <c r="F296" s="3410"/>
      <c r="G296" s="3410"/>
      <c r="H296" s="3411">
        <f t="shared" si="6"/>
        <v>0</v>
      </c>
      <c r="I296" s="3396"/>
      <c r="J296" s="3396"/>
      <c r="K296" s="3396"/>
      <c r="L296" s="3396"/>
      <c r="M296" s="3396"/>
      <c r="N296" s="3396"/>
      <c r="O296" s="3396"/>
      <c r="P296" s="3396"/>
      <c r="Q296" s="3396"/>
      <c r="R296" s="3396"/>
      <c r="S296" s="3396"/>
      <c r="T296" s="3396"/>
      <c r="U296" s="3396"/>
      <c r="V296" s="3396"/>
      <c r="W296" s="3396"/>
      <c r="X296" s="3396"/>
      <c r="Y296" s="3396"/>
      <c r="Z296" s="3396"/>
      <c r="AA296" s="3396"/>
      <c r="AB296" s="3396"/>
      <c r="AC296" s="3396"/>
      <c r="AD296" s="3396"/>
      <c r="AE296" s="3396"/>
      <c r="AF296" s="3396"/>
      <c r="AG296" s="3396"/>
      <c r="AH296" s="3396"/>
      <c r="AI296" s="3396"/>
      <c r="AJ296" s="3396"/>
      <c r="AK296" s="3396"/>
      <c r="AL296" s="3396"/>
      <c r="AM296" s="3396"/>
      <c r="AN296" s="3396"/>
      <c r="AO296" s="3396"/>
      <c r="AP296" s="3396"/>
      <c r="AQ296" s="3396"/>
      <c r="AR296" s="3396"/>
      <c r="AS296" s="3396"/>
      <c r="AT296" s="3396"/>
      <c r="AU296" s="3396"/>
      <c r="AV296" s="3396"/>
      <c r="AW296" s="3396"/>
      <c r="AX296" s="3396"/>
      <c r="AY296" s="3396"/>
      <c r="AZ296" s="3396"/>
      <c r="BA296" s="3396"/>
      <c r="BB296" s="3396"/>
      <c r="BC296" s="3396"/>
      <c r="BD296" s="3396"/>
      <c r="BE296" s="3396"/>
      <c r="BF296" s="3396"/>
      <c r="BG296" s="3396"/>
      <c r="BH296" s="3396"/>
      <c r="BI296" s="3396"/>
      <c r="BJ296" s="3396"/>
      <c r="BK296" s="3396"/>
      <c r="BL296" s="3396"/>
      <c r="BM296" s="3396"/>
      <c r="BN296" s="3396"/>
    </row>
    <row r="297" s="687" customFormat="1" ht="15" hidden="1" customHeight="1" spans="1:66">
      <c r="A297" s="3407" t="s">
        <v>6028</v>
      </c>
      <c r="B297" s="3408"/>
      <c r="C297" s="3409"/>
      <c r="D297" s="3409"/>
      <c r="E297" s="3408"/>
      <c r="F297" s="3410"/>
      <c r="G297" s="3410"/>
      <c r="H297" s="3411">
        <f t="shared" si="6"/>
        <v>0</v>
      </c>
      <c r="I297" s="3396"/>
      <c r="J297" s="3396"/>
      <c r="K297" s="3396"/>
      <c r="L297" s="3396"/>
      <c r="M297" s="3396"/>
      <c r="N297" s="3396"/>
      <c r="O297" s="3396"/>
      <c r="P297" s="3396"/>
      <c r="Q297" s="3396"/>
      <c r="R297" s="3396"/>
      <c r="S297" s="3396"/>
      <c r="T297" s="3396"/>
      <c r="U297" s="3396"/>
      <c r="V297" s="3396"/>
      <c r="W297" s="3396"/>
      <c r="X297" s="3396"/>
      <c r="Y297" s="3396"/>
      <c r="Z297" s="3396"/>
      <c r="AA297" s="3396"/>
      <c r="AB297" s="3396"/>
      <c r="AC297" s="3396"/>
      <c r="AD297" s="3396"/>
      <c r="AE297" s="3396"/>
      <c r="AF297" s="3396"/>
      <c r="AG297" s="3396"/>
      <c r="AH297" s="3396"/>
      <c r="AI297" s="3396"/>
      <c r="AJ297" s="3396"/>
      <c r="AK297" s="3396"/>
      <c r="AL297" s="3396"/>
      <c r="AM297" s="3396"/>
      <c r="AN297" s="3396"/>
      <c r="AO297" s="3396"/>
      <c r="AP297" s="3396"/>
      <c r="AQ297" s="3396"/>
      <c r="AR297" s="3396"/>
      <c r="AS297" s="3396"/>
      <c r="AT297" s="3396"/>
      <c r="AU297" s="3396"/>
      <c r="AV297" s="3396"/>
      <c r="AW297" s="3396"/>
      <c r="AX297" s="3396"/>
      <c r="AY297" s="3396"/>
      <c r="AZ297" s="3396"/>
      <c r="BA297" s="3396"/>
      <c r="BB297" s="3396"/>
      <c r="BC297" s="3396"/>
      <c r="BD297" s="3396"/>
      <c r="BE297" s="3396"/>
      <c r="BF297" s="3396"/>
      <c r="BG297" s="3396"/>
      <c r="BH297" s="3396"/>
      <c r="BI297" s="3396"/>
      <c r="BJ297" s="3396"/>
      <c r="BK297" s="3396"/>
      <c r="BL297" s="3396"/>
      <c r="BM297" s="3396"/>
      <c r="BN297" s="3396"/>
    </row>
    <row r="298" s="687" customFormat="1" ht="15" hidden="1" customHeight="1" spans="1:66">
      <c r="A298" s="3407" t="s">
        <v>6029</v>
      </c>
      <c r="B298" s="3408"/>
      <c r="C298" s="3409"/>
      <c r="D298" s="3409"/>
      <c r="E298" s="3408"/>
      <c r="F298" s="3410"/>
      <c r="G298" s="3410"/>
      <c r="H298" s="3411">
        <f t="shared" si="6"/>
        <v>0</v>
      </c>
      <c r="I298" s="3396"/>
      <c r="J298" s="3396"/>
      <c r="K298" s="3396"/>
      <c r="L298" s="3396"/>
      <c r="M298" s="3396"/>
      <c r="N298" s="3396"/>
      <c r="O298" s="3396"/>
      <c r="P298" s="3396"/>
      <c r="Q298" s="3396"/>
      <c r="R298" s="3396"/>
      <c r="S298" s="3396"/>
      <c r="T298" s="3396"/>
      <c r="U298" s="3396"/>
      <c r="V298" s="3396"/>
      <c r="W298" s="3396"/>
      <c r="X298" s="3396"/>
      <c r="Y298" s="3396"/>
      <c r="Z298" s="3396"/>
      <c r="AA298" s="3396"/>
      <c r="AB298" s="3396"/>
      <c r="AC298" s="3396"/>
      <c r="AD298" s="3396"/>
      <c r="AE298" s="3396"/>
      <c r="AF298" s="3396"/>
      <c r="AG298" s="3396"/>
      <c r="AH298" s="3396"/>
      <c r="AI298" s="3396"/>
      <c r="AJ298" s="3396"/>
      <c r="AK298" s="3396"/>
      <c r="AL298" s="3396"/>
      <c r="AM298" s="3396"/>
      <c r="AN298" s="3396"/>
      <c r="AO298" s="3396"/>
      <c r="AP298" s="3396"/>
      <c r="AQ298" s="3396"/>
      <c r="AR298" s="3396"/>
      <c r="AS298" s="3396"/>
      <c r="AT298" s="3396"/>
      <c r="AU298" s="3396"/>
      <c r="AV298" s="3396"/>
      <c r="AW298" s="3396"/>
      <c r="AX298" s="3396"/>
      <c r="AY298" s="3396"/>
      <c r="AZ298" s="3396"/>
      <c r="BA298" s="3396"/>
      <c r="BB298" s="3396"/>
      <c r="BC298" s="3396"/>
      <c r="BD298" s="3396"/>
      <c r="BE298" s="3396"/>
      <c r="BF298" s="3396"/>
      <c r="BG298" s="3396"/>
      <c r="BH298" s="3396"/>
      <c r="BI298" s="3396"/>
      <c r="BJ298" s="3396"/>
      <c r="BK298" s="3396"/>
      <c r="BL298" s="3396"/>
      <c r="BM298" s="3396"/>
      <c r="BN298" s="3396"/>
    </row>
    <row r="299" s="687" customFormat="1" ht="15" hidden="1" customHeight="1" spans="1:66">
      <c r="A299" s="3407" t="s">
        <v>6030</v>
      </c>
      <c r="B299" s="3408"/>
      <c r="C299" s="3409"/>
      <c r="D299" s="3409"/>
      <c r="E299" s="3408"/>
      <c r="F299" s="3410"/>
      <c r="G299" s="3410"/>
      <c r="H299" s="3411">
        <f t="shared" si="6"/>
        <v>0</v>
      </c>
      <c r="I299" s="3396"/>
      <c r="J299" s="3396"/>
      <c r="K299" s="3396"/>
      <c r="L299" s="3396"/>
      <c r="M299" s="3396"/>
      <c r="N299" s="3396"/>
      <c r="O299" s="3396"/>
      <c r="P299" s="3396"/>
      <c r="Q299" s="3396"/>
      <c r="R299" s="3396"/>
      <c r="S299" s="3396"/>
      <c r="T299" s="3396"/>
      <c r="U299" s="3396"/>
      <c r="V299" s="3396"/>
      <c r="W299" s="3396"/>
      <c r="X299" s="3396"/>
      <c r="Y299" s="3396"/>
      <c r="Z299" s="3396"/>
      <c r="AA299" s="3396"/>
      <c r="AB299" s="3396"/>
      <c r="AC299" s="3396"/>
      <c r="AD299" s="3396"/>
      <c r="AE299" s="3396"/>
      <c r="AF299" s="3396"/>
      <c r="AG299" s="3396"/>
      <c r="AH299" s="3396"/>
      <c r="AI299" s="3396"/>
      <c r="AJ299" s="3396"/>
      <c r="AK299" s="3396"/>
      <c r="AL299" s="3396"/>
      <c r="AM299" s="3396"/>
      <c r="AN299" s="3396"/>
      <c r="AO299" s="3396"/>
      <c r="AP299" s="3396"/>
      <c r="AQ299" s="3396"/>
      <c r="AR299" s="3396"/>
      <c r="AS299" s="3396"/>
      <c r="AT299" s="3396"/>
      <c r="AU299" s="3396"/>
      <c r="AV299" s="3396"/>
      <c r="AW299" s="3396"/>
      <c r="AX299" s="3396"/>
      <c r="AY299" s="3396"/>
      <c r="AZ299" s="3396"/>
      <c r="BA299" s="3396"/>
      <c r="BB299" s="3396"/>
      <c r="BC299" s="3396"/>
      <c r="BD299" s="3396"/>
      <c r="BE299" s="3396"/>
      <c r="BF299" s="3396"/>
      <c r="BG299" s="3396"/>
      <c r="BH299" s="3396"/>
      <c r="BI299" s="3396"/>
      <c r="BJ299" s="3396"/>
      <c r="BK299" s="3396"/>
      <c r="BL299" s="3396"/>
      <c r="BM299" s="3396"/>
      <c r="BN299" s="3396"/>
    </row>
    <row r="300" s="687" customFormat="1" ht="15" hidden="1" customHeight="1" spans="1:66">
      <c r="A300" s="3407" t="s">
        <v>6031</v>
      </c>
      <c r="B300" s="3408"/>
      <c r="C300" s="3409"/>
      <c r="D300" s="3409"/>
      <c r="E300" s="3408"/>
      <c r="F300" s="3410"/>
      <c r="G300" s="3410"/>
      <c r="H300" s="3411">
        <f t="shared" si="6"/>
        <v>0</v>
      </c>
      <c r="I300" s="3396"/>
      <c r="J300" s="3396"/>
      <c r="K300" s="3396"/>
      <c r="L300" s="3396"/>
      <c r="M300" s="3396"/>
      <c r="N300" s="3396"/>
      <c r="O300" s="3396"/>
      <c r="P300" s="3396"/>
      <c r="Q300" s="3396"/>
      <c r="R300" s="3396"/>
      <c r="S300" s="3396"/>
      <c r="T300" s="3396"/>
      <c r="U300" s="3396"/>
      <c r="V300" s="3396"/>
      <c r="W300" s="3396"/>
      <c r="X300" s="3396"/>
      <c r="Y300" s="3396"/>
      <c r="Z300" s="3396"/>
      <c r="AA300" s="3396"/>
      <c r="AB300" s="3396"/>
      <c r="AC300" s="3396"/>
      <c r="AD300" s="3396"/>
      <c r="AE300" s="3396"/>
      <c r="AF300" s="3396"/>
      <c r="AG300" s="3396"/>
      <c r="AH300" s="3396"/>
      <c r="AI300" s="3396"/>
      <c r="AJ300" s="3396"/>
      <c r="AK300" s="3396"/>
      <c r="AL300" s="3396"/>
      <c r="AM300" s="3396"/>
      <c r="AN300" s="3396"/>
      <c r="AO300" s="3396"/>
      <c r="AP300" s="3396"/>
      <c r="AQ300" s="3396"/>
      <c r="AR300" s="3396"/>
      <c r="AS300" s="3396"/>
      <c r="AT300" s="3396"/>
      <c r="AU300" s="3396"/>
      <c r="AV300" s="3396"/>
      <c r="AW300" s="3396"/>
      <c r="AX300" s="3396"/>
      <c r="AY300" s="3396"/>
      <c r="AZ300" s="3396"/>
      <c r="BA300" s="3396"/>
      <c r="BB300" s="3396"/>
      <c r="BC300" s="3396"/>
      <c r="BD300" s="3396"/>
      <c r="BE300" s="3396"/>
      <c r="BF300" s="3396"/>
      <c r="BG300" s="3396"/>
      <c r="BH300" s="3396"/>
      <c r="BI300" s="3396"/>
      <c r="BJ300" s="3396"/>
      <c r="BK300" s="3396"/>
      <c r="BL300" s="3396"/>
      <c r="BM300" s="3396"/>
      <c r="BN300" s="3396"/>
    </row>
    <row r="301" s="687" customFormat="1" ht="15" hidden="1" customHeight="1" spans="1:66">
      <c r="A301" s="3407" t="s">
        <v>6032</v>
      </c>
      <c r="B301" s="3408"/>
      <c r="C301" s="3409"/>
      <c r="D301" s="3409"/>
      <c r="E301" s="3408"/>
      <c r="F301" s="3410"/>
      <c r="G301" s="3410"/>
      <c r="H301" s="3411">
        <f t="shared" si="6"/>
        <v>0</v>
      </c>
      <c r="I301" s="3396"/>
      <c r="J301" s="3396"/>
      <c r="K301" s="3396"/>
      <c r="L301" s="3396"/>
      <c r="M301" s="3396"/>
      <c r="N301" s="3396"/>
      <c r="O301" s="3396"/>
      <c r="P301" s="3396"/>
      <c r="Q301" s="3396"/>
      <c r="R301" s="3396"/>
      <c r="S301" s="3396"/>
      <c r="T301" s="3396"/>
      <c r="U301" s="3396"/>
      <c r="V301" s="3396"/>
      <c r="W301" s="3396"/>
      <c r="X301" s="3396"/>
      <c r="Y301" s="3396"/>
      <c r="Z301" s="3396"/>
      <c r="AA301" s="3396"/>
      <c r="AB301" s="3396"/>
      <c r="AC301" s="3396"/>
      <c r="AD301" s="3396"/>
      <c r="AE301" s="3396"/>
      <c r="AF301" s="3396"/>
      <c r="AG301" s="3396"/>
      <c r="AH301" s="3396"/>
      <c r="AI301" s="3396"/>
      <c r="AJ301" s="3396"/>
      <c r="AK301" s="3396"/>
      <c r="AL301" s="3396"/>
      <c r="AM301" s="3396"/>
      <c r="AN301" s="3396"/>
      <c r="AO301" s="3396"/>
      <c r="AP301" s="3396"/>
      <c r="AQ301" s="3396"/>
      <c r="AR301" s="3396"/>
      <c r="AS301" s="3396"/>
      <c r="AT301" s="3396"/>
      <c r="AU301" s="3396"/>
      <c r="AV301" s="3396"/>
      <c r="AW301" s="3396"/>
      <c r="AX301" s="3396"/>
      <c r="AY301" s="3396"/>
      <c r="AZ301" s="3396"/>
      <c r="BA301" s="3396"/>
      <c r="BB301" s="3396"/>
      <c r="BC301" s="3396"/>
      <c r="BD301" s="3396"/>
      <c r="BE301" s="3396"/>
      <c r="BF301" s="3396"/>
      <c r="BG301" s="3396"/>
      <c r="BH301" s="3396"/>
      <c r="BI301" s="3396"/>
      <c r="BJ301" s="3396"/>
      <c r="BK301" s="3396"/>
      <c r="BL301" s="3396"/>
      <c r="BM301" s="3396"/>
      <c r="BN301" s="3396"/>
    </row>
    <row r="302" s="687" customFormat="1" ht="15" hidden="1" customHeight="1" spans="1:66">
      <c r="A302" s="3407" t="s">
        <v>6033</v>
      </c>
      <c r="B302" s="3408"/>
      <c r="C302" s="3409"/>
      <c r="D302" s="3409"/>
      <c r="E302" s="3408"/>
      <c r="F302" s="3410"/>
      <c r="G302" s="3410"/>
      <c r="H302" s="3411">
        <f t="shared" si="6"/>
        <v>0</v>
      </c>
      <c r="I302" s="3396"/>
      <c r="J302" s="3396"/>
      <c r="K302" s="3396"/>
      <c r="L302" s="3396"/>
      <c r="M302" s="3396"/>
      <c r="N302" s="3396"/>
      <c r="O302" s="3396"/>
      <c r="P302" s="3396"/>
      <c r="Q302" s="3396"/>
      <c r="R302" s="3396"/>
      <c r="S302" s="3396"/>
      <c r="T302" s="3396"/>
      <c r="U302" s="3396"/>
      <c r="V302" s="3396"/>
      <c r="W302" s="3396"/>
      <c r="X302" s="3396"/>
      <c r="Y302" s="3396"/>
      <c r="Z302" s="3396"/>
      <c r="AA302" s="3396"/>
      <c r="AB302" s="3396"/>
      <c r="AC302" s="3396"/>
      <c r="AD302" s="3396"/>
      <c r="AE302" s="3396"/>
      <c r="AF302" s="3396"/>
      <c r="AG302" s="3396"/>
      <c r="AH302" s="3396"/>
      <c r="AI302" s="3396"/>
      <c r="AJ302" s="3396"/>
      <c r="AK302" s="3396"/>
      <c r="AL302" s="3396"/>
      <c r="AM302" s="3396"/>
      <c r="AN302" s="3396"/>
      <c r="AO302" s="3396"/>
      <c r="AP302" s="3396"/>
      <c r="AQ302" s="3396"/>
      <c r="AR302" s="3396"/>
      <c r="AS302" s="3396"/>
      <c r="AT302" s="3396"/>
      <c r="AU302" s="3396"/>
      <c r="AV302" s="3396"/>
      <c r="AW302" s="3396"/>
      <c r="AX302" s="3396"/>
      <c r="AY302" s="3396"/>
      <c r="AZ302" s="3396"/>
      <c r="BA302" s="3396"/>
      <c r="BB302" s="3396"/>
      <c r="BC302" s="3396"/>
      <c r="BD302" s="3396"/>
      <c r="BE302" s="3396"/>
      <c r="BF302" s="3396"/>
      <c r="BG302" s="3396"/>
      <c r="BH302" s="3396"/>
      <c r="BI302" s="3396"/>
      <c r="BJ302" s="3396"/>
      <c r="BK302" s="3396"/>
      <c r="BL302" s="3396"/>
      <c r="BM302" s="3396"/>
      <c r="BN302" s="3396"/>
    </row>
    <row r="303" s="687" customFormat="1" ht="15" hidden="1" customHeight="1" spans="1:66">
      <c r="A303" s="3407" t="s">
        <v>6034</v>
      </c>
      <c r="B303" s="3408"/>
      <c r="C303" s="3409"/>
      <c r="D303" s="3409"/>
      <c r="E303" s="3408"/>
      <c r="F303" s="3410"/>
      <c r="G303" s="3410"/>
      <c r="H303" s="3411">
        <f t="shared" si="6"/>
        <v>0</v>
      </c>
      <c r="I303" s="3396"/>
      <c r="J303" s="3396"/>
      <c r="K303" s="3396"/>
      <c r="L303" s="3396"/>
      <c r="M303" s="3396"/>
      <c r="N303" s="3396"/>
      <c r="O303" s="3396"/>
      <c r="P303" s="3396"/>
      <c r="Q303" s="3396"/>
      <c r="R303" s="3396"/>
      <c r="S303" s="3396"/>
      <c r="T303" s="3396"/>
      <c r="U303" s="3396"/>
      <c r="V303" s="3396"/>
      <c r="W303" s="3396"/>
      <c r="X303" s="3396"/>
      <c r="Y303" s="3396"/>
      <c r="Z303" s="3396"/>
      <c r="AA303" s="3396"/>
      <c r="AB303" s="3396"/>
      <c r="AC303" s="3396"/>
      <c r="AD303" s="3396"/>
      <c r="AE303" s="3396"/>
      <c r="AF303" s="3396"/>
      <c r="AG303" s="3396"/>
      <c r="AH303" s="3396"/>
      <c r="AI303" s="3396"/>
      <c r="AJ303" s="3396"/>
      <c r="AK303" s="3396"/>
      <c r="AL303" s="3396"/>
      <c r="AM303" s="3396"/>
      <c r="AN303" s="3396"/>
      <c r="AO303" s="3396"/>
      <c r="AP303" s="3396"/>
      <c r="AQ303" s="3396"/>
      <c r="AR303" s="3396"/>
      <c r="AS303" s="3396"/>
      <c r="AT303" s="3396"/>
      <c r="AU303" s="3396"/>
      <c r="AV303" s="3396"/>
      <c r="AW303" s="3396"/>
      <c r="AX303" s="3396"/>
      <c r="AY303" s="3396"/>
      <c r="AZ303" s="3396"/>
      <c r="BA303" s="3396"/>
      <c r="BB303" s="3396"/>
      <c r="BC303" s="3396"/>
      <c r="BD303" s="3396"/>
      <c r="BE303" s="3396"/>
      <c r="BF303" s="3396"/>
      <c r="BG303" s="3396"/>
      <c r="BH303" s="3396"/>
      <c r="BI303" s="3396"/>
      <c r="BJ303" s="3396"/>
      <c r="BK303" s="3396"/>
      <c r="BL303" s="3396"/>
      <c r="BM303" s="3396"/>
      <c r="BN303" s="3396"/>
    </row>
    <row r="304" s="687" customFormat="1" ht="15" hidden="1" customHeight="1" spans="1:66">
      <c r="A304" s="3407" t="s">
        <v>6035</v>
      </c>
      <c r="B304" s="3408"/>
      <c r="C304" s="3409"/>
      <c r="D304" s="3409"/>
      <c r="E304" s="3408"/>
      <c r="F304" s="3410"/>
      <c r="G304" s="3410"/>
      <c r="H304" s="3411">
        <f t="shared" si="6"/>
        <v>0</v>
      </c>
      <c r="I304" s="3396"/>
      <c r="J304" s="3396"/>
      <c r="K304" s="3396"/>
      <c r="L304" s="3396"/>
      <c r="M304" s="3396"/>
      <c r="N304" s="3396"/>
      <c r="O304" s="3396"/>
      <c r="P304" s="3396"/>
      <c r="Q304" s="3396"/>
      <c r="R304" s="3396"/>
      <c r="S304" s="3396"/>
      <c r="T304" s="3396"/>
      <c r="U304" s="3396"/>
      <c r="V304" s="3396"/>
      <c r="W304" s="3396"/>
      <c r="X304" s="3396"/>
      <c r="Y304" s="3396"/>
      <c r="Z304" s="3396"/>
      <c r="AA304" s="3396"/>
      <c r="AB304" s="3396"/>
      <c r="AC304" s="3396"/>
      <c r="AD304" s="3396"/>
      <c r="AE304" s="3396"/>
      <c r="AF304" s="3396"/>
      <c r="AG304" s="3396"/>
      <c r="AH304" s="3396"/>
      <c r="AI304" s="3396"/>
      <c r="AJ304" s="3396"/>
      <c r="AK304" s="3396"/>
      <c r="AL304" s="3396"/>
      <c r="AM304" s="3396"/>
      <c r="AN304" s="3396"/>
      <c r="AO304" s="3396"/>
      <c r="AP304" s="3396"/>
      <c r="AQ304" s="3396"/>
      <c r="AR304" s="3396"/>
      <c r="AS304" s="3396"/>
      <c r="AT304" s="3396"/>
      <c r="AU304" s="3396"/>
      <c r="AV304" s="3396"/>
      <c r="AW304" s="3396"/>
      <c r="AX304" s="3396"/>
      <c r="AY304" s="3396"/>
      <c r="AZ304" s="3396"/>
      <c r="BA304" s="3396"/>
      <c r="BB304" s="3396"/>
      <c r="BC304" s="3396"/>
      <c r="BD304" s="3396"/>
      <c r="BE304" s="3396"/>
      <c r="BF304" s="3396"/>
      <c r="BG304" s="3396"/>
      <c r="BH304" s="3396"/>
      <c r="BI304" s="3396"/>
      <c r="BJ304" s="3396"/>
      <c r="BK304" s="3396"/>
      <c r="BL304" s="3396"/>
      <c r="BM304" s="3396"/>
      <c r="BN304" s="3396"/>
    </row>
    <row r="305" s="687" customFormat="1" ht="15" hidden="1" customHeight="1" spans="1:66">
      <c r="A305" s="3407" t="s">
        <v>6036</v>
      </c>
      <c r="B305" s="3408"/>
      <c r="C305" s="3409"/>
      <c r="D305" s="3409"/>
      <c r="E305" s="3408"/>
      <c r="F305" s="3410"/>
      <c r="G305" s="3410"/>
      <c r="H305" s="3411">
        <f t="shared" si="6"/>
        <v>0</v>
      </c>
      <c r="I305" s="3396"/>
      <c r="J305" s="3396"/>
      <c r="K305" s="3396"/>
      <c r="L305" s="3396"/>
      <c r="M305" s="3396"/>
      <c r="N305" s="3396"/>
      <c r="O305" s="3396"/>
      <c r="P305" s="3396"/>
      <c r="Q305" s="3396"/>
      <c r="R305" s="3396"/>
      <c r="S305" s="3396"/>
      <c r="T305" s="3396"/>
      <c r="U305" s="3396"/>
      <c r="V305" s="3396"/>
      <c r="W305" s="3396"/>
      <c r="X305" s="3396"/>
      <c r="Y305" s="3396"/>
      <c r="Z305" s="3396"/>
      <c r="AA305" s="3396"/>
      <c r="AB305" s="3396"/>
      <c r="AC305" s="3396"/>
      <c r="AD305" s="3396"/>
      <c r="AE305" s="3396"/>
      <c r="AF305" s="3396"/>
      <c r="AG305" s="3396"/>
      <c r="AH305" s="3396"/>
      <c r="AI305" s="3396"/>
      <c r="AJ305" s="3396"/>
      <c r="AK305" s="3396"/>
      <c r="AL305" s="3396"/>
      <c r="AM305" s="3396"/>
      <c r="AN305" s="3396"/>
      <c r="AO305" s="3396"/>
      <c r="AP305" s="3396"/>
      <c r="AQ305" s="3396"/>
      <c r="AR305" s="3396"/>
      <c r="AS305" s="3396"/>
      <c r="AT305" s="3396"/>
      <c r="AU305" s="3396"/>
      <c r="AV305" s="3396"/>
      <c r="AW305" s="3396"/>
      <c r="AX305" s="3396"/>
      <c r="AY305" s="3396"/>
      <c r="AZ305" s="3396"/>
      <c r="BA305" s="3396"/>
      <c r="BB305" s="3396"/>
      <c r="BC305" s="3396"/>
      <c r="BD305" s="3396"/>
      <c r="BE305" s="3396"/>
      <c r="BF305" s="3396"/>
      <c r="BG305" s="3396"/>
      <c r="BH305" s="3396"/>
      <c r="BI305" s="3396"/>
      <c r="BJ305" s="3396"/>
      <c r="BK305" s="3396"/>
      <c r="BL305" s="3396"/>
      <c r="BM305" s="3396"/>
      <c r="BN305" s="3396"/>
    </row>
    <row r="306" s="687" customFormat="1" ht="15" hidden="1" customHeight="1" spans="1:66">
      <c r="A306" s="3407" t="s">
        <v>6037</v>
      </c>
      <c r="B306" s="3408"/>
      <c r="C306" s="3409"/>
      <c r="D306" s="3409"/>
      <c r="E306" s="3408"/>
      <c r="F306" s="3410"/>
      <c r="G306" s="3410"/>
      <c r="H306" s="3411">
        <f t="shared" si="6"/>
        <v>0</v>
      </c>
      <c r="I306" s="3396"/>
      <c r="J306" s="3396"/>
      <c r="K306" s="3396"/>
      <c r="L306" s="3396"/>
      <c r="M306" s="3396"/>
      <c r="N306" s="3396"/>
      <c r="O306" s="3396"/>
      <c r="P306" s="3396"/>
      <c r="Q306" s="3396"/>
      <c r="R306" s="3396"/>
      <c r="S306" s="3396"/>
      <c r="T306" s="3396"/>
      <c r="U306" s="3396"/>
      <c r="V306" s="3396"/>
      <c r="W306" s="3396"/>
      <c r="X306" s="3396"/>
      <c r="Y306" s="3396"/>
      <c r="Z306" s="3396"/>
      <c r="AA306" s="3396"/>
      <c r="AB306" s="3396"/>
      <c r="AC306" s="3396"/>
      <c r="AD306" s="3396"/>
      <c r="AE306" s="3396"/>
      <c r="AF306" s="3396"/>
      <c r="AG306" s="3396"/>
      <c r="AH306" s="3396"/>
      <c r="AI306" s="3396"/>
      <c r="AJ306" s="3396"/>
      <c r="AK306" s="3396"/>
      <c r="AL306" s="3396"/>
      <c r="AM306" s="3396"/>
      <c r="AN306" s="3396"/>
      <c r="AO306" s="3396"/>
      <c r="AP306" s="3396"/>
      <c r="AQ306" s="3396"/>
      <c r="AR306" s="3396"/>
      <c r="AS306" s="3396"/>
      <c r="AT306" s="3396"/>
      <c r="AU306" s="3396"/>
      <c r="AV306" s="3396"/>
      <c r="AW306" s="3396"/>
      <c r="AX306" s="3396"/>
      <c r="AY306" s="3396"/>
      <c r="AZ306" s="3396"/>
      <c r="BA306" s="3396"/>
      <c r="BB306" s="3396"/>
      <c r="BC306" s="3396"/>
      <c r="BD306" s="3396"/>
      <c r="BE306" s="3396"/>
      <c r="BF306" s="3396"/>
      <c r="BG306" s="3396"/>
      <c r="BH306" s="3396"/>
      <c r="BI306" s="3396"/>
      <c r="BJ306" s="3396"/>
      <c r="BK306" s="3396"/>
      <c r="BL306" s="3396"/>
      <c r="BM306" s="3396"/>
      <c r="BN306" s="3396"/>
    </row>
    <row r="307" s="687" customFormat="1" ht="15" hidden="1" customHeight="1" spans="1:66">
      <c r="A307" s="3407" t="s">
        <v>6038</v>
      </c>
      <c r="B307" s="3408"/>
      <c r="C307" s="3409"/>
      <c r="D307" s="3409"/>
      <c r="E307" s="3408"/>
      <c r="F307" s="3410"/>
      <c r="G307" s="3410"/>
      <c r="H307" s="3411">
        <f t="shared" si="6"/>
        <v>0</v>
      </c>
      <c r="I307" s="3396"/>
      <c r="J307" s="3396"/>
      <c r="K307" s="3396"/>
      <c r="L307" s="3396"/>
      <c r="M307" s="3396"/>
      <c r="N307" s="3396"/>
      <c r="O307" s="3396"/>
      <c r="P307" s="3396"/>
      <c r="Q307" s="3396"/>
      <c r="R307" s="3396"/>
      <c r="S307" s="3396"/>
      <c r="T307" s="3396"/>
      <c r="U307" s="3396"/>
      <c r="V307" s="3396"/>
      <c r="W307" s="3396"/>
      <c r="X307" s="3396"/>
      <c r="Y307" s="3396"/>
      <c r="Z307" s="3396"/>
      <c r="AA307" s="3396"/>
      <c r="AB307" s="3396"/>
      <c r="AC307" s="3396"/>
      <c r="AD307" s="3396"/>
      <c r="AE307" s="3396"/>
      <c r="AF307" s="3396"/>
      <c r="AG307" s="3396"/>
      <c r="AH307" s="3396"/>
      <c r="AI307" s="3396"/>
      <c r="AJ307" s="3396"/>
      <c r="AK307" s="3396"/>
      <c r="AL307" s="3396"/>
      <c r="AM307" s="3396"/>
      <c r="AN307" s="3396"/>
      <c r="AO307" s="3396"/>
      <c r="AP307" s="3396"/>
      <c r="AQ307" s="3396"/>
      <c r="AR307" s="3396"/>
      <c r="AS307" s="3396"/>
      <c r="AT307" s="3396"/>
      <c r="AU307" s="3396"/>
      <c r="AV307" s="3396"/>
      <c r="AW307" s="3396"/>
      <c r="AX307" s="3396"/>
      <c r="AY307" s="3396"/>
      <c r="AZ307" s="3396"/>
      <c r="BA307" s="3396"/>
      <c r="BB307" s="3396"/>
      <c r="BC307" s="3396"/>
      <c r="BD307" s="3396"/>
      <c r="BE307" s="3396"/>
      <c r="BF307" s="3396"/>
      <c r="BG307" s="3396"/>
      <c r="BH307" s="3396"/>
      <c r="BI307" s="3396"/>
      <c r="BJ307" s="3396"/>
      <c r="BK307" s="3396"/>
      <c r="BL307" s="3396"/>
      <c r="BM307" s="3396"/>
      <c r="BN307" s="3396"/>
    </row>
    <row r="308" s="687" customFormat="1" ht="15" hidden="1" customHeight="1" spans="1:66">
      <c r="A308" s="3407" t="s">
        <v>6379</v>
      </c>
      <c r="B308" s="3408"/>
      <c r="C308" s="3409"/>
      <c r="D308" s="3409"/>
      <c r="E308" s="3408"/>
      <c r="F308" s="3410"/>
      <c r="G308" s="3410"/>
      <c r="H308" s="3411">
        <f t="shared" si="6"/>
        <v>0</v>
      </c>
      <c r="I308" s="3396"/>
      <c r="J308" s="3396"/>
      <c r="K308" s="3396"/>
      <c r="L308" s="3396"/>
      <c r="M308" s="3396"/>
      <c r="N308" s="3396"/>
      <c r="O308" s="3396"/>
      <c r="P308" s="3396"/>
      <c r="Q308" s="3396"/>
      <c r="R308" s="3396"/>
      <c r="S308" s="3396"/>
      <c r="T308" s="3396"/>
      <c r="U308" s="3396"/>
      <c r="V308" s="3396"/>
      <c r="W308" s="3396"/>
      <c r="X308" s="3396"/>
      <c r="Y308" s="3396"/>
      <c r="Z308" s="3396"/>
      <c r="AA308" s="3396"/>
      <c r="AB308" s="3396"/>
      <c r="AC308" s="3396"/>
      <c r="AD308" s="3396"/>
      <c r="AE308" s="3396"/>
      <c r="AF308" s="3396"/>
      <c r="AG308" s="3396"/>
      <c r="AH308" s="3396"/>
      <c r="AI308" s="3396"/>
      <c r="AJ308" s="3396"/>
      <c r="AK308" s="3396"/>
      <c r="AL308" s="3396"/>
      <c r="AM308" s="3396"/>
      <c r="AN308" s="3396"/>
      <c r="AO308" s="3396"/>
      <c r="AP308" s="3396"/>
      <c r="AQ308" s="3396"/>
      <c r="AR308" s="3396"/>
      <c r="AS308" s="3396"/>
      <c r="AT308" s="3396"/>
      <c r="AU308" s="3396"/>
      <c r="AV308" s="3396"/>
      <c r="AW308" s="3396"/>
      <c r="AX308" s="3396"/>
      <c r="AY308" s="3396"/>
      <c r="AZ308" s="3396"/>
      <c r="BA308" s="3396"/>
      <c r="BB308" s="3396"/>
      <c r="BC308" s="3396"/>
      <c r="BD308" s="3396"/>
      <c r="BE308" s="3396"/>
      <c r="BF308" s="3396"/>
      <c r="BG308" s="3396"/>
      <c r="BH308" s="3396"/>
      <c r="BI308" s="3396"/>
      <c r="BJ308" s="3396"/>
      <c r="BK308" s="3396"/>
      <c r="BL308" s="3396"/>
      <c r="BM308" s="3396"/>
      <c r="BN308" s="3396"/>
    </row>
    <row r="309" s="687" customFormat="1" ht="15" hidden="1" customHeight="1" spans="1:66">
      <c r="A309" s="3407" t="s">
        <v>6380</v>
      </c>
      <c r="B309" s="3408"/>
      <c r="C309" s="3409"/>
      <c r="D309" s="3409"/>
      <c r="E309" s="3408"/>
      <c r="F309" s="3410"/>
      <c r="G309" s="3410"/>
      <c r="H309" s="3411">
        <f t="shared" si="6"/>
        <v>0</v>
      </c>
      <c r="I309" s="3396"/>
      <c r="J309" s="3396"/>
      <c r="K309" s="3396"/>
      <c r="L309" s="3396"/>
      <c r="M309" s="3396"/>
      <c r="N309" s="3396"/>
      <c r="O309" s="3396"/>
      <c r="P309" s="3396"/>
      <c r="Q309" s="3396"/>
      <c r="R309" s="3396"/>
      <c r="S309" s="3396"/>
      <c r="T309" s="3396"/>
      <c r="U309" s="3396"/>
      <c r="V309" s="3396"/>
      <c r="W309" s="3396"/>
      <c r="X309" s="3396"/>
      <c r="Y309" s="3396"/>
      <c r="Z309" s="3396"/>
      <c r="AA309" s="3396"/>
      <c r="AB309" s="3396"/>
      <c r="AC309" s="3396"/>
      <c r="AD309" s="3396"/>
      <c r="AE309" s="3396"/>
      <c r="AF309" s="3396"/>
      <c r="AG309" s="3396"/>
      <c r="AH309" s="3396"/>
      <c r="AI309" s="3396"/>
      <c r="AJ309" s="3396"/>
      <c r="AK309" s="3396"/>
      <c r="AL309" s="3396"/>
      <c r="AM309" s="3396"/>
      <c r="AN309" s="3396"/>
      <c r="AO309" s="3396"/>
      <c r="AP309" s="3396"/>
      <c r="AQ309" s="3396"/>
      <c r="AR309" s="3396"/>
      <c r="AS309" s="3396"/>
      <c r="AT309" s="3396"/>
      <c r="AU309" s="3396"/>
      <c r="AV309" s="3396"/>
      <c r="AW309" s="3396"/>
      <c r="AX309" s="3396"/>
      <c r="AY309" s="3396"/>
      <c r="AZ309" s="3396"/>
      <c r="BA309" s="3396"/>
      <c r="BB309" s="3396"/>
      <c r="BC309" s="3396"/>
      <c r="BD309" s="3396"/>
      <c r="BE309" s="3396"/>
      <c r="BF309" s="3396"/>
      <c r="BG309" s="3396"/>
      <c r="BH309" s="3396"/>
      <c r="BI309" s="3396"/>
      <c r="BJ309" s="3396"/>
      <c r="BK309" s="3396"/>
      <c r="BL309" s="3396"/>
      <c r="BM309" s="3396"/>
      <c r="BN309" s="3396"/>
    </row>
    <row r="310" s="687" customFormat="1" ht="15" hidden="1" customHeight="1" spans="1:66">
      <c r="A310" s="3407" t="s">
        <v>6381</v>
      </c>
      <c r="B310" s="3408"/>
      <c r="C310" s="3409"/>
      <c r="D310" s="3409"/>
      <c r="E310" s="3408"/>
      <c r="F310" s="3410"/>
      <c r="G310" s="3410"/>
      <c r="H310" s="3411">
        <f t="shared" si="6"/>
        <v>0</v>
      </c>
      <c r="I310" s="3396"/>
      <c r="J310" s="3396"/>
      <c r="K310" s="3396"/>
      <c r="L310" s="3396"/>
      <c r="M310" s="3396"/>
      <c r="N310" s="3396"/>
      <c r="O310" s="3396"/>
      <c r="P310" s="3396"/>
      <c r="Q310" s="3396"/>
      <c r="R310" s="3396"/>
      <c r="S310" s="3396"/>
      <c r="T310" s="3396"/>
      <c r="U310" s="3396"/>
      <c r="V310" s="3396"/>
      <c r="W310" s="3396"/>
      <c r="X310" s="3396"/>
      <c r="Y310" s="3396"/>
      <c r="Z310" s="3396"/>
      <c r="AA310" s="3396"/>
      <c r="AB310" s="3396"/>
      <c r="AC310" s="3396"/>
      <c r="AD310" s="3396"/>
      <c r="AE310" s="3396"/>
      <c r="AF310" s="3396"/>
      <c r="AG310" s="3396"/>
      <c r="AH310" s="3396"/>
      <c r="AI310" s="3396"/>
      <c r="AJ310" s="3396"/>
      <c r="AK310" s="3396"/>
      <c r="AL310" s="3396"/>
      <c r="AM310" s="3396"/>
      <c r="AN310" s="3396"/>
      <c r="AO310" s="3396"/>
      <c r="AP310" s="3396"/>
      <c r="AQ310" s="3396"/>
      <c r="AR310" s="3396"/>
      <c r="AS310" s="3396"/>
      <c r="AT310" s="3396"/>
      <c r="AU310" s="3396"/>
      <c r="AV310" s="3396"/>
      <c r="AW310" s="3396"/>
      <c r="AX310" s="3396"/>
      <c r="AY310" s="3396"/>
      <c r="AZ310" s="3396"/>
      <c r="BA310" s="3396"/>
      <c r="BB310" s="3396"/>
      <c r="BC310" s="3396"/>
      <c r="BD310" s="3396"/>
      <c r="BE310" s="3396"/>
      <c r="BF310" s="3396"/>
      <c r="BG310" s="3396"/>
      <c r="BH310" s="3396"/>
      <c r="BI310" s="3396"/>
      <c r="BJ310" s="3396"/>
      <c r="BK310" s="3396"/>
      <c r="BL310" s="3396"/>
      <c r="BM310" s="3396"/>
      <c r="BN310" s="3396"/>
    </row>
    <row r="311" s="687" customFormat="1" ht="15" hidden="1" customHeight="1" spans="1:66">
      <c r="A311" s="3407" t="s">
        <v>6382</v>
      </c>
      <c r="B311" s="3408"/>
      <c r="C311" s="3409"/>
      <c r="D311" s="3409"/>
      <c r="E311" s="3408"/>
      <c r="F311" s="3410"/>
      <c r="G311" s="3410"/>
      <c r="H311" s="3411">
        <f t="shared" si="6"/>
        <v>0</v>
      </c>
      <c r="I311" s="3396"/>
      <c r="J311" s="3396"/>
      <c r="K311" s="3396"/>
      <c r="L311" s="3396"/>
      <c r="M311" s="3396"/>
      <c r="N311" s="3396"/>
      <c r="O311" s="3396"/>
      <c r="P311" s="3396"/>
      <c r="Q311" s="3396"/>
      <c r="R311" s="3396"/>
      <c r="S311" s="3396"/>
      <c r="T311" s="3396"/>
      <c r="U311" s="3396"/>
      <c r="V311" s="3396"/>
      <c r="W311" s="3396"/>
      <c r="X311" s="3396"/>
      <c r="Y311" s="3396"/>
      <c r="Z311" s="3396"/>
      <c r="AA311" s="3396"/>
      <c r="AB311" s="3396"/>
      <c r="AC311" s="3396"/>
      <c r="AD311" s="3396"/>
      <c r="AE311" s="3396"/>
      <c r="AF311" s="3396"/>
      <c r="AG311" s="3396"/>
      <c r="AH311" s="3396"/>
      <c r="AI311" s="3396"/>
      <c r="AJ311" s="3396"/>
      <c r="AK311" s="3396"/>
      <c r="AL311" s="3396"/>
      <c r="AM311" s="3396"/>
      <c r="AN311" s="3396"/>
      <c r="AO311" s="3396"/>
      <c r="AP311" s="3396"/>
      <c r="AQ311" s="3396"/>
      <c r="AR311" s="3396"/>
      <c r="AS311" s="3396"/>
      <c r="AT311" s="3396"/>
      <c r="AU311" s="3396"/>
      <c r="AV311" s="3396"/>
      <c r="AW311" s="3396"/>
      <c r="AX311" s="3396"/>
      <c r="AY311" s="3396"/>
      <c r="AZ311" s="3396"/>
      <c r="BA311" s="3396"/>
      <c r="BB311" s="3396"/>
      <c r="BC311" s="3396"/>
      <c r="BD311" s="3396"/>
      <c r="BE311" s="3396"/>
      <c r="BF311" s="3396"/>
      <c r="BG311" s="3396"/>
      <c r="BH311" s="3396"/>
      <c r="BI311" s="3396"/>
      <c r="BJ311" s="3396"/>
      <c r="BK311" s="3396"/>
      <c r="BL311" s="3396"/>
      <c r="BM311" s="3396"/>
      <c r="BN311" s="3396"/>
    </row>
    <row r="312" s="687" customFormat="1" ht="15" hidden="1" customHeight="1" spans="1:66">
      <c r="A312" s="3407" t="s">
        <v>6383</v>
      </c>
      <c r="B312" s="3408"/>
      <c r="C312" s="3409"/>
      <c r="D312" s="3409"/>
      <c r="E312" s="3408"/>
      <c r="F312" s="3410"/>
      <c r="G312" s="3410"/>
      <c r="H312" s="3411">
        <f t="shared" si="6"/>
        <v>0</v>
      </c>
      <c r="I312" s="3396"/>
      <c r="J312" s="3396"/>
      <c r="K312" s="3396"/>
      <c r="L312" s="3396"/>
      <c r="M312" s="3396"/>
      <c r="N312" s="3396"/>
      <c r="O312" s="3396"/>
      <c r="P312" s="3396"/>
      <c r="Q312" s="3396"/>
      <c r="R312" s="3396"/>
      <c r="S312" s="3396"/>
      <c r="T312" s="3396"/>
      <c r="U312" s="3396"/>
      <c r="V312" s="3396"/>
      <c r="W312" s="3396"/>
      <c r="X312" s="3396"/>
      <c r="Y312" s="3396"/>
      <c r="Z312" s="3396"/>
      <c r="AA312" s="3396"/>
      <c r="AB312" s="3396"/>
      <c r="AC312" s="3396"/>
      <c r="AD312" s="3396"/>
      <c r="AE312" s="3396"/>
      <c r="AF312" s="3396"/>
      <c r="AG312" s="3396"/>
      <c r="AH312" s="3396"/>
      <c r="AI312" s="3396"/>
      <c r="AJ312" s="3396"/>
      <c r="AK312" s="3396"/>
      <c r="AL312" s="3396"/>
      <c r="AM312" s="3396"/>
      <c r="AN312" s="3396"/>
      <c r="AO312" s="3396"/>
      <c r="AP312" s="3396"/>
      <c r="AQ312" s="3396"/>
      <c r="AR312" s="3396"/>
      <c r="AS312" s="3396"/>
      <c r="AT312" s="3396"/>
      <c r="AU312" s="3396"/>
      <c r="AV312" s="3396"/>
      <c r="AW312" s="3396"/>
      <c r="AX312" s="3396"/>
      <c r="AY312" s="3396"/>
      <c r="AZ312" s="3396"/>
      <c r="BA312" s="3396"/>
      <c r="BB312" s="3396"/>
      <c r="BC312" s="3396"/>
      <c r="BD312" s="3396"/>
      <c r="BE312" s="3396"/>
      <c r="BF312" s="3396"/>
      <c r="BG312" s="3396"/>
      <c r="BH312" s="3396"/>
      <c r="BI312" s="3396"/>
      <c r="BJ312" s="3396"/>
      <c r="BK312" s="3396"/>
      <c r="BL312" s="3396"/>
      <c r="BM312" s="3396"/>
      <c r="BN312" s="3396"/>
    </row>
    <row r="313" s="687" customFormat="1" ht="15" hidden="1" customHeight="1" spans="1:66">
      <c r="A313" s="3407" t="s">
        <v>6384</v>
      </c>
      <c r="B313" s="3408"/>
      <c r="C313" s="3409"/>
      <c r="D313" s="3409"/>
      <c r="E313" s="3408"/>
      <c r="F313" s="3410"/>
      <c r="G313" s="3410"/>
      <c r="H313" s="3411">
        <f t="shared" si="6"/>
        <v>0</v>
      </c>
      <c r="I313" s="3396"/>
      <c r="J313" s="3396"/>
      <c r="K313" s="3396"/>
      <c r="L313" s="3396"/>
      <c r="M313" s="3396"/>
      <c r="N313" s="3396"/>
      <c r="O313" s="3396"/>
      <c r="P313" s="3396"/>
      <c r="Q313" s="3396"/>
      <c r="R313" s="3396"/>
      <c r="S313" s="3396"/>
      <c r="T313" s="3396"/>
      <c r="U313" s="3396"/>
      <c r="V313" s="3396"/>
      <c r="W313" s="3396"/>
      <c r="X313" s="3396"/>
      <c r="Y313" s="3396"/>
      <c r="Z313" s="3396"/>
      <c r="AA313" s="3396"/>
      <c r="AB313" s="3396"/>
      <c r="AC313" s="3396"/>
      <c r="AD313" s="3396"/>
      <c r="AE313" s="3396"/>
      <c r="AF313" s="3396"/>
      <c r="AG313" s="3396"/>
      <c r="AH313" s="3396"/>
      <c r="AI313" s="3396"/>
      <c r="AJ313" s="3396"/>
      <c r="AK313" s="3396"/>
      <c r="AL313" s="3396"/>
      <c r="AM313" s="3396"/>
      <c r="AN313" s="3396"/>
      <c r="AO313" s="3396"/>
      <c r="AP313" s="3396"/>
      <c r="AQ313" s="3396"/>
      <c r="AR313" s="3396"/>
      <c r="AS313" s="3396"/>
      <c r="AT313" s="3396"/>
      <c r="AU313" s="3396"/>
      <c r="AV313" s="3396"/>
      <c r="AW313" s="3396"/>
      <c r="AX313" s="3396"/>
      <c r="AY313" s="3396"/>
      <c r="AZ313" s="3396"/>
      <c r="BA313" s="3396"/>
      <c r="BB313" s="3396"/>
      <c r="BC313" s="3396"/>
      <c r="BD313" s="3396"/>
      <c r="BE313" s="3396"/>
      <c r="BF313" s="3396"/>
      <c r="BG313" s="3396"/>
      <c r="BH313" s="3396"/>
      <c r="BI313" s="3396"/>
      <c r="BJ313" s="3396"/>
      <c r="BK313" s="3396"/>
      <c r="BL313" s="3396"/>
      <c r="BM313" s="3396"/>
      <c r="BN313" s="3396"/>
    </row>
    <row r="314" s="687" customFormat="1" ht="15" hidden="1" customHeight="1" spans="1:66">
      <c r="A314" s="3407" t="s">
        <v>6385</v>
      </c>
      <c r="B314" s="3408"/>
      <c r="C314" s="3409"/>
      <c r="D314" s="3409"/>
      <c r="E314" s="3408"/>
      <c r="F314" s="3410"/>
      <c r="G314" s="3410"/>
      <c r="H314" s="3411">
        <f t="shared" si="6"/>
        <v>0</v>
      </c>
      <c r="I314" s="3396"/>
      <c r="J314" s="3396"/>
      <c r="K314" s="3396"/>
      <c r="L314" s="3396"/>
      <c r="M314" s="3396"/>
      <c r="N314" s="3396"/>
      <c r="O314" s="3396"/>
      <c r="P314" s="3396"/>
      <c r="Q314" s="3396"/>
      <c r="R314" s="3396"/>
      <c r="S314" s="3396"/>
      <c r="T314" s="3396"/>
      <c r="U314" s="3396"/>
      <c r="V314" s="3396"/>
      <c r="W314" s="3396"/>
      <c r="X314" s="3396"/>
      <c r="Y314" s="3396"/>
      <c r="Z314" s="3396"/>
      <c r="AA314" s="3396"/>
      <c r="AB314" s="3396"/>
      <c r="AC314" s="3396"/>
      <c r="AD314" s="3396"/>
      <c r="AE314" s="3396"/>
      <c r="AF314" s="3396"/>
      <c r="AG314" s="3396"/>
      <c r="AH314" s="3396"/>
      <c r="AI314" s="3396"/>
      <c r="AJ314" s="3396"/>
      <c r="AK314" s="3396"/>
      <c r="AL314" s="3396"/>
      <c r="AM314" s="3396"/>
      <c r="AN314" s="3396"/>
      <c r="AO314" s="3396"/>
      <c r="AP314" s="3396"/>
      <c r="AQ314" s="3396"/>
      <c r="AR314" s="3396"/>
      <c r="AS314" s="3396"/>
      <c r="AT314" s="3396"/>
      <c r="AU314" s="3396"/>
      <c r="AV314" s="3396"/>
      <c r="AW314" s="3396"/>
      <c r="AX314" s="3396"/>
      <c r="AY314" s="3396"/>
      <c r="AZ314" s="3396"/>
      <c r="BA314" s="3396"/>
      <c r="BB314" s="3396"/>
      <c r="BC314" s="3396"/>
      <c r="BD314" s="3396"/>
      <c r="BE314" s="3396"/>
      <c r="BF314" s="3396"/>
      <c r="BG314" s="3396"/>
      <c r="BH314" s="3396"/>
      <c r="BI314" s="3396"/>
      <c r="BJ314" s="3396"/>
      <c r="BK314" s="3396"/>
      <c r="BL314" s="3396"/>
      <c r="BM314" s="3396"/>
      <c r="BN314" s="3396"/>
    </row>
    <row r="315" s="687" customFormat="1" ht="15" hidden="1" customHeight="1" spans="1:66">
      <c r="A315" s="3407" t="s">
        <v>6386</v>
      </c>
      <c r="B315" s="3408"/>
      <c r="C315" s="3409"/>
      <c r="D315" s="3409"/>
      <c r="E315" s="3408"/>
      <c r="F315" s="3410"/>
      <c r="G315" s="3410"/>
      <c r="H315" s="3411">
        <f t="shared" si="6"/>
        <v>0</v>
      </c>
      <c r="I315" s="3396"/>
      <c r="J315" s="3396"/>
      <c r="K315" s="3396"/>
      <c r="L315" s="3396"/>
      <c r="M315" s="3396"/>
      <c r="N315" s="3396"/>
      <c r="O315" s="3396"/>
      <c r="P315" s="3396"/>
      <c r="Q315" s="3396"/>
      <c r="R315" s="3396"/>
      <c r="S315" s="3396"/>
      <c r="T315" s="3396"/>
      <c r="U315" s="3396"/>
      <c r="V315" s="3396"/>
      <c r="W315" s="3396"/>
      <c r="X315" s="3396"/>
      <c r="Y315" s="3396"/>
      <c r="Z315" s="3396"/>
      <c r="AA315" s="3396"/>
      <c r="AB315" s="3396"/>
      <c r="AC315" s="3396"/>
      <c r="AD315" s="3396"/>
      <c r="AE315" s="3396"/>
      <c r="AF315" s="3396"/>
      <c r="AG315" s="3396"/>
      <c r="AH315" s="3396"/>
      <c r="AI315" s="3396"/>
      <c r="AJ315" s="3396"/>
      <c r="AK315" s="3396"/>
      <c r="AL315" s="3396"/>
      <c r="AM315" s="3396"/>
      <c r="AN315" s="3396"/>
      <c r="AO315" s="3396"/>
      <c r="AP315" s="3396"/>
      <c r="AQ315" s="3396"/>
      <c r="AR315" s="3396"/>
      <c r="AS315" s="3396"/>
      <c r="AT315" s="3396"/>
      <c r="AU315" s="3396"/>
      <c r="AV315" s="3396"/>
      <c r="AW315" s="3396"/>
      <c r="AX315" s="3396"/>
      <c r="AY315" s="3396"/>
      <c r="AZ315" s="3396"/>
      <c r="BA315" s="3396"/>
      <c r="BB315" s="3396"/>
      <c r="BC315" s="3396"/>
      <c r="BD315" s="3396"/>
      <c r="BE315" s="3396"/>
      <c r="BF315" s="3396"/>
      <c r="BG315" s="3396"/>
      <c r="BH315" s="3396"/>
      <c r="BI315" s="3396"/>
      <c r="BJ315" s="3396"/>
      <c r="BK315" s="3396"/>
      <c r="BL315" s="3396"/>
      <c r="BM315" s="3396"/>
      <c r="BN315" s="3396"/>
    </row>
    <row r="316" s="687" customFormat="1" ht="15" hidden="1" customHeight="1" spans="1:66">
      <c r="A316" s="3407" t="s">
        <v>6387</v>
      </c>
      <c r="B316" s="3408"/>
      <c r="C316" s="3409"/>
      <c r="D316" s="3409"/>
      <c r="E316" s="3408"/>
      <c r="F316" s="3410"/>
      <c r="G316" s="3410"/>
      <c r="H316" s="3411">
        <f t="shared" si="6"/>
        <v>0</v>
      </c>
      <c r="I316" s="3396"/>
      <c r="J316" s="3396"/>
      <c r="K316" s="3396"/>
      <c r="L316" s="3396"/>
      <c r="M316" s="3396"/>
      <c r="N316" s="3396"/>
      <c r="O316" s="3396"/>
      <c r="P316" s="3396"/>
      <c r="Q316" s="3396"/>
      <c r="R316" s="3396"/>
      <c r="S316" s="3396"/>
      <c r="T316" s="3396"/>
      <c r="U316" s="3396"/>
      <c r="V316" s="3396"/>
      <c r="W316" s="3396"/>
      <c r="X316" s="3396"/>
      <c r="Y316" s="3396"/>
      <c r="Z316" s="3396"/>
      <c r="AA316" s="3396"/>
      <c r="AB316" s="3396"/>
      <c r="AC316" s="3396"/>
      <c r="AD316" s="3396"/>
      <c r="AE316" s="3396"/>
      <c r="AF316" s="3396"/>
      <c r="AG316" s="3396"/>
      <c r="AH316" s="3396"/>
      <c r="AI316" s="3396"/>
      <c r="AJ316" s="3396"/>
      <c r="AK316" s="3396"/>
      <c r="AL316" s="3396"/>
      <c r="AM316" s="3396"/>
      <c r="AN316" s="3396"/>
      <c r="AO316" s="3396"/>
      <c r="AP316" s="3396"/>
      <c r="AQ316" s="3396"/>
      <c r="AR316" s="3396"/>
      <c r="AS316" s="3396"/>
      <c r="AT316" s="3396"/>
      <c r="AU316" s="3396"/>
      <c r="AV316" s="3396"/>
      <c r="AW316" s="3396"/>
      <c r="AX316" s="3396"/>
      <c r="AY316" s="3396"/>
      <c r="AZ316" s="3396"/>
      <c r="BA316" s="3396"/>
      <c r="BB316" s="3396"/>
      <c r="BC316" s="3396"/>
      <c r="BD316" s="3396"/>
      <c r="BE316" s="3396"/>
      <c r="BF316" s="3396"/>
      <c r="BG316" s="3396"/>
      <c r="BH316" s="3396"/>
      <c r="BI316" s="3396"/>
      <c r="BJ316" s="3396"/>
      <c r="BK316" s="3396"/>
      <c r="BL316" s="3396"/>
      <c r="BM316" s="3396"/>
      <c r="BN316" s="3396"/>
    </row>
    <row r="317" s="687" customFormat="1" ht="15" hidden="1" customHeight="1" spans="1:66">
      <c r="A317" s="3407" t="s">
        <v>6388</v>
      </c>
      <c r="B317" s="3408"/>
      <c r="C317" s="3409"/>
      <c r="D317" s="3409"/>
      <c r="E317" s="3408"/>
      <c r="F317" s="3410"/>
      <c r="G317" s="3410"/>
      <c r="H317" s="3411">
        <f t="shared" si="6"/>
        <v>0</v>
      </c>
      <c r="I317" s="3396"/>
      <c r="J317" s="3396"/>
      <c r="K317" s="3396"/>
      <c r="L317" s="3396"/>
      <c r="M317" s="3396"/>
      <c r="N317" s="3396"/>
      <c r="O317" s="3396"/>
      <c r="P317" s="3396"/>
      <c r="Q317" s="3396"/>
      <c r="R317" s="3396"/>
      <c r="S317" s="3396"/>
      <c r="T317" s="3396"/>
      <c r="U317" s="3396"/>
      <c r="V317" s="3396"/>
      <c r="W317" s="3396"/>
      <c r="X317" s="3396"/>
      <c r="Y317" s="3396"/>
      <c r="Z317" s="3396"/>
      <c r="AA317" s="3396"/>
      <c r="AB317" s="3396"/>
      <c r="AC317" s="3396"/>
      <c r="AD317" s="3396"/>
      <c r="AE317" s="3396"/>
      <c r="AF317" s="3396"/>
      <c r="AG317" s="3396"/>
      <c r="AH317" s="3396"/>
      <c r="AI317" s="3396"/>
      <c r="AJ317" s="3396"/>
      <c r="AK317" s="3396"/>
      <c r="AL317" s="3396"/>
      <c r="AM317" s="3396"/>
      <c r="AN317" s="3396"/>
      <c r="AO317" s="3396"/>
      <c r="AP317" s="3396"/>
      <c r="AQ317" s="3396"/>
      <c r="AR317" s="3396"/>
      <c r="AS317" s="3396"/>
      <c r="AT317" s="3396"/>
      <c r="AU317" s="3396"/>
      <c r="AV317" s="3396"/>
      <c r="AW317" s="3396"/>
      <c r="AX317" s="3396"/>
      <c r="AY317" s="3396"/>
      <c r="AZ317" s="3396"/>
      <c r="BA317" s="3396"/>
      <c r="BB317" s="3396"/>
      <c r="BC317" s="3396"/>
      <c r="BD317" s="3396"/>
      <c r="BE317" s="3396"/>
      <c r="BF317" s="3396"/>
      <c r="BG317" s="3396"/>
      <c r="BH317" s="3396"/>
      <c r="BI317" s="3396"/>
      <c r="BJ317" s="3396"/>
      <c r="BK317" s="3396"/>
      <c r="BL317" s="3396"/>
      <c r="BM317" s="3396"/>
      <c r="BN317" s="3396"/>
    </row>
    <row r="318" s="687" customFormat="1" ht="15" hidden="1" customHeight="1" spans="1:66">
      <c r="A318" s="3407" t="s">
        <v>6389</v>
      </c>
      <c r="B318" s="3408"/>
      <c r="C318" s="3409"/>
      <c r="D318" s="3409"/>
      <c r="E318" s="3408"/>
      <c r="F318" s="3410"/>
      <c r="G318" s="3410"/>
      <c r="H318" s="3411">
        <f t="shared" si="6"/>
        <v>0</v>
      </c>
      <c r="I318" s="3396"/>
      <c r="J318" s="3396"/>
      <c r="K318" s="3396"/>
      <c r="L318" s="3396"/>
      <c r="M318" s="3396"/>
      <c r="N318" s="3396"/>
      <c r="O318" s="3396"/>
      <c r="P318" s="3396"/>
      <c r="Q318" s="3396"/>
      <c r="R318" s="3396"/>
      <c r="S318" s="3396"/>
      <c r="T318" s="3396"/>
      <c r="U318" s="3396"/>
      <c r="V318" s="3396"/>
      <c r="W318" s="3396"/>
      <c r="X318" s="3396"/>
      <c r="Y318" s="3396"/>
      <c r="Z318" s="3396"/>
      <c r="AA318" s="3396"/>
      <c r="AB318" s="3396"/>
      <c r="AC318" s="3396"/>
      <c r="AD318" s="3396"/>
      <c r="AE318" s="3396"/>
      <c r="AF318" s="3396"/>
      <c r="AG318" s="3396"/>
      <c r="AH318" s="3396"/>
      <c r="AI318" s="3396"/>
      <c r="AJ318" s="3396"/>
      <c r="AK318" s="3396"/>
      <c r="AL318" s="3396"/>
      <c r="AM318" s="3396"/>
      <c r="AN318" s="3396"/>
      <c r="AO318" s="3396"/>
      <c r="AP318" s="3396"/>
      <c r="AQ318" s="3396"/>
      <c r="AR318" s="3396"/>
      <c r="AS318" s="3396"/>
      <c r="AT318" s="3396"/>
      <c r="AU318" s="3396"/>
      <c r="AV318" s="3396"/>
      <c r="AW318" s="3396"/>
      <c r="AX318" s="3396"/>
      <c r="AY318" s="3396"/>
      <c r="AZ318" s="3396"/>
      <c r="BA318" s="3396"/>
      <c r="BB318" s="3396"/>
      <c r="BC318" s="3396"/>
      <c r="BD318" s="3396"/>
      <c r="BE318" s="3396"/>
      <c r="BF318" s="3396"/>
      <c r="BG318" s="3396"/>
      <c r="BH318" s="3396"/>
      <c r="BI318" s="3396"/>
      <c r="BJ318" s="3396"/>
      <c r="BK318" s="3396"/>
      <c r="BL318" s="3396"/>
      <c r="BM318" s="3396"/>
      <c r="BN318" s="3396"/>
    </row>
    <row r="319" s="687" customFormat="1" ht="15" hidden="1" customHeight="1" spans="1:66">
      <c r="A319" s="3407" t="s">
        <v>6390</v>
      </c>
      <c r="B319" s="3408"/>
      <c r="C319" s="3409"/>
      <c r="D319" s="3409"/>
      <c r="E319" s="3408"/>
      <c r="F319" s="3410"/>
      <c r="G319" s="3410"/>
      <c r="H319" s="3411">
        <f t="shared" si="6"/>
        <v>0</v>
      </c>
      <c r="I319" s="3396"/>
      <c r="J319" s="3396"/>
      <c r="K319" s="3396"/>
      <c r="L319" s="3396"/>
      <c r="M319" s="3396"/>
      <c r="N319" s="3396"/>
      <c r="O319" s="3396"/>
      <c r="P319" s="3396"/>
      <c r="Q319" s="3396"/>
      <c r="R319" s="3396"/>
      <c r="S319" s="3396"/>
      <c r="T319" s="3396"/>
      <c r="U319" s="3396"/>
      <c r="V319" s="3396"/>
      <c r="W319" s="3396"/>
      <c r="X319" s="3396"/>
      <c r="Y319" s="3396"/>
      <c r="Z319" s="3396"/>
      <c r="AA319" s="3396"/>
      <c r="AB319" s="3396"/>
      <c r="AC319" s="3396"/>
      <c r="AD319" s="3396"/>
      <c r="AE319" s="3396"/>
      <c r="AF319" s="3396"/>
      <c r="AG319" s="3396"/>
      <c r="AH319" s="3396"/>
      <c r="AI319" s="3396"/>
      <c r="AJ319" s="3396"/>
      <c r="AK319" s="3396"/>
      <c r="AL319" s="3396"/>
      <c r="AM319" s="3396"/>
      <c r="AN319" s="3396"/>
      <c r="AO319" s="3396"/>
      <c r="AP319" s="3396"/>
      <c r="AQ319" s="3396"/>
      <c r="AR319" s="3396"/>
      <c r="AS319" s="3396"/>
      <c r="AT319" s="3396"/>
      <c r="AU319" s="3396"/>
      <c r="AV319" s="3396"/>
      <c r="AW319" s="3396"/>
      <c r="AX319" s="3396"/>
      <c r="AY319" s="3396"/>
      <c r="AZ319" s="3396"/>
      <c r="BA319" s="3396"/>
      <c r="BB319" s="3396"/>
      <c r="BC319" s="3396"/>
      <c r="BD319" s="3396"/>
      <c r="BE319" s="3396"/>
      <c r="BF319" s="3396"/>
      <c r="BG319" s="3396"/>
      <c r="BH319" s="3396"/>
      <c r="BI319" s="3396"/>
      <c r="BJ319" s="3396"/>
      <c r="BK319" s="3396"/>
      <c r="BL319" s="3396"/>
      <c r="BM319" s="3396"/>
      <c r="BN319" s="3396"/>
    </row>
    <row r="320" s="687" customFormat="1" ht="15" hidden="1" customHeight="1" spans="1:66">
      <c r="A320" s="3407" t="s">
        <v>6391</v>
      </c>
      <c r="B320" s="3408"/>
      <c r="C320" s="3409"/>
      <c r="D320" s="3409"/>
      <c r="E320" s="3408"/>
      <c r="F320" s="3410"/>
      <c r="G320" s="3410"/>
      <c r="H320" s="3411">
        <f t="shared" si="6"/>
        <v>0</v>
      </c>
      <c r="I320" s="3396"/>
      <c r="J320" s="3396"/>
      <c r="K320" s="3396"/>
      <c r="L320" s="3396"/>
      <c r="M320" s="3396"/>
      <c r="N320" s="3396"/>
      <c r="O320" s="3396"/>
      <c r="P320" s="3396"/>
      <c r="Q320" s="3396"/>
      <c r="R320" s="3396"/>
      <c r="S320" s="3396"/>
      <c r="T320" s="3396"/>
      <c r="U320" s="3396"/>
      <c r="V320" s="3396"/>
      <c r="W320" s="3396"/>
      <c r="X320" s="3396"/>
      <c r="Y320" s="3396"/>
      <c r="Z320" s="3396"/>
      <c r="AA320" s="3396"/>
      <c r="AB320" s="3396"/>
      <c r="AC320" s="3396"/>
      <c r="AD320" s="3396"/>
      <c r="AE320" s="3396"/>
      <c r="AF320" s="3396"/>
      <c r="AG320" s="3396"/>
      <c r="AH320" s="3396"/>
      <c r="AI320" s="3396"/>
      <c r="AJ320" s="3396"/>
      <c r="AK320" s="3396"/>
      <c r="AL320" s="3396"/>
      <c r="AM320" s="3396"/>
      <c r="AN320" s="3396"/>
      <c r="AO320" s="3396"/>
      <c r="AP320" s="3396"/>
      <c r="AQ320" s="3396"/>
      <c r="AR320" s="3396"/>
      <c r="AS320" s="3396"/>
      <c r="AT320" s="3396"/>
      <c r="AU320" s="3396"/>
      <c r="AV320" s="3396"/>
      <c r="AW320" s="3396"/>
      <c r="AX320" s="3396"/>
      <c r="AY320" s="3396"/>
      <c r="AZ320" s="3396"/>
      <c r="BA320" s="3396"/>
      <c r="BB320" s="3396"/>
      <c r="BC320" s="3396"/>
      <c r="BD320" s="3396"/>
      <c r="BE320" s="3396"/>
      <c r="BF320" s="3396"/>
      <c r="BG320" s="3396"/>
      <c r="BH320" s="3396"/>
      <c r="BI320" s="3396"/>
      <c r="BJ320" s="3396"/>
      <c r="BK320" s="3396"/>
      <c r="BL320" s="3396"/>
      <c r="BM320" s="3396"/>
      <c r="BN320" s="3396"/>
    </row>
    <row r="321" s="687" customFormat="1" ht="15" hidden="1" customHeight="1" spans="1:66">
      <c r="A321" s="3407" t="s">
        <v>6392</v>
      </c>
      <c r="B321" s="3408"/>
      <c r="C321" s="3409"/>
      <c r="D321" s="3409"/>
      <c r="E321" s="3408"/>
      <c r="F321" s="3410"/>
      <c r="G321" s="3410"/>
      <c r="H321" s="3411">
        <f t="shared" si="6"/>
        <v>0</v>
      </c>
      <c r="I321" s="3396"/>
      <c r="J321" s="3396"/>
      <c r="K321" s="3396"/>
      <c r="L321" s="3396"/>
      <c r="M321" s="3396"/>
      <c r="N321" s="3396"/>
      <c r="O321" s="3396"/>
      <c r="P321" s="3396"/>
      <c r="Q321" s="3396"/>
      <c r="R321" s="3396"/>
      <c r="S321" s="3396"/>
      <c r="T321" s="3396"/>
      <c r="U321" s="3396"/>
      <c r="V321" s="3396"/>
      <c r="W321" s="3396"/>
      <c r="X321" s="3396"/>
      <c r="Y321" s="3396"/>
      <c r="Z321" s="3396"/>
      <c r="AA321" s="3396"/>
      <c r="AB321" s="3396"/>
      <c r="AC321" s="3396"/>
      <c r="AD321" s="3396"/>
      <c r="AE321" s="3396"/>
      <c r="AF321" s="3396"/>
      <c r="AG321" s="3396"/>
      <c r="AH321" s="3396"/>
      <c r="AI321" s="3396"/>
      <c r="AJ321" s="3396"/>
      <c r="AK321" s="3396"/>
      <c r="AL321" s="3396"/>
      <c r="AM321" s="3396"/>
      <c r="AN321" s="3396"/>
      <c r="AO321" s="3396"/>
      <c r="AP321" s="3396"/>
      <c r="AQ321" s="3396"/>
      <c r="AR321" s="3396"/>
      <c r="AS321" s="3396"/>
      <c r="AT321" s="3396"/>
      <c r="AU321" s="3396"/>
      <c r="AV321" s="3396"/>
      <c r="AW321" s="3396"/>
      <c r="AX321" s="3396"/>
      <c r="AY321" s="3396"/>
      <c r="AZ321" s="3396"/>
      <c r="BA321" s="3396"/>
      <c r="BB321" s="3396"/>
      <c r="BC321" s="3396"/>
      <c r="BD321" s="3396"/>
      <c r="BE321" s="3396"/>
      <c r="BF321" s="3396"/>
      <c r="BG321" s="3396"/>
      <c r="BH321" s="3396"/>
      <c r="BI321" s="3396"/>
      <c r="BJ321" s="3396"/>
      <c r="BK321" s="3396"/>
      <c r="BL321" s="3396"/>
      <c r="BM321" s="3396"/>
      <c r="BN321" s="3396"/>
    </row>
    <row r="322" s="687" customFormat="1" ht="15" hidden="1" customHeight="1" spans="1:66">
      <c r="A322" s="3407" t="s">
        <v>6393</v>
      </c>
      <c r="B322" s="3408"/>
      <c r="C322" s="3409"/>
      <c r="D322" s="3409"/>
      <c r="E322" s="3408"/>
      <c r="F322" s="3410"/>
      <c r="G322" s="3410"/>
      <c r="H322" s="3411">
        <f t="shared" si="6"/>
        <v>0</v>
      </c>
      <c r="I322" s="3396"/>
      <c r="J322" s="3396"/>
      <c r="K322" s="3396"/>
      <c r="L322" s="3396"/>
      <c r="M322" s="3396"/>
      <c r="N322" s="3396"/>
      <c r="O322" s="3396"/>
      <c r="P322" s="3396"/>
      <c r="Q322" s="3396"/>
      <c r="R322" s="3396"/>
      <c r="S322" s="3396"/>
      <c r="T322" s="3396"/>
      <c r="U322" s="3396"/>
      <c r="V322" s="3396"/>
      <c r="W322" s="3396"/>
      <c r="X322" s="3396"/>
      <c r="Y322" s="3396"/>
      <c r="Z322" s="3396"/>
      <c r="AA322" s="3396"/>
      <c r="AB322" s="3396"/>
      <c r="AC322" s="3396"/>
      <c r="AD322" s="3396"/>
      <c r="AE322" s="3396"/>
      <c r="AF322" s="3396"/>
      <c r="AG322" s="3396"/>
      <c r="AH322" s="3396"/>
      <c r="AI322" s="3396"/>
      <c r="AJ322" s="3396"/>
      <c r="AK322" s="3396"/>
      <c r="AL322" s="3396"/>
      <c r="AM322" s="3396"/>
      <c r="AN322" s="3396"/>
      <c r="AO322" s="3396"/>
      <c r="AP322" s="3396"/>
      <c r="AQ322" s="3396"/>
      <c r="AR322" s="3396"/>
      <c r="AS322" s="3396"/>
      <c r="AT322" s="3396"/>
      <c r="AU322" s="3396"/>
      <c r="AV322" s="3396"/>
      <c r="AW322" s="3396"/>
      <c r="AX322" s="3396"/>
      <c r="AY322" s="3396"/>
      <c r="AZ322" s="3396"/>
      <c r="BA322" s="3396"/>
      <c r="BB322" s="3396"/>
      <c r="BC322" s="3396"/>
      <c r="BD322" s="3396"/>
      <c r="BE322" s="3396"/>
      <c r="BF322" s="3396"/>
      <c r="BG322" s="3396"/>
      <c r="BH322" s="3396"/>
      <c r="BI322" s="3396"/>
      <c r="BJ322" s="3396"/>
      <c r="BK322" s="3396"/>
      <c r="BL322" s="3396"/>
      <c r="BM322" s="3396"/>
      <c r="BN322" s="3396"/>
    </row>
    <row r="323" s="687" customFormat="1" ht="15" hidden="1" customHeight="1" spans="1:66">
      <c r="A323" s="3407" t="s">
        <v>6394</v>
      </c>
      <c r="B323" s="3408"/>
      <c r="C323" s="3409"/>
      <c r="D323" s="3409"/>
      <c r="E323" s="3408"/>
      <c r="F323" s="3410"/>
      <c r="G323" s="3410"/>
      <c r="H323" s="3411">
        <f t="shared" si="6"/>
        <v>0</v>
      </c>
      <c r="I323" s="3396"/>
      <c r="J323" s="3396"/>
      <c r="K323" s="3396"/>
      <c r="L323" s="3396"/>
      <c r="M323" s="3396"/>
      <c r="N323" s="3396"/>
      <c r="O323" s="3396"/>
      <c r="P323" s="3396"/>
      <c r="Q323" s="3396"/>
      <c r="R323" s="3396"/>
      <c r="S323" s="3396"/>
      <c r="T323" s="3396"/>
      <c r="U323" s="3396"/>
      <c r="V323" s="3396"/>
      <c r="W323" s="3396"/>
      <c r="X323" s="3396"/>
      <c r="Y323" s="3396"/>
      <c r="Z323" s="3396"/>
      <c r="AA323" s="3396"/>
      <c r="AB323" s="3396"/>
      <c r="AC323" s="3396"/>
      <c r="AD323" s="3396"/>
      <c r="AE323" s="3396"/>
      <c r="AF323" s="3396"/>
      <c r="AG323" s="3396"/>
      <c r="AH323" s="3396"/>
      <c r="AI323" s="3396"/>
      <c r="AJ323" s="3396"/>
      <c r="AK323" s="3396"/>
      <c r="AL323" s="3396"/>
      <c r="AM323" s="3396"/>
      <c r="AN323" s="3396"/>
      <c r="AO323" s="3396"/>
      <c r="AP323" s="3396"/>
      <c r="AQ323" s="3396"/>
      <c r="AR323" s="3396"/>
      <c r="AS323" s="3396"/>
      <c r="AT323" s="3396"/>
      <c r="AU323" s="3396"/>
      <c r="AV323" s="3396"/>
      <c r="AW323" s="3396"/>
      <c r="AX323" s="3396"/>
      <c r="AY323" s="3396"/>
      <c r="AZ323" s="3396"/>
      <c r="BA323" s="3396"/>
      <c r="BB323" s="3396"/>
      <c r="BC323" s="3396"/>
      <c r="BD323" s="3396"/>
      <c r="BE323" s="3396"/>
      <c r="BF323" s="3396"/>
      <c r="BG323" s="3396"/>
      <c r="BH323" s="3396"/>
      <c r="BI323" s="3396"/>
      <c r="BJ323" s="3396"/>
      <c r="BK323" s="3396"/>
      <c r="BL323" s="3396"/>
      <c r="BM323" s="3396"/>
      <c r="BN323" s="3396"/>
    </row>
    <row r="324" s="687" customFormat="1" ht="15" hidden="1" customHeight="1" spans="1:66">
      <c r="A324" s="3407" t="s">
        <v>6395</v>
      </c>
      <c r="B324" s="3408"/>
      <c r="C324" s="3409"/>
      <c r="D324" s="3409"/>
      <c r="E324" s="3408"/>
      <c r="F324" s="3410"/>
      <c r="G324" s="3410"/>
      <c r="H324" s="3411">
        <f t="shared" si="6"/>
        <v>0</v>
      </c>
      <c r="I324" s="3396"/>
      <c r="J324" s="3396"/>
      <c r="K324" s="3396"/>
      <c r="L324" s="3396"/>
      <c r="M324" s="3396"/>
      <c r="N324" s="3396"/>
      <c r="O324" s="3396"/>
      <c r="P324" s="3396"/>
      <c r="Q324" s="3396"/>
      <c r="R324" s="3396"/>
      <c r="S324" s="3396"/>
      <c r="T324" s="3396"/>
      <c r="U324" s="3396"/>
      <c r="V324" s="3396"/>
      <c r="W324" s="3396"/>
      <c r="X324" s="3396"/>
      <c r="Y324" s="3396"/>
      <c r="Z324" s="3396"/>
      <c r="AA324" s="3396"/>
      <c r="AB324" s="3396"/>
      <c r="AC324" s="3396"/>
      <c r="AD324" s="3396"/>
      <c r="AE324" s="3396"/>
      <c r="AF324" s="3396"/>
      <c r="AG324" s="3396"/>
      <c r="AH324" s="3396"/>
      <c r="AI324" s="3396"/>
      <c r="AJ324" s="3396"/>
      <c r="AK324" s="3396"/>
      <c r="AL324" s="3396"/>
      <c r="AM324" s="3396"/>
      <c r="AN324" s="3396"/>
      <c r="AO324" s="3396"/>
      <c r="AP324" s="3396"/>
      <c r="AQ324" s="3396"/>
      <c r="AR324" s="3396"/>
      <c r="AS324" s="3396"/>
      <c r="AT324" s="3396"/>
      <c r="AU324" s="3396"/>
      <c r="AV324" s="3396"/>
      <c r="AW324" s="3396"/>
      <c r="AX324" s="3396"/>
      <c r="AY324" s="3396"/>
      <c r="AZ324" s="3396"/>
      <c r="BA324" s="3396"/>
      <c r="BB324" s="3396"/>
      <c r="BC324" s="3396"/>
      <c r="BD324" s="3396"/>
      <c r="BE324" s="3396"/>
      <c r="BF324" s="3396"/>
      <c r="BG324" s="3396"/>
      <c r="BH324" s="3396"/>
      <c r="BI324" s="3396"/>
      <c r="BJ324" s="3396"/>
      <c r="BK324" s="3396"/>
      <c r="BL324" s="3396"/>
      <c r="BM324" s="3396"/>
      <c r="BN324" s="3396"/>
    </row>
    <row r="325" s="687" customFormat="1" ht="15" hidden="1" customHeight="1" spans="1:66">
      <c r="A325" s="3407" t="s">
        <v>6396</v>
      </c>
      <c r="B325" s="3408"/>
      <c r="C325" s="3409"/>
      <c r="D325" s="3409"/>
      <c r="E325" s="3408"/>
      <c r="F325" s="3410"/>
      <c r="G325" s="3410"/>
      <c r="H325" s="3411">
        <f t="shared" si="6"/>
        <v>0</v>
      </c>
      <c r="I325" s="3396"/>
      <c r="J325" s="3396"/>
      <c r="K325" s="3396"/>
      <c r="L325" s="3396"/>
      <c r="M325" s="3396"/>
      <c r="N325" s="3396"/>
      <c r="O325" s="3396"/>
      <c r="P325" s="3396"/>
      <c r="Q325" s="3396"/>
      <c r="R325" s="3396"/>
      <c r="S325" s="3396"/>
      <c r="T325" s="3396"/>
      <c r="U325" s="3396"/>
      <c r="V325" s="3396"/>
      <c r="W325" s="3396"/>
      <c r="X325" s="3396"/>
      <c r="Y325" s="3396"/>
      <c r="Z325" s="3396"/>
      <c r="AA325" s="3396"/>
      <c r="AB325" s="3396"/>
      <c r="AC325" s="3396"/>
      <c r="AD325" s="3396"/>
      <c r="AE325" s="3396"/>
      <c r="AF325" s="3396"/>
      <c r="AG325" s="3396"/>
      <c r="AH325" s="3396"/>
      <c r="AI325" s="3396"/>
      <c r="AJ325" s="3396"/>
      <c r="AK325" s="3396"/>
      <c r="AL325" s="3396"/>
      <c r="AM325" s="3396"/>
      <c r="AN325" s="3396"/>
      <c r="AO325" s="3396"/>
      <c r="AP325" s="3396"/>
      <c r="AQ325" s="3396"/>
      <c r="AR325" s="3396"/>
      <c r="AS325" s="3396"/>
      <c r="AT325" s="3396"/>
      <c r="AU325" s="3396"/>
      <c r="AV325" s="3396"/>
      <c r="AW325" s="3396"/>
      <c r="AX325" s="3396"/>
      <c r="AY325" s="3396"/>
      <c r="AZ325" s="3396"/>
      <c r="BA325" s="3396"/>
      <c r="BB325" s="3396"/>
      <c r="BC325" s="3396"/>
      <c r="BD325" s="3396"/>
      <c r="BE325" s="3396"/>
      <c r="BF325" s="3396"/>
      <c r="BG325" s="3396"/>
      <c r="BH325" s="3396"/>
      <c r="BI325" s="3396"/>
      <c r="BJ325" s="3396"/>
      <c r="BK325" s="3396"/>
      <c r="BL325" s="3396"/>
      <c r="BM325" s="3396"/>
      <c r="BN325" s="3396"/>
    </row>
    <row r="326" s="687" customFormat="1" ht="15" hidden="1" customHeight="1" spans="1:66">
      <c r="A326" s="3407" t="s">
        <v>6397</v>
      </c>
      <c r="B326" s="3408"/>
      <c r="C326" s="3409"/>
      <c r="D326" s="3409"/>
      <c r="E326" s="3408"/>
      <c r="F326" s="3410"/>
      <c r="G326" s="3410"/>
      <c r="H326" s="3411">
        <f t="shared" si="6"/>
        <v>0</v>
      </c>
      <c r="I326" s="3396"/>
      <c r="J326" s="3396"/>
      <c r="K326" s="3396"/>
      <c r="L326" s="3396"/>
      <c r="M326" s="3396"/>
      <c r="N326" s="3396"/>
      <c r="O326" s="3396"/>
      <c r="P326" s="3396"/>
      <c r="Q326" s="3396"/>
      <c r="R326" s="3396"/>
      <c r="S326" s="3396"/>
      <c r="T326" s="3396"/>
      <c r="U326" s="3396"/>
      <c r="V326" s="3396"/>
      <c r="W326" s="3396"/>
      <c r="X326" s="3396"/>
      <c r="Y326" s="3396"/>
      <c r="Z326" s="3396"/>
      <c r="AA326" s="3396"/>
      <c r="AB326" s="3396"/>
      <c r="AC326" s="3396"/>
      <c r="AD326" s="3396"/>
      <c r="AE326" s="3396"/>
      <c r="AF326" s="3396"/>
      <c r="AG326" s="3396"/>
      <c r="AH326" s="3396"/>
      <c r="AI326" s="3396"/>
      <c r="AJ326" s="3396"/>
      <c r="AK326" s="3396"/>
      <c r="AL326" s="3396"/>
      <c r="AM326" s="3396"/>
      <c r="AN326" s="3396"/>
      <c r="AO326" s="3396"/>
      <c r="AP326" s="3396"/>
      <c r="AQ326" s="3396"/>
      <c r="AR326" s="3396"/>
      <c r="AS326" s="3396"/>
      <c r="AT326" s="3396"/>
      <c r="AU326" s="3396"/>
      <c r="AV326" s="3396"/>
      <c r="AW326" s="3396"/>
      <c r="AX326" s="3396"/>
      <c r="AY326" s="3396"/>
      <c r="AZ326" s="3396"/>
      <c r="BA326" s="3396"/>
      <c r="BB326" s="3396"/>
      <c r="BC326" s="3396"/>
      <c r="BD326" s="3396"/>
      <c r="BE326" s="3396"/>
      <c r="BF326" s="3396"/>
      <c r="BG326" s="3396"/>
      <c r="BH326" s="3396"/>
      <c r="BI326" s="3396"/>
      <c r="BJ326" s="3396"/>
      <c r="BK326" s="3396"/>
      <c r="BL326" s="3396"/>
      <c r="BM326" s="3396"/>
      <c r="BN326" s="3396"/>
    </row>
    <row r="327" s="687" customFormat="1" ht="15" hidden="1" customHeight="1" spans="1:66">
      <c r="A327" s="3407" t="s">
        <v>6398</v>
      </c>
      <c r="B327" s="3408"/>
      <c r="C327" s="3409"/>
      <c r="D327" s="3409"/>
      <c r="E327" s="3408"/>
      <c r="F327" s="3410"/>
      <c r="G327" s="3410"/>
      <c r="H327" s="3411">
        <f t="shared" si="6"/>
        <v>0</v>
      </c>
      <c r="I327" s="3396"/>
      <c r="J327" s="3396"/>
      <c r="K327" s="3396"/>
      <c r="L327" s="3396"/>
      <c r="M327" s="3396"/>
      <c r="N327" s="3396"/>
      <c r="O327" s="3396"/>
      <c r="P327" s="3396"/>
      <c r="Q327" s="3396"/>
      <c r="R327" s="3396"/>
      <c r="S327" s="3396"/>
      <c r="T327" s="3396"/>
      <c r="U327" s="3396"/>
      <c r="V327" s="3396"/>
      <c r="W327" s="3396"/>
      <c r="X327" s="3396"/>
      <c r="Y327" s="3396"/>
      <c r="Z327" s="3396"/>
      <c r="AA327" s="3396"/>
      <c r="AB327" s="3396"/>
      <c r="AC327" s="3396"/>
      <c r="AD327" s="3396"/>
      <c r="AE327" s="3396"/>
      <c r="AF327" s="3396"/>
      <c r="AG327" s="3396"/>
      <c r="AH327" s="3396"/>
      <c r="AI327" s="3396"/>
      <c r="AJ327" s="3396"/>
      <c r="AK327" s="3396"/>
      <c r="AL327" s="3396"/>
      <c r="AM327" s="3396"/>
      <c r="AN327" s="3396"/>
      <c r="AO327" s="3396"/>
      <c r="AP327" s="3396"/>
      <c r="AQ327" s="3396"/>
      <c r="AR327" s="3396"/>
      <c r="AS327" s="3396"/>
      <c r="AT327" s="3396"/>
      <c r="AU327" s="3396"/>
      <c r="AV327" s="3396"/>
      <c r="AW327" s="3396"/>
      <c r="AX327" s="3396"/>
      <c r="AY327" s="3396"/>
      <c r="AZ327" s="3396"/>
      <c r="BA327" s="3396"/>
      <c r="BB327" s="3396"/>
      <c r="BC327" s="3396"/>
      <c r="BD327" s="3396"/>
      <c r="BE327" s="3396"/>
      <c r="BF327" s="3396"/>
      <c r="BG327" s="3396"/>
      <c r="BH327" s="3396"/>
      <c r="BI327" s="3396"/>
      <c r="BJ327" s="3396"/>
      <c r="BK327" s="3396"/>
      <c r="BL327" s="3396"/>
      <c r="BM327" s="3396"/>
      <c r="BN327" s="3396"/>
    </row>
    <row r="328" s="687" customFormat="1" ht="15" hidden="1" customHeight="1" spans="1:66">
      <c r="A328" s="3407" t="s">
        <v>6399</v>
      </c>
      <c r="B328" s="3408"/>
      <c r="C328" s="3409"/>
      <c r="D328" s="3409"/>
      <c r="E328" s="3408"/>
      <c r="F328" s="3410"/>
      <c r="G328" s="3410"/>
      <c r="H328" s="3411">
        <f t="shared" si="6"/>
        <v>0</v>
      </c>
      <c r="I328" s="3396"/>
      <c r="J328" s="3396"/>
      <c r="K328" s="3396"/>
      <c r="L328" s="3396"/>
      <c r="M328" s="3396"/>
      <c r="N328" s="3396"/>
      <c r="O328" s="3396"/>
      <c r="P328" s="3396"/>
      <c r="Q328" s="3396"/>
      <c r="R328" s="3396"/>
      <c r="S328" s="3396"/>
      <c r="T328" s="3396"/>
      <c r="U328" s="3396"/>
      <c r="V328" s="3396"/>
      <c r="W328" s="3396"/>
      <c r="X328" s="3396"/>
      <c r="Y328" s="3396"/>
      <c r="Z328" s="3396"/>
      <c r="AA328" s="3396"/>
      <c r="AB328" s="3396"/>
      <c r="AC328" s="3396"/>
      <c r="AD328" s="3396"/>
      <c r="AE328" s="3396"/>
      <c r="AF328" s="3396"/>
      <c r="AG328" s="3396"/>
      <c r="AH328" s="3396"/>
      <c r="AI328" s="3396"/>
      <c r="AJ328" s="3396"/>
      <c r="AK328" s="3396"/>
      <c r="AL328" s="3396"/>
      <c r="AM328" s="3396"/>
      <c r="AN328" s="3396"/>
      <c r="AO328" s="3396"/>
      <c r="AP328" s="3396"/>
      <c r="AQ328" s="3396"/>
      <c r="AR328" s="3396"/>
      <c r="AS328" s="3396"/>
      <c r="AT328" s="3396"/>
      <c r="AU328" s="3396"/>
      <c r="AV328" s="3396"/>
      <c r="AW328" s="3396"/>
      <c r="AX328" s="3396"/>
      <c r="AY328" s="3396"/>
      <c r="AZ328" s="3396"/>
      <c r="BA328" s="3396"/>
      <c r="BB328" s="3396"/>
      <c r="BC328" s="3396"/>
      <c r="BD328" s="3396"/>
      <c r="BE328" s="3396"/>
      <c r="BF328" s="3396"/>
      <c r="BG328" s="3396"/>
      <c r="BH328" s="3396"/>
      <c r="BI328" s="3396"/>
      <c r="BJ328" s="3396"/>
      <c r="BK328" s="3396"/>
      <c r="BL328" s="3396"/>
      <c r="BM328" s="3396"/>
      <c r="BN328" s="3396"/>
    </row>
    <row r="329" s="687" customFormat="1" ht="15" hidden="1" customHeight="1" spans="1:66">
      <c r="A329" s="3407" t="s">
        <v>6400</v>
      </c>
      <c r="B329" s="3408"/>
      <c r="C329" s="3409"/>
      <c r="D329" s="3409"/>
      <c r="E329" s="3408"/>
      <c r="F329" s="3410"/>
      <c r="G329" s="3410"/>
      <c r="H329" s="3411">
        <f t="shared" si="6"/>
        <v>0</v>
      </c>
      <c r="I329" s="3396"/>
      <c r="J329" s="3396"/>
      <c r="K329" s="3396"/>
      <c r="L329" s="3396"/>
      <c r="M329" s="3396"/>
      <c r="N329" s="3396"/>
      <c r="O329" s="3396"/>
      <c r="P329" s="3396"/>
      <c r="Q329" s="3396"/>
      <c r="R329" s="3396"/>
      <c r="S329" s="3396"/>
      <c r="T329" s="3396"/>
      <c r="U329" s="3396"/>
      <c r="V329" s="3396"/>
      <c r="W329" s="3396"/>
      <c r="X329" s="3396"/>
      <c r="Y329" s="3396"/>
      <c r="Z329" s="3396"/>
      <c r="AA329" s="3396"/>
      <c r="AB329" s="3396"/>
      <c r="AC329" s="3396"/>
      <c r="AD329" s="3396"/>
      <c r="AE329" s="3396"/>
      <c r="AF329" s="3396"/>
      <c r="AG329" s="3396"/>
      <c r="AH329" s="3396"/>
      <c r="AI329" s="3396"/>
      <c r="AJ329" s="3396"/>
      <c r="AK329" s="3396"/>
      <c r="AL329" s="3396"/>
      <c r="AM329" s="3396"/>
      <c r="AN329" s="3396"/>
      <c r="AO329" s="3396"/>
      <c r="AP329" s="3396"/>
      <c r="AQ329" s="3396"/>
      <c r="AR329" s="3396"/>
      <c r="AS329" s="3396"/>
      <c r="AT329" s="3396"/>
      <c r="AU329" s="3396"/>
      <c r="AV329" s="3396"/>
      <c r="AW329" s="3396"/>
      <c r="AX329" s="3396"/>
      <c r="AY329" s="3396"/>
      <c r="AZ329" s="3396"/>
      <c r="BA329" s="3396"/>
      <c r="BB329" s="3396"/>
      <c r="BC329" s="3396"/>
      <c r="BD329" s="3396"/>
      <c r="BE329" s="3396"/>
      <c r="BF329" s="3396"/>
      <c r="BG329" s="3396"/>
      <c r="BH329" s="3396"/>
      <c r="BI329" s="3396"/>
      <c r="BJ329" s="3396"/>
      <c r="BK329" s="3396"/>
      <c r="BL329" s="3396"/>
      <c r="BM329" s="3396"/>
      <c r="BN329" s="3396"/>
    </row>
    <row r="330" s="687" customFormat="1" ht="15" hidden="1" customHeight="1" spans="1:66">
      <c r="A330" s="3407" t="s">
        <v>6401</v>
      </c>
      <c r="B330" s="3408"/>
      <c r="C330" s="3409"/>
      <c r="D330" s="3409"/>
      <c r="E330" s="3408"/>
      <c r="F330" s="3410"/>
      <c r="G330" s="3410"/>
      <c r="H330" s="3411">
        <f t="shared" si="6"/>
        <v>0</v>
      </c>
      <c r="I330" s="3396"/>
      <c r="J330" s="3396"/>
      <c r="K330" s="3396"/>
      <c r="L330" s="3396"/>
      <c r="M330" s="3396"/>
      <c r="N330" s="3396"/>
      <c r="O330" s="3396"/>
      <c r="P330" s="3396"/>
      <c r="Q330" s="3396"/>
      <c r="R330" s="3396"/>
      <c r="S330" s="3396"/>
      <c r="T330" s="3396"/>
      <c r="U330" s="3396"/>
      <c r="V330" s="3396"/>
      <c r="W330" s="3396"/>
      <c r="X330" s="3396"/>
      <c r="Y330" s="3396"/>
      <c r="Z330" s="3396"/>
      <c r="AA330" s="3396"/>
      <c r="AB330" s="3396"/>
      <c r="AC330" s="3396"/>
      <c r="AD330" s="3396"/>
      <c r="AE330" s="3396"/>
      <c r="AF330" s="3396"/>
      <c r="AG330" s="3396"/>
      <c r="AH330" s="3396"/>
      <c r="AI330" s="3396"/>
      <c r="AJ330" s="3396"/>
      <c r="AK330" s="3396"/>
      <c r="AL330" s="3396"/>
      <c r="AM330" s="3396"/>
      <c r="AN330" s="3396"/>
      <c r="AO330" s="3396"/>
      <c r="AP330" s="3396"/>
      <c r="AQ330" s="3396"/>
      <c r="AR330" s="3396"/>
      <c r="AS330" s="3396"/>
      <c r="AT330" s="3396"/>
      <c r="AU330" s="3396"/>
      <c r="AV330" s="3396"/>
      <c r="AW330" s="3396"/>
      <c r="AX330" s="3396"/>
      <c r="AY330" s="3396"/>
      <c r="AZ330" s="3396"/>
      <c r="BA330" s="3396"/>
      <c r="BB330" s="3396"/>
      <c r="BC330" s="3396"/>
      <c r="BD330" s="3396"/>
      <c r="BE330" s="3396"/>
      <c r="BF330" s="3396"/>
      <c r="BG330" s="3396"/>
      <c r="BH330" s="3396"/>
      <c r="BI330" s="3396"/>
      <c r="BJ330" s="3396"/>
      <c r="BK330" s="3396"/>
      <c r="BL330" s="3396"/>
      <c r="BM330" s="3396"/>
      <c r="BN330" s="3396"/>
    </row>
    <row r="331" s="687" customFormat="1" ht="15" hidden="1" customHeight="1" spans="1:66">
      <c r="A331" s="3407" t="s">
        <v>6402</v>
      </c>
      <c r="B331" s="3408"/>
      <c r="C331" s="3409"/>
      <c r="D331" s="3409"/>
      <c r="E331" s="3408"/>
      <c r="F331" s="3410"/>
      <c r="G331" s="3410"/>
      <c r="H331" s="3411">
        <f t="shared" si="6"/>
        <v>0</v>
      </c>
      <c r="I331" s="3396"/>
      <c r="J331" s="3396"/>
      <c r="K331" s="3396"/>
      <c r="L331" s="3396"/>
      <c r="M331" s="3396"/>
      <c r="N331" s="3396"/>
      <c r="O331" s="3396"/>
      <c r="P331" s="3396"/>
      <c r="Q331" s="3396"/>
      <c r="R331" s="3396"/>
      <c r="S331" s="3396"/>
      <c r="T331" s="3396"/>
      <c r="U331" s="3396"/>
      <c r="V331" s="3396"/>
      <c r="W331" s="3396"/>
      <c r="X331" s="3396"/>
      <c r="Y331" s="3396"/>
      <c r="Z331" s="3396"/>
      <c r="AA331" s="3396"/>
      <c r="AB331" s="3396"/>
      <c r="AC331" s="3396"/>
      <c r="AD331" s="3396"/>
      <c r="AE331" s="3396"/>
      <c r="AF331" s="3396"/>
      <c r="AG331" s="3396"/>
      <c r="AH331" s="3396"/>
      <c r="AI331" s="3396"/>
      <c r="AJ331" s="3396"/>
      <c r="AK331" s="3396"/>
      <c r="AL331" s="3396"/>
      <c r="AM331" s="3396"/>
      <c r="AN331" s="3396"/>
      <c r="AO331" s="3396"/>
      <c r="AP331" s="3396"/>
      <c r="AQ331" s="3396"/>
      <c r="AR331" s="3396"/>
      <c r="AS331" s="3396"/>
      <c r="AT331" s="3396"/>
      <c r="AU331" s="3396"/>
      <c r="AV331" s="3396"/>
      <c r="AW331" s="3396"/>
      <c r="AX331" s="3396"/>
      <c r="AY331" s="3396"/>
      <c r="AZ331" s="3396"/>
      <c r="BA331" s="3396"/>
      <c r="BB331" s="3396"/>
      <c r="BC331" s="3396"/>
      <c r="BD331" s="3396"/>
      <c r="BE331" s="3396"/>
      <c r="BF331" s="3396"/>
      <c r="BG331" s="3396"/>
      <c r="BH331" s="3396"/>
      <c r="BI331" s="3396"/>
      <c r="BJ331" s="3396"/>
      <c r="BK331" s="3396"/>
      <c r="BL331" s="3396"/>
      <c r="BM331" s="3396"/>
      <c r="BN331" s="3396"/>
    </row>
    <row r="332" s="687" customFormat="1" ht="15" hidden="1" customHeight="1" spans="1:66">
      <c r="A332" s="3407" t="s">
        <v>6403</v>
      </c>
      <c r="B332" s="3408"/>
      <c r="C332" s="3409"/>
      <c r="D332" s="3409"/>
      <c r="E332" s="3408"/>
      <c r="F332" s="3410"/>
      <c r="G332" s="3410"/>
      <c r="H332" s="3411">
        <f t="shared" si="6"/>
        <v>0</v>
      </c>
      <c r="I332" s="3396"/>
      <c r="J332" s="3396"/>
      <c r="K332" s="3396"/>
      <c r="L332" s="3396"/>
      <c r="M332" s="3396"/>
      <c r="N332" s="3396"/>
      <c r="O332" s="3396"/>
      <c r="P332" s="3396"/>
      <c r="Q332" s="3396"/>
      <c r="R332" s="3396"/>
      <c r="S332" s="3396"/>
      <c r="T332" s="3396"/>
      <c r="U332" s="3396"/>
      <c r="V332" s="3396"/>
      <c r="W332" s="3396"/>
      <c r="X332" s="3396"/>
      <c r="Y332" s="3396"/>
      <c r="Z332" s="3396"/>
      <c r="AA332" s="3396"/>
      <c r="AB332" s="3396"/>
      <c r="AC332" s="3396"/>
      <c r="AD332" s="3396"/>
      <c r="AE332" s="3396"/>
      <c r="AF332" s="3396"/>
      <c r="AG332" s="3396"/>
      <c r="AH332" s="3396"/>
      <c r="AI332" s="3396"/>
      <c r="AJ332" s="3396"/>
      <c r="AK332" s="3396"/>
      <c r="AL332" s="3396"/>
      <c r="AM332" s="3396"/>
      <c r="AN332" s="3396"/>
      <c r="AO332" s="3396"/>
      <c r="AP332" s="3396"/>
      <c r="AQ332" s="3396"/>
      <c r="AR332" s="3396"/>
      <c r="AS332" s="3396"/>
      <c r="AT332" s="3396"/>
      <c r="AU332" s="3396"/>
      <c r="AV332" s="3396"/>
      <c r="AW332" s="3396"/>
      <c r="AX332" s="3396"/>
      <c r="AY332" s="3396"/>
      <c r="AZ332" s="3396"/>
      <c r="BA332" s="3396"/>
      <c r="BB332" s="3396"/>
      <c r="BC332" s="3396"/>
      <c r="BD332" s="3396"/>
      <c r="BE332" s="3396"/>
      <c r="BF332" s="3396"/>
      <c r="BG332" s="3396"/>
      <c r="BH332" s="3396"/>
      <c r="BI332" s="3396"/>
      <c r="BJ332" s="3396"/>
      <c r="BK332" s="3396"/>
      <c r="BL332" s="3396"/>
      <c r="BM332" s="3396"/>
      <c r="BN332" s="3396"/>
    </row>
    <row r="333" s="687" customFormat="1" ht="15" hidden="1" customHeight="1" spans="1:66">
      <c r="A333" s="3407" t="s">
        <v>6404</v>
      </c>
      <c r="B333" s="3408"/>
      <c r="C333" s="3409"/>
      <c r="D333" s="3409"/>
      <c r="E333" s="3408"/>
      <c r="F333" s="3410"/>
      <c r="G333" s="3410"/>
      <c r="H333" s="3411">
        <f t="shared" si="6"/>
        <v>0</v>
      </c>
      <c r="I333" s="3396"/>
      <c r="J333" s="3396"/>
      <c r="K333" s="3396"/>
      <c r="L333" s="3396"/>
      <c r="M333" s="3396"/>
      <c r="N333" s="3396"/>
      <c r="O333" s="3396"/>
      <c r="P333" s="3396"/>
      <c r="Q333" s="3396"/>
      <c r="R333" s="3396"/>
      <c r="S333" s="3396"/>
      <c r="T333" s="3396"/>
      <c r="U333" s="3396"/>
      <c r="V333" s="3396"/>
      <c r="W333" s="3396"/>
      <c r="X333" s="3396"/>
      <c r="Y333" s="3396"/>
      <c r="Z333" s="3396"/>
      <c r="AA333" s="3396"/>
      <c r="AB333" s="3396"/>
      <c r="AC333" s="3396"/>
      <c r="AD333" s="3396"/>
      <c r="AE333" s="3396"/>
      <c r="AF333" s="3396"/>
      <c r="AG333" s="3396"/>
      <c r="AH333" s="3396"/>
      <c r="AI333" s="3396"/>
      <c r="AJ333" s="3396"/>
      <c r="AK333" s="3396"/>
      <c r="AL333" s="3396"/>
      <c r="AM333" s="3396"/>
      <c r="AN333" s="3396"/>
      <c r="AO333" s="3396"/>
      <c r="AP333" s="3396"/>
      <c r="AQ333" s="3396"/>
      <c r="AR333" s="3396"/>
      <c r="AS333" s="3396"/>
      <c r="AT333" s="3396"/>
      <c r="AU333" s="3396"/>
      <c r="AV333" s="3396"/>
      <c r="AW333" s="3396"/>
      <c r="AX333" s="3396"/>
      <c r="AY333" s="3396"/>
      <c r="AZ333" s="3396"/>
      <c r="BA333" s="3396"/>
      <c r="BB333" s="3396"/>
      <c r="BC333" s="3396"/>
      <c r="BD333" s="3396"/>
      <c r="BE333" s="3396"/>
      <c r="BF333" s="3396"/>
      <c r="BG333" s="3396"/>
      <c r="BH333" s="3396"/>
      <c r="BI333" s="3396"/>
      <c r="BJ333" s="3396"/>
      <c r="BK333" s="3396"/>
      <c r="BL333" s="3396"/>
      <c r="BM333" s="3396"/>
      <c r="BN333" s="3396"/>
    </row>
    <row r="334" s="687" customFormat="1" ht="15" hidden="1" customHeight="1" spans="1:66">
      <c r="A334" s="3407" t="s">
        <v>6405</v>
      </c>
      <c r="B334" s="3408"/>
      <c r="C334" s="3409"/>
      <c r="D334" s="3409"/>
      <c r="E334" s="3408"/>
      <c r="F334" s="3410"/>
      <c r="G334" s="3410"/>
      <c r="H334" s="3411">
        <f t="shared" si="6"/>
        <v>0</v>
      </c>
      <c r="I334" s="3396"/>
      <c r="J334" s="3396"/>
      <c r="K334" s="3396"/>
      <c r="L334" s="3396"/>
      <c r="M334" s="3396"/>
      <c r="N334" s="3396"/>
      <c r="O334" s="3396"/>
      <c r="P334" s="3396"/>
      <c r="Q334" s="3396"/>
      <c r="R334" s="3396"/>
      <c r="S334" s="3396"/>
      <c r="T334" s="3396"/>
      <c r="U334" s="3396"/>
      <c r="V334" s="3396"/>
      <c r="W334" s="3396"/>
      <c r="X334" s="3396"/>
      <c r="Y334" s="3396"/>
      <c r="Z334" s="3396"/>
      <c r="AA334" s="3396"/>
      <c r="AB334" s="3396"/>
      <c r="AC334" s="3396"/>
      <c r="AD334" s="3396"/>
      <c r="AE334" s="3396"/>
      <c r="AF334" s="3396"/>
      <c r="AG334" s="3396"/>
      <c r="AH334" s="3396"/>
      <c r="AI334" s="3396"/>
      <c r="AJ334" s="3396"/>
      <c r="AK334" s="3396"/>
      <c r="AL334" s="3396"/>
      <c r="AM334" s="3396"/>
      <c r="AN334" s="3396"/>
      <c r="AO334" s="3396"/>
      <c r="AP334" s="3396"/>
      <c r="AQ334" s="3396"/>
      <c r="AR334" s="3396"/>
      <c r="AS334" s="3396"/>
      <c r="AT334" s="3396"/>
      <c r="AU334" s="3396"/>
      <c r="AV334" s="3396"/>
      <c r="AW334" s="3396"/>
      <c r="AX334" s="3396"/>
      <c r="AY334" s="3396"/>
      <c r="AZ334" s="3396"/>
      <c r="BA334" s="3396"/>
      <c r="BB334" s="3396"/>
      <c r="BC334" s="3396"/>
      <c r="BD334" s="3396"/>
      <c r="BE334" s="3396"/>
      <c r="BF334" s="3396"/>
      <c r="BG334" s="3396"/>
      <c r="BH334" s="3396"/>
      <c r="BI334" s="3396"/>
      <c r="BJ334" s="3396"/>
      <c r="BK334" s="3396"/>
      <c r="BL334" s="3396"/>
      <c r="BM334" s="3396"/>
      <c r="BN334" s="3396"/>
    </row>
    <row r="335" s="687" customFormat="1" ht="15" hidden="1" customHeight="1" spans="1:66">
      <c r="A335" s="3407" t="s">
        <v>6406</v>
      </c>
      <c r="B335" s="3408"/>
      <c r="C335" s="3409"/>
      <c r="D335" s="3409"/>
      <c r="E335" s="3408"/>
      <c r="F335" s="3410"/>
      <c r="G335" s="3410"/>
      <c r="H335" s="3411">
        <f t="shared" si="6"/>
        <v>0</v>
      </c>
      <c r="I335" s="3396"/>
      <c r="J335" s="3396"/>
      <c r="K335" s="3396"/>
      <c r="L335" s="3396"/>
      <c r="M335" s="3396"/>
      <c r="N335" s="3396"/>
      <c r="O335" s="3396"/>
      <c r="P335" s="3396"/>
      <c r="Q335" s="3396"/>
      <c r="R335" s="3396"/>
      <c r="S335" s="3396"/>
      <c r="T335" s="3396"/>
      <c r="U335" s="3396"/>
      <c r="V335" s="3396"/>
      <c r="W335" s="3396"/>
      <c r="X335" s="3396"/>
      <c r="Y335" s="3396"/>
      <c r="Z335" s="3396"/>
      <c r="AA335" s="3396"/>
      <c r="AB335" s="3396"/>
      <c r="AC335" s="3396"/>
      <c r="AD335" s="3396"/>
      <c r="AE335" s="3396"/>
      <c r="AF335" s="3396"/>
      <c r="AG335" s="3396"/>
      <c r="AH335" s="3396"/>
      <c r="AI335" s="3396"/>
      <c r="AJ335" s="3396"/>
      <c r="AK335" s="3396"/>
      <c r="AL335" s="3396"/>
      <c r="AM335" s="3396"/>
      <c r="AN335" s="3396"/>
      <c r="AO335" s="3396"/>
      <c r="AP335" s="3396"/>
      <c r="AQ335" s="3396"/>
      <c r="AR335" s="3396"/>
      <c r="AS335" s="3396"/>
      <c r="AT335" s="3396"/>
      <c r="AU335" s="3396"/>
      <c r="AV335" s="3396"/>
      <c r="AW335" s="3396"/>
      <c r="AX335" s="3396"/>
      <c r="AY335" s="3396"/>
      <c r="AZ335" s="3396"/>
      <c r="BA335" s="3396"/>
      <c r="BB335" s="3396"/>
      <c r="BC335" s="3396"/>
      <c r="BD335" s="3396"/>
      <c r="BE335" s="3396"/>
      <c r="BF335" s="3396"/>
      <c r="BG335" s="3396"/>
      <c r="BH335" s="3396"/>
      <c r="BI335" s="3396"/>
      <c r="BJ335" s="3396"/>
      <c r="BK335" s="3396"/>
      <c r="BL335" s="3396"/>
      <c r="BM335" s="3396"/>
      <c r="BN335" s="3396"/>
    </row>
    <row r="336" s="687" customFormat="1" ht="15" hidden="1" customHeight="1" spans="1:66">
      <c r="A336" s="3407" t="s">
        <v>6407</v>
      </c>
      <c r="B336" s="3408"/>
      <c r="C336" s="3409"/>
      <c r="D336" s="3409"/>
      <c r="E336" s="3408"/>
      <c r="F336" s="3410"/>
      <c r="G336" s="3410"/>
      <c r="H336" s="3411">
        <f t="shared" si="6"/>
        <v>0</v>
      </c>
      <c r="I336" s="3396"/>
      <c r="J336" s="3396"/>
      <c r="K336" s="3396"/>
      <c r="L336" s="3396"/>
      <c r="M336" s="3396"/>
      <c r="N336" s="3396"/>
      <c r="O336" s="3396"/>
      <c r="P336" s="3396"/>
      <c r="Q336" s="3396"/>
      <c r="R336" s="3396"/>
      <c r="S336" s="3396"/>
      <c r="T336" s="3396"/>
      <c r="U336" s="3396"/>
      <c r="V336" s="3396"/>
      <c r="W336" s="3396"/>
      <c r="X336" s="3396"/>
      <c r="Y336" s="3396"/>
      <c r="Z336" s="3396"/>
      <c r="AA336" s="3396"/>
      <c r="AB336" s="3396"/>
      <c r="AC336" s="3396"/>
      <c r="AD336" s="3396"/>
      <c r="AE336" s="3396"/>
      <c r="AF336" s="3396"/>
      <c r="AG336" s="3396"/>
      <c r="AH336" s="3396"/>
      <c r="AI336" s="3396"/>
      <c r="AJ336" s="3396"/>
      <c r="AK336" s="3396"/>
      <c r="AL336" s="3396"/>
      <c r="AM336" s="3396"/>
      <c r="AN336" s="3396"/>
      <c r="AO336" s="3396"/>
      <c r="AP336" s="3396"/>
      <c r="AQ336" s="3396"/>
      <c r="AR336" s="3396"/>
      <c r="AS336" s="3396"/>
      <c r="AT336" s="3396"/>
      <c r="AU336" s="3396"/>
      <c r="AV336" s="3396"/>
      <c r="AW336" s="3396"/>
      <c r="AX336" s="3396"/>
      <c r="AY336" s="3396"/>
      <c r="AZ336" s="3396"/>
      <c r="BA336" s="3396"/>
      <c r="BB336" s="3396"/>
      <c r="BC336" s="3396"/>
      <c r="BD336" s="3396"/>
      <c r="BE336" s="3396"/>
      <c r="BF336" s="3396"/>
      <c r="BG336" s="3396"/>
      <c r="BH336" s="3396"/>
      <c r="BI336" s="3396"/>
      <c r="BJ336" s="3396"/>
      <c r="BK336" s="3396"/>
      <c r="BL336" s="3396"/>
      <c r="BM336" s="3396"/>
      <c r="BN336" s="3396"/>
    </row>
    <row r="337" s="687" customFormat="1" ht="15" hidden="1" customHeight="1" spans="1:66">
      <c r="A337" s="3407" t="s">
        <v>6408</v>
      </c>
      <c r="B337" s="3408"/>
      <c r="C337" s="3409"/>
      <c r="D337" s="3409"/>
      <c r="E337" s="3408"/>
      <c r="F337" s="3410"/>
      <c r="G337" s="3410"/>
      <c r="H337" s="3411">
        <f t="shared" si="6"/>
        <v>0</v>
      </c>
      <c r="I337" s="3396"/>
      <c r="J337" s="3396"/>
      <c r="K337" s="3396"/>
      <c r="L337" s="3396"/>
      <c r="M337" s="3396"/>
      <c r="N337" s="3396"/>
      <c r="O337" s="3396"/>
      <c r="P337" s="3396"/>
      <c r="Q337" s="3396"/>
      <c r="R337" s="3396"/>
      <c r="S337" s="3396"/>
      <c r="T337" s="3396"/>
      <c r="U337" s="3396"/>
      <c r="V337" s="3396"/>
      <c r="W337" s="3396"/>
      <c r="X337" s="3396"/>
      <c r="Y337" s="3396"/>
      <c r="Z337" s="3396"/>
      <c r="AA337" s="3396"/>
      <c r="AB337" s="3396"/>
      <c r="AC337" s="3396"/>
      <c r="AD337" s="3396"/>
      <c r="AE337" s="3396"/>
      <c r="AF337" s="3396"/>
      <c r="AG337" s="3396"/>
      <c r="AH337" s="3396"/>
      <c r="AI337" s="3396"/>
      <c r="AJ337" s="3396"/>
      <c r="AK337" s="3396"/>
      <c r="AL337" s="3396"/>
      <c r="AM337" s="3396"/>
      <c r="AN337" s="3396"/>
      <c r="AO337" s="3396"/>
      <c r="AP337" s="3396"/>
      <c r="AQ337" s="3396"/>
      <c r="AR337" s="3396"/>
      <c r="AS337" s="3396"/>
      <c r="AT337" s="3396"/>
      <c r="AU337" s="3396"/>
      <c r="AV337" s="3396"/>
      <c r="AW337" s="3396"/>
      <c r="AX337" s="3396"/>
      <c r="AY337" s="3396"/>
      <c r="AZ337" s="3396"/>
      <c r="BA337" s="3396"/>
      <c r="BB337" s="3396"/>
      <c r="BC337" s="3396"/>
      <c r="BD337" s="3396"/>
      <c r="BE337" s="3396"/>
      <c r="BF337" s="3396"/>
      <c r="BG337" s="3396"/>
      <c r="BH337" s="3396"/>
      <c r="BI337" s="3396"/>
      <c r="BJ337" s="3396"/>
      <c r="BK337" s="3396"/>
      <c r="BL337" s="3396"/>
      <c r="BM337" s="3396"/>
      <c r="BN337" s="3396"/>
    </row>
    <row r="338" s="687" customFormat="1" ht="15" hidden="1" customHeight="1" spans="1:66">
      <c r="A338" s="3407" t="s">
        <v>6409</v>
      </c>
      <c r="B338" s="3408"/>
      <c r="C338" s="3409"/>
      <c r="D338" s="3409"/>
      <c r="E338" s="3408"/>
      <c r="F338" s="3410"/>
      <c r="G338" s="3410"/>
      <c r="H338" s="3411">
        <f t="shared" si="6"/>
        <v>0</v>
      </c>
      <c r="I338" s="3396"/>
      <c r="J338" s="3396"/>
      <c r="K338" s="3396"/>
      <c r="L338" s="3396"/>
      <c r="M338" s="3396"/>
      <c r="N338" s="3396"/>
      <c r="O338" s="3396"/>
      <c r="P338" s="3396"/>
      <c r="Q338" s="3396"/>
      <c r="R338" s="3396"/>
      <c r="S338" s="3396"/>
      <c r="T338" s="3396"/>
      <c r="U338" s="3396"/>
      <c r="V338" s="3396"/>
      <c r="W338" s="3396"/>
      <c r="X338" s="3396"/>
      <c r="Y338" s="3396"/>
      <c r="Z338" s="3396"/>
      <c r="AA338" s="3396"/>
      <c r="AB338" s="3396"/>
      <c r="AC338" s="3396"/>
      <c r="AD338" s="3396"/>
      <c r="AE338" s="3396"/>
      <c r="AF338" s="3396"/>
      <c r="AG338" s="3396"/>
      <c r="AH338" s="3396"/>
      <c r="AI338" s="3396"/>
      <c r="AJ338" s="3396"/>
      <c r="AK338" s="3396"/>
      <c r="AL338" s="3396"/>
      <c r="AM338" s="3396"/>
      <c r="AN338" s="3396"/>
      <c r="AO338" s="3396"/>
      <c r="AP338" s="3396"/>
      <c r="AQ338" s="3396"/>
      <c r="AR338" s="3396"/>
      <c r="AS338" s="3396"/>
      <c r="AT338" s="3396"/>
      <c r="AU338" s="3396"/>
      <c r="AV338" s="3396"/>
      <c r="AW338" s="3396"/>
      <c r="AX338" s="3396"/>
      <c r="AY338" s="3396"/>
      <c r="AZ338" s="3396"/>
      <c r="BA338" s="3396"/>
      <c r="BB338" s="3396"/>
      <c r="BC338" s="3396"/>
      <c r="BD338" s="3396"/>
      <c r="BE338" s="3396"/>
      <c r="BF338" s="3396"/>
      <c r="BG338" s="3396"/>
      <c r="BH338" s="3396"/>
      <c r="BI338" s="3396"/>
      <c r="BJ338" s="3396"/>
      <c r="BK338" s="3396"/>
      <c r="BL338" s="3396"/>
      <c r="BM338" s="3396"/>
      <c r="BN338" s="3396"/>
    </row>
    <row r="339" s="687" customFormat="1" ht="15" hidden="1" customHeight="1" spans="1:66">
      <c r="A339" s="3407" t="s">
        <v>6410</v>
      </c>
      <c r="B339" s="3408"/>
      <c r="C339" s="3409"/>
      <c r="D339" s="3409"/>
      <c r="E339" s="3408"/>
      <c r="F339" s="3410"/>
      <c r="G339" s="3410"/>
      <c r="H339" s="3411">
        <f t="shared" ref="H339:H402" si="7">F339+G339</f>
        <v>0</v>
      </c>
      <c r="I339" s="3396"/>
      <c r="J339" s="3396"/>
      <c r="K339" s="3396"/>
      <c r="L339" s="3396"/>
      <c r="M339" s="3396"/>
      <c r="N339" s="3396"/>
      <c r="O339" s="3396"/>
      <c r="P339" s="3396"/>
      <c r="Q339" s="3396"/>
      <c r="R339" s="3396"/>
      <c r="S339" s="3396"/>
      <c r="T339" s="3396"/>
      <c r="U339" s="3396"/>
      <c r="V339" s="3396"/>
      <c r="W339" s="3396"/>
      <c r="X339" s="3396"/>
      <c r="Y339" s="3396"/>
      <c r="Z339" s="3396"/>
      <c r="AA339" s="3396"/>
      <c r="AB339" s="3396"/>
      <c r="AC339" s="3396"/>
      <c r="AD339" s="3396"/>
      <c r="AE339" s="3396"/>
      <c r="AF339" s="3396"/>
      <c r="AG339" s="3396"/>
      <c r="AH339" s="3396"/>
      <c r="AI339" s="3396"/>
      <c r="AJ339" s="3396"/>
      <c r="AK339" s="3396"/>
      <c r="AL339" s="3396"/>
      <c r="AM339" s="3396"/>
      <c r="AN339" s="3396"/>
      <c r="AO339" s="3396"/>
      <c r="AP339" s="3396"/>
      <c r="AQ339" s="3396"/>
      <c r="AR339" s="3396"/>
      <c r="AS339" s="3396"/>
      <c r="AT339" s="3396"/>
      <c r="AU339" s="3396"/>
      <c r="AV339" s="3396"/>
      <c r="AW339" s="3396"/>
      <c r="AX339" s="3396"/>
      <c r="AY339" s="3396"/>
      <c r="AZ339" s="3396"/>
      <c r="BA339" s="3396"/>
      <c r="BB339" s="3396"/>
      <c r="BC339" s="3396"/>
      <c r="BD339" s="3396"/>
      <c r="BE339" s="3396"/>
      <c r="BF339" s="3396"/>
      <c r="BG339" s="3396"/>
      <c r="BH339" s="3396"/>
      <c r="BI339" s="3396"/>
      <c r="BJ339" s="3396"/>
      <c r="BK339" s="3396"/>
      <c r="BL339" s="3396"/>
      <c r="BM339" s="3396"/>
      <c r="BN339" s="3396"/>
    </row>
    <row r="340" s="687" customFormat="1" ht="15" hidden="1" customHeight="1" spans="1:66">
      <c r="A340" s="3407" t="s">
        <v>6411</v>
      </c>
      <c r="B340" s="3408"/>
      <c r="C340" s="3409"/>
      <c r="D340" s="3409"/>
      <c r="E340" s="3408"/>
      <c r="F340" s="3410"/>
      <c r="G340" s="3410"/>
      <c r="H340" s="3411">
        <f t="shared" si="7"/>
        <v>0</v>
      </c>
      <c r="I340" s="3396"/>
      <c r="J340" s="3396"/>
      <c r="K340" s="3396"/>
      <c r="L340" s="3396"/>
      <c r="M340" s="3396"/>
      <c r="N340" s="3396"/>
      <c r="O340" s="3396"/>
      <c r="P340" s="3396"/>
      <c r="Q340" s="3396"/>
      <c r="R340" s="3396"/>
      <c r="S340" s="3396"/>
      <c r="T340" s="3396"/>
      <c r="U340" s="3396"/>
      <c r="V340" s="3396"/>
      <c r="W340" s="3396"/>
      <c r="X340" s="3396"/>
      <c r="Y340" s="3396"/>
      <c r="Z340" s="3396"/>
      <c r="AA340" s="3396"/>
      <c r="AB340" s="3396"/>
      <c r="AC340" s="3396"/>
      <c r="AD340" s="3396"/>
      <c r="AE340" s="3396"/>
      <c r="AF340" s="3396"/>
      <c r="AG340" s="3396"/>
      <c r="AH340" s="3396"/>
      <c r="AI340" s="3396"/>
      <c r="AJ340" s="3396"/>
      <c r="AK340" s="3396"/>
      <c r="AL340" s="3396"/>
      <c r="AM340" s="3396"/>
      <c r="AN340" s="3396"/>
      <c r="AO340" s="3396"/>
      <c r="AP340" s="3396"/>
      <c r="AQ340" s="3396"/>
      <c r="AR340" s="3396"/>
      <c r="AS340" s="3396"/>
      <c r="AT340" s="3396"/>
      <c r="AU340" s="3396"/>
      <c r="AV340" s="3396"/>
      <c r="AW340" s="3396"/>
      <c r="AX340" s="3396"/>
      <c r="AY340" s="3396"/>
      <c r="AZ340" s="3396"/>
      <c r="BA340" s="3396"/>
      <c r="BB340" s="3396"/>
      <c r="BC340" s="3396"/>
      <c r="BD340" s="3396"/>
      <c r="BE340" s="3396"/>
      <c r="BF340" s="3396"/>
      <c r="BG340" s="3396"/>
      <c r="BH340" s="3396"/>
      <c r="BI340" s="3396"/>
      <c r="BJ340" s="3396"/>
      <c r="BK340" s="3396"/>
      <c r="BL340" s="3396"/>
      <c r="BM340" s="3396"/>
      <c r="BN340" s="3396"/>
    </row>
    <row r="341" s="687" customFormat="1" ht="15" hidden="1" customHeight="1" spans="1:66">
      <c r="A341" s="3407" t="s">
        <v>6412</v>
      </c>
      <c r="B341" s="3408"/>
      <c r="C341" s="3409"/>
      <c r="D341" s="3409"/>
      <c r="E341" s="3408"/>
      <c r="F341" s="3410"/>
      <c r="G341" s="3410"/>
      <c r="H341" s="3411">
        <f t="shared" si="7"/>
        <v>0</v>
      </c>
      <c r="I341" s="3396"/>
      <c r="J341" s="3396"/>
      <c r="K341" s="3396"/>
      <c r="L341" s="3396"/>
      <c r="M341" s="3396"/>
      <c r="N341" s="3396"/>
      <c r="O341" s="3396"/>
      <c r="P341" s="3396"/>
      <c r="Q341" s="3396"/>
      <c r="R341" s="3396"/>
      <c r="S341" s="3396"/>
      <c r="T341" s="3396"/>
      <c r="U341" s="3396"/>
      <c r="V341" s="3396"/>
      <c r="W341" s="3396"/>
      <c r="X341" s="3396"/>
      <c r="Y341" s="3396"/>
      <c r="Z341" s="3396"/>
      <c r="AA341" s="3396"/>
      <c r="AB341" s="3396"/>
      <c r="AC341" s="3396"/>
      <c r="AD341" s="3396"/>
      <c r="AE341" s="3396"/>
      <c r="AF341" s="3396"/>
      <c r="AG341" s="3396"/>
      <c r="AH341" s="3396"/>
      <c r="AI341" s="3396"/>
      <c r="AJ341" s="3396"/>
      <c r="AK341" s="3396"/>
      <c r="AL341" s="3396"/>
      <c r="AM341" s="3396"/>
      <c r="AN341" s="3396"/>
      <c r="AO341" s="3396"/>
      <c r="AP341" s="3396"/>
      <c r="AQ341" s="3396"/>
      <c r="AR341" s="3396"/>
      <c r="AS341" s="3396"/>
      <c r="AT341" s="3396"/>
      <c r="AU341" s="3396"/>
      <c r="AV341" s="3396"/>
      <c r="AW341" s="3396"/>
      <c r="AX341" s="3396"/>
      <c r="AY341" s="3396"/>
      <c r="AZ341" s="3396"/>
      <c r="BA341" s="3396"/>
      <c r="BB341" s="3396"/>
      <c r="BC341" s="3396"/>
      <c r="BD341" s="3396"/>
      <c r="BE341" s="3396"/>
      <c r="BF341" s="3396"/>
      <c r="BG341" s="3396"/>
      <c r="BH341" s="3396"/>
      <c r="BI341" s="3396"/>
      <c r="BJ341" s="3396"/>
      <c r="BK341" s="3396"/>
      <c r="BL341" s="3396"/>
      <c r="BM341" s="3396"/>
      <c r="BN341" s="3396"/>
    </row>
    <row r="342" s="687" customFormat="1" ht="15" hidden="1" customHeight="1" spans="1:66">
      <c r="A342" s="3407" t="s">
        <v>6413</v>
      </c>
      <c r="B342" s="3408"/>
      <c r="C342" s="3409"/>
      <c r="D342" s="3409"/>
      <c r="E342" s="3408"/>
      <c r="F342" s="3410"/>
      <c r="G342" s="3410"/>
      <c r="H342" s="3411">
        <f t="shared" si="7"/>
        <v>0</v>
      </c>
      <c r="I342" s="3396"/>
      <c r="J342" s="3396"/>
      <c r="K342" s="3396"/>
      <c r="L342" s="3396"/>
      <c r="M342" s="3396"/>
      <c r="N342" s="3396"/>
      <c r="O342" s="3396"/>
      <c r="P342" s="3396"/>
      <c r="Q342" s="3396"/>
      <c r="R342" s="3396"/>
      <c r="S342" s="3396"/>
      <c r="T342" s="3396"/>
      <c r="U342" s="3396"/>
      <c r="V342" s="3396"/>
      <c r="W342" s="3396"/>
      <c r="X342" s="3396"/>
      <c r="Y342" s="3396"/>
      <c r="Z342" s="3396"/>
      <c r="AA342" s="3396"/>
      <c r="AB342" s="3396"/>
      <c r="AC342" s="3396"/>
      <c r="AD342" s="3396"/>
      <c r="AE342" s="3396"/>
      <c r="AF342" s="3396"/>
      <c r="AG342" s="3396"/>
      <c r="AH342" s="3396"/>
      <c r="AI342" s="3396"/>
      <c r="AJ342" s="3396"/>
      <c r="AK342" s="3396"/>
      <c r="AL342" s="3396"/>
      <c r="AM342" s="3396"/>
      <c r="AN342" s="3396"/>
      <c r="AO342" s="3396"/>
      <c r="AP342" s="3396"/>
      <c r="AQ342" s="3396"/>
      <c r="AR342" s="3396"/>
      <c r="AS342" s="3396"/>
      <c r="AT342" s="3396"/>
      <c r="AU342" s="3396"/>
      <c r="AV342" s="3396"/>
      <c r="AW342" s="3396"/>
      <c r="AX342" s="3396"/>
      <c r="AY342" s="3396"/>
      <c r="AZ342" s="3396"/>
      <c r="BA342" s="3396"/>
      <c r="BB342" s="3396"/>
      <c r="BC342" s="3396"/>
      <c r="BD342" s="3396"/>
      <c r="BE342" s="3396"/>
      <c r="BF342" s="3396"/>
      <c r="BG342" s="3396"/>
      <c r="BH342" s="3396"/>
      <c r="BI342" s="3396"/>
      <c r="BJ342" s="3396"/>
      <c r="BK342" s="3396"/>
      <c r="BL342" s="3396"/>
      <c r="BM342" s="3396"/>
      <c r="BN342" s="3396"/>
    </row>
    <row r="343" s="687" customFormat="1" ht="15" hidden="1" customHeight="1" spans="1:66">
      <c r="A343" s="3407" t="s">
        <v>6414</v>
      </c>
      <c r="B343" s="3408"/>
      <c r="C343" s="3409"/>
      <c r="D343" s="3409"/>
      <c r="E343" s="3408"/>
      <c r="F343" s="3410"/>
      <c r="G343" s="3410"/>
      <c r="H343" s="3411">
        <f t="shared" si="7"/>
        <v>0</v>
      </c>
      <c r="I343" s="3396"/>
      <c r="J343" s="3396"/>
      <c r="K343" s="3396"/>
      <c r="L343" s="3396"/>
      <c r="M343" s="3396"/>
      <c r="N343" s="3396"/>
      <c r="O343" s="3396"/>
      <c r="P343" s="3396"/>
      <c r="Q343" s="3396"/>
      <c r="R343" s="3396"/>
      <c r="S343" s="3396"/>
      <c r="T343" s="3396"/>
      <c r="U343" s="3396"/>
      <c r="V343" s="3396"/>
      <c r="W343" s="3396"/>
      <c r="X343" s="3396"/>
      <c r="Y343" s="3396"/>
      <c r="Z343" s="3396"/>
      <c r="AA343" s="3396"/>
      <c r="AB343" s="3396"/>
      <c r="AC343" s="3396"/>
      <c r="AD343" s="3396"/>
      <c r="AE343" s="3396"/>
      <c r="AF343" s="3396"/>
      <c r="AG343" s="3396"/>
      <c r="AH343" s="3396"/>
      <c r="AI343" s="3396"/>
      <c r="AJ343" s="3396"/>
      <c r="AK343" s="3396"/>
      <c r="AL343" s="3396"/>
      <c r="AM343" s="3396"/>
      <c r="AN343" s="3396"/>
      <c r="AO343" s="3396"/>
      <c r="AP343" s="3396"/>
      <c r="AQ343" s="3396"/>
      <c r="AR343" s="3396"/>
      <c r="AS343" s="3396"/>
      <c r="AT343" s="3396"/>
      <c r="AU343" s="3396"/>
      <c r="AV343" s="3396"/>
      <c r="AW343" s="3396"/>
      <c r="AX343" s="3396"/>
      <c r="AY343" s="3396"/>
      <c r="AZ343" s="3396"/>
      <c r="BA343" s="3396"/>
      <c r="BB343" s="3396"/>
      <c r="BC343" s="3396"/>
      <c r="BD343" s="3396"/>
      <c r="BE343" s="3396"/>
      <c r="BF343" s="3396"/>
      <c r="BG343" s="3396"/>
      <c r="BH343" s="3396"/>
      <c r="BI343" s="3396"/>
      <c r="BJ343" s="3396"/>
      <c r="BK343" s="3396"/>
      <c r="BL343" s="3396"/>
      <c r="BM343" s="3396"/>
      <c r="BN343" s="3396"/>
    </row>
    <row r="344" s="687" customFormat="1" ht="15" hidden="1" customHeight="1" spans="1:66">
      <c r="A344" s="3407" t="s">
        <v>6415</v>
      </c>
      <c r="B344" s="3408"/>
      <c r="C344" s="3409"/>
      <c r="D344" s="3409"/>
      <c r="E344" s="3408"/>
      <c r="F344" s="3410"/>
      <c r="G344" s="3410"/>
      <c r="H344" s="3411">
        <f t="shared" si="7"/>
        <v>0</v>
      </c>
      <c r="I344" s="3396"/>
      <c r="J344" s="3396"/>
      <c r="K344" s="3396"/>
      <c r="L344" s="3396"/>
      <c r="M344" s="3396"/>
      <c r="N344" s="3396"/>
      <c r="O344" s="3396"/>
      <c r="P344" s="3396"/>
      <c r="Q344" s="3396"/>
      <c r="R344" s="3396"/>
      <c r="S344" s="3396"/>
      <c r="T344" s="3396"/>
      <c r="U344" s="3396"/>
      <c r="V344" s="3396"/>
      <c r="W344" s="3396"/>
      <c r="X344" s="3396"/>
      <c r="Y344" s="3396"/>
      <c r="Z344" s="3396"/>
      <c r="AA344" s="3396"/>
      <c r="AB344" s="3396"/>
      <c r="AC344" s="3396"/>
      <c r="AD344" s="3396"/>
      <c r="AE344" s="3396"/>
      <c r="AF344" s="3396"/>
      <c r="AG344" s="3396"/>
      <c r="AH344" s="3396"/>
      <c r="AI344" s="3396"/>
      <c r="AJ344" s="3396"/>
      <c r="AK344" s="3396"/>
      <c r="AL344" s="3396"/>
      <c r="AM344" s="3396"/>
      <c r="AN344" s="3396"/>
      <c r="AO344" s="3396"/>
      <c r="AP344" s="3396"/>
      <c r="AQ344" s="3396"/>
      <c r="AR344" s="3396"/>
      <c r="AS344" s="3396"/>
      <c r="AT344" s="3396"/>
      <c r="AU344" s="3396"/>
      <c r="AV344" s="3396"/>
      <c r="AW344" s="3396"/>
      <c r="AX344" s="3396"/>
      <c r="AY344" s="3396"/>
      <c r="AZ344" s="3396"/>
      <c r="BA344" s="3396"/>
      <c r="BB344" s="3396"/>
      <c r="BC344" s="3396"/>
      <c r="BD344" s="3396"/>
      <c r="BE344" s="3396"/>
      <c r="BF344" s="3396"/>
      <c r="BG344" s="3396"/>
      <c r="BH344" s="3396"/>
      <c r="BI344" s="3396"/>
      <c r="BJ344" s="3396"/>
      <c r="BK344" s="3396"/>
      <c r="BL344" s="3396"/>
      <c r="BM344" s="3396"/>
      <c r="BN344" s="3396"/>
    </row>
    <row r="345" s="687" customFormat="1" ht="15" hidden="1" customHeight="1" spans="1:66">
      <c r="A345" s="3407" t="s">
        <v>6416</v>
      </c>
      <c r="B345" s="3408"/>
      <c r="C345" s="3409"/>
      <c r="D345" s="3409"/>
      <c r="E345" s="3408"/>
      <c r="F345" s="3410"/>
      <c r="G345" s="3410"/>
      <c r="H345" s="3411">
        <f t="shared" si="7"/>
        <v>0</v>
      </c>
      <c r="I345" s="3396"/>
      <c r="J345" s="3396"/>
      <c r="K345" s="3396"/>
      <c r="L345" s="3396"/>
      <c r="M345" s="3396"/>
      <c r="N345" s="3396"/>
      <c r="O345" s="3396"/>
      <c r="P345" s="3396"/>
      <c r="Q345" s="3396"/>
      <c r="R345" s="3396"/>
      <c r="S345" s="3396"/>
      <c r="T345" s="3396"/>
      <c r="U345" s="3396"/>
      <c r="V345" s="3396"/>
      <c r="W345" s="3396"/>
      <c r="X345" s="3396"/>
      <c r="Y345" s="3396"/>
      <c r="Z345" s="3396"/>
      <c r="AA345" s="3396"/>
      <c r="AB345" s="3396"/>
      <c r="AC345" s="3396"/>
      <c r="AD345" s="3396"/>
      <c r="AE345" s="3396"/>
      <c r="AF345" s="3396"/>
      <c r="AG345" s="3396"/>
      <c r="AH345" s="3396"/>
      <c r="AI345" s="3396"/>
      <c r="AJ345" s="3396"/>
      <c r="AK345" s="3396"/>
      <c r="AL345" s="3396"/>
      <c r="AM345" s="3396"/>
      <c r="AN345" s="3396"/>
      <c r="AO345" s="3396"/>
      <c r="AP345" s="3396"/>
      <c r="AQ345" s="3396"/>
      <c r="AR345" s="3396"/>
      <c r="AS345" s="3396"/>
      <c r="AT345" s="3396"/>
      <c r="AU345" s="3396"/>
      <c r="AV345" s="3396"/>
      <c r="AW345" s="3396"/>
      <c r="AX345" s="3396"/>
      <c r="AY345" s="3396"/>
      <c r="AZ345" s="3396"/>
      <c r="BA345" s="3396"/>
      <c r="BB345" s="3396"/>
      <c r="BC345" s="3396"/>
      <c r="BD345" s="3396"/>
      <c r="BE345" s="3396"/>
      <c r="BF345" s="3396"/>
      <c r="BG345" s="3396"/>
      <c r="BH345" s="3396"/>
      <c r="BI345" s="3396"/>
      <c r="BJ345" s="3396"/>
      <c r="BK345" s="3396"/>
      <c r="BL345" s="3396"/>
      <c r="BM345" s="3396"/>
      <c r="BN345" s="3396"/>
    </row>
    <row r="346" s="687" customFormat="1" ht="15" hidden="1" customHeight="1" spans="1:66">
      <c r="A346" s="3407" t="s">
        <v>6417</v>
      </c>
      <c r="B346" s="3408"/>
      <c r="C346" s="3409"/>
      <c r="D346" s="3409"/>
      <c r="E346" s="3408"/>
      <c r="F346" s="3410"/>
      <c r="G346" s="3410"/>
      <c r="H346" s="3411">
        <f t="shared" si="7"/>
        <v>0</v>
      </c>
      <c r="I346" s="3396"/>
      <c r="J346" s="3396"/>
      <c r="K346" s="3396"/>
      <c r="L346" s="3396"/>
      <c r="M346" s="3396"/>
      <c r="N346" s="3396"/>
      <c r="O346" s="3396"/>
      <c r="P346" s="3396"/>
      <c r="Q346" s="3396"/>
      <c r="R346" s="3396"/>
      <c r="S346" s="3396"/>
      <c r="T346" s="3396"/>
      <c r="U346" s="3396"/>
      <c r="V346" s="3396"/>
      <c r="W346" s="3396"/>
      <c r="X346" s="3396"/>
      <c r="Y346" s="3396"/>
      <c r="Z346" s="3396"/>
      <c r="AA346" s="3396"/>
      <c r="AB346" s="3396"/>
      <c r="AC346" s="3396"/>
      <c r="AD346" s="3396"/>
      <c r="AE346" s="3396"/>
      <c r="AF346" s="3396"/>
      <c r="AG346" s="3396"/>
      <c r="AH346" s="3396"/>
      <c r="AI346" s="3396"/>
      <c r="AJ346" s="3396"/>
      <c r="AK346" s="3396"/>
      <c r="AL346" s="3396"/>
      <c r="AM346" s="3396"/>
      <c r="AN346" s="3396"/>
      <c r="AO346" s="3396"/>
      <c r="AP346" s="3396"/>
      <c r="AQ346" s="3396"/>
      <c r="AR346" s="3396"/>
      <c r="AS346" s="3396"/>
      <c r="AT346" s="3396"/>
      <c r="AU346" s="3396"/>
      <c r="AV346" s="3396"/>
      <c r="AW346" s="3396"/>
      <c r="AX346" s="3396"/>
      <c r="AY346" s="3396"/>
      <c r="AZ346" s="3396"/>
      <c r="BA346" s="3396"/>
      <c r="BB346" s="3396"/>
      <c r="BC346" s="3396"/>
      <c r="BD346" s="3396"/>
      <c r="BE346" s="3396"/>
      <c r="BF346" s="3396"/>
      <c r="BG346" s="3396"/>
      <c r="BH346" s="3396"/>
      <c r="BI346" s="3396"/>
      <c r="BJ346" s="3396"/>
      <c r="BK346" s="3396"/>
      <c r="BL346" s="3396"/>
      <c r="BM346" s="3396"/>
      <c r="BN346" s="3396"/>
    </row>
    <row r="347" s="687" customFormat="1" ht="15" hidden="1" customHeight="1" spans="1:66">
      <c r="A347" s="3407" t="s">
        <v>6418</v>
      </c>
      <c r="B347" s="3408"/>
      <c r="C347" s="3409"/>
      <c r="D347" s="3409"/>
      <c r="E347" s="3408"/>
      <c r="F347" s="3410"/>
      <c r="G347" s="3410"/>
      <c r="H347" s="3411">
        <f t="shared" si="7"/>
        <v>0</v>
      </c>
      <c r="I347" s="3396"/>
      <c r="J347" s="3396"/>
      <c r="K347" s="3396"/>
      <c r="L347" s="3396"/>
      <c r="M347" s="3396"/>
      <c r="N347" s="3396"/>
      <c r="O347" s="3396"/>
      <c r="P347" s="3396"/>
      <c r="Q347" s="3396"/>
      <c r="R347" s="3396"/>
      <c r="S347" s="3396"/>
      <c r="T347" s="3396"/>
      <c r="U347" s="3396"/>
      <c r="V347" s="3396"/>
      <c r="W347" s="3396"/>
      <c r="X347" s="3396"/>
      <c r="Y347" s="3396"/>
      <c r="Z347" s="3396"/>
      <c r="AA347" s="3396"/>
      <c r="AB347" s="3396"/>
      <c r="AC347" s="3396"/>
      <c r="AD347" s="3396"/>
      <c r="AE347" s="3396"/>
      <c r="AF347" s="3396"/>
      <c r="AG347" s="3396"/>
      <c r="AH347" s="3396"/>
      <c r="AI347" s="3396"/>
      <c r="AJ347" s="3396"/>
      <c r="AK347" s="3396"/>
      <c r="AL347" s="3396"/>
      <c r="AM347" s="3396"/>
      <c r="AN347" s="3396"/>
      <c r="AO347" s="3396"/>
      <c r="AP347" s="3396"/>
      <c r="AQ347" s="3396"/>
      <c r="AR347" s="3396"/>
      <c r="AS347" s="3396"/>
      <c r="AT347" s="3396"/>
      <c r="AU347" s="3396"/>
      <c r="AV347" s="3396"/>
      <c r="AW347" s="3396"/>
      <c r="AX347" s="3396"/>
      <c r="AY347" s="3396"/>
      <c r="AZ347" s="3396"/>
      <c r="BA347" s="3396"/>
      <c r="BB347" s="3396"/>
      <c r="BC347" s="3396"/>
      <c r="BD347" s="3396"/>
      <c r="BE347" s="3396"/>
      <c r="BF347" s="3396"/>
      <c r="BG347" s="3396"/>
      <c r="BH347" s="3396"/>
      <c r="BI347" s="3396"/>
      <c r="BJ347" s="3396"/>
      <c r="BK347" s="3396"/>
      <c r="BL347" s="3396"/>
      <c r="BM347" s="3396"/>
      <c r="BN347" s="3396"/>
    </row>
    <row r="348" s="687" customFormat="1" ht="15" hidden="1" customHeight="1" spans="1:66">
      <c r="A348" s="3407" t="s">
        <v>6419</v>
      </c>
      <c r="B348" s="3408"/>
      <c r="C348" s="3409"/>
      <c r="D348" s="3409"/>
      <c r="E348" s="3408"/>
      <c r="F348" s="3410"/>
      <c r="G348" s="3410"/>
      <c r="H348" s="3411">
        <f t="shared" si="7"/>
        <v>0</v>
      </c>
      <c r="I348" s="3396"/>
      <c r="J348" s="3396"/>
      <c r="K348" s="3396"/>
      <c r="L348" s="3396"/>
      <c r="M348" s="3396"/>
      <c r="N348" s="3396"/>
      <c r="O348" s="3396"/>
      <c r="P348" s="3396"/>
      <c r="Q348" s="3396"/>
      <c r="R348" s="3396"/>
      <c r="S348" s="3396"/>
      <c r="T348" s="3396"/>
      <c r="U348" s="3396"/>
      <c r="V348" s="3396"/>
      <c r="W348" s="3396"/>
      <c r="X348" s="3396"/>
      <c r="Y348" s="3396"/>
      <c r="Z348" s="3396"/>
      <c r="AA348" s="3396"/>
      <c r="AB348" s="3396"/>
      <c r="AC348" s="3396"/>
      <c r="AD348" s="3396"/>
      <c r="AE348" s="3396"/>
      <c r="AF348" s="3396"/>
      <c r="AG348" s="3396"/>
      <c r="AH348" s="3396"/>
      <c r="AI348" s="3396"/>
      <c r="AJ348" s="3396"/>
      <c r="AK348" s="3396"/>
      <c r="AL348" s="3396"/>
      <c r="AM348" s="3396"/>
      <c r="AN348" s="3396"/>
      <c r="AO348" s="3396"/>
      <c r="AP348" s="3396"/>
      <c r="AQ348" s="3396"/>
      <c r="AR348" s="3396"/>
      <c r="AS348" s="3396"/>
      <c r="AT348" s="3396"/>
      <c r="AU348" s="3396"/>
      <c r="AV348" s="3396"/>
      <c r="AW348" s="3396"/>
      <c r="AX348" s="3396"/>
      <c r="AY348" s="3396"/>
      <c r="AZ348" s="3396"/>
      <c r="BA348" s="3396"/>
      <c r="BB348" s="3396"/>
      <c r="BC348" s="3396"/>
      <c r="BD348" s="3396"/>
      <c r="BE348" s="3396"/>
      <c r="BF348" s="3396"/>
      <c r="BG348" s="3396"/>
      <c r="BH348" s="3396"/>
      <c r="BI348" s="3396"/>
      <c r="BJ348" s="3396"/>
      <c r="BK348" s="3396"/>
      <c r="BL348" s="3396"/>
      <c r="BM348" s="3396"/>
      <c r="BN348" s="3396"/>
    </row>
    <row r="349" s="687" customFormat="1" ht="15" hidden="1" customHeight="1" spans="1:66">
      <c r="A349" s="3407" t="s">
        <v>6420</v>
      </c>
      <c r="B349" s="3408"/>
      <c r="C349" s="3409"/>
      <c r="D349" s="3409"/>
      <c r="E349" s="3408"/>
      <c r="F349" s="3410"/>
      <c r="G349" s="3410"/>
      <c r="H349" s="3411">
        <f t="shared" si="7"/>
        <v>0</v>
      </c>
      <c r="I349" s="3396"/>
      <c r="J349" s="3396"/>
      <c r="K349" s="3396"/>
      <c r="L349" s="3396"/>
      <c r="M349" s="3396"/>
      <c r="N349" s="3396"/>
      <c r="O349" s="3396"/>
      <c r="P349" s="3396"/>
      <c r="Q349" s="3396"/>
      <c r="R349" s="3396"/>
      <c r="S349" s="3396"/>
      <c r="T349" s="3396"/>
      <c r="U349" s="3396"/>
      <c r="V349" s="3396"/>
      <c r="W349" s="3396"/>
      <c r="X349" s="3396"/>
      <c r="Y349" s="3396"/>
      <c r="Z349" s="3396"/>
      <c r="AA349" s="3396"/>
      <c r="AB349" s="3396"/>
      <c r="AC349" s="3396"/>
      <c r="AD349" s="3396"/>
      <c r="AE349" s="3396"/>
      <c r="AF349" s="3396"/>
      <c r="AG349" s="3396"/>
      <c r="AH349" s="3396"/>
      <c r="AI349" s="3396"/>
      <c r="AJ349" s="3396"/>
      <c r="AK349" s="3396"/>
      <c r="AL349" s="3396"/>
      <c r="AM349" s="3396"/>
      <c r="AN349" s="3396"/>
      <c r="AO349" s="3396"/>
      <c r="AP349" s="3396"/>
      <c r="AQ349" s="3396"/>
      <c r="AR349" s="3396"/>
      <c r="AS349" s="3396"/>
      <c r="AT349" s="3396"/>
      <c r="AU349" s="3396"/>
      <c r="AV349" s="3396"/>
      <c r="AW349" s="3396"/>
      <c r="AX349" s="3396"/>
      <c r="AY349" s="3396"/>
      <c r="AZ349" s="3396"/>
      <c r="BA349" s="3396"/>
      <c r="BB349" s="3396"/>
      <c r="BC349" s="3396"/>
      <c r="BD349" s="3396"/>
      <c r="BE349" s="3396"/>
      <c r="BF349" s="3396"/>
      <c r="BG349" s="3396"/>
      <c r="BH349" s="3396"/>
      <c r="BI349" s="3396"/>
      <c r="BJ349" s="3396"/>
      <c r="BK349" s="3396"/>
      <c r="BL349" s="3396"/>
      <c r="BM349" s="3396"/>
      <c r="BN349" s="3396"/>
    </row>
    <row r="350" s="687" customFormat="1" ht="15" hidden="1" customHeight="1" spans="1:66">
      <c r="A350" s="3407" t="s">
        <v>6421</v>
      </c>
      <c r="B350" s="3408"/>
      <c r="C350" s="3409"/>
      <c r="D350" s="3409"/>
      <c r="E350" s="3408"/>
      <c r="F350" s="3410"/>
      <c r="G350" s="3410"/>
      <c r="H350" s="3411">
        <f t="shared" si="7"/>
        <v>0</v>
      </c>
      <c r="I350" s="3396"/>
      <c r="J350" s="3396"/>
      <c r="K350" s="3396"/>
      <c r="L350" s="3396"/>
      <c r="M350" s="3396"/>
      <c r="N350" s="3396"/>
      <c r="O350" s="3396"/>
      <c r="P350" s="3396"/>
      <c r="Q350" s="3396"/>
      <c r="R350" s="3396"/>
      <c r="S350" s="3396"/>
      <c r="T350" s="3396"/>
      <c r="U350" s="3396"/>
      <c r="V350" s="3396"/>
      <c r="W350" s="3396"/>
      <c r="X350" s="3396"/>
      <c r="Y350" s="3396"/>
      <c r="Z350" s="3396"/>
      <c r="AA350" s="3396"/>
      <c r="AB350" s="3396"/>
      <c r="AC350" s="3396"/>
      <c r="AD350" s="3396"/>
      <c r="AE350" s="3396"/>
      <c r="AF350" s="3396"/>
      <c r="AG350" s="3396"/>
      <c r="AH350" s="3396"/>
      <c r="AI350" s="3396"/>
      <c r="AJ350" s="3396"/>
      <c r="AK350" s="3396"/>
      <c r="AL350" s="3396"/>
      <c r="AM350" s="3396"/>
      <c r="AN350" s="3396"/>
      <c r="AO350" s="3396"/>
      <c r="AP350" s="3396"/>
      <c r="AQ350" s="3396"/>
      <c r="AR350" s="3396"/>
      <c r="AS350" s="3396"/>
      <c r="AT350" s="3396"/>
      <c r="AU350" s="3396"/>
      <c r="AV350" s="3396"/>
      <c r="AW350" s="3396"/>
      <c r="AX350" s="3396"/>
      <c r="AY350" s="3396"/>
      <c r="AZ350" s="3396"/>
      <c r="BA350" s="3396"/>
      <c r="BB350" s="3396"/>
      <c r="BC350" s="3396"/>
      <c r="BD350" s="3396"/>
      <c r="BE350" s="3396"/>
      <c r="BF350" s="3396"/>
      <c r="BG350" s="3396"/>
      <c r="BH350" s="3396"/>
      <c r="BI350" s="3396"/>
      <c r="BJ350" s="3396"/>
      <c r="BK350" s="3396"/>
      <c r="BL350" s="3396"/>
      <c r="BM350" s="3396"/>
      <c r="BN350" s="3396"/>
    </row>
    <row r="351" s="687" customFormat="1" ht="15" hidden="1" customHeight="1" spans="1:66">
      <c r="A351" s="3407" t="s">
        <v>6422</v>
      </c>
      <c r="B351" s="3408"/>
      <c r="C351" s="3409"/>
      <c r="D351" s="3409"/>
      <c r="E351" s="3408"/>
      <c r="F351" s="3410"/>
      <c r="G351" s="3410"/>
      <c r="H351" s="3411">
        <f t="shared" si="7"/>
        <v>0</v>
      </c>
      <c r="I351" s="3396"/>
      <c r="J351" s="3396"/>
      <c r="K351" s="3396"/>
      <c r="L351" s="3396"/>
      <c r="M351" s="3396"/>
      <c r="N351" s="3396"/>
      <c r="O351" s="3396"/>
      <c r="P351" s="3396"/>
      <c r="Q351" s="3396"/>
      <c r="R351" s="3396"/>
      <c r="S351" s="3396"/>
      <c r="T351" s="3396"/>
      <c r="U351" s="3396"/>
      <c r="V351" s="3396"/>
      <c r="W351" s="3396"/>
      <c r="X351" s="3396"/>
      <c r="Y351" s="3396"/>
      <c r="Z351" s="3396"/>
      <c r="AA351" s="3396"/>
      <c r="AB351" s="3396"/>
      <c r="AC351" s="3396"/>
      <c r="AD351" s="3396"/>
      <c r="AE351" s="3396"/>
      <c r="AF351" s="3396"/>
      <c r="AG351" s="3396"/>
      <c r="AH351" s="3396"/>
      <c r="AI351" s="3396"/>
      <c r="AJ351" s="3396"/>
      <c r="AK351" s="3396"/>
      <c r="AL351" s="3396"/>
      <c r="AM351" s="3396"/>
      <c r="AN351" s="3396"/>
      <c r="AO351" s="3396"/>
      <c r="AP351" s="3396"/>
      <c r="AQ351" s="3396"/>
      <c r="AR351" s="3396"/>
      <c r="AS351" s="3396"/>
      <c r="AT351" s="3396"/>
      <c r="AU351" s="3396"/>
      <c r="AV351" s="3396"/>
      <c r="AW351" s="3396"/>
      <c r="AX351" s="3396"/>
      <c r="AY351" s="3396"/>
      <c r="AZ351" s="3396"/>
      <c r="BA351" s="3396"/>
      <c r="BB351" s="3396"/>
      <c r="BC351" s="3396"/>
      <c r="BD351" s="3396"/>
      <c r="BE351" s="3396"/>
      <c r="BF351" s="3396"/>
      <c r="BG351" s="3396"/>
      <c r="BH351" s="3396"/>
      <c r="BI351" s="3396"/>
      <c r="BJ351" s="3396"/>
      <c r="BK351" s="3396"/>
      <c r="BL351" s="3396"/>
      <c r="BM351" s="3396"/>
      <c r="BN351" s="3396"/>
    </row>
    <row r="352" s="687" customFormat="1" ht="15" hidden="1" customHeight="1" spans="1:66">
      <c r="A352" s="3407" t="s">
        <v>6423</v>
      </c>
      <c r="B352" s="3408"/>
      <c r="C352" s="3409"/>
      <c r="D352" s="3409"/>
      <c r="E352" s="3408"/>
      <c r="F352" s="3410"/>
      <c r="G352" s="3410"/>
      <c r="H352" s="3411">
        <f t="shared" si="7"/>
        <v>0</v>
      </c>
      <c r="I352" s="3396"/>
      <c r="J352" s="3396"/>
      <c r="K352" s="3396"/>
      <c r="L352" s="3396"/>
      <c r="M352" s="3396"/>
      <c r="N352" s="3396"/>
      <c r="O352" s="3396"/>
      <c r="P352" s="3396"/>
      <c r="Q352" s="3396"/>
      <c r="R352" s="3396"/>
      <c r="S352" s="3396"/>
      <c r="T352" s="3396"/>
      <c r="U352" s="3396"/>
      <c r="V352" s="3396"/>
      <c r="W352" s="3396"/>
      <c r="X352" s="3396"/>
      <c r="Y352" s="3396"/>
      <c r="Z352" s="3396"/>
      <c r="AA352" s="3396"/>
      <c r="AB352" s="3396"/>
      <c r="AC352" s="3396"/>
      <c r="AD352" s="3396"/>
      <c r="AE352" s="3396"/>
      <c r="AF352" s="3396"/>
      <c r="AG352" s="3396"/>
      <c r="AH352" s="3396"/>
      <c r="AI352" s="3396"/>
      <c r="AJ352" s="3396"/>
      <c r="AK352" s="3396"/>
      <c r="AL352" s="3396"/>
      <c r="AM352" s="3396"/>
      <c r="AN352" s="3396"/>
      <c r="AO352" s="3396"/>
      <c r="AP352" s="3396"/>
      <c r="AQ352" s="3396"/>
      <c r="AR352" s="3396"/>
      <c r="AS352" s="3396"/>
      <c r="AT352" s="3396"/>
      <c r="AU352" s="3396"/>
      <c r="AV352" s="3396"/>
      <c r="AW352" s="3396"/>
      <c r="AX352" s="3396"/>
      <c r="AY352" s="3396"/>
      <c r="AZ352" s="3396"/>
      <c r="BA352" s="3396"/>
      <c r="BB352" s="3396"/>
      <c r="BC352" s="3396"/>
      <c r="BD352" s="3396"/>
      <c r="BE352" s="3396"/>
      <c r="BF352" s="3396"/>
      <c r="BG352" s="3396"/>
      <c r="BH352" s="3396"/>
      <c r="BI352" s="3396"/>
      <c r="BJ352" s="3396"/>
      <c r="BK352" s="3396"/>
      <c r="BL352" s="3396"/>
      <c r="BM352" s="3396"/>
      <c r="BN352" s="3396"/>
    </row>
    <row r="353" s="687" customFormat="1" ht="15" hidden="1" customHeight="1" spans="1:66">
      <c r="A353" s="3407" t="s">
        <v>6424</v>
      </c>
      <c r="B353" s="3408"/>
      <c r="C353" s="3409"/>
      <c r="D353" s="3409"/>
      <c r="E353" s="3408"/>
      <c r="F353" s="3410"/>
      <c r="G353" s="3410"/>
      <c r="H353" s="3411">
        <f t="shared" si="7"/>
        <v>0</v>
      </c>
      <c r="I353" s="3396"/>
      <c r="J353" s="3396"/>
      <c r="K353" s="3396"/>
      <c r="L353" s="3396"/>
      <c r="M353" s="3396"/>
      <c r="N353" s="3396"/>
      <c r="O353" s="3396"/>
      <c r="P353" s="3396"/>
      <c r="Q353" s="3396"/>
      <c r="R353" s="3396"/>
      <c r="S353" s="3396"/>
      <c r="T353" s="3396"/>
      <c r="U353" s="3396"/>
      <c r="V353" s="3396"/>
      <c r="W353" s="3396"/>
      <c r="X353" s="3396"/>
      <c r="Y353" s="3396"/>
      <c r="Z353" s="3396"/>
      <c r="AA353" s="3396"/>
      <c r="AB353" s="3396"/>
      <c r="AC353" s="3396"/>
      <c r="AD353" s="3396"/>
      <c r="AE353" s="3396"/>
      <c r="AF353" s="3396"/>
      <c r="AG353" s="3396"/>
      <c r="AH353" s="3396"/>
      <c r="AI353" s="3396"/>
      <c r="AJ353" s="3396"/>
      <c r="AK353" s="3396"/>
      <c r="AL353" s="3396"/>
      <c r="AM353" s="3396"/>
      <c r="AN353" s="3396"/>
      <c r="AO353" s="3396"/>
      <c r="AP353" s="3396"/>
      <c r="AQ353" s="3396"/>
      <c r="AR353" s="3396"/>
      <c r="AS353" s="3396"/>
      <c r="AT353" s="3396"/>
      <c r="AU353" s="3396"/>
      <c r="AV353" s="3396"/>
      <c r="AW353" s="3396"/>
      <c r="AX353" s="3396"/>
      <c r="AY353" s="3396"/>
      <c r="AZ353" s="3396"/>
      <c r="BA353" s="3396"/>
      <c r="BB353" s="3396"/>
      <c r="BC353" s="3396"/>
      <c r="BD353" s="3396"/>
      <c r="BE353" s="3396"/>
      <c r="BF353" s="3396"/>
      <c r="BG353" s="3396"/>
      <c r="BH353" s="3396"/>
      <c r="BI353" s="3396"/>
      <c r="BJ353" s="3396"/>
      <c r="BK353" s="3396"/>
      <c r="BL353" s="3396"/>
      <c r="BM353" s="3396"/>
      <c r="BN353" s="3396"/>
    </row>
    <row r="354" s="687" customFormat="1" ht="15" hidden="1" customHeight="1" spans="1:66">
      <c r="A354" s="3407" t="s">
        <v>6425</v>
      </c>
      <c r="B354" s="3408"/>
      <c r="C354" s="3409"/>
      <c r="D354" s="3409"/>
      <c r="E354" s="3408"/>
      <c r="F354" s="3410"/>
      <c r="G354" s="3410"/>
      <c r="H354" s="3411">
        <f t="shared" si="7"/>
        <v>0</v>
      </c>
      <c r="I354" s="3396"/>
      <c r="J354" s="3396"/>
      <c r="K354" s="3396"/>
      <c r="L354" s="3396"/>
      <c r="M354" s="3396"/>
      <c r="N354" s="3396"/>
      <c r="O354" s="3396"/>
      <c r="P354" s="3396"/>
      <c r="Q354" s="3396"/>
      <c r="R354" s="3396"/>
      <c r="S354" s="3396"/>
      <c r="T354" s="3396"/>
      <c r="U354" s="3396"/>
      <c r="V354" s="3396"/>
      <c r="W354" s="3396"/>
      <c r="X354" s="3396"/>
      <c r="Y354" s="3396"/>
      <c r="Z354" s="3396"/>
      <c r="AA354" s="3396"/>
      <c r="AB354" s="3396"/>
      <c r="AC354" s="3396"/>
      <c r="AD354" s="3396"/>
      <c r="AE354" s="3396"/>
      <c r="AF354" s="3396"/>
      <c r="AG354" s="3396"/>
      <c r="AH354" s="3396"/>
      <c r="AI354" s="3396"/>
      <c r="AJ354" s="3396"/>
      <c r="AK354" s="3396"/>
      <c r="AL354" s="3396"/>
      <c r="AM354" s="3396"/>
      <c r="AN354" s="3396"/>
      <c r="AO354" s="3396"/>
      <c r="AP354" s="3396"/>
      <c r="AQ354" s="3396"/>
      <c r="AR354" s="3396"/>
      <c r="AS354" s="3396"/>
      <c r="AT354" s="3396"/>
      <c r="AU354" s="3396"/>
      <c r="AV354" s="3396"/>
      <c r="AW354" s="3396"/>
      <c r="AX354" s="3396"/>
      <c r="AY354" s="3396"/>
      <c r="AZ354" s="3396"/>
      <c r="BA354" s="3396"/>
      <c r="BB354" s="3396"/>
      <c r="BC354" s="3396"/>
      <c r="BD354" s="3396"/>
      <c r="BE354" s="3396"/>
      <c r="BF354" s="3396"/>
      <c r="BG354" s="3396"/>
      <c r="BH354" s="3396"/>
      <c r="BI354" s="3396"/>
      <c r="BJ354" s="3396"/>
      <c r="BK354" s="3396"/>
      <c r="BL354" s="3396"/>
      <c r="BM354" s="3396"/>
      <c r="BN354" s="3396"/>
    </row>
    <row r="355" s="687" customFormat="1" ht="15" hidden="1" customHeight="1" spans="1:66">
      <c r="A355" s="3407" t="s">
        <v>6426</v>
      </c>
      <c r="B355" s="3408"/>
      <c r="C355" s="3409"/>
      <c r="D355" s="3409"/>
      <c r="E355" s="3408"/>
      <c r="F355" s="3410"/>
      <c r="G355" s="3410"/>
      <c r="H355" s="3411">
        <f t="shared" si="7"/>
        <v>0</v>
      </c>
      <c r="I355" s="3396"/>
      <c r="J355" s="3396"/>
      <c r="K355" s="3396"/>
      <c r="L355" s="3396"/>
      <c r="M355" s="3396"/>
      <c r="N355" s="3396"/>
      <c r="O355" s="3396"/>
      <c r="P355" s="3396"/>
      <c r="Q355" s="3396"/>
      <c r="R355" s="3396"/>
      <c r="S355" s="3396"/>
      <c r="T355" s="3396"/>
      <c r="U355" s="3396"/>
      <c r="V355" s="3396"/>
      <c r="W355" s="3396"/>
      <c r="X355" s="3396"/>
      <c r="Y355" s="3396"/>
      <c r="Z355" s="3396"/>
      <c r="AA355" s="3396"/>
      <c r="AB355" s="3396"/>
      <c r="AC355" s="3396"/>
      <c r="AD355" s="3396"/>
      <c r="AE355" s="3396"/>
      <c r="AF355" s="3396"/>
      <c r="AG355" s="3396"/>
      <c r="AH355" s="3396"/>
      <c r="AI355" s="3396"/>
      <c r="AJ355" s="3396"/>
      <c r="AK355" s="3396"/>
      <c r="AL355" s="3396"/>
      <c r="AM355" s="3396"/>
      <c r="AN355" s="3396"/>
      <c r="AO355" s="3396"/>
      <c r="AP355" s="3396"/>
      <c r="AQ355" s="3396"/>
      <c r="AR355" s="3396"/>
      <c r="AS355" s="3396"/>
      <c r="AT355" s="3396"/>
      <c r="AU355" s="3396"/>
      <c r="AV355" s="3396"/>
      <c r="AW355" s="3396"/>
      <c r="AX355" s="3396"/>
      <c r="AY355" s="3396"/>
      <c r="AZ355" s="3396"/>
      <c r="BA355" s="3396"/>
      <c r="BB355" s="3396"/>
      <c r="BC355" s="3396"/>
      <c r="BD355" s="3396"/>
      <c r="BE355" s="3396"/>
      <c r="BF355" s="3396"/>
      <c r="BG355" s="3396"/>
      <c r="BH355" s="3396"/>
      <c r="BI355" s="3396"/>
      <c r="BJ355" s="3396"/>
      <c r="BK355" s="3396"/>
      <c r="BL355" s="3396"/>
      <c r="BM355" s="3396"/>
      <c r="BN355" s="3396"/>
    </row>
    <row r="356" s="687" customFormat="1" ht="15" hidden="1" customHeight="1" spans="1:66">
      <c r="A356" s="3407" t="s">
        <v>6427</v>
      </c>
      <c r="B356" s="3408"/>
      <c r="C356" s="3409"/>
      <c r="D356" s="3409"/>
      <c r="E356" s="3408"/>
      <c r="F356" s="3410"/>
      <c r="G356" s="3410"/>
      <c r="H356" s="3411">
        <f t="shared" si="7"/>
        <v>0</v>
      </c>
      <c r="I356" s="3396"/>
      <c r="J356" s="3396"/>
      <c r="K356" s="3396"/>
      <c r="L356" s="3396"/>
      <c r="M356" s="3396"/>
      <c r="N356" s="3396"/>
      <c r="O356" s="3396"/>
      <c r="P356" s="3396"/>
      <c r="Q356" s="3396"/>
      <c r="R356" s="3396"/>
      <c r="S356" s="3396"/>
      <c r="T356" s="3396"/>
      <c r="U356" s="3396"/>
      <c r="V356" s="3396"/>
      <c r="W356" s="3396"/>
      <c r="X356" s="3396"/>
      <c r="Y356" s="3396"/>
      <c r="Z356" s="3396"/>
      <c r="AA356" s="3396"/>
      <c r="AB356" s="3396"/>
      <c r="AC356" s="3396"/>
      <c r="AD356" s="3396"/>
      <c r="AE356" s="3396"/>
      <c r="AF356" s="3396"/>
      <c r="AG356" s="3396"/>
      <c r="AH356" s="3396"/>
      <c r="AI356" s="3396"/>
      <c r="AJ356" s="3396"/>
      <c r="AK356" s="3396"/>
      <c r="AL356" s="3396"/>
      <c r="AM356" s="3396"/>
      <c r="AN356" s="3396"/>
      <c r="AO356" s="3396"/>
      <c r="AP356" s="3396"/>
      <c r="AQ356" s="3396"/>
      <c r="AR356" s="3396"/>
      <c r="AS356" s="3396"/>
      <c r="AT356" s="3396"/>
      <c r="AU356" s="3396"/>
      <c r="AV356" s="3396"/>
      <c r="AW356" s="3396"/>
      <c r="AX356" s="3396"/>
      <c r="AY356" s="3396"/>
      <c r="AZ356" s="3396"/>
      <c r="BA356" s="3396"/>
      <c r="BB356" s="3396"/>
      <c r="BC356" s="3396"/>
      <c r="BD356" s="3396"/>
      <c r="BE356" s="3396"/>
      <c r="BF356" s="3396"/>
      <c r="BG356" s="3396"/>
      <c r="BH356" s="3396"/>
      <c r="BI356" s="3396"/>
      <c r="BJ356" s="3396"/>
      <c r="BK356" s="3396"/>
      <c r="BL356" s="3396"/>
      <c r="BM356" s="3396"/>
      <c r="BN356" s="3396"/>
    </row>
    <row r="357" s="687" customFormat="1" ht="15" hidden="1" customHeight="1" spans="1:66">
      <c r="A357" s="3407" t="s">
        <v>6428</v>
      </c>
      <c r="B357" s="3408"/>
      <c r="C357" s="3409"/>
      <c r="D357" s="3409"/>
      <c r="E357" s="3408"/>
      <c r="F357" s="3410"/>
      <c r="G357" s="3410"/>
      <c r="H357" s="3411">
        <f t="shared" si="7"/>
        <v>0</v>
      </c>
      <c r="I357" s="3396"/>
      <c r="J357" s="3396"/>
      <c r="K357" s="3396"/>
      <c r="L357" s="3396"/>
      <c r="M357" s="3396"/>
      <c r="N357" s="3396"/>
      <c r="O357" s="3396"/>
      <c r="P357" s="3396"/>
      <c r="Q357" s="3396"/>
      <c r="R357" s="3396"/>
      <c r="S357" s="3396"/>
      <c r="T357" s="3396"/>
      <c r="U357" s="3396"/>
      <c r="V357" s="3396"/>
      <c r="W357" s="3396"/>
      <c r="X357" s="3396"/>
      <c r="Y357" s="3396"/>
      <c r="Z357" s="3396"/>
      <c r="AA357" s="3396"/>
      <c r="AB357" s="3396"/>
      <c r="AC357" s="3396"/>
      <c r="AD357" s="3396"/>
      <c r="AE357" s="3396"/>
      <c r="AF357" s="3396"/>
      <c r="AG357" s="3396"/>
      <c r="AH357" s="3396"/>
      <c r="AI357" s="3396"/>
      <c r="AJ357" s="3396"/>
      <c r="AK357" s="3396"/>
      <c r="AL357" s="3396"/>
      <c r="AM357" s="3396"/>
      <c r="AN357" s="3396"/>
      <c r="AO357" s="3396"/>
      <c r="AP357" s="3396"/>
      <c r="AQ357" s="3396"/>
      <c r="AR357" s="3396"/>
      <c r="AS357" s="3396"/>
      <c r="AT357" s="3396"/>
      <c r="AU357" s="3396"/>
      <c r="AV357" s="3396"/>
      <c r="AW357" s="3396"/>
      <c r="AX357" s="3396"/>
      <c r="AY357" s="3396"/>
      <c r="AZ357" s="3396"/>
      <c r="BA357" s="3396"/>
      <c r="BB357" s="3396"/>
      <c r="BC357" s="3396"/>
      <c r="BD357" s="3396"/>
      <c r="BE357" s="3396"/>
      <c r="BF357" s="3396"/>
      <c r="BG357" s="3396"/>
      <c r="BH357" s="3396"/>
      <c r="BI357" s="3396"/>
      <c r="BJ357" s="3396"/>
      <c r="BK357" s="3396"/>
      <c r="BL357" s="3396"/>
      <c r="BM357" s="3396"/>
      <c r="BN357" s="3396"/>
    </row>
    <row r="358" s="687" customFormat="1" ht="15" hidden="1" customHeight="1" spans="1:66">
      <c r="A358" s="3407" t="s">
        <v>6429</v>
      </c>
      <c r="B358" s="3408"/>
      <c r="C358" s="3409"/>
      <c r="D358" s="3409"/>
      <c r="E358" s="3408"/>
      <c r="F358" s="3410"/>
      <c r="G358" s="3410"/>
      <c r="H358" s="3411">
        <f t="shared" si="7"/>
        <v>0</v>
      </c>
      <c r="I358" s="3396"/>
      <c r="J358" s="3396"/>
      <c r="K358" s="3396"/>
      <c r="L358" s="3396"/>
      <c r="M358" s="3396"/>
      <c r="N358" s="3396"/>
      <c r="O358" s="3396"/>
      <c r="P358" s="3396"/>
      <c r="Q358" s="3396"/>
      <c r="R358" s="3396"/>
      <c r="S358" s="3396"/>
      <c r="T358" s="3396"/>
      <c r="U358" s="3396"/>
      <c r="V358" s="3396"/>
      <c r="W358" s="3396"/>
      <c r="X358" s="3396"/>
      <c r="Y358" s="3396"/>
      <c r="Z358" s="3396"/>
      <c r="AA358" s="3396"/>
      <c r="AB358" s="3396"/>
      <c r="AC358" s="3396"/>
      <c r="AD358" s="3396"/>
      <c r="AE358" s="3396"/>
      <c r="AF358" s="3396"/>
      <c r="AG358" s="3396"/>
      <c r="AH358" s="3396"/>
      <c r="AI358" s="3396"/>
      <c r="AJ358" s="3396"/>
      <c r="AK358" s="3396"/>
      <c r="AL358" s="3396"/>
      <c r="AM358" s="3396"/>
      <c r="AN358" s="3396"/>
      <c r="AO358" s="3396"/>
      <c r="AP358" s="3396"/>
      <c r="AQ358" s="3396"/>
      <c r="AR358" s="3396"/>
      <c r="AS358" s="3396"/>
      <c r="AT358" s="3396"/>
      <c r="AU358" s="3396"/>
      <c r="AV358" s="3396"/>
      <c r="AW358" s="3396"/>
      <c r="AX358" s="3396"/>
      <c r="AY358" s="3396"/>
      <c r="AZ358" s="3396"/>
      <c r="BA358" s="3396"/>
      <c r="BB358" s="3396"/>
      <c r="BC358" s="3396"/>
      <c r="BD358" s="3396"/>
      <c r="BE358" s="3396"/>
      <c r="BF358" s="3396"/>
      <c r="BG358" s="3396"/>
      <c r="BH358" s="3396"/>
      <c r="BI358" s="3396"/>
      <c r="BJ358" s="3396"/>
      <c r="BK358" s="3396"/>
      <c r="BL358" s="3396"/>
      <c r="BM358" s="3396"/>
      <c r="BN358" s="3396"/>
    </row>
    <row r="359" s="687" customFormat="1" ht="15" hidden="1" customHeight="1" spans="1:66">
      <c r="A359" s="3407" t="s">
        <v>6430</v>
      </c>
      <c r="B359" s="3408"/>
      <c r="C359" s="3409"/>
      <c r="D359" s="3409"/>
      <c r="E359" s="3408"/>
      <c r="F359" s="3410"/>
      <c r="G359" s="3410"/>
      <c r="H359" s="3411">
        <f t="shared" si="7"/>
        <v>0</v>
      </c>
      <c r="I359" s="3396"/>
      <c r="J359" s="3396"/>
      <c r="K359" s="3396"/>
      <c r="L359" s="3396"/>
      <c r="M359" s="3396"/>
      <c r="N359" s="3396"/>
      <c r="O359" s="3396"/>
      <c r="P359" s="3396"/>
      <c r="Q359" s="3396"/>
      <c r="R359" s="3396"/>
      <c r="S359" s="3396"/>
      <c r="T359" s="3396"/>
      <c r="U359" s="3396"/>
      <c r="V359" s="3396"/>
      <c r="W359" s="3396"/>
      <c r="X359" s="3396"/>
      <c r="Y359" s="3396"/>
      <c r="Z359" s="3396"/>
      <c r="AA359" s="3396"/>
      <c r="AB359" s="3396"/>
      <c r="AC359" s="3396"/>
      <c r="AD359" s="3396"/>
      <c r="AE359" s="3396"/>
      <c r="AF359" s="3396"/>
      <c r="AG359" s="3396"/>
      <c r="AH359" s="3396"/>
      <c r="AI359" s="3396"/>
      <c r="AJ359" s="3396"/>
      <c r="AK359" s="3396"/>
      <c r="AL359" s="3396"/>
      <c r="AM359" s="3396"/>
      <c r="AN359" s="3396"/>
      <c r="AO359" s="3396"/>
      <c r="AP359" s="3396"/>
      <c r="AQ359" s="3396"/>
      <c r="AR359" s="3396"/>
      <c r="AS359" s="3396"/>
      <c r="AT359" s="3396"/>
      <c r="AU359" s="3396"/>
      <c r="AV359" s="3396"/>
      <c r="AW359" s="3396"/>
      <c r="AX359" s="3396"/>
      <c r="AY359" s="3396"/>
      <c r="AZ359" s="3396"/>
      <c r="BA359" s="3396"/>
      <c r="BB359" s="3396"/>
      <c r="BC359" s="3396"/>
      <c r="BD359" s="3396"/>
      <c r="BE359" s="3396"/>
      <c r="BF359" s="3396"/>
      <c r="BG359" s="3396"/>
      <c r="BH359" s="3396"/>
      <c r="BI359" s="3396"/>
      <c r="BJ359" s="3396"/>
      <c r="BK359" s="3396"/>
      <c r="BL359" s="3396"/>
      <c r="BM359" s="3396"/>
      <c r="BN359" s="3396"/>
    </row>
    <row r="360" s="687" customFormat="1" ht="15" hidden="1" customHeight="1" spans="1:66">
      <c r="A360" s="3407" t="s">
        <v>6431</v>
      </c>
      <c r="B360" s="3408"/>
      <c r="C360" s="3409"/>
      <c r="D360" s="3409"/>
      <c r="E360" s="3408"/>
      <c r="F360" s="3410"/>
      <c r="G360" s="3410"/>
      <c r="H360" s="3411">
        <f t="shared" si="7"/>
        <v>0</v>
      </c>
      <c r="I360" s="3396"/>
      <c r="J360" s="3396"/>
      <c r="K360" s="3396"/>
      <c r="L360" s="3396"/>
      <c r="M360" s="3396"/>
      <c r="N360" s="3396"/>
      <c r="O360" s="3396"/>
      <c r="P360" s="3396"/>
      <c r="Q360" s="3396"/>
      <c r="R360" s="3396"/>
      <c r="S360" s="3396"/>
      <c r="T360" s="3396"/>
      <c r="U360" s="3396"/>
      <c r="V360" s="3396"/>
      <c r="W360" s="3396"/>
      <c r="X360" s="3396"/>
      <c r="Y360" s="3396"/>
      <c r="Z360" s="3396"/>
      <c r="AA360" s="3396"/>
      <c r="AB360" s="3396"/>
      <c r="AC360" s="3396"/>
      <c r="AD360" s="3396"/>
      <c r="AE360" s="3396"/>
      <c r="AF360" s="3396"/>
      <c r="AG360" s="3396"/>
      <c r="AH360" s="3396"/>
      <c r="AI360" s="3396"/>
      <c r="AJ360" s="3396"/>
      <c r="AK360" s="3396"/>
      <c r="AL360" s="3396"/>
      <c r="AM360" s="3396"/>
      <c r="AN360" s="3396"/>
      <c r="AO360" s="3396"/>
      <c r="AP360" s="3396"/>
      <c r="AQ360" s="3396"/>
      <c r="AR360" s="3396"/>
      <c r="AS360" s="3396"/>
      <c r="AT360" s="3396"/>
      <c r="AU360" s="3396"/>
      <c r="AV360" s="3396"/>
      <c r="AW360" s="3396"/>
      <c r="AX360" s="3396"/>
      <c r="AY360" s="3396"/>
      <c r="AZ360" s="3396"/>
      <c r="BA360" s="3396"/>
      <c r="BB360" s="3396"/>
      <c r="BC360" s="3396"/>
      <c r="BD360" s="3396"/>
      <c r="BE360" s="3396"/>
      <c r="BF360" s="3396"/>
      <c r="BG360" s="3396"/>
      <c r="BH360" s="3396"/>
      <c r="BI360" s="3396"/>
      <c r="BJ360" s="3396"/>
      <c r="BK360" s="3396"/>
      <c r="BL360" s="3396"/>
      <c r="BM360" s="3396"/>
      <c r="BN360" s="3396"/>
    </row>
    <row r="361" s="687" customFormat="1" ht="15" hidden="1" customHeight="1" spans="1:66">
      <c r="A361" s="3407" t="s">
        <v>6432</v>
      </c>
      <c r="B361" s="3408"/>
      <c r="C361" s="3409"/>
      <c r="D361" s="3409"/>
      <c r="E361" s="3408"/>
      <c r="F361" s="3410"/>
      <c r="G361" s="3410"/>
      <c r="H361" s="3411">
        <f t="shared" si="7"/>
        <v>0</v>
      </c>
      <c r="I361" s="3396"/>
      <c r="J361" s="3396"/>
      <c r="K361" s="3396"/>
      <c r="L361" s="3396"/>
      <c r="M361" s="3396"/>
      <c r="N361" s="3396"/>
      <c r="O361" s="3396"/>
      <c r="P361" s="3396"/>
      <c r="Q361" s="3396"/>
      <c r="R361" s="3396"/>
      <c r="S361" s="3396"/>
      <c r="T361" s="3396"/>
      <c r="U361" s="3396"/>
      <c r="V361" s="3396"/>
      <c r="W361" s="3396"/>
      <c r="X361" s="3396"/>
      <c r="Y361" s="3396"/>
      <c r="Z361" s="3396"/>
      <c r="AA361" s="3396"/>
      <c r="AB361" s="3396"/>
      <c r="AC361" s="3396"/>
      <c r="AD361" s="3396"/>
      <c r="AE361" s="3396"/>
      <c r="AF361" s="3396"/>
      <c r="AG361" s="3396"/>
      <c r="AH361" s="3396"/>
      <c r="AI361" s="3396"/>
      <c r="AJ361" s="3396"/>
      <c r="AK361" s="3396"/>
      <c r="AL361" s="3396"/>
      <c r="AM361" s="3396"/>
      <c r="AN361" s="3396"/>
      <c r="AO361" s="3396"/>
      <c r="AP361" s="3396"/>
      <c r="AQ361" s="3396"/>
      <c r="AR361" s="3396"/>
      <c r="AS361" s="3396"/>
      <c r="AT361" s="3396"/>
      <c r="AU361" s="3396"/>
      <c r="AV361" s="3396"/>
      <c r="AW361" s="3396"/>
      <c r="AX361" s="3396"/>
      <c r="AY361" s="3396"/>
      <c r="AZ361" s="3396"/>
      <c r="BA361" s="3396"/>
      <c r="BB361" s="3396"/>
      <c r="BC361" s="3396"/>
      <c r="BD361" s="3396"/>
      <c r="BE361" s="3396"/>
      <c r="BF361" s="3396"/>
      <c r="BG361" s="3396"/>
      <c r="BH361" s="3396"/>
      <c r="BI361" s="3396"/>
      <c r="BJ361" s="3396"/>
      <c r="BK361" s="3396"/>
      <c r="BL361" s="3396"/>
      <c r="BM361" s="3396"/>
      <c r="BN361" s="3396"/>
    </row>
    <row r="362" s="687" customFormat="1" ht="15" hidden="1" customHeight="1" spans="1:66">
      <c r="A362" s="3407" t="s">
        <v>6433</v>
      </c>
      <c r="B362" s="3408"/>
      <c r="C362" s="3409"/>
      <c r="D362" s="3409"/>
      <c r="E362" s="3408"/>
      <c r="F362" s="3410"/>
      <c r="G362" s="3410"/>
      <c r="H362" s="3411">
        <f t="shared" si="7"/>
        <v>0</v>
      </c>
      <c r="I362" s="3396"/>
      <c r="J362" s="3396"/>
      <c r="K362" s="3396"/>
      <c r="L362" s="3396"/>
      <c r="M362" s="3396"/>
      <c r="N362" s="3396"/>
      <c r="O362" s="3396"/>
      <c r="P362" s="3396"/>
      <c r="Q362" s="3396"/>
      <c r="R362" s="3396"/>
      <c r="S362" s="3396"/>
      <c r="T362" s="3396"/>
      <c r="U362" s="3396"/>
      <c r="V362" s="3396"/>
      <c r="W362" s="3396"/>
      <c r="X362" s="3396"/>
      <c r="Y362" s="3396"/>
      <c r="Z362" s="3396"/>
      <c r="AA362" s="3396"/>
      <c r="AB362" s="3396"/>
      <c r="AC362" s="3396"/>
      <c r="AD362" s="3396"/>
      <c r="AE362" s="3396"/>
      <c r="AF362" s="3396"/>
      <c r="AG362" s="3396"/>
      <c r="AH362" s="3396"/>
      <c r="AI362" s="3396"/>
      <c r="AJ362" s="3396"/>
      <c r="AK362" s="3396"/>
      <c r="AL362" s="3396"/>
      <c r="AM362" s="3396"/>
      <c r="AN362" s="3396"/>
      <c r="AO362" s="3396"/>
      <c r="AP362" s="3396"/>
      <c r="AQ362" s="3396"/>
      <c r="AR362" s="3396"/>
      <c r="AS362" s="3396"/>
      <c r="AT362" s="3396"/>
      <c r="AU362" s="3396"/>
      <c r="AV362" s="3396"/>
      <c r="AW362" s="3396"/>
      <c r="AX362" s="3396"/>
      <c r="AY362" s="3396"/>
      <c r="AZ362" s="3396"/>
      <c r="BA362" s="3396"/>
      <c r="BB362" s="3396"/>
      <c r="BC362" s="3396"/>
      <c r="BD362" s="3396"/>
      <c r="BE362" s="3396"/>
      <c r="BF362" s="3396"/>
      <c r="BG362" s="3396"/>
      <c r="BH362" s="3396"/>
      <c r="BI362" s="3396"/>
      <c r="BJ362" s="3396"/>
      <c r="BK362" s="3396"/>
      <c r="BL362" s="3396"/>
      <c r="BM362" s="3396"/>
      <c r="BN362" s="3396"/>
    </row>
    <row r="363" s="687" customFormat="1" ht="15" hidden="1" customHeight="1" spans="1:66">
      <c r="A363" s="3407" t="s">
        <v>6434</v>
      </c>
      <c r="B363" s="3408"/>
      <c r="C363" s="3409"/>
      <c r="D363" s="3409"/>
      <c r="E363" s="3408"/>
      <c r="F363" s="3410"/>
      <c r="G363" s="3410"/>
      <c r="H363" s="3411">
        <f t="shared" si="7"/>
        <v>0</v>
      </c>
      <c r="I363" s="3396"/>
      <c r="J363" s="3396"/>
      <c r="K363" s="3396"/>
      <c r="L363" s="3396"/>
      <c r="M363" s="3396"/>
      <c r="N363" s="3396"/>
      <c r="O363" s="3396"/>
      <c r="P363" s="3396"/>
      <c r="Q363" s="3396"/>
      <c r="R363" s="3396"/>
      <c r="S363" s="3396"/>
      <c r="T363" s="3396"/>
      <c r="U363" s="3396"/>
      <c r="V363" s="3396"/>
      <c r="W363" s="3396"/>
      <c r="X363" s="3396"/>
      <c r="Y363" s="3396"/>
      <c r="Z363" s="3396"/>
      <c r="AA363" s="3396"/>
      <c r="AB363" s="3396"/>
      <c r="AC363" s="3396"/>
      <c r="AD363" s="3396"/>
      <c r="AE363" s="3396"/>
      <c r="AF363" s="3396"/>
      <c r="AG363" s="3396"/>
      <c r="AH363" s="3396"/>
      <c r="AI363" s="3396"/>
      <c r="AJ363" s="3396"/>
      <c r="AK363" s="3396"/>
      <c r="AL363" s="3396"/>
      <c r="AM363" s="3396"/>
      <c r="AN363" s="3396"/>
      <c r="AO363" s="3396"/>
      <c r="AP363" s="3396"/>
      <c r="AQ363" s="3396"/>
      <c r="AR363" s="3396"/>
      <c r="AS363" s="3396"/>
      <c r="AT363" s="3396"/>
      <c r="AU363" s="3396"/>
      <c r="AV363" s="3396"/>
      <c r="AW363" s="3396"/>
      <c r="AX363" s="3396"/>
      <c r="AY363" s="3396"/>
      <c r="AZ363" s="3396"/>
      <c r="BA363" s="3396"/>
      <c r="BB363" s="3396"/>
      <c r="BC363" s="3396"/>
      <c r="BD363" s="3396"/>
      <c r="BE363" s="3396"/>
      <c r="BF363" s="3396"/>
      <c r="BG363" s="3396"/>
      <c r="BH363" s="3396"/>
      <c r="BI363" s="3396"/>
      <c r="BJ363" s="3396"/>
      <c r="BK363" s="3396"/>
      <c r="BL363" s="3396"/>
      <c r="BM363" s="3396"/>
      <c r="BN363" s="3396"/>
    </row>
    <row r="364" s="687" customFormat="1" ht="15" hidden="1" customHeight="1" spans="1:66">
      <c r="A364" s="3407" t="s">
        <v>6435</v>
      </c>
      <c r="B364" s="3408"/>
      <c r="C364" s="3409"/>
      <c r="D364" s="3409"/>
      <c r="E364" s="3408"/>
      <c r="F364" s="3410"/>
      <c r="G364" s="3410"/>
      <c r="H364" s="3411">
        <f t="shared" si="7"/>
        <v>0</v>
      </c>
      <c r="I364" s="3396"/>
      <c r="J364" s="3396"/>
      <c r="K364" s="3396"/>
      <c r="L364" s="3396"/>
      <c r="M364" s="3396"/>
      <c r="N364" s="3396"/>
      <c r="O364" s="3396"/>
      <c r="P364" s="3396"/>
      <c r="Q364" s="3396"/>
      <c r="R364" s="3396"/>
      <c r="S364" s="3396"/>
      <c r="T364" s="3396"/>
      <c r="U364" s="3396"/>
      <c r="V364" s="3396"/>
      <c r="W364" s="3396"/>
      <c r="X364" s="3396"/>
      <c r="Y364" s="3396"/>
      <c r="Z364" s="3396"/>
      <c r="AA364" s="3396"/>
      <c r="AB364" s="3396"/>
      <c r="AC364" s="3396"/>
      <c r="AD364" s="3396"/>
      <c r="AE364" s="3396"/>
      <c r="AF364" s="3396"/>
      <c r="AG364" s="3396"/>
      <c r="AH364" s="3396"/>
      <c r="AI364" s="3396"/>
      <c r="AJ364" s="3396"/>
      <c r="AK364" s="3396"/>
      <c r="AL364" s="3396"/>
      <c r="AM364" s="3396"/>
      <c r="AN364" s="3396"/>
      <c r="AO364" s="3396"/>
      <c r="AP364" s="3396"/>
      <c r="AQ364" s="3396"/>
      <c r="AR364" s="3396"/>
      <c r="AS364" s="3396"/>
      <c r="AT364" s="3396"/>
      <c r="AU364" s="3396"/>
      <c r="AV364" s="3396"/>
      <c r="AW364" s="3396"/>
      <c r="AX364" s="3396"/>
      <c r="AY364" s="3396"/>
      <c r="AZ364" s="3396"/>
      <c r="BA364" s="3396"/>
      <c r="BB364" s="3396"/>
      <c r="BC364" s="3396"/>
      <c r="BD364" s="3396"/>
      <c r="BE364" s="3396"/>
      <c r="BF364" s="3396"/>
      <c r="BG364" s="3396"/>
      <c r="BH364" s="3396"/>
      <c r="BI364" s="3396"/>
      <c r="BJ364" s="3396"/>
      <c r="BK364" s="3396"/>
      <c r="BL364" s="3396"/>
      <c r="BM364" s="3396"/>
      <c r="BN364" s="3396"/>
    </row>
    <row r="365" s="687" customFormat="1" ht="15" hidden="1" customHeight="1" spans="1:66">
      <c r="A365" s="3407" t="s">
        <v>6436</v>
      </c>
      <c r="B365" s="3408"/>
      <c r="C365" s="3409"/>
      <c r="D365" s="3409"/>
      <c r="E365" s="3408"/>
      <c r="F365" s="3410"/>
      <c r="G365" s="3410"/>
      <c r="H365" s="3411">
        <f t="shared" si="7"/>
        <v>0</v>
      </c>
      <c r="I365" s="3396"/>
      <c r="J365" s="3396"/>
      <c r="K365" s="3396"/>
      <c r="L365" s="3396"/>
      <c r="M365" s="3396"/>
      <c r="N365" s="3396"/>
      <c r="O365" s="3396"/>
      <c r="P365" s="3396"/>
      <c r="Q365" s="3396"/>
      <c r="R365" s="3396"/>
      <c r="S365" s="3396"/>
      <c r="T365" s="3396"/>
      <c r="U365" s="3396"/>
      <c r="V365" s="3396"/>
      <c r="W365" s="3396"/>
      <c r="X365" s="3396"/>
      <c r="Y365" s="3396"/>
      <c r="Z365" s="3396"/>
      <c r="AA365" s="3396"/>
      <c r="AB365" s="3396"/>
      <c r="AC365" s="3396"/>
      <c r="AD365" s="3396"/>
      <c r="AE365" s="3396"/>
      <c r="AF365" s="3396"/>
      <c r="AG365" s="3396"/>
      <c r="AH365" s="3396"/>
      <c r="AI365" s="3396"/>
      <c r="AJ365" s="3396"/>
      <c r="AK365" s="3396"/>
      <c r="AL365" s="3396"/>
      <c r="AM365" s="3396"/>
      <c r="AN365" s="3396"/>
      <c r="AO365" s="3396"/>
      <c r="AP365" s="3396"/>
      <c r="AQ365" s="3396"/>
      <c r="AR365" s="3396"/>
      <c r="AS365" s="3396"/>
      <c r="AT365" s="3396"/>
      <c r="AU365" s="3396"/>
      <c r="AV365" s="3396"/>
      <c r="AW365" s="3396"/>
      <c r="AX365" s="3396"/>
      <c r="AY365" s="3396"/>
      <c r="AZ365" s="3396"/>
      <c r="BA365" s="3396"/>
      <c r="BB365" s="3396"/>
      <c r="BC365" s="3396"/>
      <c r="BD365" s="3396"/>
      <c r="BE365" s="3396"/>
      <c r="BF365" s="3396"/>
      <c r="BG365" s="3396"/>
      <c r="BH365" s="3396"/>
      <c r="BI365" s="3396"/>
      <c r="BJ365" s="3396"/>
      <c r="BK365" s="3396"/>
      <c r="BL365" s="3396"/>
      <c r="BM365" s="3396"/>
      <c r="BN365" s="3396"/>
    </row>
    <row r="366" s="687" customFormat="1" ht="15" hidden="1" customHeight="1" spans="1:66">
      <c r="A366" s="3407" t="s">
        <v>6437</v>
      </c>
      <c r="B366" s="3408"/>
      <c r="C366" s="3409"/>
      <c r="D366" s="3409"/>
      <c r="E366" s="3408"/>
      <c r="F366" s="3410"/>
      <c r="G366" s="3410"/>
      <c r="H366" s="3411">
        <f t="shared" si="7"/>
        <v>0</v>
      </c>
      <c r="I366" s="3396"/>
      <c r="J366" s="3396"/>
      <c r="K366" s="3396"/>
      <c r="L366" s="3396"/>
      <c r="M366" s="3396"/>
      <c r="N366" s="3396"/>
      <c r="O366" s="3396"/>
      <c r="P366" s="3396"/>
      <c r="Q366" s="3396"/>
      <c r="R366" s="3396"/>
      <c r="S366" s="3396"/>
      <c r="T366" s="3396"/>
      <c r="U366" s="3396"/>
      <c r="V366" s="3396"/>
      <c r="W366" s="3396"/>
      <c r="X366" s="3396"/>
      <c r="Y366" s="3396"/>
      <c r="Z366" s="3396"/>
      <c r="AA366" s="3396"/>
      <c r="AB366" s="3396"/>
      <c r="AC366" s="3396"/>
      <c r="AD366" s="3396"/>
      <c r="AE366" s="3396"/>
      <c r="AF366" s="3396"/>
      <c r="AG366" s="3396"/>
      <c r="AH366" s="3396"/>
      <c r="AI366" s="3396"/>
      <c r="AJ366" s="3396"/>
      <c r="AK366" s="3396"/>
      <c r="AL366" s="3396"/>
      <c r="AM366" s="3396"/>
      <c r="AN366" s="3396"/>
      <c r="AO366" s="3396"/>
      <c r="AP366" s="3396"/>
      <c r="AQ366" s="3396"/>
      <c r="AR366" s="3396"/>
      <c r="AS366" s="3396"/>
      <c r="AT366" s="3396"/>
      <c r="AU366" s="3396"/>
      <c r="AV366" s="3396"/>
      <c r="AW366" s="3396"/>
      <c r="AX366" s="3396"/>
      <c r="AY366" s="3396"/>
      <c r="AZ366" s="3396"/>
      <c r="BA366" s="3396"/>
      <c r="BB366" s="3396"/>
      <c r="BC366" s="3396"/>
      <c r="BD366" s="3396"/>
      <c r="BE366" s="3396"/>
      <c r="BF366" s="3396"/>
      <c r="BG366" s="3396"/>
      <c r="BH366" s="3396"/>
      <c r="BI366" s="3396"/>
      <c r="BJ366" s="3396"/>
      <c r="BK366" s="3396"/>
      <c r="BL366" s="3396"/>
      <c r="BM366" s="3396"/>
      <c r="BN366" s="3396"/>
    </row>
    <row r="367" s="687" customFormat="1" ht="15" hidden="1" customHeight="1" spans="1:66">
      <c r="A367" s="3407" t="s">
        <v>6438</v>
      </c>
      <c r="B367" s="3408"/>
      <c r="C367" s="3409"/>
      <c r="D367" s="3409"/>
      <c r="E367" s="3408"/>
      <c r="F367" s="3410"/>
      <c r="G367" s="3410"/>
      <c r="H367" s="3411">
        <f t="shared" si="7"/>
        <v>0</v>
      </c>
      <c r="I367" s="3396"/>
      <c r="J367" s="3396"/>
      <c r="K367" s="3396"/>
      <c r="L367" s="3396"/>
      <c r="M367" s="3396"/>
      <c r="N367" s="3396"/>
      <c r="O367" s="3396"/>
      <c r="P367" s="3396"/>
      <c r="Q367" s="3396"/>
      <c r="R367" s="3396"/>
      <c r="S367" s="3396"/>
      <c r="T367" s="3396"/>
      <c r="U367" s="3396"/>
      <c r="V367" s="3396"/>
      <c r="W367" s="3396"/>
      <c r="X367" s="3396"/>
      <c r="Y367" s="3396"/>
      <c r="Z367" s="3396"/>
      <c r="AA367" s="3396"/>
      <c r="AB367" s="3396"/>
      <c r="AC367" s="3396"/>
      <c r="AD367" s="3396"/>
      <c r="AE367" s="3396"/>
      <c r="AF367" s="3396"/>
      <c r="AG367" s="3396"/>
      <c r="AH367" s="3396"/>
      <c r="AI367" s="3396"/>
      <c r="AJ367" s="3396"/>
      <c r="AK367" s="3396"/>
      <c r="AL367" s="3396"/>
      <c r="AM367" s="3396"/>
      <c r="AN367" s="3396"/>
      <c r="AO367" s="3396"/>
      <c r="AP367" s="3396"/>
      <c r="AQ367" s="3396"/>
      <c r="AR367" s="3396"/>
      <c r="AS367" s="3396"/>
      <c r="AT367" s="3396"/>
      <c r="AU367" s="3396"/>
      <c r="AV367" s="3396"/>
      <c r="AW367" s="3396"/>
      <c r="AX367" s="3396"/>
      <c r="AY367" s="3396"/>
      <c r="AZ367" s="3396"/>
      <c r="BA367" s="3396"/>
      <c r="BB367" s="3396"/>
      <c r="BC367" s="3396"/>
      <c r="BD367" s="3396"/>
      <c r="BE367" s="3396"/>
      <c r="BF367" s="3396"/>
      <c r="BG367" s="3396"/>
      <c r="BH367" s="3396"/>
      <c r="BI367" s="3396"/>
      <c r="BJ367" s="3396"/>
      <c r="BK367" s="3396"/>
      <c r="BL367" s="3396"/>
      <c r="BM367" s="3396"/>
      <c r="BN367" s="3396"/>
    </row>
    <row r="368" s="687" customFormat="1" ht="15" hidden="1" customHeight="1" spans="1:66">
      <c r="A368" s="3407" t="s">
        <v>6439</v>
      </c>
      <c r="B368" s="3408"/>
      <c r="C368" s="3409"/>
      <c r="D368" s="3409"/>
      <c r="E368" s="3408"/>
      <c r="F368" s="3410"/>
      <c r="G368" s="3410"/>
      <c r="H368" s="3411">
        <f t="shared" si="7"/>
        <v>0</v>
      </c>
      <c r="I368" s="3396"/>
      <c r="J368" s="3396"/>
      <c r="K368" s="3396"/>
      <c r="L368" s="3396"/>
      <c r="M368" s="3396"/>
      <c r="N368" s="3396"/>
      <c r="O368" s="3396"/>
      <c r="P368" s="3396"/>
      <c r="Q368" s="3396"/>
      <c r="R368" s="3396"/>
      <c r="S368" s="3396"/>
      <c r="T368" s="3396"/>
      <c r="U368" s="3396"/>
      <c r="V368" s="3396"/>
      <c r="W368" s="3396"/>
      <c r="X368" s="3396"/>
      <c r="Y368" s="3396"/>
      <c r="Z368" s="3396"/>
      <c r="AA368" s="3396"/>
      <c r="AB368" s="3396"/>
      <c r="AC368" s="3396"/>
      <c r="AD368" s="3396"/>
      <c r="AE368" s="3396"/>
      <c r="AF368" s="3396"/>
      <c r="AG368" s="3396"/>
      <c r="AH368" s="3396"/>
      <c r="AI368" s="3396"/>
      <c r="AJ368" s="3396"/>
      <c r="AK368" s="3396"/>
      <c r="AL368" s="3396"/>
      <c r="AM368" s="3396"/>
      <c r="AN368" s="3396"/>
      <c r="AO368" s="3396"/>
      <c r="AP368" s="3396"/>
      <c r="AQ368" s="3396"/>
      <c r="AR368" s="3396"/>
      <c r="AS368" s="3396"/>
      <c r="AT368" s="3396"/>
      <c r="AU368" s="3396"/>
      <c r="AV368" s="3396"/>
      <c r="AW368" s="3396"/>
      <c r="AX368" s="3396"/>
      <c r="AY368" s="3396"/>
      <c r="AZ368" s="3396"/>
      <c r="BA368" s="3396"/>
      <c r="BB368" s="3396"/>
      <c r="BC368" s="3396"/>
      <c r="BD368" s="3396"/>
      <c r="BE368" s="3396"/>
      <c r="BF368" s="3396"/>
      <c r="BG368" s="3396"/>
      <c r="BH368" s="3396"/>
      <c r="BI368" s="3396"/>
      <c r="BJ368" s="3396"/>
      <c r="BK368" s="3396"/>
      <c r="BL368" s="3396"/>
      <c r="BM368" s="3396"/>
      <c r="BN368" s="3396"/>
    </row>
    <row r="369" s="687" customFormat="1" ht="15" hidden="1" customHeight="1" spans="1:66">
      <c r="A369" s="3407" t="s">
        <v>6440</v>
      </c>
      <c r="B369" s="3408"/>
      <c r="C369" s="3409"/>
      <c r="D369" s="3409"/>
      <c r="E369" s="3408"/>
      <c r="F369" s="3410"/>
      <c r="G369" s="3410"/>
      <c r="H369" s="3411">
        <f t="shared" si="7"/>
        <v>0</v>
      </c>
      <c r="I369" s="3396"/>
      <c r="J369" s="3396"/>
      <c r="K369" s="3396"/>
      <c r="L369" s="3396"/>
      <c r="M369" s="3396"/>
      <c r="N369" s="3396"/>
      <c r="O369" s="3396"/>
      <c r="P369" s="3396"/>
      <c r="Q369" s="3396"/>
      <c r="R369" s="3396"/>
      <c r="S369" s="3396"/>
      <c r="T369" s="3396"/>
      <c r="U369" s="3396"/>
      <c r="V369" s="3396"/>
      <c r="W369" s="3396"/>
      <c r="X369" s="3396"/>
      <c r="Y369" s="3396"/>
      <c r="Z369" s="3396"/>
      <c r="AA369" s="3396"/>
      <c r="AB369" s="3396"/>
      <c r="AC369" s="3396"/>
      <c r="AD369" s="3396"/>
      <c r="AE369" s="3396"/>
      <c r="AF369" s="3396"/>
      <c r="AG369" s="3396"/>
      <c r="AH369" s="3396"/>
      <c r="AI369" s="3396"/>
      <c r="AJ369" s="3396"/>
      <c r="AK369" s="3396"/>
      <c r="AL369" s="3396"/>
      <c r="AM369" s="3396"/>
      <c r="AN369" s="3396"/>
      <c r="AO369" s="3396"/>
      <c r="AP369" s="3396"/>
      <c r="AQ369" s="3396"/>
      <c r="AR369" s="3396"/>
      <c r="AS369" s="3396"/>
      <c r="AT369" s="3396"/>
      <c r="AU369" s="3396"/>
      <c r="AV369" s="3396"/>
      <c r="AW369" s="3396"/>
      <c r="AX369" s="3396"/>
      <c r="AY369" s="3396"/>
      <c r="AZ369" s="3396"/>
      <c r="BA369" s="3396"/>
      <c r="BB369" s="3396"/>
      <c r="BC369" s="3396"/>
      <c r="BD369" s="3396"/>
      <c r="BE369" s="3396"/>
      <c r="BF369" s="3396"/>
      <c r="BG369" s="3396"/>
      <c r="BH369" s="3396"/>
      <c r="BI369" s="3396"/>
      <c r="BJ369" s="3396"/>
      <c r="BK369" s="3396"/>
      <c r="BL369" s="3396"/>
      <c r="BM369" s="3396"/>
      <c r="BN369" s="3396"/>
    </row>
    <row r="370" s="687" customFormat="1" ht="15" hidden="1" customHeight="1" spans="1:66">
      <c r="A370" s="3407" t="s">
        <v>6441</v>
      </c>
      <c r="B370" s="3408"/>
      <c r="C370" s="3409"/>
      <c r="D370" s="3409"/>
      <c r="E370" s="3408"/>
      <c r="F370" s="3410"/>
      <c r="G370" s="3410"/>
      <c r="H370" s="3411">
        <f t="shared" si="7"/>
        <v>0</v>
      </c>
      <c r="I370" s="3396"/>
      <c r="J370" s="3396"/>
      <c r="K370" s="3396"/>
      <c r="L370" s="3396"/>
      <c r="M370" s="3396"/>
      <c r="N370" s="3396"/>
      <c r="O370" s="3396"/>
      <c r="P370" s="3396"/>
      <c r="Q370" s="3396"/>
      <c r="R370" s="3396"/>
      <c r="S370" s="3396"/>
      <c r="T370" s="3396"/>
      <c r="U370" s="3396"/>
      <c r="V370" s="3396"/>
      <c r="W370" s="3396"/>
      <c r="X370" s="3396"/>
      <c r="Y370" s="3396"/>
      <c r="Z370" s="3396"/>
      <c r="AA370" s="3396"/>
      <c r="AB370" s="3396"/>
      <c r="AC370" s="3396"/>
      <c r="AD370" s="3396"/>
      <c r="AE370" s="3396"/>
      <c r="AF370" s="3396"/>
      <c r="AG370" s="3396"/>
      <c r="AH370" s="3396"/>
      <c r="AI370" s="3396"/>
      <c r="AJ370" s="3396"/>
      <c r="AK370" s="3396"/>
      <c r="AL370" s="3396"/>
      <c r="AM370" s="3396"/>
      <c r="AN370" s="3396"/>
      <c r="AO370" s="3396"/>
      <c r="AP370" s="3396"/>
      <c r="AQ370" s="3396"/>
      <c r="AR370" s="3396"/>
      <c r="AS370" s="3396"/>
      <c r="AT370" s="3396"/>
      <c r="AU370" s="3396"/>
      <c r="AV370" s="3396"/>
      <c r="AW370" s="3396"/>
      <c r="AX370" s="3396"/>
      <c r="AY370" s="3396"/>
      <c r="AZ370" s="3396"/>
      <c r="BA370" s="3396"/>
      <c r="BB370" s="3396"/>
      <c r="BC370" s="3396"/>
      <c r="BD370" s="3396"/>
      <c r="BE370" s="3396"/>
      <c r="BF370" s="3396"/>
      <c r="BG370" s="3396"/>
      <c r="BH370" s="3396"/>
      <c r="BI370" s="3396"/>
      <c r="BJ370" s="3396"/>
      <c r="BK370" s="3396"/>
      <c r="BL370" s="3396"/>
      <c r="BM370" s="3396"/>
      <c r="BN370" s="3396"/>
    </row>
    <row r="371" s="687" customFormat="1" ht="15" hidden="1" customHeight="1" spans="1:66">
      <c r="A371" s="3407" t="s">
        <v>6442</v>
      </c>
      <c r="B371" s="3408"/>
      <c r="C371" s="3409"/>
      <c r="D371" s="3409"/>
      <c r="E371" s="3408"/>
      <c r="F371" s="3410"/>
      <c r="G371" s="3410"/>
      <c r="H371" s="3411">
        <f t="shared" si="7"/>
        <v>0</v>
      </c>
      <c r="I371" s="3396"/>
      <c r="J371" s="3396"/>
      <c r="K371" s="3396"/>
      <c r="L371" s="3396"/>
      <c r="M371" s="3396"/>
      <c r="N371" s="3396"/>
      <c r="O371" s="3396"/>
      <c r="P371" s="3396"/>
      <c r="Q371" s="3396"/>
      <c r="R371" s="3396"/>
      <c r="S371" s="3396"/>
      <c r="T371" s="3396"/>
      <c r="U371" s="3396"/>
      <c r="V371" s="3396"/>
      <c r="W371" s="3396"/>
      <c r="X371" s="3396"/>
      <c r="Y371" s="3396"/>
      <c r="Z371" s="3396"/>
      <c r="AA371" s="3396"/>
      <c r="AB371" s="3396"/>
      <c r="AC371" s="3396"/>
      <c r="AD371" s="3396"/>
      <c r="AE371" s="3396"/>
      <c r="AF371" s="3396"/>
      <c r="AG371" s="3396"/>
      <c r="AH371" s="3396"/>
      <c r="AI371" s="3396"/>
      <c r="AJ371" s="3396"/>
      <c r="AK371" s="3396"/>
      <c r="AL371" s="3396"/>
      <c r="AM371" s="3396"/>
      <c r="AN371" s="3396"/>
      <c r="AO371" s="3396"/>
      <c r="AP371" s="3396"/>
      <c r="AQ371" s="3396"/>
      <c r="AR371" s="3396"/>
      <c r="AS371" s="3396"/>
      <c r="AT371" s="3396"/>
      <c r="AU371" s="3396"/>
      <c r="AV371" s="3396"/>
      <c r="AW371" s="3396"/>
      <c r="AX371" s="3396"/>
      <c r="AY371" s="3396"/>
      <c r="AZ371" s="3396"/>
      <c r="BA371" s="3396"/>
      <c r="BB371" s="3396"/>
      <c r="BC371" s="3396"/>
      <c r="BD371" s="3396"/>
      <c r="BE371" s="3396"/>
      <c r="BF371" s="3396"/>
      <c r="BG371" s="3396"/>
      <c r="BH371" s="3396"/>
      <c r="BI371" s="3396"/>
      <c r="BJ371" s="3396"/>
      <c r="BK371" s="3396"/>
      <c r="BL371" s="3396"/>
      <c r="BM371" s="3396"/>
      <c r="BN371" s="3396"/>
    </row>
    <row r="372" s="687" customFormat="1" ht="15" hidden="1" customHeight="1" spans="1:66">
      <c r="A372" s="3407" t="s">
        <v>6443</v>
      </c>
      <c r="B372" s="3408"/>
      <c r="C372" s="3409"/>
      <c r="D372" s="3409"/>
      <c r="E372" s="3408"/>
      <c r="F372" s="3410"/>
      <c r="G372" s="3410"/>
      <c r="H372" s="3411">
        <f t="shared" si="7"/>
        <v>0</v>
      </c>
      <c r="I372" s="3396"/>
      <c r="J372" s="3396"/>
      <c r="K372" s="3396"/>
      <c r="L372" s="3396"/>
      <c r="M372" s="3396"/>
      <c r="N372" s="3396"/>
      <c r="O372" s="3396"/>
      <c r="P372" s="3396"/>
      <c r="Q372" s="3396"/>
      <c r="R372" s="3396"/>
      <c r="S372" s="3396"/>
      <c r="T372" s="3396"/>
      <c r="U372" s="3396"/>
      <c r="V372" s="3396"/>
      <c r="W372" s="3396"/>
      <c r="X372" s="3396"/>
      <c r="Y372" s="3396"/>
      <c r="Z372" s="3396"/>
      <c r="AA372" s="3396"/>
      <c r="AB372" s="3396"/>
      <c r="AC372" s="3396"/>
      <c r="AD372" s="3396"/>
      <c r="AE372" s="3396"/>
      <c r="AF372" s="3396"/>
      <c r="AG372" s="3396"/>
      <c r="AH372" s="3396"/>
      <c r="AI372" s="3396"/>
      <c r="AJ372" s="3396"/>
      <c r="AK372" s="3396"/>
      <c r="AL372" s="3396"/>
      <c r="AM372" s="3396"/>
      <c r="AN372" s="3396"/>
      <c r="AO372" s="3396"/>
      <c r="AP372" s="3396"/>
      <c r="AQ372" s="3396"/>
      <c r="AR372" s="3396"/>
      <c r="AS372" s="3396"/>
      <c r="AT372" s="3396"/>
      <c r="AU372" s="3396"/>
      <c r="AV372" s="3396"/>
      <c r="AW372" s="3396"/>
      <c r="AX372" s="3396"/>
      <c r="AY372" s="3396"/>
      <c r="AZ372" s="3396"/>
      <c r="BA372" s="3396"/>
      <c r="BB372" s="3396"/>
      <c r="BC372" s="3396"/>
      <c r="BD372" s="3396"/>
      <c r="BE372" s="3396"/>
      <c r="BF372" s="3396"/>
      <c r="BG372" s="3396"/>
      <c r="BH372" s="3396"/>
      <c r="BI372" s="3396"/>
      <c r="BJ372" s="3396"/>
      <c r="BK372" s="3396"/>
      <c r="BL372" s="3396"/>
      <c r="BM372" s="3396"/>
      <c r="BN372" s="3396"/>
    </row>
    <row r="373" s="687" customFormat="1" ht="15" hidden="1" customHeight="1" spans="1:66">
      <c r="A373" s="3407" t="s">
        <v>6444</v>
      </c>
      <c r="B373" s="3408"/>
      <c r="C373" s="3409"/>
      <c r="D373" s="3409"/>
      <c r="E373" s="3408"/>
      <c r="F373" s="3410"/>
      <c r="G373" s="3410"/>
      <c r="H373" s="3411">
        <f t="shared" si="7"/>
        <v>0</v>
      </c>
      <c r="I373" s="3396"/>
      <c r="J373" s="3396"/>
      <c r="K373" s="3396"/>
      <c r="L373" s="3396"/>
      <c r="M373" s="3396"/>
      <c r="N373" s="3396"/>
      <c r="O373" s="3396"/>
      <c r="P373" s="3396"/>
      <c r="Q373" s="3396"/>
      <c r="R373" s="3396"/>
      <c r="S373" s="3396"/>
      <c r="T373" s="3396"/>
      <c r="U373" s="3396"/>
      <c r="V373" s="3396"/>
      <c r="W373" s="3396"/>
      <c r="X373" s="3396"/>
      <c r="Y373" s="3396"/>
      <c r="Z373" s="3396"/>
      <c r="AA373" s="3396"/>
      <c r="AB373" s="3396"/>
      <c r="AC373" s="3396"/>
      <c r="AD373" s="3396"/>
      <c r="AE373" s="3396"/>
      <c r="AF373" s="3396"/>
      <c r="AG373" s="3396"/>
      <c r="AH373" s="3396"/>
      <c r="AI373" s="3396"/>
      <c r="AJ373" s="3396"/>
      <c r="AK373" s="3396"/>
      <c r="AL373" s="3396"/>
      <c r="AM373" s="3396"/>
      <c r="AN373" s="3396"/>
      <c r="AO373" s="3396"/>
      <c r="AP373" s="3396"/>
      <c r="AQ373" s="3396"/>
      <c r="AR373" s="3396"/>
      <c r="AS373" s="3396"/>
      <c r="AT373" s="3396"/>
      <c r="AU373" s="3396"/>
      <c r="AV373" s="3396"/>
      <c r="AW373" s="3396"/>
      <c r="AX373" s="3396"/>
      <c r="AY373" s="3396"/>
      <c r="AZ373" s="3396"/>
      <c r="BA373" s="3396"/>
      <c r="BB373" s="3396"/>
      <c r="BC373" s="3396"/>
      <c r="BD373" s="3396"/>
      <c r="BE373" s="3396"/>
      <c r="BF373" s="3396"/>
      <c r="BG373" s="3396"/>
      <c r="BH373" s="3396"/>
      <c r="BI373" s="3396"/>
      <c r="BJ373" s="3396"/>
      <c r="BK373" s="3396"/>
      <c r="BL373" s="3396"/>
      <c r="BM373" s="3396"/>
      <c r="BN373" s="3396"/>
    </row>
    <row r="374" s="687" customFormat="1" ht="15" hidden="1" customHeight="1" spans="1:66">
      <c r="A374" s="3407" t="s">
        <v>6445</v>
      </c>
      <c r="B374" s="3408"/>
      <c r="C374" s="3409"/>
      <c r="D374" s="3409"/>
      <c r="E374" s="3408"/>
      <c r="F374" s="3410"/>
      <c r="G374" s="3410"/>
      <c r="H374" s="3411">
        <f t="shared" si="7"/>
        <v>0</v>
      </c>
      <c r="I374" s="3396"/>
      <c r="J374" s="3396"/>
      <c r="K374" s="3396"/>
      <c r="L374" s="3396"/>
      <c r="M374" s="3396"/>
      <c r="N374" s="3396"/>
      <c r="O374" s="3396"/>
      <c r="P374" s="3396"/>
      <c r="Q374" s="3396"/>
      <c r="R374" s="3396"/>
      <c r="S374" s="3396"/>
      <c r="T374" s="3396"/>
      <c r="U374" s="3396"/>
      <c r="V374" s="3396"/>
      <c r="W374" s="3396"/>
      <c r="X374" s="3396"/>
      <c r="Y374" s="3396"/>
      <c r="Z374" s="3396"/>
      <c r="AA374" s="3396"/>
      <c r="AB374" s="3396"/>
      <c r="AC374" s="3396"/>
      <c r="AD374" s="3396"/>
      <c r="AE374" s="3396"/>
      <c r="AF374" s="3396"/>
      <c r="AG374" s="3396"/>
      <c r="AH374" s="3396"/>
      <c r="AI374" s="3396"/>
      <c r="AJ374" s="3396"/>
      <c r="AK374" s="3396"/>
      <c r="AL374" s="3396"/>
      <c r="AM374" s="3396"/>
      <c r="AN374" s="3396"/>
      <c r="AO374" s="3396"/>
      <c r="AP374" s="3396"/>
      <c r="AQ374" s="3396"/>
      <c r="AR374" s="3396"/>
      <c r="AS374" s="3396"/>
      <c r="AT374" s="3396"/>
      <c r="AU374" s="3396"/>
      <c r="AV374" s="3396"/>
      <c r="AW374" s="3396"/>
      <c r="AX374" s="3396"/>
      <c r="AY374" s="3396"/>
      <c r="AZ374" s="3396"/>
      <c r="BA374" s="3396"/>
      <c r="BB374" s="3396"/>
      <c r="BC374" s="3396"/>
      <c r="BD374" s="3396"/>
      <c r="BE374" s="3396"/>
      <c r="BF374" s="3396"/>
      <c r="BG374" s="3396"/>
      <c r="BH374" s="3396"/>
      <c r="BI374" s="3396"/>
      <c r="BJ374" s="3396"/>
      <c r="BK374" s="3396"/>
      <c r="BL374" s="3396"/>
      <c r="BM374" s="3396"/>
      <c r="BN374" s="3396"/>
    </row>
    <row r="375" s="687" customFormat="1" ht="15" hidden="1" customHeight="1" spans="1:66">
      <c r="A375" s="3407" t="s">
        <v>6446</v>
      </c>
      <c r="B375" s="3408"/>
      <c r="C375" s="3409"/>
      <c r="D375" s="3409"/>
      <c r="E375" s="3408"/>
      <c r="F375" s="3410"/>
      <c r="G375" s="3410"/>
      <c r="H375" s="3411">
        <f t="shared" si="7"/>
        <v>0</v>
      </c>
      <c r="I375" s="3396"/>
      <c r="J375" s="3396"/>
      <c r="K375" s="3396"/>
      <c r="L375" s="3396"/>
      <c r="M375" s="3396"/>
      <c r="N375" s="3396"/>
      <c r="O375" s="3396"/>
      <c r="P375" s="3396"/>
      <c r="Q375" s="3396"/>
      <c r="R375" s="3396"/>
      <c r="S375" s="3396"/>
      <c r="T375" s="3396"/>
      <c r="U375" s="3396"/>
      <c r="V375" s="3396"/>
      <c r="W375" s="3396"/>
      <c r="X375" s="3396"/>
      <c r="Y375" s="3396"/>
      <c r="Z375" s="3396"/>
      <c r="AA375" s="3396"/>
      <c r="AB375" s="3396"/>
      <c r="AC375" s="3396"/>
      <c r="AD375" s="3396"/>
      <c r="AE375" s="3396"/>
      <c r="AF375" s="3396"/>
      <c r="AG375" s="3396"/>
      <c r="AH375" s="3396"/>
      <c r="AI375" s="3396"/>
      <c r="AJ375" s="3396"/>
      <c r="AK375" s="3396"/>
      <c r="AL375" s="3396"/>
      <c r="AM375" s="3396"/>
      <c r="AN375" s="3396"/>
      <c r="AO375" s="3396"/>
      <c r="AP375" s="3396"/>
      <c r="AQ375" s="3396"/>
      <c r="AR375" s="3396"/>
      <c r="AS375" s="3396"/>
      <c r="AT375" s="3396"/>
      <c r="AU375" s="3396"/>
      <c r="AV375" s="3396"/>
      <c r="AW375" s="3396"/>
      <c r="AX375" s="3396"/>
      <c r="AY375" s="3396"/>
      <c r="AZ375" s="3396"/>
      <c r="BA375" s="3396"/>
      <c r="BB375" s="3396"/>
      <c r="BC375" s="3396"/>
      <c r="BD375" s="3396"/>
      <c r="BE375" s="3396"/>
      <c r="BF375" s="3396"/>
      <c r="BG375" s="3396"/>
      <c r="BH375" s="3396"/>
      <c r="BI375" s="3396"/>
      <c r="BJ375" s="3396"/>
      <c r="BK375" s="3396"/>
      <c r="BL375" s="3396"/>
      <c r="BM375" s="3396"/>
      <c r="BN375" s="3396"/>
    </row>
    <row r="376" s="687" customFormat="1" ht="15" hidden="1" customHeight="1" spans="1:66">
      <c r="A376" s="3407" t="s">
        <v>6447</v>
      </c>
      <c r="B376" s="3408"/>
      <c r="C376" s="3409"/>
      <c r="D376" s="3409"/>
      <c r="E376" s="3408"/>
      <c r="F376" s="3410"/>
      <c r="G376" s="3410"/>
      <c r="H376" s="3411">
        <f t="shared" si="7"/>
        <v>0</v>
      </c>
      <c r="I376" s="3396"/>
      <c r="J376" s="3396"/>
      <c r="K376" s="3396"/>
      <c r="L376" s="3396"/>
      <c r="M376" s="3396"/>
      <c r="N376" s="3396"/>
      <c r="O376" s="3396"/>
      <c r="P376" s="3396"/>
      <c r="Q376" s="3396"/>
      <c r="R376" s="3396"/>
      <c r="S376" s="3396"/>
      <c r="T376" s="3396"/>
      <c r="U376" s="3396"/>
      <c r="V376" s="3396"/>
      <c r="W376" s="3396"/>
      <c r="X376" s="3396"/>
      <c r="Y376" s="3396"/>
      <c r="Z376" s="3396"/>
      <c r="AA376" s="3396"/>
      <c r="AB376" s="3396"/>
      <c r="AC376" s="3396"/>
      <c r="AD376" s="3396"/>
      <c r="AE376" s="3396"/>
      <c r="AF376" s="3396"/>
      <c r="AG376" s="3396"/>
      <c r="AH376" s="3396"/>
      <c r="AI376" s="3396"/>
      <c r="AJ376" s="3396"/>
      <c r="AK376" s="3396"/>
      <c r="AL376" s="3396"/>
      <c r="AM376" s="3396"/>
      <c r="AN376" s="3396"/>
      <c r="AO376" s="3396"/>
      <c r="AP376" s="3396"/>
      <c r="AQ376" s="3396"/>
      <c r="AR376" s="3396"/>
      <c r="AS376" s="3396"/>
      <c r="AT376" s="3396"/>
      <c r="AU376" s="3396"/>
      <c r="AV376" s="3396"/>
      <c r="AW376" s="3396"/>
      <c r="AX376" s="3396"/>
      <c r="AY376" s="3396"/>
      <c r="AZ376" s="3396"/>
      <c r="BA376" s="3396"/>
      <c r="BB376" s="3396"/>
      <c r="BC376" s="3396"/>
      <c r="BD376" s="3396"/>
      <c r="BE376" s="3396"/>
      <c r="BF376" s="3396"/>
      <c r="BG376" s="3396"/>
      <c r="BH376" s="3396"/>
      <c r="BI376" s="3396"/>
      <c r="BJ376" s="3396"/>
      <c r="BK376" s="3396"/>
      <c r="BL376" s="3396"/>
      <c r="BM376" s="3396"/>
      <c r="BN376" s="3396"/>
    </row>
    <row r="377" s="687" customFormat="1" ht="15" hidden="1" customHeight="1" spans="1:66">
      <c r="A377" s="3407" t="s">
        <v>6448</v>
      </c>
      <c r="B377" s="3408"/>
      <c r="C377" s="3409"/>
      <c r="D377" s="3409"/>
      <c r="E377" s="3408"/>
      <c r="F377" s="3410"/>
      <c r="G377" s="3410"/>
      <c r="H377" s="3411">
        <f t="shared" si="7"/>
        <v>0</v>
      </c>
      <c r="I377" s="3396"/>
      <c r="J377" s="3396"/>
      <c r="K377" s="3396"/>
      <c r="L377" s="3396"/>
      <c r="M377" s="3396"/>
      <c r="N377" s="3396"/>
      <c r="O377" s="3396"/>
      <c r="P377" s="3396"/>
      <c r="Q377" s="3396"/>
      <c r="R377" s="3396"/>
      <c r="S377" s="3396"/>
      <c r="T377" s="3396"/>
      <c r="U377" s="3396"/>
      <c r="V377" s="3396"/>
      <c r="W377" s="3396"/>
      <c r="X377" s="3396"/>
      <c r="Y377" s="3396"/>
      <c r="Z377" s="3396"/>
      <c r="AA377" s="3396"/>
      <c r="AB377" s="3396"/>
      <c r="AC377" s="3396"/>
      <c r="AD377" s="3396"/>
      <c r="AE377" s="3396"/>
      <c r="AF377" s="3396"/>
      <c r="AG377" s="3396"/>
      <c r="AH377" s="3396"/>
      <c r="AI377" s="3396"/>
      <c r="AJ377" s="3396"/>
      <c r="AK377" s="3396"/>
      <c r="AL377" s="3396"/>
      <c r="AM377" s="3396"/>
      <c r="AN377" s="3396"/>
      <c r="AO377" s="3396"/>
      <c r="AP377" s="3396"/>
      <c r="AQ377" s="3396"/>
      <c r="AR377" s="3396"/>
      <c r="AS377" s="3396"/>
      <c r="AT377" s="3396"/>
      <c r="AU377" s="3396"/>
      <c r="AV377" s="3396"/>
      <c r="AW377" s="3396"/>
      <c r="AX377" s="3396"/>
      <c r="AY377" s="3396"/>
      <c r="AZ377" s="3396"/>
      <c r="BA377" s="3396"/>
      <c r="BB377" s="3396"/>
      <c r="BC377" s="3396"/>
      <c r="BD377" s="3396"/>
      <c r="BE377" s="3396"/>
      <c r="BF377" s="3396"/>
      <c r="BG377" s="3396"/>
      <c r="BH377" s="3396"/>
      <c r="BI377" s="3396"/>
      <c r="BJ377" s="3396"/>
      <c r="BK377" s="3396"/>
      <c r="BL377" s="3396"/>
      <c r="BM377" s="3396"/>
      <c r="BN377" s="3396"/>
    </row>
    <row r="378" s="687" customFormat="1" ht="15" hidden="1" customHeight="1" spans="1:66">
      <c r="A378" s="3407" t="s">
        <v>6449</v>
      </c>
      <c r="B378" s="3408"/>
      <c r="C378" s="3409"/>
      <c r="D378" s="3409"/>
      <c r="E378" s="3408"/>
      <c r="F378" s="3410"/>
      <c r="G378" s="3410"/>
      <c r="H378" s="3411">
        <f t="shared" si="7"/>
        <v>0</v>
      </c>
      <c r="I378" s="3396"/>
      <c r="J378" s="3396"/>
      <c r="K378" s="3396"/>
      <c r="L378" s="3396"/>
      <c r="M378" s="3396"/>
      <c r="N378" s="3396"/>
      <c r="O378" s="3396"/>
      <c r="P378" s="3396"/>
      <c r="Q378" s="3396"/>
      <c r="R378" s="3396"/>
      <c r="S378" s="3396"/>
      <c r="T378" s="3396"/>
      <c r="U378" s="3396"/>
      <c r="V378" s="3396"/>
      <c r="W378" s="3396"/>
      <c r="X378" s="3396"/>
      <c r="Y378" s="3396"/>
      <c r="Z378" s="3396"/>
      <c r="AA378" s="3396"/>
      <c r="AB378" s="3396"/>
      <c r="AC378" s="3396"/>
      <c r="AD378" s="3396"/>
      <c r="AE378" s="3396"/>
      <c r="AF378" s="3396"/>
      <c r="AG378" s="3396"/>
      <c r="AH378" s="3396"/>
      <c r="AI378" s="3396"/>
      <c r="AJ378" s="3396"/>
      <c r="AK378" s="3396"/>
      <c r="AL378" s="3396"/>
      <c r="AM378" s="3396"/>
      <c r="AN378" s="3396"/>
      <c r="AO378" s="3396"/>
      <c r="AP378" s="3396"/>
      <c r="AQ378" s="3396"/>
      <c r="AR378" s="3396"/>
      <c r="AS378" s="3396"/>
      <c r="AT378" s="3396"/>
      <c r="AU378" s="3396"/>
      <c r="AV378" s="3396"/>
      <c r="AW378" s="3396"/>
      <c r="AX378" s="3396"/>
      <c r="AY378" s="3396"/>
      <c r="AZ378" s="3396"/>
      <c r="BA378" s="3396"/>
      <c r="BB378" s="3396"/>
      <c r="BC378" s="3396"/>
      <c r="BD378" s="3396"/>
      <c r="BE378" s="3396"/>
      <c r="BF378" s="3396"/>
      <c r="BG378" s="3396"/>
      <c r="BH378" s="3396"/>
      <c r="BI378" s="3396"/>
      <c r="BJ378" s="3396"/>
      <c r="BK378" s="3396"/>
      <c r="BL378" s="3396"/>
      <c r="BM378" s="3396"/>
      <c r="BN378" s="3396"/>
    </row>
    <row r="379" s="687" customFormat="1" ht="15" hidden="1" customHeight="1" spans="1:66">
      <c r="A379" s="3407" t="s">
        <v>6450</v>
      </c>
      <c r="B379" s="3408"/>
      <c r="C379" s="3409"/>
      <c r="D379" s="3409"/>
      <c r="E379" s="3408"/>
      <c r="F379" s="3410"/>
      <c r="G379" s="3410"/>
      <c r="H379" s="3411">
        <f t="shared" si="7"/>
        <v>0</v>
      </c>
      <c r="I379" s="3396"/>
      <c r="J379" s="3396"/>
      <c r="K379" s="3396"/>
      <c r="L379" s="3396"/>
      <c r="M379" s="3396"/>
      <c r="N379" s="3396"/>
      <c r="O379" s="3396"/>
      <c r="P379" s="3396"/>
      <c r="Q379" s="3396"/>
      <c r="R379" s="3396"/>
      <c r="S379" s="3396"/>
      <c r="T379" s="3396"/>
      <c r="U379" s="3396"/>
      <c r="V379" s="3396"/>
      <c r="W379" s="3396"/>
      <c r="X379" s="3396"/>
      <c r="Y379" s="3396"/>
      <c r="Z379" s="3396"/>
      <c r="AA379" s="3396"/>
      <c r="AB379" s="3396"/>
      <c r="AC379" s="3396"/>
      <c r="AD379" s="3396"/>
      <c r="AE379" s="3396"/>
      <c r="AF379" s="3396"/>
      <c r="AG379" s="3396"/>
      <c r="AH379" s="3396"/>
      <c r="AI379" s="3396"/>
      <c r="AJ379" s="3396"/>
      <c r="AK379" s="3396"/>
      <c r="AL379" s="3396"/>
      <c r="AM379" s="3396"/>
      <c r="AN379" s="3396"/>
      <c r="AO379" s="3396"/>
      <c r="AP379" s="3396"/>
      <c r="AQ379" s="3396"/>
      <c r="AR379" s="3396"/>
      <c r="AS379" s="3396"/>
      <c r="AT379" s="3396"/>
      <c r="AU379" s="3396"/>
      <c r="AV379" s="3396"/>
      <c r="AW379" s="3396"/>
      <c r="AX379" s="3396"/>
      <c r="AY379" s="3396"/>
      <c r="AZ379" s="3396"/>
      <c r="BA379" s="3396"/>
      <c r="BB379" s="3396"/>
      <c r="BC379" s="3396"/>
      <c r="BD379" s="3396"/>
      <c r="BE379" s="3396"/>
      <c r="BF379" s="3396"/>
      <c r="BG379" s="3396"/>
      <c r="BH379" s="3396"/>
      <c r="BI379" s="3396"/>
      <c r="BJ379" s="3396"/>
      <c r="BK379" s="3396"/>
      <c r="BL379" s="3396"/>
      <c r="BM379" s="3396"/>
      <c r="BN379" s="3396"/>
    </row>
    <row r="380" s="687" customFormat="1" ht="15" hidden="1" customHeight="1" spans="1:66">
      <c r="A380" s="3407" t="s">
        <v>6451</v>
      </c>
      <c r="B380" s="3408"/>
      <c r="C380" s="3409"/>
      <c r="D380" s="3409"/>
      <c r="E380" s="3408"/>
      <c r="F380" s="3410"/>
      <c r="G380" s="3410"/>
      <c r="H380" s="3411">
        <f t="shared" si="7"/>
        <v>0</v>
      </c>
      <c r="I380" s="3396"/>
      <c r="J380" s="3396"/>
      <c r="K380" s="3396"/>
      <c r="L380" s="3396"/>
      <c r="M380" s="3396"/>
      <c r="N380" s="3396"/>
      <c r="O380" s="3396"/>
      <c r="P380" s="3396"/>
      <c r="Q380" s="3396"/>
      <c r="R380" s="3396"/>
      <c r="S380" s="3396"/>
      <c r="T380" s="3396"/>
      <c r="U380" s="3396"/>
      <c r="V380" s="3396"/>
      <c r="W380" s="3396"/>
      <c r="X380" s="3396"/>
      <c r="Y380" s="3396"/>
      <c r="Z380" s="3396"/>
      <c r="AA380" s="3396"/>
      <c r="AB380" s="3396"/>
      <c r="AC380" s="3396"/>
      <c r="AD380" s="3396"/>
      <c r="AE380" s="3396"/>
      <c r="AF380" s="3396"/>
      <c r="AG380" s="3396"/>
      <c r="AH380" s="3396"/>
      <c r="AI380" s="3396"/>
      <c r="AJ380" s="3396"/>
      <c r="AK380" s="3396"/>
      <c r="AL380" s="3396"/>
      <c r="AM380" s="3396"/>
      <c r="AN380" s="3396"/>
      <c r="AO380" s="3396"/>
      <c r="AP380" s="3396"/>
      <c r="AQ380" s="3396"/>
      <c r="AR380" s="3396"/>
      <c r="AS380" s="3396"/>
      <c r="AT380" s="3396"/>
      <c r="AU380" s="3396"/>
      <c r="AV380" s="3396"/>
      <c r="AW380" s="3396"/>
      <c r="AX380" s="3396"/>
      <c r="AY380" s="3396"/>
      <c r="AZ380" s="3396"/>
      <c r="BA380" s="3396"/>
      <c r="BB380" s="3396"/>
      <c r="BC380" s="3396"/>
      <c r="BD380" s="3396"/>
      <c r="BE380" s="3396"/>
      <c r="BF380" s="3396"/>
      <c r="BG380" s="3396"/>
      <c r="BH380" s="3396"/>
      <c r="BI380" s="3396"/>
      <c r="BJ380" s="3396"/>
      <c r="BK380" s="3396"/>
      <c r="BL380" s="3396"/>
      <c r="BM380" s="3396"/>
      <c r="BN380" s="3396"/>
    </row>
    <row r="381" s="687" customFormat="1" ht="15" hidden="1" customHeight="1" spans="1:66">
      <c r="A381" s="3407" t="s">
        <v>6452</v>
      </c>
      <c r="B381" s="3408"/>
      <c r="C381" s="3409"/>
      <c r="D381" s="3409"/>
      <c r="E381" s="3408"/>
      <c r="F381" s="3410"/>
      <c r="G381" s="3410"/>
      <c r="H381" s="3411">
        <f t="shared" si="7"/>
        <v>0</v>
      </c>
      <c r="I381" s="3396"/>
      <c r="J381" s="3396"/>
      <c r="K381" s="3396"/>
      <c r="L381" s="3396"/>
      <c r="M381" s="3396"/>
      <c r="N381" s="3396"/>
      <c r="O381" s="3396"/>
      <c r="P381" s="3396"/>
      <c r="Q381" s="3396"/>
      <c r="R381" s="3396"/>
      <c r="S381" s="3396"/>
      <c r="T381" s="3396"/>
      <c r="U381" s="3396"/>
      <c r="V381" s="3396"/>
      <c r="W381" s="3396"/>
      <c r="X381" s="3396"/>
      <c r="Y381" s="3396"/>
      <c r="Z381" s="3396"/>
      <c r="AA381" s="3396"/>
      <c r="AB381" s="3396"/>
      <c r="AC381" s="3396"/>
      <c r="AD381" s="3396"/>
      <c r="AE381" s="3396"/>
      <c r="AF381" s="3396"/>
      <c r="AG381" s="3396"/>
      <c r="AH381" s="3396"/>
      <c r="AI381" s="3396"/>
      <c r="AJ381" s="3396"/>
      <c r="AK381" s="3396"/>
      <c r="AL381" s="3396"/>
      <c r="AM381" s="3396"/>
      <c r="AN381" s="3396"/>
      <c r="AO381" s="3396"/>
      <c r="AP381" s="3396"/>
      <c r="AQ381" s="3396"/>
      <c r="AR381" s="3396"/>
      <c r="AS381" s="3396"/>
      <c r="AT381" s="3396"/>
      <c r="AU381" s="3396"/>
      <c r="AV381" s="3396"/>
      <c r="AW381" s="3396"/>
      <c r="AX381" s="3396"/>
      <c r="AY381" s="3396"/>
      <c r="AZ381" s="3396"/>
      <c r="BA381" s="3396"/>
      <c r="BB381" s="3396"/>
      <c r="BC381" s="3396"/>
      <c r="BD381" s="3396"/>
      <c r="BE381" s="3396"/>
      <c r="BF381" s="3396"/>
      <c r="BG381" s="3396"/>
      <c r="BH381" s="3396"/>
      <c r="BI381" s="3396"/>
      <c r="BJ381" s="3396"/>
      <c r="BK381" s="3396"/>
      <c r="BL381" s="3396"/>
      <c r="BM381" s="3396"/>
      <c r="BN381" s="3396"/>
    </row>
    <row r="382" s="687" customFormat="1" ht="15" hidden="1" customHeight="1" spans="1:66">
      <c r="A382" s="3407" t="s">
        <v>6453</v>
      </c>
      <c r="B382" s="3408"/>
      <c r="C382" s="3409"/>
      <c r="D382" s="3409"/>
      <c r="E382" s="3408"/>
      <c r="F382" s="3410"/>
      <c r="G382" s="3410"/>
      <c r="H382" s="3411">
        <f t="shared" si="7"/>
        <v>0</v>
      </c>
      <c r="I382" s="3396"/>
      <c r="J382" s="3396"/>
      <c r="K382" s="3396"/>
      <c r="L382" s="3396"/>
      <c r="M382" s="3396"/>
      <c r="N382" s="3396"/>
      <c r="O382" s="3396"/>
      <c r="P382" s="3396"/>
      <c r="Q382" s="3396"/>
      <c r="R382" s="3396"/>
      <c r="S382" s="3396"/>
      <c r="T382" s="3396"/>
      <c r="U382" s="3396"/>
      <c r="V382" s="3396"/>
      <c r="W382" s="3396"/>
      <c r="X382" s="3396"/>
      <c r="Y382" s="3396"/>
      <c r="Z382" s="3396"/>
      <c r="AA382" s="3396"/>
      <c r="AB382" s="3396"/>
      <c r="AC382" s="3396"/>
      <c r="AD382" s="3396"/>
      <c r="AE382" s="3396"/>
      <c r="AF382" s="3396"/>
      <c r="AG382" s="3396"/>
      <c r="AH382" s="3396"/>
      <c r="AI382" s="3396"/>
      <c r="AJ382" s="3396"/>
      <c r="AK382" s="3396"/>
      <c r="AL382" s="3396"/>
      <c r="AM382" s="3396"/>
      <c r="AN382" s="3396"/>
      <c r="AO382" s="3396"/>
      <c r="AP382" s="3396"/>
      <c r="AQ382" s="3396"/>
      <c r="AR382" s="3396"/>
      <c r="AS382" s="3396"/>
      <c r="AT382" s="3396"/>
      <c r="AU382" s="3396"/>
      <c r="AV382" s="3396"/>
      <c r="AW382" s="3396"/>
      <c r="AX382" s="3396"/>
      <c r="AY382" s="3396"/>
      <c r="AZ382" s="3396"/>
      <c r="BA382" s="3396"/>
      <c r="BB382" s="3396"/>
      <c r="BC382" s="3396"/>
      <c r="BD382" s="3396"/>
      <c r="BE382" s="3396"/>
      <c r="BF382" s="3396"/>
      <c r="BG382" s="3396"/>
      <c r="BH382" s="3396"/>
      <c r="BI382" s="3396"/>
      <c r="BJ382" s="3396"/>
      <c r="BK382" s="3396"/>
      <c r="BL382" s="3396"/>
      <c r="BM382" s="3396"/>
      <c r="BN382" s="3396"/>
    </row>
    <row r="383" s="687" customFormat="1" ht="15" hidden="1" customHeight="1" spans="1:66">
      <c r="A383" s="3407" t="s">
        <v>6454</v>
      </c>
      <c r="B383" s="3408"/>
      <c r="C383" s="3409"/>
      <c r="D383" s="3409"/>
      <c r="E383" s="3408"/>
      <c r="F383" s="3410"/>
      <c r="G383" s="3410"/>
      <c r="H383" s="3411">
        <f t="shared" si="7"/>
        <v>0</v>
      </c>
      <c r="I383" s="3396"/>
      <c r="J383" s="3396"/>
      <c r="K383" s="3396"/>
      <c r="L383" s="3396"/>
      <c r="M383" s="3396"/>
      <c r="N383" s="3396"/>
      <c r="O383" s="3396"/>
      <c r="P383" s="3396"/>
      <c r="Q383" s="3396"/>
      <c r="R383" s="3396"/>
      <c r="S383" s="3396"/>
      <c r="T383" s="3396"/>
      <c r="U383" s="3396"/>
      <c r="V383" s="3396"/>
      <c r="W383" s="3396"/>
      <c r="X383" s="3396"/>
      <c r="Y383" s="3396"/>
      <c r="Z383" s="3396"/>
      <c r="AA383" s="3396"/>
      <c r="AB383" s="3396"/>
      <c r="AC383" s="3396"/>
      <c r="AD383" s="3396"/>
      <c r="AE383" s="3396"/>
      <c r="AF383" s="3396"/>
      <c r="AG383" s="3396"/>
      <c r="AH383" s="3396"/>
      <c r="AI383" s="3396"/>
      <c r="AJ383" s="3396"/>
      <c r="AK383" s="3396"/>
      <c r="AL383" s="3396"/>
      <c r="AM383" s="3396"/>
      <c r="AN383" s="3396"/>
      <c r="AO383" s="3396"/>
      <c r="AP383" s="3396"/>
      <c r="AQ383" s="3396"/>
      <c r="AR383" s="3396"/>
      <c r="AS383" s="3396"/>
      <c r="AT383" s="3396"/>
      <c r="AU383" s="3396"/>
      <c r="AV383" s="3396"/>
      <c r="AW383" s="3396"/>
      <c r="AX383" s="3396"/>
      <c r="AY383" s="3396"/>
      <c r="AZ383" s="3396"/>
      <c r="BA383" s="3396"/>
      <c r="BB383" s="3396"/>
      <c r="BC383" s="3396"/>
      <c r="BD383" s="3396"/>
      <c r="BE383" s="3396"/>
      <c r="BF383" s="3396"/>
      <c r="BG383" s="3396"/>
      <c r="BH383" s="3396"/>
      <c r="BI383" s="3396"/>
      <c r="BJ383" s="3396"/>
      <c r="BK383" s="3396"/>
      <c r="BL383" s="3396"/>
      <c r="BM383" s="3396"/>
      <c r="BN383" s="3396"/>
    </row>
    <row r="384" s="687" customFormat="1" ht="15" hidden="1" customHeight="1" spans="1:66">
      <c r="A384" s="3407" t="s">
        <v>6455</v>
      </c>
      <c r="B384" s="3408"/>
      <c r="C384" s="3409"/>
      <c r="D384" s="3409"/>
      <c r="E384" s="3408"/>
      <c r="F384" s="3410"/>
      <c r="G384" s="3410"/>
      <c r="H384" s="3411">
        <f t="shared" si="7"/>
        <v>0</v>
      </c>
      <c r="I384" s="3396"/>
      <c r="J384" s="3396"/>
      <c r="K384" s="3396"/>
      <c r="L384" s="3396"/>
      <c r="M384" s="3396"/>
      <c r="N384" s="3396"/>
      <c r="O384" s="3396"/>
      <c r="P384" s="3396"/>
      <c r="Q384" s="3396"/>
      <c r="R384" s="3396"/>
      <c r="S384" s="3396"/>
      <c r="T384" s="3396"/>
      <c r="U384" s="3396"/>
      <c r="V384" s="3396"/>
      <c r="W384" s="3396"/>
      <c r="X384" s="3396"/>
      <c r="Y384" s="3396"/>
      <c r="Z384" s="3396"/>
      <c r="AA384" s="3396"/>
      <c r="AB384" s="3396"/>
      <c r="AC384" s="3396"/>
      <c r="AD384" s="3396"/>
      <c r="AE384" s="3396"/>
      <c r="AF384" s="3396"/>
      <c r="AG384" s="3396"/>
      <c r="AH384" s="3396"/>
      <c r="AI384" s="3396"/>
      <c r="AJ384" s="3396"/>
      <c r="AK384" s="3396"/>
      <c r="AL384" s="3396"/>
      <c r="AM384" s="3396"/>
      <c r="AN384" s="3396"/>
      <c r="AO384" s="3396"/>
      <c r="AP384" s="3396"/>
      <c r="AQ384" s="3396"/>
      <c r="AR384" s="3396"/>
      <c r="AS384" s="3396"/>
      <c r="AT384" s="3396"/>
      <c r="AU384" s="3396"/>
      <c r="AV384" s="3396"/>
      <c r="AW384" s="3396"/>
      <c r="AX384" s="3396"/>
      <c r="AY384" s="3396"/>
      <c r="AZ384" s="3396"/>
      <c r="BA384" s="3396"/>
      <c r="BB384" s="3396"/>
      <c r="BC384" s="3396"/>
      <c r="BD384" s="3396"/>
      <c r="BE384" s="3396"/>
      <c r="BF384" s="3396"/>
      <c r="BG384" s="3396"/>
      <c r="BH384" s="3396"/>
      <c r="BI384" s="3396"/>
      <c r="BJ384" s="3396"/>
      <c r="BK384" s="3396"/>
      <c r="BL384" s="3396"/>
      <c r="BM384" s="3396"/>
      <c r="BN384" s="3396"/>
    </row>
    <row r="385" s="687" customFormat="1" ht="15" hidden="1" customHeight="1" spans="1:66">
      <c r="A385" s="3407" t="s">
        <v>6456</v>
      </c>
      <c r="B385" s="3408"/>
      <c r="C385" s="3409"/>
      <c r="D385" s="3409"/>
      <c r="E385" s="3408"/>
      <c r="F385" s="3410"/>
      <c r="G385" s="3410"/>
      <c r="H385" s="3411">
        <f t="shared" si="7"/>
        <v>0</v>
      </c>
      <c r="I385" s="3396"/>
      <c r="J385" s="3396"/>
      <c r="K385" s="3396"/>
      <c r="L385" s="3396"/>
      <c r="M385" s="3396"/>
      <c r="N385" s="3396"/>
      <c r="O385" s="3396"/>
      <c r="P385" s="3396"/>
      <c r="Q385" s="3396"/>
      <c r="R385" s="3396"/>
      <c r="S385" s="3396"/>
      <c r="T385" s="3396"/>
      <c r="U385" s="3396"/>
      <c r="V385" s="3396"/>
      <c r="W385" s="3396"/>
      <c r="X385" s="3396"/>
      <c r="Y385" s="3396"/>
      <c r="Z385" s="3396"/>
      <c r="AA385" s="3396"/>
      <c r="AB385" s="3396"/>
      <c r="AC385" s="3396"/>
      <c r="AD385" s="3396"/>
      <c r="AE385" s="3396"/>
      <c r="AF385" s="3396"/>
      <c r="AG385" s="3396"/>
      <c r="AH385" s="3396"/>
      <c r="AI385" s="3396"/>
      <c r="AJ385" s="3396"/>
      <c r="AK385" s="3396"/>
      <c r="AL385" s="3396"/>
      <c r="AM385" s="3396"/>
      <c r="AN385" s="3396"/>
      <c r="AO385" s="3396"/>
      <c r="AP385" s="3396"/>
      <c r="AQ385" s="3396"/>
      <c r="AR385" s="3396"/>
      <c r="AS385" s="3396"/>
      <c r="AT385" s="3396"/>
      <c r="AU385" s="3396"/>
      <c r="AV385" s="3396"/>
      <c r="AW385" s="3396"/>
      <c r="AX385" s="3396"/>
      <c r="AY385" s="3396"/>
      <c r="AZ385" s="3396"/>
      <c r="BA385" s="3396"/>
      <c r="BB385" s="3396"/>
      <c r="BC385" s="3396"/>
      <c r="BD385" s="3396"/>
      <c r="BE385" s="3396"/>
      <c r="BF385" s="3396"/>
      <c r="BG385" s="3396"/>
      <c r="BH385" s="3396"/>
      <c r="BI385" s="3396"/>
      <c r="BJ385" s="3396"/>
      <c r="BK385" s="3396"/>
      <c r="BL385" s="3396"/>
      <c r="BM385" s="3396"/>
      <c r="BN385" s="3396"/>
    </row>
    <row r="386" s="687" customFormat="1" ht="15" hidden="1" customHeight="1" spans="1:66">
      <c r="A386" s="3407" t="s">
        <v>6457</v>
      </c>
      <c r="B386" s="3408"/>
      <c r="C386" s="3409"/>
      <c r="D386" s="3409"/>
      <c r="E386" s="3408"/>
      <c r="F386" s="3410"/>
      <c r="G386" s="3410"/>
      <c r="H386" s="3411">
        <f t="shared" si="7"/>
        <v>0</v>
      </c>
      <c r="I386" s="3396"/>
      <c r="J386" s="3396"/>
      <c r="K386" s="3396"/>
      <c r="L386" s="3396"/>
      <c r="M386" s="3396"/>
      <c r="N386" s="3396"/>
      <c r="O386" s="3396"/>
      <c r="P386" s="3396"/>
      <c r="Q386" s="3396"/>
      <c r="R386" s="3396"/>
      <c r="S386" s="3396"/>
      <c r="T386" s="3396"/>
      <c r="U386" s="3396"/>
      <c r="V386" s="3396"/>
      <c r="W386" s="3396"/>
      <c r="X386" s="3396"/>
      <c r="Y386" s="3396"/>
      <c r="Z386" s="3396"/>
      <c r="AA386" s="3396"/>
      <c r="AB386" s="3396"/>
      <c r="AC386" s="3396"/>
      <c r="AD386" s="3396"/>
      <c r="AE386" s="3396"/>
      <c r="AF386" s="3396"/>
      <c r="AG386" s="3396"/>
      <c r="AH386" s="3396"/>
      <c r="AI386" s="3396"/>
      <c r="AJ386" s="3396"/>
      <c r="AK386" s="3396"/>
      <c r="AL386" s="3396"/>
      <c r="AM386" s="3396"/>
      <c r="AN386" s="3396"/>
      <c r="AO386" s="3396"/>
      <c r="AP386" s="3396"/>
      <c r="AQ386" s="3396"/>
      <c r="AR386" s="3396"/>
      <c r="AS386" s="3396"/>
      <c r="AT386" s="3396"/>
      <c r="AU386" s="3396"/>
      <c r="AV386" s="3396"/>
      <c r="AW386" s="3396"/>
      <c r="AX386" s="3396"/>
      <c r="AY386" s="3396"/>
      <c r="AZ386" s="3396"/>
      <c r="BA386" s="3396"/>
      <c r="BB386" s="3396"/>
      <c r="BC386" s="3396"/>
      <c r="BD386" s="3396"/>
      <c r="BE386" s="3396"/>
      <c r="BF386" s="3396"/>
      <c r="BG386" s="3396"/>
      <c r="BH386" s="3396"/>
      <c r="BI386" s="3396"/>
      <c r="BJ386" s="3396"/>
      <c r="BK386" s="3396"/>
      <c r="BL386" s="3396"/>
      <c r="BM386" s="3396"/>
      <c r="BN386" s="3396"/>
    </row>
    <row r="387" s="687" customFormat="1" ht="15" hidden="1" customHeight="1" spans="1:66">
      <c r="A387" s="3407" t="s">
        <v>6458</v>
      </c>
      <c r="B387" s="3408"/>
      <c r="C387" s="3409"/>
      <c r="D387" s="3409"/>
      <c r="E387" s="3408"/>
      <c r="F387" s="3410"/>
      <c r="G387" s="3410"/>
      <c r="H387" s="3411">
        <f t="shared" si="7"/>
        <v>0</v>
      </c>
      <c r="I387" s="3396"/>
      <c r="J387" s="3396"/>
      <c r="K387" s="3396"/>
      <c r="L387" s="3396"/>
      <c r="M387" s="3396"/>
      <c r="N387" s="3396"/>
      <c r="O387" s="3396"/>
      <c r="P387" s="3396"/>
      <c r="Q387" s="3396"/>
      <c r="R387" s="3396"/>
      <c r="S387" s="3396"/>
      <c r="T387" s="3396"/>
      <c r="U387" s="3396"/>
      <c r="V387" s="3396"/>
      <c r="W387" s="3396"/>
      <c r="X387" s="3396"/>
      <c r="Y387" s="3396"/>
      <c r="Z387" s="3396"/>
      <c r="AA387" s="3396"/>
      <c r="AB387" s="3396"/>
      <c r="AC387" s="3396"/>
      <c r="AD387" s="3396"/>
      <c r="AE387" s="3396"/>
      <c r="AF387" s="3396"/>
      <c r="AG387" s="3396"/>
      <c r="AH387" s="3396"/>
      <c r="AI387" s="3396"/>
      <c r="AJ387" s="3396"/>
      <c r="AK387" s="3396"/>
      <c r="AL387" s="3396"/>
      <c r="AM387" s="3396"/>
      <c r="AN387" s="3396"/>
      <c r="AO387" s="3396"/>
      <c r="AP387" s="3396"/>
      <c r="AQ387" s="3396"/>
      <c r="AR387" s="3396"/>
      <c r="AS387" s="3396"/>
      <c r="AT387" s="3396"/>
      <c r="AU387" s="3396"/>
      <c r="AV387" s="3396"/>
      <c r="AW387" s="3396"/>
      <c r="AX387" s="3396"/>
      <c r="AY387" s="3396"/>
      <c r="AZ387" s="3396"/>
      <c r="BA387" s="3396"/>
      <c r="BB387" s="3396"/>
      <c r="BC387" s="3396"/>
      <c r="BD387" s="3396"/>
      <c r="BE387" s="3396"/>
      <c r="BF387" s="3396"/>
      <c r="BG387" s="3396"/>
      <c r="BH387" s="3396"/>
      <c r="BI387" s="3396"/>
      <c r="BJ387" s="3396"/>
      <c r="BK387" s="3396"/>
      <c r="BL387" s="3396"/>
      <c r="BM387" s="3396"/>
      <c r="BN387" s="3396"/>
    </row>
    <row r="388" s="687" customFormat="1" ht="15" hidden="1" customHeight="1" spans="1:66">
      <c r="A388" s="3407" t="s">
        <v>6459</v>
      </c>
      <c r="B388" s="3408"/>
      <c r="C388" s="3409"/>
      <c r="D388" s="3409"/>
      <c r="E388" s="3408"/>
      <c r="F388" s="3410"/>
      <c r="G388" s="3410"/>
      <c r="H388" s="3411">
        <f t="shared" si="7"/>
        <v>0</v>
      </c>
      <c r="I388" s="3396"/>
      <c r="J388" s="3396"/>
      <c r="K388" s="3396"/>
      <c r="L388" s="3396"/>
      <c r="M388" s="3396"/>
      <c r="N388" s="3396"/>
      <c r="O388" s="3396"/>
      <c r="P388" s="3396"/>
      <c r="Q388" s="3396"/>
      <c r="R388" s="3396"/>
      <c r="S388" s="3396"/>
      <c r="T388" s="3396"/>
      <c r="U388" s="3396"/>
      <c r="V388" s="3396"/>
      <c r="W388" s="3396"/>
      <c r="X388" s="3396"/>
      <c r="Y388" s="3396"/>
      <c r="Z388" s="3396"/>
      <c r="AA388" s="3396"/>
      <c r="AB388" s="3396"/>
      <c r="AC388" s="3396"/>
      <c r="AD388" s="3396"/>
      <c r="AE388" s="3396"/>
      <c r="AF388" s="3396"/>
      <c r="AG388" s="3396"/>
      <c r="AH388" s="3396"/>
      <c r="AI388" s="3396"/>
      <c r="AJ388" s="3396"/>
      <c r="AK388" s="3396"/>
      <c r="AL388" s="3396"/>
      <c r="AM388" s="3396"/>
      <c r="AN388" s="3396"/>
      <c r="AO388" s="3396"/>
      <c r="AP388" s="3396"/>
      <c r="AQ388" s="3396"/>
      <c r="AR388" s="3396"/>
      <c r="AS388" s="3396"/>
      <c r="AT388" s="3396"/>
      <c r="AU388" s="3396"/>
      <c r="AV388" s="3396"/>
      <c r="AW388" s="3396"/>
      <c r="AX388" s="3396"/>
      <c r="AY388" s="3396"/>
      <c r="AZ388" s="3396"/>
      <c r="BA388" s="3396"/>
      <c r="BB388" s="3396"/>
      <c r="BC388" s="3396"/>
      <c r="BD388" s="3396"/>
      <c r="BE388" s="3396"/>
      <c r="BF388" s="3396"/>
      <c r="BG388" s="3396"/>
      <c r="BH388" s="3396"/>
      <c r="BI388" s="3396"/>
      <c r="BJ388" s="3396"/>
      <c r="BK388" s="3396"/>
      <c r="BL388" s="3396"/>
      <c r="BM388" s="3396"/>
      <c r="BN388" s="3396"/>
    </row>
    <row r="389" s="687" customFormat="1" ht="15" hidden="1" customHeight="1" spans="1:66">
      <c r="A389" s="3407" t="s">
        <v>6460</v>
      </c>
      <c r="B389" s="3408"/>
      <c r="C389" s="3409"/>
      <c r="D389" s="3409"/>
      <c r="E389" s="3408"/>
      <c r="F389" s="3410"/>
      <c r="G389" s="3410"/>
      <c r="H389" s="3411">
        <f t="shared" si="7"/>
        <v>0</v>
      </c>
      <c r="I389" s="3396"/>
      <c r="J389" s="3396"/>
      <c r="K389" s="3396"/>
      <c r="L389" s="3396"/>
      <c r="M389" s="3396"/>
      <c r="N389" s="3396"/>
      <c r="O389" s="3396"/>
      <c r="P389" s="3396"/>
      <c r="Q389" s="3396"/>
      <c r="R389" s="3396"/>
      <c r="S389" s="3396"/>
      <c r="T389" s="3396"/>
      <c r="U389" s="3396"/>
      <c r="V389" s="3396"/>
      <c r="W389" s="3396"/>
      <c r="X389" s="3396"/>
      <c r="Y389" s="3396"/>
      <c r="Z389" s="3396"/>
      <c r="AA389" s="3396"/>
      <c r="AB389" s="3396"/>
      <c r="AC389" s="3396"/>
      <c r="AD389" s="3396"/>
      <c r="AE389" s="3396"/>
      <c r="AF389" s="3396"/>
      <c r="AG389" s="3396"/>
      <c r="AH389" s="3396"/>
      <c r="AI389" s="3396"/>
      <c r="AJ389" s="3396"/>
      <c r="AK389" s="3396"/>
      <c r="AL389" s="3396"/>
      <c r="AM389" s="3396"/>
      <c r="AN389" s="3396"/>
      <c r="AO389" s="3396"/>
      <c r="AP389" s="3396"/>
      <c r="AQ389" s="3396"/>
      <c r="AR389" s="3396"/>
      <c r="AS389" s="3396"/>
      <c r="AT389" s="3396"/>
      <c r="AU389" s="3396"/>
      <c r="AV389" s="3396"/>
      <c r="AW389" s="3396"/>
      <c r="AX389" s="3396"/>
      <c r="AY389" s="3396"/>
      <c r="AZ389" s="3396"/>
      <c r="BA389" s="3396"/>
      <c r="BB389" s="3396"/>
      <c r="BC389" s="3396"/>
      <c r="BD389" s="3396"/>
      <c r="BE389" s="3396"/>
      <c r="BF389" s="3396"/>
      <c r="BG389" s="3396"/>
      <c r="BH389" s="3396"/>
      <c r="BI389" s="3396"/>
      <c r="BJ389" s="3396"/>
      <c r="BK389" s="3396"/>
      <c r="BL389" s="3396"/>
      <c r="BM389" s="3396"/>
      <c r="BN389" s="3396"/>
    </row>
    <row r="390" s="687" customFormat="1" ht="15" hidden="1" customHeight="1" spans="1:66">
      <c r="A390" s="3407" t="s">
        <v>6461</v>
      </c>
      <c r="B390" s="3408"/>
      <c r="C390" s="3409"/>
      <c r="D390" s="3409"/>
      <c r="E390" s="3408"/>
      <c r="F390" s="3410"/>
      <c r="G390" s="3410"/>
      <c r="H390" s="3411">
        <f t="shared" si="7"/>
        <v>0</v>
      </c>
      <c r="I390" s="3396"/>
      <c r="J390" s="3396"/>
      <c r="K390" s="3396"/>
      <c r="L390" s="3396"/>
      <c r="M390" s="3396"/>
      <c r="N390" s="3396"/>
      <c r="O390" s="3396"/>
      <c r="P390" s="3396"/>
      <c r="Q390" s="3396"/>
      <c r="R390" s="3396"/>
      <c r="S390" s="3396"/>
      <c r="T390" s="3396"/>
      <c r="U390" s="3396"/>
      <c r="V390" s="3396"/>
      <c r="W390" s="3396"/>
      <c r="X390" s="3396"/>
      <c r="Y390" s="3396"/>
      <c r="Z390" s="3396"/>
      <c r="AA390" s="3396"/>
      <c r="AB390" s="3396"/>
      <c r="AC390" s="3396"/>
      <c r="AD390" s="3396"/>
      <c r="AE390" s="3396"/>
      <c r="AF390" s="3396"/>
      <c r="AG390" s="3396"/>
      <c r="AH390" s="3396"/>
      <c r="AI390" s="3396"/>
      <c r="AJ390" s="3396"/>
      <c r="AK390" s="3396"/>
      <c r="AL390" s="3396"/>
      <c r="AM390" s="3396"/>
      <c r="AN390" s="3396"/>
      <c r="AO390" s="3396"/>
      <c r="AP390" s="3396"/>
      <c r="AQ390" s="3396"/>
      <c r="AR390" s="3396"/>
      <c r="AS390" s="3396"/>
      <c r="AT390" s="3396"/>
      <c r="AU390" s="3396"/>
      <c r="AV390" s="3396"/>
      <c r="AW390" s="3396"/>
      <c r="AX390" s="3396"/>
      <c r="AY390" s="3396"/>
      <c r="AZ390" s="3396"/>
      <c r="BA390" s="3396"/>
      <c r="BB390" s="3396"/>
      <c r="BC390" s="3396"/>
      <c r="BD390" s="3396"/>
      <c r="BE390" s="3396"/>
      <c r="BF390" s="3396"/>
      <c r="BG390" s="3396"/>
      <c r="BH390" s="3396"/>
      <c r="BI390" s="3396"/>
      <c r="BJ390" s="3396"/>
      <c r="BK390" s="3396"/>
      <c r="BL390" s="3396"/>
      <c r="BM390" s="3396"/>
      <c r="BN390" s="3396"/>
    </row>
    <row r="391" s="687" customFormat="1" ht="15" hidden="1" customHeight="1" spans="1:66">
      <c r="A391" s="3407" t="s">
        <v>6462</v>
      </c>
      <c r="B391" s="3408"/>
      <c r="C391" s="3409"/>
      <c r="D391" s="3409"/>
      <c r="E391" s="3408"/>
      <c r="F391" s="3410"/>
      <c r="G391" s="3410"/>
      <c r="H391" s="3411">
        <f t="shared" si="7"/>
        <v>0</v>
      </c>
      <c r="I391" s="3396"/>
      <c r="J391" s="3396"/>
      <c r="K391" s="3396"/>
      <c r="L391" s="3396"/>
      <c r="M391" s="3396"/>
      <c r="N391" s="3396"/>
      <c r="O391" s="3396"/>
      <c r="P391" s="3396"/>
      <c r="Q391" s="3396"/>
      <c r="R391" s="3396"/>
      <c r="S391" s="3396"/>
      <c r="T391" s="3396"/>
      <c r="U391" s="3396"/>
      <c r="V391" s="3396"/>
      <c r="W391" s="3396"/>
      <c r="X391" s="3396"/>
      <c r="Y391" s="3396"/>
      <c r="Z391" s="3396"/>
      <c r="AA391" s="3396"/>
      <c r="AB391" s="3396"/>
      <c r="AC391" s="3396"/>
      <c r="AD391" s="3396"/>
      <c r="AE391" s="3396"/>
      <c r="AF391" s="3396"/>
      <c r="AG391" s="3396"/>
      <c r="AH391" s="3396"/>
      <c r="AI391" s="3396"/>
      <c r="AJ391" s="3396"/>
      <c r="AK391" s="3396"/>
      <c r="AL391" s="3396"/>
      <c r="AM391" s="3396"/>
      <c r="AN391" s="3396"/>
      <c r="AO391" s="3396"/>
      <c r="AP391" s="3396"/>
      <c r="AQ391" s="3396"/>
      <c r="AR391" s="3396"/>
      <c r="AS391" s="3396"/>
      <c r="AT391" s="3396"/>
      <c r="AU391" s="3396"/>
      <c r="AV391" s="3396"/>
      <c r="AW391" s="3396"/>
      <c r="AX391" s="3396"/>
      <c r="AY391" s="3396"/>
      <c r="AZ391" s="3396"/>
      <c r="BA391" s="3396"/>
      <c r="BB391" s="3396"/>
      <c r="BC391" s="3396"/>
      <c r="BD391" s="3396"/>
      <c r="BE391" s="3396"/>
      <c r="BF391" s="3396"/>
      <c r="BG391" s="3396"/>
      <c r="BH391" s="3396"/>
      <c r="BI391" s="3396"/>
      <c r="BJ391" s="3396"/>
      <c r="BK391" s="3396"/>
      <c r="BL391" s="3396"/>
      <c r="BM391" s="3396"/>
      <c r="BN391" s="3396"/>
    </row>
    <row r="392" s="687" customFormat="1" ht="15" hidden="1" customHeight="1" spans="1:66">
      <c r="A392" s="3407" t="s">
        <v>6463</v>
      </c>
      <c r="B392" s="3408"/>
      <c r="C392" s="3409"/>
      <c r="D392" s="3409"/>
      <c r="E392" s="3408"/>
      <c r="F392" s="3410"/>
      <c r="G392" s="3410"/>
      <c r="H392" s="3411">
        <f t="shared" si="7"/>
        <v>0</v>
      </c>
      <c r="I392" s="3396"/>
      <c r="J392" s="3396"/>
      <c r="K392" s="3396"/>
      <c r="L392" s="3396"/>
      <c r="M392" s="3396"/>
      <c r="N392" s="3396"/>
      <c r="O392" s="3396"/>
      <c r="P392" s="3396"/>
      <c r="Q392" s="3396"/>
      <c r="R392" s="3396"/>
      <c r="S392" s="3396"/>
      <c r="T392" s="3396"/>
      <c r="U392" s="3396"/>
      <c r="V392" s="3396"/>
      <c r="W392" s="3396"/>
      <c r="X392" s="3396"/>
      <c r="Y392" s="3396"/>
      <c r="Z392" s="3396"/>
      <c r="AA392" s="3396"/>
      <c r="AB392" s="3396"/>
      <c r="AC392" s="3396"/>
      <c r="AD392" s="3396"/>
      <c r="AE392" s="3396"/>
      <c r="AF392" s="3396"/>
      <c r="AG392" s="3396"/>
      <c r="AH392" s="3396"/>
      <c r="AI392" s="3396"/>
      <c r="AJ392" s="3396"/>
      <c r="AK392" s="3396"/>
      <c r="AL392" s="3396"/>
      <c r="AM392" s="3396"/>
      <c r="AN392" s="3396"/>
      <c r="AO392" s="3396"/>
      <c r="AP392" s="3396"/>
      <c r="AQ392" s="3396"/>
      <c r="AR392" s="3396"/>
      <c r="AS392" s="3396"/>
      <c r="AT392" s="3396"/>
      <c r="AU392" s="3396"/>
      <c r="AV392" s="3396"/>
      <c r="AW392" s="3396"/>
      <c r="AX392" s="3396"/>
      <c r="AY392" s="3396"/>
      <c r="AZ392" s="3396"/>
      <c r="BA392" s="3396"/>
      <c r="BB392" s="3396"/>
      <c r="BC392" s="3396"/>
      <c r="BD392" s="3396"/>
      <c r="BE392" s="3396"/>
      <c r="BF392" s="3396"/>
      <c r="BG392" s="3396"/>
      <c r="BH392" s="3396"/>
      <c r="BI392" s="3396"/>
      <c r="BJ392" s="3396"/>
      <c r="BK392" s="3396"/>
      <c r="BL392" s="3396"/>
      <c r="BM392" s="3396"/>
      <c r="BN392" s="3396"/>
    </row>
    <row r="393" s="687" customFormat="1" ht="15" hidden="1" customHeight="1" spans="1:66">
      <c r="A393" s="3407" t="s">
        <v>6464</v>
      </c>
      <c r="B393" s="3408"/>
      <c r="C393" s="3409"/>
      <c r="D393" s="3409"/>
      <c r="E393" s="3408"/>
      <c r="F393" s="3410"/>
      <c r="G393" s="3410"/>
      <c r="H393" s="3411">
        <f t="shared" si="7"/>
        <v>0</v>
      </c>
      <c r="I393" s="3396"/>
      <c r="J393" s="3396"/>
      <c r="K393" s="3396"/>
      <c r="L393" s="3396"/>
      <c r="M393" s="3396"/>
      <c r="N393" s="3396"/>
      <c r="O393" s="3396"/>
      <c r="P393" s="3396"/>
      <c r="Q393" s="3396"/>
      <c r="R393" s="3396"/>
      <c r="S393" s="3396"/>
      <c r="T393" s="3396"/>
      <c r="U393" s="3396"/>
      <c r="V393" s="3396"/>
      <c r="W393" s="3396"/>
      <c r="X393" s="3396"/>
      <c r="Y393" s="3396"/>
      <c r="Z393" s="3396"/>
      <c r="AA393" s="3396"/>
      <c r="AB393" s="3396"/>
      <c r="AC393" s="3396"/>
      <c r="AD393" s="3396"/>
      <c r="AE393" s="3396"/>
      <c r="AF393" s="3396"/>
      <c r="AG393" s="3396"/>
      <c r="AH393" s="3396"/>
      <c r="AI393" s="3396"/>
      <c r="AJ393" s="3396"/>
      <c r="AK393" s="3396"/>
      <c r="AL393" s="3396"/>
      <c r="AM393" s="3396"/>
      <c r="AN393" s="3396"/>
      <c r="AO393" s="3396"/>
      <c r="AP393" s="3396"/>
      <c r="AQ393" s="3396"/>
      <c r="AR393" s="3396"/>
      <c r="AS393" s="3396"/>
      <c r="AT393" s="3396"/>
      <c r="AU393" s="3396"/>
      <c r="AV393" s="3396"/>
      <c r="AW393" s="3396"/>
      <c r="AX393" s="3396"/>
      <c r="AY393" s="3396"/>
      <c r="AZ393" s="3396"/>
      <c r="BA393" s="3396"/>
      <c r="BB393" s="3396"/>
      <c r="BC393" s="3396"/>
      <c r="BD393" s="3396"/>
      <c r="BE393" s="3396"/>
      <c r="BF393" s="3396"/>
      <c r="BG393" s="3396"/>
      <c r="BH393" s="3396"/>
      <c r="BI393" s="3396"/>
      <c r="BJ393" s="3396"/>
      <c r="BK393" s="3396"/>
      <c r="BL393" s="3396"/>
      <c r="BM393" s="3396"/>
      <c r="BN393" s="3396"/>
    </row>
    <row r="394" s="687" customFormat="1" ht="15" hidden="1" customHeight="1" spans="1:66">
      <c r="A394" s="3407" t="s">
        <v>6465</v>
      </c>
      <c r="B394" s="3408"/>
      <c r="C394" s="3409"/>
      <c r="D394" s="3409"/>
      <c r="E394" s="3408"/>
      <c r="F394" s="3410"/>
      <c r="G394" s="3410"/>
      <c r="H394" s="3411">
        <f t="shared" si="7"/>
        <v>0</v>
      </c>
      <c r="I394" s="3396"/>
      <c r="J394" s="3396"/>
      <c r="K394" s="3396"/>
      <c r="L394" s="3396"/>
      <c r="M394" s="3396"/>
      <c r="N394" s="3396"/>
      <c r="O394" s="3396"/>
      <c r="P394" s="3396"/>
      <c r="Q394" s="3396"/>
      <c r="R394" s="3396"/>
      <c r="S394" s="3396"/>
      <c r="T394" s="3396"/>
      <c r="U394" s="3396"/>
      <c r="V394" s="3396"/>
      <c r="W394" s="3396"/>
      <c r="X394" s="3396"/>
      <c r="Y394" s="3396"/>
      <c r="Z394" s="3396"/>
      <c r="AA394" s="3396"/>
      <c r="AB394" s="3396"/>
      <c r="AC394" s="3396"/>
      <c r="AD394" s="3396"/>
      <c r="AE394" s="3396"/>
      <c r="AF394" s="3396"/>
      <c r="AG394" s="3396"/>
      <c r="AH394" s="3396"/>
      <c r="AI394" s="3396"/>
      <c r="AJ394" s="3396"/>
      <c r="AK394" s="3396"/>
      <c r="AL394" s="3396"/>
      <c r="AM394" s="3396"/>
      <c r="AN394" s="3396"/>
      <c r="AO394" s="3396"/>
      <c r="AP394" s="3396"/>
      <c r="AQ394" s="3396"/>
      <c r="AR394" s="3396"/>
      <c r="AS394" s="3396"/>
      <c r="AT394" s="3396"/>
      <c r="AU394" s="3396"/>
      <c r="AV394" s="3396"/>
      <c r="AW394" s="3396"/>
      <c r="AX394" s="3396"/>
      <c r="AY394" s="3396"/>
      <c r="AZ394" s="3396"/>
      <c r="BA394" s="3396"/>
      <c r="BB394" s="3396"/>
      <c r="BC394" s="3396"/>
      <c r="BD394" s="3396"/>
      <c r="BE394" s="3396"/>
      <c r="BF394" s="3396"/>
      <c r="BG394" s="3396"/>
      <c r="BH394" s="3396"/>
      <c r="BI394" s="3396"/>
      <c r="BJ394" s="3396"/>
      <c r="BK394" s="3396"/>
      <c r="BL394" s="3396"/>
      <c r="BM394" s="3396"/>
      <c r="BN394" s="3396"/>
    </row>
    <row r="395" s="687" customFormat="1" ht="15" hidden="1" customHeight="1" spans="1:66">
      <c r="A395" s="3407" t="s">
        <v>6466</v>
      </c>
      <c r="B395" s="3408"/>
      <c r="C395" s="3409"/>
      <c r="D395" s="3409"/>
      <c r="E395" s="3408"/>
      <c r="F395" s="3410"/>
      <c r="G395" s="3410"/>
      <c r="H395" s="3411">
        <f t="shared" si="7"/>
        <v>0</v>
      </c>
      <c r="I395" s="3396"/>
      <c r="J395" s="3396"/>
      <c r="K395" s="3396"/>
      <c r="L395" s="3396"/>
      <c r="M395" s="3396"/>
      <c r="N395" s="3396"/>
      <c r="O395" s="3396"/>
      <c r="P395" s="3396"/>
      <c r="Q395" s="3396"/>
      <c r="R395" s="3396"/>
      <c r="S395" s="3396"/>
      <c r="T395" s="3396"/>
      <c r="U395" s="3396"/>
      <c r="V395" s="3396"/>
      <c r="W395" s="3396"/>
      <c r="X395" s="3396"/>
      <c r="Y395" s="3396"/>
      <c r="Z395" s="3396"/>
      <c r="AA395" s="3396"/>
      <c r="AB395" s="3396"/>
      <c r="AC395" s="3396"/>
      <c r="AD395" s="3396"/>
      <c r="AE395" s="3396"/>
      <c r="AF395" s="3396"/>
      <c r="AG395" s="3396"/>
      <c r="AH395" s="3396"/>
      <c r="AI395" s="3396"/>
      <c r="AJ395" s="3396"/>
      <c r="AK395" s="3396"/>
      <c r="AL395" s="3396"/>
      <c r="AM395" s="3396"/>
      <c r="AN395" s="3396"/>
      <c r="AO395" s="3396"/>
      <c r="AP395" s="3396"/>
      <c r="AQ395" s="3396"/>
      <c r="AR395" s="3396"/>
      <c r="AS395" s="3396"/>
      <c r="AT395" s="3396"/>
      <c r="AU395" s="3396"/>
      <c r="AV395" s="3396"/>
      <c r="AW395" s="3396"/>
      <c r="AX395" s="3396"/>
      <c r="AY395" s="3396"/>
      <c r="AZ395" s="3396"/>
      <c r="BA395" s="3396"/>
      <c r="BB395" s="3396"/>
      <c r="BC395" s="3396"/>
      <c r="BD395" s="3396"/>
      <c r="BE395" s="3396"/>
      <c r="BF395" s="3396"/>
      <c r="BG395" s="3396"/>
      <c r="BH395" s="3396"/>
      <c r="BI395" s="3396"/>
      <c r="BJ395" s="3396"/>
      <c r="BK395" s="3396"/>
      <c r="BL395" s="3396"/>
      <c r="BM395" s="3396"/>
      <c r="BN395" s="3396"/>
    </row>
    <row r="396" s="687" customFormat="1" ht="15" hidden="1" customHeight="1" spans="1:66">
      <c r="A396" s="3407" t="s">
        <v>6467</v>
      </c>
      <c r="B396" s="3408"/>
      <c r="C396" s="3409"/>
      <c r="D396" s="3409"/>
      <c r="E396" s="3408"/>
      <c r="F396" s="3410"/>
      <c r="G396" s="3410"/>
      <c r="H396" s="3411">
        <f t="shared" si="7"/>
        <v>0</v>
      </c>
      <c r="I396" s="3396"/>
      <c r="J396" s="3396"/>
      <c r="K396" s="3396"/>
      <c r="L396" s="3396"/>
      <c r="M396" s="3396"/>
      <c r="N396" s="3396"/>
      <c r="O396" s="3396"/>
      <c r="P396" s="3396"/>
      <c r="Q396" s="3396"/>
      <c r="R396" s="3396"/>
      <c r="S396" s="3396"/>
      <c r="T396" s="3396"/>
      <c r="U396" s="3396"/>
      <c r="V396" s="3396"/>
      <c r="W396" s="3396"/>
      <c r="X396" s="3396"/>
      <c r="Y396" s="3396"/>
      <c r="Z396" s="3396"/>
      <c r="AA396" s="3396"/>
      <c r="AB396" s="3396"/>
      <c r="AC396" s="3396"/>
      <c r="AD396" s="3396"/>
      <c r="AE396" s="3396"/>
      <c r="AF396" s="3396"/>
      <c r="AG396" s="3396"/>
      <c r="AH396" s="3396"/>
      <c r="AI396" s="3396"/>
      <c r="AJ396" s="3396"/>
      <c r="AK396" s="3396"/>
      <c r="AL396" s="3396"/>
      <c r="AM396" s="3396"/>
      <c r="AN396" s="3396"/>
      <c r="AO396" s="3396"/>
      <c r="AP396" s="3396"/>
      <c r="AQ396" s="3396"/>
      <c r="AR396" s="3396"/>
      <c r="AS396" s="3396"/>
      <c r="AT396" s="3396"/>
      <c r="AU396" s="3396"/>
      <c r="AV396" s="3396"/>
      <c r="AW396" s="3396"/>
      <c r="AX396" s="3396"/>
      <c r="AY396" s="3396"/>
      <c r="AZ396" s="3396"/>
      <c r="BA396" s="3396"/>
      <c r="BB396" s="3396"/>
      <c r="BC396" s="3396"/>
      <c r="BD396" s="3396"/>
      <c r="BE396" s="3396"/>
      <c r="BF396" s="3396"/>
      <c r="BG396" s="3396"/>
      <c r="BH396" s="3396"/>
      <c r="BI396" s="3396"/>
      <c r="BJ396" s="3396"/>
      <c r="BK396" s="3396"/>
      <c r="BL396" s="3396"/>
      <c r="BM396" s="3396"/>
      <c r="BN396" s="3396"/>
    </row>
    <row r="397" s="687" customFormat="1" ht="15" hidden="1" customHeight="1" spans="1:66">
      <c r="A397" s="3407" t="s">
        <v>6468</v>
      </c>
      <c r="B397" s="3408"/>
      <c r="C397" s="3409"/>
      <c r="D397" s="3409"/>
      <c r="E397" s="3408"/>
      <c r="F397" s="3410"/>
      <c r="G397" s="3410"/>
      <c r="H397" s="3411">
        <f t="shared" si="7"/>
        <v>0</v>
      </c>
      <c r="I397" s="3396"/>
      <c r="J397" s="3396"/>
      <c r="K397" s="3396"/>
      <c r="L397" s="3396"/>
      <c r="M397" s="3396"/>
      <c r="N397" s="3396"/>
      <c r="O397" s="3396"/>
      <c r="P397" s="3396"/>
      <c r="Q397" s="3396"/>
      <c r="R397" s="3396"/>
      <c r="S397" s="3396"/>
      <c r="T397" s="3396"/>
      <c r="U397" s="3396"/>
      <c r="V397" s="3396"/>
      <c r="W397" s="3396"/>
      <c r="X397" s="3396"/>
      <c r="Y397" s="3396"/>
      <c r="Z397" s="3396"/>
      <c r="AA397" s="3396"/>
      <c r="AB397" s="3396"/>
      <c r="AC397" s="3396"/>
      <c r="AD397" s="3396"/>
      <c r="AE397" s="3396"/>
      <c r="AF397" s="3396"/>
      <c r="AG397" s="3396"/>
      <c r="AH397" s="3396"/>
      <c r="AI397" s="3396"/>
      <c r="AJ397" s="3396"/>
      <c r="AK397" s="3396"/>
      <c r="AL397" s="3396"/>
      <c r="AM397" s="3396"/>
      <c r="AN397" s="3396"/>
      <c r="AO397" s="3396"/>
      <c r="AP397" s="3396"/>
      <c r="AQ397" s="3396"/>
      <c r="AR397" s="3396"/>
      <c r="AS397" s="3396"/>
      <c r="AT397" s="3396"/>
      <c r="AU397" s="3396"/>
      <c r="AV397" s="3396"/>
      <c r="AW397" s="3396"/>
      <c r="AX397" s="3396"/>
      <c r="AY397" s="3396"/>
      <c r="AZ397" s="3396"/>
      <c r="BA397" s="3396"/>
      <c r="BB397" s="3396"/>
      <c r="BC397" s="3396"/>
      <c r="BD397" s="3396"/>
      <c r="BE397" s="3396"/>
      <c r="BF397" s="3396"/>
      <c r="BG397" s="3396"/>
      <c r="BH397" s="3396"/>
      <c r="BI397" s="3396"/>
      <c r="BJ397" s="3396"/>
      <c r="BK397" s="3396"/>
      <c r="BL397" s="3396"/>
      <c r="BM397" s="3396"/>
      <c r="BN397" s="3396"/>
    </row>
    <row r="398" s="687" customFormat="1" ht="15" hidden="1" customHeight="1" spans="1:66">
      <c r="A398" s="3407" t="s">
        <v>6469</v>
      </c>
      <c r="B398" s="3408"/>
      <c r="C398" s="3409"/>
      <c r="D398" s="3409"/>
      <c r="E398" s="3408"/>
      <c r="F398" s="3410"/>
      <c r="G398" s="3410"/>
      <c r="H398" s="3411">
        <f t="shared" si="7"/>
        <v>0</v>
      </c>
      <c r="I398" s="3396"/>
      <c r="J398" s="3396"/>
      <c r="K398" s="3396"/>
      <c r="L398" s="3396"/>
      <c r="M398" s="3396"/>
      <c r="N398" s="3396"/>
      <c r="O398" s="3396"/>
      <c r="P398" s="3396"/>
      <c r="Q398" s="3396"/>
      <c r="R398" s="3396"/>
      <c r="S398" s="3396"/>
      <c r="T398" s="3396"/>
      <c r="U398" s="3396"/>
      <c r="V398" s="3396"/>
      <c r="W398" s="3396"/>
      <c r="X398" s="3396"/>
      <c r="Y398" s="3396"/>
      <c r="Z398" s="3396"/>
      <c r="AA398" s="3396"/>
      <c r="AB398" s="3396"/>
      <c r="AC398" s="3396"/>
      <c r="AD398" s="3396"/>
      <c r="AE398" s="3396"/>
      <c r="AF398" s="3396"/>
      <c r="AG398" s="3396"/>
      <c r="AH398" s="3396"/>
      <c r="AI398" s="3396"/>
      <c r="AJ398" s="3396"/>
      <c r="AK398" s="3396"/>
      <c r="AL398" s="3396"/>
      <c r="AM398" s="3396"/>
      <c r="AN398" s="3396"/>
      <c r="AO398" s="3396"/>
      <c r="AP398" s="3396"/>
      <c r="AQ398" s="3396"/>
      <c r="AR398" s="3396"/>
      <c r="AS398" s="3396"/>
      <c r="AT398" s="3396"/>
      <c r="AU398" s="3396"/>
      <c r="AV398" s="3396"/>
      <c r="AW398" s="3396"/>
      <c r="AX398" s="3396"/>
      <c r="AY398" s="3396"/>
      <c r="AZ398" s="3396"/>
      <c r="BA398" s="3396"/>
      <c r="BB398" s="3396"/>
      <c r="BC398" s="3396"/>
      <c r="BD398" s="3396"/>
      <c r="BE398" s="3396"/>
      <c r="BF398" s="3396"/>
      <c r="BG398" s="3396"/>
      <c r="BH398" s="3396"/>
      <c r="BI398" s="3396"/>
      <c r="BJ398" s="3396"/>
      <c r="BK398" s="3396"/>
      <c r="BL398" s="3396"/>
      <c r="BM398" s="3396"/>
      <c r="BN398" s="3396"/>
    </row>
    <row r="399" s="687" customFormat="1" ht="15" hidden="1" customHeight="1" spans="1:66">
      <c r="A399" s="3407" t="s">
        <v>6470</v>
      </c>
      <c r="B399" s="3408"/>
      <c r="C399" s="3409"/>
      <c r="D399" s="3409"/>
      <c r="E399" s="3408"/>
      <c r="F399" s="3410"/>
      <c r="G399" s="3410"/>
      <c r="H399" s="3411">
        <f t="shared" si="7"/>
        <v>0</v>
      </c>
      <c r="I399" s="3396"/>
      <c r="J399" s="3396"/>
      <c r="K399" s="3396"/>
      <c r="L399" s="3396"/>
      <c r="M399" s="3396"/>
      <c r="N399" s="3396"/>
      <c r="O399" s="3396"/>
      <c r="P399" s="3396"/>
      <c r="Q399" s="3396"/>
      <c r="R399" s="3396"/>
      <c r="S399" s="3396"/>
      <c r="T399" s="3396"/>
      <c r="U399" s="3396"/>
      <c r="V399" s="3396"/>
      <c r="W399" s="3396"/>
      <c r="X399" s="3396"/>
      <c r="Y399" s="3396"/>
      <c r="Z399" s="3396"/>
      <c r="AA399" s="3396"/>
      <c r="AB399" s="3396"/>
      <c r="AC399" s="3396"/>
      <c r="AD399" s="3396"/>
      <c r="AE399" s="3396"/>
      <c r="AF399" s="3396"/>
      <c r="AG399" s="3396"/>
      <c r="AH399" s="3396"/>
      <c r="AI399" s="3396"/>
      <c r="AJ399" s="3396"/>
      <c r="AK399" s="3396"/>
      <c r="AL399" s="3396"/>
      <c r="AM399" s="3396"/>
      <c r="AN399" s="3396"/>
      <c r="AO399" s="3396"/>
      <c r="AP399" s="3396"/>
      <c r="AQ399" s="3396"/>
      <c r="AR399" s="3396"/>
      <c r="AS399" s="3396"/>
      <c r="AT399" s="3396"/>
      <c r="AU399" s="3396"/>
      <c r="AV399" s="3396"/>
      <c r="AW399" s="3396"/>
      <c r="AX399" s="3396"/>
      <c r="AY399" s="3396"/>
      <c r="AZ399" s="3396"/>
      <c r="BA399" s="3396"/>
      <c r="BB399" s="3396"/>
      <c r="BC399" s="3396"/>
      <c r="BD399" s="3396"/>
      <c r="BE399" s="3396"/>
      <c r="BF399" s="3396"/>
      <c r="BG399" s="3396"/>
      <c r="BH399" s="3396"/>
      <c r="BI399" s="3396"/>
      <c r="BJ399" s="3396"/>
      <c r="BK399" s="3396"/>
      <c r="BL399" s="3396"/>
      <c r="BM399" s="3396"/>
      <c r="BN399" s="3396"/>
    </row>
    <row r="400" s="687" customFormat="1" ht="15" hidden="1" customHeight="1" spans="1:66">
      <c r="A400" s="3407" t="s">
        <v>6471</v>
      </c>
      <c r="B400" s="3408"/>
      <c r="C400" s="3409"/>
      <c r="D400" s="3409"/>
      <c r="E400" s="3408"/>
      <c r="F400" s="3410"/>
      <c r="G400" s="3410"/>
      <c r="H400" s="3411">
        <f t="shared" si="7"/>
        <v>0</v>
      </c>
      <c r="I400" s="3396"/>
      <c r="J400" s="3396"/>
      <c r="K400" s="3396"/>
      <c r="L400" s="3396"/>
      <c r="M400" s="3396"/>
      <c r="N400" s="3396"/>
      <c r="O400" s="3396"/>
      <c r="P400" s="3396"/>
      <c r="Q400" s="3396"/>
      <c r="R400" s="3396"/>
      <c r="S400" s="3396"/>
      <c r="T400" s="3396"/>
      <c r="U400" s="3396"/>
      <c r="V400" s="3396"/>
      <c r="W400" s="3396"/>
      <c r="X400" s="3396"/>
      <c r="Y400" s="3396"/>
      <c r="Z400" s="3396"/>
      <c r="AA400" s="3396"/>
      <c r="AB400" s="3396"/>
      <c r="AC400" s="3396"/>
      <c r="AD400" s="3396"/>
      <c r="AE400" s="3396"/>
      <c r="AF400" s="3396"/>
      <c r="AG400" s="3396"/>
      <c r="AH400" s="3396"/>
      <c r="AI400" s="3396"/>
      <c r="AJ400" s="3396"/>
      <c r="AK400" s="3396"/>
      <c r="AL400" s="3396"/>
      <c r="AM400" s="3396"/>
      <c r="AN400" s="3396"/>
      <c r="AO400" s="3396"/>
      <c r="AP400" s="3396"/>
      <c r="AQ400" s="3396"/>
      <c r="AR400" s="3396"/>
      <c r="AS400" s="3396"/>
      <c r="AT400" s="3396"/>
      <c r="AU400" s="3396"/>
      <c r="AV400" s="3396"/>
      <c r="AW400" s="3396"/>
      <c r="AX400" s="3396"/>
      <c r="AY400" s="3396"/>
      <c r="AZ400" s="3396"/>
      <c r="BA400" s="3396"/>
      <c r="BB400" s="3396"/>
      <c r="BC400" s="3396"/>
      <c r="BD400" s="3396"/>
      <c r="BE400" s="3396"/>
      <c r="BF400" s="3396"/>
      <c r="BG400" s="3396"/>
      <c r="BH400" s="3396"/>
      <c r="BI400" s="3396"/>
      <c r="BJ400" s="3396"/>
      <c r="BK400" s="3396"/>
      <c r="BL400" s="3396"/>
      <c r="BM400" s="3396"/>
      <c r="BN400" s="3396"/>
    </row>
    <row r="401" s="687" customFormat="1" ht="15" hidden="1" customHeight="1" spans="1:66">
      <c r="A401" s="3407" t="s">
        <v>6472</v>
      </c>
      <c r="B401" s="3408"/>
      <c r="C401" s="3409"/>
      <c r="D401" s="3409"/>
      <c r="E401" s="3408"/>
      <c r="F401" s="3410"/>
      <c r="G401" s="3410"/>
      <c r="H401" s="3411">
        <f t="shared" si="7"/>
        <v>0</v>
      </c>
      <c r="I401" s="3396"/>
      <c r="J401" s="3396"/>
      <c r="K401" s="3396"/>
      <c r="L401" s="3396"/>
      <c r="M401" s="3396"/>
      <c r="N401" s="3396"/>
      <c r="O401" s="3396"/>
      <c r="P401" s="3396"/>
      <c r="Q401" s="3396"/>
      <c r="R401" s="3396"/>
      <c r="S401" s="3396"/>
      <c r="T401" s="3396"/>
      <c r="U401" s="3396"/>
      <c r="V401" s="3396"/>
      <c r="W401" s="3396"/>
      <c r="X401" s="3396"/>
      <c r="Y401" s="3396"/>
      <c r="Z401" s="3396"/>
      <c r="AA401" s="3396"/>
      <c r="AB401" s="3396"/>
      <c r="AC401" s="3396"/>
      <c r="AD401" s="3396"/>
      <c r="AE401" s="3396"/>
      <c r="AF401" s="3396"/>
      <c r="AG401" s="3396"/>
      <c r="AH401" s="3396"/>
      <c r="AI401" s="3396"/>
      <c r="AJ401" s="3396"/>
      <c r="AK401" s="3396"/>
      <c r="AL401" s="3396"/>
      <c r="AM401" s="3396"/>
      <c r="AN401" s="3396"/>
      <c r="AO401" s="3396"/>
      <c r="AP401" s="3396"/>
      <c r="AQ401" s="3396"/>
      <c r="AR401" s="3396"/>
      <c r="AS401" s="3396"/>
      <c r="AT401" s="3396"/>
      <c r="AU401" s="3396"/>
      <c r="AV401" s="3396"/>
      <c r="AW401" s="3396"/>
      <c r="AX401" s="3396"/>
      <c r="AY401" s="3396"/>
      <c r="AZ401" s="3396"/>
      <c r="BA401" s="3396"/>
      <c r="BB401" s="3396"/>
      <c r="BC401" s="3396"/>
      <c r="BD401" s="3396"/>
      <c r="BE401" s="3396"/>
      <c r="BF401" s="3396"/>
      <c r="BG401" s="3396"/>
      <c r="BH401" s="3396"/>
      <c r="BI401" s="3396"/>
      <c r="BJ401" s="3396"/>
      <c r="BK401" s="3396"/>
      <c r="BL401" s="3396"/>
      <c r="BM401" s="3396"/>
      <c r="BN401" s="3396"/>
    </row>
    <row r="402" s="687" customFormat="1" ht="15" hidden="1" customHeight="1" spans="1:66">
      <c r="A402" s="3407" t="s">
        <v>6473</v>
      </c>
      <c r="B402" s="3408"/>
      <c r="C402" s="3409"/>
      <c r="D402" s="3409"/>
      <c r="E402" s="3408"/>
      <c r="F402" s="3410"/>
      <c r="G402" s="3410"/>
      <c r="H402" s="3411">
        <f t="shared" si="7"/>
        <v>0</v>
      </c>
      <c r="I402" s="3396"/>
      <c r="J402" s="3396"/>
      <c r="K402" s="3396"/>
      <c r="L402" s="3396"/>
      <c r="M402" s="3396"/>
      <c r="N402" s="3396"/>
      <c r="O402" s="3396"/>
      <c r="P402" s="3396"/>
      <c r="Q402" s="3396"/>
      <c r="R402" s="3396"/>
      <c r="S402" s="3396"/>
      <c r="T402" s="3396"/>
      <c r="U402" s="3396"/>
      <c r="V402" s="3396"/>
      <c r="W402" s="3396"/>
      <c r="X402" s="3396"/>
      <c r="Y402" s="3396"/>
      <c r="Z402" s="3396"/>
      <c r="AA402" s="3396"/>
      <c r="AB402" s="3396"/>
      <c r="AC402" s="3396"/>
      <c r="AD402" s="3396"/>
      <c r="AE402" s="3396"/>
      <c r="AF402" s="3396"/>
      <c r="AG402" s="3396"/>
      <c r="AH402" s="3396"/>
      <c r="AI402" s="3396"/>
      <c r="AJ402" s="3396"/>
      <c r="AK402" s="3396"/>
      <c r="AL402" s="3396"/>
      <c r="AM402" s="3396"/>
      <c r="AN402" s="3396"/>
      <c r="AO402" s="3396"/>
      <c r="AP402" s="3396"/>
      <c r="AQ402" s="3396"/>
      <c r="AR402" s="3396"/>
      <c r="AS402" s="3396"/>
      <c r="AT402" s="3396"/>
      <c r="AU402" s="3396"/>
      <c r="AV402" s="3396"/>
      <c r="AW402" s="3396"/>
      <c r="AX402" s="3396"/>
      <c r="AY402" s="3396"/>
      <c r="AZ402" s="3396"/>
      <c r="BA402" s="3396"/>
      <c r="BB402" s="3396"/>
      <c r="BC402" s="3396"/>
      <c r="BD402" s="3396"/>
      <c r="BE402" s="3396"/>
      <c r="BF402" s="3396"/>
      <c r="BG402" s="3396"/>
      <c r="BH402" s="3396"/>
      <c r="BI402" s="3396"/>
      <c r="BJ402" s="3396"/>
      <c r="BK402" s="3396"/>
      <c r="BL402" s="3396"/>
      <c r="BM402" s="3396"/>
      <c r="BN402" s="3396"/>
    </row>
    <row r="403" s="687" customFormat="1" ht="15" hidden="1" customHeight="1" spans="1:66">
      <c r="A403" s="3407" t="s">
        <v>6474</v>
      </c>
      <c r="B403" s="3408"/>
      <c r="C403" s="3409"/>
      <c r="D403" s="3409"/>
      <c r="E403" s="3408"/>
      <c r="F403" s="3410"/>
      <c r="G403" s="3410"/>
      <c r="H403" s="3411">
        <f t="shared" ref="H403:H407" si="8">F403+G403</f>
        <v>0</v>
      </c>
      <c r="I403" s="3396"/>
      <c r="J403" s="3396"/>
      <c r="K403" s="3396"/>
      <c r="L403" s="3396"/>
      <c r="M403" s="3396"/>
      <c r="N403" s="3396"/>
      <c r="O403" s="3396"/>
      <c r="P403" s="3396"/>
      <c r="Q403" s="3396"/>
      <c r="R403" s="3396"/>
      <c r="S403" s="3396"/>
      <c r="T403" s="3396"/>
      <c r="U403" s="3396"/>
      <c r="V403" s="3396"/>
      <c r="W403" s="3396"/>
      <c r="X403" s="3396"/>
      <c r="Y403" s="3396"/>
      <c r="Z403" s="3396"/>
      <c r="AA403" s="3396"/>
      <c r="AB403" s="3396"/>
      <c r="AC403" s="3396"/>
      <c r="AD403" s="3396"/>
      <c r="AE403" s="3396"/>
      <c r="AF403" s="3396"/>
      <c r="AG403" s="3396"/>
      <c r="AH403" s="3396"/>
      <c r="AI403" s="3396"/>
      <c r="AJ403" s="3396"/>
      <c r="AK403" s="3396"/>
      <c r="AL403" s="3396"/>
      <c r="AM403" s="3396"/>
      <c r="AN403" s="3396"/>
      <c r="AO403" s="3396"/>
      <c r="AP403" s="3396"/>
      <c r="AQ403" s="3396"/>
      <c r="AR403" s="3396"/>
      <c r="AS403" s="3396"/>
      <c r="AT403" s="3396"/>
      <c r="AU403" s="3396"/>
      <c r="AV403" s="3396"/>
      <c r="AW403" s="3396"/>
      <c r="AX403" s="3396"/>
      <c r="AY403" s="3396"/>
      <c r="AZ403" s="3396"/>
      <c r="BA403" s="3396"/>
      <c r="BB403" s="3396"/>
      <c r="BC403" s="3396"/>
      <c r="BD403" s="3396"/>
      <c r="BE403" s="3396"/>
      <c r="BF403" s="3396"/>
      <c r="BG403" s="3396"/>
      <c r="BH403" s="3396"/>
      <c r="BI403" s="3396"/>
      <c r="BJ403" s="3396"/>
      <c r="BK403" s="3396"/>
      <c r="BL403" s="3396"/>
      <c r="BM403" s="3396"/>
      <c r="BN403" s="3396"/>
    </row>
    <row r="404" s="687" customFormat="1" ht="15" hidden="1" customHeight="1" spans="1:66">
      <c r="A404" s="3407" t="s">
        <v>6475</v>
      </c>
      <c r="B404" s="3408"/>
      <c r="C404" s="3409"/>
      <c r="D404" s="3409"/>
      <c r="E404" s="3408"/>
      <c r="F404" s="3410"/>
      <c r="G404" s="3410"/>
      <c r="H404" s="3411">
        <f t="shared" si="8"/>
        <v>0</v>
      </c>
      <c r="I404" s="3396"/>
      <c r="J404" s="3396"/>
      <c r="K404" s="3396"/>
      <c r="L404" s="3396"/>
      <c r="M404" s="3396"/>
      <c r="N404" s="3396"/>
      <c r="O404" s="3396"/>
      <c r="P404" s="3396"/>
      <c r="Q404" s="3396"/>
      <c r="R404" s="3396"/>
      <c r="S404" s="3396"/>
      <c r="T404" s="3396"/>
      <c r="U404" s="3396"/>
      <c r="V404" s="3396"/>
      <c r="W404" s="3396"/>
      <c r="X404" s="3396"/>
      <c r="Y404" s="3396"/>
      <c r="Z404" s="3396"/>
      <c r="AA404" s="3396"/>
      <c r="AB404" s="3396"/>
      <c r="AC404" s="3396"/>
      <c r="AD404" s="3396"/>
      <c r="AE404" s="3396"/>
      <c r="AF404" s="3396"/>
      <c r="AG404" s="3396"/>
      <c r="AH404" s="3396"/>
      <c r="AI404" s="3396"/>
      <c r="AJ404" s="3396"/>
      <c r="AK404" s="3396"/>
      <c r="AL404" s="3396"/>
      <c r="AM404" s="3396"/>
      <c r="AN404" s="3396"/>
      <c r="AO404" s="3396"/>
      <c r="AP404" s="3396"/>
      <c r="AQ404" s="3396"/>
      <c r="AR404" s="3396"/>
      <c r="AS404" s="3396"/>
      <c r="AT404" s="3396"/>
      <c r="AU404" s="3396"/>
      <c r="AV404" s="3396"/>
      <c r="AW404" s="3396"/>
      <c r="AX404" s="3396"/>
      <c r="AY404" s="3396"/>
      <c r="AZ404" s="3396"/>
      <c r="BA404" s="3396"/>
      <c r="BB404" s="3396"/>
      <c r="BC404" s="3396"/>
      <c r="BD404" s="3396"/>
      <c r="BE404" s="3396"/>
      <c r="BF404" s="3396"/>
      <c r="BG404" s="3396"/>
      <c r="BH404" s="3396"/>
      <c r="BI404" s="3396"/>
      <c r="BJ404" s="3396"/>
      <c r="BK404" s="3396"/>
      <c r="BL404" s="3396"/>
      <c r="BM404" s="3396"/>
      <c r="BN404" s="3396"/>
    </row>
    <row r="405" s="687" customFormat="1" ht="15" hidden="1" customHeight="1" spans="1:66">
      <c r="A405" s="3407" t="s">
        <v>6476</v>
      </c>
      <c r="B405" s="3408"/>
      <c r="C405" s="3409"/>
      <c r="D405" s="3409"/>
      <c r="E405" s="3408"/>
      <c r="F405" s="3410"/>
      <c r="G405" s="3410"/>
      <c r="H405" s="3411">
        <f t="shared" si="8"/>
        <v>0</v>
      </c>
      <c r="I405" s="3396"/>
      <c r="J405" s="3396"/>
      <c r="K405" s="3396"/>
      <c r="L405" s="3396"/>
      <c r="M405" s="3396"/>
      <c r="N405" s="3396"/>
      <c r="O405" s="3396"/>
      <c r="P405" s="3396"/>
      <c r="Q405" s="3396"/>
      <c r="R405" s="3396"/>
      <c r="S405" s="3396"/>
      <c r="T405" s="3396"/>
      <c r="U405" s="3396"/>
      <c r="V405" s="3396"/>
      <c r="W405" s="3396"/>
      <c r="X405" s="3396"/>
      <c r="Y405" s="3396"/>
      <c r="Z405" s="3396"/>
      <c r="AA405" s="3396"/>
      <c r="AB405" s="3396"/>
      <c r="AC405" s="3396"/>
      <c r="AD405" s="3396"/>
      <c r="AE405" s="3396"/>
      <c r="AF405" s="3396"/>
      <c r="AG405" s="3396"/>
      <c r="AH405" s="3396"/>
      <c r="AI405" s="3396"/>
      <c r="AJ405" s="3396"/>
      <c r="AK405" s="3396"/>
      <c r="AL405" s="3396"/>
      <c r="AM405" s="3396"/>
      <c r="AN405" s="3396"/>
      <c r="AO405" s="3396"/>
      <c r="AP405" s="3396"/>
      <c r="AQ405" s="3396"/>
      <c r="AR405" s="3396"/>
      <c r="AS405" s="3396"/>
      <c r="AT405" s="3396"/>
      <c r="AU405" s="3396"/>
      <c r="AV405" s="3396"/>
      <c r="AW405" s="3396"/>
      <c r="AX405" s="3396"/>
      <c r="AY405" s="3396"/>
      <c r="AZ405" s="3396"/>
      <c r="BA405" s="3396"/>
      <c r="BB405" s="3396"/>
      <c r="BC405" s="3396"/>
      <c r="BD405" s="3396"/>
      <c r="BE405" s="3396"/>
      <c r="BF405" s="3396"/>
      <c r="BG405" s="3396"/>
      <c r="BH405" s="3396"/>
      <c r="BI405" s="3396"/>
      <c r="BJ405" s="3396"/>
      <c r="BK405" s="3396"/>
      <c r="BL405" s="3396"/>
      <c r="BM405" s="3396"/>
      <c r="BN405" s="3396"/>
    </row>
    <row r="406" s="687" customFormat="1" ht="15" hidden="1" customHeight="1" spans="1:66">
      <c r="A406" s="3407" t="s">
        <v>6477</v>
      </c>
      <c r="B406" s="3408"/>
      <c r="C406" s="3409"/>
      <c r="D406" s="3409"/>
      <c r="E406" s="3408"/>
      <c r="F406" s="3410"/>
      <c r="G406" s="3410"/>
      <c r="H406" s="3411">
        <f t="shared" si="8"/>
        <v>0</v>
      </c>
      <c r="I406" s="3396"/>
      <c r="J406" s="3396"/>
      <c r="K406" s="3396"/>
      <c r="L406" s="3396"/>
      <c r="M406" s="3396"/>
      <c r="N406" s="3396"/>
      <c r="O406" s="3396"/>
      <c r="P406" s="3396"/>
      <c r="Q406" s="3396"/>
      <c r="R406" s="3396"/>
      <c r="S406" s="3396"/>
      <c r="T406" s="3396"/>
      <c r="U406" s="3396"/>
      <c r="V406" s="3396"/>
      <c r="W406" s="3396"/>
      <c r="X406" s="3396"/>
      <c r="Y406" s="3396"/>
      <c r="Z406" s="3396"/>
      <c r="AA406" s="3396"/>
      <c r="AB406" s="3396"/>
      <c r="AC406" s="3396"/>
      <c r="AD406" s="3396"/>
      <c r="AE406" s="3396"/>
      <c r="AF406" s="3396"/>
      <c r="AG406" s="3396"/>
      <c r="AH406" s="3396"/>
      <c r="AI406" s="3396"/>
      <c r="AJ406" s="3396"/>
      <c r="AK406" s="3396"/>
      <c r="AL406" s="3396"/>
      <c r="AM406" s="3396"/>
      <c r="AN406" s="3396"/>
      <c r="AO406" s="3396"/>
      <c r="AP406" s="3396"/>
      <c r="AQ406" s="3396"/>
      <c r="AR406" s="3396"/>
      <c r="AS406" s="3396"/>
      <c r="AT406" s="3396"/>
      <c r="AU406" s="3396"/>
      <c r="AV406" s="3396"/>
      <c r="AW406" s="3396"/>
      <c r="AX406" s="3396"/>
      <c r="AY406" s="3396"/>
      <c r="AZ406" s="3396"/>
      <c r="BA406" s="3396"/>
      <c r="BB406" s="3396"/>
      <c r="BC406" s="3396"/>
      <c r="BD406" s="3396"/>
      <c r="BE406" s="3396"/>
      <c r="BF406" s="3396"/>
      <c r="BG406" s="3396"/>
      <c r="BH406" s="3396"/>
      <c r="BI406" s="3396"/>
      <c r="BJ406" s="3396"/>
      <c r="BK406" s="3396"/>
      <c r="BL406" s="3396"/>
      <c r="BM406" s="3396"/>
      <c r="BN406" s="3396"/>
    </row>
    <row r="407" s="687" customFormat="1" ht="15" hidden="1" customHeight="1" spans="1:66">
      <c r="A407" s="3407" t="s">
        <v>6478</v>
      </c>
      <c r="B407" s="3408"/>
      <c r="C407" s="3409"/>
      <c r="D407" s="3409"/>
      <c r="E407" s="3408"/>
      <c r="F407" s="3410"/>
      <c r="G407" s="3410"/>
      <c r="H407" s="3411">
        <f t="shared" si="8"/>
        <v>0</v>
      </c>
      <c r="I407" s="3396"/>
      <c r="J407" s="3396"/>
      <c r="K407" s="3396"/>
      <c r="L407" s="3396"/>
      <c r="M407" s="3396"/>
      <c r="N407" s="3396"/>
      <c r="O407" s="3396"/>
      <c r="P407" s="3396"/>
      <c r="Q407" s="3396"/>
      <c r="R407" s="3396"/>
      <c r="S407" s="3396"/>
      <c r="T407" s="3396"/>
      <c r="U407" s="3396"/>
      <c r="V407" s="3396"/>
      <c r="W407" s="3396"/>
      <c r="X407" s="3396"/>
      <c r="Y407" s="3396"/>
      <c r="Z407" s="3396"/>
      <c r="AA407" s="3396"/>
      <c r="AB407" s="3396"/>
      <c r="AC407" s="3396"/>
      <c r="AD407" s="3396"/>
      <c r="AE407" s="3396"/>
      <c r="AF407" s="3396"/>
      <c r="AG407" s="3396"/>
      <c r="AH407" s="3396"/>
      <c r="AI407" s="3396"/>
      <c r="AJ407" s="3396"/>
      <c r="AK407" s="3396"/>
      <c r="AL407" s="3396"/>
      <c r="AM407" s="3396"/>
      <c r="AN407" s="3396"/>
      <c r="AO407" s="3396"/>
      <c r="AP407" s="3396"/>
      <c r="AQ407" s="3396"/>
      <c r="AR407" s="3396"/>
      <c r="AS407" s="3396"/>
      <c r="AT407" s="3396"/>
      <c r="AU407" s="3396"/>
      <c r="AV407" s="3396"/>
      <c r="AW407" s="3396"/>
      <c r="AX407" s="3396"/>
      <c r="AY407" s="3396"/>
      <c r="AZ407" s="3396"/>
      <c r="BA407" s="3396"/>
      <c r="BB407" s="3396"/>
      <c r="BC407" s="3396"/>
      <c r="BD407" s="3396"/>
      <c r="BE407" s="3396"/>
      <c r="BF407" s="3396"/>
      <c r="BG407" s="3396"/>
      <c r="BH407" s="3396"/>
      <c r="BI407" s="3396"/>
      <c r="BJ407" s="3396"/>
      <c r="BK407" s="3396"/>
      <c r="BL407" s="3396"/>
      <c r="BM407" s="3396"/>
      <c r="BN407" s="3396"/>
    </row>
    <row r="408" s="687" customFormat="1" ht="17.25" customHeight="1" spans="1:66">
      <c r="A408" s="3413" t="s">
        <v>6481</v>
      </c>
      <c r="B408" s="3417"/>
      <c r="C408" s="3415" t="s">
        <v>4671</v>
      </c>
      <c r="D408" s="3417"/>
      <c r="E408" s="3417"/>
      <c r="F408" s="3416">
        <f>SUM(F208:F407)</f>
        <v>0</v>
      </c>
      <c r="G408" s="3416">
        <f>SUM(G208:G407)</f>
        <v>0</v>
      </c>
      <c r="H408" s="3416">
        <f>SUM(H208:H407)</f>
        <v>0</v>
      </c>
      <c r="I408" s="3396"/>
      <c r="J408" s="3396"/>
      <c r="K408" s="3396"/>
      <c r="L408" s="3396"/>
      <c r="M408" s="3396"/>
      <c r="N408" s="3396"/>
      <c r="O408" s="3396"/>
      <c r="P408" s="3396"/>
      <c r="Q408" s="3396"/>
      <c r="R408" s="3396"/>
      <c r="S408" s="3396"/>
      <c r="T408" s="3396"/>
      <c r="U408" s="3396"/>
      <c r="V408" s="3396"/>
      <c r="W408" s="3396"/>
      <c r="X408" s="3396"/>
      <c r="Y408" s="3396"/>
      <c r="Z408" s="3396"/>
      <c r="AA408" s="3396"/>
      <c r="AB408" s="3396"/>
      <c r="AC408" s="3396"/>
      <c r="AD408" s="3396"/>
      <c r="AE408" s="3396"/>
      <c r="AF408" s="3396"/>
      <c r="AG408" s="3396"/>
      <c r="AH408" s="3396"/>
      <c r="AI408" s="3396"/>
      <c r="AJ408" s="3396"/>
      <c r="AK408" s="3396"/>
      <c r="AL408" s="3396"/>
      <c r="AM408" s="3396"/>
      <c r="AN408" s="3396"/>
      <c r="AO408" s="3396"/>
      <c r="AP408" s="3396"/>
      <c r="AQ408" s="3396"/>
      <c r="AR408" s="3396"/>
      <c r="AS408" s="3396"/>
      <c r="AT408" s="3396"/>
      <c r="AU408" s="3396"/>
      <c r="AV408" s="3396"/>
      <c r="AW408" s="3396"/>
      <c r="AX408" s="3396"/>
      <c r="AY408" s="3396"/>
      <c r="AZ408" s="3396"/>
      <c r="BA408" s="3396"/>
      <c r="BB408" s="3396"/>
      <c r="BC408" s="3396"/>
      <c r="BD408" s="3396"/>
      <c r="BE408" s="3396"/>
      <c r="BF408" s="3396"/>
      <c r="BG408" s="3396"/>
      <c r="BH408" s="3396"/>
      <c r="BI408" s="3396"/>
      <c r="BJ408" s="3396"/>
      <c r="BK408" s="3396"/>
      <c r="BL408" s="3396"/>
      <c r="BM408" s="3396"/>
      <c r="BN408" s="3396"/>
    </row>
    <row r="409" s="687" customFormat="1" ht="11.25" customHeight="1" spans="1:66">
      <c r="A409" s="3396"/>
      <c r="B409" s="3396"/>
      <c r="C409" s="3396"/>
      <c r="D409" s="3396"/>
      <c r="E409" s="3396"/>
      <c r="F409" s="3396"/>
      <c r="G409" s="3396"/>
      <c r="H409" s="3396"/>
      <c r="I409" s="3396"/>
      <c r="J409" s="3396"/>
      <c r="K409" s="3396"/>
      <c r="L409" s="3396"/>
      <c r="M409" s="3396"/>
      <c r="N409" s="3396"/>
      <c r="O409" s="3396"/>
      <c r="P409" s="3396"/>
      <c r="Q409" s="3396"/>
      <c r="R409" s="3396"/>
      <c r="S409" s="3396"/>
      <c r="T409" s="3396"/>
      <c r="U409" s="3396"/>
      <c r="V409" s="3396"/>
      <c r="W409" s="3396"/>
      <c r="X409" s="3396"/>
      <c r="Y409" s="3396"/>
      <c r="Z409" s="3396"/>
      <c r="AA409" s="3396"/>
      <c r="AB409" s="3396"/>
      <c r="AC409" s="3396"/>
      <c r="AD409" s="3396"/>
      <c r="AE409" s="3396"/>
      <c r="AF409" s="3396"/>
      <c r="AG409" s="3396"/>
      <c r="AH409" s="3396"/>
      <c r="AI409" s="3396"/>
      <c r="AJ409" s="3396"/>
      <c r="AK409" s="3396"/>
      <c r="AL409" s="3396"/>
      <c r="AM409" s="3396"/>
      <c r="AN409" s="3396"/>
      <c r="AO409" s="3396"/>
      <c r="AP409" s="3396"/>
      <c r="AQ409" s="3396"/>
      <c r="AR409" s="3396"/>
      <c r="AS409" s="3396"/>
      <c r="AT409" s="3396"/>
      <c r="AU409" s="3396"/>
      <c r="AV409" s="3396"/>
      <c r="AW409" s="3396"/>
      <c r="AX409" s="3396"/>
      <c r="AY409" s="3396"/>
      <c r="AZ409" s="3396"/>
      <c r="BA409" s="3396"/>
      <c r="BB409" s="3396"/>
      <c r="BC409" s="3396"/>
      <c r="BD409" s="3396"/>
      <c r="BE409" s="3396"/>
      <c r="BF409" s="3396"/>
      <c r="BG409" s="3396"/>
      <c r="BH409" s="3396"/>
      <c r="BI409" s="3396"/>
      <c r="BJ409" s="3396"/>
      <c r="BK409" s="3396"/>
      <c r="BL409" s="3396"/>
      <c r="BM409" s="3396"/>
      <c r="BN409" s="3396"/>
    </row>
    <row r="410" s="687" customFormat="1" ht="16.5" customHeight="1" spans="1:66">
      <c r="A410" s="3418"/>
      <c r="B410" s="3418"/>
      <c r="C410" s="3418"/>
      <c r="D410" s="3418"/>
      <c r="E410" s="3418"/>
      <c r="F410" s="3419" t="s">
        <v>6482</v>
      </c>
      <c r="G410" s="3420"/>
      <c r="H410" s="3421">
        <f>H205</f>
        <v>29457.08</v>
      </c>
      <c r="I410" s="3396"/>
      <c r="J410" s="3396"/>
      <c r="K410" s="3396"/>
      <c r="L410" s="3396"/>
      <c r="M410" s="3396"/>
      <c r="N410" s="3396"/>
      <c r="O410" s="3396"/>
      <c r="P410" s="3396"/>
      <c r="Q410" s="3396"/>
      <c r="R410" s="3396"/>
      <c r="S410" s="3396"/>
      <c r="T410" s="3396"/>
      <c r="U410" s="3396"/>
      <c r="V410" s="3396"/>
      <c r="W410" s="3396"/>
      <c r="X410" s="3396"/>
      <c r="Y410" s="3396"/>
      <c r="Z410" s="3396"/>
      <c r="AA410" s="3396"/>
      <c r="AB410" s="3396"/>
      <c r="AC410" s="3396"/>
      <c r="AD410" s="3396"/>
      <c r="AE410" s="3396"/>
      <c r="AF410" s="3396"/>
      <c r="AG410" s="3396"/>
      <c r="AH410" s="3396"/>
      <c r="AI410" s="3396"/>
      <c r="AJ410" s="3396"/>
      <c r="AK410" s="3396"/>
      <c r="AL410" s="3396"/>
      <c r="AM410" s="3396"/>
      <c r="AN410" s="3396"/>
      <c r="AO410" s="3396"/>
      <c r="AP410" s="3396"/>
      <c r="AQ410" s="3396"/>
      <c r="AR410" s="3396"/>
      <c r="AS410" s="3396"/>
      <c r="AT410" s="3396"/>
      <c r="AU410" s="3396"/>
      <c r="AV410" s="3396"/>
      <c r="AW410" s="3396"/>
      <c r="AX410" s="3396"/>
      <c r="AY410" s="3396"/>
      <c r="AZ410" s="3396"/>
      <c r="BA410" s="3396"/>
      <c r="BB410" s="3396"/>
      <c r="BC410" s="3396"/>
      <c r="BD410" s="3396"/>
      <c r="BE410" s="3396"/>
      <c r="BF410" s="3396"/>
      <c r="BG410" s="3396"/>
      <c r="BH410" s="3396"/>
      <c r="BI410" s="3396"/>
      <c r="BJ410" s="3396"/>
      <c r="BK410" s="3396"/>
      <c r="BL410" s="3396"/>
      <c r="BM410" s="3396"/>
      <c r="BN410" s="3396"/>
    </row>
    <row r="411" s="687" customFormat="1" ht="16.5" customHeight="1" spans="1:66">
      <c r="A411" s="3418"/>
      <c r="B411" s="3418"/>
      <c r="C411" s="3418"/>
      <c r="D411" s="3418"/>
      <c r="E411" s="3418"/>
      <c r="F411" s="3422" t="s">
        <v>6483</v>
      </c>
      <c r="G411" s="3423"/>
      <c r="H411" s="3424">
        <f>H408</f>
        <v>0</v>
      </c>
      <c r="I411" s="3396"/>
      <c r="J411" s="3396"/>
      <c r="K411" s="3396"/>
      <c r="L411" s="3396"/>
      <c r="M411" s="3396"/>
      <c r="N411" s="3396"/>
      <c r="O411" s="3396"/>
      <c r="P411" s="3396"/>
      <c r="Q411" s="3396"/>
      <c r="R411" s="3396"/>
      <c r="S411" s="3396"/>
      <c r="T411" s="3396"/>
      <c r="U411" s="3396"/>
      <c r="V411" s="3396"/>
      <c r="W411" s="3396"/>
      <c r="X411" s="3396"/>
      <c r="Y411" s="3396"/>
      <c r="Z411" s="3396"/>
      <c r="AA411" s="3396"/>
      <c r="AB411" s="3396"/>
      <c r="AC411" s="3396"/>
      <c r="AD411" s="3396"/>
      <c r="AE411" s="3396"/>
      <c r="AF411" s="3396"/>
      <c r="AG411" s="3396"/>
      <c r="AH411" s="3396"/>
      <c r="AI411" s="3396"/>
      <c r="AJ411" s="3396"/>
      <c r="AK411" s="3396"/>
      <c r="AL411" s="3396"/>
      <c r="AM411" s="3396"/>
      <c r="AN411" s="3396"/>
      <c r="AO411" s="3396"/>
      <c r="AP411" s="3396"/>
      <c r="AQ411" s="3396"/>
      <c r="AR411" s="3396"/>
      <c r="AS411" s="3396"/>
      <c r="AT411" s="3396"/>
      <c r="AU411" s="3396"/>
      <c r="AV411" s="3396"/>
      <c r="AW411" s="3396"/>
      <c r="AX411" s="3396"/>
      <c r="AY411" s="3396"/>
      <c r="AZ411" s="3396"/>
      <c r="BA411" s="3396"/>
      <c r="BB411" s="3396"/>
      <c r="BC411" s="3396"/>
      <c r="BD411" s="3396"/>
      <c r="BE411" s="3396"/>
      <c r="BF411" s="3396"/>
      <c r="BG411" s="3396"/>
      <c r="BH411" s="3396"/>
      <c r="BI411" s="3396"/>
      <c r="BJ411" s="3396"/>
      <c r="BK411" s="3396"/>
      <c r="BL411" s="3396"/>
      <c r="BM411" s="3396"/>
      <c r="BN411" s="3396"/>
    </row>
    <row r="412" s="687" customFormat="1" ht="16.5" customHeight="1" spans="1:66">
      <c r="A412" s="3418"/>
      <c r="B412" s="3418"/>
      <c r="C412" s="3418"/>
      <c r="D412" s="3418"/>
      <c r="E412" s="3418"/>
      <c r="F412" s="3425" t="s">
        <v>6484</v>
      </c>
      <c r="G412" s="3426"/>
      <c r="H412" s="3427">
        <f>SUM(H410:H411)</f>
        <v>29457.08</v>
      </c>
      <c r="I412" s="3396"/>
      <c r="J412" s="3396"/>
      <c r="K412" s="3396"/>
      <c r="L412" s="3396"/>
      <c r="M412" s="3396"/>
      <c r="N412" s="3396"/>
      <c r="O412" s="3396"/>
      <c r="P412" s="3396"/>
      <c r="Q412" s="3396"/>
      <c r="R412" s="3396"/>
      <c r="S412" s="3396"/>
      <c r="T412" s="3396"/>
      <c r="U412" s="3396"/>
      <c r="V412" s="3396"/>
      <c r="W412" s="3396"/>
      <c r="X412" s="3396"/>
      <c r="Y412" s="3396"/>
      <c r="Z412" s="3396"/>
      <c r="AA412" s="3396"/>
      <c r="AB412" s="3396"/>
      <c r="AC412" s="3396"/>
      <c r="AD412" s="3396"/>
      <c r="AE412" s="3396"/>
      <c r="AF412" s="3396"/>
      <c r="AG412" s="3396"/>
      <c r="AH412" s="3396"/>
      <c r="AI412" s="3396"/>
      <c r="AJ412" s="3396"/>
      <c r="AK412" s="3396"/>
      <c r="AL412" s="3396"/>
      <c r="AM412" s="3396"/>
      <c r="AN412" s="3396"/>
      <c r="AO412" s="3396"/>
      <c r="AP412" s="3396"/>
      <c r="AQ412" s="3396"/>
      <c r="AR412" s="3396"/>
      <c r="AS412" s="3396"/>
      <c r="AT412" s="3396"/>
      <c r="AU412" s="3396"/>
      <c r="AV412" s="3396"/>
      <c r="AW412" s="3396"/>
      <c r="AX412" s="3396"/>
      <c r="AY412" s="3396"/>
      <c r="AZ412" s="3396"/>
      <c r="BA412" s="3396"/>
      <c r="BB412" s="3396"/>
      <c r="BC412" s="3396"/>
      <c r="BD412" s="3396"/>
      <c r="BE412" s="3396"/>
      <c r="BF412" s="3396"/>
      <c r="BG412" s="3396"/>
      <c r="BH412" s="3396"/>
      <c r="BI412" s="3396"/>
      <c r="BJ412" s="3396"/>
      <c r="BK412" s="3396"/>
      <c r="BL412" s="3396"/>
      <c r="BM412" s="3396"/>
      <c r="BN412" s="3396"/>
    </row>
    <row r="413" s="687" customFormat="1" ht="16.5" customHeight="1" spans="1:66">
      <c r="A413" s="3418"/>
      <c r="B413" s="3418"/>
      <c r="C413" s="3418"/>
      <c r="D413" s="3418"/>
      <c r="E413" s="3418"/>
      <c r="F413" s="3418"/>
      <c r="G413" s="3418"/>
      <c r="H413" s="3418"/>
      <c r="I413" s="3418"/>
      <c r="J413" s="3418"/>
      <c r="K413" s="3418"/>
      <c r="L413" s="3418"/>
      <c r="M413" s="3418"/>
      <c r="N413" s="3418"/>
      <c r="O413" s="3418"/>
      <c r="P413" s="3418"/>
      <c r="Q413" s="3418"/>
      <c r="R413" s="3418"/>
      <c r="S413" s="3396"/>
      <c r="T413" s="3396"/>
      <c r="U413" s="3396"/>
      <c r="V413" s="3396"/>
      <c r="W413" s="3396"/>
      <c r="X413" s="3396"/>
      <c r="Y413" s="3396"/>
      <c r="Z413" s="3396"/>
      <c r="AA413" s="3396"/>
      <c r="AB413" s="3396"/>
      <c r="AC413" s="3396"/>
      <c r="AD413" s="3396"/>
      <c r="AE413" s="3396"/>
      <c r="AF413" s="3396"/>
      <c r="AG413" s="3396"/>
      <c r="AH413" s="3396"/>
      <c r="AI413" s="3396"/>
      <c r="AJ413" s="3396"/>
      <c r="AK413" s="3396"/>
      <c r="AL413" s="3396"/>
      <c r="AM413" s="3396"/>
      <c r="AN413" s="3396"/>
      <c r="AO413" s="3396"/>
      <c r="AP413" s="3396"/>
      <c r="AQ413" s="3396"/>
      <c r="AR413" s="3396"/>
      <c r="AS413" s="3396"/>
      <c r="AT413" s="3396"/>
      <c r="AU413" s="3396"/>
      <c r="AV413" s="3396"/>
      <c r="AW413" s="3396"/>
      <c r="AX413" s="3396"/>
      <c r="AY413" s="3396"/>
      <c r="AZ413" s="3396"/>
      <c r="BA413" s="3396"/>
      <c r="BB413" s="3396"/>
      <c r="BC413" s="3396"/>
      <c r="BD413" s="3396"/>
      <c r="BE413" s="3396"/>
      <c r="BF413" s="3396"/>
      <c r="BG413" s="3396"/>
      <c r="BH413" s="3396"/>
      <c r="BI413" s="3396"/>
      <c r="BJ413" s="3396"/>
      <c r="BK413" s="3396"/>
      <c r="BL413" s="3396"/>
      <c r="BM413" s="3396"/>
      <c r="BN413" s="3396"/>
    </row>
    <row r="414" s="687" customFormat="1" ht="16.5" customHeight="1" spans="1:66">
      <c r="A414" s="3418"/>
      <c r="B414" s="3418"/>
      <c r="C414" s="3418"/>
      <c r="D414" s="3418"/>
      <c r="E414" s="3418"/>
      <c r="F414" s="3418"/>
      <c r="G414" s="3418"/>
      <c r="H414" s="3418"/>
      <c r="I414" s="3418"/>
      <c r="J414" s="3418"/>
      <c r="K414" s="3418"/>
      <c r="L414" s="3418"/>
      <c r="M414" s="3418"/>
      <c r="N414" s="3418"/>
      <c r="O414" s="3418"/>
      <c r="P414" s="3418"/>
      <c r="Q414" s="3418"/>
      <c r="R414" s="3418"/>
      <c r="S414" s="3396"/>
      <c r="T414" s="3396"/>
      <c r="U414" s="3396"/>
      <c r="V414" s="3396"/>
      <c r="W414" s="3396"/>
      <c r="X414" s="3396"/>
      <c r="Y414" s="3396"/>
      <c r="Z414" s="3396"/>
      <c r="AA414" s="3396"/>
      <c r="AB414" s="3396"/>
      <c r="AC414" s="3396"/>
      <c r="AD414" s="3396"/>
      <c r="AE414" s="3396"/>
      <c r="AF414" s="3396"/>
      <c r="AG414" s="3396"/>
      <c r="AH414" s="3396"/>
      <c r="AI414" s="3396"/>
      <c r="AJ414" s="3396"/>
      <c r="AK414" s="3396"/>
      <c r="AL414" s="3396"/>
      <c r="AM414" s="3396"/>
      <c r="AN414" s="3396"/>
      <c r="AO414" s="3396"/>
      <c r="AP414" s="3396"/>
      <c r="AQ414" s="3396"/>
      <c r="AR414" s="3396"/>
      <c r="AS414" s="3396"/>
      <c r="AT414" s="3396"/>
      <c r="AU414" s="3396"/>
      <c r="AV414" s="3396"/>
      <c r="AW414" s="3396"/>
      <c r="AX414" s="3396"/>
      <c r="AY414" s="3396"/>
      <c r="AZ414" s="3396"/>
      <c r="BA414" s="3396"/>
      <c r="BB414" s="3396"/>
      <c r="BC414" s="3396"/>
      <c r="BD414" s="3396"/>
      <c r="BE414" s="3396"/>
      <c r="BF414" s="3396"/>
      <c r="BG414" s="3396"/>
      <c r="BH414" s="3396"/>
      <c r="BI414" s="3396"/>
      <c r="BJ414" s="3396"/>
      <c r="BK414" s="3396"/>
      <c r="BL414" s="3396"/>
      <c r="BM414" s="3396"/>
      <c r="BN414" s="3396"/>
    </row>
    <row r="415" s="687" customFormat="1" ht="16.5" customHeight="1" spans="1:66">
      <c r="A415" s="3418"/>
      <c r="B415" s="3418"/>
      <c r="C415" s="3418"/>
      <c r="D415" s="3418"/>
      <c r="E415" s="3418"/>
      <c r="F415" s="3418"/>
      <c r="G415" s="3418"/>
      <c r="H415" s="3418"/>
      <c r="I415" s="3418"/>
      <c r="J415" s="3418"/>
      <c r="K415" s="3418"/>
      <c r="L415" s="3418"/>
      <c r="M415" s="3418"/>
      <c r="N415" s="3418"/>
      <c r="O415" s="3418"/>
      <c r="P415" s="3418"/>
      <c r="Q415" s="3418"/>
      <c r="R415" s="3418"/>
      <c r="S415" s="3396"/>
      <c r="T415" s="3396"/>
      <c r="U415" s="3396"/>
      <c r="V415" s="3396"/>
      <c r="W415" s="3396"/>
      <c r="X415" s="3396"/>
      <c r="Y415" s="3396"/>
      <c r="Z415" s="3396"/>
      <c r="AA415" s="3396"/>
      <c r="AB415" s="3396"/>
      <c r="AC415" s="3396"/>
      <c r="AD415" s="3396"/>
      <c r="AE415" s="3396"/>
      <c r="AF415" s="3396"/>
      <c r="AG415" s="3396"/>
      <c r="AH415" s="3396"/>
      <c r="AI415" s="3396"/>
      <c r="AJ415" s="3396"/>
      <c r="AK415" s="3396"/>
      <c r="AL415" s="3396"/>
      <c r="AM415" s="3396"/>
      <c r="AN415" s="3396"/>
      <c r="AO415" s="3396"/>
      <c r="AP415" s="3396"/>
      <c r="AQ415" s="3396"/>
      <c r="AR415" s="3396"/>
      <c r="AS415" s="3396"/>
      <c r="AT415" s="3396"/>
      <c r="AU415" s="3396"/>
      <c r="AV415" s="3396"/>
      <c r="AW415" s="3396"/>
      <c r="AX415" s="3396"/>
      <c r="AY415" s="3396"/>
      <c r="AZ415" s="3396"/>
      <c r="BA415" s="3396"/>
      <c r="BB415" s="3396"/>
      <c r="BC415" s="3396"/>
      <c r="BD415" s="3396"/>
      <c r="BE415" s="3396"/>
      <c r="BF415" s="3396"/>
      <c r="BG415" s="3396"/>
      <c r="BH415" s="3396"/>
      <c r="BI415" s="3396"/>
      <c r="BJ415" s="3396"/>
      <c r="BK415" s="3396"/>
      <c r="BL415" s="3396"/>
      <c r="BM415" s="3396"/>
      <c r="BN415" s="3396"/>
    </row>
    <row r="416" s="687" customFormat="1" ht="16.5" customHeight="1" spans="1:66">
      <c r="A416" s="3418"/>
      <c r="B416" s="3418"/>
      <c r="C416" s="3418"/>
      <c r="D416" s="3418"/>
      <c r="E416" s="3418"/>
      <c r="F416" s="3418"/>
      <c r="G416" s="3418"/>
      <c r="H416" s="3418"/>
      <c r="I416" s="3418"/>
      <c r="J416" s="3418"/>
      <c r="K416" s="3418"/>
      <c r="L416" s="3418"/>
      <c r="M416" s="3418"/>
      <c r="N416" s="3418"/>
      <c r="O416" s="3418"/>
      <c r="P416" s="3418"/>
      <c r="Q416" s="3418"/>
      <c r="R416" s="3418"/>
      <c r="S416" s="3396"/>
      <c r="T416" s="3396"/>
      <c r="U416" s="3396"/>
      <c r="V416" s="3396"/>
      <c r="W416" s="3396"/>
      <c r="X416" s="3396"/>
      <c r="Y416" s="3396"/>
      <c r="Z416" s="3396"/>
      <c r="AA416" s="3396"/>
      <c r="AB416" s="3396"/>
      <c r="AC416" s="3396"/>
      <c r="AD416" s="3396"/>
      <c r="AE416" s="3396"/>
      <c r="AF416" s="3396"/>
      <c r="AG416" s="3396"/>
      <c r="AH416" s="3396"/>
      <c r="AI416" s="3396"/>
      <c r="AJ416" s="3396"/>
      <c r="AK416" s="3396"/>
      <c r="AL416" s="3396"/>
      <c r="AM416" s="3396"/>
      <c r="AN416" s="3396"/>
      <c r="AO416" s="3396"/>
      <c r="AP416" s="3396"/>
      <c r="AQ416" s="3396"/>
      <c r="AR416" s="3396"/>
      <c r="AS416" s="3396"/>
      <c r="AT416" s="3396"/>
      <c r="AU416" s="3396"/>
      <c r="AV416" s="3396"/>
      <c r="AW416" s="3396"/>
      <c r="AX416" s="3396"/>
      <c r="AY416" s="3396"/>
      <c r="AZ416" s="3396"/>
      <c r="BA416" s="3396"/>
      <c r="BB416" s="3396"/>
      <c r="BC416" s="3396"/>
      <c r="BD416" s="3396"/>
      <c r="BE416" s="3396"/>
      <c r="BF416" s="3396"/>
      <c r="BG416" s="3396"/>
      <c r="BH416" s="3396"/>
      <c r="BI416" s="3396"/>
      <c r="BJ416" s="3396"/>
      <c r="BK416" s="3396"/>
      <c r="BL416" s="3396"/>
      <c r="BM416" s="3396"/>
      <c r="BN416" s="3396"/>
    </row>
    <row r="417" s="687" customFormat="1" ht="20.25" customHeight="1" spans="1:66">
      <c r="A417" s="3428" t="s">
        <v>6485</v>
      </c>
      <c r="B417" s="3429"/>
      <c r="C417" s="3429"/>
      <c r="D417" s="3429"/>
      <c r="E417" s="3429"/>
      <c r="F417" s="3429"/>
      <c r="G417" s="3429"/>
      <c r="H417" s="3429"/>
      <c r="I417" s="3396"/>
      <c r="J417" s="3396"/>
      <c r="K417" s="3396"/>
      <c r="L417" s="3396"/>
      <c r="M417" s="3396"/>
      <c r="N417" s="3396"/>
      <c r="O417" s="3396"/>
      <c r="P417" s="3396"/>
      <c r="Q417" s="3396"/>
      <c r="R417" s="3396"/>
      <c r="S417" s="3396"/>
      <c r="T417" s="3396"/>
      <c r="U417" s="3396"/>
      <c r="V417" s="3396"/>
      <c r="W417" s="3396"/>
      <c r="X417" s="3396"/>
      <c r="Y417" s="3396"/>
      <c r="Z417" s="3396"/>
      <c r="AA417" s="3396"/>
      <c r="AB417" s="3396"/>
      <c r="AC417" s="3396"/>
      <c r="AD417" s="3396"/>
      <c r="AE417" s="3396"/>
      <c r="AF417" s="3396"/>
      <c r="AG417" s="3396"/>
      <c r="AH417" s="3396"/>
      <c r="AI417" s="3396"/>
      <c r="AJ417" s="3396"/>
      <c r="AK417" s="3396"/>
      <c r="AL417" s="3396"/>
      <c r="AM417" s="3396"/>
      <c r="AN417" s="3396"/>
      <c r="AO417" s="3396"/>
      <c r="AP417" s="3396"/>
      <c r="AQ417" s="3396"/>
      <c r="AR417" s="3396"/>
      <c r="AS417" s="3396"/>
      <c r="AT417" s="3396"/>
      <c r="AU417" s="3396"/>
      <c r="AV417" s="3396"/>
      <c r="AW417" s="3396"/>
      <c r="AX417" s="3396"/>
      <c r="AY417" s="3396"/>
      <c r="AZ417" s="3396"/>
      <c r="BA417" s="3396"/>
      <c r="BB417" s="3396"/>
      <c r="BC417" s="3396"/>
      <c r="BD417" s="3396"/>
      <c r="BE417" s="3396"/>
      <c r="BF417" s="3396"/>
      <c r="BG417" s="3396"/>
      <c r="BH417" s="3396"/>
      <c r="BI417" s="3396"/>
      <c r="BJ417" s="3396"/>
      <c r="BK417" s="3396"/>
      <c r="BL417" s="3396"/>
      <c r="BM417" s="3396"/>
      <c r="BN417" s="3396"/>
    </row>
    <row r="418" s="688" customFormat="1" ht="29.25" customHeight="1" spans="1:66">
      <c r="A418" s="3404" t="s">
        <v>6009</v>
      </c>
      <c r="B418" s="3404" t="s">
        <v>6367</v>
      </c>
      <c r="C418" s="3405" t="s">
        <v>6368</v>
      </c>
      <c r="D418" s="3404" t="s">
        <v>6369</v>
      </c>
      <c r="E418" s="3404" t="s">
        <v>6370</v>
      </c>
      <c r="F418" s="3404" t="s">
        <v>6480</v>
      </c>
      <c r="G418" s="3404" t="s">
        <v>6372</v>
      </c>
      <c r="H418" s="3404" t="s">
        <v>6373</v>
      </c>
      <c r="I418" s="3396"/>
      <c r="J418" s="3396"/>
      <c r="K418" s="3396"/>
      <c r="L418" s="3396"/>
      <c r="M418" s="3396"/>
      <c r="N418" s="3396"/>
      <c r="O418" s="3396"/>
      <c r="P418" s="3396"/>
      <c r="Q418" s="3396"/>
      <c r="R418" s="3396"/>
      <c r="S418" s="3396"/>
      <c r="T418" s="3396"/>
      <c r="U418" s="3396"/>
      <c r="V418" s="3396"/>
      <c r="W418" s="3396"/>
      <c r="X418" s="3396"/>
      <c r="Y418" s="3396"/>
      <c r="Z418" s="3396"/>
      <c r="AA418" s="3396"/>
      <c r="AB418" s="3396"/>
      <c r="AC418" s="3396"/>
      <c r="AD418" s="3396"/>
      <c r="AE418" s="3396"/>
      <c r="AF418" s="3396"/>
      <c r="AG418" s="3396"/>
      <c r="AH418" s="3396"/>
      <c r="AI418" s="3396"/>
      <c r="AJ418" s="3396"/>
      <c r="AK418" s="3396"/>
      <c r="AL418" s="3396"/>
      <c r="AM418" s="3396"/>
      <c r="AN418" s="3396"/>
      <c r="AO418" s="3396"/>
      <c r="AP418" s="3396"/>
      <c r="AQ418" s="3396"/>
      <c r="AR418" s="3396"/>
      <c r="AS418" s="3396"/>
      <c r="AT418" s="3396"/>
      <c r="AU418" s="3396"/>
      <c r="AV418" s="3396"/>
      <c r="AW418" s="3396"/>
      <c r="AX418" s="3396"/>
      <c r="AY418" s="3396"/>
      <c r="AZ418" s="3396"/>
      <c r="BA418" s="3396"/>
      <c r="BB418" s="3396"/>
      <c r="BC418" s="3396"/>
      <c r="BD418" s="3396"/>
      <c r="BE418" s="3396"/>
      <c r="BF418" s="3396"/>
      <c r="BG418" s="3396"/>
      <c r="BH418" s="3396"/>
      <c r="BI418" s="3396"/>
      <c r="BJ418" s="3396"/>
      <c r="BK418" s="3396"/>
      <c r="BL418" s="3396"/>
      <c r="BM418" s="3396"/>
      <c r="BN418" s="3396"/>
    </row>
    <row r="419" s="687" customFormat="1" ht="15" customHeight="1" spans="1:66">
      <c r="A419" s="3407" t="s">
        <v>3953</v>
      </c>
      <c r="B419" s="3408"/>
      <c r="C419" s="3409"/>
      <c r="D419" s="3409"/>
      <c r="E419" s="3408"/>
      <c r="F419" s="3410"/>
      <c r="G419" s="3410"/>
      <c r="H419" s="3411">
        <f t="shared" ref="H419:H482" si="9">F419+G419</f>
        <v>0</v>
      </c>
      <c r="I419" s="3396"/>
      <c r="J419" s="3396"/>
      <c r="K419" s="3396"/>
      <c r="L419" s="3396"/>
      <c r="M419" s="3396"/>
      <c r="N419" s="3396"/>
      <c r="O419" s="3396"/>
      <c r="P419" s="3396"/>
      <c r="Q419" s="3396"/>
      <c r="R419" s="3396"/>
      <c r="S419" s="3396"/>
      <c r="T419" s="3396"/>
      <c r="U419" s="3396"/>
      <c r="V419" s="3396"/>
      <c r="W419" s="3396"/>
      <c r="X419" s="3396"/>
      <c r="Y419" s="3396"/>
      <c r="Z419" s="3396"/>
      <c r="AA419" s="3396"/>
      <c r="AB419" s="3396"/>
      <c r="AC419" s="3396"/>
      <c r="AD419" s="3396"/>
      <c r="AE419" s="3396"/>
      <c r="AF419" s="3396"/>
      <c r="AG419" s="3396"/>
      <c r="AH419" s="3396"/>
      <c r="AI419" s="3396"/>
      <c r="AJ419" s="3396"/>
      <c r="AK419" s="3396"/>
      <c r="AL419" s="3396"/>
      <c r="AM419" s="3396"/>
      <c r="AN419" s="3396"/>
      <c r="AO419" s="3396"/>
      <c r="AP419" s="3396"/>
      <c r="AQ419" s="3396"/>
      <c r="AR419" s="3396"/>
      <c r="AS419" s="3396"/>
      <c r="AT419" s="3396"/>
      <c r="AU419" s="3396"/>
      <c r="AV419" s="3396"/>
      <c r="AW419" s="3396"/>
      <c r="AX419" s="3396"/>
      <c r="AY419" s="3396"/>
      <c r="AZ419" s="3396"/>
      <c r="BA419" s="3396"/>
      <c r="BB419" s="3396"/>
      <c r="BC419" s="3396"/>
      <c r="BD419" s="3396"/>
      <c r="BE419" s="3396"/>
      <c r="BF419" s="3396"/>
      <c r="BG419" s="3396"/>
      <c r="BH419" s="3396"/>
      <c r="BI419" s="3396"/>
      <c r="BJ419" s="3396"/>
      <c r="BK419" s="3396"/>
      <c r="BL419" s="3396"/>
      <c r="BM419" s="3396"/>
      <c r="BN419" s="3396"/>
    </row>
    <row r="420" s="687" customFormat="1" ht="15" customHeight="1" spans="1:66">
      <c r="A420" s="3407" t="s">
        <v>3891</v>
      </c>
      <c r="B420" s="3408"/>
      <c r="C420" s="3409"/>
      <c r="D420" s="3409"/>
      <c r="E420" s="3408"/>
      <c r="F420" s="3410"/>
      <c r="G420" s="3410"/>
      <c r="H420" s="3411">
        <f t="shared" si="9"/>
        <v>0</v>
      </c>
      <c r="I420" s="3396"/>
      <c r="J420" s="3396"/>
      <c r="K420" s="3396"/>
      <c r="L420" s="3396"/>
      <c r="M420" s="3396"/>
      <c r="N420" s="3396"/>
      <c r="O420" s="3396"/>
      <c r="P420" s="3396"/>
      <c r="Q420" s="3396"/>
      <c r="R420" s="3396"/>
      <c r="S420" s="3396"/>
      <c r="T420" s="3396"/>
      <c r="U420" s="3396"/>
      <c r="V420" s="3396"/>
      <c r="W420" s="3396"/>
      <c r="X420" s="3396"/>
      <c r="Y420" s="3396"/>
      <c r="Z420" s="3396"/>
      <c r="AA420" s="3396"/>
      <c r="AB420" s="3396"/>
      <c r="AC420" s="3396"/>
      <c r="AD420" s="3396"/>
      <c r="AE420" s="3396"/>
      <c r="AF420" s="3396"/>
      <c r="AG420" s="3396"/>
      <c r="AH420" s="3396"/>
      <c r="AI420" s="3396"/>
      <c r="AJ420" s="3396"/>
      <c r="AK420" s="3396"/>
      <c r="AL420" s="3396"/>
      <c r="AM420" s="3396"/>
      <c r="AN420" s="3396"/>
      <c r="AO420" s="3396"/>
      <c r="AP420" s="3396"/>
      <c r="AQ420" s="3396"/>
      <c r="AR420" s="3396"/>
      <c r="AS420" s="3396"/>
      <c r="AT420" s="3396"/>
      <c r="AU420" s="3396"/>
      <c r="AV420" s="3396"/>
      <c r="AW420" s="3396"/>
      <c r="AX420" s="3396"/>
      <c r="AY420" s="3396"/>
      <c r="AZ420" s="3396"/>
      <c r="BA420" s="3396"/>
      <c r="BB420" s="3396"/>
      <c r="BC420" s="3396"/>
      <c r="BD420" s="3396"/>
      <c r="BE420" s="3396"/>
      <c r="BF420" s="3396"/>
      <c r="BG420" s="3396"/>
      <c r="BH420" s="3396"/>
      <c r="BI420" s="3396"/>
      <c r="BJ420" s="3396"/>
      <c r="BK420" s="3396"/>
      <c r="BL420" s="3396"/>
      <c r="BM420" s="3396"/>
      <c r="BN420" s="3396"/>
    </row>
    <row r="421" s="687" customFormat="1" ht="15" customHeight="1" spans="1:66">
      <c r="A421" s="3407" t="s">
        <v>3902</v>
      </c>
      <c r="B421" s="3408"/>
      <c r="C421" s="3409"/>
      <c r="D421" s="3409"/>
      <c r="E421" s="3408"/>
      <c r="F421" s="3410"/>
      <c r="G421" s="3410"/>
      <c r="H421" s="3411">
        <f t="shared" si="9"/>
        <v>0</v>
      </c>
      <c r="I421" s="3396"/>
      <c r="J421" s="3396"/>
      <c r="K421" s="3396"/>
      <c r="L421" s="3396"/>
      <c r="M421" s="3396"/>
      <c r="N421" s="3396"/>
      <c r="O421" s="3396"/>
      <c r="P421" s="3396"/>
      <c r="Q421" s="3396"/>
      <c r="R421" s="3396"/>
      <c r="S421" s="3396"/>
      <c r="T421" s="3396"/>
      <c r="U421" s="3396"/>
      <c r="V421" s="3396"/>
      <c r="W421" s="3396"/>
      <c r="X421" s="3396"/>
      <c r="Y421" s="3396"/>
      <c r="Z421" s="3396"/>
      <c r="AA421" s="3396"/>
      <c r="AB421" s="3396"/>
      <c r="AC421" s="3396"/>
      <c r="AD421" s="3396"/>
      <c r="AE421" s="3396"/>
      <c r="AF421" s="3396"/>
      <c r="AG421" s="3396"/>
      <c r="AH421" s="3396"/>
      <c r="AI421" s="3396"/>
      <c r="AJ421" s="3396"/>
      <c r="AK421" s="3396"/>
      <c r="AL421" s="3396"/>
      <c r="AM421" s="3396"/>
      <c r="AN421" s="3396"/>
      <c r="AO421" s="3396"/>
      <c r="AP421" s="3396"/>
      <c r="AQ421" s="3396"/>
      <c r="AR421" s="3396"/>
      <c r="AS421" s="3396"/>
      <c r="AT421" s="3396"/>
      <c r="AU421" s="3396"/>
      <c r="AV421" s="3396"/>
      <c r="AW421" s="3396"/>
      <c r="AX421" s="3396"/>
      <c r="AY421" s="3396"/>
      <c r="AZ421" s="3396"/>
      <c r="BA421" s="3396"/>
      <c r="BB421" s="3396"/>
      <c r="BC421" s="3396"/>
      <c r="BD421" s="3396"/>
      <c r="BE421" s="3396"/>
      <c r="BF421" s="3396"/>
      <c r="BG421" s="3396"/>
      <c r="BH421" s="3396"/>
      <c r="BI421" s="3396"/>
      <c r="BJ421" s="3396"/>
      <c r="BK421" s="3396"/>
      <c r="BL421" s="3396"/>
      <c r="BM421" s="3396"/>
      <c r="BN421" s="3396"/>
    </row>
    <row r="422" s="687" customFormat="1" ht="15" customHeight="1" spans="1:66">
      <c r="A422" s="3407" t="s">
        <v>3905</v>
      </c>
      <c r="B422" s="3408"/>
      <c r="C422" s="3409"/>
      <c r="D422" s="3409"/>
      <c r="E422" s="3408"/>
      <c r="F422" s="3410"/>
      <c r="G422" s="3410"/>
      <c r="H422" s="3411">
        <f t="shared" si="9"/>
        <v>0</v>
      </c>
      <c r="I422" s="3396"/>
      <c r="J422" s="3396"/>
      <c r="K422" s="3396"/>
      <c r="L422" s="3396"/>
      <c r="M422" s="3396"/>
      <c r="N422" s="3396"/>
      <c r="O422" s="3396"/>
      <c r="P422" s="3396"/>
      <c r="Q422" s="3396"/>
      <c r="R422" s="3396"/>
      <c r="S422" s="3396"/>
      <c r="T422" s="3396"/>
      <c r="U422" s="3396"/>
      <c r="V422" s="3396"/>
      <c r="W422" s="3396"/>
      <c r="X422" s="3396"/>
      <c r="Y422" s="3396"/>
      <c r="Z422" s="3396"/>
      <c r="AA422" s="3396"/>
      <c r="AB422" s="3396"/>
      <c r="AC422" s="3396"/>
      <c r="AD422" s="3396"/>
      <c r="AE422" s="3396"/>
      <c r="AF422" s="3396"/>
      <c r="AG422" s="3396"/>
      <c r="AH422" s="3396"/>
      <c r="AI422" s="3396"/>
      <c r="AJ422" s="3396"/>
      <c r="AK422" s="3396"/>
      <c r="AL422" s="3396"/>
      <c r="AM422" s="3396"/>
      <c r="AN422" s="3396"/>
      <c r="AO422" s="3396"/>
      <c r="AP422" s="3396"/>
      <c r="AQ422" s="3396"/>
      <c r="AR422" s="3396"/>
      <c r="AS422" s="3396"/>
      <c r="AT422" s="3396"/>
      <c r="AU422" s="3396"/>
      <c r="AV422" s="3396"/>
      <c r="AW422" s="3396"/>
      <c r="AX422" s="3396"/>
      <c r="AY422" s="3396"/>
      <c r="AZ422" s="3396"/>
      <c r="BA422" s="3396"/>
      <c r="BB422" s="3396"/>
      <c r="BC422" s="3396"/>
      <c r="BD422" s="3396"/>
      <c r="BE422" s="3396"/>
      <c r="BF422" s="3396"/>
      <c r="BG422" s="3396"/>
      <c r="BH422" s="3396"/>
      <c r="BI422" s="3396"/>
      <c r="BJ422" s="3396"/>
      <c r="BK422" s="3396"/>
      <c r="BL422" s="3396"/>
      <c r="BM422" s="3396"/>
      <c r="BN422" s="3396"/>
    </row>
    <row r="423" s="687" customFormat="1" ht="15" customHeight="1" spans="1:66">
      <c r="A423" s="3407" t="s">
        <v>3915</v>
      </c>
      <c r="B423" s="3408"/>
      <c r="C423" s="3409"/>
      <c r="D423" s="3409"/>
      <c r="E423" s="3408"/>
      <c r="F423" s="3410"/>
      <c r="G423" s="3410"/>
      <c r="H423" s="3411">
        <f t="shared" si="9"/>
        <v>0</v>
      </c>
      <c r="I423" s="3396"/>
      <c r="J423" s="3396"/>
      <c r="K423" s="3396"/>
      <c r="L423" s="3396"/>
      <c r="M423" s="3396"/>
      <c r="N423" s="3396"/>
      <c r="O423" s="3396"/>
      <c r="P423" s="3396"/>
      <c r="Q423" s="3396"/>
      <c r="R423" s="3396"/>
      <c r="S423" s="3396"/>
      <c r="T423" s="3396"/>
      <c r="U423" s="3396"/>
      <c r="V423" s="3396"/>
      <c r="W423" s="3396"/>
      <c r="X423" s="3396"/>
      <c r="Y423" s="3396"/>
      <c r="Z423" s="3396"/>
      <c r="AA423" s="3396"/>
      <c r="AB423" s="3396"/>
      <c r="AC423" s="3396"/>
      <c r="AD423" s="3396"/>
      <c r="AE423" s="3396"/>
      <c r="AF423" s="3396"/>
      <c r="AG423" s="3396"/>
      <c r="AH423" s="3396"/>
      <c r="AI423" s="3396"/>
      <c r="AJ423" s="3396"/>
      <c r="AK423" s="3396"/>
      <c r="AL423" s="3396"/>
      <c r="AM423" s="3396"/>
      <c r="AN423" s="3396"/>
      <c r="AO423" s="3396"/>
      <c r="AP423" s="3396"/>
      <c r="AQ423" s="3396"/>
      <c r="AR423" s="3396"/>
      <c r="AS423" s="3396"/>
      <c r="AT423" s="3396"/>
      <c r="AU423" s="3396"/>
      <c r="AV423" s="3396"/>
      <c r="AW423" s="3396"/>
      <c r="AX423" s="3396"/>
      <c r="AY423" s="3396"/>
      <c r="AZ423" s="3396"/>
      <c r="BA423" s="3396"/>
      <c r="BB423" s="3396"/>
      <c r="BC423" s="3396"/>
      <c r="BD423" s="3396"/>
      <c r="BE423" s="3396"/>
      <c r="BF423" s="3396"/>
      <c r="BG423" s="3396"/>
      <c r="BH423" s="3396"/>
      <c r="BI423" s="3396"/>
      <c r="BJ423" s="3396"/>
      <c r="BK423" s="3396"/>
      <c r="BL423" s="3396"/>
      <c r="BM423" s="3396"/>
      <c r="BN423" s="3396"/>
    </row>
    <row r="424" s="687" customFormat="1" ht="15" customHeight="1" spans="1:66">
      <c r="A424" s="3407" t="s">
        <v>3918</v>
      </c>
      <c r="B424" s="3408"/>
      <c r="C424" s="3409"/>
      <c r="D424" s="3409"/>
      <c r="E424" s="3408"/>
      <c r="F424" s="3410"/>
      <c r="G424" s="3410"/>
      <c r="H424" s="3411">
        <f t="shared" si="9"/>
        <v>0</v>
      </c>
      <c r="I424" s="3396"/>
      <c r="J424" s="3396"/>
      <c r="K424" s="3396"/>
      <c r="L424" s="3396"/>
      <c r="M424" s="3396"/>
      <c r="N424" s="3396"/>
      <c r="O424" s="3396"/>
      <c r="P424" s="3396"/>
      <c r="Q424" s="3396"/>
      <c r="R424" s="3396"/>
      <c r="S424" s="3396"/>
      <c r="T424" s="3396"/>
      <c r="U424" s="3396"/>
      <c r="V424" s="3396"/>
      <c r="W424" s="3396"/>
      <c r="X424" s="3396"/>
      <c r="Y424" s="3396"/>
      <c r="Z424" s="3396"/>
      <c r="AA424" s="3396"/>
      <c r="AB424" s="3396"/>
      <c r="AC424" s="3396"/>
      <c r="AD424" s="3396"/>
      <c r="AE424" s="3396"/>
      <c r="AF424" s="3396"/>
      <c r="AG424" s="3396"/>
      <c r="AH424" s="3396"/>
      <c r="AI424" s="3396"/>
      <c r="AJ424" s="3396"/>
      <c r="AK424" s="3396"/>
      <c r="AL424" s="3396"/>
      <c r="AM424" s="3396"/>
      <c r="AN424" s="3396"/>
      <c r="AO424" s="3396"/>
      <c r="AP424" s="3396"/>
      <c r="AQ424" s="3396"/>
      <c r="AR424" s="3396"/>
      <c r="AS424" s="3396"/>
      <c r="AT424" s="3396"/>
      <c r="AU424" s="3396"/>
      <c r="AV424" s="3396"/>
      <c r="AW424" s="3396"/>
      <c r="AX424" s="3396"/>
      <c r="AY424" s="3396"/>
      <c r="AZ424" s="3396"/>
      <c r="BA424" s="3396"/>
      <c r="BB424" s="3396"/>
      <c r="BC424" s="3396"/>
      <c r="BD424" s="3396"/>
      <c r="BE424" s="3396"/>
      <c r="BF424" s="3396"/>
      <c r="BG424" s="3396"/>
      <c r="BH424" s="3396"/>
      <c r="BI424" s="3396"/>
      <c r="BJ424" s="3396"/>
      <c r="BK424" s="3396"/>
      <c r="BL424" s="3396"/>
      <c r="BM424" s="3396"/>
      <c r="BN424" s="3396"/>
    </row>
    <row r="425" s="687" customFormat="1" ht="15" customHeight="1" spans="1:66">
      <c r="A425" s="3407" t="s">
        <v>3920</v>
      </c>
      <c r="B425" s="3408"/>
      <c r="C425" s="3409"/>
      <c r="D425" s="3409"/>
      <c r="E425" s="3408"/>
      <c r="F425" s="3410"/>
      <c r="G425" s="3410"/>
      <c r="H425" s="3411">
        <f t="shared" si="9"/>
        <v>0</v>
      </c>
      <c r="I425" s="3396"/>
      <c r="J425" s="3396"/>
      <c r="K425" s="3396"/>
      <c r="L425" s="3396"/>
      <c r="M425" s="3396"/>
      <c r="N425" s="3396"/>
      <c r="O425" s="3396"/>
      <c r="P425" s="3396"/>
      <c r="Q425" s="3396"/>
      <c r="R425" s="3396"/>
      <c r="S425" s="3396"/>
      <c r="T425" s="3396"/>
      <c r="U425" s="3396"/>
      <c r="V425" s="3396"/>
      <c r="W425" s="3396"/>
      <c r="X425" s="3396"/>
      <c r="Y425" s="3396"/>
      <c r="Z425" s="3396"/>
      <c r="AA425" s="3396"/>
      <c r="AB425" s="3396"/>
      <c r="AC425" s="3396"/>
      <c r="AD425" s="3396"/>
      <c r="AE425" s="3396"/>
      <c r="AF425" s="3396"/>
      <c r="AG425" s="3396"/>
      <c r="AH425" s="3396"/>
      <c r="AI425" s="3396"/>
      <c r="AJ425" s="3396"/>
      <c r="AK425" s="3396"/>
      <c r="AL425" s="3396"/>
      <c r="AM425" s="3396"/>
      <c r="AN425" s="3396"/>
      <c r="AO425" s="3396"/>
      <c r="AP425" s="3396"/>
      <c r="AQ425" s="3396"/>
      <c r="AR425" s="3396"/>
      <c r="AS425" s="3396"/>
      <c r="AT425" s="3396"/>
      <c r="AU425" s="3396"/>
      <c r="AV425" s="3396"/>
      <c r="AW425" s="3396"/>
      <c r="AX425" s="3396"/>
      <c r="AY425" s="3396"/>
      <c r="AZ425" s="3396"/>
      <c r="BA425" s="3396"/>
      <c r="BB425" s="3396"/>
      <c r="BC425" s="3396"/>
      <c r="BD425" s="3396"/>
      <c r="BE425" s="3396"/>
      <c r="BF425" s="3396"/>
      <c r="BG425" s="3396"/>
      <c r="BH425" s="3396"/>
      <c r="BI425" s="3396"/>
      <c r="BJ425" s="3396"/>
      <c r="BK425" s="3396"/>
      <c r="BL425" s="3396"/>
      <c r="BM425" s="3396"/>
      <c r="BN425" s="3396"/>
    </row>
    <row r="426" s="687" customFormat="1" ht="15" customHeight="1" spans="1:66">
      <c r="A426" s="3407" t="s">
        <v>3923</v>
      </c>
      <c r="B426" s="3408"/>
      <c r="C426" s="3409"/>
      <c r="D426" s="3409"/>
      <c r="E426" s="3408"/>
      <c r="F426" s="3410"/>
      <c r="G426" s="3410"/>
      <c r="H426" s="3411">
        <f t="shared" si="9"/>
        <v>0</v>
      </c>
      <c r="I426" s="3396"/>
      <c r="J426" s="3396"/>
      <c r="K426" s="3396"/>
      <c r="L426" s="3396"/>
      <c r="M426" s="3396"/>
      <c r="N426" s="3396"/>
      <c r="O426" s="3396"/>
      <c r="P426" s="3396"/>
      <c r="Q426" s="3396"/>
      <c r="R426" s="3396"/>
      <c r="S426" s="3396"/>
      <c r="T426" s="3396"/>
      <c r="U426" s="3396"/>
      <c r="V426" s="3396"/>
      <c r="W426" s="3396"/>
      <c r="X426" s="3396"/>
      <c r="Y426" s="3396"/>
      <c r="Z426" s="3396"/>
      <c r="AA426" s="3396"/>
      <c r="AB426" s="3396"/>
      <c r="AC426" s="3396"/>
      <c r="AD426" s="3396"/>
      <c r="AE426" s="3396"/>
      <c r="AF426" s="3396"/>
      <c r="AG426" s="3396"/>
      <c r="AH426" s="3396"/>
      <c r="AI426" s="3396"/>
      <c r="AJ426" s="3396"/>
      <c r="AK426" s="3396"/>
      <c r="AL426" s="3396"/>
      <c r="AM426" s="3396"/>
      <c r="AN426" s="3396"/>
      <c r="AO426" s="3396"/>
      <c r="AP426" s="3396"/>
      <c r="AQ426" s="3396"/>
      <c r="AR426" s="3396"/>
      <c r="AS426" s="3396"/>
      <c r="AT426" s="3396"/>
      <c r="AU426" s="3396"/>
      <c r="AV426" s="3396"/>
      <c r="AW426" s="3396"/>
      <c r="AX426" s="3396"/>
      <c r="AY426" s="3396"/>
      <c r="AZ426" s="3396"/>
      <c r="BA426" s="3396"/>
      <c r="BB426" s="3396"/>
      <c r="BC426" s="3396"/>
      <c r="BD426" s="3396"/>
      <c r="BE426" s="3396"/>
      <c r="BF426" s="3396"/>
      <c r="BG426" s="3396"/>
      <c r="BH426" s="3396"/>
      <c r="BI426" s="3396"/>
      <c r="BJ426" s="3396"/>
      <c r="BK426" s="3396"/>
      <c r="BL426" s="3396"/>
      <c r="BM426" s="3396"/>
      <c r="BN426" s="3396"/>
    </row>
    <row r="427" s="687" customFormat="1" ht="15" customHeight="1" spans="1:66">
      <c r="A427" s="3407" t="s">
        <v>3925</v>
      </c>
      <c r="B427" s="3408"/>
      <c r="C427" s="3409"/>
      <c r="D427" s="3409"/>
      <c r="E427" s="3408"/>
      <c r="F427" s="3410"/>
      <c r="G427" s="3410"/>
      <c r="H427" s="3411">
        <f t="shared" si="9"/>
        <v>0</v>
      </c>
      <c r="I427" s="3396"/>
      <c r="J427" s="3396"/>
      <c r="K427" s="3396"/>
      <c r="L427" s="3396"/>
      <c r="M427" s="3396"/>
      <c r="N427" s="3396"/>
      <c r="O427" s="3396"/>
      <c r="P427" s="3396"/>
      <c r="Q427" s="3396"/>
      <c r="R427" s="3396"/>
      <c r="S427" s="3396"/>
      <c r="T427" s="3396"/>
      <c r="U427" s="3396"/>
      <c r="V427" s="3396"/>
      <c r="W427" s="3396"/>
      <c r="X427" s="3396"/>
      <c r="Y427" s="3396"/>
      <c r="Z427" s="3396"/>
      <c r="AA427" s="3396"/>
      <c r="AB427" s="3396"/>
      <c r="AC427" s="3396"/>
      <c r="AD427" s="3396"/>
      <c r="AE427" s="3396"/>
      <c r="AF427" s="3396"/>
      <c r="AG427" s="3396"/>
      <c r="AH427" s="3396"/>
      <c r="AI427" s="3396"/>
      <c r="AJ427" s="3396"/>
      <c r="AK427" s="3396"/>
      <c r="AL427" s="3396"/>
      <c r="AM427" s="3396"/>
      <c r="AN427" s="3396"/>
      <c r="AO427" s="3396"/>
      <c r="AP427" s="3396"/>
      <c r="AQ427" s="3396"/>
      <c r="AR427" s="3396"/>
      <c r="AS427" s="3396"/>
      <c r="AT427" s="3396"/>
      <c r="AU427" s="3396"/>
      <c r="AV427" s="3396"/>
      <c r="AW427" s="3396"/>
      <c r="AX427" s="3396"/>
      <c r="AY427" s="3396"/>
      <c r="AZ427" s="3396"/>
      <c r="BA427" s="3396"/>
      <c r="BB427" s="3396"/>
      <c r="BC427" s="3396"/>
      <c r="BD427" s="3396"/>
      <c r="BE427" s="3396"/>
      <c r="BF427" s="3396"/>
      <c r="BG427" s="3396"/>
      <c r="BH427" s="3396"/>
      <c r="BI427" s="3396"/>
      <c r="BJ427" s="3396"/>
      <c r="BK427" s="3396"/>
      <c r="BL427" s="3396"/>
      <c r="BM427" s="3396"/>
      <c r="BN427" s="3396"/>
    </row>
    <row r="428" s="687" customFormat="1" ht="15" customHeight="1" spans="1:66">
      <c r="A428" s="3407" t="s">
        <v>3928</v>
      </c>
      <c r="B428" s="3408"/>
      <c r="C428" s="3409"/>
      <c r="D428" s="3409"/>
      <c r="E428" s="3408"/>
      <c r="F428" s="3410"/>
      <c r="G428" s="3410"/>
      <c r="H428" s="3411">
        <f t="shared" si="9"/>
        <v>0</v>
      </c>
      <c r="I428" s="3396"/>
      <c r="J428" s="3396"/>
      <c r="K428" s="3396"/>
      <c r="L428" s="3396"/>
      <c r="M428" s="3396"/>
      <c r="N428" s="3396"/>
      <c r="O428" s="3396"/>
      <c r="P428" s="3396"/>
      <c r="Q428" s="3396"/>
      <c r="R428" s="3396"/>
      <c r="S428" s="3396"/>
      <c r="T428" s="3396"/>
      <c r="U428" s="3396"/>
      <c r="V428" s="3396"/>
      <c r="W428" s="3396"/>
      <c r="X428" s="3396"/>
      <c r="Y428" s="3396"/>
      <c r="Z428" s="3396"/>
      <c r="AA428" s="3396"/>
      <c r="AB428" s="3396"/>
      <c r="AC428" s="3396"/>
      <c r="AD428" s="3396"/>
      <c r="AE428" s="3396"/>
      <c r="AF428" s="3396"/>
      <c r="AG428" s="3396"/>
      <c r="AH428" s="3396"/>
      <c r="AI428" s="3396"/>
      <c r="AJ428" s="3396"/>
      <c r="AK428" s="3396"/>
      <c r="AL428" s="3396"/>
      <c r="AM428" s="3396"/>
      <c r="AN428" s="3396"/>
      <c r="AO428" s="3396"/>
      <c r="AP428" s="3396"/>
      <c r="AQ428" s="3396"/>
      <c r="AR428" s="3396"/>
      <c r="AS428" s="3396"/>
      <c r="AT428" s="3396"/>
      <c r="AU428" s="3396"/>
      <c r="AV428" s="3396"/>
      <c r="AW428" s="3396"/>
      <c r="AX428" s="3396"/>
      <c r="AY428" s="3396"/>
      <c r="AZ428" s="3396"/>
      <c r="BA428" s="3396"/>
      <c r="BB428" s="3396"/>
      <c r="BC428" s="3396"/>
      <c r="BD428" s="3396"/>
      <c r="BE428" s="3396"/>
      <c r="BF428" s="3396"/>
      <c r="BG428" s="3396"/>
      <c r="BH428" s="3396"/>
      <c r="BI428" s="3396"/>
      <c r="BJ428" s="3396"/>
      <c r="BK428" s="3396"/>
      <c r="BL428" s="3396"/>
      <c r="BM428" s="3396"/>
      <c r="BN428" s="3396"/>
    </row>
    <row r="429" s="687" customFormat="1" ht="15" customHeight="1" spans="1:66">
      <c r="A429" s="3407" t="s">
        <v>3934</v>
      </c>
      <c r="B429" s="3408"/>
      <c r="C429" s="3409"/>
      <c r="D429" s="3409"/>
      <c r="E429" s="3408"/>
      <c r="F429" s="3410"/>
      <c r="G429" s="3410"/>
      <c r="H429" s="3411">
        <f t="shared" si="9"/>
        <v>0</v>
      </c>
      <c r="I429" s="3396"/>
      <c r="J429" s="3396"/>
      <c r="K429" s="3396"/>
      <c r="L429" s="3396"/>
      <c r="M429" s="3396"/>
      <c r="N429" s="3396"/>
      <c r="O429" s="3396"/>
      <c r="P429" s="3396"/>
      <c r="Q429" s="3396"/>
      <c r="R429" s="3396"/>
      <c r="S429" s="3396"/>
      <c r="T429" s="3396"/>
      <c r="U429" s="3396"/>
      <c r="V429" s="3396"/>
      <c r="W429" s="3396"/>
      <c r="X429" s="3396"/>
      <c r="Y429" s="3396"/>
      <c r="Z429" s="3396"/>
      <c r="AA429" s="3396"/>
      <c r="AB429" s="3396"/>
      <c r="AC429" s="3396"/>
      <c r="AD429" s="3396"/>
      <c r="AE429" s="3396"/>
      <c r="AF429" s="3396"/>
      <c r="AG429" s="3396"/>
      <c r="AH429" s="3396"/>
      <c r="AI429" s="3396"/>
      <c r="AJ429" s="3396"/>
      <c r="AK429" s="3396"/>
      <c r="AL429" s="3396"/>
      <c r="AM429" s="3396"/>
      <c r="AN429" s="3396"/>
      <c r="AO429" s="3396"/>
      <c r="AP429" s="3396"/>
      <c r="AQ429" s="3396"/>
      <c r="AR429" s="3396"/>
      <c r="AS429" s="3396"/>
      <c r="AT429" s="3396"/>
      <c r="AU429" s="3396"/>
      <c r="AV429" s="3396"/>
      <c r="AW429" s="3396"/>
      <c r="AX429" s="3396"/>
      <c r="AY429" s="3396"/>
      <c r="AZ429" s="3396"/>
      <c r="BA429" s="3396"/>
      <c r="BB429" s="3396"/>
      <c r="BC429" s="3396"/>
      <c r="BD429" s="3396"/>
      <c r="BE429" s="3396"/>
      <c r="BF429" s="3396"/>
      <c r="BG429" s="3396"/>
      <c r="BH429" s="3396"/>
      <c r="BI429" s="3396"/>
      <c r="BJ429" s="3396"/>
      <c r="BK429" s="3396"/>
      <c r="BL429" s="3396"/>
      <c r="BM429" s="3396"/>
      <c r="BN429" s="3396"/>
    </row>
    <row r="430" s="687" customFormat="1" ht="15" customHeight="1" spans="1:66">
      <c r="A430" s="3407" t="s">
        <v>3945</v>
      </c>
      <c r="B430" s="3408"/>
      <c r="C430" s="3409"/>
      <c r="D430" s="3409"/>
      <c r="E430" s="3408"/>
      <c r="F430" s="3410"/>
      <c r="G430" s="3410"/>
      <c r="H430" s="3411">
        <f t="shared" si="9"/>
        <v>0</v>
      </c>
      <c r="I430" s="3396"/>
      <c r="J430" s="3396"/>
      <c r="K430" s="3396"/>
      <c r="L430" s="3396"/>
      <c r="M430" s="3396"/>
      <c r="N430" s="3396"/>
      <c r="O430" s="3396"/>
      <c r="P430" s="3396"/>
      <c r="Q430" s="3396"/>
      <c r="R430" s="3396"/>
      <c r="S430" s="3396"/>
      <c r="T430" s="3396"/>
      <c r="U430" s="3396"/>
      <c r="V430" s="3396"/>
      <c r="W430" s="3396"/>
      <c r="X430" s="3396"/>
      <c r="Y430" s="3396"/>
      <c r="Z430" s="3396"/>
      <c r="AA430" s="3396"/>
      <c r="AB430" s="3396"/>
      <c r="AC430" s="3396"/>
      <c r="AD430" s="3396"/>
      <c r="AE430" s="3396"/>
      <c r="AF430" s="3396"/>
      <c r="AG430" s="3396"/>
      <c r="AH430" s="3396"/>
      <c r="AI430" s="3396"/>
      <c r="AJ430" s="3396"/>
      <c r="AK430" s="3396"/>
      <c r="AL430" s="3396"/>
      <c r="AM430" s="3396"/>
      <c r="AN430" s="3396"/>
      <c r="AO430" s="3396"/>
      <c r="AP430" s="3396"/>
      <c r="AQ430" s="3396"/>
      <c r="AR430" s="3396"/>
      <c r="AS430" s="3396"/>
      <c r="AT430" s="3396"/>
      <c r="AU430" s="3396"/>
      <c r="AV430" s="3396"/>
      <c r="AW430" s="3396"/>
      <c r="AX430" s="3396"/>
      <c r="AY430" s="3396"/>
      <c r="AZ430" s="3396"/>
      <c r="BA430" s="3396"/>
      <c r="BB430" s="3396"/>
      <c r="BC430" s="3396"/>
      <c r="BD430" s="3396"/>
      <c r="BE430" s="3396"/>
      <c r="BF430" s="3396"/>
      <c r="BG430" s="3396"/>
      <c r="BH430" s="3396"/>
      <c r="BI430" s="3396"/>
      <c r="BJ430" s="3396"/>
      <c r="BK430" s="3396"/>
      <c r="BL430" s="3396"/>
      <c r="BM430" s="3396"/>
      <c r="BN430" s="3396"/>
    </row>
    <row r="431" s="687" customFormat="1" ht="15" customHeight="1" spans="1:66">
      <c r="A431" s="3407" t="s">
        <v>3947</v>
      </c>
      <c r="B431" s="3408"/>
      <c r="C431" s="3409"/>
      <c r="D431" s="3409"/>
      <c r="E431" s="3408"/>
      <c r="F431" s="3410"/>
      <c r="G431" s="3410"/>
      <c r="H431" s="3411">
        <f t="shared" si="9"/>
        <v>0</v>
      </c>
      <c r="I431" s="3396"/>
      <c r="J431" s="3396"/>
      <c r="K431" s="3396"/>
      <c r="L431" s="3396"/>
      <c r="M431" s="3396"/>
      <c r="N431" s="3396"/>
      <c r="O431" s="3396"/>
      <c r="P431" s="3396"/>
      <c r="Q431" s="3396"/>
      <c r="R431" s="3396"/>
      <c r="S431" s="3396"/>
      <c r="T431" s="3396"/>
      <c r="U431" s="3396"/>
      <c r="V431" s="3396"/>
      <c r="W431" s="3396"/>
      <c r="X431" s="3396"/>
      <c r="Y431" s="3396"/>
      <c r="Z431" s="3396"/>
      <c r="AA431" s="3396"/>
      <c r="AB431" s="3396"/>
      <c r="AC431" s="3396"/>
      <c r="AD431" s="3396"/>
      <c r="AE431" s="3396"/>
      <c r="AF431" s="3396"/>
      <c r="AG431" s="3396"/>
      <c r="AH431" s="3396"/>
      <c r="AI431" s="3396"/>
      <c r="AJ431" s="3396"/>
      <c r="AK431" s="3396"/>
      <c r="AL431" s="3396"/>
      <c r="AM431" s="3396"/>
      <c r="AN431" s="3396"/>
      <c r="AO431" s="3396"/>
      <c r="AP431" s="3396"/>
      <c r="AQ431" s="3396"/>
      <c r="AR431" s="3396"/>
      <c r="AS431" s="3396"/>
      <c r="AT431" s="3396"/>
      <c r="AU431" s="3396"/>
      <c r="AV431" s="3396"/>
      <c r="AW431" s="3396"/>
      <c r="AX431" s="3396"/>
      <c r="AY431" s="3396"/>
      <c r="AZ431" s="3396"/>
      <c r="BA431" s="3396"/>
      <c r="BB431" s="3396"/>
      <c r="BC431" s="3396"/>
      <c r="BD431" s="3396"/>
      <c r="BE431" s="3396"/>
      <c r="BF431" s="3396"/>
      <c r="BG431" s="3396"/>
      <c r="BH431" s="3396"/>
      <c r="BI431" s="3396"/>
      <c r="BJ431" s="3396"/>
      <c r="BK431" s="3396"/>
      <c r="BL431" s="3396"/>
      <c r="BM431" s="3396"/>
      <c r="BN431" s="3396"/>
    </row>
    <row r="432" s="687" customFormat="1" ht="15" customHeight="1" spans="1:66">
      <c r="A432" s="3407" t="s">
        <v>5705</v>
      </c>
      <c r="B432" s="3408"/>
      <c r="C432" s="3409"/>
      <c r="D432" s="3409"/>
      <c r="E432" s="3408"/>
      <c r="F432" s="3410"/>
      <c r="G432" s="3410"/>
      <c r="H432" s="3411">
        <f t="shared" si="9"/>
        <v>0</v>
      </c>
      <c r="I432" s="3396"/>
      <c r="J432" s="3396"/>
      <c r="K432" s="3396"/>
      <c r="L432" s="3396"/>
      <c r="M432" s="3396"/>
      <c r="N432" s="3396"/>
      <c r="O432" s="3396"/>
      <c r="P432" s="3396"/>
      <c r="Q432" s="3396"/>
      <c r="R432" s="3396"/>
      <c r="S432" s="3396"/>
      <c r="T432" s="3396"/>
      <c r="U432" s="3396"/>
      <c r="V432" s="3396"/>
      <c r="W432" s="3396"/>
      <c r="X432" s="3396"/>
      <c r="Y432" s="3396"/>
      <c r="Z432" s="3396"/>
      <c r="AA432" s="3396"/>
      <c r="AB432" s="3396"/>
      <c r="AC432" s="3396"/>
      <c r="AD432" s="3396"/>
      <c r="AE432" s="3396"/>
      <c r="AF432" s="3396"/>
      <c r="AG432" s="3396"/>
      <c r="AH432" s="3396"/>
      <c r="AI432" s="3396"/>
      <c r="AJ432" s="3396"/>
      <c r="AK432" s="3396"/>
      <c r="AL432" s="3396"/>
      <c r="AM432" s="3396"/>
      <c r="AN432" s="3396"/>
      <c r="AO432" s="3396"/>
      <c r="AP432" s="3396"/>
      <c r="AQ432" s="3396"/>
      <c r="AR432" s="3396"/>
      <c r="AS432" s="3396"/>
      <c r="AT432" s="3396"/>
      <c r="AU432" s="3396"/>
      <c r="AV432" s="3396"/>
      <c r="AW432" s="3396"/>
      <c r="AX432" s="3396"/>
      <c r="AY432" s="3396"/>
      <c r="AZ432" s="3396"/>
      <c r="BA432" s="3396"/>
      <c r="BB432" s="3396"/>
      <c r="BC432" s="3396"/>
      <c r="BD432" s="3396"/>
      <c r="BE432" s="3396"/>
      <c r="BF432" s="3396"/>
      <c r="BG432" s="3396"/>
      <c r="BH432" s="3396"/>
      <c r="BI432" s="3396"/>
      <c r="BJ432" s="3396"/>
      <c r="BK432" s="3396"/>
      <c r="BL432" s="3396"/>
      <c r="BM432" s="3396"/>
      <c r="BN432" s="3396"/>
    </row>
    <row r="433" s="687" customFormat="1" ht="15" customHeight="1" spans="1:66">
      <c r="A433" s="3412" t="s">
        <v>5707</v>
      </c>
      <c r="B433" s="3408"/>
      <c r="C433" s="3409"/>
      <c r="D433" s="3409"/>
      <c r="E433" s="3408"/>
      <c r="F433" s="3410"/>
      <c r="G433" s="3410"/>
      <c r="H433" s="3411">
        <f t="shared" si="9"/>
        <v>0</v>
      </c>
      <c r="I433" s="3396"/>
      <c r="J433" s="3396"/>
      <c r="K433" s="3396"/>
      <c r="L433" s="3396"/>
      <c r="M433" s="3396"/>
      <c r="N433" s="3396"/>
      <c r="O433" s="3396"/>
      <c r="P433" s="3396"/>
      <c r="Q433" s="3396"/>
      <c r="R433" s="3396"/>
      <c r="S433" s="3396"/>
      <c r="T433" s="3396"/>
      <c r="U433" s="3396"/>
      <c r="V433" s="3396"/>
      <c r="W433" s="3396"/>
      <c r="X433" s="3396"/>
      <c r="Y433" s="3396"/>
      <c r="Z433" s="3396"/>
      <c r="AA433" s="3396"/>
      <c r="AB433" s="3396"/>
      <c r="AC433" s="3396"/>
      <c r="AD433" s="3396"/>
      <c r="AE433" s="3396"/>
      <c r="AF433" s="3396"/>
      <c r="AG433" s="3396"/>
      <c r="AH433" s="3396"/>
      <c r="AI433" s="3396"/>
      <c r="AJ433" s="3396"/>
      <c r="AK433" s="3396"/>
      <c r="AL433" s="3396"/>
      <c r="AM433" s="3396"/>
      <c r="AN433" s="3396"/>
      <c r="AO433" s="3396"/>
      <c r="AP433" s="3396"/>
      <c r="AQ433" s="3396"/>
      <c r="AR433" s="3396"/>
      <c r="AS433" s="3396"/>
      <c r="AT433" s="3396"/>
      <c r="AU433" s="3396"/>
      <c r="AV433" s="3396"/>
      <c r="AW433" s="3396"/>
      <c r="AX433" s="3396"/>
      <c r="AY433" s="3396"/>
      <c r="AZ433" s="3396"/>
      <c r="BA433" s="3396"/>
      <c r="BB433" s="3396"/>
      <c r="BC433" s="3396"/>
      <c r="BD433" s="3396"/>
      <c r="BE433" s="3396"/>
      <c r="BF433" s="3396"/>
      <c r="BG433" s="3396"/>
      <c r="BH433" s="3396"/>
      <c r="BI433" s="3396"/>
      <c r="BJ433" s="3396"/>
      <c r="BK433" s="3396"/>
      <c r="BL433" s="3396"/>
      <c r="BM433" s="3396"/>
      <c r="BN433" s="3396"/>
    </row>
    <row r="434" s="687" customFormat="1" ht="15" hidden="1" customHeight="1" spans="1:66">
      <c r="A434" s="3407" t="s">
        <v>5708</v>
      </c>
      <c r="B434" s="3408"/>
      <c r="C434" s="3409"/>
      <c r="D434" s="3409"/>
      <c r="E434" s="3408"/>
      <c r="F434" s="3410"/>
      <c r="G434" s="3430"/>
      <c r="H434" s="3411">
        <f t="shared" si="9"/>
        <v>0</v>
      </c>
      <c r="I434" s="3396"/>
      <c r="J434" s="3396"/>
      <c r="K434" s="3396"/>
      <c r="L434" s="3396"/>
      <c r="M434" s="3396"/>
      <c r="N434" s="3396"/>
      <c r="O434" s="3396"/>
      <c r="P434" s="3396"/>
      <c r="Q434" s="3396"/>
      <c r="R434" s="3396"/>
      <c r="S434" s="3396"/>
      <c r="T434" s="3396"/>
      <c r="U434" s="3396"/>
      <c r="V434" s="3396"/>
      <c r="W434" s="3396"/>
      <c r="X434" s="3396"/>
      <c r="Y434" s="3396"/>
      <c r="Z434" s="3396"/>
      <c r="AA434" s="3396"/>
      <c r="AB434" s="3396"/>
      <c r="AC434" s="3396"/>
      <c r="AD434" s="3396"/>
      <c r="AE434" s="3396"/>
      <c r="AF434" s="3396"/>
      <c r="AG434" s="3396"/>
      <c r="AH434" s="3396"/>
      <c r="AI434" s="3396"/>
      <c r="AJ434" s="3396"/>
      <c r="AK434" s="3396"/>
      <c r="AL434" s="3396"/>
      <c r="AM434" s="3396"/>
      <c r="AN434" s="3396"/>
      <c r="AO434" s="3396"/>
      <c r="AP434" s="3396"/>
      <c r="AQ434" s="3396"/>
      <c r="AR434" s="3396"/>
      <c r="AS434" s="3396"/>
      <c r="AT434" s="3396"/>
      <c r="AU434" s="3396"/>
      <c r="AV434" s="3396"/>
      <c r="AW434" s="3396"/>
      <c r="AX434" s="3396"/>
      <c r="AY434" s="3396"/>
      <c r="AZ434" s="3396"/>
      <c r="BA434" s="3396"/>
      <c r="BB434" s="3396"/>
      <c r="BC434" s="3396"/>
      <c r="BD434" s="3396"/>
      <c r="BE434" s="3396"/>
      <c r="BF434" s="3396"/>
      <c r="BG434" s="3396"/>
      <c r="BH434" s="3396"/>
      <c r="BI434" s="3396"/>
      <c r="BJ434" s="3396"/>
      <c r="BK434" s="3396"/>
      <c r="BL434" s="3396"/>
      <c r="BM434" s="3396"/>
      <c r="BN434" s="3396"/>
    </row>
    <row r="435" s="687" customFormat="1" ht="15" hidden="1" customHeight="1" spans="1:66">
      <c r="A435" s="3407" t="s">
        <v>5709</v>
      </c>
      <c r="B435" s="3408"/>
      <c r="C435" s="3409"/>
      <c r="D435" s="3409"/>
      <c r="E435" s="3408"/>
      <c r="F435" s="3410"/>
      <c r="G435" s="3430"/>
      <c r="H435" s="3411">
        <f t="shared" si="9"/>
        <v>0</v>
      </c>
      <c r="I435" s="3396"/>
      <c r="J435" s="3396"/>
      <c r="K435" s="3396"/>
      <c r="L435" s="3396"/>
      <c r="M435" s="3396"/>
      <c r="N435" s="3396"/>
      <c r="O435" s="3396"/>
      <c r="P435" s="3396"/>
      <c r="Q435" s="3396"/>
      <c r="R435" s="3396"/>
      <c r="S435" s="3396"/>
      <c r="T435" s="3396"/>
      <c r="U435" s="3396"/>
      <c r="V435" s="3396"/>
      <c r="W435" s="3396"/>
      <c r="X435" s="3396"/>
      <c r="Y435" s="3396"/>
      <c r="Z435" s="3396"/>
      <c r="AA435" s="3396"/>
      <c r="AB435" s="3396"/>
      <c r="AC435" s="3396"/>
      <c r="AD435" s="3396"/>
      <c r="AE435" s="3396"/>
      <c r="AF435" s="3396"/>
      <c r="AG435" s="3396"/>
      <c r="AH435" s="3396"/>
      <c r="AI435" s="3396"/>
      <c r="AJ435" s="3396"/>
      <c r="AK435" s="3396"/>
      <c r="AL435" s="3396"/>
      <c r="AM435" s="3396"/>
      <c r="AN435" s="3396"/>
      <c r="AO435" s="3396"/>
      <c r="AP435" s="3396"/>
      <c r="AQ435" s="3396"/>
      <c r="AR435" s="3396"/>
      <c r="AS435" s="3396"/>
      <c r="AT435" s="3396"/>
      <c r="AU435" s="3396"/>
      <c r="AV435" s="3396"/>
      <c r="AW435" s="3396"/>
      <c r="AX435" s="3396"/>
      <c r="AY435" s="3396"/>
      <c r="AZ435" s="3396"/>
      <c r="BA435" s="3396"/>
      <c r="BB435" s="3396"/>
      <c r="BC435" s="3396"/>
      <c r="BD435" s="3396"/>
      <c r="BE435" s="3396"/>
      <c r="BF435" s="3396"/>
      <c r="BG435" s="3396"/>
      <c r="BH435" s="3396"/>
      <c r="BI435" s="3396"/>
      <c r="BJ435" s="3396"/>
      <c r="BK435" s="3396"/>
      <c r="BL435" s="3396"/>
      <c r="BM435" s="3396"/>
      <c r="BN435" s="3396"/>
    </row>
    <row r="436" s="687" customFormat="1" ht="15" hidden="1" customHeight="1" spans="1:66">
      <c r="A436" s="3407" t="s">
        <v>5710</v>
      </c>
      <c r="B436" s="3408"/>
      <c r="C436" s="3409"/>
      <c r="D436" s="3409"/>
      <c r="E436" s="3408"/>
      <c r="F436" s="3410"/>
      <c r="G436" s="3430"/>
      <c r="H436" s="3411">
        <f t="shared" si="9"/>
        <v>0</v>
      </c>
      <c r="I436" s="3396"/>
      <c r="J436" s="3396"/>
      <c r="K436" s="3396"/>
      <c r="L436" s="3396"/>
      <c r="M436" s="3396"/>
      <c r="N436" s="3396"/>
      <c r="O436" s="3396"/>
      <c r="P436" s="3396"/>
      <c r="Q436" s="3396"/>
      <c r="R436" s="3396"/>
      <c r="S436" s="3396"/>
      <c r="T436" s="3396"/>
      <c r="U436" s="3396"/>
      <c r="V436" s="3396"/>
      <c r="W436" s="3396"/>
      <c r="X436" s="3396"/>
      <c r="Y436" s="3396"/>
      <c r="Z436" s="3396"/>
      <c r="AA436" s="3396"/>
      <c r="AB436" s="3396"/>
      <c r="AC436" s="3396"/>
      <c r="AD436" s="3396"/>
      <c r="AE436" s="3396"/>
      <c r="AF436" s="3396"/>
      <c r="AG436" s="3396"/>
      <c r="AH436" s="3396"/>
      <c r="AI436" s="3396"/>
      <c r="AJ436" s="3396"/>
      <c r="AK436" s="3396"/>
      <c r="AL436" s="3396"/>
      <c r="AM436" s="3396"/>
      <c r="AN436" s="3396"/>
      <c r="AO436" s="3396"/>
      <c r="AP436" s="3396"/>
      <c r="AQ436" s="3396"/>
      <c r="AR436" s="3396"/>
      <c r="AS436" s="3396"/>
      <c r="AT436" s="3396"/>
      <c r="AU436" s="3396"/>
      <c r="AV436" s="3396"/>
      <c r="AW436" s="3396"/>
      <c r="AX436" s="3396"/>
      <c r="AY436" s="3396"/>
      <c r="AZ436" s="3396"/>
      <c r="BA436" s="3396"/>
      <c r="BB436" s="3396"/>
      <c r="BC436" s="3396"/>
      <c r="BD436" s="3396"/>
      <c r="BE436" s="3396"/>
      <c r="BF436" s="3396"/>
      <c r="BG436" s="3396"/>
      <c r="BH436" s="3396"/>
      <c r="BI436" s="3396"/>
      <c r="BJ436" s="3396"/>
      <c r="BK436" s="3396"/>
      <c r="BL436" s="3396"/>
      <c r="BM436" s="3396"/>
      <c r="BN436" s="3396"/>
    </row>
    <row r="437" s="687" customFormat="1" ht="15" hidden="1" customHeight="1" spans="1:66">
      <c r="A437" s="3407" t="s">
        <v>5711</v>
      </c>
      <c r="B437" s="3408"/>
      <c r="C437" s="3409"/>
      <c r="D437" s="3409"/>
      <c r="E437" s="3408"/>
      <c r="F437" s="3410"/>
      <c r="G437" s="3430"/>
      <c r="H437" s="3411">
        <f t="shared" si="9"/>
        <v>0</v>
      </c>
      <c r="I437" s="3396"/>
      <c r="J437" s="3396"/>
      <c r="K437" s="3396"/>
      <c r="L437" s="3396"/>
      <c r="M437" s="3396"/>
      <c r="N437" s="3396"/>
      <c r="O437" s="3396"/>
      <c r="P437" s="3396"/>
      <c r="Q437" s="3396"/>
      <c r="R437" s="3396"/>
      <c r="S437" s="3396"/>
      <c r="T437" s="3396"/>
      <c r="U437" s="3396"/>
      <c r="V437" s="3396"/>
      <c r="W437" s="3396"/>
      <c r="X437" s="3396"/>
      <c r="Y437" s="3396"/>
      <c r="Z437" s="3396"/>
      <c r="AA437" s="3396"/>
      <c r="AB437" s="3396"/>
      <c r="AC437" s="3396"/>
      <c r="AD437" s="3396"/>
      <c r="AE437" s="3396"/>
      <c r="AF437" s="3396"/>
      <c r="AG437" s="3396"/>
      <c r="AH437" s="3396"/>
      <c r="AI437" s="3396"/>
      <c r="AJ437" s="3396"/>
      <c r="AK437" s="3396"/>
      <c r="AL437" s="3396"/>
      <c r="AM437" s="3396"/>
      <c r="AN437" s="3396"/>
      <c r="AO437" s="3396"/>
      <c r="AP437" s="3396"/>
      <c r="AQ437" s="3396"/>
      <c r="AR437" s="3396"/>
      <c r="AS437" s="3396"/>
      <c r="AT437" s="3396"/>
      <c r="AU437" s="3396"/>
      <c r="AV437" s="3396"/>
      <c r="AW437" s="3396"/>
      <c r="AX437" s="3396"/>
      <c r="AY437" s="3396"/>
      <c r="AZ437" s="3396"/>
      <c r="BA437" s="3396"/>
      <c r="BB437" s="3396"/>
      <c r="BC437" s="3396"/>
      <c r="BD437" s="3396"/>
      <c r="BE437" s="3396"/>
      <c r="BF437" s="3396"/>
      <c r="BG437" s="3396"/>
      <c r="BH437" s="3396"/>
      <c r="BI437" s="3396"/>
      <c r="BJ437" s="3396"/>
      <c r="BK437" s="3396"/>
      <c r="BL437" s="3396"/>
      <c r="BM437" s="3396"/>
      <c r="BN437" s="3396"/>
    </row>
    <row r="438" s="687" customFormat="1" ht="15" hidden="1" customHeight="1" spans="1:66">
      <c r="A438" s="3412" t="s">
        <v>5713</v>
      </c>
      <c r="B438" s="3408"/>
      <c r="C438" s="3409"/>
      <c r="D438" s="3409"/>
      <c r="E438" s="3408"/>
      <c r="F438" s="3410"/>
      <c r="G438" s="3430"/>
      <c r="H438" s="3411">
        <f t="shared" si="9"/>
        <v>0</v>
      </c>
      <c r="I438" s="3396"/>
      <c r="J438" s="3396"/>
      <c r="K438" s="3396"/>
      <c r="L438" s="3396"/>
      <c r="M438" s="3396"/>
      <c r="N438" s="3396"/>
      <c r="O438" s="3396"/>
      <c r="P438" s="3396"/>
      <c r="Q438" s="3396"/>
      <c r="R438" s="3396"/>
      <c r="S438" s="3396"/>
      <c r="T438" s="3396"/>
      <c r="U438" s="3396"/>
      <c r="V438" s="3396"/>
      <c r="W438" s="3396"/>
      <c r="X438" s="3396"/>
      <c r="Y438" s="3396"/>
      <c r="Z438" s="3396"/>
      <c r="AA438" s="3396"/>
      <c r="AB438" s="3396"/>
      <c r="AC438" s="3396"/>
      <c r="AD438" s="3396"/>
      <c r="AE438" s="3396"/>
      <c r="AF438" s="3396"/>
      <c r="AG438" s="3396"/>
      <c r="AH438" s="3396"/>
      <c r="AI438" s="3396"/>
      <c r="AJ438" s="3396"/>
      <c r="AK438" s="3396"/>
      <c r="AL438" s="3396"/>
      <c r="AM438" s="3396"/>
      <c r="AN438" s="3396"/>
      <c r="AO438" s="3396"/>
      <c r="AP438" s="3396"/>
      <c r="AQ438" s="3396"/>
      <c r="AR438" s="3396"/>
      <c r="AS438" s="3396"/>
      <c r="AT438" s="3396"/>
      <c r="AU438" s="3396"/>
      <c r="AV438" s="3396"/>
      <c r="AW438" s="3396"/>
      <c r="AX438" s="3396"/>
      <c r="AY438" s="3396"/>
      <c r="AZ438" s="3396"/>
      <c r="BA438" s="3396"/>
      <c r="BB438" s="3396"/>
      <c r="BC438" s="3396"/>
      <c r="BD438" s="3396"/>
      <c r="BE438" s="3396"/>
      <c r="BF438" s="3396"/>
      <c r="BG438" s="3396"/>
      <c r="BH438" s="3396"/>
      <c r="BI438" s="3396"/>
      <c r="BJ438" s="3396"/>
      <c r="BK438" s="3396"/>
      <c r="BL438" s="3396"/>
      <c r="BM438" s="3396"/>
      <c r="BN438" s="3396"/>
    </row>
    <row r="439" s="687" customFormat="1" ht="15" hidden="1" customHeight="1" spans="1:66">
      <c r="A439" s="3407" t="s">
        <v>5714</v>
      </c>
      <c r="B439" s="3408"/>
      <c r="C439" s="3409"/>
      <c r="D439" s="3409"/>
      <c r="E439" s="3408"/>
      <c r="F439" s="3410"/>
      <c r="G439" s="3430"/>
      <c r="H439" s="3411">
        <f t="shared" si="9"/>
        <v>0</v>
      </c>
      <c r="I439" s="3396"/>
      <c r="J439" s="3396"/>
      <c r="K439" s="3396"/>
      <c r="L439" s="3396"/>
      <c r="M439" s="3396"/>
      <c r="N439" s="3396"/>
      <c r="O439" s="3396"/>
      <c r="P439" s="3396"/>
      <c r="Q439" s="3396"/>
      <c r="R439" s="3396"/>
      <c r="S439" s="3396"/>
      <c r="T439" s="3396"/>
      <c r="U439" s="3396"/>
      <c r="V439" s="3396"/>
      <c r="W439" s="3396"/>
      <c r="X439" s="3396"/>
      <c r="Y439" s="3396"/>
      <c r="Z439" s="3396"/>
      <c r="AA439" s="3396"/>
      <c r="AB439" s="3396"/>
      <c r="AC439" s="3396"/>
      <c r="AD439" s="3396"/>
      <c r="AE439" s="3396"/>
      <c r="AF439" s="3396"/>
      <c r="AG439" s="3396"/>
      <c r="AH439" s="3396"/>
      <c r="AI439" s="3396"/>
      <c r="AJ439" s="3396"/>
      <c r="AK439" s="3396"/>
      <c r="AL439" s="3396"/>
      <c r="AM439" s="3396"/>
      <c r="AN439" s="3396"/>
      <c r="AO439" s="3396"/>
      <c r="AP439" s="3396"/>
      <c r="AQ439" s="3396"/>
      <c r="AR439" s="3396"/>
      <c r="AS439" s="3396"/>
      <c r="AT439" s="3396"/>
      <c r="AU439" s="3396"/>
      <c r="AV439" s="3396"/>
      <c r="AW439" s="3396"/>
      <c r="AX439" s="3396"/>
      <c r="AY439" s="3396"/>
      <c r="AZ439" s="3396"/>
      <c r="BA439" s="3396"/>
      <c r="BB439" s="3396"/>
      <c r="BC439" s="3396"/>
      <c r="BD439" s="3396"/>
      <c r="BE439" s="3396"/>
      <c r="BF439" s="3396"/>
      <c r="BG439" s="3396"/>
      <c r="BH439" s="3396"/>
      <c r="BI439" s="3396"/>
      <c r="BJ439" s="3396"/>
      <c r="BK439" s="3396"/>
      <c r="BL439" s="3396"/>
      <c r="BM439" s="3396"/>
      <c r="BN439" s="3396"/>
    </row>
    <row r="440" s="687" customFormat="1" ht="15" hidden="1" customHeight="1" spans="1:66">
      <c r="A440" s="3407" t="s">
        <v>5715</v>
      </c>
      <c r="B440" s="3408"/>
      <c r="C440" s="3409"/>
      <c r="D440" s="3409"/>
      <c r="E440" s="3408"/>
      <c r="F440" s="3410"/>
      <c r="G440" s="3430"/>
      <c r="H440" s="3411">
        <f t="shared" si="9"/>
        <v>0</v>
      </c>
      <c r="I440" s="3396"/>
      <c r="J440" s="3396"/>
      <c r="K440" s="3396"/>
      <c r="L440" s="3396"/>
      <c r="M440" s="3396"/>
      <c r="N440" s="3396"/>
      <c r="O440" s="3396"/>
      <c r="P440" s="3396"/>
      <c r="Q440" s="3396"/>
      <c r="R440" s="3396"/>
      <c r="S440" s="3396"/>
      <c r="T440" s="3396"/>
      <c r="U440" s="3396"/>
      <c r="V440" s="3396"/>
      <c r="W440" s="3396"/>
      <c r="X440" s="3396"/>
      <c r="Y440" s="3396"/>
      <c r="Z440" s="3396"/>
      <c r="AA440" s="3396"/>
      <c r="AB440" s="3396"/>
      <c r="AC440" s="3396"/>
      <c r="AD440" s="3396"/>
      <c r="AE440" s="3396"/>
      <c r="AF440" s="3396"/>
      <c r="AG440" s="3396"/>
      <c r="AH440" s="3396"/>
      <c r="AI440" s="3396"/>
      <c r="AJ440" s="3396"/>
      <c r="AK440" s="3396"/>
      <c r="AL440" s="3396"/>
      <c r="AM440" s="3396"/>
      <c r="AN440" s="3396"/>
      <c r="AO440" s="3396"/>
      <c r="AP440" s="3396"/>
      <c r="AQ440" s="3396"/>
      <c r="AR440" s="3396"/>
      <c r="AS440" s="3396"/>
      <c r="AT440" s="3396"/>
      <c r="AU440" s="3396"/>
      <c r="AV440" s="3396"/>
      <c r="AW440" s="3396"/>
      <c r="AX440" s="3396"/>
      <c r="AY440" s="3396"/>
      <c r="AZ440" s="3396"/>
      <c r="BA440" s="3396"/>
      <c r="BB440" s="3396"/>
      <c r="BC440" s="3396"/>
      <c r="BD440" s="3396"/>
      <c r="BE440" s="3396"/>
      <c r="BF440" s="3396"/>
      <c r="BG440" s="3396"/>
      <c r="BH440" s="3396"/>
      <c r="BI440" s="3396"/>
      <c r="BJ440" s="3396"/>
      <c r="BK440" s="3396"/>
      <c r="BL440" s="3396"/>
      <c r="BM440" s="3396"/>
      <c r="BN440" s="3396"/>
    </row>
    <row r="441" s="687" customFormat="1" ht="15" hidden="1" customHeight="1" spans="1:66">
      <c r="A441" s="3407" t="s">
        <v>5716</v>
      </c>
      <c r="B441" s="3408"/>
      <c r="C441" s="3409"/>
      <c r="D441" s="3409"/>
      <c r="E441" s="3408"/>
      <c r="F441" s="3410"/>
      <c r="G441" s="3430"/>
      <c r="H441" s="3411">
        <f t="shared" si="9"/>
        <v>0</v>
      </c>
      <c r="I441" s="3396"/>
      <c r="J441" s="3396"/>
      <c r="K441" s="3396"/>
      <c r="L441" s="3396"/>
      <c r="M441" s="3396"/>
      <c r="N441" s="3396"/>
      <c r="O441" s="3396"/>
      <c r="P441" s="3396"/>
      <c r="Q441" s="3396"/>
      <c r="R441" s="3396"/>
      <c r="S441" s="3396"/>
      <c r="T441" s="3396"/>
      <c r="U441" s="3396"/>
      <c r="V441" s="3396"/>
      <c r="W441" s="3396"/>
      <c r="X441" s="3396"/>
      <c r="Y441" s="3396"/>
      <c r="Z441" s="3396"/>
      <c r="AA441" s="3396"/>
      <c r="AB441" s="3396"/>
      <c r="AC441" s="3396"/>
      <c r="AD441" s="3396"/>
      <c r="AE441" s="3396"/>
      <c r="AF441" s="3396"/>
      <c r="AG441" s="3396"/>
      <c r="AH441" s="3396"/>
      <c r="AI441" s="3396"/>
      <c r="AJ441" s="3396"/>
      <c r="AK441" s="3396"/>
      <c r="AL441" s="3396"/>
      <c r="AM441" s="3396"/>
      <c r="AN441" s="3396"/>
      <c r="AO441" s="3396"/>
      <c r="AP441" s="3396"/>
      <c r="AQ441" s="3396"/>
      <c r="AR441" s="3396"/>
      <c r="AS441" s="3396"/>
      <c r="AT441" s="3396"/>
      <c r="AU441" s="3396"/>
      <c r="AV441" s="3396"/>
      <c r="AW441" s="3396"/>
      <c r="AX441" s="3396"/>
      <c r="AY441" s="3396"/>
      <c r="AZ441" s="3396"/>
      <c r="BA441" s="3396"/>
      <c r="BB441" s="3396"/>
      <c r="BC441" s="3396"/>
      <c r="BD441" s="3396"/>
      <c r="BE441" s="3396"/>
      <c r="BF441" s="3396"/>
      <c r="BG441" s="3396"/>
      <c r="BH441" s="3396"/>
      <c r="BI441" s="3396"/>
      <c r="BJ441" s="3396"/>
      <c r="BK441" s="3396"/>
      <c r="BL441" s="3396"/>
      <c r="BM441" s="3396"/>
      <c r="BN441" s="3396"/>
    </row>
    <row r="442" s="687" customFormat="1" ht="15" hidden="1" customHeight="1" spans="1:66">
      <c r="A442" s="3407" t="s">
        <v>5717</v>
      </c>
      <c r="B442" s="3408"/>
      <c r="C442" s="3409"/>
      <c r="D442" s="3409"/>
      <c r="E442" s="3408"/>
      <c r="F442" s="3410"/>
      <c r="G442" s="3430"/>
      <c r="H442" s="3411">
        <f t="shared" si="9"/>
        <v>0</v>
      </c>
      <c r="I442" s="3396"/>
      <c r="J442" s="3396"/>
      <c r="K442" s="3396"/>
      <c r="L442" s="3396"/>
      <c r="M442" s="3396"/>
      <c r="N442" s="3396"/>
      <c r="O442" s="3396"/>
      <c r="P442" s="3396"/>
      <c r="Q442" s="3396"/>
      <c r="R442" s="3396"/>
      <c r="S442" s="3396"/>
      <c r="T442" s="3396"/>
      <c r="U442" s="3396"/>
      <c r="V442" s="3396"/>
      <c r="W442" s="3396"/>
      <c r="X442" s="3396"/>
      <c r="Y442" s="3396"/>
      <c r="Z442" s="3396"/>
      <c r="AA442" s="3396"/>
      <c r="AB442" s="3396"/>
      <c r="AC442" s="3396"/>
      <c r="AD442" s="3396"/>
      <c r="AE442" s="3396"/>
      <c r="AF442" s="3396"/>
      <c r="AG442" s="3396"/>
      <c r="AH442" s="3396"/>
      <c r="AI442" s="3396"/>
      <c r="AJ442" s="3396"/>
      <c r="AK442" s="3396"/>
      <c r="AL442" s="3396"/>
      <c r="AM442" s="3396"/>
      <c r="AN442" s="3396"/>
      <c r="AO442" s="3396"/>
      <c r="AP442" s="3396"/>
      <c r="AQ442" s="3396"/>
      <c r="AR442" s="3396"/>
      <c r="AS442" s="3396"/>
      <c r="AT442" s="3396"/>
      <c r="AU442" s="3396"/>
      <c r="AV442" s="3396"/>
      <c r="AW442" s="3396"/>
      <c r="AX442" s="3396"/>
      <c r="AY442" s="3396"/>
      <c r="AZ442" s="3396"/>
      <c r="BA442" s="3396"/>
      <c r="BB442" s="3396"/>
      <c r="BC442" s="3396"/>
      <c r="BD442" s="3396"/>
      <c r="BE442" s="3396"/>
      <c r="BF442" s="3396"/>
      <c r="BG442" s="3396"/>
      <c r="BH442" s="3396"/>
      <c r="BI442" s="3396"/>
      <c r="BJ442" s="3396"/>
      <c r="BK442" s="3396"/>
      <c r="BL442" s="3396"/>
      <c r="BM442" s="3396"/>
      <c r="BN442" s="3396"/>
    </row>
    <row r="443" s="687" customFormat="1" ht="15" hidden="1" customHeight="1" spans="1:66">
      <c r="A443" s="3407" t="s">
        <v>5718</v>
      </c>
      <c r="B443" s="3408"/>
      <c r="C443" s="3409"/>
      <c r="D443" s="3409"/>
      <c r="E443" s="3408"/>
      <c r="F443" s="3410"/>
      <c r="G443" s="3430"/>
      <c r="H443" s="3411">
        <f t="shared" si="9"/>
        <v>0</v>
      </c>
      <c r="I443" s="3396"/>
      <c r="J443" s="3396"/>
      <c r="K443" s="3396"/>
      <c r="L443" s="3396"/>
      <c r="M443" s="3396"/>
      <c r="N443" s="3396"/>
      <c r="O443" s="3396"/>
      <c r="P443" s="3396"/>
      <c r="Q443" s="3396"/>
      <c r="R443" s="3396"/>
      <c r="S443" s="3396"/>
      <c r="T443" s="3396"/>
      <c r="U443" s="3396"/>
      <c r="V443" s="3396"/>
      <c r="W443" s="3396"/>
      <c r="X443" s="3396"/>
      <c r="Y443" s="3396"/>
      <c r="Z443" s="3396"/>
      <c r="AA443" s="3396"/>
      <c r="AB443" s="3396"/>
      <c r="AC443" s="3396"/>
      <c r="AD443" s="3396"/>
      <c r="AE443" s="3396"/>
      <c r="AF443" s="3396"/>
      <c r="AG443" s="3396"/>
      <c r="AH443" s="3396"/>
      <c r="AI443" s="3396"/>
      <c r="AJ443" s="3396"/>
      <c r="AK443" s="3396"/>
      <c r="AL443" s="3396"/>
      <c r="AM443" s="3396"/>
      <c r="AN443" s="3396"/>
      <c r="AO443" s="3396"/>
      <c r="AP443" s="3396"/>
      <c r="AQ443" s="3396"/>
      <c r="AR443" s="3396"/>
      <c r="AS443" s="3396"/>
      <c r="AT443" s="3396"/>
      <c r="AU443" s="3396"/>
      <c r="AV443" s="3396"/>
      <c r="AW443" s="3396"/>
      <c r="AX443" s="3396"/>
      <c r="AY443" s="3396"/>
      <c r="AZ443" s="3396"/>
      <c r="BA443" s="3396"/>
      <c r="BB443" s="3396"/>
      <c r="BC443" s="3396"/>
      <c r="BD443" s="3396"/>
      <c r="BE443" s="3396"/>
      <c r="BF443" s="3396"/>
      <c r="BG443" s="3396"/>
      <c r="BH443" s="3396"/>
      <c r="BI443" s="3396"/>
      <c r="BJ443" s="3396"/>
      <c r="BK443" s="3396"/>
      <c r="BL443" s="3396"/>
      <c r="BM443" s="3396"/>
      <c r="BN443" s="3396"/>
    </row>
    <row r="444" s="687" customFormat="1" ht="15" hidden="1" customHeight="1" spans="1:66">
      <c r="A444" s="3407" t="s">
        <v>5835</v>
      </c>
      <c r="B444" s="3408"/>
      <c r="C444" s="3409"/>
      <c r="D444" s="3409"/>
      <c r="E444" s="3408"/>
      <c r="F444" s="3410"/>
      <c r="G444" s="3430"/>
      <c r="H444" s="3411">
        <f t="shared" si="9"/>
        <v>0</v>
      </c>
      <c r="I444" s="3396"/>
      <c r="J444" s="3396"/>
      <c r="K444" s="3396"/>
      <c r="L444" s="3396"/>
      <c r="M444" s="3396"/>
      <c r="N444" s="3396"/>
      <c r="O444" s="3396"/>
      <c r="P444" s="3396"/>
      <c r="Q444" s="3396"/>
      <c r="R444" s="3396"/>
      <c r="S444" s="3396"/>
      <c r="T444" s="3396"/>
      <c r="U444" s="3396"/>
      <c r="V444" s="3396"/>
      <c r="W444" s="3396"/>
      <c r="X444" s="3396"/>
      <c r="Y444" s="3396"/>
      <c r="Z444" s="3396"/>
      <c r="AA444" s="3396"/>
      <c r="AB444" s="3396"/>
      <c r="AC444" s="3396"/>
      <c r="AD444" s="3396"/>
      <c r="AE444" s="3396"/>
      <c r="AF444" s="3396"/>
      <c r="AG444" s="3396"/>
      <c r="AH444" s="3396"/>
      <c r="AI444" s="3396"/>
      <c r="AJ444" s="3396"/>
      <c r="AK444" s="3396"/>
      <c r="AL444" s="3396"/>
      <c r="AM444" s="3396"/>
      <c r="AN444" s="3396"/>
      <c r="AO444" s="3396"/>
      <c r="AP444" s="3396"/>
      <c r="AQ444" s="3396"/>
      <c r="AR444" s="3396"/>
      <c r="AS444" s="3396"/>
      <c r="AT444" s="3396"/>
      <c r="AU444" s="3396"/>
      <c r="AV444" s="3396"/>
      <c r="AW444" s="3396"/>
      <c r="AX444" s="3396"/>
      <c r="AY444" s="3396"/>
      <c r="AZ444" s="3396"/>
      <c r="BA444" s="3396"/>
      <c r="BB444" s="3396"/>
      <c r="BC444" s="3396"/>
      <c r="BD444" s="3396"/>
      <c r="BE444" s="3396"/>
      <c r="BF444" s="3396"/>
      <c r="BG444" s="3396"/>
      <c r="BH444" s="3396"/>
      <c r="BI444" s="3396"/>
      <c r="BJ444" s="3396"/>
      <c r="BK444" s="3396"/>
      <c r="BL444" s="3396"/>
      <c r="BM444" s="3396"/>
      <c r="BN444" s="3396"/>
    </row>
    <row r="445" s="687" customFormat="1" ht="15" hidden="1" customHeight="1" spans="1:66">
      <c r="A445" s="3407" t="s">
        <v>5837</v>
      </c>
      <c r="B445" s="3408"/>
      <c r="C445" s="3409"/>
      <c r="D445" s="3409"/>
      <c r="E445" s="3408"/>
      <c r="F445" s="3410"/>
      <c r="G445" s="3430"/>
      <c r="H445" s="3411">
        <f t="shared" si="9"/>
        <v>0</v>
      </c>
      <c r="I445" s="3396"/>
      <c r="J445" s="3396"/>
      <c r="K445" s="3396"/>
      <c r="L445" s="3396"/>
      <c r="M445" s="3396"/>
      <c r="N445" s="3396"/>
      <c r="O445" s="3396"/>
      <c r="P445" s="3396"/>
      <c r="Q445" s="3396"/>
      <c r="R445" s="3396"/>
      <c r="S445" s="3396"/>
      <c r="T445" s="3396"/>
      <c r="U445" s="3396"/>
      <c r="V445" s="3396"/>
      <c r="W445" s="3396"/>
      <c r="X445" s="3396"/>
      <c r="Y445" s="3396"/>
      <c r="Z445" s="3396"/>
      <c r="AA445" s="3396"/>
      <c r="AB445" s="3396"/>
      <c r="AC445" s="3396"/>
      <c r="AD445" s="3396"/>
      <c r="AE445" s="3396"/>
      <c r="AF445" s="3396"/>
      <c r="AG445" s="3396"/>
      <c r="AH445" s="3396"/>
      <c r="AI445" s="3396"/>
      <c r="AJ445" s="3396"/>
      <c r="AK445" s="3396"/>
      <c r="AL445" s="3396"/>
      <c r="AM445" s="3396"/>
      <c r="AN445" s="3396"/>
      <c r="AO445" s="3396"/>
      <c r="AP445" s="3396"/>
      <c r="AQ445" s="3396"/>
      <c r="AR445" s="3396"/>
      <c r="AS445" s="3396"/>
      <c r="AT445" s="3396"/>
      <c r="AU445" s="3396"/>
      <c r="AV445" s="3396"/>
      <c r="AW445" s="3396"/>
      <c r="AX445" s="3396"/>
      <c r="AY445" s="3396"/>
      <c r="AZ445" s="3396"/>
      <c r="BA445" s="3396"/>
      <c r="BB445" s="3396"/>
      <c r="BC445" s="3396"/>
      <c r="BD445" s="3396"/>
      <c r="BE445" s="3396"/>
      <c r="BF445" s="3396"/>
      <c r="BG445" s="3396"/>
      <c r="BH445" s="3396"/>
      <c r="BI445" s="3396"/>
      <c r="BJ445" s="3396"/>
      <c r="BK445" s="3396"/>
      <c r="BL445" s="3396"/>
      <c r="BM445" s="3396"/>
      <c r="BN445" s="3396"/>
    </row>
    <row r="446" s="687" customFormat="1" ht="15" hidden="1" customHeight="1" spans="1:66">
      <c r="A446" s="3407" t="s">
        <v>5839</v>
      </c>
      <c r="B446" s="3408"/>
      <c r="C446" s="3409"/>
      <c r="D446" s="3409"/>
      <c r="E446" s="3408"/>
      <c r="F446" s="3410"/>
      <c r="G446" s="3430"/>
      <c r="H446" s="3411">
        <f t="shared" si="9"/>
        <v>0</v>
      </c>
      <c r="I446" s="3396"/>
      <c r="J446" s="3396"/>
      <c r="K446" s="3396"/>
      <c r="L446" s="3396"/>
      <c r="M446" s="3396"/>
      <c r="N446" s="3396"/>
      <c r="O446" s="3396"/>
      <c r="P446" s="3396"/>
      <c r="Q446" s="3396"/>
      <c r="R446" s="3396"/>
      <c r="S446" s="3396"/>
      <c r="T446" s="3396"/>
      <c r="U446" s="3396"/>
      <c r="V446" s="3396"/>
      <c r="W446" s="3396"/>
      <c r="X446" s="3396"/>
      <c r="Y446" s="3396"/>
      <c r="Z446" s="3396"/>
      <c r="AA446" s="3396"/>
      <c r="AB446" s="3396"/>
      <c r="AC446" s="3396"/>
      <c r="AD446" s="3396"/>
      <c r="AE446" s="3396"/>
      <c r="AF446" s="3396"/>
      <c r="AG446" s="3396"/>
      <c r="AH446" s="3396"/>
      <c r="AI446" s="3396"/>
      <c r="AJ446" s="3396"/>
      <c r="AK446" s="3396"/>
      <c r="AL446" s="3396"/>
      <c r="AM446" s="3396"/>
      <c r="AN446" s="3396"/>
      <c r="AO446" s="3396"/>
      <c r="AP446" s="3396"/>
      <c r="AQ446" s="3396"/>
      <c r="AR446" s="3396"/>
      <c r="AS446" s="3396"/>
      <c r="AT446" s="3396"/>
      <c r="AU446" s="3396"/>
      <c r="AV446" s="3396"/>
      <c r="AW446" s="3396"/>
      <c r="AX446" s="3396"/>
      <c r="AY446" s="3396"/>
      <c r="AZ446" s="3396"/>
      <c r="BA446" s="3396"/>
      <c r="BB446" s="3396"/>
      <c r="BC446" s="3396"/>
      <c r="BD446" s="3396"/>
      <c r="BE446" s="3396"/>
      <c r="BF446" s="3396"/>
      <c r="BG446" s="3396"/>
      <c r="BH446" s="3396"/>
      <c r="BI446" s="3396"/>
      <c r="BJ446" s="3396"/>
      <c r="BK446" s="3396"/>
      <c r="BL446" s="3396"/>
      <c r="BM446" s="3396"/>
      <c r="BN446" s="3396"/>
    </row>
    <row r="447" s="687" customFormat="1" ht="15" hidden="1" customHeight="1" spans="1:66">
      <c r="A447" s="3407" t="s">
        <v>5841</v>
      </c>
      <c r="B447" s="3408"/>
      <c r="C447" s="3409"/>
      <c r="D447" s="3409"/>
      <c r="E447" s="3408"/>
      <c r="F447" s="3410"/>
      <c r="G447" s="3430"/>
      <c r="H447" s="3411">
        <f t="shared" si="9"/>
        <v>0</v>
      </c>
      <c r="I447" s="3396"/>
      <c r="J447" s="3396"/>
      <c r="K447" s="3396"/>
      <c r="L447" s="3396"/>
      <c r="M447" s="3396"/>
      <c r="N447" s="3396"/>
      <c r="O447" s="3396"/>
      <c r="P447" s="3396"/>
      <c r="Q447" s="3396"/>
      <c r="R447" s="3396"/>
      <c r="S447" s="3396"/>
      <c r="T447" s="3396"/>
      <c r="U447" s="3396"/>
      <c r="V447" s="3396"/>
      <c r="W447" s="3396"/>
      <c r="X447" s="3396"/>
      <c r="Y447" s="3396"/>
      <c r="Z447" s="3396"/>
      <c r="AA447" s="3396"/>
      <c r="AB447" s="3396"/>
      <c r="AC447" s="3396"/>
      <c r="AD447" s="3396"/>
      <c r="AE447" s="3396"/>
      <c r="AF447" s="3396"/>
      <c r="AG447" s="3396"/>
      <c r="AH447" s="3396"/>
      <c r="AI447" s="3396"/>
      <c r="AJ447" s="3396"/>
      <c r="AK447" s="3396"/>
      <c r="AL447" s="3396"/>
      <c r="AM447" s="3396"/>
      <c r="AN447" s="3396"/>
      <c r="AO447" s="3396"/>
      <c r="AP447" s="3396"/>
      <c r="AQ447" s="3396"/>
      <c r="AR447" s="3396"/>
      <c r="AS447" s="3396"/>
      <c r="AT447" s="3396"/>
      <c r="AU447" s="3396"/>
      <c r="AV447" s="3396"/>
      <c r="AW447" s="3396"/>
      <c r="AX447" s="3396"/>
      <c r="AY447" s="3396"/>
      <c r="AZ447" s="3396"/>
      <c r="BA447" s="3396"/>
      <c r="BB447" s="3396"/>
      <c r="BC447" s="3396"/>
      <c r="BD447" s="3396"/>
      <c r="BE447" s="3396"/>
      <c r="BF447" s="3396"/>
      <c r="BG447" s="3396"/>
      <c r="BH447" s="3396"/>
      <c r="BI447" s="3396"/>
      <c r="BJ447" s="3396"/>
      <c r="BK447" s="3396"/>
      <c r="BL447" s="3396"/>
      <c r="BM447" s="3396"/>
      <c r="BN447" s="3396"/>
    </row>
    <row r="448" s="687" customFormat="1" ht="15" hidden="1" customHeight="1" spans="1:66">
      <c r="A448" s="3407" t="s">
        <v>5843</v>
      </c>
      <c r="B448" s="3408"/>
      <c r="C448" s="3409"/>
      <c r="D448" s="3409"/>
      <c r="E448" s="3408"/>
      <c r="F448" s="3410"/>
      <c r="G448" s="3430"/>
      <c r="H448" s="3411">
        <f t="shared" si="9"/>
        <v>0</v>
      </c>
      <c r="I448" s="3396"/>
      <c r="J448" s="3396"/>
      <c r="K448" s="3396"/>
      <c r="L448" s="3396"/>
      <c r="M448" s="3396"/>
      <c r="N448" s="3396"/>
      <c r="O448" s="3396"/>
      <c r="P448" s="3396"/>
      <c r="Q448" s="3396"/>
      <c r="R448" s="3396"/>
      <c r="S448" s="3396"/>
      <c r="T448" s="3396"/>
      <c r="U448" s="3396"/>
      <c r="V448" s="3396"/>
      <c r="W448" s="3396"/>
      <c r="X448" s="3396"/>
      <c r="Y448" s="3396"/>
      <c r="Z448" s="3396"/>
      <c r="AA448" s="3396"/>
      <c r="AB448" s="3396"/>
      <c r="AC448" s="3396"/>
      <c r="AD448" s="3396"/>
      <c r="AE448" s="3396"/>
      <c r="AF448" s="3396"/>
      <c r="AG448" s="3396"/>
      <c r="AH448" s="3396"/>
      <c r="AI448" s="3396"/>
      <c r="AJ448" s="3396"/>
      <c r="AK448" s="3396"/>
      <c r="AL448" s="3396"/>
      <c r="AM448" s="3396"/>
      <c r="AN448" s="3396"/>
      <c r="AO448" s="3396"/>
      <c r="AP448" s="3396"/>
      <c r="AQ448" s="3396"/>
      <c r="AR448" s="3396"/>
      <c r="AS448" s="3396"/>
      <c r="AT448" s="3396"/>
      <c r="AU448" s="3396"/>
      <c r="AV448" s="3396"/>
      <c r="AW448" s="3396"/>
      <c r="AX448" s="3396"/>
      <c r="AY448" s="3396"/>
      <c r="AZ448" s="3396"/>
      <c r="BA448" s="3396"/>
      <c r="BB448" s="3396"/>
      <c r="BC448" s="3396"/>
      <c r="BD448" s="3396"/>
      <c r="BE448" s="3396"/>
      <c r="BF448" s="3396"/>
      <c r="BG448" s="3396"/>
      <c r="BH448" s="3396"/>
      <c r="BI448" s="3396"/>
      <c r="BJ448" s="3396"/>
      <c r="BK448" s="3396"/>
      <c r="BL448" s="3396"/>
      <c r="BM448" s="3396"/>
      <c r="BN448" s="3396"/>
    </row>
    <row r="449" s="687" customFormat="1" ht="15" hidden="1" customHeight="1" spans="1:66">
      <c r="A449" s="3407" t="s">
        <v>5845</v>
      </c>
      <c r="B449" s="3408"/>
      <c r="C449" s="3409"/>
      <c r="D449" s="3409"/>
      <c r="E449" s="3408"/>
      <c r="F449" s="3410"/>
      <c r="G449" s="3430"/>
      <c r="H449" s="3411">
        <f t="shared" si="9"/>
        <v>0</v>
      </c>
      <c r="I449" s="3396"/>
      <c r="J449" s="3396"/>
      <c r="K449" s="3396"/>
      <c r="L449" s="3396"/>
      <c r="M449" s="3396"/>
      <c r="N449" s="3396"/>
      <c r="O449" s="3396"/>
      <c r="P449" s="3396"/>
      <c r="Q449" s="3396"/>
      <c r="R449" s="3396"/>
      <c r="S449" s="3396"/>
      <c r="T449" s="3396"/>
      <c r="U449" s="3396"/>
      <c r="V449" s="3396"/>
      <c r="W449" s="3396"/>
      <c r="X449" s="3396"/>
      <c r="Y449" s="3396"/>
      <c r="Z449" s="3396"/>
      <c r="AA449" s="3396"/>
      <c r="AB449" s="3396"/>
      <c r="AC449" s="3396"/>
      <c r="AD449" s="3396"/>
      <c r="AE449" s="3396"/>
      <c r="AF449" s="3396"/>
      <c r="AG449" s="3396"/>
      <c r="AH449" s="3396"/>
      <c r="AI449" s="3396"/>
      <c r="AJ449" s="3396"/>
      <c r="AK449" s="3396"/>
      <c r="AL449" s="3396"/>
      <c r="AM449" s="3396"/>
      <c r="AN449" s="3396"/>
      <c r="AO449" s="3396"/>
      <c r="AP449" s="3396"/>
      <c r="AQ449" s="3396"/>
      <c r="AR449" s="3396"/>
      <c r="AS449" s="3396"/>
      <c r="AT449" s="3396"/>
      <c r="AU449" s="3396"/>
      <c r="AV449" s="3396"/>
      <c r="AW449" s="3396"/>
      <c r="AX449" s="3396"/>
      <c r="AY449" s="3396"/>
      <c r="AZ449" s="3396"/>
      <c r="BA449" s="3396"/>
      <c r="BB449" s="3396"/>
      <c r="BC449" s="3396"/>
      <c r="BD449" s="3396"/>
      <c r="BE449" s="3396"/>
      <c r="BF449" s="3396"/>
      <c r="BG449" s="3396"/>
      <c r="BH449" s="3396"/>
      <c r="BI449" s="3396"/>
      <c r="BJ449" s="3396"/>
      <c r="BK449" s="3396"/>
      <c r="BL449" s="3396"/>
      <c r="BM449" s="3396"/>
      <c r="BN449" s="3396"/>
    </row>
    <row r="450" s="687" customFormat="1" ht="15" hidden="1" customHeight="1" spans="1:66">
      <c r="A450" s="3407" t="s">
        <v>5847</v>
      </c>
      <c r="B450" s="3408"/>
      <c r="C450" s="3409"/>
      <c r="D450" s="3409"/>
      <c r="E450" s="3408"/>
      <c r="F450" s="3410"/>
      <c r="G450" s="3430"/>
      <c r="H450" s="3411">
        <f t="shared" si="9"/>
        <v>0</v>
      </c>
      <c r="I450" s="3396"/>
      <c r="J450" s="3396"/>
      <c r="K450" s="3396"/>
      <c r="L450" s="3396"/>
      <c r="M450" s="3396"/>
      <c r="N450" s="3396"/>
      <c r="O450" s="3396"/>
      <c r="P450" s="3396"/>
      <c r="Q450" s="3396"/>
      <c r="R450" s="3396"/>
      <c r="S450" s="3396"/>
      <c r="T450" s="3396"/>
      <c r="U450" s="3396"/>
      <c r="V450" s="3396"/>
      <c r="W450" s="3396"/>
      <c r="X450" s="3396"/>
      <c r="Y450" s="3396"/>
      <c r="Z450" s="3396"/>
      <c r="AA450" s="3396"/>
      <c r="AB450" s="3396"/>
      <c r="AC450" s="3396"/>
      <c r="AD450" s="3396"/>
      <c r="AE450" s="3396"/>
      <c r="AF450" s="3396"/>
      <c r="AG450" s="3396"/>
      <c r="AH450" s="3396"/>
      <c r="AI450" s="3396"/>
      <c r="AJ450" s="3396"/>
      <c r="AK450" s="3396"/>
      <c r="AL450" s="3396"/>
      <c r="AM450" s="3396"/>
      <c r="AN450" s="3396"/>
      <c r="AO450" s="3396"/>
      <c r="AP450" s="3396"/>
      <c r="AQ450" s="3396"/>
      <c r="AR450" s="3396"/>
      <c r="AS450" s="3396"/>
      <c r="AT450" s="3396"/>
      <c r="AU450" s="3396"/>
      <c r="AV450" s="3396"/>
      <c r="AW450" s="3396"/>
      <c r="AX450" s="3396"/>
      <c r="AY450" s="3396"/>
      <c r="AZ450" s="3396"/>
      <c r="BA450" s="3396"/>
      <c r="BB450" s="3396"/>
      <c r="BC450" s="3396"/>
      <c r="BD450" s="3396"/>
      <c r="BE450" s="3396"/>
      <c r="BF450" s="3396"/>
      <c r="BG450" s="3396"/>
      <c r="BH450" s="3396"/>
      <c r="BI450" s="3396"/>
      <c r="BJ450" s="3396"/>
      <c r="BK450" s="3396"/>
      <c r="BL450" s="3396"/>
      <c r="BM450" s="3396"/>
      <c r="BN450" s="3396"/>
    </row>
    <row r="451" s="687" customFormat="1" ht="15" hidden="1" customHeight="1" spans="1:66">
      <c r="A451" s="3407" t="s">
        <v>5849</v>
      </c>
      <c r="B451" s="3408"/>
      <c r="C451" s="3409"/>
      <c r="D451" s="3409"/>
      <c r="E451" s="3408"/>
      <c r="F451" s="3410"/>
      <c r="G451" s="3430"/>
      <c r="H451" s="3411">
        <f t="shared" si="9"/>
        <v>0</v>
      </c>
      <c r="I451" s="3396"/>
      <c r="J451" s="3396"/>
      <c r="K451" s="3396"/>
      <c r="L451" s="3396"/>
      <c r="M451" s="3396"/>
      <c r="N451" s="3396"/>
      <c r="O451" s="3396"/>
      <c r="P451" s="3396"/>
      <c r="Q451" s="3396"/>
      <c r="R451" s="3396"/>
      <c r="S451" s="3396"/>
      <c r="T451" s="3396"/>
      <c r="U451" s="3396"/>
      <c r="V451" s="3396"/>
      <c r="W451" s="3396"/>
      <c r="X451" s="3396"/>
      <c r="Y451" s="3396"/>
      <c r="Z451" s="3396"/>
      <c r="AA451" s="3396"/>
      <c r="AB451" s="3396"/>
      <c r="AC451" s="3396"/>
      <c r="AD451" s="3396"/>
      <c r="AE451" s="3396"/>
      <c r="AF451" s="3396"/>
      <c r="AG451" s="3396"/>
      <c r="AH451" s="3396"/>
      <c r="AI451" s="3396"/>
      <c r="AJ451" s="3396"/>
      <c r="AK451" s="3396"/>
      <c r="AL451" s="3396"/>
      <c r="AM451" s="3396"/>
      <c r="AN451" s="3396"/>
      <c r="AO451" s="3396"/>
      <c r="AP451" s="3396"/>
      <c r="AQ451" s="3396"/>
      <c r="AR451" s="3396"/>
      <c r="AS451" s="3396"/>
      <c r="AT451" s="3396"/>
      <c r="AU451" s="3396"/>
      <c r="AV451" s="3396"/>
      <c r="AW451" s="3396"/>
      <c r="AX451" s="3396"/>
      <c r="AY451" s="3396"/>
      <c r="AZ451" s="3396"/>
      <c r="BA451" s="3396"/>
      <c r="BB451" s="3396"/>
      <c r="BC451" s="3396"/>
      <c r="BD451" s="3396"/>
      <c r="BE451" s="3396"/>
      <c r="BF451" s="3396"/>
      <c r="BG451" s="3396"/>
      <c r="BH451" s="3396"/>
      <c r="BI451" s="3396"/>
      <c r="BJ451" s="3396"/>
      <c r="BK451" s="3396"/>
      <c r="BL451" s="3396"/>
      <c r="BM451" s="3396"/>
      <c r="BN451" s="3396"/>
    </row>
    <row r="452" s="687" customFormat="1" ht="15" hidden="1" customHeight="1" spans="1:66">
      <c r="A452" s="3407" t="s">
        <v>5851</v>
      </c>
      <c r="B452" s="3408"/>
      <c r="C452" s="3409"/>
      <c r="D452" s="3409"/>
      <c r="E452" s="3408"/>
      <c r="F452" s="3410"/>
      <c r="G452" s="3430"/>
      <c r="H452" s="3411">
        <f t="shared" si="9"/>
        <v>0</v>
      </c>
      <c r="I452" s="3396"/>
      <c r="J452" s="3396"/>
      <c r="K452" s="3396"/>
      <c r="L452" s="3396"/>
      <c r="M452" s="3396"/>
      <c r="N452" s="3396"/>
      <c r="O452" s="3396"/>
      <c r="P452" s="3396"/>
      <c r="Q452" s="3396"/>
      <c r="R452" s="3396"/>
      <c r="S452" s="3396"/>
      <c r="T452" s="3396"/>
      <c r="U452" s="3396"/>
      <c r="V452" s="3396"/>
      <c r="W452" s="3396"/>
      <c r="X452" s="3396"/>
      <c r="Y452" s="3396"/>
      <c r="Z452" s="3396"/>
      <c r="AA452" s="3396"/>
      <c r="AB452" s="3396"/>
      <c r="AC452" s="3396"/>
      <c r="AD452" s="3396"/>
      <c r="AE452" s="3396"/>
      <c r="AF452" s="3396"/>
      <c r="AG452" s="3396"/>
      <c r="AH452" s="3396"/>
      <c r="AI452" s="3396"/>
      <c r="AJ452" s="3396"/>
      <c r="AK452" s="3396"/>
      <c r="AL452" s="3396"/>
      <c r="AM452" s="3396"/>
      <c r="AN452" s="3396"/>
      <c r="AO452" s="3396"/>
      <c r="AP452" s="3396"/>
      <c r="AQ452" s="3396"/>
      <c r="AR452" s="3396"/>
      <c r="AS452" s="3396"/>
      <c r="AT452" s="3396"/>
      <c r="AU452" s="3396"/>
      <c r="AV452" s="3396"/>
      <c r="AW452" s="3396"/>
      <c r="AX452" s="3396"/>
      <c r="AY452" s="3396"/>
      <c r="AZ452" s="3396"/>
      <c r="BA452" s="3396"/>
      <c r="BB452" s="3396"/>
      <c r="BC452" s="3396"/>
      <c r="BD452" s="3396"/>
      <c r="BE452" s="3396"/>
      <c r="BF452" s="3396"/>
      <c r="BG452" s="3396"/>
      <c r="BH452" s="3396"/>
      <c r="BI452" s="3396"/>
      <c r="BJ452" s="3396"/>
      <c r="BK452" s="3396"/>
      <c r="BL452" s="3396"/>
      <c r="BM452" s="3396"/>
      <c r="BN452" s="3396"/>
    </row>
    <row r="453" s="687" customFormat="1" ht="15" hidden="1" customHeight="1" spans="1:66">
      <c r="A453" s="3407" t="s">
        <v>5853</v>
      </c>
      <c r="B453" s="3408"/>
      <c r="C453" s="3409"/>
      <c r="D453" s="3409"/>
      <c r="E453" s="3408"/>
      <c r="F453" s="3410"/>
      <c r="G453" s="3430"/>
      <c r="H453" s="3411">
        <f t="shared" si="9"/>
        <v>0</v>
      </c>
      <c r="I453" s="3396"/>
      <c r="J453" s="3396"/>
      <c r="K453" s="3396"/>
      <c r="L453" s="3396"/>
      <c r="M453" s="3396"/>
      <c r="N453" s="3396"/>
      <c r="O453" s="3396"/>
      <c r="P453" s="3396"/>
      <c r="Q453" s="3396"/>
      <c r="R453" s="3396"/>
      <c r="S453" s="3396"/>
      <c r="T453" s="3396"/>
      <c r="U453" s="3396"/>
      <c r="V453" s="3396"/>
      <c r="W453" s="3396"/>
      <c r="X453" s="3396"/>
      <c r="Y453" s="3396"/>
      <c r="Z453" s="3396"/>
      <c r="AA453" s="3396"/>
      <c r="AB453" s="3396"/>
      <c r="AC453" s="3396"/>
      <c r="AD453" s="3396"/>
      <c r="AE453" s="3396"/>
      <c r="AF453" s="3396"/>
      <c r="AG453" s="3396"/>
      <c r="AH453" s="3396"/>
      <c r="AI453" s="3396"/>
      <c r="AJ453" s="3396"/>
      <c r="AK453" s="3396"/>
      <c r="AL453" s="3396"/>
      <c r="AM453" s="3396"/>
      <c r="AN453" s="3396"/>
      <c r="AO453" s="3396"/>
      <c r="AP453" s="3396"/>
      <c r="AQ453" s="3396"/>
      <c r="AR453" s="3396"/>
      <c r="AS453" s="3396"/>
      <c r="AT453" s="3396"/>
      <c r="AU453" s="3396"/>
      <c r="AV453" s="3396"/>
      <c r="AW453" s="3396"/>
      <c r="AX453" s="3396"/>
      <c r="AY453" s="3396"/>
      <c r="AZ453" s="3396"/>
      <c r="BA453" s="3396"/>
      <c r="BB453" s="3396"/>
      <c r="BC453" s="3396"/>
      <c r="BD453" s="3396"/>
      <c r="BE453" s="3396"/>
      <c r="BF453" s="3396"/>
      <c r="BG453" s="3396"/>
      <c r="BH453" s="3396"/>
      <c r="BI453" s="3396"/>
      <c r="BJ453" s="3396"/>
      <c r="BK453" s="3396"/>
      <c r="BL453" s="3396"/>
      <c r="BM453" s="3396"/>
      <c r="BN453" s="3396"/>
    </row>
    <row r="454" s="687" customFormat="1" ht="15" hidden="1" customHeight="1" spans="1:66">
      <c r="A454" s="3407" t="s">
        <v>5855</v>
      </c>
      <c r="B454" s="3408"/>
      <c r="C454" s="3409"/>
      <c r="D454" s="3409"/>
      <c r="E454" s="3408"/>
      <c r="F454" s="3410"/>
      <c r="G454" s="3430"/>
      <c r="H454" s="3411">
        <f t="shared" si="9"/>
        <v>0</v>
      </c>
      <c r="I454" s="3396"/>
      <c r="J454" s="3396"/>
      <c r="K454" s="3396"/>
      <c r="L454" s="3396"/>
      <c r="M454" s="3396"/>
      <c r="N454" s="3396"/>
      <c r="O454" s="3396"/>
      <c r="P454" s="3396"/>
      <c r="Q454" s="3396"/>
      <c r="R454" s="3396"/>
      <c r="S454" s="3396"/>
      <c r="T454" s="3396"/>
      <c r="U454" s="3396"/>
      <c r="V454" s="3396"/>
      <c r="W454" s="3396"/>
      <c r="X454" s="3396"/>
      <c r="Y454" s="3396"/>
      <c r="Z454" s="3396"/>
      <c r="AA454" s="3396"/>
      <c r="AB454" s="3396"/>
      <c r="AC454" s="3396"/>
      <c r="AD454" s="3396"/>
      <c r="AE454" s="3396"/>
      <c r="AF454" s="3396"/>
      <c r="AG454" s="3396"/>
      <c r="AH454" s="3396"/>
      <c r="AI454" s="3396"/>
      <c r="AJ454" s="3396"/>
      <c r="AK454" s="3396"/>
      <c r="AL454" s="3396"/>
      <c r="AM454" s="3396"/>
      <c r="AN454" s="3396"/>
      <c r="AO454" s="3396"/>
      <c r="AP454" s="3396"/>
      <c r="AQ454" s="3396"/>
      <c r="AR454" s="3396"/>
      <c r="AS454" s="3396"/>
      <c r="AT454" s="3396"/>
      <c r="AU454" s="3396"/>
      <c r="AV454" s="3396"/>
      <c r="AW454" s="3396"/>
      <c r="AX454" s="3396"/>
      <c r="AY454" s="3396"/>
      <c r="AZ454" s="3396"/>
      <c r="BA454" s="3396"/>
      <c r="BB454" s="3396"/>
      <c r="BC454" s="3396"/>
      <c r="BD454" s="3396"/>
      <c r="BE454" s="3396"/>
      <c r="BF454" s="3396"/>
      <c r="BG454" s="3396"/>
      <c r="BH454" s="3396"/>
      <c r="BI454" s="3396"/>
      <c r="BJ454" s="3396"/>
      <c r="BK454" s="3396"/>
      <c r="BL454" s="3396"/>
      <c r="BM454" s="3396"/>
      <c r="BN454" s="3396"/>
    </row>
    <row r="455" s="687" customFormat="1" ht="15" hidden="1" customHeight="1" spans="1:66">
      <c r="A455" s="3407" t="s">
        <v>5856</v>
      </c>
      <c r="B455" s="3408"/>
      <c r="C455" s="3409"/>
      <c r="D455" s="3409"/>
      <c r="E455" s="3408"/>
      <c r="F455" s="3410"/>
      <c r="G455" s="3430"/>
      <c r="H455" s="3411">
        <f t="shared" si="9"/>
        <v>0</v>
      </c>
      <c r="I455" s="3396"/>
      <c r="J455" s="3396"/>
      <c r="K455" s="3396"/>
      <c r="L455" s="3396"/>
      <c r="M455" s="3396"/>
      <c r="N455" s="3396"/>
      <c r="O455" s="3396"/>
      <c r="P455" s="3396"/>
      <c r="Q455" s="3396"/>
      <c r="R455" s="3396"/>
      <c r="S455" s="3396"/>
      <c r="T455" s="3396"/>
      <c r="U455" s="3396"/>
      <c r="V455" s="3396"/>
      <c r="W455" s="3396"/>
      <c r="X455" s="3396"/>
      <c r="Y455" s="3396"/>
      <c r="Z455" s="3396"/>
      <c r="AA455" s="3396"/>
      <c r="AB455" s="3396"/>
      <c r="AC455" s="3396"/>
      <c r="AD455" s="3396"/>
      <c r="AE455" s="3396"/>
      <c r="AF455" s="3396"/>
      <c r="AG455" s="3396"/>
      <c r="AH455" s="3396"/>
      <c r="AI455" s="3396"/>
      <c r="AJ455" s="3396"/>
      <c r="AK455" s="3396"/>
      <c r="AL455" s="3396"/>
      <c r="AM455" s="3396"/>
      <c r="AN455" s="3396"/>
      <c r="AO455" s="3396"/>
      <c r="AP455" s="3396"/>
      <c r="AQ455" s="3396"/>
      <c r="AR455" s="3396"/>
      <c r="AS455" s="3396"/>
      <c r="AT455" s="3396"/>
      <c r="AU455" s="3396"/>
      <c r="AV455" s="3396"/>
      <c r="AW455" s="3396"/>
      <c r="AX455" s="3396"/>
      <c r="AY455" s="3396"/>
      <c r="AZ455" s="3396"/>
      <c r="BA455" s="3396"/>
      <c r="BB455" s="3396"/>
      <c r="BC455" s="3396"/>
      <c r="BD455" s="3396"/>
      <c r="BE455" s="3396"/>
      <c r="BF455" s="3396"/>
      <c r="BG455" s="3396"/>
      <c r="BH455" s="3396"/>
      <c r="BI455" s="3396"/>
      <c r="BJ455" s="3396"/>
      <c r="BK455" s="3396"/>
      <c r="BL455" s="3396"/>
      <c r="BM455" s="3396"/>
      <c r="BN455" s="3396"/>
    </row>
    <row r="456" s="687" customFormat="1" ht="15" hidden="1" customHeight="1" spans="1:66">
      <c r="A456" s="3407" t="s">
        <v>5857</v>
      </c>
      <c r="B456" s="3408"/>
      <c r="C456" s="3409"/>
      <c r="D456" s="3409"/>
      <c r="E456" s="3408"/>
      <c r="F456" s="3410"/>
      <c r="G456" s="3430"/>
      <c r="H456" s="3411">
        <f t="shared" si="9"/>
        <v>0</v>
      </c>
      <c r="I456" s="3396"/>
      <c r="J456" s="3396"/>
      <c r="K456" s="3396"/>
      <c r="L456" s="3396"/>
      <c r="M456" s="3396"/>
      <c r="N456" s="3396"/>
      <c r="O456" s="3396"/>
      <c r="P456" s="3396"/>
      <c r="Q456" s="3396"/>
      <c r="R456" s="3396"/>
      <c r="S456" s="3396"/>
      <c r="T456" s="3396"/>
      <c r="U456" s="3396"/>
      <c r="V456" s="3396"/>
      <c r="W456" s="3396"/>
      <c r="X456" s="3396"/>
      <c r="Y456" s="3396"/>
      <c r="Z456" s="3396"/>
      <c r="AA456" s="3396"/>
      <c r="AB456" s="3396"/>
      <c r="AC456" s="3396"/>
      <c r="AD456" s="3396"/>
      <c r="AE456" s="3396"/>
      <c r="AF456" s="3396"/>
      <c r="AG456" s="3396"/>
      <c r="AH456" s="3396"/>
      <c r="AI456" s="3396"/>
      <c r="AJ456" s="3396"/>
      <c r="AK456" s="3396"/>
      <c r="AL456" s="3396"/>
      <c r="AM456" s="3396"/>
      <c r="AN456" s="3396"/>
      <c r="AO456" s="3396"/>
      <c r="AP456" s="3396"/>
      <c r="AQ456" s="3396"/>
      <c r="AR456" s="3396"/>
      <c r="AS456" s="3396"/>
      <c r="AT456" s="3396"/>
      <c r="AU456" s="3396"/>
      <c r="AV456" s="3396"/>
      <c r="AW456" s="3396"/>
      <c r="AX456" s="3396"/>
      <c r="AY456" s="3396"/>
      <c r="AZ456" s="3396"/>
      <c r="BA456" s="3396"/>
      <c r="BB456" s="3396"/>
      <c r="BC456" s="3396"/>
      <c r="BD456" s="3396"/>
      <c r="BE456" s="3396"/>
      <c r="BF456" s="3396"/>
      <c r="BG456" s="3396"/>
      <c r="BH456" s="3396"/>
      <c r="BI456" s="3396"/>
      <c r="BJ456" s="3396"/>
      <c r="BK456" s="3396"/>
      <c r="BL456" s="3396"/>
      <c r="BM456" s="3396"/>
      <c r="BN456" s="3396"/>
    </row>
    <row r="457" s="687" customFormat="1" ht="15" hidden="1" customHeight="1" spans="1:66">
      <c r="A457" s="3407" t="s">
        <v>5859</v>
      </c>
      <c r="B457" s="3408"/>
      <c r="C457" s="3409"/>
      <c r="D457" s="3409"/>
      <c r="E457" s="3408"/>
      <c r="F457" s="3410"/>
      <c r="G457" s="3430"/>
      <c r="H457" s="3411">
        <f t="shared" si="9"/>
        <v>0</v>
      </c>
      <c r="I457" s="3396"/>
      <c r="J457" s="3396"/>
      <c r="K457" s="3396"/>
      <c r="L457" s="3396"/>
      <c r="M457" s="3396"/>
      <c r="N457" s="3396"/>
      <c r="O457" s="3396"/>
      <c r="P457" s="3396"/>
      <c r="Q457" s="3396"/>
      <c r="R457" s="3396"/>
      <c r="S457" s="3396"/>
      <c r="T457" s="3396"/>
      <c r="U457" s="3396"/>
      <c r="V457" s="3396"/>
      <c r="W457" s="3396"/>
      <c r="X457" s="3396"/>
      <c r="Y457" s="3396"/>
      <c r="Z457" s="3396"/>
      <c r="AA457" s="3396"/>
      <c r="AB457" s="3396"/>
      <c r="AC457" s="3396"/>
      <c r="AD457" s="3396"/>
      <c r="AE457" s="3396"/>
      <c r="AF457" s="3396"/>
      <c r="AG457" s="3396"/>
      <c r="AH457" s="3396"/>
      <c r="AI457" s="3396"/>
      <c r="AJ457" s="3396"/>
      <c r="AK457" s="3396"/>
      <c r="AL457" s="3396"/>
      <c r="AM457" s="3396"/>
      <c r="AN457" s="3396"/>
      <c r="AO457" s="3396"/>
      <c r="AP457" s="3396"/>
      <c r="AQ457" s="3396"/>
      <c r="AR457" s="3396"/>
      <c r="AS457" s="3396"/>
      <c r="AT457" s="3396"/>
      <c r="AU457" s="3396"/>
      <c r="AV457" s="3396"/>
      <c r="AW457" s="3396"/>
      <c r="AX457" s="3396"/>
      <c r="AY457" s="3396"/>
      <c r="AZ457" s="3396"/>
      <c r="BA457" s="3396"/>
      <c r="BB457" s="3396"/>
      <c r="BC457" s="3396"/>
      <c r="BD457" s="3396"/>
      <c r="BE457" s="3396"/>
      <c r="BF457" s="3396"/>
      <c r="BG457" s="3396"/>
      <c r="BH457" s="3396"/>
      <c r="BI457" s="3396"/>
      <c r="BJ457" s="3396"/>
      <c r="BK457" s="3396"/>
      <c r="BL457" s="3396"/>
      <c r="BM457" s="3396"/>
      <c r="BN457" s="3396"/>
    </row>
    <row r="458" s="687" customFormat="1" ht="15" hidden="1" customHeight="1" spans="1:66">
      <c r="A458" s="3407" t="s">
        <v>5862</v>
      </c>
      <c r="B458" s="3408"/>
      <c r="C458" s="3409"/>
      <c r="D458" s="3409"/>
      <c r="E458" s="3408"/>
      <c r="F458" s="3410"/>
      <c r="G458" s="3430"/>
      <c r="H458" s="3411">
        <f t="shared" si="9"/>
        <v>0</v>
      </c>
      <c r="I458" s="3396"/>
      <c r="J458" s="3396"/>
      <c r="K458" s="3396"/>
      <c r="L458" s="3396"/>
      <c r="M458" s="3396"/>
      <c r="N458" s="3396"/>
      <c r="O458" s="3396"/>
      <c r="P458" s="3396"/>
      <c r="Q458" s="3396"/>
      <c r="R458" s="3396"/>
      <c r="S458" s="3396"/>
      <c r="T458" s="3396"/>
      <c r="U458" s="3396"/>
      <c r="V458" s="3396"/>
      <c r="W458" s="3396"/>
      <c r="X458" s="3396"/>
      <c r="Y458" s="3396"/>
      <c r="Z458" s="3396"/>
      <c r="AA458" s="3396"/>
      <c r="AB458" s="3396"/>
      <c r="AC458" s="3396"/>
      <c r="AD458" s="3396"/>
      <c r="AE458" s="3396"/>
      <c r="AF458" s="3396"/>
      <c r="AG458" s="3396"/>
      <c r="AH458" s="3396"/>
      <c r="AI458" s="3396"/>
      <c r="AJ458" s="3396"/>
      <c r="AK458" s="3396"/>
      <c r="AL458" s="3396"/>
      <c r="AM458" s="3396"/>
      <c r="AN458" s="3396"/>
      <c r="AO458" s="3396"/>
      <c r="AP458" s="3396"/>
      <c r="AQ458" s="3396"/>
      <c r="AR458" s="3396"/>
      <c r="AS458" s="3396"/>
      <c r="AT458" s="3396"/>
      <c r="AU458" s="3396"/>
      <c r="AV458" s="3396"/>
      <c r="AW458" s="3396"/>
      <c r="AX458" s="3396"/>
      <c r="AY458" s="3396"/>
      <c r="AZ458" s="3396"/>
      <c r="BA458" s="3396"/>
      <c r="BB458" s="3396"/>
      <c r="BC458" s="3396"/>
      <c r="BD458" s="3396"/>
      <c r="BE458" s="3396"/>
      <c r="BF458" s="3396"/>
      <c r="BG458" s="3396"/>
      <c r="BH458" s="3396"/>
      <c r="BI458" s="3396"/>
      <c r="BJ458" s="3396"/>
      <c r="BK458" s="3396"/>
      <c r="BL458" s="3396"/>
      <c r="BM458" s="3396"/>
      <c r="BN458" s="3396"/>
    </row>
    <row r="459" s="687" customFormat="1" ht="15" hidden="1" customHeight="1" spans="1:66">
      <c r="A459" s="3407" t="s">
        <v>5864</v>
      </c>
      <c r="B459" s="3408"/>
      <c r="C459" s="3409"/>
      <c r="D459" s="3409"/>
      <c r="E459" s="3408"/>
      <c r="F459" s="3410"/>
      <c r="G459" s="3430"/>
      <c r="H459" s="3411">
        <f t="shared" si="9"/>
        <v>0</v>
      </c>
      <c r="I459" s="3396"/>
      <c r="J459" s="3396"/>
      <c r="K459" s="3396"/>
      <c r="L459" s="3396"/>
      <c r="M459" s="3396"/>
      <c r="N459" s="3396"/>
      <c r="O459" s="3396"/>
      <c r="P459" s="3396"/>
      <c r="Q459" s="3396"/>
      <c r="R459" s="3396"/>
      <c r="S459" s="3396"/>
      <c r="T459" s="3396"/>
      <c r="U459" s="3396"/>
      <c r="V459" s="3396"/>
      <c r="W459" s="3396"/>
      <c r="X459" s="3396"/>
      <c r="Y459" s="3396"/>
      <c r="Z459" s="3396"/>
      <c r="AA459" s="3396"/>
      <c r="AB459" s="3396"/>
      <c r="AC459" s="3396"/>
      <c r="AD459" s="3396"/>
      <c r="AE459" s="3396"/>
      <c r="AF459" s="3396"/>
      <c r="AG459" s="3396"/>
      <c r="AH459" s="3396"/>
      <c r="AI459" s="3396"/>
      <c r="AJ459" s="3396"/>
      <c r="AK459" s="3396"/>
      <c r="AL459" s="3396"/>
      <c r="AM459" s="3396"/>
      <c r="AN459" s="3396"/>
      <c r="AO459" s="3396"/>
      <c r="AP459" s="3396"/>
      <c r="AQ459" s="3396"/>
      <c r="AR459" s="3396"/>
      <c r="AS459" s="3396"/>
      <c r="AT459" s="3396"/>
      <c r="AU459" s="3396"/>
      <c r="AV459" s="3396"/>
      <c r="AW459" s="3396"/>
      <c r="AX459" s="3396"/>
      <c r="AY459" s="3396"/>
      <c r="AZ459" s="3396"/>
      <c r="BA459" s="3396"/>
      <c r="BB459" s="3396"/>
      <c r="BC459" s="3396"/>
      <c r="BD459" s="3396"/>
      <c r="BE459" s="3396"/>
      <c r="BF459" s="3396"/>
      <c r="BG459" s="3396"/>
      <c r="BH459" s="3396"/>
      <c r="BI459" s="3396"/>
      <c r="BJ459" s="3396"/>
      <c r="BK459" s="3396"/>
      <c r="BL459" s="3396"/>
      <c r="BM459" s="3396"/>
      <c r="BN459" s="3396"/>
    </row>
    <row r="460" s="687" customFormat="1" ht="15" hidden="1" customHeight="1" spans="1:66">
      <c r="A460" s="3407" t="s">
        <v>5865</v>
      </c>
      <c r="B460" s="3408"/>
      <c r="C460" s="3409"/>
      <c r="D460" s="3409"/>
      <c r="E460" s="3408"/>
      <c r="F460" s="3410"/>
      <c r="G460" s="3430"/>
      <c r="H460" s="3411">
        <f t="shared" si="9"/>
        <v>0</v>
      </c>
      <c r="I460" s="3396"/>
      <c r="J460" s="3396"/>
      <c r="K460" s="3396"/>
      <c r="L460" s="3396"/>
      <c r="M460" s="3396"/>
      <c r="N460" s="3396"/>
      <c r="O460" s="3396"/>
      <c r="P460" s="3396"/>
      <c r="Q460" s="3396"/>
      <c r="R460" s="3396"/>
      <c r="S460" s="3396"/>
      <c r="T460" s="3396"/>
      <c r="U460" s="3396"/>
      <c r="V460" s="3396"/>
      <c r="W460" s="3396"/>
      <c r="X460" s="3396"/>
      <c r="Y460" s="3396"/>
      <c r="Z460" s="3396"/>
      <c r="AA460" s="3396"/>
      <c r="AB460" s="3396"/>
      <c r="AC460" s="3396"/>
      <c r="AD460" s="3396"/>
      <c r="AE460" s="3396"/>
      <c r="AF460" s="3396"/>
      <c r="AG460" s="3396"/>
      <c r="AH460" s="3396"/>
      <c r="AI460" s="3396"/>
      <c r="AJ460" s="3396"/>
      <c r="AK460" s="3396"/>
      <c r="AL460" s="3396"/>
      <c r="AM460" s="3396"/>
      <c r="AN460" s="3396"/>
      <c r="AO460" s="3396"/>
      <c r="AP460" s="3396"/>
      <c r="AQ460" s="3396"/>
      <c r="AR460" s="3396"/>
      <c r="AS460" s="3396"/>
      <c r="AT460" s="3396"/>
      <c r="AU460" s="3396"/>
      <c r="AV460" s="3396"/>
      <c r="AW460" s="3396"/>
      <c r="AX460" s="3396"/>
      <c r="AY460" s="3396"/>
      <c r="AZ460" s="3396"/>
      <c r="BA460" s="3396"/>
      <c r="BB460" s="3396"/>
      <c r="BC460" s="3396"/>
      <c r="BD460" s="3396"/>
      <c r="BE460" s="3396"/>
      <c r="BF460" s="3396"/>
      <c r="BG460" s="3396"/>
      <c r="BH460" s="3396"/>
      <c r="BI460" s="3396"/>
      <c r="BJ460" s="3396"/>
      <c r="BK460" s="3396"/>
      <c r="BL460" s="3396"/>
      <c r="BM460" s="3396"/>
      <c r="BN460" s="3396"/>
    </row>
    <row r="461" s="687" customFormat="1" ht="15" hidden="1" customHeight="1" spans="1:66">
      <c r="A461" s="3407" t="s">
        <v>5867</v>
      </c>
      <c r="B461" s="3408"/>
      <c r="C461" s="3409"/>
      <c r="D461" s="3409"/>
      <c r="E461" s="3408"/>
      <c r="F461" s="3410"/>
      <c r="G461" s="3430"/>
      <c r="H461" s="3411">
        <f t="shared" si="9"/>
        <v>0</v>
      </c>
      <c r="I461" s="3396"/>
      <c r="J461" s="3396"/>
      <c r="K461" s="3396"/>
      <c r="L461" s="3396"/>
      <c r="M461" s="3396"/>
      <c r="N461" s="3396"/>
      <c r="O461" s="3396"/>
      <c r="P461" s="3396"/>
      <c r="Q461" s="3396"/>
      <c r="R461" s="3396"/>
      <c r="S461" s="3396"/>
      <c r="T461" s="3396"/>
      <c r="U461" s="3396"/>
      <c r="V461" s="3396"/>
      <c r="W461" s="3396"/>
      <c r="X461" s="3396"/>
      <c r="Y461" s="3396"/>
      <c r="Z461" s="3396"/>
      <c r="AA461" s="3396"/>
      <c r="AB461" s="3396"/>
      <c r="AC461" s="3396"/>
      <c r="AD461" s="3396"/>
      <c r="AE461" s="3396"/>
      <c r="AF461" s="3396"/>
      <c r="AG461" s="3396"/>
      <c r="AH461" s="3396"/>
      <c r="AI461" s="3396"/>
      <c r="AJ461" s="3396"/>
      <c r="AK461" s="3396"/>
      <c r="AL461" s="3396"/>
      <c r="AM461" s="3396"/>
      <c r="AN461" s="3396"/>
      <c r="AO461" s="3396"/>
      <c r="AP461" s="3396"/>
      <c r="AQ461" s="3396"/>
      <c r="AR461" s="3396"/>
      <c r="AS461" s="3396"/>
      <c r="AT461" s="3396"/>
      <c r="AU461" s="3396"/>
      <c r="AV461" s="3396"/>
      <c r="AW461" s="3396"/>
      <c r="AX461" s="3396"/>
      <c r="AY461" s="3396"/>
      <c r="AZ461" s="3396"/>
      <c r="BA461" s="3396"/>
      <c r="BB461" s="3396"/>
      <c r="BC461" s="3396"/>
      <c r="BD461" s="3396"/>
      <c r="BE461" s="3396"/>
      <c r="BF461" s="3396"/>
      <c r="BG461" s="3396"/>
      <c r="BH461" s="3396"/>
      <c r="BI461" s="3396"/>
      <c r="BJ461" s="3396"/>
      <c r="BK461" s="3396"/>
      <c r="BL461" s="3396"/>
      <c r="BM461" s="3396"/>
      <c r="BN461" s="3396"/>
    </row>
    <row r="462" s="687" customFormat="1" ht="15" hidden="1" customHeight="1" spans="1:66">
      <c r="A462" s="3407" t="s">
        <v>5869</v>
      </c>
      <c r="B462" s="3408"/>
      <c r="C462" s="3409"/>
      <c r="D462" s="3409"/>
      <c r="E462" s="3408"/>
      <c r="F462" s="3410"/>
      <c r="G462" s="3430"/>
      <c r="H462" s="3411">
        <f t="shared" si="9"/>
        <v>0</v>
      </c>
      <c r="I462" s="3396"/>
      <c r="J462" s="3396"/>
      <c r="K462" s="3396"/>
      <c r="L462" s="3396"/>
      <c r="M462" s="3396"/>
      <c r="N462" s="3396"/>
      <c r="O462" s="3396"/>
      <c r="P462" s="3396"/>
      <c r="Q462" s="3396"/>
      <c r="R462" s="3396"/>
      <c r="S462" s="3396"/>
      <c r="T462" s="3396"/>
      <c r="U462" s="3396"/>
      <c r="V462" s="3396"/>
      <c r="W462" s="3396"/>
      <c r="X462" s="3396"/>
      <c r="Y462" s="3396"/>
      <c r="Z462" s="3396"/>
      <c r="AA462" s="3396"/>
      <c r="AB462" s="3396"/>
      <c r="AC462" s="3396"/>
      <c r="AD462" s="3396"/>
      <c r="AE462" s="3396"/>
      <c r="AF462" s="3396"/>
      <c r="AG462" s="3396"/>
      <c r="AH462" s="3396"/>
      <c r="AI462" s="3396"/>
      <c r="AJ462" s="3396"/>
      <c r="AK462" s="3396"/>
      <c r="AL462" s="3396"/>
      <c r="AM462" s="3396"/>
      <c r="AN462" s="3396"/>
      <c r="AO462" s="3396"/>
      <c r="AP462" s="3396"/>
      <c r="AQ462" s="3396"/>
      <c r="AR462" s="3396"/>
      <c r="AS462" s="3396"/>
      <c r="AT462" s="3396"/>
      <c r="AU462" s="3396"/>
      <c r="AV462" s="3396"/>
      <c r="AW462" s="3396"/>
      <c r="AX462" s="3396"/>
      <c r="AY462" s="3396"/>
      <c r="AZ462" s="3396"/>
      <c r="BA462" s="3396"/>
      <c r="BB462" s="3396"/>
      <c r="BC462" s="3396"/>
      <c r="BD462" s="3396"/>
      <c r="BE462" s="3396"/>
      <c r="BF462" s="3396"/>
      <c r="BG462" s="3396"/>
      <c r="BH462" s="3396"/>
      <c r="BI462" s="3396"/>
      <c r="BJ462" s="3396"/>
      <c r="BK462" s="3396"/>
      <c r="BL462" s="3396"/>
      <c r="BM462" s="3396"/>
      <c r="BN462" s="3396"/>
    </row>
    <row r="463" s="687" customFormat="1" ht="15" hidden="1" customHeight="1" spans="1:66">
      <c r="A463" s="3407" t="s">
        <v>5871</v>
      </c>
      <c r="B463" s="3408"/>
      <c r="C463" s="3409"/>
      <c r="D463" s="3409"/>
      <c r="E463" s="3408"/>
      <c r="F463" s="3410"/>
      <c r="G463" s="3430"/>
      <c r="H463" s="3411">
        <f t="shared" si="9"/>
        <v>0</v>
      </c>
      <c r="I463" s="3396"/>
      <c r="J463" s="3396"/>
      <c r="K463" s="3396"/>
      <c r="L463" s="3396"/>
      <c r="M463" s="3396"/>
      <c r="N463" s="3396"/>
      <c r="O463" s="3396"/>
      <c r="P463" s="3396"/>
      <c r="Q463" s="3396"/>
      <c r="R463" s="3396"/>
      <c r="S463" s="3396"/>
      <c r="T463" s="3396"/>
      <c r="U463" s="3396"/>
      <c r="V463" s="3396"/>
      <c r="W463" s="3396"/>
      <c r="X463" s="3396"/>
      <c r="Y463" s="3396"/>
      <c r="Z463" s="3396"/>
      <c r="AA463" s="3396"/>
      <c r="AB463" s="3396"/>
      <c r="AC463" s="3396"/>
      <c r="AD463" s="3396"/>
      <c r="AE463" s="3396"/>
      <c r="AF463" s="3396"/>
      <c r="AG463" s="3396"/>
      <c r="AH463" s="3396"/>
      <c r="AI463" s="3396"/>
      <c r="AJ463" s="3396"/>
      <c r="AK463" s="3396"/>
      <c r="AL463" s="3396"/>
      <c r="AM463" s="3396"/>
      <c r="AN463" s="3396"/>
      <c r="AO463" s="3396"/>
      <c r="AP463" s="3396"/>
      <c r="AQ463" s="3396"/>
      <c r="AR463" s="3396"/>
      <c r="AS463" s="3396"/>
      <c r="AT463" s="3396"/>
      <c r="AU463" s="3396"/>
      <c r="AV463" s="3396"/>
      <c r="AW463" s="3396"/>
      <c r="AX463" s="3396"/>
      <c r="AY463" s="3396"/>
      <c r="AZ463" s="3396"/>
      <c r="BA463" s="3396"/>
      <c r="BB463" s="3396"/>
      <c r="BC463" s="3396"/>
      <c r="BD463" s="3396"/>
      <c r="BE463" s="3396"/>
      <c r="BF463" s="3396"/>
      <c r="BG463" s="3396"/>
      <c r="BH463" s="3396"/>
      <c r="BI463" s="3396"/>
      <c r="BJ463" s="3396"/>
      <c r="BK463" s="3396"/>
      <c r="BL463" s="3396"/>
      <c r="BM463" s="3396"/>
      <c r="BN463" s="3396"/>
    </row>
    <row r="464" s="687" customFormat="1" ht="15" hidden="1" customHeight="1" spans="1:66">
      <c r="A464" s="3407" t="s">
        <v>5873</v>
      </c>
      <c r="B464" s="3408"/>
      <c r="C464" s="3409"/>
      <c r="D464" s="3409"/>
      <c r="E464" s="3408"/>
      <c r="F464" s="3410"/>
      <c r="G464" s="3430"/>
      <c r="H464" s="3411">
        <f t="shared" si="9"/>
        <v>0</v>
      </c>
      <c r="I464" s="3396"/>
      <c r="J464" s="3396"/>
      <c r="K464" s="3396"/>
      <c r="L464" s="3396"/>
      <c r="M464" s="3396"/>
      <c r="N464" s="3396"/>
      <c r="O464" s="3396"/>
      <c r="P464" s="3396"/>
      <c r="Q464" s="3396"/>
      <c r="R464" s="3396"/>
      <c r="S464" s="3396"/>
      <c r="T464" s="3396"/>
      <c r="U464" s="3396"/>
      <c r="V464" s="3396"/>
      <c r="W464" s="3396"/>
      <c r="X464" s="3396"/>
      <c r="Y464" s="3396"/>
      <c r="Z464" s="3396"/>
      <c r="AA464" s="3396"/>
      <c r="AB464" s="3396"/>
      <c r="AC464" s="3396"/>
      <c r="AD464" s="3396"/>
      <c r="AE464" s="3396"/>
      <c r="AF464" s="3396"/>
      <c r="AG464" s="3396"/>
      <c r="AH464" s="3396"/>
      <c r="AI464" s="3396"/>
      <c r="AJ464" s="3396"/>
      <c r="AK464" s="3396"/>
      <c r="AL464" s="3396"/>
      <c r="AM464" s="3396"/>
      <c r="AN464" s="3396"/>
      <c r="AO464" s="3396"/>
      <c r="AP464" s="3396"/>
      <c r="AQ464" s="3396"/>
      <c r="AR464" s="3396"/>
      <c r="AS464" s="3396"/>
      <c r="AT464" s="3396"/>
      <c r="AU464" s="3396"/>
      <c r="AV464" s="3396"/>
      <c r="AW464" s="3396"/>
      <c r="AX464" s="3396"/>
      <c r="AY464" s="3396"/>
      <c r="AZ464" s="3396"/>
      <c r="BA464" s="3396"/>
      <c r="BB464" s="3396"/>
      <c r="BC464" s="3396"/>
      <c r="BD464" s="3396"/>
      <c r="BE464" s="3396"/>
      <c r="BF464" s="3396"/>
      <c r="BG464" s="3396"/>
      <c r="BH464" s="3396"/>
      <c r="BI464" s="3396"/>
      <c r="BJ464" s="3396"/>
      <c r="BK464" s="3396"/>
      <c r="BL464" s="3396"/>
      <c r="BM464" s="3396"/>
      <c r="BN464" s="3396"/>
    </row>
    <row r="465" s="687" customFormat="1" ht="15" hidden="1" customHeight="1" spans="1:66">
      <c r="A465" s="3407" t="s">
        <v>5875</v>
      </c>
      <c r="B465" s="3408"/>
      <c r="C465" s="3409"/>
      <c r="D465" s="3409"/>
      <c r="E465" s="3408"/>
      <c r="F465" s="3410"/>
      <c r="G465" s="3430"/>
      <c r="H465" s="3411">
        <f t="shared" si="9"/>
        <v>0</v>
      </c>
      <c r="I465" s="3396"/>
      <c r="J465" s="3396"/>
      <c r="K465" s="3396"/>
      <c r="L465" s="3396"/>
      <c r="M465" s="3396"/>
      <c r="N465" s="3396"/>
      <c r="O465" s="3396"/>
      <c r="P465" s="3396"/>
      <c r="Q465" s="3396"/>
      <c r="R465" s="3396"/>
      <c r="S465" s="3396"/>
      <c r="T465" s="3396"/>
      <c r="U465" s="3396"/>
      <c r="V465" s="3396"/>
      <c r="W465" s="3396"/>
      <c r="X465" s="3396"/>
      <c r="Y465" s="3396"/>
      <c r="Z465" s="3396"/>
      <c r="AA465" s="3396"/>
      <c r="AB465" s="3396"/>
      <c r="AC465" s="3396"/>
      <c r="AD465" s="3396"/>
      <c r="AE465" s="3396"/>
      <c r="AF465" s="3396"/>
      <c r="AG465" s="3396"/>
      <c r="AH465" s="3396"/>
      <c r="AI465" s="3396"/>
      <c r="AJ465" s="3396"/>
      <c r="AK465" s="3396"/>
      <c r="AL465" s="3396"/>
      <c r="AM465" s="3396"/>
      <c r="AN465" s="3396"/>
      <c r="AO465" s="3396"/>
      <c r="AP465" s="3396"/>
      <c r="AQ465" s="3396"/>
      <c r="AR465" s="3396"/>
      <c r="AS465" s="3396"/>
      <c r="AT465" s="3396"/>
      <c r="AU465" s="3396"/>
      <c r="AV465" s="3396"/>
      <c r="AW465" s="3396"/>
      <c r="AX465" s="3396"/>
      <c r="AY465" s="3396"/>
      <c r="AZ465" s="3396"/>
      <c r="BA465" s="3396"/>
      <c r="BB465" s="3396"/>
      <c r="BC465" s="3396"/>
      <c r="BD465" s="3396"/>
      <c r="BE465" s="3396"/>
      <c r="BF465" s="3396"/>
      <c r="BG465" s="3396"/>
      <c r="BH465" s="3396"/>
      <c r="BI465" s="3396"/>
      <c r="BJ465" s="3396"/>
      <c r="BK465" s="3396"/>
      <c r="BL465" s="3396"/>
      <c r="BM465" s="3396"/>
      <c r="BN465" s="3396"/>
    </row>
    <row r="466" s="687" customFormat="1" ht="15" hidden="1" customHeight="1" spans="1:66">
      <c r="A466" s="3407" t="s">
        <v>5877</v>
      </c>
      <c r="B466" s="3408"/>
      <c r="C466" s="3409"/>
      <c r="D466" s="3409"/>
      <c r="E466" s="3408"/>
      <c r="F466" s="3410"/>
      <c r="G466" s="3430"/>
      <c r="H466" s="3411">
        <f t="shared" si="9"/>
        <v>0</v>
      </c>
      <c r="I466" s="3396"/>
      <c r="J466" s="3396"/>
      <c r="K466" s="3396"/>
      <c r="L466" s="3396"/>
      <c r="M466" s="3396"/>
      <c r="N466" s="3396"/>
      <c r="O466" s="3396"/>
      <c r="P466" s="3396"/>
      <c r="Q466" s="3396"/>
      <c r="R466" s="3396"/>
      <c r="S466" s="3396"/>
      <c r="T466" s="3396"/>
      <c r="U466" s="3396"/>
      <c r="V466" s="3396"/>
      <c r="W466" s="3396"/>
      <c r="X466" s="3396"/>
      <c r="Y466" s="3396"/>
      <c r="Z466" s="3396"/>
      <c r="AA466" s="3396"/>
      <c r="AB466" s="3396"/>
      <c r="AC466" s="3396"/>
      <c r="AD466" s="3396"/>
      <c r="AE466" s="3396"/>
      <c r="AF466" s="3396"/>
      <c r="AG466" s="3396"/>
      <c r="AH466" s="3396"/>
      <c r="AI466" s="3396"/>
      <c r="AJ466" s="3396"/>
      <c r="AK466" s="3396"/>
      <c r="AL466" s="3396"/>
      <c r="AM466" s="3396"/>
      <c r="AN466" s="3396"/>
      <c r="AO466" s="3396"/>
      <c r="AP466" s="3396"/>
      <c r="AQ466" s="3396"/>
      <c r="AR466" s="3396"/>
      <c r="AS466" s="3396"/>
      <c r="AT466" s="3396"/>
      <c r="AU466" s="3396"/>
      <c r="AV466" s="3396"/>
      <c r="AW466" s="3396"/>
      <c r="AX466" s="3396"/>
      <c r="AY466" s="3396"/>
      <c r="AZ466" s="3396"/>
      <c r="BA466" s="3396"/>
      <c r="BB466" s="3396"/>
      <c r="BC466" s="3396"/>
      <c r="BD466" s="3396"/>
      <c r="BE466" s="3396"/>
      <c r="BF466" s="3396"/>
      <c r="BG466" s="3396"/>
      <c r="BH466" s="3396"/>
      <c r="BI466" s="3396"/>
      <c r="BJ466" s="3396"/>
      <c r="BK466" s="3396"/>
      <c r="BL466" s="3396"/>
      <c r="BM466" s="3396"/>
      <c r="BN466" s="3396"/>
    </row>
    <row r="467" s="687" customFormat="1" ht="15" hidden="1" customHeight="1" spans="1:66">
      <c r="A467" s="3407" t="s">
        <v>5879</v>
      </c>
      <c r="B467" s="3408"/>
      <c r="C467" s="3409"/>
      <c r="D467" s="3409"/>
      <c r="E467" s="3408"/>
      <c r="F467" s="3410"/>
      <c r="G467" s="3430"/>
      <c r="H467" s="3411">
        <f t="shared" si="9"/>
        <v>0</v>
      </c>
      <c r="I467" s="3396"/>
      <c r="J467" s="3396"/>
      <c r="K467" s="3396"/>
      <c r="L467" s="3396"/>
      <c r="M467" s="3396"/>
      <c r="N467" s="3396"/>
      <c r="O467" s="3396"/>
      <c r="P467" s="3396"/>
      <c r="Q467" s="3396"/>
      <c r="R467" s="3396"/>
      <c r="S467" s="3396"/>
      <c r="T467" s="3396"/>
      <c r="U467" s="3396"/>
      <c r="V467" s="3396"/>
      <c r="W467" s="3396"/>
      <c r="X467" s="3396"/>
      <c r="Y467" s="3396"/>
      <c r="Z467" s="3396"/>
      <c r="AA467" s="3396"/>
      <c r="AB467" s="3396"/>
      <c r="AC467" s="3396"/>
      <c r="AD467" s="3396"/>
      <c r="AE467" s="3396"/>
      <c r="AF467" s="3396"/>
      <c r="AG467" s="3396"/>
      <c r="AH467" s="3396"/>
      <c r="AI467" s="3396"/>
      <c r="AJ467" s="3396"/>
      <c r="AK467" s="3396"/>
      <c r="AL467" s="3396"/>
      <c r="AM467" s="3396"/>
      <c r="AN467" s="3396"/>
      <c r="AO467" s="3396"/>
      <c r="AP467" s="3396"/>
      <c r="AQ467" s="3396"/>
      <c r="AR467" s="3396"/>
      <c r="AS467" s="3396"/>
      <c r="AT467" s="3396"/>
      <c r="AU467" s="3396"/>
      <c r="AV467" s="3396"/>
      <c r="AW467" s="3396"/>
      <c r="AX467" s="3396"/>
      <c r="AY467" s="3396"/>
      <c r="AZ467" s="3396"/>
      <c r="BA467" s="3396"/>
      <c r="BB467" s="3396"/>
      <c r="BC467" s="3396"/>
      <c r="BD467" s="3396"/>
      <c r="BE467" s="3396"/>
      <c r="BF467" s="3396"/>
      <c r="BG467" s="3396"/>
      <c r="BH467" s="3396"/>
      <c r="BI467" s="3396"/>
      <c r="BJ467" s="3396"/>
      <c r="BK467" s="3396"/>
      <c r="BL467" s="3396"/>
      <c r="BM467" s="3396"/>
      <c r="BN467" s="3396"/>
    </row>
    <row r="468" s="687" customFormat="1" ht="15" hidden="1" customHeight="1" spans="1:66">
      <c r="A468" s="3407" t="s">
        <v>5881</v>
      </c>
      <c r="B468" s="3408"/>
      <c r="C468" s="3409"/>
      <c r="D468" s="3409"/>
      <c r="E468" s="3408"/>
      <c r="F468" s="3410"/>
      <c r="G468" s="3430"/>
      <c r="H468" s="3411">
        <f t="shared" si="9"/>
        <v>0</v>
      </c>
      <c r="I468" s="3396"/>
      <c r="J468" s="3396"/>
      <c r="K468" s="3396"/>
      <c r="L468" s="3396"/>
      <c r="M468" s="3396"/>
      <c r="N468" s="3396"/>
      <c r="O468" s="3396"/>
      <c r="P468" s="3396"/>
      <c r="Q468" s="3396"/>
      <c r="R468" s="3396"/>
      <c r="S468" s="3396"/>
      <c r="T468" s="3396"/>
      <c r="U468" s="3396"/>
      <c r="V468" s="3396"/>
      <c r="W468" s="3396"/>
      <c r="X468" s="3396"/>
      <c r="Y468" s="3396"/>
      <c r="Z468" s="3396"/>
      <c r="AA468" s="3396"/>
      <c r="AB468" s="3396"/>
      <c r="AC468" s="3396"/>
      <c r="AD468" s="3396"/>
      <c r="AE468" s="3396"/>
      <c r="AF468" s="3396"/>
      <c r="AG468" s="3396"/>
      <c r="AH468" s="3396"/>
      <c r="AI468" s="3396"/>
      <c r="AJ468" s="3396"/>
      <c r="AK468" s="3396"/>
      <c r="AL468" s="3396"/>
      <c r="AM468" s="3396"/>
      <c r="AN468" s="3396"/>
      <c r="AO468" s="3396"/>
      <c r="AP468" s="3396"/>
      <c r="AQ468" s="3396"/>
      <c r="AR468" s="3396"/>
      <c r="AS468" s="3396"/>
      <c r="AT468" s="3396"/>
      <c r="AU468" s="3396"/>
      <c r="AV468" s="3396"/>
      <c r="AW468" s="3396"/>
      <c r="AX468" s="3396"/>
      <c r="AY468" s="3396"/>
      <c r="AZ468" s="3396"/>
      <c r="BA468" s="3396"/>
      <c r="BB468" s="3396"/>
      <c r="BC468" s="3396"/>
      <c r="BD468" s="3396"/>
      <c r="BE468" s="3396"/>
      <c r="BF468" s="3396"/>
      <c r="BG468" s="3396"/>
      <c r="BH468" s="3396"/>
      <c r="BI468" s="3396"/>
      <c r="BJ468" s="3396"/>
      <c r="BK468" s="3396"/>
      <c r="BL468" s="3396"/>
      <c r="BM468" s="3396"/>
      <c r="BN468" s="3396"/>
    </row>
    <row r="469" s="687" customFormat="1" ht="15" hidden="1" customHeight="1" spans="1:66">
      <c r="A469" s="3407" t="s">
        <v>5882</v>
      </c>
      <c r="B469" s="3408"/>
      <c r="C469" s="3409"/>
      <c r="D469" s="3409"/>
      <c r="E469" s="3408"/>
      <c r="F469" s="3410"/>
      <c r="G469" s="3430"/>
      <c r="H469" s="3411">
        <f t="shared" si="9"/>
        <v>0</v>
      </c>
      <c r="I469" s="3396"/>
      <c r="J469" s="3396"/>
      <c r="K469" s="3396"/>
      <c r="L469" s="3396"/>
      <c r="M469" s="3396"/>
      <c r="N469" s="3396"/>
      <c r="O469" s="3396"/>
      <c r="P469" s="3396"/>
      <c r="Q469" s="3396"/>
      <c r="R469" s="3396"/>
      <c r="S469" s="3396"/>
      <c r="T469" s="3396"/>
      <c r="U469" s="3396"/>
      <c r="V469" s="3396"/>
      <c r="W469" s="3396"/>
      <c r="X469" s="3396"/>
      <c r="Y469" s="3396"/>
      <c r="Z469" s="3396"/>
      <c r="AA469" s="3396"/>
      <c r="AB469" s="3396"/>
      <c r="AC469" s="3396"/>
      <c r="AD469" s="3396"/>
      <c r="AE469" s="3396"/>
      <c r="AF469" s="3396"/>
      <c r="AG469" s="3396"/>
      <c r="AH469" s="3396"/>
      <c r="AI469" s="3396"/>
      <c r="AJ469" s="3396"/>
      <c r="AK469" s="3396"/>
      <c r="AL469" s="3396"/>
      <c r="AM469" s="3396"/>
      <c r="AN469" s="3396"/>
      <c r="AO469" s="3396"/>
      <c r="AP469" s="3396"/>
      <c r="AQ469" s="3396"/>
      <c r="AR469" s="3396"/>
      <c r="AS469" s="3396"/>
      <c r="AT469" s="3396"/>
      <c r="AU469" s="3396"/>
      <c r="AV469" s="3396"/>
      <c r="AW469" s="3396"/>
      <c r="AX469" s="3396"/>
      <c r="AY469" s="3396"/>
      <c r="AZ469" s="3396"/>
      <c r="BA469" s="3396"/>
      <c r="BB469" s="3396"/>
      <c r="BC469" s="3396"/>
      <c r="BD469" s="3396"/>
      <c r="BE469" s="3396"/>
      <c r="BF469" s="3396"/>
      <c r="BG469" s="3396"/>
      <c r="BH469" s="3396"/>
      <c r="BI469" s="3396"/>
      <c r="BJ469" s="3396"/>
      <c r="BK469" s="3396"/>
      <c r="BL469" s="3396"/>
      <c r="BM469" s="3396"/>
      <c r="BN469" s="3396"/>
    </row>
    <row r="470" s="687" customFormat="1" ht="15" hidden="1" customHeight="1" spans="1:66">
      <c r="A470" s="3407" t="s">
        <v>5884</v>
      </c>
      <c r="B470" s="3408"/>
      <c r="C470" s="3409"/>
      <c r="D470" s="3409"/>
      <c r="E470" s="3408"/>
      <c r="F470" s="3410"/>
      <c r="G470" s="3430"/>
      <c r="H470" s="3411">
        <f t="shared" si="9"/>
        <v>0</v>
      </c>
      <c r="I470" s="3396"/>
      <c r="J470" s="3396"/>
      <c r="K470" s="3396"/>
      <c r="L470" s="3396"/>
      <c r="M470" s="3396"/>
      <c r="N470" s="3396"/>
      <c r="O470" s="3396"/>
      <c r="P470" s="3396"/>
      <c r="Q470" s="3396"/>
      <c r="R470" s="3396"/>
      <c r="S470" s="3396"/>
      <c r="T470" s="3396"/>
      <c r="U470" s="3396"/>
      <c r="V470" s="3396"/>
      <c r="W470" s="3396"/>
      <c r="X470" s="3396"/>
      <c r="Y470" s="3396"/>
      <c r="Z470" s="3396"/>
      <c r="AA470" s="3396"/>
      <c r="AB470" s="3396"/>
      <c r="AC470" s="3396"/>
      <c r="AD470" s="3396"/>
      <c r="AE470" s="3396"/>
      <c r="AF470" s="3396"/>
      <c r="AG470" s="3396"/>
      <c r="AH470" s="3396"/>
      <c r="AI470" s="3396"/>
      <c r="AJ470" s="3396"/>
      <c r="AK470" s="3396"/>
      <c r="AL470" s="3396"/>
      <c r="AM470" s="3396"/>
      <c r="AN470" s="3396"/>
      <c r="AO470" s="3396"/>
      <c r="AP470" s="3396"/>
      <c r="AQ470" s="3396"/>
      <c r="AR470" s="3396"/>
      <c r="AS470" s="3396"/>
      <c r="AT470" s="3396"/>
      <c r="AU470" s="3396"/>
      <c r="AV470" s="3396"/>
      <c r="AW470" s="3396"/>
      <c r="AX470" s="3396"/>
      <c r="AY470" s="3396"/>
      <c r="AZ470" s="3396"/>
      <c r="BA470" s="3396"/>
      <c r="BB470" s="3396"/>
      <c r="BC470" s="3396"/>
      <c r="BD470" s="3396"/>
      <c r="BE470" s="3396"/>
      <c r="BF470" s="3396"/>
      <c r="BG470" s="3396"/>
      <c r="BH470" s="3396"/>
      <c r="BI470" s="3396"/>
      <c r="BJ470" s="3396"/>
      <c r="BK470" s="3396"/>
      <c r="BL470" s="3396"/>
      <c r="BM470" s="3396"/>
      <c r="BN470" s="3396"/>
    </row>
    <row r="471" s="687" customFormat="1" ht="15" hidden="1" customHeight="1" spans="1:66">
      <c r="A471" s="3407" t="s">
        <v>5886</v>
      </c>
      <c r="B471" s="3408"/>
      <c r="C471" s="3409"/>
      <c r="D471" s="3409"/>
      <c r="E471" s="3408"/>
      <c r="F471" s="3410"/>
      <c r="G471" s="3430"/>
      <c r="H471" s="3411">
        <f t="shared" si="9"/>
        <v>0</v>
      </c>
      <c r="I471" s="3396"/>
      <c r="J471" s="3396"/>
      <c r="K471" s="3396"/>
      <c r="L471" s="3396"/>
      <c r="M471" s="3396"/>
      <c r="N471" s="3396"/>
      <c r="O471" s="3396"/>
      <c r="P471" s="3396"/>
      <c r="Q471" s="3396"/>
      <c r="R471" s="3396"/>
      <c r="S471" s="3396"/>
      <c r="T471" s="3396"/>
      <c r="U471" s="3396"/>
      <c r="V471" s="3396"/>
      <c r="W471" s="3396"/>
      <c r="X471" s="3396"/>
      <c r="Y471" s="3396"/>
      <c r="Z471" s="3396"/>
      <c r="AA471" s="3396"/>
      <c r="AB471" s="3396"/>
      <c r="AC471" s="3396"/>
      <c r="AD471" s="3396"/>
      <c r="AE471" s="3396"/>
      <c r="AF471" s="3396"/>
      <c r="AG471" s="3396"/>
      <c r="AH471" s="3396"/>
      <c r="AI471" s="3396"/>
      <c r="AJ471" s="3396"/>
      <c r="AK471" s="3396"/>
      <c r="AL471" s="3396"/>
      <c r="AM471" s="3396"/>
      <c r="AN471" s="3396"/>
      <c r="AO471" s="3396"/>
      <c r="AP471" s="3396"/>
      <c r="AQ471" s="3396"/>
      <c r="AR471" s="3396"/>
      <c r="AS471" s="3396"/>
      <c r="AT471" s="3396"/>
      <c r="AU471" s="3396"/>
      <c r="AV471" s="3396"/>
      <c r="AW471" s="3396"/>
      <c r="AX471" s="3396"/>
      <c r="AY471" s="3396"/>
      <c r="AZ471" s="3396"/>
      <c r="BA471" s="3396"/>
      <c r="BB471" s="3396"/>
      <c r="BC471" s="3396"/>
      <c r="BD471" s="3396"/>
      <c r="BE471" s="3396"/>
      <c r="BF471" s="3396"/>
      <c r="BG471" s="3396"/>
      <c r="BH471" s="3396"/>
      <c r="BI471" s="3396"/>
      <c r="BJ471" s="3396"/>
      <c r="BK471" s="3396"/>
      <c r="BL471" s="3396"/>
      <c r="BM471" s="3396"/>
      <c r="BN471" s="3396"/>
    </row>
    <row r="472" s="687" customFormat="1" ht="15" hidden="1" customHeight="1" spans="1:66">
      <c r="A472" s="3407" t="s">
        <v>5888</v>
      </c>
      <c r="B472" s="3408"/>
      <c r="C472" s="3409"/>
      <c r="D472" s="3409"/>
      <c r="E472" s="3408"/>
      <c r="F472" s="3410"/>
      <c r="G472" s="3430"/>
      <c r="H472" s="3411">
        <f t="shared" si="9"/>
        <v>0</v>
      </c>
      <c r="I472" s="3396"/>
      <c r="J472" s="3396"/>
      <c r="K472" s="3396"/>
      <c r="L472" s="3396"/>
      <c r="M472" s="3396"/>
      <c r="N472" s="3396"/>
      <c r="O472" s="3396"/>
      <c r="P472" s="3396"/>
      <c r="Q472" s="3396"/>
      <c r="R472" s="3396"/>
      <c r="S472" s="3396"/>
      <c r="T472" s="3396"/>
      <c r="U472" s="3396"/>
      <c r="V472" s="3396"/>
      <c r="W472" s="3396"/>
      <c r="X472" s="3396"/>
      <c r="Y472" s="3396"/>
      <c r="Z472" s="3396"/>
      <c r="AA472" s="3396"/>
      <c r="AB472" s="3396"/>
      <c r="AC472" s="3396"/>
      <c r="AD472" s="3396"/>
      <c r="AE472" s="3396"/>
      <c r="AF472" s="3396"/>
      <c r="AG472" s="3396"/>
      <c r="AH472" s="3396"/>
      <c r="AI472" s="3396"/>
      <c r="AJ472" s="3396"/>
      <c r="AK472" s="3396"/>
      <c r="AL472" s="3396"/>
      <c r="AM472" s="3396"/>
      <c r="AN472" s="3396"/>
      <c r="AO472" s="3396"/>
      <c r="AP472" s="3396"/>
      <c r="AQ472" s="3396"/>
      <c r="AR472" s="3396"/>
      <c r="AS472" s="3396"/>
      <c r="AT472" s="3396"/>
      <c r="AU472" s="3396"/>
      <c r="AV472" s="3396"/>
      <c r="AW472" s="3396"/>
      <c r="AX472" s="3396"/>
      <c r="AY472" s="3396"/>
      <c r="AZ472" s="3396"/>
      <c r="BA472" s="3396"/>
      <c r="BB472" s="3396"/>
      <c r="BC472" s="3396"/>
      <c r="BD472" s="3396"/>
      <c r="BE472" s="3396"/>
      <c r="BF472" s="3396"/>
      <c r="BG472" s="3396"/>
      <c r="BH472" s="3396"/>
      <c r="BI472" s="3396"/>
      <c r="BJ472" s="3396"/>
      <c r="BK472" s="3396"/>
      <c r="BL472" s="3396"/>
      <c r="BM472" s="3396"/>
      <c r="BN472" s="3396"/>
    </row>
    <row r="473" s="687" customFormat="1" ht="15" hidden="1" customHeight="1" spans="1:66">
      <c r="A473" s="3407" t="s">
        <v>5890</v>
      </c>
      <c r="B473" s="3408"/>
      <c r="C473" s="3409"/>
      <c r="D473" s="3409"/>
      <c r="E473" s="3408"/>
      <c r="F473" s="3410"/>
      <c r="G473" s="3430"/>
      <c r="H473" s="3411">
        <f t="shared" si="9"/>
        <v>0</v>
      </c>
      <c r="I473" s="3396"/>
      <c r="J473" s="3396"/>
      <c r="K473" s="3396"/>
      <c r="L473" s="3396"/>
      <c r="M473" s="3396"/>
      <c r="N473" s="3396"/>
      <c r="O473" s="3396"/>
      <c r="P473" s="3396"/>
      <c r="Q473" s="3396"/>
      <c r="R473" s="3396"/>
      <c r="S473" s="3396"/>
      <c r="T473" s="3396"/>
      <c r="U473" s="3396"/>
      <c r="V473" s="3396"/>
      <c r="W473" s="3396"/>
      <c r="X473" s="3396"/>
      <c r="Y473" s="3396"/>
      <c r="Z473" s="3396"/>
      <c r="AA473" s="3396"/>
      <c r="AB473" s="3396"/>
      <c r="AC473" s="3396"/>
      <c r="AD473" s="3396"/>
      <c r="AE473" s="3396"/>
      <c r="AF473" s="3396"/>
      <c r="AG473" s="3396"/>
      <c r="AH473" s="3396"/>
      <c r="AI473" s="3396"/>
      <c r="AJ473" s="3396"/>
      <c r="AK473" s="3396"/>
      <c r="AL473" s="3396"/>
      <c r="AM473" s="3396"/>
      <c r="AN473" s="3396"/>
      <c r="AO473" s="3396"/>
      <c r="AP473" s="3396"/>
      <c r="AQ473" s="3396"/>
      <c r="AR473" s="3396"/>
      <c r="AS473" s="3396"/>
      <c r="AT473" s="3396"/>
      <c r="AU473" s="3396"/>
      <c r="AV473" s="3396"/>
      <c r="AW473" s="3396"/>
      <c r="AX473" s="3396"/>
      <c r="AY473" s="3396"/>
      <c r="AZ473" s="3396"/>
      <c r="BA473" s="3396"/>
      <c r="BB473" s="3396"/>
      <c r="BC473" s="3396"/>
      <c r="BD473" s="3396"/>
      <c r="BE473" s="3396"/>
      <c r="BF473" s="3396"/>
      <c r="BG473" s="3396"/>
      <c r="BH473" s="3396"/>
      <c r="BI473" s="3396"/>
      <c r="BJ473" s="3396"/>
      <c r="BK473" s="3396"/>
      <c r="BL473" s="3396"/>
      <c r="BM473" s="3396"/>
      <c r="BN473" s="3396"/>
    </row>
    <row r="474" s="687" customFormat="1" ht="15" hidden="1" customHeight="1" spans="1:66">
      <c r="A474" s="3407" t="s">
        <v>5892</v>
      </c>
      <c r="B474" s="3408"/>
      <c r="C474" s="3409"/>
      <c r="D474" s="3409"/>
      <c r="E474" s="3408"/>
      <c r="F474" s="3410"/>
      <c r="G474" s="3430"/>
      <c r="H474" s="3411">
        <f t="shared" si="9"/>
        <v>0</v>
      </c>
      <c r="I474" s="3396"/>
      <c r="J474" s="3396"/>
      <c r="K474" s="3396"/>
      <c r="L474" s="3396"/>
      <c r="M474" s="3396"/>
      <c r="N474" s="3396"/>
      <c r="O474" s="3396"/>
      <c r="P474" s="3396"/>
      <c r="Q474" s="3396"/>
      <c r="R474" s="3396"/>
      <c r="S474" s="3396"/>
      <c r="T474" s="3396"/>
      <c r="U474" s="3396"/>
      <c r="V474" s="3396"/>
      <c r="W474" s="3396"/>
      <c r="X474" s="3396"/>
      <c r="Y474" s="3396"/>
      <c r="Z474" s="3396"/>
      <c r="AA474" s="3396"/>
      <c r="AB474" s="3396"/>
      <c r="AC474" s="3396"/>
      <c r="AD474" s="3396"/>
      <c r="AE474" s="3396"/>
      <c r="AF474" s="3396"/>
      <c r="AG474" s="3396"/>
      <c r="AH474" s="3396"/>
      <c r="AI474" s="3396"/>
      <c r="AJ474" s="3396"/>
      <c r="AK474" s="3396"/>
      <c r="AL474" s="3396"/>
      <c r="AM474" s="3396"/>
      <c r="AN474" s="3396"/>
      <c r="AO474" s="3396"/>
      <c r="AP474" s="3396"/>
      <c r="AQ474" s="3396"/>
      <c r="AR474" s="3396"/>
      <c r="AS474" s="3396"/>
      <c r="AT474" s="3396"/>
      <c r="AU474" s="3396"/>
      <c r="AV474" s="3396"/>
      <c r="AW474" s="3396"/>
      <c r="AX474" s="3396"/>
      <c r="AY474" s="3396"/>
      <c r="AZ474" s="3396"/>
      <c r="BA474" s="3396"/>
      <c r="BB474" s="3396"/>
      <c r="BC474" s="3396"/>
      <c r="BD474" s="3396"/>
      <c r="BE474" s="3396"/>
      <c r="BF474" s="3396"/>
      <c r="BG474" s="3396"/>
      <c r="BH474" s="3396"/>
      <c r="BI474" s="3396"/>
      <c r="BJ474" s="3396"/>
      <c r="BK474" s="3396"/>
      <c r="BL474" s="3396"/>
      <c r="BM474" s="3396"/>
      <c r="BN474" s="3396"/>
    </row>
    <row r="475" s="687" customFormat="1" ht="15" hidden="1" customHeight="1" spans="1:66">
      <c r="A475" s="3407" t="s">
        <v>5894</v>
      </c>
      <c r="B475" s="3408"/>
      <c r="C475" s="3409"/>
      <c r="D475" s="3409"/>
      <c r="E475" s="3408"/>
      <c r="F475" s="3410"/>
      <c r="G475" s="3430"/>
      <c r="H475" s="3411">
        <f t="shared" si="9"/>
        <v>0</v>
      </c>
      <c r="I475" s="3396"/>
      <c r="J475" s="3396"/>
      <c r="K475" s="3396"/>
      <c r="L475" s="3396"/>
      <c r="M475" s="3396"/>
      <c r="N475" s="3396"/>
      <c r="O475" s="3396"/>
      <c r="P475" s="3396"/>
      <c r="Q475" s="3396"/>
      <c r="R475" s="3396"/>
      <c r="S475" s="3396"/>
      <c r="T475" s="3396"/>
      <c r="U475" s="3396"/>
      <c r="V475" s="3396"/>
      <c r="W475" s="3396"/>
      <c r="X475" s="3396"/>
      <c r="Y475" s="3396"/>
      <c r="Z475" s="3396"/>
      <c r="AA475" s="3396"/>
      <c r="AB475" s="3396"/>
      <c r="AC475" s="3396"/>
      <c r="AD475" s="3396"/>
      <c r="AE475" s="3396"/>
      <c r="AF475" s="3396"/>
      <c r="AG475" s="3396"/>
      <c r="AH475" s="3396"/>
      <c r="AI475" s="3396"/>
      <c r="AJ475" s="3396"/>
      <c r="AK475" s="3396"/>
      <c r="AL475" s="3396"/>
      <c r="AM475" s="3396"/>
      <c r="AN475" s="3396"/>
      <c r="AO475" s="3396"/>
      <c r="AP475" s="3396"/>
      <c r="AQ475" s="3396"/>
      <c r="AR475" s="3396"/>
      <c r="AS475" s="3396"/>
      <c r="AT475" s="3396"/>
      <c r="AU475" s="3396"/>
      <c r="AV475" s="3396"/>
      <c r="AW475" s="3396"/>
      <c r="AX475" s="3396"/>
      <c r="AY475" s="3396"/>
      <c r="AZ475" s="3396"/>
      <c r="BA475" s="3396"/>
      <c r="BB475" s="3396"/>
      <c r="BC475" s="3396"/>
      <c r="BD475" s="3396"/>
      <c r="BE475" s="3396"/>
      <c r="BF475" s="3396"/>
      <c r="BG475" s="3396"/>
      <c r="BH475" s="3396"/>
      <c r="BI475" s="3396"/>
      <c r="BJ475" s="3396"/>
      <c r="BK475" s="3396"/>
      <c r="BL475" s="3396"/>
      <c r="BM475" s="3396"/>
      <c r="BN475" s="3396"/>
    </row>
    <row r="476" s="687" customFormat="1" ht="15" hidden="1" customHeight="1" spans="1:66">
      <c r="A476" s="3407" t="s">
        <v>5896</v>
      </c>
      <c r="B476" s="3408"/>
      <c r="C476" s="3409"/>
      <c r="D476" s="3409"/>
      <c r="E476" s="3408"/>
      <c r="F476" s="3410"/>
      <c r="G476" s="3430"/>
      <c r="H476" s="3411">
        <f t="shared" si="9"/>
        <v>0</v>
      </c>
      <c r="I476" s="3396"/>
      <c r="J476" s="3396"/>
      <c r="K476" s="3396"/>
      <c r="L476" s="3396"/>
      <c r="M476" s="3396"/>
      <c r="N476" s="3396"/>
      <c r="O476" s="3396"/>
      <c r="P476" s="3396"/>
      <c r="Q476" s="3396"/>
      <c r="R476" s="3396"/>
      <c r="S476" s="3396"/>
      <c r="T476" s="3396"/>
      <c r="U476" s="3396"/>
      <c r="V476" s="3396"/>
      <c r="W476" s="3396"/>
      <c r="X476" s="3396"/>
      <c r="Y476" s="3396"/>
      <c r="Z476" s="3396"/>
      <c r="AA476" s="3396"/>
      <c r="AB476" s="3396"/>
      <c r="AC476" s="3396"/>
      <c r="AD476" s="3396"/>
      <c r="AE476" s="3396"/>
      <c r="AF476" s="3396"/>
      <c r="AG476" s="3396"/>
      <c r="AH476" s="3396"/>
      <c r="AI476" s="3396"/>
      <c r="AJ476" s="3396"/>
      <c r="AK476" s="3396"/>
      <c r="AL476" s="3396"/>
      <c r="AM476" s="3396"/>
      <c r="AN476" s="3396"/>
      <c r="AO476" s="3396"/>
      <c r="AP476" s="3396"/>
      <c r="AQ476" s="3396"/>
      <c r="AR476" s="3396"/>
      <c r="AS476" s="3396"/>
      <c r="AT476" s="3396"/>
      <c r="AU476" s="3396"/>
      <c r="AV476" s="3396"/>
      <c r="AW476" s="3396"/>
      <c r="AX476" s="3396"/>
      <c r="AY476" s="3396"/>
      <c r="AZ476" s="3396"/>
      <c r="BA476" s="3396"/>
      <c r="BB476" s="3396"/>
      <c r="BC476" s="3396"/>
      <c r="BD476" s="3396"/>
      <c r="BE476" s="3396"/>
      <c r="BF476" s="3396"/>
      <c r="BG476" s="3396"/>
      <c r="BH476" s="3396"/>
      <c r="BI476" s="3396"/>
      <c r="BJ476" s="3396"/>
      <c r="BK476" s="3396"/>
      <c r="BL476" s="3396"/>
      <c r="BM476" s="3396"/>
      <c r="BN476" s="3396"/>
    </row>
    <row r="477" s="687" customFormat="1" ht="15" hidden="1" customHeight="1" spans="1:66">
      <c r="A477" s="3407" t="s">
        <v>5898</v>
      </c>
      <c r="B477" s="3408"/>
      <c r="C477" s="3409"/>
      <c r="D477" s="3409"/>
      <c r="E477" s="3408"/>
      <c r="F477" s="3410"/>
      <c r="G477" s="3430"/>
      <c r="H477" s="3411">
        <f t="shared" si="9"/>
        <v>0</v>
      </c>
      <c r="I477" s="3396"/>
      <c r="J477" s="3396"/>
      <c r="K477" s="3396"/>
      <c r="L477" s="3396"/>
      <c r="M477" s="3396"/>
      <c r="N477" s="3396"/>
      <c r="O477" s="3396"/>
      <c r="P477" s="3396"/>
      <c r="Q477" s="3396"/>
      <c r="R477" s="3396"/>
      <c r="S477" s="3396"/>
      <c r="T477" s="3396"/>
      <c r="U477" s="3396"/>
      <c r="V477" s="3396"/>
      <c r="W477" s="3396"/>
      <c r="X477" s="3396"/>
      <c r="Y477" s="3396"/>
      <c r="Z477" s="3396"/>
      <c r="AA477" s="3396"/>
      <c r="AB477" s="3396"/>
      <c r="AC477" s="3396"/>
      <c r="AD477" s="3396"/>
      <c r="AE477" s="3396"/>
      <c r="AF477" s="3396"/>
      <c r="AG477" s="3396"/>
      <c r="AH477" s="3396"/>
      <c r="AI477" s="3396"/>
      <c r="AJ477" s="3396"/>
      <c r="AK477" s="3396"/>
      <c r="AL477" s="3396"/>
      <c r="AM477" s="3396"/>
      <c r="AN477" s="3396"/>
      <c r="AO477" s="3396"/>
      <c r="AP477" s="3396"/>
      <c r="AQ477" s="3396"/>
      <c r="AR477" s="3396"/>
      <c r="AS477" s="3396"/>
      <c r="AT477" s="3396"/>
      <c r="AU477" s="3396"/>
      <c r="AV477" s="3396"/>
      <c r="AW477" s="3396"/>
      <c r="AX477" s="3396"/>
      <c r="AY477" s="3396"/>
      <c r="AZ477" s="3396"/>
      <c r="BA477" s="3396"/>
      <c r="BB477" s="3396"/>
      <c r="BC477" s="3396"/>
      <c r="BD477" s="3396"/>
      <c r="BE477" s="3396"/>
      <c r="BF477" s="3396"/>
      <c r="BG477" s="3396"/>
      <c r="BH477" s="3396"/>
      <c r="BI477" s="3396"/>
      <c r="BJ477" s="3396"/>
      <c r="BK477" s="3396"/>
      <c r="BL477" s="3396"/>
      <c r="BM477" s="3396"/>
      <c r="BN477" s="3396"/>
    </row>
    <row r="478" s="687" customFormat="1" ht="15" hidden="1" customHeight="1" spans="1:66">
      <c r="A478" s="3407" t="s">
        <v>5900</v>
      </c>
      <c r="B478" s="3408"/>
      <c r="C478" s="3409"/>
      <c r="D478" s="3409"/>
      <c r="E478" s="3408"/>
      <c r="F478" s="3410"/>
      <c r="G478" s="3430"/>
      <c r="H478" s="3411">
        <f t="shared" si="9"/>
        <v>0</v>
      </c>
      <c r="I478" s="3396"/>
      <c r="J478" s="3396"/>
      <c r="K478" s="3396"/>
      <c r="L478" s="3396"/>
      <c r="M478" s="3396"/>
      <c r="N478" s="3396"/>
      <c r="O478" s="3396"/>
      <c r="P478" s="3396"/>
      <c r="Q478" s="3396"/>
      <c r="R478" s="3396"/>
      <c r="S478" s="3396"/>
      <c r="T478" s="3396"/>
      <c r="U478" s="3396"/>
      <c r="V478" s="3396"/>
      <c r="W478" s="3396"/>
      <c r="X478" s="3396"/>
      <c r="Y478" s="3396"/>
      <c r="Z478" s="3396"/>
      <c r="AA478" s="3396"/>
      <c r="AB478" s="3396"/>
      <c r="AC478" s="3396"/>
      <c r="AD478" s="3396"/>
      <c r="AE478" s="3396"/>
      <c r="AF478" s="3396"/>
      <c r="AG478" s="3396"/>
      <c r="AH478" s="3396"/>
      <c r="AI478" s="3396"/>
      <c r="AJ478" s="3396"/>
      <c r="AK478" s="3396"/>
      <c r="AL478" s="3396"/>
      <c r="AM478" s="3396"/>
      <c r="AN478" s="3396"/>
      <c r="AO478" s="3396"/>
      <c r="AP478" s="3396"/>
      <c r="AQ478" s="3396"/>
      <c r="AR478" s="3396"/>
      <c r="AS478" s="3396"/>
      <c r="AT478" s="3396"/>
      <c r="AU478" s="3396"/>
      <c r="AV478" s="3396"/>
      <c r="AW478" s="3396"/>
      <c r="AX478" s="3396"/>
      <c r="AY478" s="3396"/>
      <c r="AZ478" s="3396"/>
      <c r="BA478" s="3396"/>
      <c r="BB478" s="3396"/>
      <c r="BC478" s="3396"/>
      <c r="BD478" s="3396"/>
      <c r="BE478" s="3396"/>
      <c r="BF478" s="3396"/>
      <c r="BG478" s="3396"/>
      <c r="BH478" s="3396"/>
      <c r="BI478" s="3396"/>
      <c r="BJ478" s="3396"/>
      <c r="BK478" s="3396"/>
      <c r="BL478" s="3396"/>
      <c r="BM478" s="3396"/>
      <c r="BN478" s="3396"/>
    </row>
    <row r="479" s="687" customFormat="1" ht="15" hidden="1" customHeight="1" spans="1:66">
      <c r="A479" s="3407" t="s">
        <v>5902</v>
      </c>
      <c r="B479" s="3408"/>
      <c r="C479" s="3409"/>
      <c r="D479" s="3409"/>
      <c r="E479" s="3408"/>
      <c r="F479" s="3410"/>
      <c r="G479" s="3430"/>
      <c r="H479" s="3411">
        <f t="shared" si="9"/>
        <v>0</v>
      </c>
      <c r="I479" s="3396"/>
      <c r="J479" s="3396"/>
      <c r="K479" s="3396"/>
      <c r="L479" s="3396"/>
      <c r="M479" s="3396"/>
      <c r="N479" s="3396"/>
      <c r="O479" s="3396"/>
      <c r="P479" s="3396"/>
      <c r="Q479" s="3396"/>
      <c r="R479" s="3396"/>
      <c r="S479" s="3396"/>
      <c r="T479" s="3396"/>
      <c r="U479" s="3396"/>
      <c r="V479" s="3396"/>
      <c r="W479" s="3396"/>
      <c r="X479" s="3396"/>
      <c r="Y479" s="3396"/>
      <c r="Z479" s="3396"/>
      <c r="AA479" s="3396"/>
      <c r="AB479" s="3396"/>
      <c r="AC479" s="3396"/>
      <c r="AD479" s="3396"/>
      <c r="AE479" s="3396"/>
      <c r="AF479" s="3396"/>
      <c r="AG479" s="3396"/>
      <c r="AH479" s="3396"/>
      <c r="AI479" s="3396"/>
      <c r="AJ479" s="3396"/>
      <c r="AK479" s="3396"/>
      <c r="AL479" s="3396"/>
      <c r="AM479" s="3396"/>
      <c r="AN479" s="3396"/>
      <c r="AO479" s="3396"/>
      <c r="AP479" s="3396"/>
      <c r="AQ479" s="3396"/>
      <c r="AR479" s="3396"/>
      <c r="AS479" s="3396"/>
      <c r="AT479" s="3396"/>
      <c r="AU479" s="3396"/>
      <c r="AV479" s="3396"/>
      <c r="AW479" s="3396"/>
      <c r="AX479" s="3396"/>
      <c r="AY479" s="3396"/>
      <c r="AZ479" s="3396"/>
      <c r="BA479" s="3396"/>
      <c r="BB479" s="3396"/>
      <c r="BC479" s="3396"/>
      <c r="BD479" s="3396"/>
      <c r="BE479" s="3396"/>
      <c r="BF479" s="3396"/>
      <c r="BG479" s="3396"/>
      <c r="BH479" s="3396"/>
      <c r="BI479" s="3396"/>
      <c r="BJ479" s="3396"/>
      <c r="BK479" s="3396"/>
      <c r="BL479" s="3396"/>
      <c r="BM479" s="3396"/>
      <c r="BN479" s="3396"/>
    </row>
    <row r="480" s="687" customFormat="1" ht="15" hidden="1" customHeight="1" spans="1:66">
      <c r="A480" s="3407" t="s">
        <v>5904</v>
      </c>
      <c r="B480" s="3408"/>
      <c r="C480" s="3409"/>
      <c r="D480" s="3409"/>
      <c r="E480" s="3408"/>
      <c r="F480" s="3410"/>
      <c r="G480" s="3430"/>
      <c r="H480" s="3411">
        <f t="shared" si="9"/>
        <v>0</v>
      </c>
      <c r="I480" s="3396"/>
      <c r="J480" s="3396"/>
      <c r="K480" s="3396"/>
      <c r="L480" s="3396"/>
      <c r="M480" s="3396"/>
      <c r="N480" s="3396"/>
      <c r="O480" s="3396"/>
      <c r="P480" s="3396"/>
      <c r="Q480" s="3396"/>
      <c r="R480" s="3396"/>
      <c r="S480" s="3396"/>
      <c r="T480" s="3396"/>
      <c r="U480" s="3396"/>
      <c r="V480" s="3396"/>
      <c r="W480" s="3396"/>
      <c r="X480" s="3396"/>
      <c r="Y480" s="3396"/>
      <c r="Z480" s="3396"/>
      <c r="AA480" s="3396"/>
      <c r="AB480" s="3396"/>
      <c r="AC480" s="3396"/>
      <c r="AD480" s="3396"/>
      <c r="AE480" s="3396"/>
      <c r="AF480" s="3396"/>
      <c r="AG480" s="3396"/>
      <c r="AH480" s="3396"/>
      <c r="AI480" s="3396"/>
      <c r="AJ480" s="3396"/>
      <c r="AK480" s="3396"/>
      <c r="AL480" s="3396"/>
      <c r="AM480" s="3396"/>
      <c r="AN480" s="3396"/>
      <c r="AO480" s="3396"/>
      <c r="AP480" s="3396"/>
      <c r="AQ480" s="3396"/>
      <c r="AR480" s="3396"/>
      <c r="AS480" s="3396"/>
      <c r="AT480" s="3396"/>
      <c r="AU480" s="3396"/>
      <c r="AV480" s="3396"/>
      <c r="AW480" s="3396"/>
      <c r="AX480" s="3396"/>
      <c r="AY480" s="3396"/>
      <c r="AZ480" s="3396"/>
      <c r="BA480" s="3396"/>
      <c r="BB480" s="3396"/>
      <c r="BC480" s="3396"/>
      <c r="BD480" s="3396"/>
      <c r="BE480" s="3396"/>
      <c r="BF480" s="3396"/>
      <c r="BG480" s="3396"/>
      <c r="BH480" s="3396"/>
      <c r="BI480" s="3396"/>
      <c r="BJ480" s="3396"/>
      <c r="BK480" s="3396"/>
      <c r="BL480" s="3396"/>
      <c r="BM480" s="3396"/>
      <c r="BN480" s="3396"/>
    </row>
    <row r="481" s="687" customFormat="1" ht="15" hidden="1" customHeight="1" spans="1:66">
      <c r="A481" s="3407" t="s">
        <v>5908</v>
      </c>
      <c r="B481" s="3408"/>
      <c r="C481" s="3409"/>
      <c r="D481" s="3409"/>
      <c r="E481" s="3408"/>
      <c r="F481" s="3410"/>
      <c r="G481" s="3430"/>
      <c r="H481" s="3411">
        <f t="shared" si="9"/>
        <v>0</v>
      </c>
      <c r="I481" s="3396"/>
      <c r="J481" s="3396"/>
      <c r="K481" s="3396"/>
      <c r="L481" s="3396"/>
      <c r="M481" s="3396"/>
      <c r="N481" s="3396"/>
      <c r="O481" s="3396"/>
      <c r="P481" s="3396"/>
      <c r="Q481" s="3396"/>
      <c r="R481" s="3396"/>
      <c r="S481" s="3396"/>
      <c r="T481" s="3396"/>
      <c r="U481" s="3396"/>
      <c r="V481" s="3396"/>
      <c r="W481" s="3396"/>
      <c r="X481" s="3396"/>
      <c r="Y481" s="3396"/>
      <c r="Z481" s="3396"/>
      <c r="AA481" s="3396"/>
      <c r="AB481" s="3396"/>
      <c r="AC481" s="3396"/>
      <c r="AD481" s="3396"/>
      <c r="AE481" s="3396"/>
      <c r="AF481" s="3396"/>
      <c r="AG481" s="3396"/>
      <c r="AH481" s="3396"/>
      <c r="AI481" s="3396"/>
      <c r="AJ481" s="3396"/>
      <c r="AK481" s="3396"/>
      <c r="AL481" s="3396"/>
      <c r="AM481" s="3396"/>
      <c r="AN481" s="3396"/>
      <c r="AO481" s="3396"/>
      <c r="AP481" s="3396"/>
      <c r="AQ481" s="3396"/>
      <c r="AR481" s="3396"/>
      <c r="AS481" s="3396"/>
      <c r="AT481" s="3396"/>
      <c r="AU481" s="3396"/>
      <c r="AV481" s="3396"/>
      <c r="AW481" s="3396"/>
      <c r="AX481" s="3396"/>
      <c r="AY481" s="3396"/>
      <c r="AZ481" s="3396"/>
      <c r="BA481" s="3396"/>
      <c r="BB481" s="3396"/>
      <c r="BC481" s="3396"/>
      <c r="BD481" s="3396"/>
      <c r="BE481" s="3396"/>
      <c r="BF481" s="3396"/>
      <c r="BG481" s="3396"/>
      <c r="BH481" s="3396"/>
      <c r="BI481" s="3396"/>
      <c r="BJ481" s="3396"/>
      <c r="BK481" s="3396"/>
      <c r="BL481" s="3396"/>
      <c r="BM481" s="3396"/>
      <c r="BN481" s="3396"/>
    </row>
    <row r="482" s="687" customFormat="1" ht="15" hidden="1" customHeight="1" spans="1:66">
      <c r="A482" s="3407" t="s">
        <v>5910</v>
      </c>
      <c r="B482" s="3408"/>
      <c r="C482" s="3409"/>
      <c r="D482" s="3409"/>
      <c r="E482" s="3408"/>
      <c r="F482" s="3410"/>
      <c r="G482" s="3430"/>
      <c r="H482" s="3411">
        <f t="shared" si="9"/>
        <v>0</v>
      </c>
      <c r="I482" s="3396"/>
      <c r="J482" s="3396"/>
      <c r="K482" s="3396"/>
      <c r="L482" s="3396"/>
      <c r="M482" s="3396"/>
      <c r="N482" s="3396"/>
      <c r="O482" s="3396"/>
      <c r="P482" s="3396"/>
      <c r="Q482" s="3396"/>
      <c r="R482" s="3396"/>
      <c r="S482" s="3396"/>
      <c r="T482" s="3396"/>
      <c r="U482" s="3396"/>
      <c r="V482" s="3396"/>
      <c r="W482" s="3396"/>
      <c r="X482" s="3396"/>
      <c r="Y482" s="3396"/>
      <c r="Z482" s="3396"/>
      <c r="AA482" s="3396"/>
      <c r="AB482" s="3396"/>
      <c r="AC482" s="3396"/>
      <c r="AD482" s="3396"/>
      <c r="AE482" s="3396"/>
      <c r="AF482" s="3396"/>
      <c r="AG482" s="3396"/>
      <c r="AH482" s="3396"/>
      <c r="AI482" s="3396"/>
      <c r="AJ482" s="3396"/>
      <c r="AK482" s="3396"/>
      <c r="AL482" s="3396"/>
      <c r="AM482" s="3396"/>
      <c r="AN482" s="3396"/>
      <c r="AO482" s="3396"/>
      <c r="AP482" s="3396"/>
      <c r="AQ482" s="3396"/>
      <c r="AR482" s="3396"/>
      <c r="AS482" s="3396"/>
      <c r="AT482" s="3396"/>
      <c r="AU482" s="3396"/>
      <c r="AV482" s="3396"/>
      <c r="AW482" s="3396"/>
      <c r="AX482" s="3396"/>
      <c r="AY482" s="3396"/>
      <c r="AZ482" s="3396"/>
      <c r="BA482" s="3396"/>
      <c r="BB482" s="3396"/>
      <c r="BC482" s="3396"/>
      <c r="BD482" s="3396"/>
      <c r="BE482" s="3396"/>
      <c r="BF482" s="3396"/>
      <c r="BG482" s="3396"/>
      <c r="BH482" s="3396"/>
      <c r="BI482" s="3396"/>
      <c r="BJ482" s="3396"/>
      <c r="BK482" s="3396"/>
      <c r="BL482" s="3396"/>
      <c r="BM482" s="3396"/>
      <c r="BN482" s="3396"/>
    </row>
    <row r="483" s="687" customFormat="1" ht="15" hidden="1" customHeight="1" spans="1:66">
      <c r="A483" s="3407" t="s">
        <v>5914</v>
      </c>
      <c r="B483" s="3408"/>
      <c r="C483" s="3409"/>
      <c r="D483" s="3409"/>
      <c r="E483" s="3408"/>
      <c r="F483" s="3410"/>
      <c r="G483" s="3430"/>
      <c r="H483" s="3411">
        <f t="shared" ref="H483:H546" si="10">F483+G483</f>
        <v>0</v>
      </c>
      <c r="I483" s="3396"/>
      <c r="J483" s="3396"/>
      <c r="K483" s="3396"/>
      <c r="L483" s="3396"/>
      <c r="M483" s="3396"/>
      <c r="N483" s="3396"/>
      <c r="O483" s="3396"/>
      <c r="P483" s="3396"/>
      <c r="Q483" s="3396"/>
      <c r="R483" s="3396"/>
      <c r="S483" s="3396"/>
      <c r="T483" s="3396"/>
      <c r="U483" s="3396"/>
      <c r="V483" s="3396"/>
      <c r="W483" s="3396"/>
      <c r="X483" s="3396"/>
      <c r="Y483" s="3396"/>
      <c r="Z483" s="3396"/>
      <c r="AA483" s="3396"/>
      <c r="AB483" s="3396"/>
      <c r="AC483" s="3396"/>
      <c r="AD483" s="3396"/>
      <c r="AE483" s="3396"/>
      <c r="AF483" s="3396"/>
      <c r="AG483" s="3396"/>
      <c r="AH483" s="3396"/>
      <c r="AI483" s="3396"/>
      <c r="AJ483" s="3396"/>
      <c r="AK483" s="3396"/>
      <c r="AL483" s="3396"/>
      <c r="AM483" s="3396"/>
      <c r="AN483" s="3396"/>
      <c r="AO483" s="3396"/>
      <c r="AP483" s="3396"/>
      <c r="AQ483" s="3396"/>
      <c r="AR483" s="3396"/>
      <c r="AS483" s="3396"/>
      <c r="AT483" s="3396"/>
      <c r="AU483" s="3396"/>
      <c r="AV483" s="3396"/>
      <c r="AW483" s="3396"/>
      <c r="AX483" s="3396"/>
      <c r="AY483" s="3396"/>
      <c r="AZ483" s="3396"/>
      <c r="BA483" s="3396"/>
      <c r="BB483" s="3396"/>
      <c r="BC483" s="3396"/>
      <c r="BD483" s="3396"/>
      <c r="BE483" s="3396"/>
      <c r="BF483" s="3396"/>
      <c r="BG483" s="3396"/>
      <c r="BH483" s="3396"/>
      <c r="BI483" s="3396"/>
      <c r="BJ483" s="3396"/>
      <c r="BK483" s="3396"/>
      <c r="BL483" s="3396"/>
      <c r="BM483" s="3396"/>
      <c r="BN483" s="3396"/>
    </row>
    <row r="484" s="687" customFormat="1" ht="15" hidden="1" customHeight="1" spans="1:66">
      <c r="A484" s="3407" t="s">
        <v>5916</v>
      </c>
      <c r="B484" s="3408"/>
      <c r="C484" s="3409"/>
      <c r="D484" s="3409"/>
      <c r="E484" s="3408"/>
      <c r="F484" s="3410"/>
      <c r="G484" s="3430"/>
      <c r="H484" s="3411">
        <f t="shared" si="10"/>
        <v>0</v>
      </c>
      <c r="I484" s="3396"/>
      <c r="J484" s="3396"/>
      <c r="K484" s="3396"/>
      <c r="L484" s="3396"/>
      <c r="M484" s="3396"/>
      <c r="N484" s="3396"/>
      <c r="O484" s="3396"/>
      <c r="P484" s="3396"/>
      <c r="Q484" s="3396"/>
      <c r="R484" s="3396"/>
      <c r="S484" s="3396"/>
      <c r="T484" s="3396"/>
      <c r="U484" s="3396"/>
      <c r="V484" s="3396"/>
      <c r="W484" s="3396"/>
      <c r="X484" s="3396"/>
      <c r="Y484" s="3396"/>
      <c r="Z484" s="3396"/>
      <c r="AA484" s="3396"/>
      <c r="AB484" s="3396"/>
      <c r="AC484" s="3396"/>
      <c r="AD484" s="3396"/>
      <c r="AE484" s="3396"/>
      <c r="AF484" s="3396"/>
      <c r="AG484" s="3396"/>
      <c r="AH484" s="3396"/>
      <c r="AI484" s="3396"/>
      <c r="AJ484" s="3396"/>
      <c r="AK484" s="3396"/>
      <c r="AL484" s="3396"/>
      <c r="AM484" s="3396"/>
      <c r="AN484" s="3396"/>
      <c r="AO484" s="3396"/>
      <c r="AP484" s="3396"/>
      <c r="AQ484" s="3396"/>
      <c r="AR484" s="3396"/>
      <c r="AS484" s="3396"/>
      <c r="AT484" s="3396"/>
      <c r="AU484" s="3396"/>
      <c r="AV484" s="3396"/>
      <c r="AW484" s="3396"/>
      <c r="AX484" s="3396"/>
      <c r="AY484" s="3396"/>
      <c r="AZ484" s="3396"/>
      <c r="BA484" s="3396"/>
      <c r="BB484" s="3396"/>
      <c r="BC484" s="3396"/>
      <c r="BD484" s="3396"/>
      <c r="BE484" s="3396"/>
      <c r="BF484" s="3396"/>
      <c r="BG484" s="3396"/>
      <c r="BH484" s="3396"/>
      <c r="BI484" s="3396"/>
      <c r="BJ484" s="3396"/>
      <c r="BK484" s="3396"/>
      <c r="BL484" s="3396"/>
      <c r="BM484" s="3396"/>
      <c r="BN484" s="3396"/>
    </row>
    <row r="485" s="687" customFormat="1" ht="15" hidden="1" customHeight="1" spans="1:66">
      <c r="A485" s="3407" t="s">
        <v>5918</v>
      </c>
      <c r="B485" s="3408"/>
      <c r="C485" s="3409"/>
      <c r="D485" s="3409"/>
      <c r="E485" s="3408"/>
      <c r="F485" s="3410"/>
      <c r="G485" s="3430"/>
      <c r="H485" s="3411">
        <f t="shared" si="10"/>
        <v>0</v>
      </c>
      <c r="I485" s="3396"/>
      <c r="J485" s="3396"/>
      <c r="K485" s="3396"/>
      <c r="L485" s="3396"/>
      <c r="M485" s="3396"/>
      <c r="N485" s="3396"/>
      <c r="O485" s="3396"/>
      <c r="P485" s="3396"/>
      <c r="Q485" s="3396"/>
      <c r="R485" s="3396"/>
      <c r="S485" s="3396"/>
      <c r="T485" s="3396"/>
      <c r="U485" s="3396"/>
      <c r="V485" s="3396"/>
      <c r="W485" s="3396"/>
      <c r="X485" s="3396"/>
      <c r="Y485" s="3396"/>
      <c r="Z485" s="3396"/>
      <c r="AA485" s="3396"/>
      <c r="AB485" s="3396"/>
      <c r="AC485" s="3396"/>
      <c r="AD485" s="3396"/>
      <c r="AE485" s="3396"/>
      <c r="AF485" s="3396"/>
      <c r="AG485" s="3396"/>
      <c r="AH485" s="3396"/>
      <c r="AI485" s="3396"/>
      <c r="AJ485" s="3396"/>
      <c r="AK485" s="3396"/>
      <c r="AL485" s="3396"/>
      <c r="AM485" s="3396"/>
      <c r="AN485" s="3396"/>
      <c r="AO485" s="3396"/>
      <c r="AP485" s="3396"/>
      <c r="AQ485" s="3396"/>
      <c r="AR485" s="3396"/>
      <c r="AS485" s="3396"/>
      <c r="AT485" s="3396"/>
      <c r="AU485" s="3396"/>
      <c r="AV485" s="3396"/>
      <c r="AW485" s="3396"/>
      <c r="AX485" s="3396"/>
      <c r="AY485" s="3396"/>
      <c r="AZ485" s="3396"/>
      <c r="BA485" s="3396"/>
      <c r="BB485" s="3396"/>
      <c r="BC485" s="3396"/>
      <c r="BD485" s="3396"/>
      <c r="BE485" s="3396"/>
      <c r="BF485" s="3396"/>
      <c r="BG485" s="3396"/>
      <c r="BH485" s="3396"/>
      <c r="BI485" s="3396"/>
      <c r="BJ485" s="3396"/>
      <c r="BK485" s="3396"/>
      <c r="BL485" s="3396"/>
      <c r="BM485" s="3396"/>
      <c r="BN485" s="3396"/>
    </row>
    <row r="486" s="687" customFormat="1" ht="15" hidden="1" customHeight="1" spans="1:66">
      <c r="A486" s="3407" t="s">
        <v>5923</v>
      </c>
      <c r="B486" s="3408"/>
      <c r="C486" s="3409"/>
      <c r="D486" s="3409"/>
      <c r="E486" s="3408"/>
      <c r="F486" s="3410"/>
      <c r="G486" s="3430"/>
      <c r="H486" s="3411">
        <f t="shared" si="10"/>
        <v>0</v>
      </c>
      <c r="I486" s="3396"/>
      <c r="J486" s="3396"/>
      <c r="K486" s="3396"/>
      <c r="L486" s="3396"/>
      <c r="M486" s="3396"/>
      <c r="N486" s="3396"/>
      <c r="O486" s="3396"/>
      <c r="P486" s="3396"/>
      <c r="Q486" s="3396"/>
      <c r="R486" s="3396"/>
      <c r="S486" s="3396"/>
      <c r="T486" s="3396"/>
      <c r="U486" s="3396"/>
      <c r="V486" s="3396"/>
      <c r="W486" s="3396"/>
      <c r="X486" s="3396"/>
      <c r="Y486" s="3396"/>
      <c r="Z486" s="3396"/>
      <c r="AA486" s="3396"/>
      <c r="AB486" s="3396"/>
      <c r="AC486" s="3396"/>
      <c r="AD486" s="3396"/>
      <c r="AE486" s="3396"/>
      <c r="AF486" s="3396"/>
      <c r="AG486" s="3396"/>
      <c r="AH486" s="3396"/>
      <c r="AI486" s="3396"/>
      <c r="AJ486" s="3396"/>
      <c r="AK486" s="3396"/>
      <c r="AL486" s="3396"/>
      <c r="AM486" s="3396"/>
      <c r="AN486" s="3396"/>
      <c r="AO486" s="3396"/>
      <c r="AP486" s="3396"/>
      <c r="AQ486" s="3396"/>
      <c r="AR486" s="3396"/>
      <c r="AS486" s="3396"/>
      <c r="AT486" s="3396"/>
      <c r="AU486" s="3396"/>
      <c r="AV486" s="3396"/>
      <c r="AW486" s="3396"/>
      <c r="AX486" s="3396"/>
      <c r="AY486" s="3396"/>
      <c r="AZ486" s="3396"/>
      <c r="BA486" s="3396"/>
      <c r="BB486" s="3396"/>
      <c r="BC486" s="3396"/>
      <c r="BD486" s="3396"/>
      <c r="BE486" s="3396"/>
      <c r="BF486" s="3396"/>
      <c r="BG486" s="3396"/>
      <c r="BH486" s="3396"/>
      <c r="BI486" s="3396"/>
      <c r="BJ486" s="3396"/>
      <c r="BK486" s="3396"/>
      <c r="BL486" s="3396"/>
      <c r="BM486" s="3396"/>
      <c r="BN486" s="3396"/>
    </row>
    <row r="487" s="687" customFormat="1" ht="15" hidden="1" customHeight="1" spans="1:66">
      <c r="A487" s="3407" t="s">
        <v>5925</v>
      </c>
      <c r="B487" s="3408"/>
      <c r="C487" s="3409"/>
      <c r="D487" s="3409"/>
      <c r="E487" s="3408"/>
      <c r="F487" s="3410"/>
      <c r="G487" s="3430"/>
      <c r="H487" s="3411">
        <f t="shared" si="10"/>
        <v>0</v>
      </c>
      <c r="I487" s="3396"/>
      <c r="J487" s="3396"/>
      <c r="K487" s="3396"/>
      <c r="L487" s="3396"/>
      <c r="M487" s="3396"/>
      <c r="N487" s="3396"/>
      <c r="O487" s="3396"/>
      <c r="P487" s="3396"/>
      <c r="Q487" s="3396"/>
      <c r="R487" s="3396"/>
      <c r="S487" s="3396"/>
      <c r="T487" s="3396"/>
      <c r="U487" s="3396"/>
      <c r="V487" s="3396"/>
      <c r="W487" s="3396"/>
      <c r="X487" s="3396"/>
      <c r="Y487" s="3396"/>
      <c r="Z487" s="3396"/>
      <c r="AA487" s="3396"/>
      <c r="AB487" s="3396"/>
      <c r="AC487" s="3396"/>
      <c r="AD487" s="3396"/>
      <c r="AE487" s="3396"/>
      <c r="AF487" s="3396"/>
      <c r="AG487" s="3396"/>
      <c r="AH487" s="3396"/>
      <c r="AI487" s="3396"/>
      <c r="AJ487" s="3396"/>
      <c r="AK487" s="3396"/>
      <c r="AL487" s="3396"/>
      <c r="AM487" s="3396"/>
      <c r="AN487" s="3396"/>
      <c r="AO487" s="3396"/>
      <c r="AP487" s="3396"/>
      <c r="AQ487" s="3396"/>
      <c r="AR487" s="3396"/>
      <c r="AS487" s="3396"/>
      <c r="AT487" s="3396"/>
      <c r="AU487" s="3396"/>
      <c r="AV487" s="3396"/>
      <c r="AW487" s="3396"/>
      <c r="AX487" s="3396"/>
      <c r="AY487" s="3396"/>
      <c r="AZ487" s="3396"/>
      <c r="BA487" s="3396"/>
      <c r="BB487" s="3396"/>
      <c r="BC487" s="3396"/>
      <c r="BD487" s="3396"/>
      <c r="BE487" s="3396"/>
      <c r="BF487" s="3396"/>
      <c r="BG487" s="3396"/>
      <c r="BH487" s="3396"/>
      <c r="BI487" s="3396"/>
      <c r="BJ487" s="3396"/>
      <c r="BK487" s="3396"/>
      <c r="BL487" s="3396"/>
      <c r="BM487" s="3396"/>
      <c r="BN487" s="3396"/>
    </row>
    <row r="488" s="687" customFormat="1" ht="15" hidden="1" customHeight="1" spans="1:66">
      <c r="A488" s="3407" t="s">
        <v>5929</v>
      </c>
      <c r="B488" s="3408"/>
      <c r="C488" s="3409"/>
      <c r="D488" s="3409"/>
      <c r="E488" s="3408"/>
      <c r="F488" s="3410"/>
      <c r="G488" s="3430"/>
      <c r="H488" s="3411">
        <f t="shared" si="10"/>
        <v>0</v>
      </c>
      <c r="I488" s="3396"/>
      <c r="J488" s="3396"/>
      <c r="K488" s="3396"/>
      <c r="L488" s="3396"/>
      <c r="M488" s="3396"/>
      <c r="N488" s="3396"/>
      <c r="O488" s="3396"/>
      <c r="P488" s="3396"/>
      <c r="Q488" s="3396"/>
      <c r="R488" s="3396"/>
      <c r="S488" s="3396"/>
      <c r="T488" s="3396"/>
      <c r="U488" s="3396"/>
      <c r="V488" s="3396"/>
      <c r="W488" s="3396"/>
      <c r="X488" s="3396"/>
      <c r="Y488" s="3396"/>
      <c r="Z488" s="3396"/>
      <c r="AA488" s="3396"/>
      <c r="AB488" s="3396"/>
      <c r="AC488" s="3396"/>
      <c r="AD488" s="3396"/>
      <c r="AE488" s="3396"/>
      <c r="AF488" s="3396"/>
      <c r="AG488" s="3396"/>
      <c r="AH488" s="3396"/>
      <c r="AI488" s="3396"/>
      <c r="AJ488" s="3396"/>
      <c r="AK488" s="3396"/>
      <c r="AL488" s="3396"/>
      <c r="AM488" s="3396"/>
      <c r="AN488" s="3396"/>
      <c r="AO488" s="3396"/>
      <c r="AP488" s="3396"/>
      <c r="AQ488" s="3396"/>
      <c r="AR488" s="3396"/>
      <c r="AS488" s="3396"/>
      <c r="AT488" s="3396"/>
      <c r="AU488" s="3396"/>
      <c r="AV488" s="3396"/>
      <c r="AW488" s="3396"/>
      <c r="AX488" s="3396"/>
      <c r="AY488" s="3396"/>
      <c r="AZ488" s="3396"/>
      <c r="BA488" s="3396"/>
      <c r="BB488" s="3396"/>
      <c r="BC488" s="3396"/>
      <c r="BD488" s="3396"/>
      <c r="BE488" s="3396"/>
      <c r="BF488" s="3396"/>
      <c r="BG488" s="3396"/>
      <c r="BH488" s="3396"/>
      <c r="BI488" s="3396"/>
      <c r="BJ488" s="3396"/>
      <c r="BK488" s="3396"/>
      <c r="BL488" s="3396"/>
      <c r="BM488" s="3396"/>
      <c r="BN488" s="3396"/>
    </row>
    <row r="489" s="687" customFormat="1" ht="15" hidden="1" customHeight="1" spans="1:66">
      <c r="A489" s="3407" t="s">
        <v>5931</v>
      </c>
      <c r="B489" s="3408"/>
      <c r="C489" s="3409"/>
      <c r="D489" s="3409"/>
      <c r="E489" s="3408"/>
      <c r="F489" s="3410"/>
      <c r="G489" s="3430"/>
      <c r="H489" s="3411">
        <f t="shared" si="10"/>
        <v>0</v>
      </c>
      <c r="I489" s="3396"/>
      <c r="J489" s="3396"/>
      <c r="K489" s="3396"/>
      <c r="L489" s="3396"/>
      <c r="M489" s="3396"/>
      <c r="N489" s="3396"/>
      <c r="O489" s="3396"/>
      <c r="P489" s="3396"/>
      <c r="Q489" s="3396"/>
      <c r="R489" s="3396"/>
      <c r="S489" s="3396"/>
      <c r="T489" s="3396"/>
      <c r="U489" s="3396"/>
      <c r="V489" s="3396"/>
      <c r="W489" s="3396"/>
      <c r="X489" s="3396"/>
      <c r="Y489" s="3396"/>
      <c r="Z489" s="3396"/>
      <c r="AA489" s="3396"/>
      <c r="AB489" s="3396"/>
      <c r="AC489" s="3396"/>
      <c r="AD489" s="3396"/>
      <c r="AE489" s="3396"/>
      <c r="AF489" s="3396"/>
      <c r="AG489" s="3396"/>
      <c r="AH489" s="3396"/>
      <c r="AI489" s="3396"/>
      <c r="AJ489" s="3396"/>
      <c r="AK489" s="3396"/>
      <c r="AL489" s="3396"/>
      <c r="AM489" s="3396"/>
      <c r="AN489" s="3396"/>
      <c r="AO489" s="3396"/>
      <c r="AP489" s="3396"/>
      <c r="AQ489" s="3396"/>
      <c r="AR489" s="3396"/>
      <c r="AS489" s="3396"/>
      <c r="AT489" s="3396"/>
      <c r="AU489" s="3396"/>
      <c r="AV489" s="3396"/>
      <c r="AW489" s="3396"/>
      <c r="AX489" s="3396"/>
      <c r="AY489" s="3396"/>
      <c r="AZ489" s="3396"/>
      <c r="BA489" s="3396"/>
      <c r="BB489" s="3396"/>
      <c r="BC489" s="3396"/>
      <c r="BD489" s="3396"/>
      <c r="BE489" s="3396"/>
      <c r="BF489" s="3396"/>
      <c r="BG489" s="3396"/>
      <c r="BH489" s="3396"/>
      <c r="BI489" s="3396"/>
      <c r="BJ489" s="3396"/>
      <c r="BK489" s="3396"/>
      <c r="BL489" s="3396"/>
      <c r="BM489" s="3396"/>
      <c r="BN489" s="3396"/>
    </row>
    <row r="490" s="687" customFormat="1" ht="15" hidden="1" customHeight="1" spans="1:66">
      <c r="A490" s="3407" t="s">
        <v>5945</v>
      </c>
      <c r="B490" s="3408"/>
      <c r="C490" s="3409"/>
      <c r="D490" s="3409"/>
      <c r="E490" s="3408"/>
      <c r="F490" s="3410"/>
      <c r="G490" s="3430"/>
      <c r="H490" s="3411">
        <f t="shared" si="10"/>
        <v>0</v>
      </c>
      <c r="I490" s="3396"/>
      <c r="J490" s="3396"/>
      <c r="K490" s="3396"/>
      <c r="L490" s="3396"/>
      <c r="M490" s="3396"/>
      <c r="N490" s="3396"/>
      <c r="O490" s="3396"/>
      <c r="P490" s="3396"/>
      <c r="Q490" s="3396"/>
      <c r="R490" s="3396"/>
      <c r="S490" s="3396"/>
      <c r="T490" s="3396"/>
      <c r="U490" s="3396"/>
      <c r="V490" s="3396"/>
      <c r="W490" s="3396"/>
      <c r="X490" s="3396"/>
      <c r="Y490" s="3396"/>
      <c r="Z490" s="3396"/>
      <c r="AA490" s="3396"/>
      <c r="AB490" s="3396"/>
      <c r="AC490" s="3396"/>
      <c r="AD490" s="3396"/>
      <c r="AE490" s="3396"/>
      <c r="AF490" s="3396"/>
      <c r="AG490" s="3396"/>
      <c r="AH490" s="3396"/>
      <c r="AI490" s="3396"/>
      <c r="AJ490" s="3396"/>
      <c r="AK490" s="3396"/>
      <c r="AL490" s="3396"/>
      <c r="AM490" s="3396"/>
      <c r="AN490" s="3396"/>
      <c r="AO490" s="3396"/>
      <c r="AP490" s="3396"/>
      <c r="AQ490" s="3396"/>
      <c r="AR490" s="3396"/>
      <c r="AS490" s="3396"/>
      <c r="AT490" s="3396"/>
      <c r="AU490" s="3396"/>
      <c r="AV490" s="3396"/>
      <c r="AW490" s="3396"/>
      <c r="AX490" s="3396"/>
      <c r="AY490" s="3396"/>
      <c r="AZ490" s="3396"/>
      <c r="BA490" s="3396"/>
      <c r="BB490" s="3396"/>
      <c r="BC490" s="3396"/>
      <c r="BD490" s="3396"/>
      <c r="BE490" s="3396"/>
      <c r="BF490" s="3396"/>
      <c r="BG490" s="3396"/>
      <c r="BH490" s="3396"/>
      <c r="BI490" s="3396"/>
      <c r="BJ490" s="3396"/>
      <c r="BK490" s="3396"/>
      <c r="BL490" s="3396"/>
      <c r="BM490" s="3396"/>
      <c r="BN490" s="3396"/>
    </row>
    <row r="491" s="687" customFormat="1" ht="15" hidden="1" customHeight="1" spans="1:66">
      <c r="A491" s="3407" t="s">
        <v>5947</v>
      </c>
      <c r="B491" s="3408"/>
      <c r="C491" s="3409"/>
      <c r="D491" s="3409"/>
      <c r="E491" s="3408"/>
      <c r="F491" s="3410"/>
      <c r="G491" s="3430"/>
      <c r="H491" s="3411">
        <f t="shared" si="10"/>
        <v>0</v>
      </c>
      <c r="I491" s="3396"/>
      <c r="J491" s="3396"/>
      <c r="K491" s="3396"/>
      <c r="L491" s="3396"/>
      <c r="M491" s="3396"/>
      <c r="N491" s="3396"/>
      <c r="O491" s="3396"/>
      <c r="P491" s="3396"/>
      <c r="Q491" s="3396"/>
      <c r="R491" s="3396"/>
      <c r="S491" s="3396"/>
      <c r="T491" s="3396"/>
      <c r="U491" s="3396"/>
      <c r="V491" s="3396"/>
      <c r="W491" s="3396"/>
      <c r="X491" s="3396"/>
      <c r="Y491" s="3396"/>
      <c r="Z491" s="3396"/>
      <c r="AA491" s="3396"/>
      <c r="AB491" s="3396"/>
      <c r="AC491" s="3396"/>
      <c r="AD491" s="3396"/>
      <c r="AE491" s="3396"/>
      <c r="AF491" s="3396"/>
      <c r="AG491" s="3396"/>
      <c r="AH491" s="3396"/>
      <c r="AI491" s="3396"/>
      <c r="AJ491" s="3396"/>
      <c r="AK491" s="3396"/>
      <c r="AL491" s="3396"/>
      <c r="AM491" s="3396"/>
      <c r="AN491" s="3396"/>
      <c r="AO491" s="3396"/>
      <c r="AP491" s="3396"/>
      <c r="AQ491" s="3396"/>
      <c r="AR491" s="3396"/>
      <c r="AS491" s="3396"/>
      <c r="AT491" s="3396"/>
      <c r="AU491" s="3396"/>
      <c r="AV491" s="3396"/>
      <c r="AW491" s="3396"/>
      <c r="AX491" s="3396"/>
      <c r="AY491" s="3396"/>
      <c r="AZ491" s="3396"/>
      <c r="BA491" s="3396"/>
      <c r="BB491" s="3396"/>
      <c r="BC491" s="3396"/>
      <c r="BD491" s="3396"/>
      <c r="BE491" s="3396"/>
      <c r="BF491" s="3396"/>
      <c r="BG491" s="3396"/>
      <c r="BH491" s="3396"/>
      <c r="BI491" s="3396"/>
      <c r="BJ491" s="3396"/>
      <c r="BK491" s="3396"/>
      <c r="BL491" s="3396"/>
      <c r="BM491" s="3396"/>
      <c r="BN491" s="3396"/>
    </row>
    <row r="492" s="687" customFormat="1" ht="15" hidden="1" customHeight="1" spans="1:66">
      <c r="A492" s="3407" t="s">
        <v>5951</v>
      </c>
      <c r="B492" s="3408"/>
      <c r="C492" s="3409"/>
      <c r="D492" s="3409"/>
      <c r="E492" s="3408"/>
      <c r="F492" s="3410"/>
      <c r="G492" s="3430"/>
      <c r="H492" s="3411">
        <f t="shared" si="10"/>
        <v>0</v>
      </c>
      <c r="I492" s="3396"/>
      <c r="J492" s="3396"/>
      <c r="K492" s="3396"/>
      <c r="L492" s="3396"/>
      <c r="M492" s="3396"/>
      <c r="N492" s="3396"/>
      <c r="O492" s="3396"/>
      <c r="P492" s="3396"/>
      <c r="Q492" s="3396"/>
      <c r="R492" s="3396"/>
      <c r="S492" s="3396"/>
      <c r="T492" s="3396"/>
      <c r="U492" s="3396"/>
      <c r="V492" s="3396"/>
      <c r="W492" s="3396"/>
      <c r="X492" s="3396"/>
      <c r="Y492" s="3396"/>
      <c r="Z492" s="3396"/>
      <c r="AA492" s="3396"/>
      <c r="AB492" s="3396"/>
      <c r="AC492" s="3396"/>
      <c r="AD492" s="3396"/>
      <c r="AE492" s="3396"/>
      <c r="AF492" s="3396"/>
      <c r="AG492" s="3396"/>
      <c r="AH492" s="3396"/>
      <c r="AI492" s="3396"/>
      <c r="AJ492" s="3396"/>
      <c r="AK492" s="3396"/>
      <c r="AL492" s="3396"/>
      <c r="AM492" s="3396"/>
      <c r="AN492" s="3396"/>
      <c r="AO492" s="3396"/>
      <c r="AP492" s="3396"/>
      <c r="AQ492" s="3396"/>
      <c r="AR492" s="3396"/>
      <c r="AS492" s="3396"/>
      <c r="AT492" s="3396"/>
      <c r="AU492" s="3396"/>
      <c r="AV492" s="3396"/>
      <c r="AW492" s="3396"/>
      <c r="AX492" s="3396"/>
      <c r="AY492" s="3396"/>
      <c r="AZ492" s="3396"/>
      <c r="BA492" s="3396"/>
      <c r="BB492" s="3396"/>
      <c r="BC492" s="3396"/>
      <c r="BD492" s="3396"/>
      <c r="BE492" s="3396"/>
      <c r="BF492" s="3396"/>
      <c r="BG492" s="3396"/>
      <c r="BH492" s="3396"/>
      <c r="BI492" s="3396"/>
      <c r="BJ492" s="3396"/>
      <c r="BK492" s="3396"/>
      <c r="BL492" s="3396"/>
      <c r="BM492" s="3396"/>
      <c r="BN492" s="3396"/>
    </row>
    <row r="493" s="687" customFormat="1" ht="15" hidden="1" customHeight="1" spans="1:66">
      <c r="A493" s="3407" t="s">
        <v>5953</v>
      </c>
      <c r="B493" s="3408"/>
      <c r="C493" s="3409"/>
      <c r="D493" s="3409"/>
      <c r="E493" s="3408"/>
      <c r="F493" s="3410"/>
      <c r="G493" s="3430"/>
      <c r="H493" s="3411">
        <f t="shared" si="10"/>
        <v>0</v>
      </c>
      <c r="I493" s="3396"/>
      <c r="J493" s="3396"/>
      <c r="K493" s="3396"/>
      <c r="L493" s="3396"/>
      <c r="M493" s="3396"/>
      <c r="N493" s="3396"/>
      <c r="O493" s="3396"/>
      <c r="P493" s="3396"/>
      <c r="Q493" s="3396"/>
      <c r="R493" s="3396"/>
      <c r="S493" s="3396"/>
      <c r="T493" s="3396"/>
      <c r="U493" s="3396"/>
      <c r="V493" s="3396"/>
      <c r="W493" s="3396"/>
      <c r="X493" s="3396"/>
      <c r="Y493" s="3396"/>
      <c r="Z493" s="3396"/>
      <c r="AA493" s="3396"/>
      <c r="AB493" s="3396"/>
      <c r="AC493" s="3396"/>
      <c r="AD493" s="3396"/>
      <c r="AE493" s="3396"/>
      <c r="AF493" s="3396"/>
      <c r="AG493" s="3396"/>
      <c r="AH493" s="3396"/>
      <c r="AI493" s="3396"/>
      <c r="AJ493" s="3396"/>
      <c r="AK493" s="3396"/>
      <c r="AL493" s="3396"/>
      <c r="AM493" s="3396"/>
      <c r="AN493" s="3396"/>
      <c r="AO493" s="3396"/>
      <c r="AP493" s="3396"/>
      <c r="AQ493" s="3396"/>
      <c r="AR493" s="3396"/>
      <c r="AS493" s="3396"/>
      <c r="AT493" s="3396"/>
      <c r="AU493" s="3396"/>
      <c r="AV493" s="3396"/>
      <c r="AW493" s="3396"/>
      <c r="AX493" s="3396"/>
      <c r="AY493" s="3396"/>
      <c r="AZ493" s="3396"/>
      <c r="BA493" s="3396"/>
      <c r="BB493" s="3396"/>
      <c r="BC493" s="3396"/>
      <c r="BD493" s="3396"/>
      <c r="BE493" s="3396"/>
      <c r="BF493" s="3396"/>
      <c r="BG493" s="3396"/>
      <c r="BH493" s="3396"/>
      <c r="BI493" s="3396"/>
      <c r="BJ493" s="3396"/>
      <c r="BK493" s="3396"/>
      <c r="BL493" s="3396"/>
      <c r="BM493" s="3396"/>
      <c r="BN493" s="3396"/>
    </row>
    <row r="494" s="687" customFormat="1" ht="15" hidden="1" customHeight="1" spans="1:66">
      <c r="A494" s="3407" t="s">
        <v>5955</v>
      </c>
      <c r="B494" s="3408"/>
      <c r="C494" s="3409"/>
      <c r="D494" s="3409"/>
      <c r="E494" s="3408"/>
      <c r="F494" s="3410"/>
      <c r="G494" s="3430"/>
      <c r="H494" s="3411">
        <f t="shared" si="10"/>
        <v>0</v>
      </c>
      <c r="I494" s="3396"/>
      <c r="J494" s="3396"/>
      <c r="K494" s="3396"/>
      <c r="L494" s="3396"/>
      <c r="M494" s="3396"/>
      <c r="N494" s="3396"/>
      <c r="O494" s="3396"/>
      <c r="P494" s="3396"/>
      <c r="Q494" s="3396"/>
      <c r="R494" s="3396"/>
      <c r="S494" s="3396"/>
      <c r="T494" s="3396"/>
      <c r="U494" s="3396"/>
      <c r="V494" s="3396"/>
      <c r="W494" s="3396"/>
      <c r="X494" s="3396"/>
      <c r="Y494" s="3396"/>
      <c r="Z494" s="3396"/>
      <c r="AA494" s="3396"/>
      <c r="AB494" s="3396"/>
      <c r="AC494" s="3396"/>
      <c r="AD494" s="3396"/>
      <c r="AE494" s="3396"/>
      <c r="AF494" s="3396"/>
      <c r="AG494" s="3396"/>
      <c r="AH494" s="3396"/>
      <c r="AI494" s="3396"/>
      <c r="AJ494" s="3396"/>
      <c r="AK494" s="3396"/>
      <c r="AL494" s="3396"/>
      <c r="AM494" s="3396"/>
      <c r="AN494" s="3396"/>
      <c r="AO494" s="3396"/>
      <c r="AP494" s="3396"/>
      <c r="AQ494" s="3396"/>
      <c r="AR494" s="3396"/>
      <c r="AS494" s="3396"/>
      <c r="AT494" s="3396"/>
      <c r="AU494" s="3396"/>
      <c r="AV494" s="3396"/>
      <c r="AW494" s="3396"/>
      <c r="AX494" s="3396"/>
      <c r="AY494" s="3396"/>
      <c r="AZ494" s="3396"/>
      <c r="BA494" s="3396"/>
      <c r="BB494" s="3396"/>
      <c r="BC494" s="3396"/>
      <c r="BD494" s="3396"/>
      <c r="BE494" s="3396"/>
      <c r="BF494" s="3396"/>
      <c r="BG494" s="3396"/>
      <c r="BH494" s="3396"/>
      <c r="BI494" s="3396"/>
      <c r="BJ494" s="3396"/>
      <c r="BK494" s="3396"/>
      <c r="BL494" s="3396"/>
      <c r="BM494" s="3396"/>
      <c r="BN494" s="3396"/>
    </row>
    <row r="495" s="687" customFormat="1" ht="15" hidden="1" customHeight="1" spans="1:66">
      <c r="A495" s="3407" t="s">
        <v>5964</v>
      </c>
      <c r="B495" s="3408"/>
      <c r="C495" s="3409"/>
      <c r="D495" s="3409"/>
      <c r="E495" s="3408"/>
      <c r="F495" s="3410"/>
      <c r="G495" s="3430"/>
      <c r="H495" s="3411">
        <f t="shared" si="10"/>
        <v>0</v>
      </c>
      <c r="I495" s="3396"/>
      <c r="J495" s="3396"/>
      <c r="K495" s="3396"/>
      <c r="L495" s="3396"/>
      <c r="M495" s="3396"/>
      <c r="N495" s="3396"/>
      <c r="O495" s="3396"/>
      <c r="P495" s="3396"/>
      <c r="Q495" s="3396"/>
      <c r="R495" s="3396"/>
      <c r="S495" s="3396"/>
      <c r="T495" s="3396"/>
      <c r="U495" s="3396"/>
      <c r="V495" s="3396"/>
      <c r="W495" s="3396"/>
      <c r="X495" s="3396"/>
      <c r="Y495" s="3396"/>
      <c r="Z495" s="3396"/>
      <c r="AA495" s="3396"/>
      <c r="AB495" s="3396"/>
      <c r="AC495" s="3396"/>
      <c r="AD495" s="3396"/>
      <c r="AE495" s="3396"/>
      <c r="AF495" s="3396"/>
      <c r="AG495" s="3396"/>
      <c r="AH495" s="3396"/>
      <c r="AI495" s="3396"/>
      <c r="AJ495" s="3396"/>
      <c r="AK495" s="3396"/>
      <c r="AL495" s="3396"/>
      <c r="AM495" s="3396"/>
      <c r="AN495" s="3396"/>
      <c r="AO495" s="3396"/>
      <c r="AP495" s="3396"/>
      <c r="AQ495" s="3396"/>
      <c r="AR495" s="3396"/>
      <c r="AS495" s="3396"/>
      <c r="AT495" s="3396"/>
      <c r="AU495" s="3396"/>
      <c r="AV495" s="3396"/>
      <c r="AW495" s="3396"/>
      <c r="AX495" s="3396"/>
      <c r="AY495" s="3396"/>
      <c r="AZ495" s="3396"/>
      <c r="BA495" s="3396"/>
      <c r="BB495" s="3396"/>
      <c r="BC495" s="3396"/>
      <c r="BD495" s="3396"/>
      <c r="BE495" s="3396"/>
      <c r="BF495" s="3396"/>
      <c r="BG495" s="3396"/>
      <c r="BH495" s="3396"/>
      <c r="BI495" s="3396"/>
      <c r="BJ495" s="3396"/>
      <c r="BK495" s="3396"/>
      <c r="BL495" s="3396"/>
      <c r="BM495" s="3396"/>
      <c r="BN495" s="3396"/>
    </row>
    <row r="496" s="687" customFormat="1" ht="15" hidden="1" customHeight="1" spans="1:66">
      <c r="A496" s="3407" t="s">
        <v>5971</v>
      </c>
      <c r="B496" s="3408"/>
      <c r="C496" s="3409"/>
      <c r="D496" s="3409"/>
      <c r="E496" s="3408"/>
      <c r="F496" s="3410"/>
      <c r="G496" s="3430"/>
      <c r="H496" s="3411">
        <f t="shared" si="10"/>
        <v>0</v>
      </c>
      <c r="I496" s="3396"/>
      <c r="J496" s="3396"/>
      <c r="K496" s="3396"/>
      <c r="L496" s="3396"/>
      <c r="M496" s="3396"/>
      <c r="N496" s="3396"/>
      <c r="O496" s="3396"/>
      <c r="P496" s="3396"/>
      <c r="Q496" s="3396"/>
      <c r="R496" s="3396"/>
      <c r="S496" s="3396"/>
      <c r="T496" s="3396"/>
      <c r="U496" s="3396"/>
      <c r="V496" s="3396"/>
      <c r="W496" s="3396"/>
      <c r="X496" s="3396"/>
      <c r="Y496" s="3396"/>
      <c r="Z496" s="3396"/>
      <c r="AA496" s="3396"/>
      <c r="AB496" s="3396"/>
      <c r="AC496" s="3396"/>
      <c r="AD496" s="3396"/>
      <c r="AE496" s="3396"/>
      <c r="AF496" s="3396"/>
      <c r="AG496" s="3396"/>
      <c r="AH496" s="3396"/>
      <c r="AI496" s="3396"/>
      <c r="AJ496" s="3396"/>
      <c r="AK496" s="3396"/>
      <c r="AL496" s="3396"/>
      <c r="AM496" s="3396"/>
      <c r="AN496" s="3396"/>
      <c r="AO496" s="3396"/>
      <c r="AP496" s="3396"/>
      <c r="AQ496" s="3396"/>
      <c r="AR496" s="3396"/>
      <c r="AS496" s="3396"/>
      <c r="AT496" s="3396"/>
      <c r="AU496" s="3396"/>
      <c r="AV496" s="3396"/>
      <c r="AW496" s="3396"/>
      <c r="AX496" s="3396"/>
      <c r="AY496" s="3396"/>
      <c r="AZ496" s="3396"/>
      <c r="BA496" s="3396"/>
      <c r="BB496" s="3396"/>
      <c r="BC496" s="3396"/>
      <c r="BD496" s="3396"/>
      <c r="BE496" s="3396"/>
      <c r="BF496" s="3396"/>
      <c r="BG496" s="3396"/>
      <c r="BH496" s="3396"/>
      <c r="BI496" s="3396"/>
      <c r="BJ496" s="3396"/>
      <c r="BK496" s="3396"/>
      <c r="BL496" s="3396"/>
      <c r="BM496" s="3396"/>
      <c r="BN496" s="3396"/>
    </row>
    <row r="497" s="687" customFormat="1" ht="15" hidden="1" customHeight="1" spans="1:66">
      <c r="A497" s="3407" t="s">
        <v>5973</v>
      </c>
      <c r="B497" s="3408"/>
      <c r="C497" s="3409"/>
      <c r="D497" s="3409"/>
      <c r="E497" s="3408"/>
      <c r="F497" s="3410"/>
      <c r="G497" s="3430"/>
      <c r="H497" s="3411">
        <f t="shared" si="10"/>
        <v>0</v>
      </c>
      <c r="I497" s="3396"/>
      <c r="J497" s="3396"/>
      <c r="K497" s="3396"/>
      <c r="L497" s="3396"/>
      <c r="M497" s="3396"/>
      <c r="N497" s="3396"/>
      <c r="O497" s="3396"/>
      <c r="P497" s="3396"/>
      <c r="Q497" s="3396"/>
      <c r="R497" s="3396"/>
      <c r="S497" s="3396"/>
      <c r="T497" s="3396"/>
      <c r="U497" s="3396"/>
      <c r="V497" s="3396"/>
      <c r="W497" s="3396"/>
      <c r="X497" s="3396"/>
      <c r="Y497" s="3396"/>
      <c r="Z497" s="3396"/>
      <c r="AA497" s="3396"/>
      <c r="AB497" s="3396"/>
      <c r="AC497" s="3396"/>
      <c r="AD497" s="3396"/>
      <c r="AE497" s="3396"/>
      <c r="AF497" s="3396"/>
      <c r="AG497" s="3396"/>
      <c r="AH497" s="3396"/>
      <c r="AI497" s="3396"/>
      <c r="AJ497" s="3396"/>
      <c r="AK497" s="3396"/>
      <c r="AL497" s="3396"/>
      <c r="AM497" s="3396"/>
      <c r="AN497" s="3396"/>
      <c r="AO497" s="3396"/>
      <c r="AP497" s="3396"/>
      <c r="AQ497" s="3396"/>
      <c r="AR497" s="3396"/>
      <c r="AS497" s="3396"/>
      <c r="AT497" s="3396"/>
      <c r="AU497" s="3396"/>
      <c r="AV497" s="3396"/>
      <c r="AW497" s="3396"/>
      <c r="AX497" s="3396"/>
      <c r="AY497" s="3396"/>
      <c r="AZ497" s="3396"/>
      <c r="BA497" s="3396"/>
      <c r="BB497" s="3396"/>
      <c r="BC497" s="3396"/>
      <c r="BD497" s="3396"/>
      <c r="BE497" s="3396"/>
      <c r="BF497" s="3396"/>
      <c r="BG497" s="3396"/>
      <c r="BH497" s="3396"/>
      <c r="BI497" s="3396"/>
      <c r="BJ497" s="3396"/>
      <c r="BK497" s="3396"/>
      <c r="BL497" s="3396"/>
      <c r="BM497" s="3396"/>
      <c r="BN497" s="3396"/>
    </row>
    <row r="498" s="687" customFormat="1" ht="15" hidden="1" customHeight="1" spans="1:66">
      <c r="A498" s="3407" t="s">
        <v>5975</v>
      </c>
      <c r="B498" s="3408"/>
      <c r="C498" s="3409"/>
      <c r="D498" s="3409"/>
      <c r="E498" s="3408"/>
      <c r="F498" s="3410"/>
      <c r="G498" s="3430"/>
      <c r="H498" s="3411">
        <f t="shared" si="10"/>
        <v>0</v>
      </c>
      <c r="I498" s="3396"/>
      <c r="J498" s="3396"/>
      <c r="K498" s="3396"/>
      <c r="L498" s="3396"/>
      <c r="M498" s="3396"/>
      <c r="N498" s="3396"/>
      <c r="O498" s="3396"/>
      <c r="P498" s="3396"/>
      <c r="Q498" s="3396"/>
      <c r="R498" s="3396"/>
      <c r="S498" s="3396"/>
      <c r="T498" s="3396"/>
      <c r="U498" s="3396"/>
      <c r="V498" s="3396"/>
      <c r="W498" s="3396"/>
      <c r="X498" s="3396"/>
      <c r="Y498" s="3396"/>
      <c r="Z498" s="3396"/>
      <c r="AA498" s="3396"/>
      <c r="AB498" s="3396"/>
      <c r="AC498" s="3396"/>
      <c r="AD498" s="3396"/>
      <c r="AE498" s="3396"/>
      <c r="AF498" s="3396"/>
      <c r="AG498" s="3396"/>
      <c r="AH498" s="3396"/>
      <c r="AI498" s="3396"/>
      <c r="AJ498" s="3396"/>
      <c r="AK498" s="3396"/>
      <c r="AL498" s="3396"/>
      <c r="AM498" s="3396"/>
      <c r="AN498" s="3396"/>
      <c r="AO498" s="3396"/>
      <c r="AP498" s="3396"/>
      <c r="AQ498" s="3396"/>
      <c r="AR498" s="3396"/>
      <c r="AS498" s="3396"/>
      <c r="AT498" s="3396"/>
      <c r="AU498" s="3396"/>
      <c r="AV498" s="3396"/>
      <c r="AW498" s="3396"/>
      <c r="AX498" s="3396"/>
      <c r="AY498" s="3396"/>
      <c r="AZ498" s="3396"/>
      <c r="BA498" s="3396"/>
      <c r="BB498" s="3396"/>
      <c r="BC498" s="3396"/>
      <c r="BD498" s="3396"/>
      <c r="BE498" s="3396"/>
      <c r="BF498" s="3396"/>
      <c r="BG498" s="3396"/>
      <c r="BH498" s="3396"/>
      <c r="BI498" s="3396"/>
      <c r="BJ498" s="3396"/>
      <c r="BK498" s="3396"/>
      <c r="BL498" s="3396"/>
      <c r="BM498" s="3396"/>
      <c r="BN498" s="3396"/>
    </row>
    <row r="499" s="687" customFormat="1" ht="15" hidden="1" customHeight="1" spans="1:66">
      <c r="A499" s="3407" t="s">
        <v>5977</v>
      </c>
      <c r="B499" s="3408"/>
      <c r="C499" s="3409"/>
      <c r="D499" s="3409"/>
      <c r="E499" s="3408"/>
      <c r="F499" s="3410"/>
      <c r="G499" s="3430"/>
      <c r="H499" s="3411">
        <f t="shared" si="10"/>
        <v>0</v>
      </c>
      <c r="I499" s="3396"/>
      <c r="J499" s="3396"/>
      <c r="K499" s="3396"/>
      <c r="L499" s="3396"/>
      <c r="M499" s="3396"/>
      <c r="N499" s="3396"/>
      <c r="O499" s="3396"/>
      <c r="P499" s="3396"/>
      <c r="Q499" s="3396"/>
      <c r="R499" s="3396"/>
      <c r="S499" s="3396"/>
      <c r="T499" s="3396"/>
      <c r="U499" s="3396"/>
      <c r="V499" s="3396"/>
      <c r="W499" s="3396"/>
      <c r="X499" s="3396"/>
      <c r="Y499" s="3396"/>
      <c r="Z499" s="3396"/>
      <c r="AA499" s="3396"/>
      <c r="AB499" s="3396"/>
      <c r="AC499" s="3396"/>
      <c r="AD499" s="3396"/>
      <c r="AE499" s="3396"/>
      <c r="AF499" s="3396"/>
      <c r="AG499" s="3396"/>
      <c r="AH499" s="3396"/>
      <c r="AI499" s="3396"/>
      <c r="AJ499" s="3396"/>
      <c r="AK499" s="3396"/>
      <c r="AL499" s="3396"/>
      <c r="AM499" s="3396"/>
      <c r="AN499" s="3396"/>
      <c r="AO499" s="3396"/>
      <c r="AP499" s="3396"/>
      <c r="AQ499" s="3396"/>
      <c r="AR499" s="3396"/>
      <c r="AS499" s="3396"/>
      <c r="AT499" s="3396"/>
      <c r="AU499" s="3396"/>
      <c r="AV499" s="3396"/>
      <c r="AW499" s="3396"/>
      <c r="AX499" s="3396"/>
      <c r="AY499" s="3396"/>
      <c r="AZ499" s="3396"/>
      <c r="BA499" s="3396"/>
      <c r="BB499" s="3396"/>
      <c r="BC499" s="3396"/>
      <c r="BD499" s="3396"/>
      <c r="BE499" s="3396"/>
      <c r="BF499" s="3396"/>
      <c r="BG499" s="3396"/>
      <c r="BH499" s="3396"/>
      <c r="BI499" s="3396"/>
      <c r="BJ499" s="3396"/>
      <c r="BK499" s="3396"/>
      <c r="BL499" s="3396"/>
      <c r="BM499" s="3396"/>
      <c r="BN499" s="3396"/>
    </row>
    <row r="500" s="687" customFormat="1" ht="15" hidden="1" customHeight="1" spans="1:66">
      <c r="A500" s="3407" t="s">
        <v>5979</v>
      </c>
      <c r="B500" s="3408"/>
      <c r="C500" s="3409"/>
      <c r="D500" s="3409"/>
      <c r="E500" s="3408"/>
      <c r="F500" s="3410"/>
      <c r="G500" s="3430"/>
      <c r="H500" s="3411">
        <f t="shared" si="10"/>
        <v>0</v>
      </c>
      <c r="I500" s="3396"/>
      <c r="J500" s="3396"/>
      <c r="K500" s="3396"/>
      <c r="L500" s="3396"/>
      <c r="M500" s="3396"/>
      <c r="N500" s="3396"/>
      <c r="O500" s="3396"/>
      <c r="P500" s="3396"/>
      <c r="Q500" s="3396"/>
      <c r="R500" s="3396"/>
      <c r="S500" s="3396"/>
      <c r="T500" s="3396"/>
      <c r="U500" s="3396"/>
      <c r="V500" s="3396"/>
      <c r="W500" s="3396"/>
      <c r="X500" s="3396"/>
      <c r="Y500" s="3396"/>
      <c r="Z500" s="3396"/>
      <c r="AA500" s="3396"/>
      <c r="AB500" s="3396"/>
      <c r="AC500" s="3396"/>
      <c r="AD500" s="3396"/>
      <c r="AE500" s="3396"/>
      <c r="AF500" s="3396"/>
      <c r="AG500" s="3396"/>
      <c r="AH500" s="3396"/>
      <c r="AI500" s="3396"/>
      <c r="AJ500" s="3396"/>
      <c r="AK500" s="3396"/>
      <c r="AL500" s="3396"/>
      <c r="AM500" s="3396"/>
      <c r="AN500" s="3396"/>
      <c r="AO500" s="3396"/>
      <c r="AP500" s="3396"/>
      <c r="AQ500" s="3396"/>
      <c r="AR500" s="3396"/>
      <c r="AS500" s="3396"/>
      <c r="AT500" s="3396"/>
      <c r="AU500" s="3396"/>
      <c r="AV500" s="3396"/>
      <c r="AW500" s="3396"/>
      <c r="AX500" s="3396"/>
      <c r="AY500" s="3396"/>
      <c r="AZ500" s="3396"/>
      <c r="BA500" s="3396"/>
      <c r="BB500" s="3396"/>
      <c r="BC500" s="3396"/>
      <c r="BD500" s="3396"/>
      <c r="BE500" s="3396"/>
      <c r="BF500" s="3396"/>
      <c r="BG500" s="3396"/>
      <c r="BH500" s="3396"/>
      <c r="BI500" s="3396"/>
      <c r="BJ500" s="3396"/>
      <c r="BK500" s="3396"/>
      <c r="BL500" s="3396"/>
      <c r="BM500" s="3396"/>
      <c r="BN500" s="3396"/>
    </row>
    <row r="501" s="687" customFormat="1" ht="15" hidden="1" customHeight="1" spans="1:66">
      <c r="A501" s="3407" t="s">
        <v>5981</v>
      </c>
      <c r="B501" s="3408"/>
      <c r="C501" s="3409"/>
      <c r="D501" s="3409"/>
      <c r="E501" s="3408"/>
      <c r="F501" s="3410"/>
      <c r="G501" s="3430"/>
      <c r="H501" s="3411">
        <f t="shared" si="10"/>
        <v>0</v>
      </c>
      <c r="I501" s="3396"/>
      <c r="J501" s="3396"/>
      <c r="K501" s="3396"/>
      <c r="L501" s="3396"/>
      <c r="M501" s="3396"/>
      <c r="N501" s="3396"/>
      <c r="O501" s="3396"/>
      <c r="P501" s="3396"/>
      <c r="Q501" s="3396"/>
      <c r="R501" s="3396"/>
      <c r="S501" s="3396"/>
      <c r="T501" s="3396"/>
      <c r="U501" s="3396"/>
      <c r="V501" s="3396"/>
      <c r="W501" s="3396"/>
      <c r="X501" s="3396"/>
      <c r="Y501" s="3396"/>
      <c r="Z501" s="3396"/>
      <c r="AA501" s="3396"/>
      <c r="AB501" s="3396"/>
      <c r="AC501" s="3396"/>
      <c r="AD501" s="3396"/>
      <c r="AE501" s="3396"/>
      <c r="AF501" s="3396"/>
      <c r="AG501" s="3396"/>
      <c r="AH501" s="3396"/>
      <c r="AI501" s="3396"/>
      <c r="AJ501" s="3396"/>
      <c r="AK501" s="3396"/>
      <c r="AL501" s="3396"/>
      <c r="AM501" s="3396"/>
      <c r="AN501" s="3396"/>
      <c r="AO501" s="3396"/>
      <c r="AP501" s="3396"/>
      <c r="AQ501" s="3396"/>
      <c r="AR501" s="3396"/>
      <c r="AS501" s="3396"/>
      <c r="AT501" s="3396"/>
      <c r="AU501" s="3396"/>
      <c r="AV501" s="3396"/>
      <c r="AW501" s="3396"/>
      <c r="AX501" s="3396"/>
      <c r="AY501" s="3396"/>
      <c r="AZ501" s="3396"/>
      <c r="BA501" s="3396"/>
      <c r="BB501" s="3396"/>
      <c r="BC501" s="3396"/>
      <c r="BD501" s="3396"/>
      <c r="BE501" s="3396"/>
      <c r="BF501" s="3396"/>
      <c r="BG501" s="3396"/>
      <c r="BH501" s="3396"/>
      <c r="BI501" s="3396"/>
      <c r="BJ501" s="3396"/>
      <c r="BK501" s="3396"/>
      <c r="BL501" s="3396"/>
      <c r="BM501" s="3396"/>
      <c r="BN501" s="3396"/>
    </row>
    <row r="502" s="687" customFormat="1" ht="15" hidden="1" customHeight="1" spans="1:66">
      <c r="A502" s="3407" t="s">
        <v>6022</v>
      </c>
      <c r="B502" s="3408"/>
      <c r="C502" s="3409"/>
      <c r="D502" s="3409"/>
      <c r="E502" s="3408"/>
      <c r="F502" s="3410"/>
      <c r="G502" s="3430"/>
      <c r="H502" s="3411">
        <f t="shared" si="10"/>
        <v>0</v>
      </c>
      <c r="I502" s="3396"/>
      <c r="J502" s="3396"/>
      <c r="K502" s="3396"/>
      <c r="L502" s="3396"/>
      <c r="M502" s="3396"/>
      <c r="N502" s="3396"/>
      <c r="O502" s="3396"/>
      <c r="P502" s="3396"/>
      <c r="Q502" s="3396"/>
      <c r="R502" s="3396"/>
      <c r="S502" s="3396"/>
      <c r="T502" s="3396"/>
      <c r="U502" s="3396"/>
      <c r="V502" s="3396"/>
      <c r="W502" s="3396"/>
      <c r="X502" s="3396"/>
      <c r="Y502" s="3396"/>
      <c r="Z502" s="3396"/>
      <c r="AA502" s="3396"/>
      <c r="AB502" s="3396"/>
      <c r="AC502" s="3396"/>
      <c r="AD502" s="3396"/>
      <c r="AE502" s="3396"/>
      <c r="AF502" s="3396"/>
      <c r="AG502" s="3396"/>
      <c r="AH502" s="3396"/>
      <c r="AI502" s="3396"/>
      <c r="AJ502" s="3396"/>
      <c r="AK502" s="3396"/>
      <c r="AL502" s="3396"/>
      <c r="AM502" s="3396"/>
      <c r="AN502" s="3396"/>
      <c r="AO502" s="3396"/>
      <c r="AP502" s="3396"/>
      <c r="AQ502" s="3396"/>
      <c r="AR502" s="3396"/>
      <c r="AS502" s="3396"/>
      <c r="AT502" s="3396"/>
      <c r="AU502" s="3396"/>
      <c r="AV502" s="3396"/>
      <c r="AW502" s="3396"/>
      <c r="AX502" s="3396"/>
      <c r="AY502" s="3396"/>
      <c r="AZ502" s="3396"/>
      <c r="BA502" s="3396"/>
      <c r="BB502" s="3396"/>
      <c r="BC502" s="3396"/>
      <c r="BD502" s="3396"/>
      <c r="BE502" s="3396"/>
      <c r="BF502" s="3396"/>
      <c r="BG502" s="3396"/>
      <c r="BH502" s="3396"/>
      <c r="BI502" s="3396"/>
      <c r="BJ502" s="3396"/>
      <c r="BK502" s="3396"/>
      <c r="BL502" s="3396"/>
      <c r="BM502" s="3396"/>
      <c r="BN502" s="3396"/>
    </row>
    <row r="503" s="687" customFormat="1" ht="15" hidden="1" customHeight="1" spans="1:66">
      <c r="A503" s="3407" t="s">
        <v>6023</v>
      </c>
      <c r="B503" s="3408"/>
      <c r="C503" s="3409"/>
      <c r="D503" s="3409"/>
      <c r="E503" s="3408"/>
      <c r="F503" s="3410"/>
      <c r="G503" s="3430"/>
      <c r="H503" s="3411">
        <f t="shared" si="10"/>
        <v>0</v>
      </c>
      <c r="I503" s="3396"/>
      <c r="J503" s="3396"/>
      <c r="K503" s="3396"/>
      <c r="L503" s="3396"/>
      <c r="M503" s="3396"/>
      <c r="N503" s="3396"/>
      <c r="O503" s="3396"/>
      <c r="P503" s="3396"/>
      <c r="Q503" s="3396"/>
      <c r="R503" s="3396"/>
      <c r="S503" s="3396"/>
      <c r="T503" s="3396"/>
      <c r="U503" s="3396"/>
      <c r="V503" s="3396"/>
      <c r="W503" s="3396"/>
      <c r="X503" s="3396"/>
      <c r="Y503" s="3396"/>
      <c r="Z503" s="3396"/>
      <c r="AA503" s="3396"/>
      <c r="AB503" s="3396"/>
      <c r="AC503" s="3396"/>
      <c r="AD503" s="3396"/>
      <c r="AE503" s="3396"/>
      <c r="AF503" s="3396"/>
      <c r="AG503" s="3396"/>
      <c r="AH503" s="3396"/>
      <c r="AI503" s="3396"/>
      <c r="AJ503" s="3396"/>
      <c r="AK503" s="3396"/>
      <c r="AL503" s="3396"/>
      <c r="AM503" s="3396"/>
      <c r="AN503" s="3396"/>
      <c r="AO503" s="3396"/>
      <c r="AP503" s="3396"/>
      <c r="AQ503" s="3396"/>
      <c r="AR503" s="3396"/>
      <c r="AS503" s="3396"/>
      <c r="AT503" s="3396"/>
      <c r="AU503" s="3396"/>
      <c r="AV503" s="3396"/>
      <c r="AW503" s="3396"/>
      <c r="AX503" s="3396"/>
      <c r="AY503" s="3396"/>
      <c r="AZ503" s="3396"/>
      <c r="BA503" s="3396"/>
      <c r="BB503" s="3396"/>
      <c r="BC503" s="3396"/>
      <c r="BD503" s="3396"/>
      <c r="BE503" s="3396"/>
      <c r="BF503" s="3396"/>
      <c r="BG503" s="3396"/>
      <c r="BH503" s="3396"/>
      <c r="BI503" s="3396"/>
      <c r="BJ503" s="3396"/>
      <c r="BK503" s="3396"/>
      <c r="BL503" s="3396"/>
      <c r="BM503" s="3396"/>
      <c r="BN503" s="3396"/>
    </row>
    <row r="504" s="687" customFormat="1" ht="15" hidden="1" customHeight="1" spans="1:66">
      <c r="A504" s="3407" t="s">
        <v>6024</v>
      </c>
      <c r="B504" s="3408"/>
      <c r="C504" s="3409"/>
      <c r="D504" s="3409"/>
      <c r="E504" s="3408"/>
      <c r="F504" s="3410"/>
      <c r="G504" s="3430"/>
      <c r="H504" s="3411">
        <f t="shared" si="10"/>
        <v>0</v>
      </c>
      <c r="I504" s="3396"/>
      <c r="J504" s="3396"/>
      <c r="K504" s="3396"/>
      <c r="L504" s="3396"/>
      <c r="M504" s="3396"/>
      <c r="N504" s="3396"/>
      <c r="O504" s="3396"/>
      <c r="P504" s="3396"/>
      <c r="Q504" s="3396"/>
      <c r="R504" s="3396"/>
      <c r="S504" s="3396"/>
      <c r="T504" s="3396"/>
      <c r="U504" s="3396"/>
      <c r="V504" s="3396"/>
      <c r="W504" s="3396"/>
      <c r="X504" s="3396"/>
      <c r="Y504" s="3396"/>
      <c r="Z504" s="3396"/>
      <c r="AA504" s="3396"/>
      <c r="AB504" s="3396"/>
      <c r="AC504" s="3396"/>
      <c r="AD504" s="3396"/>
      <c r="AE504" s="3396"/>
      <c r="AF504" s="3396"/>
      <c r="AG504" s="3396"/>
      <c r="AH504" s="3396"/>
      <c r="AI504" s="3396"/>
      <c r="AJ504" s="3396"/>
      <c r="AK504" s="3396"/>
      <c r="AL504" s="3396"/>
      <c r="AM504" s="3396"/>
      <c r="AN504" s="3396"/>
      <c r="AO504" s="3396"/>
      <c r="AP504" s="3396"/>
      <c r="AQ504" s="3396"/>
      <c r="AR504" s="3396"/>
      <c r="AS504" s="3396"/>
      <c r="AT504" s="3396"/>
      <c r="AU504" s="3396"/>
      <c r="AV504" s="3396"/>
      <c r="AW504" s="3396"/>
      <c r="AX504" s="3396"/>
      <c r="AY504" s="3396"/>
      <c r="AZ504" s="3396"/>
      <c r="BA504" s="3396"/>
      <c r="BB504" s="3396"/>
      <c r="BC504" s="3396"/>
      <c r="BD504" s="3396"/>
      <c r="BE504" s="3396"/>
      <c r="BF504" s="3396"/>
      <c r="BG504" s="3396"/>
      <c r="BH504" s="3396"/>
      <c r="BI504" s="3396"/>
      <c r="BJ504" s="3396"/>
      <c r="BK504" s="3396"/>
      <c r="BL504" s="3396"/>
      <c r="BM504" s="3396"/>
      <c r="BN504" s="3396"/>
    </row>
    <row r="505" s="687" customFormat="1" ht="15" hidden="1" customHeight="1" spans="1:66">
      <c r="A505" s="3407" t="s">
        <v>6025</v>
      </c>
      <c r="B505" s="3408"/>
      <c r="C505" s="3409"/>
      <c r="D505" s="3409"/>
      <c r="E505" s="3408"/>
      <c r="F505" s="3410"/>
      <c r="G505" s="3430"/>
      <c r="H505" s="3411">
        <f t="shared" si="10"/>
        <v>0</v>
      </c>
      <c r="I505" s="3396"/>
      <c r="J505" s="3396"/>
      <c r="K505" s="3396"/>
      <c r="L505" s="3396"/>
      <c r="M505" s="3396"/>
      <c r="N505" s="3396"/>
      <c r="O505" s="3396"/>
      <c r="P505" s="3396"/>
      <c r="Q505" s="3396"/>
      <c r="R505" s="3396"/>
      <c r="S505" s="3396"/>
      <c r="T505" s="3396"/>
      <c r="U505" s="3396"/>
      <c r="V505" s="3396"/>
      <c r="W505" s="3396"/>
      <c r="X505" s="3396"/>
      <c r="Y505" s="3396"/>
      <c r="Z505" s="3396"/>
      <c r="AA505" s="3396"/>
      <c r="AB505" s="3396"/>
      <c r="AC505" s="3396"/>
      <c r="AD505" s="3396"/>
      <c r="AE505" s="3396"/>
      <c r="AF505" s="3396"/>
      <c r="AG505" s="3396"/>
      <c r="AH505" s="3396"/>
      <c r="AI505" s="3396"/>
      <c r="AJ505" s="3396"/>
      <c r="AK505" s="3396"/>
      <c r="AL505" s="3396"/>
      <c r="AM505" s="3396"/>
      <c r="AN505" s="3396"/>
      <c r="AO505" s="3396"/>
      <c r="AP505" s="3396"/>
      <c r="AQ505" s="3396"/>
      <c r="AR505" s="3396"/>
      <c r="AS505" s="3396"/>
      <c r="AT505" s="3396"/>
      <c r="AU505" s="3396"/>
      <c r="AV505" s="3396"/>
      <c r="AW505" s="3396"/>
      <c r="AX505" s="3396"/>
      <c r="AY505" s="3396"/>
      <c r="AZ505" s="3396"/>
      <c r="BA505" s="3396"/>
      <c r="BB505" s="3396"/>
      <c r="BC505" s="3396"/>
      <c r="BD505" s="3396"/>
      <c r="BE505" s="3396"/>
      <c r="BF505" s="3396"/>
      <c r="BG505" s="3396"/>
      <c r="BH505" s="3396"/>
      <c r="BI505" s="3396"/>
      <c r="BJ505" s="3396"/>
      <c r="BK505" s="3396"/>
      <c r="BL505" s="3396"/>
      <c r="BM505" s="3396"/>
      <c r="BN505" s="3396"/>
    </row>
    <row r="506" s="687" customFormat="1" ht="15" hidden="1" customHeight="1" spans="1:66">
      <c r="A506" s="3407" t="s">
        <v>6026</v>
      </c>
      <c r="B506" s="3408"/>
      <c r="C506" s="3409"/>
      <c r="D506" s="3409"/>
      <c r="E506" s="3408"/>
      <c r="F506" s="3410"/>
      <c r="G506" s="3430"/>
      <c r="H506" s="3411">
        <f t="shared" si="10"/>
        <v>0</v>
      </c>
      <c r="I506" s="3396"/>
      <c r="J506" s="3396"/>
      <c r="K506" s="3396"/>
      <c r="L506" s="3396"/>
      <c r="M506" s="3396"/>
      <c r="N506" s="3396"/>
      <c r="O506" s="3396"/>
      <c r="P506" s="3396"/>
      <c r="Q506" s="3396"/>
      <c r="R506" s="3396"/>
      <c r="S506" s="3396"/>
      <c r="T506" s="3396"/>
      <c r="U506" s="3396"/>
      <c r="V506" s="3396"/>
      <c r="W506" s="3396"/>
      <c r="X506" s="3396"/>
      <c r="Y506" s="3396"/>
      <c r="Z506" s="3396"/>
      <c r="AA506" s="3396"/>
      <c r="AB506" s="3396"/>
      <c r="AC506" s="3396"/>
      <c r="AD506" s="3396"/>
      <c r="AE506" s="3396"/>
      <c r="AF506" s="3396"/>
      <c r="AG506" s="3396"/>
      <c r="AH506" s="3396"/>
      <c r="AI506" s="3396"/>
      <c r="AJ506" s="3396"/>
      <c r="AK506" s="3396"/>
      <c r="AL506" s="3396"/>
      <c r="AM506" s="3396"/>
      <c r="AN506" s="3396"/>
      <c r="AO506" s="3396"/>
      <c r="AP506" s="3396"/>
      <c r="AQ506" s="3396"/>
      <c r="AR506" s="3396"/>
      <c r="AS506" s="3396"/>
      <c r="AT506" s="3396"/>
      <c r="AU506" s="3396"/>
      <c r="AV506" s="3396"/>
      <c r="AW506" s="3396"/>
      <c r="AX506" s="3396"/>
      <c r="AY506" s="3396"/>
      <c r="AZ506" s="3396"/>
      <c r="BA506" s="3396"/>
      <c r="BB506" s="3396"/>
      <c r="BC506" s="3396"/>
      <c r="BD506" s="3396"/>
      <c r="BE506" s="3396"/>
      <c r="BF506" s="3396"/>
      <c r="BG506" s="3396"/>
      <c r="BH506" s="3396"/>
      <c r="BI506" s="3396"/>
      <c r="BJ506" s="3396"/>
      <c r="BK506" s="3396"/>
      <c r="BL506" s="3396"/>
      <c r="BM506" s="3396"/>
      <c r="BN506" s="3396"/>
    </row>
    <row r="507" s="687" customFormat="1" ht="15" hidden="1" customHeight="1" spans="1:66">
      <c r="A507" s="3407" t="s">
        <v>6027</v>
      </c>
      <c r="B507" s="3408"/>
      <c r="C507" s="3409"/>
      <c r="D507" s="3409"/>
      <c r="E507" s="3408"/>
      <c r="F507" s="3410"/>
      <c r="G507" s="3430"/>
      <c r="H507" s="3411">
        <f t="shared" si="10"/>
        <v>0</v>
      </c>
      <c r="I507" s="3396"/>
      <c r="J507" s="3396"/>
      <c r="K507" s="3396"/>
      <c r="L507" s="3396"/>
      <c r="M507" s="3396"/>
      <c r="N507" s="3396"/>
      <c r="O507" s="3396"/>
      <c r="P507" s="3396"/>
      <c r="Q507" s="3396"/>
      <c r="R507" s="3396"/>
      <c r="S507" s="3396"/>
      <c r="T507" s="3396"/>
      <c r="U507" s="3396"/>
      <c r="V507" s="3396"/>
      <c r="W507" s="3396"/>
      <c r="X507" s="3396"/>
      <c r="Y507" s="3396"/>
      <c r="Z507" s="3396"/>
      <c r="AA507" s="3396"/>
      <c r="AB507" s="3396"/>
      <c r="AC507" s="3396"/>
      <c r="AD507" s="3396"/>
      <c r="AE507" s="3396"/>
      <c r="AF507" s="3396"/>
      <c r="AG507" s="3396"/>
      <c r="AH507" s="3396"/>
      <c r="AI507" s="3396"/>
      <c r="AJ507" s="3396"/>
      <c r="AK507" s="3396"/>
      <c r="AL507" s="3396"/>
      <c r="AM507" s="3396"/>
      <c r="AN507" s="3396"/>
      <c r="AO507" s="3396"/>
      <c r="AP507" s="3396"/>
      <c r="AQ507" s="3396"/>
      <c r="AR507" s="3396"/>
      <c r="AS507" s="3396"/>
      <c r="AT507" s="3396"/>
      <c r="AU507" s="3396"/>
      <c r="AV507" s="3396"/>
      <c r="AW507" s="3396"/>
      <c r="AX507" s="3396"/>
      <c r="AY507" s="3396"/>
      <c r="AZ507" s="3396"/>
      <c r="BA507" s="3396"/>
      <c r="BB507" s="3396"/>
      <c r="BC507" s="3396"/>
      <c r="BD507" s="3396"/>
      <c r="BE507" s="3396"/>
      <c r="BF507" s="3396"/>
      <c r="BG507" s="3396"/>
      <c r="BH507" s="3396"/>
      <c r="BI507" s="3396"/>
      <c r="BJ507" s="3396"/>
      <c r="BK507" s="3396"/>
      <c r="BL507" s="3396"/>
      <c r="BM507" s="3396"/>
      <c r="BN507" s="3396"/>
    </row>
    <row r="508" s="687" customFormat="1" ht="15" hidden="1" customHeight="1" spans="1:66">
      <c r="A508" s="3407" t="s">
        <v>6028</v>
      </c>
      <c r="B508" s="3408"/>
      <c r="C508" s="3409"/>
      <c r="D508" s="3409"/>
      <c r="E508" s="3408"/>
      <c r="F508" s="3410"/>
      <c r="G508" s="3430"/>
      <c r="H508" s="3411">
        <f t="shared" si="10"/>
        <v>0</v>
      </c>
      <c r="I508" s="3396"/>
      <c r="J508" s="3396"/>
      <c r="K508" s="3396"/>
      <c r="L508" s="3396"/>
      <c r="M508" s="3396"/>
      <c r="N508" s="3396"/>
      <c r="O508" s="3396"/>
      <c r="P508" s="3396"/>
      <c r="Q508" s="3396"/>
      <c r="R508" s="3396"/>
      <c r="S508" s="3396"/>
      <c r="T508" s="3396"/>
      <c r="U508" s="3396"/>
      <c r="V508" s="3396"/>
      <c r="W508" s="3396"/>
      <c r="X508" s="3396"/>
      <c r="Y508" s="3396"/>
      <c r="Z508" s="3396"/>
      <c r="AA508" s="3396"/>
      <c r="AB508" s="3396"/>
      <c r="AC508" s="3396"/>
      <c r="AD508" s="3396"/>
      <c r="AE508" s="3396"/>
      <c r="AF508" s="3396"/>
      <c r="AG508" s="3396"/>
      <c r="AH508" s="3396"/>
      <c r="AI508" s="3396"/>
      <c r="AJ508" s="3396"/>
      <c r="AK508" s="3396"/>
      <c r="AL508" s="3396"/>
      <c r="AM508" s="3396"/>
      <c r="AN508" s="3396"/>
      <c r="AO508" s="3396"/>
      <c r="AP508" s="3396"/>
      <c r="AQ508" s="3396"/>
      <c r="AR508" s="3396"/>
      <c r="AS508" s="3396"/>
      <c r="AT508" s="3396"/>
      <c r="AU508" s="3396"/>
      <c r="AV508" s="3396"/>
      <c r="AW508" s="3396"/>
      <c r="AX508" s="3396"/>
      <c r="AY508" s="3396"/>
      <c r="AZ508" s="3396"/>
      <c r="BA508" s="3396"/>
      <c r="BB508" s="3396"/>
      <c r="BC508" s="3396"/>
      <c r="BD508" s="3396"/>
      <c r="BE508" s="3396"/>
      <c r="BF508" s="3396"/>
      <c r="BG508" s="3396"/>
      <c r="BH508" s="3396"/>
      <c r="BI508" s="3396"/>
      <c r="BJ508" s="3396"/>
      <c r="BK508" s="3396"/>
      <c r="BL508" s="3396"/>
      <c r="BM508" s="3396"/>
      <c r="BN508" s="3396"/>
    </row>
    <row r="509" s="687" customFormat="1" ht="15" hidden="1" customHeight="1" spans="1:66">
      <c r="A509" s="3407" t="s">
        <v>6029</v>
      </c>
      <c r="B509" s="3408"/>
      <c r="C509" s="3409"/>
      <c r="D509" s="3409"/>
      <c r="E509" s="3408"/>
      <c r="F509" s="3410"/>
      <c r="G509" s="3430"/>
      <c r="H509" s="3411">
        <f t="shared" si="10"/>
        <v>0</v>
      </c>
      <c r="I509" s="3396"/>
      <c r="J509" s="3396"/>
      <c r="K509" s="3396"/>
      <c r="L509" s="3396"/>
      <c r="M509" s="3396"/>
      <c r="N509" s="3396"/>
      <c r="O509" s="3396"/>
      <c r="P509" s="3396"/>
      <c r="Q509" s="3396"/>
      <c r="R509" s="3396"/>
      <c r="S509" s="3396"/>
      <c r="T509" s="3396"/>
      <c r="U509" s="3396"/>
      <c r="V509" s="3396"/>
      <c r="W509" s="3396"/>
      <c r="X509" s="3396"/>
      <c r="Y509" s="3396"/>
      <c r="Z509" s="3396"/>
      <c r="AA509" s="3396"/>
      <c r="AB509" s="3396"/>
      <c r="AC509" s="3396"/>
      <c r="AD509" s="3396"/>
      <c r="AE509" s="3396"/>
      <c r="AF509" s="3396"/>
      <c r="AG509" s="3396"/>
      <c r="AH509" s="3396"/>
      <c r="AI509" s="3396"/>
      <c r="AJ509" s="3396"/>
      <c r="AK509" s="3396"/>
      <c r="AL509" s="3396"/>
      <c r="AM509" s="3396"/>
      <c r="AN509" s="3396"/>
      <c r="AO509" s="3396"/>
      <c r="AP509" s="3396"/>
      <c r="AQ509" s="3396"/>
      <c r="AR509" s="3396"/>
      <c r="AS509" s="3396"/>
      <c r="AT509" s="3396"/>
      <c r="AU509" s="3396"/>
      <c r="AV509" s="3396"/>
      <c r="AW509" s="3396"/>
      <c r="AX509" s="3396"/>
      <c r="AY509" s="3396"/>
      <c r="AZ509" s="3396"/>
      <c r="BA509" s="3396"/>
      <c r="BB509" s="3396"/>
      <c r="BC509" s="3396"/>
      <c r="BD509" s="3396"/>
      <c r="BE509" s="3396"/>
      <c r="BF509" s="3396"/>
      <c r="BG509" s="3396"/>
      <c r="BH509" s="3396"/>
      <c r="BI509" s="3396"/>
      <c r="BJ509" s="3396"/>
      <c r="BK509" s="3396"/>
      <c r="BL509" s="3396"/>
      <c r="BM509" s="3396"/>
      <c r="BN509" s="3396"/>
    </row>
    <row r="510" s="687" customFormat="1" ht="15" hidden="1" customHeight="1" spans="1:66">
      <c r="A510" s="3407" t="s">
        <v>6030</v>
      </c>
      <c r="B510" s="3408"/>
      <c r="C510" s="3409"/>
      <c r="D510" s="3409"/>
      <c r="E510" s="3408"/>
      <c r="F510" s="3410"/>
      <c r="G510" s="3430"/>
      <c r="H510" s="3411">
        <f t="shared" si="10"/>
        <v>0</v>
      </c>
      <c r="I510" s="3396"/>
      <c r="J510" s="3396"/>
      <c r="K510" s="3396"/>
      <c r="L510" s="3396"/>
      <c r="M510" s="3396"/>
      <c r="N510" s="3396"/>
      <c r="O510" s="3396"/>
      <c r="P510" s="3396"/>
      <c r="Q510" s="3396"/>
      <c r="R510" s="3396"/>
      <c r="S510" s="3396"/>
      <c r="T510" s="3396"/>
      <c r="U510" s="3396"/>
      <c r="V510" s="3396"/>
      <c r="W510" s="3396"/>
      <c r="X510" s="3396"/>
      <c r="Y510" s="3396"/>
      <c r="Z510" s="3396"/>
      <c r="AA510" s="3396"/>
      <c r="AB510" s="3396"/>
      <c r="AC510" s="3396"/>
      <c r="AD510" s="3396"/>
      <c r="AE510" s="3396"/>
      <c r="AF510" s="3396"/>
      <c r="AG510" s="3396"/>
      <c r="AH510" s="3396"/>
      <c r="AI510" s="3396"/>
      <c r="AJ510" s="3396"/>
      <c r="AK510" s="3396"/>
      <c r="AL510" s="3396"/>
      <c r="AM510" s="3396"/>
      <c r="AN510" s="3396"/>
      <c r="AO510" s="3396"/>
      <c r="AP510" s="3396"/>
      <c r="AQ510" s="3396"/>
      <c r="AR510" s="3396"/>
      <c r="AS510" s="3396"/>
      <c r="AT510" s="3396"/>
      <c r="AU510" s="3396"/>
      <c r="AV510" s="3396"/>
      <c r="AW510" s="3396"/>
      <c r="AX510" s="3396"/>
      <c r="AY510" s="3396"/>
      <c r="AZ510" s="3396"/>
      <c r="BA510" s="3396"/>
      <c r="BB510" s="3396"/>
      <c r="BC510" s="3396"/>
      <c r="BD510" s="3396"/>
      <c r="BE510" s="3396"/>
      <c r="BF510" s="3396"/>
      <c r="BG510" s="3396"/>
      <c r="BH510" s="3396"/>
      <c r="BI510" s="3396"/>
      <c r="BJ510" s="3396"/>
      <c r="BK510" s="3396"/>
      <c r="BL510" s="3396"/>
      <c r="BM510" s="3396"/>
      <c r="BN510" s="3396"/>
    </row>
    <row r="511" s="687" customFormat="1" ht="15" hidden="1" customHeight="1" spans="1:66">
      <c r="A511" s="3407" t="s">
        <v>6031</v>
      </c>
      <c r="B511" s="3408"/>
      <c r="C511" s="3409"/>
      <c r="D511" s="3409"/>
      <c r="E511" s="3408"/>
      <c r="F511" s="3410"/>
      <c r="G511" s="3430"/>
      <c r="H511" s="3411">
        <f t="shared" si="10"/>
        <v>0</v>
      </c>
      <c r="I511" s="3396"/>
      <c r="J511" s="3396"/>
      <c r="K511" s="3396"/>
      <c r="L511" s="3396"/>
      <c r="M511" s="3396"/>
      <c r="N511" s="3396"/>
      <c r="O511" s="3396"/>
      <c r="P511" s="3396"/>
      <c r="Q511" s="3396"/>
      <c r="R511" s="3396"/>
      <c r="S511" s="3396"/>
      <c r="T511" s="3396"/>
      <c r="U511" s="3396"/>
      <c r="V511" s="3396"/>
      <c r="W511" s="3396"/>
      <c r="X511" s="3396"/>
      <c r="Y511" s="3396"/>
      <c r="Z511" s="3396"/>
      <c r="AA511" s="3396"/>
      <c r="AB511" s="3396"/>
      <c r="AC511" s="3396"/>
      <c r="AD511" s="3396"/>
      <c r="AE511" s="3396"/>
      <c r="AF511" s="3396"/>
      <c r="AG511" s="3396"/>
      <c r="AH511" s="3396"/>
      <c r="AI511" s="3396"/>
      <c r="AJ511" s="3396"/>
      <c r="AK511" s="3396"/>
      <c r="AL511" s="3396"/>
      <c r="AM511" s="3396"/>
      <c r="AN511" s="3396"/>
      <c r="AO511" s="3396"/>
      <c r="AP511" s="3396"/>
      <c r="AQ511" s="3396"/>
      <c r="AR511" s="3396"/>
      <c r="AS511" s="3396"/>
      <c r="AT511" s="3396"/>
      <c r="AU511" s="3396"/>
      <c r="AV511" s="3396"/>
      <c r="AW511" s="3396"/>
      <c r="AX511" s="3396"/>
      <c r="AY511" s="3396"/>
      <c r="AZ511" s="3396"/>
      <c r="BA511" s="3396"/>
      <c r="BB511" s="3396"/>
      <c r="BC511" s="3396"/>
      <c r="BD511" s="3396"/>
      <c r="BE511" s="3396"/>
      <c r="BF511" s="3396"/>
      <c r="BG511" s="3396"/>
      <c r="BH511" s="3396"/>
      <c r="BI511" s="3396"/>
      <c r="BJ511" s="3396"/>
      <c r="BK511" s="3396"/>
      <c r="BL511" s="3396"/>
      <c r="BM511" s="3396"/>
      <c r="BN511" s="3396"/>
    </row>
    <row r="512" s="687" customFormat="1" ht="15" hidden="1" customHeight="1" spans="1:66">
      <c r="A512" s="3407" t="s">
        <v>6032</v>
      </c>
      <c r="B512" s="3408"/>
      <c r="C512" s="3409"/>
      <c r="D512" s="3409"/>
      <c r="E512" s="3408"/>
      <c r="F512" s="3410"/>
      <c r="G512" s="3430"/>
      <c r="H512" s="3411">
        <f t="shared" si="10"/>
        <v>0</v>
      </c>
      <c r="I512" s="3396"/>
      <c r="J512" s="3396"/>
      <c r="K512" s="3396"/>
      <c r="L512" s="3396"/>
      <c r="M512" s="3396"/>
      <c r="N512" s="3396"/>
      <c r="O512" s="3396"/>
      <c r="P512" s="3396"/>
      <c r="Q512" s="3396"/>
      <c r="R512" s="3396"/>
      <c r="S512" s="3396"/>
      <c r="T512" s="3396"/>
      <c r="U512" s="3396"/>
      <c r="V512" s="3396"/>
      <c r="W512" s="3396"/>
      <c r="X512" s="3396"/>
      <c r="Y512" s="3396"/>
      <c r="Z512" s="3396"/>
      <c r="AA512" s="3396"/>
      <c r="AB512" s="3396"/>
      <c r="AC512" s="3396"/>
      <c r="AD512" s="3396"/>
      <c r="AE512" s="3396"/>
      <c r="AF512" s="3396"/>
      <c r="AG512" s="3396"/>
      <c r="AH512" s="3396"/>
      <c r="AI512" s="3396"/>
      <c r="AJ512" s="3396"/>
      <c r="AK512" s="3396"/>
      <c r="AL512" s="3396"/>
      <c r="AM512" s="3396"/>
      <c r="AN512" s="3396"/>
      <c r="AO512" s="3396"/>
      <c r="AP512" s="3396"/>
      <c r="AQ512" s="3396"/>
      <c r="AR512" s="3396"/>
      <c r="AS512" s="3396"/>
      <c r="AT512" s="3396"/>
      <c r="AU512" s="3396"/>
      <c r="AV512" s="3396"/>
      <c r="AW512" s="3396"/>
      <c r="AX512" s="3396"/>
      <c r="AY512" s="3396"/>
      <c r="AZ512" s="3396"/>
      <c r="BA512" s="3396"/>
      <c r="BB512" s="3396"/>
      <c r="BC512" s="3396"/>
      <c r="BD512" s="3396"/>
      <c r="BE512" s="3396"/>
      <c r="BF512" s="3396"/>
      <c r="BG512" s="3396"/>
      <c r="BH512" s="3396"/>
      <c r="BI512" s="3396"/>
      <c r="BJ512" s="3396"/>
      <c r="BK512" s="3396"/>
      <c r="BL512" s="3396"/>
      <c r="BM512" s="3396"/>
      <c r="BN512" s="3396"/>
    </row>
    <row r="513" s="687" customFormat="1" ht="15" hidden="1" customHeight="1" spans="1:66">
      <c r="A513" s="3407" t="s">
        <v>6033</v>
      </c>
      <c r="B513" s="3408"/>
      <c r="C513" s="3409"/>
      <c r="D513" s="3409"/>
      <c r="E513" s="3408"/>
      <c r="F513" s="3410"/>
      <c r="G513" s="3430"/>
      <c r="H513" s="3411">
        <f t="shared" si="10"/>
        <v>0</v>
      </c>
      <c r="I513" s="3396"/>
      <c r="J513" s="3396"/>
      <c r="K513" s="3396"/>
      <c r="L513" s="3396"/>
      <c r="M513" s="3396"/>
      <c r="N513" s="3396"/>
      <c r="O513" s="3396"/>
      <c r="P513" s="3396"/>
      <c r="Q513" s="3396"/>
      <c r="R513" s="3396"/>
      <c r="S513" s="3396"/>
      <c r="T513" s="3396"/>
      <c r="U513" s="3396"/>
      <c r="V513" s="3396"/>
      <c r="W513" s="3396"/>
      <c r="X513" s="3396"/>
      <c r="Y513" s="3396"/>
      <c r="Z513" s="3396"/>
      <c r="AA513" s="3396"/>
      <c r="AB513" s="3396"/>
      <c r="AC513" s="3396"/>
      <c r="AD513" s="3396"/>
      <c r="AE513" s="3396"/>
      <c r="AF513" s="3396"/>
      <c r="AG513" s="3396"/>
      <c r="AH513" s="3396"/>
      <c r="AI513" s="3396"/>
      <c r="AJ513" s="3396"/>
      <c r="AK513" s="3396"/>
      <c r="AL513" s="3396"/>
      <c r="AM513" s="3396"/>
      <c r="AN513" s="3396"/>
      <c r="AO513" s="3396"/>
      <c r="AP513" s="3396"/>
      <c r="AQ513" s="3396"/>
      <c r="AR513" s="3396"/>
      <c r="AS513" s="3396"/>
      <c r="AT513" s="3396"/>
      <c r="AU513" s="3396"/>
      <c r="AV513" s="3396"/>
      <c r="AW513" s="3396"/>
      <c r="AX513" s="3396"/>
      <c r="AY513" s="3396"/>
      <c r="AZ513" s="3396"/>
      <c r="BA513" s="3396"/>
      <c r="BB513" s="3396"/>
      <c r="BC513" s="3396"/>
      <c r="BD513" s="3396"/>
      <c r="BE513" s="3396"/>
      <c r="BF513" s="3396"/>
      <c r="BG513" s="3396"/>
      <c r="BH513" s="3396"/>
      <c r="BI513" s="3396"/>
      <c r="BJ513" s="3396"/>
      <c r="BK513" s="3396"/>
      <c r="BL513" s="3396"/>
      <c r="BM513" s="3396"/>
      <c r="BN513" s="3396"/>
    </row>
    <row r="514" s="687" customFormat="1" ht="15" hidden="1" customHeight="1" spans="1:66">
      <c r="A514" s="3407" t="s">
        <v>6034</v>
      </c>
      <c r="B514" s="3408"/>
      <c r="C514" s="3409"/>
      <c r="D514" s="3409"/>
      <c r="E514" s="3408"/>
      <c r="F514" s="3410"/>
      <c r="G514" s="3430"/>
      <c r="H514" s="3411">
        <f t="shared" si="10"/>
        <v>0</v>
      </c>
      <c r="I514" s="3396"/>
      <c r="J514" s="3396"/>
      <c r="K514" s="3396"/>
      <c r="L514" s="3396"/>
      <c r="M514" s="3396"/>
      <c r="N514" s="3396"/>
      <c r="O514" s="3396"/>
      <c r="P514" s="3396"/>
      <c r="Q514" s="3396"/>
      <c r="R514" s="3396"/>
      <c r="S514" s="3396"/>
      <c r="T514" s="3396"/>
      <c r="U514" s="3396"/>
      <c r="V514" s="3396"/>
      <c r="W514" s="3396"/>
      <c r="X514" s="3396"/>
      <c r="Y514" s="3396"/>
      <c r="Z514" s="3396"/>
      <c r="AA514" s="3396"/>
      <c r="AB514" s="3396"/>
      <c r="AC514" s="3396"/>
      <c r="AD514" s="3396"/>
      <c r="AE514" s="3396"/>
      <c r="AF514" s="3396"/>
      <c r="AG514" s="3396"/>
      <c r="AH514" s="3396"/>
      <c r="AI514" s="3396"/>
      <c r="AJ514" s="3396"/>
      <c r="AK514" s="3396"/>
      <c r="AL514" s="3396"/>
      <c r="AM514" s="3396"/>
      <c r="AN514" s="3396"/>
      <c r="AO514" s="3396"/>
      <c r="AP514" s="3396"/>
      <c r="AQ514" s="3396"/>
      <c r="AR514" s="3396"/>
      <c r="AS514" s="3396"/>
      <c r="AT514" s="3396"/>
      <c r="AU514" s="3396"/>
      <c r="AV514" s="3396"/>
      <c r="AW514" s="3396"/>
      <c r="AX514" s="3396"/>
      <c r="AY514" s="3396"/>
      <c r="AZ514" s="3396"/>
      <c r="BA514" s="3396"/>
      <c r="BB514" s="3396"/>
      <c r="BC514" s="3396"/>
      <c r="BD514" s="3396"/>
      <c r="BE514" s="3396"/>
      <c r="BF514" s="3396"/>
      <c r="BG514" s="3396"/>
      <c r="BH514" s="3396"/>
      <c r="BI514" s="3396"/>
      <c r="BJ514" s="3396"/>
      <c r="BK514" s="3396"/>
      <c r="BL514" s="3396"/>
      <c r="BM514" s="3396"/>
      <c r="BN514" s="3396"/>
    </row>
    <row r="515" s="687" customFormat="1" ht="15" hidden="1" customHeight="1" spans="1:66">
      <c r="A515" s="3407" t="s">
        <v>6035</v>
      </c>
      <c r="B515" s="3408"/>
      <c r="C515" s="3409"/>
      <c r="D515" s="3409"/>
      <c r="E515" s="3408"/>
      <c r="F515" s="3410"/>
      <c r="G515" s="3430"/>
      <c r="H515" s="3411">
        <f t="shared" si="10"/>
        <v>0</v>
      </c>
      <c r="I515" s="3396"/>
      <c r="J515" s="3396"/>
      <c r="K515" s="3396"/>
      <c r="L515" s="3396"/>
      <c r="M515" s="3396"/>
      <c r="N515" s="3396"/>
      <c r="O515" s="3396"/>
      <c r="P515" s="3396"/>
      <c r="Q515" s="3396"/>
      <c r="R515" s="3396"/>
      <c r="S515" s="3396"/>
      <c r="T515" s="3396"/>
      <c r="U515" s="3396"/>
      <c r="V515" s="3396"/>
      <c r="W515" s="3396"/>
      <c r="X515" s="3396"/>
      <c r="Y515" s="3396"/>
      <c r="Z515" s="3396"/>
      <c r="AA515" s="3396"/>
      <c r="AB515" s="3396"/>
      <c r="AC515" s="3396"/>
      <c r="AD515" s="3396"/>
      <c r="AE515" s="3396"/>
      <c r="AF515" s="3396"/>
      <c r="AG515" s="3396"/>
      <c r="AH515" s="3396"/>
      <c r="AI515" s="3396"/>
      <c r="AJ515" s="3396"/>
      <c r="AK515" s="3396"/>
      <c r="AL515" s="3396"/>
      <c r="AM515" s="3396"/>
      <c r="AN515" s="3396"/>
      <c r="AO515" s="3396"/>
      <c r="AP515" s="3396"/>
      <c r="AQ515" s="3396"/>
      <c r="AR515" s="3396"/>
      <c r="AS515" s="3396"/>
      <c r="AT515" s="3396"/>
      <c r="AU515" s="3396"/>
      <c r="AV515" s="3396"/>
      <c r="AW515" s="3396"/>
      <c r="AX515" s="3396"/>
      <c r="AY515" s="3396"/>
      <c r="AZ515" s="3396"/>
      <c r="BA515" s="3396"/>
      <c r="BB515" s="3396"/>
      <c r="BC515" s="3396"/>
      <c r="BD515" s="3396"/>
      <c r="BE515" s="3396"/>
      <c r="BF515" s="3396"/>
      <c r="BG515" s="3396"/>
      <c r="BH515" s="3396"/>
      <c r="BI515" s="3396"/>
      <c r="BJ515" s="3396"/>
      <c r="BK515" s="3396"/>
      <c r="BL515" s="3396"/>
      <c r="BM515" s="3396"/>
      <c r="BN515" s="3396"/>
    </row>
    <row r="516" s="687" customFormat="1" ht="15" hidden="1" customHeight="1" spans="1:66">
      <c r="A516" s="3407" t="s">
        <v>6036</v>
      </c>
      <c r="B516" s="3408"/>
      <c r="C516" s="3409"/>
      <c r="D516" s="3409"/>
      <c r="E516" s="3408"/>
      <c r="F516" s="3410"/>
      <c r="G516" s="3430"/>
      <c r="H516" s="3411">
        <f t="shared" si="10"/>
        <v>0</v>
      </c>
      <c r="I516" s="3396"/>
      <c r="J516" s="3396"/>
      <c r="K516" s="3396"/>
      <c r="L516" s="3396"/>
      <c r="M516" s="3396"/>
      <c r="N516" s="3396"/>
      <c r="O516" s="3396"/>
      <c r="P516" s="3396"/>
      <c r="Q516" s="3396"/>
      <c r="R516" s="3396"/>
      <c r="S516" s="3396"/>
      <c r="T516" s="3396"/>
      <c r="U516" s="3396"/>
      <c r="V516" s="3396"/>
      <c r="W516" s="3396"/>
      <c r="X516" s="3396"/>
      <c r="Y516" s="3396"/>
      <c r="Z516" s="3396"/>
      <c r="AA516" s="3396"/>
      <c r="AB516" s="3396"/>
      <c r="AC516" s="3396"/>
      <c r="AD516" s="3396"/>
      <c r="AE516" s="3396"/>
      <c r="AF516" s="3396"/>
      <c r="AG516" s="3396"/>
      <c r="AH516" s="3396"/>
      <c r="AI516" s="3396"/>
      <c r="AJ516" s="3396"/>
      <c r="AK516" s="3396"/>
      <c r="AL516" s="3396"/>
      <c r="AM516" s="3396"/>
      <c r="AN516" s="3396"/>
      <c r="AO516" s="3396"/>
      <c r="AP516" s="3396"/>
      <c r="AQ516" s="3396"/>
      <c r="AR516" s="3396"/>
      <c r="AS516" s="3396"/>
      <c r="AT516" s="3396"/>
      <c r="AU516" s="3396"/>
      <c r="AV516" s="3396"/>
      <c r="AW516" s="3396"/>
      <c r="AX516" s="3396"/>
      <c r="AY516" s="3396"/>
      <c r="AZ516" s="3396"/>
      <c r="BA516" s="3396"/>
      <c r="BB516" s="3396"/>
      <c r="BC516" s="3396"/>
      <c r="BD516" s="3396"/>
      <c r="BE516" s="3396"/>
      <c r="BF516" s="3396"/>
      <c r="BG516" s="3396"/>
      <c r="BH516" s="3396"/>
      <c r="BI516" s="3396"/>
      <c r="BJ516" s="3396"/>
      <c r="BK516" s="3396"/>
      <c r="BL516" s="3396"/>
      <c r="BM516" s="3396"/>
      <c r="BN516" s="3396"/>
    </row>
    <row r="517" s="687" customFormat="1" ht="15" hidden="1" customHeight="1" spans="1:66">
      <c r="A517" s="3407" t="s">
        <v>6037</v>
      </c>
      <c r="B517" s="3408"/>
      <c r="C517" s="3409"/>
      <c r="D517" s="3409"/>
      <c r="E517" s="3408"/>
      <c r="F517" s="3410"/>
      <c r="G517" s="3430"/>
      <c r="H517" s="3411">
        <f t="shared" si="10"/>
        <v>0</v>
      </c>
      <c r="I517" s="3396"/>
      <c r="J517" s="3396"/>
      <c r="K517" s="3396"/>
      <c r="L517" s="3396"/>
      <c r="M517" s="3396"/>
      <c r="N517" s="3396"/>
      <c r="O517" s="3396"/>
      <c r="P517" s="3396"/>
      <c r="Q517" s="3396"/>
      <c r="R517" s="3396"/>
      <c r="S517" s="3396"/>
      <c r="T517" s="3396"/>
      <c r="U517" s="3396"/>
      <c r="V517" s="3396"/>
      <c r="W517" s="3396"/>
      <c r="X517" s="3396"/>
      <c r="Y517" s="3396"/>
      <c r="Z517" s="3396"/>
      <c r="AA517" s="3396"/>
      <c r="AB517" s="3396"/>
      <c r="AC517" s="3396"/>
      <c r="AD517" s="3396"/>
      <c r="AE517" s="3396"/>
      <c r="AF517" s="3396"/>
      <c r="AG517" s="3396"/>
      <c r="AH517" s="3396"/>
      <c r="AI517" s="3396"/>
      <c r="AJ517" s="3396"/>
      <c r="AK517" s="3396"/>
      <c r="AL517" s="3396"/>
      <c r="AM517" s="3396"/>
      <c r="AN517" s="3396"/>
      <c r="AO517" s="3396"/>
      <c r="AP517" s="3396"/>
      <c r="AQ517" s="3396"/>
      <c r="AR517" s="3396"/>
      <c r="AS517" s="3396"/>
      <c r="AT517" s="3396"/>
      <c r="AU517" s="3396"/>
      <c r="AV517" s="3396"/>
      <c r="AW517" s="3396"/>
      <c r="AX517" s="3396"/>
      <c r="AY517" s="3396"/>
      <c r="AZ517" s="3396"/>
      <c r="BA517" s="3396"/>
      <c r="BB517" s="3396"/>
      <c r="BC517" s="3396"/>
      <c r="BD517" s="3396"/>
      <c r="BE517" s="3396"/>
      <c r="BF517" s="3396"/>
      <c r="BG517" s="3396"/>
      <c r="BH517" s="3396"/>
      <c r="BI517" s="3396"/>
      <c r="BJ517" s="3396"/>
      <c r="BK517" s="3396"/>
      <c r="BL517" s="3396"/>
      <c r="BM517" s="3396"/>
      <c r="BN517" s="3396"/>
    </row>
    <row r="518" s="687" customFormat="1" ht="15" hidden="1" customHeight="1" spans="1:66">
      <c r="A518" s="3407" t="s">
        <v>6038</v>
      </c>
      <c r="B518" s="3408"/>
      <c r="C518" s="3409"/>
      <c r="D518" s="3409"/>
      <c r="E518" s="3408"/>
      <c r="F518" s="3410"/>
      <c r="G518" s="3430"/>
      <c r="H518" s="3411">
        <f t="shared" si="10"/>
        <v>0</v>
      </c>
      <c r="I518" s="3396"/>
      <c r="J518" s="3396"/>
      <c r="K518" s="3396"/>
      <c r="L518" s="3396"/>
      <c r="M518" s="3396"/>
      <c r="N518" s="3396"/>
      <c r="O518" s="3396"/>
      <c r="P518" s="3396"/>
      <c r="Q518" s="3396"/>
      <c r="R518" s="3396"/>
      <c r="S518" s="3396"/>
      <c r="T518" s="3396"/>
      <c r="U518" s="3396"/>
      <c r="V518" s="3396"/>
      <c r="W518" s="3396"/>
      <c r="X518" s="3396"/>
      <c r="Y518" s="3396"/>
      <c r="Z518" s="3396"/>
      <c r="AA518" s="3396"/>
      <c r="AB518" s="3396"/>
      <c r="AC518" s="3396"/>
      <c r="AD518" s="3396"/>
      <c r="AE518" s="3396"/>
      <c r="AF518" s="3396"/>
      <c r="AG518" s="3396"/>
      <c r="AH518" s="3396"/>
      <c r="AI518" s="3396"/>
      <c r="AJ518" s="3396"/>
      <c r="AK518" s="3396"/>
      <c r="AL518" s="3396"/>
      <c r="AM518" s="3396"/>
      <c r="AN518" s="3396"/>
      <c r="AO518" s="3396"/>
      <c r="AP518" s="3396"/>
      <c r="AQ518" s="3396"/>
      <c r="AR518" s="3396"/>
      <c r="AS518" s="3396"/>
      <c r="AT518" s="3396"/>
      <c r="AU518" s="3396"/>
      <c r="AV518" s="3396"/>
      <c r="AW518" s="3396"/>
      <c r="AX518" s="3396"/>
      <c r="AY518" s="3396"/>
      <c r="AZ518" s="3396"/>
      <c r="BA518" s="3396"/>
      <c r="BB518" s="3396"/>
      <c r="BC518" s="3396"/>
      <c r="BD518" s="3396"/>
      <c r="BE518" s="3396"/>
      <c r="BF518" s="3396"/>
      <c r="BG518" s="3396"/>
      <c r="BH518" s="3396"/>
      <c r="BI518" s="3396"/>
      <c r="BJ518" s="3396"/>
      <c r="BK518" s="3396"/>
      <c r="BL518" s="3396"/>
      <c r="BM518" s="3396"/>
      <c r="BN518" s="3396"/>
    </row>
    <row r="519" s="687" customFormat="1" ht="15" hidden="1" customHeight="1" spans="1:66">
      <c r="A519" s="3407" t="s">
        <v>6379</v>
      </c>
      <c r="B519" s="3408"/>
      <c r="C519" s="3409"/>
      <c r="D519" s="3409"/>
      <c r="E519" s="3408"/>
      <c r="F519" s="3410"/>
      <c r="G519" s="3430"/>
      <c r="H519" s="3411">
        <f t="shared" si="10"/>
        <v>0</v>
      </c>
      <c r="I519" s="3396"/>
      <c r="J519" s="3396"/>
      <c r="K519" s="3396"/>
      <c r="L519" s="3396"/>
      <c r="M519" s="3396"/>
      <c r="N519" s="3396"/>
      <c r="O519" s="3396"/>
      <c r="P519" s="3396"/>
      <c r="Q519" s="3396"/>
      <c r="R519" s="3396"/>
      <c r="S519" s="3396"/>
      <c r="T519" s="3396"/>
      <c r="U519" s="3396"/>
      <c r="V519" s="3396"/>
      <c r="W519" s="3396"/>
      <c r="X519" s="3396"/>
      <c r="Y519" s="3396"/>
      <c r="Z519" s="3396"/>
      <c r="AA519" s="3396"/>
      <c r="AB519" s="3396"/>
      <c r="AC519" s="3396"/>
      <c r="AD519" s="3396"/>
      <c r="AE519" s="3396"/>
      <c r="AF519" s="3396"/>
      <c r="AG519" s="3396"/>
      <c r="AH519" s="3396"/>
      <c r="AI519" s="3396"/>
      <c r="AJ519" s="3396"/>
      <c r="AK519" s="3396"/>
      <c r="AL519" s="3396"/>
      <c r="AM519" s="3396"/>
      <c r="AN519" s="3396"/>
      <c r="AO519" s="3396"/>
      <c r="AP519" s="3396"/>
      <c r="AQ519" s="3396"/>
      <c r="AR519" s="3396"/>
      <c r="AS519" s="3396"/>
      <c r="AT519" s="3396"/>
      <c r="AU519" s="3396"/>
      <c r="AV519" s="3396"/>
      <c r="AW519" s="3396"/>
      <c r="AX519" s="3396"/>
      <c r="AY519" s="3396"/>
      <c r="AZ519" s="3396"/>
      <c r="BA519" s="3396"/>
      <c r="BB519" s="3396"/>
      <c r="BC519" s="3396"/>
      <c r="BD519" s="3396"/>
      <c r="BE519" s="3396"/>
      <c r="BF519" s="3396"/>
      <c r="BG519" s="3396"/>
      <c r="BH519" s="3396"/>
      <c r="BI519" s="3396"/>
      <c r="BJ519" s="3396"/>
      <c r="BK519" s="3396"/>
      <c r="BL519" s="3396"/>
      <c r="BM519" s="3396"/>
      <c r="BN519" s="3396"/>
    </row>
    <row r="520" s="687" customFormat="1" ht="15" hidden="1" customHeight="1" spans="1:66">
      <c r="A520" s="3407" t="s">
        <v>6380</v>
      </c>
      <c r="B520" s="3408"/>
      <c r="C520" s="3409"/>
      <c r="D520" s="3409"/>
      <c r="E520" s="3408"/>
      <c r="F520" s="3410"/>
      <c r="G520" s="3430"/>
      <c r="H520" s="3411">
        <f t="shared" si="10"/>
        <v>0</v>
      </c>
      <c r="I520" s="3396"/>
      <c r="J520" s="3396"/>
      <c r="K520" s="3396"/>
      <c r="L520" s="3396"/>
      <c r="M520" s="3396"/>
      <c r="N520" s="3396"/>
      <c r="O520" s="3396"/>
      <c r="P520" s="3396"/>
      <c r="Q520" s="3396"/>
      <c r="R520" s="3396"/>
      <c r="S520" s="3396"/>
      <c r="T520" s="3396"/>
      <c r="U520" s="3396"/>
      <c r="V520" s="3396"/>
      <c r="W520" s="3396"/>
      <c r="X520" s="3396"/>
      <c r="Y520" s="3396"/>
      <c r="Z520" s="3396"/>
      <c r="AA520" s="3396"/>
      <c r="AB520" s="3396"/>
      <c r="AC520" s="3396"/>
      <c r="AD520" s="3396"/>
      <c r="AE520" s="3396"/>
      <c r="AF520" s="3396"/>
      <c r="AG520" s="3396"/>
      <c r="AH520" s="3396"/>
      <c r="AI520" s="3396"/>
      <c r="AJ520" s="3396"/>
      <c r="AK520" s="3396"/>
      <c r="AL520" s="3396"/>
      <c r="AM520" s="3396"/>
      <c r="AN520" s="3396"/>
      <c r="AO520" s="3396"/>
      <c r="AP520" s="3396"/>
      <c r="AQ520" s="3396"/>
      <c r="AR520" s="3396"/>
      <c r="AS520" s="3396"/>
      <c r="AT520" s="3396"/>
      <c r="AU520" s="3396"/>
      <c r="AV520" s="3396"/>
      <c r="AW520" s="3396"/>
      <c r="AX520" s="3396"/>
      <c r="AY520" s="3396"/>
      <c r="AZ520" s="3396"/>
      <c r="BA520" s="3396"/>
      <c r="BB520" s="3396"/>
      <c r="BC520" s="3396"/>
      <c r="BD520" s="3396"/>
      <c r="BE520" s="3396"/>
      <c r="BF520" s="3396"/>
      <c r="BG520" s="3396"/>
      <c r="BH520" s="3396"/>
      <c r="BI520" s="3396"/>
      <c r="BJ520" s="3396"/>
      <c r="BK520" s="3396"/>
      <c r="BL520" s="3396"/>
      <c r="BM520" s="3396"/>
      <c r="BN520" s="3396"/>
    </row>
    <row r="521" s="687" customFormat="1" ht="15" hidden="1" customHeight="1" spans="1:66">
      <c r="A521" s="3407" t="s">
        <v>6381</v>
      </c>
      <c r="B521" s="3408"/>
      <c r="C521" s="3409"/>
      <c r="D521" s="3409"/>
      <c r="E521" s="3408"/>
      <c r="F521" s="3410"/>
      <c r="G521" s="3430"/>
      <c r="H521" s="3411">
        <f t="shared" si="10"/>
        <v>0</v>
      </c>
      <c r="I521" s="3396"/>
      <c r="J521" s="3396"/>
      <c r="K521" s="3396"/>
      <c r="L521" s="3396"/>
      <c r="M521" s="3396"/>
      <c r="N521" s="3396"/>
      <c r="O521" s="3396"/>
      <c r="P521" s="3396"/>
      <c r="Q521" s="3396"/>
      <c r="R521" s="3396"/>
      <c r="S521" s="3396"/>
      <c r="T521" s="3396"/>
      <c r="U521" s="3396"/>
      <c r="V521" s="3396"/>
      <c r="W521" s="3396"/>
      <c r="X521" s="3396"/>
      <c r="Y521" s="3396"/>
      <c r="Z521" s="3396"/>
      <c r="AA521" s="3396"/>
      <c r="AB521" s="3396"/>
      <c r="AC521" s="3396"/>
      <c r="AD521" s="3396"/>
      <c r="AE521" s="3396"/>
      <c r="AF521" s="3396"/>
      <c r="AG521" s="3396"/>
      <c r="AH521" s="3396"/>
      <c r="AI521" s="3396"/>
      <c r="AJ521" s="3396"/>
      <c r="AK521" s="3396"/>
      <c r="AL521" s="3396"/>
      <c r="AM521" s="3396"/>
      <c r="AN521" s="3396"/>
      <c r="AO521" s="3396"/>
      <c r="AP521" s="3396"/>
      <c r="AQ521" s="3396"/>
      <c r="AR521" s="3396"/>
      <c r="AS521" s="3396"/>
      <c r="AT521" s="3396"/>
      <c r="AU521" s="3396"/>
      <c r="AV521" s="3396"/>
      <c r="AW521" s="3396"/>
      <c r="AX521" s="3396"/>
      <c r="AY521" s="3396"/>
      <c r="AZ521" s="3396"/>
      <c r="BA521" s="3396"/>
      <c r="BB521" s="3396"/>
      <c r="BC521" s="3396"/>
      <c r="BD521" s="3396"/>
      <c r="BE521" s="3396"/>
      <c r="BF521" s="3396"/>
      <c r="BG521" s="3396"/>
      <c r="BH521" s="3396"/>
      <c r="BI521" s="3396"/>
      <c r="BJ521" s="3396"/>
      <c r="BK521" s="3396"/>
      <c r="BL521" s="3396"/>
      <c r="BM521" s="3396"/>
      <c r="BN521" s="3396"/>
    </row>
    <row r="522" s="687" customFormat="1" ht="15" hidden="1" customHeight="1" spans="1:66">
      <c r="A522" s="3407" t="s">
        <v>6382</v>
      </c>
      <c r="B522" s="3408"/>
      <c r="C522" s="3409"/>
      <c r="D522" s="3409"/>
      <c r="E522" s="3408"/>
      <c r="F522" s="3410"/>
      <c r="G522" s="3430"/>
      <c r="H522" s="3411">
        <f t="shared" si="10"/>
        <v>0</v>
      </c>
      <c r="I522" s="3396"/>
      <c r="J522" s="3396"/>
      <c r="K522" s="3396"/>
      <c r="L522" s="3396"/>
      <c r="M522" s="3396"/>
      <c r="N522" s="3396"/>
      <c r="O522" s="3396"/>
      <c r="P522" s="3396"/>
      <c r="Q522" s="3396"/>
      <c r="R522" s="3396"/>
      <c r="S522" s="3396"/>
      <c r="T522" s="3396"/>
      <c r="U522" s="3396"/>
      <c r="V522" s="3396"/>
      <c r="W522" s="3396"/>
      <c r="X522" s="3396"/>
      <c r="Y522" s="3396"/>
      <c r="Z522" s="3396"/>
      <c r="AA522" s="3396"/>
      <c r="AB522" s="3396"/>
      <c r="AC522" s="3396"/>
      <c r="AD522" s="3396"/>
      <c r="AE522" s="3396"/>
      <c r="AF522" s="3396"/>
      <c r="AG522" s="3396"/>
      <c r="AH522" s="3396"/>
      <c r="AI522" s="3396"/>
      <c r="AJ522" s="3396"/>
      <c r="AK522" s="3396"/>
      <c r="AL522" s="3396"/>
      <c r="AM522" s="3396"/>
      <c r="AN522" s="3396"/>
      <c r="AO522" s="3396"/>
      <c r="AP522" s="3396"/>
      <c r="AQ522" s="3396"/>
      <c r="AR522" s="3396"/>
      <c r="AS522" s="3396"/>
      <c r="AT522" s="3396"/>
      <c r="AU522" s="3396"/>
      <c r="AV522" s="3396"/>
      <c r="AW522" s="3396"/>
      <c r="AX522" s="3396"/>
      <c r="AY522" s="3396"/>
      <c r="AZ522" s="3396"/>
      <c r="BA522" s="3396"/>
      <c r="BB522" s="3396"/>
      <c r="BC522" s="3396"/>
      <c r="BD522" s="3396"/>
      <c r="BE522" s="3396"/>
      <c r="BF522" s="3396"/>
      <c r="BG522" s="3396"/>
      <c r="BH522" s="3396"/>
      <c r="BI522" s="3396"/>
      <c r="BJ522" s="3396"/>
      <c r="BK522" s="3396"/>
      <c r="BL522" s="3396"/>
      <c r="BM522" s="3396"/>
      <c r="BN522" s="3396"/>
    </row>
    <row r="523" s="687" customFormat="1" ht="15" hidden="1" customHeight="1" spans="1:66">
      <c r="A523" s="3407" t="s">
        <v>6383</v>
      </c>
      <c r="B523" s="3408"/>
      <c r="C523" s="3409"/>
      <c r="D523" s="3409"/>
      <c r="E523" s="3408"/>
      <c r="F523" s="3410"/>
      <c r="G523" s="3430"/>
      <c r="H523" s="3411">
        <f t="shared" si="10"/>
        <v>0</v>
      </c>
      <c r="I523" s="3396"/>
      <c r="J523" s="3396"/>
      <c r="K523" s="3396"/>
      <c r="L523" s="3396"/>
      <c r="M523" s="3396"/>
      <c r="N523" s="3396"/>
      <c r="O523" s="3396"/>
      <c r="P523" s="3396"/>
      <c r="Q523" s="3396"/>
      <c r="R523" s="3396"/>
      <c r="S523" s="3396"/>
      <c r="T523" s="3396"/>
      <c r="U523" s="3396"/>
      <c r="V523" s="3396"/>
      <c r="W523" s="3396"/>
      <c r="X523" s="3396"/>
      <c r="Y523" s="3396"/>
      <c r="Z523" s="3396"/>
      <c r="AA523" s="3396"/>
      <c r="AB523" s="3396"/>
      <c r="AC523" s="3396"/>
      <c r="AD523" s="3396"/>
      <c r="AE523" s="3396"/>
      <c r="AF523" s="3396"/>
      <c r="AG523" s="3396"/>
      <c r="AH523" s="3396"/>
      <c r="AI523" s="3396"/>
      <c r="AJ523" s="3396"/>
      <c r="AK523" s="3396"/>
      <c r="AL523" s="3396"/>
      <c r="AM523" s="3396"/>
      <c r="AN523" s="3396"/>
      <c r="AO523" s="3396"/>
      <c r="AP523" s="3396"/>
      <c r="AQ523" s="3396"/>
      <c r="AR523" s="3396"/>
      <c r="AS523" s="3396"/>
      <c r="AT523" s="3396"/>
      <c r="AU523" s="3396"/>
      <c r="AV523" s="3396"/>
      <c r="AW523" s="3396"/>
      <c r="AX523" s="3396"/>
      <c r="AY523" s="3396"/>
      <c r="AZ523" s="3396"/>
      <c r="BA523" s="3396"/>
      <c r="BB523" s="3396"/>
      <c r="BC523" s="3396"/>
      <c r="BD523" s="3396"/>
      <c r="BE523" s="3396"/>
      <c r="BF523" s="3396"/>
      <c r="BG523" s="3396"/>
      <c r="BH523" s="3396"/>
      <c r="BI523" s="3396"/>
      <c r="BJ523" s="3396"/>
      <c r="BK523" s="3396"/>
      <c r="BL523" s="3396"/>
      <c r="BM523" s="3396"/>
      <c r="BN523" s="3396"/>
    </row>
    <row r="524" s="687" customFormat="1" ht="15" hidden="1" customHeight="1" spans="1:66">
      <c r="A524" s="3407" t="s">
        <v>6384</v>
      </c>
      <c r="B524" s="3408"/>
      <c r="C524" s="3409"/>
      <c r="D524" s="3409"/>
      <c r="E524" s="3408"/>
      <c r="F524" s="3410"/>
      <c r="G524" s="3430"/>
      <c r="H524" s="3411">
        <f t="shared" si="10"/>
        <v>0</v>
      </c>
      <c r="I524" s="3396"/>
      <c r="J524" s="3396"/>
      <c r="K524" s="3396"/>
      <c r="L524" s="3396"/>
      <c r="M524" s="3396"/>
      <c r="N524" s="3396"/>
      <c r="O524" s="3396"/>
      <c r="P524" s="3396"/>
      <c r="Q524" s="3396"/>
      <c r="R524" s="3396"/>
      <c r="S524" s="3396"/>
      <c r="T524" s="3396"/>
      <c r="U524" s="3396"/>
      <c r="V524" s="3396"/>
      <c r="W524" s="3396"/>
      <c r="X524" s="3396"/>
      <c r="Y524" s="3396"/>
      <c r="Z524" s="3396"/>
      <c r="AA524" s="3396"/>
      <c r="AB524" s="3396"/>
      <c r="AC524" s="3396"/>
      <c r="AD524" s="3396"/>
      <c r="AE524" s="3396"/>
      <c r="AF524" s="3396"/>
      <c r="AG524" s="3396"/>
      <c r="AH524" s="3396"/>
      <c r="AI524" s="3396"/>
      <c r="AJ524" s="3396"/>
      <c r="AK524" s="3396"/>
      <c r="AL524" s="3396"/>
      <c r="AM524" s="3396"/>
      <c r="AN524" s="3396"/>
      <c r="AO524" s="3396"/>
      <c r="AP524" s="3396"/>
      <c r="AQ524" s="3396"/>
      <c r="AR524" s="3396"/>
      <c r="AS524" s="3396"/>
      <c r="AT524" s="3396"/>
      <c r="AU524" s="3396"/>
      <c r="AV524" s="3396"/>
      <c r="AW524" s="3396"/>
      <c r="AX524" s="3396"/>
      <c r="AY524" s="3396"/>
      <c r="AZ524" s="3396"/>
      <c r="BA524" s="3396"/>
      <c r="BB524" s="3396"/>
      <c r="BC524" s="3396"/>
      <c r="BD524" s="3396"/>
      <c r="BE524" s="3396"/>
      <c r="BF524" s="3396"/>
      <c r="BG524" s="3396"/>
      <c r="BH524" s="3396"/>
      <c r="BI524" s="3396"/>
      <c r="BJ524" s="3396"/>
      <c r="BK524" s="3396"/>
      <c r="BL524" s="3396"/>
      <c r="BM524" s="3396"/>
      <c r="BN524" s="3396"/>
    </row>
    <row r="525" s="687" customFormat="1" ht="15" hidden="1" customHeight="1" spans="1:66">
      <c r="A525" s="3407" t="s">
        <v>6385</v>
      </c>
      <c r="B525" s="3408"/>
      <c r="C525" s="3409"/>
      <c r="D525" s="3409"/>
      <c r="E525" s="3408"/>
      <c r="F525" s="3410"/>
      <c r="G525" s="3430"/>
      <c r="H525" s="3411">
        <f t="shared" si="10"/>
        <v>0</v>
      </c>
      <c r="I525" s="3396"/>
      <c r="J525" s="3396"/>
      <c r="K525" s="3396"/>
      <c r="L525" s="3396"/>
      <c r="M525" s="3396"/>
      <c r="N525" s="3396"/>
      <c r="O525" s="3396"/>
      <c r="P525" s="3396"/>
      <c r="Q525" s="3396"/>
      <c r="R525" s="3396"/>
      <c r="S525" s="3396"/>
      <c r="T525" s="3396"/>
      <c r="U525" s="3396"/>
      <c r="V525" s="3396"/>
      <c r="W525" s="3396"/>
      <c r="X525" s="3396"/>
      <c r="Y525" s="3396"/>
      <c r="Z525" s="3396"/>
      <c r="AA525" s="3396"/>
      <c r="AB525" s="3396"/>
      <c r="AC525" s="3396"/>
      <c r="AD525" s="3396"/>
      <c r="AE525" s="3396"/>
      <c r="AF525" s="3396"/>
      <c r="AG525" s="3396"/>
      <c r="AH525" s="3396"/>
      <c r="AI525" s="3396"/>
      <c r="AJ525" s="3396"/>
      <c r="AK525" s="3396"/>
      <c r="AL525" s="3396"/>
      <c r="AM525" s="3396"/>
      <c r="AN525" s="3396"/>
      <c r="AO525" s="3396"/>
      <c r="AP525" s="3396"/>
      <c r="AQ525" s="3396"/>
      <c r="AR525" s="3396"/>
      <c r="AS525" s="3396"/>
      <c r="AT525" s="3396"/>
      <c r="AU525" s="3396"/>
      <c r="AV525" s="3396"/>
      <c r="AW525" s="3396"/>
      <c r="AX525" s="3396"/>
      <c r="AY525" s="3396"/>
      <c r="AZ525" s="3396"/>
      <c r="BA525" s="3396"/>
      <c r="BB525" s="3396"/>
      <c r="BC525" s="3396"/>
      <c r="BD525" s="3396"/>
      <c r="BE525" s="3396"/>
      <c r="BF525" s="3396"/>
      <c r="BG525" s="3396"/>
      <c r="BH525" s="3396"/>
      <c r="BI525" s="3396"/>
      <c r="BJ525" s="3396"/>
      <c r="BK525" s="3396"/>
      <c r="BL525" s="3396"/>
      <c r="BM525" s="3396"/>
      <c r="BN525" s="3396"/>
    </row>
    <row r="526" s="687" customFormat="1" ht="15" hidden="1" customHeight="1" spans="1:66">
      <c r="A526" s="3407" t="s">
        <v>6386</v>
      </c>
      <c r="B526" s="3408"/>
      <c r="C526" s="3409"/>
      <c r="D526" s="3409"/>
      <c r="E526" s="3408"/>
      <c r="F526" s="3410"/>
      <c r="G526" s="3430"/>
      <c r="H526" s="3411">
        <f t="shared" si="10"/>
        <v>0</v>
      </c>
      <c r="I526" s="3396"/>
      <c r="J526" s="3396"/>
      <c r="K526" s="3396"/>
      <c r="L526" s="3396"/>
      <c r="M526" s="3396"/>
      <c r="N526" s="3396"/>
      <c r="O526" s="3396"/>
      <c r="P526" s="3396"/>
      <c r="Q526" s="3396"/>
      <c r="R526" s="3396"/>
      <c r="S526" s="3396"/>
      <c r="T526" s="3396"/>
      <c r="U526" s="3396"/>
      <c r="V526" s="3396"/>
      <c r="W526" s="3396"/>
      <c r="X526" s="3396"/>
      <c r="Y526" s="3396"/>
      <c r="Z526" s="3396"/>
      <c r="AA526" s="3396"/>
      <c r="AB526" s="3396"/>
      <c r="AC526" s="3396"/>
      <c r="AD526" s="3396"/>
      <c r="AE526" s="3396"/>
      <c r="AF526" s="3396"/>
      <c r="AG526" s="3396"/>
      <c r="AH526" s="3396"/>
      <c r="AI526" s="3396"/>
      <c r="AJ526" s="3396"/>
      <c r="AK526" s="3396"/>
      <c r="AL526" s="3396"/>
      <c r="AM526" s="3396"/>
      <c r="AN526" s="3396"/>
      <c r="AO526" s="3396"/>
      <c r="AP526" s="3396"/>
      <c r="AQ526" s="3396"/>
      <c r="AR526" s="3396"/>
      <c r="AS526" s="3396"/>
      <c r="AT526" s="3396"/>
      <c r="AU526" s="3396"/>
      <c r="AV526" s="3396"/>
      <c r="AW526" s="3396"/>
      <c r="AX526" s="3396"/>
      <c r="AY526" s="3396"/>
      <c r="AZ526" s="3396"/>
      <c r="BA526" s="3396"/>
      <c r="BB526" s="3396"/>
      <c r="BC526" s="3396"/>
      <c r="BD526" s="3396"/>
      <c r="BE526" s="3396"/>
      <c r="BF526" s="3396"/>
      <c r="BG526" s="3396"/>
      <c r="BH526" s="3396"/>
      <c r="BI526" s="3396"/>
      <c r="BJ526" s="3396"/>
      <c r="BK526" s="3396"/>
      <c r="BL526" s="3396"/>
      <c r="BM526" s="3396"/>
      <c r="BN526" s="3396"/>
    </row>
    <row r="527" s="687" customFormat="1" ht="15" hidden="1" customHeight="1" spans="1:66">
      <c r="A527" s="3407" t="s">
        <v>6387</v>
      </c>
      <c r="B527" s="3408"/>
      <c r="C527" s="3409"/>
      <c r="D527" s="3409"/>
      <c r="E527" s="3408"/>
      <c r="F527" s="3410"/>
      <c r="G527" s="3430"/>
      <c r="H527" s="3411">
        <f t="shared" si="10"/>
        <v>0</v>
      </c>
      <c r="I527" s="3396"/>
      <c r="J527" s="3396"/>
      <c r="K527" s="3396"/>
      <c r="L527" s="3396"/>
      <c r="M527" s="3396"/>
      <c r="N527" s="3396"/>
      <c r="O527" s="3396"/>
      <c r="P527" s="3396"/>
      <c r="Q527" s="3396"/>
      <c r="R527" s="3396"/>
      <c r="S527" s="3396"/>
      <c r="T527" s="3396"/>
      <c r="U527" s="3396"/>
      <c r="V527" s="3396"/>
      <c r="W527" s="3396"/>
      <c r="X527" s="3396"/>
      <c r="Y527" s="3396"/>
      <c r="Z527" s="3396"/>
      <c r="AA527" s="3396"/>
      <c r="AB527" s="3396"/>
      <c r="AC527" s="3396"/>
      <c r="AD527" s="3396"/>
      <c r="AE527" s="3396"/>
      <c r="AF527" s="3396"/>
      <c r="AG527" s="3396"/>
      <c r="AH527" s="3396"/>
      <c r="AI527" s="3396"/>
      <c r="AJ527" s="3396"/>
      <c r="AK527" s="3396"/>
      <c r="AL527" s="3396"/>
      <c r="AM527" s="3396"/>
      <c r="AN527" s="3396"/>
      <c r="AO527" s="3396"/>
      <c r="AP527" s="3396"/>
      <c r="AQ527" s="3396"/>
      <c r="AR527" s="3396"/>
      <c r="AS527" s="3396"/>
      <c r="AT527" s="3396"/>
      <c r="AU527" s="3396"/>
      <c r="AV527" s="3396"/>
      <c r="AW527" s="3396"/>
      <c r="AX527" s="3396"/>
      <c r="AY527" s="3396"/>
      <c r="AZ527" s="3396"/>
      <c r="BA527" s="3396"/>
      <c r="BB527" s="3396"/>
      <c r="BC527" s="3396"/>
      <c r="BD527" s="3396"/>
      <c r="BE527" s="3396"/>
      <c r="BF527" s="3396"/>
      <c r="BG527" s="3396"/>
      <c r="BH527" s="3396"/>
      <c r="BI527" s="3396"/>
      <c r="BJ527" s="3396"/>
      <c r="BK527" s="3396"/>
      <c r="BL527" s="3396"/>
      <c r="BM527" s="3396"/>
      <c r="BN527" s="3396"/>
    </row>
    <row r="528" s="687" customFormat="1" ht="15" hidden="1" customHeight="1" spans="1:66">
      <c r="A528" s="3407" t="s">
        <v>6388</v>
      </c>
      <c r="B528" s="3408"/>
      <c r="C528" s="3409"/>
      <c r="D528" s="3409"/>
      <c r="E528" s="3408"/>
      <c r="F528" s="3410"/>
      <c r="G528" s="3430"/>
      <c r="H528" s="3411">
        <f t="shared" si="10"/>
        <v>0</v>
      </c>
      <c r="I528" s="3396"/>
      <c r="J528" s="3396"/>
      <c r="K528" s="3396"/>
      <c r="L528" s="3396"/>
      <c r="M528" s="3396"/>
      <c r="N528" s="3396"/>
      <c r="O528" s="3396"/>
      <c r="P528" s="3396"/>
      <c r="Q528" s="3396"/>
      <c r="R528" s="3396"/>
      <c r="S528" s="3396"/>
      <c r="T528" s="3396"/>
      <c r="U528" s="3396"/>
      <c r="V528" s="3396"/>
      <c r="W528" s="3396"/>
      <c r="X528" s="3396"/>
      <c r="Y528" s="3396"/>
      <c r="Z528" s="3396"/>
      <c r="AA528" s="3396"/>
      <c r="AB528" s="3396"/>
      <c r="AC528" s="3396"/>
      <c r="AD528" s="3396"/>
      <c r="AE528" s="3396"/>
      <c r="AF528" s="3396"/>
      <c r="AG528" s="3396"/>
      <c r="AH528" s="3396"/>
      <c r="AI528" s="3396"/>
      <c r="AJ528" s="3396"/>
      <c r="AK528" s="3396"/>
      <c r="AL528" s="3396"/>
      <c r="AM528" s="3396"/>
      <c r="AN528" s="3396"/>
      <c r="AO528" s="3396"/>
      <c r="AP528" s="3396"/>
      <c r="AQ528" s="3396"/>
      <c r="AR528" s="3396"/>
      <c r="AS528" s="3396"/>
      <c r="AT528" s="3396"/>
      <c r="AU528" s="3396"/>
      <c r="AV528" s="3396"/>
      <c r="AW528" s="3396"/>
      <c r="AX528" s="3396"/>
      <c r="AY528" s="3396"/>
      <c r="AZ528" s="3396"/>
      <c r="BA528" s="3396"/>
      <c r="BB528" s="3396"/>
      <c r="BC528" s="3396"/>
      <c r="BD528" s="3396"/>
      <c r="BE528" s="3396"/>
      <c r="BF528" s="3396"/>
      <c r="BG528" s="3396"/>
      <c r="BH528" s="3396"/>
      <c r="BI528" s="3396"/>
      <c r="BJ528" s="3396"/>
      <c r="BK528" s="3396"/>
      <c r="BL528" s="3396"/>
      <c r="BM528" s="3396"/>
      <c r="BN528" s="3396"/>
    </row>
    <row r="529" s="687" customFormat="1" ht="15" hidden="1" customHeight="1" spans="1:66">
      <c r="A529" s="3407" t="s">
        <v>6389</v>
      </c>
      <c r="B529" s="3408"/>
      <c r="C529" s="3409"/>
      <c r="D529" s="3409"/>
      <c r="E529" s="3408"/>
      <c r="F529" s="3410"/>
      <c r="G529" s="3430"/>
      <c r="H529" s="3411">
        <f t="shared" si="10"/>
        <v>0</v>
      </c>
      <c r="I529" s="3396"/>
      <c r="J529" s="3396"/>
      <c r="K529" s="3396"/>
      <c r="L529" s="3396"/>
      <c r="M529" s="3396"/>
      <c r="N529" s="3396"/>
      <c r="O529" s="3396"/>
      <c r="P529" s="3396"/>
      <c r="Q529" s="3396"/>
      <c r="R529" s="3396"/>
      <c r="S529" s="3396"/>
      <c r="T529" s="3396"/>
      <c r="U529" s="3396"/>
      <c r="V529" s="3396"/>
      <c r="W529" s="3396"/>
      <c r="X529" s="3396"/>
      <c r="Y529" s="3396"/>
      <c r="Z529" s="3396"/>
      <c r="AA529" s="3396"/>
      <c r="AB529" s="3396"/>
      <c r="AC529" s="3396"/>
      <c r="AD529" s="3396"/>
      <c r="AE529" s="3396"/>
      <c r="AF529" s="3396"/>
      <c r="AG529" s="3396"/>
      <c r="AH529" s="3396"/>
      <c r="AI529" s="3396"/>
      <c r="AJ529" s="3396"/>
      <c r="AK529" s="3396"/>
      <c r="AL529" s="3396"/>
      <c r="AM529" s="3396"/>
      <c r="AN529" s="3396"/>
      <c r="AO529" s="3396"/>
      <c r="AP529" s="3396"/>
      <c r="AQ529" s="3396"/>
      <c r="AR529" s="3396"/>
      <c r="AS529" s="3396"/>
      <c r="AT529" s="3396"/>
      <c r="AU529" s="3396"/>
      <c r="AV529" s="3396"/>
      <c r="AW529" s="3396"/>
      <c r="AX529" s="3396"/>
      <c r="AY529" s="3396"/>
      <c r="AZ529" s="3396"/>
      <c r="BA529" s="3396"/>
      <c r="BB529" s="3396"/>
      <c r="BC529" s="3396"/>
      <c r="BD529" s="3396"/>
      <c r="BE529" s="3396"/>
      <c r="BF529" s="3396"/>
      <c r="BG529" s="3396"/>
      <c r="BH529" s="3396"/>
      <c r="BI529" s="3396"/>
      <c r="BJ529" s="3396"/>
      <c r="BK529" s="3396"/>
      <c r="BL529" s="3396"/>
      <c r="BM529" s="3396"/>
      <c r="BN529" s="3396"/>
    </row>
    <row r="530" s="687" customFormat="1" ht="15" hidden="1" customHeight="1" spans="1:66">
      <c r="A530" s="3407" t="s">
        <v>6390</v>
      </c>
      <c r="B530" s="3408"/>
      <c r="C530" s="3409"/>
      <c r="D530" s="3409"/>
      <c r="E530" s="3408"/>
      <c r="F530" s="3410"/>
      <c r="G530" s="3430"/>
      <c r="H530" s="3411">
        <f t="shared" si="10"/>
        <v>0</v>
      </c>
      <c r="I530" s="3396"/>
      <c r="J530" s="3396"/>
      <c r="K530" s="3396"/>
      <c r="L530" s="3396"/>
      <c r="M530" s="3396"/>
      <c r="N530" s="3396"/>
      <c r="O530" s="3396"/>
      <c r="P530" s="3396"/>
      <c r="Q530" s="3396"/>
      <c r="R530" s="3396"/>
      <c r="S530" s="3396"/>
      <c r="T530" s="3396"/>
      <c r="U530" s="3396"/>
      <c r="V530" s="3396"/>
      <c r="W530" s="3396"/>
      <c r="X530" s="3396"/>
      <c r="Y530" s="3396"/>
      <c r="Z530" s="3396"/>
      <c r="AA530" s="3396"/>
      <c r="AB530" s="3396"/>
      <c r="AC530" s="3396"/>
      <c r="AD530" s="3396"/>
      <c r="AE530" s="3396"/>
      <c r="AF530" s="3396"/>
      <c r="AG530" s="3396"/>
      <c r="AH530" s="3396"/>
      <c r="AI530" s="3396"/>
      <c r="AJ530" s="3396"/>
      <c r="AK530" s="3396"/>
      <c r="AL530" s="3396"/>
      <c r="AM530" s="3396"/>
      <c r="AN530" s="3396"/>
      <c r="AO530" s="3396"/>
      <c r="AP530" s="3396"/>
      <c r="AQ530" s="3396"/>
      <c r="AR530" s="3396"/>
      <c r="AS530" s="3396"/>
      <c r="AT530" s="3396"/>
      <c r="AU530" s="3396"/>
      <c r="AV530" s="3396"/>
      <c r="AW530" s="3396"/>
      <c r="AX530" s="3396"/>
      <c r="AY530" s="3396"/>
      <c r="AZ530" s="3396"/>
      <c r="BA530" s="3396"/>
      <c r="BB530" s="3396"/>
      <c r="BC530" s="3396"/>
      <c r="BD530" s="3396"/>
      <c r="BE530" s="3396"/>
      <c r="BF530" s="3396"/>
      <c r="BG530" s="3396"/>
      <c r="BH530" s="3396"/>
      <c r="BI530" s="3396"/>
      <c r="BJ530" s="3396"/>
      <c r="BK530" s="3396"/>
      <c r="BL530" s="3396"/>
      <c r="BM530" s="3396"/>
      <c r="BN530" s="3396"/>
    </row>
    <row r="531" s="687" customFormat="1" ht="15" hidden="1" customHeight="1" spans="1:66">
      <c r="A531" s="3407" t="s">
        <v>6391</v>
      </c>
      <c r="B531" s="3408"/>
      <c r="C531" s="3409"/>
      <c r="D531" s="3409"/>
      <c r="E531" s="3408"/>
      <c r="F531" s="3410"/>
      <c r="G531" s="3430"/>
      <c r="H531" s="3411">
        <f t="shared" si="10"/>
        <v>0</v>
      </c>
      <c r="I531" s="3396"/>
      <c r="J531" s="3396"/>
      <c r="K531" s="3396"/>
      <c r="L531" s="3396"/>
      <c r="M531" s="3396"/>
      <c r="N531" s="3396"/>
      <c r="O531" s="3396"/>
      <c r="P531" s="3396"/>
      <c r="Q531" s="3396"/>
      <c r="R531" s="3396"/>
      <c r="S531" s="3396"/>
      <c r="T531" s="3396"/>
      <c r="U531" s="3396"/>
      <c r="V531" s="3396"/>
      <c r="W531" s="3396"/>
      <c r="X531" s="3396"/>
      <c r="Y531" s="3396"/>
      <c r="Z531" s="3396"/>
      <c r="AA531" s="3396"/>
      <c r="AB531" s="3396"/>
      <c r="AC531" s="3396"/>
      <c r="AD531" s="3396"/>
      <c r="AE531" s="3396"/>
      <c r="AF531" s="3396"/>
      <c r="AG531" s="3396"/>
      <c r="AH531" s="3396"/>
      <c r="AI531" s="3396"/>
      <c r="AJ531" s="3396"/>
      <c r="AK531" s="3396"/>
      <c r="AL531" s="3396"/>
      <c r="AM531" s="3396"/>
      <c r="AN531" s="3396"/>
      <c r="AO531" s="3396"/>
      <c r="AP531" s="3396"/>
      <c r="AQ531" s="3396"/>
      <c r="AR531" s="3396"/>
      <c r="AS531" s="3396"/>
      <c r="AT531" s="3396"/>
      <c r="AU531" s="3396"/>
      <c r="AV531" s="3396"/>
      <c r="AW531" s="3396"/>
      <c r="AX531" s="3396"/>
      <c r="AY531" s="3396"/>
      <c r="AZ531" s="3396"/>
      <c r="BA531" s="3396"/>
      <c r="BB531" s="3396"/>
      <c r="BC531" s="3396"/>
      <c r="BD531" s="3396"/>
      <c r="BE531" s="3396"/>
      <c r="BF531" s="3396"/>
      <c r="BG531" s="3396"/>
      <c r="BH531" s="3396"/>
      <c r="BI531" s="3396"/>
      <c r="BJ531" s="3396"/>
      <c r="BK531" s="3396"/>
      <c r="BL531" s="3396"/>
      <c r="BM531" s="3396"/>
      <c r="BN531" s="3396"/>
    </row>
    <row r="532" s="687" customFormat="1" ht="15" hidden="1" customHeight="1" spans="1:66">
      <c r="A532" s="3407" t="s">
        <v>6392</v>
      </c>
      <c r="B532" s="3408"/>
      <c r="C532" s="3409"/>
      <c r="D532" s="3409"/>
      <c r="E532" s="3408"/>
      <c r="F532" s="3410"/>
      <c r="G532" s="3430"/>
      <c r="H532" s="3411">
        <f t="shared" si="10"/>
        <v>0</v>
      </c>
      <c r="I532" s="3396"/>
      <c r="J532" s="3396"/>
      <c r="K532" s="3396"/>
      <c r="L532" s="3396"/>
      <c r="M532" s="3396"/>
      <c r="N532" s="3396"/>
      <c r="O532" s="3396"/>
      <c r="P532" s="3396"/>
      <c r="Q532" s="3396"/>
      <c r="R532" s="3396"/>
      <c r="S532" s="3396"/>
      <c r="T532" s="3396"/>
      <c r="U532" s="3396"/>
      <c r="V532" s="3396"/>
      <c r="W532" s="3396"/>
      <c r="X532" s="3396"/>
      <c r="Y532" s="3396"/>
      <c r="Z532" s="3396"/>
      <c r="AA532" s="3396"/>
      <c r="AB532" s="3396"/>
      <c r="AC532" s="3396"/>
      <c r="AD532" s="3396"/>
      <c r="AE532" s="3396"/>
      <c r="AF532" s="3396"/>
      <c r="AG532" s="3396"/>
      <c r="AH532" s="3396"/>
      <c r="AI532" s="3396"/>
      <c r="AJ532" s="3396"/>
      <c r="AK532" s="3396"/>
      <c r="AL532" s="3396"/>
      <c r="AM532" s="3396"/>
      <c r="AN532" s="3396"/>
      <c r="AO532" s="3396"/>
      <c r="AP532" s="3396"/>
      <c r="AQ532" s="3396"/>
      <c r="AR532" s="3396"/>
      <c r="AS532" s="3396"/>
      <c r="AT532" s="3396"/>
      <c r="AU532" s="3396"/>
      <c r="AV532" s="3396"/>
      <c r="AW532" s="3396"/>
      <c r="AX532" s="3396"/>
      <c r="AY532" s="3396"/>
      <c r="AZ532" s="3396"/>
      <c r="BA532" s="3396"/>
      <c r="BB532" s="3396"/>
      <c r="BC532" s="3396"/>
      <c r="BD532" s="3396"/>
      <c r="BE532" s="3396"/>
      <c r="BF532" s="3396"/>
      <c r="BG532" s="3396"/>
      <c r="BH532" s="3396"/>
      <c r="BI532" s="3396"/>
      <c r="BJ532" s="3396"/>
      <c r="BK532" s="3396"/>
      <c r="BL532" s="3396"/>
      <c r="BM532" s="3396"/>
      <c r="BN532" s="3396"/>
    </row>
    <row r="533" s="687" customFormat="1" ht="15" hidden="1" customHeight="1" spans="1:66">
      <c r="A533" s="3407" t="s">
        <v>6393</v>
      </c>
      <c r="B533" s="3408"/>
      <c r="C533" s="3409"/>
      <c r="D533" s="3409"/>
      <c r="E533" s="3408"/>
      <c r="F533" s="3410"/>
      <c r="G533" s="3430"/>
      <c r="H533" s="3411">
        <f t="shared" si="10"/>
        <v>0</v>
      </c>
      <c r="I533" s="3396"/>
      <c r="J533" s="3396"/>
      <c r="K533" s="3396"/>
      <c r="L533" s="3396"/>
      <c r="M533" s="3396"/>
      <c r="N533" s="3396"/>
      <c r="O533" s="3396"/>
      <c r="P533" s="3396"/>
      <c r="Q533" s="3396"/>
      <c r="R533" s="3396"/>
      <c r="S533" s="3396"/>
      <c r="T533" s="3396"/>
      <c r="U533" s="3396"/>
      <c r="V533" s="3396"/>
      <c r="W533" s="3396"/>
      <c r="X533" s="3396"/>
      <c r="Y533" s="3396"/>
      <c r="Z533" s="3396"/>
      <c r="AA533" s="3396"/>
      <c r="AB533" s="3396"/>
      <c r="AC533" s="3396"/>
      <c r="AD533" s="3396"/>
      <c r="AE533" s="3396"/>
      <c r="AF533" s="3396"/>
      <c r="AG533" s="3396"/>
      <c r="AH533" s="3396"/>
      <c r="AI533" s="3396"/>
      <c r="AJ533" s="3396"/>
      <c r="AK533" s="3396"/>
      <c r="AL533" s="3396"/>
      <c r="AM533" s="3396"/>
      <c r="AN533" s="3396"/>
      <c r="AO533" s="3396"/>
      <c r="AP533" s="3396"/>
      <c r="AQ533" s="3396"/>
      <c r="AR533" s="3396"/>
      <c r="AS533" s="3396"/>
      <c r="AT533" s="3396"/>
      <c r="AU533" s="3396"/>
      <c r="AV533" s="3396"/>
      <c r="AW533" s="3396"/>
      <c r="AX533" s="3396"/>
      <c r="AY533" s="3396"/>
      <c r="AZ533" s="3396"/>
      <c r="BA533" s="3396"/>
      <c r="BB533" s="3396"/>
      <c r="BC533" s="3396"/>
      <c r="BD533" s="3396"/>
      <c r="BE533" s="3396"/>
      <c r="BF533" s="3396"/>
      <c r="BG533" s="3396"/>
      <c r="BH533" s="3396"/>
      <c r="BI533" s="3396"/>
      <c r="BJ533" s="3396"/>
      <c r="BK533" s="3396"/>
      <c r="BL533" s="3396"/>
      <c r="BM533" s="3396"/>
      <c r="BN533" s="3396"/>
    </row>
    <row r="534" s="687" customFormat="1" ht="15" hidden="1" customHeight="1" spans="1:66">
      <c r="A534" s="3407" t="s">
        <v>6394</v>
      </c>
      <c r="B534" s="3408"/>
      <c r="C534" s="3409"/>
      <c r="D534" s="3409"/>
      <c r="E534" s="3408"/>
      <c r="F534" s="3410"/>
      <c r="G534" s="3430"/>
      <c r="H534" s="3411">
        <f t="shared" si="10"/>
        <v>0</v>
      </c>
      <c r="I534" s="3396"/>
      <c r="J534" s="3396"/>
      <c r="K534" s="3396"/>
      <c r="L534" s="3396"/>
      <c r="M534" s="3396"/>
      <c r="N534" s="3396"/>
      <c r="O534" s="3396"/>
      <c r="P534" s="3396"/>
      <c r="Q534" s="3396"/>
      <c r="R534" s="3396"/>
      <c r="S534" s="3396"/>
      <c r="T534" s="3396"/>
      <c r="U534" s="3396"/>
      <c r="V534" s="3396"/>
      <c r="W534" s="3396"/>
      <c r="X534" s="3396"/>
      <c r="Y534" s="3396"/>
      <c r="Z534" s="3396"/>
      <c r="AA534" s="3396"/>
      <c r="AB534" s="3396"/>
      <c r="AC534" s="3396"/>
      <c r="AD534" s="3396"/>
      <c r="AE534" s="3396"/>
      <c r="AF534" s="3396"/>
      <c r="AG534" s="3396"/>
      <c r="AH534" s="3396"/>
      <c r="AI534" s="3396"/>
      <c r="AJ534" s="3396"/>
      <c r="AK534" s="3396"/>
      <c r="AL534" s="3396"/>
      <c r="AM534" s="3396"/>
      <c r="AN534" s="3396"/>
      <c r="AO534" s="3396"/>
      <c r="AP534" s="3396"/>
      <c r="AQ534" s="3396"/>
      <c r="AR534" s="3396"/>
      <c r="AS534" s="3396"/>
      <c r="AT534" s="3396"/>
      <c r="AU534" s="3396"/>
      <c r="AV534" s="3396"/>
      <c r="AW534" s="3396"/>
      <c r="AX534" s="3396"/>
      <c r="AY534" s="3396"/>
      <c r="AZ534" s="3396"/>
      <c r="BA534" s="3396"/>
      <c r="BB534" s="3396"/>
      <c r="BC534" s="3396"/>
      <c r="BD534" s="3396"/>
      <c r="BE534" s="3396"/>
      <c r="BF534" s="3396"/>
      <c r="BG534" s="3396"/>
      <c r="BH534" s="3396"/>
      <c r="BI534" s="3396"/>
      <c r="BJ534" s="3396"/>
      <c r="BK534" s="3396"/>
      <c r="BL534" s="3396"/>
      <c r="BM534" s="3396"/>
      <c r="BN534" s="3396"/>
    </row>
    <row r="535" s="687" customFormat="1" ht="15" hidden="1" customHeight="1" spans="1:66">
      <c r="A535" s="3407" t="s">
        <v>6395</v>
      </c>
      <c r="B535" s="3408"/>
      <c r="C535" s="3409"/>
      <c r="D535" s="3409"/>
      <c r="E535" s="3408"/>
      <c r="F535" s="3410"/>
      <c r="G535" s="3430"/>
      <c r="H535" s="3411">
        <f t="shared" si="10"/>
        <v>0</v>
      </c>
      <c r="I535" s="3396"/>
      <c r="J535" s="3396"/>
      <c r="K535" s="3396"/>
      <c r="L535" s="3396"/>
      <c r="M535" s="3396"/>
      <c r="N535" s="3396"/>
      <c r="O535" s="3396"/>
      <c r="P535" s="3396"/>
      <c r="Q535" s="3396"/>
      <c r="R535" s="3396"/>
      <c r="S535" s="3396"/>
      <c r="T535" s="3396"/>
      <c r="U535" s="3396"/>
      <c r="V535" s="3396"/>
      <c r="W535" s="3396"/>
      <c r="X535" s="3396"/>
      <c r="Y535" s="3396"/>
      <c r="Z535" s="3396"/>
      <c r="AA535" s="3396"/>
      <c r="AB535" s="3396"/>
      <c r="AC535" s="3396"/>
      <c r="AD535" s="3396"/>
      <c r="AE535" s="3396"/>
      <c r="AF535" s="3396"/>
      <c r="AG535" s="3396"/>
      <c r="AH535" s="3396"/>
      <c r="AI535" s="3396"/>
      <c r="AJ535" s="3396"/>
      <c r="AK535" s="3396"/>
      <c r="AL535" s="3396"/>
      <c r="AM535" s="3396"/>
      <c r="AN535" s="3396"/>
      <c r="AO535" s="3396"/>
      <c r="AP535" s="3396"/>
      <c r="AQ535" s="3396"/>
      <c r="AR535" s="3396"/>
      <c r="AS535" s="3396"/>
      <c r="AT535" s="3396"/>
      <c r="AU535" s="3396"/>
      <c r="AV535" s="3396"/>
      <c r="AW535" s="3396"/>
      <c r="AX535" s="3396"/>
      <c r="AY535" s="3396"/>
      <c r="AZ535" s="3396"/>
      <c r="BA535" s="3396"/>
      <c r="BB535" s="3396"/>
      <c r="BC535" s="3396"/>
      <c r="BD535" s="3396"/>
      <c r="BE535" s="3396"/>
      <c r="BF535" s="3396"/>
      <c r="BG535" s="3396"/>
      <c r="BH535" s="3396"/>
      <c r="BI535" s="3396"/>
      <c r="BJ535" s="3396"/>
      <c r="BK535" s="3396"/>
      <c r="BL535" s="3396"/>
      <c r="BM535" s="3396"/>
      <c r="BN535" s="3396"/>
    </row>
    <row r="536" s="687" customFormat="1" ht="15" hidden="1" customHeight="1" spans="1:66">
      <c r="A536" s="3407" t="s">
        <v>6396</v>
      </c>
      <c r="B536" s="3408"/>
      <c r="C536" s="3409"/>
      <c r="D536" s="3409"/>
      <c r="E536" s="3408"/>
      <c r="F536" s="3410"/>
      <c r="G536" s="3430"/>
      <c r="H536" s="3411">
        <f t="shared" si="10"/>
        <v>0</v>
      </c>
      <c r="I536" s="3396"/>
      <c r="J536" s="3396"/>
      <c r="K536" s="3396"/>
      <c r="L536" s="3396"/>
      <c r="M536" s="3396"/>
      <c r="N536" s="3396"/>
      <c r="O536" s="3396"/>
      <c r="P536" s="3396"/>
      <c r="Q536" s="3396"/>
      <c r="R536" s="3396"/>
      <c r="S536" s="3396"/>
      <c r="T536" s="3396"/>
      <c r="U536" s="3396"/>
      <c r="V536" s="3396"/>
      <c r="W536" s="3396"/>
      <c r="X536" s="3396"/>
      <c r="Y536" s="3396"/>
      <c r="Z536" s="3396"/>
      <c r="AA536" s="3396"/>
      <c r="AB536" s="3396"/>
      <c r="AC536" s="3396"/>
      <c r="AD536" s="3396"/>
      <c r="AE536" s="3396"/>
      <c r="AF536" s="3396"/>
      <c r="AG536" s="3396"/>
      <c r="AH536" s="3396"/>
      <c r="AI536" s="3396"/>
      <c r="AJ536" s="3396"/>
      <c r="AK536" s="3396"/>
      <c r="AL536" s="3396"/>
      <c r="AM536" s="3396"/>
      <c r="AN536" s="3396"/>
      <c r="AO536" s="3396"/>
      <c r="AP536" s="3396"/>
      <c r="AQ536" s="3396"/>
      <c r="AR536" s="3396"/>
      <c r="AS536" s="3396"/>
      <c r="AT536" s="3396"/>
      <c r="AU536" s="3396"/>
      <c r="AV536" s="3396"/>
      <c r="AW536" s="3396"/>
      <c r="AX536" s="3396"/>
      <c r="AY536" s="3396"/>
      <c r="AZ536" s="3396"/>
      <c r="BA536" s="3396"/>
      <c r="BB536" s="3396"/>
      <c r="BC536" s="3396"/>
      <c r="BD536" s="3396"/>
      <c r="BE536" s="3396"/>
      <c r="BF536" s="3396"/>
      <c r="BG536" s="3396"/>
      <c r="BH536" s="3396"/>
      <c r="BI536" s="3396"/>
      <c r="BJ536" s="3396"/>
      <c r="BK536" s="3396"/>
      <c r="BL536" s="3396"/>
      <c r="BM536" s="3396"/>
      <c r="BN536" s="3396"/>
    </row>
    <row r="537" s="687" customFormat="1" ht="15" hidden="1" customHeight="1" spans="1:66">
      <c r="A537" s="3407" t="s">
        <v>6397</v>
      </c>
      <c r="B537" s="3408"/>
      <c r="C537" s="3409"/>
      <c r="D537" s="3409"/>
      <c r="E537" s="3408"/>
      <c r="F537" s="3410"/>
      <c r="G537" s="3430"/>
      <c r="H537" s="3411">
        <f t="shared" si="10"/>
        <v>0</v>
      </c>
      <c r="I537" s="3396"/>
      <c r="J537" s="3396"/>
      <c r="K537" s="3396"/>
      <c r="L537" s="3396"/>
      <c r="M537" s="3396"/>
      <c r="N537" s="3396"/>
      <c r="O537" s="3396"/>
      <c r="P537" s="3396"/>
      <c r="Q537" s="3396"/>
      <c r="R537" s="3396"/>
      <c r="S537" s="3396"/>
      <c r="T537" s="3396"/>
      <c r="U537" s="3396"/>
      <c r="V537" s="3396"/>
      <c r="W537" s="3396"/>
      <c r="X537" s="3396"/>
      <c r="Y537" s="3396"/>
      <c r="Z537" s="3396"/>
      <c r="AA537" s="3396"/>
      <c r="AB537" s="3396"/>
      <c r="AC537" s="3396"/>
      <c r="AD537" s="3396"/>
      <c r="AE537" s="3396"/>
      <c r="AF537" s="3396"/>
      <c r="AG537" s="3396"/>
      <c r="AH537" s="3396"/>
      <c r="AI537" s="3396"/>
      <c r="AJ537" s="3396"/>
      <c r="AK537" s="3396"/>
      <c r="AL537" s="3396"/>
      <c r="AM537" s="3396"/>
      <c r="AN537" s="3396"/>
      <c r="AO537" s="3396"/>
      <c r="AP537" s="3396"/>
      <c r="AQ537" s="3396"/>
      <c r="AR537" s="3396"/>
      <c r="AS537" s="3396"/>
      <c r="AT537" s="3396"/>
      <c r="AU537" s="3396"/>
      <c r="AV537" s="3396"/>
      <c r="AW537" s="3396"/>
      <c r="AX537" s="3396"/>
      <c r="AY537" s="3396"/>
      <c r="AZ537" s="3396"/>
      <c r="BA537" s="3396"/>
      <c r="BB537" s="3396"/>
      <c r="BC537" s="3396"/>
      <c r="BD537" s="3396"/>
      <c r="BE537" s="3396"/>
      <c r="BF537" s="3396"/>
      <c r="BG537" s="3396"/>
      <c r="BH537" s="3396"/>
      <c r="BI537" s="3396"/>
      <c r="BJ537" s="3396"/>
      <c r="BK537" s="3396"/>
      <c r="BL537" s="3396"/>
      <c r="BM537" s="3396"/>
      <c r="BN537" s="3396"/>
    </row>
    <row r="538" s="687" customFormat="1" ht="15" hidden="1" customHeight="1" spans="1:66">
      <c r="A538" s="3407" t="s">
        <v>6398</v>
      </c>
      <c r="B538" s="3408"/>
      <c r="C538" s="3409"/>
      <c r="D538" s="3409"/>
      <c r="E538" s="3408"/>
      <c r="F538" s="3410"/>
      <c r="G538" s="3430"/>
      <c r="H538" s="3411">
        <f t="shared" si="10"/>
        <v>0</v>
      </c>
      <c r="I538" s="3396"/>
      <c r="J538" s="3396"/>
      <c r="K538" s="3396"/>
      <c r="L538" s="3396"/>
      <c r="M538" s="3396"/>
      <c r="N538" s="3396"/>
      <c r="O538" s="3396"/>
      <c r="P538" s="3396"/>
      <c r="Q538" s="3396"/>
      <c r="R538" s="3396"/>
      <c r="S538" s="3396"/>
      <c r="T538" s="3396"/>
      <c r="U538" s="3396"/>
      <c r="V538" s="3396"/>
      <c r="W538" s="3396"/>
      <c r="X538" s="3396"/>
      <c r="Y538" s="3396"/>
      <c r="Z538" s="3396"/>
      <c r="AA538" s="3396"/>
      <c r="AB538" s="3396"/>
      <c r="AC538" s="3396"/>
      <c r="AD538" s="3396"/>
      <c r="AE538" s="3396"/>
      <c r="AF538" s="3396"/>
      <c r="AG538" s="3396"/>
      <c r="AH538" s="3396"/>
      <c r="AI538" s="3396"/>
      <c r="AJ538" s="3396"/>
      <c r="AK538" s="3396"/>
      <c r="AL538" s="3396"/>
      <c r="AM538" s="3396"/>
      <c r="AN538" s="3396"/>
      <c r="AO538" s="3396"/>
      <c r="AP538" s="3396"/>
      <c r="AQ538" s="3396"/>
      <c r="AR538" s="3396"/>
      <c r="AS538" s="3396"/>
      <c r="AT538" s="3396"/>
      <c r="AU538" s="3396"/>
      <c r="AV538" s="3396"/>
      <c r="AW538" s="3396"/>
      <c r="AX538" s="3396"/>
      <c r="AY538" s="3396"/>
      <c r="AZ538" s="3396"/>
      <c r="BA538" s="3396"/>
      <c r="BB538" s="3396"/>
      <c r="BC538" s="3396"/>
      <c r="BD538" s="3396"/>
      <c r="BE538" s="3396"/>
      <c r="BF538" s="3396"/>
      <c r="BG538" s="3396"/>
      <c r="BH538" s="3396"/>
      <c r="BI538" s="3396"/>
      <c r="BJ538" s="3396"/>
      <c r="BK538" s="3396"/>
      <c r="BL538" s="3396"/>
      <c r="BM538" s="3396"/>
      <c r="BN538" s="3396"/>
    </row>
    <row r="539" s="687" customFormat="1" ht="15" hidden="1" customHeight="1" spans="1:66">
      <c r="A539" s="3407" t="s">
        <v>6399</v>
      </c>
      <c r="B539" s="3408"/>
      <c r="C539" s="3409"/>
      <c r="D539" s="3409"/>
      <c r="E539" s="3408"/>
      <c r="F539" s="3410"/>
      <c r="G539" s="3430"/>
      <c r="H539" s="3411">
        <f t="shared" si="10"/>
        <v>0</v>
      </c>
      <c r="I539" s="3396"/>
      <c r="J539" s="3396"/>
      <c r="K539" s="3396"/>
      <c r="L539" s="3396"/>
      <c r="M539" s="3396"/>
      <c r="N539" s="3396"/>
      <c r="O539" s="3396"/>
      <c r="P539" s="3396"/>
      <c r="Q539" s="3396"/>
      <c r="R539" s="3396"/>
      <c r="S539" s="3396"/>
      <c r="T539" s="3396"/>
      <c r="U539" s="3396"/>
      <c r="V539" s="3396"/>
      <c r="W539" s="3396"/>
      <c r="X539" s="3396"/>
      <c r="Y539" s="3396"/>
      <c r="Z539" s="3396"/>
      <c r="AA539" s="3396"/>
      <c r="AB539" s="3396"/>
      <c r="AC539" s="3396"/>
      <c r="AD539" s="3396"/>
      <c r="AE539" s="3396"/>
      <c r="AF539" s="3396"/>
      <c r="AG539" s="3396"/>
      <c r="AH539" s="3396"/>
      <c r="AI539" s="3396"/>
      <c r="AJ539" s="3396"/>
      <c r="AK539" s="3396"/>
      <c r="AL539" s="3396"/>
      <c r="AM539" s="3396"/>
      <c r="AN539" s="3396"/>
      <c r="AO539" s="3396"/>
      <c r="AP539" s="3396"/>
      <c r="AQ539" s="3396"/>
      <c r="AR539" s="3396"/>
      <c r="AS539" s="3396"/>
      <c r="AT539" s="3396"/>
      <c r="AU539" s="3396"/>
      <c r="AV539" s="3396"/>
      <c r="AW539" s="3396"/>
      <c r="AX539" s="3396"/>
      <c r="AY539" s="3396"/>
      <c r="AZ539" s="3396"/>
      <c r="BA539" s="3396"/>
      <c r="BB539" s="3396"/>
      <c r="BC539" s="3396"/>
      <c r="BD539" s="3396"/>
      <c r="BE539" s="3396"/>
      <c r="BF539" s="3396"/>
      <c r="BG539" s="3396"/>
      <c r="BH539" s="3396"/>
      <c r="BI539" s="3396"/>
      <c r="BJ539" s="3396"/>
      <c r="BK539" s="3396"/>
      <c r="BL539" s="3396"/>
      <c r="BM539" s="3396"/>
      <c r="BN539" s="3396"/>
    </row>
    <row r="540" s="687" customFormat="1" ht="15" hidden="1" customHeight="1" spans="1:66">
      <c r="A540" s="3407" t="s">
        <v>6400</v>
      </c>
      <c r="B540" s="3408"/>
      <c r="C540" s="3409"/>
      <c r="D540" s="3409"/>
      <c r="E540" s="3408"/>
      <c r="F540" s="3410"/>
      <c r="G540" s="3430"/>
      <c r="H540" s="3411">
        <f t="shared" si="10"/>
        <v>0</v>
      </c>
      <c r="I540" s="3396"/>
      <c r="J540" s="3396"/>
      <c r="K540" s="3396"/>
      <c r="L540" s="3396"/>
      <c r="M540" s="3396"/>
      <c r="N540" s="3396"/>
      <c r="O540" s="3396"/>
      <c r="P540" s="3396"/>
      <c r="Q540" s="3396"/>
      <c r="R540" s="3396"/>
      <c r="S540" s="3396"/>
      <c r="T540" s="3396"/>
      <c r="U540" s="3396"/>
      <c r="V540" s="3396"/>
      <c r="W540" s="3396"/>
      <c r="X540" s="3396"/>
      <c r="Y540" s="3396"/>
      <c r="Z540" s="3396"/>
      <c r="AA540" s="3396"/>
      <c r="AB540" s="3396"/>
      <c r="AC540" s="3396"/>
      <c r="AD540" s="3396"/>
      <c r="AE540" s="3396"/>
      <c r="AF540" s="3396"/>
      <c r="AG540" s="3396"/>
      <c r="AH540" s="3396"/>
      <c r="AI540" s="3396"/>
      <c r="AJ540" s="3396"/>
      <c r="AK540" s="3396"/>
      <c r="AL540" s="3396"/>
      <c r="AM540" s="3396"/>
      <c r="AN540" s="3396"/>
      <c r="AO540" s="3396"/>
      <c r="AP540" s="3396"/>
      <c r="AQ540" s="3396"/>
      <c r="AR540" s="3396"/>
      <c r="AS540" s="3396"/>
      <c r="AT540" s="3396"/>
      <c r="AU540" s="3396"/>
      <c r="AV540" s="3396"/>
      <c r="AW540" s="3396"/>
      <c r="AX540" s="3396"/>
      <c r="AY540" s="3396"/>
      <c r="AZ540" s="3396"/>
      <c r="BA540" s="3396"/>
      <c r="BB540" s="3396"/>
      <c r="BC540" s="3396"/>
      <c r="BD540" s="3396"/>
      <c r="BE540" s="3396"/>
      <c r="BF540" s="3396"/>
      <c r="BG540" s="3396"/>
      <c r="BH540" s="3396"/>
      <c r="BI540" s="3396"/>
      <c r="BJ540" s="3396"/>
      <c r="BK540" s="3396"/>
      <c r="BL540" s="3396"/>
      <c r="BM540" s="3396"/>
      <c r="BN540" s="3396"/>
    </row>
    <row r="541" s="687" customFormat="1" ht="15" hidden="1" customHeight="1" spans="1:66">
      <c r="A541" s="3407" t="s">
        <v>6401</v>
      </c>
      <c r="B541" s="3408"/>
      <c r="C541" s="3409"/>
      <c r="D541" s="3409"/>
      <c r="E541" s="3408"/>
      <c r="F541" s="3410"/>
      <c r="G541" s="3430"/>
      <c r="H541" s="3411">
        <f t="shared" si="10"/>
        <v>0</v>
      </c>
      <c r="I541" s="3396"/>
      <c r="J541" s="3396"/>
      <c r="K541" s="3396"/>
      <c r="L541" s="3396"/>
      <c r="M541" s="3396"/>
      <c r="N541" s="3396"/>
      <c r="O541" s="3396"/>
      <c r="P541" s="3396"/>
      <c r="Q541" s="3396"/>
      <c r="R541" s="3396"/>
      <c r="S541" s="3396"/>
      <c r="T541" s="3396"/>
      <c r="U541" s="3396"/>
      <c r="V541" s="3396"/>
      <c r="W541" s="3396"/>
      <c r="X541" s="3396"/>
      <c r="Y541" s="3396"/>
      <c r="Z541" s="3396"/>
      <c r="AA541" s="3396"/>
      <c r="AB541" s="3396"/>
      <c r="AC541" s="3396"/>
      <c r="AD541" s="3396"/>
      <c r="AE541" s="3396"/>
      <c r="AF541" s="3396"/>
      <c r="AG541" s="3396"/>
      <c r="AH541" s="3396"/>
      <c r="AI541" s="3396"/>
      <c r="AJ541" s="3396"/>
      <c r="AK541" s="3396"/>
      <c r="AL541" s="3396"/>
      <c r="AM541" s="3396"/>
      <c r="AN541" s="3396"/>
      <c r="AO541" s="3396"/>
      <c r="AP541" s="3396"/>
      <c r="AQ541" s="3396"/>
      <c r="AR541" s="3396"/>
      <c r="AS541" s="3396"/>
      <c r="AT541" s="3396"/>
      <c r="AU541" s="3396"/>
      <c r="AV541" s="3396"/>
      <c r="AW541" s="3396"/>
      <c r="AX541" s="3396"/>
      <c r="AY541" s="3396"/>
      <c r="AZ541" s="3396"/>
      <c r="BA541" s="3396"/>
      <c r="BB541" s="3396"/>
      <c r="BC541" s="3396"/>
      <c r="BD541" s="3396"/>
      <c r="BE541" s="3396"/>
      <c r="BF541" s="3396"/>
      <c r="BG541" s="3396"/>
      <c r="BH541" s="3396"/>
      <c r="BI541" s="3396"/>
      <c r="BJ541" s="3396"/>
      <c r="BK541" s="3396"/>
      <c r="BL541" s="3396"/>
      <c r="BM541" s="3396"/>
      <c r="BN541" s="3396"/>
    </row>
    <row r="542" s="687" customFormat="1" ht="15" hidden="1" customHeight="1" spans="1:66">
      <c r="A542" s="3407" t="s">
        <v>6402</v>
      </c>
      <c r="B542" s="3408"/>
      <c r="C542" s="3409"/>
      <c r="D542" s="3409"/>
      <c r="E542" s="3408"/>
      <c r="F542" s="3410"/>
      <c r="G542" s="3430"/>
      <c r="H542" s="3411">
        <f t="shared" si="10"/>
        <v>0</v>
      </c>
      <c r="I542" s="3396"/>
      <c r="J542" s="3396"/>
      <c r="K542" s="3396"/>
      <c r="L542" s="3396"/>
      <c r="M542" s="3396"/>
      <c r="N542" s="3396"/>
      <c r="O542" s="3396"/>
      <c r="P542" s="3396"/>
      <c r="Q542" s="3396"/>
      <c r="R542" s="3396"/>
      <c r="S542" s="3396"/>
      <c r="T542" s="3396"/>
      <c r="U542" s="3396"/>
      <c r="V542" s="3396"/>
      <c r="W542" s="3396"/>
      <c r="X542" s="3396"/>
      <c r="Y542" s="3396"/>
      <c r="Z542" s="3396"/>
      <c r="AA542" s="3396"/>
      <c r="AB542" s="3396"/>
      <c r="AC542" s="3396"/>
      <c r="AD542" s="3396"/>
      <c r="AE542" s="3396"/>
      <c r="AF542" s="3396"/>
      <c r="AG542" s="3396"/>
      <c r="AH542" s="3396"/>
      <c r="AI542" s="3396"/>
      <c r="AJ542" s="3396"/>
      <c r="AK542" s="3396"/>
      <c r="AL542" s="3396"/>
      <c r="AM542" s="3396"/>
      <c r="AN542" s="3396"/>
      <c r="AO542" s="3396"/>
      <c r="AP542" s="3396"/>
      <c r="AQ542" s="3396"/>
      <c r="AR542" s="3396"/>
      <c r="AS542" s="3396"/>
      <c r="AT542" s="3396"/>
      <c r="AU542" s="3396"/>
      <c r="AV542" s="3396"/>
      <c r="AW542" s="3396"/>
      <c r="AX542" s="3396"/>
      <c r="AY542" s="3396"/>
      <c r="AZ542" s="3396"/>
      <c r="BA542" s="3396"/>
      <c r="BB542" s="3396"/>
      <c r="BC542" s="3396"/>
      <c r="BD542" s="3396"/>
      <c r="BE542" s="3396"/>
      <c r="BF542" s="3396"/>
      <c r="BG542" s="3396"/>
      <c r="BH542" s="3396"/>
      <c r="BI542" s="3396"/>
      <c r="BJ542" s="3396"/>
      <c r="BK542" s="3396"/>
      <c r="BL542" s="3396"/>
      <c r="BM542" s="3396"/>
      <c r="BN542" s="3396"/>
    </row>
    <row r="543" s="687" customFormat="1" ht="15" hidden="1" customHeight="1" spans="1:66">
      <c r="A543" s="3407" t="s">
        <v>6403</v>
      </c>
      <c r="B543" s="3408"/>
      <c r="C543" s="3409"/>
      <c r="D543" s="3409"/>
      <c r="E543" s="3408"/>
      <c r="F543" s="3410"/>
      <c r="G543" s="3430"/>
      <c r="H543" s="3411">
        <f t="shared" si="10"/>
        <v>0</v>
      </c>
      <c r="I543" s="3396"/>
      <c r="J543" s="3396"/>
      <c r="K543" s="3396"/>
      <c r="L543" s="3396"/>
      <c r="M543" s="3396"/>
      <c r="N543" s="3396"/>
      <c r="O543" s="3396"/>
      <c r="P543" s="3396"/>
      <c r="Q543" s="3396"/>
      <c r="R543" s="3396"/>
      <c r="S543" s="3396"/>
      <c r="T543" s="3396"/>
      <c r="U543" s="3396"/>
      <c r="V543" s="3396"/>
      <c r="W543" s="3396"/>
      <c r="X543" s="3396"/>
      <c r="Y543" s="3396"/>
      <c r="Z543" s="3396"/>
      <c r="AA543" s="3396"/>
      <c r="AB543" s="3396"/>
      <c r="AC543" s="3396"/>
      <c r="AD543" s="3396"/>
      <c r="AE543" s="3396"/>
      <c r="AF543" s="3396"/>
      <c r="AG543" s="3396"/>
      <c r="AH543" s="3396"/>
      <c r="AI543" s="3396"/>
      <c r="AJ543" s="3396"/>
      <c r="AK543" s="3396"/>
      <c r="AL543" s="3396"/>
      <c r="AM543" s="3396"/>
      <c r="AN543" s="3396"/>
      <c r="AO543" s="3396"/>
      <c r="AP543" s="3396"/>
      <c r="AQ543" s="3396"/>
      <c r="AR543" s="3396"/>
      <c r="AS543" s="3396"/>
      <c r="AT543" s="3396"/>
      <c r="AU543" s="3396"/>
      <c r="AV543" s="3396"/>
      <c r="AW543" s="3396"/>
      <c r="AX543" s="3396"/>
      <c r="AY543" s="3396"/>
      <c r="AZ543" s="3396"/>
      <c r="BA543" s="3396"/>
      <c r="BB543" s="3396"/>
      <c r="BC543" s="3396"/>
      <c r="BD543" s="3396"/>
      <c r="BE543" s="3396"/>
      <c r="BF543" s="3396"/>
      <c r="BG543" s="3396"/>
      <c r="BH543" s="3396"/>
      <c r="BI543" s="3396"/>
      <c r="BJ543" s="3396"/>
      <c r="BK543" s="3396"/>
      <c r="BL543" s="3396"/>
      <c r="BM543" s="3396"/>
      <c r="BN543" s="3396"/>
    </row>
    <row r="544" s="687" customFormat="1" ht="15" hidden="1" customHeight="1" spans="1:66">
      <c r="A544" s="3407" t="s">
        <v>6404</v>
      </c>
      <c r="B544" s="3408"/>
      <c r="C544" s="3409"/>
      <c r="D544" s="3409"/>
      <c r="E544" s="3408"/>
      <c r="F544" s="3410"/>
      <c r="G544" s="3430"/>
      <c r="H544" s="3411">
        <f t="shared" si="10"/>
        <v>0</v>
      </c>
      <c r="I544" s="3396"/>
      <c r="J544" s="3396"/>
      <c r="K544" s="3396"/>
      <c r="L544" s="3396"/>
      <c r="M544" s="3396"/>
      <c r="N544" s="3396"/>
      <c r="O544" s="3396"/>
      <c r="P544" s="3396"/>
      <c r="Q544" s="3396"/>
      <c r="R544" s="3396"/>
      <c r="S544" s="3396"/>
      <c r="T544" s="3396"/>
      <c r="U544" s="3396"/>
      <c r="V544" s="3396"/>
      <c r="W544" s="3396"/>
      <c r="X544" s="3396"/>
      <c r="Y544" s="3396"/>
      <c r="Z544" s="3396"/>
      <c r="AA544" s="3396"/>
      <c r="AB544" s="3396"/>
      <c r="AC544" s="3396"/>
      <c r="AD544" s="3396"/>
      <c r="AE544" s="3396"/>
      <c r="AF544" s="3396"/>
      <c r="AG544" s="3396"/>
      <c r="AH544" s="3396"/>
      <c r="AI544" s="3396"/>
      <c r="AJ544" s="3396"/>
      <c r="AK544" s="3396"/>
      <c r="AL544" s="3396"/>
      <c r="AM544" s="3396"/>
      <c r="AN544" s="3396"/>
      <c r="AO544" s="3396"/>
      <c r="AP544" s="3396"/>
      <c r="AQ544" s="3396"/>
      <c r="AR544" s="3396"/>
      <c r="AS544" s="3396"/>
      <c r="AT544" s="3396"/>
      <c r="AU544" s="3396"/>
      <c r="AV544" s="3396"/>
      <c r="AW544" s="3396"/>
      <c r="AX544" s="3396"/>
      <c r="AY544" s="3396"/>
      <c r="AZ544" s="3396"/>
      <c r="BA544" s="3396"/>
      <c r="BB544" s="3396"/>
      <c r="BC544" s="3396"/>
      <c r="BD544" s="3396"/>
      <c r="BE544" s="3396"/>
      <c r="BF544" s="3396"/>
      <c r="BG544" s="3396"/>
      <c r="BH544" s="3396"/>
      <c r="BI544" s="3396"/>
      <c r="BJ544" s="3396"/>
      <c r="BK544" s="3396"/>
      <c r="BL544" s="3396"/>
      <c r="BM544" s="3396"/>
      <c r="BN544" s="3396"/>
    </row>
    <row r="545" s="687" customFormat="1" ht="15" hidden="1" customHeight="1" spans="1:66">
      <c r="A545" s="3407" t="s">
        <v>6405</v>
      </c>
      <c r="B545" s="3408"/>
      <c r="C545" s="3409"/>
      <c r="D545" s="3409"/>
      <c r="E545" s="3408"/>
      <c r="F545" s="3410"/>
      <c r="G545" s="3430"/>
      <c r="H545" s="3411">
        <f t="shared" si="10"/>
        <v>0</v>
      </c>
      <c r="I545" s="3396"/>
      <c r="J545" s="3396"/>
      <c r="K545" s="3396"/>
      <c r="L545" s="3396"/>
      <c r="M545" s="3396"/>
      <c r="N545" s="3396"/>
      <c r="O545" s="3396"/>
      <c r="P545" s="3396"/>
      <c r="Q545" s="3396"/>
      <c r="R545" s="3396"/>
      <c r="S545" s="3396"/>
      <c r="T545" s="3396"/>
      <c r="U545" s="3396"/>
      <c r="V545" s="3396"/>
      <c r="W545" s="3396"/>
      <c r="X545" s="3396"/>
      <c r="Y545" s="3396"/>
      <c r="Z545" s="3396"/>
      <c r="AA545" s="3396"/>
      <c r="AB545" s="3396"/>
      <c r="AC545" s="3396"/>
      <c r="AD545" s="3396"/>
      <c r="AE545" s="3396"/>
      <c r="AF545" s="3396"/>
      <c r="AG545" s="3396"/>
      <c r="AH545" s="3396"/>
      <c r="AI545" s="3396"/>
      <c r="AJ545" s="3396"/>
      <c r="AK545" s="3396"/>
      <c r="AL545" s="3396"/>
      <c r="AM545" s="3396"/>
      <c r="AN545" s="3396"/>
      <c r="AO545" s="3396"/>
      <c r="AP545" s="3396"/>
      <c r="AQ545" s="3396"/>
      <c r="AR545" s="3396"/>
      <c r="AS545" s="3396"/>
      <c r="AT545" s="3396"/>
      <c r="AU545" s="3396"/>
      <c r="AV545" s="3396"/>
      <c r="AW545" s="3396"/>
      <c r="AX545" s="3396"/>
      <c r="AY545" s="3396"/>
      <c r="AZ545" s="3396"/>
      <c r="BA545" s="3396"/>
      <c r="BB545" s="3396"/>
      <c r="BC545" s="3396"/>
      <c r="BD545" s="3396"/>
      <c r="BE545" s="3396"/>
      <c r="BF545" s="3396"/>
      <c r="BG545" s="3396"/>
      <c r="BH545" s="3396"/>
      <c r="BI545" s="3396"/>
      <c r="BJ545" s="3396"/>
      <c r="BK545" s="3396"/>
      <c r="BL545" s="3396"/>
      <c r="BM545" s="3396"/>
      <c r="BN545" s="3396"/>
    </row>
    <row r="546" s="687" customFormat="1" ht="15" hidden="1" customHeight="1" spans="1:66">
      <c r="A546" s="3407" t="s">
        <v>6406</v>
      </c>
      <c r="B546" s="3408"/>
      <c r="C546" s="3409"/>
      <c r="D546" s="3409"/>
      <c r="E546" s="3408"/>
      <c r="F546" s="3410"/>
      <c r="G546" s="3430"/>
      <c r="H546" s="3411">
        <f t="shared" si="10"/>
        <v>0</v>
      </c>
      <c r="I546" s="3396"/>
      <c r="J546" s="3396"/>
      <c r="K546" s="3396"/>
      <c r="L546" s="3396"/>
      <c r="M546" s="3396"/>
      <c r="N546" s="3396"/>
      <c r="O546" s="3396"/>
      <c r="P546" s="3396"/>
      <c r="Q546" s="3396"/>
      <c r="R546" s="3396"/>
      <c r="S546" s="3396"/>
      <c r="T546" s="3396"/>
      <c r="U546" s="3396"/>
      <c r="V546" s="3396"/>
      <c r="W546" s="3396"/>
      <c r="X546" s="3396"/>
      <c r="Y546" s="3396"/>
      <c r="Z546" s="3396"/>
      <c r="AA546" s="3396"/>
      <c r="AB546" s="3396"/>
      <c r="AC546" s="3396"/>
      <c r="AD546" s="3396"/>
      <c r="AE546" s="3396"/>
      <c r="AF546" s="3396"/>
      <c r="AG546" s="3396"/>
      <c r="AH546" s="3396"/>
      <c r="AI546" s="3396"/>
      <c r="AJ546" s="3396"/>
      <c r="AK546" s="3396"/>
      <c r="AL546" s="3396"/>
      <c r="AM546" s="3396"/>
      <c r="AN546" s="3396"/>
      <c r="AO546" s="3396"/>
      <c r="AP546" s="3396"/>
      <c r="AQ546" s="3396"/>
      <c r="AR546" s="3396"/>
      <c r="AS546" s="3396"/>
      <c r="AT546" s="3396"/>
      <c r="AU546" s="3396"/>
      <c r="AV546" s="3396"/>
      <c r="AW546" s="3396"/>
      <c r="AX546" s="3396"/>
      <c r="AY546" s="3396"/>
      <c r="AZ546" s="3396"/>
      <c r="BA546" s="3396"/>
      <c r="BB546" s="3396"/>
      <c r="BC546" s="3396"/>
      <c r="BD546" s="3396"/>
      <c r="BE546" s="3396"/>
      <c r="BF546" s="3396"/>
      <c r="BG546" s="3396"/>
      <c r="BH546" s="3396"/>
      <c r="BI546" s="3396"/>
      <c r="BJ546" s="3396"/>
      <c r="BK546" s="3396"/>
      <c r="BL546" s="3396"/>
      <c r="BM546" s="3396"/>
      <c r="BN546" s="3396"/>
    </row>
    <row r="547" s="687" customFormat="1" ht="15" hidden="1" customHeight="1" spans="1:66">
      <c r="A547" s="3407" t="s">
        <v>6407</v>
      </c>
      <c r="B547" s="3408"/>
      <c r="C547" s="3409"/>
      <c r="D547" s="3409"/>
      <c r="E547" s="3408"/>
      <c r="F547" s="3410"/>
      <c r="G547" s="3430"/>
      <c r="H547" s="3411">
        <f t="shared" ref="H547:H610" si="11">F547+G547</f>
        <v>0</v>
      </c>
      <c r="I547" s="3396"/>
      <c r="J547" s="3396"/>
      <c r="K547" s="3396"/>
      <c r="L547" s="3396"/>
      <c r="M547" s="3396"/>
      <c r="N547" s="3396"/>
      <c r="O547" s="3396"/>
      <c r="P547" s="3396"/>
      <c r="Q547" s="3396"/>
      <c r="R547" s="3396"/>
      <c r="S547" s="3396"/>
      <c r="T547" s="3396"/>
      <c r="U547" s="3396"/>
      <c r="V547" s="3396"/>
      <c r="W547" s="3396"/>
      <c r="X547" s="3396"/>
      <c r="Y547" s="3396"/>
      <c r="Z547" s="3396"/>
      <c r="AA547" s="3396"/>
      <c r="AB547" s="3396"/>
      <c r="AC547" s="3396"/>
      <c r="AD547" s="3396"/>
      <c r="AE547" s="3396"/>
      <c r="AF547" s="3396"/>
      <c r="AG547" s="3396"/>
      <c r="AH547" s="3396"/>
      <c r="AI547" s="3396"/>
      <c r="AJ547" s="3396"/>
      <c r="AK547" s="3396"/>
      <c r="AL547" s="3396"/>
      <c r="AM547" s="3396"/>
      <c r="AN547" s="3396"/>
      <c r="AO547" s="3396"/>
      <c r="AP547" s="3396"/>
      <c r="AQ547" s="3396"/>
      <c r="AR547" s="3396"/>
      <c r="AS547" s="3396"/>
      <c r="AT547" s="3396"/>
      <c r="AU547" s="3396"/>
      <c r="AV547" s="3396"/>
      <c r="AW547" s="3396"/>
      <c r="AX547" s="3396"/>
      <c r="AY547" s="3396"/>
      <c r="AZ547" s="3396"/>
      <c r="BA547" s="3396"/>
      <c r="BB547" s="3396"/>
      <c r="BC547" s="3396"/>
      <c r="BD547" s="3396"/>
      <c r="BE547" s="3396"/>
      <c r="BF547" s="3396"/>
      <c r="BG547" s="3396"/>
      <c r="BH547" s="3396"/>
      <c r="BI547" s="3396"/>
      <c r="BJ547" s="3396"/>
      <c r="BK547" s="3396"/>
      <c r="BL547" s="3396"/>
      <c r="BM547" s="3396"/>
      <c r="BN547" s="3396"/>
    </row>
    <row r="548" s="687" customFormat="1" ht="15" hidden="1" customHeight="1" spans="1:66">
      <c r="A548" s="3407" t="s">
        <v>6408</v>
      </c>
      <c r="B548" s="3408"/>
      <c r="C548" s="3409"/>
      <c r="D548" s="3409"/>
      <c r="E548" s="3408"/>
      <c r="F548" s="3410"/>
      <c r="G548" s="3430"/>
      <c r="H548" s="3411">
        <f t="shared" si="11"/>
        <v>0</v>
      </c>
      <c r="I548" s="3396"/>
      <c r="J548" s="3396"/>
      <c r="K548" s="3396"/>
      <c r="L548" s="3396"/>
      <c r="M548" s="3396"/>
      <c r="N548" s="3396"/>
      <c r="O548" s="3396"/>
      <c r="P548" s="3396"/>
      <c r="Q548" s="3396"/>
      <c r="R548" s="3396"/>
      <c r="S548" s="3396"/>
      <c r="T548" s="3396"/>
      <c r="U548" s="3396"/>
      <c r="V548" s="3396"/>
      <c r="W548" s="3396"/>
      <c r="X548" s="3396"/>
      <c r="Y548" s="3396"/>
      <c r="Z548" s="3396"/>
      <c r="AA548" s="3396"/>
      <c r="AB548" s="3396"/>
      <c r="AC548" s="3396"/>
      <c r="AD548" s="3396"/>
      <c r="AE548" s="3396"/>
      <c r="AF548" s="3396"/>
      <c r="AG548" s="3396"/>
      <c r="AH548" s="3396"/>
      <c r="AI548" s="3396"/>
      <c r="AJ548" s="3396"/>
      <c r="AK548" s="3396"/>
      <c r="AL548" s="3396"/>
      <c r="AM548" s="3396"/>
      <c r="AN548" s="3396"/>
      <c r="AO548" s="3396"/>
      <c r="AP548" s="3396"/>
      <c r="AQ548" s="3396"/>
      <c r="AR548" s="3396"/>
      <c r="AS548" s="3396"/>
      <c r="AT548" s="3396"/>
      <c r="AU548" s="3396"/>
      <c r="AV548" s="3396"/>
      <c r="AW548" s="3396"/>
      <c r="AX548" s="3396"/>
      <c r="AY548" s="3396"/>
      <c r="AZ548" s="3396"/>
      <c r="BA548" s="3396"/>
      <c r="BB548" s="3396"/>
      <c r="BC548" s="3396"/>
      <c r="BD548" s="3396"/>
      <c r="BE548" s="3396"/>
      <c r="BF548" s="3396"/>
      <c r="BG548" s="3396"/>
      <c r="BH548" s="3396"/>
      <c r="BI548" s="3396"/>
      <c r="BJ548" s="3396"/>
      <c r="BK548" s="3396"/>
      <c r="BL548" s="3396"/>
      <c r="BM548" s="3396"/>
      <c r="BN548" s="3396"/>
    </row>
    <row r="549" s="687" customFormat="1" ht="15" hidden="1" customHeight="1" spans="1:66">
      <c r="A549" s="3407" t="s">
        <v>6409</v>
      </c>
      <c r="B549" s="3408"/>
      <c r="C549" s="3409"/>
      <c r="D549" s="3409"/>
      <c r="E549" s="3408"/>
      <c r="F549" s="3410"/>
      <c r="G549" s="3430"/>
      <c r="H549" s="3411">
        <f t="shared" si="11"/>
        <v>0</v>
      </c>
      <c r="I549" s="3396"/>
      <c r="J549" s="3396"/>
      <c r="K549" s="3396"/>
      <c r="L549" s="3396"/>
      <c r="M549" s="3396"/>
      <c r="N549" s="3396"/>
      <c r="O549" s="3396"/>
      <c r="P549" s="3396"/>
      <c r="Q549" s="3396"/>
      <c r="R549" s="3396"/>
      <c r="S549" s="3396"/>
      <c r="T549" s="3396"/>
      <c r="U549" s="3396"/>
      <c r="V549" s="3396"/>
      <c r="W549" s="3396"/>
      <c r="X549" s="3396"/>
      <c r="Y549" s="3396"/>
      <c r="Z549" s="3396"/>
      <c r="AA549" s="3396"/>
      <c r="AB549" s="3396"/>
      <c r="AC549" s="3396"/>
      <c r="AD549" s="3396"/>
      <c r="AE549" s="3396"/>
      <c r="AF549" s="3396"/>
      <c r="AG549" s="3396"/>
      <c r="AH549" s="3396"/>
      <c r="AI549" s="3396"/>
      <c r="AJ549" s="3396"/>
      <c r="AK549" s="3396"/>
      <c r="AL549" s="3396"/>
      <c r="AM549" s="3396"/>
      <c r="AN549" s="3396"/>
      <c r="AO549" s="3396"/>
      <c r="AP549" s="3396"/>
      <c r="AQ549" s="3396"/>
      <c r="AR549" s="3396"/>
      <c r="AS549" s="3396"/>
      <c r="AT549" s="3396"/>
      <c r="AU549" s="3396"/>
      <c r="AV549" s="3396"/>
      <c r="AW549" s="3396"/>
      <c r="AX549" s="3396"/>
      <c r="AY549" s="3396"/>
      <c r="AZ549" s="3396"/>
      <c r="BA549" s="3396"/>
      <c r="BB549" s="3396"/>
      <c r="BC549" s="3396"/>
      <c r="BD549" s="3396"/>
      <c r="BE549" s="3396"/>
      <c r="BF549" s="3396"/>
      <c r="BG549" s="3396"/>
      <c r="BH549" s="3396"/>
      <c r="BI549" s="3396"/>
      <c r="BJ549" s="3396"/>
      <c r="BK549" s="3396"/>
      <c r="BL549" s="3396"/>
      <c r="BM549" s="3396"/>
      <c r="BN549" s="3396"/>
    </row>
    <row r="550" s="687" customFormat="1" ht="15" hidden="1" customHeight="1" spans="1:66">
      <c r="A550" s="3407" t="s">
        <v>6410</v>
      </c>
      <c r="B550" s="3408"/>
      <c r="C550" s="3409"/>
      <c r="D550" s="3409"/>
      <c r="E550" s="3408"/>
      <c r="F550" s="3410"/>
      <c r="G550" s="3430"/>
      <c r="H550" s="3411">
        <f t="shared" si="11"/>
        <v>0</v>
      </c>
      <c r="I550" s="3396"/>
      <c r="J550" s="3396"/>
      <c r="K550" s="3396"/>
      <c r="L550" s="3396"/>
      <c r="M550" s="3396"/>
      <c r="N550" s="3396"/>
      <c r="O550" s="3396"/>
      <c r="P550" s="3396"/>
      <c r="Q550" s="3396"/>
      <c r="R550" s="3396"/>
      <c r="S550" s="3396"/>
      <c r="T550" s="3396"/>
      <c r="U550" s="3396"/>
      <c r="V550" s="3396"/>
      <c r="W550" s="3396"/>
      <c r="X550" s="3396"/>
      <c r="Y550" s="3396"/>
      <c r="Z550" s="3396"/>
      <c r="AA550" s="3396"/>
      <c r="AB550" s="3396"/>
      <c r="AC550" s="3396"/>
      <c r="AD550" s="3396"/>
      <c r="AE550" s="3396"/>
      <c r="AF550" s="3396"/>
      <c r="AG550" s="3396"/>
      <c r="AH550" s="3396"/>
      <c r="AI550" s="3396"/>
      <c r="AJ550" s="3396"/>
      <c r="AK550" s="3396"/>
      <c r="AL550" s="3396"/>
      <c r="AM550" s="3396"/>
      <c r="AN550" s="3396"/>
      <c r="AO550" s="3396"/>
      <c r="AP550" s="3396"/>
      <c r="AQ550" s="3396"/>
      <c r="AR550" s="3396"/>
      <c r="AS550" s="3396"/>
      <c r="AT550" s="3396"/>
      <c r="AU550" s="3396"/>
      <c r="AV550" s="3396"/>
      <c r="AW550" s="3396"/>
      <c r="AX550" s="3396"/>
      <c r="AY550" s="3396"/>
      <c r="AZ550" s="3396"/>
      <c r="BA550" s="3396"/>
      <c r="BB550" s="3396"/>
      <c r="BC550" s="3396"/>
      <c r="BD550" s="3396"/>
      <c r="BE550" s="3396"/>
      <c r="BF550" s="3396"/>
      <c r="BG550" s="3396"/>
      <c r="BH550" s="3396"/>
      <c r="BI550" s="3396"/>
      <c r="BJ550" s="3396"/>
      <c r="BK550" s="3396"/>
      <c r="BL550" s="3396"/>
      <c r="BM550" s="3396"/>
      <c r="BN550" s="3396"/>
    </row>
    <row r="551" s="687" customFormat="1" ht="15" hidden="1" customHeight="1" spans="1:66">
      <c r="A551" s="3407" t="s">
        <v>6411</v>
      </c>
      <c r="B551" s="3408"/>
      <c r="C551" s="3409"/>
      <c r="D551" s="3409"/>
      <c r="E551" s="3408"/>
      <c r="F551" s="3410"/>
      <c r="G551" s="3430"/>
      <c r="H551" s="3411">
        <f t="shared" si="11"/>
        <v>0</v>
      </c>
      <c r="I551" s="3396"/>
      <c r="J551" s="3396"/>
      <c r="K551" s="3396"/>
      <c r="L551" s="3396"/>
      <c r="M551" s="3396"/>
      <c r="N551" s="3396"/>
      <c r="O551" s="3396"/>
      <c r="P551" s="3396"/>
      <c r="Q551" s="3396"/>
      <c r="R551" s="3396"/>
      <c r="S551" s="3396"/>
      <c r="T551" s="3396"/>
      <c r="U551" s="3396"/>
      <c r="V551" s="3396"/>
      <c r="W551" s="3396"/>
      <c r="X551" s="3396"/>
      <c r="Y551" s="3396"/>
      <c r="Z551" s="3396"/>
      <c r="AA551" s="3396"/>
      <c r="AB551" s="3396"/>
      <c r="AC551" s="3396"/>
      <c r="AD551" s="3396"/>
      <c r="AE551" s="3396"/>
      <c r="AF551" s="3396"/>
      <c r="AG551" s="3396"/>
      <c r="AH551" s="3396"/>
      <c r="AI551" s="3396"/>
      <c r="AJ551" s="3396"/>
      <c r="AK551" s="3396"/>
      <c r="AL551" s="3396"/>
      <c r="AM551" s="3396"/>
      <c r="AN551" s="3396"/>
      <c r="AO551" s="3396"/>
      <c r="AP551" s="3396"/>
      <c r="AQ551" s="3396"/>
      <c r="AR551" s="3396"/>
      <c r="AS551" s="3396"/>
      <c r="AT551" s="3396"/>
      <c r="AU551" s="3396"/>
      <c r="AV551" s="3396"/>
      <c r="AW551" s="3396"/>
      <c r="AX551" s="3396"/>
      <c r="AY551" s="3396"/>
      <c r="AZ551" s="3396"/>
      <c r="BA551" s="3396"/>
      <c r="BB551" s="3396"/>
      <c r="BC551" s="3396"/>
      <c r="BD551" s="3396"/>
      <c r="BE551" s="3396"/>
      <c r="BF551" s="3396"/>
      <c r="BG551" s="3396"/>
      <c r="BH551" s="3396"/>
      <c r="BI551" s="3396"/>
      <c r="BJ551" s="3396"/>
      <c r="BK551" s="3396"/>
      <c r="BL551" s="3396"/>
      <c r="BM551" s="3396"/>
      <c r="BN551" s="3396"/>
    </row>
    <row r="552" s="687" customFormat="1" ht="15" hidden="1" customHeight="1" spans="1:66">
      <c r="A552" s="3407" t="s">
        <v>6412</v>
      </c>
      <c r="B552" s="3408"/>
      <c r="C552" s="3409"/>
      <c r="D552" s="3409"/>
      <c r="E552" s="3408"/>
      <c r="F552" s="3410"/>
      <c r="G552" s="3430"/>
      <c r="H552" s="3411">
        <f t="shared" si="11"/>
        <v>0</v>
      </c>
      <c r="I552" s="3396"/>
      <c r="J552" s="3396"/>
      <c r="K552" s="3396"/>
      <c r="L552" s="3396"/>
      <c r="M552" s="3396"/>
      <c r="N552" s="3396"/>
      <c r="O552" s="3396"/>
      <c r="P552" s="3396"/>
      <c r="Q552" s="3396"/>
      <c r="R552" s="3396"/>
      <c r="S552" s="3396"/>
      <c r="T552" s="3396"/>
      <c r="U552" s="3396"/>
      <c r="V552" s="3396"/>
      <c r="W552" s="3396"/>
      <c r="X552" s="3396"/>
      <c r="Y552" s="3396"/>
      <c r="Z552" s="3396"/>
      <c r="AA552" s="3396"/>
      <c r="AB552" s="3396"/>
      <c r="AC552" s="3396"/>
      <c r="AD552" s="3396"/>
      <c r="AE552" s="3396"/>
      <c r="AF552" s="3396"/>
      <c r="AG552" s="3396"/>
      <c r="AH552" s="3396"/>
      <c r="AI552" s="3396"/>
      <c r="AJ552" s="3396"/>
      <c r="AK552" s="3396"/>
      <c r="AL552" s="3396"/>
      <c r="AM552" s="3396"/>
      <c r="AN552" s="3396"/>
      <c r="AO552" s="3396"/>
      <c r="AP552" s="3396"/>
      <c r="AQ552" s="3396"/>
      <c r="AR552" s="3396"/>
      <c r="AS552" s="3396"/>
      <c r="AT552" s="3396"/>
      <c r="AU552" s="3396"/>
      <c r="AV552" s="3396"/>
      <c r="AW552" s="3396"/>
      <c r="AX552" s="3396"/>
      <c r="AY552" s="3396"/>
      <c r="AZ552" s="3396"/>
      <c r="BA552" s="3396"/>
      <c r="BB552" s="3396"/>
      <c r="BC552" s="3396"/>
      <c r="BD552" s="3396"/>
      <c r="BE552" s="3396"/>
      <c r="BF552" s="3396"/>
      <c r="BG552" s="3396"/>
      <c r="BH552" s="3396"/>
      <c r="BI552" s="3396"/>
      <c r="BJ552" s="3396"/>
      <c r="BK552" s="3396"/>
      <c r="BL552" s="3396"/>
      <c r="BM552" s="3396"/>
      <c r="BN552" s="3396"/>
    </row>
    <row r="553" s="687" customFormat="1" ht="15" hidden="1" customHeight="1" spans="1:66">
      <c r="A553" s="3407" t="s">
        <v>6413</v>
      </c>
      <c r="B553" s="3408"/>
      <c r="C553" s="3409"/>
      <c r="D553" s="3409"/>
      <c r="E553" s="3408"/>
      <c r="F553" s="3410"/>
      <c r="G553" s="3430"/>
      <c r="H553" s="3411">
        <f t="shared" si="11"/>
        <v>0</v>
      </c>
      <c r="I553" s="3396"/>
      <c r="J553" s="3396"/>
      <c r="K553" s="3396"/>
      <c r="L553" s="3396"/>
      <c r="M553" s="3396"/>
      <c r="N553" s="3396"/>
      <c r="O553" s="3396"/>
      <c r="P553" s="3396"/>
      <c r="Q553" s="3396"/>
      <c r="R553" s="3396"/>
      <c r="S553" s="3396"/>
      <c r="T553" s="3396"/>
      <c r="U553" s="3396"/>
      <c r="V553" s="3396"/>
      <c r="W553" s="3396"/>
      <c r="X553" s="3396"/>
      <c r="Y553" s="3396"/>
      <c r="Z553" s="3396"/>
      <c r="AA553" s="3396"/>
      <c r="AB553" s="3396"/>
      <c r="AC553" s="3396"/>
      <c r="AD553" s="3396"/>
      <c r="AE553" s="3396"/>
      <c r="AF553" s="3396"/>
      <c r="AG553" s="3396"/>
      <c r="AH553" s="3396"/>
      <c r="AI553" s="3396"/>
      <c r="AJ553" s="3396"/>
      <c r="AK553" s="3396"/>
      <c r="AL553" s="3396"/>
      <c r="AM553" s="3396"/>
      <c r="AN553" s="3396"/>
      <c r="AO553" s="3396"/>
      <c r="AP553" s="3396"/>
      <c r="AQ553" s="3396"/>
      <c r="AR553" s="3396"/>
      <c r="AS553" s="3396"/>
      <c r="AT553" s="3396"/>
      <c r="AU553" s="3396"/>
      <c r="AV553" s="3396"/>
      <c r="AW553" s="3396"/>
      <c r="AX553" s="3396"/>
      <c r="AY553" s="3396"/>
      <c r="AZ553" s="3396"/>
      <c r="BA553" s="3396"/>
      <c r="BB553" s="3396"/>
      <c r="BC553" s="3396"/>
      <c r="BD553" s="3396"/>
      <c r="BE553" s="3396"/>
      <c r="BF553" s="3396"/>
      <c r="BG553" s="3396"/>
      <c r="BH553" s="3396"/>
      <c r="BI553" s="3396"/>
      <c r="BJ553" s="3396"/>
      <c r="BK553" s="3396"/>
      <c r="BL553" s="3396"/>
      <c r="BM553" s="3396"/>
      <c r="BN553" s="3396"/>
    </row>
    <row r="554" s="687" customFormat="1" ht="15" hidden="1" customHeight="1" spans="1:66">
      <c r="A554" s="3407" t="s">
        <v>6414</v>
      </c>
      <c r="B554" s="3408"/>
      <c r="C554" s="3409"/>
      <c r="D554" s="3409"/>
      <c r="E554" s="3408"/>
      <c r="F554" s="3410"/>
      <c r="G554" s="3430"/>
      <c r="H554" s="3411">
        <f t="shared" si="11"/>
        <v>0</v>
      </c>
      <c r="I554" s="3396"/>
      <c r="J554" s="3396"/>
      <c r="K554" s="3396"/>
      <c r="L554" s="3396"/>
      <c r="M554" s="3396"/>
      <c r="N554" s="3396"/>
      <c r="O554" s="3396"/>
      <c r="P554" s="3396"/>
      <c r="Q554" s="3396"/>
      <c r="R554" s="3396"/>
      <c r="S554" s="3396"/>
      <c r="T554" s="3396"/>
      <c r="U554" s="3396"/>
      <c r="V554" s="3396"/>
      <c r="W554" s="3396"/>
      <c r="X554" s="3396"/>
      <c r="Y554" s="3396"/>
      <c r="Z554" s="3396"/>
      <c r="AA554" s="3396"/>
      <c r="AB554" s="3396"/>
      <c r="AC554" s="3396"/>
      <c r="AD554" s="3396"/>
      <c r="AE554" s="3396"/>
      <c r="AF554" s="3396"/>
      <c r="AG554" s="3396"/>
      <c r="AH554" s="3396"/>
      <c r="AI554" s="3396"/>
      <c r="AJ554" s="3396"/>
      <c r="AK554" s="3396"/>
      <c r="AL554" s="3396"/>
      <c r="AM554" s="3396"/>
      <c r="AN554" s="3396"/>
      <c r="AO554" s="3396"/>
      <c r="AP554" s="3396"/>
      <c r="AQ554" s="3396"/>
      <c r="AR554" s="3396"/>
      <c r="AS554" s="3396"/>
      <c r="AT554" s="3396"/>
      <c r="AU554" s="3396"/>
      <c r="AV554" s="3396"/>
      <c r="AW554" s="3396"/>
      <c r="AX554" s="3396"/>
      <c r="AY554" s="3396"/>
      <c r="AZ554" s="3396"/>
      <c r="BA554" s="3396"/>
      <c r="BB554" s="3396"/>
      <c r="BC554" s="3396"/>
      <c r="BD554" s="3396"/>
      <c r="BE554" s="3396"/>
      <c r="BF554" s="3396"/>
      <c r="BG554" s="3396"/>
      <c r="BH554" s="3396"/>
      <c r="BI554" s="3396"/>
      <c r="BJ554" s="3396"/>
      <c r="BK554" s="3396"/>
      <c r="BL554" s="3396"/>
      <c r="BM554" s="3396"/>
      <c r="BN554" s="3396"/>
    </row>
    <row r="555" s="687" customFormat="1" ht="15" hidden="1" customHeight="1" spans="1:66">
      <c r="A555" s="3407" t="s">
        <v>6415</v>
      </c>
      <c r="B555" s="3408"/>
      <c r="C555" s="3409"/>
      <c r="D555" s="3409"/>
      <c r="E555" s="3408"/>
      <c r="F555" s="3410"/>
      <c r="G555" s="3430"/>
      <c r="H555" s="3411">
        <f t="shared" si="11"/>
        <v>0</v>
      </c>
      <c r="I555" s="3396"/>
      <c r="J555" s="3396"/>
      <c r="K555" s="3396"/>
      <c r="L555" s="3396"/>
      <c r="M555" s="3396"/>
      <c r="N555" s="3396"/>
      <c r="O555" s="3396"/>
      <c r="P555" s="3396"/>
      <c r="Q555" s="3396"/>
      <c r="R555" s="3396"/>
      <c r="S555" s="3396"/>
      <c r="T555" s="3396"/>
      <c r="U555" s="3396"/>
      <c r="V555" s="3396"/>
      <c r="W555" s="3396"/>
      <c r="X555" s="3396"/>
      <c r="Y555" s="3396"/>
      <c r="Z555" s="3396"/>
      <c r="AA555" s="3396"/>
      <c r="AB555" s="3396"/>
      <c r="AC555" s="3396"/>
      <c r="AD555" s="3396"/>
      <c r="AE555" s="3396"/>
      <c r="AF555" s="3396"/>
      <c r="AG555" s="3396"/>
      <c r="AH555" s="3396"/>
      <c r="AI555" s="3396"/>
      <c r="AJ555" s="3396"/>
      <c r="AK555" s="3396"/>
      <c r="AL555" s="3396"/>
      <c r="AM555" s="3396"/>
      <c r="AN555" s="3396"/>
      <c r="AO555" s="3396"/>
      <c r="AP555" s="3396"/>
      <c r="AQ555" s="3396"/>
      <c r="AR555" s="3396"/>
      <c r="AS555" s="3396"/>
      <c r="AT555" s="3396"/>
      <c r="AU555" s="3396"/>
      <c r="AV555" s="3396"/>
      <c r="AW555" s="3396"/>
      <c r="AX555" s="3396"/>
      <c r="AY555" s="3396"/>
      <c r="AZ555" s="3396"/>
      <c r="BA555" s="3396"/>
      <c r="BB555" s="3396"/>
      <c r="BC555" s="3396"/>
      <c r="BD555" s="3396"/>
      <c r="BE555" s="3396"/>
      <c r="BF555" s="3396"/>
      <c r="BG555" s="3396"/>
      <c r="BH555" s="3396"/>
      <c r="BI555" s="3396"/>
      <c r="BJ555" s="3396"/>
      <c r="BK555" s="3396"/>
      <c r="BL555" s="3396"/>
      <c r="BM555" s="3396"/>
      <c r="BN555" s="3396"/>
    </row>
    <row r="556" s="687" customFormat="1" ht="15" hidden="1" customHeight="1" spans="1:66">
      <c r="A556" s="3407" t="s">
        <v>6416</v>
      </c>
      <c r="B556" s="3408"/>
      <c r="C556" s="3409"/>
      <c r="D556" s="3409"/>
      <c r="E556" s="3408"/>
      <c r="F556" s="3410"/>
      <c r="G556" s="3430"/>
      <c r="H556" s="3411">
        <f t="shared" si="11"/>
        <v>0</v>
      </c>
      <c r="I556" s="3396"/>
      <c r="J556" s="3396"/>
      <c r="K556" s="3396"/>
      <c r="L556" s="3396"/>
      <c r="M556" s="3396"/>
      <c r="N556" s="3396"/>
      <c r="O556" s="3396"/>
      <c r="P556" s="3396"/>
      <c r="Q556" s="3396"/>
      <c r="R556" s="3396"/>
      <c r="S556" s="3396"/>
      <c r="T556" s="3396"/>
      <c r="U556" s="3396"/>
      <c r="V556" s="3396"/>
      <c r="W556" s="3396"/>
      <c r="X556" s="3396"/>
      <c r="Y556" s="3396"/>
      <c r="Z556" s="3396"/>
      <c r="AA556" s="3396"/>
      <c r="AB556" s="3396"/>
      <c r="AC556" s="3396"/>
      <c r="AD556" s="3396"/>
      <c r="AE556" s="3396"/>
      <c r="AF556" s="3396"/>
      <c r="AG556" s="3396"/>
      <c r="AH556" s="3396"/>
      <c r="AI556" s="3396"/>
      <c r="AJ556" s="3396"/>
      <c r="AK556" s="3396"/>
      <c r="AL556" s="3396"/>
      <c r="AM556" s="3396"/>
      <c r="AN556" s="3396"/>
      <c r="AO556" s="3396"/>
      <c r="AP556" s="3396"/>
      <c r="AQ556" s="3396"/>
      <c r="AR556" s="3396"/>
      <c r="AS556" s="3396"/>
      <c r="AT556" s="3396"/>
      <c r="AU556" s="3396"/>
      <c r="AV556" s="3396"/>
      <c r="AW556" s="3396"/>
      <c r="AX556" s="3396"/>
      <c r="AY556" s="3396"/>
      <c r="AZ556" s="3396"/>
      <c r="BA556" s="3396"/>
      <c r="BB556" s="3396"/>
      <c r="BC556" s="3396"/>
      <c r="BD556" s="3396"/>
      <c r="BE556" s="3396"/>
      <c r="BF556" s="3396"/>
      <c r="BG556" s="3396"/>
      <c r="BH556" s="3396"/>
      <c r="BI556" s="3396"/>
      <c r="BJ556" s="3396"/>
      <c r="BK556" s="3396"/>
      <c r="BL556" s="3396"/>
      <c r="BM556" s="3396"/>
      <c r="BN556" s="3396"/>
    </row>
    <row r="557" s="687" customFormat="1" ht="15" hidden="1" customHeight="1" spans="1:66">
      <c r="A557" s="3407" t="s">
        <v>6417</v>
      </c>
      <c r="B557" s="3408"/>
      <c r="C557" s="3409"/>
      <c r="D557" s="3409"/>
      <c r="E557" s="3408"/>
      <c r="F557" s="3410"/>
      <c r="G557" s="3430"/>
      <c r="H557" s="3411">
        <f t="shared" si="11"/>
        <v>0</v>
      </c>
      <c r="I557" s="3396"/>
      <c r="J557" s="3396"/>
      <c r="K557" s="3396"/>
      <c r="L557" s="3396"/>
      <c r="M557" s="3396"/>
      <c r="N557" s="3396"/>
      <c r="O557" s="3396"/>
      <c r="P557" s="3396"/>
      <c r="Q557" s="3396"/>
      <c r="R557" s="3396"/>
      <c r="S557" s="3396"/>
      <c r="T557" s="3396"/>
      <c r="U557" s="3396"/>
      <c r="V557" s="3396"/>
      <c r="W557" s="3396"/>
      <c r="X557" s="3396"/>
      <c r="Y557" s="3396"/>
      <c r="Z557" s="3396"/>
      <c r="AA557" s="3396"/>
      <c r="AB557" s="3396"/>
      <c r="AC557" s="3396"/>
      <c r="AD557" s="3396"/>
      <c r="AE557" s="3396"/>
      <c r="AF557" s="3396"/>
      <c r="AG557" s="3396"/>
      <c r="AH557" s="3396"/>
      <c r="AI557" s="3396"/>
      <c r="AJ557" s="3396"/>
      <c r="AK557" s="3396"/>
      <c r="AL557" s="3396"/>
      <c r="AM557" s="3396"/>
      <c r="AN557" s="3396"/>
      <c r="AO557" s="3396"/>
      <c r="AP557" s="3396"/>
      <c r="AQ557" s="3396"/>
      <c r="AR557" s="3396"/>
      <c r="AS557" s="3396"/>
      <c r="AT557" s="3396"/>
      <c r="AU557" s="3396"/>
      <c r="AV557" s="3396"/>
      <c r="AW557" s="3396"/>
      <c r="AX557" s="3396"/>
      <c r="AY557" s="3396"/>
      <c r="AZ557" s="3396"/>
      <c r="BA557" s="3396"/>
      <c r="BB557" s="3396"/>
      <c r="BC557" s="3396"/>
      <c r="BD557" s="3396"/>
      <c r="BE557" s="3396"/>
      <c r="BF557" s="3396"/>
      <c r="BG557" s="3396"/>
      <c r="BH557" s="3396"/>
      <c r="BI557" s="3396"/>
      <c r="BJ557" s="3396"/>
      <c r="BK557" s="3396"/>
      <c r="BL557" s="3396"/>
      <c r="BM557" s="3396"/>
      <c r="BN557" s="3396"/>
    </row>
    <row r="558" s="687" customFormat="1" ht="15" hidden="1" customHeight="1" spans="1:66">
      <c r="A558" s="3407" t="s">
        <v>6418</v>
      </c>
      <c r="B558" s="3408"/>
      <c r="C558" s="3409"/>
      <c r="D558" s="3409"/>
      <c r="E558" s="3408"/>
      <c r="F558" s="3410"/>
      <c r="G558" s="3430"/>
      <c r="H558" s="3411">
        <f t="shared" si="11"/>
        <v>0</v>
      </c>
      <c r="I558" s="3396"/>
      <c r="J558" s="3396"/>
      <c r="K558" s="3396"/>
      <c r="L558" s="3396"/>
      <c r="M558" s="3396"/>
      <c r="N558" s="3396"/>
      <c r="O558" s="3396"/>
      <c r="P558" s="3396"/>
      <c r="Q558" s="3396"/>
      <c r="R558" s="3396"/>
      <c r="S558" s="3396"/>
      <c r="T558" s="3396"/>
      <c r="U558" s="3396"/>
      <c r="V558" s="3396"/>
      <c r="W558" s="3396"/>
      <c r="X558" s="3396"/>
      <c r="Y558" s="3396"/>
      <c r="Z558" s="3396"/>
      <c r="AA558" s="3396"/>
      <c r="AB558" s="3396"/>
      <c r="AC558" s="3396"/>
      <c r="AD558" s="3396"/>
      <c r="AE558" s="3396"/>
      <c r="AF558" s="3396"/>
      <c r="AG558" s="3396"/>
      <c r="AH558" s="3396"/>
      <c r="AI558" s="3396"/>
      <c r="AJ558" s="3396"/>
      <c r="AK558" s="3396"/>
      <c r="AL558" s="3396"/>
      <c r="AM558" s="3396"/>
      <c r="AN558" s="3396"/>
      <c r="AO558" s="3396"/>
      <c r="AP558" s="3396"/>
      <c r="AQ558" s="3396"/>
      <c r="AR558" s="3396"/>
      <c r="AS558" s="3396"/>
      <c r="AT558" s="3396"/>
      <c r="AU558" s="3396"/>
      <c r="AV558" s="3396"/>
      <c r="AW558" s="3396"/>
      <c r="AX558" s="3396"/>
      <c r="AY558" s="3396"/>
      <c r="AZ558" s="3396"/>
      <c r="BA558" s="3396"/>
      <c r="BB558" s="3396"/>
      <c r="BC558" s="3396"/>
      <c r="BD558" s="3396"/>
      <c r="BE558" s="3396"/>
      <c r="BF558" s="3396"/>
      <c r="BG558" s="3396"/>
      <c r="BH558" s="3396"/>
      <c r="BI558" s="3396"/>
      <c r="BJ558" s="3396"/>
      <c r="BK558" s="3396"/>
      <c r="BL558" s="3396"/>
      <c r="BM558" s="3396"/>
      <c r="BN558" s="3396"/>
    </row>
    <row r="559" s="687" customFormat="1" ht="15" hidden="1" customHeight="1" spans="1:66">
      <c r="A559" s="3407" t="s">
        <v>6419</v>
      </c>
      <c r="B559" s="3408"/>
      <c r="C559" s="3409"/>
      <c r="D559" s="3409"/>
      <c r="E559" s="3408"/>
      <c r="F559" s="3410"/>
      <c r="G559" s="3430"/>
      <c r="H559" s="3411">
        <f t="shared" si="11"/>
        <v>0</v>
      </c>
      <c r="I559" s="3396"/>
      <c r="J559" s="3396"/>
      <c r="K559" s="3396"/>
      <c r="L559" s="3396"/>
      <c r="M559" s="3396"/>
      <c r="N559" s="3396"/>
      <c r="O559" s="3396"/>
      <c r="P559" s="3396"/>
      <c r="Q559" s="3396"/>
      <c r="R559" s="3396"/>
      <c r="S559" s="3396"/>
      <c r="T559" s="3396"/>
      <c r="U559" s="3396"/>
      <c r="V559" s="3396"/>
      <c r="W559" s="3396"/>
      <c r="X559" s="3396"/>
      <c r="Y559" s="3396"/>
      <c r="Z559" s="3396"/>
      <c r="AA559" s="3396"/>
      <c r="AB559" s="3396"/>
      <c r="AC559" s="3396"/>
      <c r="AD559" s="3396"/>
      <c r="AE559" s="3396"/>
      <c r="AF559" s="3396"/>
      <c r="AG559" s="3396"/>
      <c r="AH559" s="3396"/>
      <c r="AI559" s="3396"/>
      <c r="AJ559" s="3396"/>
      <c r="AK559" s="3396"/>
      <c r="AL559" s="3396"/>
      <c r="AM559" s="3396"/>
      <c r="AN559" s="3396"/>
      <c r="AO559" s="3396"/>
      <c r="AP559" s="3396"/>
      <c r="AQ559" s="3396"/>
      <c r="AR559" s="3396"/>
      <c r="AS559" s="3396"/>
      <c r="AT559" s="3396"/>
      <c r="AU559" s="3396"/>
      <c r="AV559" s="3396"/>
      <c r="AW559" s="3396"/>
      <c r="AX559" s="3396"/>
      <c r="AY559" s="3396"/>
      <c r="AZ559" s="3396"/>
      <c r="BA559" s="3396"/>
      <c r="BB559" s="3396"/>
      <c r="BC559" s="3396"/>
      <c r="BD559" s="3396"/>
      <c r="BE559" s="3396"/>
      <c r="BF559" s="3396"/>
      <c r="BG559" s="3396"/>
      <c r="BH559" s="3396"/>
      <c r="BI559" s="3396"/>
      <c r="BJ559" s="3396"/>
      <c r="BK559" s="3396"/>
      <c r="BL559" s="3396"/>
      <c r="BM559" s="3396"/>
      <c r="BN559" s="3396"/>
    </row>
    <row r="560" s="687" customFormat="1" ht="15" hidden="1" customHeight="1" spans="1:66">
      <c r="A560" s="3407" t="s">
        <v>6420</v>
      </c>
      <c r="B560" s="3408"/>
      <c r="C560" s="3409"/>
      <c r="D560" s="3409"/>
      <c r="E560" s="3408"/>
      <c r="F560" s="3410"/>
      <c r="G560" s="3430"/>
      <c r="H560" s="3411">
        <f t="shared" si="11"/>
        <v>0</v>
      </c>
      <c r="I560" s="3396"/>
      <c r="J560" s="3396"/>
      <c r="K560" s="3396"/>
      <c r="L560" s="3396"/>
      <c r="M560" s="3396"/>
      <c r="N560" s="3396"/>
      <c r="O560" s="3396"/>
      <c r="P560" s="3396"/>
      <c r="Q560" s="3396"/>
      <c r="R560" s="3396"/>
      <c r="S560" s="3396"/>
      <c r="T560" s="3396"/>
      <c r="U560" s="3396"/>
      <c r="V560" s="3396"/>
      <c r="W560" s="3396"/>
      <c r="X560" s="3396"/>
      <c r="Y560" s="3396"/>
      <c r="Z560" s="3396"/>
      <c r="AA560" s="3396"/>
      <c r="AB560" s="3396"/>
      <c r="AC560" s="3396"/>
      <c r="AD560" s="3396"/>
      <c r="AE560" s="3396"/>
      <c r="AF560" s="3396"/>
      <c r="AG560" s="3396"/>
      <c r="AH560" s="3396"/>
      <c r="AI560" s="3396"/>
      <c r="AJ560" s="3396"/>
      <c r="AK560" s="3396"/>
      <c r="AL560" s="3396"/>
      <c r="AM560" s="3396"/>
      <c r="AN560" s="3396"/>
      <c r="AO560" s="3396"/>
      <c r="AP560" s="3396"/>
      <c r="AQ560" s="3396"/>
      <c r="AR560" s="3396"/>
      <c r="AS560" s="3396"/>
      <c r="AT560" s="3396"/>
      <c r="AU560" s="3396"/>
      <c r="AV560" s="3396"/>
      <c r="AW560" s="3396"/>
      <c r="AX560" s="3396"/>
      <c r="AY560" s="3396"/>
      <c r="AZ560" s="3396"/>
      <c r="BA560" s="3396"/>
      <c r="BB560" s="3396"/>
      <c r="BC560" s="3396"/>
      <c r="BD560" s="3396"/>
      <c r="BE560" s="3396"/>
      <c r="BF560" s="3396"/>
      <c r="BG560" s="3396"/>
      <c r="BH560" s="3396"/>
      <c r="BI560" s="3396"/>
      <c r="BJ560" s="3396"/>
      <c r="BK560" s="3396"/>
      <c r="BL560" s="3396"/>
      <c r="BM560" s="3396"/>
      <c r="BN560" s="3396"/>
    </row>
    <row r="561" s="687" customFormat="1" ht="15" hidden="1" customHeight="1" spans="1:66">
      <c r="A561" s="3407" t="s">
        <v>6421</v>
      </c>
      <c r="B561" s="3408"/>
      <c r="C561" s="3409"/>
      <c r="D561" s="3409"/>
      <c r="E561" s="3408"/>
      <c r="F561" s="3410"/>
      <c r="G561" s="3430"/>
      <c r="H561" s="3411">
        <f t="shared" si="11"/>
        <v>0</v>
      </c>
      <c r="I561" s="3396"/>
      <c r="J561" s="3396"/>
      <c r="K561" s="3396"/>
      <c r="L561" s="3396"/>
      <c r="M561" s="3396"/>
      <c r="N561" s="3396"/>
      <c r="O561" s="3396"/>
      <c r="P561" s="3396"/>
      <c r="Q561" s="3396"/>
      <c r="R561" s="3396"/>
      <c r="S561" s="3396"/>
      <c r="T561" s="3396"/>
      <c r="U561" s="3396"/>
      <c r="V561" s="3396"/>
      <c r="W561" s="3396"/>
      <c r="X561" s="3396"/>
      <c r="Y561" s="3396"/>
      <c r="Z561" s="3396"/>
      <c r="AA561" s="3396"/>
      <c r="AB561" s="3396"/>
      <c r="AC561" s="3396"/>
      <c r="AD561" s="3396"/>
      <c r="AE561" s="3396"/>
      <c r="AF561" s="3396"/>
      <c r="AG561" s="3396"/>
      <c r="AH561" s="3396"/>
      <c r="AI561" s="3396"/>
      <c r="AJ561" s="3396"/>
      <c r="AK561" s="3396"/>
      <c r="AL561" s="3396"/>
      <c r="AM561" s="3396"/>
      <c r="AN561" s="3396"/>
      <c r="AO561" s="3396"/>
      <c r="AP561" s="3396"/>
      <c r="AQ561" s="3396"/>
      <c r="AR561" s="3396"/>
      <c r="AS561" s="3396"/>
      <c r="AT561" s="3396"/>
      <c r="AU561" s="3396"/>
      <c r="AV561" s="3396"/>
      <c r="AW561" s="3396"/>
      <c r="AX561" s="3396"/>
      <c r="AY561" s="3396"/>
      <c r="AZ561" s="3396"/>
      <c r="BA561" s="3396"/>
      <c r="BB561" s="3396"/>
      <c r="BC561" s="3396"/>
      <c r="BD561" s="3396"/>
      <c r="BE561" s="3396"/>
      <c r="BF561" s="3396"/>
      <c r="BG561" s="3396"/>
      <c r="BH561" s="3396"/>
      <c r="BI561" s="3396"/>
      <c r="BJ561" s="3396"/>
      <c r="BK561" s="3396"/>
      <c r="BL561" s="3396"/>
      <c r="BM561" s="3396"/>
      <c r="BN561" s="3396"/>
    </row>
    <row r="562" s="687" customFormat="1" ht="15" hidden="1" customHeight="1" spans="1:66">
      <c r="A562" s="3407" t="s">
        <v>6422</v>
      </c>
      <c r="B562" s="3408"/>
      <c r="C562" s="3409"/>
      <c r="D562" s="3409"/>
      <c r="E562" s="3408"/>
      <c r="F562" s="3410"/>
      <c r="G562" s="3430"/>
      <c r="H562" s="3411">
        <f t="shared" si="11"/>
        <v>0</v>
      </c>
      <c r="I562" s="3396"/>
      <c r="J562" s="3396"/>
      <c r="K562" s="3396"/>
      <c r="L562" s="3396"/>
      <c r="M562" s="3396"/>
      <c r="N562" s="3396"/>
      <c r="O562" s="3396"/>
      <c r="P562" s="3396"/>
      <c r="Q562" s="3396"/>
      <c r="R562" s="3396"/>
      <c r="S562" s="3396"/>
      <c r="T562" s="3396"/>
      <c r="U562" s="3396"/>
      <c r="V562" s="3396"/>
      <c r="W562" s="3396"/>
      <c r="X562" s="3396"/>
      <c r="Y562" s="3396"/>
      <c r="Z562" s="3396"/>
      <c r="AA562" s="3396"/>
      <c r="AB562" s="3396"/>
      <c r="AC562" s="3396"/>
      <c r="AD562" s="3396"/>
      <c r="AE562" s="3396"/>
      <c r="AF562" s="3396"/>
      <c r="AG562" s="3396"/>
      <c r="AH562" s="3396"/>
      <c r="AI562" s="3396"/>
      <c r="AJ562" s="3396"/>
      <c r="AK562" s="3396"/>
      <c r="AL562" s="3396"/>
      <c r="AM562" s="3396"/>
      <c r="AN562" s="3396"/>
      <c r="AO562" s="3396"/>
      <c r="AP562" s="3396"/>
      <c r="AQ562" s="3396"/>
      <c r="AR562" s="3396"/>
      <c r="AS562" s="3396"/>
      <c r="AT562" s="3396"/>
      <c r="AU562" s="3396"/>
      <c r="AV562" s="3396"/>
      <c r="AW562" s="3396"/>
      <c r="AX562" s="3396"/>
      <c r="AY562" s="3396"/>
      <c r="AZ562" s="3396"/>
      <c r="BA562" s="3396"/>
      <c r="BB562" s="3396"/>
      <c r="BC562" s="3396"/>
      <c r="BD562" s="3396"/>
      <c r="BE562" s="3396"/>
      <c r="BF562" s="3396"/>
      <c r="BG562" s="3396"/>
      <c r="BH562" s="3396"/>
      <c r="BI562" s="3396"/>
      <c r="BJ562" s="3396"/>
      <c r="BK562" s="3396"/>
      <c r="BL562" s="3396"/>
      <c r="BM562" s="3396"/>
      <c r="BN562" s="3396"/>
    </row>
    <row r="563" s="687" customFormat="1" ht="15" hidden="1" customHeight="1" spans="1:66">
      <c r="A563" s="3407" t="s">
        <v>6423</v>
      </c>
      <c r="B563" s="3408"/>
      <c r="C563" s="3409"/>
      <c r="D563" s="3409"/>
      <c r="E563" s="3408"/>
      <c r="F563" s="3410"/>
      <c r="G563" s="3430"/>
      <c r="H563" s="3411">
        <f t="shared" si="11"/>
        <v>0</v>
      </c>
      <c r="I563" s="3396"/>
      <c r="J563" s="3396"/>
      <c r="K563" s="3396"/>
      <c r="L563" s="3396"/>
      <c r="M563" s="3396"/>
      <c r="N563" s="3396"/>
      <c r="O563" s="3396"/>
      <c r="P563" s="3396"/>
      <c r="Q563" s="3396"/>
      <c r="R563" s="3396"/>
      <c r="S563" s="3396"/>
      <c r="T563" s="3396"/>
      <c r="U563" s="3396"/>
      <c r="V563" s="3396"/>
      <c r="W563" s="3396"/>
      <c r="X563" s="3396"/>
      <c r="Y563" s="3396"/>
      <c r="Z563" s="3396"/>
      <c r="AA563" s="3396"/>
      <c r="AB563" s="3396"/>
      <c r="AC563" s="3396"/>
      <c r="AD563" s="3396"/>
      <c r="AE563" s="3396"/>
      <c r="AF563" s="3396"/>
      <c r="AG563" s="3396"/>
      <c r="AH563" s="3396"/>
      <c r="AI563" s="3396"/>
      <c r="AJ563" s="3396"/>
      <c r="AK563" s="3396"/>
      <c r="AL563" s="3396"/>
      <c r="AM563" s="3396"/>
      <c r="AN563" s="3396"/>
      <c r="AO563" s="3396"/>
      <c r="AP563" s="3396"/>
      <c r="AQ563" s="3396"/>
      <c r="AR563" s="3396"/>
      <c r="AS563" s="3396"/>
      <c r="AT563" s="3396"/>
      <c r="AU563" s="3396"/>
      <c r="AV563" s="3396"/>
      <c r="AW563" s="3396"/>
      <c r="AX563" s="3396"/>
      <c r="AY563" s="3396"/>
      <c r="AZ563" s="3396"/>
      <c r="BA563" s="3396"/>
      <c r="BB563" s="3396"/>
      <c r="BC563" s="3396"/>
      <c r="BD563" s="3396"/>
      <c r="BE563" s="3396"/>
      <c r="BF563" s="3396"/>
      <c r="BG563" s="3396"/>
      <c r="BH563" s="3396"/>
      <c r="BI563" s="3396"/>
      <c r="BJ563" s="3396"/>
      <c r="BK563" s="3396"/>
      <c r="BL563" s="3396"/>
      <c r="BM563" s="3396"/>
      <c r="BN563" s="3396"/>
    </row>
    <row r="564" s="687" customFormat="1" ht="15" hidden="1" customHeight="1" spans="1:66">
      <c r="A564" s="3407" t="s">
        <v>6424</v>
      </c>
      <c r="B564" s="3408"/>
      <c r="C564" s="3409"/>
      <c r="D564" s="3409"/>
      <c r="E564" s="3408"/>
      <c r="F564" s="3410"/>
      <c r="G564" s="3430"/>
      <c r="H564" s="3411">
        <f t="shared" si="11"/>
        <v>0</v>
      </c>
      <c r="I564" s="3396"/>
      <c r="J564" s="3396"/>
      <c r="K564" s="3396"/>
      <c r="L564" s="3396"/>
      <c r="M564" s="3396"/>
      <c r="N564" s="3396"/>
      <c r="O564" s="3396"/>
      <c r="P564" s="3396"/>
      <c r="Q564" s="3396"/>
      <c r="R564" s="3396"/>
      <c r="S564" s="3396"/>
      <c r="T564" s="3396"/>
      <c r="U564" s="3396"/>
      <c r="V564" s="3396"/>
      <c r="W564" s="3396"/>
      <c r="X564" s="3396"/>
      <c r="Y564" s="3396"/>
      <c r="Z564" s="3396"/>
      <c r="AA564" s="3396"/>
      <c r="AB564" s="3396"/>
      <c r="AC564" s="3396"/>
      <c r="AD564" s="3396"/>
      <c r="AE564" s="3396"/>
      <c r="AF564" s="3396"/>
      <c r="AG564" s="3396"/>
      <c r="AH564" s="3396"/>
      <c r="AI564" s="3396"/>
      <c r="AJ564" s="3396"/>
      <c r="AK564" s="3396"/>
      <c r="AL564" s="3396"/>
      <c r="AM564" s="3396"/>
      <c r="AN564" s="3396"/>
      <c r="AO564" s="3396"/>
      <c r="AP564" s="3396"/>
      <c r="AQ564" s="3396"/>
      <c r="AR564" s="3396"/>
      <c r="AS564" s="3396"/>
      <c r="AT564" s="3396"/>
      <c r="AU564" s="3396"/>
      <c r="AV564" s="3396"/>
      <c r="AW564" s="3396"/>
      <c r="AX564" s="3396"/>
      <c r="AY564" s="3396"/>
      <c r="AZ564" s="3396"/>
      <c r="BA564" s="3396"/>
      <c r="BB564" s="3396"/>
      <c r="BC564" s="3396"/>
      <c r="BD564" s="3396"/>
      <c r="BE564" s="3396"/>
      <c r="BF564" s="3396"/>
      <c r="BG564" s="3396"/>
      <c r="BH564" s="3396"/>
      <c r="BI564" s="3396"/>
      <c r="BJ564" s="3396"/>
      <c r="BK564" s="3396"/>
      <c r="BL564" s="3396"/>
      <c r="BM564" s="3396"/>
      <c r="BN564" s="3396"/>
    </row>
    <row r="565" s="687" customFormat="1" ht="15" hidden="1" customHeight="1" spans="1:66">
      <c r="A565" s="3407" t="s">
        <v>6425</v>
      </c>
      <c r="B565" s="3408"/>
      <c r="C565" s="3409"/>
      <c r="D565" s="3409"/>
      <c r="E565" s="3408"/>
      <c r="F565" s="3410"/>
      <c r="G565" s="3430"/>
      <c r="H565" s="3411">
        <f t="shared" si="11"/>
        <v>0</v>
      </c>
      <c r="I565" s="3396"/>
      <c r="J565" s="3396"/>
      <c r="K565" s="3396"/>
      <c r="L565" s="3396"/>
      <c r="M565" s="3396"/>
      <c r="N565" s="3396"/>
      <c r="O565" s="3396"/>
      <c r="P565" s="3396"/>
      <c r="Q565" s="3396"/>
      <c r="R565" s="3396"/>
      <c r="S565" s="3396"/>
      <c r="T565" s="3396"/>
      <c r="U565" s="3396"/>
      <c r="V565" s="3396"/>
      <c r="W565" s="3396"/>
      <c r="X565" s="3396"/>
      <c r="Y565" s="3396"/>
      <c r="Z565" s="3396"/>
      <c r="AA565" s="3396"/>
      <c r="AB565" s="3396"/>
      <c r="AC565" s="3396"/>
      <c r="AD565" s="3396"/>
      <c r="AE565" s="3396"/>
      <c r="AF565" s="3396"/>
      <c r="AG565" s="3396"/>
      <c r="AH565" s="3396"/>
      <c r="AI565" s="3396"/>
      <c r="AJ565" s="3396"/>
      <c r="AK565" s="3396"/>
      <c r="AL565" s="3396"/>
      <c r="AM565" s="3396"/>
      <c r="AN565" s="3396"/>
      <c r="AO565" s="3396"/>
      <c r="AP565" s="3396"/>
      <c r="AQ565" s="3396"/>
      <c r="AR565" s="3396"/>
      <c r="AS565" s="3396"/>
      <c r="AT565" s="3396"/>
      <c r="AU565" s="3396"/>
      <c r="AV565" s="3396"/>
      <c r="AW565" s="3396"/>
      <c r="AX565" s="3396"/>
      <c r="AY565" s="3396"/>
      <c r="AZ565" s="3396"/>
      <c r="BA565" s="3396"/>
      <c r="BB565" s="3396"/>
      <c r="BC565" s="3396"/>
      <c r="BD565" s="3396"/>
      <c r="BE565" s="3396"/>
      <c r="BF565" s="3396"/>
      <c r="BG565" s="3396"/>
      <c r="BH565" s="3396"/>
      <c r="BI565" s="3396"/>
      <c r="BJ565" s="3396"/>
      <c r="BK565" s="3396"/>
      <c r="BL565" s="3396"/>
      <c r="BM565" s="3396"/>
      <c r="BN565" s="3396"/>
    </row>
    <row r="566" s="687" customFormat="1" ht="15" hidden="1" customHeight="1" spans="1:66">
      <c r="A566" s="3407" t="s">
        <v>6426</v>
      </c>
      <c r="B566" s="3408"/>
      <c r="C566" s="3409"/>
      <c r="D566" s="3409"/>
      <c r="E566" s="3408"/>
      <c r="F566" s="3410"/>
      <c r="G566" s="3430"/>
      <c r="H566" s="3411">
        <f t="shared" si="11"/>
        <v>0</v>
      </c>
      <c r="I566" s="3396"/>
      <c r="J566" s="3396"/>
      <c r="K566" s="3396"/>
      <c r="L566" s="3396"/>
      <c r="M566" s="3396"/>
      <c r="N566" s="3396"/>
      <c r="O566" s="3396"/>
      <c r="P566" s="3396"/>
      <c r="Q566" s="3396"/>
      <c r="R566" s="3396"/>
      <c r="S566" s="3396"/>
      <c r="T566" s="3396"/>
      <c r="U566" s="3396"/>
      <c r="V566" s="3396"/>
      <c r="W566" s="3396"/>
      <c r="X566" s="3396"/>
      <c r="Y566" s="3396"/>
      <c r="Z566" s="3396"/>
      <c r="AA566" s="3396"/>
      <c r="AB566" s="3396"/>
      <c r="AC566" s="3396"/>
      <c r="AD566" s="3396"/>
      <c r="AE566" s="3396"/>
      <c r="AF566" s="3396"/>
      <c r="AG566" s="3396"/>
      <c r="AH566" s="3396"/>
      <c r="AI566" s="3396"/>
      <c r="AJ566" s="3396"/>
      <c r="AK566" s="3396"/>
      <c r="AL566" s="3396"/>
      <c r="AM566" s="3396"/>
      <c r="AN566" s="3396"/>
      <c r="AO566" s="3396"/>
      <c r="AP566" s="3396"/>
      <c r="AQ566" s="3396"/>
      <c r="AR566" s="3396"/>
      <c r="AS566" s="3396"/>
      <c r="AT566" s="3396"/>
      <c r="AU566" s="3396"/>
      <c r="AV566" s="3396"/>
      <c r="AW566" s="3396"/>
      <c r="AX566" s="3396"/>
      <c r="AY566" s="3396"/>
      <c r="AZ566" s="3396"/>
      <c r="BA566" s="3396"/>
      <c r="BB566" s="3396"/>
      <c r="BC566" s="3396"/>
      <c r="BD566" s="3396"/>
      <c r="BE566" s="3396"/>
      <c r="BF566" s="3396"/>
      <c r="BG566" s="3396"/>
      <c r="BH566" s="3396"/>
      <c r="BI566" s="3396"/>
      <c r="BJ566" s="3396"/>
      <c r="BK566" s="3396"/>
      <c r="BL566" s="3396"/>
      <c r="BM566" s="3396"/>
      <c r="BN566" s="3396"/>
    </row>
    <row r="567" s="687" customFormat="1" ht="15" hidden="1" customHeight="1" spans="1:66">
      <c r="A567" s="3407" t="s">
        <v>6427</v>
      </c>
      <c r="B567" s="3408"/>
      <c r="C567" s="3409"/>
      <c r="D567" s="3409"/>
      <c r="E567" s="3408"/>
      <c r="F567" s="3410"/>
      <c r="G567" s="3430"/>
      <c r="H567" s="3411">
        <f t="shared" si="11"/>
        <v>0</v>
      </c>
      <c r="I567" s="3396"/>
      <c r="J567" s="3396"/>
      <c r="K567" s="3396"/>
      <c r="L567" s="3396"/>
      <c r="M567" s="3396"/>
      <c r="N567" s="3396"/>
      <c r="O567" s="3396"/>
      <c r="P567" s="3396"/>
      <c r="Q567" s="3396"/>
      <c r="R567" s="3396"/>
      <c r="S567" s="3396"/>
      <c r="T567" s="3396"/>
      <c r="U567" s="3396"/>
      <c r="V567" s="3396"/>
      <c r="W567" s="3396"/>
      <c r="X567" s="3396"/>
      <c r="Y567" s="3396"/>
      <c r="Z567" s="3396"/>
      <c r="AA567" s="3396"/>
      <c r="AB567" s="3396"/>
      <c r="AC567" s="3396"/>
      <c r="AD567" s="3396"/>
      <c r="AE567" s="3396"/>
      <c r="AF567" s="3396"/>
      <c r="AG567" s="3396"/>
      <c r="AH567" s="3396"/>
      <c r="AI567" s="3396"/>
      <c r="AJ567" s="3396"/>
      <c r="AK567" s="3396"/>
      <c r="AL567" s="3396"/>
      <c r="AM567" s="3396"/>
      <c r="AN567" s="3396"/>
      <c r="AO567" s="3396"/>
      <c r="AP567" s="3396"/>
      <c r="AQ567" s="3396"/>
      <c r="AR567" s="3396"/>
      <c r="AS567" s="3396"/>
      <c r="AT567" s="3396"/>
      <c r="AU567" s="3396"/>
      <c r="AV567" s="3396"/>
      <c r="AW567" s="3396"/>
      <c r="AX567" s="3396"/>
      <c r="AY567" s="3396"/>
      <c r="AZ567" s="3396"/>
      <c r="BA567" s="3396"/>
      <c r="BB567" s="3396"/>
      <c r="BC567" s="3396"/>
      <c r="BD567" s="3396"/>
      <c r="BE567" s="3396"/>
      <c r="BF567" s="3396"/>
      <c r="BG567" s="3396"/>
      <c r="BH567" s="3396"/>
      <c r="BI567" s="3396"/>
      <c r="BJ567" s="3396"/>
      <c r="BK567" s="3396"/>
      <c r="BL567" s="3396"/>
      <c r="BM567" s="3396"/>
      <c r="BN567" s="3396"/>
    </row>
    <row r="568" s="687" customFormat="1" ht="15" hidden="1" customHeight="1" spans="1:66">
      <c r="A568" s="3407" t="s">
        <v>6428</v>
      </c>
      <c r="B568" s="3408"/>
      <c r="C568" s="3409"/>
      <c r="D568" s="3409"/>
      <c r="E568" s="3408"/>
      <c r="F568" s="3410"/>
      <c r="G568" s="3430"/>
      <c r="H568" s="3411">
        <f t="shared" si="11"/>
        <v>0</v>
      </c>
      <c r="I568" s="3396"/>
      <c r="J568" s="3396"/>
      <c r="K568" s="3396"/>
      <c r="L568" s="3396"/>
      <c r="M568" s="3396"/>
      <c r="N568" s="3396"/>
      <c r="O568" s="3396"/>
      <c r="P568" s="3396"/>
      <c r="Q568" s="3396"/>
      <c r="R568" s="3396"/>
      <c r="S568" s="3396"/>
      <c r="T568" s="3396"/>
      <c r="U568" s="3396"/>
      <c r="V568" s="3396"/>
      <c r="W568" s="3396"/>
      <c r="X568" s="3396"/>
      <c r="Y568" s="3396"/>
      <c r="Z568" s="3396"/>
      <c r="AA568" s="3396"/>
      <c r="AB568" s="3396"/>
      <c r="AC568" s="3396"/>
      <c r="AD568" s="3396"/>
      <c r="AE568" s="3396"/>
      <c r="AF568" s="3396"/>
      <c r="AG568" s="3396"/>
      <c r="AH568" s="3396"/>
      <c r="AI568" s="3396"/>
      <c r="AJ568" s="3396"/>
      <c r="AK568" s="3396"/>
      <c r="AL568" s="3396"/>
      <c r="AM568" s="3396"/>
      <c r="AN568" s="3396"/>
      <c r="AO568" s="3396"/>
      <c r="AP568" s="3396"/>
      <c r="AQ568" s="3396"/>
      <c r="AR568" s="3396"/>
      <c r="AS568" s="3396"/>
      <c r="AT568" s="3396"/>
      <c r="AU568" s="3396"/>
      <c r="AV568" s="3396"/>
      <c r="AW568" s="3396"/>
      <c r="AX568" s="3396"/>
      <c r="AY568" s="3396"/>
      <c r="AZ568" s="3396"/>
      <c r="BA568" s="3396"/>
      <c r="BB568" s="3396"/>
      <c r="BC568" s="3396"/>
      <c r="BD568" s="3396"/>
      <c r="BE568" s="3396"/>
      <c r="BF568" s="3396"/>
      <c r="BG568" s="3396"/>
      <c r="BH568" s="3396"/>
      <c r="BI568" s="3396"/>
      <c r="BJ568" s="3396"/>
      <c r="BK568" s="3396"/>
      <c r="BL568" s="3396"/>
      <c r="BM568" s="3396"/>
      <c r="BN568" s="3396"/>
    </row>
    <row r="569" s="687" customFormat="1" ht="15" hidden="1" customHeight="1" spans="1:66">
      <c r="A569" s="3407" t="s">
        <v>6429</v>
      </c>
      <c r="B569" s="3408"/>
      <c r="C569" s="3409"/>
      <c r="D569" s="3409"/>
      <c r="E569" s="3408"/>
      <c r="F569" s="3410"/>
      <c r="G569" s="3430"/>
      <c r="H569" s="3411">
        <f t="shared" si="11"/>
        <v>0</v>
      </c>
      <c r="I569" s="3396"/>
      <c r="J569" s="3396"/>
      <c r="K569" s="3396"/>
      <c r="L569" s="3396"/>
      <c r="M569" s="3396"/>
      <c r="N569" s="3396"/>
      <c r="O569" s="3396"/>
      <c r="P569" s="3396"/>
      <c r="Q569" s="3396"/>
      <c r="R569" s="3396"/>
      <c r="S569" s="3396"/>
      <c r="T569" s="3396"/>
      <c r="U569" s="3396"/>
      <c r="V569" s="3396"/>
      <c r="W569" s="3396"/>
      <c r="X569" s="3396"/>
      <c r="Y569" s="3396"/>
      <c r="Z569" s="3396"/>
      <c r="AA569" s="3396"/>
      <c r="AB569" s="3396"/>
      <c r="AC569" s="3396"/>
      <c r="AD569" s="3396"/>
      <c r="AE569" s="3396"/>
      <c r="AF569" s="3396"/>
      <c r="AG569" s="3396"/>
      <c r="AH569" s="3396"/>
      <c r="AI569" s="3396"/>
      <c r="AJ569" s="3396"/>
      <c r="AK569" s="3396"/>
      <c r="AL569" s="3396"/>
      <c r="AM569" s="3396"/>
      <c r="AN569" s="3396"/>
      <c r="AO569" s="3396"/>
      <c r="AP569" s="3396"/>
      <c r="AQ569" s="3396"/>
      <c r="AR569" s="3396"/>
      <c r="AS569" s="3396"/>
      <c r="AT569" s="3396"/>
      <c r="AU569" s="3396"/>
      <c r="AV569" s="3396"/>
      <c r="AW569" s="3396"/>
      <c r="AX569" s="3396"/>
      <c r="AY569" s="3396"/>
      <c r="AZ569" s="3396"/>
      <c r="BA569" s="3396"/>
      <c r="BB569" s="3396"/>
      <c r="BC569" s="3396"/>
      <c r="BD569" s="3396"/>
      <c r="BE569" s="3396"/>
      <c r="BF569" s="3396"/>
      <c r="BG569" s="3396"/>
      <c r="BH569" s="3396"/>
      <c r="BI569" s="3396"/>
      <c r="BJ569" s="3396"/>
      <c r="BK569" s="3396"/>
      <c r="BL569" s="3396"/>
      <c r="BM569" s="3396"/>
      <c r="BN569" s="3396"/>
    </row>
    <row r="570" s="687" customFormat="1" ht="15" hidden="1" customHeight="1" spans="1:66">
      <c r="A570" s="3407" t="s">
        <v>6430</v>
      </c>
      <c r="B570" s="3408"/>
      <c r="C570" s="3409"/>
      <c r="D570" s="3409"/>
      <c r="E570" s="3408"/>
      <c r="F570" s="3410"/>
      <c r="G570" s="3430"/>
      <c r="H570" s="3411">
        <f t="shared" si="11"/>
        <v>0</v>
      </c>
      <c r="I570" s="3396"/>
      <c r="J570" s="3396"/>
      <c r="K570" s="3396"/>
      <c r="L570" s="3396"/>
      <c r="M570" s="3396"/>
      <c r="N570" s="3396"/>
      <c r="O570" s="3396"/>
      <c r="P570" s="3396"/>
      <c r="Q570" s="3396"/>
      <c r="R570" s="3396"/>
      <c r="S570" s="3396"/>
      <c r="T570" s="3396"/>
      <c r="U570" s="3396"/>
      <c r="V570" s="3396"/>
      <c r="W570" s="3396"/>
      <c r="X570" s="3396"/>
      <c r="Y570" s="3396"/>
      <c r="Z570" s="3396"/>
      <c r="AA570" s="3396"/>
      <c r="AB570" s="3396"/>
      <c r="AC570" s="3396"/>
      <c r="AD570" s="3396"/>
      <c r="AE570" s="3396"/>
      <c r="AF570" s="3396"/>
      <c r="AG570" s="3396"/>
      <c r="AH570" s="3396"/>
      <c r="AI570" s="3396"/>
      <c r="AJ570" s="3396"/>
      <c r="AK570" s="3396"/>
      <c r="AL570" s="3396"/>
      <c r="AM570" s="3396"/>
      <c r="AN570" s="3396"/>
      <c r="AO570" s="3396"/>
      <c r="AP570" s="3396"/>
      <c r="AQ570" s="3396"/>
      <c r="AR570" s="3396"/>
      <c r="AS570" s="3396"/>
      <c r="AT570" s="3396"/>
      <c r="AU570" s="3396"/>
      <c r="AV570" s="3396"/>
      <c r="AW570" s="3396"/>
      <c r="AX570" s="3396"/>
      <c r="AY570" s="3396"/>
      <c r="AZ570" s="3396"/>
      <c r="BA570" s="3396"/>
      <c r="BB570" s="3396"/>
      <c r="BC570" s="3396"/>
      <c r="BD570" s="3396"/>
      <c r="BE570" s="3396"/>
      <c r="BF570" s="3396"/>
      <c r="BG570" s="3396"/>
      <c r="BH570" s="3396"/>
      <c r="BI570" s="3396"/>
      <c r="BJ570" s="3396"/>
      <c r="BK570" s="3396"/>
      <c r="BL570" s="3396"/>
      <c r="BM570" s="3396"/>
      <c r="BN570" s="3396"/>
    </row>
    <row r="571" s="687" customFormat="1" ht="15" hidden="1" customHeight="1" spans="1:66">
      <c r="A571" s="3407" t="s">
        <v>6431</v>
      </c>
      <c r="B571" s="3408"/>
      <c r="C571" s="3409"/>
      <c r="D571" s="3409"/>
      <c r="E571" s="3408"/>
      <c r="F571" s="3410"/>
      <c r="G571" s="3430"/>
      <c r="H571" s="3411">
        <f t="shared" si="11"/>
        <v>0</v>
      </c>
      <c r="I571" s="3396"/>
      <c r="J571" s="3396"/>
      <c r="K571" s="3396"/>
      <c r="L571" s="3396"/>
      <c r="M571" s="3396"/>
      <c r="N571" s="3396"/>
      <c r="O571" s="3396"/>
      <c r="P571" s="3396"/>
      <c r="Q571" s="3396"/>
      <c r="R571" s="3396"/>
      <c r="S571" s="3396"/>
      <c r="T571" s="3396"/>
      <c r="U571" s="3396"/>
      <c r="V571" s="3396"/>
      <c r="W571" s="3396"/>
      <c r="X571" s="3396"/>
      <c r="Y571" s="3396"/>
      <c r="Z571" s="3396"/>
      <c r="AA571" s="3396"/>
      <c r="AB571" s="3396"/>
      <c r="AC571" s="3396"/>
      <c r="AD571" s="3396"/>
      <c r="AE571" s="3396"/>
      <c r="AF571" s="3396"/>
      <c r="AG571" s="3396"/>
      <c r="AH571" s="3396"/>
      <c r="AI571" s="3396"/>
      <c r="AJ571" s="3396"/>
      <c r="AK571" s="3396"/>
      <c r="AL571" s="3396"/>
      <c r="AM571" s="3396"/>
      <c r="AN571" s="3396"/>
      <c r="AO571" s="3396"/>
      <c r="AP571" s="3396"/>
      <c r="AQ571" s="3396"/>
      <c r="AR571" s="3396"/>
      <c r="AS571" s="3396"/>
      <c r="AT571" s="3396"/>
      <c r="AU571" s="3396"/>
      <c r="AV571" s="3396"/>
      <c r="AW571" s="3396"/>
      <c r="AX571" s="3396"/>
      <c r="AY571" s="3396"/>
      <c r="AZ571" s="3396"/>
      <c r="BA571" s="3396"/>
      <c r="BB571" s="3396"/>
      <c r="BC571" s="3396"/>
      <c r="BD571" s="3396"/>
      <c r="BE571" s="3396"/>
      <c r="BF571" s="3396"/>
      <c r="BG571" s="3396"/>
      <c r="BH571" s="3396"/>
      <c r="BI571" s="3396"/>
      <c r="BJ571" s="3396"/>
      <c r="BK571" s="3396"/>
      <c r="BL571" s="3396"/>
      <c r="BM571" s="3396"/>
      <c r="BN571" s="3396"/>
    </row>
    <row r="572" s="687" customFormat="1" ht="15" hidden="1" customHeight="1" spans="1:66">
      <c r="A572" s="3407" t="s">
        <v>6432</v>
      </c>
      <c r="B572" s="3408"/>
      <c r="C572" s="3409"/>
      <c r="D572" s="3409"/>
      <c r="E572" s="3408"/>
      <c r="F572" s="3410"/>
      <c r="G572" s="3430"/>
      <c r="H572" s="3411">
        <f t="shared" si="11"/>
        <v>0</v>
      </c>
      <c r="I572" s="3396"/>
      <c r="J572" s="3396"/>
      <c r="K572" s="3396"/>
      <c r="L572" s="3396"/>
      <c r="M572" s="3396"/>
      <c r="N572" s="3396"/>
      <c r="O572" s="3396"/>
      <c r="P572" s="3396"/>
      <c r="Q572" s="3396"/>
      <c r="R572" s="3396"/>
      <c r="S572" s="3396"/>
      <c r="T572" s="3396"/>
      <c r="U572" s="3396"/>
      <c r="V572" s="3396"/>
      <c r="W572" s="3396"/>
      <c r="X572" s="3396"/>
      <c r="Y572" s="3396"/>
      <c r="Z572" s="3396"/>
      <c r="AA572" s="3396"/>
      <c r="AB572" s="3396"/>
      <c r="AC572" s="3396"/>
      <c r="AD572" s="3396"/>
      <c r="AE572" s="3396"/>
      <c r="AF572" s="3396"/>
      <c r="AG572" s="3396"/>
      <c r="AH572" s="3396"/>
      <c r="AI572" s="3396"/>
      <c r="AJ572" s="3396"/>
      <c r="AK572" s="3396"/>
      <c r="AL572" s="3396"/>
      <c r="AM572" s="3396"/>
      <c r="AN572" s="3396"/>
      <c r="AO572" s="3396"/>
      <c r="AP572" s="3396"/>
      <c r="AQ572" s="3396"/>
      <c r="AR572" s="3396"/>
      <c r="AS572" s="3396"/>
      <c r="AT572" s="3396"/>
      <c r="AU572" s="3396"/>
      <c r="AV572" s="3396"/>
      <c r="AW572" s="3396"/>
      <c r="AX572" s="3396"/>
      <c r="AY572" s="3396"/>
      <c r="AZ572" s="3396"/>
      <c r="BA572" s="3396"/>
      <c r="BB572" s="3396"/>
      <c r="BC572" s="3396"/>
      <c r="BD572" s="3396"/>
      <c r="BE572" s="3396"/>
      <c r="BF572" s="3396"/>
      <c r="BG572" s="3396"/>
      <c r="BH572" s="3396"/>
      <c r="BI572" s="3396"/>
      <c r="BJ572" s="3396"/>
      <c r="BK572" s="3396"/>
      <c r="BL572" s="3396"/>
      <c r="BM572" s="3396"/>
      <c r="BN572" s="3396"/>
    </row>
    <row r="573" s="687" customFormat="1" ht="15" hidden="1" customHeight="1" spans="1:66">
      <c r="A573" s="3407" t="s">
        <v>6433</v>
      </c>
      <c r="B573" s="3408"/>
      <c r="C573" s="3409"/>
      <c r="D573" s="3409"/>
      <c r="E573" s="3408"/>
      <c r="F573" s="3410"/>
      <c r="G573" s="3430"/>
      <c r="H573" s="3411">
        <f t="shared" si="11"/>
        <v>0</v>
      </c>
      <c r="I573" s="3396"/>
      <c r="J573" s="3396"/>
      <c r="K573" s="3396"/>
      <c r="L573" s="3396"/>
      <c r="M573" s="3396"/>
      <c r="N573" s="3396"/>
      <c r="O573" s="3396"/>
      <c r="P573" s="3396"/>
      <c r="Q573" s="3396"/>
      <c r="R573" s="3396"/>
      <c r="S573" s="3396"/>
      <c r="T573" s="3396"/>
      <c r="U573" s="3396"/>
      <c r="V573" s="3396"/>
      <c r="W573" s="3396"/>
      <c r="X573" s="3396"/>
      <c r="Y573" s="3396"/>
      <c r="Z573" s="3396"/>
      <c r="AA573" s="3396"/>
      <c r="AB573" s="3396"/>
      <c r="AC573" s="3396"/>
      <c r="AD573" s="3396"/>
      <c r="AE573" s="3396"/>
      <c r="AF573" s="3396"/>
      <c r="AG573" s="3396"/>
      <c r="AH573" s="3396"/>
      <c r="AI573" s="3396"/>
      <c r="AJ573" s="3396"/>
      <c r="AK573" s="3396"/>
      <c r="AL573" s="3396"/>
      <c r="AM573" s="3396"/>
      <c r="AN573" s="3396"/>
      <c r="AO573" s="3396"/>
      <c r="AP573" s="3396"/>
      <c r="AQ573" s="3396"/>
      <c r="AR573" s="3396"/>
      <c r="AS573" s="3396"/>
      <c r="AT573" s="3396"/>
      <c r="AU573" s="3396"/>
      <c r="AV573" s="3396"/>
      <c r="AW573" s="3396"/>
      <c r="AX573" s="3396"/>
      <c r="AY573" s="3396"/>
      <c r="AZ573" s="3396"/>
      <c r="BA573" s="3396"/>
      <c r="BB573" s="3396"/>
      <c r="BC573" s="3396"/>
      <c r="BD573" s="3396"/>
      <c r="BE573" s="3396"/>
      <c r="BF573" s="3396"/>
      <c r="BG573" s="3396"/>
      <c r="BH573" s="3396"/>
      <c r="BI573" s="3396"/>
      <c r="BJ573" s="3396"/>
      <c r="BK573" s="3396"/>
      <c r="BL573" s="3396"/>
      <c r="BM573" s="3396"/>
      <c r="BN573" s="3396"/>
    </row>
    <row r="574" s="687" customFormat="1" ht="15" hidden="1" customHeight="1" spans="1:66">
      <c r="A574" s="3407" t="s">
        <v>6434</v>
      </c>
      <c r="B574" s="3408"/>
      <c r="C574" s="3409"/>
      <c r="D574" s="3409"/>
      <c r="E574" s="3408"/>
      <c r="F574" s="3410"/>
      <c r="G574" s="3430"/>
      <c r="H574" s="3411">
        <f t="shared" si="11"/>
        <v>0</v>
      </c>
      <c r="I574" s="3396"/>
      <c r="J574" s="3396"/>
      <c r="K574" s="3396"/>
      <c r="L574" s="3396"/>
      <c r="M574" s="3396"/>
      <c r="N574" s="3396"/>
      <c r="O574" s="3396"/>
      <c r="P574" s="3396"/>
      <c r="Q574" s="3396"/>
      <c r="R574" s="3396"/>
      <c r="S574" s="3396"/>
      <c r="T574" s="3396"/>
      <c r="U574" s="3396"/>
      <c r="V574" s="3396"/>
      <c r="W574" s="3396"/>
      <c r="X574" s="3396"/>
      <c r="Y574" s="3396"/>
      <c r="Z574" s="3396"/>
      <c r="AA574" s="3396"/>
      <c r="AB574" s="3396"/>
      <c r="AC574" s="3396"/>
      <c r="AD574" s="3396"/>
      <c r="AE574" s="3396"/>
      <c r="AF574" s="3396"/>
      <c r="AG574" s="3396"/>
      <c r="AH574" s="3396"/>
      <c r="AI574" s="3396"/>
      <c r="AJ574" s="3396"/>
      <c r="AK574" s="3396"/>
      <c r="AL574" s="3396"/>
      <c r="AM574" s="3396"/>
      <c r="AN574" s="3396"/>
      <c r="AO574" s="3396"/>
      <c r="AP574" s="3396"/>
      <c r="AQ574" s="3396"/>
      <c r="AR574" s="3396"/>
      <c r="AS574" s="3396"/>
      <c r="AT574" s="3396"/>
      <c r="AU574" s="3396"/>
      <c r="AV574" s="3396"/>
      <c r="AW574" s="3396"/>
      <c r="AX574" s="3396"/>
      <c r="AY574" s="3396"/>
      <c r="AZ574" s="3396"/>
      <c r="BA574" s="3396"/>
      <c r="BB574" s="3396"/>
      <c r="BC574" s="3396"/>
      <c r="BD574" s="3396"/>
      <c r="BE574" s="3396"/>
      <c r="BF574" s="3396"/>
      <c r="BG574" s="3396"/>
      <c r="BH574" s="3396"/>
      <c r="BI574" s="3396"/>
      <c r="BJ574" s="3396"/>
      <c r="BK574" s="3396"/>
      <c r="BL574" s="3396"/>
      <c r="BM574" s="3396"/>
      <c r="BN574" s="3396"/>
    </row>
    <row r="575" s="687" customFormat="1" ht="15" hidden="1" customHeight="1" spans="1:66">
      <c r="A575" s="3407" t="s">
        <v>6435</v>
      </c>
      <c r="B575" s="3408"/>
      <c r="C575" s="3409"/>
      <c r="D575" s="3409"/>
      <c r="E575" s="3408"/>
      <c r="F575" s="3410"/>
      <c r="G575" s="3430"/>
      <c r="H575" s="3411">
        <f t="shared" si="11"/>
        <v>0</v>
      </c>
      <c r="I575" s="3396"/>
      <c r="J575" s="3396"/>
      <c r="K575" s="3396"/>
      <c r="L575" s="3396"/>
      <c r="M575" s="3396"/>
      <c r="N575" s="3396"/>
      <c r="O575" s="3396"/>
      <c r="P575" s="3396"/>
      <c r="Q575" s="3396"/>
      <c r="R575" s="3396"/>
      <c r="S575" s="3396"/>
      <c r="T575" s="3396"/>
      <c r="U575" s="3396"/>
      <c r="V575" s="3396"/>
      <c r="W575" s="3396"/>
      <c r="X575" s="3396"/>
      <c r="Y575" s="3396"/>
      <c r="Z575" s="3396"/>
      <c r="AA575" s="3396"/>
      <c r="AB575" s="3396"/>
      <c r="AC575" s="3396"/>
      <c r="AD575" s="3396"/>
      <c r="AE575" s="3396"/>
      <c r="AF575" s="3396"/>
      <c r="AG575" s="3396"/>
      <c r="AH575" s="3396"/>
      <c r="AI575" s="3396"/>
      <c r="AJ575" s="3396"/>
      <c r="AK575" s="3396"/>
      <c r="AL575" s="3396"/>
      <c r="AM575" s="3396"/>
      <c r="AN575" s="3396"/>
      <c r="AO575" s="3396"/>
      <c r="AP575" s="3396"/>
      <c r="AQ575" s="3396"/>
      <c r="AR575" s="3396"/>
      <c r="AS575" s="3396"/>
      <c r="AT575" s="3396"/>
      <c r="AU575" s="3396"/>
      <c r="AV575" s="3396"/>
      <c r="AW575" s="3396"/>
      <c r="AX575" s="3396"/>
      <c r="AY575" s="3396"/>
      <c r="AZ575" s="3396"/>
      <c r="BA575" s="3396"/>
      <c r="BB575" s="3396"/>
      <c r="BC575" s="3396"/>
      <c r="BD575" s="3396"/>
      <c r="BE575" s="3396"/>
      <c r="BF575" s="3396"/>
      <c r="BG575" s="3396"/>
      <c r="BH575" s="3396"/>
      <c r="BI575" s="3396"/>
      <c r="BJ575" s="3396"/>
      <c r="BK575" s="3396"/>
      <c r="BL575" s="3396"/>
      <c r="BM575" s="3396"/>
      <c r="BN575" s="3396"/>
    </row>
    <row r="576" s="687" customFormat="1" ht="15" hidden="1" customHeight="1" spans="1:66">
      <c r="A576" s="3407" t="s">
        <v>6436</v>
      </c>
      <c r="B576" s="3408"/>
      <c r="C576" s="3409"/>
      <c r="D576" s="3409"/>
      <c r="E576" s="3408"/>
      <c r="F576" s="3410"/>
      <c r="G576" s="3430"/>
      <c r="H576" s="3411">
        <f t="shared" si="11"/>
        <v>0</v>
      </c>
      <c r="I576" s="3396"/>
      <c r="J576" s="3396"/>
      <c r="K576" s="3396"/>
      <c r="L576" s="3396"/>
      <c r="M576" s="3396"/>
      <c r="N576" s="3396"/>
      <c r="O576" s="3396"/>
      <c r="P576" s="3396"/>
      <c r="Q576" s="3396"/>
      <c r="R576" s="3396"/>
      <c r="S576" s="3396"/>
      <c r="T576" s="3396"/>
      <c r="U576" s="3396"/>
      <c r="V576" s="3396"/>
      <c r="W576" s="3396"/>
      <c r="X576" s="3396"/>
      <c r="Y576" s="3396"/>
      <c r="Z576" s="3396"/>
      <c r="AA576" s="3396"/>
      <c r="AB576" s="3396"/>
      <c r="AC576" s="3396"/>
      <c r="AD576" s="3396"/>
      <c r="AE576" s="3396"/>
      <c r="AF576" s="3396"/>
      <c r="AG576" s="3396"/>
      <c r="AH576" s="3396"/>
      <c r="AI576" s="3396"/>
      <c r="AJ576" s="3396"/>
      <c r="AK576" s="3396"/>
      <c r="AL576" s="3396"/>
      <c r="AM576" s="3396"/>
      <c r="AN576" s="3396"/>
      <c r="AO576" s="3396"/>
      <c r="AP576" s="3396"/>
      <c r="AQ576" s="3396"/>
      <c r="AR576" s="3396"/>
      <c r="AS576" s="3396"/>
      <c r="AT576" s="3396"/>
      <c r="AU576" s="3396"/>
      <c r="AV576" s="3396"/>
      <c r="AW576" s="3396"/>
      <c r="AX576" s="3396"/>
      <c r="AY576" s="3396"/>
      <c r="AZ576" s="3396"/>
      <c r="BA576" s="3396"/>
      <c r="BB576" s="3396"/>
      <c r="BC576" s="3396"/>
      <c r="BD576" s="3396"/>
      <c r="BE576" s="3396"/>
      <c r="BF576" s="3396"/>
      <c r="BG576" s="3396"/>
      <c r="BH576" s="3396"/>
      <c r="BI576" s="3396"/>
      <c r="BJ576" s="3396"/>
      <c r="BK576" s="3396"/>
      <c r="BL576" s="3396"/>
      <c r="BM576" s="3396"/>
      <c r="BN576" s="3396"/>
    </row>
    <row r="577" s="687" customFormat="1" ht="15" hidden="1" customHeight="1" spans="1:66">
      <c r="A577" s="3407" t="s">
        <v>6437</v>
      </c>
      <c r="B577" s="3408"/>
      <c r="C577" s="3409"/>
      <c r="D577" s="3409"/>
      <c r="E577" s="3408"/>
      <c r="F577" s="3410"/>
      <c r="G577" s="3430"/>
      <c r="H577" s="3411">
        <f t="shared" si="11"/>
        <v>0</v>
      </c>
      <c r="I577" s="3396"/>
      <c r="J577" s="3396"/>
      <c r="K577" s="3396"/>
      <c r="L577" s="3396"/>
      <c r="M577" s="3396"/>
      <c r="N577" s="3396"/>
      <c r="O577" s="3396"/>
      <c r="P577" s="3396"/>
      <c r="Q577" s="3396"/>
      <c r="R577" s="3396"/>
      <c r="S577" s="3396"/>
      <c r="T577" s="3396"/>
      <c r="U577" s="3396"/>
      <c r="V577" s="3396"/>
      <c r="W577" s="3396"/>
      <c r="X577" s="3396"/>
      <c r="Y577" s="3396"/>
      <c r="Z577" s="3396"/>
      <c r="AA577" s="3396"/>
      <c r="AB577" s="3396"/>
      <c r="AC577" s="3396"/>
      <c r="AD577" s="3396"/>
      <c r="AE577" s="3396"/>
      <c r="AF577" s="3396"/>
      <c r="AG577" s="3396"/>
      <c r="AH577" s="3396"/>
      <c r="AI577" s="3396"/>
      <c r="AJ577" s="3396"/>
      <c r="AK577" s="3396"/>
      <c r="AL577" s="3396"/>
      <c r="AM577" s="3396"/>
      <c r="AN577" s="3396"/>
      <c r="AO577" s="3396"/>
      <c r="AP577" s="3396"/>
      <c r="AQ577" s="3396"/>
      <c r="AR577" s="3396"/>
      <c r="AS577" s="3396"/>
      <c r="AT577" s="3396"/>
      <c r="AU577" s="3396"/>
      <c r="AV577" s="3396"/>
      <c r="AW577" s="3396"/>
      <c r="AX577" s="3396"/>
      <c r="AY577" s="3396"/>
      <c r="AZ577" s="3396"/>
      <c r="BA577" s="3396"/>
      <c r="BB577" s="3396"/>
      <c r="BC577" s="3396"/>
      <c r="BD577" s="3396"/>
      <c r="BE577" s="3396"/>
      <c r="BF577" s="3396"/>
      <c r="BG577" s="3396"/>
      <c r="BH577" s="3396"/>
      <c r="BI577" s="3396"/>
      <c r="BJ577" s="3396"/>
      <c r="BK577" s="3396"/>
      <c r="BL577" s="3396"/>
      <c r="BM577" s="3396"/>
      <c r="BN577" s="3396"/>
    </row>
    <row r="578" s="687" customFormat="1" ht="15" hidden="1" customHeight="1" spans="1:66">
      <c r="A578" s="3407" t="s">
        <v>6438</v>
      </c>
      <c r="B578" s="3408"/>
      <c r="C578" s="3409"/>
      <c r="D578" s="3409"/>
      <c r="E578" s="3408"/>
      <c r="F578" s="3410"/>
      <c r="G578" s="3430"/>
      <c r="H578" s="3411">
        <f t="shared" si="11"/>
        <v>0</v>
      </c>
      <c r="I578" s="3396"/>
      <c r="J578" s="3396"/>
      <c r="K578" s="3396"/>
      <c r="L578" s="3396"/>
      <c r="M578" s="3396"/>
      <c r="N578" s="3396"/>
      <c r="O578" s="3396"/>
      <c r="P578" s="3396"/>
      <c r="Q578" s="3396"/>
      <c r="R578" s="3396"/>
      <c r="S578" s="3396"/>
      <c r="T578" s="3396"/>
      <c r="U578" s="3396"/>
      <c r="V578" s="3396"/>
      <c r="W578" s="3396"/>
      <c r="X578" s="3396"/>
      <c r="Y578" s="3396"/>
      <c r="Z578" s="3396"/>
      <c r="AA578" s="3396"/>
      <c r="AB578" s="3396"/>
      <c r="AC578" s="3396"/>
      <c r="AD578" s="3396"/>
      <c r="AE578" s="3396"/>
      <c r="AF578" s="3396"/>
      <c r="AG578" s="3396"/>
      <c r="AH578" s="3396"/>
      <c r="AI578" s="3396"/>
      <c r="AJ578" s="3396"/>
      <c r="AK578" s="3396"/>
      <c r="AL578" s="3396"/>
      <c r="AM578" s="3396"/>
      <c r="AN578" s="3396"/>
      <c r="AO578" s="3396"/>
      <c r="AP578" s="3396"/>
      <c r="AQ578" s="3396"/>
      <c r="AR578" s="3396"/>
      <c r="AS578" s="3396"/>
      <c r="AT578" s="3396"/>
      <c r="AU578" s="3396"/>
      <c r="AV578" s="3396"/>
      <c r="AW578" s="3396"/>
      <c r="AX578" s="3396"/>
      <c r="AY578" s="3396"/>
      <c r="AZ578" s="3396"/>
      <c r="BA578" s="3396"/>
      <c r="BB578" s="3396"/>
      <c r="BC578" s="3396"/>
      <c r="BD578" s="3396"/>
      <c r="BE578" s="3396"/>
      <c r="BF578" s="3396"/>
      <c r="BG578" s="3396"/>
      <c r="BH578" s="3396"/>
      <c r="BI578" s="3396"/>
      <c r="BJ578" s="3396"/>
      <c r="BK578" s="3396"/>
      <c r="BL578" s="3396"/>
      <c r="BM578" s="3396"/>
      <c r="BN578" s="3396"/>
    </row>
    <row r="579" s="687" customFormat="1" ht="15" hidden="1" customHeight="1" spans="1:66">
      <c r="A579" s="3407" t="s">
        <v>6439</v>
      </c>
      <c r="B579" s="3408"/>
      <c r="C579" s="3409"/>
      <c r="D579" s="3409"/>
      <c r="E579" s="3408"/>
      <c r="F579" s="3410"/>
      <c r="G579" s="3430"/>
      <c r="H579" s="3411">
        <f t="shared" si="11"/>
        <v>0</v>
      </c>
      <c r="I579" s="3396"/>
      <c r="J579" s="3396"/>
      <c r="K579" s="3396"/>
      <c r="L579" s="3396"/>
      <c r="M579" s="3396"/>
      <c r="N579" s="3396"/>
      <c r="O579" s="3396"/>
      <c r="P579" s="3396"/>
      <c r="Q579" s="3396"/>
      <c r="R579" s="3396"/>
      <c r="S579" s="3396"/>
      <c r="T579" s="3396"/>
      <c r="U579" s="3396"/>
      <c r="V579" s="3396"/>
      <c r="W579" s="3396"/>
      <c r="X579" s="3396"/>
      <c r="Y579" s="3396"/>
      <c r="Z579" s="3396"/>
      <c r="AA579" s="3396"/>
      <c r="AB579" s="3396"/>
      <c r="AC579" s="3396"/>
      <c r="AD579" s="3396"/>
      <c r="AE579" s="3396"/>
      <c r="AF579" s="3396"/>
      <c r="AG579" s="3396"/>
      <c r="AH579" s="3396"/>
      <c r="AI579" s="3396"/>
      <c r="AJ579" s="3396"/>
      <c r="AK579" s="3396"/>
      <c r="AL579" s="3396"/>
      <c r="AM579" s="3396"/>
      <c r="AN579" s="3396"/>
      <c r="AO579" s="3396"/>
      <c r="AP579" s="3396"/>
      <c r="AQ579" s="3396"/>
      <c r="AR579" s="3396"/>
      <c r="AS579" s="3396"/>
      <c r="AT579" s="3396"/>
      <c r="AU579" s="3396"/>
      <c r="AV579" s="3396"/>
      <c r="AW579" s="3396"/>
      <c r="AX579" s="3396"/>
      <c r="AY579" s="3396"/>
      <c r="AZ579" s="3396"/>
      <c r="BA579" s="3396"/>
      <c r="BB579" s="3396"/>
      <c r="BC579" s="3396"/>
      <c r="BD579" s="3396"/>
      <c r="BE579" s="3396"/>
      <c r="BF579" s="3396"/>
      <c r="BG579" s="3396"/>
      <c r="BH579" s="3396"/>
      <c r="BI579" s="3396"/>
      <c r="BJ579" s="3396"/>
      <c r="BK579" s="3396"/>
      <c r="BL579" s="3396"/>
      <c r="BM579" s="3396"/>
      <c r="BN579" s="3396"/>
    </row>
    <row r="580" s="687" customFormat="1" ht="15" hidden="1" customHeight="1" spans="1:66">
      <c r="A580" s="3407" t="s">
        <v>6440</v>
      </c>
      <c r="B580" s="3408"/>
      <c r="C580" s="3409"/>
      <c r="D580" s="3409"/>
      <c r="E580" s="3408"/>
      <c r="F580" s="3410"/>
      <c r="G580" s="3430"/>
      <c r="H580" s="3411">
        <f t="shared" si="11"/>
        <v>0</v>
      </c>
      <c r="I580" s="3396"/>
      <c r="J580" s="3396"/>
      <c r="K580" s="3396"/>
      <c r="L580" s="3396"/>
      <c r="M580" s="3396"/>
      <c r="N580" s="3396"/>
      <c r="O580" s="3396"/>
      <c r="P580" s="3396"/>
      <c r="Q580" s="3396"/>
      <c r="R580" s="3396"/>
      <c r="S580" s="3396"/>
      <c r="T580" s="3396"/>
      <c r="U580" s="3396"/>
      <c r="V580" s="3396"/>
      <c r="W580" s="3396"/>
      <c r="X580" s="3396"/>
      <c r="Y580" s="3396"/>
      <c r="Z580" s="3396"/>
      <c r="AA580" s="3396"/>
      <c r="AB580" s="3396"/>
      <c r="AC580" s="3396"/>
      <c r="AD580" s="3396"/>
      <c r="AE580" s="3396"/>
      <c r="AF580" s="3396"/>
      <c r="AG580" s="3396"/>
      <c r="AH580" s="3396"/>
      <c r="AI580" s="3396"/>
      <c r="AJ580" s="3396"/>
      <c r="AK580" s="3396"/>
      <c r="AL580" s="3396"/>
      <c r="AM580" s="3396"/>
      <c r="AN580" s="3396"/>
      <c r="AO580" s="3396"/>
      <c r="AP580" s="3396"/>
      <c r="AQ580" s="3396"/>
      <c r="AR580" s="3396"/>
      <c r="AS580" s="3396"/>
      <c r="AT580" s="3396"/>
      <c r="AU580" s="3396"/>
      <c r="AV580" s="3396"/>
      <c r="AW580" s="3396"/>
      <c r="AX580" s="3396"/>
      <c r="AY580" s="3396"/>
      <c r="AZ580" s="3396"/>
      <c r="BA580" s="3396"/>
      <c r="BB580" s="3396"/>
      <c r="BC580" s="3396"/>
      <c r="BD580" s="3396"/>
      <c r="BE580" s="3396"/>
      <c r="BF580" s="3396"/>
      <c r="BG580" s="3396"/>
      <c r="BH580" s="3396"/>
      <c r="BI580" s="3396"/>
      <c r="BJ580" s="3396"/>
      <c r="BK580" s="3396"/>
      <c r="BL580" s="3396"/>
      <c r="BM580" s="3396"/>
      <c r="BN580" s="3396"/>
    </row>
    <row r="581" s="687" customFormat="1" ht="15" hidden="1" customHeight="1" spans="1:66">
      <c r="A581" s="3407" t="s">
        <v>6441</v>
      </c>
      <c r="B581" s="3408"/>
      <c r="C581" s="3409"/>
      <c r="D581" s="3409"/>
      <c r="E581" s="3408"/>
      <c r="F581" s="3410"/>
      <c r="G581" s="3430"/>
      <c r="H581" s="3411">
        <f t="shared" si="11"/>
        <v>0</v>
      </c>
      <c r="I581" s="3396"/>
      <c r="J581" s="3396"/>
      <c r="K581" s="3396"/>
      <c r="L581" s="3396"/>
      <c r="M581" s="3396"/>
      <c r="N581" s="3396"/>
      <c r="O581" s="3396"/>
      <c r="P581" s="3396"/>
      <c r="Q581" s="3396"/>
      <c r="R581" s="3396"/>
      <c r="S581" s="3396"/>
      <c r="T581" s="3396"/>
      <c r="U581" s="3396"/>
      <c r="V581" s="3396"/>
      <c r="W581" s="3396"/>
      <c r="X581" s="3396"/>
      <c r="Y581" s="3396"/>
      <c r="Z581" s="3396"/>
      <c r="AA581" s="3396"/>
      <c r="AB581" s="3396"/>
      <c r="AC581" s="3396"/>
      <c r="AD581" s="3396"/>
      <c r="AE581" s="3396"/>
      <c r="AF581" s="3396"/>
      <c r="AG581" s="3396"/>
      <c r="AH581" s="3396"/>
      <c r="AI581" s="3396"/>
      <c r="AJ581" s="3396"/>
      <c r="AK581" s="3396"/>
      <c r="AL581" s="3396"/>
      <c r="AM581" s="3396"/>
      <c r="AN581" s="3396"/>
      <c r="AO581" s="3396"/>
      <c r="AP581" s="3396"/>
      <c r="AQ581" s="3396"/>
      <c r="AR581" s="3396"/>
      <c r="AS581" s="3396"/>
      <c r="AT581" s="3396"/>
      <c r="AU581" s="3396"/>
      <c r="AV581" s="3396"/>
      <c r="AW581" s="3396"/>
      <c r="AX581" s="3396"/>
      <c r="AY581" s="3396"/>
      <c r="AZ581" s="3396"/>
      <c r="BA581" s="3396"/>
      <c r="BB581" s="3396"/>
      <c r="BC581" s="3396"/>
      <c r="BD581" s="3396"/>
      <c r="BE581" s="3396"/>
      <c r="BF581" s="3396"/>
      <c r="BG581" s="3396"/>
      <c r="BH581" s="3396"/>
      <c r="BI581" s="3396"/>
      <c r="BJ581" s="3396"/>
      <c r="BK581" s="3396"/>
      <c r="BL581" s="3396"/>
      <c r="BM581" s="3396"/>
      <c r="BN581" s="3396"/>
    </row>
    <row r="582" s="687" customFormat="1" ht="15" hidden="1" customHeight="1" spans="1:66">
      <c r="A582" s="3407" t="s">
        <v>6442</v>
      </c>
      <c r="B582" s="3408"/>
      <c r="C582" s="3409"/>
      <c r="D582" s="3409"/>
      <c r="E582" s="3408"/>
      <c r="F582" s="3410"/>
      <c r="G582" s="3430"/>
      <c r="H582" s="3411">
        <f t="shared" si="11"/>
        <v>0</v>
      </c>
      <c r="I582" s="3396"/>
      <c r="J582" s="3396"/>
      <c r="K582" s="3396"/>
      <c r="L582" s="3396"/>
      <c r="M582" s="3396"/>
      <c r="N582" s="3396"/>
      <c r="O582" s="3396"/>
      <c r="P582" s="3396"/>
      <c r="Q582" s="3396"/>
      <c r="R582" s="3396"/>
      <c r="S582" s="3396"/>
      <c r="T582" s="3396"/>
      <c r="U582" s="3396"/>
      <c r="V582" s="3396"/>
      <c r="W582" s="3396"/>
      <c r="X582" s="3396"/>
      <c r="Y582" s="3396"/>
      <c r="Z582" s="3396"/>
      <c r="AA582" s="3396"/>
      <c r="AB582" s="3396"/>
      <c r="AC582" s="3396"/>
      <c r="AD582" s="3396"/>
      <c r="AE582" s="3396"/>
      <c r="AF582" s="3396"/>
      <c r="AG582" s="3396"/>
      <c r="AH582" s="3396"/>
      <c r="AI582" s="3396"/>
      <c r="AJ582" s="3396"/>
      <c r="AK582" s="3396"/>
      <c r="AL582" s="3396"/>
      <c r="AM582" s="3396"/>
      <c r="AN582" s="3396"/>
      <c r="AO582" s="3396"/>
      <c r="AP582" s="3396"/>
      <c r="AQ582" s="3396"/>
      <c r="AR582" s="3396"/>
      <c r="AS582" s="3396"/>
      <c r="AT582" s="3396"/>
      <c r="AU582" s="3396"/>
      <c r="AV582" s="3396"/>
      <c r="AW582" s="3396"/>
      <c r="AX582" s="3396"/>
      <c r="AY582" s="3396"/>
      <c r="AZ582" s="3396"/>
      <c r="BA582" s="3396"/>
      <c r="BB582" s="3396"/>
      <c r="BC582" s="3396"/>
      <c r="BD582" s="3396"/>
      <c r="BE582" s="3396"/>
      <c r="BF582" s="3396"/>
      <c r="BG582" s="3396"/>
      <c r="BH582" s="3396"/>
      <c r="BI582" s="3396"/>
      <c r="BJ582" s="3396"/>
      <c r="BK582" s="3396"/>
      <c r="BL582" s="3396"/>
      <c r="BM582" s="3396"/>
      <c r="BN582" s="3396"/>
    </row>
    <row r="583" s="687" customFormat="1" ht="15" hidden="1" customHeight="1" spans="1:66">
      <c r="A583" s="3407" t="s">
        <v>6443</v>
      </c>
      <c r="B583" s="3408"/>
      <c r="C583" s="3409"/>
      <c r="D583" s="3409"/>
      <c r="E583" s="3408"/>
      <c r="F583" s="3410"/>
      <c r="G583" s="3430"/>
      <c r="H583" s="3411">
        <f t="shared" si="11"/>
        <v>0</v>
      </c>
      <c r="I583" s="3396"/>
      <c r="J583" s="3396"/>
      <c r="K583" s="3396"/>
      <c r="L583" s="3396"/>
      <c r="M583" s="3396"/>
      <c r="N583" s="3396"/>
      <c r="O583" s="3396"/>
      <c r="P583" s="3396"/>
      <c r="Q583" s="3396"/>
      <c r="R583" s="3396"/>
      <c r="S583" s="3396"/>
      <c r="T583" s="3396"/>
      <c r="U583" s="3396"/>
      <c r="V583" s="3396"/>
      <c r="W583" s="3396"/>
      <c r="X583" s="3396"/>
      <c r="Y583" s="3396"/>
      <c r="Z583" s="3396"/>
      <c r="AA583" s="3396"/>
      <c r="AB583" s="3396"/>
      <c r="AC583" s="3396"/>
      <c r="AD583" s="3396"/>
      <c r="AE583" s="3396"/>
      <c r="AF583" s="3396"/>
      <c r="AG583" s="3396"/>
      <c r="AH583" s="3396"/>
      <c r="AI583" s="3396"/>
      <c r="AJ583" s="3396"/>
      <c r="AK583" s="3396"/>
      <c r="AL583" s="3396"/>
      <c r="AM583" s="3396"/>
      <c r="AN583" s="3396"/>
      <c r="AO583" s="3396"/>
      <c r="AP583" s="3396"/>
      <c r="AQ583" s="3396"/>
      <c r="AR583" s="3396"/>
      <c r="AS583" s="3396"/>
      <c r="AT583" s="3396"/>
      <c r="AU583" s="3396"/>
      <c r="AV583" s="3396"/>
      <c r="AW583" s="3396"/>
      <c r="AX583" s="3396"/>
      <c r="AY583" s="3396"/>
      <c r="AZ583" s="3396"/>
      <c r="BA583" s="3396"/>
      <c r="BB583" s="3396"/>
      <c r="BC583" s="3396"/>
      <c r="BD583" s="3396"/>
      <c r="BE583" s="3396"/>
      <c r="BF583" s="3396"/>
      <c r="BG583" s="3396"/>
      <c r="BH583" s="3396"/>
      <c r="BI583" s="3396"/>
      <c r="BJ583" s="3396"/>
      <c r="BK583" s="3396"/>
      <c r="BL583" s="3396"/>
      <c r="BM583" s="3396"/>
      <c r="BN583" s="3396"/>
    </row>
    <row r="584" s="687" customFormat="1" ht="15" hidden="1" customHeight="1" spans="1:66">
      <c r="A584" s="3407" t="s">
        <v>6444</v>
      </c>
      <c r="B584" s="3408"/>
      <c r="C584" s="3409"/>
      <c r="D584" s="3409"/>
      <c r="E584" s="3408"/>
      <c r="F584" s="3410"/>
      <c r="G584" s="3430"/>
      <c r="H584" s="3411">
        <f t="shared" si="11"/>
        <v>0</v>
      </c>
      <c r="I584" s="3396"/>
      <c r="J584" s="3396"/>
      <c r="K584" s="3396"/>
      <c r="L584" s="3396"/>
      <c r="M584" s="3396"/>
      <c r="N584" s="3396"/>
      <c r="O584" s="3396"/>
      <c r="P584" s="3396"/>
      <c r="Q584" s="3396"/>
      <c r="R584" s="3396"/>
      <c r="S584" s="3396"/>
      <c r="T584" s="3396"/>
      <c r="U584" s="3396"/>
      <c r="V584" s="3396"/>
      <c r="W584" s="3396"/>
      <c r="X584" s="3396"/>
      <c r="Y584" s="3396"/>
      <c r="Z584" s="3396"/>
      <c r="AA584" s="3396"/>
      <c r="AB584" s="3396"/>
      <c r="AC584" s="3396"/>
      <c r="AD584" s="3396"/>
      <c r="AE584" s="3396"/>
      <c r="AF584" s="3396"/>
      <c r="AG584" s="3396"/>
      <c r="AH584" s="3396"/>
      <c r="AI584" s="3396"/>
      <c r="AJ584" s="3396"/>
      <c r="AK584" s="3396"/>
      <c r="AL584" s="3396"/>
      <c r="AM584" s="3396"/>
      <c r="AN584" s="3396"/>
      <c r="AO584" s="3396"/>
      <c r="AP584" s="3396"/>
      <c r="AQ584" s="3396"/>
      <c r="AR584" s="3396"/>
      <c r="AS584" s="3396"/>
      <c r="AT584" s="3396"/>
      <c r="AU584" s="3396"/>
      <c r="AV584" s="3396"/>
      <c r="AW584" s="3396"/>
      <c r="AX584" s="3396"/>
      <c r="AY584" s="3396"/>
      <c r="AZ584" s="3396"/>
      <c r="BA584" s="3396"/>
      <c r="BB584" s="3396"/>
      <c r="BC584" s="3396"/>
      <c r="BD584" s="3396"/>
      <c r="BE584" s="3396"/>
      <c r="BF584" s="3396"/>
      <c r="BG584" s="3396"/>
      <c r="BH584" s="3396"/>
      <c r="BI584" s="3396"/>
      <c r="BJ584" s="3396"/>
      <c r="BK584" s="3396"/>
      <c r="BL584" s="3396"/>
      <c r="BM584" s="3396"/>
      <c r="BN584" s="3396"/>
    </row>
    <row r="585" s="687" customFormat="1" ht="15" hidden="1" customHeight="1" spans="1:66">
      <c r="A585" s="3407" t="s">
        <v>6445</v>
      </c>
      <c r="B585" s="3408"/>
      <c r="C585" s="3409"/>
      <c r="D585" s="3409"/>
      <c r="E585" s="3408"/>
      <c r="F585" s="3410"/>
      <c r="G585" s="3430"/>
      <c r="H585" s="3411">
        <f t="shared" si="11"/>
        <v>0</v>
      </c>
      <c r="I585" s="3396"/>
      <c r="J585" s="3396"/>
      <c r="K585" s="3396"/>
      <c r="L585" s="3396"/>
      <c r="M585" s="3396"/>
      <c r="N585" s="3396"/>
      <c r="O585" s="3396"/>
      <c r="P585" s="3396"/>
      <c r="Q585" s="3396"/>
      <c r="R585" s="3396"/>
      <c r="S585" s="3396"/>
      <c r="T585" s="3396"/>
      <c r="U585" s="3396"/>
      <c r="V585" s="3396"/>
      <c r="W585" s="3396"/>
      <c r="X585" s="3396"/>
      <c r="Y585" s="3396"/>
      <c r="Z585" s="3396"/>
      <c r="AA585" s="3396"/>
      <c r="AB585" s="3396"/>
      <c r="AC585" s="3396"/>
      <c r="AD585" s="3396"/>
      <c r="AE585" s="3396"/>
      <c r="AF585" s="3396"/>
      <c r="AG585" s="3396"/>
      <c r="AH585" s="3396"/>
      <c r="AI585" s="3396"/>
      <c r="AJ585" s="3396"/>
      <c r="AK585" s="3396"/>
      <c r="AL585" s="3396"/>
      <c r="AM585" s="3396"/>
      <c r="AN585" s="3396"/>
      <c r="AO585" s="3396"/>
      <c r="AP585" s="3396"/>
      <c r="AQ585" s="3396"/>
      <c r="AR585" s="3396"/>
      <c r="AS585" s="3396"/>
      <c r="AT585" s="3396"/>
      <c r="AU585" s="3396"/>
      <c r="AV585" s="3396"/>
      <c r="AW585" s="3396"/>
      <c r="AX585" s="3396"/>
      <c r="AY585" s="3396"/>
      <c r="AZ585" s="3396"/>
      <c r="BA585" s="3396"/>
      <c r="BB585" s="3396"/>
      <c r="BC585" s="3396"/>
      <c r="BD585" s="3396"/>
      <c r="BE585" s="3396"/>
      <c r="BF585" s="3396"/>
      <c r="BG585" s="3396"/>
      <c r="BH585" s="3396"/>
      <c r="BI585" s="3396"/>
      <c r="BJ585" s="3396"/>
      <c r="BK585" s="3396"/>
      <c r="BL585" s="3396"/>
      <c r="BM585" s="3396"/>
      <c r="BN585" s="3396"/>
    </row>
    <row r="586" s="687" customFormat="1" ht="15" hidden="1" customHeight="1" spans="1:66">
      <c r="A586" s="3407" t="s">
        <v>6446</v>
      </c>
      <c r="B586" s="3408"/>
      <c r="C586" s="3409"/>
      <c r="D586" s="3409"/>
      <c r="E586" s="3408"/>
      <c r="F586" s="3410"/>
      <c r="G586" s="3430"/>
      <c r="H586" s="3411">
        <f t="shared" si="11"/>
        <v>0</v>
      </c>
      <c r="I586" s="3396"/>
      <c r="J586" s="3396"/>
      <c r="K586" s="3396"/>
      <c r="L586" s="3396"/>
      <c r="M586" s="3396"/>
      <c r="N586" s="3396"/>
      <c r="O586" s="3396"/>
      <c r="P586" s="3396"/>
      <c r="Q586" s="3396"/>
      <c r="R586" s="3396"/>
      <c r="S586" s="3396"/>
      <c r="T586" s="3396"/>
      <c r="U586" s="3396"/>
      <c r="V586" s="3396"/>
      <c r="W586" s="3396"/>
      <c r="X586" s="3396"/>
      <c r="Y586" s="3396"/>
      <c r="Z586" s="3396"/>
      <c r="AA586" s="3396"/>
      <c r="AB586" s="3396"/>
      <c r="AC586" s="3396"/>
      <c r="AD586" s="3396"/>
      <c r="AE586" s="3396"/>
      <c r="AF586" s="3396"/>
      <c r="AG586" s="3396"/>
      <c r="AH586" s="3396"/>
      <c r="AI586" s="3396"/>
      <c r="AJ586" s="3396"/>
      <c r="AK586" s="3396"/>
      <c r="AL586" s="3396"/>
      <c r="AM586" s="3396"/>
      <c r="AN586" s="3396"/>
      <c r="AO586" s="3396"/>
      <c r="AP586" s="3396"/>
      <c r="AQ586" s="3396"/>
      <c r="AR586" s="3396"/>
      <c r="AS586" s="3396"/>
      <c r="AT586" s="3396"/>
      <c r="AU586" s="3396"/>
      <c r="AV586" s="3396"/>
      <c r="AW586" s="3396"/>
      <c r="AX586" s="3396"/>
      <c r="AY586" s="3396"/>
      <c r="AZ586" s="3396"/>
      <c r="BA586" s="3396"/>
      <c r="BB586" s="3396"/>
      <c r="BC586" s="3396"/>
      <c r="BD586" s="3396"/>
      <c r="BE586" s="3396"/>
      <c r="BF586" s="3396"/>
      <c r="BG586" s="3396"/>
      <c r="BH586" s="3396"/>
      <c r="BI586" s="3396"/>
      <c r="BJ586" s="3396"/>
      <c r="BK586" s="3396"/>
      <c r="BL586" s="3396"/>
      <c r="BM586" s="3396"/>
      <c r="BN586" s="3396"/>
    </row>
    <row r="587" s="687" customFormat="1" ht="15" hidden="1" customHeight="1" spans="1:66">
      <c r="A587" s="3407" t="s">
        <v>6447</v>
      </c>
      <c r="B587" s="3408"/>
      <c r="C587" s="3409"/>
      <c r="D587" s="3409"/>
      <c r="E587" s="3408"/>
      <c r="F587" s="3410"/>
      <c r="G587" s="3430"/>
      <c r="H587" s="3411">
        <f t="shared" si="11"/>
        <v>0</v>
      </c>
      <c r="I587" s="3396"/>
      <c r="J587" s="3396"/>
      <c r="K587" s="3396"/>
      <c r="L587" s="3396"/>
      <c r="M587" s="3396"/>
      <c r="N587" s="3396"/>
      <c r="O587" s="3396"/>
      <c r="P587" s="3396"/>
      <c r="Q587" s="3396"/>
      <c r="R587" s="3396"/>
      <c r="S587" s="3396"/>
      <c r="T587" s="3396"/>
      <c r="U587" s="3396"/>
      <c r="V587" s="3396"/>
      <c r="W587" s="3396"/>
      <c r="X587" s="3396"/>
      <c r="Y587" s="3396"/>
      <c r="Z587" s="3396"/>
      <c r="AA587" s="3396"/>
      <c r="AB587" s="3396"/>
      <c r="AC587" s="3396"/>
      <c r="AD587" s="3396"/>
      <c r="AE587" s="3396"/>
      <c r="AF587" s="3396"/>
      <c r="AG587" s="3396"/>
      <c r="AH587" s="3396"/>
      <c r="AI587" s="3396"/>
      <c r="AJ587" s="3396"/>
      <c r="AK587" s="3396"/>
      <c r="AL587" s="3396"/>
      <c r="AM587" s="3396"/>
      <c r="AN587" s="3396"/>
      <c r="AO587" s="3396"/>
      <c r="AP587" s="3396"/>
      <c r="AQ587" s="3396"/>
      <c r="AR587" s="3396"/>
      <c r="AS587" s="3396"/>
      <c r="AT587" s="3396"/>
      <c r="AU587" s="3396"/>
      <c r="AV587" s="3396"/>
      <c r="AW587" s="3396"/>
      <c r="AX587" s="3396"/>
      <c r="AY587" s="3396"/>
      <c r="AZ587" s="3396"/>
      <c r="BA587" s="3396"/>
      <c r="BB587" s="3396"/>
      <c r="BC587" s="3396"/>
      <c r="BD587" s="3396"/>
      <c r="BE587" s="3396"/>
      <c r="BF587" s="3396"/>
      <c r="BG587" s="3396"/>
      <c r="BH587" s="3396"/>
      <c r="BI587" s="3396"/>
      <c r="BJ587" s="3396"/>
      <c r="BK587" s="3396"/>
      <c r="BL587" s="3396"/>
      <c r="BM587" s="3396"/>
      <c r="BN587" s="3396"/>
    </row>
    <row r="588" s="687" customFormat="1" ht="15" hidden="1" customHeight="1" spans="1:66">
      <c r="A588" s="3407" t="s">
        <v>6448</v>
      </c>
      <c r="B588" s="3408"/>
      <c r="C588" s="3409"/>
      <c r="D588" s="3409"/>
      <c r="E588" s="3408"/>
      <c r="F588" s="3410"/>
      <c r="G588" s="3430"/>
      <c r="H588" s="3411">
        <f t="shared" si="11"/>
        <v>0</v>
      </c>
      <c r="I588" s="3396"/>
      <c r="J588" s="3396"/>
      <c r="K588" s="3396"/>
      <c r="L588" s="3396"/>
      <c r="M588" s="3396"/>
      <c r="N588" s="3396"/>
      <c r="O588" s="3396"/>
      <c r="P588" s="3396"/>
      <c r="Q588" s="3396"/>
      <c r="R588" s="3396"/>
      <c r="S588" s="3396"/>
      <c r="T588" s="3396"/>
      <c r="U588" s="3396"/>
      <c r="V588" s="3396"/>
      <c r="W588" s="3396"/>
      <c r="X588" s="3396"/>
      <c r="Y588" s="3396"/>
      <c r="Z588" s="3396"/>
      <c r="AA588" s="3396"/>
      <c r="AB588" s="3396"/>
      <c r="AC588" s="3396"/>
      <c r="AD588" s="3396"/>
      <c r="AE588" s="3396"/>
      <c r="AF588" s="3396"/>
      <c r="AG588" s="3396"/>
      <c r="AH588" s="3396"/>
      <c r="AI588" s="3396"/>
      <c r="AJ588" s="3396"/>
      <c r="AK588" s="3396"/>
      <c r="AL588" s="3396"/>
      <c r="AM588" s="3396"/>
      <c r="AN588" s="3396"/>
      <c r="AO588" s="3396"/>
      <c r="AP588" s="3396"/>
      <c r="AQ588" s="3396"/>
      <c r="AR588" s="3396"/>
      <c r="AS588" s="3396"/>
      <c r="AT588" s="3396"/>
      <c r="AU588" s="3396"/>
      <c r="AV588" s="3396"/>
      <c r="AW588" s="3396"/>
      <c r="AX588" s="3396"/>
      <c r="AY588" s="3396"/>
      <c r="AZ588" s="3396"/>
      <c r="BA588" s="3396"/>
      <c r="BB588" s="3396"/>
      <c r="BC588" s="3396"/>
      <c r="BD588" s="3396"/>
      <c r="BE588" s="3396"/>
      <c r="BF588" s="3396"/>
      <c r="BG588" s="3396"/>
      <c r="BH588" s="3396"/>
      <c r="BI588" s="3396"/>
      <c r="BJ588" s="3396"/>
      <c r="BK588" s="3396"/>
      <c r="BL588" s="3396"/>
      <c r="BM588" s="3396"/>
      <c r="BN588" s="3396"/>
    </row>
    <row r="589" s="687" customFormat="1" ht="15" hidden="1" customHeight="1" spans="1:66">
      <c r="A589" s="3407" t="s">
        <v>6449</v>
      </c>
      <c r="B589" s="3408"/>
      <c r="C589" s="3409"/>
      <c r="D589" s="3409"/>
      <c r="E589" s="3408"/>
      <c r="F589" s="3410"/>
      <c r="G589" s="3430"/>
      <c r="H589" s="3411">
        <f t="shared" si="11"/>
        <v>0</v>
      </c>
      <c r="I589" s="3396"/>
      <c r="J589" s="3396"/>
      <c r="K589" s="3396"/>
      <c r="L589" s="3396"/>
      <c r="M589" s="3396"/>
      <c r="N589" s="3396"/>
      <c r="O589" s="3396"/>
      <c r="P589" s="3396"/>
      <c r="Q589" s="3396"/>
      <c r="R589" s="3396"/>
      <c r="S589" s="3396"/>
      <c r="T589" s="3396"/>
      <c r="U589" s="3396"/>
      <c r="V589" s="3396"/>
      <c r="W589" s="3396"/>
      <c r="X589" s="3396"/>
      <c r="Y589" s="3396"/>
      <c r="Z589" s="3396"/>
      <c r="AA589" s="3396"/>
      <c r="AB589" s="3396"/>
      <c r="AC589" s="3396"/>
      <c r="AD589" s="3396"/>
      <c r="AE589" s="3396"/>
      <c r="AF589" s="3396"/>
      <c r="AG589" s="3396"/>
      <c r="AH589" s="3396"/>
      <c r="AI589" s="3396"/>
      <c r="AJ589" s="3396"/>
      <c r="AK589" s="3396"/>
      <c r="AL589" s="3396"/>
      <c r="AM589" s="3396"/>
      <c r="AN589" s="3396"/>
      <c r="AO589" s="3396"/>
      <c r="AP589" s="3396"/>
      <c r="AQ589" s="3396"/>
      <c r="AR589" s="3396"/>
      <c r="AS589" s="3396"/>
      <c r="AT589" s="3396"/>
      <c r="AU589" s="3396"/>
      <c r="AV589" s="3396"/>
      <c r="AW589" s="3396"/>
      <c r="AX589" s="3396"/>
      <c r="AY589" s="3396"/>
      <c r="AZ589" s="3396"/>
      <c r="BA589" s="3396"/>
      <c r="BB589" s="3396"/>
      <c r="BC589" s="3396"/>
      <c r="BD589" s="3396"/>
      <c r="BE589" s="3396"/>
      <c r="BF589" s="3396"/>
      <c r="BG589" s="3396"/>
      <c r="BH589" s="3396"/>
      <c r="BI589" s="3396"/>
      <c r="BJ589" s="3396"/>
      <c r="BK589" s="3396"/>
      <c r="BL589" s="3396"/>
      <c r="BM589" s="3396"/>
      <c r="BN589" s="3396"/>
    </row>
    <row r="590" s="687" customFormat="1" ht="15" hidden="1" customHeight="1" spans="1:66">
      <c r="A590" s="3407" t="s">
        <v>6450</v>
      </c>
      <c r="B590" s="3408"/>
      <c r="C590" s="3409"/>
      <c r="D590" s="3409"/>
      <c r="E590" s="3408"/>
      <c r="F590" s="3410"/>
      <c r="G590" s="3430"/>
      <c r="H590" s="3411">
        <f t="shared" si="11"/>
        <v>0</v>
      </c>
      <c r="I590" s="3396"/>
      <c r="J590" s="3396"/>
      <c r="K590" s="3396"/>
      <c r="L590" s="3396"/>
      <c r="M590" s="3396"/>
      <c r="N590" s="3396"/>
      <c r="O590" s="3396"/>
      <c r="P590" s="3396"/>
      <c r="Q590" s="3396"/>
      <c r="R590" s="3396"/>
      <c r="S590" s="3396"/>
      <c r="T590" s="3396"/>
      <c r="U590" s="3396"/>
      <c r="V590" s="3396"/>
      <c r="W590" s="3396"/>
      <c r="X590" s="3396"/>
      <c r="Y590" s="3396"/>
      <c r="Z590" s="3396"/>
      <c r="AA590" s="3396"/>
      <c r="AB590" s="3396"/>
      <c r="AC590" s="3396"/>
      <c r="AD590" s="3396"/>
      <c r="AE590" s="3396"/>
      <c r="AF590" s="3396"/>
      <c r="AG590" s="3396"/>
      <c r="AH590" s="3396"/>
      <c r="AI590" s="3396"/>
      <c r="AJ590" s="3396"/>
      <c r="AK590" s="3396"/>
      <c r="AL590" s="3396"/>
      <c r="AM590" s="3396"/>
      <c r="AN590" s="3396"/>
      <c r="AO590" s="3396"/>
      <c r="AP590" s="3396"/>
      <c r="AQ590" s="3396"/>
      <c r="AR590" s="3396"/>
      <c r="AS590" s="3396"/>
      <c r="AT590" s="3396"/>
      <c r="AU590" s="3396"/>
      <c r="AV590" s="3396"/>
      <c r="AW590" s="3396"/>
      <c r="AX590" s="3396"/>
      <c r="AY590" s="3396"/>
      <c r="AZ590" s="3396"/>
      <c r="BA590" s="3396"/>
      <c r="BB590" s="3396"/>
      <c r="BC590" s="3396"/>
      <c r="BD590" s="3396"/>
      <c r="BE590" s="3396"/>
      <c r="BF590" s="3396"/>
      <c r="BG590" s="3396"/>
      <c r="BH590" s="3396"/>
      <c r="BI590" s="3396"/>
      <c r="BJ590" s="3396"/>
      <c r="BK590" s="3396"/>
      <c r="BL590" s="3396"/>
      <c r="BM590" s="3396"/>
      <c r="BN590" s="3396"/>
    </row>
    <row r="591" s="687" customFormat="1" ht="15" hidden="1" customHeight="1" spans="1:66">
      <c r="A591" s="3407" t="s">
        <v>6451</v>
      </c>
      <c r="B591" s="3408"/>
      <c r="C591" s="3409"/>
      <c r="D591" s="3409"/>
      <c r="E591" s="3408"/>
      <c r="F591" s="3410"/>
      <c r="G591" s="3430"/>
      <c r="H591" s="3411">
        <f t="shared" si="11"/>
        <v>0</v>
      </c>
      <c r="I591" s="3396"/>
      <c r="J591" s="3396"/>
      <c r="K591" s="3396"/>
      <c r="L591" s="3396"/>
      <c r="M591" s="3396"/>
      <c r="N591" s="3396"/>
      <c r="O591" s="3396"/>
      <c r="P591" s="3396"/>
      <c r="Q591" s="3396"/>
      <c r="R591" s="3396"/>
      <c r="S591" s="3396"/>
      <c r="T591" s="3396"/>
      <c r="U591" s="3396"/>
      <c r="V591" s="3396"/>
      <c r="W591" s="3396"/>
      <c r="X591" s="3396"/>
      <c r="Y591" s="3396"/>
      <c r="Z591" s="3396"/>
      <c r="AA591" s="3396"/>
      <c r="AB591" s="3396"/>
      <c r="AC591" s="3396"/>
      <c r="AD591" s="3396"/>
      <c r="AE591" s="3396"/>
      <c r="AF591" s="3396"/>
      <c r="AG591" s="3396"/>
      <c r="AH591" s="3396"/>
      <c r="AI591" s="3396"/>
      <c r="AJ591" s="3396"/>
      <c r="AK591" s="3396"/>
      <c r="AL591" s="3396"/>
      <c r="AM591" s="3396"/>
      <c r="AN591" s="3396"/>
      <c r="AO591" s="3396"/>
      <c r="AP591" s="3396"/>
      <c r="AQ591" s="3396"/>
      <c r="AR591" s="3396"/>
      <c r="AS591" s="3396"/>
      <c r="AT591" s="3396"/>
      <c r="AU591" s="3396"/>
      <c r="AV591" s="3396"/>
      <c r="AW591" s="3396"/>
      <c r="AX591" s="3396"/>
      <c r="AY591" s="3396"/>
      <c r="AZ591" s="3396"/>
      <c r="BA591" s="3396"/>
      <c r="BB591" s="3396"/>
      <c r="BC591" s="3396"/>
      <c r="BD591" s="3396"/>
      <c r="BE591" s="3396"/>
      <c r="BF591" s="3396"/>
      <c r="BG591" s="3396"/>
      <c r="BH591" s="3396"/>
      <c r="BI591" s="3396"/>
      <c r="BJ591" s="3396"/>
      <c r="BK591" s="3396"/>
      <c r="BL591" s="3396"/>
      <c r="BM591" s="3396"/>
      <c r="BN591" s="3396"/>
    </row>
    <row r="592" s="687" customFormat="1" ht="15" hidden="1" customHeight="1" spans="1:66">
      <c r="A592" s="3407" t="s">
        <v>6452</v>
      </c>
      <c r="B592" s="3408"/>
      <c r="C592" s="3409"/>
      <c r="D592" s="3409"/>
      <c r="E592" s="3408"/>
      <c r="F592" s="3410"/>
      <c r="G592" s="3430"/>
      <c r="H592" s="3411">
        <f t="shared" si="11"/>
        <v>0</v>
      </c>
      <c r="I592" s="3396"/>
      <c r="J592" s="3396"/>
      <c r="K592" s="3396"/>
      <c r="L592" s="3396"/>
      <c r="M592" s="3396"/>
      <c r="N592" s="3396"/>
      <c r="O592" s="3396"/>
      <c r="P592" s="3396"/>
      <c r="Q592" s="3396"/>
      <c r="R592" s="3396"/>
      <c r="S592" s="3396"/>
      <c r="T592" s="3396"/>
      <c r="U592" s="3396"/>
      <c r="V592" s="3396"/>
      <c r="W592" s="3396"/>
      <c r="X592" s="3396"/>
      <c r="Y592" s="3396"/>
      <c r="Z592" s="3396"/>
      <c r="AA592" s="3396"/>
      <c r="AB592" s="3396"/>
      <c r="AC592" s="3396"/>
      <c r="AD592" s="3396"/>
      <c r="AE592" s="3396"/>
      <c r="AF592" s="3396"/>
      <c r="AG592" s="3396"/>
      <c r="AH592" s="3396"/>
      <c r="AI592" s="3396"/>
      <c r="AJ592" s="3396"/>
      <c r="AK592" s="3396"/>
      <c r="AL592" s="3396"/>
      <c r="AM592" s="3396"/>
      <c r="AN592" s="3396"/>
      <c r="AO592" s="3396"/>
      <c r="AP592" s="3396"/>
      <c r="AQ592" s="3396"/>
      <c r="AR592" s="3396"/>
      <c r="AS592" s="3396"/>
      <c r="AT592" s="3396"/>
      <c r="AU592" s="3396"/>
      <c r="AV592" s="3396"/>
      <c r="AW592" s="3396"/>
      <c r="AX592" s="3396"/>
      <c r="AY592" s="3396"/>
      <c r="AZ592" s="3396"/>
      <c r="BA592" s="3396"/>
      <c r="BB592" s="3396"/>
      <c r="BC592" s="3396"/>
      <c r="BD592" s="3396"/>
      <c r="BE592" s="3396"/>
      <c r="BF592" s="3396"/>
      <c r="BG592" s="3396"/>
      <c r="BH592" s="3396"/>
      <c r="BI592" s="3396"/>
      <c r="BJ592" s="3396"/>
      <c r="BK592" s="3396"/>
      <c r="BL592" s="3396"/>
      <c r="BM592" s="3396"/>
      <c r="BN592" s="3396"/>
    </row>
    <row r="593" s="687" customFormat="1" ht="15" hidden="1" customHeight="1" spans="1:66">
      <c r="A593" s="3407" t="s">
        <v>6453</v>
      </c>
      <c r="B593" s="3408"/>
      <c r="C593" s="3409"/>
      <c r="D593" s="3409"/>
      <c r="E593" s="3408"/>
      <c r="F593" s="3410"/>
      <c r="G593" s="3430"/>
      <c r="H593" s="3411">
        <f t="shared" si="11"/>
        <v>0</v>
      </c>
      <c r="I593" s="3396"/>
      <c r="J593" s="3396"/>
      <c r="K593" s="3396"/>
      <c r="L593" s="3396"/>
      <c r="M593" s="3396"/>
      <c r="N593" s="3396"/>
      <c r="O593" s="3396"/>
      <c r="P593" s="3396"/>
      <c r="Q593" s="3396"/>
      <c r="R593" s="3396"/>
      <c r="S593" s="3396"/>
      <c r="T593" s="3396"/>
      <c r="U593" s="3396"/>
      <c r="V593" s="3396"/>
      <c r="W593" s="3396"/>
      <c r="X593" s="3396"/>
      <c r="Y593" s="3396"/>
      <c r="Z593" s="3396"/>
      <c r="AA593" s="3396"/>
      <c r="AB593" s="3396"/>
      <c r="AC593" s="3396"/>
      <c r="AD593" s="3396"/>
      <c r="AE593" s="3396"/>
      <c r="AF593" s="3396"/>
      <c r="AG593" s="3396"/>
      <c r="AH593" s="3396"/>
      <c r="AI593" s="3396"/>
      <c r="AJ593" s="3396"/>
      <c r="AK593" s="3396"/>
      <c r="AL593" s="3396"/>
      <c r="AM593" s="3396"/>
      <c r="AN593" s="3396"/>
      <c r="AO593" s="3396"/>
      <c r="AP593" s="3396"/>
      <c r="AQ593" s="3396"/>
      <c r="AR593" s="3396"/>
      <c r="AS593" s="3396"/>
      <c r="AT593" s="3396"/>
      <c r="AU593" s="3396"/>
      <c r="AV593" s="3396"/>
      <c r="AW593" s="3396"/>
      <c r="AX593" s="3396"/>
      <c r="AY593" s="3396"/>
      <c r="AZ593" s="3396"/>
      <c r="BA593" s="3396"/>
      <c r="BB593" s="3396"/>
      <c r="BC593" s="3396"/>
      <c r="BD593" s="3396"/>
      <c r="BE593" s="3396"/>
      <c r="BF593" s="3396"/>
      <c r="BG593" s="3396"/>
      <c r="BH593" s="3396"/>
      <c r="BI593" s="3396"/>
      <c r="BJ593" s="3396"/>
      <c r="BK593" s="3396"/>
      <c r="BL593" s="3396"/>
      <c r="BM593" s="3396"/>
      <c r="BN593" s="3396"/>
    </row>
    <row r="594" s="687" customFormat="1" ht="15" hidden="1" customHeight="1" spans="1:66">
      <c r="A594" s="3407" t="s">
        <v>6454</v>
      </c>
      <c r="B594" s="3408"/>
      <c r="C594" s="3409"/>
      <c r="D594" s="3409"/>
      <c r="E594" s="3408"/>
      <c r="F594" s="3410"/>
      <c r="G594" s="3430"/>
      <c r="H594" s="3411">
        <f t="shared" si="11"/>
        <v>0</v>
      </c>
      <c r="I594" s="3396"/>
      <c r="J594" s="3396"/>
      <c r="K594" s="3396"/>
      <c r="L594" s="3396"/>
      <c r="M594" s="3396"/>
      <c r="N594" s="3396"/>
      <c r="O594" s="3396"/>
      <c r="P594" s="3396"/>
      <c r="Q594" s="3396"/>
      <c r="R594" s="3396"/>
      <c r="S594" s="3396"/>
      <c r="T594" s="3396"/>
      <c r="U594" s="3396"/>
      <c r="V594" s="3396"/>
      <c r="W594" s="3396"/>
      <c r="X594" s="3396"/>
      <c r="Y594" s="3396"/>
      <c r="Z594" s="3396"/>
      <c r="AA594" s="3396"/>
      <c r="AB594" s="3396"/>
      <c r="AC594" s="3396"/>
      <c r="AD594" s="3396"/>
      <c r="AE594" s="3396"/>
      <c r="AF594" s="3396"/>
      <c r="AG594" s="3396"/>
      <c r="AH594" s="3396"/>
      <c r="AI594" s="3396"/>
      <c r="AJ594" s="3396"/>
      <c r="AK594" s="3396"/>
      <c r="AL594" s="3396"/>
      <c r="AM594" s="3396"/>
      <c r="AN594" s="3396"/>
      <c r="AO594" s="3396"/>
      <c r="AP594" s="3396"/>
      <c r="AQ594" s="3396"/>
      <c r="AR594" s="3396"/>
      <c r="AS594" s="3396"/>
      <c r="AT594" s="3396"/>
      <c r="AU594" s="3396"/>
      <c r="AV594" s="3396"/>
      <c r="AW594" s="3396"/>
      <c r="AX594" s="3396"/>
      <c r="AY594" s="3396"/>
      <c r="AZ594" s="3396"/>
      <c r="BA594" s="3396"/>
      <c r="BB594" s="3396"/>
      <c r="BC594" s="3396"/>
      <c r="BD594" s="3396"/>
      <c r="BE594" s="3396"/>
      <c r="BF594" s="3396"/>
      <c r="BG594" s="3396"/>
      <c r="BH594" s="3396"/>
      <c r="BI594" s="3396"/>
      <c r="BJ594" s="3396"/>
      <c r="BK594" s="3396"/>
      <c r="BL594" s="3396"/>
      <c r="BM594" s="3396"/>
      <c r="BN594" s="3396"/>
    </row>
    <row r="595" s="687" customFormat="1" ht="15" hidden="1" customHeight="1" spans="1:66">
      <c r="A595" s="3407" t="s">
        <v>6455</v>
      </c>
      <c r="B595" s="3408"/>
      <c r="C595" s="3409"/>
      <c r="D595" s="3409"/>
      <c r="E595" s="3408"/>
      <c r="F595" s="3410"/>
      <c r="G595" s="3430"/>
      <c r="H595" s="3411">
        <f t="shared" si="11"/>
        <v>0</v>
      </c>
      <c r="I595" s="3396"/>
      <c r="J595" s="3396"/>
      <c r="K595" s="3396"/>
      <c r="L595" s="3396"/>
      <c r="M595" s="3396"/>
      <c r="N595" s="3396"/>
      <c r="O595" s="3396"/>
      <c r="P595" s="3396"/>
      <c r="Q595" s="3396"/>
      <c r="R595" s="3396"/>
      <c r="S595" s="3396"/>
      <c r="T595" s="3396"/>
      <c r="U595" s="3396"/>
      <c r="V595" s="3396"/>
      <c r="W595" s="3396"/>
      <c r="X595" s="3396"/>
      <c r="Y595" s="3396"/>
      <c r="Z595" s="3396"/>
      <c r="AA595" s="3396"/>
      <c r="AB595" s="3396"/>
      <c r="AC595" s="3396"/>
      <c r="AD595" s="3396"/>
      <c r="AE595" s="3396"/>
      <c r="AF595" s="3396"/>
      <c r="AG595" s="3396"/>
      <c r="AH595" s="3396"/>
      <c r="AI595" s="3396"/>
      <c r="AJ595" s="3396"/>
      <c r="AK595" s="3396"/>
      <c r="AL595" s="3396"/>
      <c r="AM595" s="3396"/>
      <c r="AN595" s="3396"/>
      <c r="AO595" s="3396"/>
      <c r="AP595" s="3396"/>
      <c r="AQ595" s="3396"/>
      <c r="AR595" s="3396"/>
      <c r="AS595" s="3396"/>
      <c r="AT595" s="3396"/>
      <c r="AU595" s="3396"/>
      <c r="AV595" s="3396"/>
      <c r="AW595" s="3396"/>
      <c r="AX595" s="3396"/>
      <c r="AY595" s="3396"/>
      <c r="AZ595" s="3396"/>
      <c r="BA595" s="3396"/>
      <c r="BB595" s="3396"/>
      <c r="BC595" s="3396"/>
      <c r="BD595" s="3396"/>
      <c r="BE595" s="3396"/>
      <c r="BF595" s="3396"/>
      <c r="BG595" s="3396"/>
      <c r="BH595" s="3396"/>
      <c r="BI595" s="3396"/>
      <c r="BJ595" s="3396"/>
      <c r="BK595" s="3396"/>
      <c r="BL595" s="3396"/>
      <c r="BM595" s="3396"/>
      <c r="BN595" s="3396"/>
    </row>
    <row r="596" s="687" customFormat="1" ht="15" hidden="1" customHeight="1" spans="1:66">
      <c r="A596" s="3407" t="s">
        <v>6456</v>
      </c>
      <c r="B596" s="3408"/>
      <c r="C596" s="3409"/>
      <c r="D596" s="3409"/>
      <c r="E596" s="3408"/>
      <c r="F596" s="3410"/>
      <c r="G596" s="3430"/>
      <c r="H596" s="3411">
        <f t="shared" si="11"/>
        <v>0</v>
      </c>
      <c r="I596" s="3396"/>
      <c r="J596" s="3396"/>
      <c r="K596" s="3396"/>
      <c r="L596" s="3396"/>
      <c r="M596" s="3396"/>
      <c r="N596" s="3396"/>
      <c r="O596" s="3396"/>
      <c r="P596" s="3396"/>
      <c r="Q596" s="3396"/>
      <c r="R596" s="3396"/>
      <c r="S596" s="3396"/>
      <c r="T596" s="3396"/>
      <c r="U596" s="3396"/>
      <c r="V596" s="3396"/>
      <c r="W596" s="3396"/>
      <c r="X596" s="3396"/>
      <c r="Y596" s="3396"/>
      <c r="Z596" s="3396"/>
      <c r="AA596" s="3396"/>
      <c r="AB596" s="3396"/>
      <c r="AC596" s="3396"/>
      <c r="AD596" s="3396"/>
      <c r="AE596" s="3396"/>
      <c r="AF596" s="3396"/>
      <c r="AG596" s="3396"/>
      <c r="AH596" s="3396"/>
      <c r="AI596" s="3396"/>
      <c r="AJ596" s="3396"/>
      <c r="AK596" s="3396"/>
      <c r="AL596" s="3396"/>
      <c r="AM596" s="3396"/>
      <c r="AN596" s="3396"/>
      <c r="AO596" s="3396"/>
      <c r="AP596" s="3396"/>
      <c r="AQ596" s="3396"/>
      <c r="AR596" s="3396"/>
      <c r="AS596" s="3396"/>
      <c r="AT596" s="3396"/>
      <c r="AU596" s="3396"/>
      <c r="AV596" s="3396"/>
      <c r="AW596" s="3396"/>
      <c r="AX596" s="3396"/>
      <c r="AY596" s="3396"/>
      <c r="AZ596" s="3396"/>
      <c r="BA596" s="3396"/>
      <c r="BB596" s="3396"/>
      <c r="BC596" s="3396"/>
      <c r="BD596" s="3396"/>
      <c r="BE596" s="3396"/>
      <c r="BF596" s="3396"/>
      <c r="BG596" s="3396"/>
      <c r="BH596" s="3396"/>
      <c r="BI596" s="3396"/>
      <c r="BJ596" s="3396"/>
      <c r="BK596" s="3396"/>
      <c r="BL596" s="3396"/>
      <c r="BM596" s="3396"/>
      <c r="BN596" s="3396"/>
    </row>
    <row r="597" s="687" customFormat="1" ht="15" hidden="1" customHeight="1" spans="1:66">
      <c r="A597" s="3407" t="s">
        <v>6457</v>
      </c>
      <c r="B597" s="3408"/>
      <c r="C597" s="3409"/>
      <c r="D597" s="3409"/>
      <c r="E597" s="3408"/>
      <c r="F597" s="3410"/>
      <c r="G597" s="3430"/>
      <c r="H597" s="3411">
        <f t="shared" si="11"/>
        <v>0</v>
      </c>
      <c r="I597" s="3396"/>
      <c r="J597" s="3396"/>
      <c r="K597" s="3396"/>
      <c r="L597" s="3396"/>
      <c r="M597" s="3396"/>
      <c r="N597" s="3396"/>
      <c r="O597" s="3396"/>
      <c r="P597" s="3396"/>
      <c r="Q597" s="3396"/>
      <c r="R597" s="3396"/>
      <c r="S597" s="3396"/>
      <c r="T597" s="3396"/>
      <c r="U597" s="3396"/>
      <c r="V597" s="3396"/>
      <c r="W597" s="3396"/>
      <c r="X597" s="3396"/>
      <c r="Y597" s="3396"/>
      <c r="Z597" s="3396"/>
      <c r="AA597" s="3396"/>
      <c r="AB597" s="3396"/>
      <c r="AC597" s="3396"/>
      <c r="AD597" s="3396"/>
      <c r="AE597" s="3396"/>
      <c r="AF597" s="3396"/>
      <c r="AG597" s="3396"/>
      <c r="AH597" s="3396"/>
      <c r="AI597" s="3396"/>
      <c r="AJ597" s="3396"/>
      <c r="AK597" s="3396"/>
      <c r="AL597" s="3396"/>
      <c r="AM597" s="3396"/>
      <c r="AN597" s="3396"/>
      <c r="AO597" s="3396"/>
      <c r="AP597" s="3396"/>
      <c r="AQ597" s="3396"/>
      <c r="AR597" s="3396"/>
      <c r="AS597" s="3396"/>
      <c r="AT597" s="3396"/>
      <c r="AU597" s="3396"/>
      <c r="AV597" s="3396"/>
      <c r="AW597" s="3396"/>
      <c r="AX597" s="3396"/>
      <c r="AY597" s="3396"/>
      <c r="AZ597" s="3396"/>
      <c r="BA597" s="3396"/>
      <c r="BB597" s="3396"/>
      <c r="BC597" s="3396"/>
      <c r="BD597" s="3396"/>
      <c r="BE597" s="3396"/>
      <c r="BF597" s="3396"/>
      <c r="BG597" s="3396"/>
      <c r="BH597" s="3396"/>
      <c r="BI597" s="3396"/>
      <c r="BJ597" s="3396"/>
      <c r="BK597" s="3396"/>
      <c r="BL597" s="3396"/>
      <c r="BM597" s="3396"/>
      <c r="BN597" s="3396"/>
    </row>
    <row r="598" s="687" customFormat="1" ht="15" hidden="1" customHeight="1" spans="1:66">
      <c r="A598" s="3407" t="s">
        <v>6458</v>
      </c>
      <c r="B598" s="3408"/>
      <c r="C598" s="3409"/>
      <c r="D598" s="3409"/>
      <c r="E598" s="3408"/>
      <c r="F598" s="3410"/>
      <c r="G598" s="3430"/>
      <c r="H598" s="3411">
        <f t="shared" si="11"/>
        <v>0</v>
      </c>
      <c r="I598" s="3396"/>
      <c r="J598" s="3396"/>
      <c r="K598" s="3396"/>
      <c r="L598" s="3396"/>
      <c r="M598" s="3396"/>
      <c r="N598" s="3396"/>
      <c r="O598" s="3396"/>
      <c r="P598" s="3396"/>
      <c r="Q598" s="3396"/>
      <c r="R598" s="3396"/>
      <c r="S598" s="3396"/>
      <c r="T598" s="3396"/>
      <c r="U598" s="3396"/>
      <c r="V598" s="3396"/>
      <c r="W598" s="3396"/>
      <c r="X598" s="3396"/>
      <c r="Y598" s="3396"/>
      <c r="Z598" s="3396"/>
      <c r="AA598" s="3396"/>
      <c r="AB598" s="3396"/>
      <c r="AC598" s="3396"/>
      <c r="AD598" s="3396"/>
      <c r="AE598" s="3396"/>
      <c r="AF598" s="3396"/>
      <c r="AG598" s="3396"/>
      <c r="AH598" s="3396"/>
      <c r="AI598" s="3396"/>
      <c r="AJ598" s="3396"/>
      <c r="AK598" s="3396"/>
      <c r="AL598" s="3396"/>
      <c r="AM598" s="3396"/>
      <c r="AN598" s="3396"/>
      <c r="AO598" s="3396"/>
      <c r="AP598" s="3396"/>
      <c r="AQ598" s="3396"/>
      <c r="AR598" s="3396"/>
      <c r="AS598" s="3396"/>
      <c r="AT598" s="3396"/>
      <c r="AU598" s="3396"/>
      <c r="AV598" s="3396"/>
      <c r="AW598" s="3396"/>
      <c r="AX598" s="3396"/>
      <c r="AY598" s="3396"/>
      <c r="AZ598" s="3396"/>
      <c r="BA598" s="3396"/>
      <c r="BB598" s="3396"/>
      <c r="BC598" s="3396"/>
      <c r="BD598" s="3396"/>
      <c r="BE598" s="3396"/>
      <c r="BF598" s="3396"/>
      <c r="BG598" s="3396"/>
      <c r="BH598" s="3396"/>
      <c r="BI598" s="3396"/>
      <c r="BJ598" s="3396"/>
      <c r="BK598" s="3396"/>
      <c r="BL598" s="3396"/>
      <c r="BM598" s="3396"/>
      <c r="BN598" s="3396"/>
    </row>
    <row r="599" s="687" customFormat="1" ht="15" hidden="1" customHeight="1" spans="1:66">
      <c r="A599" s="3407" t="s">
        <v>6459</v>
      </c>
      <c r="B599" s="3408"/>
      <c r="C599" s="3409"/>
      <c r="D599" s="3409"/>
      <c r="E599" s="3408"/>
      <c r="F599" s="3410"/>
      <c r="G599" s="3430"/>
      <c r="H599" s="3411">
        <f t="shared" si="11"/>
        <v>0</v>
      </c>
      <c r="I599" s="3396"/>
      <c r="J599" s="3396"/>
      <c r="K599" s="3396"/>
      <c r="L599" s="3396"/>
      <c r="M599" s="3396"/>
      <c r="N599" s="3396"/>
      <c r="O599" s="3396"/>
      <c r="P599" s="3396"/>
      <c r="Q599" s="3396"/>
      <c r="R599" s="3396"/>
      <c r="S599" s="3396"/>
      <c r="T599" s="3396"/>
      <c r="U599" s="3396"/>
      <c r="V599" s="3396"/>
      <c r="W599" s="3396"/>
      <c r="X599" s="3396"/>
      <c r="Y599" s="3396"/>
      <c r="Z599" s="3396"/>
      <c r="AA599" s="3396"/>
      <c r="AB599" s="3396"/>
      <c r="AC599" s="3396"/>
      <c r="AD599" s="3396"/>
      <c r="AE599" s="3396"/>
      <c r="AF599" s="3396"/>
      <c r="AG599" s="3396"/>
      <c r="AH599" s="3396"/>
      <c r="AI599" s="3396"/>
      <c r="AJ599" s="3396"/>
      <c r="AK599" s="3396"/>
      <c r="AL599" s="3396"/>
      <c r="AM599" s="3396"/>
      <c r="AN599" s="3396"/>
      <c r="AO599" s="3396"/>
      <c r="AP599" s="3396"/>
      <c r="AQ599" s="3396"/>
      <c r="AR599" s="3396"/>
      <c r="AS599" s="3396"/>
      <c r="AT599" s="3396"/>
      <c r="AU599" s="3396"/>
      <c r="AV599" s="3396"/>
      <c r="AW599" s="3396"/>
      <c r="AX599" s="3396"/>
      <c r="AY599" s="3396"/>
      <c r="AZ599" s="3396"/>
      <c r="BA599" s="3396"/>
      <c r="BB599" s="3396"/>
      <c r="BC599" s="3396"/>
      <c r="BD599" s="3396"/>
      <c r="BE599" s="3396"/>
      <c r="BF599" s="3396"/>
      <c r="BG599" s="3396"/>
      <c r="BH599" s="3396"/>
      <c r="BI599" s="3396"/>
      <c r="BJ599" s="3396"/>
      <c r="BK599" s="3396"/>
      <c r="BL599" s="3396"/>
      <c r="BM599" s="3396"/>
      <c r="BN599" s="3396"/>
    </row>
    <row r="600" s="687" customFormat="1" ht="15" hidden="1" customHeight="1" spans="1:66">
      <c r="A600" s="3407" t="s">
        <v>6460</v>
      </c>
      <c r="B600" s="3408"/>
      <c r="C600" s="3409"/>
      <c r="D600" s="3409"/>
      <c r="E600" s="3408"/>
      <c r="F600" s="3410"/>
      <c r="G600" s="3430"/>
      <c r="H600" s="3411">
        <f t="shared" si="11"/>
        <v>0</v>
      </c>
      <c r="I600" s="3396"/>
      <c r="J600" s="3396"/>
      <c r="K600" s="3396"/>
      <c r="L600" s="3396"/>
      <c r="M600" s="3396"/>
      <c r="N600" s="3396"/>
      <c r="O600" s="3396"/>
      <c r="P600" s="3396"/>
      <c r="Q600" s="3396"/>
      <c r="R600" s="3396"/>
      <c r="S600" s="3396"/>
      <c r="T600" s="3396"/>
      <c r="U600" s="3396"/>
      <c r="V600" s="3396"/>
      <c r="W600" s="3396"/>
      <c r="X600" s="3396"/>
      <c r="Y600" s="3396"/>
      <c r="Z600" s="3396"/>
      <c r="AA600" s="3396"/>
      <c r="AB600" s="3396"/>
      <c r="AC600" s="3396"/>
      <c r="AD600" s="3396"/>
      <c r="AE600" s="3396"/>
      <c r="AF600" s="3396"/>
      <c r="AG600" s="3396"/>
      <c r="AH600" s="3396"/>
      <c r="AI600" s="3396"/>
      <c r="AJ600" s="3396"/>
      <c r="AK600" s="3396"/>
      <c r="AL600" s="3396"/>
      <c r="AM600" s="3396"/>
      <c r="AN600" s="3396"/>
      <c r="AO600" s="3396"/>
      <c r="AP600" s="3396"/>
      <c r="AQ600" s="3396"/>
      <c r="AR600" s="3396"/>
      <c r="AS600" s="3396"/>
      <c r="AT600" s="3396"/>
      <c r="AU600" s="3396"/>
      <c r="AV600" s="3396"/>
      <c r="AW600" s="3396"/>
      <c r="AX600" s="3396"/>
      <c r="AY600" s="3396"/>
      <c r="AZ600" s="3396"/>
      <c r="BA600" s="3396"/>
      <c r="BB600" s="3396"/>
      <c r="BC600" s="3396"/>
      <c r="BD600" s="3396"/>
      <c r="BE600" s="3396"/>
      <c r="BF600" s="3396"/>
      <c r="BG600" s="3396"/>
      <c r="BH600" s="3396"/>
      <c r="BI600" s="3396"/>
      <c r="BJ600" s="3396"/>
      <c r="BK600" s="3396"/>
      <c r="BL600" s="3396"/>
      <c r="BM600" s="3396"/>
      <c r="BN600" s="3396"/>
    </row>
    <row r="601" s="687" customFormat="1" ht="15" hidden="1" customHeight="1" spans="1:66">
      <c r="A601" s="3407" t="s">
        <v>6461</v>
      </c>
      <c r="B601" s="3408"/>
      <c r="C601" s="3409"/>
      <c r="D601" s="3409"/>
      <c r="E601" s="3408"/>
      <c r="F601" s="3410"/>
      <c r="G601" s="3430"/>
      <c r="H601" s="3411">
        <f t="shared" si="11"/>
        <v>0</v>
      </c>
      <c r="I601" s="3396"/>
      <c r="J601" s="3396"/>
      <c r="K601" s="3396"/>
      <c r="L601" s="3396"/>
      <c r="M601" s="3396"/>
      <c r="N601" s="3396"/>
      <c r="O601" s="3396"/>
      <c r="P601" s="3396"/>
      <c r="Q601" s="3396"/>
      <c r="R601" s="3396"/>
      <c r="S601" s="3396"/>
      <c r="T601" s="3396"/>
      <c r="U601" s="3396"/>
      <c r="V601" s="3396"/>
      <c r="W601" s="3396"/>
      <c r="X601" s="3396"/>
      <c r="Y601" s="3396"/>
      <c r="Z601" s="3396"/>
      <c r="AA601" s="3396"/>
      <c r="AB601" s="3396"/>
      <c r="AC601" s="3396"/>
      <c r="AD601" s="3396"/>
      <c r="AE601" s="3396"/>
      <c r="AF601" s="3396"/>
      <c r="AG601" s="3396"/>
      <c r="AH601" s="3396"/>
      <c r="AI601" s="3396"/>
      <c r="AJ601" s="3396"/>
      <c r="AK601" s="3396"/>
      <c r="AL601" s="3396"/>
      <c r="AM601" s="3396"/>
      <c r="AN601" s="3396"/>
      <c r="AO601" s="3396"/>
      <c r="AP601" s="3396"/>
      <c r="AQ601" s="3396"/>
      <c r="AR601" s="3396"/>
      <c r="AS601" s="3396"/>
      <c r="AT601" s="3396"/>
      <c r="AU601" s="3396"/>
      <c r="AV601" s="3396"/>
      <c r="AW601" s="3396"/>
      <c r="AX601" s="3396"/>
      <c r="AY601" s="3396"/>
      <c r="AZ601" s="3396"/>
      <c r="BA601" s="3396"/>
      <c r="BB601" s="3396"/>
      <c r="BC601" s="3396"/>
      <c r="BD601" s="3396"/>
      <c r="BE601" s="3396"/>
      <c r="BF601" s="3396"/>
      <c r="BG601" s="3396"/>
      <c r="BH601" s="3396"/>
      <c r="BI601" s="3396"/>
      <c r="BJ601" s="3396"/>
      <c r="BK601" s="3396"/>
      <c r="BL601" s="3396"/>
      <c r="BM601" s="3396"/>
      <c r="BN601" s="3396"/>
    </row>
    <row r="602" s="687" customFormat="1" ht="15" hidden="1" customHeight="1" spans="1:66">
      <c r="A602" s="3407" t="s">
        <v>6462</v>
      </c>
      <c r="B602" s="3408"/>
      <c r="C602" s="3409"/>
      <c r="D602" s="3409"/>
      <c r="E602" s="3408"/>
      <c r="F602" s="3410"/>
      <c r="G602" s="3430"/>
      <c r="H602" s="3411">
        <f t="shared" si="11"/>
        <v>0</v>
      </c>
      <c r="I602" s="3396"/>
      <c r="J602" s="3396"/>
      <c r="K602" s="3396"/>
      <c r="L602" s="3396"/>
      <c r="M602" s="3396"/>
      <c r="N602" s="3396"/>
      <c r="O602" s="3396"/>
      <c r="P602" s="3396"/>
      <c r="Q602" s="3396"/>
      <c r="R602" s="3396"/>
      <c r="S602" s="3396"/>
      <c r="T602" s="3396"/>
      <c r="U602" s="3396"/>
      <c r="V602" s="3396"/>
      <c r="W602" s="3396"/>
      <c r="X602" s="3396"/>
      <c r="Y602" s="3396"/>
      <c r="Z602" s="3396"/>
      <c r="AA602" s="3396"/>
      <c r="AB602" s="3396"/>
      <c r="AC602" s="3396"/>
      <c r="AD602" s="3396"/>
      <c r="AE602" s="3396"/>
      <c r="AF602" s="3396"/>
      <c r="AG602" s="3396"/>
      <c r="AH602" s="3396"/>
      <c r="AI602" s="3396"/>
      <c r="AJ602" s="3396"/>
      <c r="AK602" s="3396"/>
      <c r="AL602" s="3396"/>
      <c r="AM602" s="3396"/>
      <c r="AN602" s="3396"/>
      <c r="AO602" s="3396"/>
      <c r="AP602" s="3396"/>
      <c r="AQ602" s="3396"/>
      <c r="AR602" s="3396"/>
      <c r="AS602" s="3396"/>
      <c r="AT602" s="3396"/>
      <c r="AU602" s="3396"/>
      <c r="AV602" s="3396"/>
      <c r="AW602" s="3396"/>
      <c r="AX602" s="3396"/>
      <c r="AY602" s="3396"/>
      <c r="AZ602" s="3396"/>
      <c r="BA602" s="3396"/>
      <c r="BB602" s="3396"/>
      <c r="BC602" s="3396"/>
      <c r="BD602" s="3396"/>
      <c r="BE602" s="3396"/>
      <c r="BF602" s="3396"/>
      <c r="BG602" s="3396"/>
      <c r="BH602" s="3396"/>
      <c r="BI602" s="3396"/>
      <c r="BJ602" s="3396"/>
      <c r="BK602" s="3396"/>
      <c r="BL602" s="3396"/>
      <c r="BM602" s="3396"/>
      <c r="BN602" s="3396"/>
    </row>
    <row r="603" s="687" customFormat="1" ht="15" hidden="1" customHeight="1" spans="1:66">
      <c r="A603" s="3407" t="s">
        <v>6463</v>
      </c>
      <c r="B603" s="3408"/>
      <c r="C603" s="3409"/>
      <c r="D603" s="3409"/>
      <c r="E603" s="3408"/>
      <c r="F603" s="3410"/>
      <c r="G603" s="3430"/>
      <c r="H603" s="3411">
        <f t="shared" si="11"/>
        <v>0</v>
      </c>
      <c r="I603" s="3396"/>
      <c r="J603" s="3396"/>
      <c r="K603" s="3396"/>
      <c r="L603" s="3396"/>
      <c r="M603" s="3396"/>
      <c r="N603" s="3396"/>
      <c r="O603" s="3396"/>
      <c r="P603" s="3396"/>
      <c r="Q603" s="3396"/>
      <c r="R603" s="3396"/>
      <c r="S603" s="3396"/>
      <c r="T603" s="3396"/>
      <c r="U603" s="3396"/>
      <c r="V603" s="3396"/>
      <c r="W603" s="3396"/>
      <c r="X603" s="3396"/>
      <c r="Y603" s="3396"/>
      <c r="Z603" s="3396"/>
      <c r="AA603" s="3396"/>
      <c r="AB603" s="3396"/>
      <c r="AC603" s="3396"/>
      <c r="AD603" s="3396"/>
      <c r="AE603" s="3396"/>
      <c r="AF603" s="3396"/>
      <c r="AG603" s="3396"/>
      <c r="AH603" s="3396"/>
      <c r="AI603" s="3396"/>
      <c r="AJ603" s="3396"/>
      <c r="AK603" s="3396"/>
      <c r="AL603" s="3396"/>
      <c r="AM603" s="3396"/>
      <c r="AN603" s="3396"/>
      <c r="AO603" s="3396"/>
      <c r="AP603" s="3396"/>
      <c r="AQ603" s="3396"/>
      <c r="AR603" s="3396"/>
      <c r="AS603" s="3396"/>
      <c r="AT603" s="3396"/>
      <c r="AU603" s="3396"/>
      <c r="AV603" s="3396"/>
      <c r="AW603" s="3396"/>
      <c r="AX603" s="3396"/>
      <c r="AY603" s="3396"/>
      <c r="AZ603" s="3396"/>
      <c r="BA603" s="3396"/>
      <c r="BB603" s="3396"/>
      <c r="BC603" s="3396"/>
      <c r="BD603" s="3396"/>
      <c r="BE603" s="3396"/>
      <c r="BF603" s="3396"/>
      <c r="BG603" s="3396"/>
      <c r="BH603" s="3396"/>
      <c r="BI603" s="3396"/>
      <c r="BJ603" s="3396"/>
      <c r="BK603" s="3396"/>
      <c r="BL603" s="3396"/>
      <c r="BM603" s="3396"/>
      <c r="BN603" s="3396"/>
    </row>
    <row r="604" s="687" customFormat="1" ht="15" hidden="1" customHeight="1" spans="1:66">
      <c r="A604" s="3407" t="s">
        <v>6464</v>
      </c>
      <c r="B604" s="3408"/>
      <c r="C604" s="3409"/>
      <c r="D604" s="3409"/>
      <c r="E604" s="3408"/>
      <c r="F604" s="3410"/>
      <c r="G604" s="3430"/>
      <c r="H604" s="3411">
        <f t="shared" si="11"/>
        <v>0</v>
      </c>
      <c r="I604" s="3396"/>
      <c r="J604" s="3396"/>
      <c r="K604" s="3396"/>
      <c r="L604" s="3396"/>
      <c r="M604" s="3396"/>
      <c r="N604" s="3396"/>
      <c r="O604" s="3396"/>
      <c r="P604" s="3396"/>
      <c r="Q604" s="3396"/>
      <c r="R604" s="3396"/>
      <c r="S604" s="3396"/>
      <c r="T604" s="3396"/>
      <c r="U604" s="3396"/>
      <c r="V604" s="3396"/>
      <c r="W604" s="3396"/>
      <c r="X604" s="3396"/>
      <c r="Y604" s="3396"/>
      <c r="Z604" s="3396"/>
      <c r="AA604" s="3396"/>
      <c r="AB604" s="3396"/>
      <c r="AC604" s="3396"/>
      <c r="AD604" s="3396"/>
      <c r="AE604" s="3396"/>
      <c r="AF604" s="3396"/>
      <c r="AG604" s="3396"/>
      <c r="AH604" s="3396"/>
      <c r="AI604" s="3396"/>
      <c r="AJ604" s="3396"/>
      <c r="AK604" s="3396"/>
      <c r="AL604" s="3396"/>
      <c r="AM604" s="3396"/>
      <c r="AN604" s="3396"/>
      <c r="AO604" s="3396"/>
      <c r="AP604" s="3396"/>
      <c r="AQ604" s="3396"/>
      <c r="AR604" s="3396"/>
      <c r="AS604" s="3396"/>
      <c r="AT604" s="3396"/>
      <c r="AU604" s="3396"/>
      <c r="AV604" s="3396"/>
      <c r="AW604" s="3396"/>
      <c r="AX604" s="3396"/>
      <c r="AY604" s="3396"/>
      <c r="AZ604" s="3396"/>
      <c r="BA604" s="3396"/>
      <c r="BB604" s="3396"/>
      <c r="BC604" s="3396"/>
      <c r="BD604" s="3396"/>
      <c r="BE604" s="3396"/>
      <c r="BF604" s="3396"/>
      <c r="BG604" s="3396"/>
      <c r="BH604" s="3396"/>
      <c r="BI604" s="3396"/>
      <c r="BJ604" s="3396"/>
      <c r="BK604" s="3396"/>
      <c r="BL604" s="3396"/>
      <c r="BM604" s="3396"/>
      <c r="BN604" s="3396"/>
    </row>
    <row r="605" s="687" customFormat="1" ht="15" hidden="1" customHeight="1" spans="1:66">
      <c r="A605" s="3407" t="s">
        <v>6465</v>
      </c>
      <c r="B605" s="3408"/>
      <c r="C605" s="3409"/>
      <c r="D605" s="3409"/>
      <c r="E605" s="3408"/>
      <c r="F605" s="3410"/>
      <c r="G605" s="3430"/>
      <c r="H605" s="3411">
        <f t="shared" si="11"/>
        <v>0</v>
      </c>
      <c r="I605" s="3396"/>
      <c r="J605" s="3396"/>
      <c r="K605" s="3396"/>
      <c r="L605" s="3396"/>
      <c r="M605" s="3396"/>
      <c r="N605" s="3396"/>
      <c r="O605" s="3396"/>
      <c r="P605" s="3396"/>
      <c r="Q605" s="3396"/>
      <c r="R605" s="3396"/>
      <c r="S605" s="3396"/>
      <c r="T605" s="3396"/>
      <c r="U605" s="3396"/>
      <c r="V605" s="3396"/>
      <c r="W605" s="3396"/>
      <c r="X605" s="3396"/>
      <c r="Y605" s="3396"/>
      <c r="Z605" s="3396"/>
      <c r="AA605" s="3396"/>
      <c r="AB605" s="3396"/>
      <c r="AC605" s="3396"/>
      <c r="AD605" s="3396"/>
      <c r="AE605" s="3396"/>
      <c r="AF605" s="3396"/>
      <c r="AG605" s="3396"/>
      <c r="AH605" s="3396"/>
      <c r="AI605" s="3396"/>
      <c r="AJ605" s="3396"/>
      <c r="AK605" s="3396"/>
      <c r="AL605" s="3396"/>
      <c r="AM605" s="3396"/>
      <c r="AN605" s="3396"/>
      <c r="AO605" s="3396"/>
      <c r="AP605" s="3396"/>
      <c r="AQ605" s="3396"/>
      <c r="AR605" s="3396"/>
      <c r="AS605" s="3396"/>
      <c r="AT605" s="3396"/>
      <c r="AU605" s="3396"/>
      <c r="AV605" s="3396"/>
      <c r="AW605" s="3396"/>
      <c r="AX605" s="3396"/>
      <c r="AY605" s="3396"/>
      <c r="AZ605" s="3396"/>
      <c r="BA605" s="3396"/>
      <c r="BB605" s="3396"/>
      <c r="BC605" s="3396"/>
      <c r="BD605" s="3396"/>
      <c r="BE605" s="3396"/>
      <c r="BF605" s="3396"/>
      <c r="BG605" s="3396"/>
      <c r="BH605" s="3396"/>
      <c r="BI605" s="3396"/>
      <c r="BJ605" s="3396"/>
      <c r="BK605" s="3396"/>
      <c r="BL605" s="3396"/>
      <c r="BM605" s="3396"/>
      <c r="BN605" s="3396"/>
    </row>
    <row r="606" s="687" customFormat="1" ht="15" hidden="1" customHeight="1" spans="1:66">
      <c r="A606" s="3407" t="s">
        <v>6466</v>
      </c>
      <c r="B606" s="3408"/>
      <c r="C606" s="3409"/>
      <c r="D606" s="3409"/>
      <c r="E606" s="3408"/>
      <c r="F606" s="3410"/>
      <c r="G606" s="3430"/>
      <c r="H606" s="3411">
        <f t="shared" si="11"/>
        <v>0</v>
      </c>
      <c r="I606" s="3396"/>
      <c r="J606" s="3396"/>
      <c r="K606" s="3396"/>
      <c r="L606" s="3396"/>
      <c r="M606" s="3396"/>
      <c r="N606" s="3396"/>
      <c r="O606" s="3396"/>
      <c r="P606" s="3396"/>
      <c r="Q606" s="3396"/>
      <c r="R606" s="3396"/>
      <c r="S606" s="3396"/>
      <c r="T606" s="3396"/>
      <c r="U606" s="3396"/>
      <c r="V606" s="3396"/>
      <c r="W606" s="3396"/>
      <c r="X606" s="3396"/>
      <c r="Y606" s="3396"/>
      <c r="Z606" s="3396"/>
      <c r="AA606" s="3396"/>
      <c r="AB606" s="3396"/>
      <c r="AC606" s="3396"/>
      <c r="AD606" s="3396"/>
      <c r="AE606" s="3396"/>
      <c r="AF606" s="3396"/>
      <c r="AG606" s="3396"/>
      <c r="AH606" s="3396"/>
      <c r="AI606" s="3396"/>
      <c r="AJ606" s="3396"/>
      <c r="AK606" s="3396"/>
      <c r="AL606" s="3396"/>
      <c r="AM606" s="3396"/>
      <c r="AN606" s="3396"/>
      <c r="AO606" s="3396"/>
      <c r="AP606" s="3396"/>
      <c r="AQ606" s="3396"/>
      <c r="AR606" s="3396"/>
      <c r="AS606" s="3396"/>
      <c r="AT606" s="3396"/>
      <c r="AU606" s="3396"/>
      <c r="AV606" s="3396"/>
      <c r="AW606" s="3396"/>
      <c r="AX606" s="3396"/>
      <c r="AY606" s="3396"/>
      <c r="AZ606" s="3396"/>
      <c r="BA606" s="3396"/>
      <c r="BB606" s="3396"/>
      <c r="BC606" s="3396"/>
      <c r="BD606" s="3396"/>
      <c r="BE606" s="3396"/>
      <c r="BF606" s="3396"/>
      <c r="BG606" s="3396"/>
      <c r="BH606" s="3396"/>
      <c r="BI606" s="3396"/>
      <c r="BJ606" s="3396"/>
      <c r="BK606" s="3396"/>
      <c r="BL606" s="3396"/>
      <c r="BM606" s="3396"/>
      <c r="BN606" s="3396"/>
    </row>
    <row r="607" s="687" customFormat="1" ht="15" hidden="1" customHeight="1" spans="1:66">
      <c r="A607" s="3407" t="s">
        <v>6467</v>
      </c>
      <c r="B607" s="3408"/>
      <c r="C607" s="3409"/>
      <c r="D607" s="3409"/>
      <c r="E607" s="3408"/>
      <c r="F607" s="3410"/>
      <c r="G607" s="3430"/>
      <c r="H607" s="3411">
        <f t="shared" si="11"/>
        <v>0</v>
      </c>
      <c r="I607" s="3396"/>
      <c r="J607" s="3396"/>
      <c r="K607" s="3396"/>
      <c r="L607" s="3396"/>
      <c r="M607" s="3396"/>
      <c r="N607" s="3396"/>
      <c r="O607" s="3396"/>
      <c r="P607" s="3396"/>
      <c r="Q607" s="3396"/>
      <c r="R607" s="3396"/>
      <c r="S607" s="3396"/>
      <c r="T607" s="3396"/>
      <c r="U607" s="3396"/>
      <c r="V607" s="3396"/>
      <c r="W607" s="3396"/>
      <c r="X607" s="3396"/>
      <c r="Y607" s="3396"/>
      <c r="Z607" s="3396"/>
      <c r="AA607" s="3396"/>
      <c r="AB607" s="3396"/>
      <c r="AC607" s="3396"/>
      <c r="AD607" s="3396"/>
      <c r="AE607" s="3396"/>
      <c r="AF607" s="3396"/>
      <c r="AG607" s="3396"/>
      <c r="AH607" s="3396"/>
      <c r="AI607" s="3396"/>
      <c r="AJ607" s="3396"/>
      <c r="AK607" s="3396"/>
      <c r="AL607" s="3396"/>
      <c r="AM607" s="3396"/>
      <c r="AN607" s="3396"/>
      <c r="AO607" s="3396"/>
      <c r="AP607" s="3396"/>
      <c r="AQ607" s="3396"/>
      <c r="AR607" s="3396"/>
      <c r="AS607" s="3396"/>
      <c r="AT607" s="3396"/>
      <c r="AU607" s="3396"/>
      <c r="AV607" s="3396"/>
      <c r="AW607" s="3396"/>
      <c r="AX607" s="3396"/>
      <c r="AY607" s="3396"/>
      <c r="AZ607" s="3396"/>
      <c r="BA607" s="3396"/>
      <c r="BB607" s="3396"/>
      <c r="BC607" s="3396"/>
      <c r="BD607" s="3396"/>
      <c r="BE607" s="3396"/>
      <c r="BF607" s="3396"/>
      <c r="BG607" s="3396"/>
      <c r="BH607" s="3396"/>
      <c r="BI607" s="3396"/>
      <c r="BJ607" s="3396"/>
      <c r="BK607" s="3396"/>
      <c r="BL607" s="3396"/>
      <c r="BM607" s="3396"/>
      <c r="BN607" s="3396"/>
    </row>
    <row r="608" s="687" customFormat="1" ht="15" hidden="1" customHeight="1" spans="1:66">
      <c r="A608" s="3407" t="s">
        <v>6468</v>
      </c>
      <c r="B608" s="3408"/>
      <c r="C608" s="3409"/>
      <c r="D608" s="3409"/>
      <c r="E608" s="3408"/>
      <c r="F608" s="3410"/>
      <c r="G608" s="3430"/>
      <c r="H608" s="3411">
        <f t="shared" si="11"/>
        <v>0</v>
      </c>
      <c r="I608" s="3396"/>
      <c r="J608" s="3396"/>
      <c r="K608" s="3396"/>
      <c r="L608" s="3396"/>
      <c r="M608" s="3396"/>
      <c r="N608" s="3396"/>
      <c r="O608" s="3396"/>
      <c r="P608" s="3396"/>
      <c r="Q608" s="3396"/>
      <c r="R608" s="3396"/>
      <c r="S608" s="3396"/>
      <c r="T608" s="3396"/>
      <c r="U608" s="3396"/>
      <c r="V608" s="3396"/>
      <c r="W608" s="3396"/>
      <c r="X608" s="3396"/>
      <c r="Y608" s="3396"/>
      <c r="Z608" s="3396"/>
      <c r="AA608" s="3396"/>
      <c r="AB608" s="3396"/>
      <c r="AC608" s="3396"/>
      <c r="AD608" s="3396"/>
      <c r="AE608" s="3396"/>
      <c r="AF608" s="3396"/>
      <c r="AG608" s="3396"/>
      <c r="AH608" s="3396"/>
      <c r="AI608" s="3396"/>
      <c r="AJ608" s="3396"/>
      <c r="AK608" s="3396"/>
      <c r="AL608" s="3396"/>
      <c r="AM608" s="3396"/>
      <c r="AN608" s="3396"/>
      <c r="AO608" s="3396"/>
      <c r="AP608" s="3396"/>
      <c r="AQ608" s="3396"/>
      <c r="AR608" s="3396"/>
      <c r="AS608" s="3396"/>
      <c r="AT608" s="3396"/>
      <c r="AU608" s="3396"/>
      <c r="AV608" s="3396"/>
      <c r="AW608" s="3396"/>
      <c r="AX608" s="3396"/>
      <c r="AY608" s="3396"/>
      <c r="AZ608" s="3396"/>
      <c r="BA608" s="3396"/>
      <c r="BB608" s="3396"/>
      <c r="BC608" s="3396"/>
      <c r="BD608" s="3396"/>
      <c r="BE608" s="3396"/>
      <c r="BF608" s="3396"/>
      <c r="BG608" s="3396"/>
      <c r="BH608" s="3396"/>
      <c r="BI608" s="3396"/>
      <c r="BJ608" s="3396"/>
      <c r="BK608" s="3396"/>
      <c r="BL608" s="3396"/>
      <c r="BM608" s="3396"/>
      <c r="BN608" s="3396"/>
    </row>
    <row r="609" s="687" customFormat="1" ht="15" hidden="1" customHeight="1" spans="1:66">
      <c r="A609" s="3407" t="s">
        <v>6469</v>
      </c>
      <c r="B609" s="3408"/>
      <c r="C609" s="3409"/>
      <c r="D609" s="3409"/>
      <c r="E609" s="3408"/>
      <c r="F609" s="3410"/>
      <c r="G609" s="3430"/>
      <c r="H609" s="3411">
        <f t="shared" si="11"/>
        <v>0</v>
      </c>
      <c r="I609" s="3396"/>
      <c r="J609" s="3396"/>
      <c r="K609" s="3396"/>
      <c r="L609" s="3396"/>
      <c r="M609" s="3396"/>
      <c r="N609" s="3396"/>
      <c r="O609" s="3396"/>
      <c r="P609" s="3396"/>
      <c r="Q609" s="3396"/>
      <c r="R609" s="3396"/>
      <c r="S609" s="3396"/>
      <c r="T609" s="3396"/>
      <c r="U609" s="3396"/>
      <c r="V609" s="3396"/>
      <c r="W609" s="3396"/>
      <c r="X609" s="3396"/>
      <c r="Y609" s="3396"/>
      <c r="Z609" s="3396"/>
      <c r="AA609" s="3396"/>
      <c r="AB609" s="3396"/>
      <c r="AC609" s="3396"/>
      <c r="AD609" s="3396"/>
      <c r="AE609" s="3396"/>
      <c r="AF609" s="3396"/>
      <c r="AG609" s="3396"/>
      <c r="AH609" s="3396"/>
      <c r="AI609" s="3396"/>
      <c r="AJ609" s="3396"/>
      <c r="AK609" s="3396"/>
      <c r="AL609" s="3396"/>
      <c r="AM609" s="3396"/>
      <c r="AN609" s="3396"/>
      <c r="AO609" s="3396"/>
      <c r="AP609" s="3396"/>
      <c r="AQ609" s="3396"/>
      <c r="AR609" s="3396"/>
      <c r="AS609" s="3396"/>
      <c r="AT609" s="3396"/>
      <c r="AU609" s="3396"/>
      <c r="AV609" s="3396"/>
      <c r="AW609" s="3396"/>
      <c r="AX609" s="3396"/>
      <c r="AY609" s="3396"/>
      <c r="AZ609" s="3396"/>
      <c r="BA609" s="3396"/>
      <c r="BB609" s="3396"/>
      <c r="BC609" s="3396"/>
      <c r="BD609" s="3396"/>
      <c r="BE609" s="3396"/>
      <c r="BF609" s="3396"/>
      <c r="BG609" s="3396"/>
      <c r="BH609" s="3396"/>
      <c r="BI609" s="3396"/>
      <c r="BJ609" s="3396"/>
      <c r="BK609" s="3396"/>
      <c r="BL609" s="3396"/>
      <c r="BM609" s="3396"/>
      <c r="BN609" s="3396"/>
    </row>
    <row r="610" s="687" customFormat="1" ht="15" hidden="1" customHeight="1" spans="1:66">
      <c r="A610" s="3407" t="s">
        <v>6470</v>
      </c>
      <c r="B610" s="3408"/>
      <c r="C610" s="3409"/>
      <c r="D610" s="3409"/>
      <c r="E610" s="3408"/>
      <c r="F610" s="3410"/>
      <c r="G610" s="3430"/>
      <c r="H610" s="3411">
        <f t="shared" si="11"/>
        <v>0</v>
      </c>
      <c r="I610" s="3396"/>
      <c r="J610" s="3396"/>
      <c r="K610" s="3396"/>
      <c r="L610" s="3396"/>
      <c r="M610" s="3396"/>
      <c r="N610" s="3396"/>
      <c r="O610" s="3396"/>
      <c r="P610" s="3396"/>
      <c r="Q610" s="3396"/>
      <c r="R610" s="3396"/>
      <c r="S610" s="3396"/>
      <c r="T610" s="3396"/>
      <c r="U610" s="3396"/>
      <c r="V610" s="3396"/>
      <c r="W610" s="3396"/>
      <c r="X610" s="3396"/>
      <c r="Y610" s="3396"/>
      <c r="Z610" s="3396"/>
      <c r="AA610" s="3396"/>
      <c r="AB610" s="3396"/>
      <c r="AC610" s="3396"/>
      <c r="AD610" s="3396"/>
      <c r="AE610" s="3396"/>
      <c r="AF610" s="3396"/>
      <c r="AG610" s="3396"/>
      <c r="AH610" s="3396"/>
      <c r="AI610" s="3396"/>
      <c r="AJ610" s="3396"/>
      <c r="AK610" s="3396"/>
      <c r="AL610" s="3396"/>
      <c r="AM610" s="3396"/>
      <c r="AN610" s="3396"/>
      <c r="AO610" s="3396"/>
      <c r="AP610" s="3396"/>
      <c r="AQ610" s="3396"/>
      <c r="AR610" s="3396"/>
      <c r="AS610" s="3396"/>
      <c r="AT610" s="3396"/>
      <c r="AU610" s="3396"/>
      <c r="AV610" s="3396"/>
      <c r="AW610" s="3396"/>
      <c r="AX610" s="3396"/>
      <c r="AY610" s="3396"/>
      <c r="AZ610" s="3396"/>
      <c r="BA610" s="3396"/>
      <c r="BB610" s="3396"/>
      <c r="BC610" s="3396"/>
      <c r="BD610" s="3396"/>
      <c r="BE610" s="3396"/>
      <c r="BF610" s="3396"/>
      <c r="BG610" s="3396"/>
      <c r="BH610" s="3396"/>
      <c r="BI610" s="3396"/>
      <c r="BJ610" s="3396"/>
      <c r="BK610" s="3396"/>
      <c r="BL610" s="3396"/>
      <c r="BM610" s="3396"/>
      <c r="BN610" s="3396"/>
    </row>
    <row r="611" s="687" customFormat="1" ht="15" hidden="1" customHeight="1" spans="1:66">
      <c r="A611" s="3407" t="s">
        <v>6471</v>
      </c>
      <c r="B611" s="3408"/>
      <c r="C611" s="3409"/>
      <c r="D611" s="3409"/>
      <c r="E611" s="3408"/>
      <c r="F611" s="3410"/>
      <c r="G611" s="3430"/>
      <c r="H611" s="3411">
        <f t="shared" ref="H611:H618" si="12">F611+G611</f>
        <v>0</v>
      </c>
      <c r="I611" s="3396"/>
      <c r="J611" s="3396"/>
      <c r="K611" s="3396"/>
      <c r="L611" s="3396"/>
      <c r="M611" s="3396"/>
      <c r="N611" s="3396"/>
      <c r="O611" s="3396"/>
      <c r="P611" s="3396"/>
      <c r="Q611" s="3396"/>
      <c r="R611" s="3396"/>
      <c r="S611" s="3396"/>
      <c r="T611" s="3396"/>
      <c r="U611" s="3396"/>
      <c r="V611" s="3396"/>
      <c r="W611" s="3396"/>
      <c r="X611" s="3396"/>
      <c r="Y611" s="3396"/>
      <c r="Z611" s="3396"/>
      <c r="AA611" s="3396"/>
      <c r="AB611" s="3396"/>
      <c r="AC611" s="3396"/>
      <c r="AD611" s="3396"/>
      <c r="AE611" s="3396"/>
      <c r="AF611" s="3396"/>
      <c r="AG611" s="3396"/>
      <c r="AH611" s="3396"/>
      <c r="AI611" s="3396"/>
      <c r="AJ611" s="3396"/>
      <c r="AK611" s="3396"/>
      <c r="AL611" s="3396"/>
      <c r="AM611" s="3396"/>
      <c r="AN611" s="3396"/>
      <c r="AO611" s="3396"/>
      <c r="AP611" s="3396"/>
      <c r="AQ611" s="3396"/>
      <c r="AR611" s="3396"/>
      <c r="AS611" s="3396"/>
      <c r="AT611" s="3396"/>
      <c r="AU611" s="3396"/>
      <c r="AV611" s="3396"/>
      <c r="AW611" s="3396"/>
      <c r="AX611" s="3396"/>
      <c r="AY611" s="3396"/>
      <c r="AZ611" s="3396"/>
      <c r="BA611" s="3396"/>
      <c r="BB611" s="3396"/>
      <c r="BC611" s="3396"/>
      <c r="BD611" s="3396"/>
      <c r="BE611" s="3396"/>
      <c r="BF611" s="3396"/>
      <c r="BG611" s="3396"/>
      <c r="BH611" s="3396"/>
      <c r="BI611" s="3396"/>
      <c r="BJ611" s="3396"/>
      <c r="BK611" s="3396"/>
      <c r="BL611" s="3396"/>
      <c r="BM611" s="3396"/>
      <c r="BN611" s="3396"/>
    </row>
    <row r="612" s="687" customFormat="1" ht="15" hidden="1" customHeight="1" spans="1:66">
      <c r="A612" s="3407" t="s">
        <v>6472</v>
      </c>
      <c r="B612" s="3408"/>
      <c r="C612" s="3409"/>
      <c r="D612" s="3409"/>
      <c r="E612" s="3408"/>
      <c r="F612" s="3410"/>
      <c r="G612" s="3430"/>
      <c r="H612" s="3411">
        <f t="shared" si="12"/>
        <v>0</v>
      </c>
      <c r="I612" s="3396"/>
      <c r="J612" s="3396"/>
      <c r="K612" s="3396"/>
      <c r="L612" s="3396"/>
      <c r="M612" s="3396"/>
      <c r="N612" s="3396"/>
      <c r="O612" s="3396"/>
      <c r="P612" s="3396"/>
      <c r="Q612" s="3396"/>
      <c r="R612" s="3396"/>
      <c r="S612" s="3396"/>
      <c r="T612" s="3396"/>
      <c r="U612" s="3396"/>
      <c r="V612" s="3396"/>
      <c r="W612" s="3396"/>
      <c r="X612" s="3396"/>
      <c r="Y612" s="3396"/>
      <c r="Z612" s="3396"/>
      <c r="AA612" s="3396"/>
      <c r="AB612" s="3396"/>
      <c r="AC612" s="3396"/>
      <c r="AD612" s="3396"/>
      <c r="AE612" s="3396"/>
      <c r="AF612" s="3396"/>
      <c r="AG612" s="3396"/>
      <c r="AH612" s="3396"/>
      <c r="AI612" s="3396"/>
      <c r="AJ612" s="3396"/>
      <c r="AK612" s="3396"/>
      <c r="AL612" s="3396"/>
      <c r="AM612" s="3396"/>
      <c r="AN612" s="3396"/>
      <c r="AO612" s="3396"/>
      <c r="AP612" s="3396"/>
      <c r="AQ612" s="3396"/>
      <c r="AR612" s="3396"/>
      <c r="AS612" s="3396"/>
      <c r="AT612" s="3396"/>
      <c r="AU612" s="3396"/>
      <c r="AV612" s="3396"/>
      <c r="AW612" s="3396"/>
      <c r="AX612" s="3396"/>
      <c r="AY612" s="3396"/>
      <c r="AZ612" s="3396"/>
      <c r="BA612" s="3396"/>
      <c r="BB612" s="3396"/>
      <c r="BC612" s="3396"/>
      <c r="BD612" s="3396"/>
      <c r="BE612" s="3396"/>
      <c r="BF612" s="3396"/>
      <c r="BG612" s="3396"/>
      <c r="BH612" s="3396"/>
      <c r="BI612" s="3396"/>
      <c r="BJ612" s="3396"/>
      <c r="BK612" s="3396"/>
      <c r="BL612" s="3396"/>
      <c r="BM612" s="3396"/>
      <c r="BN612" s="3396"/>
    </row>
    <row r="613" s="687" customFormat="1" ht="15" hidden="1" customHeight="1" spans="1:66">
      <c r="A613" s="3407" t="s">
        <v>6473</v>
      </c>
      <c r="B613" s="3408"/>
      <c r="C613" s="3409"/>
      <c r="D613" s="3409"/>
      <c r="E613" s="3408"/>
      <c r="F613" s="3410"/>
      <c r="G613" s="3430"/>
      <c r="H613" s="3411">
        <f t="shared" si="12"/>
        <v>0</v>
      </c>
      <c r="I613" s="3396"/>
      <c r="J613" s="3396"/>
      <c r="K613" s="3396"/>
      <c r="L613" s="3396"/>
      <c r="M613" s="3396"/>
      <c r="N613" s="3396"/>
      <c r="O613" s="3396"/>
      <c r="P613" s="3396"/>
      <c r="Q613" s="3396"/>
      <c r="R613" s="3396"/>
      <c r="S613" s="3396"/>
      <c r="T613" s="3396"/>
      <c r="U613" s="3396"/>
      <c r="V613" s="3396"/>
      <c r="W613" s="3396"/>
      <c r="X613" s="3396"/>
      <c r="Y613" s="3396"/>
      <c r="Z613" s="3396"/>
      <c r="AA613" s="3396"/>
      <c r="AB613" s="3396"/>
      <c r="AC613" s="3396"/>
      <c r="AD613" s="3396"/>
      <c r="AE613" s="3396"/>
      <c r="AF613" s="3396"/>
      <c r="AG613" s="3396"/>
      <c r="AH613" s="3396"/>
      <c r="AI613" s="3396"/>
      <c r="AJ613" s="3396"/>
      <c r="AK613" s="3396"/>
      <c r="AL613" s="3396"/>
      <c r="AM613" s="3396"/>
      <c r="AN613" s="3396"/>
      <c r="AO613" s="3396"/>
      <c r="AP613" s="3396"/>
      <c r="AQ613" s="3396"/>
      <c r="AR613" s="3396"/>
      <c r="AS613" s="3396"/>
      <c r="AT613" s="3396"/>
      <c r="AU613" s="3396"/>
      <c r="AV613" s="3396"/>
      <c r="AW613" s="3396"/>
      <c r="AX613" s="3396"/>
      <c r="AY613" s="3396"/>
      <c r="AZ613" s="3396"/>
      <c r="BA613" s="3396"/>
      <c r="BB613" s="3396"/>
      <c r="BC613" s="3396"/>
      <c r="BD613" s="3396"/>
      <c r="BE613" s="3396"/>
      <c r="BF613" s="3396"/>
      <c r="BG613" s="3396"/>
      <c r="BH613" s="3396"/>
      <c r="BI613" s="3396"/>
      <c r="BJ613" s="3396"/>
      <c r="BK613" s="3396"/>
      <c r="BL613" s="3396"/>
      <c r="BM613" s="3396"/>
      <c r="BN613" s="3396"/>
    </row>
    <row r="614" s="687" customFormat="1" ht="15" hidden="1" customHeight="1" spans="1:66">
      <c r="A614" s="3407" t="s">
        <v>6474</v>
      </c>
      <c r="B614" s="3408"/>
      <c r="C614" s="3409"/>
      <c r="D614" s="3409"/>
      <c r="E614" s="3408"/>
      <c r="F614" s="3410"/>
      <c r="G614" s="3430"/>
      <c r="H614" s="3411">
        <f t="shared" si="12"/>
        <v>0</v>
      </c>
      <c r="I614" s="3396"/>
      <c r="J614" s="3396"/>
      <c r="K614" s="3396"/>
      <c r="L614" s="3396"/>
      <c r="M614" s="3396"/>
      <c r="N614" s="3396"/>
      <c r="O614" s="3396"/>
      <c r="P614" s="3396"/>
      <c r="Q614" s="3396"/>
      <c r="R614" s="3396"/>
      <c r="S614" s="3396"/>
      <c r="T614" s="3396"/>
      <c r="U614" s="3396"/>
      <c r="V614" s="3396"/>
      <c r="W614" s="3396"/>
      <c r="X614" s="3396"/>
      <c r="Y614" s="3396"/>
      <c r="Z614" s="3396"/>
      <c r="AA614" s="3396"/>
      <c r="AB614" s="3396"/>
      <c r="AC614" s="3396"/>
      <c r="AD614" s="3396"/>
      <c r="AE614" s="3396"/>
      <c r="AF614" s="3396"/>
      <c r="AG614" s="3396"/>
      <c r="AH614" s="3396"/>
      <c r="AI614" s="3396"/>
      <c r="AJ614" s="3396"/>
      <c r="AK614" s="3396"/>
      <c r="AL614" s="3396"/>
      <c r="AM614" s="3396"/>
      <c r="AN614" s="3396"/>
      <c r="AO614" s="3396"/>
      <c r="AP614" s="3396"/>
      <c r="AQ614" s="3396"/>
      <c r="AR614" s="3396"/>
      <c r="AS614" s="3396"/>
      <c r="AT614" s="3396"/>
      <c r="AU614" s="3396"/>
      <c r="AV614" s="3396"/>
      <c r="AW614" s="3396"/>
      <c r="AX614" s="3396"/>
      <c r="AY614" s="3396"/>
      <c r="AZ614" s="3396"/>
      <c r="BA614" s="3396"/>
      <c r="BB614" s="3396"/>
      <c r="BC614" s="3396"/>
      <c r="BD614" s="3396"/>
      <c r="BE614" s="3396"/>
      <c r="BF614" s="3396"/>
      <c r="BG614" s="3396"/>
      <c r="BH614" s="3396"/>
      <c r="BI614" s="3396"/>
      <c r="BJ614" s="3396"/>
      <c r="BK614" s="3396"/>
      <c r="BL614" s="3396"/>
      <c r="BM614" s="3396"/>
      <c r="BN614" s="3396"/>
    </row>
    <row r="615" s="687" customFormat="1" ht="15" hidden="1" customHeight="1" spans="1:66">
      <c r="A615" s="3407" t="s">
        <v>6475</v>
      </c>
      <c r="B615" s="3408"/>
      <c r="C615" s="3409"/>
      <c r="D615" s="3409"/>
      <c r="E615" s="3408"/>
      <c r="F615" s="3410"/>
      <c r="G615" s="3430"/>
      <c r="H615" s="3411">
        <f t="shared" si="12"/>
        <v>0</v>
      </c>
      <c r="I615" s="3396"/>
      <c r="J615" s="3396"/>
      <c r="K615" s="3396"/>
      <c r="L615" s="3396"/>
      <c r="M615" s="3396"/>
      <c r="N615" s="3396"/>
      <c r="O615" s="3396"/>
      <c r="P615" s="3396"/>
      <c r="Q615" s="3396"/>
      <c r="R615" s="3396"/>
      <c r="S615" s="3396"/>
      <c r="T615" s="3396"/>
      <c r="U615" s="3396"/>
      <c r="V615" s="3396"/>
      <c r="W615" s="3396"/>
      <c r="X615" s="3396"/>
      <c r="Y615" s="3396"/>
      <c r="Z615" s="3396"/>
      <c r="AA615" s="3396"/>
      <c r="AB615" s="3396"/>
      <c r="AC615" s="3396"/>
      <c r="AD615" s="3396"/>
      <c r="AE615" s="3396"/>
      <c r="AF615" s="3396"/>
      <c r="AG615" s="3396"/>
      <c r="AH615" s="3396"/>
      <c r="AI615" s="3396"/>
      <c r="AJ615" s="3396"/>
      <c r="AK615" s="3396"/>
      <c r="AL615" s="3396"/>
      <c r="AM615" s="3396"/>
      <c r="AN615" s="3396"/>
      <c r="AO615" s="3396"/>
      <c r="AP615" s="3396"/>
      <c r="AQ615" s="3396"/>
      <c r="AR615" s="3396"/>
      <c r="AS615" s="3396"/>
      <c r="AT615" s="3396"/>
      <c r="AU615" s="3396"/>
      <c r="AV615" s="3396"/>
      <c r="AW615" s="3396"/>
      <c r="AX615" s="3396"/>
      <c r="AY615" s="3396"/>
      <c r="AZ615" s="3396"/>
      <c r="BA615" s="3396"/>
      <c r="BB615" s="3396"/>
      <c r="BC615" s="3396"/>
      <c r="BD615" s="3396"/>
      <c r="BE615" s="3396"/>
      <c r="BF615" s="3396"/>
      <c r="BG615" s="3396"/>
      <c r="BH615" s="3396"/>
      <c r="BI615" s="3396"/>
      <c r="BJ615" s="3396"/>
      <c r="BK615" s="3396"/>
      <c r="BL615" s="3396"/>
      <c r="BM615" s="3396"/>
      <c r="BN615" s="3396"/>
    </row>
    <row r="616" s="687" customFormat="1" ht="15" hidden="1" customHeight="1" spans="1:66">
      <c r="A616" s="3407" t="s">
        <v>6476</v>
      </c>
      <c r="B616" s="3408"/>
      <c r="C616" s="3409"/>
      <c r="D616" s="3409"/>
      <c r="E616" s="3408"/>
      <c r="F616" s="3410"/>
      <c r="G616" s="3430"/>
      <c r="H616" s="3411">
        <f t="shared" si="12"/>
        <v>0</v>
      </c>
      <c r="I616" s="3396"/>
      <c r="J616" s="3396"/>
      <c r="K616" s="3396"/>
      <c r="L616" s="3396"/>
      <c r="M616" s="3396"/>
      <c r="N616" s="3396"/>
      <c r="O616" s="3396"/>
      <c r="P616" s="3396"/>
      <c r="Q616" s="3396"/>
      <c r="R616" s="3396"/>
      <c r="S616" s="3396"/>
      <c r="T616" s="3396"/>
      <c r="U616" s="3396"/>
      <c r="V616" s="3396"/>
      <c r="W616" s="3396"/>
      <c r="X616" s="3396"/>
      <c r="Y616" s="3396"/>
      <c r="Z616" s="3396"/>
      <c r="AA616" s="3396"/>
      <c r="AB616" s="3396"/>
      <c r="AC616" s="3396"/>
      <c r="AD616" s="3396"/>
      <c r="AE616" s="3396"/>
      <c r="AF616" s="3396"/>
      <c r="AG616" s="3396"/>
      <c r="AH616" s="3396"/>
      <c r="AI616" s="3396"/>
      <c r="AJ616" s="3396"/>
      <c r="AK616" s="3396"/>
      <c r="AL616" s="3396"/>
      <c r="AM616" s="3396"/>
      <c r="AN616" s="3396"/>
      <c r="AO616" s="3396"/>
      <c r="AP616" s="3396"/>
      <c r="AQ616" s="3396"/>
      <c r="AR616" s="3396"/>
      <c r="AS616" s="3396"/>
      <c r="AT616" s="3396"/>
      <c r="AU616" s="3396"/>
      <c r="AV616" s="3396"/>
      <c r="AW616" s="3396"/>
      <c r="AX616" s="3396"/>
      <c r="AY616" s="3396"/>
      <c r="AZ616" s="3396"/>
      <c r="BA616" s="3396"/>
      <c r="BB616" s="3396"/>
      <c r="BC616" s="3396"/>
      <c r="BD616" s="3396"/>
      <c r="BE616" s="3396"/>
      <c r="BF616" s="3396"/>
      <c r="BG616" s="3396"/>
      <c r="BH616" s="3396"/>
      <c r="BI616" s="3396"/>
      <c r="BJ616" s="3396"/>
      <c r="BK616" s="3396"/>
      <c r="BL616" s="3396"/>
      <c r="BM616" s="3396"/>
      <c r="BN616" s="3396"/>
    </row>
    <row r="617" s="687" customFormat="1" ht="15" hidden="1" customHeight="1" spans="1:66">
      <c r="A617" s="3407" t="s">
        <v>6477</v>
      </c>
      <c r="B617" s="3408"/>
      <c r="C617" s="3409"/>
      <c r="D617" s="3409"/>
      <c r="E617" s="3408"/>
      <c r="F617" s="3410"/>
      <c r="G617" s="3430"/>
      <c r="H617" s="3411">
        <f t="shared" si="12"/>
        <v>0</v>
      </c>
      <c r="I617" s="3396"/>
      <c r="J617" s="3396"/>
      <c r="K617" s="3396"/>
      <c r="L617" s="3396"/>
      <c r="M617" s="3396"/>
      <c r="N617" s="3396"/>
      <c r="O617" s="3396"/>
      <c r="P617" s="3396"/>
      <c r="Q617" s="3396"/>
      <c r="R617" s="3396"/>
      <c r="S617" s="3396"/>
      <c r="T617" s="3396"/>
      <c r="U617" s="3396"/>
      <c r="V617" s="3396"/>
      <c r="W617" s="3396"/>
      <c r="X617" s="3396"/>
      <c r="Y617" s="3396"/>
      <c r="Z617" s="3396"/>
      <c r="AA617" s="3396"/>
      <c r="AB617" s="3396"/>
      <c r="AC617" s="3396"/>
      <c r="AD617" s="3396"/>
      <c r="AE617" s="3396"/>
      <c r="AF617" s="3396"/>
      <c r="AG617" s="3396"/>
      <c r="AH617" s="3396"/>
      <c r="AI617" s="3396"/>
      <c r="AJ617" s="3396"/>
      <c r="AK617" s="3396"/>
      <c r="AL617" s="3396"/>
      <c r="AM617" s="3396"/>
      <c r="AN617" s="3396"/>
      <c r="AO617" s="3396"/>
      <c r="AP617" s="3396"/>
      <c r="AQ617" s="3396"/>
      <c r="AR617" s="3396"/>
      <c r="AS617" s="3396"/>
      <c r="AT617" s="3396"/>
      <c r="AU617" s="3396"/>
      <c r="AV617" s="3396"/>
      <c r="AW617" s="3396"/>
      <c r="AX617" s="3396"/>
      <c r="AY617" s="3396"/>
      <c r="AZ617" s="3396"/>
      <c r="BA617" s="3396"/>
      <c r="BB617" s="3396"/>
      <c r="BC617" s="3396"/>
      <c r="BD617" s="3396"/>
      <c r="BE617" s="3396"/>
      <c r="BF617" s="3396"/>
      <c r="BG617" s="3396"/>
      <c r="BH617" s="3396"/>
      <c r="BI617" s="3396"/>
      <c r="BJ617" s="3396"/>
      <c r="BK617" s="3396"/>
      <c r="BL617" s="3396"/>
      <c r="BM617" s="3396"/>
      <c r="BN617" s="3396"/>
    </row>
    <row r="618" s="687" customFormat="1" ht="15" hidden="1" customHeight="1" spans="1:66">
      <c r="A618" s="3407" t="s">
        <v>6478</v>
      </c>
      <c r="B618" s="3408"/>
      <c r="C618" s="3409"/>
      <c r="D618" s="3409"/>
      <c r="E618" s="3408"/>
      <c r="F618" s="3410"/>
      <c r="G618" s="3430"/>
      <c r="H618" s="3411">
        <f t="shared" si="12"/>
        <v>0</v>
      </c>
      <c r="I618" s="3396"/>
      <c r="J618" s="3396"/>
      <c r="K618" s="3396"/>
      <c r="L618" s="3396"/>
      <c r="M618" s="3396"/>
      <c r="N618" s="3396"/>
      <c r="O618" s="3396"/>
      <c r="P618" s="3396"/>
      <c r="Q618" s="3396"/>
      <c r="R618" s="3396"/>
      <c r="S618" s="3396"/>
      <c r="T618" s="3396"/>
      <c r="U618" s="3396"/>
      <c r="V618" s="3396"/>
      <c r="W618" s="3396"/>
      <c r="X618" s="3396"/>
      <c r="Y618" s="3396"/>
      <c r="Z618" s="3396"/>
      <c r="AA618" s="3396"/>
      <c r="AB618" s="3396"/>
      <c r="AC618" s="3396"/>
      <c r="AD618" s="3396"/>
      <c r="AE618" s="3396"/>
      <c r="AF618" s="3396"/>
      <c r="AG618" s="3396"/>
      <c r="AH618" s="3396"/>
      <c r="AI618" s="3396"/>
      <c r="AJ618" s="3396"/>
      <c r="AK618" s="3396"/>
      <c r="AL618" s="3396"/>
      <c r="AM618" s="3396"/>
      <c r="AN618" s="3396"/>
      <c r="AO618" s="3396"/>
      <c r="AP618" s="3396"/>
      <c r="AQ618" s="3396"/>
      <c r="AR618" s="3396"/>
      <c r="AS618" s="3396"/>
      <c r="AT618" s="3396"/>
      <c r="AU618" s="3396"/>
      <c r="AV618" s="3396"/>
      <c r="AW618" s="3396"/>
      <c r="AX618" s="3396"/>
      <c r="AY618" s="3396"/>
      <c r="AZ618" s="3396"/>
      <c r="BA618" s="3396"/>
      <c r="BB618" s="3396"/>
      <c r="BC618" s="3396"/>
      <c r="BD618" s="3396"/>
      <c r="BE618" s="3396"/>
      <c r="BF618" s="3396"/>
      <c r="BG618" s="3396"/>
      <c r="BH618" s="3396"/>
      <c r="BI618" s="3396"/>
      <c r="BJ618" s="3396"/>
      <c r="BK618" s="3396"/>
      <c r="BL618" s="3396"/>
      <c r="BM618" s="3396"/>
      <c r="BN618" s="3396"/>
    </row>
    <row r="619" s="687" customFormat="1" ht="17.25" customHeight="1" spans="1:66">
      <c r="A619" s="3413" t="s">
        <v>6481</v>
      </c>
      <c r="B619" s="3417"/>
      <c r="C619" s="3415" t="s">
        <v>4671</v>
      </c>
      <c r="D619" s="3417"/>
      <c r="E619" s="3417"/>
      <c r="F619" s="3416">
        <f>SUM(F419:F618)</f>
        <v>0</v>
      </c>
      <c r="G619" s="3431">
        <f>SUM(G419:G618)</f>
        <v>0</v>
      </c>
      <c r="H619" s="3416">
        <f>SUM(H419:H618)</f>
        <v>0</v>
      </c>
      <c r="I619" s="3396"/>
      <c r="J619" s="3396"/>
      <c r="K619" s="3396"/>
      <c r="L619" s="3396"/>
      <c r="M619" s="3396"/>
      <c r="N619" s="3396"/>
      <c r="O619" s="3396"/>
      <c r="P619" s="3396"/>
      <c r="Q619" s="3396"/>
      <c r="R619" s="3396"/>
      <c r="S619" s="3396"/>
      <c r="T619" s="3396"/>
      <c r="U619" s="3396"/>
      <c r="V619" s="3396"/>
      <c r="W619" s="3396"/>
      <c r="X619" s="3396"/>
      <c r="Y619" s="3396"/>
      <c r="Z619" s="3396"/>
      <c r="AA619" s="3396"/>
      <c r="AB619" s="3396"/>
      <c r="AC619" s="3396"/>
      <c r="AD619" s="3396"/>
      <c r="AE619" s="3396"/>
      <c r="AF619" s="3396"/>
      <c r="AG619" s="3396"/>
      <c r="AH619" s="3396"/>
      <c r="AI619" s="3396"/>
      <c r="AJ619" s="3396"/>
      <c r="AK619" s="3396"/>
      <c r="AL619" s="3396"/>
      <c r="AM619" s="3396"/>
      <c r="AN619" s="3396"/>
      <c r="AO619" s="3396"/>
      <c r="AP619" s="3396"/>
      <c r="AQ619" s="3396"/>
      <c r="AR619" s="3396"/>
      <c r="AS619" s="3396"/>
      <c r="AT619" s="3396"/>
      <c r="AU619" s="3396"/>
      <c r="AV619" s="3396"/>
      <c r="AW619" s="3396"/>
      <c r="AX619" s="3396"/>
      <c r="AY619" s="3396"/>
      <c r="AZ619" s="3396"/>
      <c r="BA619" s="3396"/>
      <c r="BB619" s="3396"/>
      <c r="BC619" s="3396"/>
      <c r="BD619" s="3396"/>
      <c r="BE619" s="3396"/>
      <c r="BF619" s="3396"/>
      <c r="BG619" s="3396"/>
      <c r="BH619" s="3396"/>
      <c r="BI619" s="3396"/>
      <c r="BJ619" s="3396"/>
      <c r="BK619" s="3396"/>
      <c r="BL619" s="3396"/>
      <c r="BM619" s="3396"/>
      <c r="BN619" s="3396"/>
    </row>
    <row r="620" s="687" customFormat="1" ht="21" customHeight="1" spans="1:66">
      <c r="A620" s="3396"/>
      <c r="B620" s="3396"/>
      <c r="C620" s="3396"/>
      <c r="D620" s="3396"/>
      <c r="E620" s="3396"/>
      <c r="F620" s="3396"/>
      <c r="G620" s="3396"/>
      <c r="H620" s="3396"/>
      <c r="I620" s="3396"/>
      <c r="J620" s="3396"/>
      <c r="K620" s="3396"/>
      <c r="L620" s="3396"/>
      <c r="M620" s="3396"/>
      <c r="N620" s="3396"/>
      <c r="O620" s="3396"/>
      <c r="P620" s="3396"/>
      <c r="Q620" s="3396"/>
      <c r="R620" s="3396"/>
      <c r="S620" s="3396"/>
      <c r="T620" s="3396"/>
      <c r="U620" s="3396"/>
      <c r="V620" s="3396"/>
      <c r="W620" s="3396"/>
      <c r="X620" s="3396"/>
      <c r="Y620" s="3396"/>
      <c r="Z620" s="3396"/>
      <c r="AA620" s="3396"/>
      <c r="AB620" s="3396"/>
      <c r="AC620" s="3396"/>
      <c r="AD620" s="3396"/>
      <c r="AE620" s="3396"/>
      <c r="AF620" s="3396"/>
      <c r="AG620" s="3396"/>
      <c r="AH620" s="3396"/>
      <c r="AI620" s="3396"/>
      <c r="AJ620" s="3396"/>
      <c r="AK620" s="3396"/>
      <c r="AL620" s="3396"/>
      <c r="AM620" s="3396"/>
      <c r="AN620" s="3396"/>
      <c r="AO620" s="3396"/>
      <c r="AP620" s="3396"/>
      <c r="AQ620" s="3396"/>
      <c r="AR620" s="3396"/>
      <c r="AS620" s="3396"/>
      <c r="AT620" s="3396"/>
      <c r="AU620" s="3396"/>
      <c r="AV620" s="3396"/>
      <c r="AW620" s="3396"/>
      <c r="AX620" s="3396"/>
      <c r="AY620" s="3396"/>
      <c r="AZ620" s="3396"/>
      <c r="BA620" s="3396"/>
      <c r="BB620" s="3396"/>
      <c r="BC620" s="3396"/>
      <c r="BD620" s="3396"/>
      <c r="BE620" s="3396"/>
      <c r="BF620" s="3396"/>
      <c r="BG620" s="3396"/>
      <c r="BH620" s="3396"/>
      <c r="BI620" s="3396"/>
      <c r="BJ620" s="3396"/>
      <c r="BK620" s="3396"/>
      <c r="BL620" s="3396"/>
      <c r="BM620" s="3396"/>
      <c r="BN620" s="3396"/>
    </row>
    <row r="621" s="799" customFormat="1" ht="18.75" customHeight="1" spans="1:66">
      <c r="A621" s="3432"/>
      <c r="B621" s="3432"/>
      <c r="C621" s="3432"/>
      <c r="D621" s="3432"/>
      <c r="E621" s="3433" t="str">
        <f>"Obračunati porez za ranija oslobađanja "&amp;UnosPorBilans!Y18&amp;"%"</f>
        <v>Obračunati porez za ranija oslobađanja 10%</v>
      </c>
      <c r="F621" s="3433"/>
      <c r="G621" s="3433"/>
      <c r="H621" s="3434">
        <f>ROUND(H619*UnosPorBilans!Y18/100,2)</f>
        <v>0</v>
      </c>
      <c r="I621" s="3435"/>
      <c r="J621" s="3435"/>
      <c r="K621" s="3435"/>
      <c r="L621" s="3435"/>
      <c r="M621" s="3435"/>
      <c r="N621" s="3435"/>
      <c r="O621" s="3435"/>
      <c r="P621" s="3435"/>
      <c r="Q621" s="3435"/>
      <c r="R621" s="3435"/>
      <c r="S621" s="3435"/>
      <c r="T621" s="3435"/>
      <c r="U621" s="3435"/>
      <c r="V621" s="3435"/>
      <c r="W621" s="3435"/>
      <c r="X621" s="3435"/>
      <c r="Y621" s="3435"/>
      <c r="Z621" s="3435"/>
      <c r="AA621" s="3435"/>
      <c r="AB621" s="3435"/>
      <c r="AC621" s="3435"/>
      <c r="AD621" s="3435"/>
      <c r="AE621" s="3435"/>
      <c r="AF621" s="3435"/>
      <c r="AG621" s="3435"/>
      <c r="AH621" s="3435"/>
      <c r="AI621" s="3435"/>
      <c r="AJ621" s="3435"/>
      <c r="AK621" s="3435"/>
      <c r="AL621" s="3435"/>
      <c r="AM621" s="3435"/>
      <c r="AN621" s="3435"/>
      <c r="AO621" s="3435"/>
      <c r="AP621" s="3435"/>
      <c r="AQ621" s="3435"/>
      <c r="AR621" s="3435"/>
      <c r="AS621" s="3435"/>
      <c r="AT621" s="3435"/>
      <c r="AU621" s="3435"/>
      <c r="AV621" s="3435"/>
      <c r="AW621" s="3435"/>
      <c r="AX621" s="3435"/>
      <c r="AY621" s="3435"/>
      <c r="AZ621" s="3435"/>
      <c r="BA621" s="3435"/>
      <c r="BB621" s="3435"/>
      <c r="BC621" s="3435"/>
      <c r="BD621" s="3435"/>
      <c r="BE621" s="3435"/>
      <c r="BF621" s="3435"/>
      <c r="BG621" s="3435"/>
      <c r="BH621" s="3435"/>
      <c r="BI621" s="3435"/>
      <c r="BJ621" s="3435"/>
      <c r="BK621" s="3435"/>
      <c r="BL621" s="3435"/>
      <c r="BM621" s="3435"/>
      <c r="BN621" s="3435"/>
    </row>
    <row r="622" s="799" customFormat="1" ht="18.75" customHeight="1" spans="1:66">
      <c r="A622" s="3432"/>
      <c r="B622" s="3432"/>
      <c r="C622" s="3432"/>
      <c r="D622" s="3435"/>
      <c r="E622" s="3435"/>
      <c r="F622" s="3435"/>
      <c r="G622" s="3436" t="s">
        <v>5978</v>
      </c>
      <c r="H622" s="3435"/>
      <c r="I622" s="3435"/>
      <c r="J622" s="3435"/>
      <c r="K622" s="3435"/>
      <c r="L622" s="3435"/>
      <c r="M622" s="3435"/>
      <c r="N622" s="3435"/>
      <c r="O622" s="3435"/>
      <c r="P622" s="3435"/>
      <c r="Q622" s="3435"/>
      <c r="R622" s="3435"/>
      <c r="S622" s="3435"/>
      <c r="T622" s="3435"/>
      <c r="U622" s="3435"/>
      <c r="V622" s="3435"/>
      <c r="W622" s="3435"/>
      <c r="X622" s="3435"/>
      <c r="Y622" s="3435"/>
      <c r="Z622" s="3435"/>
      <c r="AA622" s="3435"/>
      <c r="AB622" s="3435"/>
      <c r="AC622" s="3435"/>
      <c r="AD622" s="3435"/>
      <c r="AE622" s="3435"/>
      <c r="AF622" s="3435"/>
      <c r="AG622" s="3435"/>
      <c r="AH622" s="3435"/>
      <c r="AI622" s="3435"/>
      <c r="AJ622" s="3435"/>
      <c r="AK622" s="3435"/>
      <c r="AL622" s="3435"/>
      <c r="AM622" s="3435"/>
      <c r="AN622" s="3435"/>
      <c r="AO622" s="3435"/>
      <c r="AP622" s="3435"/>
      <c r="AQ622" s="3435"/>
      <c r="AR622" s="3435"/>
      <c r="AS622" s="3435"/>
      <c r="AT622" s="3435"/>
      <c r="AU622" s="3435"/>
      <c r="AV622" s="3435"/>
      <c r="AW622" s="3435"/>
      <c r="AX622" s="3435"/>
      <c r="AY622" s="3435"/>
      <c r="AZ622" s="3435"/>
      <c r="BA622" s="3435"/>
      <c r="BB622" s="3435"/>
      <c r="BC622" s="3435"/>
      <c r="BD622" s="3435"/>
      <c r="BE622" s="3435"/>
      <c r="BF622" s="3435"/>
      <c r="BG622" s="3435"/>
      <c r="BH622" s="3435"/>
      <c r="BI622" s="3435"/>
      <c r="BJ622" s="3435"/>
      <c r="BK622" s="3435"/>
      <c r="BL622" s="3435"/>
      <c r="BM622" s="3435"/>
      <c r="BN622" s="3435"/>
    </row>
    <row r="623" s="799" customFormat="1" ht="18.75" customHeight="1" spans="1:66">
      <c r="A623" s="3432"/>
      <c r="B623" s="3432"/>
      <c r="C623" s="3432"/>
      <c r="D623" s="3432"/>
      <c r="E623" s="3437" t="str">
        <f>IspravkaNovoZap!AA216</f>
        <v>Broj dana za obračun zatezne kamate</v>
      </c>
      <c r="F623" s="3437"/>
      <c r="G623" s="3438"/>
      <c r="H623" s="3439">
        <v>365</v>
      </c>
      <c r="I623" s="3435"/>
      <c r="J623" s="3435"/>
      <c r="K623" s="3435"/>
      <c r="L623" s="3435"/>
      <c r="M623" s="3435"/>
      <c r="N623" s="3435"/>
      <c r="O623" s="3435"/>
      <c r="P623" s="3435"/>
      <c r="Q623" s="3435"/>
      <c r="R623" s="3435"/>
      <c r="S623" s="3435"/>
      <c r="T623" s="3435"/>
      <c r="U623" s="3435"/>
      <c r="V623" s="3435"/>
      <c r="W623" s="3435"/>
      <c r="X623" s="3435"/>
      <c r="Y623" s="3435"/>
      <c r="Z623" s="3435"/>
      <c r="AA623" s="3435"/>
      <c r="AB623" s="3435"/>
      <c r="AC623" s="3435"/>
      <c r="AD623" s="3435"/>
      <c r="AE623" s="3435"/>
      <c r="AF623" s="3435"/>
      <c r="AG623" s="3435"/>
      <c r="AH623" s="3435"/>
      <c r="AI623" s="3435"/>
      <c r="AJ623" s="3435"/>
      <c r="AK623" s="3435"/>
      <c r="AL623" s="3435"/>
      <c r="AM623" s="3435"/>
      <c r="AN623" s="3435"/>
      <c r="AO623" s="3435"/>
      <c r="AP623" s="3435"/>
      <c r="AQ623" s="3435"/>
      <c r="AR623" s="3435"/>
      <c r="AS623" s="3435"/>
      <c r="AT623" s="3435"/>
      <c r="AU623" s="3435"/>
      <c r="AV623" s="3435"/>
      <c r="AW623" s="3435"/>
      <c r="AX623" s="3435"/>
      <c r="AY623" s="3435"/>
      <c r="AZ623" s="3435"/>
      <c r="BA623" s="3435"/>
      <c r="BB623" s="3435"/>
      <c r="BC623" s="3435"/>
      <c r="BD623" s="3435"/>
      <c r="BE623" s="3435"/>
      <c r="BF623" s="3435"/>
      <c r="BG623" s="3435"/>
      <c r="BH623" s="3435"/>
      <c r="BI623" s="3435"/>
      <c r="BJ623" s="3435"/>
      <c r="BK623" s="3435"/>
      <c r="BL623" s="3435"/>
      <c r="BM623" s="3435"/>
      <c r="BN623" s="3435"/>
    </row>
    <row r="624" s="799" customFormat="1" ht="18.75" customHeight="1" spans="1:66">
      <c r="A624" s="3432"/>
      <c r="B624" s="3432"/>
      <c r="C624" s="3432"/>
      <c r="D624" s="3432"/>
      <c r="E624" s="3440" t="s">
        <v>6486</v>
      </c>
      <c r="F624" s="3440"/>
      <c r="G624" s="3441"/>
      <c r="H624" s="3442">
        <v>0.0004</v>
      </c>
      <c r="I624" s="3435"/>
      <c r="J624" s="3435"/>
      <c r="K624" s="3435"/>
      <c r="L624" s="3435"/>
      <c r="M624" s="3435"/>
      <c r="N624" s="3435"/>
      <c r="O624" s="3435"/>
      <c r="P624" s="3435"/>
      <c r="Q624" s="3435"/>
      <c r="R624" s="3435"/>
      <c r="S624" s="3435"/>
      <c r="T624" s="3435"/>
      <c r="U624" s="3435"/>
      <c r="V624" s="3435"/>
      <c r="W624" s="3435"/>
      <c r="X624" s="3435"/>
      <c r="Y624" s="3435"/>
      <c r="Z624" s="3435"/>
      <c r="AA624" s="3435"/>
      <c r="AB624" s="3435"/>
      <c r="AC624" s="3435"/>
      <c r="AD624" s="3435"/>
      <c r="AE624" s="3435"/>
      <c r="AF624" s="3435"/>
      <c r="AG624" s="3435"/>
      <c r="AH624" s="3435"/>
      <c r="AI624" s="3435"/>
      <c r="AJ624" s="3435"/>
      <c r="AK624" s="3435"/>
      <c r="AL624" s="3435"/>
      <c r="AM624" s="3435"/>
      <c r="AN624" s="3435"/>
      <c r="AO624" s="3435"/>
      <c r="AP624" s="3435"/>
      <c r="AQ624" s="3435"/>
      <c r="AR624" s="3435"/>
      <c r="AS624" s="3435"/>
      <c r="AT624" s="3435"/>
      <c r="AU624" s="3435"/>
      <c r="AV624" s="3435"/>
      <c r="AW624" s="3435"/>
      <c r="AX624" s="3435"/>
      <c r="AY624" s="3435"/>
      <c r="AZ624" s="3435"/>
      <c r="BA624" s="3435"/>
      <c r="BB624" s="3435"/>
      <c r="BC624" s="3435"/>
      <c r="BD624" s="3435"/>
      <c r="BE624" s="3435"/>
      <c r="BF624" s="3435"/>
      <c r="BG624" s="3435"/>
      <c r="BH624" s="3435"/>
      <c r="BI624" s="3435"/>
      <c r="BJ624" s="3435"/>
      <c r="BK624" s="3435"/>
      <c r="BL624" s="3435"/>
      <c r="BM624" s="3435"/>
      <c r="BN624" s="3435"/>
    </row>
    <row r="625" s="2" customFormat="1" ht="18.75" customHeight="1" spans="1:66">
      <c r="A625" s="3435"/>
      <c r="B625" s="3435"/>
      <c r="C625" s="3435"/>
      <c r="D625" s="3435"/>
      <c r="E625" s="3443" t="s">
        <v>6487</v>
      </c>
      <c r="F625" s="3443"/>
      <c r="G625" s="3444"/>
      <c r="H625" s="3434">
        <f>ROUND(H621*H624*H623,0)</f>
        <v>0</v>
      </c>
      <c r="I625" s="3435"/>
      <c r="J625" s="3435"/>
      <c r="K625" s="3435"/>
      <c r="L625" s="3435"/>
      <c r="M625" s="3435"/>
      <c r="N625" s="3435"/>
      <c r="O625" s="3435"/>
      <c r="P625" s="3435"/>
      <c r="Q625" s="3435"/>
      <c r="R625" s="3435"/>
      <c r="S625" s="3435"/>
      <c r="T625" s="3435"/>
      <c r="U625" s="3435"/>
      <c r="V625" s="3435"/>
      <c r="W625" s="3435"/>
      <c r="X625" s="3435"/>
      <c r="Y625" s="3435"/>
      <c r="Z625" s="3435"/>
      <c r="AA625" s="3435"/>
      <c r="AB625" s="3435"/>
      <c r="AC625" s="3435"/>
      <c r="AD625" s="3435"/>
      <c r="AE625" s="3435"/>
      <c r="AF625" s="3435"/>
      <c r="AG625" s="3435"/>
      <c r="AH625" s="3435"/>
      <c r="AI625" s="3435"/>
      <c r="AJ625" s="3435"/>
      <c r="AK625" s="3435"/>
      <c r="AL625" s="3435"/>
      <c r="AM625" s="3435"/>
      <c r="AN625" s="3435"/>
      <c r="AO625" s="3435"/>
      <c r="AP625" s="3435"/>
      <c r="AQ625" s="3435"/>
      <c r="AR625" s="3435"/>
      <c r="AS625" s="3435"/>
      <c r="AT625" s="3435"/>
      <c r="AU625" s="3435"/>
      <c r="AV625" s="3435"/>
      <c r="AW625" s="3435"/>
      <c r="AX625" s="3435"/>
      <c r="AY625" s="3435"/>
      <c r="AZ625" s="3435"/>
      <c r="BA625" s="3435"/>
      <c r="BB625" s="3435"/>
      <c r="BC625" s="3435"/>
      <c r="BD625" s="3435"/>
      <c r="BE625" s="3435"/>
      <c r="BF625" s="3435"/>
      <c r="BG625" s="3435"/>
      <c r="BH625" s="3435"/>
      <c r="BI625" s="3435"/>
      <c r="BJ625" s="3435"/>
      <c r="BK625" s="3435"/>
      <c r="BL625" s="3435"/>
      <c r="BM625" s="3435"/>
      <c r="BN625" s="3435"/>
    </row>
    <row r="626" spans="1:66">
      <c r="A626" s="3396"/>
      <c r="B626" s="3396"/>
      <c r="C626" s="3396"/>
      <c r="D626" s="3396"/>
      <c r="E626" s="3396"/>
      <c r="F626" s="3396"/>
      <c r="G626" s="3396"/>
      <c r="H626" s="3396"/>
      <c r="I626" s="3396"/>
      <c r="J626" s="3396"/>
      <c r="K626" s="3396"/>
      <c r="L626" s="3396"/>
      <c r="M626" s="3396"/>
      <c r="N626" s="3396"/>
      <c r="O626" s="3396"/>
      <c r="P626" s="3396"/>
      <c r="Q626" s="3396"/>
      <c r="R626" s="3396"/>
      <c r="S626" s="3396"/>
      <c r="T626" s="3396"/>
      <c r="U626" s="3396"/>
      <c r="V626" s="3396"/>
      <c r="W626" s="3396"/>
      <c r="X626" s="3396"/>
      <c r="Y626" s="3396"/>
      <c r="Z626" s="3396"/>
      <c r="AA626" s="3396"/>
      <c r="AB626" s="3396"/>
      <c r="AC626" s="3396"/>
      <c r="AD626" s="3396"/>
      <c r="AE626" s="3396"/>
      <c r="AF626" s="3396"/>
      <c r="AG626" s="3396"/>
      <c r="AH626" s="3396"/>
      <c r="AI626" s="3396"/>
      <c r="AJ626" s="3396"/>
      <c r="AK626" s="3396"/>
      <c r="AL626" s="3396"/>
      <c r="AM626" s="3396"/>
      <c r="AN626" s="3396"/>
      <c r="AO626" s="3396"/>
      <c r="AP626" s="3396"/>
      <c r="AQ626" s="3396"/>
      <c r="AR626" s="3396"/>
      <c r="AS626" s="3396"/>
      <c r="AT626" s="3396"/>
      <c r="AU626" s="3396"/>
      <c r="AV626" s="3396"/>
      <c r="AW626" s="3396"/>
      <c r="AX626" s="3396"/>
      <c r="AY626" s="3396"/>
      <c r="AZ626" s="3396"/>
      <c r="BA626" s="3396"/>
      <c r="BB626" s="3396"/>
      <c r="BC626" s="3396"/>
      <c r="BD626" s="3396"/>
      <c r="BE626" s="3396"/>
      <c r="BF626" s="3396"/>
      <c r="BG626" s="3396"/>
      <c r="BH626" s="3396"/>
      <c r="BI626" s="3396"/>
      <c r="BJ626" s="3396"/>
      <c r="BK626" s="3396"/>
      <c r="BL626" s="3396"/>
      <c r="BM626" s="3396"/>
      <c r="BN626" s="3396"/>
    </row>
    <row r="627" spans="1:66">
      <c r="A627" s="3396"/>
      <c r="B627" s="3396"/>
      <c r="C627" s="3396"/>
      <c r="D627" s="3396"/>
      <c r="E627" s="3396"/>
      <c r="F627" s="3396"/>
      <c r="G627" s="3396"/>
      <c r="H627" s="3396"/>
      <c r="I627" s="3396"/>
      <c r="J627" s="3396"/>
      <c r="K627" s="3396"/>
      <c r="L627" s="3396"/>
      <c r="M627" s="3396"/>
      <c r="N627" s="3396"/>
      <c r="O627" s="3396"/>
      <c r="P627" s="3396"/>
      <c r="Q627" s="3396"/>
      <c r="R627" s="3396"/>
      <c r="S627" s="3396"/>
      <c r="T627" s="3396"/>
      <c r="U627" s="3396"/>
      <c r="V627" s="3396"/>
      <c r="W627" s="3396"/>
      <c r="X627" s="3396"/>
      <c r="Y627" s="3396"/>
      <c r="Z627" s="3396"/>
      <c r="AA627" s="3396"/>
      <c r="AB627" s="3396"/>
      <c r="AC627" s="3396"/>
      <c r="AD627" s="3396"/>
      <c r="AE627" s="3396"/>
      <c r="AF627" s="3396"/>
      <c r="AG627" s="3396"/>
      <c r="AH627" s="3396"/>
      <c r="AI627" s="3396"/>
      <c r="AJ627" s="3396"/>
      <c r="AK627" s="3396"/>
      <c r="AL627" s="3396"/>
      <c r="AM627" s="3396"/>
      <c r="AN627" s="3396"/>
      <c r="AO627" s="3396"/>
      <c r="AP627" s="3396"/>
      <c r="AQ627" s="3396"/>
      <c r="AR627" s="3396"/>
      <c r="AS627" s="3396"/>
      <c r="AT627" s="3396"/>
      <c r="AU627" s="3396"/>
      <c r="AV627" s="3396"/>
      <c r="AW627" s="3396"/>
      <c r="AX627" s="3396"/>
      <c r="AY627" s="3396"/>
      <c r="AZ627" s="3396"/>
      <c r="BA627" s="3396"/>
      <c r="BB627" s="3396"/>
      <c r="BC627" s="3396"/>
      <c r="BD627" s="3396"/>
      <c r="BE627" s="3396"/>
      <c r="BF627" s="3396"/>
      <c r="BG627" s="3396"/>
      <c r="BH627" s="3396"/>
      <c r="BI627" s="3396"/>
      <c r="BJ627" s="3396"/>
      <c r="BK627" s="3396"/>
      <c r="BL627" s="3396"/>
      <c r="BM627" s="3396"/>
      <c r="BN627" s="3396"/>
    </row>
    <row r="628" spans="1:66">
      <c r="A628" s="3396"/>
      <c r="B628" s="3396"/>
      <c r="C628" s="3396"/>
      <c r="D628" s="3396"/>
      <c r="E628" s="3396"/>
      <c r="F628" s="3396"/>
      <c r="G628" s="3396"/>
      <c r="H628" s="3396"/>
      <c r="I628" s="3396"/>
      <c r="J628" s="3396"/>
      <c r="K628" s="3396"/>
      <c r="L628" s="3396"/>
      <c r="M628" s="3396"/>
      <c r="N628" s="3396"/>
      <c r="O628" s="3396"/>
      <c r="P628" s="3396"/>
      <c r="Q628" s="3396"/>
      <c r="R628" s="3396"/>
      <c r="S628" s="3396"/>
      <c r="T628" s="3396"/>
      <c r="U628" s="3396"/>
      <c r="V628" s="3396"/>
      <c r="W628" s="3396"/>
      <c r="X628" s="3396"/>
      <c r="Y628" s="3396"/>
      <c r="Z628" s="3396"/>
      <c r="AA628" s="3396"/>
      <c r="AB628" s="3396"/>
      <c r="AC628" s="3396"/>
      <c r="AD628" s="3396"/>
      <c r="AE628" s="3396"/>
      <c r="AF628" s="3396"/>
      <c r="AG628" s="3396"/>
      <c r="AH628" s="3396"/>
      <c r="AI628" s="3396"/>
      <c r="AJ628" s="3396"/>
      <c r="AK628" s="3396"/>
      <c r="AL628" s="3396"/>
      <c r="AM628" s="3396"/>
      <c r="AN628" s="3396"/>
      <c r="AO628" s="3396"/>
      <c r="AP628" s="3396"/>
      <c r="AQ628" s="3396"/>
      <c r="AR628" s="3396"/>
      <c r="AS628" s="3396"/>
      <c r="AT628" s="3396"/>
      <c r="AU628" s="3396"/>
      <c r="AV628" s="3396"/>
      <c r="AW628" s="3396"/>
      <c r="AX628" s="3396"/>
      <c r="AY628" s="3396"/>
      <c r="AZ628" s="3396"/>
      <c r="BA628" s="3396"/>
      <c r="BB628" s="3396"/>
      <c r="BC628" s="3396"/>
      <c r="BD628" s="3396"/>
      <c r="BE628" s="3396"/>
      <c r="BF628" s="3396"/>
      <c r="BG628" s="3396"/>
      <c r="BH628" s="3396"/>
      <c r="BI628" s="3396"/>
      <c r="BJ628" s="3396"/>
      <c r="BK628" s="3396"/>
      <c r="BL628" s="3396"/>
      <c r="BM628" s="3396"/>
      <c r="BN628" s="3396"/>
    </row>
    <row r="629" spans="1:66">
      <c r="A629" s="3396"/>
      <c r="B629" s="3396"/>
      <c r="C629" s="3396"/>
      <c r="D629" s="3396"/>
      <c r="E629" s="3396"/>
      <c r="F629" s="3396"/>
      <c r="G629" s="3396"/>
      <c r="H629" s="3396"/>
      <c r="I629" s="3396"/>
      <c r="J629" s="3396"/>
      <c r="K629" s="3396"/>
      <c r="L629" s="3396"/>
      <c r="M629" s="3396"/>
      <c r="N629" s="3396"/>
      <c r="O629" s="3396"/>
      <c r="P629" s="3396"/>
      <c r="Q629" s="3396"/>
      <c r="R629" s="3396"/>
      <c r="S629" s="3396"/>
      <c r="T629" s="3396"/>
      <c r="U629" s="3396"/>
      <c r="V629" s="3396"/>
      <c r="W629" s="3396"/>
      <c r="X629" s="3396"/>
      <c r="Y629" s="3396"/>
      <c r="Z629" s="3396"/>
      <c r="AA629" s="3396"/>
      <c r="AB629" s="3396"/>
      <c r="AC629" s="3396"/>
      <c r="AD629" s="3396"/>
      <c r="AE629" s="3396"/>
      <c r="AF629" s="3396"/>
      <c r="AG629" s="3396"/>
      <c r="AH629" s="3396"/>
      <c r="AI629" s="3396"/>
      <c r="AJ629" s="3396"/>
      <c r="AK629" s="3396"/>
      <c r="AL629" s="3396"/>
      <c r="AM629" s="3396"/>
      <c r="AN629" s="3396"/>
      <c r="AO629" s="3396"/>
      <c r="AP629" s="3396"/>
      <c r="AQ629" s="3396"/>
      <c r="AR629" s="3396"/>
      <c r="AS629" s="3396"/>
      <c r="AT629" s="3396"/>
      <c r="AU629" s="3396"/>
      <c r="AV629" s="3396"/>
      <c r="AW629" s="3396"/>
      <c r="AX629" s="3396"/>
      <c r="AY629" s="3396"/>
      <c r="AZ629" s="3396"/>
      <c r="BA629" s="3396"/>
      <c r="BB629" s="3396"/>
      <c r="BC629" s="3396"/>
      <c r="BD629" s="3396"/>
      <c r="BE629" s="3396"/>
      <c r="BF629" s="3396"/>
      <c r="BG629" s="3396"/>
      <c r="BH629" s="3396"/>
      <c r="BI629" s="3396"/>
      <c r="BJ629" s="3396"/>
      <c r="BK629" s="3396"/>
      <c r="BL629" s="3396"/>
      <c r="BM629" s="3396"/>
      <c r="BN629" s="3396"/>
    </row>
    <row r="630" spans="1:66">
      <c r="A630" s="3396"/>
      <c r="B630" s="3396"/>
      <c r="C630" s="3396"/>
      <c r="D630" s="3396"/>
      <c r="E630" s="3396"/>
      <c r="F630" s="3396"/>
      <c r="G630" s="3396"/>
      <c r="H630" s="3396"/>
      <c r="I630" s="3396"/>
      <c r="J630" s="3396"/>
      <c r="K630" s="3396"/>
      <c r="L630" s="3396"/>
      <c r="M630" s="3396"/>
      <c r="N630" s="3396"/>
      <c r="O630" s="3396"/>
      <c r="P630" s="3396"/>
      <c r="Q630" s="3396"/>
      <c r="R630" s="3396"/>
      <c r="S630" s="3396"/>
      <c r="T630" s="3396"/>
      <c r="U630" s="3396"/>
      <c r="V630" s="3396"/>
      <c r="W630" s="3396"/>
      <c r="X630" s="3396"/>
      <c r="Y630" s="3396"/>
      <c r="Z630" s="3396"/>
      <c r="AA630" s="3396"/>
      <c r="AB630" s="3396"/>
      <c r="AC630" s="3396"/>
      <c r="AD630" s="3396"/>
      <c r="AE630" s="3396"/>
      <c r="AF630" s="3396"/>
      <c r="AG630" s="3396"/>
      <c r="AH630" s="3396"/>
      <c r="AI630" s="3396"/>
      <c r="AJ630" s="3396"/>
      <c r="AK630" s="3396"/>
      <c r="AL630" s="3396"/>
      <c r="AM630" s="3396"/>
      <c r="AN630" s="3396"/>
      <c r="AO630" s="3396"/>
      <c r="AP630" s="3396"/>
      <c r="AQ630" s="3396"/>
      <c r="AR630" s="3396"/>
      <c r="AS630" s="3396"/>
      <c r="AT630" s="3396"/>
      <c r="AU630" s="3396"/>
      <c r="AV630" s="3396"/>
      <c r="AW630" s="3396"/>
      <c r="AX630" s="3396"/>
      <c r="AY630" s="3396"/>
      <c r="AZ630" s="3396"/>
      <c r="BA630" s="3396"/>
      <c r="BB630" s="3396"/>
      <c r="BC630" s="3396"/>
      <c r="BD630" s="3396"/>
      <c r="BE630" s="3396"/>
      <c r="BF630" s="3396"/>
      <c r="BG630" s="3396"/>
      <c r="BH630" s="3396"/>
      <c r="BI630" s="3396"/>
      <c r="BJ630" s="3396"/>
      <c r="BK630" s="3396"/>
      <c r="BL630" s="3396"/>
      <c r="BM630" s="3396"/>
      <c r="BN630" s="3396"/>
    </row>
    <row r="631" spans="1:66">
      <c r="A631" s="3396"/>
      <c r="B631" s="3396"/>
      <c r="C631" s="3396"/>
      <c r="D631" s="3396"/>
      <c r="E631" s="3396"/>
      <c r="F631" s="3396"/>
      <c r="G631" s="3396"/>
      <c r="H631" s="3396"/>
      <c r="I631" s="3396"/>
      <c r="J631" s="3396"/>
      <c r="K631" s="3396"/>
      <c r="L631" s="3396"/>
      <c r="M631" s="3396"/>
      <c r="N631" s="3396"/>
      <c r="O631" s="3396"/>
      <c r="P631" s="3396"/>
      <c r="Q631" s="3396"/>
      <c r="R631" s="3396"/>
      <c r="S631" s="3396"/>
      <c r="T631" s="3396"/>
      <c r="U631" s="3396"/>
      <c r="V631" s="3396"/>
      <c r="W631" s="3396"/>
      <c r="X631" s="3396"/>
      <c r="Y631" s="3396"/>
      <c r="Z631" s="3396"/>
      <c r="AA631" s="3396"/>
      <c r="AB631" s="3396"/>
      <c r="AC631" s="3396"/>
      <c r="AD631" s="3396"/>
      <c r="AE631" s="3396"/>
      <c r="AF631" s="3396"/>
      <c r="AG631" s="3396"/>
      <c r="AH631" s="3396"/>
      <c r="AI631" s="3396"/>
      <c r="AJ631" s="3396"/>
      <c r="AK631" s="3396"/>
      <c r="AL631" s="3396"/>
      <c r="AM631" s="3396"/>
      <c r="AN631" s="3396"/>
      <c r="AO631" s="3396"/>
      <c r="AP631" s="3396"/>
      <c r="AQ631" s="3396"/>
      <c r="AR631" s="3396"/>
      <c r="AS631" s="3396"/>
      <c r="AT631" s="3396"/>
      <c r="AU631" s="3396"/>
      <c r="AV631" s="3396"/>
      <c r="AW631" s="3396"/>
      <c r="AX631" s="3396"/>
      <c r="AY631" s="3396"/>
      <c r="AZ631" s="3396"/>
      <c r="BA631" s="3396"/>
      <c r="BB631" s="3396"/>
      <c r="BC631" s="3396"/>
      <c r="BD631" s="3396"/>
      <c r="BE631" s="3396"/>
      <c r="BF631" s="3396"/>
      <c r="BG631" s="3396"/>
      <c r="BH631" s="3396"/>
      <c r="BI631" s="3396"/>
      <c r="BJ631" s="3396"/>
      <c r="BK631" s="3396"/>
      <c r="BL631" s="3396"/>
      <c r="BM631" s="3396"/>
      <c r="BN631" s="3396"/>
    </row>
    <row r="632" spans="1:66">
      <c r="A632" s="3396"/>
      <c r="B632" s="3396"/>
      <c r="C632" s="3396"/>
      <c r="D632" s="3396"/>
      <c r="E632" s="3396"/>
      <c r="F632" s="3396"/>
      <c r="G632" s="3396"/>
      <c r="H632" s="3396"/>
      <c r="I632" s="3396"/>
      <c r="J632" s="3396"/>
      <c r="K632" s="3396"/>
      <c r="L632" s="3396"/>
      <c r="M632" s="3396"/>
      <c r="N632" s="3396"/>
      <c r="O632" s="3396"/>
      <c r="P632" s="3396"/>
      <c r="Q632" s="3396"/>
      <c r="R632" s="3396"/>
      <c r="S632" s="3396"/>
      <c r="T632" s="3396"/>
      <c r="U632" s="3396"/>
      <c r="V632" s="3396"/>
      <c r="W632" s="3396"/>
      <c r="X632" s="3396"/>
      <c r="Y632" s="3396"/>
      <c r="Z632" s="3396"/>
      <c r="AA632" s="3396"/>
      <c r="AB632" s="3396"/>
      <c r="AC632" s="3396"/>
      <c r="AD632" s="3396"/>
      <c r="AE632" s="3396"/>
      <c r="AF632" s="3396"/>
      <c r="AG632" s="3396"/>
      <c r="AH632" s="3396"/>
      <c r="AI632" s="3396"/>
      <c r="AJ632" s="3396"/>
      <c r="AK632" s="3396"/>
      <c r="AL632" s="3396"/>
      <c r="AM632" s="3396"/>
      <c r="AN632" s="3396"/>
      <c r="AO632" s="3396"/>
      <c r="AP632" s="3396"/>
      <c r="AQ632" s="3396"/>
      <c r="AR632" s="3396"/>
      <c r="AS632" s="3396"/>
      <c r="AT632" s="3396"/>
      <c r="AU632" s="3396"/>
      <c r="AV632" s="3396"/>
      <c r="AW632" s="3396"/>
      <c r="AX632" s="3396"/>
      <c r="AY632" s="3396"/>
      <c r="AZ632" s="3396"/>
      <c r="BA632" s="3396"/>
      <c r="BB632" s="3396"/>
      <c r="BC632" s="3396"/>
      <c r="BD632" s="3396"/>
      <c r="BE632" s="3396"/>
      <c r="BF632" s="3396"/>
      <c r="BG632" s="3396"/>
      <c r="BH632" s="3396"/>
      <c r="BI632" s="3396"/>
      <c r="BJ632" s="3396"/>
      <c r="BK632" s="3396"/>
      <c r="BL632" s="3396"/>
      <c r="BM632" s="3396"/>
      <c r="BN632" s="3396"/>
    </row>
    <row r="633" spans="1:66">
      <c r="A633" s="3396"/>
      <c r="B633" s="3396"/>
      <c r="C633" s="3396"/>
      <c r="D633" s="3396"/>
      <c r="E633" s="3396"/>
      <c r="F633" s="3396"/>
      <c r="G633" s="3396"/>
      <c r="H633" s="3396"/>
      <c r="I633" s="3396"/>
      <c r="J633" s="3396"/>
      <c r="K633" s="3396"/>
      <c r="L633" s="3396"/>
      <c r="M633" s="3396"/>
      <c r="N633" s="3396"/>
      <c r="O633" s="3396"/>
      <c r="P633" s="3396"/>
      <c r="Q633" s="3396"/>
      <c r="R633" s="3396"/>
      <c r="S633" s="3396"/>
      <c r="T633" s="3396"/>
      <c r="U633" s="3396"/>
      <c r="V633" s="3396"/>
      <c r="W633" s="3396"/>
      <c r="X633" s="3396"/>
      <c r="Y633" s="3396"/>
      <c r="Z633" s="3396"/>
      <c r="AA633" s="3396"/>
      <c r="AB633" s="3396"/>
      <c r="AC633" s="3396"/>
      <c r="AD633" s="3396"/>
      <c r="AE633" s="3396"/>
      <c r="AF633" s="3396"/>
      <c r="AG633" s="3396"/>
      <c r="AH633" s="3396"/>
      <c r="AI633" s="3396"/>
      <c r="AJ633" s="3396"/>
      <c r="AK633" s="3396"/>
      <c r="AL633" s="3396"/>
      <c r="AM633" s="3396"/>
      <c r="AN633" s="3396"/>
      <c r="AO633" s="3396"/>
      <c r="AP633" s="3396"/>
      <c r="AQ633" s="3396"/>
      <c r="AR633" s="3396"/>
      <c r="AS633" s="3396"/>
      <c r="AT633" s="3396"/>
      <c r="AU633" s="3396"/>
      <c r="AV633" s="3396"/>
      <c r="AW633" s="3396"/>
      <c r="AX633" s="3396"/>
      <c r="AY633" s="3396"/>
      <c r="AZ633" s="3396"/>
      <c r="BA633" s="3396"/>
      <c r="BB633" s="3396"/>
      <c r="BC633" s="3396"/>
      <c r="BD633" s="3396"/>
      <c r="BE633" s="3396"/>
      <c r="BF633" s="3396"/>
      <c r="BG633" s="3396"/>
      <c r="BH633" s="3396"/>
      <c r="BI633" s="3396"/>
      <c r="BJ633" s="3396"/>
      <c r="BK633" s="3396"/>
      <c r="BL633" s="3396"/>
      <c r="BM633" s="3396"/>
      <c r="BN633" s="3396"/>
    </row>
    <row r="634" spans="1:66">
      <c r="A634" s="3396"/>
      <c r="B634" s="3396"/>
      <c r="C634" s="3396"/>
      <c r="D634" s="3396"/>
      <c r="E634" s="3396"/>
      <c r="F634" s="3396"/>
      <c r="G634" s="3396"/>
      <c r="H634" s="3396"/>
      <c r="I634" s="3396"/>
      <c r="J634" s="3396"/>
      <c r="K634" s="3396"/>
      <c r="L634" s="3396"/>
      <c r="M634" s="3396"/>
      <c r="N634" s="3396"/>
      <c r="O634" s="3396"/>
      <c r="P634" s="3396"/>
      <c r="Q634" s="3396"/>
      <c r="R634" s="3396"/>
      <c r="S634" s="3396"/>
      <c r="T634" s="3396"/>
      <c r="U634" s="3396"/>
      <c r="V634" s="3396"/>
      <c r="W634" s="3396"/>
      <c r="X634" s="3396"/>
      <c r="Y634" s="3396"/>
      <c r="Z634" s="3396"/>
      <c r="AA634" s="3396"/>
      <c r="AB634" s="3396"/>
      <c r="AC634" s="3396"/>
      <c r="AD634" s="3396"/>
      <c r="AE634" s="3396"/>
      <c r="AF634" s="3396"/>
      <c r="AG634" s="3396"/>
      <c r="AH634" s="3396"/>
      <c r="AI634" s="3396"/>
      <c r="AJ634" s="3396"/>
      <c r="AK634" s="3396"/>
      <c r="AL634" s="3396"/>
      <c r="AM634" s="3396"/>
      <c r="AN634" s="3396"/>
      <c r="AO634" s="3396"/>
      <c r="AP634" s="3396"/>
      <c r="AQ634" s="3396"/>
      <c r="AR634" s="3396"/>
      <c r="AS634" s="3396"/>
      <c r="AT634" s="3396"/>
      <c r="AU634" s="3396"/>
      <c r="AV634" s="3396"/>
      <c r="AW634" s="3396"/>
      <c r="AX634" s="3396"/>
      <c r="AY634" s="3396"/>
      <c r="AZ634" s="3396"/>
      <c r="BA634" s="3396"/>
      <c r="BB634" s="3396"/>
      <c r="BC634" s="3396"/>
      <c r="BD634" s="3396"/>
      <c r="BE634" s="3396"/>
      <c r="BF634" s="3396"/>
      <c r="BG634" s="3396"/>
      <c r="BH634" s="3396"/>
      <c r="BI634" s="3396"/>
      <c r="BJ634" s="3396"/>
      <c r="BK634" s="3396"/>
      <c r="BL634" s="3396"/>
      <c r="BM634" s="3396"/>
      <c r="BN634" s="3396"/>
    </row>
    <row r="635" spans="1:66">
      <c r="A635" s="3396"/>
      <c r="B635" s="3396"/>
      <c r="C635" s="3396"/>
      <c r="D635" s="3396"/>
      <c r="E635" s="3396"/>
      <c r="F635" s="3396"/>
      <c r="G635" s="3396"/>
      <c r="H635" s="3396"/>
      <c r="I635" s="3396"/>
      <c r="J635" s="3396"/>
      <c r="K635" s="3396"/>
      <c r="L635" s="3396"/>
      <c r="M635" s="3396"/>
      <c r="N635" s="3396"/>
      <c r="O635" s="3396"/>
      <c r="P635" s="3396"/>
      <c r="Q635" s="3396"/>
      <c r="R635" s="3396"/>
      <c r="S635" s="3396"/>
      <c r="T635" s="3396"/>
      <c r="U635" s="3396"/>
      <c r="V635" s="3396"/>
      <c r="W635" s="3396"/>
      <c r="X635" s="3396"/>
      <c r="Y635" s="3396"/>
      <c r="Z635" s="3396"/>
      <c r="AA635" s="3396"/>
      <c r="AB635" s="3396"/>
      <c r="AC635" s="3396"/>
      <c r="AD635" s="3396"/>
      <c r="AE635" s="3396"/>
      <c r="AF635" s="3396"/>
      <c r="AG635" s="3396"/>
      <c r="AH635" s="3396"/>
      <c r="AI635" s="3396"/>
      <c r="AJ635" s="3396"/>
      <c r="AK635" s="3396"/>
      <c r="AL635" s="3396"/>
      <c r="AM635" s="3396"/>
      <c r="AN635" s="3396"/>
      <c r="AO635" s="3396"/>
      <c r="AP635" s="3396"/>
      <c r="AQ635" s="3396"/>
      <c r="AR635" s="3396"/>
      <c r="AS635" s="3396"/>
      <c r="AT635" s="3396"/>
      <c r="AU635" s="3396"/>
      <c r="AV635" s="3396"/>
      <c r="AW635" s="3396"/>
      <c r="AX635" s="3396"/>
      <c r="AY635" s="3396"/>
      <c r="AZ635" s="3396"/>
      <c r="BA635" s="3396"/>
      <c r="BB635" s="3396"/>
      <c r="BC635" s="3396"/>
      <c r="BD635" s="3396"/>
      <c r="BE635" s="3396"/>
      <c r="BF635" s="3396"/>
      <c r="BG635" s="3396"/>
      <c r="BH635" s="3396"/>
      <c r="BI635" s="3396"/>
      <c r="BJ635" s="3396"/>
      <c r="BK635" s="3396"/>
      <c r="BL635" s="3396"/>
      <c r="BM635" s="3396"/>
      <c r="BN635" s="3396"/>
    </row>
    <row r="636" spans="1:66">
      <c r="A636" s="3396"/>
      <c r="B636" s="3396"/>
      <c r="C636" s="3396"/>
      <c r="D636" s="3396"/>
      <c r="E636" s="3396"/>
      <c r="F636" s="3396"/>
      <c r="G636" s="3396"/>
      <c r="H636" s="3396"/>
      <c r="I636" s="3396"/>
      <c r="J636" s="3396"/>
      <c r="K636" s="3396"/>
      <c r="L636" s="3396"/>
      <c r="M636" s="3396"/>
      <c r="N636" s="3396"/>
      <c r="O636" s="3396"/>
      <c r="P636" s="3396"/>
      <c r="Q636" s="3396"/>
      <c r="R636" s="3396"/>
      <c r="S636" s="3396"/>
      <c r="T636" s="3396"/>
      <c r="U636" s="3396"/>
      <c r="V636" s="3396"/>
      <c r="W636" s="3396"/>
      <c r="X636" s="3396"/>
      <c r="Y636" s="3396"/>
      <c r="Z636" s="3396"/>
      <c r="AA636" s="3396"/>
      <c r="AB636" s="3396"/>
      <c r="AC636" s="3396"/>
      <c r="AD636" s="3396"/>
      <c r="AE636" s="3396"/>
      <c r="AF636" s="3396"/>
      <c r="AG636" s="3396"/>
      <c r="AH636" s="3396"/>
      <c r="AI636" s="3396"/>
      <c r="AJ636" s="3396"/>
      <c r="AK636" s="3396"/>
      <c r="AL636" s="3396"/>
      <c r="AM636" s="3396"/>
      <c r="AN636" s="3396"/>
      <c r="AO636" s="3396"/>
      <c r="AP636" s="3396"/>
      <c r="AQ636" s="3396"/>
      <c r="AR636" s="3396"/>
      <c r="AS636" s="3396"/>
      <c r="AT636" s="3396"/>
      <c r="AU636" s="3396"/>
      <c r="AV636" s="3396"/>
      <c r="AW636" s="3396"/>
      <c r="AX636" s="3396"/>
      <c r="AY636" s="3396"/>
      <c r="AZ636" s="3396"/>
      <c r="BA636" s="3396"/>
      <c r="BB636" s="3396"/>
      <c r="BC636" s="3396"/>
      <c r="BD636" s="3396"/>
      <c r="BE636" s="3396"/>
      <c r="BF636" s="3396"/>
      <c r="BG636" s="3396"/>
      <c r="BH636" s="3396"/>
      <c r="BI636" s="3396"/>
      <c r="BJ636" s="3396"/>
      <c r="BK636" s="3396"/>
      <c r="BL636" s="3396"/>
      <c r="BM636" s="3396"/>
      <c r="BN636" s="3396"/>
    </row>
    <row r="637" spans="1:66">
      <c r="A637" s="3396"/>
      <c r="B637" s="3396"/>
      <c r="C637" s="3396"/>
      <c r="D637" s="3396"/>
      <c r="E637" s="3396"/>
      <c r="F637" s="3396"/>
      <c r="G637" s="3396"/>
      <c r="H637" s="3396"/>
      <c r="I637" s="3396"/>
      <c r="J637" s="3396"/>
      <c r="K637" s="3396"/>
      <c r="L637" s="3396"/>
      <c r="M637" s="3396"/>
      <c r="N637" s="3396"/>
      <c r="O637" s="3396"/>
      <c r="P637" s="3396"/>
      <c r="Q637" s="3396"/>
      <c r="R637" s="3396"/>
      <c r="S637" s="3396"/>
      <c r="T637" s="3396"/>
      <c r="U637" s="3396"/>
      <c r="V637" s="3396"/>
      <c r="W637" s="3396"/>
      <c r="X637" s="3396"/>
      <c r="Y637" s="3396"/>
      <c r="Z637" s="3396"/>
      <c r="AA637" s="3396"/>
      <c r="AB637" s="3396"/>
      <c r="AC637" s="3396"/>
      <c r="AD637" s="3396"/>
      <c r="AE637" s="3396"/>
      <c r="AF637" s="3396"/>
      <c r="AG637" s="3396"/>
      <c r="AH637" s="3396"/>
      <c r="AI637" s="3396"/>
      <c r="AJ637" s="3396"/>
      <c r="AK637" s="3396"/>
      <c r="AL637" s="3396"/>
      <c r="AM637" s="3396"/>
      <c r="AN637" s="3396"/>
      <c r="AO637" s="3396"/>
      <c r="AP637" s="3396"/>
      <c r="AQ637" s="3396"/>
      <c r="AR637" s="3396"/>
      <c r="AS637" s="3396"/>
      <c r="AT637" s="3396"/>
      <c r="AU637" s="3396"/>
      <c r="AV637" s="3396"/>
      <c r="AW637" s="3396"/>
      <c r="AX637" s="3396"/>
      <c r="AY637" s="3396"/>
      <c r="AZ637" s="3396"/>
      <c r="BA637" s="3396"/>
      <c r="BB637" s="3396"/>
      <c r="BC637" s="3396"/>
      <c r="BD637" s="3396"/>
      <c r="BE637" s="3396"/>
      <c r="BF637" s="3396"/>
      <c r="BG637" s="3396"/>
      <c r="BH637" s="3396"/>
      <c r="BI637" s="3396"/>
      <c r="BJ637" s="3396"/>
      <c r="BK637" s="3396"/>
      <c r="BL637" s="3396"/>
      <c r="BM637" s="3396"/>
      <c r="BN637" s="3396"/>
    </row>
    <row r="638" spans="1:66">
      <c r="A638" s="3396"/>
      <c r="B638" s="3396"/>
      <c r="C638" s="3396"/>
      <c r="D638" s="3396"/>
      <c r="E638" s="3396"/>
      <c r="F638" s="3396"/>
      <c r="G638" s="3396"/>
      <c r="H638" s="3396"/>
      <c r="I638" s="3396"/>
      <c r="J638" s="3396"/>
      <c r="K638" s="3396"/>
      <c r="L638" s="3396"/>
      <c r="M638" s="3396"/>
      <c r="N638" s="3396"/>
      <c r="O638" s="3396"/>
      <c r="P638" s="3396"/>
      <c r="Q638" s="3396"/>
      <c r="R638" s="3396"/>
      <c r="S638" s="3396"/>
      <c r="T638" s="3396"/>
      <c r="U638" s="3396"/>
      <c r="V638" s="3396"/>
      <c r="W638" s="3396"/>
      <c r="X638" s="3396"/>
      <c r="Y638" s="3396"/>
      <c r="Z638" s="3396"/>
      <c r="AA638" s="3396"/>
      <c r="AB638" s="3396"/>
      <c r="AC638" s="3396"/>
      <c r="AD638" s="3396"/>
      <c r="AE638" s="3396"/>
      <c r="AF638" s="3396"/>
      <c r="AG638" s="3396"/>
      <c r="AH638" s="3396"/>
      <c r="AI638" s="3396"/>
      <c r="AJ638" s="3396"/>
      <c r="AK638" s="3396"/>
      <c r="AL638" s="3396"/>
      <c r="AM638" s="3396"/>
      <c r="AN638" s="3396"/>
      <c r="AO638" s="3396"/>
      <c r="AP638" s="3396"/>
      <c r="AQ638" s="3396"/>
      <c r="AR638" s="3396"/>
      <c r="AS638" s="3396"/>
      <c r="AT638" s="3396"/>
      <c r="AU638" s="3396"/>
      <c r="AV638" s="3396"/>
      <c r="AW638" s="3396"/>
      <c r="AX638" s="3396"/>
      <c r="AY638" s="3396"/>
      <c r="AZ638" s="3396"/>
      <c r="BA638" s="3396"/>
      <c r="BB638" s="3396"/>
      <c r="BC638" s="3396"/>
      <c r="BD638" s="3396"/>
      <c r="BE638" s="3396"/>
      <c r="BF638" s="3396"/>
      <c r="BG638" s="3396"/>
      <c r="BH638" s="3396"/>
      <c r="BI638" s="3396"/>
      <c r="BJ638" s="3396"/>
      <c r="BK638" s="3396"/>
      <c r="BL638" s="3396"/>
      <c r="BM638" s="3396"/>
      <c r="BN638" s="3396"/>
    </row>
    <row r="639" spans="1:66">
      <c r="A639" s="3396"/>
      <c r="B639" s="3396"/>
      <c r="C639" s="3396"/>
      <c r="D639" s="3396"/>
      <c r="E639" s="3396"/>
      <c r="F639" s="3396"/>
      <c r="G639" s="3396"/>
      <c r="H639" s="3396"/>
      <c r="I639" s="3396"/>
      <c r="J639" s="3396"/>
      <c r="K639" s="3396"/>
      <c r="L639" s="3396"/>
      <c r="M639" s="3396"/>
      <c r="N639" s="3396"/>
      <c r="O639" s="3396"/>
      <c r="P639" s="3396"/>
      <c r="Q639" s="3396"/>
      <c r="R639" s="3396"/>
      <c r="S639" s="3396"/>
      <c r="T639" s="3396"/>
      <c r="U639" s="3396"/>
      <c r="V639" s="3396"/>
      <c r="W639" s="3396"/>
      <c r="X639" s="3396"/>
      <c r="Y639" s="3396"/>
      <c r="Z639" s="3396"/>
      <c r="AA639" s="3396"/>
      <c r="AB639" s="3396"/>
      <c r="AC639" s="3396"/>
      <c r="AD639" s="3396"/>
      <c r="AE639" s="3396"/>
      <c r="AF639" s="3396"/>
      <c r="AG639" s="3396"/>
      <c r="AH639" s="3396"/>
      <c r="AI639" s="3396"/>
      <c r="AJ639" s="3396"/>
      <c r="AK639" s="3396"/>
      <c r="AL639" s="3396"/>
      <c r="AM639" s="3396"/>
      <c r="AN639" s="3396"/>
      <c r="AO639" s="3396"/>
      <c r="AP639" s="3396"/>
      <c r="AQ639" s="3396"/>
      <c r="AR639" s="3396"/>
      <c r="AS639" s="3396"/>
      <c r="AT639" s="3396"/>
      <c r="AU639" s="3396"/>
      <c r="AV639" s="3396"/>
      <c r="AW639" s="3396"/>
      <c r="AX639" s="3396"/>
      <c r="AY639" s="3396"/>
      <c r="AZ639" s="3396"/>
      <c r="BA639" s="3396"/>
      <c r="BB639" s="3396"/>
      <c r="BC639" s="3396"/>
      <c r="BD639" s="3396"/>
      <c r="BE639" s="3396"/>
      <c r="BF639" s="3396"/>
      <c r="BG639" s="3396"/>
      <c r="BH639" s="3396"/>
      <c r="BI639" s="3396"/>
      <c r="BJ639" s="3396"/>
      <c r="BK639" s="3396"/>
      <c r="BL639" s="3396"/>
      <c r="BM639" s="3396"/>
      <c r="BN639" s="3396"/>
    </row>
    <row r="640" spans="1:66">
      <c r="A640" s="3396"/>
      <c r="B640" s="3396"/>
      <c r="C640" s="3396"/>
      <c r="D640" s="3396"/>
      <c r="E640" s="3396"/>
      <c r="F640" s="3396"/>
      <c r="G640" s="3396"/>
      <c r="H640" s="3396"/>
      <c r="I640" s="3396"/>
      <c r="J640" s="3396"/>
      <c r="K640" s="3396"/>
      <c r="L640" s="3396"/>
      <c r="M640" s="3396"/>
      <c r="N640" s="3396"/>
      <c r="O640" s="3396"/>
      <c r="P640" s="3396"/>
      <c r="Q640" s="3396"/>
      <c r="R640" s="3396"/>
      <c r="S640" s="3396"/>
      <c r="T640" s="3396"/>
      <c r="U640" s="3396"/>
      <c r="V640" s="3396"/>
      <c r="W640" s="3396"/>
      <c r="X640" s="3396"/>
      <c r="Y640" s="3396"/>
      <c r="Z640" s="3396"/>
      <c r="AA640" s="3396"/>
      <c r="AB640" s="3396"/>
      <c r="AC640" s="3396"/>
      <c r="AD640" s="3396"/>
      <c r="AE640" s="3396"/>
      <c r="AF640" s="3396"/>
      <c r="AG640" s="3396"/>
      <c r="AH640" s="3396"/>
      <c r="AI640" s="3396"/>
      <c r="AJ640" s="3396"/>
      <c r="AK640" s="3396"/>
      <c r="AL640" s="3396"/>
      <c r="AM640" s="3396"/>
      <c r="AN640" s="3396"/>
      <c r="AO640" s="3396"/>
      <c r="AP640" s="3396"/>
      <c r="AQ640" s="3396"/>
      <c r="AR640" s="3396"/>
      <c r="AS640" s="3396"/>
      <c r="AT640" s="3396"/>
      <c r="AU640" s="3396"/>
      <c r="AV640" s="3396"/>
      <c r="AW640" s="3396"/>
      <c r="AX640" s="3396"/>
      <c r="AY640" s="3396"/>
      <c r="AZ640" s="3396"/>
      <c r="BA640" s="3396"/>
      <c r="BB640" s="3396"/>
      <c r="BC640" s="3396"/>
      <c r="BD640" s="3396"/>
      <c r="BE640" s="3396"/>
      <c r="BF640" s="3396"/>
      <c r="BG640" s="3396"/>
      <c r="BH640" s="3396"/>
      <c r="BI640" s="3396"/>
      <c r="BJ640" s="3396"/>
      <c r="BK640" s="3396"/>
      <c r="BL640" s="3396"/>
      <c r="BM640" s="3396"/>
      <c r="BN640" s="3396"/>
    </row>
    <row r="641" spans="1:66">
      <c r="A641" s="3396"/>
      <c r="B641" s="3396"/>
      <c r="C641" s="3396"/>
      <c r="D641" s="3396"/>
      <c r="E641" s="3396"/>
      <c r="F641" s="3396"/>
      <c r="G641" s="3396"/>
      <c r="H641" s="3396"/>
      <c r="I641" s="3396"/>
      <c r="J641" s="3396"/>
      <c r="K641" s="3396"/>
      <c r="L641" s="3396"/>
      <c r="M641" s="3396"/>
      <c r="N641" s="3396"/>
      <c r="O641" s="3396"/>
      <c r="P641" s="3396"/>
      <c r="Q641" s="3396"/>
      <c r="R641" s="3396"/>
      <c r="S641" s="3396"/>
      <c r="T641" s="3396"/>
      <c r="U641" s="3396"/>
      <c r="V641" s="3396"/>
      <c r="W641" s="3396"/>
      <c r="X641" s="3396"/>
      <c r="Y641" s="3396"/>
      <c r="Z641" s="3396"/>
      <c r="AA641" s="3396"/>
      <c r="AB641" s="3396"/>
      <c r="AC641" s="3396"/>
      <c r="AD641" s="3396"/>
      <c r="AE641" s="3396"/>
      <c r="AF641" s="3396"/>
      <c r="AG641" s="3396"/>
      <c r="AH641" s="3396"/>
      <c r="AI641" s="3396"/>
      <c r="AJ641" s="3396"/>
      <c r="AK641" s="3396"/>
      <c r="AL641" s="3396"/>
      <c r="AM641" s="3396"/>
      <c r="AN641" s="3396"/>
      <c r="AO641" s="3396"/>
      <c r="AP641" s="3396"/>
      <c r="AQ641" s="3396"/>
      <c r="AR641" s="3396"/>
      <c r="AS641" s="3396"/>
      <c r="AT641" s="3396"/>
      <c r="AU641" s="3396"/>
      <c r="AV641" s="3396"/>
      <c r="AW641" s="3396"/>
      <c r="AX641" s="3396"/>
      <c r="AY641" s="3396"/>
      <c r="AZ641" s="3396"/>
      <c r="BA641" s="3396"/>
      <c r="BB641" s="3396"/>
      <c r="BC641" s="3396"/>
      <c r="BD641" s="3396"/>
      <c r="BE641" s="3396"/>
      <c r="BF641" s="3396"/>
      <c r="BG641" s="3396"/>
      <c r="BH641" s="3396"/>
      <c r="BI641" s="3396"/>
      <c r="BJ641" s="3396"/>
      <c r="BK641" s="3396"/>
      <c r="BL641" s="3396"/>
      <c r="BM641" s="3396"/>
      <c r="BN641" s="3396"/>
    </row>
    <row r="642" spans="1:66">
      <c r="A642" s="3396"/>
      <c r="B642" s="3396"/>
      <c r="C642" s="3396"/>
      <c r="D642" s="3396"/>
      <c r="E642" s="3396"/>
      <c r="F642" s="3396"/>
      <c r="G642" s="3396"/>
      <c r="H642" s="3396"/>
      <c r="I642" s="3396"/>
      <c r="J642" s="3396"/>
      <c r="K642" s="3396"/>
      <c r="L642" s="3396"/>
      <c r="M642" s="3396"/>
      <c r="N642" s="3396"/>
      <c r="O642" s="3396"/>
      <c r="P642" s="3396"/>
      <c r="Q642" s="3396"/>
      <c r="R642" s="3396"/>
      <c r="S642" s="3396"/>
      <c r="T642" s="3396"/>
      <c r="U642" s="3396"/>
      <c r="V642" s="3396"/>
      <c r="W642" s="3396"/>
      <c r="X642" s="3396"/>
      <c r="Y642" s="3396"/>
      <c r="Z642" s="3396"/>
      <c r="AA642" s="3396"/>
      <c r="AB642" s="3396"/>
      <c r="AC642" s="3396"/>
      <c r="AD642" s="3396"/>
      <c r="AE642" s="3396"/>
      <c r="AF642" s="3396"/>
      <c r="AG642" s="3396"/>
      <c r="AH642" s="3396"/>
      <c r="AI642" s="3396"/>
      <c r="AJ642" s="3396"/>
      <c r="AK642" s="3396"/>
      <c r="AL642" s="3396"/>
      <c r="AM642" s="3396"/>
      <c r="AN642" s="3396"/>
      <c r="AO642" s="3396"/>
      <c r="AP642" s="3396"/>
      <c r="AQ642" s="3396"/>
      <c r="AR642" s="3396"/>
      <c r="AS642" s="3396"/>
      <c r="AT642" s="3396"/>
      <c r="AU642" s="3396"/>
      <c r="AV642" s="3396"/>
      <c r="AW642" s="3396"/>
      <c r="AX642" s="3396"/>
      <c r="AY642" s="3396"/>
      <c r="AZ642" s="3396"/>
      <c r="BA642" s="3396"/>
      <c r="BB642" s="3396"/>
      <c r="BC642" s="3396"/>
      <c r="BD642" s="3396"/>
      <c r="BE642" s="3396"/>
      <c r="BF642" s="3396"/>
      <c r="BG642" s="3396"/>
      <c r="BH642" s="3396"/>
      <c r="BI642" s="3396"/>
      <c r="BJ642" s="3396"/>
      <c r="BK642" s="3396"/>
      <c r="BL642" s="3396"/>
      <c r="BM642" s="3396"/>
      <c r="BN642" s="3396"/>
    </row>
    <row r="643" spans="1:66">
      <c r="A643" s="3396"/>
      <c r="B643" s="3396"/>
      <c r="C643" s="3396"/>
      <c r="D643" s="3396"/>
      <c r="E643" s="3396"/>
      <c r="F643" s="3396"/>
      <c r="G643" s="3396"/>
      <c r="H643" s="3396"/>
      <c r="I643" s="3396"/>
      <c r="J643" s="3396"/>
      <c r="K643" s="3396"/>
      <c r="L643" s="3396"/>
      <c r="M643" s="3396"/>
      <c r="N643" s="3396"/>
      <c r="O643" s="3396"/>
      <c r="P643" s="3396"/>
      <c r="Q643" s="3396"/>
      <c r="R643" s="3396"/>
      <c r="S643" s="3396"/>
      <c r="T643" s="3396"/>
      <c r="U643" s="3396"/>
      <c r="V643" s="3396"/>
      <c r="W643" s="3396"/>
      <c r="X643" s="3396"/>
      <c r="Y643" s="3396"/>
      <c r="Z643" s="3396"/>
      <c r="AA643" s="3396"/>
      <c r="AB643" s="3396"/>
      <c r="AC643" s="3396"/>
      <c r="AD643" s="3396"/>
      <c r="AE643" s="3396"/>
      <c r="AF643" s="3396"/>
      <c r="AG643" s="3396"/>
      <c r="AH643" s="3396"/>
      <c r="AI643" s="3396"/>
      <c r="AJ643" s="3396"/>
      <c r="AK643" s="3396"/>
      <c r="AL643" s="3396"/>
      <c r="AM643" s="3396"/>
      <c r="AN643" s="3396"/>
      <c r="AO643" s="3396"/>
      <c r="AP643" s="3396"/>
      <c r="AQ643" s="3396"/>
      <c r="AR643" s="3396"/>
      <c r="AS643" s="3396"/>
      <c r="AT643" s="3396"/>
      <c r="AU643" s="3396"/>
      <c r="AV643" s="3396"/>
      <c r="AW643" s="3396"/>
      <c r="AX643" s="3396"/>
      <c r="AY643" s="3396"/>
      <c r="AZ643" s="3396"/>
      <c r="BA643" s="3396"/>
      <c r="BB643" s="3396"/>
      <c r="BC643" s="3396"/>
      <c r="BD643" s="3396"/>
      <c r="BE643" s="3396"/>
      <c r="BF643" s="3396"/>
      <c r="BG643" s="3396"/>
      <c r="BH643" s="3396"/>
      <c r="BI643" s="3396"/>
      <c r="BJ643" s="3396"/>
      <c r="BK643" s="3396"/>
      <c r="BL643" s="3396"/>
      <c r="BM643" s="3396"/>
      <c r="BN643" s="3396"/>
    </row>
    <row r="644" spans="1:66">
      <c r="A644" s="3396"/>
      <c r="B644" s="3396"/>
      <c r="C644" s="3396"/>
      <c r="D644" s="3396"/>
      <c r="E644" s="3396"/>
      <c r="F644" s="3396"/>
      <c r="G644" s="3396"/>
      <c r="H644" s="3396"/>
      <c r="I644" s="3396"/>
      <c r="J644" s="3396"/>
      <c r="K644" s="3396"/>
      <c r="L644" s="3396"/>
      <c r="M644" s="3396"/>
      <c r="N644" s="3396"/>
      <c r="O644" s="3396"/>
      <c r="P644" s="3396"/>
      <c r="Q644" s="3396"/>
      <c r="R644" s="3396"/>
      <c r="S644" s="3396"/>
      <c r="T644" s="3396"/>
      <c r="U644" s="3396"/>
      <c r="V644" s="3396"/>
      <c r="W644" s="3396"/>
      <c r="X644" s="3396"/>
      <c r="Y644" s="3396"/>
      <c r="Z644" s="3396"/>
      <c r="AA644" s="3396"/>
      <c r="AB644" s="3396"/>
      <c r="AC644" s="3396"/>
      <c r="AD644" s="3396"/>
      <c r="AE644" s="3396"/>
      <c r="AF644" s="3396"/>
      <c r="AG644" s="3396"/>
      <c r="AH644" s="3396"/>
      <c r="AI644" s="3396"/>
      <c r="AJ644" s="3396"/>
      <c r="AK644" s="3396"/>
      <c r="AL644" s="3396"/>
      <c r="AM644" s="3396"/>
      <c r="AN644" s="3396"/>
      <c r="AO644" s="3396"/>
      <c r="AP644" s="3396"/>
      <c r="AQ644" s="3396"/>
      <c r="AR644" s="3396"/>
      <c r="AS644" s="3396"/>
      <c r="AT644" s="3396"/>
      <c r="AU644" s="3396"/>
      <c r="AV644" s="3396"/>
      <c r="AW644" s="3396"/>
      <c r="AX644" s="3396"/>
      <c r="AY644" s="3396"/>
      <c r="AZ644" s="3396"/>
      <c r="BA644" s="3396"/>
      <c r="BB644" s="3396"/>
      <c r="BC644" s="3396"/>
      <c r="BD644" s="3396"/>
      <c r="BE644" s="3396"/>
      <c r="BF644" s="3396"/>
      <c r="BG644" s="3396"/>
      <c r="BH644" s="3396"/>
      <c r="BI644" s="3396"/>
      <c r="BJ644" s="3396"/>
      <c r="BK644" s="3396"/>
      <c r="BL644" s="3396"/>
      <c r="BM644" s="3396"/>
      <c r="BN644" s="3396"/>
    </row>
    <row r="645" spans="1:66">
      <c r="A645" s="3396"/>
      <c r="B645" s="3396"/>
      <c r="C645" s="3396"/>
      <c r="D645" s="3396"/>
      <c r="E645" s="3396"/>
      <c r="F645" s="3396"/>
      <c r="G645" s="3396"/>
      <c r="H645" s="3396"/>
      <c r="I645" s="3396"/>
      <c r="J645" s="3396"/>
      <c r="K645" s="3396"/>
      <c r="L645" s="3396"/>
      <c r="M645" s="3396"/>
      <c r="N645" s="3396"/>
      <c r="O645" s="3396"/>
      <c r="P645" s="3396"/>
      <c r="Q645" s="3396"/>
      <c r="R645" s="3396"/>
      <c r="S645" s="3396"/>
      <c r="T645" s="3396"/>
      <c r="U645" s="3396"/>
      <c r="V645" s="3396"/>
      <c r="W645" s="3396"/>
      <c r="X645" s="3396"/>
      <c r="Y645" s="3396"/>
      <c r="Z645" s="3396"/>
      <c r="AA645" s="3396"/>
      <c r="AB645" s="3396"/>
      <c r="AC645" s="3396"/>
      <c r="AD645" s="3396"/>
      <c r="AE645" s="3396"/>
      <c r="AF645" s="3396"/>
      <c r="AG645" s="3396"/>
      <c r="AH645" s="3396"/>
      <c r="AI645" s="3396"/>
      <c r="AJ645" s="3396"/>
      <c r="AK645" s="3396"/>
      <c r="AL645" s="3396"/>
      <c r="AM645" s="3396"/>
      <c r="AN645" s="3396"/>
      <c r="AO645" s="3396"/>
      <c r="AP645" s="3396"/>
      <c r="AQ645" s="3396"/>
      <c r="AR645" s="3396"/>
      <c r="AS645" s="3396"/>
      <c r="AT645" s="3396"/>
      <c r="AU645" s="3396"/>
      <c r="AV645" s="3396"/>
      <c r="AW645" s="3396"/>
      <c r="AX645" s="3396"/>
      <c r="AY645" s="3396"/>
      <c r="AZ645" s="3396"/>
      <c r="BA645" s="3396"/>
      <c r="BB645" s="3396"/>
      <c r="BC645" s="3396"/>
      <c r="BD645" s="3396"/>
      <c r="BE645" s="3396"/>
      <c r="BF645" s="3396"/>
      <c r="BG645" s="3396"/>
      <c r="BH645" s="3396"/>
      <c r="BI645" s="3396"/>
      <c r="BJ645" s="3396"/>
      <c r="BK645" s="3396"/>
      <c r="BL645" s="3396"/>
      <c r="BM645" s="3396"/>
      <c r="BN645" s="3396"/>
    </row>
    <row r="646" spans="1:66">
      <c r="A646" s="3396"/>
      <c r="B646" s="3396"/>
      <c r="C646" s="3396"/>
      <c r="D646" s="3396"/>
      <c r="E646" s="3396"/>
      <c r="F646" s="3396"/>
      <c r="G646" s="3396"/>
      <c r="H646" s="3396"/>
      <c r="I646" s="3396"/>
      <c r="J646" s="3396"/>
      <c r="K646" s="3396"/>
      <c r="L646" s="3396"/>
      <c r="M646" s="3396"/>
      <c r="N646" s="3396"/>
      <c r="O646" s="3396"/>
      <c r="P646" s="3396"/>
      <c r="Q646" s="3396"/>
      <c r="R646" s="3396"/>
      <c r="S646" s="3396"/>
      <c r="T646" s="3396"/>
      <c r="U646" s="3396"/>
      <c r="V646" s="3396"/>
      <c r="W646" s="3396"/>
      <c r="X646" s="3396"/>
      <c r="Y646" s="3396"/>
      <c r="Z646" s="3396"/>
      <c r="AA646" s="3396"/>
      <c r="AB646" s="3396"/>
      <c r="AC646" s="3396"/>
      <c r="AD646" s="3396"/>
      <c r="AE646" s="3396"/>
      <c r="AF646" s="3396"/>
      <c r="AG646" s="3396"/>
      <c r="AH646" s="3396"/>
      <c r="AI646" s="3396"/>
      <c r="AJ646" s="3396"/>
      <c r="AK646" s="3396"/>
      <c r="AL646" s="3396"/>
      <c r="AM646" s="3396"/>
      <c r="AN646" s="3396"/>
      <c r="AO646" s="3396"/>
      <c r="AP646" s="3396"/>
      <c r="AQ646" s="3396"/>
      <c r="AR646" s="3396"/>
      <c r="AS646" s="3396"/>
      <c r="AT646" s="3396"/>
      <c r="AU646" s="3396"/>
      <c r="AV646" s="3396"/>
      <c r="AW646" s="3396"/>
      <c r="AX646" s="3396"/>
      <c r="AY646" s="3396"/>
      <c r="AZ646" s="3396"/>
      <c r="BA646" s="3396"/>
      <c r="BB646" s="3396"/>
      <c r="BC646" s="3396"/>
      <c r="BD646" s="3396"/>
      <c r="BE646" s="3396"/>
      <c r="BF646" s="3396"/>
      <c r="BG646" s="3396"/>
      <c r="BH646" s="3396"/>
      <c r="BI646" s="3396"/>
      <c r="BJ646" s="3396"/>
      <c r="BK646" s="3396"/>
      <c r="BL646" s="3396"/>
      <c r="BM646" s="3396"/>
      <c r="BN646" s="3396"/>
    </row>
    <row r="647" spans="1:66">
      <c r="A647" s="3396"/>
      <c r="B647" s="3396"/>
      <c r="C647" s="3396"/>
      <c r="D647" s="3396"/>
      <c r="E647" s="3396"/>
      <c r="F647" s="3396"/>
      <c r="G647" s="3396"/>
      <c r="H647" s="3396"/>
      <c r="I647" s="3396"/>
      <c r="J647" s="3396"/>
      <c r="K647" s="3396"/>
      <c r="L647" s="3396"/>
      <c r="M647" s="3396"/>
      <c r="N647" s="3396"/>
      <c r="O647" s="3396"/>
      <c r="P647" s="3396"/>
      <c r="Q647" s="3396"/>
      <c r="R647" s="3396"/>
      <c r="S647" s="3396"/>
      <c r="T647" s="3396"/>
      <c r="U647" s="3396"/>
      <c r="V647" s="3396"/>
      <c r="W647" s="3396"/>
      <c r="X647" s="3396"/>
      <c r="Y647" s="3396"/>
      <c r="Z647" s="3396"/>
      <c r="AA647" s="3396"/>
      <c r="AB647" s="3396"/>
      <c r="AC647" s="3396"/>
      <c r="AD647" s="3396"/>
      <c r="AE647" s="3396"/>
      <c r="AF647" s="3396"/>
      <c r="AG647" s="3396"/>
      <c r="AH647" s="3396"/>
      <c r="AI647" s="3396"/>
      <c r="AJ647" s="3396"/>
      <c r="AK647" s="3396"/>
      <c r="AL647" s="3396"/>
      <c r="AM647" s="3396"/>
      <c r="AN647" s="3396"/>
      <c r="AO647" s="3396"/>
      <c r="AP647" s="3396"/>
      <c r="AQ647" s="3396"/>
      <c r="AR647" s="3396"/>
      <c r="AS647" s="3396"/>
      <c r="AT647" s="3396"/>
      <c r="AU647" s="3396"/>
      <c r="AV647" s="3396"/>
      <c r="AW647" s="3396"/>
      <c r="AX647" s="3396"/>
      <c r="AY647" s="3396"/>
      <c r="AZ647" s="3396"/>
      <c r="BA647" s="3396"/>
      <c r="BB647" s="3396"/>
      <c r="BC647" s="3396"/>
      <c r="BD647" s="3396"/>
      <c r="BE647" s="3396"/>
      <c r="BF647" s="3396"/>
      <c r="BG647" s="3396"/>
      <c r="BH647" s="3396"/>
      <c r="BI647" s="3396"/>
      <c r="BJ647" s="3396"/>
      <c r="BK647" s="3396"/>
      <c r="BL647" s="3396"/>
      <c r="BM647" s="3396"/>
      <c r="BN647" s="3396"/>
    </row>
    <row r="648" spans="1:66">
      <c r="A648" s="3396"/>
      <c r="B648" s="3396"/>
      <c r="C648" s="3396"/>
      <c r="D648" s="3396"/>
      <c r="E648" s="3396"/>
      <c r="F648" s="3396"/>
      <c r="G648" s="3396"/>
      <c r="H648" s="3396"/>
      <c r="I648" s="3396"/>
      <c r="J648" s="3396"/>
      <c r="K648" s="3396"/>
      <c r="L648" s="3396"/>
      <c r="M648" s="3396"/>
      <c r="N648" s="3396"/>
      <c r="O648" s="3396"/>
      <c r="P648" s="3396"/>
      <c r="Q648" s="3396"/>
      <c r="R648" s="3396"/>
      <c r="S648" s="3396"/>
      <c r="T648" s="3396"/>
      <c r="U648" s="3396"/>
      <c r="V648" s="3396"/>
      <c r="W648" s="3396"/>
      <c r="X648" s="3396"/>
      <c r="Y648" s="3396"/>
      <c r="Z648" s="3396"/>
      <c r="AA648" s="3396"/>
      <c r="AB648" s="3396"/>
      <c r="AC648" s="3396"/>
      <c r="AD648" s="3396"/>
      <c r="AE648" s="3396"/>
      <c r="AF648" s="3396"/>
      <c r="AG648" s="3396"/>
      <c r="AH648" s="3396"/>
      <c r="AI648" s="3396"/>
      <c r="AJ648" s="3396"/>
      <c r="AK648" s="3396"/>
      <c r="AL648" s="3396"/>
      <c r="AM648" s="3396"/>
      <c r="AN648" s="3396"/>
      <c r="AO648" s="3396"/>
      <c r="AP648" s="3396"/>
      <c r="AQ648" s="3396"/>
      <c r="AR648" s="3396"/>
      <c r="AS648" s="3396"/>
      <c r="AT648" s="3396"/>
      <c r="AU648" s="3396"/>
      <c r="AV648" s="3396"/>
      <c r="AW648" s="3396"/>
      <c r="AX648" s="3396"/>
      <c r="AY648" s="3396"/>
      <c r="AZ648" s="3396"/>
      <c r="BA648" s="3396"/>
      <c r="BB648" s="3396"/>
      <c r="BC648" s="3396"/>
      <c r="BD648" s="3396"/>
      <c r="BE648" s="3396"/>
      <c r="BF648" s="3396"/>
      <c r="BG648" s="3396"/>
      <c r="BH648" s="3396"/>
      <c r="BI648" s="3396"/>
      <c r="BJ648" s="3396"/>
      <c r="BK648" s="3396"/>
      <c r="BL648" s="3396"/>
      <c r="BM648" s="3396"/>
      <c r="BN648" s="3396"/>
    </row>
    <row r="649" spans="1:66">
      <c r="A649" s="3396"/>
      <c r="B649" s="3396"/>
      <c r="C649" s="3396"/>
      <c r="D649" s="3396"/>
      <c r="E649" s="3396"/>
      <c r="F649" s="3396"/>
      <c r="G649" s="3396"/>
      <c r="H649" s="3396"/>
      <c r="I649" s="3396"/>
      <c r="J649" s="3396"/>
      <c r="K649" s="3396"/>
      <c r="L649" s="3396"/>
      <c r="M649" s="3396"/>
      <c r="N649" s="3396"/>
      <c r="O649" s="3396"/>
      <c r="P649" s="3396"/>
      <c r="Q649" s="3396"/>
      <c r="R649" s="3396"/>
      <c r="S649" s="3396"/>
      <c r="T649" s="3396"/>
      <c r="U649" s="3396"/>
      <c r="V649" s="3396"/>
      <c r="W649" s="3396"/>
      <c r="X649" s="3396"/>
      <c r="Y649" s="3396"/>
      <c r="Z649" s="3396"/>
      <c r="AA649" s="3396"/>
      <c r="AB649" s="3396"/>
      <c r="AC649" s="3396"/>
      <c r="AD649" s="3396"/>
      <c r="AE649" s="3396"/>
      <c r="AF649" s="3396"/>
      <c r="AG649" s="3396"/>
      <c r="AH649" s="3396"/>
      <c r="AI649" s="3396"/>
      <c r="AJ649" s="3396"/>
      <c r="AK649" s="3396"/>
      <c r="AL649" s="3396"/>
      <c r="AM649" s="3396"/>
      <c r="AN649" s="3396"/>
      <c r="AO649" s="3396"/>
      <c r="AP649" s="3396"/>
      <c r="AQ649" s="3396"/>
      <c r="AR649" s="3396"/>
      <c r="AS649" s="3396"/>
      <c r="AT649" s="3396"/>
      <c r="AU649" s="3396"/>
      <c r="AV649" s="3396"/>
      <c r="AW649" s="3396"/>
      <c r="AX649" s="3396"/>
      <c r="AY649" s="3396"/>
      <c r="AZ649" s="3396"/>
      <c r="BA649" s="3396"/>
      <c r="BB649" s="3396"/>
      <c r="BC649" s="3396"/>
      <c r="BD649" s="3396"/>
      <c r="BE649" s="3396"/>
      <c r="BF649" s="3396"/>
      <c r="BG649" s="3396"/>
      <c r="BH649" s="3396"/>
      <c r="BI649" s="3396"/>
      <c r="BJ649" s="3396"/>
      <c r="BK649" s="3396"/>
      <c r="BL649" s="3396"/>
      <c r="BM649" s="3396"/>
      <c r="BN649" s="3396"/>
    </row>
    <row r="650" spans="1:66">
      <c r="A650" s="3396"/>
      <c r="B650" s="3396"/>
      <c r="C650" s="3396"/>
      <c r="D650" s="3396"/>
      <c r="E650" s="3396"/>
      <c r="F650" s="3396"/>
      <c r="G650" s="3396"/>
      <c r="H650" s="3396"/>
      <c r="I650" s="3396"/>
      <c r="J650" s="3396"/>
      <c r="K650" s="3396"/>
      <c r="L650" s="3396"/>
      <c r="M650" s="3396"/>
      <c r="N650" s="3396"/>
      <c r="O650" s="3396"/>
      <c r="P650" s="3396"/>
      <c r="Q650" s="3396"/>
      <c r="R650" s="3396"/>
      <c r="S650" s="3396"/>
      <c r="T650" s="3396"/>
      <c r="U650" s="3396"/>
      <c r="V650" s="3396"/>
      <c r="W650" s="3396"/>
      <c r="X650" s="3396"/>
      <c r="Y650" s="3396"/>
      <c r="Z650" s="3396"/>
      <c r="AA650" s="3396"/>
      <c r="AB650" s="3396"/>
      <c r="AC650" s="3396"/>
      <c r="AD650" s="3396"/>
      <c r="AE650" s="3396"/>
      <c r="AF650" s="3396"/>
      <c r="AG650" s="3396"/>
      <c r="AH650" s="3396"/>
      <c r="AI650" s="3396"/>
      <c r="AJ650" s="3396"/>
      <c r="AK650" s="3396"/>
      <c r="AL650" s="3396"/>
      <c r="AM650" s="3396"/>
      <c r="AN650" s="3396"/>
      <c r="AO650" s="3396"/>
      <c r="AP650" s="3396"/>
      <c r="AQ650" s="3396"/>
      <c r="AR650" s="3396"/>
      <c r="AS650" s="3396"/>
      <c r="AT650" s="3396"/>
      <c r="AU650" s="3396"/>
      <c r="AV650" s="3396"/>
      <c r="AW650" s="3396"/>
      <c r="AX650" s="3396"/>
      <c r="AY650" s="3396"/>
      <c r="AZ650" s="3396"/>
      <c r="BA650" s="3396"/>
      <c r="BB650" s="3396"/>
      <c r="BC650" s="3396"/>
      <c r="BD650" s="3396"/>
      <c r="BE650" s="3396"/>
      <c r="BF650" s="3396"/>
      <c r="BG650" s="3396"/>
      <c r="BH650" s="3396"/>
      <c r="BI650" s="3396"/>
      <c r="BJ650" s="3396"/>
      <c r="BK650" s="3396"/>
      <c r="BL650" s="3396"/>
      <c r="BM650" s="3396"/>
      <c r="BN650" s="3396"/>
    </row>
    <row r="651" spans="1:66">
      <c r="A651" s="3396"/>
      <c r="B651" s="3396"/>
      <c r="C651" s="3396"/>
      <c r="D651" s="3396"/>
      <c r="E651" s="3396"/>
      <c r="F651" s="3396"/>
      <c r="G651" s="3396"/>
      <c r="H651" s="3396"/>
      <c r="I651" s="3396"/>
      <c r="J651" s="3396"/>
      <c r="K651" s="3396"/>
      <c r="L651" s="3396"/>
      <c r="M651" s="3396"/>
      <c r="N651" s="3396"/>
      <c r="O651" s="3396"/>
      <c r="P651" s="3396"/>
      <c r="Q651" s="3396"/>
      <c r="R651" s="3396"/>
      <c r="S651" s="3396"/>
      <c r="T651" s="3396"/>
      <c r="U651" s="3396"/>
      <c r="V651" s="3396"/>
      <c r="W651" s="3396"/>
      <c r="X651" s="3396"/>
      <c r="Y651" s="3396"/>
      <c r="Z651" s="3396"/>
      <c r="AA651" s="3396"/>
      <c r="AB651" s="3396"/>
      <c r="AC651" s="3396"/>
      <c r="AD651" s="3396"/>
      <c r="AE651" s="3396"/>
      <c r="AF651" s="3396"/>
      <c r="AG651" s="3396"/>
      <c r="AH651" s="3396"/>
      <c r="AI651" s="3396"/>
      <c r="AJ651" s="3396"/>
      <c r="AK651" s="3396"/>
      <c r="AL651" s="3396"/>
      <c r="AM651" s="3396"/>
      <c r="AN651" s="3396"/>
      <c r="AO651" s="3396"/>
      <c r="AP651" s="3396"/>
      <c r="AQ651" s="3396"/>
      <c r="AR651" s="3396"/>
      <c r="AS651" s="3396"/>
      <c r="AT651" s="3396"/>
      <c r="AU651" s="3396"/>
      <c r="AV651" s="3396"/>
      <c r="AW651" s="3396"/>
      <c r="AX651" s="3396"/>
      <c r="AY651" s="3396"/>
      <c r="AZ651" s="3396"/>
      <c r="BA651" s="3396"/>
      <c r="BB651" s="3396"/>
      <c r="BC651" s="3396"/>
      <c r="BD651" s="3396"/>
      <c r="BE651" s="3396"/>
      <c r="BF651" s="3396"/>
      <c r="BG651" s="3396"/>
      <c r="BH651" s="3396"/>
      <c r="BI651" s="3396"/>
      <c r="BJ651" s="3396"/>
      <c r="BK651" s="3396"/>
      <c r="BL651" s="3396"/>
      <c r="BM651" s="3396"/>
      <c r="BN651" s="3396"/>
    </row>
    <row r="652" spans="1:66">
      <c r="A652" s="3396"/>
      <c r="B652" s="3396"/>
      <c r="C652" s="3396"/>
      <c r="D652" s="3396"/>
      <c r="E652" s="3396"/>
      <c r="F652" s="3396"/>
      <c r="G652" s="3396"/>
      <c r="H652" s="3396"/>
      <c r="I652" s="3396"/>
      <c r="J652" s="3396"/>
      <c r="K652" s="3396"/>
      <c r="L652" s="3396"/>
      <c r="M652" s="3396"/>
      <c r="N652" s="3396"/>
      <c r="O652" s="3396"/>
      <c r="P652" s="3396"/>
      <c r="Q652" s="3396"/>
      <c r="R652" s="3396"/>
      <c r="S652" s="3396"/>
      <c r="T652" s="3396"/>
      <c r="U652" s="3396"/>
      <c r="V652" s="3396"/>
      <c r="W652" s="3396"/>
      <c r="X652" s="3396"/>
      <c r="Y652" s="3396"/>
      <c r="Z652" s="3396"/>
      <c r="AA652" s="3396"/>
      <c r="AB652" s="3396"/>
      <c r="AC652" s="3396"/>
      <c r="AD652" s="3396"/>
      <c r="AE652" s="3396"/>
      <c r="AF652" s="3396"/>
      <c r="AG652" s="3396"/>
      <c r="AH652" s="3396"/>
      <c r="AI652" s="3396"/>
      <c r="AJ652" s="3396"/>
      <c r="AK652" s="3396"/>
      <c r="AL652" s="3396"/>
      <c r="AM652" s="3396"/>
      <c r="AN652" s="3396"/>
      <c r="AO652" s="3396"/>
      <c r="AP652" s="3396"/>
      <c r="AQ652" s="3396"/>
      <c r="AR652" s="3396"/>
      <c r="AS652" s="3396"/>
      <c r="AT652" s="3396"/>
      <c r="AU652" s="3396"/>
      <c r="AV652" s="3396"/>
      <c r="AW652" s="3396"/>
      <c r="AX652" s="3396"/>
      <c r="AY652" s="3396"/>
      <c r="AZ652" s="3396"/>
      <c r="BA652" s="3396"/>
      <c r="BB652" s="3396"/>
      <c r="BC652" s="3396"/>
      <c r="BD652" s="3396"/>
      <c r="BE652" s="3396"/>
      <c r="BF652" s="3396"/>
      <c r="BG652" s="3396"/>
      <c r="BH652" s="3396"/>
      <c r="BI652" s="3396"/>
      <c r="BJ652" s="3396"/>
      <c r="BK652" s="3396"/>
      <c r="BL652" s="3396"/>
      <c r="BM652" s="3396"/>
      <c r="BN652" s="3396"/>
    </row>
    <row r="653" spans="1:66">
      <c r="A653" s="3396"/>
      <c r="B653" s="3396"/>
      <c r="C653" s="3396"/>
      <c r="D653" s="3396"/>
      <c r="E653" s="3396"/>
      <c r="F653" s="3396"/>
      <c r="G653" s="3396"/>
      <c r="H653" s="3396"/>
      <c r="I653" s="3396"/>
      <c r="J653" s="3396"/>
      <c r="K653" s="3396"/>
      <c r="L653" s="3396"/>
      <c r="M653" s="3396"/>
      <c r="N653" s="3396"/>
      <c r="O653" s="3396"/>
      <c r="P653" s="3396"/>
      <c r="Q653" s="3396"/>
      <c r="R653" s="3396"/>
      <c r="S653" s="3396"/>
      <c r="T653" s="3396"/>
      <c r="U653" s="3396"/>
      <c r="V653" s="3396"/>
      <c r="W653" s="3396"/>
      <c r="X653" s="3396"/>
      <c r="Y653" s="3396"/>
      <c r="Z653" s="3396"/>
      <c r="AA653" s="3396"/>
      <c r="AB653" s="3396"/>
      <c r="AC653" s="3396"/>
      <c r="AD653" s="3396"/>
      <c r="AE653" s="3396"/>
      <c r="AF653" s="3396"/>
      <c r="AG653" s="3396"/>
      <c r="AH653" s="3396"/>
      <c r="AI653" s="3396"/>
      <c r="AJ653" s="3396"/>
      <c r="AK653" s="3396"/>
      <c r="AL653" s="3396"/>
      <c r="AM653" s="3396"/>
      <c r="AN653" s="3396"/>
      <c r="AO653" s="3396"/>
      <c r="AP653" s="3396"/>
      <c r="AQ653" s="3396"/>
      <c r="AR653" s="3396"/>
      <c r="AS653" s="3396"/>
      <c r="AT653" s="3396"/>
      <c r="AU653" s="3396"/>
      <c r="AV653" s="3396"/>
      <c r="AW653" s="3396"/>
      <c r="AX653" s="3396"/>
      <c r="AY653" s="3396"/>
      <c r="AZ653" s="3396"/>
      <c r="BA653" s="3396"/>
      <c r="BB653" s="3396"/>
      <c r="BC653" s="3396"/>
      <c r="BD653" s="3396"/>
      <c r="BE653" s="3396"/>
      <c r="BF653" s="3396"/>
      <c r="BG653" s="3396"/>
      <c r="BH653" s="3396"/>
      <c r="BI653" s="3396"/>
      <c r="BJ653" s="3396"/>
      <c r="BK653" s="3396"/>
      <c r="BL653" s="3396"/>
      <c r="BM653" s="3396"/>
      <c r="BN653" s="3396"/>
    </row>
    <row r="654" spans="1:66">
      <c r="A654" s="3396"/>
      <c r="B654" s="3396"/>
      <c r="C654" s="3396"/>
      <c r="D654" s="3396"/>
      <c r="E654" s="3396"/>
      <c r="F654" s="3396"/>
      <c r="G654" s="3396"/>
      <c r="H654" s="3396"/>
      <c r="I654" s="3396"/>
      <c r="J654" s="3396"/>
      <c r="K654" s="3396"/>
      <c r="L654" s="3396"/>
      <c r="M654" s="3396"/>
      <c r="N654" s="3396"/>
      <c r="O654" s="3396"/>
      <c r="P654" s="3396"/>
      <c r="Q654" s="3396"/>
      <c r="R654" s="3396"/>
      <c r="S654" s="3396"/>
      <c r="T654" s="3396"/>
      <c r="U654" s="3396"/>
      <c r="V654" s="3396"/>
      <c r="W654" s="3396"/>
      <c r="X654" s="3396"/>
      <c r="Y654" s="3396"/>
      <c r="Z654" s="3396"/>
      <c r="AA654" s="3396"/>
      <c r="AB654" s="3396"/>
      <c r="AC654" s="3396"/>
      <c r="AD654" s="3396"/>
      <c r="AE654" s="3396"/>
      <c r="AF654" s="3396"/>
      <c r="AG654" s="3396"/>
      <c r="AH654" s="3396"/>
      <c r="AI654" s="3396"/>
      <c r="AJ654" s="3396"/>
      <c r="AK654" s="3396"/>
      <c r="AL654" s="3396"/>
      <c r="AM654" s="3396"/>
      <c r="AN654" s="3396"/>
      <c r="AO654" s="3396"/>
      <c r="AP654" s="3396"/>
      <c r="AQ654" s="3396"/>
      <c r="AR654" s="3396"/>
      <c r="AS654" s="3396"/>
      <c r="AT654" s="3396"/>
      <c r="AU654" s="3396"/>
      <c r="AV654" s="3396"/>
      <c r="AW654" s="3396"/>
      <c r="AX654" s="3396"/>
      <c r="AY654" s="3396"/>
      <c r="AZ654" s="3396"/>
      <c r="BA654" s="3396"/>
      <c r="BB654" s="3396"/>
      <c r="BC654" s="3396"/>
      <c r="BD654" s="3396"/>
      <c r="BE654" s="3396"/>
      <c r="BF654" s="3396"/>
      <c r="BG654" s="3396"/>
      <c r="BH654" s="3396"/>
      <c r="BI654" s="3396"/>
      <c r="BJ654" s="3396"/>
      <c r="BK654" s="3396"/>
      <c r="BL654" s="3396"/>
      <c r="BM654" s="3396"/>
      <c r="BN654" s="3396"/>
    </row>
    <row r="655" spans="1:66">
      <c r="A655" s="3396"/>
      <c r="B655" s="3396"/>
      <c r="C655" s="3396"/>
      <c r="D655" s="3396"/>
      <c r="E655" s="3396"/>
      <c r="F655" s="3396"/>
      <c r="G655" s="3396"/>
      <c r="H655" s="3396"/>
      <c r="I655" s="3396"/>
      <c r="J655" s="3396"/>
      <c r="K655" s="3396"/>
      <c r="L655" s="3396"/>
      <c r="M655" s="3396"/>
      <c r="N655" s="3396"/>
      <c r="O655" s="3396"/>
      <c r="P655" s="3396"/>
      <c r="Q655" s="3396"/>
      <c r="R655" s="3396"/>
      <c r="S655" s="3396"/>
      <c r="T655" s="3396"/>
      <c r="U655" s="3396"/>
      <c r="V655" s="3396"/>
      <c r="W655" s="3396"/>
      <c r="X655" s="3396"/>
      <c r="Y655" s="3396"/>
      <c r="Z655" s="3396"/>
      <c r="AA655" s="3396"/>
      <c r="AB655" s="3396"/>
      <c r="AC655" s="3396"/>
      <c r="AD655" s="3396"/>
      <c r="AE655" s="3396"/>
      <c r="AF655" s="3396"/>
      <c r="AG655" s="3396"/>
      <c r="AH655" s="3396"/>
      <c r="AI655" s="3396"/>
      <c r="AJ655" s="3396"/>
      <c r="AK655" s="3396"/>
      <c r="AL655" s="3396"/>
      <c r="AM655" s="3396"/>
      <c r="AN655" s="3396"/>
      <c r="AO655" s="3396"/>
      <c r="AP655" s="3396"/>
      <c r="AQ655" s="3396"/>
      <c r="AR655" s="3396"/>
      <c r="AS655" s="3396"/>
      <c r="AT655" s="3396"/>
      <c r="AU655" s="3396"/>
      <c r="AV655" s="3396"/>
      <c r="AW655" s="3396"/>
      <c r="AX655" s="3396"/>
      <c r="AY655" s="3396"/>
      <c r="AZ655" s="3396"/>
      <c r="BA655" s="3396"/>
      <c r="BB655" s="3396"/>
      <c r="BC655" s="3396"/>
      <c r="BD655" s="3396"/>
      <c r="BE655" s="3396"/>
      <c r="BF655" s="3396"/>
      <c r="BG655" s="3396"/>
      <c r="BH655" s="3396"/>
      <c r="BI655" s="3396"/>
      <c r="BJ655" s="3396"/>
      <c r="BK655" s="3396"/>
      <c r="BL655" s="3396"/>
      <c r="BM655" s="3396"/>
      <c r="BN655" s="3396"/>
    </row>
    <row r="656" spans="1:66">
      <c r="A656" s="3396"/>
      <c r="B656" s="3396"/>
      <c r="C656" s="3396"/>
      <c r="D656" s="3396"/>
      <c r="E656" s="3396"/>
      <c r="F656" s="3396"/>
      <c r="G656" s="3396"/>
      <c r="H656" s="3396"/>
      <c r="I656" s="3396"/>
      <c r="J656" s="3396"/>
      <c r="K656" s="3396"/>
      <c r="L656" s="3396"/>
      <c r="M656" s="3396"/>
      <c r="N656" s="3396"/>
      <c r="O656" s="3396"/>
      <c r="P656" s="3396"/>
      <c r="Q656" s="3396"/>
      <c r="R656" s="3396"/>
      <c r="S656" s="3396"/>
      <c r="T656" s="3396"/>
      <c r="U656" s="3396"/>
      <c r="V656" s="3396"/>
      <c r="W656" s="3396"/>
      <c r="X656" s="3396"/>
      <c r="Y656" s="3396"/>
      <c r="Z656" s="3396"/>
      <c r="AA656" s="3396"/>
      <c r="AB656" s="3396"/>
      <c r="AC656" s="3396"/>
      <c r="AD656" s="3396"/>
      <c r="AE656" s="3396"/>
      <c r="AF656" s="3396"/>
      <c r="AG656" s="3396"/>
      <c r="AH656" s="3396"/>
      <c r="AI656" s="3396"/>
      <c r="AJ656" s="3396"/>
      <c r="AK656" s="3396"/>
      <c r="AL656" s="3396"/>
      <c r="AM656" s="3396"/>
      <c r="AN656" s="3396"/>
      <c r="AO656" s="3396"/>
      <c r="AP656" s="3396"/>
      <c r="AQ656" s="3396"/>
      <c r="AR656" s="3396"/>
      <c r="AS656" s="3396"/>
      <c r="AT656" s="3396"/>
      <c r="AU656" s="3396"/>
      <c r="AV656" s="3396"/>
      <c r="AW656" s="3396"/>
      <c r="AX656" s="3396"/>
      <c r="AY656" s="3396"/>
      <c r="AZ656" s="3396"/>
      <c r="BA656" s="3396"/>
      <c r="BB656" s="3396"/>
      <c r="BC656" s="3396"/>
      <c r="BD656" s="3396"/>
      <c r="BE656" s="3396"/>
      <c r="BF656" s="3396"/>
      <c r="BG656" s="3396"/>
      <c r="BH656" s="3396"/>
      <c r="BI656" s="3396"/>
      <c r="BJ656" s="3396"/>
      <c r="BK656" s="3396"/>
      <c r="BL656" s="3396"/>
      <c r="BM656" s="3396"/>
      <c r="BN656" s="3396"/>
    </row>
    <row r="657" spans="1:66">
      <c r="A657" s="3396"/>
      <c r="B657" s="3396"/>
      <c r="C657" s="3396"/>
      <c r="D657" s="3396"/>
      <c r="E657" s="3396"/>
      <c r="F657" s="3396"/>
      <c r="G657" s="3396"/>
      <c r="H657" s="3396"/>
      <c r="I657" s="3396"/>
      <c r="J657" s="3396"/>
      <c r="K657" s="3396"/>
      <c r="L657" s="3396"/>
      <c r="M657" s="3396"/>
      <c r="N657" s="3396"/>
      <c r="O657" s="3396"/>
      <c r="P657" s="3396"/>
      <c r="Q657" s="3396"/>
      <c r="R657" s="3396"/>
      <c r="S657" s="3396"/>
      <c r="T657" s="3396"/>
      <c r="U657" s="3396"/>
      <c r="V657" s="3396"/>
      <c r="W657" s="3396"/>
      <c r="X657" s="3396"/>
      <c r="Y657" s="3396"/>
      <c r="Z657" s="3396"/>
      <c r="AA657" s="3396"/>
      <c r="AB657" s="3396"/>
      <c r="AC657" s="3396"/>
      <c r="AD657" s="3396"/>
      <c r="AE657" s="3396"/>
      <c r="AF657" s="3396"/>
      <c r="AG657" s="3396"/>
      <c r="AH657" s="3396"/>
      <c r="AI657" s="3396"/>
      <c r="AJ657" s="3396"/>
      <c r="AK657" s="3396"/>
      <c r="AL657" s="3396"/>
      <c r="AM657" s="3396"/>
      <c r="AN657" s="3396"/>
      <c r="AO657" s="3396"/>
      <c r="AP657" s="3396"/>
      <c r="AQ657" s="3396"/>
      <c r="AR657" s="3396"/>
      <c r="AS657" s="3396"/>
      <c r="AT657" s="3396"/>
      <c r="AU657" s="3396"/>
      <c r="AV657" s="3396"/>
      <c r="AW657" s="3396"/>
      <c r="AX657" s="3396"/>
      <c r="AY657" s="3396"/>
      <c r="AZ657" s="3396"/>
      <c r="BA657" s="3396"/>
      <c r="BB657" s="3396"/>
      <c r="BC657" s="3396"/>
      <c r="BD657" s="3396"/>
      <c r="BE657" s="3396"/>
      <c r="BF657" s="3396"/>
      <c r="BG657" s="3396"/>
      <c r="BH657" s="3396"/>
      <c r="BI657" s="3396"/>
      <c r="BJ657" s="3396"/>
      <c r="BK657" s="3396"/>
      <c r="BL657" s="3396"/>
      <c r="BM657" s="3396"/>
      <c r="BN657" s="3396"/>
    </row>
    <row r="658" spans="1:66">
      <c r="A658" s="3396"/>
      <c r="B658" s="3396"/>
      <c r="C658" s="3396"/>
      <c r="D658" s="3396"/>
      <c r="E658" s="3396"/>
      <c r="F658" s="3396"/>
      <c r="G658" s="3396"/>
      <c r="H658" s="3396"/>
      <c r="I658" s="3396"/>
      <c r="J658" s="3396"/>
      <c r="K658" s="3396"/>
      <c r="L658" s="3396"/>
      <c r="M658" s="3396"/>
      <c r="N658" s="3396"/>
      <c r="O658" s="3396"/>
      <c r="P658" s="3396"/>
      <c r="Q658" s="3396"/>
      <c r="R658" s="3396"/>
      <c r="S658" s="3396"/>
      <c r="T658" s="3396"/>
      <c r="U658" s="3396"/>
      <c r="V658" s="3396"/>
      <c r="W658" s="3396"/>
      <c r="X658" s="3396"/>
      <c r="Y658" s="3396"/>
      <c r="Z658" s="3396"/>
      <c r="AA658" s="3396"/>
      <c r="AB658" s="3396"/>
      <c r="AC658" s="3396"/>
      <c r="AD658" s="3396"/>
      <c r="AE658" s="3396"/>
      <c r="AF658" s="3396"/>
      <c r="AG658" s="3396"/>
      <c r="AH658" s="3396"/>
      <c r="AI658" s="3396"/>
      <c r="AJ658" s="3396"/>
      <c r="AK658" s="3396"/>
      <c r="AL658" s="3396"/>
      <c r="AM658" s="3396"/>
      <c r="AN658" s="3396"/>
      <c r="AO658" s="3396"/>
      <c r="AP658" s="3396"/>
      <c r="AQ658" s="3396"/>
      <c r="AR658" s="3396"/>
      <c r="AS658" s="3396"/>
      <c r="AT658" s="3396"/>
      <c r="AU658" s="3396"/>
      <c r="AV658" s="3396"/>
      <c r="AW658" s="3396"/>
      <c r="AX658" s="3396"/>
      <c r="AY658" s="3396"/>
      <c r="AZ658" s="3396"/>
      <c r="BA658" s="3396"/>
      <c r="BB658" s="3396"/>
      <c r="BC658" s="3396"/>
      <c r="BD658" s="3396"/>
      <c r="BE658" s="3396"/>
      <c r="BF658" s="3396"/>
      <c r="BG658" s="3396"/>
      <c r="BH658" s="3396"/>
      <c r="BI658" s="3396"/>
      <c r="BJ658" s="3396"/>
      <c r="BK658" s="3396"/>
      <c r="BL658" s="3396"/>
      <c r="BM658" s="3396"/>
      <c r="BN658" s="3396"/>
    </row>
    <row r="659" spans="1:66">
      <c r="A659" s="3396"/>
      <c r="B659" s="3396"/>
      <c r="C659" s="3396"/>
      <c r="D659" s="3396"/>
      <c r="E659" s="3396"/>
      <c r="F659" s="3396"/>
      <c r="G659" s="3396"/>
      <c r="H659" s="3396"/>
      <c r="I659" s="3396"/>
      <c r="J659" s="3396"/>
      <c r="K659" s="3396"/>
      <c r="L659" s="3396"/>
      <c r="M659" s="3396"/>
      <c r="N659" s="3396"/>
      <c r="O659" s="3396"/>
      <c r="P659" s="3396"/>
      <c r="Q659" s="3396"/>
      <c r="R659" s="3396"/>
      <c r="S659" s="3396"/>
      <c r="T659" s="3396"/>
      <c r="U659" s="3396"/>
      <c r="V659" s="3396"/>
      <c r="W659" s="3396"/>
      <c r="X659" s="3396"/>
      <c r="Y659" s="3396"/>
      <c r="Z659" s="3396"/>
      <c r="AA659" s="3396"/>
      <c r="AB659" s="3396"/>
      <c r="AC659" s="3396"/>
      <c r="AD659" s="3396"/>
      <c r="AE659" s="3396"/>
      <c r="AF659" s="3396"/>
      <c r="AG659" s="3396"/>
      <c r="AH659" s="3396"/>
      <c r="AI659" s="3396"/>
      <c r="AJ659" s="3396"/>
      <c r="AK659" s="3396"/>
      <c r="AL659" s="3396"/>
      <c r="AM659" s="3396"/>
      <c r="AN659" s="3396"/>
      <c r="AO659" s="3396"/>
      <c r="AP659" s="3396"/>
      <c r="AQ659" s="3396"/>
      <c r="AR659" s="3396"/>
      <c r="AS659" s="3396"/>
      <c r="AT659" s="3396"/>
      <c r="AU659" s="3396"/>
      <c r="AV659" s="3396"/>
      <c r="AW659" s="3396"/>
      <c r="AX659" s="3396"/>
      <c r="AY659" s="3396"/>
      <c r="AZ659" s="3396"/>
      <c r="BA659" s="3396"/>
      <c r="BB659" s="3396"/>
      <c r="BC659" s="3396"/>
      <c r="BD659" s="3396"/>
      <c r="BE659" s="3396"/>
      <c r="BF659" s="3396"/>
      <c r="BG659" s="3396"/>
      <c r="BH659" s="3396"/>
      <c r="BI659" s="3396"/>
      <c r="BJ659" s="3396"/>
      <c r="BK659" s="3396"/>
      <c r="BL659" s="3396"/>
      <c r="BM659" s="3396"/>
      <c r="BN659" s="3396"/>
    </row>
    <row r="660" spans="1:66">
      <c r="A660" s="3396"/>
      <c r="B660" s="3396"/>
      <c r="C660" s="3396"/>
      <c r="D660" s="3396"/>
      <c r="E660" s="3396"/>
      <c r="F660" s="3396"/>
      <c r="G660" s="3396"/>
      <c r="H660" s="3396"/>
      <c r="I660" s="3396"/>
      <c r="J660" s="3396"/>
      <c r="K660" s="3396"/>
      <c r="L660" s="3396"/>
      <c r="M660" s="3396"/>
      <c r="N660" s="3396"/>
      <c r="O660" s="3396"/>
      <c r="P660" s="3396"/>
      <c r="Q660" s="3396"/>
      <c r="R660" s="3396"/>
      <c r="S660" s="3396"/>
      <c r="T660" s="3396"/>
      <c r="U660" s="3396"/>
      <c r="V660" s="3396"/>
      <c r="W660" s="3396"/>
      <c r="X660" s="3396"/>
      <c r="Y660" s="3396"/>
      <c r="Z660" s="3396"/>
      <c r="AA660" s="3396"/>
      <c r="AB660" s="3396"/>
      <c r="AC660" s="3396"/>
      <c r="AD660" s="3396"/>
      <c r="AE660" s="3396"/>
      <c r="AF660" s="3396"/>
      <c r="AG660" s="3396"/>
      <c r="AH660" s="3396"/>
      <c r="AI660" s="3396"/>
      <c r="AJ660" s="3396"/>
      <c r="AK660" s="3396"/>
      <c r="AL660" s="3396"/>
      <c r="AM660" s="3396"/>
      <c r="AN660" s="3396"/>
      <c r="AO660" s="3396"/>
      <c r="AP660" s="3396"/>
      <c r="AQ660" s="3396"/>
      <c r="AR660" s="3396"/>
      <c r="AS660" s="3396"/>
      <c r="AT660" s="3396"/>
      <c r="AU660" s="3396"/>
      <c r="AV660" s="3396"/>
      <c r="AW660" s="3396"/>
      <c r="AX660" s="3396"/>
      <c r="AY660" s="3396"/>
      <c r="AZ660" s="3396"/>
      <c r="BA660" s="3396"/>
      <c r="BB660" s="3396"/>
      <c r="BC660" s="3396"/>
      <c r="BD660" s="3396"/>
      <c r="BE660" s="3396"/>
      <c r="BF660" s="3396"/>
      <c r="BG660" s="3396"/>
      <c r="BH660" s="3396"/>
      <c r="BI660" s="3396"/>
      <c r="BJ660" s="3396"/>
      <c r="BK660" s="3396"/>
      <c r="BL660" s="3396"/>
      <c r="BM660" s="3396"/>
      <c r="BN660" s="3396"/>
    </row>
    <row r="661" spans="1:66">
      <c r="A661" s="3396"/>
      <c r="B661" s="3396"/>
      <c r="C661" s="3396"/>
      <c r="D661" s="3396"/>
      <c r="E661" s="3396"/>
      <c r="F661" s="3396"/>
      <c r="G661" s="3396"/>
      <c r="H661" s="3396"/>
      <c r="I661" s="3396"/>
      <c r="J661" s="3396"/>
      <c r="K661" s="3396"/>
      <c r="L661" s="3396"/>
      <c r="M661" s="3396"/>
      <c r="N661" s="3396"/>
      <c r="O661" s="3396"/>
      <c r="P661" s="3396"/>
      <c r="Q661" s="3396"/>
      <c r="R661" s="3396"/>
      <c r="S661" s="3396"/>
      <c r="T661" s="3396"/>
      <c r="U661" s="3396"/>
      <c r="V661" s="3396"/>
      <c r="W661" s="3396"/>
      <c r="X661" s="3396"/>
      <c r="Y661" s="3396"/>
      <c r="Z661" s="3396"/>
      <c r="AA661" s="3396"/>
      <c r="AB661" s="3396"/>
      <c r="AC661" s="3396"/>
      <c r="AD661" s="3396"/>
      <c r="AE661" s="3396"/>
      <c r="AF661" s="3396"/>
      <c r="AG661" s="3396"/>
      <c r="AH661" s="3396"/>
      <c r="AI661" s="3396"/>
      <c r="AJ661" s="3396"/>
      <c r="AK661" s="3396"/>
      <c r="AL661" s="3396"/>
      <c r="AM661" s="3396"/>
      <c r="AN661" s="3396"/>
      <c r="AO661" s="3396"/>
      <c r="AP661" s="3396"/>
      <c r="AQ661" s="3396"/>
      <c r="AR661" s="3396"/>
      <c r="AS661" s="3396"/>
      <c r="AT661" s="3396"/>
      <c r="AU661" s="3396"/>
      <c r="AV661" s="3396"/>
      <c r="AW661" s="3396"/>
      <c r="AX661" s="3396"/>
      <c r="AY661" s="3396"/>
      <c r="AZ661" s="3396"/>
      <c r="BA661" s="3396"/>
      <c r="BB661" s="3396"/>
      <c r="BC661" s="3396"/>
      <c r="BD661" s="3396"/>
      <c r="BE661" s="3396"/>
      <c r="BF661" s="3396"/>
      <c r="BG661" s="3396"/>
      <c r="BH661" s="3396"/>
      <c r="BI661" s="3396"/>
      <c r="BJ661" s="3396"/>
      <c r="BK661" s="3396"/>
      <c r="BL661" s="3396"/>
      <c r="BM661" s="3396"/>
      <c r="BN661" s="3396"/>
    </row>
    <row r="662" spans="1:66">
      <c r="A662" s="3396"/>
      <c r="B662" s="3396"/>
      <c r="C662" s="3396"/>
      <c r="D662" s="3396"/>
      <c r="E662" s="3396"/>
      <c r="F662" s="3396"/>
      <c r="G662" s="3396"/>
      <c r="H662" s="3396"/>
      <c r="I662" s="3396"/>
      <c r="J662" s="3396"/>
      <c r="K662" s="3396"/>
      <c r="L662" s="3396"/>
      <c r="M662" s="3396"/>
      <c r="N662" s="3396"/>
      <c r="O662" s="3396"/>
      <c r="P662" s="3396"/>
      <c r="Q662" s="3396"/>
      <c r="R662" s="3396"/>
      <c r="S662" s="3396"/>
      <c r="T662" s="3396"/>
      <c r="U662" s="3396"/>
      <c r="V662" s="3396"/>
      <c r="W662" s="3396"/>
      <c r="X662" s="3396"/>
      <c r="Y662" s="3396"/>
      <c r="Z662" s="3396"/>
      <c r="AA662" s="3396"/>
      <c r="AB662" s="3396"/>
      <c r="AC662" s="3396"/>
      <c r="AD662" s="3396"/>
      <c r="AE662" s="3396"/>
      <c r="AF662" s="3396"/>
      <c r="AG662" s="3396"/>
      <c r="AH662" s="3396"/>
      <c r="AI662" s="3396"/>
      <c r="AJ662" s="3396"/>
      <c r="AK662" s="3396"/>
      <c r="AL662" s="3396"/>
      <c r="AM662" s="3396"/>
      <c r="AN662" s="3396"/>
      <c r="AO662" s="3396"/>
      <c r="AP662" s="3396"/>
      <c r="AQ662" s="3396"/>
      <c r="AR662" s="3396"/>
      <c r="AS662" s="3396"/>
      <c r="AT662" s="3396"/>
      <c r="AU662" s="3396"/>
      <c r="AV662" s="3396"/>
      <c r="AW662" s="3396"/>
      <c r="AX662" s="3396"/>
      <c r="AY662" s="3396"/>
      <c r="AZ662" s="3396"/>
      <c r="BA662" s="3396"/>
      <c r="BB662" s="3396"/>
      <c r="BC662" s="3396"/>
      <c r="BD662" s="3396"/>
      <c r="BE662" s="3396"/>
      <c r="BF662" s="3396"/>
      <c r="BG662" s="3396"/>
      <c r="BH662" s="3396"/>
      <c r="BI662" s="3396"/>
      <c r="BJ662" s="3396"/>
      <c r="BK662" s="3396"/>
      <c r="BL662" s="3396"/>
      <c r="BM662" s="3396"/>
      <c r="BN662" s="3396"/>
    </row>
    <row r="663" spans="1:66">
      <c r="A663" s="3396"/>
      <c r="B663" s="3396"/>
      <c r="C663" s="3396"/>
      <c r="D663" s="3396"/>
      <c r="E663" s="3396"/>
      <c r="F663" s="3396"/>
      <c r="G663" s="3396"/>
      <c r="H663" s="3396"/>
      <c r="I663" s="3396"/>
      <c r="J663" s="3396"/>
      <c r="K663" s="3396"/>
      <c r="L663" s="3396"/>
      <c r="M663" s="3396"/>
      <c r="N663" s="3396"/>
      <c r="O663" s="3396"/>
      <c r="P663" s="3396"/>
      <c r="Q663" s="3396"/>
      <c r="R663" s="3396"/>
      <c r="S663" s="3396"/>
      <c r="T663" s="3396"/>
      <c r="U663" s="3396"/>
      <c r="V663" s="3396"/>
      <c r="W663" s="3396"/>
      <c r="X663" s="3396"/>
      <c r="Y663" s="3396"/>
      <c r="Z663" s="3396"/>
      <c r="AA663" s="3396"/>
      <c r="AB663" s="3396"/>
      <c r="AC663" s="3396"/>
      <c r="AD663" s="3396"/>
      <c r="AE663" s="3396"/>
      <c r="AF663" s="3396"/>
      <c r="AG663" s="3396"/>
      <c r="AH663" s="3396"/>
      <c r="AI663" s="3396"/>
      <c r="AJ663" s="3396"/>
      <c r="AK663" s="3396"/>
      <c r="AL663" s="3396"/>
      <c r="AM663" s="3396"/>
      <c r="AN663" s="3396"/>
      <c r="AO663" s="3396"/>
      <c r="AP663" s="3396"/>
      <c r="AQ663" s="3396"/>
      <c r="AR663" s="3396"/>
      <c r="AS663" s="3396"/>
      <c r="AT663" s="3396"/>
      <c r="AU663" s="3396"/>
      <c r="AV663" s="3396"/>
      <c r="AW663" s="3396"/>
      <c r="AX663" s="3396"/>
      <c r="AY663" s="3396"/>
      <c r="AZ663" s="3396"/>
      <c r="BA663" s="3396"/>
      <c r="BB663" s="3396"/>
      <c r="BC663" s="3396"/>
      <c r="BD663" s="3396"/>
      <c r="BE663" s="3396"/>
      <c r="BF663" s="3396"/>
      <c r="BG663" s="3396"/>
      <c r="BH663" s="3396"/>
      <c r="BI663" s="3396"/>
      <c r="BJ663" s="3396"/>
      <c r="BK663" s="3396"/>
      <c r="BL663" s="3396"/>
      <c r="BM663" s="3396"/>
      <c r="BN663" s="3396"/>
    </row>
    <row r="664" spans="1:66">
      <c r="A664" s="3396"/>
      <c r="B664" s="3396"/>
      <c r="C664" s="3396"/>
      <c r="D664" s="3396"/>
      <c r="E664" s="3396"/>
      <c r="F664" s="3396"/>
      <c r="G664" s="3396"/>
      <c r="H664" s="3396"/>
      <c r="I664" s="3396"/>
      <c r="J664" s="3396"/>
      <c r="K664" s="3396"/>
      <c r="L664" s="3396"/>
      <c r="M664" s="3396"/>
      <c r="N664" s="3396"/>
      <c r="O664" s="3396"/>
      <c r="P664" s="3396"/>
      <c r="Q664" s="3396"/>
      <c r="R664" s="3396"/>
      <c r="S664" s="3396"/>
      <c r="T664" s="3396"/>
      <c r="U664" s="3396"/>
      <c r="V664" s="3396"/>
      <c r="W664" s="3396"/>
      <c r="X664" s="3396"/>
      <c r="Y664" s="3396"/>
      <c r="Z664" s="3396"/>
      <c r="AA664" s="3396"/>
      <c r="AB664" s="3396"/>
      <c r="AC664" s="3396"/>
      <c r="AD664" s="3396"/>
      <c r="AE664" s="3396"/>
      <c r="AF664" s="3396"/>
      <c r="AG664" s="3396"/>
      <c r="AH664" s="3396"/>
      <c r="AI664" s="3396"/>
      <c r="AJ664" s="3396"/>
      <c r="AK664" s="3396"/>
      <c r="AL664" s="3396"/>
      <c r="AM664" s="3396"/>
      <c r="AN664" s="3396"/>
      <c r="AO664" s="3396"/>
      <c r="AP664" s="3396"/>
      <c r="AQ664" s="3396"/>
      <c r="AR664" s="3396"/>
      <c r="AS664" s="3396"/>
      <c r="AT664" s="3396"/>
      <c r="AU664" s="3396"/>
      <c r="AV664" s="3396"/>
      <c r="AW664" s="3396"/>
      <c r="AX664" s="3396"/>
      <c r="AY664" s="3396"/>
      <c r="AZ664" s="3396"/>
      <c r="BA664" s="3396"/>
      <c r="BB664" s="3396"/>
      <c r="BC664" s="3396"/>
      <c r="BD664" s="3396"/>
      <c r="BE664" s="3396"/>
      <c r="BF664" s="3396"/>
      <c r="BG664" s="3396"/>
      <c r="BH664" s="3396"/>
      <c r="BI664" s="3396"/>
      <c r="BJ664" s="3396"/>
      <c r="BK664" s="3396"/>
      <c r="BL664" s="3396"/>
      <c r="BM664" s="3396"/>
      <c r="BN664" s="3396"/>
    </row>
    <row r="665" spans="1:66">
      <c r="A665" s="3396"/>
      <c r="B665" s="3396"/>
      <c r="C665" s="3396"/>
      <c r="D665" s="3396"/>
      <c r="E665" s="3396"/>
      <c r="F665" s="3396"/>
      <c r="G665" s="3396"/>
      <c r="H665" s="3396"/>
      <c r="I665" s="3396"/>
      <c r="J665" s="3396"/>
      <c r="K665" s="3396"/>
      <c r="L665" s="3396"/>
      <c r="M665" s="3396"/>
      <c r="N665" s="3396"/>
      <c r="O665" s="3396"/>
      <c r="P665" s="3396"/>
      <c r="Q665" s="3396"/>
      <c r="R665" s="3396"/>
      <c r="S665" s="3396"/>
      <c r="T665" s="3396"/>
      <c r="U665" s="3396"/>
      <c r="V665" s="3396"/>
      <c r="W665" s="3396"/>
      <c r="X665" s="3396"/>
      <c r="Y665" s="3396"/>
      <c r="Z665" s="3396"/>
      <c r="AA665" s="3396"/>
      <c r="AB665" s="3396"/>
      <c r="AC665" s="3396"/>
      <c r="AD665" s="3396"/>
      <c r="AE665" s="3396"/>
      <c r="AF665" s="3396"/>
      <c r="AG665" s="3396"/>
      <c r="AH665" s="3396"/>
      <c r="AI665" s="3396"/>
      <c r="AJ665" s="3396"/>
      <c r="AK665" s="3396"/>
      <c r="AL665" s="3396"/>
      <c r="AM665" s="3396"/>
      <c r="AN665" s="3396"/>
      <c r="AO665" s="3396"/>
      <c r="AP665" s="3396"/>
      <c r="AQ665" s="3396"/>
      <c r="AR665" s="3396"/>
      <c r="AS665" s="3396"/>
      <c r="AT665" s="3396"/>
      <c r="AU665" s="3396"/>
      <c r="AV665" s="3396"/>
      <c r="AW665" s="3396"/>
      <c r="AX665" s="3396"/>
      <c r="AY665" s="3396"/>
      <c r="AZ665" s="3396"/>
      <c r="BA665" s="3396"/>
      <c r="BB665" s="3396"/>
      <c r="BC665" s="3396"/>
      <c r="BD665" s="3396"/>
      <c r="BE665" s="3396"/>
      <c r="BF665" s="3396"/>
      <c r="BG665" s="3396"/>
      <c r="BH665" s="3396"/>
      <c r="BI665" s="3396"/>
      <c r="BJ665" s="3396"/>
      <c r="BK665" s="3396"/>
      <c r="BL665" s="3396"/>
      <c r="BM665" s="3396"/>
      <c r="BN665" s="3396"/>
    </row>
    <row r="666" spans="1:66">
      <c r="A666" s="3396"/>
      <c r="B666" s="3396"/>
      <c r="C666" s="3396"/>
      <c r="D666" s="3396"/>
      <c r="E666" s="3396"/>
      <c r="F666" s="3396"/>
      <c r="G666" s="3396"/>
      <c r="H666" s="3396"/>
      <c r="I666" s="3396"/>
      <c r="J666" s="3396"/>
      <c r="K666" s="3396"/>
      <c r="L666" s="3396"/>
      <c r="M666" s="3396"/>
      <c r="N666" s="3396"/>
      <c r="O666" s="3396"/>
      <c r="P666" s="3396"/>
      <c r="Q666" s="3396"/>
      <c r="R666" s="3396"/>
      <c r="S666" s="3396"/>
      <c r="T666" s="3396"/>
      <c r="U666" s="3396"/>
      <c r="V666" s="3396"/>
      <c r="W666" s="3396"/>
      <c r="X666" s="3396"/>
      <c r="Y666" s="3396"/>
      <c r="Z666" s="3396"/>
      <c r="AA666" s="3396"/>
      <c r="AB666" s="3396"/>
      <c r="AC666" s="3396"/>
      <c r="AD666" s="3396"/>
      <c r="AE666" s="3396"/>
      <c r="AF666" s="3396"/>
      <c r="AG666" s="3396"/>
      <c r="AH666" s="3396"/>
      <c r="AI666" s="3396"/>
      <c r="AJ666" s="3396"/>
      <c r="AK666" s="3396"/>
      <c r="AL666" s="3396"/>
      <c r="AM666" s="3396"/>
      <c r="AN666" s="3396"/>
      <c r="AO666" s="3396"/>
      <c r="AP666" s="3396"/>
      <c r="AQ666" s="3396"/>
      <c r="AR666" s="3396"/>
      <c r="AS666" s="3396"/>
      <c r="AT666" s="3396"/>
      <c r="AU666" s="3396"/>
      <c r="AV666" s="3396"/>
      <c r="AW666" s="3396"/>
      <c r="AX666" s="3396"/>
      <c r="AY666" s="3396"/>
      <c r="AZ666" s="3396"/>
      <c r="BA666" s="3396"/>
      <c r="BB666" s="3396"/>
      <c r="BC666" s="3396"/>
      <c r="BD666" s="3396"/>
      <c r="BE666" s="3396"/>
      <c r="BF666" s="3396"/>
      <c r="BG666" s="3396"/>
      <c r="BH666" s="3396"/>
      <c r="BI666" s="3396"/>
      <c r="BJ666" s="3396"/>
      <c r="BK666" s="3396"/>
      <c r="BL666" s="3396"/>
      <c r="BM666" s="3396"/>
      <c r="BN666" s="3396"/>
    </row>
    <row r="667" spans="1:66">
      <c r="A667" s="3396"/>
      <c r="B667" s="3396"/>
      <c r="C667" s="3396"/>
      <c r="D667" s="3396"/>
      <c r="E667" s="3396"/>
      <c r="F667" s="3396"/>
      <c r="G667" s="3396"/>
      <c r="H667" s="3396"/>
      <c r="I667" s="3396"/>
      <c r="J667" s="3396"/>
      <c r="K667" s="3396"/>
      <c r="L667" s="3396"/>
      <c r="M667" s="3396"/>
      <c r="N667" s="3396"/>
      <c r="O667" s="3396"/>
      <c r="P667" s="3396"/>
      <c r="Q667" s="3396"/>
      <c r="R667" s="3396"/>
      <c r="S667" s="3396"/>
      <c r="T667" s="3396"/>
      <c r="U667" s="3396"/>
      <c r="V667" s="3396"/>
      <c r="W667" s="3396"/>
      <c r="X667" s="3396"/>
      <c r="Y667" s="3396"/>
      <c r="Z667" s="3396"/>
      <c r="AA667" s="3396"/>
      <c r="AB667" s="3396"/>
      <c r="AC667" s="3396"/>
      <c r="AD667" s="3396"/>
      <c r="AE667" s="3396"/>
      <c r="AF667" s="3396"/>
      <c r="AG667" s="3396"/>
      <c r="AH667" s="3396"/>
      <c r="AI667" s="3396"/>
      <c r="AJ667" s="3396"/>
      <c r="AK667" s="3396"/>
      <c r="AL667" s="3396"/>
      <c r="AM667" s="3396"/>
      <c r="AN667" s="3396"/>
      <c r="AO667" s="3396"/>
      <c r="AP667" s="3396"/>
      <c r="AQ667" s="3396"/>
      <c r="AR667" s="3396"/>
      <c r="AS667" s="3396"/>
      <c r="AT667" s="3396"/>
      <c r="AU667" s="3396"/>
      <c r="AV667" s="3396"/>
      <c r="AW667" s="3396"/>
      <c r="AX667" s="3396"/>
      <c r="AY667" s="3396"/>
      <c r="AZ667" s="3396"/>
      <c r="BA667" s="3396"/>
      <c r="BB667" s="3396"/>
      <c r="BC667" s="3396"/>
      <c r="BD667" s="3396"/>
      <c r="BE667" s="3396"/>
      <c r="BF667" s="3396"/>
      <c r="BG667" s="3396"/>
      <c r="BH667" s="3396"/>
      <c r="BI667" s="3396"/>
      <c r="BJ667" s="3396"/>
      <c r="BK667" s="3396"/>
      <c r="BL667" s="3396"/>
      <c r="BM667" s="3396"/>
      <c r="BN667" s="3396"/>
    </row>
    <row r="668" spans="1:66">
      <c r="A668" s="3396"/>
      <c r="B668" s="3396"/>
      <c r="C668" s="3396"/>
      <c r="D668" s="3396"/>
      <c r="E668" s="3396"/>
      <c r="F668" s="3396"/>
      <c r="G668" s="3396"/>
      <c r="H668" s="3396"/>
      <c r="I668" s="3396"/>
      <c r="J668" s="3396"/>
      <c r="K668" s="3396"/>
      <c r="L668" s="3396"/>
      <c r="M668" s="3396"/>
      <c r="N668" s="3396"/>
      <c r="O668" s="3396"/>
      <c r="P668" s="3396"/>
      <c r="Q668" s="3396"/>
      <c r="R668" s="3396"/>
      <c r="S668" s="3396"/>
      <c r="T668" s="3396"/>
      <c r="U668" s="3396"/>
      <c r="V668" s="3396"/>
      <c r="W668" s="3396"/>
      <c r="X668" s="3396"/>
      <c r="Y668" s="3396"/>
      <c r="Z668" s="3396"/>
      <c r="AA668" s="3396"/>
      <c r="AB668" s="3396"/>
      <c r="AC668" s="3396"/>
      <c r="AD668" s="3396"/>
      <c r="AE668" s="3396"/>
      <c r="AF668" s="3396"/>
      <c r="AG668" s="3396"/>
      <c r="AH668" s="3396"/>
      <c r="AI668" s="3396"/>
      <c r="AJ668" s="3396"/>
      <c r="AK668" s="3396"/>
      <c r="AL668" s="3396"/>
      <c r="AM668" s="3396"/>
      <c r="AN668" s="3396"/>
      <c r="AO668" s="3396"/>
      <c r="AP668" s="3396"/>
      <c r="AQ668" s="3396"/>
      <c r="AR668" s="3396"/>
      <c r="AS668" s="3396"/>
      <c r="AT668" s="3396"/>
      <c r="AU668" s="3396"/>
      <c r="AV668" s="3396"/>
      <c r="AW668" s="3396"/>
      <c r="AX668" s="3396"/>
      <c r="AY668" s="3396"/>
      <c r="AZ668" s="3396"/>
      <c r="BA668" s="3396"/>
      <c r="BB668" s="3396"/>
      <c r="BC668" s="3396"/>
      <c r="BD668" s="3396"/>
      <c r="BE668" s="3396"/>
      <c r="BF668" s="3396"/>
      <c r="BG668" s="3396"/>
      <c r="BH668" s="3396"/>
      <c r="BI668" s="3396"/>
      <c r="BJ668" s="3396"/>
      <c r="BK668" s="3396"/>
      <c r="BL668" s="3396"/>
      <c r="BM668" s="3396"/>
      <c r="BN668" s="3396"/>
    </row>
    <row r="669" spans="1:66">
      <c r="A669" s="3396"/>
      <c r="B669" s="3396"/>
      <c r="C669" s="3396"/>
      <c r="D669" s="3396"/>
      <c r="E669" s="3396"/>
      <c r="F669" s="3396"/>
      <c r="G669" s="3396"/>
      <c r="H669" s="3396"/>
      <c r="I669" s="3396"/>
      <c r="J669" s="3396"/>
      <c r="K669" s="3396"/>
      <c r="L669" s="3396"/>
      <c r="M669" s="3396"/>
      <c r="N669" s="3396"/>
      <c r="O669" s="3396"/>
      <c r="P669" s="3396"/>
      <c r="Q669" s="3396"/>
      <c r="R669" s="3396"/>
      <c r="S669" s="3396"/>
      <c r="T669" s="3396"/>
      <c r="U669" s="3396"/>
      <c r="V669" s="3396"/>
      <c r="W669" s="3396"/>
      <c r="X669" s="3396"/>
      <c r="Y669" s="3396"/>
      <c r="Z669" s="3396"/>
      <c r="AA669" s="3396"/>
      <c r="AB669" s="3396"/>
      <c r="AC669" s="3396"/>
      <c r="AD669" s="3396"/>
      <c r="AE669" s="3396"/>
      <c r="AF669" s="3396"/>
      <c r="AG669" s="3396"/>
      <c r="AH669" s="3396"/>
      <c r="AI669" s="3396"/>
      <c r="AJ669" s="3396"/>
      <c r="AK669" s="3396"/>
      <c r="AL669" s="3396"/>
      <c r="AM669" s="3396"/>
      <c r="AN669" s="3396"/>
      <c r="AO669" s="3396"/>
      <c r="AP669" s="3396"/>
      <c r="AQ669" s="3396"/>
      <c r="AR669" s="3396"/>
      <c r="AS669" s="3396"/>
      <c r="AT669" s="3396"/>
      <c r="AU669" s="3396"/>
      <c r="AV669" s="3396"/>
      <c r="AW669" s="3396"/>
      <c r="AX669" s="3396"/>
      <c r="AY669" s="3396"/>
      <c r="AZ669" s="3396"/>
      <c r="BA669" s="3396"/>
      <c r="BB669" s="3396"/>
      <c r="BC669" s="3396"/>
      <c r="BD669" s="3396"/>
      <c r="BE669" s="3396"/>
      <c r="BF669" s="3396"/>
      <c r="BG669" s="3396"/>
      <c r="BH669" s="3396"/>
      <c r="BI669" s="3396"/>
      <c r="BJ669" s="3396"/>
      <c r="BK669" s="3396"/>
      <c r="BL669" s="3396"/>
      <c r="BM669" s="3396"/>
      <c r="BN669" s="3396"/>
    </row>
    <row r="670" spans="1:66">
      <c r="A670" s="3396"/>
      <c r="B670" s="3396"/>
      <c r="C670" s="3396"/>
      <c r="D670" s="3396"/>
      <c r="E670" s="3396"/>
      <c r="F670" s="3396"/>
      <c r="G670" s="3396"/>
      <c r="H670" s="3396"/>
      <c r="I670" s="3396"/>
      <c r="J670" s="3396"/>
      <c r="K670" s="3396"/>
      <c r="L670" s="3396"/>
      <c r="M670" s="3396"/>
      <c r="N670" s="3396"/>
      <c r="O670" s="3396"/>
      <c r="P670" s="3396"/>
      <c r="Q670" s="3396"/>
      <c r="R670" s="3396"/>
      <c r="S670" s="3396"/>
      <c r="T670" s="3396"/>
      <c r="U670" s="3396"/>
      <c r="V670" s="3396"/>
      <c r="W670" s="3396"/>
      <c r="X670" s="3396"/>
      <c r="Y670" s="3396"/>
      <c r="Z670" s="3396"/>
      <c r="AA670" s="3396"/>
      <c r="AB670" s="3396"/>
      <c r="AC670" s="3396"/>
      <c r="AD670" s="3396"/>
      <c r="AE670" s="3396"/>
      <c r="AF670" s="3396"/>
      <c r="AG670" s="3396"/>
      <c r="AH670" s="3396"/>
      <c r="AI670" s="3396"/>
      <c r="AJ670" s="3396"/>
      <c r="AK670" s="3396"/>
      <c r="AL670" s="3396"/>
      <c r="AM670" s="3396"/>
      <c r="AN670" s="3396"/>
      <c r="AO670" s="3396"/>
      <c r="AP670" s="3396"/>
      <c r="AQ670" s="3396"/>
      <c r="AR670" s="3396"/>
      <c r="AS670" s="3396"/>
      <c r="AT670" s="3396"/>
      <c r="AU670" s="3396"/>
      <c r="AV670" s="3396"/>
      <c r="AW670" s="3396"/>
      <c r="AX670" s="3396"/>
      <c r="AY670" s="3396"/>
      <c r="AZ670" s="3396"/>
      <c r="BA670" s="3396"/>
      <c r="BB670" s="3396"/>
      <c r="BC670" s="3396"/>
      <c r="BD670" s="3396"/>
      <c r="BE670" s="3396"/>
      <c r="BF670" s="3396"/>
      <c r="BG670" s="3396"/>
      <c r="BH670" s="3396"/>
      <c r="BI670" s="3396"/>
      <c r="BJ670" s="3396"/>
      <c r="BK670" s="3396"/>
      <c r="BL670" s="3396"/>
      <c r="BM670" s="3396"/>
      <c r="BN670" s="3396"/>
    </row>
    <row r="671" spans="1:66">
      <c r="A671" s="3396"/>
      <c r="B671" s="3396"/>
      <c r="C671" s="3396"/>
      <c r="D671" s="3396"/>
      <c r="E671" s="3396"/>
      <c r="F671" s="3396"/>
      <c r="G671" s="3396"/>
      <c r="H671" s="3396"/>
      <c r="I671" s="3396"/>
      <c r="J671" s="3396"/>
      <c r="K671" s="3396"/>
      <c r="L671" s="3396"/>
      <c r="M671" s="3396"/>
      <c r="N671" s="3396"/>
      <c r="O671" s="3396"/>
      <c r="P671" s="3396"/>
      <c r="Q671" s="3396"/>
      <c r="R671" s="3396"/>
      <c r="S671" s="3396"/>
      <c r="T671" s="3396"/>
      <c r="U671" s="3396"/>
      <c r="V671" s="3396"/>
      <c r="W671" s="3396"/>
      <c r="X671" s="3396"/>
      <c r="Y671" s="3396"/>
      <c r="Z671" s="3396"/>
      <c r="AA671" s="3396"/>
      <c r="AB671" s="3396"/>
      <c r="AC671" s="3396"/>
      <c r="AD671" s="3396"/>
      <c r="AE671" s="3396"/>
      <c r="AF671" s="3396"/>
      <c r="AG671" s="3396"/>
      <c r="AH671" s="3396"/>
      <c r="AI671" s="3396"/>
      <c r="AJ671" s="3396"/>
      <c r="AK671" s="3396"/>
      <c r="AL671" s="3396"/>
      <c r="AM671" s="3396"/>
      <c r="AN671" s="3396"/>
      <c r="AO671" s="3396"/>
      <c r="AP671" s="3396"/>
      <c r="AQ671" s="3396"/>
      <c r="AR671" s="3396"/>
      <c r="AS671" s="3396"/>
      <c r="AT671" s="3396"/>
      <c r="AU671" s="3396"/>
      <c r="AV671" s="3396"/>
      <c r="AW671" s="3396"/>
      <c r="AX671" s="3396"/>
      <c r="AY671" s="3396"/>
      <c r="AZ671" s="3396"/>
      <c r="BA671" s="3396"/>
      <c r="BB671" s="3396"/>
      <c r="BC671" s="3396"/>
      <c r="BD671" s="3396"/>
      <c r="BE671" s="3396"/>
      <c r="BF671" s="3396"/>
      <c r="BG671" s="3396"/>
      <c r="BH671" s="3396"/>
      <c r="BI671" s="3396"/>
      <c r="BJ671" s="3396"/>
      <c r="BK671" s="3396"/>
      <c r="BL671" s="3396"/>
      <c r="BM671" s="3396"/>
      <c r="BN671" s="3396"/>
    </row>
    <row r="672" spans="1:66">
      <c r="A672" s="3396"/>
      <c r="B672" s="3396"/>
      <c r="C672" s="3396"/>
      <c r="D672" s="3396"/>
      <c r="E672" s="3396"/>
      <c r="F672" s="3396"/>
      <c r="G672" s="3396"/>
      <c r="H672" s="3396"/>
      <c r="I672" s="3396"/>
      <c r="J672" s="3396"/>
      <c r="K672" s="3396"/>
      <c r="L672" s="3396"/>
      <c r="M672" s="3396"/>
      <c r="N672" s="3396"/>
      <c r="O672" s="3396"/>
      <c r="P672" s="3396"/>
      <c r="Q672" s="3396"/>
      <c r="R672" s="3396"/>
      <c r="S672" s="3396"/>
      <c r="T672" s="3396"/>
      <c r="U672" s="3396"/>
      <c r="V672" s="3396"/>
      <c r="W672" s="3396"/>
      <c r="X672" s="3396"/>
      <c r="Y672" s="3396"/>
      <c r="Z672" s="3396"/>
      <c r="AA672" s="3396"/>
      <c r="AB672" s="3396"/>
      <c r="AC672" s="3396"/>
      <c r="AD672" s="3396"/>
      <c r="AE672" s="3396"/>
      <c r="AF672" s="3396"/>
      <c r="AG672" s="3396"/>
      <c r="AH672" s="3396"/>
      <c r="AI672" s="3396"/>
      <c r="AJ672" s="3396"/>
      <c r="AK672" s="3396"/>
      <c r="AL672" s="3396"/>
      <c r="AM672" s="3396"/>
      <c r="AN672" s="3396"/>
      <c r="AO672" s="3396"/>
      <c r="AP672" s="3396"/>
      <c r="AQ672" s="3396"/>
      <c r="AR672" s="3396"/>
      <c r="AS672" s="3396"/>
      <c r="AT672" s="3396"/>
      <c r="AU672" s="3396"/>
      <c r="AV672" s="3396"/>
      <c r="AW672" s="3396"/>
      <c r="AX672" s="3396"/>
      <c r="AY672" s="3396"/>
      <c r="AZ672" s="3396"/>
      <c r="BA672" s="3396"/>
      <c r="BB672" s="3396"/>
      <c r="BC672" s="3396"/>
      <c r="BD672" s="3396"/>
      <c r="BE672" s="3396"/>
      <c r="BF672" s="3396"/>
      <c r="BG672" s="3396"/>
      <c r="BH672" s="3396"/>
      <c r="BI672" s="3396"/>
      <c r="BJ672" s="3396"/>
      <c r="BK672" s="3396"/>
      <c r="BL672" s="3396"/>
      <c r="BM672" s="3396"/>
      <c r="BN672" s="3396"/>
    </row>
    <row r="673" spans="1:66">
      <c r="A673" s="3396"/>
      <c r="B673" s="3396"/>
      <c r="C673" s="3396"/>
      <c r="D673" s="3396"/>
      <c r="E673" s="3396"/>
      <c r="F673" s="3396"/>
      <c r="G673" s="3396"/>
      <c r="H673" s="3396"/>
      <c r="I673" s="3396"/>
      <c r="J673" s="3396"/>
      <c r="K673" s="3396"/>
      <c r="L673" s="3396"/>
      <c r="M673" s="3396"/>
      <c r="N673" s="3396"/>
      <c r="O673" s="3396"/>
      <c r="P673" s="3396"/>
      <c r="Q673" s="3396"/>
      <c r="R673" s="3396"/>
      <c r="S673" s="3396"/>
      <c r="T673" s="3396"/>
      <c r="U673" s="3396"/>
      <c r="V673" s="3396"/>
      <c r="W673" s="3396"/>
      <c r="X673" s="3396"/>
      <c r="Y673" s="3396"/>
      <c r="Z673" s="3396"/>
      <c r="AA673" s="3396"/>
      <c r="AB673" s="3396"/>
      <c r="AC673" s="3396"/>
      <c r="AD673" s="3396"/>
      <c r="AE673" s="3396"/>
      <c r="AF673" s="3396"/>
      <c r="AG673" s="3396"/>
      <c r="AH673" s="3396"/>
      <c r="AI673" s="3396"/>
      <c r="AJ673" s="3396"/>
      <c r="AK673" s="3396"/>
      <c r="AL673" s="3396"/>
      <c r="AM673" s="3396"/>
      <c r="AN673" s="3396"/>
      <c r="AO673" s="3396"/>
      <c r="AP673" s="3396"/>
      <c r="AQ673" s="3396"/>
      <c r="AR673" s="3396"/>
      <c r="AS673" s="3396"/>
      <c r="AT673" s="3396"/>
      <c r="AU673" s="3396"/>
      <c r="AV673" s="3396"/>
      <c r="AW673" s="3396"/>
      <c r="AX673" s="3396"/>
      <c r="AY673" s="3396"/>
      <c r="AZ673" s="3396"/>
      <c r="BA673" s="3396"/>
      <c r="BB673" s="3396"/>
      <c r="BC673" s="3396"/>
      <c r="BD673" s="3396"/>
      <c r="BE673" s="3396"/>
      <c r="BF673" s="3396"/>
      <c r="BG673" s="3396"/>
      <c r="BH673" s="3396"/>
      <c r="BI673" s="3396"/>
      <c r="BJ673" s="3396"/>
      <c r="BK673" s="3396"/>
      <c r="BL673" s="3396"/>
      <c r="BM673" s="3396"/>
      <c r="BN673" s="3396"/>
    </row>
    <row r="674" ht="15.75" customHeight="1" spans="1:66">
      <c r="A674" s="3396"/>
      <c r="B674" s="3396"/>
      <c r="C674" s="3396"/>
      <c r="D674" s="3396"/>
      <c r="E674" s="3396"/>
      <c r="F674" s="3396"/>
      <c r="G674" s="3396"/>
      <c r="H674" s="3396"/>
      <c r="I674" s="3396"/>
      <c r="J674" s="3396"/>
      <c r="K674" s="3396"/>
      <c r="L674" s="3396"/>
      <c r="M674" s="3396"/>
      <c r="N674" s="3396"/>
      <c r="O674" s="3396"/>
      <c r="P674" s="3396"/>
      <c r="Q674" s="3396"/>
      <c r="R674" s="3396"/>
      <c r="S674" s="3396"/>
      <c r="T674" s="3396"/>
      <c r="U674" s="3396"/>
      <c r="V674" s="3396"/>
      <c r="W674" s="3396"/>
      <c r="X674" s="3396"/>
      <c r="Y674" s="3396"/>
      <c r="Z674" s="3396"/>
      <c r="AA674" s="3396"/>
      <c r="AB674" s="3396"/>
      <c r="AC674" s="3396"/>
      <c r="AD674" s="3396"/>
      <c r="AE674" s="3396"/>
      <c r="AF674" s="3396"/>
      <c r="AG674" s="3396"/>
      <c r="AH674" s="3396"/>
      <c r="AI674" s="3396"/>
      <c r="AJ674" s="3396"/>
      <c r="AK674" s="3396"/>
      <c r="AL674" s="3396"/>
      <c r="AM674" s="3396"/>
      <c r="AN674" s="3396"/>
      <c r="AO674" s="3396"/>
      <c r="AP674" s="3396"/>
      <c r="AQ674" s="3396"/>
      <c r="AR674" s="3396"/>
      <c r="AS674" s="3396"/>
      <c r="AT674" s="3396"/>
      <c r="AU674" s="3396"/>
      <c r="AV674" s="3396"/>
      <c r="AW674" s="3396"/>
      <c r="AX674" s="3396"/>
      <c r="AY674" s="3396"/>
      <c r="AZ674" s="3396"/>
      <c r="BA674" s="3396"/>
      <c r="BB674" s="3396"/>
      <c r="BC674" s="3396"/>
      <c r="BD674" s="3396"/>
      <c r="BE674" s="3396"/>
      <c r="BF674" s="3396"/>
      <c r="BG674" s="3396"/>
      <c r="BH674" s="3396"/>
      <c r="BI674" s="3396"/>
      <c r="BJ674" s="3396"/>
      <c r="BK674" s="3396"/>
      <c r="BL674" s="3396"/>
      <c r="BM674" s="3396"/>
      <c r="BN674" s="3396"/>
    </row>
    <row r="675" spans="1:66">
      <c r="A675" s="3396"/>
      <c r="B675" s="3396"/>
      <c r="C675" s="3396"/>
      <c r="D675" s="3396"/>
      <c r="E675" s="3396"/>
      <c r="F675" s="3396"/>
      <c r="G675" s="3396"/>
      <c r="H675" s="3396"/>
      <c r="I675" s="3396"/>
      <c r="J675" s="3396"/>
      <c r="K675" s="3396"/>
      <c r="L675" s="3396"/>
      <c r="M675" s="3396"/>
      <c r="N675" s="3396"/>
      <c r="O675" s="3396"/>
      <c r="P675" s="3396"/>
      <c r="Q675" s="3396"/>
      <c r="R675" s="3396"/>
      <c r="S675" s="3396"/>
      <c r="T675" s="3396"/>
      <c r="U675" s="3396"/>
      <c r="V675" s="3396"/>
      <c r="W675" s="3396"/>
      <c r="X675" s="3396"/>
      <c r="Y675" s="3396"/>
      <c r="Z675" s="3396"/>
      <c r="AA675" s="3396"/>
      <c r="AB675" s="3396"/>
      <c r="AC675" s="3396"/>
      <c r="AD675" s="3396"/>
      <c r="AE675" s="3396"/>
      <c r="AF675" s="3396"/>
      <c r="AG675" s="3396"/>
      <c r="AH675" s="3396"/>
      <c r="AI675" s="3396"/>
      <c r="AJ675" s="3396"/>
      <c r="AK675" s="3396"/>
      <c r="AL675" s="3396"/>
      <c r="AM675" s="3396"/>
      <c r="AN675" s="3396"/>
      <c r="AO675" s="3396"/>
      <c r="AP675" s="3396"/>
      <c r="AQ675" s="3396"/>
      <c r="AR675" s="3396"/>
      <c r="AS675" s="3396"/>
      <c r="AT675" s="3396"/>
      <c r="AU675" s="3396"/>
      <c r="AV675" s="3396"/>
      <c r="AW675" s="3396"/>
      <c r="AX675" s="3396"/>
      <c r="AY675" s="3396"/>
      <c r="AZ675" s="3396"/>
      <c r="BA675" s="3396"/>
      <c r="BB675" s="3396"/>
      <c r="BC675" s="3396"/>
      <c r="BD675" s="3396"/>
      <c r="BE675" s="3396"/>
      <c r="BF675" s="3396"/>
      <c r="BG675" s="3396"/>
      <c r="BH675" s="3396"/>
      <c r="BI675" s="3396"/>
      <c r="BJ675" s="3396"/>
      <c r="BK675" s="3396"/>
      <c r="BL675" s="3396"/>
      <c r="BM675" s="3396"/>
      <c r="BN675" s="3396"/>
    </row>
    <row r="676" spans="1:66">
      <c r="A676" s="3396"/>
      <c r="B676" s="3396"/>
      <c r="C676" s="3396"/>
      <c r="D676" s="3396"/>
      <c r="E676" s="3396"/>
      <c r="F676" s="3396"/>
      <c r="G676" s="3396"/>
      <c r="H676" s="3396"/>
      <c r="I676" s="3396"/>
      <c r="J676" s="3396"/>
      <c r="K676" s="3396"/>
      <c r="L676" s="3396"/>
      <c r="M676" s="3396"/>
      <c r="N676" s="3396"/>
      <c r="O676" s="3396"/>
      <c r="P676" s="3396"/>
      <c r="Q676" s="3396"/>
      <c r="R676" s="3396"/>
      <c r="S676" s="3396"/>
      <c r="T676" s="3396"/>
      <c r="U676" s="3396"/>
      <c r="V676" s="3396"/>
      <c r="W676" s="3396"/>
      <c r="X676" s="3396"/>
      <c r="Y676" s="3396"/>
      <c r="Z676" s="3396"/>
      <c r="AA676" s="3396"/>
      <c r="AB676" s="3396"/>
      <c r="AC676" s="3396"/>
      <c r="AD676" s="3396"/>
      <c r="AE676" s="3396"/>
      <c r="AF676" s="3396"/>
      <c r="AG676" s="3396"/>
      <c r="AH676" s="3396"/>
      <c r="AI676" s="3396"/>
      <c r="AJ676" s="3396"/>
      <c r="AK676" s="3396"/>
      <c r="AL676" s="3396"/>
      <c r="AM676" s="3396"/>
      <c r="AN676" s="3396"/>
      <c r="AO676" s="3396"/>
      <c r="AP676" s="3396"/>
      <c r="AQ676" s="3396"/>
      <c r="AR676" s="3396"/>
      <c r="AS676" s="3396"/>
      <c r="AT676" s="3396"/>
      <c r="AU676" s="3396"/>
      <c r="AV676" s="3396"/>
      <c r="AW676" s="3396"/>
      <c r="AX676" s="3396"/>
      <c r="AY676" s="3396"/>
      <c r="AZ676" s="3396"/>
      <c r="BA676" s="3396"/>
      <c r="BB676" s="3396"/>
      <c r="BC676" s="3396"/>
      <c r="BD676" s="3396"/>
      <c r="BE676" s="3396"/>
      <c r="BF676" s="3396"/>
      <c r="BG676" s="3396"/>
      <c r="BH676" s="3396"/>
      <c r="BI676" s="3396"/>
      <c r="BJ676" s="3396"/>
      <c r="BK676" s="3396"/>
      <c r="BL676" s="3396"/>
      <c r="BM676" s="3396"/>
      <c r="BN676" s="3396"/>
    </row>
    <row r="677" spans="1:66">
      <c r="A677" s="3396"/>
      <c r="B677" s="3396"/>
      <c r="C677" s="3396"/>
      <c r="D677" s="3396"/>
      <c r="E677" s="3396"/>
      <c r="F677" s="3396"/>
      <c r="G677" s="3396"/>
      <c r="H677" s="3396"/>
      <c r="I677" s="3396"/>
      <c r="J677" s="3396"/>
      <c r="K677" s="3396"/>
      <c r="L677" s="3396"/>
      <c r="M677" s="3396"/>
      <c r="N677" s="3396"/>
      <c r="O677" s="3396"/>
      <c r="P677" s="3396"/>
      <c r="Q677" s="3396"/>
      <c r="R677" s="3396"/>
      <c r="S677" s="3396"/>
      <c r="T677" s="3396"/>
      <c r="U677" s="3396"/>
      <c r="V677" s="3396"/>
      <c r="W677" s="3396"/>
      <c r="X677" s="3396"/>
      <c r="Y677" s="3396"/>
      <c r="Z677" s="3396"/>
      <c r="AA677" s="3396"/>
      <c r="AB677" s="3396"/>
      <c r="AC677" s="3396"/>
      <c r="AD677" s="3396"/>
      <c r="AE677" s="3396"/>
      <c r="AF677" s="3396"/>
      <c r="AG677" s="3396"/>
      <c r="AH677" s="3396"/>
      <c r="AI677" s="3396"/>
      <c r="AJ677" s="3396"/>
      <c r="AK677" s="3396"/>
      <c r="AL677" s="3396"/>
      <c r="AM677" s="3396"/>
      <c r="AN677" s="3396"/>
      <c r="AO677" s="3396"/>
      <c r="AP677" s="3396"/>
      <c r="AQ677" s="3396"/>
      <c r="AR677" s="3396"/>
      <c r="AS677" s="3396"/>
      <c r="AT677" s="3396"/>
      <c r="AU677" s="3396"/>
      <c r="AV677" s="3396"/>
      <c r="AW677" s="3396"/>
      <c r="AX677" s="3396"/>
      <c r="AY677" s="3396"/>
      <c r="AZ677" s="3396"/>
      <c r="BA677" s="3396"/>
      <c r="BB677" s="3396"/>
      <c r="BC677" s="3396"/>
      <c r="BD677" s="3396"/>
      <c r="BE677" s="3396"/>
      <c r="BF677" s="3396"/>
      <c r="BG677" s="3396"/>
      <c r="BH677" s="3396"/>
      <c r="BI677" s="3396"/>
      <c r="BJ677" s="3396"/>
      <c r="BK677" s="3396"/>
      <c r="BL677" s="3396"/>
      <c r="BM677" s="3396"/>
      <c r="BN677" s="3396"/>
    </row>
    <row r="678" spans="1:66">
      <c r="A678" s="3396"/>
      <c r="B678" s="3396"/>
      <c r="C678" s="3396"/>
      <c r="D678" s="3396"/>
      <c r="E678" s="3396"/>
      <c r="F678" s="3396"/>
      <c r="G678" s="3396"/>
      <c r="H678" s="3396"/>
      <c r="I678" s="3396"/>
      <c r="J678" s="3396"/>
      <c r="K678" s="3396"/>
      <c r="L678" s="3396"/>
      <c r="M678" s="3396"/>
      <c r="N678" s="3396"/>
      <c r="O678" s="3396"/>
      <c r="P678" s="3396"/>
      <c r="Q678" s="3396"/>
      <c r="R678" s="3396"/>
      <c r="S678" s="3396"/>
      <c r="T678" s="3396"/>
      <c r="U678" s="3396"/>
      <c r="V678" s="3396"/>
      <c r="W678" s="3396"/>
      <c r="X678" s="3396"/>
      <c r="Y678" s="3396"/>
      <c r="Z678" s="3396"/>
      <c r="AA678" s="3396"/>
      <c r="AB678" s="3396"/>
      <c r="AC678" s="3396"/>
      <c r="AD678" s="3396"/>
      <c r="AE678" s="3396"/>
      <c r="AF678" s="3396"/>
      <c r="AG678" s="3396"/>
      <c r="AH678" s="3396"/>
      <c r="AI678" s="3396"/>
      <c r="AJ678" s="3396"/>
      <c r="AK678" s="3396"/>
      <c r="AL678" s="3396"/>
      <c r="AM678" s="3396"/>
      <c r="AN678" s="3396"/>
      <c r="AO678" s="3396"/>
      <c r="AP678" s="3396"/>
      <c r="AQ678" s="3396"/>
      <c r="AR678" s="3396"/>
      <c r="AS678" s="3396"/>
      <c r="AT678" s="3396"/>
      <c r="AU678" s="3396"/>
      <c r="AV678" s="3396"/>
      <c r="AW678" s="3396"/>
      <c r="AX678" s="3396"/>
      <c r="AY678" s="3396"/>
      <c r="AZ678" s="3396"/>
      <c r="BA678" s="3396"/>
      <c r="BB678" s="3396"/>
      <c r="BC678" s="3396"/>
      <c r="BD678" s="3396"/>
      <c r="BE678" s="3396"/>
      <c r="BF678" s="3396"/>
      <c r="BG678" s="3396"/>
      <c r="BH678" s="3396"/>
      <c r="BI678" s="3396"/>
      <c r="BJ678" s="3396"/>
      <c r="BK678" s="3396"/>
      <c r="BL678" s="3396"/>
      <c r="BM678" s="3396"/>
      <c r="BN678" s="3396"/>
    </row>
    <row r="679" spans="1:66">
      <c r="A679" s="3396"/>
      <c r="B679" s="3396"/>
      <c r="C679" s="3396"/>
      <c r="D679" s="3396"/>
      <c r="E679" s="3396"/>
      <c r="F679" s="3396"/>
      <c r="G679" s="3396"/>
      <c r="H679" s="3396"/>
      <c r="I679" s="3396"/>
      <c r="J679" s="3396"/>
      <c r="K679" s="3396"/>
      <c r="L679" s="3396"/>
      <c r="M679" s="3396"/>
      <c r="N679" s="3396"/>
      <c r="O679" s="3396"/>
      <c r="P679" s="3396"/>
      <c r="Q679" s="3396"/>
      <c r="R679" s="3396"/>
      <c r="S679" s="3396"/>
      <c r="T679" s="3396"/>
      <c r="U679" s="3396"/>
      <c r="V679" s="3396"/>
      <c r="W679" s="3396"/>
      <c r="X679" s="3396"/>
      <c r="Y679" s="3396"/>
      <c r="Z679" s="3396"/>
      <c r="AA679" s="3396"/>
      <c r="AB679" s="3396"/>
      <c r="AC679" s="3396"/>
      <c r="AD679" s="3396"/>
      <c r="AE679" s="3396"/>
      <c r="AF679" s="3396"/>
      <c r="AG679" s="3396"/>
      <c r="AH679" s="3396"/>
      <c r="AI679" s="3396"/>
      <c r="AJ679" s="3396"/>
      <c r="AK679" s="3396"/>
      <c r="AL679" s="3396"/>
      <c r="AM679" s="3396"/>
      <c r="AN679" s="3396"/>
      <c r="AO679" s="3396"/>
      <c r="AP679" s="3396"/>
      <c r="AQ679" s="3396"/>
      <c r="AR679" s="3396"/>
      <c r="AS679" s="3396"/>
      <c r="AT679" s="3396"/>
      <c r="AU679" s="3396"/>
      <c r="AV679" s="3396"/>
      <c r="AW679" s="3396"/>
      <c r="AX679" s="3396"/>
      <c r="AY679" s="3396"/>
      <c r="AZ679" s="3396"/>
      <c r="BA679" s="3396"/>
      <c r="BB679" s="3396"/>
      <c r="BC679" s="3396"/>
      <c r="BD679" s="3396"/>
      <c r="BE679" s="3396"/>
      <c r="BF679" s="3396"/>
      <c r="BG679" s="3396"/>
      <c r="BH679" s="3396"/>
      <c r="BI679" s="3396"/>
      <c r="BJ679" s="3396"/>
      <c r="BK679" s="3396"/>
      <c r="BL679" s="3396"/>
      <c r="BM679" s="3396"/>
      <c r="BN679" s="3396"/>
    </row>
  </sheetData>
  <mergeCells count="9">
    <mergeCell ref="F410:G410"/>
    <mergeCell ref="F411:G411"/>
    <mergeCell ref="F412:G412"/>
    <mergeCell ref="E621:G621"/>
    <mergeCell ref="E623:G623"/>
    <mergeCell ref="E624:G624"/>
    <mergeCell ref="E625:G625"/>
    <mergeCell ref="J13:AA16"/>
    <mergeCell ref="J4:AA12"/>
  </mergeCells>
  <conditionalFormatting sqref="K1:AP2">
    <cfRule type="expression" dxfId="9" priority="1">
      <formula>Baza!$D$9=2</formula>
    </cfRule>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59">
    <tabColor theme="9" tint="0.399975585192419"/>
    <pageSetUpPr fitToPage="1"/>
  </sheetPr>
  <dimension ref="A1:AP111"/>
  <sheetViews>
    <sheetView showGridLines="0" topLeftCell="A16" workbookViewId="0">
      <selection activeCell="AG66" sqref="AG66:AP66"/>
    </sheetView>
  </sheetViews>
  <sheetFormatPr defaultColWidth="2.42857142857143" defaultRowHeight="12"/>
  <cols>
    <col min="1" max="1" width="2" style="690" customWidth="1"/>
    <col min="2" max="2" width="2.85714285714286" style="690" customWidth="1"/>
    <col min="3" max="7" width="2.71428571428571" style="690" customWidth="1"/>
    <col min="8" max="23" width="2.42857142857143" style="690"/>
    <col min="24" max="24" width="2.57142857142857" style="690" customWidth="1"/>
    <col min="25" max="16384" width="2.42857142857143" style="690"/>
  </cols>
  <sheetData>
    <row r="1" s="687" customFormat="1" ht="15.75" customHeight="1" spans="1:42">
      <c r="A1" s="2904" t="s">
        <v>6488</v>
      </c>
      <c r="B1" s="2905"/>
      <c r="C1" s="2905"/>
      <c r="D1" s="2905"/>
      <c r="E1" s="2905"/>
      <c r="F1" s="2905"/>
      <c r="G1" s="2905"/>
      <c r="H1" s="2905"/>
      <c r="I1" s="2905"/>
      <c r="J1" s="2905"/>
      <c r="K1" s="2905"/>
      <c r="L1" s="2905"/>
      <c r="M1" s="2905"/>
      <c r="N1" s="2905"/>
      <c r="O1" s="2905"/>
      <c r="P1" s="2905"/>
      <c r="Q1" s="2905"/>
      <c r="R1" s="2905"/>
      <c r="S1" s="2905"/>
      <c r="T1" s="2905"/>
      <c r="U1" s="2906"/>
      <c r="V1" s="2904" t="s">
        <v>6489</v>
      </c>
      <c r="W1" s="2905"/>
      <c r="X1" s="2905"/>
      <c r="Y1" s="2905"/>
      <c r="Z1" s="2905"/>
      <c r="AA1" s="2905"/>
      <c r="AB1" s="2905"/>
      <c r="AC1" s="2905"/>
      <c r="AD1" s="2905"/>
      <c r="AE1" s="2905"/>
      <c r="AF1" s="2905"/>
      <c r="AG1" s="2905"/>
      <c r="AH1" s="2905"/>
      <c r="AI1" s="2905"/>
      <c r="AJ1" s="2905"/>
      <c r="AK1" s="2905"/>
      <c r="AL1" s="2905"/>
      <c r="AM1" s="2905"/>
      <c r="AN1" s="2905"/>
      <c r="AO1" s="2905"/>
      <c r="AP1" s="2906"/>
    </row>
    <row r="2" customHeight="1" spans="1:42">
      <c r="A2" s="3292" t="s">
        <v>6490</v>
      </c>
      <c r="B2" s="3293"/>
      <c r="C2" s="3293"/>
      <c r="D2" s="3293"/>
      <c r="E2" s="3293"/>
      <c r="F2" s="3293"/>
      <c r="G2" s="3293"/>
      <c r="H2" s="3293"/>
      <c r="I2" s="3293"/>
      <c r="J2" s="3293"/>
      <c r="K2" s="3293"/>
      <c r="L2" s="3293"/>
      <c r="M2" s="3293"/>
      <c r="N2" s="3293"/>
      <c r="O2" s="3293"/>
      <c r="P2" s="3293"/>
      <c r="Q2" s="3293"/>
      <c r="R2" s="3293"/>
      <c r="S2" s="3293"/>
      <c r="T2" s="3293"/>
      <c r="U2" s="3294"/>
      <c r="V2" s="2910"/>
      <c r="W2" s="687"/>
      <c r="X2" s="687"/>
      <c r="Y2" s="687"/>
      <c r="Z2" s="687"/>
      <c r="AA2" s="687"/>
      <c r="AB2" s="687"/>
      <c r="AC2" s="687"/>
      <c r="AD2" s="687"/>
      <c r="AE2" s="687"/>
      <c r="AF2" s="687"/>
      <c r="AG2" s="687"/>
      <c r="AH2" s="687"/>
      <c r="AI2" s="687"/>
      <c r="AJ2" s="687"/>
      <c r="AK2" s="687"/>
      <c r="AL2" s="687"/>
      <c r="AM2" s="687"/>
      <c r="AN2" s="687"/>
      <c r="AO2" s="687"/>
      <c r="AP2" s="746"/>
    </row>
    <row r="3" customHeight="1" spans="1:42">
      <c r="A3" s="3295" t="s">
        <v>6491</v>
      </c>
      <c r="B3" s="3296"/>
      <c r="C3" s="3296"/>
      <c r="D3" s="3296"/>
      <c r="E3" s="3296"/>
      <c r="F3" s="3296"/>
      <c r="G3" s="3296"/>
      <c r="H3" s="3296"/>
      <c r="I3" s="3296"/>
      <c r="J3" s="3296"/>
      <c r="K3" s="3296"/>
      <c r="L3" s="3296"/>
      <c r="M3" s="3296"/>
      <c r="N3" s="3296"/>
      <c r="O3" s="3296"/>
      <c r="P3" s="3296"/>
      <c r="Q3" s="3296"/>
      <c r="R3" s="3296"/>
      <c r="S3" s="3296"/>
      <c r="T3" s="3296"/>
      <c r="U3" s="3297"/>
      <c r="V3" s="2910"/>
      <c r="W3" s="687"/>
      <c r="X3" s="687"/>
      <c r="Y3" s="687"/>
      <c r="Z3" s="687"/>
      <c r="AA3" s="687"/>
      <c r="AB3" s="687"/>
      <c r="AC3" s="687"/>
      <c r="AD3" s="687"/>
      <c r="AE3" s="687"/>
      <c r="AF3" s="687"/>
      <c r="AG3" s="687"/>
      <c r="AH3" s="687"/>
      <c r="AI3" s="687"/>
      <c r="AJ3" s="687"/>
      <c r="AK3" s="687"/>
      <c r="AL3" s="687"/>
      <c r="AM3" s="687"/>
      <c r="AN3" s="687"/>
      <c r="AO3" s="687"/>
      <c r="AP3" s="746"/>
    </row>
    <row r="4" customHeight="1" spans="1:42">
      <c r="A4" s="3295" t="s">
        <v>6492</v>
      </c>
      <c r="B4" s="3296"/>
      <c r="C4" s="3296"/>
      <c r="D4" s="3296"/>
      <c r="E4" s="3296"/>
      <c r="F4" s="3296"/>
      <c r="G4" s="3296"/>
      <c r="H4" s="3296"/>
      <c r="I4" s="3296"/>
      <c r="J4" s="3296"/>
      <c r="K4" s="3296"/>
      <c r="L4" s="3296"/>
      <c r="M4" s="3296"/>
      <c r="N4" s="3296"/>
      <c r="O4" s="3296"/>
      <c r="P4" s="3296"/>
      <c r="Q4" s="3296"/>
      <c r="R4" s="3296"/>
      <c r="S4" s="3296"/>
      <c r="T4" s="3296"/>
      <c r="U4" s="3297"/>
      <c r="V4" s="2910"/>
      <c r="W4" s="687"/>
      <c r="X4" s="687"/>
      <c r="Y4" s="687"/>
      <c r="Z4" s="687"/>
      <c r="AA4" s="687"/>
      <c r="AB4" s="687"/>
      <c r="AC4" s="687"/>
      <c r="AD4" s="687"/>
      <c r="AE4" s="687"/>
      <c r="AF4" s="687"/>
      <c r="AG4" s="687"/>
      <c r="AH4" s="687"/>
      <c r="AI4" s="687"/>
      <c r="AJ4" s="687"/>
      <c r="AK4" s="687"/>
      <c r="AL4" s="687"/>
      <c r="AM4" s="687"/>
      <c r="AN4" s="687"/>
      <c r="AO4" s="687"/>
      <c r="AP4" s="746"/>
    </row>
    <row r="5" customHeight="1" spans="1:42">
      <c r="A5" s="3298" t="s">
        <v>6493</v>
      </c>
      <c r="B5" s="3299"/>
      <c r="C5" s="3299"/>
      <c r="D5" s="3299"/>
      <c r="E5" s="3299"/>
      <c r="F5" s="3299"/>
      <c r="G5" s="3299"/>
      <c r="H5" s="3299"/>
      <c r="I5" s="3299"/>
      <c r="J5" s="3299"/>
      <c r="K5" s="3299"/>
      <c r="L5" s="3299"/>
      <c r="M5" s="3299"/>
      <c r="N5" s="3299"/>
      <c r="O5" s="3299"/>
      <c r="P5" s="3299"/>
      <c r="Q5" s="3299"/>
      <c r="R5" s="3299"/>
      <c r="S5" s="3299"/>
      <c r="T5" s="3299"/>
      <c r="U5" s="3300"/>
      <c r="V5" s="2917"/>
      <c r="W5" s="748"/>
      <c r="X5" s="748"/>
      <c r="Y5" s="748"/>
      <c r="Z5" s="748"/>
      <c r="AA5" s="748"/>
      <c r="AB5" s="748"/>
      <c r="AC5" s="748"/>
      <c r="AD5" s="748"/>
      <c r="AE5" s="748"/>
      <c r="AF5" s="748"/>
      <c r="AG5" s="748"/>
      <c r="AH5" s="748"/>
      <c r="AI5" s="748"/>
      <c r="AJ5" s="748"/>
      <c r="AK5" s="748"/>
      <c r="AL5" s="748"/>
      <c r="AM5" s="748"/>
      <c r="AN5" s="748"/>
      <c r="AO5" s="748"/>
      <c r="AP5" s="749"/>
    </row>
    <row r="6" ht="27" customHeight="1" spans="1:42">
      <c r="A6" s="3301" t="s">
        <v>3705</v>
      </c>
      <c r="B6" s="3301"/>
      <c r="C6" s="3301"/>
      <c r="D6" s="3301"/>
      <c r="E6" s="3301"/>
      <c r="F6" s="3301"/>
      <c r="G6" s="3301"/>
      <c r="H6" s="3301"/>
      <c r="I6" s="3301"/>
      <c r="J6" s="3301"/>
      <c r="K6" s="3301"/>
      <c r="L6" s="3301"/>
      <c r="M6" s="3301"/>
      <c r="N6" s="3301"/>
      <c r="O6" s="3301"/>
      <c r="P6" s="3301"/>
      <c r="Q6" s="3301"/>
      <c r="R6" s="3301"/>
      <c r="S6" s="3301"/>
      <c r="T6" s="3301"/>
      <c r="U6" s="3301"/>
      <c r="V6" s="3301"/>
      <c r="W6" s="3301"/>
      <c r="X6" s="3301"/>
      <c r="Y6" s="3301"/>
      <c r="Z6" s="3301"/>
      <c r="AA6" s="3301"/>
      <c r="AB6" s="3301"/>
      <c r="AC6" s="3301"/>
      <c r="AD6" s="3301"/>
      <c r="AE6" s="3301"/>
      <c r="AF6" s="3301"/>
      <c r="AG6" s="3301"/>
      <c r="AH6" s="3301"/>
      <c r="AI6" s="3301"/>
      <c r="AJ6" s="3301"/>
      <c r="AK6" s="3301"/>
      <c r="AL6" s="3301"/>
      <c r="AM6" s="3301"/>
      <c r="AN6" s="3301"/>
      <c r="AO6" s="3301"/>
      <c r="AP6" s="3301"/>
    </row>
    <row r="7" ht="21" customHeight="1" spans="1:42">
      <c r="A7" s="3302" t="str">
        <f>Text!B648</f>
        <v>za privredna društva</v>
      </c>
      <c r="B7" s="3302"/>
      <c r="C7" s="3302"/>
      <c r="D7" s="3302"/>
      <c r="E7" s="3302"/>
      <c r="F7" s="3302"/>
      <c r="G7" s="3302"/>
      <c r="H7" s="3302"/>
      <c r="I7" s="3302"/>
      <c r="J7" s="3302"/>
      <c r="K7" s="3302"/>
      <c r="L7" s="3302"/>
      <c r="M7" s="3302"/>
      <c r="N7" s="3302"/>
      <c r="O7" s="3302"/>
      <c r="P7" s="3302"/>
      <c r="Q7" s="3302"/>
      <c r="R7" s="3302"/>
      <c r="S7" s="3302"/>
      <c r="T7" s="3302"/>
      <c r="U7" s="3302"/>
      <c r="V7" s="3302"/>
      <c r="W7" s="3302"/>
      <c r="X7" s="3302"/>
      <c r="Y7" s="3302"/>
      <c r="Z7" s="3302"/>
      <c r="AA7" s="3302"/>
      <c r="AB7" s="3302"/>
      <c r="AC7" s="3302"/>
      <c r="AD7" s="3302"/>
      <c r="AE7" s="3302"/>
      <c r="AF7" s="3302"/>
      <c r="AG7" s="3302"/>
      <c r="AH7" s="3302"/>
      <c r="AI7" s="3302"/>
      <c r="AJ7" s="3302"/>
      <c r="AK7" s="3302"/>
      <c r="AL7" s="3302"/>
      <c r="AM7" s="3302"/>
      <c r="AN7" s="3302"/>
      <c r="AO7" s="3302"/>
      <c r="AP7" s="3302"/>
    </row>
    <row r="8" ht="13.5" spans="1:42">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row>
    <row r="9" ht="18.75" customHeight="1" spans="1:42">
      <c r="A9" s="3303" t="str">
        <f>"za "&amp;Text!B8</f>
        <v>za period</v>
      </c>
      <c r="B9" s="3303"/>
      <c r="C9" s="3303"/>
      <c r="D9" s="3303"/>
      <c r="E9" s="3303"/>
      <c r="F9" s="3125"/>
      <c r="G9" s="3304" t="str">
        <f>UnosPod!F6&amp;UnosPod!G6</f>
        <v>01</v>
      </c>
      <c r="H9" s="3304"/>
      <c r="I9" s="3305"/>
      <c r="J9" s="3306" t="str">
        <f>UnosPod!H6&amp;UnosPod!I6</f>
        <v>01</v>
      </c>
      <c r="K9" s="3304"/>
      <c r="L9" s="3305"/>
      <c r="M9" s="3306">
        <f>UnosPod!J6</f>
        <v>2025</v>
      </c>
      <c r="N9" s="3304"/>
      <c r="O9" s="3304"/>
      <c r="P9" s="3304"/>
      <c r="Q9" s="3305"/>
      <c r="R9" s="773" t="s">
        <v>12</v>
      </c>
      <c r="S9" s="689"/>
      <c r="T9" s="689"/>
      <c r="U9" s="689"/>
      <c r="V9" s="689"/>
      <c r="W9" s="689"/>
      <c r="X9" s="3304" t="str">
        <f>UnosPod!M6&amp;UnosPod!N6</f>
        <v>31</v>
      </c>
      <c r="Y9" s="3304"/>
      <c r="Z9" s="3305"/>
      <c r="AA9" s="3306" t="str">
        <f>UnosPod!O6&amp;UnosPod!P6</f>
        <v>12</v>
      </c>
      <c r="AB9" s="3304"/>
      <c r="AC9" s="3305"/>
      <c r="AD9" s="3306">
        <f>UnosPod!Q6</f>
        <v>2025</v>
      </c>
      <c r="AE9" s="3304"/>
      <c r="AF9" s="3304"/>
      <c r="AG9" s="3304"/>
      <c r="AH9" s="3305"/>
    </row>
    <row r="10" ht="6.75" customHeight="1"/>
    <row r="11" s="687" customFormat="1" ht="16.5" customHeight="1" spans="1:42">
      <c r="A11" s="3307" t="s">
        <v>6494</v>
      </c>
      <c r="B11" s="743"/>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4"/>
    </row>
    <row r="12" s="687" customFormat="1" ht="13.5" customHeight="1" spans="1:42">
      <c r="A12" s="745"/>
      <c r="B12" s="3039" t="s">
        <v>6495</v>
      </c>
      <c r="C12" s="743"/>
      <c r="D12" s="743"/>
      <c r="E12" s="743"/>
      <c r="F12" s="743"/>
      <c r="G12" s="743"/>
      <c r="H12" s="743"/>
      <c r="I12" s="743"/>
      <c r="J12" s="743"/>
      <c r="K12" s="743"/>
      <c r="L12" s="743"/>
      <c r="M12" s="743"/>
      <c r="N12" s="743"/>
      <c r="O12" s="743"/>
      <c r="P12" s="3033"/>
      <c r="Q12" s="3039" t="s">
        <v>6496</v>
      </c>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4"/>
    </row>
    <row r="13" s="687" customFormat="1" ht="21.75" customHeight="1" spans="1:42">
      <c r="A13" s="745"/>
      <c r="B13" s="3308" t="str">
        <f>UnosPod!F8</f>
        <v>LILIUM ASSET MANAGEMENT d.o.o. Sarajevo</v>
      </c>
      <c r="C13" s="3309"/>
      <c r="D13" s="3309"/>
      <c r="E13" s="3309"/>
      <c r="F13" s="3309"/>
      <c r="G13" s="3309"/>
      <c r="H13" s="3309"/>
      <c r="I13" s="3309"/>
      <c r="J13" s="3309"/>
      <c r="K13" s="3309"/>
      <c r="L13" s="3309"/>
      <c r="M13" s="3309"/>
      <c r="N13" s="3309"/>
      <c r="O13" s="3309"/>
      <c r="P13" s="3310"/>
      <c r="Q13" s="3311">
        <f>UnosPod!AA8</f>
        <v>4</v>
      </c>
      <c r="R13" s="3312"/>
      <c r="S13" s="3311">
        <f>UnosPod!AB8</f>
        <v>2</v>
      </c>
      <c r="T13" s="3312"/>
      <c r="U13" s="3311">
        <f>UnosPod!AC8</f>
        <v>0</v>
      </c>
      <c r="V13" s="3312"/>
      <c r="W13" s="3311">
        <f>UnosPod!AD8</f>
        <v>1</v>
      </c>
      <c r="X13" s="3312"/>
      <c r="Y13" s="3311">
        <f>UnosPod!AE8</f>
        <v>3</v>
      </c>
      <c r="Z13" s="3312"/>
      <c r="AA13" s="3311">
        <f>UnosPod!AF8</f>
        <v>3</v>
      </c>
      <c r="AB13" s="3312"/>
      <c r="AC13" s="3311">
        <f>UnosPod!AG8</f>
        <v>7</v>
      </c>
      <c r="AD13" s="3312"/>
      <c r="AE13" s="3311">
        <f>UnosPod!AH8</f>
        <v>6</v>
      </c>
      <c r="AF13" s="3312"/>
      <c r="AG13" s="3311">
        <f>UnosPod!AI8</f>
        <v>7</v>
      </c>
      <c r="AH13" s="3312"/>
      <c r="AI13" s="3311">
        <f>UnosPod!AJ8</f>
        <v>0</v>
      </c>
      <c r="AJ13" s="3312"/>
      <c r="AK13" s="3311">
        <f>UnosPod!AK8</f>
        <v>0</v>
      </c>
      <c r="AL13" s="3312"/>
      <c r="AM13" s="3311">
        <f>UnosPod!AL8</f>
        <v>0</v>
      </c>
      <c r="AN13" s="3312"/>
      <c r="AO13" s="3311">
        <f>UnosPod!AM8</f>
        <v>9</v>
      </c>
      <c r="AP13" s="3312"/>
    </row>
    <row r="14" s="687" customFormat="1" ht="6.75" customHeight="1" spans="1:42">
      <c r="A14" s="745"/>
      <c r="B14" s="3308"/>
      <c r="C14" s="3309"/>
      <c r="D14" s="3309"/>
      <c r="E14" s="3309"/>
      <c r="F14" s="3309"/>
      <c r="G14" s="3309"/>
      <c r="H14" s="3309"/>
      <c r="I14" s="3309"/>
      <c r="J14" s="3309"/>
      <c r="K14" s="3309"/>
      <c r="L14" s="3309"/>
      <c r="M14" s="3309"/>
      <c r="N14" s="3309"/>
      <c r="O14" s="3309"/>
      <c r="P14" s="3310"/>
      <c r="AP14" s="746"/>
    </row>
    <row r="15" s="687" customFormat="1" ht="12.75" customHeight="1" spans="1:42">
      <c r="A15" s="745"/>
      <c r="B15" s="3308"/>
      <c r="C15" s="3309"/>
      <c r="D15" s="3309"/>
      <c r="E15" s="3309"/>
      <c r="F15" s="3309"/>
      <c r="G15" s="3309"/>
      <c r="H15" s="3309"/>
      <c r="I15" s="3309"/>
      <c r="J15" s="3309"/>
      <c r="K15" s="3309"/>
      <c r="L15" s="3309"/>
      <c r="M15" s="3309"/>
      <c r="N15" s="3309"/>
      <c r="O15" s="3309"/>
      <c r="P15" s="3310"/>
      <c r="Q15" s="3039" t="s">
        <v>6497</v>
      </c>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4"/>
    </row>
    <row r="16" s="687" customFormat="1" ht="12.75" customHeight="1" spans="1:42">
      <c r="A16" s="745"/>
      <c r="B16" s="3308"/>
      <c r="C16" s="3309"/>
      <c r="D16" s="3309"/>
      <c r="E16" s="3309"/>
      <c r="F16" s="3309"/>
      <c r="G16" s="3309"/>
      <c r="H16" s="3309"/>
      <c r="I16" s="3309"/>
      <c r="J16" s="3309"/>
      <c r="K16" s="3309"/>
      <c r="L16" s="3309"/>
      <c r="M16" s="3309"/>
      <c r="N16" s="3309"/>
      <c r="O16" s="3309"/>
      <c r="P16" s="3310"/>
      <c r="Q16" s="3126" t="s">
        <v>6498</v>
      </c>
      <c r="R16" s="3313"/>
      <c r="S16" s="3313"/>
      <c r="T16" s="3313"/>
      <c r="U16" s="3313"/>
      <c r="V16" s="3313"/>
      <c r="W16" s="3313"/>
      <c r="X16" s="3313"/>
      <c r="Y16" s="3313"/>
      <c r="Z16" s="3313"/>
      <c r="AA16" s="3313"/>
      <c r="AB16" s="3313"/>
      <c r="AC16" s="3313"/>
      <c r="AD16" s="3314"/>
      <c r="AE16" s="3126" t="s">
        <v>6499</v>
      </c>
      <c r="AF16" s="697"/>
      <c r="AG16" s="697"/>
      <c r="AH16" s="3315"/>
      <c r="AI16" s="3126" t="s">
        <v>6500</v>
      </c>
      <c r="AJ16" s="3313"/>
      <c r="AK16" s="3313"/>
      <c r="AL16" s="3313"/>
      <c r="AM16" s="3313"/>
      <c r="AN16" s="3313"/>
      <c r="AO16" s="3313"/>
      <c r="AP16" s="3314"/>
    </row>
    <row r="17" s="687" customFormat="1" ht="24" customHeight="1" spans="1:42">
      <c r="A17" s="745"/>
      <c r="B17" s="3316"/>
      <c r="C17" s="3317"/>
      <c r="D17" s="3317"/>
      <c r="E17" s="3317"/>
      <c r="F17" s="3317"/>
      <c r="G17" s="3317"/>
      <c r="H17" s="3317"/>
      <c r="I17" s="3317"/>
      <c r="J17" s="3317"/>
      <c r="K17" s="3317"/>
      <c r="L17" s="3317"/>
      <c r="M17" s="3317"/>
      <c r="N17" s="3317"/>
      <c r="O17" s="3317"/>
      <c r="P17" s="3310"/>
      <c r="Q17" s="3318" t="str">
        <f>UnosPod!F10</f>
        <v>Dženetića čikma br.8</v>
      </c>
      <c r="R17" s="3319"/>
      <c r="S17" s="3319"/>
      <c r="T17" s="3319"/>
      <c r="U17" s="3319"/>
      <c r="V17" s="3319"/>
      <c r="W17" s="3319"/>
      <c r="X17" s="3319"/>
      <c r="Y17" s="3319"/>
      <c r="Z17" s="3319"/>
      <c r="AA17" s="3319"/>
      <c r="AB17" s="3319"/>
      <c r="AC17" s="3319"/>
      <c r="AD17" s="3320"/>
      <c r="AE17" s="3321"/>
      <c r="AF17" s="3322"/>
      <c r="AG17" s="3322"/>
      <c r="AH17" s="3323"/>
      <c r="AI17" s="3324" t="str">
        <f>Baza!I21</f>
        <v>Sarajevo-Stari Grad</v>
      </c>
      <c r="AJ17" s="3319"/>
      <c r="AK17" s="3319"/>
      <c r="AL17" s="3319"/>
      <c r="AM17" s="3319"/>
      <c r="AN17" s="3319"/>
      <c r="AO17" s="3319"/>
      <c r="AP17" s="3320"/>
    </row>
    <row r="18" s="687" customFormat="1" ht="12.75" spans="1:42">
      <c r="A18" s="745"/>
      <c r="AP18" s="746"/>
    </row>
    <row r="19" s="687" customFormat="1" ht="12.75" spans="1:42">
      <c r="A19" s="745"/>
      <c r="B19" s="3325" t="s">
        <v>6338</v>
      </c>
      <c r="D19" s="690" t="str">
        <f>Text!B649</f>
        <v>1.4. Da li je predat set finansijskih izvještaja FIA-a?</v>
      </c>
      <c r="E19" s="690"/>
      <c r="AC19" s="3326" t="s">
        <v>6501</v>
      </c>
      <c r="AD19" s="3327"/>
      <c r="AE19" s="3327"/>
      <c r="AF19" s="3327"/>
      <c r="AG19" s="3327"/>
      <c r="AH19" s="3328"/>
      <c r="AI19" s="3329" t="str">
        <f>UnosPod!AA10&amp;UnosPod!AB10&amp;"."&amp;UnosPod!AC10&amp;UnosPod!AD10</f>
        <v>66.30</v>
      </c>
      <c r="AJ19" s="3330"/>
      <c r="AK19" s="3330"/>
      <c r="AL19" s="3330"/>
      <c r="AM19" s="3330"/>
      <c r="AN19" s="3330"/>
      <c r="AO19" s="3330"/>
      <c r="AP19" s="3331"/>
    </row>
    <row r="20" s="687" customFormat="1" ht="5.25" customHeight="1" spans="1:42">
      <c r="A20" s="745"/>
      <c r="B20" s="688"/>
      <c r="D20" s="690"/>
      <c r="E20" s="690"/>
      <c r="AC20" s="3332"/>
      <c r="AD20" s="3333"/>
      <c r="AE20" s="3333"/>
      <c r="AF20" s="3333"/>
      <c r="AG20" s="3333"/>
      <c r="AH20" s="3334"/>
      <c r="AI20" s="3335"/>
      <c r="AJ20" s="3336"/>
      <c r="AK20" s="3336"/>
      <c r="AL20" s="3336"/>
      <c r="AM20" s="3336"/>
      <c r="AN20" s="3336"/>
      <c r="AO20" s="3336"/>
      <c r="AP20" s="3337"/>
    </row>
    <row r="21" s="687" customFormat="1" ht="12.75" spans="1:42">
      <c r="A21" s="745"/>
      <c r="B21" s="3325"/>
      <c r="D21" s="690" t="str">
        <f>Text!B650</f>
        <v>1.5. Da li je izvršena Revizija finansijskih izvještaja?</v>
      </c>
      <c r="E21" s="690"/>
      <c r="AC21" s="3338"/>
      <c r="AD21" s="3339"/>
      <c r="AE21" s="3339"/>
      <c r="AF21" s="3339"/>
      <c r="AG21" s="3339"/>
      <c r="AH21" s="3340"/>
      <c r="AI21" s="3341"/>
      <c r="AJ21" s="3342"/>
      <c r="AK21" s="3342"/>
      <c r="AL21" s="3342"/>
      <c r="AM21" s="3342"/>
      <c r="AN21" s="3342"/>
      <c r="AO21" s="3342"/>
      <c r="AP21" s="3343"/>
    </row>
    <row r="22" s="687" customFormat="1" ht="4.5" customHeight="1" spans="1:42">
      <c r="A22" s="745"/>
      <c r="B22" s="688"/>
      <c r="D22" s="690"/>
      <c r="E22" s="690"/>
      <c r="AC22" s="3344"/>
      <c r="AD22" s="3344"/>
      <c r="AE22" s="3344"/>
      <c r="AF22" s="3344"/>
      <c r="AG22" s="3344"/>
      <c r="AH22" s="3344"/>
      <c r="AI22" s="3345"/>
      <c r="AJ22" s="3345"/>
      <c r="AK22" s="3345"/>
      <c r="AL22" s="3345"/>
      <c r="AM22" s="3345"/>
      <c r="AN22" s="3345"/>
      <c r="AO22" s="3345"/>
      <c r="AP22" s="3346"/>
    </row>
    <row r="23" s="687" customFormat="1" ht="12.75" customHeight="1" spans="1:42">
      <c r="A23" s="745"/>
      <c r="B23" s="3325"/>
      <c r="D23" s="690" t="s">
        <v>6502</v>
      </c>
      <c r="E23" s="690"/>
      <c r="AC23" s="3326" t="s">
        <v>6503</v>
      </c>
      <c r="AD23" s="3327"/>
      <c r="AE23" s="3327"/>
      <c r="AF23" s="3327"/>
      <c r="AG23" s="3327"/>
      <c r="AH23" s="3328"/>
      <c r="AI23" s="3329">
        <f>UnosPod!AD481</f>
        <v>6</v>
      </c>
      <c r="AJ23" s="3330"/>
      <c r="AK23" s="3330"/>
      <c r="AL23" s="3330"/>
      <c r="AM23" s="3330"/>
      <c r="AN23" s="3330"/>
      <c r="AO23" s="3330"/>
      <c r="AP23" s="3331"/>
    </row>
    <row r="24" s="687" customFormat="1" ht="6" customHeight="1" spans="1:42">
      <c r="A24" s="745"/>
      <c r="B24" s="688"/>
      <c r="D24" s="690"/>
      <c r="E24" s="690"/>
      <c r="AC24" s="3332"/>
      <c r="AD24" s="3333"/>
      <c r="AE24" s="3333"/>
      <c r="AF24" s="3333"/>
      <c r="AG24" s="3333"/>
      <c r="AH24" s="3334"/>
      <c r="AI24" s="3335"/>
      <c r="AJ24" s="3336"/>
      <c r="AK24" s="3336"/>
      <c r="AL24" s="3336"/>
      <c r="AM24" s="3336"/>
      <c r="AN24" s="3336"/>
      <c r="AO24" s="3336"/>
      <c r="AP24" s="3337"/>
    </row>
    <row r="25" s="687" customFormat="1" ht="12.75" spans="1:42">
      <c r="A25" s="745"/>
      <c r="B25" s="3325"/>
      <c r="D25" s="690" t="s">
        <v>6504</v>
      </c>
      <c r="E25" s="690"/>
      <c r="AC25" s="3338"/>
      <c r="AD25" s="3339"/>
      <c r="AE25" s="3339"/>
      <c r="AF25" s="3339"/>
      <c r="AG25" s="3339"/>
      <c r="AH25" s="3340"/>
      <c r="AI25" s="3341"/>
      <c r="AJ25" s="3342"/>
      <c r="AK25" s="3342"/>
      <c r="AL25" s="3342"/>
      <c r="AM25" s="3342"/>
      <c r="AN25" s="3342"/>
      <c r="AO25" s="3342"/>
      <c r="AP25" s="3343"/>
    </row>
    <row r="26" s="687" customFormat="1" ht="5.25" customHeight="1" spans="1:42">
      <c r="A26" s="745"/>
      <c r="B26" s="688"/>
      <c r="D26" s="690"/>
      <c r="E26" s="690"/>
      <c r="AC26" s="3344"/>
      <c r="AD26" s="3344"/>
      <c r="AE26" s="3344"/>
      <c r="AF26" s="3344"/>
      <c r="AG26" s="3344"/>
      <c r="AH26" s="3344"/>
      <c r="AI26" s="3345"/>
      <c r="AJ26" s="3345"/>
      <c r="AK26" s="3345"/>
      <c r="AL26" s="3345"/>
      <c r="AM26" s="3345"/>
      <c r="AN26" s="3345"/>
      <c r="AO26" s="3345"/>
      <c r="AP26" s="3346"/>
    </row>
    <row r="27" s="687" customFormat="1" ht="12.75" spans="1:42">
      <c r="A27" s="745"/>
      <c r="B27" s="3325"/>
      <c r="D27" s="690" t="s">
        <v>6505</v>
      </c>
      <c r="E27" s="690"/>
      <c r="AC27" s="3326" t="s">
        <v>6506</v>
      </c>
      <c r="AD27" s="3327"/>
      <c r="AE27" s="3327"/>
      <c r="AF27" s="3327"/>
      <c r="AG27" s="3327"/>
      <c r="AH27" s="3328"/>
      <c r="AI27" s="3347">
        <f>UnosPod!F20</f>
        <v>1</v>
      </c>
      <c r="AJ27" s="3330"/>
      <c r="AK27" s="3330"/>
      <c r="AL27" s="3330"/>
      <c r="AM27" s="3330"/>
      <c r="AN27" s="3330"/>
      <c r="AO27" s="3330"/>
      <c r="AP27" s="3331"/>
    </row>
    <row r="28" s="687" customFormat="1" ht="6.75" customHeight="1" spans="1:42">
      <c r="A28" s="745"/>
      <c r="B28" s="688"/>
      <c r="D28" s="690"/>
      <c r="E28" s="690"/>
      <c r="AC28" s="3332"/>
      <c r="AD28" s="3333"/>
      <c r="AE28" s="3333"/>
      <c r="AF28" s="3333"/>
      <c r="AG28" s="3333"/>
      <c r="AH28" s="3334"/>
      <c r="AI28" s="3335"/>
      <c r="AJ28" s="3336"/>
      <c r="AK28" s="3336"/>
      <c r="AL28" s="3336"/>
      <c r="AM28" s="3336"/>
      <c r="AN28" s="3336"/>
      <c r="AO28" s="3336"/>
      <c r="AP28" s="3337"/>
    </row>
    <row r="29" s="687" customFormat="1" ht="12.75" spans="1:42">
      <c r="A29" s="745"/>
      <c r="B29" s="3325"/>
      <c r="D29" s="690" t="s">
        <v>6507</v>
      </c>
      <c r="E29" s="690"/>
      <c r="AC29" s="3338"/>
      <c r="AD29" s="3339"/>
      <c r="AE29" s="3339"/>
      <c r="AF29" s="3339"/>
      <c r="AG29" s="3339"/>
      <c r="AH29" s="3340"/>
      <c r="AI29" s="3341"/>
      <c r="AJ29" s="3342"/>
      <c r="AK29" s="3342"/>
      <c r="AL29" s="3342"/>
      <c r="AM29" s="3342"/>
      <c r="AN29" s="3342"/>
      <c r="AO29" s="3342"/>
      <c r="AP29" s="3343"/>
    </row>
    <row r="30" s="687" customFormat="1" ht="12.75" spans="1:42">
      <c r="A30" s="745"/>
      <c r="AP30" s="746"/>
    </row>
    <row r="31" s="687" customFormat="1" ht="16.5" customHeight="1" spans="1:42">
      <c r="A31" s="745"/>
      <c r="B31" s="3125" t="s">
        <v>5984</v>
      </c>
      <c r="AP31" s="746"/>
    </row>
    <row r="32" s="689" customFormat="1" ht="26.25" customHeight="1" spans="1:42">
      <c r="A32" s="773"/>
      <c r="B32" s="3348" t="s">
        <v>5985</v>
      </c>
      <c r="C32" s="3348"/>
      <c r="D32" s="3348" t="s">
        <v>5986</v>
      </c>
      <c r="E32" s="3348"/>
      <c r="F32" s="3348"/>
      <c r="G32" s="3348"/>
      <c r="H32" s="3348"/>
      <c r="I32" s="3348"/>
      <c r="J32" s="3348"/>
      <c r="K32" s="3348"/>
      <c r="L32" s="3348"/>
      <c r="M32" s="3348"/>
      <c r="N32" s="3348"/>
      <c r="O32" s="3348" t="s">
        <v>5987</v>
      </c>
      <c r="P32" s="3348"/>
      <c r="Q32" s="3348"/>
      <c r="R32" s="3348"/>
      <c r="S32" s="3348"/>
      <c r="T32" s="3348"/>
      <c r="U32" s="3348"/>
      <c r="V32" s="3348" t="s">
        <v>5988</v>
      </c>
      <c r="W32" s="3348"/>
      <c r="X32" s="3348"/>
      <c r="Y32" s="3348"/>
      <c r="Z32" s="3348"/>
      <c r="AA32" s="3348"/>
      <c r="AB32" s="3348"/>
      <c r="AC32" s="3348" t="s">
        <v>6508</v>
      </c>
      <c r="AD32" s="3348"/>
      <c r="AE32" s="3348"/>
      <c r="AF32" s="3348"/>
      <c r="AG32" s="3348"/>
      <c r="AH32" s="3348"/>
      <c r="AI32" s="3348"/>
      <c r="AJ32" s="3348" t="s">
        <v>5990</v>
      </c>
      <c r="AK32" s="3348"/>
      <c r="AL32" s="3348"/>
      <c r="AM32" s="3348"/>
      <c r="AN32" s="3348"/>
      <c r="AO32" s="3348"/>
      <c r="AP32" s="3348"/>
    </row>
    <row r="33" s="810" customFormat="1" ht="17.25" customHeight="1" spans="1:42">
      <c r="A33" s="835"/>
      <c r="B33" s="3349" t="s">
        <v>3953</v>
      </c>
      <c r="C33" s="3349"/>
      <c r="D33" s="3350">
        <f>UnosPorBilans!C138</f>
        <v>0</v>
      </c>
      <c r="E33" s="3350"/>
      <c r="F33" s="3350"/>
      <c r="G33" s="3350"/>
      <c r="H33" s="3350"/>
      <c r="I33" s="3350"/>
      <c r="J33" s="3350"/>
      <c r="K33" s="3350"/>
      <c r="L33" s="3350"/>
      <c r="M33" s="3350"/>
      <c r="N33" s="3350"/>
      <c r="O33" s="3350">
        <f>UnosPorBilans!R138</f>
        <v>0</v>
      </c>
      <c r="P33" s="3350"/>
      <c r="Q33" s="3350"/>
      <c r="R33" s="3350"/>
      <c r="S33" s="3350"/>
      <c r="T33" s="3350"/>
      <c r="U33" s="3350"/>
      <c r="V33" s="3351">
        <f>UnosPorBilans!X138</f>
        <v>0</v>
      </c>
      <c r="W33" s="3351"/>
      <c r="X33" s="3351"/>
      <c r="Y33" s="3351"/>
      <c r="Z33" s="3351"/>
      <c r="AA33" s="3351"/>
      <c r="AB33" s="3351"/>
      <c r="AC33" s="3351">
        <f>UnosPorBilans!AD138</f>
        <v>0</v>
      </c>
      <c r="AD33" s="3351"/>
      <c r="AE33" s="3351"/>
      <c r="AF33" s="3351"/>
      <c r="AG33" s="3351"/>
      <c r="AH33" s="3351"/>
      <c r="AI33" s="3351"/>
      <c r="AJ33" s="3351">
        <f>UnosPorBilans!AJ138</f>
        <v>0</v>
      </c>
      <c r="AK33" s="3351"/>
      <c r="AL33" s="3351"/>
      <c r="AM33" s="3351"/>
      <c r="AN33" s="3351"/>
      <c r="AO33" s="3351"/>
      <c r="AP33" s="3351"/>
    </row>
    <row r="34" s="810" customFormat="1" ht="17.25" customHeight="1" spans="1:42">
      <c r="A34" s="835"/>
      <c r="B34" s="3349" t="s">
        <v>3891</v>
      </c>
      <c r="C34" s="3349"/>
      <c r="D34" s="3350">
        <f>UnosPorBilans!C139</f>
        <v>0</v>
      </c>
      <c r="E34" s="3350"/>
      <c r="F34" s="3350"/>
      <c r="G34" s="3350"/>
      <c r="H34" s="3350"/>
      <c r="I34" s="3350"/>
      <c r="J34" s="3350"/>
      <c r="K34" s="3350"/>
      <c r="L34" s="3350"/>
      <c r="M34" s="3350"/>
      <c r="N34" s="3350"/>
      <c r="O34" s="3350">
        <f>UnosPorBilans!R139</f>
        <v>0</v>
      </c>
      <c r="P34" s="3350"/>
      <c r="Q34" s="3350"/>
      <c r="R34" s="3350"/>
      <c r="S34" s="3350"/>
      <c r="T34" s="3350"/>
      <c r="U34" s="3350"/>
      <c r="V34" s="3351">
        <f>UnosPorBilans!X139</f>
        <v>0</v>
      </c>
      <c r="W34" s="3351"/>
      <c r="X34" s="3351"/>
      <c r="Y34" s="3351"/>
      <c r="Z34" s="3351"/>
      <c r="AA34" s="3351"/>
      <c r="AB34" s="3351"/>
      <c r="AC34" s="3351">
        <f>UnosPorBilans!AD139</f>
        <v>0</v>
      </c>
      <c r="AD34" s="3351"/>
      <c r="AE34" s="3351"/>
      <c r="AF34" s="3351"/>
      <c r="AG34" s="3351"/>
      <c r="AH34" s="3351"/>
      <c r="AI34" s="3351"/>
      <c r="AJ34" s="3351">
        <f>UnosPorBilans!AJ139</f>
        <v>0</v>
      </c>
      <c r="AK34" s="3351"/>
      <c r="AL34" s="3351"/>
      <c r="AM34" s="3351"/>
      <c r="AN34" s="3351"/>
      <c r="AO34" s="3351"/>
      <c r="AP34" s="3351"/>
    </row>
    <row r="35" s="810" customFormat="1" ht="17.25" customHeight="1" spans="1:42">
      <c r="A35" s="835"/>
      <c r="B35" s="3349" t="s">
        <v>3902</v>
      </c>
      <c r="C35" s="3349"/>
      <c r="D35" s="3350">
        <f>UnosPorBilans!C140</f>
        <v>0</v>
      </c>
      <c r="E35" s="3350"/>
      <c r="F35" s="3350"/>
      <c r="G35" s="3350"/>
      <c r="H35" s="3350"/>
      <c r="I35" s="3350"/>
      <c r="J35" s="3350"/>
      <c r="K35" s="3350"/>
      <c r="L35" s="3350"/>
      <c r="M35" s="3350"/>
      <c r="N35" s="3350"/>
      <c r="O35" s="3350">
        <f>UnosPorBilans!R140</f>
        <v>0</v>
      </c>
      <c r="P35" s="3350"/>
      <c r="Q35" s="3350"/>
      <c r="R35" s="3350"/>
      <c r="S35" s="3350"/>
      <c r="T35" s="3350"/>
      <c r="U35" s="3350"/>
      <c r="V35" s="3351">
        <f>UnosPorBilans!X140</f>
        <v>0</v>
      </c>
      <c r="W35" s="3351"/>
      <c r="X35" s="3351"/>
      <c r="Y35" s="3351"/>
      <c r="Z35" s="3351"/>
      <c r="AA35" s="3351"/>
      <c r="AB35" s="3351"/>
      <c r="AC35" s="3351">
        <f>UnosPorBilans!AD140</f>
        <v>0</v>
      </c>
      <c r="AD35" s="3351"/>
      <c r="AE35" s="3351"/>
      <c r="AF35" s="3351"/>
      <c r="AG35" s="3351"/>
      <c r="AH35" s="3351"/>
      <c r="AI35" s="3351"/>
      <c r="AJ35" s="3351">
        <f>UnosPorBilans!AJ140</f>
        <v>0</v>
      </c>
      <c r="AK35" s="3351"/>
      <c r="AL35" s="3351"/>
      <c r="AM35" s="3351"/>
      <c r="AN35" s="3351"/>
      <c r="AO35" s="3351"/>
      <c r="AP35" s="3351"/>
    </row>
    <row r="36" s="810" customFormat="1" ht="17.25" customHeight="1" spans="1:42">
      <c r="A36" s="835"/>
      <c r="B36" s="3349" t="s">
        <v>3905</v>
      </c>
      <c r="C36" s="3349"/>
      <c r="D36" s="3350">
        <f>UnosPorBilans!C141</f>
        <v>0</v>
      </c>
      <c r="E36" s="3350"/>
      <c r="F36" s="3350"/>
      <c r="G36" s="3350"/>
      <c r="H36" s="3350"/>
      <c r="I36" s="3350"/>
      <c r="J36" s="3350"/>
      <c r="K36" s="3350"/>
      <c r="L36" s="3350"/>
      <c r="M36" s="3350"/>
      <c r="N36" s="3350"/>
      <c r="O36" s="3350">
        <f>UnosPorBilans!R141</f>
        <v>0</v>
      </c>
      <c r="P36" s="3350"/>
      <c r="Q36" s="3350"/>
      <c r="R36" s="3350"/>
      <c r="S36" s="3350"/>
      <c r="T36" s="3350"/>
      <c r="U36" s="3350"/>
      <c r="V36" s="3351">
        <f>UnosPorBilans!X141</f>
        <v>0</v>
      </c>
      <c r="W36" s="3351"/>
      <c r="X36" s="3351"/>
      <c r="Y36" s="3351"/>
      <c r="Z36" s="3351"/>
      <c r="AA36" s="3351"/>
      <c r="AB36" s="3351"/>
      <c r="AC36" s="3351">
        <f>UnosPorBilans!AD141</f>
        <v>0</v>
      </c>
      <c r="AD36" s="3351"/>
      <c r="AE36" s="3351"/>
      <c r="AF36" s="3351"/>
      <c r="AG36" s="3351"/>
      <c r="AH36" s="3351"/>
      <c r="AI36" s="3351"/>
      <c r="AJ36" s="3351">
        <f>UnosPorBilans!AJ141</f>
        <v>0</v>
      </c>
      <c r="AK36" s="3351"/>
      <c r="AL36" s="3351"/>
      <c r="AM36" s="3351"/>
      <c r="AN36" s="3351"/>
      <c r="AO36" s="3351"/>
      <c r="AP36" s="3351"/>
    </row>
    <row r="37" s="810" customFormat="1" ht="17.25" customHeight="1" spans="1:42">
      <c r="A37" s="835"/>
      <c r="B37" s="3349" t="s">
        <v>3915</v>
      </c>
      <c r="C37" s="3349"/>
      <c r="D37" s="3350">
        <f>UnosPorBilans!C142</f>
        <v>0</v>
      </c>
      <c r="E37" s="3350"/>
      <c r="F37" s="3350"/>
      <c r="G37" s="3350"/>
      <c r="H37" s="3350"/>
      <c r="I37" s="3350"/>
      <c r="J37" s="3350"/>
      <c r="K37" s="3350"/>
      <c r="L37" s="3350"/>
      <c r="M37" s="3350"/>
      <c r="N37" s="3350"/>
      <c r="O37" s="3350">
        <f>UnosPorBilans!R142</f>
        <v>0</v>
      </c>
      <c r="P37" s="3350"/>
      <c r="Q37" s="3350"/>
      <c r="R37" s="3350"/>
      <c r="S37" s="3350"/>
      <c r="T37" s="3350"/>
      <c r="U37" s="3350"/>
      <c r="V37" s="3351">
        <f>UnosPorBilans!X142</f>
        <v>0</v>
      </c>
      <c r="W37" s="3351"/>
      <c r="X37" s="3351"/>
      <c r="Y37" s="3351"/>
      <c r="Z37" s="3351"/>
      <c r="AA37" s="3351"/>
      <c r="AB37" s="3351"/>
      <c r="AC37" s="3351">
        <f>UnosPorBilans!AD142</f>
        <v>0</v>
      </c>
      <c r="AD37" s="3351"/>
      <c r="AE37" s="3351"/>
      <c r="AF37" s="3351"/>
      <c r="AG37" s="3351"/>
      <c r="AH37" s="3351"/>
      <c r="AI37" s="3351"/>
      <c r="AJ37" s="3351">
        <f>UnosPorBilans!AJ142</f>
        <v>0</v>
      </c>
      <c r="AK37" s="3351"/>
      <c r="AL37" s="3351"/>
      <c r="AM37" s="3351"/>
      <c r="AN37" s="3351"/>
      <c r="AO37" s="3351"/>
      <c r="AP37" s="3351"/>
    </row>
    <row r="38" s="687" customFormat="1" ht="12.75" spans="1:42">
      <c r="A38" s="745"/>
      <c r="AP38" s="746"/>
    </row>
    <row r="39" spans="1:42">
      <c r="A39" s="801"/>
      <c r="B39" s="3352" t="s">
        <v>5991</v>
      </c>
      <c r="C39" s="3352"/>
      <c r="D39" s="3352"/>
      <c r="E39" s="3352"/>
      <c r="F39" s="3352"/>
      <c r="G39" s="3352"/>
      <c r="H39" s="3352"/>
      <c r="I39" s="3352"/>
      <c r="J39" s="3352"/>
      <c r="K39" s="3352"/>
      <c r="L39" s="3352"/>
      <c r="M39" s="3352"/>
      <c r="N39" s="3352"/>
      <c r="O39" s="3352"/>
      <c r="P39" s="3352"/>
      <c r="Q39" s="3352"/>
      <c r="R39" s="3352"/>
      <c r="S39" s="3352"/>
      <c r="T39" s="3352"/>
      <c r="U39" s="3352"/>
      <c r="V39" s="3352"/>
      <c r="W39" s="3352"/>
      <c r="X39" s="3352"/>
      <c r="Y39" s="3352"/>
      <c r="Z39" s="3352"/>
      <c r="AA39" s="3352"/>
      <c r="AB39" s="3352"/>
      <c r="AC39" s="3352"/>
      <c r="AD39" s="3352"/>
      <c r="AE39" s="3352"/>
      <c r="AF39" s="3352"/>
      <c r="AG39" s="3352"/>
      <c r="AH39" s="3352"/>
      <c r="AI39" s="3352"/>
      <c r="AJ39" s="3352"/>
      <c r="AK39" s="3352"/>
      <c r="AL39" s="3352"/>
      <c r="AM39" s="3352"/>
      <c r="AN39" s="3352"/>
      <c r="AO39" s="3352"/>
      <c r="AP39" s="3353"/>
    </row>
    <row r="40" s="3125" customFormat="1" ht="27" customHeight="1" spans="1:42">
      <c r="A40" s="3354"/>
      <c r="B40" s="3348" t="s">
        <v>5985</v>
      </c>
      <c r="C40" s="3348"/>
      <c r="D40" s="3348" t="s">
        <v>5992</v>
      </c>
      <c r="E40" s="3348"/>
      <c r="F40" s="3348"/>
      <c r="G40" s="3348"/>
      <c r="H40" s="3348"/>
      <c r="I40" s="3348"/>
      <c r="J40" s="3348"/>
      <c r="K40" s="3348"/>
      <c r="L40" s="3348"/>
      <c r="M40" s="3348"/>
      <c r="N40" s="3348"/>
      <c r="O40" s="3348"/>
      <c r="P40" s="3348"/>
      <c r="Q40" s="3348"/>
      <c r="R40" s="3348"/>
      <c r="S40" s="3348"/>
      <c r="T40" s="3348"/>
      <c r="U40" s="3348"/>
      <c r="V40" s="3348" t="s">
        <v>5993</v>
      </c>
      <c r="W40" s="3348"/>
      <c r="X40" s="3348"/>
      <c r="Y40" s="3348"/>
      <c r="Z40" s="3348"/>
      <c r="AA40" s="3348"/>
      <c r="AB40" s="3348"/>
      <c r="AC40" s="3348" t="s">
        <v>5994</v>
      </c>
      <c r="AD40" s="3348"/>
      <c r="AE40" s="3348"/>
      <c r="AF40" s="3348"/>
      <c r="AG40" s="3348"/>
      <c r="AH40" s="3348"/>
      <c r="AI40" s="3348"/>
      <c r="AJ40" s="3348" t="s">
        <v>5995</v>
      </c>
      <c r="AK40" s="3348"/>
      <c r="AL40" s="3348"/>
      <c r="AM40" s="3348"/>
      <c r="AN40" s="3348"/>
      <c r="AO40" s="3348"/>
      <c r="AP40" s="3348"/>
    </row>
    <row r="41" s="810" customFormat="1" ht="18" customHeight="1" spans="1:42">
      <c r="A41" s="835"/>
      <c r="B41" s="3355">
        <v>1</v>
      </c>
      <c r="C41" s="3355"/>
      <c r="D41" s="3356">
        <f>UnosPorBilans!C146</f>
        <v>0</v>
      </c>
      <c r="E41" s="3357"/>
      <c r="F41" s="3357"/>
      <c r="G41" s="3357"/>
      <c r="H41" s="3357"/>
      <c r="I41" s="3357"/>
      <c r="J41" s="3357"/>
      <c r="K41" s="3357"/>
      <c r="L41" s="3357"/>
      <c r="M41" s="3357"/>
      <c r="N41" s="3357"/>
      <c r="O41" s="3357"/>
      <c r="P41" s="3357"/>
      <c r="Q41" s="3357"/>
      <c r="R41" s="3357"/>
      <c r="S41" s="3357"/>
      <c r="T41" s="3357"/>
      <c r="U41" s="3358"/>
      <c r="V41" s="3359">
        <f>UnosPorBilans!X146</f>
        <v>0</v>
      </c>
      <c r="W41" s="3359"/>
      <c r="X41" s="3359"/>
      <c r="Y41" s="3359"/>
      <c r="Z41" s="3359"/>
      <c r="AA41" s="3359"/>
      <c r="AB41" s="3359"/>
      <c r="AC41" s="3359">
        <f>UnosPorBilans!AD146</f>
        <v>0</v>
      </c>
      <c r="AD41" s="3359"/>
      <c r="AE41" s="3359"/>
      <c r="AF41" s="3359"/>
      <c r="AG41" s="3359"/>
      <c r="AH41" s="3359"/>
      <c r="AI41" s="3359"/>
      <c r="AJ41" s="3360">
        <f>UnosPorBilans!AJ146</f>
        <v>0</v>
      </c>
      <c r="AK41" s="3360"/>
      <c r="AL41" s="3360"/>
      <c r="AM41" s="3360"/>
      <c r="AN41" s="3360"/>
      <c r="AO41" s="3360"/>
      <c r="AP41" s="3360"/>
    </row>
    <row r="42" s="810" customFormat="1" ht="18" customHeight="1" spans="1:42">
      <c r="A42" s="835"/>
      <c r="B42" s="3349">
        <v>2</v>
      </c>
      <c r="C42" s="3349"/>
      <c r="D42" s="3356">
        <f>UnosPorBilans!C147</f>
        <v>0</v>
      </c>
      <c r="E42" s="3357"/>
      <c r="F42" s="3357"/>
      <c r="G42" s="3357"/>
      <c r="H42" s="3357"/>
      <c r="I42" s="3357"/>
      <c r="J42" s="3357"/>
      <c r="K42" s="3357"/>
      <c r="L42" s="3357"/>
      <c r="M42" s="3357"/>
      <c r="N42" s="3357"/>
      <c r="O42" s="3357"/>
      <c r="P42" s="3357"/>
      <c r="Q42" s="3357"/>
      <c r="R42" s="3357"/>
      <c r="S42" s="3357"/>
      <c r="T42" s="3357"/>
      <c r="U42" s="3358"/>
      <c r="V42" s="3359">
        <f>UnosPorBilans!X147</f>
        <v>0</v>
      </c>
      <c r="W42" s="3359"/>
      <c r="X42" s="3359"/>
      <c r="Y42" s="3359"/>
      <c r="Z42" s="3359"/>
      <c r="AA42" s="3359"/>
      <c r="AB42" s="3359"/>
      <c r="AC42" s="3359">
        <f>UnosPorBilans!AD147</f>
        <v>0</v>
      </c>
      <c r="AD42" s="3359"/>
      <c r="AE42" s="3359"/>
      <c r="AF42" s="3359"/>
      <c r="AG42" s="3359"/>
      <c r="AH42" s="3359"/>
      <c r="AI42" s="3359"/>
      <c r="AJ42" s="3360">
        <f>UnosPorBilans!AJ147</f>
        <v>0</v>
      </c>
      <c r="AK42" s="3360"/>
      <c r="AL42" s="3360"/>
      <c r="AM42" s="3360"/>
      <c r="AN42" s="3360"/>
      <c r="AO42" s="3360"/>
      <c r="AP42" s="3360"/>
    </row>
    <row r="43" s="810" customFormat="1" ht="18" customHeight="1" spans="1:42">
      <c r="A43" s="835"/>
      <c r="B43" s="3349">
        <v>3</v>
      </c>
      <c r="C43" s="3349"/>
      <c r="D43" s="3356">
        <f>UnosPorBilans!C148</f>
        <v>0</v>
      </c>
      <c r="E43" s="3357"/>
      <c r="F43" s="3357"/>
      <c r="G43" s="3357"/>
      <c r="H43" s="3357"/>
      <c r="I43" s="3357"/>
      <c r="J43" s="3357"/>
      <c r="K43" s="3357"/>
      <c r="L43" s="3357"/>
      <c r="M43" s="3357"/>
      <c r="N43" s="3357"/>
      <c r="O43" s="3357"/>
      <c r="P43" s="3357"/>
      <c r="Q43" s="3357"/>
      <c r="R43" s="3357"/>
      <c r="S43" s="3357"/>
      <c r="T43" s="3357"/>
      <c r="U43" s="3358"/>
      <c r="V43" s="3359">
        <f>UnosPorBilans!X148</f>
        <v>0</v>
      </c>
      <c r="W43" s="3359"/>
      <c r="X43" s="3359"/>
      <c r="Y43" s="3359"/>
      <c r="Z43" s="3359"/>
      <c r="AA43" s="3359"/>
      <c r="AB43" s="3359"/>
      <c r="AC43" s="3359">
        <f>UnosPorBilans!AD148</f>
        <v>0</v>
      </c>
      <c r="AD43" s="3359"/>
      <c r="AE43" s="3359"/>
      <c r="AF43" s="3359"/>
      <c r="AG43" s="3359"/>
      <c r="AH43" s="3359"/>
      <c r="AI43" s="3359"/>
      <c r="AJ43" s="3360">
        <f>UnosPorBilans!AJ148</f>
        <v>0</v>
      </c>
      <c r="AK43" s="3360"/>
      <c r="AL43" s="3360"/>
      <c r="AM43" s="3360"/>
      <c r="AN43" s="3360"/>
      <c r="AO43" s="3360"/>
      <c r="AP43" s="3360"/>
    </row>
    <row r="44" s="810" customFormat="1" ht="18" customHeight="1" spans="1:42">
      <c r="A44" s="835"/>
      <c r="B44" s="3349">
        <v>4</v>
      </c>
      <c r="C44" s="3349"/>
      <c r="D44" s="3356">
        <f>UnosPorBilans!C149</f>
        <v>0</v>
      </c>
      <c r="E44" s="3357"/>
      <c r="F44" s="3357"/>
      <c r="G44" s="3357"/>
      <c r="H44" s="3357"/>
      <c r="I44" s="3357"/>
      <c r="J44" s="3357"/>
      <c r="K44" s="3357"/>
      <c r="L44" s="3357"/>
      <c r="M44" s="3357"/>
      <c r="N44" s="3357"/>
      <c r="O44" s="3357"/>
      <c r="P44" s="3357"/>
      <c r="Q44" s="3357"/>
      <c r="R44" s="3357"/>
      <c r="S44" s="3357"/>
      <c r="T44" s="3357"/>
      <c r="U44" s="3358"/>
      <c r="V44" s="3359">
        <f>UnosPorBilans!X149</f>
        <v>0</v>
      </c>
      <c r="W44" s="3359"/>
      <c r="X44" s="3359"/>
      <c r="Y44" s="3359"/>
      <c r="Z44" s="3359"/>
      <c r="AA44" s="3359"/>
      <c r="AB44" s="3359"/>
      <c r="AC44" s="3359">
        <f>UnosPorBilans!AD149</f>
        <v>0</v>
      </c>
      <c r="AD44" s="3359"/>
      <c r="AE44" s="3359"/>
      <c r="AF44" s="3359"/>
      <c r="AG44" s="3359"/>
      <c r="AH44" s="3359"/>
      <c r="AI44" s="3359"/>
      <c r="AJ44" s="3360">
        <f>UnosPorBilans!AJ149</f>
        <v>0</v>
      </c>
      <c r="AK44" s="3360"/>
      <c r="AL44" s="3360"/>
      <c r="AM44" s="3360"/>
      <c r="AN44" s="3360"/>
      <c r="AO44" s="3360"/>
      <c r="AP44" s="3360"/>
    </row>
    <row r="45" s="810" customFormat="1" ht="18" customHeight="1" spans="1:42">
      <c r="A45" s="835"/>
      <c r="B45" s="3349">
        <v>5</v>
      </c>
      <c r="C45" s="3349"/>
      <c r="D45" s="3356">
        <f>UnosPorBilans!C150</f>
        <v>0</v>
      </c>
      <c r="E45" s="3357"/>
      <c r="F45" s="3357"/>
      <c r="G45" s="3357"/>
      <c r="H45" s="3357"/>
      <c r="I45" s="3357"/>
      <c r="J45" s="3357"/>
      <c r="K45" s="3357"/>
      <c r="L45" s="3357"/>
      <c r="M45" s="3357"/>
      <c r="N45" s="3357"/>
      <c r="O45" s="3357"/>
      <c r="P45" s="3357"/>
      <c r="Q45" s="3357"/>
      <c r="R45" s="3357"/>
      <c r="S45" s="3357"/>
      <c r="T45" s="3357"/>
      <c r="U45" s="3358"/>
      <c r="V45" s="3359">
        <f>UnosPorBilans!X150</f>
        <v>0</v>
      </c>
      <c r="W45" s="3359"/>
      <c r="X45" s="3359"/>
      <c r="Y45" s="3359"/>
      <c r="Z45" s="3359"/>
      <c r="AA45" s="3359"/>
      <c r="AB45" s="3359"/>
      <c r="AC45" s="3359">
        <f>UnosPorBilans!AD150</f>
        <v>0</v>
      </c>
      <c r="AD45" s="3359"/>
      <c r="AE45" s="3359"/>
      <c r="AF45" s="3359"/>
      <c r="AG45" s="3359"/>
      <c r="AH45" s="3359"/>
      <c r="AI45" s="3359"/>
      <c r="AJ45" s="3360">
        <f>UnosPorBilans!AJ150</f>
        <v>0</v>
      </c>
      <c r="AK45" s="3360"/>
      <c r="AL45" s="3360"/>
      <c r="AM45" s="3360"/>
      <c r="AN45" s="3360"/>
      <c r="AO45" s="3360"/>
      <c r="AP45" s="3360"/>
    </row>
    <row r="46" s="687" customFormat="1" ht="12.75" spans="1:42">
      <c r="A46" s="745"/>
      <c r="AP46" s="746"/>
    </row>
    <row r="47" spans="1:42">
      <c r="A47" s="801"/>
      <c r="B47" s="690" t="s">
        <v>5996</v>
      </c>
      <c r="AP47" s="712"/>
    </row>
    <row r="48" spans="1:42">
      <c r="A48" s="801"/>
      <c r="B48" s="3361" t="s">
        <v>5985</v>
      </c>
      <c r="C48" s="3362"/>
      <c r="D48" s="3363" t="s">
        <v>5997</v>
      </c>
      <c r="E48" s="3364"/>
      <c r="F48" s="3364"/>
      <c r="G48" s="3364"/>
      <c r="H48" s="3364"/>
      <c r="I48" s="3364"/>
      <c r="J48" s="3364"/>
      <c r="K48" s="3364"/>
      <c r="L48" s="3364"/>
      <c r="M48" s="3364"/>
      <c r="N48" s="3364"/>
      <c r="O48" s="3364"/>
      <c r="P48" s="3365"/>
      <c r="Q48" s="3366" t="s">
        <v>6509</v>
      </c>
      <c r="R48" s="3366"/>
      <c r="S48" s="3366"/>
      <c r="T48" s="3366"/>
      <c r="U48" s="3366"/>
      <c r="V48" s="3366"/>
      <c r="W48" s="3366"/>
      <c r="X48" s="3366"/>
      <c r="Y48" s="3363" t="s">
        <v>5999</v>
      </c>
      <c r="Z48" s="3364"/>
      <c r="AA48" s="3364"/>
      <c r="AB48" s="3364"/>
      <c r="AC48" s="3364"/>
      <c r="AD48" s="3364"/>
      <c r="AE48" s="3364"/>
      <c r="AF48" s="3364"/>
      <c r="AG48" s="3364"/>
      <c r="AH48" s="3364"/>
      <c r="AI48" s="3364"/>
      <c r="AJ48" s="3365"/>
      <c r="AK48" s="3367" t="s">
        <v>6000</v>
      </c>
      <c r="AL48" s="3368"/>
      <c r="AM48" s="3368"/>
      <c r="AN48" s="3368"/>
      <c r="AO48" s="3368"/>
      <c r="AP48" s="3369"/>
    </row>
    <row r="49" spans="1:42">
      <c r="A49" s="801"/>
      <c r="B49" s="3370"/>
      <c r="C49" s="3371"/>
      <c r="D49" s="3372" t="s">
        <v>6001</v>
      </c>
      <c r="E49" s="3372"/>
      <c r="F49" s="3372"/>
      <c r="G49" s="3372"/>
      <c r="H49" s="3372"/>
      <c r="I49" s="3372"/>
      <c r="J49" s="3372"/>
      <c r="K49" s="3372" t="s">
        <v>6002</v>
      </c>
      <c r="L49" s="3372"/>
      <c r="M49" s="3372"/>
      <c r="N49" s="3372"/>
      <c r="O49" s="3372"/>
      <c r="P49" s="3372"/>
      <c r="Q49" s="3372" t="s">
        <v>6510</v>
      </c>
      <c r="R49" s="3372"/>
      <c r="S49" s="3372"/>
      <c r="T49" s="3372"/>
      <c r="U49" s="3372"/>
      <c r="V49" s="3372"/>
      <c r="W49" s="3372"/>
      <c r="X49" s="3372"/>
      <c r="Y49" s="3372" t="s">
        <v>6004</v>
      </c>
      <c r="Z49" s="3372"/>
      <c r="AA49" s="3372"/>
      <c r="AB49" s="3372"/>
      <c r="AC49" s="3372"/>
      <c r="AD49" s="3372"/>
      <c r="AE49" s="3372"/>
      <c r="AF49" s="3372" t="s">
        <v>6005</v>
      </c>
      <c r="AG49" s="3372"/>
      <c r="AH49" s="3372"/>
      <c r="AI49" s="3372"/>
      <c r="AJ49" s="3372"/>
      <c r="AK49" s="3373" t="s">
        <v>6006</v>
      </c>
      <c r="AL49" s="3373"/>
      <c r="AM49" s="3373"/>
      <c r="AN49" s="3373"/>
      <c r="AO49" s="3373"/>
      <c r="AP49" s="3373"/>
    </row>
    <row r="50" s="810" customFormat="1" ht="18" customHeight="1" spans="1:42">
      <c r="A50" s="835"/>
      <c r="B50" s="3355">
        <v>1</v>
      </c>
      <c r="C50" s="3355"/>
      <c r="D50" s="3350">
        <f>UnosPorBilans!C155</f>
        <v>0</v>
      </c>
      <c r="E50" s="3350"/>
      <c r="F50" s="3350"/>
      <c r="G50" s="3350"/>
      <c r="H50" s="3350"/>
      <c r="I50" s="3350"/>
      <c r="J50" s="3350"/>
      <c r="K50" s="3374">
        <f>UnosPorBilans!K155</f>
        <v>0</v>
      </c>
      <c r="L50" s="3374"/>
      <c r="M50" s="3374"/>
      <c r="N50" s="3374"/>
      <c r="O50" s="3374"/>
      <c r="P50" s="3374"/>
      <c r="Q50" s="3375">
        <f>UnosPorBilans!Q155</f>
        <v>0</v>
      </c>
      <c r="R50" s="3375"/>
      <c r="S50" s="3375"/>
      <c r="T50" s="3375"/>
      <c r="U50" s="3375"/>
      <c r="V50" s="3375"/>
      <c r="W50" s="3375"/>
      <c r="X50" s="3375"/>
      <c r="Y50" s="3350">
        <f>UnosPorBilans!W155</f>
        <v>0</v>
      </c>
      <c r="Z50" s="3350"/>
      <c r="AA50" s="3350"/>
      <c r="AB50" s="3350"/>
      <c r="AC50" s="3350"/>
      <c r="AD50" s="3350"/>
      <c r="AE50" s="3350"/>
      <c r="AF50" s="3374">
        <f>UnosPorBilans!AE155</f>
        <v>0</v>
      </c>
      <c r="AG50" s="3374"/>
      <c r="AH50" s="3374"/>
      <c r="AI50" s="3374"/>
      <c r="AJ50" s="3374"/>
      <c r="AK50" s="3360">
        <f>UnosPorBilans!AJ155</f>
        <v>0</v>
      </c>
      <c r="AL50" s="3360"/>
      <c r="AM50" s="3360"/>
      <c r="AN50" s="3360"/>
      <c r="AO50" s="3360"/>
      <c r="AP50" s="3360"/>
    </row>
    <row r="51" s="810" customFormat="1" ht="18" customHeight="1" spans="1:42">
      <c r="A51" s="835"/>
      <c r="B51" s="3349">
        <v>2</v>
      </c>
      <c r="C51" s="3349"/>
      <c r="D51" s="3350">
        <f>UnosPorBilans!C156</f>
        <v>0</v>
      </c>
      <c r="E51" s="3350"/>
      <c r="F51" s="3350"/>
      <c r="G51" s="3350"/>
      <c r="H51" s="3350"/>
      <c r="I51" s="3350"/>
      <c r="J51" s="3350"/>
      <c r="K51" s="3374">
        <f>UnosPorBilans!K156</f>
        <v>0</v>
      </c>
      <c r="L51" s="3374"/>
      <c r="M51" s="3374"/>
      <c r="N51" s="3374"/>
      <c r="O51" s="3374"/>
      <c r="P51" s="3374"/>
      <c r="Q51" s="3375">
        <f>UnosPorBilans!Q156</f>
        <v>0</v>
      </c>
      <c r="R51" s="3375"/>
      <c r="S51" s="3375"/>
      <c r="T51" s="3375"/>
      <c r="U51" s="3375"/>
      <c r="V51" s="3375"/>
      <c r="W51" s="3375"/>
      <c r="X51" s="3375"/>
      <c r="Y51" s="3350">
        <f>UnosPorBilans!W156</f>
        <v>0</v>
      </c>
      <c r="Z51" s="3350"/>
      <c r="AA51" s="3350"/>
      <c r="AB51" s="3350"/>
      <c r="AC51" s="3350"/>
      <c r="AD51" s="3350"/>
      <c r="AE51" s="3350"/>
      <c r="AF51" s="3374">
        <f>UnosPorBilans!AE156</f>
        <v>0</v>
      </c>
      <c r="AG51" s="3374"/>
      <c r="AH51" s="3374"/>
      <c r="AI51" s="3374"/>
      <c r="AJ51" s="3374"/>
      <c r="AK51" s="3360">
        <f>UnosPorBilans!AJ156</f>
        <v>0</v>
      </c>
      <c r="AL51" s="3360"/>
      <c r="AM51" s="3360"/>
      <c r="AN51" s="3360"/>
      <c r="AO51" s="3360"/>
      <c r="AP51" s="3360"/>
    </row>
    <row r="52" s="810" customFormat="1" ht="18" customHeight="1" spans="1:42">
      <c r="A52" s="835"/>
      <c r="B52" s="3349">
        <v>3</v>
      </c>
      <c r="C52" s="3349"/>
      <c r="D52" s="3350">
        <f>UnosPorBilans!C157</f>
        <v>0</v>
      </c>
      <c r="E52" s="3350"/>
      <c r="F52" s="3350"/>
      <c r="G52" s="3350"/>
      <c r="H52" s="3350"/>
      <c r="I52" s="3350"/>
      <c r="J52" s="3350"/>
      <c r="K52" s="3374">
        <f>UnosPorBilans!K157</f>
        <v>0</v>
      </c>
      <c r="L52" s="3374"/>
      <c r="M52" s="3374"/>
      <c r="N52" s="3374"/>
      <c r="O52" s="3374"/>
      <c r="P52" s="3374"/>
      <c r="Q52" s="3375">
        <f>UnosPorBilans!Q157</f>
        <v>0</v>
      </c>
      <c r="R52" s="3375"/>
      <c r="S52" s="3375"/>
      <c r="T52" s="3375"/>
      <c r="U52" s="3375"/>
      <c r="V52" s="3375"/>
      <c r="W52" s="3375"/>
      <c r="X52" s="3375"/>
      <c r="Y52" s="3350">
        <f>UnosPorBilans!W157</f>
        <v>0</v>
      </c>
      <c r="Z52" s="3350"/>
      <c r="AA52" s="3350"/>
      <c r="AB52" s="3350"/>
      <c r="AC52" s="3350"/>
      <c r="AD52" s="3350"/>
      <c r="AE52" s="3350"/>
      <c r="AF52" s="3374">
        <f>UnosPorBilans!AE157</f>
        <v>0</v>
      </c>
      <c r="AG52" s="3374"/>
      <c r="AH52" s="3374"/>
      <c r="AI52" s="3374"/>
      <c r="AJ52" s="3374"/>
      <c r="AK52" s="3360">
        <f>UnosPorBilans!AJ157</f>
        <v>0</v>
      </c>
      <c r="AL52" s="3360"/>
      <c r="AM52" s="3360"/>
      <c r="AN52" s="3360"/>
      <c r="AO52" s="3360"/>
      <c r="AP52" s="3360"/>
    </row>
    <row r="53" s="810" customFormat="1" ht="18" customHeight="1" spans="1:42">
      <c r="A53" s="835"/>
      <c r="B53" s="3349">
        <v>4</v>
      </c>
      <c r="C53" s="3349"/>
      <c r="D53" s="3350">
        <f>UnosPorBilans!C158</f>
        <v>0</v>
      </c>
      <c r="E53" s="3350"/>
      <c r="F53" s="3350"/>
      <c r="G53" s="3350"/>
      <c r="H53" s="3350"/>
      <c r="I53" s="3350"/>
      <c r="J53" s="3350"/>
      <c r="K53" s="3374">
        <f>UnosPorBilans!K158</f>
        <v>0</v>
      </c>
      <c r="L53" s="3374"/>
      <c r="M53" s="3374"/>
      <c r="N53" s="3374"/>
      <c r="O53" s="3374"/>
      <c r="P53" s="3374"/>
      <c r="Q53" s="3375">
        <f>UnosPorBilans!Q158</f>
        <v>0</v>
      </c>
      <c r="R53" s="3375"/>
      <c r="S53" s="3375"/>
      <c r="T53" s="3375"/>
      <c r="U53" s="3375"/>
      <c r="V53" s="3375"/>
      <c r="W53" s="3375"/>
      <c r="X53" s="3375"/>
      <c r="Y53" s="3350">
        <f>UnosPorBilans!W158</f>
        <v>0</v>
      </c>
      <c r="Z53" s="3350"/>
      <c r="AA53" s="3350"/>
      <c r="AB53" s="3350"/>
      <c r="AC53" s="3350"/>
      <c r="AD53" s="3350"/>
      <c r="AE53" s="3350"/>
      <c r="AF53" s="3374">
        <f>UnosPorBilans!AE158</f>
        <v>0</v>
      </c>
      <c r="AG53" s="3374"/>
      <c r="AH53" s="3374"/>
      <c r="AI53" s="3374"/>
      <c r="AJ53" s="3374"/>
      <c r="AK53" s="3360">
        <f>UnosPorBilans!AJ158</f>
        <v>0</v>
      </c>
      <c r="AL53" s="3360"/>
      <c r="AM53" s="3360"/>
      <c r="AN53" s="3360"/>
      <c r="AO53" s="3360"/>
      <c r="AP53" s="3360"/>
    </row>
    <row r="54" s="810" customFormat="1" ht="18" customHeight="1" spans="1:42">
      <c r="A54" s="835"/>
      <c r="B54" s="3349">
        <v>5</v>
      </c>
      <c r="C54" s="3349"/>
      <c r="D54" s="3350">
        <f>UnosPorBilans!C159</f>
        <v>0</v>
      </c>
      <c r="E54" s="3350"/>
      <c r="F54" s="3350"/>
      <c r="G54" s="3350"/>
      <c r="H54" s="3350"/>
      <c r="I54" s="3350"/>
      <c r="J54" s="3350"/>
      <c r="K54" s="3374">
        <f>UnosPorBilans!K159</f>
        <v>0</v>
      </c>
      <c r="L54" s="3374"/>
      <c r="M54" s="3374"/>
      <c r="N54" s="3374"/>
      <c r="O54" s="3374"/>
      <c r="P54" s="3374"/>
      <c r="Q54" s="3375">
        <f>UnosPorBilans!Q159</f>
        <v>0</v>
      </c>
      <c r="R54" s="3375"/>
      <c r="S54" s="3375"/>
      <c r="T54" s="3375"/>
      <c r="U54" s="3375"/>
      <c r="V54" s="3375"/>
      <c r="W54" s="3375"/>
      <c r="X54" s="3375"/>
      <c r="Y54" s="3350">
        <f>UnosPorBilans!W159</f>
        <v>0</v>
      </c>
      <c r="Z54" s="3350"/>
      <c r="AA54" s="3350"/>
      <c r="AB54" s="3350"/>
      <c r="AC54" s="3350"/>
      <c r="AD54" s="3350"/>
      <c r="AE54" s="3350"/>
      <c r="AF54" s="3374">
        <f>UnosPorBilans!AE159</f>
        <v>0</v>
      </c>
      <c r="AG54" s="3374"/>
      <c r="AH54" s="3374"/>
      <c r="AI54" s="3374"/>
      <c r="AJ54" s="3374"/>
      <c r="AK54" s="3360">
        <f>UnosPorBilans!AJ159</f>
        <v>0</v>
      </c>
      <c r="AL54" s="3360"/>
      <c r="AM54" s="3360"/>
      <c r="AN54" s="3360"/>
      <c r="AO54" s="3360"/>
      <c r="AP54" s="3360"/>
    </row>
    <row r="55" s="687" customFormat="1" ht="6.75" customHeight="1" spans="1:42">
      <c r="A55" s="747"/>
      <c r="B55" s="748"/>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48"/>
      <c r="AF55" s="748"/>
      <c r="AG55" s="748"/>
      <c r="AH55" s="748"/>
      <c r="AI55" s="748"/>
      <c r="AJ55" s="748"/>
      <c r="AK55" s="748"/>
      <c r="AL55" s="748"/>
      <c r="AM55" s="748"/>
      <c r="AN55" s="748"/>
      <c r="AO55" s="748"/>
      <c r="AP55" s="749"/>
    </row>
    <row r="56" s="687" customFormat="1" ht="12.75"/>
    <row r="57" s="687" customFormat="1" ht="12.75"/>
    <row r="58" s="687" customFormat="1" ht="12.75"/>
    <row r="59" s="687" customFormat="1" ht="12.75"/>
    <row r="60" s="687" customFormat="1" ht="12.75"/>
    <row r="61" s="687" customFormat="1" ht="12.75"/>
    <row r="62" s="687" customFormat="1" ht="17.25" customHeight="1" spans="1:42">
      <c r="A62" s="3307" t="s">
        <v>6511</v>
      </c>
      <c r="B62" s="743"/>
      <c r="C62" s="743"/>
      <c r="D62" s="743"/>
      <c r="E62" s="743"/>
      <c r="F62" s="743"/>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4"/>
    </row>
    <row r="63" s="687" customFormat="1" ht="12.75" spans="1:42">
      <c r="A63" s="745"/>
      <c r="AP63" s="746"/>
    </row>
    <row r="64" ht="18.75" customHeight="1" spans="1:42">
      <c r="A64" s="801"/>
      <c r="B64" s="3376" t="s">
        <v>4178</v>
      </c>
      <c r="C64" s="3376"/>
      <c r="D64" s="3376"/>
      <c r="E64" s="3376"/>
      <c r="F64" s="3376"/>
      <c r="G64" s="3376"/>
      <c r="H64" s="3376"/>
      <c r="I64" s="3376"/>
      <c r="J64" s="3376"/>
      <c r="K64" s="3376"/>
      <c r="L64" s="3376"/>
      <c r="M64" s="3376"/>
      <c r="N64" s="3376"/>
      <c r="O64" s="3376"/>
      <c r="P64" s="3376"/>
      <c r="Q64" s="3376"/>
      <c r="R64" s="3376"/>
      <c r="S64" s="3376"/>
      <c r="T64" s="3376"/>
      <c r="U64" s="3376"/>
      <c r="V64" s="3376"/>
      <c r="W64" s="3376"/>
      <c r="X64" s="3376" t="s">
        <v>6512</v>
      </c>
      <c r="Y64" s="3376"/>
      <c r="Z64" s="3376"/>
      <c r="AA64" s="3376"/>
      <c r="AB64" s="3376"/>
      <c r="AC64" s="3376"/>
      <c r="AD64" s="3376"/>
      <c r="AE64" s="3376"/>
      <c r="AF64" s="3377"/>
      <c r="AG64" s="3376" t="s">
        <v>5800</v>
      </c>
      <c r="AH64" s="3376"/>
      <c r="AI64" s="3376"/>
      <c r="AJ64" s="3376"/>
      <c r="AK64" s="3376"/>
      <c r="AL64" s="3376"/>
      <c r="AM64" s="3376"/>
      <c r="AN64" s="3376"/>
      <c r="AO64" s="3376"/>
      <c r="AP64" s="3376"/>
    </row>
    <row r="65" s="687" customFormat="1" ht="20.25" customHeight="1" spans="1:42">
      <c r="A65" s="745"/>
      <c r="B65" s="3156" t="s">
        <v>6513</v>
      </c>
      <c r="C65" s="3157"/>
      <c r="D65" s="3157"/>
      <c r="E65" s="3157"/>
      <c r="F65" s="3157"/>
      <c r="G65" s="3157"/>
      <c r="H65" s="3157"/>
      <c r="I65" s="3157"/>
      <c r="J65" s="3157"/>
      <c r="K65" s="3157"/>
      <c r="L65" s="3157"/>
      <c r="M65" s="3157"/>
      <c r="N65" s="3157"/>
      <c r="O65" s="3157"/>
      <c r="P65" s="3157"/>
      <c r="Q65" s="3157"/>
      <c r="R65" s="3157"/>
      <c r="S65" s="3157"/>
      <c r="T65" s="3157"/>
      <c r="U65" s="3157"/>
      <c r="V65" s="3157"/>
      <c r="W65" s="3158"/>
      <c r="X65" s="3378" t="s">
        <v>6514</v>
      </c>
      <c r="Y65" s="3379"/>
      <c r="Z65" s="3379"/>
      <c r="AA65" s="3379"/>
      <c r="AB65" s="3379"/>
      <c r="AC65" s="3379"/>
      <c r="AD65" s="3379"/>
      <c r="AE65" s="3380"/>
      <c r="AF65" s="3381" t="s">
        <v>19</v>
      </c>
      <c r="AG65" s="3382">
        <f>IF(PorBilans!AE33-PorBilans!AE34&lt;0,0,PorBilans!AE33-PorBilans!AE34)</f>
        <v>0</v>
      </c>
      <c r="AH65" s="3382"/>
      <c r="AI65" s="3382"/>
      <c r="AJ65" s="3382"/>
      <c r="AK65" s="3382"/>
      <c r="AL65" s="3382"/>
      <c r="AM65" s="3382"/>
      <c r="AN65" s="3382"/>
      <c r="AO65" s="3382"/>
      <c r="AP65" s="3382"/>
    </row>
    <row r="66" s="687" customFormat="1" ht="20.25" customHeight="1" spans="1:42">
      <c r="A66" s="745"/>
      <c r="B66" s="3156" t="s">
        <v>6515</v>
      </c>
      <c r="C66" s="3157"/>
      <c r="D66" s="3157"/>
      <c r="E66" s="3157"/>
      <c r="F66" s="3157"/>
      <c r="G66" s="3157"/>
      <c r="H66" s="3157"/>
      <c r="I66" s="3157"/>
      <c r="J66" s="3157"/>
      <c r="K66" s="3157"/>
      <c r="L66" s="3157"/>
      <c r="M66" s="3157"/>
      <c r="N66" s="3157"/>
      <c r="O66" s="3157"/>
      <c r="P66" s="3157"/>
      <c r="Q66" s="3157"/>
      <c r="R66" s="3157"/>
      <c r="S66" s="3157"/>
      <c r="T66" s="3157"/>
      <c r="U66" s="3157"/>
      <c r="V66" s="3157"/>
      <c r="W66" s="3158"/>
      <c r="X66" s="3378" t="s">
        <v>6516</v>
      </c>
      <c r="Y66" s="3379"/>
      <c r="Z66" s="3379"/>
      <c r="AA66" s="3379"/>
      <c r="AB66" s="3379"/>
      <c r="AC66" s="3379"/>
      <c r="AD66" s="3379"/>
      <c r="AE66" s="3380"/>
      <c r="AF66" s="3381" t="s">
        <v>19</v>
      </c>
      <c r="AG66" s="3382">
        <f>PorBilans!AE109</f>
        <v>0</v>
      </c>
      <c r="AH66" s="3382"/>
      <c r="AI66" s="3382"/>
      <c r="AJ66" s="3382"/>
      <c r="AK66" s="3382"/>
      <c r="AL66" s="3382"/>
      <c r="AM66" s="3382"/>
      <c r="AN66" s="3382"/>
      <c r="AO66" s="3382"/>
      <c r="AP66" s="3382"/>
    </row>
    <row r="67" s="687" customFormat="1" ht="20.25" customHeight="1" spans="1:42">
      <c r="A67" s="745"/>
      <c r="B67" s="3156" t="s">
        <v>6517</v>
      </c>
      <c r="C67" s="3157"/>
      <c r="D67" s="3157"/>
      <c r="E67" s="3157"/>
      <c r="F67" s="3157"/>
      <c r="G67" s="3157"/>
      <c r="H67" s="3157"/>
      <c r="I67" s="3157"/>
      <c r="J67" s="3157"/>
      <c r="K67" s="3157"/>
      <c r="L67" s="3157"/>
      <c r="M67" s="3157"/>
      <c r="N67" s="3157"/>
      <c r="O67" s="3157"/>
      <c r="P67" s="3157"/>
      <c r="Q67" s="3157"/>
      <c r="R67" s="3157"/>
      <c r="S67" s="3157"/>
      <c r="T67" s="3157"/>
      <c r="U67" s="3157"/>
      <c r="V67" s="3157"/>
      <c r="W67" s="3158"/>
      <c r="X67" s="3378" t="s">
        <v>6518</v>
      </c>
      <c r="Y67" s="3379"/>
      <c r="Z67" s="3379"/>
      <c r="AA67" s="3379"/>
      <c r="AB67" s="3379"/>
      <c r="AC67" s="3379"/>
      <c r="AD67" s="3379"/>
      <c r="AE67" s="3380"/>
      <c r="AF67" s="3381" t="s">
        <v>19</v>
      </c>
      <c r="AG67" s="3382">
        <f>PorBilans!AE113+PorBilans!AE114+PorBilans!AE115+PorBilans!AE116</f>
        <v>29457</v>
      </c>
      <c r="AH67" s="3382"/>
      <c r="AI67" s="3382"/>
      <c r="AJ67" s="3382"/>
      <c r="AK67" s="3382"/>
      <c r="AL67" s="3382"/>
      <c r="AM67" s="3382"/>
      <c r="AN67" s="3382"/>
      <c r="AO67" s="3382"/>
      <c r="AP67" s="3382"/>
    </row>
    <row r="68" s="687" customFormat="1" ht="20.25" customHeight="1" spans="1:42">
      <c r="A68" s="745"/>
      <c r="B68" s="3156" t="s">
        <v>6519</v>
      </c>
      <c r="C68" s="3157"/>
      <c r="D68" s="3157"/>
      <c r="E68" s="3157"/>
      <c r="F68" s="3157"/>
      <c r="G68" s="3157"/>
      <c r="H68" s="3157"/>
      <c r="I68" s="3157"/>
      <c r="J68" s="3157"/>
      <c r="K68" s="3157"/>
      <c r="L68" s="3157"/>
      <c r="M68" s="3157"/>
      <c r="N68" s="3157"/>
      <c r="O68" s="3157"/>
      <c r="P68" s="3157"/>
      <c r="Q68" s="3157"/>
      <c r="R68" s="3157"/>
      <c r="S68" s="3157"/>
      <c r="T68" s="3157"/>
      <c r="U68" s="3157"/>
      <c r="V68" s="3157"/>
      <c r="W68" s="3158"/>
      <c r="X68" s="3378" t="s">
        <v>6520</v>
      </c>
      <c r="Y68" s="3379"/>
      <c r="Z68" s="3379"/>
      <c r="AA68" s="3379"/>
      <c r="AB68" s="3379"/>
      <c r="AC68" s="3379"/>
      <c r="AD68" s="3379"/>
      <c r="AE68" s="3380"/>
      <c r="AF68" s="3381" t="s">
        <v>19</v>
      </c>
      <c r="AG68" s="3382">
        <f>PorBilans!AE121</f>
        <v>0</v>
      </c>
      <c r="AH68" s="3382"/>
      <c r="AI68" s="3382"/>
      <c r="AJ68" s="3382"/>
      <c r="AK68" s="3382"/>
      <c r="AL68" s="3382"/>
      <c r="AM68" s="3382"/>
      <c r="AN68" s="3382"/>
      <c r="AO68" s="3382"/>
      <c r="AP68" s="3382"/>
    </row>
    <row r="69" s="687" customFormat="1" ht="20.25" customHeight="1" spans="1:42">
      <c r="A69" s="745"/>
      <c r="B69" s="3156" t="s">
        <v>6521</v>
      </c>
      <c r="C69" s="3157"/>
      <c r="D69" s="3157"/>
      <c r="E69" s="3157"/>
      <c r="F69" s="3157"/>
      <c r="G69" s="3157"/>
      <c r="H69" s="3157"/>
      <c r="I69" s="3157"/>
      <c r="J69" s="3157"/>
      <c r="K69" s="3157"/>
      <c r="L69" s="3157"/>
      <c r="M69" s="3157"/>
      <c r="N69" s="3157"/>
      <c r="O69" s="3157"/>
      <c r="P69" s="3157"/>
      <c r="Q69" s="3157"/>
      <c r="R69" s="3157"/>
      <c r="S69" s="3157"/>
      <c r="T69" s="3157"/>
      <c r="U69" s="3157"/>
      <c r="V69" s="3157"/>
      <c r="W69" s="3158"/>
      <c r="X69" s="3378" t="s">
        <v>6522</v>
      </c>
      <c r="Y69" s="3379"/>
      <c r="Z69" s="3379"/>
      <c r="AA69" s="3379"/>
      <c r="AB69" s="3379"/>
      <c r="AC69" s="3379"/>
      <c r="AD69" s="3379"/>
      <c r="AE69" s="3380"/>
      <c r="AF69" s="3381" t="s">
        <v>19</v>
      </c>
      <c r="AG69" s="3382">
        <f>PorBilans!AE122</f>
        <v>0</v>
      </c>
      <c r="AH69" s="3382"/>
      <c r="AI69" s="3382"/>
      <c r="AJ69" s="3382"/>
      <c r="AK69" s="3382"/>
      <c r="AL69" s="3382"/>
      <c r="AM69" s="3382"/>
      <c r="AN69" s="3382"/>
      <c r="AO69" s="3382"/>
      <c r="AP69" s="3382"/>
    </row>
    <row r="70" s="687" customFormat="1" ht="20.25" customHeight="1" spans="1:42">
      <c r="A70" s="745"/>
      <c r="B70" s="3156" t="s">
        <v>6523</v>
      </c>
      <c r="C70" s="3157"/>
      <c r="D70" s="3157"/>
      <c r="E70" s="3157"/>
      <c r="F70" s="3157"/>
      <c r="G70" s="3157"/>
      <c r="H70" s="3157"/>
      <c r="I70" s="3157"/>
      <c r="J70" s="3157"/>
      <c r="K70" s="3157"/>
      <c r="L70" s="3157"/>
      <c r="M70" s="3157"/>
      <c r="N70" s="3157"/>
      <c r="O70" s="3157"/>
      <c r="P70" s="3157"/>
      <c r="Q70" s="3157"/>
      <c r="R70" s="3157"/>
      <c r="S70" s="3157"/>
      <c r="T70" s="3157"/>
      <c r="U70" s="3157"/>
      <c r="V70" s="3157"/>
      <c r="W70" s="3158"/>
      <c r="X70" s="3378" t="s">
        <v>6524</v>
      </c>
      <c r="Y70" s="3379"/>
      <c r="Z70" s="3379"/>
      <c r="AA70" s="3379"/>
      <c r="AB70" s="3379"/>
      <c r="AC70" s="3379"/>
      <c r="AD70" s="3379"/>
      <c r="AE70" s="3380"/>
      <c r="AF70" s="3381" t="s">
        <v>19</v>
      </c>
      <c r="AG70" s="3382">
        <f>PorBilans!AE123+PorBilans!AE124+PorBilans!AE125+PorBilans!AE126</f>
        <v>0</v>
      </c>
      <c r="AH70" s="3382"/>
      <c r="AI70" s="3382"/>
      <c r="AJ70" s="3382"/>
      <c r="AK70" s="3382"/>
      <c r="AL70" s="3382"/>
      <c r="AM70" s="3382"/>
      <c r="AN70" s="3382"/>
      <c r="AO70" s="3382"/>
      <c r="AP70" s="3382"/>
    </row>
    <row r="71" s="687" customFormat="1" ht="20.25" customHeight="1" spans="1:42">
      <c r="A71" s="745"/>
      <c r="B71" s="3156" t="s">
        <v>6525</v>
      </c>
      <c r="C71" s="3157"/>
      <c r="D71" s="3157"/>
      <c r="E71" s="3157"/>
      <c r="F71" s="3157"/>
      <c r="G71" s="3157"/>
      <c r="H71" s="3157"/>
      <c r="I71" s="3157"/>
      <c r="J71" s="3157"/>
      <c r="K71" s="3157"/>
      <c r="L71" s="3157"/>
      <c r="M71" s="3157"/>
      <c r="N71" s="3157"/>
      <c r="O71" s="3157"/>
      <c r="P71" s="3157"/>
      <c r="Q71" s="3157"/>
      <c r="R71" s="3157"/>
      <c r="S71" s="3157"/>
      <c r="T71" s="3157"/>
      <c r="U71" s="3157"/>
      <c r="V71" s="3157"/>
      <c r="W71" s="3158"/>
      <c r="X71" s="3378" t="s">
        <v>6526</v>
      </c>
      <c r="Y71" s="3379"/>
      <c r="Z71" s="3379"/>
      <c r="AA71" s="3379"/>
      <c r="AB71" s="3379"/>
      <c r="AC71" s="3379"/>
      <c r="AD71" s="3379"/>
      <c r="AE71" s="3380"/>
      <c r="AF71" s="3381" t="s">
        <v>19</v>
      </c>
      <c r="AG71" s="3382">
        <f>PorBilans!AE132</f>
        <v>0</v>
      </c>
      <c r="AH71" s="3382"/>
      <c r="AI71" s="3382"/>
      <c r="AJ71" s="3382"/>
      <c r="AK71" s="3382"/>
      <c r="AL71" s="3382"/>
      <c r="AM71" s="3382"/>
      <c r="AN71" s="3382"/>
      <c r="AO71" s="3382"/>
      <c r="AP71" s="3382"/>
    </row>
    <row r="72" s="687" customFormat="1" ht="20.25" customHeight="1" spans="1:42">
      <c r="A72" s="745"/>
      <c r="B72" s="3156" t="s">
        <v>6527</v>
      </c>
      <c r="C72" s="3157"/>
      <c r="D72" s="3157"/>
      <c r="E72" s="3157"/>
      <c r="F72" s="3157"/>
      <c r="G72" s="3157"/>
      <c r="H72" s="3157"/>
      <c r="I72" s="3157"/>
      <c r="J72" s="3157"/>
      <c r="K72" s="3157"/>
      <c r="L72" s="3157"/>
      <c r="M72" s="3157"/>
      <c r="N72" s="3157"/>
      <c r="O72" s="3157"/>
      <c r="P72" s="3157"/>
      <c r="Q72" s="3157"/>
      <c r="R72" s="3157"/>
      <c r="S72" s="3157"/>
      <c r="T72" s="3157"/>
      <c r="U72" s="3157"/>
      <c r="V72" s="3157"/>
      <c r="W72" s="3158"/>
      <c r="X72" s="3378" t="s">
        <v>6528</v>
      </c>
      <c r="Y72" s="3379"/>
      <c r="Z72" s="3379"/>
      <c r="AA72" s="3379"/>
      <c r="AB72" s="3379"/>
      <c r="AC72" s="3379"/>
      <c r="AD72" s="3379"/>
      <c r="AE72" s="3380"/>
      <c r="AF72" s="3381" t="s">
        <v>19</v>
      </c>
      <c r="AG72" s="3382">
        <f>ROUND(AG69/12,0)</f>
        <v>0</v>
      </c>
      <c r="AH72" s="3382"/>
      <c r="AI72" s="3382"/>
      <c r="AJ72" s="3382"/>
      <c r="AK72" s="3382"/>
      <c r="AL72" s="3382"/>
      <c r="AM72" s="3382"/>
      <c r="AN72" s="3382"/>
      <c r="AO72" s="3382"/>
      <c r="AP72" s="3382"/>
    </row>
    <row r="73" s="687" customFormat="1" ht="12.75" spans="1:42">
      <c r="A73" s="747"/>
      <c r="B73" s="748"/>
      <c r="C73" s="748"/>
      <c r="D73" s="748"/>
      <c r="E73" s="748"/>
      <c r="F73" s="748"/>
      <c r="G73" s="748"/>
      <c r="H73" s="748"/>
      <c r="I73" s="748"/>
      <c r="J73" s="748"/>
      <c r="K73" s="748"/>
      <c r="L73" s="748"/>
      <c r="M73" s="748"/>
      <c r="N73" s="748"/>
      <c r="O73" s="748"/>
      <c r="P73" s="748"/>
      <c r="Q73" s="748"/>
      <c r="R73" s="748"/>
      <c r="S73" s="748"/>
      <c r="T73" s="748"/>
      <c r="U73" s="748"/>
      <c r="V73" s="748"/>
      <c r="W73" s="748"/>
      <c r="X73" s="748"/>
      <c r="Y73" s="748"/>
      <c r="Z73" s="748"/>
      <c r="AA73" s="748"/>
      <c r="AB73" s="748"/>
      <c r="AC73" s="748"/>
      <c r="AD73" s="748"/>
      <c r="AE73" s="748"/>
      <c r="AF73" s="748"/>
      <c r="AG73" s="748"/>
      <c r="AH73" s="748"/>
      <c r="AI73" s="748"/>
      <c r="AJ73" s="748"/>
      <c r="AK73" s="748"/>
      <c r="AL73" s="748"/>
      <c r="AM73" s="748"/>
      <c r="AN73" s="748"/>
      <c r="AO73" s="748"/>
      <c r="AP73" s="749"/>
    </row>
    <row r="74" s="687" customFormat="1" ht="12.75"/>
    <row r="75" ht="21" customHeight="1" spans="1:42">
      <c r="A75" s="3307" t="s">
        <v>6529</v>
      </c>
      <c r="B75" s="708"/>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c r="AP75" s="3383"/>
    </row>
    <row r="76" spans="1:42">
      <c r="A76" s="801"/>
      <c r="AP76" s="712"/>
    </row>
    <row r="77" ht="15.75" customHeight="1" spans="1:42">
      <c r="A77" s="801"/>
      <c r="B77" s="806" t="s">
        <v>6338</v>
      </c>
      <c r="D77" s="690" t="s">
        <v>6530</v>
      </c>
      <c r="X77" s="806"/>
      <c r="Z77" s="690" t="s">
        <v>6531</v>
      </c>
      <c r="AP77" s="712"/>
    </row>
    <row r="78" ht="7.5" customHeight="1" spans="1:42">
      <c r="A78" s="801"/>
      <c r="B78" s="689"/>
      <c r="X78" s="689"/>
      <c r="AP78" s="712"/>
    </row>
    <row r="79" ht="15.75" customHeight="1" spans="1:42">
      <c r="A79" s="801"/>
      <c r="B79" s="806"/>
      <c r="D79" s="690" t="s">
        <v>6532</v>
      </c>
      <c r="X79" s="806"/>
      <c r="Z79" s="690" t="s">
        <v>6533</v>
      </c>
      <c r="AP79" s="712"/>
    </row>
    <row r="80" ht="8.25" customHeight="1" spans="1:42">
      <c r="A80" s="801"/>
      <c r="B80" s="689"/>
      <c r="X80" s="689"/>
      <c r="AP80" s="712"/>
    </row>
    <row r="81" ht="15.75" customHeight="1" spans="1:42">
      <c r="A81" s="801"/>
      <c r="B81" s="806"/>
      <c r="D81" s="690" t="s">
        <v>6534</v>
      </c>
      <c r="X81" s="806"/>
      <c r="Z81" s="690" t="s">
        <v>6535</v>
      </c>
      <c r="AP81" s="712"/>
    </row>
    <row r="82" ht="7.5" customHeight="1" spans="1:42">
      <c r="A82" s="801"/>
      <c r="B82" s="689"/>
      <c r="X82" s="689"/>
      <c r="AP82" s="712"/>
    </row>
    <row r="83" ht="15.75" customHeight="1" spans="1:42">
      <c r="A83" s="801"/>
      <c r="B83" s="806"/>
      <c r="D83" s="690" t="s">
        <v>6536</v>
      </c>
      <c r="X83" s="806"/>
      <c r="Z83" s="690" t="s">
        <v>6537</v>
      </c>
      <c r="AP83" s="712"/>
    </row>
    <row r="84" ht="7.5" customHeight="1" spans="1:42">
      <c r="A84" s="801"/>
      <c r="B84" s="689"/>
      <c r="X84" s="689"/>
      <c r="AP84" s="712"/>
    </row>
    <row r="85" ht="15.75" customHeight="1" spans="1:42">
      <c r="A85" s="801"/>
      <c r="B85" s="806"/>
      <c r="D85" s="690" t="s">
        <v>6538</v>
      </c>
      <c r="X85" s="806"/>
      <c r="Z85" s="690" t="s">
        <v>6539</v>
      </c>
      <c r="AP85" s="712"/>
    </row>
    <row r="86" ht="7.5" customHeight="1" spans="1:42">
      <c r="A86" s="801"/>
      <c r="B86" s="689"/>
      <c r="X86" s="689"/>
      <c r="AP86" s="712"/>
    </row>
    <row r="87" ht="15.75" customHeight="1" spans="1:42">
      <c r="A87" s="801"/>
      <c r="B87" s="806"/>
      <c r="D87" s="690" t="s">
        <v>6540</v>
      </c>
      <c r="X87" s="806"/>
      <c r="Z87" s="690" t="s">
        <v>6541</v>
      </c>
      <c r="AP87" s="712"/>
    </row>
    <row r="88" ht="9" customHeight="1" spans="1:42">
      <c r="A88" s="801"/>
      <c r="B88" s="689"/>
      <c r="X88" s="689"/>
      <c r="AP88" s="712"/>
    </row>
    <row r="89" ht="15.75" customHeight="1" spans="1:42">
      <c r="A89" s="801"/>
      <c r="B89" s="806"/>
      <c r="D89" s="690" t="s">
        <v>6542</v>
      </c>
      <c r="X89" s="806" t="s">
        <v>6338</v>
      </c>
      <c r="Z89" s="3384" t="str">
        <f>Text!B150</f>
        <v>(BILANS USPJEHA)</v>
      </c>
      <c r="AP89" s="712"/>
    </row>
    <row r="90" ht="8.25" customHeight="1" spans="1:42">
      <c r="A90" s="801"/>
      <c r="B90" s="689"/>
      <c r="X90" s="689"/>
      <c r="Z90" s="708"/>
      <c r="AA90" s="708"/>
      <c r="AB90" s="708"/>
      <c r="AC90" s="708"/>
      <c r="AD90" s="708"/>
      <c r="AE90" s="708"/>
      <c r="AF90" s="708"/>
      <c r="AP90" s="712"/>
    </row>
    <row r="91" ht="15.75" customHeight="1" spans="1:42">
      <c r="A91" s="801"/>
      <c r="B91" s="806"/>
      <c r="D91" s="690" t="s">
        <v>6543</v>
      </c>
      <c r="X91" s="806"/>
      <c r="Z91" s="717"/>
      <c r="AA91" s="717"/>
      <c r="AB91" s="717"/>
      <c r="AC91" s="717"/>
      <c r="AD91" s="717"/>
      <c r="AE91" s="717"/>
      <c r="AF91" s="717"/>
      <c r="AP91" s="712"/>
    </row>
    <row r="92" spans="1:42">
      <c r="A92" s="801"/>
      <c r="AP92" s="712"/>
    </row>
    <row r="93" spans="1:42">
      <c r="A93" s="801"/>
      <c r="AP93" s="712"/>
    </row>
    <row r="94" spans="1:42">
      <c r="A94" s="801"/>
      <c r="B94" s="690" t="s">
        <v>6544</v>
      </c>
      <c r="AE94" s="3385" t="str">
        <f>Text!B10</f>
        <v>Ovlašteno lice</v>
      </c>
      <c r="AF94" s="3385"/>
      <c r="AG94" s="3385"/>
      <c r="AH94" s="3385"/>
      <c r="AI94" s="3385"/>
      <c r="AJ94" s="3385"/>
      <c r="AK94" s="3385"/>
      <c r="AL94" s="3385"/>
      <c r="AM94" s="3385"/>
      <c r="AN94" s="3385"/>
      <c r="AP94" s="712"/>
    </row>
    <row r="95" ht="19.5" customHeight="1" spans="1:42">
      <c r="A95" s="801"/>
      <c r="B95" s="3386"/>
      <c r="C95" s="3387"/>
      <c r="D95" s="3386"/>
      <c r="E95" s="3387"/>
      <c r="F95" s="3386"/>
      <c r="G95" s="3388"/>
      <c r="H95" s="3388"/>
      <c r="I95" s="3387"/>
      <c r="U95" s="690" t="s">
        <v>6545</v>
      </c>
      <c r="AE95" s="717"/>
      <c r="AF95" s="717"/>
      <c r="AG95" s="717"/>
      <c r="AH95" s="717"/>
      <c r="AI95" s="717"/>
      <c r="AJ95" s="717"/>
      <c r="AK95" s="717"/>
      <c r="AL95" s="717"/>
      <c r="AM95" s="717"/>
      <c r="AN95" s="717"/>
      <c r="AP95" s="712"/>
    </row>
    <row r="96" spans="1:42">
      <c r="A96" s="801"/>
      <c r="AP96" s="712"/>
    </row>
    <row r="97" spans="1:42">
      <c r="A97" s="801"/>
      <c r="AP97" s="712"/>
    </row>
    <row r="98" s="687" customFormat="1" ht="12.75" spans="1:42">
      <c r="A98" s="747"/>
      <c r="B98" s="748"/>
      <c r="C98" s="748"/>
      <c r="D98" s="748"/>
      <c r="E98" s="748"/>
      <c r="F98" s="748"/>
      <c r="G98" s="748"/>
      <c r="H98" s="748"/>
      <c r="I98" s="748"/>
      <c r="J98" s="748"/>
      <c r="K98" s="748"/>
      <c r="L98" s="748"/>
      <c r="M98" s="748"/>
      <c r="N98" s="748"/>
      <c r="O98" s="748"/>
      <c r="P98" s="748"/>
      <c r="Q98" s="748"/>
      <c r="R98" s="748"/>
      <c r="S98" s="748"/>
      <c r="T98" s="748"/>
      <c r="U98" s="748"/>
      <c r="V98" s="748"/>
      <c r="W98" s="748"/>
      <c r="X98" s="748"/>
      <c r="Y98" s="748"/>
      <c r="Z98" s="748"/>
      <c r="AA98" s="748"/>
      <c r="AB98" s="748"/>
      <c r="AC98" s="748"/>
      <c r="AD98" s="748"/>
      <c r="AE98" s="748"/>
      <c r="AF98" s="748"/>
      <c r="AG98" s="748"/>
      <c r="AH98" s="748"/>
      <c r="AI98" s="748"/>
      <c r="AJ98" s="748"/>
      <c r="AK98" s="748"/>
      <c r="AL98" s="748"/>
      <c r="AM98" s="748"/>
      <c r="AN98" s="748"/>
      <c r="AO98" s="748"/>
      <c r="AP98" s="749"/>
    </row>
    <row r="99" s="687" customFormat="1" ht="13.5" customHeight="1" spans="1:42">
      <c r="A99" s="3389"/>
      <c r="B99" s="3389"/>
    </row>
    <row r="100" s="689" customFormat="1" spans="1:42">
      <c r="A100" s="757" t="s">
        <v>6546</v>
      </c>
      <c r="B100" s="758"/>
      <c r="C100" s="759"/>
      <c r="D100" s="760" t="str">
        <f>Text!B11</f>
        <v>Odgovorno lice</v>
      </c>
      <c r="E100" s="3390" t="s">
        <v>6547</v>
      </c>
      <c r="F100" s="3327"/>
      <c r="G100" s="3327"/>
      <c r="H100" s="3327"/>
      <c r="I100" s="3327"/>
      <c r="J100" s="3327"/>
      <c r="K100" s="3327"/>
      <c r="L100" s="3327"/>
      <c r="M100" s="3327"/>
      <c r="N100" s="3327"/>
      <c r="O100" s="3327"/>
      <c r="P100" s="3327"/>
      <c r="Q100" s="3327"/>
      <c r="R100" s="3327"/>
      <c r="S100" s="3327"/>
      <c r="T100" s="3327"/>
      <c r="U100" s="3327"/>
      <c r="V100" s="3327"/>
      <c r="W100" s="3327"/>
      <c r="X100" s="3327"/>
      <c r="Y100" s="3327"/>
      <c r="Z100" s="3327"/>
      <c r="AA100" s="3327"/>
      <c r="AB100" s="3327"/>
      <c r="AC100" s="3327"/>
      <c r="AD100" s="3327"/>
      <c r="AE100" s="3327"/>
      <c r="AF100" s="3327"/>
      <c r="AG100" s="3327"/>
      <c r="AH100" s="3327"/>
      <c r="AI100" s="3327"/>
      <c r="AJ100" s="3327"/>
      <c r="AK100" s="3327"/>
      <c r="AL100" s="3327"/>
      <c r="AM100" s="3327"/>
      <c r="AN100" s="3327"/>
      <c r="AO100" s="3327"/>
      <c r="AP100" s="3328"/>
    </row>
    <row r="101" s="689" customFormat="1" spans="1:42">
      <c r="A101" s="763"/>
      <c r="B101" s="764"/>
      <c r="C101" s="765"/>
      <c r="D101" s="766"/>
      <c r="E101" s="3391"/>
      <c r="F101" s="3333"/>
      <c r="G101" s="3333"/>
      <c r="H101" s="3333"/>
      <c r="I101" s="3333"/>
      <c r="J101" s="3333"/>
      <c r="K101" s="3333"/>
      <c r="L101" s="3333"/>
      <c r="M101" s="3333"/>
      <c r="N101" s="3333"/>
      <c r="O101" s="3333"/>
      <c r="P101" s="3333"/>
      <c r="Q101" s="3333"/>
      <c r="R101" s="3333"/>
      <c r="S101" s="3333"/>
      <c r="T101" s="3333"/>
      <c r="U101" s="3333"/>
      <c r="V101" s="3333"/>
      <c r="W101" s="3333"/>
      <c r="X101" s="3333"/>
      <c r="Y101" s="3333"/>
      <c r="Z101" s="3333"/>
      <c r="AA101" s="3333"/>
      <c r="AB101" s="3333"/>
      <c r="AC101" s="3333"/>
      <c r="AD101" s="3333"/>
      <c r="AE101" s="3333"/>
      <c r="AF101" s="3333"/>
      <c r="AG101" s="3333"/>
      <c r="AH101" s="3333"/>
      <c r="AI101" s="3333"/>
      <c r="AJ101" s="3333"/>
      <c r="AK101" s="3333"/>
      <c r="AL101" s="3333"/>
      <c r="AM101" s="3333"/>
      <c r="AN101" s="3333"/>
      <c r="AO101" s="3333"/>
      <c r="AP101" s="3334"/>
    </row>
    <row r="102" s="689" customFormat="1" spans="1:42">
      <c r="A102" s="763"/>
      <c r="B102" s="764"/>
      <c r="C102" s="765"/>
      <c r="D102" s="766"/>
      <c r="E102" s="3391"/>
      <c r="F102" s="3333"/>
      <c r="G102" s="3333"/>
      <c r="H102" s="3333"/>
      <c r="I102" s="3333"/>
      <c r="J102" s="3333"/>
      <c r="K102" s="3333"/>
      <c r="L102" s="3333"/>
      <c r="M102" s="3333"/>
      <c r="N102" s="3333"/>
      <c r="O102" s="3333"/>
      <c r="P102" s="3333"/>
      <c r="Q102" s="3333"/>
      <c r="R102" s="3333"/>
      <c r="S102" s="3333"/>
      <c r="T102" s="3333"/>
      <c r="U102" s="3333"/>
      <c r="V102" s="3333"/>
      <c r="W102" s="3333"/>
      <c r="X102" s="3333"/>
      <c r="Y102" s="3333"/>
      <c r="Z102" s="3333"/>
      <c r="AA102" s="3333"/>
      <c r="AB102" s="3333"/>
      <c r="AC102" s="3333"/>
      <c r="AD102" s="3333"/>
      <c r="AE102" s="3333"/>
      <c r="AF102" s="3333"/>
      <c r="AG102" s="3333"/>
      <c r="AH102" s="3333"/>
      <c r="AI102" s="3333"/>
      <c r="AJ102" s="3333"/>
      <c r="AK102" s="3333"/>
      <c r="AL102" s="3333"/>
      <c r="AM102" s="3333"/>
      <c r="AN102" s="3333"/>
      <c r="AO102" s="3333"/>
      <c r="AP102" s="3334"/>
    </row>
    <row r="103" s="689" customFormat="1" ht="12.75" customHeight="1" spans="1:42">
      <c r="A103" s="763"/>
      <c r="B103" s="764"/>
      <c r="C103" s="765"/>
      <c r="D103" s="766"/>
      <c r="W103" s="769"/>
      <c r="X103" s="3276" t="str">
        <f>UnosPod!AA22&amp;UnosPod!AB22&amp;"."&amp;UnosPod!AC22&amp;UnosPod!AD22+1&amp;"."&amp;UnosPod!AE22&amp;UnosPod!AF22&amp;UnosPod!AG22&amp;UnosPod!AH22&amp;"."</f>
        <v>28.03.2026.</v>
      </c>
      <c r="Y103" s="3277"/>
      <c r="Z103" s="3277"/>
      <c r="AA103" s="3277"/>
      <c r="AB103" s="3277"/>
      <c r="AC103" s="3277"/>
      <c r="AD103" s="3278"/>
      <c r="AE103" s="3279" t="s">
        <v>2539</v>
      </c>
      <c r="AF103" s="1705"/>
      <c r="AG103" s="1705"/>
      <c r="AH103" s="1705"/>
      <c r="AI103" s="1705"/>
      <c r="AJ103" s="1705"/>
      <c r="AK103" s="1705"/>
      <c r="AL103" s="1705"/>
      <c r="AM103" s="1705"/>
      <c r="AN103" s="1705"/>
      <c r="AO103" s="3280"/>
      <c r="AP103" s="2968"/>
    </row>
    <row r="104" s="689" customFormat="1" ht="15" spans="1:42">
      <c r="A104" s="763"/>
      <c r="B104" s="764"/>
      <c r="C104" s="765"/>
      <c r="D104" s="766"/>
      <c r="E104" s="3281" t="str">
        <f>Direktor</f>
        <v>Nedim Vilogorac</v>
      </c>
      <c r="F104" s="775"/>
      <c r="G104" s="775"/>
      <c r="H104" s="775"/>
      <c r="I104" s="775"/>
      <c r="J104" s="775"/>
      <c r="K104" s="775"/>
      <c r="L104" s="775"/>
      <c r="M104" s="775"/>
      <c r="N104" s="775"/>
      <c r="O104" s="775"/>
      <c r="P104" s="775"/>
      <c r="Q104" s="775"/>
      <c r="R104" s="775"/>
      <c r="S104" s="775"/>
      <c r="T104" s="775"/>
      <c r="U104" s="775"/>
      <c r="V104" s="775"/>
      <c r="W104" s="776"/>
      <c r="X104" s="3282"/>
      <c r="Y104" s="3283"/>
      <c r="Z104" s="3283"/>
      <c r="AA104" s="3283"/>
      <c r="AB104" s="3283"/>
      <c r="AC104" s="3283"/>
      <c r="AD104" s="3284"/>
      <c r="AE104" s="3285"/>
      <c r="AF104" s="3286"/>
      <c r="AG104" s="3286"/>
      <c r="AH104" s="3286"/>
      <c r="AI104" s="3286"/>
      <c r="AJ104" s="3286"/>
      <c r="AK104" s="3286"/>
      <c r="AL104" s="3286"/>
      <c r="AM104" s="3286"/>
      <c r="AN104" s="3286"/>
      <c r="AO104" s="3287"/>
      <c r="AP104" s="2975"/>
    </row>
    <row r="105" s="689" customFormat="1" spans="1:42">
      <c r="A105" s="763"/>
      <c r="B105" s="764"/>
      <c r="C105" s="765"/>
      <c r="D105" s="766"/>
      <c r="E105" s="783" t="s">
        <v>6548</v>
      </c>
      <c r="F105" s="783"/>
      <c r="G105" s="783"/>
      <c r="H105" s="783"/>
      <c r="I105" s="783"/>
      <c r="J105" s="783"/>
      <c r="K105" s="783"/>
      <c r="L105" s="783"/>
      <c r="M105" s="783"/>
      <c r="N105" s="783"/>
      <c r="O105" s="783"/>
      <c r="P105" s="783"/>
      <c r="Q105" s="783"/>
      <c r="R105" s="783"/>
      <c r="S105" s="783"/>
      <c r="T105" s="783"/>
      <c r="U105" s="783"/>
      <c r="V105" s="783"/>
      <c r="W105" s="783"/>
      <c r="X105" s="783" t="s">
        <v>6549</v>
      </c>
      <c r="Y105" s="783"/>
      <c r="Z105" s="783"/>
      <c r="AA105" s="783"/>
      <c r="AB105" s="783"/>
      <c r="AC105" s="783"/>
      <c r="AD105" s="783"/>
      <c r="AE105" s="783" t="s">
        <v>6550</v>
      </c>
      <c r="AF105" s="783"/>
      <c r="AG105" s="783"/>
      <c r="AH105" s="783"/>
      <c r="AI105" s="783"/>
      <c r="AJ105" s="783"/>
      <c r="AK105" s="783"/>
      <c r="AL105" s="783"/>
      <c r="AM105" s="783"/>
      <c r="AN105" s="783"/>
      <c r="AO105" s="783"/>
      <c r="AP105" s="787"/>
    </row>
    <row r="106" s="689" customFormat="1" spans="1:42">
      <c r="A106" s="763"/>
      <c r="B106" s="764"/>
      <c r="C106" s="765"/>
      <c r="D106" s="766"/>
      <c r="E106" s="785"/>
      <c r="F106" s="785"/>
      <c r="G106" s="785"/>
      <c r="H106" s="785"/>
      <c r="I106" s="785"/>
      <c r="J106" s="785"/>
      <c r="K106" s="785"/>
      <c r="L106" s="785"/>
      <c r="M106" s="785"/>
      <c r="N106" s="785"/>
      <c r="O106" s="785"/>
      <c r="P106" s="785"/>
      <c r="Q106" s="785"/>
      <c r="R106" s="785"/>
      <c r="S106" s="785"/>
      <c r="T106" s="785"/>
      <c r="U106" s="785"/>
      <c r="V106" s="785"/>
      <c r="W106" s="785"/>
      <c r="X106" s="786"/>
      <c r="Y106" s="786"/>
      <c r="Z106" s="786"/>
      <c r="AA106" s="786"/>
      <c r="AB106" s="786"/>
      <c r="AC106" s="786"/>
      <c r="AD106" s="786"/>
      <c r="AE106" s="786"/>
      <c r="AF106" s="786"/>
      <c r="AG106" s="786"/>
      <c r="AH106" s="786"/>
      <c r="AI106" s="786"/>
      <c r="AJ106" s="786"/>
      <c r="AK106" s="786"/>
      <c r="AL106" s="786"/>
      <c r="AM106" s="786"/>
      <c r="AN106" s="786"/>
      <c r="AO106" s="786"/>
      <c r="AP106" s="787"/>
    </row>
    <row r="107" s="689" customFormat="1" spans="1:42">
      <c r="A107" s="763"/>
      <c r="B107" s="764"/>
      <c r="C107" s="788"/>
      <c r="D107" s="789" t="s">
        <v>6551</v>
      </c>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1"/>
    </row>
    <row r="108" s="689" customFormat="1" ht="12.75" customHeight="1" spans="1:42">
      <c r="A108" s="763"/>
      <c r="B108" s="764"/>
      <c r="C108" s="765"/>
      <c r="D108" s="792"/>
      <c r="W108" s="769"/>
      <c r="X108" s="3276" t="str">
        <f>UnosPod!AA22&amp;UnosPod!AB22&amp;"."&amp;UnosPod!AC22&amp;UnosPod!AD22+1&amp;"."&amp;UnosPod!AE22&amp;UnosPod!AF22&amp;UnosPod!AG22&amp;UnosPod!AH22&amp;"."</f>
        <v>28.03.2026.</v>
      </c>
      <c r="Y108" s="3277"/>
      <c r="Z108" s="3277"/>
      <c r="AA108" s="3277"/>
      <c r="AB108" s="3277"/>
      <c r="AC108" s="3277"/>
      <c r="AD108" s="3278"/>
      <c r="AE108" s="3279" t="s">
        <v>6552</v>
      </c>
      <c r="AF108" s="1705"/>
      <c r="AG108" s="1705"/>
      <c r="AH108" s="1705"/>
      <c r="AI108" s="1705"/>
      <c r="AJ108" s="1705"/>
      <c r="AK108" s="1705"/>
      <c r="AL108" s="1705"/>
      <c r="AM108" s="1705"/>
      <c r="AN108" s="1705"/>
      <c r="AO108" s="1705"/>
      <c r="AP108" s="769"/>
    </row>
    <row r="109" s="689" customFormat="1" ht="15" spans="1:42">
      <c r="A109" s="763"/>
      <c r="B109" s="764"/>
      <c r="C109" s="765"/>
      <c r="D109" s="792"/>
      <c r="E109" s="3281" t="str">
        <f>Racunovoda</f>
        <v>Elvira Žilić</v>
      </c>
      <c r="F109" s="775"/>
      <c r="G109" s="775"/>
      <c r="H109" s="775"/>
      <c r="I109" s="775"/>
      <c r="J109" s="775"/>
      <c r="K109" s="775"/>
      <c r="L109" s="775"/>
      <c r="M109" s="775"/>
      <c r="N109" s="775"/>
      <c r="O109" s="775"/>
      <c r="P109" s="775"/>
      <c r="Q109" s="775"/>
      <c r="R109" s="775"/>
      <c r="S109" s="775"/>
      <c r="T109" s="775"/>
      <c r="U109" s="775"/>
      <c r="V109" s="775"/>
      <c r="W109" s="776"/>
      <c r="X109" s="3282"/>
      <c r="Y109" s="3283"/>
      <c r="Z109" s="3283"/>
      <c r="AA109" s="3283"/>
      <c r="AB109" s="3283"/>
      <c r="AC109" s="3283"/>
      <c r="AD109" s="3284"/>
      <c r="AE109" s="3285"/>
      <c r="AF109" s="3286"/>
      <c r="AG109" s="3286"/>
      <c r="AH109" s="3286"/>
      <c r="AI109" s="3286"/>
      <c r="AJ109" s="3286"/>
      <c r="AK109" s="3286"/>
      <c r="AL109" s="3286"/>
      <c r="AM109" s="3286"/>
      <c r="AN109" s="3286"/>
      <c r="AO109" s="3286"/>
      <c r="AP109" s="3290"/>
    </row>
    <row r="110" s="689" customFormat="1" spans="1:42">
      <c r="A110" s="763"/>
      <c r="B110" s="764"/>
      <c r="C110" s="765"/>
      <c r="D110" s="792"/>
      <c r="E110" s="783" t="s">
        <v>6548</v>
      </c>
      <c r="F110" s="783"/>
      <c r="G110" s="783"/>
      <c r="H110" s="783"/>
      <c r="I110" s="783"/>
      <c r="J110" s="783"/>
      <c r="K110" s="783"/>
      <c r="L110" s="783"/>
      <c r="M110" s="783"/>
      <c r="N110" s="783"/>
      <c r="O110" s="783"/>
      <c r="P110" s="783"/>
      <c r="Q110" s="783"/>
      <c r="R110" s="783"/>
      <c r="S110" s="783"/>
      <c r="T110" s="783"/>
      <c r="U110" s="783"/>
      <c r="V110" s="783"/>
      <c r="W110" s="783"/>
      <c r="X110" s="783" t="s">
        <v>6549</v>
      </c>
      <c r="Y110" s="783"/>
      <c r="Z110" s="783"/>
      <c r="AA110" s="783"/>
      <c r="AB110" s="783"/>
      <c r="AC110" s="783"/>
      <c r="AD110" s="783"/>
      <c r="AE110" s="783" t="s">
        <v>6550</v>
      </c>
      <c r="AF110" s="783"/>
      <c r="AG110" s="783"/>
      <c r="AH110" s="783"/>
      <c r="AI110" s="783"/>
      <c r="AJ110" s="783"/>
      <c r="AK110" s="783"/>
      <c r="AL110" s="783"/>
      <c r="AM110" s="783"/>
      <c r="AN110" s="783"/>
      <c r="AO110" s="783"/>
      <c r="AP110" s="787"/>
    </row>
    <row r="111" s="689" customFormat="1" spans="1:42">
      <c r="A111" s="793"/>
      <c r="B111" s="794"/>
      <c r="C111" s="795"/>
      <c r="D111" s="796"/>
      <c r="E111" s="797"/>
      <c r="F111" s="797"/>
      <c r="G111" s="797"/>
      <c r="H111" s="797"/>
      <c r="I111" s="797"/>
      <c r="J111" s="797"/>
      <c r="K111" s="797"/>
      <c r="L111" s="797"/>
      <c r="M111" s="797"/>
      <c r="N111" s="797"/>
      <c r="O111" s="797"/>
      <c r="P111" s="797"/>
      <c r="Q111" s="797"/>
      <c r="R111" s="797"/>
      <c r="S111" s="797"/>
      <c r="T111" s="797"/>
      <c r="U111" s="797"/>
      <c r="V111" s="797"/>
      <c r="W111" s="797"/>
      <c r="X111" s="797"/>
      <c r="Y111" s="797"/>
      <c r="Z111" s="797"/>
      <c r="AA111" s="797"/>
      <c r="AB111" s="797"/>
      <c r="AC111" s="797"/>
      <c r="AD111" s="797"/>
      <c r="AE111" s="797"/>
      <c r="AF111" s="797"/>
      <c r="AG111" s="797"/>
      <c r="AH111" s="797"/>
      <c r="AI111" s="797"/>
      <c r="AJ111" s="797"/>
      <c r="AK111" s="797"/>
      <c r="AL111" s="797"/>
      <c r="AM111" s="797"/>
      <c r="AN111" s="797"/>
      <c r="AO111" s="797"/>
      <c r="AP111" s="798"/>
    </row>
  </sheetData>
  <mergeCells count="199">
    <mergeCell ref="A1:U1"/>
    <mergeCell ref="V1:AP1"/>
    <mergeCell ref="A2:U2"/>
    <mergeCell ref="A3:U3"/>
    <mergeCell ref="A4:U4"/>
    <mergeCell ref="A5:U5"/>
    <mergeCell ref="A6:AP6"/>
    <mergeCell ref="A7:AP7"/>
    <mergeCell ref="A9:E9"/>
    <mergeCell ref="G9:I9"/>
    <mergeCell ref="J9:L9"/>
    <mergeCell ref="M9:Q9"/>
    <mergeCell ref="R9:W9"/>
    <mergeCell ref="X9:Z9"/>
    <mergeCell ref="AA9:AC9"/>
    <mergeCell ref="AD9:AH9"/>
    <mergeCell ref="Q13:R13"/>
    <mergeCell ref="S13:T13"/>
    <mergeCell ref="U13:V13"/>
    <mergeCell ref="W13:X13"/>
    <mergeCell ref="Y13:Z13"/>
    <mergeCell ref="AA13:AB13"/>
    <mergeCell ref="AC13:AD13"/>
    <mergeCell ref="AE13:AF13"/>
    <mergeCell ref="AG13:AH13"/>
    <mergeCell ref="AI13:AJ13"/>
    <mergeCell ref="AK13:AL13"/>
    <mergeCell ref="AM13:AN13"/>
    <mergeCell ref="AO13:AP13"/>
    <mergeCell ref="Q17:AD17"/>
    <mergeCell ref="AE17:AH17"/>
    <mergeCell ref="AI17:AP17"/>
    <mergeCell ref="B32:C32"/>
    <mergeCell ref="D32:N32"/>
    <mergeCell ref="O32:U32"/>
    <mergeCell ref="V32:AB32"/>
    <mergeCell ref="AC32:AI32"/>
    <mergeCell ref="AJ32:AP32"/>
    <mergeCell ref="B33:C33"/>
    <mergeCell ref="D33:N33"/>
    <mergeCell ref="O33:U33"/>
    <mergeCell ref="V33:AB33"/>
    <mergeCell ref="AC33:AI33"/>
    <mergeCell ref="AJ33:AP33"/>
    <mergeCell ref="B34:C34"/>
    <mergeCell ref="D34:N34"/>
    <mergeCell ref="O34:U34"/>
    <mergeCell ref="V34:AB34"/>
    <mergeCell ref="AC34:AI34"/>
    <mergeCell ref="AJ34:AP34"/>
    <mergeCell ref="B35:C35"/>
    <mergeCell ref="D35:N35"/>
    <mergeCell ref="O35:U35"/>
    <mergeCell ref="V35:AB35"/>
    <mergeCell ref="AC35:AI35"/>
    <mergeCell ref="AJ35:AP35"/>
    <mergeCell ref="B36:C36"/>
    <mergeCell ref="D36:N36"/>
    <mergeCell ref="O36:U36"/>
    <mergeCell ref="V36:AB36"/>
    <mergeCell ref="AC36:AI36"/>
    <mergeCell ref="AJ36:AP36"/>
    <mergeCell ref="B37:C37"/>
    <mergeCell ref="D37:N37"/>
    <mergeCell ref="O37:U37"/>
    <mergeCell ref="V37:AB37"/>
    <mergeCell ref="AC37:AI37"/>
    <mergeCell ref="AJ37:AP37"/>
    <mergeCell ref="B39:AP39"/>
    <mergeCell ref="B40:C40"/>
    <mergeCell ref="D40:U40"/>
    <mergeCell ref="V40:AB40"/>
    <mergeCell ref="AC40:AI40"/>
    <mergeCell ref="AJ40:AP40"/>
    <mergeCell ref="B41:C41"/>
    <mergeCell ref="D41:U41"/>
    <mergeCell ref="V41:AB41"/>
    <mergeCell ref="AC41:AI41"/>
    <mergeCell ref="AJ41:AP41"/>
    <mergeCell ref="B42:C42"/>
    <mergeCell ref="D42:U42"/>
    <mergeCell ref="V42:AB42"/>
    <mergeCell ref="AC42:AI42"/>
    <mergeCell ref="AJ42:AP42"/>
    <mergeCell ref="B43:C43"/>
    <mergeCell ref="D43:U43"/>
    <mergeCell ref="V43:AB43"/>
    <mergeCell ref="AC43:AI43"/>
    <mergeCell ref="AJ43:AP43"/>
    <mergeCell ref="B44:C44"/>
    <mergeCell ref="D44:U44"/>
    <mergeCell ref="V44:AB44"/>
    <mergeCell ref="AC44:AI44"/>
    <mergeCell ref="AJ44:AP44"/>
    <mergeCell ref="B45:C45"/>
    <mergeCell ref="D45:U45"/>
    <mergeCell ref="V45:AB45"/>
    <mergeCell ref="AC45:AI45"/>
    <mergeCell ref="AJ45:AP45"/>
    <mergeCell ref="D48:P48"/>
    <mergeCell ref="Q48:X48"/>
    <mergeCell ref="Y48:AJ48"/>
    <mergeCell ref="AK48:AP48"/>
    <mergeCell ref="D49:J49"/>
    <mergeCell ref="K49:P49"/>
    <mergeCell ref="Q49:X49"/>
    <mergeCell ref="Y49:AE49"/>
    <mergeCell ref="AF49:AJ49"/>
    <mergeCell ref="AK49:AP49"/>
    <mergeCell ref="B50:C50"/>
    <mergeCell ref="D50:J50"/>
    <mergeCell ref="K50:P50"/>
    <mergeCell ref="Q50:X50"/>
    <mergeCell ref="Y50:AE50"/>
    <mergeCell ref="AF50:AJ50"/>
    <mergeCell ref="AK50:AP50"/>
    <mergeCell ref="B51:C51"/>
    <mergeCell ref="D51:J51"/>
    <mergeCell ref="K51:P51"/>
    <mergeCell ref="Q51:X51"/>
    <mergeCell ref="Y51:AE51"/>
    <mergeCell ref="AF51:AJ51"/>
    <mergeCell ref="AK51:AP51"/>
    <mergeCell ref="B52:C52"/>
    <mergeCell ref="D52:J52"/>
    <mergeCell ref="K52:P52"/>
    <mergeCell ref="Q52:X52"/>
    <mergeCell ref="Y52:AE52"/>
    <mergeCell ref="AF52:AJ52"/>
    <mergeCell ref="AK52:AP52"/>
    <mergeCell ref="B53:C53"/>
    <mergeCell ref="D53:J53"/>
    <mergeCell ref="K53:P53"/>
    <mergeCell ref="Q53:X53"/>
    <mergeCell ref="Y53:AE53"/>
    <mergeCell ref="AF53:AJ53"/>
    <mergeCell ref="AK53:AP53"/>
    <mergeCell ref="B54:C54"/>
    <mergeCell ref="D54:J54"/>
    <mergeCell ref="K54:P54"/>
    <mergeCell ref="Q54:X54"/>
    <mergeCell ref="Y54:AE54"/>
    <mergeCell ref="AF54:AJ54"/>
    <mergeCell ref="AK54:AP54"/>
    <mergeCell ref="B64:W64"/>
    <mergeCell ref="X64:AE64"/>
    <mergeCell ref="AG64:AP64"/>
    <mergeCell ref="B65:W65"/>
    <mergeCell ref="X65:AE65"/>
    <mergeCell ref="AG65:AP65"/>
    <mergeCell ref="B66:W66"/>
    <mergeCell ref="X66:AE66"/>
    <mergeCell ref="AG66:AP66"/>
    <mergeCell ref="B67:W67"/>
    <mergeCell ref="X67:AE67"/>
    <mergeCell ref="AG67:AP67"/>
    <mergeCell ref="B68:W68"/>
    <mergeCell ref="X68:AE68"/>
    <mergeCell ref="AG68:AP68"/>
    <mergeCell ref="B69:W69"/>
    <mergeCell ref="X69:AE69"/>
    <mergeCell ref="AG69:AP69"/>
    <mergeCell ref="B70:W70"/>
    <mergeCell ref="X70:AE70"/>
    <mergeCell ref="AG70:AP70"/>
    <mergeCell ref="B71:W71"/>
    <mergeCell ref="X71:AE71"/>
    <mergeCell ref="AG71:AP71"/>
    <mergeCell ref="B72:W72"/>
    <mergeCell ref="X72:AE72"/>
    <mergeCell ref="AG72:AP72"/>
    <mergeCell ref="AE94:AN94"/>
    <mergeCell ref="B95:C95"/>
    <mergeCell ref="D95:E95"/>
    <mergeCell ref="F95:I95"/>
    <mergeCell ref="C100:C106"/>
    <mergeCell ref="C107:C111"/>
    <mergeCell ref="D100:D106"/>
    <mergeCell ref="D107:D111"/>
    <mergeCell ref="A100:B111"/>
    <mergeCell ref="E105:W106"/>
    <mergeCell ref="X105:AD106"/>
    <mergeCell ref="AE105:AP106"/>
    <mergeCell ref="E100:AP102"/>
    <mergeCell ref="E110:W111"/>
    <mergeCell ref="X110:AD111"/>
    <mergeCell ref="AE110:AP111"/>
    <mergeCell ref="X103:AD104"/>
    <mergeCell ref="B48:C49"/>
    <mergeCell ref="AC19:AH21"/>
    <mergeCell ref="AC23:AH25"/>
    <mergeCell ref="AC27:AH29"/>
    <mergeCell ref="AI19:AP21"/>
    <mergeCell ref="AI23:AP25"/>
    <mergeCell ref="AI27:AP29"/>
    <mergeCell ref="B13:O17"/>
    <mergeCell ref="AE108:AO109"/>
    <mergeCell ref="AE103:AO104"/>
    <mergeCell ref="X108:AD109"/>
  </mergeCells>
  <pageMargins left="0.708661417322835" right="0.511811023622047" top="0.94488188976378" bottom="0.551181102362205" header="0.31496062992126" footer="0.31496062992126"/>
  <pageSetup paperSize="9" scale="88" fitToHeight="0" orientation="portrait"/>
  <headerFooter/>
  <rowBreaks count="1" manualBreakCount="1">
    <brk id="59"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57">
    <tabColor theme="9" tint="0.399975585192419"/>
    <pageSetUpPr fitToPage="1"/>
  </sheetPr>
  <dimension ref="A1:AV150"/>
  <sheetViews>
    <sheetView showGridLines="0" zoomScale="130" zoomScaleNormal="130" topLeftCell="A100" workbookViewId="0">
      <selection activeCell="W133" sqref="W133:AC133"/>
    </sheetView>
  </sheetViews>
  <sheetFormatPr defaultColWidth="3" defaultRowHeight="12"/>
  <cols>
    <col min="1" max="35" width="3" style="690"/>
    <col min="36" max="36" width="2.85714285714286" style="690" customWidth="1"/>
    <col min="37" max="37" width="2.71428571428571" style="690" customWidth="1"/>
    <col min="38" max="38" width="4.28571428571429" style="690" customWidth="1"/>
    <col min="39" max="60" width="3" style="690"/>
    <col min="61" max="62" width="2.57142857142857" style="690" customWidth="1"/>
    <col min="63" max="16384" width="3" style="690"/>
  </cols>
  <sheetData>
    <row r="1" ht="21.75" customHeight="1" spans="1:48">
      <c r="A1" s="691" t="s">
        <v>6553</v>
      </c>
      <c r="B1" s="692"/>
      <c r="C1" s="692"/>
      <c r="D1" s="692"/>
      <c r="E1" s="692"/>
      <c r="F1" s="692"/>
      <c r="G1" s="692"/>
      <c r="H1" s="693"/>
      <c r="I1" s="3040" t="s">
        <v>6554</v>
      </c>
      <c r="J1" s="3042"/>
      <c r="K1" s="3126" t="s">
        <v>6555</v>
      </c>
      <c r="L1" s="697"/>
      <c r="M1" s="697"/>
      <c r="N1" s="697"/>
      <c r="O1" s="3127" t="str">
        <f>UnosPod!F8</f>
        <v>LILIUM ASSET MANAGEMENT d.o.o. Sarajevo</v>
      </c>
      <c r="P1" s="3127"/>
      <c r="Q1" s="3127"/>
      <c r="R1" s="3127"/>
      <c r="S1" s="3127"/>
      <c r="T1" s="3127"/>
      <c r="U1" s="3127"/>
      <c r="V1" s="3127"/>
      <c r="W1" s="3127"/>
      <c r="X1" s="3127"/>
      <c r="Y1" s="3127"/>
      <c r="Z1" s="3127"/>
      <c r="AA1" s="3127"/>
      <c r="AB1" s="3127"/>
      <c r="AC1" s="3127"/>
      <c r="AD1" s="3127"/>
      <c r="AE1" s="3128"/>
      <c r="AF1" s="691" t="s">
        <v>6489</v>
      </c>
      <c r="AG1" s="692"/>
      <c r="AH1" s="692"/>
      <c r="AI1" s="692"/>
      <c r="AJ1" s="692"/>
      <c r="AK1" s="692"/>
      <c r="AL1" s="693"/>
    </row>
    <row r="2" ht="20.25" customHeight="1" spans="1:48">
      <c r="A2" s="703"/>
      <c r="B2" s="704"/>
      <c r="C2" s="704"/>
      <c r="D2" s="704"/>
      <c r="E2" s="704"/>
      <c r="F2" s="704"/>
      <c r="G2" s="704"/>
      <c r="H2" s="705"/>
      <c r="I2" s="3047"/>
      <c r="J2" s="3049"/>
      <c r="K2" s="3126" t="s">
        <v>6556</v>
      </c>
      <c r="L2" s="697"/>
      <c r="M2" s="697"/>
      <c r="N2" s="697"/>
      <c r="O2" s="709">
        <f>UnosPod!AA8</f>
        <v>4</v>
      </c>
      <c r="P2" s="709">
        <f>UnosPod!AB8</f>
        <v>2</v>
      </c>
      <c r="Q2" s="709">
        <f>UnosPod!AC8</f>
        <v>0</v>
      </c>
      <c r="R2" s="709">
        <f>UnosPod!AD8</f>
        <v>1</v>
      </c>
      <c r="S2" s="709">
        <f>UnosPod!AE8</f>
        <v>3</v>
      </c>
      <c r="T2" s="709">
        <f>UnosPod!AF8</f>
        <v>3</v>
      </c>
      <c r="U2" s="709">
        <f>UnosPod!AG8</f>
        <v>7</v>
      </c>
      <c r="V2" s="709">
        <f>UnosPod!AH8</f>
        <v>6</v>
      </c>
      <c r="W2" s="709">
        <f>UnosPod!AI8</f>
        <v>7</v>
      </c>
      <c r="X2" s="709">
        <f>UnosPod!AJ8</f>
        <v>0</v>
      </c>
      <c r="Y2" s="709">
        <f>UnosPod!AK8</f>
        <v>0</v>
      </c>
      <c r="Z2" s="709">
        <f>UnosPod!AL8</f>
        <v>0</v>
      </c>
      <c r="AA2" s="709">
        <f>UnosPod!AM8</f>
        <v>9</v>
      </c>
      <c r="AB2" s="709"/>
      <c r="AC2" s="710"/>
      <c r="AD2" s="710"/>
      <c r="AE2" s="710"/>
      <c r="AF2" s="3129" t="s">
        <v>6557</v>
      </c>
      <c r="AL2" s="712">
        <v>1</v>
      </c>
    </row>
    <row r="3" ht="13.5" customHeight="1" spans="1:48">
      <c r="A3" s="3130" t="s">
        <v>6490</v>
      </c>
      <c r="B3" s="3131"/>
      <c r="C3" s="3131"/>
      <c r="D3" s="3131"/>
      <c r="E3" s="3131"/>
      <c r="F3" s="3131"/>
      <c r="G3" s="3131"/>
      <c r="H3" s="3132"/>
      <c r="I3" s="3047"/>
      <c r="J3" s="3049"/>
      <c r="K3" s="3039"/>
      <c r="L3" s="708"/>
      <c r="M3" s="708"/>
      <c r="N3" s="708"/>
      <c r="O3" s="3133" t="str">
        <f>UnosPod!F10</f>
        <v>Dženetića čikma br.8</v>
      </c>
      <c r="P3" s="3133"/>
      <c r="Q3" s="3133"/>
      <c r="R3" s="3133"/>
      <c r="S3" s="3133"/>
      <c r="T3" s="3133"/>
      <c r="U3" s="3133"/>
      <c r="V3" s="3133"/>
      <c r="W3" s="3133"/>
      <c r="X3" s="3133"/>
      <c r="Y3" s="3133"/>
      <c r="Z3" s="3133"/>
      <c r="AA3" s="3133"/>
      <c r="AB3" s="3133"/>
      <c r="AC3" s="3133"/>
      <c r="AD3" s="3133"/>
      <c r="AE3" s="3134"/>
      <c r="AF3" s="3129"/>
      <c r="AL3" s="712"/>
    </row>
    <row r="4" ht="13.5" customHeight="1" spans="1:48">
      <c r="A4" s="3130" t="s">
        <v>6491</v>
      </c>
      <c r="B4" s="3131"/>
      <c r="C4" s="3131"/>
      <c r="D4" s="3131"/>
      <c r="E4" s="3131"/>
      <c r="F4" s="3131"/>
      <c r="G4" s="3131"/>
      <c r="H4" s="3132"/>
      <c r="I4" s="3047"/>
      <c r="J4" s="3049"/>
      <c r="K4" s="817" t="s">
        <v>6498</v>
      </c>
      <c r="L4" s="717"/>
      <c r="M4" s="717"/>
      <c r="N4" s="717"/>
      <c r="O4" s="3135"/>
      <c r="P4" s="3135"/>
      <c r="Q4" s="3135"/>
      <c r="R4" s="3135"/>
      <c r="S4" s="3135"/>
      <c r="T4" s="3135"/>
      <c r="U4" s="3135"/>
      <c r="V4" s="3135"/>
      <c r="W4" s="3135"/>
      <c r="X4" s="3135"/>
      <c r="Y4" s="3135"/>
      <c r="Z4" s="3135"/>
      <c r="AA4" s="3135"/>
      <c r="AB4" s="3135"/>
      <c r="AC4" s="3135"/>
      <c r="AD4" s="3135"/>
      <c r="AE4" s="3136"/>
      <c r="AF4" s="3137" t="s">
        <v>6558</v>
      </c>
      <c r="AL4" s="3138" t="str">
        <f>"31.3."&amp;UnosPod!Q6+1</f>
        <v>31.3.2026</v>
      </c>
    </row>
    <row r="5" ht="13.5" customHeight="1" spans="1:48">
      <c r="A5" s="3139" t="s">
        <v>6492</v>
      </c>
      <c r="B5" s="3140"/>
      <c r="C5" s="3140"/>
      <c r="D5" s="3140"/>
      <c r="E5" s="3140"/>
      <c r="F5" s="3140"/>
      <c r="G5" s="3140"/>
      <c r="H5" s="3141"/>
      <c r="I5" s="3047"/>
      <c r="J5" s="3049"/>
      <c r="K5" s="3039"/>
      <c r="L5" s="708"/>
      <c r="M5" s="708"/>
      <c r="N5" s="708"/>
      <c r="O5" s="3142" t="str">
        <f>Baza!I21</f>
        <v>Sarajevo-Stari Grad</v>
      </c>
      <c r="P5" s="3142"/>
      <c r="Q5" s="3142"/>
      <c r="R5" s="3142"/>
      <c r="S5" s="3142"/>
      <c r="T5" s="3142"/>
      <c r="U5" s="3142"/>
      <c r="V5" s="3142"/>
      <c r="W5" s="3142"/>
      <c r="X5" s="3142"/>
      <c r="Y5" s="3142"/>
      <c r="Z5" s="3142"/>
      <c r="AA5" s="3142"/>
      <c r="AB5" s="3142"/>
      <c r="AC5" s="3142"/>
      <c r="AD5" s="3142"/>
      <c r="AE5" s="3143"/>
      <c r="AF5" s="3137"/>
      <c r="AL5" s="712"/>
    </row>
    <row r="6" ht="13.5" customHeight="1" spans="1:48">
      <c r="A6" s="3139" t="s">
        <v>6493</v>
      </c>
      <c r="B6" s="3140"/>
      <c r="C6" s="3140"/>
      <c r="D6" s="3140"/>
      <c r="E6" s="3140"/>
      <c r="F6" s="3140"/>
      <c r="G6" s="3140"/>
      <c r="H6" s="3141"/>
      <c r="I6" s="3056"/>
      <c r="J6" s="3058"/>
      <c r="K6" s="817" t="s">
        <v>6559</v>
      </c>
      <c r="L6" s="717"/>
      <c r="M6" s="717"/>
      <c r="N6" s="717"/>
      <c r="O6" s="3144"/>
      <c r="P6" s="3144"/>
      <c r="Q6" s="3144"/>
      <c r="R6" s="3144"/>
      <c r="S6" s="3144"/>
      <c r="T6" s="3144"/>
      <c r="U6" s="3144"/>
      <c r="V6" s="3144"/>
      <c r="W6" s="3144"/>
      <c r="X6" s="3144"/>
      <c r="Y6" s="3144"/>
      <c r="Z6" s="3144"/>
      <c r="AA6" s="3144"/>
      <c r="AB6" s="3144"/>
      <c r="AC6" s="3144"/>
      <c r="AD6" s="3144"/>
      <c r="AE6" s="3145"/>
      <c r="AF6" s="3146" t="s">
        <v>362</v>
      </c>
      <c r="AG6" s="717"/>
      <c r="AH6" s="717"/>
      <c r="AI6" s="717"/>
      <c r="AJ6" s="717"/>
      <c r="AK6" s="717"/>
      <c r="AL6" s="3147" t="str">
        <f>UnosPod!AA11&amp;UnosPod!AB11&amp;UnosPod!AC11</f>
        <v>109</v>
      </c>
    </row>
    <row r="7" ht="27" customHeight="1" spans="1:48">
      <c r="A7" s="2918" t="s">
        <v>3712</v>
      </c>
      <c r="B7" s="2918"/>
      <c r="C7" s="2918"/>
      <c r="D7" s="2918"/>
      <c r="E7" s="2918"/>
      <c r="F7" s="2918"/>
      <c r="G7" s="2918"/>
      <c r="H7" s="2918"/>
      <c r="I7" s="2918"/>
      <c r="J7" s="2918"/>
      <c r="K7" s="2918"/>
      <c r="L7" s="2918"/>
      <c r="M7" s="2918"/>
      <c r="N7" s="2918"/>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row>
    <row r="8" ht="13.5" spans="1:48">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row>
    <row r="9" ht="20.25" customHeight="1" spans="1:48">
      <c r="A9" s="734" t="str">
        <f>"za "&amp;Text!B8</f>
        <v>za period</v>
      </c>
      <c r="B9" s="734"/>
      <c r="C9" s="734"/>
      <c r="D9" s="734"/>
      <c r="E9" s="734"/>
      <c r="F9" s="734"/>
      <c r="G9" s="734"/>
      <c r="H9" s="734"/>
      <c r="I9" s="734"/>
      <c r="J9" s="3148"/>
      <c r="K9" s="736" t="str">
        <f>UnosPod!F6&amp;UnosPod!G6</f>
        <v>01</v>
      </c>
      <c r="L9" s="737"/>
      <c r="M9" s="736" t="str">
        <f>UnosPod!H6&amp;UnosPod!I6</f>
        <v>01</v>
      </c>
      <c r="N9" s="737"/>
      <c r="O9" s="736">
        <f>UnosPod!J6</f>
        <v>2025</v>
      </c>
      <c r="P9" s="738"/>
      <c r="Q9" s="738"/>
      <c r="R9" s="737"/>
      <c r="S9" s="739" t="s">
        <v>12</v>
      </c>
      <c r="T9" s="740"/>
      <c r="U9" s="740"/>
      <c r="V9" s="740"/>
      <c r="W9" s="736" t="str">
        <f>UnosPod!M6&amp;UnosPod!N6</f>
        <v>31</v>
      </c>
      <c r="X9" s="737"/>
      <c r="Y9" s="736" t="str">
        <f>UnosPod!O6&amp;UnosPod!P6</f>
        <v>12</v>
      </c>
      <c r="Z9" s="737"/>
      <c r="AA9" s="736">
        <f>UnosPod!Q6</f>
        <v>2025</v>
      </c>
      <c r="AB9" s="738"/>
      <c r="AC9" s="738"/>
      <c r="AD9" s="737"/>
    </row>
    <row r="10" ht="6.75" customHeight="1"/>
    <row r="11" ht="18.75" customHeight="1" spans="1:48">
      <c r="A11" s="836" t="s">
        <v>5799</v>
      </c>
      <c r="B11" s="836"/>
      <c r="C11" s="836" t="s">
        <v>4178</v>
      </c>
      <c r="D11" s="836"/>
      <c r="E11" s="836"/>
      <c r="F11" s="836"/>
      <c r="G11" s="836"/>
      <c r="H11" s="836"/>
      <c r="I11" s="836"/>
      <c r="J11" s="836"/>
      <c r="K11" s="836"/>
      <c r="L11" s="836"/>
      <c r="M11" s="836"/>
      <c r="N11" s="836"/>
      <c r="O11" s="836"/>
      <c r="P11" s="836"/>
      <c r="Q11" s="836"/>
      <c r="R11" s="836"/>
      <c r="S11" s="836"/>
      <c r="T11" s="836"/>
      <c r="U11" s="836"/>
      <c r="V11" s="836"/>
      <c r="W11" s="836" t="s">
        <v>6512</v>
      </c>
      <c r="X11" s="836"/>
      <c r="Y11" s="836"/>
      <c r="Z11" s="836"/>
      <c r="AA11" s="836"/>
      <c r="AB11" s="836"/>
      <c r="AC11" s="836"/>
      <c r="AD11" s="3149"/>
      <c r="AE11" s="836" t="s">
        <v>5800</v>
      </c>
      <c r="AF11" s="836"/>
      <c r="AG11" s="836"/>
      <c r="AH11" s="836"/>
      <c r="AI11" s="836"/>
      <c r="AJ11" s="836"/>
      <c r="AK11" s="836"/>
      <c r="AL11" s="836"/>
    </row>
    <row r="12" ht="18.75" customHeight="1" spans="1:48">
      <c r="A12" s="3150" t="s">
        <v>5801</v>
      </c>
      <c r="B12" s="3150"/>
      <c r="C12" s="3151" t="s">
        <v>5802</v>
      </c>
      <c r="D12" s="3152"/>
      <c r="E12" s="3152"/>
      <c r="F12" s="3152"/>
      <c r="G12" s="3152"/>
      <c r="H12" s="3152"/>
      <c r="I12" s="3152"/>
      <c r="J12" s="3152"/>
      <c r="K12" s="3152"/>
      <c r="L12" s="3152"/>
      <c r="M12" s="3152"/>
      <c r="N12" s="3152"/>
      <c r="O12" s="3152"/>
      <c r="P12" s="3152"/>
      <c r="Q12" s="3152"/>
      <c r="R12" s="3152"/>
      <c r="S12" s="3152"/>
      <c r="T12" s="3152"/>
      <c r="U12" s="3152"/>
      <c r="V12" s="3152"/>
      <c r="W12" s="3152"/>
      <c r="X12" s="3152"/>
      <c r="Y12" s="3152"/>
      <c r="Z12" s="3152"/>
      <c r="AA12" s="3152"/>
      <c r="AB12" s="3152"/>
      <c r="AC12" s="3152"/>
      <c r="AD12" s="3152"/>
      <c r="AE12" s="3153"/>
      <c r="AF12" s="3153"/>
      <c r="AG12" s="3153"/>
      <c r="AH12" s="3153"/>
      <c r="AI12" s="3153"/>
      <c r="AJ12" s="3153"/>
      <c r="AK12" s="3153"/>
      <c r="AL12" s="3154"/>
    </row>
    <row r="13" ht="18.75" customHeight="1" spans="1:48">
      <c r="A13" s="3155" t="s">
        <v>3713</v>
      </c>
      <c r="B13" s="3155"/>
      <c r="C13" s="3156" t="str">
        <f>Text!B654</f>
        <v>Prihodi privrednih društava</v>
      </c>
      <c r="D13" s="3157"/>
      <c r="E13" s="3157"/>
      <c r="F13" s="3157"/>
      <c r="G13" s="3157"/>
      <c r="H13" s="3157"/>
      <c r="I13" s="3157"/>
      <c r="J13" s="3157"/>
      <c r="K13" s="3157"/>
      <c r="L13" s="3157"/>
      <c r="M13" s="3157"/>
      <c r="N13" s="3157"/>
      <c r="O13" s="3157"/>
      <c r="P13" s="3157"/>
      <c r="Q13" s="3157"/>
      <c r="R13" s="3157"/>
      <c r="S13" s="3157"/>
      <c r="T13" s="3157"/>
      <c r="U13" s="3157"/>
      <c r="V13" s="3158"/>
      <c r="W13" s="3159"/>
      <c r="X13" s="3159"/>
      <c r="Y13" s="3159"/>
      <c r="Z13" s="3159"/>
      <c r="AA13" s="3159"/>
      <c r="AB13" s="3159"/>
      <c r="AC13" s="3159"/>
      <c r="AD13" s="806" t="s">
        <v>19</v>
      </c>
      <c r="AE13" s="3160">
        <f>B_Uspjeha!AI76</f>
        <v>247772</v>
      </c>
      <c r="AF13" s="3160"/>
      <c r="AG13" s="3160"/>
      <c r="AH13" s="3160"/>
      <c r="AI13" s="3160"/>
      <c r="AJ13" s="3160"/>
      <c r="AK13" s="3160"/>
      <c r="AL13" s="3160"/>
    </row>
    <row r="14" ht="18" customHeight="1" spans="1:48">
      <c r="A14" s="3161" t="s">
        <v>6560</v>
      </c>
      <c r="B14" s="3162"/>
      <c r="C14" s="3163" t="s">
        <v>6561</v>
      </c>
      <c r="D14" s="3164"/>
      <c r="E14" s="3164"/>
      <c r="F14" s="3164"/>
      <c r="G14" s="3164"/>
      <c r="H14" s="3164"/>
      <c r="I14" s="3164"/>
      <c r="J14" s="3164"/>
      <c r="K14" s="3165" t="s">
        <v>5933</v>
      </c>
      <c r="L14" s="3166" t="s">
        <v>6562</v>
      </c>
      <c r="M14" s="3167"/>
      <c r="N14" s="3167"/>
      <c r="O14" s="3167"/>
      <c r="P14" s="3167"/>
      <c r="Q14" s="3167"/>
      <c r="R14" s="3167"/>
      <c r="S14" s="3167"/>
      <c r="T14" s="3167"/>
      <c r="U14" s="3167"/>
      <c r="V14" s="3168"/>
      <c r="W14" s="3169"/>
      <c r="X14" s="3169"/>
      <c r="Y14" s="3169"/>
      <c r="Z14" s="3169"/>
      <c r="AA14" s="3169"/>
      <c r="AB14" s="3169"/>
      <c r="AC14" s="3169"/>
      <c r="AD14" s="3165" t="s">
        <v>19</v>
      </c>
      <c r="AE14" s="3170">
        <v>0</v>
      </c>
      <c r="AF14" s="3170"/>
      <c r="AG14" s="3170"/>
      <c r="AH14" s="3170"/>
      <c r="AI14" s="3170"/>
      <c r="AJ14" s="3170"/>
      <c r="AK14" s="3170"/>
      <c r="AL14" s="3170"/>
    </row>
    <row r="15" ht="18" customHeight="1" spans="1:48">
      <c r="A15" s="3171"/>
      <c r="B15" s="3172"/>
      <c r="C15" s="3173"/>
      <c r="D15" s="3174"/>
      <c r="E15" s="3174"/>
      <c r="F15" s="3174"/>
      <c r="G15" s="3174"/>
      <c r="H15" s="3174"/>
      <c r="I15" s="3174"/>
      <c r="J15" s="3174"/>
      <c r="K15" s="3175" t="s">
        <v>5936</v>
      </c>
      <c r="L15" s="3176" t="s">
        <v>6563</v>
      </c>
      <c r="M15" s="3177"/>
      <c r="N15" s="3177"/>
      <c r="O15" s="3177"/>
      <c r="P15" s="3177"/>
      <c r="Q15" s="3177"/>
      <c r="R15" s="3177"/>
      <c r="S15" s="3177"/>
      <c r="T15" s="3177"/>
      <c r="U15" s="3177"/>
      <c r="V15" s="3178"/>
      <c r="W15" s="3179"/>
      <c r="X15" s="3179"/>
      <c r="Y15" s="3179"/>
      <c r="Z15" s="3179"/>
      <c r="AA15" s="3179"/>
      <c r="AB15" s="3179"/>
      <c r="AC15" s="3179"/>
      <c r="AD15" s="3175" t="s">
        <v>19</v>
      </c>
      <c r="AE15" s="3180">
        <v>0</v>
      </c>
      <c r="AF15" s="3180"/>
      <c r="AG15" s="3180"/>
      <c r="AH15" s="3180"/>
      <c r="AI15" s="3180"/>
      <c r="AJ15" s="3180"/>
      <c r="AK15" s="3180"/>
      <c r="AL15" s="3180"/>
    </row>
    <row r="16" ht="18" customHeight="1" spans="1:48">
      <c r="A16" s="3171"/>
      <c r="B16" s="3172"/>
      <c r="C16" s="3173"/>
      <c r="D16" s="3174"/>
      <c r="E16" s="3174"/>
      <c r="F16" s="3174"/>
      <c r="G16" s="3174"/>
      <c r="H16" s="3174"/>
      <c r="I16" s="3174"/>
      <c r="J16" s="3174"/>
      <c r="K16" s="3175" t="s">
        <v>5939</v>
      </c>
      <c r="L16" s="3176" t="s">
        <v>6564</v>
      </c>
      <c r="M16" s="3177"/>
      <c r="N16" s="3177"/>
      <c r="O16" s="3177"/>
      <c r="P16" s="3177"/>
      <c r="Q16" s="3177"/>
      <c r="R16" s="3177"/>
      <c r="S16" s="3177"/>
      <c r="T16" s="3177"/>
      <c r="U16" s="3177"/>
      <c r="V16" s="3178"/>
      <c r="W16" s="3179"/>
      <c r="X16" s="3179"/>
      <c r="Y16" s="3179"/>
      <c r="Z16" s="3179"/>
      <c r="AA16" s="3179"/>
      <c r="AB16" s="3179"/>
      <c r="AC16" s="3179"/>
      <c r="AD16" s="3175" t="s">
        <v>19</v>
      </c>
      <c r="AE16" s="3180">
        <v>0</v>
      </c>
      <c r="AF16" s="3180"/>
      <c r="AG16" s="3180"/>
      <c r="AH16" s="3180"/>
      <c r="AI16" s="3180"/>
      <c r="AJ16" s="3180"/>
      <c r="AK16" s="3180"/>
      <c r="AL16" s="3180"/>
      <c r="AV16" s="3181"/>
    </row>
    <row r="17" ht="18" customHeight="1" spans="1:38">
      <c r="A17" s="3171"/>
      <c r="B17" s="3172"/>
      <c r="C17" s="3173"/>
      <c r="D17" s="3174"/>
      <c r="E17" s="3174"/>
      <c r="F17" s="3174"/>
      <c r="G17" s="3174"/>
      <c r="H17" s="3174"/>
      <c r="I17" s="3174"/>
      <c r="J17" s="3174"/>
      <c r="K17" s="3175" t="s">
        <v>3716</v>
      </c>
      <c r="L17" s="3176" t="str">
        <f>Text!B655</f>
        <v>Finansijski prihodi</v>
      </c>
      <c r="M17" s="3177"/>
      <c r="N17" s="3177"/>
      <c r="O17" s="3177"/>
      <c r="P17" s="3177"/>
      <c r="Q17" s="3177"/>
      <c r="R17" s="3177"/>
      <c r="S17" s="3177"/>
      <c r="T17" s="3177"/>
      <c r="U17" s="3177"/>
      <c r="V17" s="3178"/>
      <c r="W17" s="3179"/>
      <c r="X17" s="3179"/>
      <c r="Y17" s="3179"/>
      <c r="Z17" s="3179"/>
      <c r="AA17" s="3179"/>
      <c r="AB17" s="3179"/>
      <c r="AC17" s="3179"/>
      <c r="AD17" s="3175" t="s">
        <v>19</v>
      </c>
      <c r="AE17" s="3180">
        <v>0</v>
      </c>
      <c r="AF17" s="3180"/>
      <c r="AG17" s="3180"/>
      <c r="AH17" s="3180"/>
      <c r="AI17" s="3180"/>
      <c r="AJ17" s="3180"/>
      <c r="AK17" s="3180"/>
      <c r="AL17" s="3180"/>
    </row>
    <row r="18" ht="18" customHeight="1" spans="1:38">
      <c r="A18" s="3171"/>
      <c r="B18" s="3172"/>
      <c r="C18" s="3173"/>
      <c r="D18" s="3174"/>
      <c r="E18" s="3174"/>
      <c r="F18" s="3174"/>
      <c r="G18" s="3174"/>
      <c r="H18" s="3174"/>
      <c r="I18" s="3174"/>
      <c r="J18" s="3174"/>
      <c r="K18" s="3175" t="s">
        <v>6565</v>
      </c>
      <c r="L18" s="3176" t="s">
        <v>6566</v>
      </c>
      <c r="M18" s="3177"/>
      <c r="N18" s="3177"/>
      <c r="O18" s="3177"/>
      <c r="P18" s="3177"/>
      <c r="Q18" s="3177"/>
      <c r="R18" s="3177"/>
      <c r="S18" s="3177"/>
      <c r="T18" s="3177"/>
      <c r="U18" s="3177"/>
      <c r="V18" s="3178"/>
      <c r="W18" s="3179"/>
      <c r="X18" s="3179"/>
      <c r="Y18" s="3179"/>
      <c r="Z18" s="3179"/>
      <c r="AA18" s="3179"/>
      <c r="AB18" s="3179"/>
      <c r="AC18" s="3179"/>
      <c r="AD18" s="3175" t="s">
        <v>19</v>
      </c>
      <c r="AE18" s="3180">
        <v>0</v>
      </c>
      <c r="AF18" s="3180"/>
      <c r="AG18" s="3180"/>
      <c r="AH18" s="3180"/>
      <c r="AI18" s="3180"/>
      <c r="AJ18" s="3180"/>
      <c r="AK18" s="3180"/>
      <c r="AL18" s="3180"/>
    </row>
    <row r="19" ht="18" customHeight="1" spans="1:38">
      <c r="A19" s="3171"/>
      <c r="B19" s="3172"/>
      <c r="C19" s="3173"/>
      <c r="D19" s="3174"/>
      <c r="E19" s="3174"/>
      <c r="F19" s="3174"/>
      <c r="G19" s="3174"/>
      <c r="H19" s="3174"/>
      <c r="I19" s="3174"/>
      <c r="J19" s="3174"/>
      <c r="K19" s="3175" t="s">
        <v>6567</v>
      </c>
      <c r="L19" s="3176" t="s">
        <v>6568</v>
      </c>
      <c r="M19" s="3177"/>
      <c r="N19" s="3177"/>
      <c r="O19" s="3177"/>
      <c r="P19" s="3177"/>
      <c r="Q19" s="3177"/>
      <c r="R19" s="3177"/>
      <c r="S19" s="3177"/>
      <c r="T19" s="3177"/>
      <c r="U19" s="3177"/>
      <c r="V19" s="3178"/>
      <c r="W19" s="3179"/>
      <c r="X19" s="3179"/>
      <c r="Y19" s="3179"/>
      <c r="Z19" s="3179"/>
      <c r="AA19" s="3179"/>
      <c r="AB19" s="3179"/>
      <c r="AC19" s="3179"/>
      <c r="AD19" s="3175" t="s">
        <v>19</v>
      </c>
      <c r="AE19" s="3180">
        <v>0</v>
      </c>
      <c r="AF19" s="3180"/>
      <c r="AG19" s="3180"/>
      <c r="AH19" s="3180"/>
      <c r="AI19" s="3180"/>
      <c r="AJ19" s="3180"/>
      <c r="AK19" s="3180"/>
      <c r="AL19" s="3180"/>
    </row>
    <row r="20" ht="18" customHeight="1" spans="1:38">
      <c r="A20" s="3171"/>
      <c r="B20" s="3172"/>
      <c r="C20" s="3173"/>
      <c r="D20" s="3174"/>
      <c r="E20" s="3174"/>
      <c r="F20" s="3174"/>
      <c r="G20" s="3174"/>
      <c r="H20" s="3174"/>
      <c r="I20" s="3174"/>
      <c r="J20" s="3174"/>
      <c r="K20" s="3182" t="s">
        <v>6569</v>
      </c>
      <c r="L20" s="3183" t="s">
        <v>2290</v>
      </c>
      <c r="M20" s="3184"/>
      <c r="N20" s="3184"/>
      <c r="O20" s="3184"/>
      <c r="P20" s="3184"/>
      <c r="Q20" s="3184"/>
      <c r="R20" s="3184"/>
      <c r="S20" s="3184"/>
      <c r="T20" s="3184"/>
      <c r="U20" s="3184"/>
      <c r="V20" s="3185"/>
      <c r="W20" s="3186"/>
      <c r="X20" s="3186"/>
      <c r="Y20" s="3186"/>
      <c r="Z20" s="3186"/>
      <c r="AA20" s="3186"/>
      <c r="AB20" s="3186"/>
      <c r="AC20" s="3186"/>
      <c r="AD20" s="3182" t="s">
        <v>19</v>
      </c>
      <c r="AE20" s="3187">
        <v>0</v>
      </c>
      <c r="AF20" s="3187"/>
      <c r="AG20" s="3187"/>
      <c r="AH20" s="3187"/>
      <c r="AI20" s="3187"/>
      <c r="AJ20" s="3187"/>
      <c r="AK20" s="3187"/>
      <c r="AL20" s="3187"/>
    </row>
    <row r="21" ht="18" customHeight="1" spans="1:38">
      <c r="A21" s="3188"/>
      <c r="B21" s="3189"/>
      <c r="C21" s="3190"/>
      <c r="D21" s="3191"/>
      <c r="E21" s="3191"/>
      <c r="F21" s="3191"/>
      <c r="G21" s="3191"/>
      <c r="H21" s="3191"/>
      <c r="I21" s="3191"/>
      <c r="J21" s="3191"/>
      <c r="K21" s="3156" t="s">
        <v>6570</v>
      </c>
      <c r="L21" s="3157"/>
      <c r="M21" s="3157"/>
      <c r="N21" s="3157"/>
      <c r="O21" s="3157"/>
      <c r="P21" s="3157"/>
      <c r="Q21" s="3157"/>
      <c r="R21" s="3157"/>
      <c r="S21" s="3157"/>
      <c r="T21" s="3157"/>
      <c r="U21" s="3157"/>
      <c r="V21" s="3158"/>
      <c r="W21" s="3192" t="s">
        <v>6571</v>
      </c>
      <c r="X21" s="3192"/>
      <c r="Y21" s="3192"/>
      <c r="Z21" s="3192"/>
      <c r="AA21" s="3192"/>
      <c r="AB21" s="3192"/>
      <c r="AC21" s="3192"/>
      <c r="AD21" s="806" t="s">
        <v>19</v>
      </c>
      <c r="AE21" s="3160">
        <v>0</v>
      </c>
      <c r="AF21" s="3160"/>
      <c r="AG21" s="3160"/>
      <c r="AH21" s="3160"/>
      <c r="AI21" s="3160"/>
      <c r="AJ21" s="3160"/>
      <c r="AK21" s="3160"/>
      <c r="AL21" s="3160"/>
    </row>
    <row r="22" ht="22.5" customHeight="1" spans="1:38">
      <c r="A22" s="3193" t="s">
        <v>6572</v>
      </c>
      <c r="B22" s="3194"/>
      <c r="C22" s="3156" t="s">
        <v>6573</v>
      </c>
      <c r="D22" s="3157"/>
      <c r="E22" s="3157"/>
      <c r="F22" s="3157"/>
      <c r="G22" s="3157"/>
      <c r="H22" s="3157"/>
      <c r="I22" s="3157"/>
      <c r="J22" s="3157"/>
      <c r="K22" s="3157"/>
      <c r="L22" s="3157"/>
      <c r="M22" s="3157"/>
      <c r="N22" s="3157"/>
      <c r="O22" s="3157"/>
      <c r="P22" s="3157"/>
      <c r="Q22" s="3157"/>
      <c r="R22" s="3157"/>
      <c r="S22" s="3157"/>
      <c r="T22" s="3157"/>
      <c r="U22" s="3157"/>
      <c r="V22" s="3158"/>
      <c r="W22" s="3192"/>
      <c r="X22" s="3192"/>
      <c r="Y22" s="3192"/>
      <c r="Z22" s="3192"/>
      <c r="AA22" s="3192"/>
      <c r="AB22" s="3192"/>
      <c r="AC22" s="3192"/>
      <c r="AD22" s="806" t="s">
        <v>19</v>
      </c>
      <c r="AE22" s="3160">
        <v>0</v>
      </c>
      <c r="AF22" s="3160"/>
      <c r="AG22" s="3160"/>
      <c r="AH22" s="3160"/>
      <c r="AI22" s="3160"/>
      <c r="AJ22" s="3160"/>
      <c r="AK22" s="3160"/>
      <c r="AL22" s="3160"/>
    </row>
    <row r="23" ht="17.25" customHeight="1" spans="1:38">
      <c r="A23" s="3150" t="s">
        <v>5803</v>
      </c>
      <c r="B23" s="3150"/>
      <c r="C23" s="3151" t="s">
        <v>5804</v>
      </c>
      <c r="D23" s="3152"/>
      <c r="E23" s="3152"/>
      <c r="F23" s="3152"/>
      <c r="G23" s="3152"/>
      <c r="H23" s="3152"/>
      <c r="I23" s="3152"/>
      <c r="J23" s="3152"/>
      <c r="K23" s="3152"/>
      <c r="L23" s="3152"/>
      <c r="M23" s="3152"/>
      <c r="N23" s="3152"/>
      <c r="O23" s="3152"/>
      <c r="P23" s="3152"/>
      <c r="Q23" s="3152"/>
      <c r="R23" s="3152"/>
      <c r="S23" s="3152"/>
      <c r="T23" s="3152"/>
      <c r="U23" s="3152"/>
      <c r="V23" s="3152"/>
      <c r="W23" s="3195"/>
      <c r="X23" s="3195"/>
      <c r="Y23" s="3195"/>
      <c r="Z23" s="3195"/>
      <c r="AA23" s="3195"/>
      <c r="AB23" s="3195"/>
      <c r="AC23" s="3195"/>
      <c r="AD23" s="3152"/>
      <c r="AE23" s="3196"/>
      <c r="AF23" s="3196"/>
      <c r="AG23" s="3196"/>
      <c r="AH23" s="3196"/>
      <c r="AI23" s="3196"/>
      <c r="AJ23" s="3196"/>
      <c r="AK23" s="3196"/>
      <c r="AL23" s="3197"/>
    </row>
    <row r="24" ht="22.5" customHeight="1" spans="1:38">
      <c r="A24" s="806" t="s">
        <v>3719</v>
      </c>
      <c r="B24" s="806"/>
      <c r="C24" s="3156" t="str">
        <f>Text!B656</f>
        <v>Rashodi privrednih društava</v>
      </c>
      <c r="D24" s="3157"/>
      <c r="E24" s="3157"/>
      <c r="F24" s="3157"/>
      <c r="G24" s="3157"/>
      <c r="H24" s="3157"/>
      <c r="I24" s="3157"/>
      <c r="J24" s="3157"/>
      <c r="K24" s="3157"/>
      <c r="L24" s="3157"/>
      <c r="M24" s="3157"/>
      <c r="N24" s="3157"/>
      <c r="O24" s="3157"/>
      <c r="P24" s="3157"/>
      <c r="Q24" s="3157"/>
      <c r="R24" s="3157"/>
      <c r="S24" s="3157"/>
      <c r="T24" s="3157"/>
      <c r="U24" s="3157"/>
      <c r="V24" s="3158"/>
      <c r="W24" s="3192"/>
      <c r="X24" s="3192"/>
      <c r="Y24" s="3192"/>
      <c r="Z24" s="3192"/>
      <c r="AA24" s="3192"/>
      <c r="AB24" s="3192"/>
      <c r="AC24" s="3192"/>
      <c r="AD24" s="3198" t="s">
        <v>481</v>
      </c>
      <c r="AE24" s="3160">
        <f>B_Uspjeha!AI140</f>
        <v>306969</v>
      </c>
      <c r="AF24" s="3160"/>
      <c r="AG24" s="3160"/>
      <c r="AH24" s="3160"/>
      <c r="AI24" s="3160"/>
      <c r="AJ24" s="3160"/>
      <c r="AK24" s="3160"/>
      <c r="AL24" s="3160"/>
    </row>
    <row r="25" ht="22.5" customHeight="1" spans="1:38">
      <c r="A25" s="3199" t="s">
        <v>6574</v>
      </c>
      <c r="B25" s="3200"/>
      <c r="C25" s="3163" t="s">
        <v>6575</v>
      </c>
      <c r="D25" s="3164"/>
      <c r="E25" s="3164"/>
      <c r="F25" s="3164"/>
      <c r="G25" s="3164"/>
      <c r="H25" s="3164"/>
      <c r="I25" s="3164"/>
      <c r="J25" s="3164"/>
      <c r="K25" s="3165" t="s">
        <v>5933</v>
      </c>
      <c r="L25" s="3166" t="s">
        <v>6576</v>
      </c>
      <c r="M25" s="3167"/>
      <c r="N25" s="3167"/>
      <c r="O25" s="3167"/>
      <c r="P25" s="3167"/>
      <c r="Q25" s="3167"/>
      <c r="R25" s="3167"/>
      <c r="S25" s="3167"/>
      <c r="T25" s="3167"/>
      <c r="U25" s="3167"/>
      <c r="V25" s="3168"/>
      <c r="W25" s="3201"/>
      <c r="X25" s="3201"/>
      <c r="Y25" s="3201"/>
      <c r="Z25" s="3201"/>
      <c r="AA25" s="3201"/>
      <c r="AB25" s="3201"/>
      <c r="AC25" s="3201"/>
      <c r="AD25" s="3202" t="s">
        <v>481</v>
      </c>
      <c r="AE25" s="3170">
        <v>0</v>
      </c>
      <c r="AF25" s="3170"/>
      <c r="AG25" s="3170"/>
      <c r="AH25" s="3170"/>
      <c r="AI25" s="3170"/>
      <c r="AJ25" s="3170"/>
      <c r="AK25" s="3170"/>
      <c r="AL25" s="3170"/>
    </row>
    <row r="26" ht="22.5" customHeight="1" spans="1:38">
      <c r="A26" s="3203"/>
      <c r="B26" s="3204"/>
      <c r="C26" s="3190"/>
      <c r="D26" s="3191"/>
      <c r="E26" s="3191"/>
      <c r="F26" s="3191"/>
      <c r="G26" s="3191"/>
      <c r="H26" s="3191"/>
      <c r="I26" s="3191"/>
      <c r="J26" s="3191"/>
      <c r="K26" s="3182" t="s">
        <v>5936</v>
      </c>
      <c r="L26" s="3183" t="s">
        <v>6577</v>
      </c>
      <c r="M26" s="3184"/>
      <c r="N26" s="3184"/>
      <c r="O26" s="3184"/>
      <c r="P26" s="3184"/>
      <c r="Q26" s="3184"/>
      <c r="R26" s="3184"/>
      <c r="S26" s="3184"/>
      <c r="T26" s="3184"/>
      <c r="U26" s="3184"/>
      <c r="V26" s="3185"/>
      <c r="W26" s="3205"/>
      <c r="X26" s="3205"/>
      <c r="Y26" s="3205"/>
      <c r="Z26" s="3205"/>
      <c r="AA26" s="3205"/>
      <c r="AB26" s="3205"/>
      <c r="AC26" s="3205"/>
      <c r="AD26" s="3206" t="s">
        <v>481</v>
      </c>
      <c r="AE26" s="3187">
        <v>0</v>
      </c>
      <c r="AF26" s="3187"/>
      <c r="AG26" s="3187"/>
      <c r="AH26" s="3187"/>
      <c r="AI26" s="3187"/>
      <c r="AJ26" s="3187"/>
      <c r="AK26" s="3187"/>
      <c r="AL26" s="3187"/>
    </row>
    <row r="27" ht="22.5" customHeight="1" spans="1:38">
      <c r="A27" s="806" t="s">
        <v>6578</v>
      </c>
      <c r="B27" s="806"/>
      <c r="C27" s="3156" t="s">
        <v>6579</v>
      </c>
      <c r="D27" s="3157"/>
      <c r="E27" s="3157"/>
      <c r="F27" s="3157"/>
      <c r="G27" s="3157"/>
      <c r="H27" s="3157"/>
      <c r="I27" s="3157"/>
      <c r="J27" s="3157"/>
      <c r="K27" s="3157"/>
      <c r="L27" s="3157"/>
      <c r="M27" s="3157"/>
      <c r="N27" s="3157"/>
      <c r="O27" s="3157"/>
      <c r="P27" s="3157"/>
      <c r="Q27" s="3157"/>
      <c r="R27" s="3157"/>
      <c r="S27" s="3157"/>
      <c r="T27" s="3157"/>
      <c r="U27" s="3157"/>
      <c r="V27" s="3158"/>
      <c r="W27" s="3192"/>
      <c r="X27" s="3192"/>
      <c r="Y27" s="3192"/>
      <c r="Z27" s="3192"/>
      <c r="AA27" s="3192"/>
      <c r="AB27" s="3192"/>
      <c r="AC27" s="3192"/>
      <c r="AD27" s="3198" t="s">
        <v>481</v>
      </c>
      <c r="AE27" s="3160">
        <v>0</v>
      </c>
      <c r="AF27" s="3160"/>
      <c r="AG27" s="3160"/>
      <c r="AH27" s="3160"/>
      <c r="AI27" s="3160"/>
      <c r="AJ27" s="3160"/>
      <c r="AK27" s="3160"/>
      <c r="AL27" s="3160"/>
    </row>
    <row r="28" ht="17.25" customHeight="1" spans="1:38">
      <c r="A28" s="3150" t="s">
        <v>5805</v>
      </c>
      <c r="B28" s="3150"/>
      <c r="C28" s="3151" t="s">
        <v>5806</v>
      </c>
      <c r="D28" s="3152"/>
      <c r="E28" s="3152"/>
      <c r="F28" s="3152"/>
      <c r="G28" s="3152"/>
      <c r="H28" s="3152"/>
      <c r="I28" s="3152"/>
      <c r="J28" s="3152"/>
      <c r="K28" s="3152"/>
      <c r="L28" s="3152"/>
      <c r="M28" s="3152"/>
      <c r="N28" s="3152"/>
      <c r="O28" s="3152"/>
      <c r="P28" s="3152"/>
      <c r="Q28" s="3152"/>
      <c r="R28" s="3152"/>
      <c r="S28" s="3152"/>
      <c r="T28" s="3152"/>
      <c r="U28" s="3152"/>
      <c r="V28" s="3152"/>
      <c r="W28" s="3195"/>
      <c r="X28" s="3195"/>
      <c r="Y28" s="3195"/>
      <c r="Z28" s="3195"/>
      <c r="AA28" s="3195"/>
      <c r="AB28" s="3195"/>
      <c r="AC28" s="3195"/>
      <c r="AD28" s="3152"/>
      <c r="AE28" s="3207"/>
      <c r="AF28" s="3207"/>
      <c r="AG28" s="3207"/>
      <c r="AH28" s="3207"/>
      <c r="AI28" s="3207"/>
      <c r="AJ28" s="3207"/>
      <c r="AK28" s="3207"/>
      <c r="AL28" s="3208"/>
    </row>
    <row r="29" ht="22.5" customHeight="1" spans="1:38">
      <c r="A29" s="3155" t="s">
        <v>3722</v>
      </c>
      <c r="B29" s="3155"/>
      <c r="C29" s="3156" t="str">
        <f>Text!B657</f>
        <v>Dobit tekućeg perioda</v>
      </c>
      <c r="D29" s="3157"/>
      <c r="E29" s="3157"/>
      <c r="F29" s="3157"/>
      <c r="G29" s="3157"/>
      <c r="H29" s="3157"/>
      <c r="I29" s="3157"/>
      <c r="J29" s="3157"/>
      <c r="K29" s="3157"/>
      <c r="L29" s="3157"/>
      <c r="M29" s="3157"/>
      <c r="N29" s="3157"/>
      <c r="O29" s="3157"/>
      <c r="P29" s="3157"/>
      <c r="Q29" s="3157"/>
      <c r="R29" s="3157"/>
      <c r="S29" s="3157"/>
      <c r="T29" s="3157"/>
      <c r="U29" s="3157"/>
      <c r="V29" s="3158"/>
      <c r="W29" s="3192" t="s">
        <v>6580</v>
      </c>
      <c r="X29" s="3192"/>
      <c r="Y29" s="3192"/>
      <c r="Z29" s="3192"/>
      <c r="AA29" s="3192"/>
      <c r="AB29" s="3192"/>
      <c r="AC29" s="3192"/>
      <c r="AD29" s="806" t="s">
        <v>19</v>
      </c>
      <c r="AE29" s="3160">
        <f>IF(AE13-AE24&lt;0,0,AE13-AE24)</f>
        <v>0</v>
      </c>
      <c r="AF29" s="3160"/>
      <c r="AG29" s="3160"/>
      <c r="AH29" s="3160"/>
      <c r="AI29" s="3160"/>
      <c r="AJ29" s="3160"/>
      <c r="AK29" s="3160"/>
      <c r="AL29" s="3160"/>
    </row>
    <row r="30" ht="22.5" customHeight="1" spans="1:38">
      <c r="A30" s="3155" t="s">
        <v>3724</v>
      </c>
      <c r="B30" s="3155"/>
      <c r="C30" s="3156" t="str">
        <f>Text!B658</f>
        <v>Gubitak tekućeg perioda</v>
      </c>
      <c r="D30" s="3157"/>
      <c r="E30" s="3157"/>
      <c r="F30" s="3157"/>
      <c r="G30" s="3157"/>
      <c r="H30" s="3157"/>
      <c r="I30" s="3157"/>
      <c r="J30" s="3157"/>
      <c r="K30" s="3157"/>
      <c r="L30" s="3157"/>
      <c r="M30" s="3157"/>
      <c r="N30" s="3157"/>
      <c r="O30" s="3157"/>
      <c r="P30" s="3157"/>
      <c r="Q30" s="3157"/>
      <c r="R30" s="3157"/>
      <c r="S30" s="3157"/>
      <c r="T30" s="3157"/>
      <c r="U30" s="3157"/>
      <c r="V30" s="3158"/>
      <c r="W30" s="3192" t="s">
        <v>6581</v>
      </c>
      <c r="X30" s="3192"/>
      <c r="Y30" s="3192"/>
      <c r="Z30" s="3192"/>
      <c r="AA30" s="3192"/>
      <c r="AB30" s="3192"/>
      <c r="AC30" s="3192"/>
      <c r="AD30" s="3198" t="s">
        <v>481</v>
      </c>
      <c r="AE30" s="3209">
        <f>IF(AE24-AE13&lt;0,0,AE24-AE13)</f>
        <v>59197</v>
      </c>
      <c r="AF30" s="3209"/>
      <c r="AG30" s="3209"/>
      <c r="AH30" s="3209"/>
      <c r="AI30" s="3209"/>
      <c r="AJ30" s="3209"/>
      <c r="AK30" s="3209"/>
      <c r="AL30" s="3209"/>
    </row>
    <row r="31" ht="9" customHeight="1" spans="1:38">
      <c r="A31" s="3210"/>
      <c r="B31" s="3210"/>
      <c r="C31" s="3125"/>
      <c r="D31" s="3125"/>
      <c r="E31" s="3125"/>
      <c r="F31" s="3125"/>
      <c r="G31" s="3125"/>
      <c r="H31" s="3125"/>
      <c r="I31" s="3125"/>
      <c r="J31" s="3125"/>
      <c r="K31" s="3125"/>
      <c r="L31" s="3125"/>
      <c r="M31" s="3125"/>
      <c r="N31" s="3125"/>
      <c r="O31" s="3125"/>
      <c r="P31" s="3125"/>
      <c r="Q31" s="3125"/>
      <c r="R31" s="3125"/>
      <c r="S31" s="3125"/>
      <c r="T31" s="3125"/>
      <c r="U31" s="3125"/>
      <c r="V31" s="3125"/>
      <c r="W31" s="3211"/>
      <c r="X31" s="3211"/>
      <c r="Y31" s="3211"/>
      <c r="Z31" s="3211"/>
      <c r="AA31" s="3211"/>
      <c r="AB31" s="3211"/>
      <c r="AC31" s="3211"/>
      <c r="AD31" s="3125"/>
      <c r="AE31" s="3212"/>
      <c r="AF31" s="3212"/>
      <c r="AG31" s="3212"/>
      <c r="AH31" s="3212"/>
      <c r="AI31" s="3212"/>
      <c r="AJ31" s="3212"/>
      <c r="AK31" s="3212"/>
      <c r="AL31" s="3212"/>
    </row>
    <row r="32" ht="18" customHeight="1" spans="1:38">
      <c r="A32" s="3150" t="s">
        <v>5809</v>
      </c>
      <c r="B32" s="3150"/>
      <c r="C32" s="3151" t="str">
        <f>Text!B659</f>
        <v>FINANSIJSKI REUZLTAT</v>
      </c>
      <c r="D32" s="3152"/>
      <c r="E32" s="3152"/>
      <c r="F32" s="3152"/>
      <c r="G32" s="3152"/>
      <c r="H32" s="3152"/>
      <c r="I32" s="3152"/>
      <c r="J32" s="3152"/>
      <c r="K32" s="3152"/>
      <c r="L32" s="3152"/>
      <c r="M32" s="3152"/>
      <c r="N32" s="3152"/>
      <c r="O32" s="3152"/>
      <c r="P32" s="3152"/>
      <c r="Q32" s="3152"/>
      <c r="R32" s="3152"/>
      <c r="S32" s="3152"/>
      <c r="T32" s="3152"/>
      <c r="U32" s="3152"/>
      <c r="V32" s="3152"/>
      <c r="W32" s="3195"/>
      <c r="X32" s="3195"/>
      <c r="Y32" s="3195"/>
      <c r="Z32" s="3195"/>
      <c r="AA32" s="3195"/>
      <c r="AB32" s="3195"/>
      <c r="AC32" s="3195"/>
      <c r="AD32" s="3152"/>
      <c r="AE32" s="3213"/>
      <c r="AF32" s="3213"/>
      <c r="AG32" s="3213"/>
      <c r="AH32" s="3213"/>
      <c r="AI32" s="3213"/>
      <c r="AJ32" s="3213"/>
      <c r="AK32" s="3213"/>
      <c r="AL32" s="3214"/>
    </row>
    <row r="33" ht="24" customHeight="1" spans="1:38">
      <c r="A33" s="3155" t="s">
        <v>3953</v>
      </c>
      <c r="B33" s="3155"/>
      <c r="C33" s="3156" t="s">
        <v>6582</v>
      </c>
      <c r="D33" s="3157"/>
      <c r="E33" s="3157"/>
      <c r="F33" s="3157"/>
      <c r="G33" s="3157"/>
      <c r="H33" s="3157"/>
      <c r="I33" s="3157"/>
      <c r="J33" s="3157"/>
      <c r="K33" s="3157"/>
      <c r="L33" s="3157"/>
      <c r="M33" s="3157"/>
      <c r="N33" s="3157"/>
      <c r="O33" s="3157"/>
      <c r="P33" s="3157"/>
      <c r="Q33" s="3157"/>
      <c r="R33" s="3157"/>
      <c r="S33" s="3157"/>
      <c r="T33" s="3157"/>
      <c r="U33" s="3157"/>
      <c r="V33" s="3158"/>
      <c r="W33" s="3215" t="s">
        <v>6583</v>
      </c>
      <c r="X33" s="3216"/>
      <c r="Y33" s="3216"/>
      <c r="Z33" s="3216"/>
      <c r="AA33" s="3216"/>
      <c r="AB33" s="3216"/>
      <c r="AC33" s="3217"/>
      <c r="AD33" s="806" t="s">
        <v>19</v>
      </c>
      <c r="AE33" s="3160">
        <f>UnosPorBilans!Y29</f>
        <v>0</v>
      </c>
      <c r="AF33" s="3160"/>
      <c r="AG33" s="3160"/>
      <c r="AH33" s="3160"/>
      <c r="AI33" s="3160"/>
      <c r="AJ33" s="3160"/>
      <c r="AK33" s="3160"/>
      <c r="AL33" s="3160"/>
    </row>
    <row r="34" ht="24" customHeight="1" spans="1:38">
      <c r="A34" s="3155" t="s">
        <v>3891</v>
      </c>
      <c r="B34" s="3155"/>
      <c r="C34" s="3156" t="s">
        <v>6584</v>
      </c>
      <c r="D34" s="3157"/>
      <c r="E34" s="3157"/>
      <c r="F34" s="3157"/>
      <c r="G34" s="3157"/>
      <c r="H34" s="3157"/>
      <c r="I34" s="3157"/>
      <c r="J34" s="3157"/>
      <c r="K34" s="3157"/>
      <c r="L34" s="3157"/>
      <c r="M34" s="3157"/>
      <c r="N34" s="3157"/>
      <c r="O34" s="3157"/>
      <c r="P34" s="3157"/>
      <c r="Q34" s="3157"/>
      <c r="R34" s="3157"/>
      <c r="S34" s="3157"/>
      <c r="T34" s="3157"/>
      <c r="U34" s="3157"/>
      <c r="V34" s="3158"/>
      <c r="W34" s="3215" t="s">
        <v>6585</v>
      </c>
      <c r="X34" s="3216"/>
      <c r="Y34" s="3216"/>
      <c r="Z34" s="3216"/>
      <c r="AA34" s="3216"/>
      <c r="AB34" s="3216"/>
      <c r="AC34" s="3217"/>
      <c r="AD34" s="3198" t="s">
        <v>481</v>
      </c>
      <c r="AE34" s="3209">
        <f>UnosPorBilans!Y30</f>
        <v>59197</v>
      </c>
      <c r="AF34" s="3209"/>
      <c r="AG34" s="3209"/>
      <c r="AH34" s="3209"/>
      <c r="AI34" s="3209"/>
      <c r="AJ34" s="3209"/>
      <c r="AK34" s="3209"/>
      <c r="AL34" s="3209"/>
    </row>
    <row r="35" ht="17.25" customHeight="1" spans="1:38">
      <c r="A35" s="3150" t="s">
        <v>3725</v>
      </c>
      <c r="B35" s="3150"/>
      <c r="C35" s="3151" t="s">
        <v>5812</v>
      </c>
      <c r="D35" s="3152"/>
      <c r="E35" s="3152"/>
      <c r="F35" s="3152"/>
      <c r="G35" s="3152"/>
      <c r="H35" s="3152"/>
      <c r="I35" s="3152"/>
      <c r="J35" s="3152"/>
      <c r="K35" s="3152"/>
      <c r="L35" s="3152"/>
      <c r="M35" s="3152"/>
      <c r="N35" s="3152"/>
      <c r="O35" s="3152"/>
      <c r="P35" s="3152"/>
      <c r="Q35" s="3152"/>
      <c r="R35" s="3152"/>
      <c r="S35" s="3152"/>
      <c r="T35" s="3152"/>
      <c r="U35" s="3152"/>
      <c r="V35" s="3152"/>
      <c r="W35" s="3152"/>
      <c r="X35" s="3152"/>
      <c r="Y35" s="3152"/>
      <c r="Z35" s="3152"/>
      <c r="AA35" s="3152"/>
      <c r="AB35" s="3152"/>
      <c r="AC35" s="3152"/>
      <c r="AD35" s="3152"/>
      <c r="AE35" s="3207"/>
      <c r="AF35" s="3207"/>
      <c r="AG35" s="3207"/>
      <c r="AH35" s="3207"/>
      <c r="AI35" s="3207"/>
      <c r="AJ35" s="3207"/>
      <c r="AK35" s="3207"/>
      <c r="AL35" s="3208"/>
    </row>
    <row r="36" ht="24" customHeight="1" spans="1:38">
      <c r="A36" s="3155" t="s">
        <v>3902</v>
      </c>
      <c r="B36" s="3155"/>
      <c r="C36" s="3156" t="str">
        <f>Text!B660</f>
        <v>Kapitalni dobici iz bilansa stanja</v>
      </c>
      <c r="D36" s="3157"/>
      <c r="E36" s="3157"/>
      <c r="F36" s="3157"/>
      <c r="G36" s="3157"/>
      <c r="H36" s="3157"/>
      <c r="I36" s="3157"/>
      <c r="J36" s="3157"/>
      <c r="K36" s="3157"/>
      <c r="L36" s="3157"/>
      <c r="M36" s="3157"/>
      <c r="N36" s="3157"/>
      <c r="O36" s="3157"/>
      <c r="P36" s="3157"/>
      <c r="Q36" s="3157"/>
      <c r="R36" s="3157"/>
      <c r="S36" s="3157"/>
      <c r="T36" s="3157"/>
      <c r="U36" s="3157"/>
      <c r="V36" s="3158"/>
      <c r="W36" s="3218" t="str">
        <f>Text!B676</f>
        <v>član 24.stav(1) Zakona i čl. 46. i 47. Pravilnika</v>
      </c>
      <c r="X36" s="3219"/>
      <c r="Y36" s="3219"/>
      <c r="Z36" s="3219"/>
      <c r="AA36" s="3219"/>
      <c r="AB36" s="3219"/>
      <c r="AC36" s="3220"/>
      <c r="AD36" s="806" t="s">
        <v>19</v>
      </c>
      <c r="AE36" s="3160">
        <f>UnosPorBilans!Y32</f>
        <v>0</v>
      </c>
      <c r="AF36" s="3160"/>
      <c r="AG36" s="3160"/>
      <c r="AH36" s="3160"/>
      <c r="AI36" s="3160"/>
      <c r="AJ36" s="3160"/>
      <c r="AK36" s="3160"/>
      <c r="AL36" s="3160"/>
    </row>
    <row r="37" ht="24" customHeight="1" spans="1:38">
      <c r="A37" s="3155" t="s">
        <v>3905</v>
      </c>
      <c r="B37" s="3155"/>
      <c r="C37" s="3156" t="str">
        <f>Text!B661</f>
        <v>Kapitalni gubici iz bilansa stanja</v>
      </c>
      <c r="D37" s="3157"/>
      <c r="E37" s="3157"/>
      <c r="F37" s="3157"/>
      <c r="G37" s="3157"/>
      <c r="H37" s="3157"/>
      <c r="I37" s="3157"/>
      <c r="J37" s="3157"/>
      <c r="K37" s="3157"/>
      <c r="L37" s="3157"/>
      <c r="M37" s="3157"/>
      <c r="N37" s="3157"/>
      <c r="O37" s="3157"/>
      <c r="P37" s="3157"/>
      <c r="Q37" s="3157"/>
      <c r="R37" s="3157"/>
      <c r="S37" s="3157"/>
      <c r="T37" s="3157"/>
      <c r="U37" s="3157"/>
      <c r="V37" s="3158"/>
      <c r="W37" s="3218" t="str">
        <f>Text!B677</f>
        <v>član 24.stav(5) i (6) Zakona i čl. 46. i 47. Pravilnika</v>
      </c>
      <c r="X37" s="3219"/>
      <c r="Y37" s="3219"/>
      <c r="Z37" s="3219"/>
      <c r="AA37" s="3219"/>
      <c r="AB37" s="3219"/>
      <c r="AC37" s="3220"/>
      <c r="AD37" s="3198" t="s">
        <v>481</v>
      </c>
      <c r="AE37" s="3209">
        <f>UnosPorBilans!Y33</f>
        <v>0</v>
      </c>
      <c r="AF37" s="3209"/>
      <c r="AG37" s="3209"/>
      <c r="AH37" s="3209"/>
      <c r="AI37" s="3209"/>
      <c r="AJ37" s="3209"/>
      <c r="AK37" s="3209"/>
      <c r="AL37" s="3209"/>
    </row>
    <row r="38" ht="17.25" customHeight="1" spans="1:38">
      <c r="A38" s="3150" t="s">
        <v>5813</v>
      </c>
      <c r="B38" s="3150"/>
      <c r="C38" s="3151" t="s">
        <v>5814</v>
      </c>
      <c r="D38" s="3152"/>
      <c r="E38" s="3152"/>
      <c r="F38" s="3152"/>
      <c r="G38" s="3152"/>
      <c r="H38" s="3152"/>
      <c r="I38" s="3152"/>
      <c r="J38" s="3152"/>
      <c r="K38" s="3152"/>
      <c r="L38" s="3152"/>
      <c r="M38" s="3152"/>
      <c r="N38" s="3152"/>
      <c r="O38" s="3152"/>
      <c r="P38" s="3152"/>
      <c r="Q38" s="3152"/>
      <c r="R38" s="3152"/>
      <c r="S38" s="3152"/>
      <c r="T38" s="3152"/>
      <c r="U38" s="3152"/>
      <c r="V38" s="3152"/>
      <c r="W38" s="3152"/>
      <c r="X38" s="3152"/>
      <c r="Y38" s="3152"/>
      <c r="Z38" s="3152"/>
      <c r="AA38" s="3152"/>
      <c r="AB38" s="3152"/>
      <c r="AC38" s="3152"/>
      <c r="AD38" s="3152"/>
      <c r="AE38" s="3207"/>
      <c r="AF38" s="3207"/>
      <c r="AG38" s="3207"/>
      <c r="AH38" s="3207"/>
      <c r="AI38" s="3207"/>
      <c r="AJ38" s="3207"/>
      <c r="AK38" s="3207"/>
      <c r="AL38" s="3208"/>
    </row>
    <row r="39" ht="24" customHeight="1" spans="1:38">
      <c r="A39" s="3155" t="s">
        <v>3915</v>
      </c>
      <c r="B39" s="3155"/>
      <c r="C39" s="3221" t="s">
        <v>5111</v>
      </c>
      <c r="D39" s="3222"/>
      <c r="E39" s="3222"/>
      <c r="F39" s="3222"/>
      <c r="G39" s="3222"/>
      <c r="H39" s="3222"/>
      <c r="I39" s="3222"/>
      <c r="J39" s="3222"/>
      <c r="K39" s="3222"/>
      <c r="L39" s="3222"/>
      <c r="M39" s="3222"/>
      <c r="N39" s="3222"/>
      <c r="O39" s="3222"/>
      <c r="P39" s="3222"/>
      <c r="Q39" s="3222"/>
      <c r="R39" s="3222"/>
      <c r="S39" s="3222"/>
      <c r="T39" s="3222"/>
      <c r="U39" s="3222"/>
      <c r="V39" s="3223"/>
      <c r="W39" s="3218" t="str">
        <f>Text!B678</f>
        <v>član 9.stav(1)tač.a) Zakona i čl.26. stav (1) Pravilnika</v>
      </c>
      <c r="X39" s="3219"/>
      <c r="Y39" s="3219"/>
      <c r="Z39" s="3219"/>
      <c r="AA39" s="3219"/>
      <c r="AB39" s="3219"/>
      <c r="AC39" s="3220"/>
      <c r="AD39" s="806" t="s">
        <v>19</v>
      </c>
      <c r="AE39" s="3160">
        <f>UnosPorBilans!Y35</f>
        <v>11488</v>
      </c>
      <c r="AF39" s="3160"/>
      <c r="AG39" s="3160"/>
      <c r="AH39" s="3160"/>
      <c r="AI39" s="3160"/>
      <c r="AJ39" s="3160"/>
      <c r="AK39" s="3160"/>
      <c r="AL39" s="3160"/>
    </row>
    <row r="40" ht="24" customHeight="1" spans="1:38">
      <c r="A40" s="3155" t="s">
        <v>3918</v>
      </c>
      <c r="B40" s="3155"/>
      <c r="C40" s="3221" t="s">
        <v>5113</v>
      </c>
      <c r="D40" s="3222"/>
      <c r="E40" s="3222"/>
      <c r="F40" s="3222"/>
      <c r="G40" s="3222"/>
      <c r="H40" s="3222"/>
      <c r="I40" s="3222"/>
      <c r="J40" s="3222"/>
      <c r="K40" s="3222"/>
      <c r="L40" s="3222"/>
      <c r="M40" s="3222"/>
      <c r="N40" s="3222"/>
      <c r="O40" s="3222"/>
      <c r="P40" s="3222"/>
      <c r="Q40" s="3222"/>
      <c r="R40" s="3222"/>
      <c r="S40" s="3222"/>
      <c r="T40" s="3222"/>
      <c r="U40" s="3222"/>
      <c r="V40" s="3223"/>
      <c r="W40" s="3218" t="str">
        <f>Text!B679</f>
        <v>član 9.stav(1)tač.b) Zakona i čl.26. stav(2) Pravilnika</v>
      </c>
      <c r="X40" s="3219"/>
      <c r="Y40" s="3219"/>
      <c r="Z40" s="3219"/>
      <c r="AA40" s="3219"/>
      <c r="AB40" s="3219"/>
      <c r="AC40" s="3220"/>
      <c r="AD40" s="806" t="s">
        <v>19</v>
      </c>
      <c r="AE40" s="3160">
        <f>UnosPorBilans!Y36</f>
        <v>0</v>
      </c>
      <c r="AF40" s="3160"/>
      <c r="AG40" s="3160"/>
      <c r="AH40" s="3160"/>
      <c r="AI40" s="3160"/>
      <c r="AJ40" s="3160"/>
      <c r="AK40" s="3160"/>
      <c r="AL40" s="3160"/>
    </row>
    <row r="41" ht="24" customHeight="1" spans="1:38">
      <c r="A41" s="3155" t="s">
        <v>3920</v>
      </c>
      <c r="B41" s="3155"/>
      <c r="C41" s="3221" t="s">
        <v>5115</v>
      </c>
      <c r="D41" s="3222"/>
      <c r="E41" s="3222"/>
      <c r="F41" s="3222"/>
      <c r="G41" s="3222"/>
      <c r="H41" s="3222"/>
      <c r="I41" s="3222"/>
      <c r="J41" s="3222"/>
      <c r="K41" s="3222"/>
      <c r="L41" s="3222"/>
      <c r="M41" s="3222"/>
      <c r="N41" s="3222"/>
      <c r="O41" s="3222"/>
      <c r="P41" s="3222"/>
      <c r="Q41" s="3222"/>
      <c r="R41" s="3222"/>
      <c r="S41" s="3222"/>
      <c r="T41" s="3222"/>
      <c r="U41" s="3222"/>
      <c r="V41" s="3223"/>
      <c r="W41" s="3218" t="str">
        <f>Text!B680</f>
        <v>član 9.stav(1)tač.b) Zakona i čl.26. stav(4) Pravilnika</v>
      </c>
      <c r="X41" s="3219"/>
      <c r="Y41" s="3219"/>
      <c r="Z41" s="3219"/>
      <c r="AA41" s="3219"/>
      <c r="AB41" s="3219"/>
      <c r="AC41" s="3220"/>
      <c r="AD41" s="806" t="s">
        <v>19</v>
      </c>
      <c r="AE41" s="3160">
        <f>UnosPorBilans!Y37</f>
        <v>3250</v>
      </c>
      <c r="AF41" s="3160"/>
      <c r="AG41" s="3160"/>
      <c r="AH41" s="3160"/>
      <c r="AI41" s="3160"/>
      <c r="AJ41" s="3160"/>
      <c r="AK41" s="3160"/>
      <c r="AL41" s="3160"/>
    </row>
    <row r="42" ht="24" customHeight="1" spans="1:38">
      <c r="A42" s="3155" t="s">
        <v>3923</v>
      </c>
      <c r="B42" s="3155"/>
      <c r="C42" s="3221" t="s">
        <v>5117</v>
      </c>
      <c r="D42" s="3222"/>
      <c r="E42" s="3222"/>
      <c r="F42" s="3222"/>
      <c r="G42" s="3222"/>
      <c r="H42" s="3222"/>
      <c r="I42" s="3222"/>
      <c r="J42" s="3222"/>
      <c r="K42" s="3222"/>
      <c r="L42" s="3222"/>
      <c r="M42" s="3222"/>
      <c r="N42" s="3222"/>
      <c r="O42" s="3222"/>
      <c r="P42" s="3222"/>
      <c r="Q42" s="3222"/>
      <c r="R42" s="3222"/>
      <c r="S42" s="3222"/>
      <c r="T42" s="3222"/>
      <c r="U42" s="3222"/>
      <c r="V42" s="3223"/>
      <c r="W42" s="3218" t="str">
        <f>Text!B681</f>
        <v>član 9.stav(1)tač.d) Zakona i čl.27. stav (1) i (2) Pravilnika</v>
      </c>
      <c r="X42" s="3219"/>
      <c r="Y42" s="3219"/>
      <c r="Z42" s="3219"/>
      <c r="AA42" s="3219"/>
      <c r="AB42" s="3219"/>
      <c r="AC42" s="3220"/>
      <c r="AD42" s="806" t="s">
        <v>19</v>
      </c>
      <c r="AE42" s="3160">
        <f>UnosPorBilans!Y38</f>
        <v>0</v>
      </c>
      <c r="AF42" s="3160"/>
      <c r="AG42" s="3160"/>
      <c r="AH42" s="3160"/>
      <c r="AI42" s="3160"/>
      <c r="AJ42" s="3160"/>
      <c r="AK42" s="3160"/>
      <c r="AL42" s="3160"/>
    </row>
    <row r="43" ht="24" customHeight="1" spans="1:38">
      <c r="A43" s="3155" t="s">
        <v>3925</v>
      </c>
      <c r="B43" s="3155"/>
      <c r="C43" s="3221" t="s">
        <v>5119</v>
      </c>
      <c r="D43" s="3222"/>
      <c r="E43" s="3222"/>
      <c r="F43" s="3222"/>
      <c r="G43" s="3222"/>
      <c r="H43" s="3222"/>
      <c r="I43" s="3222"/>
      <c r="J43" s="3222"/>
      <c r="K43" s="3222"/>
      <c r="L43" s="3222"/>
      <c r="M43" s="3222"/>
      <c r="N43" s="3222"/>
      <c r="O43" s="3222"/>
      <c r="P43" s="3222"/>
      <c r="Q43" s="3222"/>
      <c r="R43" s="3222"/>
      <c r="S43" s="3222"/>
      <c r="T43" s="3222"/>
      <c r="U43" s="3222"/>
      <c r="V43" s="3223"/>
      <c r="W43" s="3218" t="str">
        <f>Text!B682</f>
        <v>član 9.stav(1)tač.e) Zakona i čl.27. stav (3) ,(4) i (5) Pravilnika</v>
      </c>
      <c r="X43" s="3219"/>
      <c r="Y43" s="3219"/>
      <c r="Z43" s="3219"/>
      <c r="AA43" s="3219"/>
      <c r="AB43" s="3219"/>
      <c r="AC43" s="3220"/>
      <c r="AD43" s="806" t="s">
        <v>19</v>
      </c>
      <c r="AE43" s="3160">
        <f>UnosPorBilans!Y39</f>
        <v>0</v>
      </c>
      <c r="AF43" s="3160"/>
      <c r="AG43" s="3160"/>
      <c r="AH43" s="3160"/>
      <c r="AI43" s="3160"/>
      <c r="AJ43" s="3160"/>
      <c r="AK43" s="3160"/>
      <c r="AL43" s="3160"/>
    </row>
    <row r="44" ht="24" customHeight="1" spans="1:38">
      <c r="A44" s="3155" t="s">
        <v>3928</v>
      </c>
      <c r="B44" s="3155"/>
      <c r="C44" s="3221" t="s">
        <v>5121</v>
      </c>
      <c r="D44" s="3222"/>
      <c r="E44" s="3222"/>
      <c r="F44" s="3222"/>
      <c r="G44" s="3222"/>
      <c r="H44" s="3222"/>
      <c r="I44" s="3222"/>
      <c r="J44" s="3222"/>
      <c r="K44" s="3222"/>
      <c r="L44" s="3222"/>
      <c r="M44" s="3222"/>
      <c r="N44" s="3222"/>
      <c r="O44" s="3222"/>
      <c r="P44" s="3222"/>
      <c r="Q44" s="3222"/>
      <c r="R44" s="3222"/>
      <c r="S44" s="3222"/>
      <c r="T44" s="3222"/>
      <c r="U44" s="3222"/>
      <c r="V44" s="3223"/>
      <c r="W44" s="3218" t="str">
        <f>Text!B683</f>
        <v>član 9.stav(1)tač.f) Zakona i čl.26. stav (5) Pravilnika</v>
      </c>
      <c r="X44" s="3219"/>
      <c r="Y44" s="3219"/>
      <c r="Z44" s="3219"/>
      <c r="AA44" s="3219"/>
      <c r="AB44" s="3219"/>
      <c r="AC44" s="3220"/>
      <c r="AD44" s="806" t="s">
        <v>19</v>
      </c>
      <c r="AE44" s="3160">
        <f>UnosPorBilans!Y40</f>
        <v>0</v>
      </c>
      <c r="AF44" s="3160"/>
      <c r="AG44" s="3160"/>
      <c r="AH44" s="3160"/>
      <c r="AI44" s="3160"/>
      <c r="AJ44" s="3160"/>
      <c r="AK44" s="3160"/>
      <c r="AL44" s="3160"/>
    </row>
    <row r="45" ht="24" customHeight="1" spans="1:38">
      <c r="A45" s="3155" t="s">
        <v>3934</v>
      </c>
      <c r="B45" s="3155"/>
      <c r="C45" s="3221" t="s">
        <v>5818</v>
      </c>
      <c r="D45" s="3222"/>
      <c r="E45" s="3222"/>
      <c r="F45" s="3222"/>
      <c r="G45" s="3222"/>
      <c r="H45" s="3222"/>
      <c r="I45" s="3222"/>
      <c r="J45" s="3222"/>
      <c r="K45" s="3222"/>
      <c r="L45" s="3222"/>
      <c r="M45" s="3222"/>
      <c r="N45" s="3222"/>
      <c r="O45" s="3222"/>
      <c r="P45" s="3222"/>
      <c r="Q45" s="3222"/>
      <c r="R45" s="3222"/>
      <c r="S45" s="3222"/>
      <c r="T45" s="3222"/>
      <c r="U45" s="3222"/>
      <c r="V45" s="3223"/>
      <c r="W45" s="3218" t="str">
        <f>Text!B684</f>
        <v>član 9.stav(1)tač.g) Zakona i čl.26. stav (8) Pravilnika</v>
      </c>
      <c r="X45" s="3219"/>
      <c r="Y45" s="3219"/>
      <c r="Z45" s="3219"/>
      <c r="AA45" s="3219"/>
      <c r="AB45" s="3219"/>
      <c r="AC45" s="3220"/>
      <c r="AD45" s="806" t="s">
        <v>19</v>
      </c>
      <c r="AE45" s="3160">
        <f>UnosPorBilans!Y41</f>
        <v>0</v>
      </c>
      <c r="AF45" s="3160"/>
      <c r="AG45" s="3160"/>
      <c r="AH45" s="3160"/>
      <c r="AI45" s="3160"/>
      <c r="AJ45" s="3160"/>
      <c r="AK45" s="3160"/>
      <c r="AL45" s="3160"/>
    </row>
    <row r="46" ht="24" customHeight="1" spans="1:38">
      <c r="A46" s="3224" t="s">
        <v>3945</v>
      </c>
      <c r="B46" s="3224"/>
      <c r="C46" s="3225" t="str">
        <f>Text!B662</f>
        <v>Rashodi koji se ne mogu povezati sa ostva.dobit ili načelom poslovne pažnje dobrog privrednika</v>
      </c>
      <c r="D46" s="3226"/>
      <c r="E46" s="3226"/>
      <c r="F46" s="3226"/>
      <c r="G46" s="3226"/>
      <c r="H46" s="3226"/>
      <c r="I46" s="3226"/>
      <c r="J46" s="3226"/>
      <c r="K46" s="3226"/>
      <c r="L46" s="3226"/>
      <c r="M46" s="3226"/>
      <c r="N46" s="3226"/>
      <c r="O46" s="3226"/>
      <c r="P46" s="3226"/>
      <c r="Q46" s="3226"/>
      <c r="R46" s="3226"/>
      <c r="S46" s="3226"/>
      <c r="T46" s="3226"/>
      <c r="U46" s="3226"/>
      <c r="V46" s="3227"/>
      <c r="W46" s="3218" t="str">
        <f>Text!B685</f>
        <v>član 9.stav(1)tač.i) Zakona i čl.26. stav (7) Pravilnika</v>
      </c>
      <c r="X46" s="3219"/>
      <c r="Y46" s="3219"/>
      <c r="Z46" s="3219"/>
      <c r="AA46" s="3219"/>
      <c r="AB46" s="3219"/>
      <c r="AC46" s="3220"/>
      <c r="AD46" s="806" t="s">
        <v>19</v>
      </c>
      <c r="AE46" s="3160">
        <f>UnosPorBilans!Y42</f>
        <v>0</v>
      </c>
      <c r="AF46" s="3160"/>
      <c r="AG46" s="3160"/>
      <c r="AH46" s="3160"/>
      <c r="AI46" s="3160"/>
      <c r="AJ46" s="3160"/>
      <c r="AK46" s="3160"/>
      <c r="AL46" s="3160"/>
    </row>
    <row r="47" ht="24" customHeight="1" spans="1:38">
      <c r="A47" s="3155" t="s">
        <v>3947</v>
      </c>
      <c r="B47" s="3155"/>
      <c r="C47" s="3228" t="str">
        <f>Text!B663</f>
        <v>Zatezna kamata, penali i ugovorene kazne između povezanih lica</v>
      </c>
      <c r="D47" s="3229"/>
      <c r="E47" s="3229"/>
      <c r="F47" s="3229"/>
      <c r="G47" s="3229"/>
      <c r="H47" s="3229"/>
      <c r="I47" s="3229"/>
      <c r="J47" s="3229"/>
      <c r="K47" s="3229"/>
      <c r="L47" s="3229"/>
      <c r="M47" s="3229"/>
      <c r="N47" s="3229"/>
      <c r="O47" s="3229"/>
      <c r="P47" s="3229"/>
      <c r="Q47" s="3229"/>
      <c r="R47" s="3229"/>
      <c r="S47" s="3229"/>
      <c r="T47" s="3229"/>
      <c r="U47" s="3229"/>
      <c r="V47" s="3230"/>
      <c r="W47" s="3218" t="str">
        <f>Text!B686</f>
        <v>član 9.stav(1)tač.l) Zakona i čl.26. stav (6) Pravilnika</v>
      </c>
      <c r="X47" s="3219"/>
      <c r="Y47" s="3219"/>
      <c r="Z47" s="3219"/>
      <c r="AA47" s="3219"/>
      <c r="AB47" s="3219"/>
      <c r="AC47" s="3220"/>
      <c r="AD47" s="806" t="s">
        <v>19</v>
      </c>
      <c r="AE47" s="3160">
        <f>UnosPorBilans!Y43</f>
        <v>0</v>
      </c>
      <c r="AF47" s="3160"/>
      <c r="AG47" s="3160"/>
      <c r="AH47" s="3160"/>
      <c r="AI47" s="3160"/>
      <c r="AJ47" s="3160"/>
      <c r="AK47" s="3160"/>
      <c r="AL47" s="3160"/>
    </row>
    <row r="48" ht="24.75" customHeight="1" spans="1:38">
      <c r="A48" s="3224" t="s">
        <v>5705</v>
      </c>
      <c r="B48" s="3224"/>
      <c r="C48" s="3225" t="s">
        <v>5820</v>
      </c>
      <c r="D48" s="3226"/>
      <c r="E48" s="3226"/>
      <c r="F48" s="3226"/>
      <c r="G48" s="3226"/>
      <c r="H48" s="3226"/>
      <c r="I48" s="3226"/>
      <c r="J48" s="3226"/>
      <c r="K48" s="3226"/>
      <c r="L48" s="3226"/>
      <c r="M48" s="3226"/>
      <c r="N48" s="3226"/>
      <c r="O48" s="3226"/>
      <c r="P48" s="3226"/>
      <c r="Q48" s="3226"/>
      <c r="R48" s="3226"/>
      <c r="S48" s="3226"/>
      <c r="T48" s="3226"/>
      <c r="U48" s="3226"/>
      <c r="V48" s="3227"/>
      <c r="W48" s="3218" t="str">
        <f>Text!B687</f>
        <v>član 10.stav(1) i (2) Zakona</v>
      </c>
      <c r="X48" s="3219"/>
      <c r="Y48" s="3219"/>
      <c r="Z48" s="3219"/>
      <c r="AA48" s="3219"/>
      <c r="AB48" s="3219"/>
      <c r="AC48" s="3220"/>
      <c r="AD48" s="806" t="s">
        <v>19</v>
      </c>
      <c r="AE48" s="3160">
        <f>UnosPorBilans!Y44</f>
        <v>0</v>
      </c>
      <c r="AF48" s="3160"/>
      <c r="AG48" s="3160"/>
      <c r="AH48" s="3160"/>
      <c r="AI48" s="3160"/>
      <c r="AJ48" s="3160"/>
      <c r="AK48" s="3160"/>
      <c r="AL48" s="3160"/>
    </row>
    <row r="49" ht="26.25" customHeight="1" spans="1:38">
      <c r="A49" s="3224" t="s">
        <v>5707</v>
      </c>
      <c r="B49" s="3224"/>
      <c r="C49" s="3225" t="s">
        <v>5821</v>
      </c>
      <c r="D49" s="3226"/>
      <c r="E49" s="3226"/>
      <c r="F49" s="3226"/>
      <c r="G49" s="3226"/>
      <c r="H49" s="3226"/>
      <c r="I49" s="3226"/>
      <c r="J49" s="3226"/>
      <c r="K49" s="3226"/>
      <c r="L49" s="3226"/>
      <c r="M49" s="3226"/>
      <c r="N49" s="3226"/>
      <c r="O49" s="3226"/>
      <c r="P49" s="3226"/>
      <c r="Q49" s="3226"/>
      <c r="R49" s="3226"/>
      <c r="S49" s="3226"/>
      <c r="T49" s="3226"/>
      <c r="U49" s="3226"/>
      <c r="V49" s="3227"/>
      <c r="W49" s="3218" t="str">
        <f>Text!B688</f>
        <v>član 10.stav (3) Zakona</v>
      </c>
      <c r="X49" s="3219"/>
      <c r="Y49" s="3219"/>
      <c r="Z49" s="3219"/>
      <c r="AA49" s="3219"/>
      <c r="AB49" s="3219"/>
      <c r="AC49" s="3220"/>
      <c r="AD49" s="806" t="s">
        <v>19</v>
      </c>
      <c r="AE49" s="3160">
        <f>UnosPorBilans!Y45</f>
        <v>0</v>
      </c>
      <c r="AF49" s="3160"/>
      <c r="AG49" s="3160"/>
      <c r="AH49" s="3160"/>
      <c r="AI49" s="3160"/>
      <c r="AJ49" s="3160"/>
      <c r="AK49" s="3160"/>
      <c r="AL49" s="3160"/>
    </row>
    <row r="50" ht="26.25" customHeight="1"/>
    <row r="51" ht="26.25" customHeight="1"/>
    <row r="52" ht="25.5" customHeight="1" spans="1:38">
      <c r="A52" s="3224" t="s">
        <v>5708</v>
      </c>
      <c r="B52" s="3224"/>
      <c r="C52" s="3225" t="str">
        <f>Text!B664</f>
        <v>Privremene razlike iz tačke 15. - Rashodi na ime usklađivanja zaliha iz ranijeg perioda koji su bili porezno nepriznati rashodi</v>
      </c>
      <c r="D52" s="3226"/>
      <c r="E52" s="3226"/>
      <c r="F52" s="3226"/>
      <c r="G52" s="3226"/>
      <c r="H52" s="3226"/>
      <c r="I52" s="3226"/>
      <c r="J52" s="3226"/>
      <c r="K52" s="3226"/>
      <c r="L52" s="3226"/>
      <c r="M52" s="3226"/>
      <c r="N52" s="3226"/>
      <c r="O52" s="3226"/>
      <c r="P52" s="3226"/>
      <c r="Q52" s="3226"/>
      <c r="R52" s="3226"/>
      <c r="S52" s="3226"/>
      <c r="T52" s="3226"/>
      <c r="U52" s="3226"/>
      <c r="V52" s="3227"/>
      <c r="W52" s="3218" t="str">
        <f>Text!B689</f>
        <v>član 10.stav (3) Zakona</v>
      </c>
      <c r="X52" s="3219"/>
      <c r="Y52" s="3219"/>
      <c r="Z52" s="3219"/>
      <c r="AA52" s="3219"/>
      <c r="AB52" s="3219"/>
      <c r="AC52" s="3220"/>
      <c r="AD52" s="3198" t="s">
        <v>481</v>
      </c>
      <c r="AE52" s="3209">
        <f>UnosPorBilans!Y46</f>
        <v>0</v>
      </c>
      <c r="AF52" s="3209"/>
      <c r="AG52" s="3209"/>
      <c r="AH52" s="3209"/>
      <c r="AI52" s="3209"/>
      <c r="AJ52" s="3209"/>
      <c r="AK52" s="3209"/>
      <c r="AL52" s="3209"/>
    </row>
    <row r="53" ht="19.5" customHeight="1" spans="1:38">
      <c r="A53" s="3224" t="s">
        <v>5709</v>
      </c>
      <c r="B53" s="3224"/>
      <c r="C53" s="3231" t="s">
        <v>5822</v>
      </c>
      <c r="D53" s="3232"/>
      <c r="E53" s="3232"/>
      <c r="F53" s="3232"/>
      <c r="G53" s="3232"/>
      <c r="H53" s="3232"/>
      <c r="I53" s="3232"/>
      <c r="J53" s="3232"/>
      <c r="K53" s="3232"/>
      <c r="L53" s="3232"/>
      <c r="M53" s="3232"/>
      <c r="N53" s="3232"/>
      <c r="O53" s="3232"/>
      <c r="P53" s="3232"/>
      <c r="Q53" s="3232"/>
      <c r="R53" s="3232"/>
      <c r="S53" s="3232"/>
      <c r="T53" s="3232"/>
      <c r="U53" s="3232"/>
      <c r="V53" s="3233"/>
      <c r="W53" s="3218" t="str">
        <f>Text!B690</f>
        <v>član 28 Pravilnika</v>
      </c>
      <c r="X53" s="3219"/>
      <c r="Y53" s="3219"/>
      <c r="Z53" s="3219"/>
      <c r="AA53" s="3219"/>
      <c r="AB53" s="3219"/>
      <c r="AC53" s="3220"/>
      <c r="AD53" s="806" t="s">
        <v>19</v>
      </c>
      <c r="AE53" s="3160">
        <f>UnosPorBilans!Y47</f>
        <v>0</v>
      </c>
      <c r="AF53" s="3160"/>
      <c r="AG53" s="3160"/>
      <c r="AH53" s="3160"/>
      <c r="AI53" s="3160"/>
      <c r="AJ53" s="3160"/>
      <c r="AK53" s="3160"/>
      <c r="AL53" s="3160"/>
    </row>
    <row r="54" ht="19.5" customHeight="1" spans="1:38">
      <c r="A54" s="3224" t="s">
        <v>5710</v>
      </c>
      <c r="B54" s="3224"/>
      <c r="C54" s="3231" t="s">
        <v>5824</v>
      </c>
      <c r="D54" s="3232"/>
      <c r="E54" s="3232"/>
      <c r="F54" s="3232"/>
      <c r="G54" s="3232"/>
      <c r="H54" s="3232"/>
      <c r="I54" s="3232"/>
      <c r="J54" s="3232"/>
      <c r="K54" s="3232"/>
      <c r="L54" s="3232"/>
      <c r="M54" s="3232"/>
      <c r="N54" s="3232"/>
      <c r="O54" s="3232"/>
      <c r="P54" s="3232"/>
      <c r="Q54" s="3232"/>
      <c r="R54" s="3232"/>
      <c r="S54" s="3232"/>
      <c r="T54" s="3232"/>
      <c r="U54" s="3232"/>
      <c r="V54" s="3233"/>
      <c r="W54" s="3218" t="str">
        <f>Text!B691</f>
        <v>član 11.stav(1) i (2) Zakona i čl.29. stav (4), (5) i (7) Pravilnika</v>
      </c>
      <c r="X54" s="3219"/>
      <c r="Y54" s="3219"/>
      <c r="Z54" s="3219"/>
      <c r="AA54" s="3219"/>
      <c r="AB54" s="3219"/>
      <c r="AC54" s="3220"/>
      <c r="AD54" s="806" t="s">
        <v>19</v>
      </c>
      <c r="AE54" s="3160">
        <f>UnosPorBilans!Y48</f>
        <v>0</v>
      </c>
      <c r="AF54" s="3160"/>
      <c r="AG54" s="3160"/>
      <c r="AH54" s="3160"/>
      <c r="AI54" s="3160"/>
      <c r="AJ54" s="3160"/>
      <c r="AK54" s="3160"/>
      <c r="AL54" s="3160"/>
    </row>
    <row r="55" ht="19.5" customHeight="1" spans="1:38">
      <c r="A55" s="3224" t="s">
        <v>5711</v>
      </c>
      <c r="B55" s="3224"/>
      <c r="C55" s="3231" t="s">
        <v>6586</v>
      </c>
      <c r="D55" s="3232"/>
      <c r="E55" s="3232"/>
      <c r="F55" s="3232"/>
      <c r="G55" s="3232"/>
      <c r="H55" s="3232"/>
      <c r="I55" s="3232"/>
      <c r="J55" s="3232"/>
      <c r="K55" s="3232"/>
      <c r="L55" s="3232"/>
      <c r="M55" s="3232"/>
      <c r="N55" s="3232"/>
      <c r="O55" s="3232"/>
      <c r="P55" s="3232"/>
      <c r="Q55" s="3232"/>
      <c r="R55" s="3232"/>
      <c r="S55" s="3232"/>
      <c r="T55" s="3232"/>
      <c r="U55" s="3232"/>
      <c r="V55" s="3233"/>
      <c r="W55" s="3218" t="str">
        <f>Text!B692</f>
        <v>član 11.stav (3) Zakona i čl. 29. stav(6)Pravilnika</v>
      </c>
      <c r="X55" s="3219"/>
      <c r="Y55" s="3219"/>
      <c r="Z55" s="3219"/>
      <c r="AA55" s="3219"/>
      <c r="AB55" s="3219"/>
      <c r="AC55" s="3220"/>
      <c r="AD55" s="806" t="s">
        <v>19</v>
      </c>
      <c r="AE55" s="3160">
        <f>UnosPorBilans!Y49</f>
        <v>0</v>
      </c>
      <c r="AF55" s="3160"/>
      <c r="AG55" s="3160"/>
      <c r="AH55" s="3160"/>
      <c r="AI55" s="3160"/>
      <c r="AJ55" s="3160"/>
      <c r="AK55" s="3160"/>
      <c r="AL55" s="3160"/>
    </row>
    <row r="56" ht="19.5" customHeight="1" spans="1:38">
      <c r="A56" s="3224" t="s">
        <v>5713</v>
      </c>
      <c r="B56" s="3224"/>
      <c r="C56" s="3231" t="s">
        <v>6587</v>
      </c>
      <c r="D56" s="3232"/>
      <c r="E56" s="3232"/>
      <c r="F56" s="3232"/>
      <c r="G56" s="3232"/>
      <c r="H56" s="3232"/>
      <c r="I56" s="3232"/>
      <c r="J56" s="3232"/>
      <c r="K56" s="3232"/>
      <c r="L56" s="3232"/>
      <c r="M56" s="3232"/>
      <c r="N56" s="3232"/>
      <c r="O56" s="3232"/>
      <c r="P56" s="3232"/>
      <c r="Q56" s="3232"/>
      <c r="R56" s="3232"/>
      <c r="S56" s="3232"/>
      <c r="T56" s="3232"/>
      <c r="U56" s="3232"/>
      <c r="V56" s="3233"/>
      <c r="W56" s="3218" t="str">
        <f>Text!B693</f>
        <v>član 11.stav (4) Zakona i čl. 30. Pravilnika</v>
      </c>
      <c r="X56" s="3219"/>
      <c r="Y56" s="3219"/>
      <c r="Z56" s="3219"/>
      <c r="AA56" s="3219"/>
      <c r="AB56" s="3219"/>
      <c r="AC56" s="3220"/>
      <c r="AD56" s="806" t="s">
        <v>19</v>
      </c>
      <c r="AE56" s="3160">
        <f>UnosPorBilans!Y50</f>
        <v>0</v>
      </c>
      <c r="AF56" s="3160"/>
      <c r="AG56" s="3160"/>
      <c r="AH56" s="3160"/>
      <c r="AI56" s="3160"/>
      <c r="AJ56" s="3160"/>
      <c r="AK56" s="3160"/>
      <c r="AL56" s="3160"/>
    </row>
    <row r="57" ht="19.5" customHeight="1" spans="1:38">
      <c r="A57" s="3234" t="s">
        <v>5714</v>
      </c>
      <c r="B57" s="3234"/>
      <c r="C57" s="3235" t="s">
        <v>6588</v>
      </c>
      <c r="D57" s="3236"/>
      <c r="E57" s="3236"/>
      <c r="F57" s="3236"/>
      <c r="G57" s="3236"/>
      <c r="H57" s="3236"/>
      <c r="I57" s="3236"/>
      <c r="J57" s="3236"/>
      <c r="K57" s="3236"/>
      <c r="L57" s="3236"/>
      <c r="M57" s="3236"/>
      <c r="N57" s="3236"/>
      <c r="O57" s="3236"/>
      <c r="P57" s="3236"/>
      <c r="Q57" s="3236"/>
      <c r="R57" s="3236"/>
      <c r="S57" s="3236"/>
      <c r="T57" s="3236"/>
      <c r="U57" s="3236"/>
      <c r="V57" s="3237"/>
      <c r="W57" s="3238" t="str">
        <f>W56</f>
        <v>član 11.stav (4) Zakona i čl. 30. Pravilnika</v>
      </c>
      <c r="X57" s="3239"/>
      <c r="Y57" s="3239"/>
      <c r="Z57" s="3239"/>
      <c r="AA57" s="3239"/>
      <c r="AB57" s="3239"/>
      <c r="AC57" s="3240"/>
      <c r="AD57" s="806"/>
      <c r="AE57" s="3241">
        <f>UnosPorBilans!Y51</f>
        <v>0</v>
      </c>
      <c r="AF57" s="3241"/>
      <c r="AG57" s="3241"/>
      <c r="AH57" s="3241"/>
      <c r="AI57" s="3241"/>
      <c r="AJ57" s="3241"/>
      <c r="AK57" s="3241"/>
      <c r="AL57" s="3241"/>
    </row>
    <row r="58" ht="19.5" customHeight="1" spans="1:38">
      <c r="A58" s="3224" t="s">
        <v>5715</v>
      </c>
      <c r="B58" s="3224"/>
      <c r="C58" s="3231" t="s">
        <v>6589</v>
      </c>
      <c r="D58" s="3232"/>
      <c r="E58" s="3232"/>
      <c r="F58" s="3232"/>
      <c r="G58" s="3232"/>
      <c r="H58" s="3232"/>
      <c r="I58" s="3232"/>
      <c r="J58" s="3232"/>
      <c r="K58" s="3232"/>
      <c r="L58" s="3232"/>
      <c r="M58" s="3232"/>
      <c r="N58" s="3232"/>
      <c r="O58" s="3232"/>
      <c r="P58" s="3232"/>
      <c r="Q58" s="3232"/>
      <c r="R58" s="3232"/>
      <c r="S58" s="3232"/>
      <c r="T58" s="3232"/>
      <c r="U58" s="3232"/>
      <c r="V58" s="3233"/>
      <c r="W58" s="3218" t="str">
        <f>Text!B694</f>
        <v>član 12.stav (1) Zakona i čl. 31. stav (1) i (2) Pravilnika</v>
      </c>
      <c r="X58" s="3219"/>
      <c r="Y58" s="3219"/>
      <c r="Z58" s="3219"/>
      <c r="AA58" s="3219"/>
      <c r="AB58" s="3219"/>
      <c r="AC58" s="3220"/>
      <c r="AD58" s="806" t="s">
        <v>19</v>
      </c>
      <c r="AE58" s="3160">
        <f>UnosPorBilans!Y52</f>
        <v>543</v>
      </c>
      <c r="AF58" s="3160"/>
      <c r="AG58" s="3160"/>
      <c r="AH58" s="3160"/>
      <c r="AI58" s="3160"/>
      <c r="AJ58" s="3160"/>
      <c r="AK58" s="3160"/>
      <c r="AL58" s="3160"/>
    </row>
    <row r="59" ht="19.5" customHeight="1" spans="1:38">
      <c r="A59" s="3234" t="s">
        <v>5716</v>
      </c>
      <c r="B59" s="3234"/>
      <c r="C59" s="3235" t="s">
        <v>6590</v>
      </c>
      <c r="D59" s="3236"/>
      <c r="E59" s="3236"/>
      <c r="F59" s="3236"/>
      <c r="G59" s="3236"/>
      <c r="H59" s="3236"/>
      <c r="I59" s="3236"/>
      <c r="J59" s="3236"/>
      <c r="K59" s="3236"/>
      <c r="L59" s="3236"/>
      <c r="M59" s="3236"/>
      <c r="N59" s="3236"/>
      <c r="O59" s="3236"/>
      <c r="P59" s="3236"/>
      <c r="Q59" s="3236"/>
      <c r="R59" s="3236"/>
      <c r="S59" s="3236"/>
      <c r="T59" s="3236"/>
      <c r="U59" s="3236"/>
      <c r="V59" s="3237"/>
      <c r="W59" s="3238" t="str">
        <f>W58</f>
        <v>član 12.stav (1) Zakona i čl. 31. stav (1) i (2) Pravilnika</v>
      </c>
      <c r="X59" s="3239"/>
      <c r="Y59" s="3239"/>
      <c r="Z59" s="3239"/>
      <c r="AA59" s="3239"/>
      <c r="AB59" s="3239"/>
      <c r="AC59" s="3240"/>
      <c r="AD59" s="806"/>
      <c r="AE59" s="3241">
        <f>UnosPorBilans!Y53</f>
        <v>232</v>
      </c>
      <c r="AF59" s="3241"/>
      <c r="AG59" s="3241"/>
      <c r="AH59" s="3241"/>
      <c r="AI59" s="3241"/>
      <c r="AJ59" s="3241"/>
      <c r="AK59" s="3241"/>
      <c r="AL59" s="3241"/>
    </row>
    <row r="60" ht="19.5" customHeight="1" spans="1:38">
      <c r="A60" s="3224" t="s">
        <v>5717</v>
      </c>
      <c r="B60" s="3224"/>
      <c r="C60" s="3231" t="s">
        <v>6591</v>
      </c>
      <c r="D60" s="3232"/>
      <c r="E60" s="3232"/>
      <c r="F60" s="3232"/>
      <c r="G60" s="3232"/>
      <c r="H60" s="3232"/>
      <c r="I60" s="3232"/>
      <c r="J60" s="3232"/>
      <c r="K60" s="3232"/>
      <c r="L60" s="3232"/>
      <c r="M60" s="3232"/>
      <c r="N60" s="3232"/>
      <c r="O60" s="3232"/>
      <c r="P60" s="3232"/>
      <c r="Q60" s="3232"/>
      <c r="R60" s="3232"/>
      <c r="S60" s="3232"/>
      <c r="T60" s="3232"/>
      <c r="U60" s="3232"/>
      <c r="V60" s="3233"/>
      <c r="W60" s="3218" t="str">
        <f>Text!B695</f>
        <v>član 12.stav (3) Zakona i čl. 32. stav (1) Pravilnika</v>
      </c>
      <c r="X60" s="3219"/>
      <c r="Y60" s="3219"/>
      <c r="Z60" s="3219"/>
      <c r="AA60" s="3219"/>
      <c r="AB60" s="3219"/>
      <c r="AC60" s="3220"/>
      <c r="AD60" s="806" t="s">
        <v>19</v>
      </c>
      <c r="AE60" s="3160">
        <f>UnosPorBilans!Y54</f>
        <v>0</v>
      </c>
      <c r="AF60" s="3160"/>
      <c r="AG60" s="3160"/>
      <c r="AH60" s="3160"/>
      <c r="AI60" s="3160"/>
      <c r="AJ60" s="3160"/>
      <c r="AK60" s="3160"/>
      <c r="AL60" s="3160"/>
    </row>
    <row r="61" ht="19.5" customHeight="1" spans="1:38">
      <c r="A61" s="3234" t="s">
        <v>5718</v>
      </c>
      <c r="B61" s="3234"/>
      <c r="C61" s="3235" t="s">
        <v>6592</v>
      </c>
      <c r="D61" s="3236"/>
      <c r="E61" s="3236"/>
      <c r="F61" s="3236"/>
      <c r="G61" s="3236"/>
      <c r="H61" s="3236"/>
      <c r="I61" s="3236"/>
      <c r="J61" s="3236"/>
      <c r="K61" s="3236"/>
      <c r="L61" s="3236"/>
      <c r="M61" s="3236"/>
      <c r="N61" s="3236"/>
      <c r="O61" s="3236"/>
      <c r="P61" s="3236"/>
      <c r="Q61" s="3236"/>
      <c r="R61" s="3236"/>
      <c r="S61" s="3236"/>
      <c r="T61" s="3236"/>
      <c r="U61" s="3236"/>
      <c r="V61" s="3237"/>
      <c r="W61" s="3238" t="str">
        <f>W60</f>
        <v>član 12.stav (3) Zakona i čl. 32. stav (1) Pravilnika</v>
      </c>
      <c r="X61" s="3239"/>
      <c r="Y61" s="3239"/>
      <c r="Z61" s="3239"/>
      <c r="AA61" s="3239"/>
      <c r="AB61" s="3239"/>
      <c r="AC61" s="3240"/>
      <c r="AD61" s="806"/>
      <c r="AE61" s="3241">
        <f>UnosPorBilans!Y55</f>
        <v>0</v>
      </c>
      <c r="AF61" s="3241"/>
      <c r="AG61" s="3241"/>
      <c r="AH61" s="3241"/>
      <c r="AI61" s="3241"/>
      <c r="AJ61" s="3241"/>
      <c r="AK61" s="3241"/>
      <c r="AL61" s="3241"/>
    </row>
    <row r="62" ht="19.5" customHeight="1" spans="1:38">
      <c r="A62" s="3224" t="s">
        <v>5835</v>
      </c>
      <c r="B62" s="3224"/>
      <c r="C62" s="3231" t="s">
        <v>6593</v>
      </c>
      <c r="D62" s="3232"/>
      <c r="E62" s="3232"/>
      <c r="F62" s="3232"/>
      <c r="G62" s="3232"/>
      <c r="H62" s="3232"/>
      <c r="I62" s="3232"/>
      <c r="J62" s="3232"/>
      <c r="K62" s="3232"/>
      <c r="L62" s="3232"/>
      <c r="M62" s="3232"/>
      <c r="N62" s="3232"/>
      <c r="O62" s="3232"/>
      <c r="P62" s="3232"/>
      <c r="Q62" s="3232"/>
      <c r="R62" s="3232"/>
      <c r="S62" s="3232"/>
      <c r="T62" s="3232"/>
      <c r="U62" s="3232"/>
      <c r="V62" s="3233"/>
      <c r="W62" s="3218" t="str">
        <f>Text!B696</f>
        <v>član 12.stav (4) Zakona</v>
      </c>
      <c r="X62" s="3219"/>
      <c r="Y62" s="3219"/>
      <c r="Z62" s="3219"/>
      <c r="AA62" s="3219"/>
      <c r="AB62" s="3219"/>
      <c r="AC62" s="3220"/>
      <c r="AD62" s="806" t="s">
        <v>19</v>
      </c>
      <c r="AE62" s="3160">
        <f>UnosPorBilans!Y56</f>
        <v>0</v>
      </c>
      <c r="AF62" s="3160"/>
      <c r="AG62" s="3160"/>
      <c r="AH62" s="3160"/>
      <c r="AI62" s="3160"/>
      <c r="AJ62" s="3160"/>
      <c r="AK62" s="3160"/>
      <c r="AL62" s="3160"/>
    </row>
    <row r="63" ht="19.5" customHeight="1" spans="1:38">
      <c r="A63" s="3234" t="s">
        <v>5837</v>
      </c>
      <c r="B63" s="3234"/>
      <c r="C63" s="3235" t="s">
        <v>6594</v>
      </c>
      <c r="D63" s="3236"/>
      <c r="E63" s="3236"/>
      <c r="F63" s="3236"/>
      <c r="G63" s="3236"/>
      <c r="H63" s="3236"/>
      <c r="I63" s="3236"/>
      <c r="J63" s="3236"/>
      <c r="K63" s="3236"/>
      <c r="L63" s="3236"/>
      <c r="M63" s="3236"/>
      <c r="N63" s="3236"/>
      <c r="O63" s="3236"/>
      <c r="P63" s="3236"/>
      <c r="Q63" s="3236"/>
      <c r="R63" s="3236"/>
      <c r="S63" s="3236"/>
      <c r="T63" s="3236"/>
      <c r="U63" s="3236"/>
      <c r="V63" s="3237"/>
      <c r="W63" s="3238" t="str">
        <f>W62</f>
        <v>član 12.stav (4) Zakona</v>
      </c>
      <c r="X63" s="3239"/>
      <c r="Y63" s="3239"/>
      <c r="Z63" s="3239"/>
      <c r="AA63" s="3239"/>
      <c r="AB63" s="3239"/>
      <c r="AC63" s="3240"/>
      <c r="AD63" s="806"/>
      <c r="AE63" s="3241">
        <f>UnosPorBilans!Y57</f>
        <v>0</v>
      </c>
      <c r="AF63" s="3241"/>
      <c r="AG63" s="3241"/>
      <c r="AH63" s="3241"/>
      <c r="AI63" s="3241"/>
      <c r="AJ63" s="3241"/>
      <c r="AK63" s="3241"/>
      <c r="AL63" s="3241"/>
    </row>
    <row r="64" ht="25.5" customHeight="1" spans="1:38">
      <c r="A64" s="3224" t="s">
        <v>5839</v>
      </c>
      <c r="B64" s="3224"/>
      <c r="C64" s="3225" t="s">
        <v>5840</v>
      </c>
      <c r="D64" s="3226"/>
      <c r="E64" s="3226"/>
      <c r="F64" s="3226"/>
      <c r="G64" s="3226"/>
      <c r="H64" s="3226"/>
      <c r="I64" s="3226"/>
      <c r="J64" s="3226"/>
      <c r="K64" s="3226"/>
      <c r="L64" s="3226"/>
      <c r="M64" s="3226"/>
      <c r="N64" s="3226"/>
      <c r="O64" s="3226"/>
      <c r="P64" s="3226"/>
      <c r="Q64" s="3226"/>
      <c r="R64" s="3226"/>
      <c r="S64" s="3226"/>
      <c r="T64" s="3226"/>
      <c r="U64" s="3226"/>
      <c r="V64" s="3227"/>
      <c r="W64" s="3218" t="str">
        <f>Text!B697</f>
        <v>član 12.stav (6) Zakona i čl. 31. stav (4) Pravilnika</v>
      </c>
      <c r="X64" s="3219"/>
      <c r="Y64" s="3219"/>
      <c r="Z64" s="3219"/>
      <c r="AA64" s="3219"/>
      <c r="AB64" s="3219"/>
      <c r="AC64" s="3220"/>
      <c r="AD64" s="806" t="s">
        <v>19</v>
      </c>
      <c r="AE64" s="3160">
        <f>UnosPorBilans!Y58</f>
        <v>0</v>
      </c>
      <c r="AF64" s="3160"/>
      <c r="AG64" s="3160"/>
      <c r="AH64" s="3160"/>
      <c r="AI64" s="3160"/>
      <c r="AJ64" s="3160"/>
      <c r="AK64" s="3160"/>
      <c r="AL64" s="3160"/>
    </row>
    <row r="65" ht="24.75" customHeight="1" spans="1:38">
      <c r="A65" s="3224" t="s">
        <v>5841</v>
      </c>
      <c r="B65" s="3224"/>
      <c r="C65" s="3225" t="s">
        <v>5842</v>
      </c>
      <c r="D65" s="3226"/>
      <c r="E65" s="3226"/>
      <c r="F65" s="3226"/>
      <c r="G65" s="3226"/>
      <c r="H65" s="3226"/>
      <c r="I65" s="3226"/>
      <c r="J65" s="3226"/>
      <c r="K65" s="3226"/>
      <c r="L65" s="3226"/>
      <c r="M65" s="3226"/>
      <c r="N65" s="3226"/>
      <c r="O65" s="3226"/>
      <c r="P65" s="3226"/>
      <c r="Q65" s="3226"/>
      <c r="R65" s="3226"/>
      <c r="S65" s="3226"/>
      <c r="T65" s="3226"/>
      <c r="U65" s="3226"/>
      <c r="V65" s="3227"/>
      <c r="W65" s="3218" t="str">
        <f>Text!B698</f>
        <v>član 9.stav (1) tačka m) Zakona</v>
      </c>
      <c r="X65" s="3219"/>
      <c r="Y65" s="3219"/>
      <c r="Z65" s="3219"/>
      <c r="AA65" s="3219"/>
      <c r="AB65" s="3219"/>
      <c r="AC65" s="3220"/>
      <c r="AD65" s="806" t="s">
        <v>19</v>
      </c>
      <c r="AE65" s="3160">
        <f>UnosPorBilans!Y59</f>
        <v>0</v>
      </c>
      <c r="AF65" s="3160"/>
      <c r="AG65" s="3160"/>
      <c r="AH65" s="3160"/>
      <c r="AI65" s="3160"/>
      <c r="AJ65" s="3160"/>
      <c r="AK65" s="3160"/>
      <c r="AL65" s="3160"/>
    </row>
    <row r="66" ht="24" customHeight="1" spans="1:38">
      <c r="A66" s="3224" t="s">
        <v>5843</v>
      </c>
      <c r="B66" s="3224"/>
      <c r="C66" s="3225" t="s">
        <v>5844</v>
      </c>
      <c r="D66" s="3226"/>
      <c r="E66" s="3226"/>
      <c r="F66" s="3226"/>
      <c r="G66" s="3226"/>
      <c r="H66" s="3226"/>
      <c r="I66" s="3226"/>
      <c r="J66" s="3226"/>
      <c r="K66" s="3226"/>
      <c r="L66" s="3226"/>
      <c r="M66" s="3226"/>
      <c r="N66" s="3226"/>
      <c r="O66" s="3226"/>
      <c r="P66" s="3226"/>
      <c r="Q66" s="3226"/>
      <c r="R66" s="3226"/>
      <c r="S66" s="3226"/>
      <c r="T66" s="3226"/>
      <c r="U66" s="3226"/>
      <c r="V66" s="3227"/>
      <c r="W66" s="3218" t="str">
        <f>Text!B699</f>
        <v>član 14. Zakona</v>
      </c>
      <c r="X66" s="3219"/>
      <c r="Y66" s="3219"/>
      <c r="Z66" s="3219"/>
      <c r="AA66" s="3219"/>
      <c r="AB66" s="3219"/>
      <c r="AC66" s="3220"/>
      <c r="AD66" s="3198" t="s">
        <v>481</v>
      </c>
      <c r="AE66" s="3209">
        <f>UnosPorBilans!Y60</f>
        <v>0</v>
      </c>
      <c r="AF66" s="3209"/>
      <c r="AG66" s="3209"/>
      <c r="AH66" s="3209"/>
      <c r="AI66" s="3209"/>
      <c r="AJ66" s="3209"/>
      <c r="AK66" s="3209"/>
      <c r="AL66" s="3209"/>
    </row>
    <row r="67" ht="24.75" customHeight="1" spans="1:38">
      <c r="A67" s="3224" t="s">
        <v>5845</v>
      </c>
      <c r="B67" s="3224"/>
      <c r="C67" s="3225" t="s">
        <v>5846</v>
      </c>
      <c r="D67" s="3226"/>
      <c r="E67" s="3226"/>
      <c r="F67" s="3226"/>
      <c r="G67" s="3226"/>
      <c r="H67" s="3226"/>
      <c r="I67" s="3226"/>
      <c r="J67" s="3226"/>
      <c r="K67" s="3226"/>
      <c r="L67" s="3226"/>
      <c r="M67" s="3226"/>
      <c r="N67" s="3226"/>
      <c r="O67" s="3226"/>
      <c r="P67" s="3226"/>
      <c r="Q67" s="3226"/>
      <c r="R67" s="3226"/>
      <c r="S67" s="3226"/>
      <c r="T67" s="3226"/>
      <c r="U67" s="3226"/>
      <c r="V67" s="3227"/>
      <c r="W67" s="3218" t="str">
        <f>Text!B700</f>
        <v>član 13.stav (2) Zakona i čl. 33. stav (3) Pravilnika</v>
      </c>
      <c r="X67" s="3219"/>
      <c r="Y67" s="3219"/>
      <c r="Z67" s="3219"/>
      <c r="AA67" s="3219"/>
      <c r="AB67" s="3219"/>
      <c r="AC67" s="3220"/>
      <c r="AD67" s="806" t="s">
        <v>19</v>
      </c>
      <c r="AE67" s="3160">
        <f>UnosPorBilans!Y61</f>
        <v>0</v>
      </c>
      <c r="AF67" s="3160"/>
      <c r="AG67" s="3160"/>
      <c r="AH67" s="3160"/>
      <c r="AI67" s="3160"/>
      <c r="AJ67" s="3160"/>
      <c r="AK67" s="3160"/>
      <c r="AL67" s="3160"/>
    </row>
    <row r="68" ht="24" customHeight="1" spans="1:38">
      <c r="A68" s="3224" t="s">
        <v>5847</v>
      </c>
      <c r="B68" s="3224"/>
      <c r="C68" s="3225" t="s">
        <v>5848</v>
      </c>
      <c r="D68" s="3226"/>
      <c r="E68" s="3226"/>
      <c r="F68" s="3226"/>
      <c r="G68" s="3226"/>
      <c r="H68" s="3226"/>
      <c r="I68" s="3226"/>
      <c r="J68" s="3226"/>
      <c r="K68" s="3226"/>
      <c r="L68" s="3226"/>
      <c r="M68" s="3226"/>
      <c r="N68" s="3226"/>
      <c r="O68" s="3226"/>
      <c r="P68" s="3226"/>
      <c r="Q68" s="3226"/>
      <c r="R68" s="3226"/>
      <c r="S68" s="3226"/>
      <c r="T68" s="3226"/>
      <c r="U68" s="3226"/>
      <c r="V68" s="3227"/>
      <c r="W68" s="3218" t="str">
        <f>Text!B701</f>
        <v>član 13.stav (3) Zakona i čl. 33. stav (5) Pravilnika</v>
      </c>
      <c r="X68" s="3219"/>
      <c r="Y68" s="3219"/>
      <c r="Z68" s="3219"/>
      <c r="AA68" s="3219"/>
      <c r="AB68" s="3219"/>
      <c r="AC68" s="3220"/>
      <c r="AD68" s="806" t="s">
        <v>19</v>
      </c>
      <c r="AE68" s="3160">
        <f>UnosPorBilans!Y62</f>
        <v>0</v>
      </c>
      <c r="AF68" s="3160"/>
      <c r="AG68" s="3160"/>
      <c r="AH68" s="3160"/>
      <c r="AI68" s="3160"/>
      <c r="AJ68" s="3160"/>
      <c r="AK68" s="3160"/>
      <c r="AL68" s="3160"/>
    </row>
    <row r="69" ht="18.75" customHeight="1" spans="1:38">
      <c r="A69" s="3224" t="s">
        <v>5849</v>
      </c>
      <c r="B69" s="3224"/>
      <c r="C69" s="3231" t="s">
        <v>6595</v>
      </c>
      <c r="D69" s="3232"/>
      <c r="E69" s="3232"/>
      <c r="F69" s="3232"/>
      <c r="G69" s="3232"/>
      <c r="H69" s="3232"/>
      <c r="I69" s="3232"/>
      <c r="J69" s="3232"/>
      <c r="K69" s="3232"/>
      <c r="L69" s="3232"/>
      <c r="M69" s="3232"/>
      <c r="N69" s="3232"/>
      <c r="O69" s="3232"/>
      <c r="P69" s="3232"/>
      <c r="Q69" s="3232"/>
      <c r="R69" s="3232"/>
      <c r="S69" s="3232"/>
      <c r="T69" s="3232"/>
      <c r="U69" s="3232"/>
      <c r="V69" s="3233"/>
      <c r="W69" s="3218" t="str">
        <f>Text!B702</f>
        <v>član 13.stav (4) Zakona i čl. 34. i 33. stav (9) Pravilnika</v>
      </c>
      <c r="X69" s="3219"/>
      <c r="Y69" s="3219"/>
      <c r="Z69" s="3219"/>
      <c r="AA69" s="3219"/>
      <c r="AB69" s="3219"/>
      <c r="AC69" s="3220"/>
      <c r="AD69" s="806" t="s">
        <v>19</v>
      </c>
      <c r="AE69" s="3160">
        <f>UnosPorBilans!Y63</f>
        <v>0</v>
      </c>
      <c r="AF69" s="3160"/>
      <c r="AG69" s="3160"/>
      <c r="AH69" s="3160"/>
      <c r="AI69" s="3160"/>
      <c r="AJ69" s="3160"/>
      <c r="AK69" s="3160"/>
      <c r="AL69" s="3160"/>
    </row>
    <row r="70" ht="18.75" customHeight="1" spans="1:38">
      <c r="A70" s="3224" t="s">
        <v>5851</v>
      </c>
      <c r="B70" s="3224"/>
      <c r="C70" s="3231" t="s">
        <v>6596</v>
      </c>
      <c r="D70" s="3232"/>
      <c r="E70" s="3232"/>
      <c r="F70" s="3232"/>
      <c r="G70" s="3232"/>
      <c r="H70" s="3232"/>
      <c r="I70" s="3232"/>
      <c r="J70" s="3232"/>
      <c r="K70" s="3232"/>
      <c r="L70" s="3232"/>
      <c r="M70" s="3232"/>
      <c r="N70" s="3232"/>
      <c r="O70" s="3232"/>
      <c r="P70" s="3232"/>
      <c r="Q70" s="3232"/>
      <c r="R70" s="3232"/>
      <c r="S70" s="3232"/>
      <c r="T70" s="3232"/>
      <c r="U70" s="3232"/>
      <c r="V70" s="3233"/>
      <c r="W70" s="3218" t="str">
        <f>Text!B703</f>
        <v>član 15. Zakona i čl. 35. Pravilnika</v>
      </c>
      <c r="X70" s="3219"/>
      <c r="Y70" s="3219"/>
      <c r="Z70" s="3219"/>
      <c r="AA70" s="3219"/>
      <c r="AB70" s="3219"/>
      <c r="AC70" s="3220"/>
      <c r="AD70" s="806" t="s">
        <v>19</v>
      </c>
      <c r="AE70" s="3160">
        <f>UnosPorBilans!Y64</f>
        <v>0</v>
      </c>
      <c r="AF70" s="3160"/>
      <c r="AG70" s="3160"/>
      <c r="AH70" s="3160"/>
      <c r="AI70" s="3160"/>
      <c r="AJ70" s="3160"/>
      <c r="AK70" s="3160"/>
      <c r="AL70" s="3160"/>
    </row>
    <row r="71" ht="18.75" customHeight="1" spans="1:38">
      <c r="A71" s="3234" t="s">
        <v>5853</v>
      </c>
      <c r="B71" s="3234"/>
      <c r="C71" s="3235" t="s">
        <v>6597</v>
      </c>
      <c r="D71" s="3236"/>
      <c r="E71" s="3236"/>
      <c r="F71" s="3236"/>
      <c r="G71" s="3236"/>
      <c r="H71" s="3236"/>
      <c r="I71" s="3236"/>
      <c r="J71" s="3236"/>
      <c r="K71" s="3236"/>
      <c r="L71" s="3236"/>
      <c r="M71" s="3236"/>
      <c r="N71" s="3236"/>
      <c r="O71" s="3236"/>
      <c r="P71" s="3236"/>
      <c r="Q71" s="3236"/>
      <c r="R71" s="3236"/>
      <c r="S71" s="3236"/>
      <c r="T71" s="3236"/>
      <c r="U71" s="3236"/>
      <c r="V71" s="3237"/>
      <c r="W71" s="3238"/>
      <c r="X71" s="3239"/>
      <c r="Y71" s="3239"/>
      <c r="Z71" s="3239"/>
      <c r="AA71" s="3239"/>
      <c r="AB71" s="3239"/>
      <c r="AC71" s="3240"/>
      <c r="AD71" s="806"/>
      <c r="AE71" s="3160">
        <f>UnosPorBilans!Y65</f>
        <v>0</v>
      </c>
      <c r="AF71" s="3160"/>
      <c r="AG71" s="3160"/>
      <c r="AH71" s="3160"/>
      <c r="AI71" s="3160"/>
      <c r="AJ71" s="3160"/>
      <c r="AK71" s="3160"/>
      <c r="AL71" s="3160"/>
    </row>
    <row r="72" ht="23.25" customHeight="1" spans="1:38">
      <c r="A72" s="3224" t="s">
        <v>5855</v>
      </c>
      <c r="B72" s="3224"/>
      <c r="C72" s="3225" t="str">
        <f>Text!B666</f>
        <v>Rezerve/rashodi kod finansijskih institucija koja nisu izvršena u skladu sa propisima nadzomih organa</v>
      </c>
      <c r="D72" s="3226"/>
      <c r="E72" s="3226"/>
      <c r="F72" s="3226"/>
      <c r="G72" s="3226"/>
      <c r="H72" s="3226"/>
      <c r="I72" s="3226"/>
      <c r="J72" s="3226"/>
      <c r="K72" s="3226"/>
      <c r="L72" s="3226"/>
      <c r="M72" s="3226"/>
      <c r="N72" s="3226"/>
      <c r="O72" s="3226"/>
      <c r="P72" s="3226"/>
      <c r="Q72" s="3226"/>
      <c r="R72" s="3226"/>
      <c r="S72" s="3226"/>
      <c r="T72" s="3226"/>
      <c r="U72" s="3226"/>
      <c r="V72" s="3227"/>
      <c r="W72" s="3218" t="str">
        <f>Text!B704</f>
        <v>član 16.stav (1) Zakona i čl. 36. stav (1) Pravilnika</v>
      </c>
      <c r="X72" s="3219"/>
      <c r="Y72" s="3219"/>
      <c r="Z72" s="3219"/>
      <c r="AA72" s="3219"/>
      <c r="AB72" s="3219"/>
      <c r="AC72" s="3220"/>
      <c r="AD72" s="806" t="s">
        <v>19</v>
      </c>
      <c r="AE72" s="3160">
        <f>UnosPorBilans!Y66</f>
        <v>0</v>
      </c>
      <c r="AF72" s="3160"/>
      <c r="AG72" s="3160"/>
      <c r="AH72" s="3160"/>
      <c r="AI72" s="3160"/>
      <c r="AJ72" s="3160"/>
      <c r="AK72" s="3160"/>
      <c r="AL72" s="3160"/>
    </row>
    <row r="73" ht="23.25" customHeight="1" spans="1:38">
      <c r="A73" s="3224" t="s">
        <v>5856</v>
      </c>
      <c r="B73" s="3224"/>
      <c r="C73" s="3225" t="s">
        <v>6598</v>
      </c>
      <c r="D73" s="3226"/>
      <c r="E73" s="3226"/>
      <c r="F73" s="3226"/>
      <c r="G73" s="3226"/>
      <c r="H73" s="3226"/>
      <c r="I73" s="3226"/>
      <c r="J73" s="3226"/>
      <c r="K73" s="3226"/>
      <c r="L73" s="3226"/>
      <c r="M73" s="3226"/>
      <c r="N73" s="3226"/>
      <c r="O73" s="3226"/>
      <c r="P73" s="3226"/>
      <c r="Q73" s="3226"/>
      <c r="R73" s="3226"/>
      <c r="S73" s="3226"/>
      <c r="T73" s="3226"/>
      <c r="U73" s="3226"/>
      <c r="V73" s="3227"/>
      <c r="W73" s="3218" t="str">
        <f>Text!B705</f>
        <v>član 16.stav (2) Zakona i čl. 36. stav (2) Pravilnika</v>
      </c>
      <c r="X73" s="3219"/>
      <c r="Y73" s="3219"/>
      <c r="Z73" s="3219"/>
      <c r="AA73" s="3219"/>
      <c r="AB73" s="3219"/>
      <c r="AC73" s="3220"/>
      <c r="AD73" s="806" t="s">
        <v>19</v>
      </c>
      <c r="AE73" s="3160">
        <f>UnosPorBilans!Y67</f>
        <v>0</v>
      </c>
      <c r="AF73" s="3160"/>
      <c r="AG73" s="3160"/>
      <c r="AH73" s="3160"/>
      <c r="AI73" s="3160"/>
      <c r="AJ73" s="3160"/>
      <c r="AK73" s="3160"/>
      <c r="AL73" s="3160"/>
    </row>
    <row r="74" ht="23.25" customHeight="1" spans="1:38">
      <c r="A74" s="3224" t="s">
        <v>5857</v>
      </c>
      <c r="B74" s="3224"/>
      <c r="C74" s="3225" t="s">
        <v>5858</v>
      </c>
      <c r="D74" s="3226"/>
      <c r="E74" s="3226"/>
      <c r="F74" s="3226"/>
      <c r="G74" s="3226"/>
      <c r="H74" s="3226"/>
      <c r="I74" s="3226"/>
      <c r="J74" s="3226"/>
      <c r="K74" s="3226"/>
      <c r="L74" s="3226"/>
      <c r="M74" s="3226"/>
      <c r="N74" s="3226"/>
      <c r="O74" s="3226"/>
      <c r="P74" s="3226"/>
      <c r="Q74" s="3226"/>
      <c r="R74" s="3226"/>
      <c r="S74" s="3226"/>
      <c r="T74" s="3226"/>
      <c r="U74" s="3226"/>
      <c r="V74" s="3227"/>
      <c r="W74" s="3218" t="str">
        <f>Text!B706</f>
        <v>član 16.stav (4) Zakona i čl. 36. stav (5) Pravilnika</v>
      </c>
      <c r="X74" s="3219"/>
      <c r="Y74" s="3219"/>
      <c r="Z74" s="3219"/>
      <c r="AA74" s="3219"/>
      <c r="AB74" s="3219"/>
      <c r="AC74" s="3220"/>
      <c r="AD74" s="806" t="s">
        <v>19</v>
      </c>
      <c r="AE74" s="3160">
        <f>UnosPorBilans!Y68</f>
        <v>0</v>
      </c>
      <c r="AF74" s="3160"/>
      <c r="AG74" s="3160"/>
      <c r="AH74" s="3160"/>
      <c r="AI74" s="3160"/>
      <c r="AJ74" s="3160"/>
      <c r="AK74" s="3160"/>
      <c r="AL74" s="3160"/>
    </row>
    <row r="75" ht="23.25" customHeight="1" spans="1:38">
      <c r="A75" s="3224" t="s">
        <v>5859</v>
      </c>
      <c r="B75" s="3224"/>
      <c r="C75" s="3225" t="s">
        <v>5860</v>
      </c>
      <c r="D75" s="3226"/>
      <c r="E75" s="3226"/>
      <c r="F75" s="3226"/>
      <c r="G75" s="3226"/>
      <c r="H75" s="3226"/>
      <c r="I75" s="3226"/>
      <c r="J75" s="3226"/>
      <c r="K75" s="3226"/>
      <c r="L75" s="3226"/>
      <c r="M75" s="3226"/>
      <c r="N75" s="3226"/>
      <c r="O75" s="3226"/>
      <c r="P75" s="3226"/>
      <c r="Q75" s="3226"/>
      <c r="R75" s="3226"/>
      <c r="S75" s="3226"/>
      <c r="T75" s="3226"/>
      <c r="U75" s="3226"/>
      <c r="V75" s="3227"/>
      <c r="W75" s="3218" t="str">
        <f>Text!B707</f>
        <v>član 17. Zakona i član 38. Pravilnika</v>
      </c>
      <c r="X75" s="3219"/>
      <c r="Y75" s="3219"/>
      <c r="Z75" s="3219"/>
      <c r="AA75" s="3219"/>
      <c r="AB75" s="3219"/>
      <c r="AC75" s="3220"/>
      <c r="AD75" s="806" t="s">
        <v>19</v>
      </c>
      <c r="AE75" s="3160">
        <f>UnosPorBilans!Y69</f>
        <v>0</v>
      </c>
      <c r="AF75" s="3160"/>
      <c r="AG75" s="3160"/>
      <c r="AH75" s="3160"/>
      <c r="AI75" s="3160"/>
      <c r="AJ75" s="3160"/>
      <c r="AK75" s="3160"/>
      <c r="AL75" s="3160"/>
    </row>
    <row r="76" ht="23.25" customHeight="1" spans="1:38">
      <c r="A76" s="3224" t="s">
        <v>5862</v>
      </c>
      <c r="B76" s="3224"/>
      <c r="C76" s="3225" t="s">
        <v>5863</v>
      </c>
      <c r="D76" s="3226"/>
      <c r="E76" s="3226"/>
      <c r="F76" s="3226"/>
      <c r="G76" s="3226"/>
      <c r="H76" s="3226"/>
      <c r="I76" s="3226"/>
      <c r="J76" s="3226"/>
      <c r="K76" s="3226"/>
      <c r="L76" s="3226"/>
      <c r="M76" s="3226"/>
      <c r="N76" s="3226"/>
      <c r="O76" s="3226"/>
      <c r="P76" s="3226"/>
      <c r="Q76" s="3226"/>
      <c r="R76" s="3226"/>
      <c r="S76" s="3226"/>
      <c r="T76" s="3226"/>
      <c r="U76" s="3226"/>
      <c r="V76" s="3227"/>
      <c r="W76" s="3218" t="str">
        <f>Text!B708</f>
        <v>član 17. Zakona i član 38. Pravilnika</v>
      </c>
      <c r="X76" s="3219"/>
      <c r="Y76" s="3219"/>
      <c r="Z76" s="3219"/>
      <c r="AA76" s="3219"/>
      <c r="AB76" s="3219"/>
      <c r="AC76" s="3220"/>
      <c r="AD76" s="3198" t="s">
        <v>481</v>
      </c>
      <c r="AE76" s="3209">
        <f>UnosPorBilans!Y70</f>
        <v>0</v>
      </c>
      <c r="AF76" s="3209"/>
      <c r="AG76" s="3209"/>
      <c r="AH76" s="3209"/>
      <c r="AI76" s="3209"/>
      <c r="AJ76" s="3209"/>
      <c r="AK76" s="3209"/>
      <c r="AL76" s="3209"/>
    </row>
    <row r="77" ht="23.25" customHeight="1" spans="1:38">
      <c r="A77" s="3224" t="s">
        <v>5864</v>
      </c>
      <c r="B77" s="3224"/>
      <c r="C77" s="3225" t="str">
        <f>Text!B669</f>
        <v>Rashodi na ime kamata ili njenog ekvivalenta između povezanih lica koji se smatraju porezno nepriznatim rashodom</v>
      </c>
      <c r="D77" s="3226"/>
      <c r="E77" s="3226"/>
      <c r="F77" s="3226"/>
      <c r="G77" s="3226"/>
      <c r="H77" s="3226"/>
      <c r="I77" s="3226"/>
      <c r="J77" s="3226"/>
      <c r="K77" s="3226"/>
      <c r="L77" s="3226"/>
      <c r="M77" s="3226"/>
      <c r="N77" s="3226"/>
      <c r="O77" s="3226"/>
      <c r="P77" s="3226"/>
      <c r="Q77" s="3226"/>
      <c r="R77" s="3226"/>
      <c r="S77" s="3226"/>
      <c r="T77" s="3226"/>
      <c r="U77" s="3226"/>
      <c r="V77" s="3227"/>
      <c r="W77" s="3218" t="str">
        <f>Text!B709</f>
        <v>član 18. Zakona i član 40. Pravilnika</v>
      </c>
      <c r="X77" s="3219"/>
      <c r="Y77" s="3219"/>
      <c r="Z77" s="3219"/>
      <c r="AA77" s="3219"/>
      <c r="AB77" s="3219"/>
      <c r="AC77" s="3220"/>
      <c r="AD77" s="806" t="s">
        <v>19</v>
      </c>
      <c r="AE77" s="3160">
        <f>UnosPorBilans!Y71</f>
        <v>0</v>
      </c>
      <c r="AF77" s="3160"/>
      <c r="AG77" s="3160"/>
      <c r="AH77" s="3160"/>
      <c r="AI77" s="3160"/>
      <c r="AJ77" s="3160"/>
      <c r="AK77" s="3160"/>
      <c r="AL77" s="3160"/>
    </row>
    <row r="78" ht="23.25" customHeight="1" spans="1:38">
      <c r="A78" s="3224" t="s">
        <v>5865</v>
      </c>
      <c r="B78" s="3224"/>
      <c r="C78" s="3242" t="s">
        <v>6599</v>
      </c>
      <c r="D78" s="3243"/>
      <c r="E78" s="3243"/>
      <c r="F78" s="3243"/>
      <c r="G78" s="3243"/>
      <c r="H78" s="3243"/>
      <c r="I78" s="3243"/>
      <c r="J78" s="3243"/>
      <c r="K78" s="3243"/>
      <c r="L78" s="3243"/>
      <c r="M78" s="3243"/>
      <c r="N78" s="3243"/>
      <c r="O78" s="3243"/>
      <c r="P78" s="3243"/>
      <c r="Q78" s="3243"/>
      <c r="R78" s="3243"/>
      <c r="S78" s="3243"/>
      <c r="T78" s="3243"/>
      <c r="U78" s="3243"/>
      <c r="V78" s="3244"/>
      <c r="W78" s="3218" t="str">
        <f>Text!B710</f>
        <v>član 19.stav (1) Zakona i član 41. stav (2) Pravilnika</v>
      </c>
      <c r="X78" s="3219"/>
      <c r="Y78" s="3219"/>
      <c r="Z78" s="3219"/>
      <c r="AA78" s="3219"/>
      <c r="AB78" s="3219"/>
      <c r="AC78" s="3220"/>
      <c r="AD78" s="806" t="s">
        <v>19</v>
      </c>
      <c r="AE78" s="3160">
        <f>UnosPorBilans!Y72</f>
        <v>0</v>
      </c>
      <c r="AF78" s="3160"/>
      <c r="AG78" s="3160"/>
      <c r="AH78" s="3160"/>
      <c r="AI78" s="3160"/>
      <c r="AJ78" s="3160"/>
      <c r="AK78" s="3160"/>
      <c r="AL78" s="3160"/>
    </row>
    <row r="79" ht="23.25" customHeight="1" spans="1:38">
      <c r="A79" s="3224" t="s">
        <v>5867</v>
      </c>
      <c r="B79" s="3224"/>
      <c r="C79" s="3225" t="s">
        <v>6600</v>
      </c>
      <c r="D79" s="3226"/>
      <c r="E79" s="3226"/>
      <c r="F79" s="3226"/>
      <c r="G79" s="3226"/>
      <c r="H79" s="3226"/>
      <c r="I79" s="3226"/>
      <c r="J79" s="3226"/>
      <c r="K79" s="3226"/>
      <c r="L79" s="3226"/>
      <c r="M79" s="3226"/>
      <c r="N79" s="3226"/>
      <c r="O79" s="3226"/>
      <c r="P79" s="3226"/>
      <c r="Q79" s="3226"/>
      <c r="R79" s="3226"/>
      <c r="S79" s="3226"/>
      <c r="T79" s="3226"/>
      <c r="U79" s="3226"/>
      <c r="V79" s="3227"/>
      <c r="W79" s="3218" t="str">
        <f>Text!B711</f>
        <v>član 19.stav (4) Zakona i član 42. stav (2) Pravilnika</v>
      </c>
      <c r="X79" s="3219"/>
      <c r="Y79" s="3219"/>
      <c r="Z79" s="3219"/>
      <c r="AA79" s="3219"/>
      <c r="AB79" s="3219"/>
      <c r="AC79" s="3220"/>
      <c r="AD79" s="3245" t="s">
        <v>6601</v>
      </c>
      <c r="AE79" s="3160">
        <f>UnosPorBilans!Y73</f>
        <v>0</v>
      </c>
      <c r="AF79" s="3160"/>
      <c r="AG79" s="3160"/>
      <c r="AH79" s="3160"/>
      <c r="AI79" s="3160"/>
      <c r="AJ79" s="3160"/>
      <c r="AK79" s="3160"/>
      <c r="AL79" s="3160"/>
    </row>
    <row r="80" ht="23.25" customHeight="1" spans="1:38">
      <c r="A80" s="3224" t="s">
        <v>5869</v>
      </c>
      <c r="B80" s="3224"/>
      <c r="C80" s="3225" t="s">
        <v>5870</v>
      </c>
      <c r="D80" s="3226"/>
      <c r="E80" s="3226"/>
      <c r="F80" s="3226"/>
      <c r="G80" s="3226"/>
      <c r="H80" s="3226"/>
      <c r="I80" s="3226"/>
      <c r="J80" s="3226"/>
      <c r="K80" s="3226"/>
      <c r="L80" s="3226"/>
      <c r="M80" s="3226"/>
      <c r="N80" s="3226"/>
      <c r="O80" s="3226"/>
      <c r="P80" s="3226"/>
      <c r="Q80" s="3226"/>
      <c r="R80" s="3226"/>
      <c r="S80" s="3226"/>
      <c r="T80" s="3226"/>
      <c r="U80" s="3226"/>
      <c r="V80" s="3227"/>
      <c r="W80" s="3218" t="str">
        <f>Text!B712</f>
        <v>član 19.stav (4) Zakona i član 42. stav (2) Pravilnika</v>
      </c>
      <c r="X80" s="3219"/>
      <c r="Y80" s="3219"/>
      <c r="Z80" s="3219"/>
      <c r="AA80" s="3219"/>
      <c r="AB80" s="3219"/>
      <c r="AC80" s="3220"/>
      <c r="AD80" s="3246" t="s">
        <v>6602</v>
      </c>
      <c r="AE80" s="3209">
        <f>UnosPorBilans!Y74</f>
        <v>0</v>
      </c>
      <c r="AF80" s="3209"/>
      <c r="AG80" s="3209"/>
      <c r="AH80" s="3209"/>
      <c r="AI80" s="3209"/>
      <c r="AJ80" s="3209"/>
      <c r="AK80" s="3209"/>
      <c r="AL80" s="3209"/>
    </row>
    <row r="81" ht="24.75" customHeight="1" spans="1:38">
      <c r="A81" s="3224" t="s">
        <v>5871</v>
      </c>
      <c r="B81" s="3224"/>
      <c r="C81" s="3225" t="s">
        <v>5872</v>
      </c>
      <c r="D81" s="3226"/>
      <c r="E81" s="3226"/>
      <c r="F81" s="3226"/>
      <c r="G81" s="3226"/>
      <c r="H81" s="3226"/>
      <c r="I81" s="3226"/>
      <c r="J81" s="3226"/>
      <c r="K81" s="3226"/>
      <c r="L81" s="3226"/>
      <c r="M81" s="3226"/>
      <c r="N81" s="3226"/>
      <c r="O81" s="3226"/>
      <c r="P81" s="3226"/>
      <c r="Q81" s="3226"/>
      <c r="R81" s="3226"/>
      <c r="S81" s="3226"/>
      <c r="T81" s="3226"/>
      <c r="U81" s="3226"/>
      <c r="V81" s="3227"/>
      <c r="W81" s="3218" t="str">
        <f>Text!B713</f>
        <v>član 19. stav (6) Zakona</v>
      </c>
      <c r="X81" s="3219"/>
      <c r="Y81" s="3219"/>
      <c r="Z81" s="3219"/>
      <c r="AA81" s="3219"/>
      <c r="AB81" s="3219"/>
      <c r="AC81" s="3220"/>
      <c r="AD81" s="806" t="s">
        <v>19</v>
      </c>
      <c r="AE81" s="3160">
        <f>UnosPorBilans!Y75</f>
        <v>0</v>
      </c>
      <c r="AF81" s="3160"/>
      <c r="AG81" s="3160"/>
      <c r="AH81" s="3160"/>
      <c r="AI81" s="3160"/>
      <c r="AJ81" s="3160"/>
      <c r="AK81" s="3160"/>
      <c r="AL81" s="3160"/>
    </row>
    <row r="82" ht="23.25" customHeight="1" spans="1:38">
      <c r="A82" s="3224" t="s">
        <v>5873</v>
      </c>
      <c r="B82" s="3224"/>
      <c r="C82" s="3225" t="s">
        <v>5874</v>
      </c>
      <c r="D82" s="3226"/>
      <c r="E82" s="3226"/>
      <c r="F82" s="3226"/>
      <c r="G82" s="3226"/>
      <c r="H82" s="3226"/>
      <c r="I82" s="3226"/>
      <c r="J82" s="3226"/>
      <c r="K82" s="3226"/>
      <c r="L82" s="3226"/>
      <c r="M82" s="3226"/>
      <c r="N82" s="3226"/>
      <c r="O82" s="3226"/>
      <c r="P82" s="3226"/>
      <c r="Q82" s="3226"/>
      <c r="R82" s="3226"/>
      <c r="S82" s="3226"/>
      <c r="T82" s="3226"/>
      <c r="U82" s="3226"/>
      <c r="V82" s="3227"/>
      <c r="W82" s="3218" t="str">
        <f>Text!B714</f>
        <v>član 19. stav (6) Zakona</v>
      </c>
      <c r="X82" s="3219"/>
      <c r="Y82" s="3219"/>
      <c r="Z82" s="3219"/>
      <c r="AA82" s="3219"/>
      <c r="AB82" s="3219"/>
      <c r="AC82" s="3220"/>
      <c r="AD82" s="3198" t="s">
        <v>481</v>
      </c>
      <c r="AE82" s="3209">
        <f>UnosPorBilans!Y76</f>
        <v>0</v>
      </c>
      <c r="AF82" s="3209"/>
      <c r="AG82" s="3209"/>
      <c r="AH82" s="3209"/>
      <c r="AI82" s="3209"/>
      <c r="AJ82" s="3209"/>
      <c r="AK82" s="3209"/>
      <c r="AL82" s="3209"/>
    </row>
    <row r="83" ht="23.25" customHeight="1" spans="1:38">
      <c r="A83" s="3224" t="s">
        <v>5875</v>
      </c>
      <c r="B83" s="3224"/>
      <c r="C83" s="3225" t="s">
        <v>6603</v>
      </c>
      <c r="D83" s="3226"/>
      <c r="E83" s="3226"/>
      <c r="F83" s="3226"/>
      <c r="G83" s="3226"/>
      <c r="H83" s="3226"/>
      <c r="I83" s="3226"/>
      <c r="J83" s="3226"/>
      <c r="K83" s="3226"/>
      <c r="L83" s="3226"/>
      <c r="M83" s="3226"/>
      <c r="N83" s="3226"/>
      <c r="O83" s="3226"/>
      <c r="P83" s="3226"/>
      <c r="Q83" s="3226"/>
      <c r="R83" s="3226"/>
      <c r="S83" s="3226"/>
      <c r="T83" s="3226"/>
      <c r="U83" s="3226"/>
      <c r="V83" s="3227"/>
      <c r="W83" s="3218" t="str">
        <f>Text!B715</f>
        <v>član 42. stav (4) Pravilnika</v>
      </c>
      <c r="X83" s="3219"/>
      <c r="Y83" s="3219"/>
      <c r="Z83" s="3219"/>
      <c r="AA83" s="3219"/>
      <c r="AB83" s="3219"/>
      <c r="AC83" s="3220"/>
      <c r="AD83" s="3198" t="s">
        <v>481</v>
      </c>
      <c r="AE83" s="3209">
        <f>UnosPorBilans!Y77</f>
        <v>0</v>
      </c>
      <c r="AF83" s="3209"/>
      <c r="AG83" s="3209"/>
      <c r="AH83" s="3209"/>
      <c r="AI83" s="3209"/>
      <c r="AJ83" s="3209"/>
      <c r="AK83" s="3209"/>
      <c r="AL83" s="3209"/>
    </row>
    <row r="84" ht="23.25" customHeight="1" spans="1:38">
      <c r="A84" s="3224" t="s">
        <v>5877</v>
      </c>
      <c r="B84" s="3224"/>
      <c r="C84" s="3225" t="s">
        <v>6604</v>
      </c>
      <c r="D84" s="3226"/>
      <c r="E84" s="3226"/>
      <c r="F84" s="3226"/>
      <c r="G84" s="3226"/>
      <c r="H84" s="3226"/>
      <c r="I84" s="3226"/>
      <c r="J84" s="3226"/>
      <c r="K84" s="3226"/>
      <c r="L84" s="3226"/>
      <c r="M84" s="3226"/>
      <c r="N84" s="3226"/>
      <c r="O84" s="3226"/>
      <c r="P84" s="3226"/>
      <c r="Q84" s="3226"/>
      <c r="R84" s="3226"/>
      <c r="S84" s="3226"/>
      <c r="T84" s="3226"/>
      <c r="U84" s="3226"/>
      <c r="V84" s="3227"/>
      <c r="W84" s="3218" t="str">
        <f>Text!B716</f>
        <v>član 42. stav (4) Pravilnika</v>
      </c>
      <c r="X84" s="3219"/>
      <c r="Y84" s="3219"/>
      <c r="Z84" s="3219"/>
      <c r="AA84" s="3219"/>
      <c r="AB84" s="3219"/>
      <c r="AC84" s="3220"/>
      <c r="AD84" s="806" t="s">
        <v>19</v>
      </c>
      <c r="AE84" s="3160">
        <f>UnosPorBilans!Y78</f>
        <v>0</v>
      </c>
      <c r="AF84" s="3160"/>
      <c r="AG84" s="3160"/>
      <c r="AH84" s="3160"/>
      <c r="AI84" s="3160"/>
      <c r="AJ84" s="3160"/>
      <c r="AK84" s="3160"/>
      <c r="AL84" s="3160"/>
    </row>
    <row r="85" ht="23.25" customHeight="1" spans="1:38">
      <c r="A85" s="3224" t="s">
        <v>5879</v>
      </c>
      <c r="B85" s="3224"/>
      <c r="C85" s="3225" t="s">
        <v>6605</v>
      </c>
      <c r="D85" s="3226"/>
      <c r="E85" s="3226"/>
      <c r="F85" s="3226"/>
      <c r="G85" s="3226"/>
      <c r="H85" s="3226"/>
      <c r="I85" s="3226"/>
      <c r="J85" s="3226"/>
      <c r="K85" s="3226"/>
      <c r="L85" s="3226"/>
      <c r="M85" s="3226"/>
      <c r="N85" s="3226"/>
      <c r="O85" s="3226"/>
      <c r="P85" s="3226"/>
      <c r="Q85" s="3226"/>
      <c r="R85" s="3226"/>
      <c r="S85" s="3226"/>
      <c r="T85" s="3226"/>
      <c r="U85" s="3226"/>
      <c r="V85" s="3227"/>
      <c r="W85" s="3218" t="str">
        <f>Text!B717</f>
        <v>član 42. stav (5) Pravilnika</v>
      </c>
      <c r="X85" s="3219"/>
      <c r="Y85" s="3219"/>
      <c r="Z85" s="3219"/>
      <c r="AA85" s="3219"/>
      <c r="AB85" s="3219"/>
      <c r="AC85" s="3220"/>
      <c r="AD85" s="806" t="s">
        <v>19</v>
      </c>
      <c r="AE85" s="3160">
        <f>UnosPorBilans!Y79</f>
        <v>0</v>
      </c>
      <c r="AF85" s="3160"/>
      <c r="AG85" s="3160"/>
      <c r="AH85" s="3160"/>
      <c r="AI85" s="3160"/>
      <c r="AJ85" s="3160"/>
      <c r="AK85" s="3160"/>
      <c r="AL85" s="3160"/>
    </row>
    <row r="86" ht="23.25" customHeight="1" spans="1:38">
      <c r="A86" s="3224" t="s">
        <v>5881</v>
      </c>
      <c r="B86" s="3224"/>
      <c r="C86" s="3225" t="s">
        <v>5878</v>
      </c>
      <c r="D86" s="3226"/>
      <c r="E86" s="3226"/>
      <c r="F86" s="3226"/>
      <c r="G86" s="3226"/>
      <c r="H86" s="3226"/>
      <c r="I86" s="3226"/>
      <c r="J86" s="3226"/>
      <c r="K86" s="3226"/>
      <c r="L86" s="3226"/>
      <c r="M86" s="3226"/>
      <c r="N86" s="3226"/>
      <c r="O86" s="3226"/>
      <c r="P86" s="3226"/>
      <c r="Q86" s="3226"/>
      <c r="R86" s="3226"/>
      <c r="S86" s="3226"/>
      <c r="T86" s="3226"/>
      <c r="U86" s="3226"/>
      <c r="V86" s="3227"/>
      <c r="W86" s="3218" t="str">
        <f>Text!B718</f>
        <v>član 42. stav (5) Pravilnika</v>
      </c>
      <c r="X86" s="3219"/>
      <c r="Y86" s="3219"/>
      <c r="Z86" s="3219"/>
      <c r="AA86" s="3219"/>
      <c r="AB86" s="3219"/>
      <c r="AC86" s="3220"/>
      <c r="AD86" s="3198" t="s">
        <v>481</v>
      </c>
      <c r="AE86" s="3209">
        <f>UnosPorBilans!Y80</f>
        <v>0</v>
      </c>
      <c r="AF86" s="3209"/>
      <c r="AG86" s="3209"/>
      <c r="AH86" s="3209"/>
      <c r="AI86" s="3209"/>
      <c r="AJ86" s="3209"/>
      <c r="AK86" s="3209"/>
      <c r="AL86" s="3209"/>
    </row>
    <row r="87" ht="23.25" customHeight="1" spans="1:38">
      <c r="A87" s="3224" t="s">
        <v>5882</v>
      </c>
      <c r="B87" s="3224"/>
      <c r="C87" s="3231" t="s">
        <v>5883</v>
      </c>
      <c r="D87" s="3232"/>
      <c r="E87" s="3232"/>
      <c r="F87" s="3232"/>
      <c r="G87" s="3232"/>
      <c r="H87" s="3232"/>
      <c r="I87" s="3232"/>
      <c r="J87" s="3232"/>
      <c r="K87" s="3232"/>
      <c r="L87" s="3232"/>
      <c r="M87" s="3232"/>
      <c r="N87" s="3232"/>
      <c r="O87" s="3232"/>
      <c r="P87" s="3232"/>
      <c r="Q87" s="3232"/>
      <c r="R87" s="3232"/>
      <c r="S87" s="3232"/>
      <c r="T87" s="3232"/>
      <c r="U87" s="3232"/>
      <c r="V87" s="3233"/>
      <c r="W87" s="3218" t="str">
        <f>Text!B719</f>
        <v>član 42. stav (6) Pravilnika</v>
      </c>
      <c r="X87" s="3219"/>
      <c r="Y87" s="3219"/>
      <c r="Z87" s="3219"/>
      <c r="AA87" s="3219"/>
      <c r="AB87" s="3219"/>
      <c r="AC87" s="3220"/>
      <c r="AD87" s="806" t="s">
        <v>19</v>
      </c>
      <c r="AE87" s="3160">
        <f>UnosPorBilans!Y81</f>
        <v>0</v>
      </c>
      <c r="AF87" s="3160"/>
      <c r="AG87" s="3160"/>
      <c r="AH87" s="3160"/>
      <c r="AI87" s="3160"/>
      <c r="AJ87" s="3160"/>
      <c r="AK87" s="3160"/>
      <c r="AL87" s="3160"/>
    </row>
    <row r="88" ht="23.25" customHeight="1" spans="1:38">
      <c r="A88" s="3224" t="s">
        <v>5884</v>
      </c>
      <c r="B88" s="3224"/>
      <c r="C88" s="3225" t="s">
        <v>6606</v>
      </c>
      <c r="D88" s="3226"/>
      <c r="E88" s="3226"/>
      <c r="F88" s="3226"/>
      <c r="G88" s="3226"/>
      <c r="H88" s="3226"/>
      <c r="I88" s="3226"/>
      <c r="J88" s="3226"/>
      <c r="K88" s="3226"/>
      <c r="L88" s="3226"/>
      <c r="M88" s="3226"/>
      <c r="N88" s="3226"/>
      <c r="O88" s="3226"/>
      <c r="P88" s="3226"/>
      <c r="Q88" s="3226"/>
      <c r="R88" s="3226"/>
      <c r="S88" s="3226"/>
      <c r="T88" s="3226"/>
      <c r="U88" s="3226"/>
      <c r="V88" s="3227"/>
      <c r="W88" s="3218" t="str">
        <f>Text!B720</f>
        <v>član 39. stav (5) i član 40. stav (7) Pravilnika</v>
      </c>
      <c r="X88" s="3219"/>
      <c r="Y88" s="3219"/>
      <c r="Z88" s="3219"/>
      <c r="AA88" s="3219"/>
      <c r="AB88" s="3219"/>
      <c r="AC88" s="3220"/>
      <c r="AD88" s="806" t="s">
        <v>19</v>
      </c>
      <c r="AE88" s="3160">
        <f>UnosPorBilans!Y82</f>
        <v>0</v>
      </c>
      <c r="AF88" s="3160"/>
      <c r="AG88" s="3160"/>
      <c r="AH88" s="3160"/>
      <c r="AI88" s="3160"/>
      <c r="AJ88" s="3160"/>
      <c r="AK88" s="3160"/>
      <c r="AL88" s="3160"/>
    </row>
    <row r="89" s="3125" customFormat="1" ht="23.25" customHeight="1" spans="1:38">
      <c r="A89" s="3247" t="s">
        <v>5886</v>
      </c>
      <c r="B89" s="3247"/>
      <c r="C89" s="3248" t="s">
        <v>6607</v>
      </c>
      <c r="D89" s="3249"/>
      <c r="E89" s="3249"/>
      <c r="F89" s="3249"/>
      <c r="G89" s="3249"/>
      <c r="H89" s="3249"/>
      <c r="I89" s="3249"/>
      <c r="J89" s="3249"/>
      <c r="K89" s="3249"/>
      <c r="L89" s="3249"/>
      <c r="M89" s="3249"/>
      <c r="N89" s="3249"/>
      <c r="O89" s="3249"/>
      <c r="P89" s="3249"/>
      <c r="Q89" s="3249"/>
      <c r="R89" s="3249"/>
      <c r="S89" s="3249"/>
      <c r="T89" s="3249"/>
      <c r="U89" s="3249"/>
      <c r="V89" s="3250"/>
      <c r="W89" s="3238" t="s">
        <v>6608</v>
      </c>
      <c r="X89" s="3239"/>
      <c r="Y89" s="3239"/>
      <c r="Z89" s="3239"/>
      <c r="AA89" s="3239"/>
      <c r="AB89" s="3239"/>
      <c r="AC89" s="3240"/>
      <c r="AD89" s="806"/>
      <c r="AE89" s="3160">
        <f>UnosPorBilans!Y83</f>
        <v>0</v>
      </c>
      <c r="AF89" s="3160"/>
      <c r="AG89" s="3160"/>
      <c r="AH89" s="3160"/>
      <c r="AI89" s="3160"/>
      <c r="AJ89" s="3160"/>
      <c r="AK89" s="3160"/>
      <c r="AL89" s="3160"/>
    </row>
    <row r="90" ht="23.25" customHeight="1" spans="1:38">
      <c r="A90" s="3224" t="s">
        <v>5888</v>
      </c>
      <c r="B90" s="3224"/>
      <c r="C90" s="3225" t="s">
        <v>5889</v>
      </c>
      <c r="D90" s="3226"/>
      <c r="E90" s="3226"/>
      <c r="F90" s="3226"/>
      <c r="G90" s="3226"/>
      <c r="H90" s="3226"/>
      <c r="I90" s="3226"/>
      <c r="J90" s="3226"/>
      <c r="K90" s="3226"/>
      <c r="L90" s="3226"/>
      <c r="M90" s="3226"/>
      <c r="N90" s="3226"/>
      <c r="O90" s="3226"/>
      <c r="P90" s="3226"/>
      <c r="Q90" s="3226"/>
      <c r="R90" s="3226"/>
      <c r="S90" s="3226"/>
      <c r="T90" s="3226"/>
      <c r="U90" s="3226"/>
      <c r="V90" s="3227"/>
      <c r="W90" s="3218" t="str">
        <f>Text!B721</f>
        <v>član 8. Zakona i član 16. stav (3)  i član 26. stav (7) Pravilnika</v>
      </c>
      <c r="X90" s="3219"/>
      <c r="Y90" s="3219"/>
      <c r="Z90" s="3219"/>
      <c r="AA90" s="3219"/>
      <c r="AB90" s="3219"/>
      <c r="AC90" s="3220"/>
      <c r="AD90" s="806" t="s">
        <v>19</v>
      </c>
      <c r="AE90" s="3160">
        <f>UnosPorBilans!Y84</f>
        <v>0</v>
      </c>
      <c r="AF90" s="3160"/>
      <c r="AG90" s="3160"/>
      <c r="AH90" s="3160"/>
      <c r="AI90" s="3160"/>
      <c r="AJ90" s="3160"/>
      <c r="AK90" s="3160"/>
      <c r="AL90" s="3160"/>
    </row>
    <row r="91" ht="23.25" customHeight="1" spans="1:38">
      <c r="A91" s="3224" t="s">
        <v>5890</v>
      </c>
      <c r="B91" s="3224"/>
      <c r="C91" s="3231" t="s">
        <v>5891</v>
      </c>
      <c r="D91" s="3232"/>
      <c r="E91" s="3232"/>
      <c r="F91" s="3232"/>
      <c r="G91" s="3232"/>
      <c r="H91" s="3232"/>
      <c r="I91" s="3232"/>
      <c r="J91" s="3232"/>
      <c r="K91" s="3232"/>
      <c r="L91" s="3232"/>
      <c r="M91" s="3232"/>
      <c r="N91" s="3232"/>
      <c r="O91" s="3232"/>
      <c r="P91" s="3232"/>
      <c r="Q91" s="3232"/>
      <c r="R91" s="3232"/>
      <c r="S91" s="3232"/>
      <c r="T91" s="3232"/>
      <c r="U91" s="3232"/>
      <c r="V91" s="3233"/>
      <c r="W91" s="3218" t="str">
        <f>Text!B722</f>
        <v>član 21.stav (1) Zakona i član 44. Pravilnika</v>
      </c>
      <c r="X91" s="3219"/>
      <c r="Y91" s="3219"/>
      <c r="Z91" s="3219"/>
      <c r="AA91" s="3219"/>
      <c r="AB91" s="3219"/>
      <c r="AC91" s="3220"/>
      <c r="AD91" s="3198" t="s">
        <v>481</v>
      </c>
      <c r="AE91" s="3209">
        <f>UnosPorBilans!Y85</f>
        <v>0</v>
      </c>
      <c r="AF91" s="3209"/>
      <c r="AG91" s="3209"/>
      <c r="AH91" s="3209"/>
      <c r="AI91" s="3209"/>
      <c r="AJ91" s="3209"/>
      <c r="AK91" s="3209"/>
      <c r="AL91" s="3209"/>
    </row>
    <row r="92" ht="23.25" customHeight="1" spans="1:38">
      <c r="A92" s="3224" t="s">
        <v>5892</v>
      </c>
      <c r="B92" s="3224"/>
      <c r="C92" s="3251" t="s">
        <v>6609</v>
      </c>
      <c r="D92" s="3252"/>
      <c r="E92" s="3252"/>
      <c r="F92" s="3252"/>
      <c r="G92" s="3252"/>
      <c r="H92" s="3252"/>
      <c r="I92" s="3252"/>
      <c r="J92" s="3252"/>
      <c r="K92" s="3252"/>
      <c r="L92" s="3252"/>
      <c r="M92" s="3252"/>
      <c r="N92" s="3252"/>
      <c r="O92" s="3252"/>
      <c r="P92" s="3252"/>
      <c r="Q92" s="3252"/>
      <c r="R92" s="3252"/>
      <c r="S92" s="3252"/>
      <c r="T92" s="3252"/>
      <c r="U92" s="3252"/>
      <c r="V92" s="3253"/>
      <c r="W92" s="3218" t="str">
        <f>Text!B723</f>
        <v>član 22. stav (1) Zakona</v>
      </c>
      <c r="X92" s="3219"/>
      <c r="Y92" s="3219"/>
      <c r="Z92" s="3219"/>
      <c r="AA92" s="3219"/>
      <c r="AB92" s="3219"/>
      <c r="AC92" s="3220"/>
      <c r="AD92" s="806" t="s">
        <v>19</v>
      </c>
      <c r="AE92" s="3160">
        <f>UnosPorBilans!Y86</f>
        <v>0</v>
      </c>
      <c r="AF92" s="3160"/>
      <c r="AG92" s="3160"/>
      <c r="AH92" s="3160"/>
      <c r="AI92" s="3160"/>
      <c r="AJ92" s="3160"/>
      <c r="AK92" s="3160"/>
      <c r="AL92" s="3160"/>
    </row>
    <row r="93" ht="23.25" customHeight="1" spans="1:38">
      <c r="A93" s="3224" t="s">
        <v>5894</v>
      </c>
      <c r="B93" s="3224"/>
      <c r="C93" s="3225" t="s">
        <v>5895</v>
      </c>
      <c r="D93" s="3226"/>
      <c r="E93" s="3226"/>
      <c r="F93" s="3226"/>
      <c r="G93" s="3226"/>
      <c r="H93" s="3226"/>
      <c r="I93" s="3226"/>
      <c r="J93" s="3226"/>
      <c r="K93" s="3226"/>
      <c r="L93" s="3226"/>
      <c r="M93" s="3226"/>
      <c r="N93" s="3226"/>
      <c r="O93" s="3226"/>
      <c r="P93" s="3226"/>
      <c r="Q93" s="3226"/>
      <c r="R93" s="3226"/>
      <c r="S93" s="3226"/>
      <c r="T93" s="3226"/>
      <c r="U93" s="3226"/>
      <c r="V93" s="3227"/>
      <c r="W93" s="3218" t="str">
        <f>Text!B724</f>
        <v>član 22. stav (2) Zakona</v>
      </c>
      <c r="X93" s="3219"/>
      <c r="Y93" s="3219"/>
      <c r="Z93" s="3219"/>
      <c r="AA93" s="3219"/>
      <c r="AB93" s="3219"/>
      <c r="AC93" s="3220"/>
      <c r="AD93" s="3198" t="s">
        <v>481</v>
      </c>
      <c r="AE93" s="3209">
        <f>UnosPorBilans!Y87</f>
        <v>0</v>
      </c>
      <c r="AF93" s="3209"/>
      <c r="AG93" s="3209"/>
      <c r="AH93" s="3209"/>
      <c r="AI93" s="3209"/>
      <c r="AJ93" s="3209"/>
      <c r="AK93" s="3209"/>
      <c r="AL93" s="3209"/>
    </row>
    <row r="94" ht="23.25" customHeight="1" spans="1:38">
      <c r="A94" s="3234" t="s">
        <v>5896</v>
      </c>
      <c r="B94" s="3234"/>
      <c r="C94" s="3254" t="s">
        <v>6610</v>
      </c>
      <c r="D94" s="3255"/>
      <c r="E94" s="3255"/>
      <c r="F94" s="3255"/>
      <c r="G94" s="3255"/>
      <c r="H94" s="3255"/>
      <c r="I94" s="3255"/>
      <c r="J94" s="3255"/>
      <c r="K94" s="3255"/>
      <c r="L94" s="3255"/>
      <c r="M94" s="3255"/>
      <c r="N94" s="3255"/>
      <c r="O94" s="3255"/>
      <c r="P94" s="3255"/>
      <c r="Q94" s="3255"/>
      <c r="R94" s="3255"/>
      <c r="S94" s="3255"/>
      <c r="T94" s="3255"/>
      <c r="U94" s="3255"/>
      <c r="V94" s="3256"/>
      <c r="W94" s="3238"/>
      <c r="X94" s="3239"/>
      <c r="Y94" s="3239"/>
      <c r="Z94" s="3239"/>
      <c r="AA94" s="3239"/>
      <c r="AB94" s="3239"/>
      <c r="AC94" s="3240"/>
      <c r="AD94" s="806"/>
      <c r="AE94" s="3160">
        <f>UnosPorBilans!Y88</f>
        <v>0</v>
      </c>
      <c r="AF94" s="3160"/>
      <c r="AG94" s="3160"/>
      <c r="AH94" s="3160"/>
      <c r="AI94" s="3160"/>
      <c r="AJ94" s="3160"/>
      <c r="AK94" s="3160"/>
      <c r="AL94" s="3160"/>
    </row>
    <row r="95" ht="23.25" customHeight="1"/>
    <row r="96" ht="23.25" customHeight="1"/>
    <row r="97" ht="23.25" customHeight="1" spans="1:38">
      <c r="A97" s="3234" t="s">
        <v>5898</v>
      </c>
      <c r="B97" s="3234"/>
      <c r="C97" s="3254" t="s">
        <v>6611</v>
      </c>
      <c r="D97" s="3255"/>
      <c r="E97" s="3255"/>
      <c r="F97" s="3255"/>
      <c r="G97" s="3255"/>
      <c r="H97" s="3255"/>
      <c r="I97" s="3255"/>
      <c r="J97" s="3255"/>
      <c r="K97" s="3255"/>
      <c r="L97" s="3255"/>
      <c r="M97" s="3255"/>
      <c r="N97" s="3255"/>
      <c r="O97" s="3255"/>
      <c r="P97" s="3255"/>
      <c r="Q97" s="3255"/>
      <c r="R97" s="3255"/>
      <c r="S97" s="3255"/>
      <c r="T97" s="3255"/>
      <c r="U97" s="3255"/>
      <c r="V97" s="3256"/>
      <c r="W97" s="3238"/>
      <c r="X97" s="3239"/>
      <c r="Y97" s="3239"/>
      <c r="Z97" s="3239"/>
      <c r="AA97" s="3239"/>
      <c r="AB97" s="3239"/>
      <c r="AC97" s="3240"/>
      <c r="AD97" s="806"/>
      <c r="AE97" s="3160">
        <f>UnosPorBilans!Y89</f>
        <v>0</v>
      </c>
      <c r="AF97" s="3160"/>
      <c r="AG97" s="3160"/>
      <c r="AH97" s="3160"/>
      <c r="AI97" s="3160"/>
      <c r="AJ97" s="3160"/>
      <c r="AK97" s="3160"/>
      <c r="AL97" s="3160"/>
    </row>
    <row r="98" ht="23.25" customHeight="1" spans="1:38">
      <c r="A98" s="3224" t="s">
        <v>5900</v>
      </c>
      <c r="B98" s="3224"/>
      <c r="C98" s="3225" t="s">
        <v>6612</v>
      </c>
      <c r="D98" s="3226"/>
      <c r="E98" s="3226"/>
      <c r="F98" s="3226"/>
      <c r="G98" s="3226"/>
      <c r="H98" s="3226"/>
      <c r="I98" s="3226"/>
      <c r="J98" s="3226"/>
      <c r="K98" s="3226"/>
      <c r="L98" s="3226"/>
      <c r="M98" s="3226"/>
      <c r="N98" s="3226"/>
      <c r="O98" s="3226"/>
      <c r="P98" s="3226"/>
      <c r="Q98" s="3226"/>
      <c r="R98" s="3226"/>
      <c r="S98" s="3226"/>
      <c r="T98" s="3226"/>
      <c r="U98" s="3226"/>
      <c r="V98" s="3227"/>
      <c r="W98" s="3218" t="str">
        <f>Text!B725</f>
        <v>član 23. stav (2) Zakona</v>
      </c>
      <c r="X98" s="3219"/>
      <c r="Y98" s="3219"/>
      <c r="Z98" s="3219"/>
      <c r="AA98" s="3219"/>
      <c r="AB98" s="3219"/>
      <c r="AC98" s="3220"/>
      <c r="AD98" s="806" t="s">
        <v>19</v>
      </c>
      <c r="AE98" s="3160">
        <f>UnosPorBilans!Y90</f>
        <v>0</v>
      </c>
      <c r="AF98" s="3160"/>
      <c r="AG98" s="3160"/>
      <c r="AH98" s="3160"/>
      <c r="AI98" s="3160"/>
      <c r="AJ98" s="3160"/>
      <c r="AK98" s="3160"/>
      <c r="AL98" s="3160"/>
    </row>
    <row r="99" ht="23.25" customHeight="1" spans="1:38">
      <c r="A99" s="3224" t="s">
        <v>5902</v>
      </c>
      <c r="B99" s="3224"/>
      <c r="C99" s="3225" t="s">
        <v>5903</v>
      </c>
      <c r="D99" s="3226"/>
      <c r="E99" s="3226"/>
      <c r="F99" s="3226"/>
      <c r="G99" s="3226"/>
      <c r="H99" s="3226"/>
      <c r="I99" s="3226"/>
      <c r="J99" s="3226"/>
      <c r="K99" s="3226"/>
      <c r="L99" s="3226"/>
      <c r="M99" s="3226"/>
      <c r="N99" s="3226"/>
      <c r="O99" s="3226"/>
      <c r="P99" s="3226"/>
      <c r="Q99" s="3226"/>
      <c r="R99" s="3226"/>
      <c r="S99" s="3226"/>
      <c r="T99" s="3226"/>
      <c r="U99" s="3226"/>
      <c r="V99" s="3227"/>
      <c r="W99" s="3218" t="str">
        <f>Text!B726</f>
        <v>član 23. stav (1) Zakona</v>
      </c>
      <c r="X99" s="3219"/>
      <c r="Y99" s="3219"/>
      <c r="Z99" s="3219"/>
      <c r="AA99" s="3219"/>
      <c r="AB99" s="3219"/>
      <c r="AC99" s="3220"/>
      <c r="AD99" s="3198" t="s">
        <v>481</v>
      </c>
      <c r="AE99" s="3209">
        <f>UnosPorBilans!Y91</f>
        <v>0</v>
      </c>
      <c r="AF99" s="3209"/>
      <c r="AG99" s="3209"/>
      <c r="AH99" s="3209"/>
      <c r="AI99" s="3209"/>
      <c r="AJ99" s="3209"/>
      <c r="AK99" s="3209"/>
      <c r="AL99" s="3209"/>
    </row>
    <row r="100" ht="23.25" customHeight="1" spans="1:38">
      <c r="A100" s="3224" t="s">
        <v>5904</v>
      </c>
      <c r="B100" s="3224"/>
      <c r="C100" s="3225" t="s">
        <v>5905</v>
      </c>
      <c r="D100" s="3226"/>
      <c r="E100" s="3226"/>
      <c r="F100" s="3226"/>
      <c r="G100" s="3226"/>
      <c r="H100" s="3226"/>
      <c r="I100" s="3226"/>
      <c r="J100" s="3226"/>
      <c r="K100" s="3226"/>
      <c r="L100" s="3226"/>
      <c r="M100" s="3226"/>
      <c r="N100" s="3226"/>
      <c r="O100" s="3226"/>
      <c r="P100" s="3226"/>
      <c r="Q100" s="3226"/>
      <c r="R100" s="3226"/>
      <c r="S100" s="3226"/>
      <c r="T100" s="3226"/>
      <c r="U100" s="3226"/>
      <c r="V100" s="3227"/>
      <c r="W100" s="3218" t="str">
        <f>Text!B727</f>
        <v>član 8. Zakona i član 16. stav (3) Pravilnika</v>
      </c>
      <c r="X100" s="3219"/>
      <c r="Y100" s="3219"/>
      <c r="Z100" s="3219"/>
      <c r="AA100" s="3219"/>
      <c r="AB100" s="3219"/>
      <c r="AC100" s="3220"/>
      <c r="AD100" s="806" t="s">
        <v>19</v>
      </c>
      <c r="AE100" s="3160">
        <f>UnosPorBilans!Y92</f>
        <v>0</v>
      </c>
      <c r="AF100" s="3160"/>
      <c r="AG100" s="3160"/>
      <c r="AH100" s="3160"/>
      <c r="AI100" s="3160"/>
      <c r="AJ100" s="3160"/>
      <c r="AK100" s="3160"/>
      <c r="AL100" s="3160"/>
    </row>
    <row r="101" ht="19.5" customHeight="1" spans="1:38">
      <c r="A101" s="3150" t="s">
        <v>5906</v>
      </c>
      <c r="B101" s="3150"/>
      <c r="C101" s="3151" t="s">
        <v>5907</v>
      </c>
      <c r="D101" s="3152"/>
      <c r="E101" s="3152"/>
      <c r="F101" s="3152"/>
      <c r="G101" s="3152"/>
      <c r="H101" s="3152"/>
      <c r="I101" s="3152"/>
      <c r="J101" s="3152"/>
      <c r="K101" s="3152"/>
      <c r="L101" s="3152"/>
      <c r="M101" s="3152"/>
      <c r="N101" s="3152"/>
      <c r="O101" s="3152"/>
      <c r="P101" s="3152"/>
      <c r="Q101" s="3152"/>
      <c r="R101" s="3152"/>
      <c r="S101" s="3152"/>
      <c r="T101" s="3152"/>
      <c r="U101" s="3152"/>
      <c r="V101" s="3152"/>
      <c r="W101" s="3152"/>
      <c r="X101" s="3152"/>
      <c r="Y101" s="3152"/>
      <c r="Z101" s="3152"/>
      <c r="AA101" s="3152"/>
      <c r="AB101" s="3152"/>
      <c r="AC101" s="3152"/>
      <c r="AD101" s="3152"/>
      <c r="AE101" s="3207"/>
      <c r="AF101" s="3207"/>
      <c r="AG101" s="3207"/>
      <c r="AH101" s="3207"/>
      <c r="AI101" s="3207"/>
      <c r="AJ101" s="3207"/>
      <c r="AK101" s="3207"/>
      <c r="AL101" s="3208"/>
    </row>
    <row r="102" ht="36" customHeight="1" spans="1:38">
      <c r="A102" s="3155" t="s">
        <v>5908</v>
      </c>
      <c r="B102" s="3155"/>
      <c r="C102" s="3228" t="s">
        <v>5909</v>
      </c>
      <c r="D102" s="3229"/>
      <c r="E102" s="3229"/>
      <c r="F102" s="3229"/>
      <c r="G102" s="3229"/>
      <c r="H102" s="3229"/>
      <c r="I102" s="3229"/>
      <c r="J102" s="3229"/>
      <c r="K102" s="3229"/>
      <c r="L102" s="3229"/>
      <c r="M102" s="3229"/>
      <c r="N102" s="3229"/>
      <c r="O102" s="3229"/>
      <c r="P102" s="3229"/>
      <c r="Q102" s="3229"/>
      <c r="R102" s="3229"/>
      <c r="S102" s="3229"/>
      <c r="T102" s="3229"/>
      <c r="U102" s="3229"/>
      <c r="V102" s="3230"/>
      <c r="W102" s="3218" t="s">
        <v>6613</v>
      </c>
      <c r="X102" s="3219"/>
      <c r="Y102" s="3219"/>
      <c r="Z102" s="3219"/>
      <c r="AA102" s="3219"/>
      <c r="AB102" s="3219"/>
      <c r="AC102" s="3220"/>
      <c r="AD102" s="806" t="s">
        <v>19</v>
      </c>
      <c r="AE102" s="3160">
        <f>IF(AE33-AE34+AE36-AE37+SUM(AE39:AL47)+AE48+AE49-AE52+SUM(AE53:AL65)-AE57-AE59-AE61-AE63-AE66+SUM(AE67:AL75)-AE71-AE76+SUM(AE77:AL79)-AE80+AE81-AE82-AE83+AE84+AE85-AE86+AE87+AE88+AE90-AE91+AE92-AE93+AE98-AE99+AE100&lt;0,0,AE33-AE34+AE36-AE37+SUM(AE39:AL47)+AE48+AE49-AE52+SUM(AE53:AL65)-AE57-AE59-AE61-AE63-AE66+SUM(AE67:AL75)-AE71-AE76+SUM(AE77:AL79)-AE80+AE81-AE82-AE83+AE84+AE85-AE86+AE87+AE88+AE90-AE91+AE92-AE93+AE98-AE99+AE100)</f>
        <v>0</v>
      </c>
      <c r="AF102" s="3160"/>
      <c r="AG102" s="3160"/>
      <c r="AH102" s="3160"/>
      <c r="AI102" s="3160"/>
      <c r="AJ102" s="3160"/>
      <c r="AK102" s="3160"/>
      <c r="AL102" s="3160"/>
    </row>
    <row r="103" ht="36" customHeight="1" spans="1:38">
      <c r="A103" s="3155" t="s">
        <v>5910</v>
      </c>
      <c r="B103" s="3155"/>
      <c r="C103" s="3228" t="s">
        <v>5911</v>
      </c>
      <c r="D103" s="3229"/>
      <c r="E103" s="3229"/>
      <c r="F103" s="3229"/>
      <c r="G103" s="3229"/>
      <c r="H103" s="3229"/>
      <c r="I103" s="3229"/>
      <c r="J103" s="3229"/>
      <c r="K103" s="3229"/>
      <c r="L103" s="3229"/>
      <c r="M103" s="3229"/>
      <c r="N103" s="3229"/>
      <c r="O103" s="3229"/>
      <c r="P103" s="3229"/>
      <c r="Q103" s="3229"/>
      <c r="R103" s="3229"/>
      <c r="S103" s="3229"/>
      <c r="T103" s="3229"/>
      <c r="U103" s="3229"/>
      <c r="V103" s="3230"/>
      <c r="W103" s="3218" t="s">
        <v>6614</v>
      </c>
      <c r="X103" s="3219"/>
      <c r="Y103" s="3219"/>
      <c r="Z103" s="3219"/>
      <c r="AA103" s="3219"/>
      <c r="AB103" s="3219"/>
      <c r="AC103" s="3220"/>
      <c r="AD103" s="3198" t="s">
        <v>481</v>
      </c>
      <c r="AE103" s="3209">
        <f>IF(AE33-AE34+AE36-AE37+SUM(AE39:AL47)+AE48+AE49-AE52+SUM(AE53:AL65)-AE66+SUM(AE67:AL75)-AE76+SUM(AE77:AL79)-AE80+AE81-AE82-AE83+AE84+AE85-AE86+AE87+AE88+AE90-AE91+AE92-AE93+AE98-AE99+AE100&gt;0,0,(AE33-AE34+AE36-AE37+SUM(AE39:AL47)+AE48+AE49-AE52+SUM(AE53:AL65)-AE66+SUM(AE67:AL75)-AE76+SUM(AE77:AL79)-AE80+AE81-AE82-AE83+AE84+AE85-AE86+AE87+AE88+AE90-AE91+AE92-AE93+AE98-AE99+AE100))*-1</f>
        <v>43684</v>
      </c>
      <c r="AF103" s="3209"/>
      <c r="AG103" s="3209"/>
      <c r="AH103" s="3209"/>
      <c r="AI103" s="3209"/>
      <c r="AJ103" s="3209"/>
      <c r="AK103" s="3209"/>
      <c r="AL103" s="3209"/>
    </row>
    <row r="104" ht="17.25" customHeight="1" spans="1:38">
      <c r="A104" s="3150" t="s">
        <v>5912</v>
      </c>
      <c r="B104" s="3150"/>
      <c r="C104" s="3151" t="s">
        <v>5913</v>
      </c>
      <c r="D104" s="3152"/>
      <c r="E104" s="3152"/>
      <c r="F104" s="3152"/>
      <c r="G104" s="3152"/>
      <c r="H104" s="3152"/>
      <c r="I104" s="3152"/>
      <c r="J104" s="3152"/>
      <c r="K104" s="3152"/>
      <c r="L104" s="3152"/>
      <c r="M104" s="3152"/>
      <c r="N104" s="3152"/>
      <c r="O104" s="3152"/>
      <c r="P104" s="3152"/>
      <c r="Q104" s="3152"/>
      <c r="R104" s="3152"/>
      <c r="S104" s="3152"/>
      <c r="T104" s="3152"/>
      <c r="U104" s="3152"/>
      <c r="V104" s="3152"/>
      <c r="W104" s="3152"/>
      <c r="X104" s="3152"/>
      <c r="Y104" s="3152"/>
      <c r="Z104" s="3152"/>
      <c r="AA104" s="3152"/>
      <c r="AB104" s="3152"/>
      <c r="AC104" s="3152"/>
      <c r="AD104" s="3152"/>
      <c r="AE104" s="3207"/>
      <c r="AF104" s="3207"/>
      <c r="AG104" s="3207"/>
      <c r="AH104" s="3207"/>
      <c r="AI104" s="3207"/>
      <c r="AJ104" s="3207"/>
      <c r="AK104" s="3207"/>
      <c r="AL104" s="3208"/>
    </row>
    <row r="105" ht="26.25" customHeight="1" spans="1:38">
      <c r="A105" s="3224" t="s">
        <v>5914</v>
      </c>
      <c r="B105" s="3224"/>
      <c r="C105" s="3225" t="s">
        <v>5915</v>
      </c>
      <c r="D105" s="3226"/>
      <c r="E105" s="3226"/>
      <c r="F105" s="3226"/>
      <c r="G105" s="3226"/>
      <c r="H105" s="3226"/>
      <c r="I105" s="3226"/>
      <c r="J105" s="3226"/>
      <c r="K105" s="3226"/>
      <c r="L105" s="3226"/>
      <c r="M105" s="3226"/>
      <c r="N105" s="3226"/>
      <c r="O105" s="3226"/>
      <c r="P105" s="3226"/>
      <c r="Q105" s="3226"/>
      <c r="R105" s="3226"/>
      <c r="S105" s="3226"/>
      <c r="T105" s="3226"/>
      <c r="U105" s="3226"/>
      <c r="V105" s="3227"/>
      <c r="W105" s="3218" t="str">
        <f>Text!C728</f>
        <v>član 44. stav (4) Zakona</v>
      </c>
      <c r="X105" s="3219"/>
      <c r="Y105" s="3219"/>
      <c r="Z105" s="3219"/>
      <c r="AA105" s="3219"/>
      <c r="AB105" s="3219"/>
      <c r="AC105" s="3220"/>
      <c r="AD105" s="806" t="s">
        <v>19</v>
      </c>
      <c r="AE105" s="3160">
        <f>UnosPorBilans!Y98</f>
        <v>0</v>
      </c>
      <c r="AF105" s="3160"/>
      <c r="AG105" s="3160"/>
      <c r="AH105" s="3160"/>
      <c r="AI105" s="3160"/>
      <c r="AJ105" s="3160"/>
      <c r="AK105" s="3160"/>
      <c r="AL105" s="3160"/>
    </row>
    <row r="106" ht="26.25" customHeight="1" spans="1:38">
      <c r="A106" s="3224" t="s">
        <v>5916</v>
      </c>
      <c r="B106" s="3224"/>
      <c r="C106" s="3225" t="s">
        <v>5917</v>
      </c>
      <c r="D106" s="3226"/>
      <c r="E106" s="3226"/>
      <c r="F106" s="3226"/>
      <c r="G106" s="3226"/>
      <c r="H106" s="3226"/>
      <c r="I106" s="3226"/>
      <c r="J106" s="3226"/>
      <c r="K106" s="3226"/>
      <c r="L106" s="3226"/>
      <c r="M106" s="3226"/>
      <c r="N106" s="3226"/>
      <c r="O106" s="3226"/>
      <c r="P106" s="3226"/>
      <c r="Q106" s="3226"/>
      <c r="R106" s="3226"/>
      <c r="S106" s="3226"/>
      <c r="T106" s="3226"/>
      <c r="U106" s="3226"/>
      <c r="V106" s="3227"/>
      <c r="W106" s="3218" t="str">
        <f>Text!C729</f>
        <v>član 44. stav (4) Zakona</v>
      </c>
      <c r="X106" s="3219"/>
      <c r="Y106" s="3219"/>
      <c r="Z106" s="3219"/>
      <c r="AA106" s="3219"/>
      <c r="AB106" s="3219"/>
      <c r="AC106" s="3220"/>
      <c r="AD106" s="806" t="s">
        <v>19</v>
      </c>
      <c r="AE106" s="3160">
        <f>UnosPorBilans!Y99</f>
        <v>0</v>
      </c>
      <c r="AF106" s="3160"/>
      <c r="AG106" s="3160"/>
      <c r="AH106" s="3160"/>
      <c r="AI106" s="3160"/>
      <c r="AJ106" s="3160"/>
      <c r="AK106" s="3160"/>
      <c r="AL106" s="3160"/>
    </row>
    <row r="107" ht="21" customHeight="1" spans="1:38">
      <c r="A107" s="3155" t="s">
        <v>5918</v>
      </c>
      <c r="B107" s="3155"/>
      <c r="C107" s="3228" t="s">
        <v>5919</v>
      </c>
      <c r="D107" s="3229"/>
      <c r="E107" s="3229"/>
      <c r="F107" s="3229"/>
      <c r="G107" s="3229"/>
      <c r="H107" s="3229"/>
      <c r="I107" s="3229"/>
      <c r="J107" s="3229"/>
      <c r="K107" s="3229"/>
      <c r="L107" s="3229"/>
      <c r="M107" s="3229"/>
      <c r="N107" s="3229"/>
      <c r="O107" s="3229"/>
      <c r="P107" s="3229"/>
      <c r="Q107" s="3229"/>
      <c r="R107" s="3229"/>
      <c r="S107" s="3229"/>
      <c r="T107" s="3229"/>
      <c r="U107" s="3229"/>
      <c r="V107" s="3230"/>
      <c r="W107" s="3218" t="s">
        <v>5920</v>
      </c>
      <c r="X107" s="3219"/>
      <c r="Y107" s="3219"/>
      <c r="Z107" s="3219"/>
      <c r="AA107" s="3219"/>
      <c r="AB107" s="3219"/>
      <c r="AC107" s="3220"/>
      <c r="AD107" s="3198" t="s">
        <v>481</v>
      </c>
      <c r="AE107" s="3209">
        <f>UnosPorBilans!Y100</f>
        <v>0</v>
      </c>
      <c r="AF107" s="3209"/>
      <c r="AG107" s="3209"/>
      <c r="AH107" s="3209"/>
      <c r="AI107" s="3209"/>
      <c r="AJ107" s="3209"/>
      <c r="AK107" s="3209"/>
      <c r="AL107" s="3209"/>
    </row>
    <row r="108" ht="17.25" customHeight="1" spans="1:38">
      <c r="A108" s="3150" t="s">
        <v>5921</v>
      </c>
      <c r="B108" s="3150"/>
      <c r="C108" s="3151" t="s">
        <v>5922</v>
      </c>
      <c r="D108" s="3152"/>
      <c r="E108" s="3152"/>
      <c r="F108" s="3152"/>
      <c r="G108" s="3152"/>
      <c r="H108" s="3152"/>
      <c r="I108" s="3152"/>
      <c r="J108" s="3152"/>
      <c r="K108" s="3152"/>
      <c r="L108" s="3152"/>
      <c r="M108" s="3152"/>
      <c r="N108" s="3152"/>
      <c r="O108" s="3152"/>
      <c r="P108" s="3152"/>
      <c r="Q108" s="3152"/>
      <c r="R108" s="3152"/>
      <c r="S108" s="3152"/>
      <c r="T108" s="3152"/>
      <c r="U108" s="3152"/>
      <c r="V108" s="3152"/>
      <c r="W108" s="3152"/>
      <c r="X108" s="3152"/>
      <c r="Y108" s="3152"/>
      <c r="Z108" s="3152"/>
      <c r="AA108" s="3152"/>
      <c r="AB108" s="3152"/>
      <c r="AC108" s="3152"/>
      <c r="AD108" s="3152"/>
      <c r="AE108" s="3207"/>
      <c r="AF108" s="3207"/>
      <c r="AG108" s="3207"/>
      <c r="AH108" s="3207"/>
      <c r="AI108" s="3207"/>
      <c r="AJ108" s="3207"/>
      <c r="AK108" s="3207"/>
      <c r="AL108" s="3208"/>
    </row>
    <row r="109" ht="16.5" customHeight="1" spans="1:38">
      <c r="A109" s="3155" t="s">
        <v>5923</v>
      </c>
      <c r="B109" s="3155"/>
      <c r="C109" s="3228" t="s">
        <v>6615</v>
      </c>
      <c r="D109" s="3229"/>
      <c r="E109" s="3229"/>
      <c r="F109" s="3229"/>
      <c r="G109" s="3229"/>
      <c r="H109" s="3229"/>
      <c r="I109" s="3229"/>
      <c r="J109" s="3229"/>
      <c r="K109" s="3229"/>
      <c r="L109" s="3229"/>
      <c r="M109" s="3229"/>
      <c r="N109" s="3229"/>
      <c r="O109" s="3229"/>
      <c r="P109" s="3229"/>
      <c r="Q109" s="3229"/>
      <c r="R109" s="3229"/>
      <c r="S109" s="3229"/>
      <c r="T109" s="3229"/>
      <c r="U109" s="3229"/>
      <c r="V109" s="3230"/>
      <c r="W109" s="3257" t="s">
        <v>6616</v>
      </c>
      <c r="X109" s="3258"/>
      <c r="Y109" s="3258"/>
      <c r="Z109" s="3258"/>
      <c r="AA109" s="3258"/>
      <c r="AB109" s="3258"/>
      <c r="AC109" s="3259"/>
      <c r="AD109" s="806" t="s">
        <v>19</v>
      </c>
      <c r="AE109" s="3160">
        <f>IF(AE102-AE103+AE105+AE106-AE107&lt;0,0,AE102-AE103+AE105+AE106-AE107)</f>
        <v>0</v>
      </c>
      <c r="AF109" s="3160"/>
      <c r="AG109" s="3160"/>
      <c r="AH109" s="3160"/>
      <c r="AI109" s="3160"/>
      <c r="AJ109" s="3160"/>
      <c r="AK109" s="3160"/>
      <c r="AL109" s="3160"/>
    </row>
    <row r="110" ht="16.5" customHeight="1" spans="1:38">
      <c r="A110" s="3155" t="s">
        <v>5925</v>
      </c>
      <c r="B110" s="3155"/>
      <c r="C110" s="3228" t="s">
        <v>6617</v>
      </c>
      <c r="D110" s="3229"/>
      <c r="E110" s="3229"/>
      <c r="F110" s="3229"/>
      <c r="G110" s="3229"/>
      <c r="H110" s="3229"/>
      <c r="I110" s="3229"/>
      <c r="J110" s="3229"/>
      <c r="K110" s="3229"/>
      <c r="L110" s="3229"/>
      <c r="M110" s="3229"/>
      <c r="N110" s="3229"/>
      <c r="O110" s="3229"/>
      <c r="P110" s="3229"/>
      <c r="Q110" s="3229"/>
      <c r="R110" s="3229"/>
      <c r="S110" s="3229"/>
      <c r="T110" s="3229"/>
      <c r="U110" s="3229"/>
      <c r="V110" s="3230"/>
      <c r="W110" s="3257" t="s">
        <v>6618</v>
      </c>
      <c r="X110" s="3258"/>
      <c r="Y110" s="3258"/>
      <c r="Z110" s="3258"/>
      <c r="AA110" s="3258"/>
      <c r="AB110" s="3258"/>
      <c r="AC110" s="3259"/>
      <c r="AD110" s="3198" t="s">
        <v>481</v>
      </c>
      <c r="AE110" s="3209">
        <f>IF(AE103+AE107-AE102-AE105-AE106&lt;0,0,AE103+AE107-AE102-AE105-AE106)</f>
        <v>43684</v>
      </c>
      <c r="AF110" s="3209"/>
      <c r="AG110" s="3209"/>
      <c r="AH110" s="3209"/>
      <c r="AI110" s="3209"/>
      <c r="AJ110" s="3209"/>
      <c r="AK110" s="3209"/>
      <c r="AL110" s="3209"/>
    </row>
    <row r="111" ht="16.5" customHeight="1" spans="1:38">
      <c r="A111" s="3150" t="s">
        <v>5927</v>
      </c>
      <c r="B111" s="3150"/>
      <c r="C111" s="3151" t="s">
        <v>5928</v>
      </c>
      <c r="D111" s="3152"/>
      <c r="E111" s="3152"/>
      <c r="F111" s="3152"/>
      <c r="G111" s="3152"/>
      <c r="H111" s="3152"/>
      <c r="I111" s="3152"/>
      <c r="J111" s="3152"/>
      <c r="K111" s="3152"/>
      <c r="L111" s="3152"/>
      <c r="M111" s="3152"/>
      <c r="N111" s="3152"/>
      <c r="O111" s="3152"/>
      <c r="P111" s="3152"/>
      <c r="Q111" s="3152"/>
      <c r="R111" s="3152"/>
      <c r="S111" s="3152"/>
      <c r="T111" s="3152"/>
      <c r="U111" s="3152"/>
      <c r="V111" s="3152"/>
      <c r="W111" s="3152"/>
      <c r="X111" s="3152"/>
      <c r="Y111" s="3152"/>
      <c r="Z111" s="3152"/>
      <c r="AA111" s="3152"/>
      <c r="AB111" s="3152"/>
      <c r="AC111" s="3152"/>
      <c r="AD111" s="3152"/>
      <c r="AE111" s="3207"/>
      <c r="AF111" s="3207"/>
      <c r="AG111" s="3207"/>
      <c r="AH111" s="3207"/>
      <c r="AI111" s="3207"/>
      <c r="AJ111" s="3207"/>
      <c r="AK111" s="3207"/>
      <c r="AL111" s="3208"/>
    </row>
    <row r="112" ht="16.5" customHeight="1" spans="1:38">
      <c r="A112" s="3155" t="s">
        <v>5929</v>
      </c>
      <c r="B112" s="3155"/>
      <c r="C112" s="3156" t="s">
        <v>5930</v>
      </c>
      <c r="D112" s="3157"/>
      <c r="E112" s="3157"/>
      <c r="F112" s="3157"/>
      <c r="G112" s="3157"/>
      <c r="H112" s="3157"/>
      <c r="I112" s="3157"/>
      <c r="J112" s="3157"/>
      <c r="K112" s="3157"/>
      <c r="L112" s="3157"/>
      <c r="M112" s="3157"/>
      <c r="N112" s="3157"/>
      <c r="O112" s="3157"/>
      <c r="P112" s="3157"/>
      <c r="Q112" s="3157"/>
      <c r="R112" s="3157"/>
      <c r="S112" s="3157"/>
      <c r="T112" s="3157"/>
      <c r="U112" s="3157"/>
      <c r="V112" s="3158"/>
      <c r="W112" s="3192" t="s">
        <v>6619</v>
      </c>
      <c r="X112" s="3192"/>
      <c r="Y112" s="3192"/>
      <c r="Z112" s="3192"/>
      <c r="AA112" s="3192"/>
      <c r="AB112" s="3192"/>
      <c r="AC112" s="3192"/>
      <c r="AD112" s="3198" t="s">
        <v>481</v>
      </c>
      <c r="AE112" s="3209">
        <f>UnosPorBilans!Y105</f>
        <v>0</v>
      </c>
      <c r="AF112" s="3209"/>
      <c r="AG112" s="3209"/>
      <c r="AH112" s="3209"/>
      <c r="AI112" s="3209"/>
      <c r="AJ112" s="3209"/>
      <c r="AK112" s="3209"/>
      <c r="AL112" s="3209"/>
    </row>
    <row r="113" ht="16.5" customHeight="1" spans="1:38">
      <c r="A113" s="3161" t="s">
        <v>5931</v>
      </c>
      <c r="B113" s="3162"/>
      <c r="C113" s="3163" t="s">
        <v>5932</v>
      </c>
      <c r="D113" s="3164"/>
      <c r="E113" s="3164"/>
      <c r="F113" s="3164"/>
      <c r="G113" s="3164"/>
      <c r="H113" s="3164"/>
      <c r="I113" s="3164"/>
      <c r="J113" s="3260"/>
      <c r="K113" s="806" t="s">
        <v>5933</v>
      </c>
      <c r="L113" s="3221" t="s">
        <v>5934</v>
      </c>
      <c r="M113" s="3222"/>
      <c r="N113" s="3222"/>
      <c r="O113" s="3222"/>
      <c r="P113" s="3222"/>
      <c r="Q113" s="3222"/>
      <c r="R113" s="3222"/>
      <c r="S113" s="3222"/>
      <c r="T113" s="3222"/>
      <c r="U113" s="3222"/>
      <c r="V113" s="3223"/>
      <c r="W113" s="3192" t="s">
        <v>6620</v>
      </c>
      <c r="X113" s="3192"/>
      <c r="Y113" s="3192"/>
      <c r="Z113" s="3192"/>
      <c r="AA113" s="3192"/>
      <c r="AB113" s="3192"/>
      <c r="AC113" s="3192"/>
      <c r="AD113" s="3198" t="s">
        <v>481</v>
      </c>
      <c r="AE113" s="3209">
        <f>UnosPorBilans!Y106</f>
        <v>0</v>
      </c>
      <c r="AF113" s="3209"/>
      <c r="AG113" s="3209"/>
      <c r="AH113" s="3209"/>
      <c r="AI113" s="3209"/>
      <c r="AJ113" s="3209"/>
      <c r="AK113" s="3209"/>
      <c r="AL113" s="3209"/>
    </row>
    <row r="114" ht="16.5" customHeight="1" spans="1:38">
      <c r="A114" s="3171"/>
      <c r="B114" s="3172"/>
      <c r="C114" s="3173"/>
      <c r="D114" s="3174"/>
      <c r="E114" s="3174"/>
      <c r="F114" s="3174"/>
      <c r="G114" s="3174"/>
      <c r="H114" s="3174"/>
      <c r="I114" s="3174"/>
      <c r="J114" s="3261"/>
      <c r="K114" s="806" t="s">
        <v>5936</v>
      </c>
      <c r="L114" s="3221" t="s">
        <v>5937</v>
      </c>
      <c r="M114" s="3222"/>
      <c r="N114" s="3222"/>
      <c r="O114" s="3222"/>
      <c r="P114" s="3222"/>
      <c r="Q114" s="3222"/>
      <c r="R114" s="3222"/>
      <c r="S114" s="3222"/>
      <c r="T114" s="3222"/>
      <c r="U114" s="3222"/>
      <c r="V114" s="3223"/>
      <c r="W114" s="3192" t="s">
        <v>6621</v>
      </c>
      <c r="X114" s="3192"/>
      <c r="Y114" s="3192"/>
      <c r="Z114" s="3192"/>
      <c r="AA114" s="3192"/>
      <c r="AB114" s="3192"/>
      <c r="AC114" s="3192"/>
      <c r="AD114" s="3198" t="s">
        <v>481</v>
      </c>
      <c r="AE114" s="3209">
        <f>UnosPorBilans!Y107</f>
        <v>0</v>
      </c>
      <c r="AF114" s="3209"/>
      <c r="AG114" s="3209"/>
      <c r="AH114" s="3209"/>
      <c r="AI114" s="3209"/>
      <c r="AJ114" s="3209"/>
      <c r="AK114" s="3209"/>
      <c r="AL114" s="3209"/>
    </row>
    <row r="115" ht="16.5" customHeight="1" spans="1:38">
      <c r="A115" s="3171"/>
      <c r="B115" s="3172"/>
      <c r="C115" s="3173"/>
      <c r="D115" s="3174"/>
      <c r="E115" s="3174"/>
      <c r="F115" s="3174"/>
      <c r="G115" s="3174"/>
      <c r="H115" s="3174"/>
      <c r="I115" s="3174"/>
      <c r="J115" s="3261"/>
      <c r="K115" s="806" t="s">
        <v>5939</v>
      </c>
      <c r="L115" s="3221" t="s">
        <v>5940</v>
      </c>
      <c r="M115" s="3222"/>
      <c r="N115" s="3222"/>
      <c r="O115" s="3222"/>
      <c r="P115" s="3222"/>
      <c r="Q115" s="3222"/>
      <c r="R115" s="3222"/>
      <c r="S115" s="3222"/>
      <c r="T115" s="3222"/>
      <c r="U115" s="3222"/>
      <c r="V115" s="3223"/>
      <c r="W115" s="3192" t="s">
        <v>6622</v>
      </c>
      <c r="X115" s="3192"/>
      <c r="Y115" s="3192"/>
      <c r="Z115" s="3192"/>
      <c r="AA115" s="3192"/>
      <c r="AB115" s="3192"/>
      <c r="AC115" s="3192"/>
      <c r="AD115" s="3198" t="s">
        <v>481</v>
      </c>
      <c r="AE115" s="3209">
        <f>UnosPorBilans!Y108</f>
        <v>29457</v>
      </c>
      <c r="AF115" s="3209"/>
      <c r="AG115" s="3209"/>
      <c r="AH115" s="3209"/>
      <c r="AI115" s="3209"/>
      <c r="AJ115" s="3209"/>
      <c r="AK115" s="3209"/>
      <c r="AL115" s="3209"/>
    </row>
    <row r="116" ht="16.5" customHeight="1" spans="1:38">
      <c r="A116" s="3188"/>
      <c r="B116" s="3189"/>
      <c r="C116" s="3190"/>
      <c r="D116" s="3191"/>
      <c r="E116" s="3191"/>
      <c r="F116" s="3191"/>
      <c r="G116" s="3191"/>
      <c r="H116" s="3191"/>
      <c r="I116" s="3191"/>
      <c r="J116" s="3262"/>
      <c r="K116" s="806" t="s">
        <v>3716</v>
      </c>
      <c r="L116" s="3221" t="s">
        <v>2633</v>
      </c>
      <c r="M116" s="3222"/>
      <c r="N116" s="3222"/>
      <c r="O116" s="3222"/>
      <c r="P116" s="3222"/>
      <c r="Q116" s="3222"/>
      <c r="R116" s="3222"/>
      <c r="S116" s="3222"/>
      <c r="T116" s="3222"/>
      <c r="U116" s="3222"/>
      <c r="V116" s="3223"/>
      <c r="W116" s="3192" t="s">
        <v>6623</v>
      </c>
      <c r="X116" s="3192"/>
      <c r="Y116" s="3192"/>
      <c r="Z116" s="3192"/>
      <c r="AA116" s="3192"/>
      <c r="AB116" s="3192"/>
      <c r="AC116" s="3192"/>
      <c r="AD116" s="3198" t="s">
        <v>481</v>
      </c>
      <c r="AE116" s="3209">
        <f>UnosPorBilans!Y109</f>
        <v>0</v>
      </c>
      <c r="AF116" s="3209"/>
      <c r="AG116" s="3209"/>
      <c r="AH116" s="3209"/>
      <c r="AI116" s="3209"/>
      <c r="AJ116" s="3209"/>
      <c r="AK116" s="3209"/>
      <c r="AL116" s="3209"/>
    </row>
    <row r="117" ht="16.5" customHeight="1" spans="1:38">
      <c r="A117" s="3150" t="s">
        <v>5943</v>
      </c>
      <c r="B117" s="3150"/>
      <c r="C117" s="3151" t="s">
        <v>5944</v>
      </c>
      <c r="D117" s="3152"/>
      <c r="E117" s="3152"/>
      <c r="F117" s="3152"/>
      <c r="G117" s="3152"/>
      <c r="H117" s="3152"/>
      <c r="I117" s="3152"/>
      <c r="J117" s="3152"/>
      <c r="K117" s="3152"/>
      <c r="L117" s="3152"/>
      <c r="M117" s="3152"/>
      <c r="N117" s="3152"/>
      <c r="O117" s="3152"/>
      <c r="P117" s="3152"/>
      <c r="Q117" s="3152"/>
      <c r="R117" s="3152"/>
      <c r="S117" s="3152"/>
      <c r="T117" s="3152"/>
      <c r="U117" s="3152"/>
      <c r="V117" s="3152"/>
      <c r="W117" s="3152"/>
      <c r="X117" s="3152"/>
      <c r="Y117" s="3152"/>
      <c r="Z117" s="3152"/>
      <c r="AA117" s="3152"/>
      <c r="AB117" s="3152"/>
      <c r="AC117" s="3152"/>
      <c r="AD117" s="3152"/>
      <c r="AE117" s="3207"/>
      <c r="AF117" s="3207"/>
      <c r="AG117" s="3207"/>
      <c r="AH117" s="3207"/>
      <c r="AI117" s="3207"/>
      <c r="AJ117" s="3207"/>
      <c r="AK117" s="3207"/>
      <c r="AL117" s="3208"/>
    </row>
    <row r="118" ht="16.5" customHeight="1" spans="1:38">
      <c r="A118" s="3155" t="s">
        <v>5945</v>
      </c>
      <c r="B118" s="3155"/>
      <c r="C118" s="3228" t="s">
        <v>6624</v>
      </c>
      <c r="D118" s="3229"/>
      <c r="E118" s="3229"/>
      <c r="F118" s="3229"/>
      <c r="G118" s="3229"/>
      <c r="H118" s="3229"/>
      <c r="I118" s="3229"/>
      <c r="J118" s="3229"/>
      <c r="K118" s="3229"/>
      <c r="L118" s="3229"/>
      <c r="M118" s="3229"/>
      <c r="N118" s="3229"/>
      <c r="O118" s="3229"/>
      <c r="P118" s="3229"/>
      <c r="Q118" s="3229"/>
      <c r="R118" s="3229"/>
      <c r="S118" s="3229"/>
      <c r="T118" s="3229"/>
      <c r="U118" s="3229"/>
      <c r="V118" s="3230"/>
      <c r="W118" s="3215" t="s">
        <v>6625</v>
      </c>
      <c r="X118" s="3216"/>
      <c r="Y118" s="3216"/>
      <c r="Z118" s="3216"/>
      <c r="AA118" s="3216"/>
      <c r="AB118" s="3216"/>
      <c r="AC118" s="3217"/>
      <c r="AD118" s="806" t="s">
        <v>19</v>
      </c>
      <c r="AE118" s="3160">
        <f>IF(AE109-AE110-AE112-AE113-AE114-AE115-AE116&lt;0,0,AE109-AE110-AE112-AE113-AE114-AE115-AE116)</f>
        <v>0</v>
      </c>
      <c r="AF118" s="3160"/>
      <c r="AG118" s="3160"/>
      <c r="AH118" s="3160"/>
      <c r="AI118" s="3160"/>
      <c r="AJ118" s="3160"/>
      <c r="AK118" s="3160"/>
      <c r="AL118" s="3160"/>
    </row>
    <row r="119" ht="16.5" customHeight="1" spans="1:38">
      <c r="A119" s="3155" t="s">
        <v>5947</v>
      </c>
      <c r="B119" s="3155"/>
      <c r="C119" s="3228" t="s">
        <v>6626</v>
      </c>
      <c r="D119" s="3229"/>
      <c r="E119" s="3229"/>
      <c r="F119" s="3229"/>
      <c r="G119" s="3229"/>
      <c r="H119" s="3229"/>
      <c r="I119" s="3229"/>
      <c r="J119" s="3229"/>
      <c r="K119" s="3229"/>
      <c r="L119" s="3229"/>
      <c r="M119" s="3229"/>
      <c r="N119" s="3229"/>
      <c r="O119" s="3229"/>
      <c r="P119" s="3229"/>
      <c r="Q119" s="3229"/>
      <c r="R119" s="3229"/>
      <c r="S119" s="3229"/>
      <c r="T119" s="3229"/>
      <c r="U119" s="3229"/>
      <c r="V119" s="3230"/>
      <c r="W119" s="3215" t="s">
        <v>6627</v>
      </c>
      <c r="X119" s="3216"/>
      <c r="Y119" s="3216"/>
      <c r="Z119" s="3216"/>
      <c r="AA119" s="3216"/>
      <c r="AB119" s="3216"/>
      <c r="AC119" s="3217"/>
      <c r="AD119" s="3198" t="s">
        <v>481</v>
      </c>
      <c r="AE119" s="3209">
        <f>IF(AE110-AE109+AE112+AE113+AE114+AE115+AE116&lt;0,0,AE110-AE109+AE112+AE113+AE114+AE115+AE116)</f>
        <v>73141</v>
      </c>
      <c r="AF119" s="3209"/>
      <c r="AG119" s="3209"/>
      <c r="AH119" s="3209"/>
      <c r="AI119" s="3209"/>
      <c r="AJ119" s="3209"/>
      <c r="AK119" s="3209"/>
      <c r="AL119" s="3209"/>
    </row>
    <row r="120" ht="16.5" customHeight="1" spans="1:38">
      <c r="A120" s="3150" t="s">
        <v>5949</v>
      </c>
      <c r="B120" s="3150"/>
      <c r="C120" s="3151" t="s">
        <v>5950</v>
      </c>
      <c r="D120" s="3152"/>
      <c r="E120" s="3152"/>
      <c r="F120" s="3152"/>
      <c r="G120" s="3152"/>
      <c r="H120" s="3152"/>
      <c r="I120" s="3152"/>
      <c r="J120" s="3152"/>
      <c r="K120" s="3152"/>
      <c r="L120" s="3152"/>
      <c r="M120" s="3152"/>
      <c r="N120" s="3152"/>
      <c r="O120" s="3152"/>
      <c r="P120" s="3152"/>
      <c r="Q120" s="3152"/>
      <c r="R120" s="3152"/>
      <c r="S120" s="3152"/>
      <c r="T120" s="3152"/>
      <c r="U120" s="3152"/>
      <c r="V120" s="3152"/>
      <c r="W120" s="3152"/>
      <c r="X120" s="3152"/>
      <c r="Y120" s="3152"/>
      <c r="Z120" s="3152"/>
      <c r="AA120" s="3152"/>
      <c r="AB120" s="3152"/>
      <c r="AC120" s="3152"/>
      <c r="AD120" s="3152"/>
      <c r="AE120" s="3207"/>
      <c r="AF120" s="3207"/>
      <c r="AG120" s="3207"/>
      <c r="AH120" s="3207"/>
      <c r="AI120" s="3207"/>
      <c r="AJ120" s="3207"/>
      <c r="AK120" s="3207"/>
      <c r="AL120" s="3208"/>
    </row>
    <row r="121" ht="16.5" customHeight="1" spans="1:38">
      <c r="A121" s="3155" t="s">
        <v>5951</v>
      </c>
      <c r="B121" s="3155"/>
      <c r="C121" s="3228" t="s">
        <v>6628</v>
      </c>
      <c r="D121" s="3229"/>
      <c r="E121" s="3229"/>
      <c r="F121" s="3229"/>
      <c r="G121" s="3229"/>
      <c r="H121" s="3229"/>
      <c r="I121" s="3229"/>
      <c r="J121" s="3229"/>
      <c r="K121" s="3229"/>
      <c r="L121" s="3229"/>
      <c r="M121" s="3229"/>
      <c r="N121" s="3229"/>
      <c r="O121" s="3229"/>
      <c r="P121" s="3229"/>
      <c r="Q121" s="3229"/>
      <c r="R121" s="3229"/>
      <c r="S121" s="3229"/>
      <c r="T121" s="3229"/>
      <c r="U121" s="3229"/>
      <c r="V121" s="3230"/>
      <c r="W121" s="3215" t="s">
        <v>6629</v>
      </c>
      <c r="X121" s="3216"/>
      <c r="Y121" s="3216"/>
      <c r="Z121" s="3216"/>
      <c r="AA121" s="3216"/>
      <c r="AB121" s="3216"/>
      <c r="AC121" s="3217"/>
      <c r="AD121" s="806" t="s">
        <v>19</v>
      </c>
      <c r="AE121" s="3160">
        <f>AE118</f>
        <v>0</v>
      </c>
      <c r="AF121" s="3160"/>
      <c r="AG121" s="3160"/>
      <c r="AH121" s="3160"/>
      <c r="AI121" s="3160"/>
      <c r="AJ121" s="3160"/>
      <c r="AK121" s="3160"/>
      <c r="AL121" s="3160"/>
    </row>
    <row r="122" ht="16.5" customHeight="1" spans="1:38">
      <c r="A122" s="3155" t="s">
        <v>5953</v>
      </c>
      <c r="B122" s="3155"/>
      <c r="C122" s="3228" t="s">
        <v>6630</v>
      </c>
      <c r="D122" s="3229"/>
      <c r="E122" s="3229"/>
      <c r="F122" s="3229"/>
      <c r="G122" s="3229"/>
      <c r="H122" s="3229"/>
      <c r="I122" s="3229"/>
      <c r="J122" s="3229"/>
      <c r="K122" s="3229"/>
      <c r="L122" s="3229"/>
      <c r="M122" s="3229"/>
      <c r="N122" s="3229"/>
      <c r="O122" s="3229"/>
      <c r="P122" s="3229"/>
      <c r="Q122" s="3229"/>
      <c r="R122" s="3229"/>
      <c r="S122" s="3229"/>
      <c r="T122" s="3229"/>
      <c r="U122" s="3229"/>
      <c r="V122" s="3230"/>
      <c r="W122" s="3215" t="s">
        <v>6631</v>
      </c>
      <c r="X122" s="3216"/>
      <c r="Y122" s="3216"/>
      <c r="Z122" s="3216"/>
      <c r="AA122" s="3216"/>
      <c r="AB122" s="3216"/>
      <c r="AC122" s="3217"/>
      <c r="AD122" s="806" t="s">
        <v>19</v>
      </c>
      <c r="AE122" s="3160">
        <f>ROUND(AE121*UnosPorBilans!Y18/100,0)</f>
        <v>0</v>
      </c>
      <c r="AF122" s="3160"/>
      <c r="AG122" s="3160"/>
      <c r="AH122" s="3160"/>
      <c r="AI122" s="3160"/>
      <c r="AJ122" s="3160"/>
      <c r="AK122" s="3160"/>
      <c r="AL122" s="3160"/>
    </row>
    <row r="123" ht="16.5" customHeight="1" spans="1:38">
      <c r="A123" s="3161" t="s">
        <v>5955</v>
      </c>
      <c r="B123" s="3162"/>
      <c r="C123" s="3163" t="s">
        <v>5956</v>
      </c>
      <c r="D123" s="3164"/>
      <c r="E123" s="3164"/>
      <c r="F123" s="3164"/>
      <c r="G123" s="3164"/>
      <c r="H123" s="3164"/>
      <c r="I123" s="3164"/>
      <c r="J123" s="3260"/>
      <c r="K123" s="806" t="s">
        <v>5933</v>
      </c>
      <c r="L123" s="3221" t="s">
        <v>5957</v>
      </c>
      <c r="M123" s="3222"/>
      <c r="N123" s="3222"/>
      <c r="O123" s="3222"/>
      <c r="P123" s="3222"/>
      <c r="Q123" s="3222"/>
      <c r="R123" s="3222"/>
      <c r="S123" s="3222"/>
      <c r="T123" s="3222"/>
      <c r="U123" s="3222"/>
      <c r="V123" s="3223"/>
      <c r="W123" s="3192" t="s">
        <v>6632</v>
      </c>
      <c r="X123" s="3192"/>
      <c r="Y123" s="3192"/>
      <c r="Z123" s="3192"/>
      <c r="AA123" s="3192"/>
      <c r="AB123" s="3192"/>
      <c r="AC123" s="3192"/>
      <c r="AD123" s="3198" t="s">
        <v>481</v>
      </c>
      <c r="AE123" s="3209">
        <f>UnosPorBilans!Y116</f>
        <v>0</v>
      </c>
      <c r="AF123" s="3209"/>
      <c r="AG123" s="3209"/>
      <c r="AH123" s="3209"/>
      <c r="AI123" s="3209"/>
      <c r="AJ123" s="3209"/>
      <c r="AK123" s="3209"/>
      <c r="AL123" s="3209"/>
    </row>
    <row r="124" ht="16.5" customHeight="1" spans="1:38">
      <c r="A124" s="3171"/>
      <c r="B124" s="3172"/>
      <c r="C124" s="3173"/>
      <c r="D124" s="3174"/>
      <c r="E124" s="3174"/>
      <c r="F124" s="3174"/>
      <c r="G124" s="3174"/>
      <c r="H124" s="3174"/>
      <c r="I124" s="3174"/>
      <c r="J124" s="3261"/>
      <c r="K124" s="806" t="s">
        <v>5936</v>
      </c>
      <c r="L124" s="3221" t="s">
        <v>5959</v>
      </c>
      <c r="M124" s="3222"/>
      <c r="N124" s="3222"/>
      <c r="O124" s="3222"/>
      <c r="P124" s="3222"/>
      <c r="Q124" s="3222"/>
      <c r="R124" s="3222"/>
      <c r="S124" s="3222"/>
      <c r="T124" s="3222"/>
      <c r="U124" s="3222"/>
      <c r="V124" s="3223"/>
      <c r="W124" s="3192" t="s">
        <v>6632</v>
      </c>
      <c r="X124" s="3192"/>
      <c r="Y124" s="3192"/>
      <c r="Z124" s="3192"/>
      <c r="AA124" s="3192"/>
      <c r="AB124" s="3192"/>
      <c r="AC124" s="3192"/>
      <c r="AD124" s="3198" t="s">
        <v>481</v>
      </c>
      <c r="AE124" s="3209">
        <f>UnosPorBilans!Y117</f>
        <v>0</v>
      </c>
      <c r="AF124" s="3209"/>
      <c r="AG124" s="3209"/>
      <c r="AH124" s="3209"/>
      <c r="AI124" s="3209"/>
      <c r="AJ124" s="3209"/>
      <c r="AK124" s="3209"/>
      <c r="AL124" s="3209"/>
    </row>
    <row r="125" ht="16.5" customHeight="1" spans="1:38">
      <c r="A125" s="3171"/>
      <c r="B125" s="3172"/>
      <c r="C125" s="3173"/>
      <c r="D125" s="3174"/>
      <c r="E125" s="3174"/>
      <c r="F125" s="3174"/>
      <c r="G125" s="3174"/>
      <c r="H125" s="3174"/>
      <c r="I125" s="3174"/>
      <c r="J125" s="3261"/>
      <c r="K125" s="806" t="s">
        <v>5939</v>
      </c>
      <c r="L125" s="3221" t="s">
        <v>5961</v>
      </c>
      <c r="M125" s="3222"/>
      <c r="N125" s="3222"/>
      <c r="O125" s="3222"/>
      <c r="P125" s="3222"/>
      <c r="Q125" s="3222"/>
      <c r="R125" s="3222"/>
      <c r="S125" s="3222"/>
      <c r="T125" s="3222"/>
      <c r="U125" s="3222"/>
      <c r="V125" s="3223"/>
      <c r="W125" s="3192" t="s">
        <v>5960</v>
      </c>
      <c r="X125" s="3192"/>
      <c r="Y125" s="3192"/>
      <c r="Z125" s="3192"/>
      <c r="AA125" s="3192"/>
      <c r="AB125" s="3192"/>
      <c r="AC125" s="3192"/>
      <c r="AD125" s="3198" t="s">
        <v>481</v>
      </c>
      <c r="AE125" s="3209">
        <f>UnosPorBilans!Y118</f>
        <v>0</v>
      </c>
      <c r="AF125" s="3209"/>
      <c r="AG125" s="3209"/>
      <c r="AH125" s="3209"/>
      <c r="AI125" s="3209"/>
      <c r="AJ125" s="3209"/>
      <c r="AK125" s="3209"/>
      <c r="AL125" s="3209"/>
    </row>
    <row r="126" ht="16.5" customHeight="1" spans="1:38">
      <c r="A126" s="3188"/>
      <c r="B126" s="3189"/>
      <c r="C126" s="3190"/>
      <c r="D126" s="3191"/>
      <c r="E126" s="3191"/>
      <c r="F126" s="3191"/>
      <c r="G126" s="3191"/>
      <c r="H126" s="3191"/>
      <c r="I126" s="3191"/>
      <c r="J126" s="3262"/>
      <c r="K126" s="806" t="s">
        <v>3716</v>
      </c>
      <c r="L126" s="3221" t="s">
        <v>5962</v>
      </c>
      <c r="M126" s="3222"/>
      <c r="N126" s="3222"/>
      <c r="O126" s="3222"/>
      <c r="P126" s="3222"/>
      <c r="Q126" s="3222"/>
      <c r="R126" s="3222"/>
      <c r="S126" s="3222"/>
      <c r="T126" s="3222"/>
      <c r="U126" s="3222"/>
      <c r="V126" s="3223"/>
      <c r="W126" s="3192" t="s">
        <v>5963</v>
      </c>
      <c r="X126" s="3192"/>
      <c r="Y126" s="3192"/>
      <c r="Z126" s="3192"/>
      <c r="AA126" s="3192"/>
      <c r="AB126" s="3192"/>
      <c r="AC126" s="3192"/>
      <c r="AD126" s="3198" t="s">
        <v>481</v>
      </c>
      <c r="AE126" s="3209">
        <f>UnosPorBilans!Y119</f>
        <v>0</v>
      </c>
      <c r="AF126" s="3209"/>
      <c r="AG126" s="3209"/>
      <c r="AH126" s="3209"/>
      <c r="AI126" s="3209"/>
      <c r="AJ126" s="3209"/>
      <c r="AK126" s="3209"/>
      <c r="AL126" s="3209"/>
    </row>
    <row r="127" ht="24.75" customHeight="1" spans="1:38">
      <c r="A127" s="3161" t="s">
        <v>5964</v>
      </c>
      <c r="B127" s="3162"/>
      <c r="C127" s="3163" t="s">
        <v>5795</v>
      </c>
      <c r="D127" s="3164"/>
      <c r="E127" s="3164"/>
      <c r="F127" s="3164"/>
      <c r="G127" s="3164"/>
      <c r="H127" s="3164"/>
      <c r="I127" s="3164"/>
      <c r="J127" s="3260"/>
      <c r="K127" s="3263" t="s">
        <v>5933</v>
      </c>
      <c r="L127" s="3242" t="s">
        <v>6633</v>
      </c>
      <c r="M127" s="3243"/>
      <c r="N127" s="3243"/>
      <c r="O127" s="3243"/>
      <c r="P127" s="3243"/>
      <c r="Q127" s="3243"/>
      <c r="R127" s="3243"/>
      <c r="S127" s="3243"/>
      <c r="T127" s="3243"/>
      <c r="U127" s="3243"/>
      <c r="V127" s="3244"/>
      <c r="W127" s="3192"/>
      <c r="X127" s="3192"/>
      <c r="Y127" s="3192"/>
      <c r="Z127" s="3192"/>
      <c r="AA127" s="3192"/>
      <c r="AB127" s="3192"/>
      <c r="AC127" s="3192"/>
      <c r="AD127" s="806" t="s">
        <v>19</v>
      </c>
      <c r="AE127" s="3264">
        <f>UnosPorBilans!Y120</f>
        <v>0</v>
      </c>
      <c r="AF127" s="3264"/>
      <c r="AG127" s="3264"/>
      <c r="AH127" s="3264"/>
      <c r="AI127" s="3264"/>
      <c r="AJ127" s="3264"/>
      <c r="AK127" s="3264"/>
      <c r="AL127" s="3264"/>
    </row>
    <row r="128" ht="24.75" customHeight="1" spans="1:38">
      <c r="A128" s="3171"/>
      <c r="B128" s="3172"/>
      <c r="C128" s="3173"/>
      <c r="D128" s="3174"/>
      <c r="E128" s="3174"/>
      <c r="F128" s="3174"/>
      <c r="G128" s="3174"/>
      <c r="H128" s="3174"/>
      <c r="I128" s="3174"/>
      <c r="J128" s="3261"/>
      <c r="K128" s="3263" t="s">
        <v>5936</v>
      </c>
      <c r="L128" s="3265" t="s">
        <v>6634</v>
      </c>
      <c r="M128" s="3266"/>
      <c r="N128" s="3266"/>
      <c r="O128" s="3266"/>
      <c r="P128" s="3266"/>
      <c r="Q128" s="3266"/>
      <c r="R128" s="3266"/>
      <c r="S128" s="3266"/>
      <c r="T128" s="3266"/>
      <c r="U128" s="3266"/>
      <c r="V128" s="3267"/>
      <c r="W128" s="3192"/>
      <c r="X128" s="3192"/>
      <c r="Y128" s="3192"/>
      <c r="Z128" s="3192"/>
      <c r="AA128" s="3192"/>
      <c r="AB128" s="3192"/>
      <c r="AC128" s="3192"/>
      <c r="AD128" s="806" t="s">
        <v>19</v>
      </c>
      <c r="AE128" s="3264">
        <f>UnosPorBilans!Y121</f>
        <v>0</v>
      </c>
      <c r="AF128" s="3264"/>
      <c r="AG128" s="3264"/>
      <c r="AH128" s="3264"/>
      <c r="AI128" s="3264"/>
      <c r="AJ128" s="3264"/>
      <c r="AK128" s="3264"/>
      <c r="AL128" s="3264"/>
    </row>
    <row r="129" ht="24.75" customHeight="1" spans="1:39">
      <c r="A129" s="3171"/>
      <c r="B129" s="3172"/>
      <c r="C129" s="3173"/>
      <c r="D129" s="3174"/>
      <c r="E129" s="3174"/>
      <c r="F129" s="3174"/>
      <c r="G129" s="3174"/>
      <c r="H129" s="3174"/>
      <c r="I129" s="3174"/>
      <c r="J129" s="3261"/>
      <c r="K129" s="3263" t="s">
        <v>5939</v>
      </c>
      <c r="L129" s="3265" t="s">
        <v>6635</v>
      </c>
      <c r="M129" s="3266"/>
      <c r="N129" s="3266"/>
      <c r="O129" s="3266"/>
      <c r="P129" s="3266"/>
      <c r="Q129" s="3266"/>
      <c r="R129" s="3266"/>
      <c r="S129" s="3266"/>
      <c r="T129" s="3266"/>
      <c r="U129" s="3266"/>
      <c r="V129" s="3267"/>
      <c r="W129" s="3192"/>
      <c r="X129" s="3192"/>
      <c r="Y129" s="3192"/>
      <c r="Z129" s="3192"/>
      <c r="AA129" s="3192"/>
      <c r="AB129" s="3192"/>
      <c r="AC129" s="3192"/>
      <c r="AD129" s="806" t="s">
        <v>19</v>
      </c>
      <c r="AE129" s="3264">
        <f>UnosPorBilans!Y122</f>
        <v>0</v>
      </c>
      <c r="AF129" s="3264"/>
      <c r="AG129" s="3264"/>
      <c r="AH129" s="3264"/>
      <c r="AI129" s="3264"/>
      <c r="AJ129" s="3264"/>
      <c r="AK129" s="3264"/>
      <c r="AL129" s="3264"/>
    </row>
    <row r="130" ht="24.75" customHeight="1" spans="1:39">
      <c r="A130" s="3188"/>
      <c r="B130" s="3189"/>
      <c r="C130" s="3190"/>
      <c r="D130" s="3191"/>
      <c r="E130" s="3191"/>
      <c r="F130" s="3191"/>
      <c r="G130" s="3191"/>
      <c r="H130" s="3191"/>
      <c r="I130" s="3191"/>
      <c r="J130" s="3262"/>
      <c r="K130" s="3263" t="s">
        <v>3716</v>
      </c>
      <c r="L130" s="3265" t="s">
        <v>5968</v>
      </c>
      <c r="M130" s="3266"/>
      <c r="N130" s="3266"/>
      <c r="O130" s="3266"/>
      <c r="P130" s="3266"/>
      <c r="Q130" s="3266"/>
      <c r="R130" s="3266"/>
      <c r="S130" s="3266"/>
      <c r="T130" s="3266"/>
      <c r="U130" s="3266"/>
      <c r="V130" s="3267"/>
      <c r="W130" s="3192"/>
      <c r="X130" s="3192"/>
      <c r="Y130" s="3192"/>
      <c r="Z130" s="3192"/>
      <c r="AA130" s="3192"/>
      <c r="AB130" s="3192"/>
      <c r="AC130" s="3192"/>
      <c r="AD130" s="806" t="s">
        <v>19</v>
      </c>
      <c r="AE130" s="3264">
        <f>UnosPorBilans!Y123</f>
        <v>0</v>
      </c>
      <c r="AF130" s="3264"/>
      <c r="AG130" s="3264"/>
      <c r="AH130" s="3264"/>
      <c r="AI130" s="3264"/>
      <c r="AJ130" s="3264"/>
      <c r="AK130" s="3264"/>
      <c r="AL130" s="3264"/>
    </row>
    <row r="131" ht="16.5" customHeight="1" spans="1:39">
      <c r="A131" s="3150" t="s">
        <v>5969</v>
      </c>
      <c r="B131" s="3150"/>
      <c r="C131" s="3151" t="s">
        <v>5970</v>
      </c>
      <c r="D131" s="3152"/>
      <c r="E131" s="3152"/>
      <c r="F131" s="3152"/>
      <c r="G131" s="3152"/>
      <c r="H131" s="3152"/>
      <c r="I131" s="3152"/>
      <c r="J131" s="3152"/>
      <c r="K131" s="3152"/>
      <c r="L131" s="3152"/>
      <c r="M131" s="3152"/>
      <c r="N131" s="3152"/>
      <c r="O131" s="3152"/>
      <c r="P131" s="3152"/>
      <c r="Q131" s="3152"/>
      <c r="R131" s="3152"/>
      <c r="S131" s="3152"/>
      <c r="T131" s="3152"/>
      <c r="U131" s="3152"/>
      <c r="V131" s="3152"/>
      <c r="W131" s="3152"/>
      <c r="X131" s="3152"/>
      <c r="Y131" s="3152"/>
      <c r="Z131" s="3152"/>
      <c r="AA131" s="3152"/>
      <c r="AB131" s="3152"/>
      <c r="AC131" s="3152"/>
      <c r="AD131" s="3152"/>
      <c r="AE131" s="3207"/>
      <c r="AF131" s="3207"/>
      <c r="AG131" s="3207"/>
      <c r="AH131" s="3207"/>
      <c r="AI131" s="3207"/>
      <c r="AJ131" s="3207"/>
      <c r="AK131" s="3207"/>
      <c r="AL131" s="3208"/>
    </row>
    <row r="132" ht="16.5" customHeight="1" spans="1:39">
      <c r="A132" s="3155" t="s">
        <v>5971</v>
      </c>
      <c r="B132" s="3155"/>
      <c r="C132" s="3228" t="str">
        <f>Text!B674</f>
        <v>Ostatak poreza na dobit za porezni period</v>
      </c>
      <c r="D132" s="3229"/>
      <c r="E132" s="3229"/>
      <c r="F132" s="3229"/>
      <c r="G132" s="3229"/>
      <c r="H132" s="3229"/>
      <c r="I132" s="3229"/>
      <c r="J132" s="3229"/>
      <c r="K132" s="3229"/>
      <c r="L132" s="3229"/>
      <c r="M132" s="3229"/>
      <c r="N132" s="3229"/>
      <c r="O132" s="3229"/>
      <c r="P132" s="3229"/>
      <c r="Q132" s="3229"/>
      <c r="R132" s="3229"/>
      <c r="S132" s="3229"/>
      <c r="T132" s="3229"/>
      <c r="U132" s="3229"/>
      <c r="V132" s="3230"/>
      <c r="W132" s="3215" t="s">
        <v>6636</v>
      </c>
      <c r="X132" s="3216"/>
      <c r="Y132" s="3216"/>
      <c r="Z132" s="3216"/>
      <c r="AA132" s="3216"/>
      <c r="AB132" s="3216"/>
      <c r="AC132" s="3217"/>
      <c r="AD132" s="806" t="s">
        <v>19</v>
      </c>
      <c r="AE132" s="3160">
        <f>IF(AE122-AE123-AE124-AE125-AE126+SUM(AE127:AL130)&lt;0,0,AE122-AE123-AE124-AE125-AE126+SUM(AE127:AL130))</f>
        <v>0</v>
      </c>
      <c r="AF132" s="3160"/>
      <c r="AG132" s="3160"/>
      <c r="AH132" s="3160"/>
      <c r="AI132" s="3160"/>
      <c r="AJ132" s="3160"/>
      <c r="AK132" s="3160"/>
      <c r="AL132" s="3160"/>
      <c r="AM132" s="3268"/>
    </row>
    <row r="133" ht="16.5" customHeight="1" spans="1:39">
      <c r="A133" s="3155" t="s">
        <v>5973</v>
      </c>
      <c r="B133" s="3155"/>
      <c r="C133" s="3228" t="s">
        <v>5974</v>
      </c>
      <c r="D133" s="3229"/>
      <c r="E133" s="3229"/>
      <c r="F133" s="3229"/>
      <c r="G133" s="3229"/>
      <c r="H133" s="3229"/>
      <c r="I133" s="3229"/>
      <c r="J133" s="3229"/>
      <c r="K133" s="3229"/>
      <c r="L133" s="3229"/>
      <c r="M133" s="3229"/>
      <c r="N133" s="3229"/>
      <c r="O133" s="3229"/>
      <c r="P133" s="3229"/>
      <c r="Q133" s="3229"/>
      <c r="R133" s="3229"/>
      <c r="S133" s="3229"/>
      <c r="T133" s="3229"/>
      <c r="U133" s="3229"/>
      <c r="V133" s="3230"/>
      <c r="W133" s="3192" t="s">
        <v>6619</v>
      </c>
      <c r="X133" s="3192"/>
      <c r="Y133" s="3192"/>
      <c r="Z133" s="3192"/>
      <c r="AA133" s="3192"/>
      <c r="AB133" s="3192"/>
      <c r="AC133" s="3192"/>
      <c r="AD133" s="3198" t="s">
        <v>481</v>
      </c>
      <c r="AE133" s="3209">
        <f>UnosPorBilans!Y126</f>
        <v>73141</v>
      </c>
      <c r="AF133" s="3209"/>
      <c r="AG133" s="3209"/>
      <c r="AH133" s="3209"/>
      <c r="AI133" s="3209"/>
      <c r="AJ133" s="3209"/>
      <c r="AK133" s="3209"/>
      <c r="AL133" s="3209"/>
    </row>
    <row r="134" ht="16.5" customHeight="1" spans="1:39">
      <c r="A134" s="3155" t="s">
        <v>5975</v>
      </c>
      <c r="B134" s="3155"/>
      <c r="C134" s="3228" t="str">
        <f>Text!B675</f>
        <v>Uplate akontacija i pretplate iz prethodnog perioda</v>
      </c>
      <c r="D134" s="3229"/>
      <c r="E134" s="3229"/>
      <c r="F134" s="3229"/>
      <c r="G134" s="3229"/>
      <c r="H134" s="3229"/>
      <c r="I134" s="3229"/>
      <c r="J134" s="3229"/>
      <c r="K134" s="3229"/>
      <c r="L134" s="3229"/>
      <c r="M134" s="3229"/>
      <c r="N134" s="3229"/>
      <c r="O134" s="3229"/>
      <c r="P134" s="3229"/>
      <c r="Q134" s="3229"/>
      <c r="R134" s="3229"/>
      <c r="S134" s="3229"/>
      <c r="T134" s="3229"/>
      <c r="U134" s="3229"/>
      <c r="V134" s="3230"/>
      <c r="W134" s="3218"/>
      <c r="X134" s="3219"/>
      <c r="Y134" s="3219"/>
      <c r="Z134" s="3219"/>
      <c r="AA134" s="3219"/>
      <c r="AB134" s="3219"/>
      <c r="AC134" s="3220"/>
      <c r="AD134" s="806" t="s">
        <v>19</v>
      </c>
      <c r="AE134" s="3160">
        <f>UnosPorBilans!Y127</f>
        <v>0</v>
      </c>
      <c r="AF134" s="3160"/>
      <c r="AG134" s="3160"/>
      <c r="AH134" s="3160"/>
      <c r="AI134" s="3160"/>
      <c r="AJ134" s="3160"/>
      <c r="AK134" s="3160"/>
      <c r="AL134" s="3160"/>
    </row>
    <row r="135" ht="16.5" customHeight="1" spans="1:39">
      <c r="A135" s="3155" t="s">
        <v>5977</v>
      </c>
      <c r="B135" s="3155"/>
      <c r="C135" s="3228" t="s">
        <v>5978</v>
      </c>
      <c r="D135" s="3229"/>
      <c r="E135" s="3229"/>
      <c r="F135" s="3229"/>
      <c r="G135" s="3229"/>
      <c r="H135" s="3229"/>
      <c r="I135" s="3229"/>
      <c r="J135" s="3229"/>
      <c r="K135" s="3229"/>
      <c r="L135" s="3229"/>
      <c r="M135" s="3229"/>
      <c r="N135" s="3229"/>
      <c r="O135" s="3229"/>
      <c r="P135" s="3229"/>
      <c r="Q135" s="3229"/>
      <c r="R135" s="3229"/>
      <c r="S135" s="3229"/>
      <c r="T135" s="3229"/>
      <c r="U135" s="3229"/>
      <c r="V135" s="3230"/>
      <c r="W135" s="3218"/>
      <c r="X135" s="3219"/>
      <c r="Y135" s="3219"/>
      <c r="Z135" s="3219"/>
      <c r="AA135" s="3219"/>
      <c r="AB135" s="3219"/>
      <c r="AC135" s="3220"/>
      <c r="AD135" s="806" t="s">
        <v>19</v>
      </c>
      <c r="AE135" s="3160">
        <f>UnosPorBilans!Y128</f>
        <v>0</v>
      </c>
      <c r="AF135" s="3160"/>
      <c r="AG135" s="3160"/>
      <c r="AH135" s="3160"/>
      <c r="AI135" s="3160"/>
      <c r="AJ135" s="3160"/>
      <c r="AK135" s="3160"/>
      <c r="AL135" s="3160"/>
    </row>
    <row r="136" ht="16.5" customHeight="1" spans="1:39">
      <c r="A136" s="3155" t="s">
        <v>5979</v>
      </c>
      <c r="B136" s="3155"/>
      <c r="C136" s="3228" t="s">
        <v>6637</v>
      </c>
      <c r="D136" s="3229"/>
      <c r="E136" s="3229"/>
      <c r="F136" s="3229"/>
      <c r="G136" s="3229"/>
      <c r="H136" s="3229"/>
      <c r="I136" s="3229"/>
      <c r="J136" s="3229"/>
      <c r="K136" s="3229"/>
      <c r="L136" s="3229"/>
      <c r="M136" s="3229"/>
      <c r="N136" s="3229"/>
      <c r="O136" s="3229"/>
      <c r="P136" s="3229"/>
      <c r="Q136" s="3229"/>
      <c r="R136" s="3229"/>
      <c r="S136" s="3229"/>
      <c r="T136" s="3229"/>
      <c r="U136" s="3229"/>
      <c r="V136" s="3230"/>
      <c r="W136" s="3215" t="s">
        <v>6638</v>
      </c>
      <c r="X136" s="3216"/>
      <c r="Y136" s="3216"/>
      <c r="Z136" s="3216"/>
      <c r="AA136" s="3216"/>
      <c r="AB136" s="3216"/>
      <c r="AC136" s="3217"/>
      <c r="AD136" s="806" t="s">
        <v>19</v>
      </c>
      <c r="AE136" s="3160">
        <f>IF(AE132-AE134&lt;0,0,AE132-AE134)</f>
        <v>0</v>
      </c>
      <c r="AF136" s="3160"/>
      <c r="AG136" s="3160"/>
      <c r="AH136" s="3160"/>
      <c r="AI136" s="3160"/>
      <c r="AJ136" s="3160"/>
      <c r="AK136" s="3160"/>
      <c r="AL136" s="3160"/>
    </row>
    <row r="137" ht="16.5" customHeight="1" spans="1:39">
      <c r="A137" s="3155" t="s">
        <v>5981</v>
      </c>
      <c r="B137" s="3155"/>
      <c r="C137" s="3228" t="s">
        <v>6639</v>
      </c>
      <c r="D137" s="3229"/>
      <c r="E137" s="3229"/>
      <c r="F137" s="3229"/>
      <c r="G137" s="3229"/>
      <c r="H137" s="3229"/>
      <c r="I137" s="3229"/>
      <c r="J137" s="3229"/>
      <c r="K137" s="3229"/>
      <c r="L137" s="3229"/>
      <c r="M137" s="3229"/>
      <c r="N137" s="3229"/>
      <c r="O137" s="3229"/>
      <c r="P137" s="3229"/>
      <c r="Q137" s="3229"/>
      <c r="R137" s="3229"/>
      <c r="S137" s="3229"/>
      <c r="T137" s="3229"/>
      <c r="U137" s="3229"/>
      <c r="V137" s="3230"/>
      <c r="W137" s="3215" t="s">
        <v>6640</v>
      </c>
      <c r="X137" s="3216"/>
      <c r="Y137" s="3216"/>
      <c r="Z137" s="3216"/>
      <c r="AA137" s="3216"/>
      <c r="AB137" s="3216"/>
      <c r="AC137" s="3217"/>
      <c r="AD137" s="806" t="s">
        <v>19</v>
      </c>
      <c r="AE137" s="3160">
        <f>IF(AE134-AE132&lt;0,0,AE134-AE132)</f>
        <v>0</v>
      </c>
      <c r="AF137" s="3160"/>
      <c r="AG137" s="3160"/>
      <c r="AH137" s="3160"/>
      <c r="AI137" s="3160"/>
      <c r="AJ137" s="3160"/>
      <c r="AK137" s="3160"/>
      <c r="AL137" s="3160"/>
    </row>
    <row r="138" ht="9" customHeight="1" spans="1:39">
      <c r="A138" s="873"/>
      <c r="B138" s="873"/>
      <c r="AE138" s="3269"/>
      <c r="AF138" s="3269"/>
      <c r="AG138" s="3269"/>
      <c r="AH138" s="3269"/>
      <c r="AI138" s="3269"/>
      <c r="AJ138" s="3269"/>
      <c r="AK138" s="3269"/>
      <c r="AL138" s="3269"/>
    </row>
    <row r="139" s="689" customFormat="1" customHeight="1" spans="1:39">
      <c r="A139" s="757" t="s">
        <v>6546</v>
      </c>
      <c r="B139" s="758"/>
      <c r="C139" s="759"/>
      <c r="D139" s="760" t="str">
        <f>Text!B11</f>
        <v>Odgovorno lice</v>
      </c>
      <c r="E139" s="3270"/>
      <c r="F139" s="3271" t="s">
        <v>6547</v>
      </c>
      <c r="G139" s="3271"/>
      <c r="H139" s="3271"/>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71"/>
      <c r="AD139" s="3271"/>
      <c r="AE139" s="3271"/>
      <c r="AF139" s="3271"/>
      <c r="AG139" s="3271"/>
      <c r="AH139" s="3271"/>
      <c r="AI139" s="3271"/>
      <c r="AJ139" s="3271"/>
      <c r="AK139" s="3271"/>
      <c r="AL139" s="3272"/>
    </row>
    <row r="140" s="689" customFormat="1" spans="1:39">
      <c r="A140" s="763"/>
      <c r="B140" s="764"/>
      <c r="C140" s="765"/>
      <c r="D140" s="766"/>
      <c r="E140" s="3273"/>
      <c r="F140" s="3274"/>
      <c r="G140" s="3274"/>
      <c r="H140" s="3274"/>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74"/>
      <c r="AD140" s="3274"/>
      <c r="AE140" s="3274"/>
      <c r="AF140" s="3274"/>
      <c r="AG140" s="3274"/>
      <c r="AH140" s="3274"/>
      <c r="AI140" s="3274"/>
      <c r="AJ140" s="3274"/>
      <c r="AK140" s="3274"/>
      <c r="AL140" s="3275"/>
    </row>
    <row r="141" s="689" customFormat="1" spans="1:39">
      <c r="A141" s="763"/>
      <c r="B141" s="764"/>
      <c r="C141" s="765"/>
      <c r="D141" s="766"/>
      <c r="E141" s="3273"/>
      <c r="F141" s="3274"/>
      <c r="G141" s="3274"/>
      <c r="H141" s="3274"/>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74"/>
      <c r="AD141" s="3274"/>
      <c r="AE141" s="3274"/>
      <c r="AF141" s="3274"/>
      <c r="AG141" s="3274"/>
      <c r="AH141" s="3274"/>
      <c r="AI141" s="3274"/>
      <c r="AJ141" s="3274"/>
      <c r="AK141" s="3274"/>
      <c r="AL141" s="3275"/>
    </row>
    <row r="142" s="689" customFormat="1" spans="1:39">
      <c r="A142" s="763"/>
      <c r="B142" s="764"/>
      <c r="C142" s="765"/>
      <c r="D142" s="766"/>
      <c r="E142" s="3273"/>
      <c r="V142" s="769"/>
      <c r="W142" s="3276" t="str">
        <f>UnosPod!AA22&amp;UnosPod!AB22&amp;"."&amp;UnosPod!AC22&amp;UnosPod!AD22+1&amp;"."&amp;UnosPod!AE22&amp;UnosPod!AF22&amp;UnosPod!AG22&amp;UnosPod!AH22&amp;"."</f>
        <v>28.03.2026.</v>
      </c>
      <c r="X142" s="3277"/>
      <c r="Y142" s="3277"/>
      <c r="Z142" s="3277"/>
      <c r="AA142" s="3277"/>
      <c r="AB142" s="3278"/>
      <c r="AC142" s="3279" t="s">
        <v>2539</v>
      </c>
      <c r="AD142" s="1705"/>
      <c r="AE142" s="1705"/>
      <c r="AF142" s="1705"/>
      <c r="AG142" s="1705"/>
      <c r="AH142" s="1705"/>
      <c r="AI142" s="1705"/>
      <c r="AJ142" s="1705"/>
      <c r="AK142" s="3280"/>
      <c r="AL142" s="2968"/>
    </row>
    <row r="143" s="689" customFormat="1" ht="15" spans="1:39">
      <c r="A143" s="763"/>
      <c r="B143" s="764"/>
      <c r="C143" s="765"/>
      <c r="D143" s="766"/>
      <c r="E143" s="3273"/>
      <c r="F143" s="3281" t="str">
        <f>Direktor</f>
        <v>Nedim Vilogorac</v>
      </c>
      <c r="G143" s="775"/>
      <c r="H143" s="775"/>
      <c r="I143" s="775"/>
      <c r="J143" s="775"/>
      <c r="K143" s="775"/>
      <c r="L143" s="775"/>
      <c r="M143" s="775"/>
      <c r="N143" s="775"/>
      <c r="O143" s="775"/>
      <c r="P143" s="775"/>
      <c r="Q143" s="775"/>
      <c r="R143" s="775"/>
      <c r="S143" s="775"/>
      <c r="T143" s="775"/>
      <c r="U143" s="775"/>
      <c r="V143" s="776"/>
      <c r="W143" s="3282"/>
      <c r="X143" s="3283"/>
      <c r="Y143" s="3283"/>
      <c r="Z143" s="3283"/>
      <c r="AA143" s="3283"/>
      <c r="AB143" s="3284"/>
      <c r="AC143" s="3285"/>
      <c r="AD143" s="3286"/>
      <c r="AE143" s="3286"/>
      <c r="AF143" s="3286"/>
      <c r="AG143" s="3286"/>
      <c r="AH143" s="3286"/>
      <c r="AI143" s="3286"/>
      <c r="AJ143" s="3286"/>
      <c r="AK143" s="3287"/>
      <c r="AL143" s="2975"/>
    </row>
    <row r="144" s="689" customFormat="1" spans="1:39">
      <c r="A144" s="763"/>
      <c r="B144" s="764"/>
      <c r="C144" s="765"/>
      <c r="D144" s="766"/>
      <c r="E144" s="3273"/>
      <c r="F144" s="783" t="s">
        <v>6548</v>
      </c>
      <c r="G144" s="783"/>
      <c r="H144" s="783"/>
      <c r="I144" s="783"/>
      <c r="J144" s="783"/>
      <c r="K144" s="783"/>
      <c r="L144" s="783"/>
      <c r="M144" s="783"/>
      <c r="N144" s="783"/>
      <c r="O144" s="783"/>
      <c r="P144" s="783"/>
      <c r="Q144" s="783"/>
      <c r="R144" s="783"/>
      <c r="S144" s="783"/>
      <c r="T144" s="783"/>
      <c r="U144" s="783"/>
      <c r="V144" s="783"/>
      <c r="W144" s="783" t="s">
        <v>6549</v>
      </c>
      <c r="X144" s="783"/>
      <c r="Y144" s="783"/>
      <c r="Z144" s="783"/>
      <c r="AA144" s="783"/>
      <c r="AB144" s="783"/>
      <c r="AC144" s="783" t="s">
        <v>6550</v>
      </c>
      <c r="AD144" s="783"/>
      <c r="AE144" s="783"/>
      <c r="AF144" s="783"/>
      <c r="AG144" s="783"/>
      <c r="AH144" s="783"/>
      <c r="AI144" s="783"/>
      <c r="AJ144" s="783"/>
      <c r="AK144" s="783"/>
      <c r="AL144" s="787"/>
    </row>
    <row r="145" s="689" customFormat="1" spans="1:38">
      <c r="A145" s="763"/>
      <c r="B145" s="764"/>
      <c r="C145" s="765"/>
      <c r="D145" s="766"/>
      <c r="E145" s="3273"/>
      <c r="F145" s="785"/>
      <c r="G145" s="785"/>
      <c r="H145" s="785"/>
      <c r="I145" s="785"/>
      <c r="J145" s="785"/>
      <c r="K145" s="785"/>
      <c r="L145" s="785"/>
      <c r="M145" s="785"/>
      <c r="N145" s="785"/>
      <c r="O145" s="785"/>
      <c r="P145" s="785"/>
      <c r="Q145" s="785"/>
      <c r="R145" s="785"/>
      <c r="S145" s="785"/>
      <c r="T145" s="785"/>
      <c r="U145" s="785"/>
      <c r="V145" s="785"/>
      <c r="W145" s="786"/>
      <c r="X145" s="786"/>
      <c r="Y145" s="786"/>
      <c r="Z145" s="786"/>
      <c r="AA145" s="786"/>
      <c r="AB145" s="786"/>
      <c r="AC145" s="786"/>
      <c r="AD145" s="786"/>
      <c r="AE145" s="786"/>
      <c r="AF145" s="786"/>
      <c r="AG145" s="786"/>
      <c r="AH145" s="786"/>
      <c r="AI145" s="786"/>
      <c r="AJ145" s="786"/>
      <c r="AK145" s="786"/>
      <c r="AL145" s="787"/>
    </row>
    <row r="146" s="689" customFormat="1" spans="1:38">
      <c r="A146" s="763"/>
      <c r="B146" s="764"/>
      <c r="C146" s="788"/>
      <c r="D146" s="789" t="s">
        <v>6551</v>
      </c>
      <c r="E146" s="3288"/>
      <c r="F146" s="790"/>
      <c r="G146" s="790"/>
      <c r="H146" s="790"/>
      <c r="I146" s="790"/>
      <c r="J146" s="790"/>
      <c r="K146" s="790"/>
      <c r="L146" s="790"/>
      <c r="M146" s="790"/>
      <c r="N146" s="790"/>
      <c r="O146" s="790"/>
      <c r="P146" s="790"/>
      <c r="Q146" s="790"/>
      <c r="R146" s="790"/>
      <c r="S146" s="790"/>
      <c r="T146" s="790"/>
      <c r="U146" s="790"/>
      <c r="V146" s="790"/>
      <c r="W146" s="790"/>
      <c r="X146" s="790"/>
      <c r="Y146" s="790"/>
      <c r="Z146" s="790"/>
      <c r="AA146" s="790"/>
      <c r="AB146" s="790"/>
      <c r="AC146" s="790"/>
      <c r="AD146" s="790"/>
      <c r="AE146" s="790"/>
      <c r="AF146" s="790"/>
      <c r="AG146" s="790"/>
      <c r="AH146" s="790"/>
      <c r="AI146" s="790"/>
      <c r="AJ146" s="790"/>
      <c r="AK146" s="790"/>
      <c r="AL146" s="791"/>
    </row>
    <row r="147" s="689" customFormat="1" spans="1:38">
      <c r="A147" s="763"/>
      <c r="B147" s="764"/>
      <c r="C147" s="765"/>
      <c r="D147" s="792"/>
      <c r="E147" s="3289"/>
      <c r="V147" s="769"/>
      <c r="W147" s="3276" t="str">
        <f>UnosPod!AA22&amp;UnosPod!AB22&amp;"."&amp;UnosPod!AC22&amp;UnosPod!AD22+1&amp;"."&amp;UnosPod!AE22&amp;UnosPod!AF22&amp;UnosPod!AG22&amp;UnosPod!AH22&amp;"."</f>
        <v>28.03.2026.</v>
      </c>
      <c r="X147" s="3277"/>
      <c r="Y147" s="3277"/>
      <c r="Z147" s="3277"/>
      <c r="AA147" s="3277"/>
      <c r="AB147" s="3278"/>
      <c r="AC147" s="3279" t="s">
        <v>6552</v>
      </c>
      <c r="AD147" s="1705"/>
      <c r="AE147" s="1705"/>
      <c r="AF147" s="1705"/>
      <c r="AG147" s="1705"/>
      <c r="AH147" s="1705"/>
      <c r="AI147" s="1705"/>
      <c r="AJ147" s="1705"/>
      <c r="AK147" s="1705"/>
      <c r="AL147" s="769"/>
    </row>
    <row r="148" s="689" customFormat="1" ht="15" spans="1:38">
      <c r="A148" s="763"/>
      <c r="B148" s="764"/>
      <c r="C148" s="765"/>
      <c r="D148" s="792"/>
      <c r="E148" s="3289"/>
      <c r="F148" s="3281" t="str">
        <f>Racunovoda</f>
        <v>Elvira Žilić</v>
      </c>
      <c r="G148" s="775"/>
      <c r="H148" s="775"/>
      <c r="I148" s="775"/>
      <c r="J148" s="775"/>
      <c r="K148" s="775"/>
      <c r="L148" s="775"/>
      <c r="M148" s="775"/>
      <c r="N148" s="775"/>
      <c r="O148" s="775"/>
      <c r="P148" s="775"/>
      <c r="Q148" s="775"/>
      <c r="R148" s="775"/>
      <c r="S148" s="775"/>
      <c r="T148" s="775"/>
      <c r="U148" s="775"/>
      <c r="V148" s="776"/>
      <c r="W148" s="3282"/>
      <c r="X148" s="3283"/>
      <c r="Y148" s="3283"/>
      <c r="Z148" s="3283"/>
      <c r="AA148" s="3283"/>
      <c r="AB148" s="3284"/>
      <c r="AC148" s="3285"/>
      <c r="AD148" s="3286"/>
      <c r="AE148" s="3286"/>
      <c r="AF148" s="3286"/>
      <c r="AG148" s="3286"/>
      <c r="AH148" s="3286"/>
      <c r="AI148" s="3286"/>
      <c r="AJ148" s="3286"/>
      <c r="AK148" s="3286"/>
      <c r="AL148" s="3290"/>
    </row>
    <row r="149" s="689" customFormat="1" spans="1:38">
      <c r="A149" s="763"/>
      <c r="B149" s="764"/>
      <c r="C149" s="765"/>
      <c r="D149" s="792"/>
      <c r="E149" s="3289"/>
      <c r="F149" s="783" t="s">
        <v>6548</v>
      </c>
      <c r="G149" s="783"/>
      <c r="H149" s="783"/>
      <c r="I149" s="783"/>
      <c r="J149" s="783"/>
      <c r="K149" s="783"/>
      <c r="L149" s="783"/>
      <c r="M149" s="783"/>
      <c r="N149" s="783"/>
      <c r="O149" s="783"/>
      <c r="P149" s="783"/>
      <c r="Q149" s="783"/>
      <c r="R149" s="783"/>
      <c r="S149" s="783"/>
      <c r="T149" s="783"/>
      <c r="U149" s="783"/>
      <c r="V149" s="783"/>
      <c r="W149" s="783" t="s">
        <v>6549</v>
      </c>
      <c r="X149" s="783"/>
      <c r="Y149" s="783"/>
      <c r="Z149" s="783"/>
      <c r="AA149" s="783"/>
      <c r="AB149" s="783"/>
      <c r="AC149" s="783"/>
      <c r="AD149" s="783"/>
      <c r="AE149" s="783"/>
      <c r="AF149" s="783"/>
      <c r="AG149" s="783"/>
      <c r="AH149" s="783"/>
      <c r="AI149" s="783"/>
      <c r="AJ149" s="783"/>
      <c r="AK149" s="783"/>
      <c r="AL149" s="784"/>
    </row>
    <row r="150" s="689" customFormat="1" ht="6.75" customHeight="1" spans="1:38">
      <c r="A150" s="793"/>
      <c r="B150" s="794"/>
      <c r="C150" s="795"/>
      <c r="D150" s="796"/>
      <c r="E150" s="3291"/>
      <c r="F150" s="797"/>
      <c r="G150" s="797"/>
      <c r="H150" s="797"/>
      <c r="I150" s="797"/>
      <c r="J150" s="797"/>
      <c r="K150" s="797"/>
      <c r="L150" s="797"/>
      <c r="M150" s="797"/>
      <c r="N150" s="797"/>
      <c r="O150" s="797"/>
      <c r="P150" s="797"/>
      <c r="Q150" s="797"/>
      <c r="R150" s="797"/>
      <c r="S150" s="797"/>
      <c r="T150" s="797"/>
      <c r="U150" s="797"/>
      <c r="V150" s="797"/>
      <c r="W150" s="797"/>
      <c r="X150" s="797"/>
      <c r="Y150" s="797"/>
      <c r="Z150" s="797"/>
      <c r="AA150" s="797"/>
      <c r="AB150" s="797"/>
      <c r="AC150" s="797"/>
      <c r="AD150" s="797"/>
      <c r="AE150" s="797"/>
      <c r="AF150" s="797"/>
      <c r="AG150" s="797"/>
      <c r="AH150" s="797"/>
      <c r="AI150" s="797"/>
      <c r="AJ150" s="797"/>
      <c r="AK150" s="797"/>
      <c r="AL150" s="798"/>
    </row>
  </sheetData>
  <mergeCells count="475">
    <mergeCell ref="A1:H1"/>
    <mergeCell ref="O1:AE1"/>
    <mergeCell ref="AF1:AL1"/>
    <mergeCell ref="A2:H2"/>
    <mergeCell ref="A3:H3"/>
    <mergeCell ref="A4:H4"/>
    <mergeCell ref="A5:H5"/>
    <mergeCell ref="A6:H6"/>
    <mergeCell ref="A7:AL7"/>
    <mergeCell ref="A9:I9"/>
    <mergeCell ref="K9:L9"/>
    <mergeCell ref="M9:N9"/>
    <mergeCell ref="O9:R9"/>
    <mergeCell ref="S9:V9"/>
    <mergeCell ref="W9:X9"/>
    <mergeCell ref="Y9:Z9"/>
    <mergeCell ref="AA9:AD9"/>
    <mergeCell ref="A11:B11"/>
    <mergeCell ref="C11:V11"/>
    <mergeCell ref="W11:AC11"/>
    <mergeCell ref="AE11:AL11"/>
    <mergeCell ref="A12:B12"/>
    <mergeCell ref="AE12:AL12"/>
    <mergeCell ref="A13:B13"/>
    <mergeCell ref="C13:V13"/>
    <mergeCell ref="W13:AC13"/>
    <mergeCell ref="AE13:AL13"/>
    <mergeCell ref="L14:V14"/>
    <mergeCell ref="W14:AC14"/>
    <mergeCell ref="AE14:AL14"/>
    <mergeCell ref="L15:V15"/>
    <mergeCell ref="W15:AC15"/>
    <mergeCell ref="AE15:AL15"/>
    <mergeCell ref="L16:V16"/>
    <mergeCell ref="W16:AC16"/>
    <mergeCell ref="AE16:AL16"/>
    <mergeCell ref="L17:V17"/>
    <mergeCell ref="W17:AC17"/>
    <mergeCell ref="AE17:AL17"/>
    <mergeCell ref="L18:V18"/>
    <mergeCell ref="W18:AC18"/>
    <mergeCell ref="AE18:AL18"/>
    <mergeCell ref="L19:V19"/>
    <mergeCell ref="W19:AC19"/>
    <mergeCell ref="AE19:AL19"/>
    <mergeCell ref="L20:V20"/>
    <mergeCell ref="W20:AC20"/>
    <mergeCell ref="AE20:AL20"/>
    <mergeCell ref="K21:V21"/>
    <mergeCell ref="W21:AC21"/>
    <mergeCell ref="AE21:AL21"/>
    <mergeCell ref="A22:B22"/>
    <mergeCell ref="C22:V22"/>
    <mergeCell ref="W22:AC22"/>
    <mergeCell ref="AE22:AL22"/>
    <mergeCell ref="A23:B23"/>
    <mergeCell ref="AE23:AL23"/>
    <mergeCell ref="A24:B24"/>
    <mergeCell ref="C24:V24"/>
    <mergeCell ref="W24:AC24"/>
    <mergeCell ref="AE24:AL24"/>
    <mergeCell ref="L25:V25"/>
    <mergeCell ref="W25:AC25"/>
    <mergeCell ref="AE25:AL25"/>
    <mergeCell ref="L26:V26"/>
    <mergeCell ref="W26:AC26"/>
    <mergeCell ref="AE26:AL26"/>
    <mergeCell ref="A27:B27"/>
    <mergeCell ref="C27:V27"/>
    <mergeCell ref="W27:AC27"/>
    <mergeCell ref="AE27:AL27"/>
    <mergeCell ref="A28:B28"/>
    <mergeCell ref="A29:B29"/>
    <mergeCell ref="C29:V29"/>
    <mergeCell ref="W29:AC29"/>
    <mergeCell ref="AE29:AL29"/>
    <mergeCell ref="A30:B30"/>
    <mergeCell ref="C30:V30"/>
    <mergeCell ref="W30:AC30"/>
    <mergeCell ref="AE30:AL30"/>
    <mergeCell ref="A32:B32"/>
    <mergeCell ref="A33:B33"/>
    <mergeCell ref="C33:V33"/>
    <mergeCell ref="W33:AC33"/>
    <mergeCell ref="AE33:AL33"/>
    <mergeCell ref="A34:B34"/>
    <mergeCell ref="C34:V34"/>
    <mergeCell ref="W34:AC34"/>
    <mergeCell ref="AE34:AL34"/>
    <mergeCell ref="A35:B35"/>
    <mergeCell ref="A36:B36"/>
    <mergeCell ref="C36:V36"/>
    <mergeCell ref="W36:AC36"/>
    <mergeCell ref="AE36:AL36"/>
    <mergeCell ref="A37:B37"/>
    <mergeCell ref="C37:V37"/>
    <mergeCell ref="W37:AC37"/>
    <mergeCell ref="AE37:AL37"/>
    <mergeCell ref="A38:B38"/>
    <mergeCell ref="A39:B39"/>
    <mergeCell ref="C39:V39"/>
    <mergeCell ref="W39:AC39"/>
    <mergeCell ref="AE39:AL39"/>
    <mergeCell ref="A40:B40"/>
    <mergeCell ref="C40:V40"/>
    <mergeCell ref="W40:AC40"/>
    <mergeCell ref="AE40:AL40"/>
    <mergeCell ref="A41:B41"/>
    <mergeCell ref="C41:V41"/>
    <mergeCell ref="W41:AC41"/>
    <mergeCell ref="AE41:AL41"/>
    <mergeCell ref="A42:B42"/>
    <mergeCell ref="C42:V42"/>
    <mergeCell ref="W42:AC42"/>
    <mergeCell ref="AE42:AL42"/>
    <mergeCell ref="A43:B43"/>
    <mergeCell ref="C43:V43"/>
    <mergeCell ref="W43:AC43"/>
    <mergeCell ref="AE43:AL43"/>
    <mergeCell ref="A44:B44"/>
    <mergeCell ref="C44:V44"/>
    <mergeCell ref="W44:AC44"/>
    <mergeCell ref="AE44:AL44"/>
    <mergeCell ref="A45:B45"/>
    <mergeCell ref="C45:V45"/>
    <mergeCell ref="W45:AC45"/>
    <mergeCell ref="AE45:AL45"/>
    <mergeCell ref="A46:B46"/>
    <mergeCell ref="C46:V46"/>
    <mergeCell ref="W46:AC46"/>
    <mergeCell ref="AE46:AL46"/>
    <mergeCell ref="A47:B47"/>
    <mergeCell ref="C47:V47"/>
    <mergeCell ref="W47:AC47"/>
    <mergeCell ref="AE47:AL47"/>
    <mergeCell ref="A48:B48"/>
    <mergeCell ref="C48:V48"/>
    <mergeCell ref="W48:AC48"/>
    <mergeCell ref="AE48:AL48"/>
    <mergeCell ref="A49:B49"/>
    <mergeCell ref="C49:V49"/>
    <mergeCell ref="W49:AC49"/>
    <mergeCell ref="AE49:AL49"/>
    <mergeCell ref="A52:B52"/>
    <mergeCell ref="C52:V52"/>
    <mergeCell ref="W52:AC52"/>
    <mergeCell ref="AE52:AL52"/>
    <mergeCell ref="A53:B53"/>
    <mergeCell ref="C53:V53"/>
    <mergeCell ref="W53:AC53"/>
    <mergeCell ref="AE53:AL53"/>
    <mergeCell ref="A54:B54"/>
    <mergeCell ref="C54:V54"/>
    <mergeCell ref="W54:AC54"/>
    <mergeCell ref="AE54:AL54"/>
    <mergeCell ref="A55:B55"/>
    <mergeCell ref="C55:V55"/>
    <mergeCell ref="W55:AC55"/>
    <mergeCell ref="AE55:AL55"/>
    <mergeCell ref="A56:B56"/>
    <mergeCell ref="C56:V56"/>
    <mergeCell ref="W56:AC56"/>
    <mergeCell ref="AE56:AL56"/>
    <mergeCell ref="A57:B57"/>
    <mergeCell ref="C57:V57"/>
    <mergeCell ref="W57:AC57"/>
    <mergeCell ref="AE57:AL57"/>
    <mergeCell ref="A58:B58"/>
    <mergeCell ref="C58:V58"/>
    <mergeCell ref="W58:AC58"/>
    <mergeCell ref="AE58:AL58"/>
    <mergeCell ref="A59:B59"/>
    <mergeCell ref="C59:V59"/>
    <mergeCell ref="W59:AC59"/>
    <mergeCell ref="AE59:AL59"/>
    <mergeCell ref="A60:B60"/>
    <mergeCell ref="C60:V60"/>
    <mergeCell ref="W60:AC60"/>
    <mergeCell ref="AE60:AL60"/>
    <mergeCell ref="A61:B61"/>
    <mergeCell ref="C61:V61"/>
    <mergeCell ref="W61:AC61"/>
    <mergeCell ref="AE61:AL61"/>
    <mergeCell ref="A62:B62"/>
    <mergeCell ref="C62:V62"/>
    <mergeCell ref="W62:AC62"/>
    <mergeCell ref="AE62:AL62"/>
    <mergeCell ref="A63:B63"/>
    <mergeCell ref="C63:V63"/>
    <mergeCell ref="W63:AC63"/>
    <mergeCell ref="AE63:AL63"/>
    <mergeCell ref="A64:B64"/>
    <mergeCell ref="C64:V64"/>
    <mergeCell ref="W64:AC64"/>
    <mergeCell ref="AE64:AL64"/>
    <mergeCell ref="A65:B65"/>
    <mergeCell ref="C65:V65"/>
    <mergeCell ref="W65:AC65"/>
    <mergeCell ref="AE65:AL65"/>
    <mergeCell ref="A66:B66"/>
    <mergeCell ref="C66:V66"/>
    <mergeCell ref="W66:AC66"/>
    <mergeCell ref="AE66:AL66"/>
    <mergeCell ref="A67:B67"/>
    <mergeCell ref="C67:V67"/>
    <mergeCell ref="W67:AC67"/>
    <mergeCell ref="AE67:AL67"/>
    <mergeCell ref="A68:B68"/>
    <mergeCell ref="C68:V68"/>
    <mergeCell ref="W68:AC68"/>
    <mergeCell ref="AE68:AL68"/>
    <mergeCell ref="A69:B69"/>
    <mergeCell ref="C69:V69"/>
    <mergeCell ref="W69:AC69"/>
    <mergeCell ref="AE69:AL69"/>
    <mergeCell ref="A70:B70"/>
    <mergeCell ref="C70:V70"/>
    <mergeCell ref="W70:AC70"/>
    <mergeCell ref="AE70:AL70"/>
    <mergeCell ref="A71:B71"/>
    <mergeCell ref="C71:V71"/>
    <mergeCell ref="W71:AC71"/>
    <mergeCell ref="AE71:AL71"/>
    <mergeCell ref="A72:B72"/>
    <mergeCell ref="C72:V72"/>
    <mergeCell ref="W72:AC72"/>
    <mergeCell ref="AE72:AL72"/>
    <mergeCell ref="A73:B73"/>
    <mergeCell ref="C73:V73"/>
    <mergeCell ref="W73:AC73"/>
    <mergeCell ref="AE73:AL73"/>
    <mergeCell ref="A74:B74"/>
    <mergeCell ref="C74:V74"/>
    <mergeCell ref="W74:AC74"/>
    <mergeCell ref="AE74:AL74"/>
    <mergeCell ref="A75:B75"/>
    <mergeCell ref="C75:V75"/>
    <mergeCell ref="W75:AC75"/>
    <mergeCell ref="AE75:AL75"/>
    <mergeCell ref="A76:B76"/>
    <mergeCell ref="C76:V76"/>
    <mergeCell ref="W76:AC76"/>
    <mergeCell ref="AE76:AL76"/>
    <mergeCell ref="A77:B77"/>
    <mergeCell ref="C77:V77"/>
    <mergeCell ref="W77:AC77"/>
    <mergeCell ref="AE77:AL77"/>
    <mergeCell ref="A78:B78"/>
    <mergeCell ref="C78:V78"/>
    <mergeCell ref="W78:AC78"/>
    <mergeCell ref="AE78:AL78"/>
    <mergeCell ref="A79:B79"/>
    <mergeCell ref="C79:V79"/>
    <mergeCell ref="W79:AC79"/>
    <mergeCell ref="AE79:AL79"/>
    <mergeCell ref="A80:B80"/>
    <mergeCell ref="C80:V80"/>
    <mergeCell ref="W80:AC80"/>
    <mergeCell ref="AE80:AL80"/>
    <mergeCell ref="A81:B81"/>
    <mergeCell ref="C81:V81"/>
    <mergeCell ref="W81:AC81"/>
    <mergeCell ref="AE81:AL81"/>
    <mergeCell ref="A82:B82"/>
    <mergeCell ref="C82:V82"/>
    <mergeCell ref="W82:AC82"/>
    <mergeCell ref="AE82:AL82"/>
    <mergeCell ref="A83:B83"/>
    <mergeCell ref="C83:V83"/>
    <mergeCell ref="W83:AC83"/>
    <mergeCell ref="AE83:AL83"/>
    <mergeCell ref="A84:B84"/>
    <mergeCell ref="C84:V84"/>
    <mergeCell ref="W84:AC84"/>
    <mergeCell ref="AE84:AL84"/>
    <mergeCell ref="A85:B85"/>
    <mergeCell ref="C85:V85"/>
    <mergeCell ref="W85:AC85"/>
    <mergeCell ref="AE85:AL85"/>
    <mergeCell ref="A86:B86"/>
    <mergeCell ref="C86:V86"/>
    <mergeCell ref="W86:AC86"/>
    <mergeCell ref="AE86:AL86"/>
    <mergeCell ref="A87:B87"/>
    <mergeCell ref="C87:V87"/>
    <mergeCell ref="W87:AC87"/>
    <mergeCell ref="AE87:AL87"/>
    <mergeCell ref="A88:B88"/>
    <mergeCell ref="C88:V88"/>
    <mergeCell ref="W88:AC88"/>
    <mergeCell ref="AE88:AL88"/>
    <mergeCell ref="A89:B89"/>
    <mergeCell ref="C89:V89"/>
    <mergeCell ref="W89:AC89"/>
    <mergeCell ref="AE89:AL89"/>
    <mergeCell ref="A90:B90"/>
    <mergeCell ref="C90:V90"/>
    <mergeCell ref="W90:AC90"/>
    <mergeCell ref="AE90:AL90"/>
    <mergeCell ref="A91:B91"/>
    <mergeCell ref="C91:V91"/>
    <mergeCell ref="W91:AC91"/>
    <mergeCell ref="AE91:AL91"/>
    <mergeCell ref="A92:B92"/>
    <mergeCell ref="C92:V92"/>
    <mergeCell ref="W92:AC92"/>
    <mergeCell ref="AE92:AL92"/>
    <mergeCell ref="A93:B93"/>
    <mergeCell ref="C93:V93"/>
    <mergeCell ref="W93:AC93"/>
    <mergeCell ref="AE93:AL93"/>
    <mergeCell ref="A94:B94"/>
    <mergeCell ref="C94:V94"/>
    <mergeCell ref="W94:AC94"/>
    <mergeCell ref="AE94:AL94"/>
    <mergeCell ref="A97:B97"/>
    <mergeCell ref="C97:V97"/>
    <mergeCell ref="W97:AC97"/>
    <mergeCell ref="AE97:AL97"/>
    <mergeCell ref="A98:B98"/>
    <mergeCell ref="C98:V98"/>
    <mergeCell ref="W98:AC98"/>
    <mergeCell ref="AE98:AL98"/>
    <mergeCell ref="A99:B99"/>
    <mergeCell ref="C99:V99"/>
    <mergeCell ref="W99:AC99"/>
    <mergeCell ref="AE99:AL99"/>
    <mergeCell ref="A100:B100"/>
    <mergeCell ref="C100:V100"/>
    <mergeCell ref="W100:AC100"/>
    <mergeCell ref="AE100:AL100"/>
    <mergeCell ref="A101:B101"/>
    <mergeCell ref="A102:B102"/>
    <mergeCell ref="C102:V102"/>
    <mergeCell ref="W102:AC102"/>
    <mergeCell ref="AE102:AL102"/>
    <mergeCell ref="A103:B103"/>
    <mergeCell ref="C103:V103"/>
    <mergeCell ref="W103:AC103"/>
    <mergeCell ref="AE103:AL103"/>
    <mergeCell ref="A104:B104"/>
    <mergeCell ref="A105:B105"/>
    <mergeCell ref="C105:V105"/>
    <mergeCell ref="W105:AC105"/>
    <mergeCell ref="AE105:AL105"/>
    <mergeCell ref="A106:B106"/>
    <mergeCell ref="C106:V106"/>
    <mergeCell ref="W106:AC106"/>
    <mergeCell ref="AE106:AL106"/>
    <mergeCell ref="A107:B107"/>
    <mergeCell ref="C107:V107"/>
    <mergeCell ref="W107:AC107"/>
    <mergeCell ref="AE107:AL107"/>
    <mergeCell ref="A108:B108"/>
    <mergeCell ref="A109:B109"/>
    <mergeCell ref="C109:V109"/>
    <mergeCell ref="W109:AC109"/>
    <mergeCell ref="AE109:AL109"/>
    <mergeCell ref="A110:B110"/>
    <mergeCell ref="C110:V110"/>
    <mergeCell ref="W110:AC110"/>
    <mergeCell ref="AE110:AL110"/>
    <mergeCell ref="A111:B111"/>
    <mergeCell ref="A112:B112"/>
    <mergeCell ref="C112:V112"/>
    <mergeCell ref="W112:AC112"/>
    <mergeCell ref="AE112:AL112"/>
    <mergeCell ref="L113:V113"/>
    <mergeCell ref="W113:AC113"/>
    <mergeCell ref="AE113:AL113"/>
    <mergeCell ref="L114:V114"/>
    <mergeCell ref="W114:AC114"/>
    <mergeCell ref="AE114:AL114"/>
    <mergeCell ref="L115:V115"/>
    <mergeCell ref="W115:AC115"/>
    <mergeCell ref="AE115:AL115"/>
    <mergeCell ref="L116:V116"/>
    <mergeCell ref="W116:AC116"/>
    <mergeCell ref="AE116:AL116"/>
    <mergeCell ref="A117:B117"/>
    <mergeCell ref="A118:B118"/>
    <mergeCell ref="C118:V118"/>
    <mergeCell ref="W118:AC118"/>
    <mergeCell ref="AE118:AL118"/>
    <mergeCell ref="A119:B119"/>
    <mergeCell ref="C119:V119"/>
    <mergeCell ref="W119:AC119"/>
    <mergeCell ref="AE119:AL119"/>
    <mergeCell ref="A120:B120"/>
    <mergeCell ref="A121:B121"/>
    <mergeCell ref="C121:V121"/>
    <mergeCell ref="W121:AC121"/>
    <mergeCell ref="AE121:AL121"/>
    <mergeCell ref="A122:B122"/>
    <mergeCell ref="C122:V122"/>
    <mergeCell ref="W122:AC122"/>
    <mergeCell ref="AE122:AL122"/>
    <mergeCell ref="L123:V123"/>
    <mergeCell ref="W123:AC123"/>
    <mergeCell ref="AE123:AL123"/>
    <mergeCell ref="L124:V124"/>
    <mergeCell ref="W124:AC124"/>
    <mergeCell ref="AE124:AL124"/>
    <mergeCell ref="L125:V125"/>
    <mergeCell ref="W125:AC125"/>
    <mergeCell ref="AE125:AL125"/>
    <mergeCell ref="L126:V126"/>
    <mergeCell ref="W126:AC126"/>
    <mergeCell ref="AE126:AL126"/>
    <mergeCell ref="L127:V127"/>
    <mergeCell ref="W127:AC127"/>
    <mergeCell ref="AE127:AL127"/>
    <mergeCell ref="L128:V128"/>
    <mergeCell ref="W128:AC128"/>
    <mergeCell ref="AE128:AL128"/>
    <mergeCell ref="L129:V129"/>
    <mergeCell ref="W129:AC129"/>
    <mergeCell ref="AE129:AL129"/>
    <mergeCell ref="L130:V130"/>
    <mergeCell ref="W130:AC130"/>
    <mergeCell ref="AE130:AL130"/>
    <mergeCell ref="A131:B131"/>
    <mergeCell ref="A132:B132"/>
    <mergeCell ref="C132:V132"/>
    <mergeCell ref="W132:AC132"/>
    <mergeCell ref="AE132:AL132"/>
    <mergeCell ref="A133:B133"/>
    <mergeCell ref="C133:V133"/>
    <mergeCell ref="W133:AC133"/>
    <mergeCell ref="AE133:AL133"/>
    <mergeCell ref="A134:B134"/>
    <mergeCell ref="C134:V134"/>
    <mergeCell ref="W134:AC134"/>
    <mergeCell ref="AE134:AL134"/>
    <mergeCell ref="A135:B135"/>
    <mergeCell ref="C135:V135"/>
    <mergeCell ref="W135:AC135"/>
    <mergeCell ref="AE135:AL135"/>
    <mergeCell ref="A136:B136"/>
    <mergeCell ref="C136:V136"/>
    <mergeCell ref="W136:AC136"/>
    <mergeCell ref="AE136:AL136"/>
    <mergeCell ref="A137:B137"/>
    <mergeCell ref="C137:V137"/>
    <mergeCell ref="W137:AC137"/>
    <mergeCell ref="AE137:AL137"/>
    <mergeCell ref="C139:C145"/>
    <mergeCell ref="C146:C150"/>
    <mergeCell ref="D139:D145"/>
    <mergeCell ref="D146:D150"/>
    <mergeCell ref="A123:B126"/>
    <mergeCell ref="C123:J126"/>
    <mergeCell ref="A113:B116"/>
    <mergeCell ref="C113:J116"/>
    <mergeCell ref="I1:J6"/>
    <mergeCell ref="O3:AE4"/>
    <mergeCell ref="O5:AE6"/>
    <mergeCell ref="A14:B21"/>
    <mergeCell ref="C14:J21"/>
    <mergeCell ref="A25:B26"/>
    <mergeCell ref="C25:J26"/>
    <mergeCell ref="A139:B150"/>
    <mergeCell ref="W147:AB148"/>
    <mergeCell ref="W144:AB145"/>
    <mergeCell ref="F149:V150"/>
    <mergeCell ref="W149:AB150"/>
    <mergeCell ref="AC149:AL150"/>
    <mergeCell ref="AC142:AK143"/>
    <mergeCell ref="AC144:AL145"/>
    <mergeCell ref="AC147:AK148"/>
    <mergeCell ref="F144:V145"/>
    <mergeCell ref="W142:AB143"/>
    <mergeCell ref="F139:AL141"/>
    <mergeCell ref="A127:B130"/>
    <mergeCell ref="C127:J130"/>
  </mergeCells>
  <pageMargins left="0.708661417322835" right="0.708661417322835" top="0.748031496062992" bottom="0.748031496062992" header="0.31496062992126" footer="0.31496062992126"/>
  <pageSetup paperSize="9" scale="75" fitToHeight="0" orientation="portrait"/>
  <headerFooter/>
  <rowBreaks count="2" manualBreakCount="2">
    <brk id="50" max="16383" man="1"/>
    <brk id="9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5">
    <tabColor theme="9" tint="0.399975585192419"/>
    <pageSetUpPr fitToPage="1"/>
  </sheetPr>
  <dimension ref="A1:BH39"/>
  <sheetViews>
    <sheetView showGridLines="0" workbookViewId="0">
      <selection activeCell="BM22" sqref="BM22"/>
    </sheetView>
  </sheetViews>
  <sheetFormatPr defaultColWidth="3.28571428571429" defaultRowHeight="14.25"/>
  <cols>
    <col min="1" max="1" width="3.85714285714286" style="570" customWidth="1"/>
    <col min="2" max="18" width="2.57142857142857" style="570" customWidth="1"/>
    <col min="19" max="16384" width="3.28571428571429" style="570"/>
  </cols>
  <sheetData>
    <row r="1" s="690" customFormat="1" ht="21" customHeight="1" spans="1:60">
      <c r="A1" s="2904" t="s">
        <v>6619</v>
      </c>
      <c r="B1" s="2905"/>
      <c r="C1" s="2905"/>
      <c r="D1" s="2905"/>
      <c r="E1" s="2905"/>
      <c r="F1" s="2905"/>
      <c r="G1" s="2905"/>
      <c r="H1" s="2905"/>
      <c r="I1" s="2905"/>
      <c r="J1" s="2905"/>
      <c r="K1" s="2905"/>
      <c r="L1" s="2905"/>
      <c r="M1" s="2905"/>
      <c r="N1" s="2905"/>
      <c r="O1" s="2905"/>
      <c r="P1" s="2906"/>
      <c r="Q1" s="3040" t="s">
        <v>6554</v>
      </c>
      <c r="R1" s="3041"/>
      <c r="S1" s="3041"/>
      <c r="T1" s="3042"/>
      <c r="U1" s="3043" t="s">
        <v>6555</v>
      </c>
      <c r="V1" s="697"/>
      <c r="W1" s="697"/>
      <c r="X1" s="697"/>
      <c r="Y1" s="697"/>
      <c r="Z1" s="698" t="str">
        <f>UnosPod!F8</f>
        <v>LILIUM ASSET MANAGEMENT d.o.o. Sarajevo</v>
      </c>
      <c r="AA1" s="698"/>
      <c r="AB1" s="698"/>
      <c r="AC1" s="698"/>
      <c r="AD1" s="698"/>
      <c r="AE1" s="698"/>
      <c r="AF1" s="698"/>
      <c r="AG1" s="698"/>
      <c r="AH1" s="698"/>
      <c r="AI1" s="698"/>
      <c r="AJ1" s="698"/>
      <c r="AK1" s="698"/>
      <c r="AL1" s="698"/>
      <c r="AM1" s="698"/>
      <c r="AN1" s="698"/>
      <c r="AO1" s="698"/>
      <c r="AP1" s="698"/>
      <c r="AQ1" s="698"/>
      <c r="AR1" s="698"/>
      <c r="AS1" s="698"/>
      <c r="AT1" s="698"/>
      <c r="AU1" s="699"/>
      <c r="AV1" s="2904" t="s">
        <v>6489</v>
      </c>
      <c r="AW1" s="2905"/>
      <c r="AX1" s="2905"/>
      <c r="AY1" s="2905"/>
      <c r="AZ1" s="2905"/>
      <c r="BA1" s="2905"/>
      <c r="BB1" s="2905"/>
      <c r="BC1" s="2905"/>
      <c r="BD1" s="2905"/>
      <c r="BE1" s="2905"/>
      <c r="BF1" s="2905"/>
      <c r="BG1" s="2905"/>
      <c r="BH1" s="2906"/>
    </row>
    <row r="2" s="690" customFormat="1" ht="21" customHeight="1" spans="1:60">
      <c r="A2" s="3044"/>
      <c r="B2" s="3045"/>
      <c r="C2" s="3045"/>
      <c r="D2" s="3045"/>
      <c r="E2" s="3045"/>
      <c r="F2" s="3045"/>
      <c r="G2" s="3045"/>
      <c r="H2" s="3045"/>
      <c r="I2" s="3045"/>
      <c r="J2" s="3045"/>
      <c r="K2" s="3045"/>
      <c r="L2" s="3045"/>
      <c r="M2" s="3045"/>
      <c r="N2" s="3045"/>
      <c r="O2" s="3045"/>
      <c r="P2" s="3046"/>
      <c r="Q2" s="3047"/>
      <c r="R2" s="3048"/>
      <c r="S2" s="3048"/>
      <c r="T2" s="3049"/>
      <c r="U2" s="3043" t="s">
        <v>6556</v>
      </c>
      <c r="V2" s="697"/>
      <c r="W2" s="697"/>
      <c r="X2" s="697"/>
      <c r="Y2" s="697"/>
      <c r="Z2" s="709">
        <f>UnosPod!AA8</f>
        <v>4</v>
      </c>
      <c r="AA2" s="709">
        <f>UnosPod!AB8</f>
        <v>2</v>
      </c>
      <c r="AB2" s="709">
        <f>UnosPod!AC8</f>
        <v>0</v>
      </c>
      <c r="AC2" s="709">
        <f>UnosPod!AD8</f>
        <v>1</v>
      </c>
      <c r="AD2" s="709">
        <f>UnosPod!AE8</f>
        <v>3</v>
      </c>
      <c r="AE2" s="709">
        <f>UnosPod!AF8</f>
        <v>3</v>
      </c>
      <c r="AF2" s="709">
        <f>UnosPod!AG8</f>
        <v>7</v>
      </c>
      <c r="AG2" s="709">
        <f>UnosPod!AH8</f>
        <v>6</v>
      </c>
      <c r="AH2" s="709">
        <f>UnosPod!AI8</f>
        <v>7</v>
      </c>
      <c r="AI2" s="709">
        <f>UnosPod!AJ8</f>
        <v>0</v>
      </c>
      <c r="AJ2" s="709">
        <f>UnosPod!AK8</f>
        <v>0</v>
      </c>
      <c r="AK2" s="709">
        <f>UnosPod!AL8</f>
        <v>0</v>
      </c>
      <c r="AL2" s="709">
        <f>UnosPod!AM8</f>
        <v>9</v>
      </c>
      <c r="AM2" s="709"/>
      <c r="AO2" s="710"/>
      <c r="AP2" s="710"/>
      <c r="AQ2" s="710"/>
      <c r="AR2" s="710"/>
      <c r="AS2" s="710"/>
      <c r="AT2" s="710"/>
      <c r="AU2" s="710"/>
      <c r="AV2" s="711"/>
      <c r="BH2" s="712"/>
    </row>
    <row r="3" s="690" customFormat="1" ht="11.25" customHeight="1" spans="1:60">
      <c r="A3" s="3050" t="s">
        <v>6490</v>
      </c>
      <c r="B3" s="3051"/>
      <c r="C3" s="3051"/>
      <c r="D3" s="3051"/>
      <c r="E3" s="3051"/>
      <c r="F3" s="3051"/>
      <c r="G3" s="3051"/>
      <c r="H3" s="3051"/>
      <c r="I3" s="3051"/>
      <c r="J3" s="3051"/>
      <c r="K3" s="3051"/>
      <c r="L3" s="3051"/>
      <c r="M3" s="3051"/>
      <c r="N3" s="3051"/>
      <c r="O3" s="3051"/>
      <c r="P3" s="3052"/>
      <c r="Q3" s="3047"/>
      <c r="R3" s="3048"/>
      <c r="S3" s="3048"/>
      <c r="T3" s="3049"/>
      <c r="U3" s="742"/>
      <c r="V3" s="708"/>
      <c r="W3" s="708"/>
      <c r="X3" s="708"/>
      <c r="Y3" s="708"/>
      <c r="Z3" s="2976" t="str">
        <f>UnosPod!F10</f>
        <v>Dženetića čikma br.8</v>
      </c>
      <c r="AA3" s="2976"/>
      <c r="AB3" s="2976"/>
      <c r="AC3" s="2976"/>
      <c r="AD3" s="2976"/>
      <c r="AE3" s="2976"/>
      <c r="AF3" s="2976"/>
      <c r="AG3" s="2976"/>
      <c r="AH3" s="2976"/>
      <c r="AI3" s="2976"/>
      <c r="AJ3" s="2976"/>
      <c r="AK3" s="2976"/>
      <c r="AL3" s="2976"/>
      <c r="AM3" s="2976"/>
      <c r="AN3" s="2976"/>
      <c r="AO3" s="2976"/>
      <c r="AP3" s="2976"/>
      <c r="AQ3" s="2976"/>
      <c r="AR3" s="2976"/>
      <c r="AS3" s="2976"/>
      <c r="AT3" s="2976"/>
      <c r="AU3" s="2977"/>
      <c r="AV3" s="711"/>
      <c r="BH3" s="712"/>
    </row>
    <row r="4" s="690" customFormat="1" ht="11.25" customHeight="1" spans="1:60">
      <c r="A4" s="3050" t="s">
        <v>6491</v>
      </c>
      <c r="B4" s="3051"/>
      <c r="C4" s="3051"/>
      <c r="D4" s="3051"/>
      <c r="E4" s="3051"/>
      <c r="F4" s="3051"/>
      <c r="G4" s="3051"/>
      <c r="H4" s="3051"/>
      <c r="I4" s="3051"/>
      <c r="J4" s="3051"/>
      <c r="K4" s="3051"/>
      <c r="L4" s="3051"/>
      <c r="M4" s="3051"/>
      <c r="N4" s="3051"/>
      <c r="O4" s="3051"/>
      <c r="P4" s="3052"/>
      <c r="Q4" s="3047"/>
      <c r="R4" s="3048"/>
      <c r="S4" s="3048"/>
      <c r="T4" s="3049"/>
      <c r="U4" s="747" t="s">
        <v>6498</v>
      </c>
      <c r="V4" s="717"/>
      <c r="W4" s="717"/>
      <c r="X4" s="717"/>
      <c r="Y4" s="717"/>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9"/>
      <c r="AV4" s="720"/>
      <c r="BH4" s="712"/>
    </row>
    <row r="5" s="690" customFormat="1" ht="11.25" customHeight="1" spans="1:60">
      <c r="A5" s="3050" t="s">
        <v>6492</v>
      </c>
      <c r="B5" s="3051"/>
      <c r="C5" s="3051"/>
      <c r="D5" s="3051"/>
      <c r="E5" s="3051"/>
      <c r="F5" s="3051"/>
      <c r="G5" s="3051"/>
      <c r="H5" s="3051"/>
      <c r="I5" s="3051"/>
      <c r="J5" s="3051"/>
      <c r="K5" s="3051"/>
      <c r="L5" s="3051"/>
      <c r="M5" s="3051"/>
      <c r="N5" s="3051"/>
      <c r="O5" s="3051"/>
      <c r="P5" s="3052"/>
      <c r="Q5" s="3047"/>
      <c r="R5" s="3048"/>
      <c r="S5" s="3048"/>
      <c r="T5" s="3049"/>
      <c r="U5" s="742"/>
      <c r="V5" s="708"/>
      <c r="W5" s="708"/>
      <c r="X5" s="708"/>
      <c r="Y5" s="708"/>
      <c r="Z5" s="710" t="str">
        <f>Baza!I21</f>
        <v>Sarajevo-Stari Grad</v>
      </c>
      <c r="AA5" s="710"/>
      <c r="AB5" s="710"/>
      <c r="AC5" s="710"/>
      <c r="AD5" s="710"/>
      <c r="AE5" s="710"/>
      <c r="AF5" s="710"/>
      <c r="AG5" s="710"/>
      <c r="AH5" s="710"/>
      <c r="AI5" s="710"/>
      <c r="AJ5" s="710"/>
      <c r="AK5" s="710"/>
      <c r="AL5" s="710"/>
      <c r="AM5" s="710"/>
      <c r="AN5" s="710"/>
      <c r="AO5" s="710"/>
      <c r="AP5" s="710"/>
      <c r="AQ5" s="710"/>
      <c r="AR5" s="710"/>
      <c r="AS5" s="710"/>
      <c r="AT5" s="710"/>
      <c r="AU5" s="2980"/>
      <c r="AV5" s="720"/>
      <c r="BH5" s="712"/>
    </row>
    <row r="6" s="690" customFormat="1" ht="13.5" customHeight="1" spans="1:60">
      <c r="A6" s="3053" t="s">
        <v>6641</v>
      </c>
      <c r="B6" s="3054"/>
      <c r="C6" s="3054"/>
      <c r="D6" s="3054"/>
      <c r="E6" s="3054"/>
      <c r="F6" s="3054"/>
      <c r="G6" s="3054"/>
      <c r="H6" s="3054"/>
      <c r="I6" s="3054"/>
      <c r="J6" s="3054"/>
      <c r="K6" s="3054"/>
      <c r="L6" s="3054"/>
      <c r="M6" s="3054"/>
      <c r="N6" s="3054"/>
      <c r="O6" s="3054"/>
      <c r="P6" s="3055"/>
      <c r="Q6" s="3056"/>
      <c r="R6" s="3057"/>
      <c r="S6" s="3057"/>
      <c r="T6" s="3058"/>
      <c r="U6" s="747" t="s">
        <v>6559</v>
      </c>
      <c r="V6" s="717"/>
      <c r="W6" s="717"/>
      <c r="X6" s="717"/>
      <c r="Y6" s="717"/>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2"/>
      <c r="AV6" s="730"/>
      <c r="AW6" s="717"/>
      <c r="AX6" s="717"/>
      <c r="AY6" s="717"/>
      <c r="AZ6" s="717"/>
      <c r="BA6" s="717"/>
      <c r="BB6" s="717"/>
      <c r="BC6" s="717"/>
      <c r="BD6" s="717"/>
      <c r="BE6" s="717"/>
      <c r="BF6" s="717"/>
      <c r="BG6" s="717"/>
      <c r="BH6" s="731"/>
    </row>
    <row r="7" s="690" customFormat="1" ht="27" customHeight="1" spans="1:60">
      <c r="A7" s="2918" t="s">
        <v>6642</v>
      </c>
      <c r="B7" s="2918"/>
      <c r="C7" s="2918"/>
      <c r="D7" s="2918"/>
      <c r="E7" s="2918"/>
      <c r="F7" s="2918"/>
      <c r="G7" s="2918"/>
      <c r="H7" s="2918"/>
      <c r="I7" s="2918"/>
      <c r="J7" s="2918"/>
      <c r="K7" s="2918"/>
      <c r="L7" s="2918"/>
      <c r="M7" s="2918"/>
      <c r="N7" s="2918"/>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row>
    <row r="8" s="690" customFormat="1" ht="8.25" customHeight="1" spans="1:60">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AT8" s="733"/>
      <c r="AU8" s="733"/>
      <c r="AV8" s="733"/>
      <c r="AW8" s="733"/>
      <c r="AX8" s="733"/>
      <c r="AY8" s="733"/>
      <c r="AZ8" s="733"/>
      <c r="BA8" s="733"/>
      <c r="BB8" s="733"/>
      <c r="BC8" s="733"/>
      <c r="BD8" s="733"/>
      <c r="BE8" s="733"/>
      <c r="BF8" s="733"/>
      <c r="BG8" s="733"/>
      <c r="BH8" s="733"/>
    </row>
    <row r="9" s="690" customFormat="1" ht="18" customHeight="1" spans="1:60">
      <c r="A9" s="734" t="str">
        <f>"za "&amp;Text!B8</f>
        <v>za period</v>
      </c>
      <c r="B9" s="734"/>
      <c r="C9" s="734"/>
      <c r="D9" s="734"/>
      <c r="E9" s="734"/>
      <c r="F9" s="734"/>
      <c r="G9" s="734"/>
      <c r="H9" s="734"/>
      <c r="I9" s="734"/>
      <c r="J9" s="734"/>
      <c r="K9" s="734"/>
      <c r="L9" s="734"/>
      <c r="M9" s="734"/>
      <c r="N9" s="734"/>
      <c r="O9" s="734"/>
      <c r="P9" s="734"/>
      <c r="Q9" s="734"/>
      <c r="R9" s="734"/>
      <c r="S9" s="734"/>
      <c r="V9" s="736" t="str">
        <f>UnosPod!F6&amp;UnosPod!G6</f>
        <v>01</v>
      </c>
      <c r="W9" s="737"/>
      <c r="X9" s="736" t="str">
        <f>UnosPod!H6&amp;UnosPod!I6</f>
        <v>01</v>
      </c>
      <c r="Y9" s="737"/>
      <c r="Z9" s="736">
        <f>UnosPod!J6</f>
        <v>2025</v>
      </c>
      <c r="AA9" s="738"/>
      <c r="AB9" s="738"/>
      <c r="AC9" s="737"/>
      <c r="AD9" s="739" t="s">
        <v>12</v>
      </c>
      <c r="AE9" s="740"/>
      <c r="AF9" s="740"/>
      <c r="AG9" s="740"/>
      <c r="AH9" s="740"/>
      <c r="AI9" s="740"/>
      <c r="AJ9" s="3059"/>
      <c r="AK9" s="736" t="str">
        <f>UnosPod!M6&amp;UnosPod!N6</f>
        <v>31</v>
      </c>
      <c r="AL9" s="737"/>
      <c r="AM9" s="736" t="str">
        <f>UnosPod!O6&amp;UnosPod!P6</f>
        <v>12</v>
      </c>
      <c r="AN9" s="737"/>
      <c r="AO9" s="736">
        <f>UnosPod!Q6</f>
        <v>2025</v>
      </c>
      <c r="AP9" s="738"/>
      <c r="AQ9" s="738"/>
      <c r="AR9" s="737"/>
    </row>
    <row r="10" ht="5.25" customHeight="1"/>
    <row r="11" s="572" customFormat="1" ht="12.75" spans="1:60">
      <c r="A11" s="3060"/>
      <c r="B11" s="3061"/>
      <c r="C11" s="3062"/>
      <c r="D11" s="3062"/>
      <c r="E11" s="3062"/>
      <c r="F11" s="3062"/>
      <c r="G11" s="3062"/>
      <c r="H11" s="3062"/>
      <c r="I11" s="3062"/>
      <c r="J11" s="3062"/>
      <c r="K11" s="3062"/>
      <c r="L11" s="3062"/>
      <c r="M11" s="3062"/>
      <c r="N11" s="3062"/>
      <c r="O11" s="3062"/>
      <c r="P11" s="3062"/>
      <c r="Q11" s="3062"/>
      <c r="R11" s="3063"/>
      <c r="S11" s="3064" t="s">
        <v>6643</v>
      </c>
      <c r="T11" s="3064"/>
      <c r="U11" s="3064"/>
      <c r="V11" s="3064"/>
      <c r="W11" s="3064"/>
      <c r="X11" s="3064"/>
      <c r="Y11" s="3064"/>
      <c r="Z11" s="3064"/>
      <c r="AA11" s="3064"/>
      <c r="AB11" s="3064"/>
      <c r="AC11" s="3064"/>
      <c r="AD11" s="3064"/>
      <c r="AE11" s="3064"/>
      <c r="AF11" s="3064"/>
      <c r="AG11" s="3064"/>
      <c r="AH11" s="3064"/>
      <c r="AI11" s="3064"/>
      <c r="AJ11" s="3064"/>
      <c r="AK11" s="3064"/>
      <c r="AL11" s="3064"/>
      <c r="AM11" s="3064"/>
      <c r="AN11" s="3064"/>
      <c r="AO11" s="3064"/>
      <c r="AP11" s="3064"/>
      <c r="AQ11" s="3064"/>
      <c r="AR11" s="3064"/>
      <c r="AS11" s="3064"/>
      <c r="AT11" s="3064"/>
      <c r="AU11" s="3064"/>
      <c r="AV11" s="3064"/>
      <c r="AW11" s="3064"/>
      <c r="AX11" s="3064"/>
      <c r="AY11" s="3064"/>
      <c r="AZ11" s="3064"/>
      <c r="BA11" s="3064"/>
      <c r="BB11" s="3064"/>
      <c r="BC11" s="3064"/>
      <c r="BD11" s="3064"/>
      <c r="BE11" s="3064"/>
      <c r="BF11" s="3064"/>
      <c r="BG11" s="3064"/>
      <c r="BH11" s="3064"/>
    </row>
    <row r="12" s="2084" customFormat="1" ht="17.25" customHeight="1" spans="1:60">
      <c r="A12" s="3065" t="s">
        <v>5799</v>
      </c>
      <c r="B12" s="3066" t="s">
        <v>4178</v>
      </c>
      <c r="C12" s="3067"/>
      <c r="D12" s="3067"/>
      <c r="E12" s="3067"/>
      <c r="F12" s="3067"/>
      <c r="G12" s="3067"/>
      <c r="H12" s="3067"/>
      <c r="I12" s="3067"/>
      <c r="J12" s="3067"/>
      <c r="K12" s="3067"/>
      <c r="L12" s="3067"/>
      <c r="M12" s="3067"/>
      <c r="N12" s="3067"/>
      <c r="O12" s="3067"/>
      <c r="P12" s="3067"/>
      <c r="Q12" s="3067"/>
      <c r="R12" s="3068"/>
      <c r="S12" s="3069">
        <f ca="1">UnosPorBilans!B6</f>
        <v>2020</v>
      </c>
      <c r="T12" s="3069"/>
      <c r="U12" s="3069"/>
      <c r="V12" s="3069"/>
      <c r="W12" s="3069"/>
      <c r="X12" s="3069"/>
      <c r="Y12" s="3069">
        <f ca="1">UnosPorBilans!J5</f>
        <v>2021</v>
      </c>
      <c r="Z12" s="3069"/>
      <c r="AA12" s="3069"/>
      <c r="AB12" s="3069"/>
      <c r="AC12" s="3069"/>
      <c r="AD12" s="3069"/>
      <c r="AE12" s="3069">
        <f ca="1">UnosPorBilans!O5</f>
        <v>2022</v>
      </c>
      <c r="AF12" s="3069"/>
      <c r="AG12" s="3069"/>
      <c r="AH12" s="3069"/>
      <c r="AI12" s="3069"/>
      <c r="AJ12" s="3069"/>
      <c r="AK12" s="3069">
        <f ca="1">UnosPorBilans!T5</f>
        <v>2023</v>
      </c>
      <c r="AL12" s="3069"/>
      <c r="AM12" s="3069"/>
      <c r="AN12" s="3069"/>
      <c r="AO12" s="3069"/>
      <c r="AP12" s="3069"/>
      <c r="AQ12" s="3069">
        <f ca="1">UnosPorBilans!Y5</f>
        <v>2024</v>
      </c>
      <c r="AR12" s="3069"/>
      <c r="AS12" s="3069"/>
      <c r="AT12" s="3069"/>
      <c r="AU12" s="3069"/>
      <c r="AV12" s="3069"/>
      <c r="AW12" s="3069">
        <f ca="1">UnosPorBilans!AD5</f>
        <v>2025</v>
      </c>
      <c r="AX12" s="3069"/>
      <c r="AY12" s="3069"/>
      <c r="AZ12" s="3069"/>
      <c r="BA12" s="3069"/>
      <c r="BB12" s="3069"/>
      <c r="BC12" s="3070" t="s">
        <v>6644</v>
      </c>
      <c r="BD12" s="3070"/>
      <c r="BE12" s="3070"/>
      <c r="BF12" s="3070"/>
      <c r="BG12" s="3070"/>
      <c r="BH12" s="3070"/>
    </row>
    <row r="13" s="572" customFormat="1" ht="12.75" spans="1:60">
      <c r="A13" s="3071"/>
      <c r="B13" s="3072"/>
      <c r="C13" s="3073"/>
      <c r="D13" s="3073"/>
      <c r="E13" s="3073"/>
      <c r="F13" s="3073"/>
      <c r="G13" s="3073"/>
      <c r="H13" s="3073"/>
      <c r="I13" s="3073"/>
      <c r="J13" s="3073"/>
      <c r="K13" s="3073"/>
      <c r="L13" s="3073"/>
      <c r="M13" s="3073"/>
      <c r="N13" s="3073"/>
      <c r="O13" s="3073"/>
      <c r="P13" s="3073"/>
      <c r="Q13" s="3073"/>
      <c r="R13" s="3074"/>
      <c r="S13" s="3075" t="s">
        <v>6645</v>
      </c>
      <c r="T13" s="3075"/>
      <c r="U13" s="3075"/>
      <c r="V13" s="3075"/>
      <c r="W13" s="3075"/>
      <c r="X13" s="3075"/>
      <c r="Y13" s="3075" t="s">
        <v>6646</v>
      </c>
      <c r="Z13" s="3075"/>
      <c r="AA13" s="3075"/>
      <c r="AB13" s="3075"/>
      <c r="AC13" s="3075"/>
      <c r="AD13" s="3075"/>
      <c r="AE13" s="3075" t="s">
        <v>6647</v>
      </c>
      <c r="AF13" s="3075"/>
      <c r="AG13" s="3075"/>
      <c r="AH13" s="3075"/>
      <c r="AI13" s="3075"/>
      <c r="AJ13" s="3075"/>
      <c r="AK13" s="3075" t="s">
        <v>6648</v>
      </c>
      <c r="AL13" s="3075"/>
      <c r="AM13" s="3075"/>
      <c r="AN13" s="3075"/>
      <c r="AO13" s="3075"/>
      <c r="AP13" s="3075"/>
      <c r="AQ13" s="3075" t="s">
        <v>6649</v>
      </c>
      <c r="AR13" s="3075"/>
      <c r="AS13" s="3075"/>
      <c r="AT13" s="3075"/>
      <c r="AU13" s="3075"/>
      <c r="AV13" s="3075"/>
      <c r="AW13" s="3075" t="s">
        <v>6650</v>
      </c>
      <c r="AX13" s="3075"/>
      <c r="AY13" s="3075"/>
      <c r="AZ13" s="3075"/>
      <c r="BA13" s="3075"/>
      <c r="BB13" s="3075"/>
      <c r="BC13" s="3075"/>
      <c r="BD13" s="3075"/>
      <c r="BE13" s="3075"/>
      <c r="BF13" s="3075"/>
      <c r="BG13" s="3075"/>
      <c r="BH13" s="3075"/>
    </row>
    <row r="14" ht="21" customHeight="1" spans="1:60">
      <c r="A14" s="3076" t="s">
        <v>6651</v>
      </c>
      <c r="B14" s="3077" t="str">
        <f ca="1">"Porezni gubitak za "&amp;UnosPorBilans!B6&amp;". (-5 god.)"</f>
        <v>Porezni gubitak za 2020. (-5 god.)</v>
      </c>
      <c r="C14" s="3078"/>
      <c r="D14" s="3078"/>
      <c r="E14" s="3079"/>
      <c r="F14" s="3079"/>
      <c r="G14" s="3079"/>
      <c r="H14" s="3079"/>
      <c r="I14" s="3079"/>
      <c r="J14" s="3079"/>
      <c r="K14" s="3079"/>
      <c r="L14" s="3079"/>
      <c r="M14" s="3079"/>
      <c r="N14" s="3079"/>
      <c r="O14" s="3079"/>
      <c r="P14" s="3079"/>
      <c r="Q14" s="3079"/>
      <c r="R14" s="3080"/>
      <c r="S14" s="3081">
        <f>UnosPorBilans!E6</f>
        <v>0</v>
      </c>
      <c r="T14" s="3081"/>
      <c r="U14" s="3081"/>
      <c r="V14" s="3081"/>
      <c r="W14" s="3081"/>
      <c r="X14" s="3081"/>
      <c r="Y14" s="3082"/>
      <c r="Z14" s="3083"/>
      <c r="AA14" s="3083"/>
      <c r="AB14" s="3083"/>
      <c r="AC14" s="3083"/>
      <c r="AD14" s="3083"/>
      <c r="AE14" s="3083"/>
      <c r="AF14" s="3083"/>
      <c r="AG14" s="3083"/>
      <c r="AH14" s="3083"/>
      <c r="AI14" s="3083"/>
      <c r="AJ14" s="3083"/>
      <c r="AK14" s="3083"/>
      <c r="AL14" s="3083"/>
      <c r="AM14" s="3083"/>
      <c r="AN14" s="3083"/>
      <c r="AO14" s="3083"/>
      <c r="AP14" s="3083"/>
      <c r="AQ14" s="3083"/>
      <c r="AR14" s="3083"/>
      <c r="AS14" s="3083"/>
      <c r="AT14" s="3083"/>
      <c r="AU14" s="3083"/>
      <c r="AV14" s="3083"/>
      <c r="AW14" s="3083"/>
      <c r="AX14" s="3083"/>
      <c r="AY14" s="3083"/>
      <c r="AZ14" s="3083"/>
      <c r="BA14" s="3083"/>
      <c r="BB14" s="3083"/>
      <c r="BC14" s="3083"/>
      <c r="BD14" s="3083"/>
      <c r="BE14" s="3083"/>
      <c r="BF14" s="3083"/>
      <c r="BG14" s="3083"/>
      <c r="BH14" s="3084"/>
    </row>
    <row r="15" ht="21" customHeight="1" spans="1:60">
      <c r="A15" s="3076" t="s">
        <v>6652</v>
      </c>
      <c r="B15" s="3077" t="s">
        <v>6653</v>
      </c>
      <c r="C15" s="3078"/>
      <c r="D15" s="3078"/>
      <c r="E15" s="3079"/>
      <c r="F15" s="3079"/>
      <c r="G15" s="3079"/>
      <c r="H15" s="3079"/>
      <c r="I15" s="3079"/>
      <c r="J15" s="3079"/>
      <c r="K15" s="3079"/>
      <c r="L15" s="3079"/>
      <c r="M15" s="3079"/>
      <c r="N15" s="3079"/>
      <c r="O15" s="3079"/>
      <c r="P15" s="3079"/>
      <c r="Q15" s="3079"/>
      <c r="R15" s="3080"/>
      <c r="S15" s="3085"/>
      <c r="T15" s="3086"/>
      <c r="U15" s="3086"/>
      <c r="V15" s="3086"/>
      <c r="W15" s="3086"/>
      <c r="X15" s="3087"/>
      <c r="Y15" s="3081">
        <f>UnosPorBilans!J6</f>
        <v>0</v>
      </c>
      <c r="Z15" s="3081"/>
      <c r="AA15" s="3081"/>
      <c r="AB15" s="3081"/>
      <c r="AC15" s="3081"/>
      <c r="AD15" s="3081"/>
      <c r="AE15" s="3081">
        <f>UnosPorBilans!O6</f>
        <v>0</v>
      </c>
      <c r="AF15" s="3081"/>
      <c r="AG15" s="3081"/>
      <c r="AH15" s="3081"/>
      <c r="AI15" s="3081"/>
      <c r="AJ15" s="3081"/>
      <c r="AK15" s="3081">
        <f>UnosPorBilans!T6</f>
        <v>0</v>
      </c>
      <c r="AL15" s="3081"/>
      <c r="AM15" s="3081"/>
      <c r="AN15" s="3081"/>
      <c r="AO15" s="3081"/>
      <c r="AP15" s="3081"/>
      <c r="AQ15" s="3081">
        <f>UnosPorBilans!Y6</f>
        <v>0</v>
      </c>
      <c r="AR15" s="3081"/>
      <c r="AS15" s="3081"/>
      <c r="AT15" s="3081"/>
      <c r="AU15" s="3081"/>
      <c r="AV15" s="3081"/>
      <c r="AW15" s="3081">
        <f>UnosPorBilans!AD6</f>
        <v>0</v>
      </c>
      <c r="AX15" s="3081"/>
      <c r="AY15" s="3081"/>
      <c r="AZ15" s="3081"/>
      <c r="BA15" s="3081"/>
      <c r="BB15" s="3081"/>
      <c r="BC15" s="3081">
        <f>SUM(Y15:BB15)</f>
        <v>0</v>
      </c>
      <c r="BD15" s="3081"/>
      <c r="BE15" s="3081"/>
      <c r="BF15" s="3081"/>
      <c r="BG15" s="3081"/>
      <c r="BH15" s="3081"/>
    </row>
    <row r="16" ht="21" customHeight="1" spans="1:60">
      <c r="A16" s="3076" t="s">
        <v>6654</v>
      </c>
      <c r="B16" s="3077" t="s">
        <v>5789</v>
      </c>
      <c r="C16" s="3078"/>
      <c r="D16" s="3078"/>
      <c r="E16" s="3079"/>
      <c r="F16" s="3079"/>
      <c r="G16" s="3079"/>
      <c r="H16" s="3079"/>
      <c r="I16" s="3079"/>
      <c r="J16" s="3079"/>
      <c r="K16" s="3079"/>
      <c r="L16" s="3079"/>
      <c r="M16" s="3079"/>
      <c r="N16" s="3079"/>
      <c r="O16" s="3079"/>
      <c r="P16" s="3079"/>
      <c r="Q16" s="3079"/>
      <c r="R16" s="3080"/>
      <c r="S16" s="3088"/>
      <c r="T16" s="3089"/>
      <c r="U16" s="3089"/>
      <c r="V16" s="3089"/>
      <c r="W16" s="3089"/>
      <c r="X16" s="3089"/>
      <c r="Y16" s="3083"/>
      <c r="Z16" s="3083"/>
      <c r="AA16" s="3083"/>
      <c r="AB16" s="3083"/>
      <c r="AC16" s="3083"/>
      <c r="AD16" s="3083"/>
      <c r="AE16" s="3086"/>
      <c r="AF16" s="3086"/>
      <c r="AG16" s="3086"/>
      <c r="AH16" s="3086"/>
      <c r="AI16" s="3086"/>
      <c r="AJ16" s="3086"/>
      <c r="AK16" s="3086"/>
      <c r="AL16" s="3086"/>
      <c r="AM16" s="3086"/>
      <c r="AN16" s="3086"/>
      <c r="AO16" s="3086"/>
      <c r="AP16" s="3086"/>
      <c r="AQ16" s="3086"/>
      <c r="AR16" s="3086"/>
      <c r="AS16" s="3086"/>
      <c r="AT16" s="3086"/>
      <c r="AU16" s="3086"/>
      <c r="AV16" s="3086"/>
      <c r="AW16" s="3086"/>
      <c r="AX16" s="3086"/>
      <c r="AY16" s="3086"/>
      <c r="AZ16" s="3086"/>
      <c r="BA16" s="3086"/>
      <c r="BB16" s="3087"/>
      <c r="BC16" s="3081">
        <f>S14-BC15</f>
        <v>0</v>
      </c>
      <c r="BD16" s="3081"/>
      <c r="BE16" s="3081"/>
      <c r="BF16" s="3081"/>
      <c r="BG16" s="3081"/>
      <c r="BH16" s="3081"/>
    </row>
    <row r="17" ht="21" customHeight="1" spans="1:60">
      <c r="A17" s="3076" t="s">
        <v>6655</v>
      </c>
      <c r="B17" s="3077" t="str">
        <f ca="1">"Porezni gubitak za "&amp;UnosPorBilans!B7&amp;". (-4 god.)"</f>
        <v>Porezni gubitak za 2021. (-4 god.)</v>
      </c>
      <c r="C17" s="3078"/>
      <c r="D17" s="3078"/>
      <c r="E17" s="3079"/>
      <c r="F17" s="3079"/>
      <c r="G17" s="3079"/>
      <c r="H17" s="3079"/>
      <c r="I17" s="3079"/>
      <c r="J17" s="3079"/>
      <c r="K17" s="3079"/>
      <c r="L17" s="3079"/>
      <c r="M17" s="3079"/>
      <c r="N17" s="3079"/>
      <c r="O17" s="3079"/>
      <c r="P17" s="3079"/>
      <c r="Q17" s="3079"/>
      <c r="R17" s="3080"/>
      <c r="S17" s="3088"/>
      <c r="T17" s="3089"/>
      <c r="U17" s="3089"/>
      <c r="V17" s="3089"/>
      <c r="W17" s="3089"/>
      <c r="X17" s="3090"/>
      <c r="Y17" s="3081">
        <f>UnosPorBilans!E7</f>
        <v>0</v>
      </c>
      <c r="Z17" s="3081"/>
      <c r="AA17" s="3081"/>
      <c r="AB17" s="3081"/>
      <c r="AC17" s="3081"/>
      <c r="AD17" s="3081"/>
      <c r="AE17" s="3091"/>
      <c r="AF17" s="3092"/>
      <c r="AG17" s="3092"/>
      <c r="AH17" s="3092"/>
      <c r="AI17" s="3092"/>
      <c r="AJ17" s="3092"/>
      <c r="AK17" s="3092"/>
      <c r="AL17" s="3092"/>
      <c r="AM17" s="3092"/>
      <c r="AN17" s="3092"/>
      <c r="AO17" s="3092"/>
      <c r="AP17" s="3092"/>
      <c r="AQ17" s="3092"/>
      <c r="AR17" s="3092"/>
      <c r="AS17" s="3092"/>
      <c r="AT17" s="3092"/>
      <c r="AU17" s="3092"/>
      <c r="AV17" s="3092"/>
      <c r="AW17" s="3092"/>
      <c r="AX17" s="3092"/>
      <c r="AY17" s="3092"/>
      <c r="AZ17" s="3092"/>
      <c r="BA17" s="3092"/>
      <c r="BB17" s="3092"/>
      <c r="BC17" s="3092"/>
      <c r="BD17" s="3092"/>
      <c r="BE17" s="3092"/>
      <c r="BF17" s="3092"/>
      <c r="BG17" s="3092"/>
      <c r="BH17" s="3093"/>
    </row>
    <row r="18" ht="21" customHeight="1" spans="1:60">
      <c r="A18" s="3076" t="s">
        <v>6656</v>
      </c>
      <c r="B18" s="3077" t="s">
        <v>6653</v>
      </c>
      <c r="C18" s="3078"/>
      <c r="D18" s="3078"/>
      <c r="E18" s="3079"/>
      <c r="F18" s="3079"/>
      <c r="G18" s="3079"/>
      <c r="H18" s="3079"/>
      <c r="I18" s="3079"/>
      <c r="J18" s="3079"/>
      <c r="K18" s="3079"/>
      <c r="L18" s="3079"/>
      <c r="M18" s="3079"/>
      <c r="N18" s="3079"/>
      <c r="O18" s="3079"/>
      <c r="P18" s="3079"/>
      <c r="Q18" s="3079"/>
      <c r="R18" s="3080"/>
      <c r="S18" s="3088"/>
      <c r="T18" s="3089"/>
      <c r="U18" s="3089"/>
      <c r="V18" s="3089"/>
      <c r="W18" s="3089"/>
      <c r="X18" s="3089"/>
      <c r="Y18" s="3086"/>
      <c r="Z18" s="3086"/>
      <c r="AA18" s="3086"/>
      <c r="AB18" s="3086"/>
      <c r="AC18" s="3086"/>
      <c r="AD18" s="3087"/>
      <c r="AE18" s="3081">
        <f>UnosPorBilans!O7</f>
        <v>0</v>
      </c>
      <c r="AF18" s="3081"/>
      <c r="AG18" s="3081"/>
      <c r="AH18" s="3081"/>
      <c r="AI18" s="3081"/>
      <c r="AJ18" s="3081"/>
      <c r="AK18" s="3081">
        <f>UnosPorBilans!T7</f>
        <v>0</v>
      </c>
      <c r="AL18" s="3081"/>
      <c r="AM18" s="3081"/>
      <c r="AN18" s="3081"/>
      <c r="AO18" s="3081"/>
      <c r="AP18" s="3081"/>
      <c r="AQ18" s="3081">
        <f>UnosPorBilans!Y7</f>
        <v>0</v>
      </c>
      <c r="AR18" s="3081"/>
      <c r="AS18" s="3081"/>
      <c r="AT18" s="3081"/>
      <c r="AU18" s="3081"/>
      <c r="AV18" s="3081"/>
      <c r="AW18" s="3081">
        <f>UnosPorBilans!AD7</f>
        <v>0</v>
      </c>
      <c r="AX18" s="3081"/>
      <c r="AY18" s="3081"/>
      <c r="AZ18" s="3081"/>
      <c r="BA18" s="3081"/>
      <c r="BB18" s="3081"/>
      <c r="BC18" s="3081">
        <f>SUM(AE18:BB18)</f>
        <v>0</v>
      </c>
      <c r="BD18" s="3081"/>
      <c r="BE18" s="3081"/>
      <c r="BF18" s="3081"/>
      <c r="BG18" s="3081"/>
      <c r="BH18" s="3081"/>
    </row>
    <row r="19" ht="21" customHeight="1" spans="1:60">
      <c r="A19" s="3076" t="s">
        <v>6657</v>
      </c>
      <c r="B19" s="3077" t="s">
        <v>5789</v>
      </c>
      <c r="C19" s="3078"/>
      <c r="D19" s="3078"/>
      <c r="E19" s="3079"/>
      <c r="F19" s="3079"/>
      <c r="G19" s="3079"/>
      <c r="H19" s="3079"/>
      <c r="I19" s="3079"/>
      <c r="J19" s="3079"/>
      <c r="K19" s="3079"/>
      <c r="L19" s="3079"/>
      <c r="M19" s="3079"/>
      <c r="N19" s="3079"/>
      <c r="O19" s="3079"/>
      <c r="P19" s="3079"/>
      <c r="Q19" s="3079"/>
      <c r="R19" s="3080"/>
      <c r="S19" s="3088"/>
      <c r="T19" s="3089"/>
      <c r="U19" s="3089"/>
      <c r="V19" s="3089"/>
      <c r="W19" s="3089"/>
      <c r="X19" s="3089"/>
      <c r="Y19" s="3089"/>
      <c r="Z19" s="3089"/>
      <c r="AA19" s="3089"/>
      <c r="AB19" s="3089"/>
      <c r="AC19" s="3089"/>
      <c r="AD19" s="3089"/>
      <c r="AE19" s="3083"/>
      <c r="AF19" s="3083"/>
      <c r="AG19" s="3083"/>
      <c r="AH19" s="3083"/>
      <c r="AI19" s="3083"/>
      <c r="AJ19" s="3083"/>
      <c r="AK19" s="3086"/>
      <c r="AL19" s="3086"/>
      <c r="AM19" s="3086"/>
      <c r="AN19" s="3086"/>
      <c r="AO19" s="3086"/>
      <c r="AP19" s="3086"/>
      <c r="AQ19" s="3086"/>
      <c r="AR19" s="3086"/>
      <c r="AS19" s="3086"/>
      <c r="AT19" s="3086"/>
      <c r="AU19" s="3086"/>
      <c r="AV19" s="3086"/>
      <c r="AW19" s="3086"/>
      <c r="AX19" s="3086"/>
      <c r="AY19" s="3086"/>
      <c r="AZ19" s="3086"/>
      <c r="BA19" s="3086"/>
      <c r="BB19" s="3087"/>
      <c r="BC19" s="3081">
        <f>Y17-BC18</f>
        <v>0</v>
      </c>
      <c r="BD19" s="3081"/>
      <c r="BE19" s="3081"/>
      <c r="BF19" s="3081"/>
      <c r="BG19" s="3081"/>
      <c r="BH19" s="3081"/>
    </row>
    <row r="20" ht="21" customHeight="1" spans="1:60">
      <c r="A20" s="3076" t="s">
        <v>6658</v>
      </c>
      <c r="B20" s="3077" t="str">
        <f ca="1">"Porezni gubitak za "&amp;UnosPorBilans!B8&amp;". (-3god.)"</f>
        <v>Porezni gubitak za 2022. (-3god.)</v>
      </c>
      <c r="C20" s="3078"/>
      <c r="D20" s="3078"/>
      <c r="E20" s="3079"/>
      <c r="F20" s="3079"/>
      <c r="G20" s="3079"/>
      <c r="H20" s="3079"/>
      <c r="I20" s="3079"/>
      <c r="J20" s="3079"/>
      <c r="K20" s="3079"/>
      <c r="L20" s="3079"/>
      <c r="M20" s="3079"/>
      <c r="N20" s="3079"/>
      <c r="O20" s="3079"/>
      <c r="P20" s="3079"/>
      <c r="Q20" s="3079"/>
      <c r="R20" s="3080"/>
      <c r="S20" s="3088"/>
      <c r="T20" s="3089"/>
      <c r="U20" s="3089"/>
      <c r="V20" s="3089"/>
      <c r="W20" s="3089"/>
      <c r="X20" s="3089"/>
      <c r="Y20" s="3089"/>
      <c r="Z20" s="3089"/>
      <c r="AA20" s="3089"/>
      <c r="AB20" s="3089"/>
      <c r="AC20" s="3089"/>
      <c r="AD20" s="3090"/>
      <c r="AE20" s="3081">
        <f>UnosPorBilans!E8</f>
        <v>0</v>
      </c>
      <c r="AF20" s="3081"/>
      <c r="AG20" s="3081"/>
      <c r="AH20" s="3081"/>
      <c r="AI20" s="3081"/>
      <c r="AJ20" s="3081"/>
      <c r="AK20" s="3091"/>
      <c r="AL20" s="3092"/>
      <c r="AM20" s="3092"/>
      <c r="AN20" s="3092"/>
      <c r="AO20" s="3092"/>
      <c r="AP20" s="3092"/>
      <c r="AQ20" s="3092"/>
      <c r="AR20" s="3092"/>
      <c r="AS20" s="3092"/>
      <c r="AT20" s="3092"/>
      <c r="AU20" s="3092"/>
      <c r="AV20" s="3092"/>
      <c r="AW20" s="3092"/>
      <c r="AX20" s="3092"/>
      <c r="AY20" s="3092"/>
      <c r="AZ20" s="3092"/>
      <c r="BA20" s="3092"/>
      <c r="BB20" s="3092"/>
      <c r="BC20" s="3092"/>
      <c r="BD20" s="3092"/>
      <c r="BE20" s="3092"/>
      <c r="BF20" s="3092"/>
      <c r="BG20" s="3092"/>
      <c r="BH20" s="3093"/>
    </row>
    <row r="21" ht="21" customHeight="1" spans="1:60">
      <c r="A21" s="3076" t="s">
        <v>6659</v>
      </c>
      <c r="B21" s="3077" t="s">
        <v>6653</v>
      </c>
      <c r="C21" s="3078"/>
      <c r="D21" s="3078"/>
      <c r="E21" s="3079"/>
      <c r="F21" s="3079"/>
      <c r="G21" s="3079"/>
      <c r="H21" s="3079"/>
      <c r="I21" s="3079"/>
      <c r="J21" s="3079"/>
      <c r="K21" s="3079"/>
      <c r="L21" s="3079"/>
      <c r="M21" s="3079"/>
      <c r="N21" s="3079"/>
      <c r="O21" s="3079"/>
      <c r="P21" s="3079"/>
      <c r="Q21" s="3079"/>
      <c r="R21" s="3080"/>
      <c r="S21" s="3088"/>
      <c r="T21" s="3089"/>
      <c r="U21" s="3089"/>
      <c r="V21" s="3089"/>
      <c r="W21" s="3089"/>
      <c r="X21" s="3089"/>
      <c r="Y21" s="3089"/>
      <c r="Z21" s="3089"/>
      <c r="AA21" s="3089"/>
      <c r="AB21" s="3089"/>
      <c r="AC21" s="3089"/>
      <c r="AD21" s="3089"/>
      <c r="AE21" s="3086"/>
      <c r="AF21" s="3086"/>
      <c r="AG21" s="3086"/>
      <c r="AH21" s="3086"/>
      <c r="AI21" s="3086"/>
      <c r="AJ21" s="3087"/>
      <c r="AK21" s="3081">
        <f>UnosPorBilans!T8</f>
        <v>0</v>
      </c>
      <c r="AL21" s="3081"/>
      <c r="AM21" s="3081"/>
      <c r="AN21" s="3081"/>
      <c r="AO21" s="3081"/>
      <c r="AP21" s="3081"/>
      <c r="AQ21" s="3081">
        <f>UnosPorBilans!Y8</f>
        <v>0</v>
      </c>
      <c r="AR21" s="3081"/>
      <c r="AS21" s="3081"/>
      <c r="AT21" s="3081"/>
      <c r="AU21" s="3081"/>
      <c r="AV21" s="3081"/>
      <c r="AW21" s="3081">
        <f>UnosPorBilans!AD8</f>
        <v>0</v>
      </c>
      <c r="AX21" s="3081"/>
      <c r="AY21" s="3081"/>
      <c r="AZ21" s="3081"/>
      <c r="BA21" s="3081"/>
      <c r="BB21" s="3081"/>
      <c r="BC21" s="3081">
        <f>SUM(AK21:BB21)</f>
        <v>0</v>
      </c>
      <c r="BD21" s="3081"/>
      <c r="BE21" s="3081"/>
      <c r="BF21" s="3081"/>
      <c r="BG21" s="3081"/>
      <c r="BH21" s="3081"/>
    </row>
    <row r="22" ht="21" customHeight="1" spans="1:60">
      <c r="A22" s="3076" t="s">
        <v>6660</v>
      </c>
      <c r="B22" s="3077" t="s">
        <v>5789</v>
      </c>
      <c r="C22" s="3078"/>
      <c r="D22" s="3078"/>
      <c r="E22" s="3078"/>
      <c r="F22" s="3078"/>
      <c r="G22" s="3078"/>
      <c r="H22" s="3078"/>
      <c r="I22" s="3078"/>
      <c r="J22" s="3078"/>
      <c r="K22" s="3078"/>
      <c r="L22" s="3078"/>
      <c r="M22" s="3078"/>
      <c r="N22" s="3078"/>
      <c r="O22" s="3078"/>
      <c r="P22" s="3078"/>
      <c r="Q22" s="3078"/>
      <c r="R22" s="3094"/>
      <c r="S22" s="3088"/>
      <c r="T22" s="3089"/>
      <c r="U22" s="3089"/>
      <c r="V22" s="3089"/>
      <c r="W22" s="3089"/>
      <c r="X22" s="3089"/>
      <c r="Y22" s="3089"/>
      <c r="Z22" s="3089"/>
      <c r="AA22" s="3089"/>
      <c r="AB22" s="3089"/>
      <c r="AC22" s="3089"/>
      <c r="AD22" s="3089"/>
      <c r="AE22" s="3089"/>
      <c r="AF22" s="3089"/>
      <c r="AG22" s="3089"/>
      <c r="AH22" s="3089"/>
      <c r="AI22" s="3089"/>
      <c r="AJ22" s="3089"/>
      <c r="AK22" s="3083"/>
      <c r="AL22" s="3083"/>
      <c r="AM22" s="3083"/>
      <c r="AN22" s="3083"/>
      <c r="AO22" s="3083"/>
      <c r="AP22" s="3083"/>
      <c r="AQ22" s="3086"/>
      <c r="AR22" s="3086"/>
      <c r="AS22" s="3086"/>
      <c r="AT22" s="3086"/>
      <c r="AU22" s="3086"/>
      <c r="AV22" s="3086"/>
      <c r="AW22" s="3086"/>
      <c r="AX22" s="3086"/>
      <c r="AY22" s="3086"/>
      <c r="AZ22" s="3086"/>
      <c r="BA22" s="3086"/>
      <c r="BB22" s="3087"/>
      <c r="BC22" s="3081">
        <f>AE20-BC21</f>
        <v>0</v>
      </c>
      <c r="BD22" s="3081"/>
      <c r="BE22" s="3081"/>
      <c r="BF22" s="3081"/>
      <c r="BG22" s="3081"/>
      <c r="BH22" s="3081"/>
    </row>
    <row r="23" ht="21" customHeight="1" spans="1:60">
      <c r="A23" s="3076" t="s">
        <v>6661</v>
      </c>
      <c r="B23" s="3077" t="str">
        <f ca="1">"Porezni gubitak za "&amp;UnosPorBilans!B9&amp;". (-2 god.)"</f>
        <v>Porezni gubitak za 2023. (-2 god.)</v>
      </c>
      <c r="C23" s="3078"/>
      <c r="D23" s="3078"/>
      <c r="E23" s="3078"/>
      <c r="F23" s="3078"/>
      <c r="G23" s="3078"/>
      <c r="H23" s="3078"/>
      <c r="I23" s="3078"/>
      <c r="J23" s="3078"/>
      <c r="K23" s="3078"/>
      <c r="L23" s="3078"/>
      <c r="M23" s="3078"/>
      <c r="N23" s="3078"/>
      <c r="O23" s="3078"/>
      <c r="P23" s="3078"/>
      <c r="Q23" s="3078"/>
      <c r="R23" s="3094"/>
      <c r="S23" s="3088"/>
      <c r="T23" s="3089"/>
      <c r="U23" s="3089"/>
      <c r="V23" s="3089"/>
      <c r="W23" s="3089"/>
      <c r="X23" s="3089"/>
      <c r="Y23" s="3089"/>
      <c r="Z23" s="3089"/>
      <c r="AA23" s="3089"/>
      <c r="AB23" s="3089"/>
      <c r="AC23" s="3089"/>
      <c r="AD23" s="3089"/>
      <c r="AE23" s="3089"/>
      <c r="AF23" s="3089"/>
      <c r="AG23" s="3089"/>
      <c r="AH23" s="3089"/>
      <c r="AI23" s="3089"/>
      <c r="AJ23" s="3090"/>
      <c r="AK23" s="3081">
        <f>UnosPorBilans!E9</f>
        <v>0</v>
      </c>
      <c r="AL23" s="3081"/>
      <c r="AM23" s="3081"/>
      <c r="AN23" s="3081"/>
      <c r="AO23" s="3081"/>
      <c r="AP23" s="3081"/>
      <c r="AQ23" s="3091"/>
      <c r="AR23" s="3092"/>
      <c r="AS23" s="3092"/>
      <c r="AT23" s="3092"/>
      <c r="AU23" s="3092"/>
      <c r="AV23" s="3092"/>
      <c r="AW23" s="3092"/>
      <c r="AX23" s="3092"/>
      <c r="AY23" s="3092"/>
      <c r="AZ23" s="3092"/>
      <c r="BA23" s="3092"/>
      <c r="BB23" s="3092"/>
      <c r="BC23" s="3092"/>
      <c r="BD23" s="3092"/>
      <c r="BE23" s="3092"/>
      <c r="BF23" s="3092"/>
      <c r="BG23" s="3092"/>
      <c r="BH23" s="3093"/>
    </row>
    <row r="24" ht="21" customHeight="1" spans="1:60">
      <c r="A24" s="3076" t="s">
        <v>6662</v>
      </c>
      <c r="B24" s="3077" t="s">
        <v>6653</v>
      </c>
      <c r="C24" s="3078"/>
      <c r="D24" s="3078"/>
      <c r="E24" s="3078"/>
      <c r="F24" s="3078"/>
      <c r="G24" s="3078"/>
      <c r="H24" s="3078"/>
      <c r="I24" s="3078"/>
      <c r="J24" s="3078"/>
      <c r="K24" s="3078"/>
      <c r="L24" s="3078"/>
      <c r="M24" s="3078"/>
      <c r="N24" s="3078"/>
      <c r="O24" s="3078"/>
      <c r="P24" s="3078"/>
      <c r="Q24" s="3078"/>
      <c r="R24" s="3094"/>
      <c r="S24" s="3088"/>
      <c r="T24" s="3089"/>
      <c r="U24" s="3089"/>
      <c r="V24" s="3089"/>
      <c r="W24" s="3089"/>
      <c r="X24" s="3089"/>
      <c r="Y24" s="3089"/>
      <c r="Z24" s="3089"/>
      <c r="AA24" s="3089"/>
      <c r="AB24" s="3089"/>
      <c r="AC24" s="3089"/>
      <c r="AD24" s="3089"/>
      <c r="AE24" s="3089"/>
      <c r="AF24" s="3089"/>
      <c r="AG24" s="3089"/>
      <c r="AH24" s="3089"/>
      <c r="AI24" s="3089"/>
      <c r="AJ24" s="3089"/>
      <c r="AK24" s="3086"/>
      <c r="AL24" s="3086"/>
      <c r="AM24" s="3086"/>
      <c r="AN24" s="3086"/>
      <c r="AO24" s="3086"/>
      <c r="AP24" s="3087"/>
      <c r="AQ24" s="3081">
        <f>UnosPorBilans!Y9</f>
        <v>0</v>
      </c>
      <c r="AR24" s="3081"/>
      <c r="AS24" s="3081"/>
      <c r="AT24" s="3081"/>
      <c r="AU24" s="3081"/>
      <c r="AV24" s="3081"/>
      <c r="AW24" s="3081">
        <f>UnosPorBilans!AD9</f>
        <v>0</v>
      </c>
      <c r="AX24" s="3081"/>
      <c r="AY24" s="3081"/>
      <c r="AZ24" s="3081"/>
      <c r="BA24" s="3081"/>
      <c r="BB24" s="3081"/>
      <c r="BC24" s="3081">
        <f>SUM(AQ24:BB24)</f>
        <v>0</v>
      </c>
      <c r="BD24" s="3081"/>
      <c r="BE24" s="3081"/>
      <c r="BF24" s="3081"/>
      <c r="BG24" s="3081"/>
      <c r="BH24" s="3081"/>
    </row>
    <row r="25" ht="21" customHeight="1" spans="1:60">
      <c r="A25" s="3076" t="s">
        <v>6663</v>
      </c>
      <c r="B25" s="3077" t="s">
        <v>5789</v>
      </c>
      <c r="C25" s="3078"/>
      <c r="D25" s="3078"/>
      <c r="E25" s="3078"/>
      <c r="F25" s="3078"/>
      <c r="G25" s="3078"/>
      <c r="H25" s="3078"/>
      <c r="I25" s="3078"/>
      <c r="J25" s="3078"/>
      <c r="K25" s="3078"/>
      <c r="L25" s="3078"/>
      <c r="M25" s="3078"/>
      <c r="N25" s="3078"/>
      <c r="O25" s="3078"/>
      <c r="P25" s="3078"/>
      <c r="Q25" s="3078"/>
      <c r="R25" s="3094"/>
      <c r="S25" s="3088"/>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3"/>
      <c r="AR25" s="3083"/>
      <c r="AS25" s="3083"/>
      <c r="AT25" s="3083"/>
      <c r="AU25" s="3083"/>
      <c r="AV25" s="3083"/>
      <c r="AW25" s="3086"/>
      <c r="AX25" s="3086"/>
      <c r="AY25" s="3086"/>
      <c r="AZ25" s="3086"/>
      <c r="BA25" s="3086"/>
      <c r="BB25" s="3087"/>
      <c r="BC25" s="3081">
        <f>AK23-BC24</f>
        <v>0</v>
      </c>
      <c r="BD25" s="3081"/>
      <c r="BE25" s="3081"/>
      <c r="BF25" s="3081"/>
      <c r="BG25" s="3081"/>
      <c r="BH25" s="3081"/>
    </row>
    <row r="26" ht="21" customHeight="1" spans="1:60">
      <c r="A26" s="3076" t="s">
        <v>6664</v>
      </c>
      <c r="B26" s="3077" t="str">
        <f ca="1">"Porezni gubitak za "&amp;UnosPorBilans!B10&amp;". (-1 god.)"</f>
        <v>Porezni gubitak za 2024. (-1 god.)</v>
      </c>
      <c r="C26" s="3078"/>
      <c r="D26" s="3078"/>
      <c r="E26" s="3078"/>
      <c r="F26" s="3078"/>
      <c r="G26" s="3078"/>
      <c r="H26" s="3078"/>
      <c r="I26" s="3078"/>
      <c r="J26" s="3078"/>
      <c r="K26" s="3078"/>
      <c r="L26" s="3078"/>
      <c r="M26" s="3078"/>
      <c r="N26" s="3078"/>
      <c r="O26" s="3078"/>
      <c r="P26" s="3078"/>
      <c r="Q26" s="3078"/>
      <c r="R26" s="3094"/>
      <c r="S26" s="3088"/>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90"/>
      <c r="AQ26" s="3081">
        <f>UnosPorBilans!E10</f>
        <v>0</v>
      </c>
      <c r="AR26" s="3081"/>
      <c r="AS26" s="3081"/>
      <c r="AT26" s="3081"/>
      <c r="AU26" s="3081"/>
      <c r="AV26" s="3081"/>
      <c r="AW26" s="3091"/>
      <c r="AX26" s="3092"/>
      <c r="AY26" s="3092"/>
      <c r="AZ26" s="3092"/>
      <c r="BA26" s="3092"/>
      <c r="BB26" s="3092"/>
      <c r="BC26" s="3092"/>
      <c r="BD26" s="3092"/>
      <c r="BE26" s="3092"/>
      <c r="BF26" s="3092"/>
      <c r="BG26" s="3092"/>
      <c r="BH26" s="3093"/>
    </row>
    <row r="27" ht="21" customHeight="1" spans="1:60">
      <c r="A27" s="3076" t="s">
        <v>6665</v>
      </c>
      <c r="B27" s="3077" t="s">
        <v>6653</v>
      </c>
      <c r="C27" s="3078"/>
      <c r="D27" s="3078"/>
      <c r="E27" s="3078"/>
      <c r="F27" s="3078"/>
      <c r="G27" s="3078"/>
      <c r="H27" s="3078"/>
      <c r="I27" s="3078"/>
      <c r="J27" s="3078"/>
      <c r="K27" s="3078"/>
      <c r="L27" s="3078"/>
      <c r="M27" s="3078"/>
      <c r="N27" s="3078"/>
      <c r="O27" s="3078"/>
      <c r="P27" s="3078"/>
      <c r="Q27" s="3078"/>
      <c r="R27" s="3094"/>
      <c r="S27" s="3088"/>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6"/>
      <c r="AR27" s="3086"/>
      <c r="AS27" s="3086"/>
      <c r="AT27" s="3086"/>
      <c r="AU27" s="3086"/>
      <c r="AV27" s="3087"/>
      <c r="AW27" s="3081">
        <f>UnosPorBilans!AD10</f>
        <v>0</v>
      </c>
      <c r="AX27" s="3081"/>
      <c r="AY27" s="3081"/>
      <c r="AZ27" s="3081"/>
      <c r="BA27" s="3081"/>
      <c r="BB27" s="3081"/>
      <c r="BC27" s="3081">
        <f>AW27</f>
        <v>0</v>
      </c>
      <c r="BD27" s="3081"/>
      <c r="BE27" s="3081"/>
      <c r="BF27" s="3081"/>
      <c r="BG27" s="3081"/>
      <c r="BH27" s="3081"/>
    </row>
    <row r="28" ht="21" customHeight="1" spans="1:60">
      <c r="A28" s="3076" t="s">
        <v>6666</v>
      </c>
      <c r="B28" s="3077" t="s">
        <v>5789</v>
      </c>
      <c r="C28" s="3078"/>
      <c r="D28" s="3078"/>
      <c r="E28" s="3078"/>
      <c r="F28" s="3078"/>
      <c r="G28" s="3078"/>
      <c r="H28" s="3078"/>
      <c r="I28" s="3078"/>
      <c r="J28" s="3078"/>
      <c r="K28" s="3078"/>
      <c r="L28" s="3078"/>
      <c r="M28" s="3078"/>
      <c r="N28" s="3078"/>
      <c r="O28" s="3078"/>
      <c r="P28" s="3078"/>
      <c r="Q28" s="3078"/>
      <c r="R28" s="3094"/>
      <c r="S28" s="3088"/>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4"/>
      <c r="AX28" s="3095"/>
      <c r="AY28" s="3095"/>
      <c r="AZ28" s="3095"/>
      <c r="BA28" s="3095"/>
      <c r="BB28" s="3095"/>
      <c r="BC28" s="3081">
        <f>AQ26-BC27</f>
        <v>0</v>
      </c>
      <c r="BD28" s="3081"/>
      <c r="BE28" s="3081"/>
      <c r="BF28" s="3081"/>
      <c r="BG28" s="3081"/>
      <c r="BH28" s="3081"/>
    </row>
    <row r="29" ht="27.75" customHeight="1" spans="1:60">
      <c r="A29" s="3076" t="s">
        <v>3918</v>
      </c>
      <c r="B29" s="3096" t="s">
        <v>5795</v>
      </c>
      <c r="C29" s="3097"/>
      <c r="D29" s="3097"/>
      <c r="E29" s="3097"/>
      <c r="F29" s="3097"/>
      <c r="G29" s="3097"/>
      <c r="H29" s="3097"/>
      <c r="I29" s="3097"/>
      <c r="J29" s="3097"/>
      <c r="K29" s="3097"/>
      <c r="L29" s="3097"/>
      <c r="M29" s="3097"/>
      <c r="N29" s="3097"/>
      <c r="O29" s="3097"/>
      <c r="P29" s="3097"/>
      <c r="Q29" s="3097"/>
      <c r="R29" s="3098"/>
      <c r="S29" s="3088"/>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99">
        <f>UnosPorBilans!AI13</f>
        <v>0</v>
      </c>
      <c r="AX29" s="3099"/>
      <c r="AY29" s="3099"/>
      <c r="AZ29" s="3099"/>
      <c r="BA29" s="3099"/>
      <c r="BB29" s="3099"/>
      <c r="BC29" s="3099">
        <f>AW29</f>
        <v>0</v>
      </c>
      <c r="BD29" s="3099"/>
      <c r="BE29" s="3099"/>
      <c r="BF29" s="3099"/>
      <c r="BG29" s="3099"/>
      <c r="BH29" s="3099"/>
    </row>
    <row r="30" ht="27.75" customHeight="1" spans="1:60">
      <c r="A30" s="3076" t="s">
        <v>3920</v>
      </c>
      <c r="B30" s="3100" t="s">
        <v>6667</v>
      </c>
      <c r="C30" s="3101"/>
      <c r="D30" s="3101"/>
      <c r="E30" s="3101"/>
      <c r="F30" s="3101"/>
      <c r="G30" s="3101"/>
      <c r="H30" s="3101"/>
      <c r="I30" s="3101"/>
      <c r="J30" s="3101"/>
      <c r="K30" s="3101"/>
      <c r="L30" s="3101"/>
      <c r="M30" s="3101"/>
      <c r="N30" s="3101"/>
      <c r="O30" s="3101"/>
      <c r="P30" s="3101"/>
      <c r="Q30" s="3101"/>
      <c r="R30" s="3102"/>
      <c r="S30" s="3091"/>
      <c r="T30" s="3092"/>
      <c r="U30" s="3092"/>
      <c r="V30" s="3092"/>
      <c r="W30" s="3092"/>
      <c r="X30" s="3092"/>
      <c r="Y30" s="3092"/>
      <c r="Z30" s="3092"/>
      <c r="AA30" s="3092"/>
      <c r="AB30" s="3092"/>
      <c r="AC30" s="3092"/>
      <c r="AD30" s="3092"/>
      <c r="AE30" s="3092"/>
      <c r="AF30" s="3092"/>
      <c r="AG30" s="3092"/>
      <c r="AH30" s="3092"/>
      <c r="AI30" s="3092"/>
      <c r="AJ30" s="3092"/>
      <c r="AK30" s="3092"/>
      <c r="AL30" s="3092"/>
      <c r="AM30" s="3092"/>
      <c r="AN30" s="3092"/>
      <c r="AO30" s="3092"/>
      <c r="AP30" s="3092"/>
      <c r="AQ30" s="3092"/>
      <c r="AR30" s="3092"/>
      <c r="AS30" s="3092"/>
      <c r="AT30" s="3092"/>
      <c r="AU30" s="3092"/>
      <c r="AV30" s="3093"/>
      <c r="AW30" s="3081">
        <f>UnosPorBilans!E11</f>
        <v>73141</v>
      </c>
      <c r="AX30" s="3081"/>
      <c r="AY30" s="3081"/>
      <c r="AZ30" s="3081"/>
      <c r="BA30" s="3081"/>
      <c r="BB30" s="3081"/>
      <c r="BC30" s="3103"/>
      <c r="BD30" s="3104"/>
      <c r="BE30" s="3104"/>
      <c r="BF30" s="3104"/>
      <c r="BG30" s="3104"/>
      <c r="BH30" s="3104"/>
    </row>
    <row r="31" ht="11.25" customHeight="1"/>
    <row r="32" customHeight="1" spans="1:60">
      <c r="A32" s="3105"/>
      <c r="B32" s="3106" t="s">
        <v>6547</v>
      </c>
      <c r="C32" s="3106"/>
      <c r="D32" s="3106"/>
      <c r="E32" s="3106"/>
      <c r="F32" s="3106"/>
      <c r="G32" s="3106"/>
      <c r="H32" s="3106"/>
      <c r="I32" s="3106"/>
      <c r="J32" s="3106"/>
      <c r="K32" s="3106"/>
      <c r="L32" s="3106"/>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106"/>
      <c r="BB32" s="3106"/>
      <c r="BC32" s="3106"/>
      <c r="BD32" s="3106"/>
      <c r="BE32" s="3106"/>
      <c r="BF32" s="3106"/>
      <c r="BG32" s="3106"/>
      <c r="BH32" s="3107"/>
    </row>
    <row r="33" ht="15" customHeight="1" spans="1:60">
      <c r="A33" s="3108"/>
      <c r="B33" s="802"/>
      <c r="C33" s="802"/>
      <c r="D33" s="802"/>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2"/>
      <c r="AQ33" s="802"/>
      <c r="AR33" s="802"/>
      <c r="AS33" s="802"/>
      <c r="AT33" s="802"/>
      <c r="AU33" s="802"/>
      <c r="AV33" s="802"/>
      <c r="AW33" s="802"/>
      <c r="AX33" s="802"/>
      <c r="AY33" s="802"/>
      <c r="AZ33" s="802"/>
      <c r="BA33" s="802"/>
      <c r="BB33" s="802"/>
      <c r="BC33" s="802"/>
      <c r="BD33" s="802"/>
      <c r="BE33" s="802"/>
      <c r="BF33" s="802"/>
      <c r="BG33" s="802"/>
      <c r="BH33" s="3109"/>
    </row>
    <row r="34" spans="1:60">
      <c r="A34" s="3110"/>
      <c r="B34" s="3111" t="str">
        <f>Text!B11</f>
        <v>Odgovorno lice</v>
      </c>
      <c r="C34" s="3112"/>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769"/>
      <c r="AG34" s="3111" t="s">
        <v>6551</v>
      </c>
      <c r="AH34" s="3112"/>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769"/>
    </row>
    <row r="35" spans="1:60">
      <c r="A35" s="3110"/>
      <c r="B35" s="3113"/>
      <c r="C35" s="3114"/>
      <c r="D35" s="689"/>
      <c r="E35" s="689"/>
      <c r="F35" s="689"/>
      <c r="G35" s="689"/>
      <c r="H35" s="689"/>
      <c r="I35" s="689"/>
      <c r="J35" s="689"/>
      <c r="K35" s="689"/>
      <c r="L35" s="689"/>
      <c r="M35" s="689"/>
      <c r="N35" s="689"/>
      <c r="O35" s="769"/>
      <c r="P35" s="770" t="str">
        <f>UnosPod!AA22&amp;UnosPod!AB22&amp;"."&amp;UnosPod!AC22&amp;UnosPod!AD22+1&amp;"."&amp;UnosPod!AE22&amp;UnosPod!AF22&amp;UnosPod!AG22&amp;UnosPod!AH22&amp;"."</f>
        <v>28.03.2026.</v>
      </c>
      <c r="Q35" s="771"/>
      <c r="R35" s="771"/>
      <c r="S35" s="771"/>
      <c r="T35" s="771"/>
      <c r="U35" s="771"/>
      <c r="V35" s="772"/>
      <c r="W35" s="2966" t="s">
        <v>2539</v>
      </c>
      <c r="X35" s="2967"/>
      <c r="Y35" s="2967"/>
      <c r="Z35" s="2967"/>
      <c r="AA35" s="2967"/>
      <c r="AB35" s="2967"/>
      <c r="AC35" s="2967"/>
      <c r="AD35" s="2967"/>
      <c r="AE35" s="2967"/>
      <c r="AF35" s="3115"/>
      <c r="AG35" s="3113"/>
      <c r="AH35" s="3114"/>
      <c r="AI35" s="689"/>
      <c r="AJ35" s="689"/>
      <c r="AK35" s="689"/>
      <c r="AL35" s="689"/>
      <c r="AM35" s="689"/>
      <c r="AN35" s="689"/>
      <c r="AO35" s="689"/>
      <c r="AP35" s="689"/>
      <c r="AQ35" s="689"/>
      <c r="AR35" s="689"/>
      <c r="AS35" s="769"/>
      <c r="AT35" s="770" t="str">
        <f>UnosPod!AA22&amp;UnosPod!AB22&amp;"."&amp;UnosPod!AC22&amp;UnosPod!AD22+1&amp;"."&amp;UnosPod!AE22&amp;UnosPod!AF22&amp;UnosPod!AG22&amp;UnosPod!AH22&amp;"."</f>
        <v>28.03.2026.</v>
      </c>
      <c r="AU35" s="771"/>
      <c r="AV35" s="771"/>
      <c r="AW35" s="771"/>
      <c r="AX35" s="771"/>
      <c r="AY35" s="771"/>
      <c r="AZ35" s="772"/>
      <c r="BA35" s="2966" t="s">
        <v>6552</v>
      </c>
      <c r="BB35" s="2967"/>
      <c r="BC35" s="2967"/>
      <c r="BD35" s="2967"/>
      <c r="BE35" s="2967"/>
      <c r="BF35" s="2967"/>
      <c r="BG35" s="2967"/>
      <c r="BH35" s="3115"/>
    </row>
    <row r="36" ht="15" spans="1:60">
      <c r="A36" s="3110"/>
      <c r="B36" s="3113"/>
      <c r="C36" s="3114"/>
      <c r="D36" s="774" t="str">
        <f>Direktor</f>
        <v>Nedim Vilogorac</v>
      </c>
      <c r="E36" s="775"/>
      <c r="F36" s="775"/>
      <c r="G36" s="775"/>
      <c r="H36" s="775"/>
      <c r="I36" s="775"/>
      <c r="J36" s="775"/>
      <c r="K36" s="775"/>
      <c r="L36" s="775"/>
      <c r="M36" s="775"/>
      <c r="N36" s="775"/>
      <c r="O36" s="776"/>
      <c r="P36" s="777"/>
      <c r="Q36" s="778"/>
      <c r="R36" s="778"/>
      <c r="S36" s="778"/>
      <c r="T36" s="778"/>
      <c r="U36" s="778"/>
      <c r="V36" s="779"/>
      <c r="W36" s="2973"/>
      <c r="X36" s="2974"/>
      <c r="Y36" s="2974"/>
      <c r="Z36" s="2974"/>
      <c r="AA36" s="2974"/>
      <c r="AB36" s="2974"/>
      <c r="AC36" s="2974"/>
      <c r="AD36" s="2974"/>
      <c r="AE36" s="2974"/>
      <c r="AF36" s="3116"/>
      <c r="AG36" s="3113"/>
      <c r="AH36" s="3114"/>
      <c r="AI36" s="774" t="str">
        <f>Racunovoda</f>
        <v>Elvira Žilić</v>
      </c>
      <c r="AJ36" s="775"/>
      <c r="AK36" s="775"/>
      <c r="AL36" s="775"/>
      <c r="AM36" s="775"/>
      <c r="AN36" s="775"/>
      <c r="AO36" s="775"/>
      <c r="AP36" s="775"/>
      <c r="AQ36" s="775"/>
      <c r="AR36" s="775"/>
      <c r="AS36" s="776"/>
      <c r="AT36" s="777"/>
      <c r="AU36" s="778"/>
      <c r="AV36" s="778"/>
      <c r="AW36" s="778"/>
      <c r="AX36" s="778"/>
      <c r="AY36" s="778"/>
      <c r="AZ36" s="779"/>
      <c r="BA36" s="2973"/>
      <c r="BB36" s="2974"/>
      <c r="BC36" s="2974"/>
      <c r="BD36" s="2974"/>
      <c r="BE36" s="2974"/>
      <c r="BF36" s="2974"/>
      <c r="BG36" s="2974"/>
      <c r="BH36" s="3116"/>
    </row>
    <row r="37" spans="1:60">
      <c r="A37" s="3110"/>
      <c r="B37" s="3113"/>
      <c r="C37" s="3114"/>
      <c r="D37" s="3117" t="s">
        <v>6548</v>
      </c>
      <c r="E37" s="3117"/>
      <c r="F37" s="3117"/>
      <c r="G37" s="3117"/>
      <c r="H37" s="3117"/>
      <c r="I37" s="3117"/>
      <c r="J37" s="3117"/>
      <c r="K37" s="3117"/>
      <c r="L37" s="3117"/>
      <c r="M37" s="3117"/>
      <c r="N37" s="3117"/>
      <c r="O37" s="3117"/>
      <c r="P37" s="3117" t="s">
        <v>6549</v>
      </c>
      <c r="Q37" s="3117"/>
      <c r="R37" s="3117"/>
      <c r="S37" s="3117"/>
      <c r="T37" s="3117"/>
      <c r="U37" s="3117"/>
      <c r="V37" s="3117"/>
      <c r="W37" s="3117" t="s">
        <v>6550</v>
      </c>
      <c r="X37" s="3117"/>
      <c r="Y37" s="3117"/>
      <c r="Z37" s="3117"/>
      <c r="AA37" s="3117"/>
      <c r="AB37" s="3117"/>
      <c r="AC37" s="3117"/>
      <c r="AD37" s="3117"/>
      <c r="AE37" s="3117"/>
      <c r="AF37" s="3118"/>
      <c r="AG37" s="3113"/>
      <c r="AH37" s="3114"/>
      <c r="AI37" s="3117" t="s">
        <v>6548</v>
      </c>
      <c r="AJ37" s="3117"/>
      <c r="AK37" s="3117"/>
      <c r="AL37" s="3117"/>
      <c r="AM37" s="3117"/>
      <c r="AN37" s="3117"/>
      <c r="AO37" s="3117"/>
      <c r="AP37" s="3117"/>
      <c r="AQ37" s="3117"/>
      <c r="AR37" s="3117"/>
      <c r="AS37" s="3117"/>
      <c r="AT37" s="3117" t="s">
        <v>6549</v>
      </c>
      <c r="AU37" s="3117"/>
      <c r="AV37" s="3117"/>
      <c r="AW37" s="3117"/>
      <c r="AX37" s="3117"/>
      <c r="AY37" s="3117"/>
      <c r="AZ37" s="3117"/>
      <c r="BA37" s="3117" t="s">
        <v>6550</v>
      </c>
      <c r="BB37" s="3117"/>
      <c r="BC37" s="3117"/>
      <c r="BD37" s="3117"/>
      <c r="BE37" s="3117"/>
      <c r="BF37" s="3117"/>
      <c r="BG37" s="3117"/>
      <c r="BH37" s="3118"/>
    </row>
    <row r="38" spans="1:60">
      <c r="A38" s="3110"/>
      <c r="B38" s="3119"/>
      <c r="C38" s="3120"/>
      <c r="D38" s="3121"/>
      <c r="E38" s="3121"/>
      <c r="F38" s="3121"/>
      <c r="G38" s="3121"/>
      <c r="H38" s="3121"/>
      <c r="I38" s="3121"/>
      <c r="J38" s="3121"/>
      <c r="K38" s="3121"/>
      <c r="L38" s="3121"/>
      <c r="M38" s="3121"/>
      <c r="N38" s="3121"/>
      <c r="O38" s="3121"/>
      <c r="P38" s="3121"/>
      <c r="Q38" s="3121"/>
      <c r="R38" s="3121"/>
      <c r="S38" s="3121"/>
      <c r="T38" s="3121"/>
      <c r="U38" s="3121"/>
      <c r="V38" s="3121"/>
      <c r="W38" s="3121"/>
      <c r="X38" s="3121"/>
      <c r="Y38" s="3121"/>
      <c r="Z38" s="3121"/>
      <c r="AA38" s="3121"/>
      <c r="AB38" s="3121"/>
      <c r="AC38" s="3121"/>
      <c r="AD38" s="3121"/>
      <c r="AE38" s="3121"/>
      <c r="AF38" s="3122"/>
      <c r="AG38" s="3119"/>
      <c r="AH38" s="3120"/>
      <c r="AI38" s="3121"/>
      <c r="AJ38" s="3121"/>
      <c r="AK38" s="3121"/>
      <c r="AL38" s="3121"/>
      <c r="AM38" s="3121"/>
      <c r="AN38" s="3121"/>
      <c r="AO38" s="3121"/>
      <c r="AP38" s="3121"/>
      <c r="AQ38" s="3121"/>
      <c r="AR38" s="3121"/>
      <c r="AS38" s="3121"/>
      <c r="AT38" s="3121"/>
      <c r="AU38" s="3121"/>
      <c r="AV38" s="3121"/>
      <c r="AW38" s="3121"/>
      <c r="AX38" s="3121"/>
      <c r="AY38" s="3121"/>
      <c r="AZ38" s="3121"/>
      <c r="BA38" s="3121"/>
      <c r="BB38" s="3121"/>
      <c r="BC38" s="3121"/>
      <c r="BD38" s="3121"/>
      <c r="BE38" s="3121"/>
      <c r="BF38" s="3121"/>
      <c r="BG38" s="3121"/>
      <c r="BH38" s="3122"/>
    </row>
    <row r="39" spans="1:60">
      <c r="A39" s="3123"/>
      <c r="B39" s="1919"/>
      <c r="C39" s="1919"/>
      <c r="D39" s="1919"/>
      <c r="E39" s="1919"/>
      <c r="F39" s="1919"/>
      <c r="G39" s="1919"/>
      <c r="H39" s="1919"/>
      <c r="I39" s="1919"/>
      <c r="J39" s="1919"/>
      <c r="K39" s="1919"/>
      <c r="L39" s="1919"/>
      <c r="M39" s="1919"/>
      <c r="N39" s="1919"/>
      <c r="O39" s="1919"/>
      <c r="P39" s="1919"/>
      <c r="Q39" s="1919"/>
      <c r="R39" s="1919"/>
      <c r="S39" s="1919"/>
      <c r="T39" s="1919"/>
      <c r="U39" s="1919"/>
      <c r="V39" s="1919"/>
      <c r="W39" s="1919"/>
      <c r="X39" s="1919"/>
      <c r="Y39" s="1919"/>
      <c r="Z39" s="1919"/>
      <c r="AA39" s="1919"/>
      <c r="AB39" s="1919"/>
      <c r="AC39" s="1919"/>
      <c r="AD39" s="1919"/>
      <c r="AE39" s="1919"/>
      <c r="AF39" s="1919"/>
      <c r="AG39" s="1919"/>
      <c r="AH39" s="1919"/>
      <c r="AI39" s="1919"/>
      <c r="AJ39" s="1919"/>
      <c r="AK39" s="1919"/>
      <c r="AL39" s="1919"/>
      <c r="AM39" s="1919"/>
      <c r="AN39" s="1919"/>
      <c r="AO39" s="1919"/>
      <c r="AP39" s="1919"/>
      <c r="AQ39" s="1919"/>
      <c r="AR39" s="1919"/>
      <c r="AS39" s="1919"/>
      <c r="AT39" s="1919"/>
      <c r="AU39" s="1919"/>
      <c r="AV39" s="1919"/>
      <c r="AW39" s="1919"/>
      <c r="AX39" s="1919"/>
      <c r="AY39" s="1919"/>
      <c r="AZ39" s="1919"/>
      <c r="BA39" s="1919"/>
      <c r="BB39" s="1919"/>
      <c r="BC39" s="1919"/>
      <c r="BD39" s="1919"/>
      <c r="BE39" s="1919"/>
      <c r="BF39" s="1919"/>
      <c r="BG39" s="1919"/>
      <c r="BH39" s="3124"/>
    </row>
  </sheetData>
  <customSheetViews>
    <customSheetView guid="{7A886FB3-8F08-4D3E-B7EB-0851AD05C3C6}" showGridLines="0" topLeftCell="A22">
      <selection activeCell="E37" sqref="E37"/>
      <pageMargins left="0.826771653543307" right="0.236220472440945" top="0.354330708661417" bottom="0.748031496062992" header="0.31496062992126" footer="0.31496062992126"/>
      <pageSetup paperSize="9" scale="70" orientation="landscape"/>
      <headerFooter/>
    </customSheetView>
  </customSheetViews>
  <mergeCells count="100">
    <mergeCell ref="A1:P1"/>
    <mergeCell ref="Z1:AU1"/>
    <mergeCell ref="AV1:BH1"/>
    <mergeCell ref="A3:P3"/>
    <mergeCell ref="A4:P4"/>
    <mergeCell ref="A5:P5"/>
    <mergeCell ref="A6:P6"/>
    <mergeCell ref="A7:BH7"/>
    <mergeCell ref="A9:S9"/>
    <mergeCell ref="V9:W9"/>
    <mergeCell ref="X9:Y9"/>
    <mergeCell ref="Z9:AC9"/>
    <mergeCell ref="AD9:AI9"/>
    <mergeCell ref="AK9:AL9"/>
    <mergeCell ref="AM9:AN9"/>
    <mergeCell ref="AO9:AR9"/>
    <mergeCell ref="S11:BB11"/>
    <mergeCell ref="BC11:BH11"/>
    <mergeCell ref="B12:R12"/>
    <mergeCell ref="S12:X12"/>
    <mergeCell ref="Y12:AD12"/>
    <mergeCell ref="AE12:AJ12"/>
    <mergeCell ref="AK12:AP12"/>
    <mergeCell ref="AQ12:AV12"/>
    <mergeCell ref="AW12:BB12"/>
    <mergeCell ref="BC12:BH12"/>
    <mergeCell ref="S13:X13"/>
    <mergeCell ref="Y13:AD13"/>
    <mergeCell ref="AE13:AJ13"/>
    <mergeCell ref="AK13:AP13"/>
    <mergeCell ref="AQ13:AV13"/>
    <mergeCell ref="AW13:BB13"/>
    <mergeCell ref="BC13:BH13"/>
    <mergeCell ref="S14:X14"/>
    <mergeCell ref="Y14:BH14"/>
    <mergeCell ref="Y15:AD15"/>
    <mergeCell ref="AE15:AJ15"/>
    <mergeCell ref="AK15:AP15"/>
    <mergeCell ref="AQ15:AV15"/>
    <mergeCell ref="AW15:BB15"/>
    <mergeCell ref="BC15:BH15"/>
    <mergeCell ref="Y16:BB16"/>
    <mergeCell ref="BC16:BH16"/>
    <mergeCell ref="Y17:AD17"/>
    <mergeCell ref="AE17:BH17"/>
    <mergeCell ref="AE18:AJ18"/>
    <mergeCell ref="AK18:AP18"/>
    <mergeCell ref="AQ18:AV18"/>
    <mergeCell ref="AW18:BB18"/>
    <mergeCell ref="BC18:BH18"/>
    <mergeCell ref="AE19:BB19"/>
    <mergeCell ref="BC19:BH19"/>
    <mergeCell ref="AE20:AJ20"/>
    <mergeCell ref="AK20:BH20"/>
    <mergeCell ref="AK21:AP21"/>
    <mergeCell ref="AQ21:AV21"/>
    <mergeCell ref="AW21:BB21"/>
    <mergeCell ref="BC21:BH21"/>
    <mergeCell ref="AK22:BB22"/>
    <mergeCell ref="BC22:BH22"/>
    <mergeCell ref="AK23:AP23"/>
    <mergeCell ref="AQ23:BH23"/>
    <mergeCell ref="AQ24:AV24"/>
    <mergeCell ref="AW24:BB24"/>
    <mergeCell ref="BC24:BH24"/>
    <mergeCell ref="AQ25:BB25"/>
    <mergeCell ref="BC25:BH25"/>
    <mergeCell ref="AQ26:AV26"/>
    <mergeCell ref="AW26:BH26"/>
    <mergeCell ref="AW27:BB27"/>
    <mergeCell ref="BC27:BH27"/>
    <mergeCell ref="AW28:BB28"/>
    <mergeCell ref="BC28:BH28"/>
    <mergeCell ref="B29:R29"/>
    <mergeCell ref="AW29:BB29"/>
    <mergeCell ref="BC29:BH29"/>
    <mergeCell ref="B30:R30"/>
    <mergeCell ref="AW30:BB30"/>
    <mergeCell ref="BC30:BH30"/>
    <mergeCell ref="AK24:AP30"/>
    <mergeCell ref="AQ27:AV30"/>
    <mergeCell ref="Q1:T6"/>
    <mergeCell ref="Z5:AU6"/>
    <mergeCell ref="Z3:AU4"/>
    <mergeCell ref="B32:BH33"/>
    <mergeCell ref="BA35:BH36"/>
    <mergeCell ref="S15:X30"/>
    <mergeCell ref="Y18:AD30"/>
    <mergeCell ref="AE21:AJ30"/>
    <mergeCell ref="BA37:BH38"/>
    <mergeCell ref="AG34:AH38"/>
    <mergeCell ref="B34:C38"/>
    <mergeCell ref="D37:O38"/>
    <mergeCell ref="P37:V38"/>
    <mergeCell ref="W37:AF38"/>
    <mergeCell ref="AI37:AS38"/>
    <mergeCell ref="AT37:AZ38"/>
    <mergeCell ref="P35:V36"/>
    <mergeCell ref="AT35:AZ36"/>
    <mergeCell ref="W35:AF36"/>
  </mergeCells>
  <pageMargins left="0.62992125984252" right="0.62992125984252" top="0.748031496062992" bottom="0.551181102362205" header="0.31496062992126" footer="0.31496062992126"/>
  <pageSetup paperSize="9" scale="7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9">
    <tabColor theme="9" tint="0.399975585192419"/>
    <pageSetUpPr fitToPage="1"/>
  </sheetPr>
  <dimension ref="A1:AX435"/>
  <sheetViews>
    <sheetView showGridLines="0" topLeftCell="A23" workbookViewId="0">
      <selection activeCell="BD228" sqref="BD228"/>
    </sheetView>
  </sheetViews>
  <sheetFormatPr defaultColWidth="2.42857142857143" defaultRowHeight="12"/>
  <cols>
    <col min="1" max="1" width="2.57142857142857" style="690" customWidth="1"/>
    <col min="2" max="2" width="4.42857142857143" style="690" customWidth="1"/>
    <col min="3" max="3" width="2.57142857142857" style="690" customWidth="1"/>
    <col min="4" max="11" width="3" style="690" customWidth="1"/>
    <col min="12" max="20" width="2.42857142857143" style="690"/>
    <col min="21" max="50" width="2.71428571428571" style="690" customWidth="1"/>
    <col min="51" max="16384" width="2.42857142857143" style="690"/>
  </cols>
  <sheetData>
    <row r="1" ht="21" customHeight="1" spans="1:50">
      <c r="A1" s="691" t="s">
        <v>6622</v>
      </c>
      <c r="B1" s="692"/>
      <c r="C1" s="692"/>
      <c r="D1" s="692"/>
      <c r="E1" s="692"/>
      <c r="F1" s="692"/>
      <c r="G1" s="692"/>
      <c r="H1" s="692"/>
      <c r="I1" s="692"/>
      <c r="J1" s="692"/>
      <c r="K1" s="693"/>
      <c r="L1" s="694" t="s">
        <v>6554</v>
      </c>
      <c r="M1" s="695"/>
      <c r="N1" s="696" t="s">
        <v>6555</v>
      </c>
      <c r="O1" s="697"/>
      <c r="P1" s="697"/>
      <c r="Q1" s="697"/>
      <c r="R1" s="698" t="str">
        <f>UnosPod!F8</f>
        <v>LILIUM ASSET MANAGEMENT d.o.o. Sarajevo</v>
      </c>
      <c r="S1" s="698"/>
      <c r="T1" s="698"/>
      <c r="U1" s="698"/>
      <c r="V1" s="698"/>
      <c r="W1" s="698"/>
      <c r="X1" s="698"/>
      <c r="Y1" s="698"/>
      <c r="Z1" s="698"/>
      <c r="AA1" s="698"/>
      <c r="AB1" s="698"/>
      <c r="AC1" s="698"/>
      <c r="AD1" s="698"/>
      <c r="AE1" s="698"/>
      <c r="AF1" s="698"/>
      <c r="AG1" s="698"/>
      <c r="AH1" s="698"/>
      <c r="AI1" s="698"/>
      <c r="AJ1" s="698"/>
      <c r="AK1" s="698"/>
      <c r="AL1" s="698"/>
      <c r="AM1" s="699"/>
      <c r="AN1" s="700" t="s">
        <v>6489</v>
      </c>
      <c r="AO1" s="701"/>
      <c r="AP1" s="701"/>
      <c r="AQ1" s="701"/>
      <c r="AR1" s="701"/>
      <c r="AS1" s="701"/>
      <c r="AT1" s="701"/>
      <c r="AU1" s="701"/>
      <c r="AV1" s="701"/>
      <c r="AW1" s="701"/>
      <c r="AX1" s="702"/>
    </row>
    <row r="2" ht="18" customHeight="1" spans="1:50">
      <c r="A2" s="703"/>
      <c r="B2" s="704"/>
      <c r="C2" s="704"/>
      <c r="D2" s="704"/>
      <c r="E2" s="704"/>
      <c r="F2" s="704"/>
      <c r="G2" s="704"/>
      <c r="H2" s="704"/>
      <c r="I2" s="704"/>
      <c r="J2" s="704"/>
      <c r="K2" s="705"/>
      <c r="L2" s="706"/>
      <c r="M2" s="707"/>
      <c r="N2" s="696" t="s">
        <v>6556</v>
      </c>
      <c r="O2" s="697"/>
      <c r="P2" s="697"/>
      <c r="Q2" s="697"/>
      <c r="R2" s="852">
        <f>UnosPod!AA8</f>
        <v>4</v>
      </c>
      <c r="S2" s="852">
        <f>UnosPod!AB8</f>
        <v>2</v>
      </c>
      <c r="T2" s="852">
        <f>UnosPod!AC8</f>
        <v>0</v>
      </c>
      <c r="U2" s="852">
        <f>UnosPod!AD8</f>
        <v>1</v>
      </c>
      <c r="V2" s="852">
        <f>UnosPod!AE8</f>
        <v>3</v>
      </c>
      <c r="W2" s="852">
        <f>UnosPod!AF8</f>
        <v>3</v>
      </c>
      <c r="X2" s="852">
        <f>UnosPod!AG8</f>
        <v>7</v>
      </c>
      <c r="Y2" s="852">
        <f>UnosPod!AH8</f>
        <v>6</v>
      </c>
      <c r="Z2" s="852">
        <f>UnosPod!AI8</f>
        <v>7</v>
      </c>
      <c r="AA2" s="852">
        <f>UnosPod!AJ8</f>
        <v>0</v>
      </c>
      <c r="AB2" s="852">
        <f>UnosPod!AK8</f>
        <v>0</v>
      </c>
      <c r="AC2" s="852">
        <f>UnosPod!AL8</f>
        <v>0</v>
      </c>
      <c r="AD2" s="852">
        <f>UnosPod!AM8</f>
        <v>9</v>
      </c>
      <c r="AE2" s="852"/>
      <c r="AF2" s="698"/>
      <c r="AG2" s="698"/>
      <c r="AH2" s="698"/>
      <c r="AI2" s="698"/>
      <c r="AJ2" s="698"/>
      <c r="AK2" s="698"/>
      <c r="AL2" s="698"/>
      <c r="AM2" s="698"/>
      <c r="AN2" s="711"/>
      <c r="AX2" s="712"/>
    </row>
    <row r="3" ht="10.5" customHeight="1" spans="1:50">
      <c r="A3" s="703" t="s">
        <v>6490</v>
      </c>
      <c r="B3" s="704"/>
      <c r="C3" s="704"/>
      <c r="D3" s="704"/>
      <c r="E3" s="704"/>
      <c r="F3" s="704"/>
      <c r="G3" s="704"/>
      <c r="H3" s="704"/>
      <c r="I3" s="704"/>
      <c r="J3" s="704"/>
      <c r="K3" s="705"/>
      <c r="L3" s="706"/>
      <c r="M3" s="707"/>
      <c r="N3" s="713"/>
      <c r="O3" s="708"/>
      <c r="P3" s="708"/>
      <c r="Q3" s="708"/>
      <c r="R3" s="2976" t="str">
        <f>UnosPod!F10</f>
        <v>Dženetića čikma br.8</v>
      </c>
      <c r="S3" s="2976"/>
      <c r="T3" s="2976"/>
      <c r="U3" s="2976"/>
      <c r="V3" s="2976"/>
      <c r="W3" s="2976"/>
      <c r="X3" s="2976"/>
      <c r="Y3" s="2976"/>
      <c r="Z3" s="2976"/>
      <c r="AA3" s="2976"/>
      <c r="AB3" s="2976"/>
      <c r="AC3" s="2976"/>
      <c r="AD3" s="2976"/>
      <c r="AE3" s="2976"/>
      <c r="AF3" s="2976"/>
      <c r="AG3" s="2976"/>
      <c r="AH3" s="2976"/>
      <c r="AI3" s="2976"/>
      <c r="AJ3" s="2976"/>
      <c r="AK3" s="2976"/>
      <c r="AL3" s="2976"/>
      <c r="AM3" s="2977"/>
      <c r="AN3" s="711"/>
      <c r="AX3" s="712"/>
    </row>
    <row r="4" ht="10.5" customHeight="1" spans="1:50">
      <c r="A4" s="703" t="s">
        <v>6491</v>
      </c>
      <c r="B4" s="704"/>
      <c r="C4" s="704"/>
      <c r="D4" s="704"/>
      <c r="E4" s="704"/>
      <c r="F4" s="704"/>
      <c r="G4" s="704"/>
      <c r="H4" s="704"/>
      <c r="I4" s="704"/>
      <c r="J4" s="704"/>
      <c r="K4" s="705"/>
      <c r="L4" s="706"/>
      <c r="M4" s="707"/>
      <c r="N4" s="716" t="s">
        <v>6498</v>
      </c>
      <c r="O4" s="717"/>
      <c r="P4" s="717"/>
      <c r="Q4" s="717"/>
      <c r="R4" s="2978"/>
      <c r="S4" s="2978"/>
      <c r="T4" s="2978"/>
      <c r="U4" s="2978"/>
      <c r="V4" s="2978"/>
      <c r="W4" s="2978"/>
      <c r="X4" s="2978"/>
      <c r="Y4" s="2978"/>
      <c r="Z4" s="2978"/>
      <c r="AA4" s="2978"/>
      <c r="AB4" s="2978"/>
      <c r="AC4" s="2978"/>
      <c r="AD4" s="2978"/>
      <c r="AE4" s="2978"/>
      <c r="AF4" s="2978"/>
      <c r="AG4" s="2978"/>
      <c r="AH4" s="2978"/>
      <c r="AI4" s="2978"/>
      <c r="AJ4" s="2978"/>
      <c r="AK4" s="2978"/>
      <c r="AL4" s="2978"/>
      <c r="AM4" s="2979"/>
      <c r="AN4" s="720"/>
      <c r="AX4" s="712"/>
    </row>
    <row r="5" ht="10.5" customHeight="1" spans="1:50">
      <c r="A5" s="721" t="s">
        <v>6492</v>
      </c>
      <c r="B5" s="722"/>
      <c r="C5" s="722"/>
      <c r="D5" s="722"/>
      <c r="E5" s="722"/>
      <c r="F5" s="722"/>
      <c r="G5" s="722"/>
      <c r="H5" s="722"/>
      <c r="I5" s="722"/>
      <c r="J5" s="722"/>
      <c r="K5" s="723"/>
      <c r="L5" s="706"/>
      <c r="M5" s="707"/>
      <c r="N5" s="713"/>
      <c r="O5" s="708"/>
      <c r="P5" s="708"/>
      <c r="Q5" s="708"/>
      <c r="R5" s="710" t="str">
        <f>Baza!I21</f>
        <v>Sarajevo-Stari Grad</v>
      </c>
      <c r="S5" s="710"/>
      <c r="T5" s="710"/>
      <c r="U5" s="710"/>
      <c r="V5" s="710"/>
      <c r="W5" s="710"/>
      <c r="X5" s="710"/>
      <c r="Y5" s="710"/>
      <c r="Z5" s="710"/>
      <c r="AA5" s="710"/>
      <c r="AB5" s="710"/>
      <c r="AC5" s="710"/>
      <c r="AD5" s="710"/>
      <c r="AE5" s="710"/>
      <c r="AF5" s="710"/>
      <c r="AG5" s="710"/>
      <c r="AH5" s="710"/>
      <c r="AI5" s="710"/>
      <c r="AJ5" s="710"/>
      <c r="AK5" s="710"/>
      <c r="AL5" s="710"/>
      <c r="AM5" s="2980"/>
      <c r="AN5" s="720"/>
      <c r="AX5" s="712"/>
    </row>
    <row r="6" ht="10.5" customHeight="1" spans="1:50">
      <c r="A6" s="721" t="s">
        <v>6493</v>
      </c>
      <c r="B6" s="722"/>
      <c r="C6" s="722"/>
      <c r="D6" s="722"/>
      <c r="E6" s="722"/>
      <c r="F6" s="722"/>
      <c r="G6" s="722"/>
      <c r="H6" s="722"/>
      <c r="I6" s="722"/>
      <c r="J6" s="722"/>
      <c r="K6" s="723"/>
      <c r="L6" s="726"/>
      <c r="M6" s="727"/>
      <c r="N6" s="716" t="s">
        <v>6559</v>
      </c>
      <c r="O6" s="717"/>
      <c r="P6" s="717"/>
      <c r="Q6" s="717"/>
      <c r="R6" s="2981"/>
      <c r="S6" s="2981"/>
      <c r="T6" s="2981"/>
      <c r="U6" s="2981"/>
      <c r="V6" s="2981"/>
      <c r="W6" s="2981"/>
      <c r="X6" s="2981"/>
      <c r="Y6" s="2981"/>
      <c r="Z6" s="2981"/>
      <c r="AA6" s="2981"/>
      <c r="AB6" s="2981"/>
      <c r="AC6" s="2981"/>
      <c r="AD6" s="2981"/>
      <c r="AE6" s="2981"/>
      <c r="AF6" s="2981"/>
      <c r="AG6" s="2981"/>
      <c r="AH6" s="2981"/>
      <c r="AI6" s="2981"/>
      <c r="AJ6" s="2981"/>
      <c r="AK6" s="2981"/>
      <c r="AL6" s="2981"/>
      <c r="AM6" s="2982"/>
      <c r="AN6" s="730"/>
      <c r="AO6" s="717"/>
      <c r="AP6" s="717"/>
      <c r="AQ6" s="717"/>
      <c r="AR6" s="717"/>
      <c r="AS6" s="717"/>
      <c r="AT6" s="717"/>
      <c r="AU6" s="717"/>
      <c r="AV6" s="717"/>
      <c r="AW6" s="717"/>
      <c r="AX6" s="731"/>
    </row>
    <row r="7" ht="27" customHeight="1" spans="1:50">
      <c r="A7" s="3026" t="s">
        <v>6668</v>
      </c>
      <c r="B7" s="3026"/>
      <c r="C7" s="3026"/>
      <c r="D7" s="3026"/>
      <c r="E7" s="3026"/>
      <c r="F7" s="3026"/>
      <c r="G7" s="3026"/>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3026"/>
      <c r="AU7" s="3026"/>
      <c r="AV7" s="3026"/>
      <c r="AW7" s="3026"/>
      <c r="AX7" s="3026"/>
    </row>
    <row r="8" ht="13.5" spans="1:50">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AT8" s="733"/>
      <c r="AU8" s="733"/>
      <c r="AV8" s="733"/>
      <c r="AW8" s="733"/>
      <c r="AX8" s="733"/>
    </row>
    <row r="9" ht="15.75" spans="1:50">
      <c r="A9" s="734" t="str">
        <f>"za "&amp;Text!B8</f>
        <v>za period</v>
      </c>
      <c r="B9" s="734"/>
      <c r="C9" s="734"/>
      <c r="D9" s="734"/>
      <c r="E9" s="734"/>
      <c r="F9" s="734"/>
      <c r="G9" s="734"/>
      <c r="H9" s="734"/>
      <c r="I9" s="734"/>
      <c r="J9" s="734"/>
      <c r="K9" s="734"/>
      <c r="L9" s="734"/>
      <c r="M9" s="734"/>
      <c r="N9" s="735"/>
      <c r="P9" s="736" t="str">
        <f>UnosPod!F6&amp;UnosPod!G6</f>
        <v>01</v>
      </c>
      <c r="Q9" s="737"/>
      <c r="R9" s="736" t="str">
        <f>UnosPod!H6&amp;UnosPod!I6</f>
        <v>01</v>
      </c>
      <c r="S9" s="737"/>
      <c r="T9" s="736">
        <f>UnosPod!J6</f>
        <v>2025</v>
      </c>
      <c r="U9" s="738"/>
      <c r="V9" s="738"/>
      <c r="W9" s="737"/>
      <c r="X9" s="739" t="s">
        <v>12</v>
      </c>
      <c r="Y9" s="740"/>
      <c r="Z9" s="740"/>
      <c r="AA9" s="740"/>
      <c r="AB9" s="740"/>
      <c r="AC9" s="741"/>
      <c r="AD9" s="736" t="str">
        <f>UnosPod!M6&amp;UnosPod!N6</f>
        <v>31</v>
      </c>
      <c r="AE9" s="737"/>
      <c r="AF9" s="736" t="str">
        <f>UnosPod!O6&amp;UnosPod!P6</f>
        <v>12</v>
      </c>
      <c r="AG9" s="737"/>
      <c r="AH9" s="736">
        <f>UnosPod!Q6</f>
        <v>2025</v>
      </c>
      <c r="AI9" s="738"/>
      <c r="AJ9" s="738"/>
      <c r="AK9" s="737"/>
    </row>
    <row r="10" ht="6" customHeight="1"/>
    <row r="11" s="799" customFormat="1" ht="18.75" customHeight="1" spans="1:50">
      <c r="A11" s="800" t="s">
        <v>6366</v>
      </c>
      <c r="B11" s="2942"/>
      <c r="C11" s="2942"/>
      <c r="D11" s="2942"/>
      <c r="E11" s="2942"/>
      <c r="F11" s="2942"/>
      <c r="G11" s="2942"/>
      <c r="H11" s="2942"/>
      <c r="I11" s="2942"/>
      <c r="J11" s="2942"/>
      <c r="K11" s="2942"/>
      <c r="L11" s="2942"/>
      <c r="M11" s="2942"/>
      <c r="N11" s="2942"/>
      <c r="O11" s="2942"/>
      <c r="P11" s="2942"/>
      <c r="Q11" s="2942"/>
      <c r="R11" s="2942"/>
      <c r="S11" s="2942"/>
      <c r="T11" s="2942"/>
      <c r="U11" s="2942"/>
      <c r="V11" s="2942"/>
      <c r="W11" s="2942"/>
      <c r="X11" s="2942"/>
      <c r="Y11" s="2942"/>
      <c r="Z11" s="2942"/>
      <c r="AA11" s="2942"/>
      <c r="AB11" s="2942"/>
      <c r="AC11" s="2942"/>
      <c r="AD11" s="2942"/>
      <c r="AE11" s="2942"/>
      <c r="AF11" s="2942"/>
      <c r="AG11" s="2942"/>
      <c r="AH11" s="2942"/>
      <c r="AI11" s="2942"/>
      <c r="AJ11" s="2942"/>
      <c r="AK11" s="2942"/>
      <c r="AL11" s="2942"/>
      <c r="AM11" s="2942"/>
      <c r="AN11" s="2942"/>
      <c r="AO11" s="2942"/>
      <c r="AP11" s="2942"/>
      <c r="AQ11" s="2942"/>
      <c r="AR11" s="2942"/>
      <c r="AS11" s="2942"/>
      <c r="AT11" s="2942"/>
      <c r="AU11" s="2942"/>
      <c r="AV11" s="2942"/>
      <c r="AW11" s="2942"/>
      <c r="AX11" s="2943"/>
    </row>
    <row r="12" s="688" customFormat="1" ht="33.75" customHeight="1" spans="1:50">
      <c r="A12" s="3027"/>
      <c r="B12" s="3028" t="s">
        <v>5985</v>
      </c>
      <c r="C12" s="3029" t="s">
        <v>6669</v>
      </c>
      <c r="D12" s="3030"/>
      <c r="E12" s="3030"/>
      <c r="F12" s="3030"/>
      <c r="G12" s="3030"/>
      <c r="H12" s="3030"/>
      <c r="I12" s="3030"/>
      <c r="J12" s="3030"/>
      <c r="K12" s="3030"/>
      <c r="L12" s="3030"/>
      <c r="M12" s="3031"/>
      <c r="N12" s="3028" t="s">
        <v>6670</v>
      </c>
      <c r="O12" s="3028"/>
      <c r="P12" s="3028"/>
      <c r="Q12" s="3028"/>
      <c r="R12" s="3028"/>
      <c r="S12" s="3028"/>
      <c r="T12" s="3028"/>
      <c r="U12" s="3028" t="s">
        <v>6671</v>
      </c>
      <c r="V12" s="3028"/>
      <c r="W12" s="3028"/>
      <c r="X12" s="3028"/>
      <c r="Y12" s="3028"/>
      <c r="Z12" s="3028"/>
      <c r="AA12" s="3028" t="s">
        <v>6672</v>
      </c>
      <c r="AB12" s="3028"/>
      <c r="AC12" s="3028"/>
      <c r="AD12" s="3028"/>
      <c r="AE12" s="3028"/>
      <c r="AF12" s="3028"/>
      <c r="AG12" s="3032" t="s">
        <v>6673</v>
      </c>
      <c r="AH12" s="3032"/>
      <c r="AI12" s="3032"/>
      <c r="AJ12" s="3032"/>
      <c r="AK12" s="3032"/>
      <c r="AL12" s="3032"/>
      <c r="AM12" s="3028" t="s">
        <v>6674</v>
      </c>
      <c r="AN12" s="3028"/>
      <c r="AO12" s="3028"/>
      <c r="AP12" s="3028"/>
      <c r="AQ12" s="3028"/>
      <c r="AR12" s="3028"/>
      <c r="AS12" s="3028" t="s">
        <v>6675</v>
      </c>
      <c r="AT12" s="3028"/>
      <c r="AU12" s="3028"/>
      <c r="AV12" s="3028"/>
      <c r="AW12" s="3028"/>
      <c r="AX12" s="3028"/>
    </row>
    <row r="13" s="687" customFormat="1" ht="15.75" customHeight="1" spans="1:50">
      <c r="A13" s="3033"/>
      <c r="B13" s="754" t="s">
        <v>3953</v>
      </c>
      <c r="C13" s="864" t="str">
        <f>UnosNovoZaposl!C5</f>
        <v>Elvira Žilić</v>
      </c>
      <c r="D13" s="864"/>
      <c r="E13" s="864"/>
      <c r="F13" s="864"/>
      <c r="G13" s="864"/>
      <c r="H13" s="864"/>
      <c r="I13" s="864"/>
      <c r="J13" s="864"/>
      <c r="K13" s="864"/>
      <c r="L13" s="864"/>
      <c r="M13" s="864"/>
      <c r="N13" s="3034" t="str">
        <f>UnosNovoZaposl!D5</f>
        <v>0710977178042</v>
      </c>
      <c r="O13" s="3035"/>
      <c r="P13" s="3035"/>
      <c r="Q13" s="3035"/>
      <c r="R13" s="3035"/>
      <c r="S13" s="3035"/>
      <c r="T13" s="3036"/>
      <c r="U13" s="868" t="str">
        <f>UnosNovoZaposl!E5</f>
        <v>24.03.2025.</v>
      </c>
      <c r="V13" s="868"/>
      <c r="W13" s="868"/>
      <c r="X13" s="868"/>
      <c r="Y13" s="868"/>
      <c r="Z13" s="868"/>
      <c r="AA13" s="868" t="str">
        <f>UnosNovoZaposl!B5</f>
        <v>352/25</v>
      </c>
      <c r="AB13" s="868"/>
      <c r="AC13" s="868"/>
      <c r="AD13" s="868"/>
      <c r="AE13" s="868"/>
      <c r="AF13" s="868"/>
      <c r="AG13" s="868">
        <f>UnosNovoZaposl!F5</f>
        <v>20325.41</v>
      </c>
      <c r="AH13" s="868"/>
      <c r="AI13" s="868"/>
      <c r="AJ13" s="868"/>
      <c r="AK13" s="868"/>
      <c r="AL13" s="868"/>
      <c r="AM13" s="868">
        <f>UnosNovoZaposl!G5</f>
        <v>9131.67</v>
      </c>
      <c r="AN13" s="868"/>
      <c r="AO13" s="868"/>
      <c r="AP13" s="868"/>
      <c r="AQ13" s="868"/>
      <c r="AR13" s="868"/>
      <c r="AS13" s="868">
        <f>AG13+AM13</f>
        <v>29457.08</v>
      </c>
      <c r="AT13" s="868"/>
      <c r="AU13" s="868"/>
      <c r="AV13" s="868"/>
      <c r="AW13" s="868"/>
      <c r="AX13" s="868"/>
    </row>
    <row r="14" s="687" customFormat="1" ht="15.75" customHeight="1" spans="1:50">
      <c r="A14" s="3033"/>
      <c r="B14" s="754" t="s">
        <v>3891</v>
      </c>
      <c r="C14" s="864">
        <f>UnosNovoZaposl!C6</f>
        <v>0</v>
      </c>
      <c r="D14" s="864"/>
      <c r="E14" s="864"/>
      <c r="F14" s="864"/>
      <c r="G14" s="864"/>
      <c r="H14" s="864"/>
      <c r="I14" s="864"/>
      <c r="J14" s="864"/>
      <c r="K14" s="864"/>
      <c r="L14" s="864"/>
      <c r="M14" s="864"/>
      <c r="N14" s="3034">
        <f>UnosNovoZaposl!D6</f>
        <v>0</v>
      </c>
      <c r="O14" s="3035"/>
      <c r="P14" s="3035"/>
      <c r="Q14" s="3035"/>
      <c r="R14" s="3035"/>
      <c r="S14" s="3035"/>
      <c r="T14" s="3036"/>
      <c r="U14" s="868">
        <f>UnosNovoZaposl!E6</f>
        <v>0</v>
      </c>
      <c r="V14" s="868"/>
      <c r="W14" s="868"/>
      <c r="X14" s="868"/>
      <c r="Y14" s="868"/>
      <c r="Z14" s="868"/>
      <c r="AA14" s="868">
        <f>UnosNovoZaposl!B6</f>
        <v>0</v>
      </c>
      <c r="AB14" s="868"/>
      <c r="AC14" s="868"/>
      <c r="AD14" s="868"/>
      <c r="AE14" s="868"/>
      <c r="AF14" s="868"/>
      <c r="AG14" s="868">
        <f>UnosNovoZaposl!F6</f>
        <v>0</v>
      </c>
      <c r="AH14" s="868"/>
      <c r="AI14" s="868"/>
      <c r="AJ14" s="868"/>
      <c r="AK14" s="868"/>
      <c r="AL14" s="868"/>
      <c r="AM14" s="868">
        <f>UnosNovoZaposl!G6</f>
        <v>0</v>
      </c>
      <c r="AN14" s="868"/>
      <c r="AO14" s="868"/>
      <c r="AP14" s="868"/>
      <c r="AQ14" s="868"/>
      <c r="AR14" s="868"/>
      <c r="AS14" s="868">
        <f t="shared" ref="AS14:AS77" si="0">AG14+AM14</f>
        <v>0</v>
      </c>
      <c r="AT14" s="868"/>
      <c r="AU14" s="868"/>
      <c r="AV14" s="868"/>
      <c r="AW14" s="868"/>
      <c r="AX14" s="868"/>
    </row>
    <row r="15" s="687" customFormat="1" ht="15.75" customHeight="1" spans="1:50">
      <c r="A15" s="3033"/>
      <c r="B15" s="754" t="s">
        <v>3902</v>
      </c>
      <c r="C15" s="864">
        <f>UnosNovoZaposl!C7</f>
        <v>0</v>
      </c>
      <c r="D15" s="864"/>
      <c r="E15" s="864"/>
      <c r="F15" s="864"/>
      <c r="G15" s="864"/>
      <c r="H15" s="864"/>
      <c r="I15" s="864"/>
      <c r="J15" s="864"/>
      <c r="K15" s="864"/>
      <c r="L15" s="864"/>
      <c r="M15" s="864"/>
      <c r="N15" s="3034">
        <f>UnosNovoZaposl!D7</f>
        <v>0</v>
      </c>
      <c r="O15" s="3035"/>
      <c r="P15" s="3035"/>
      <c r="Q15" s="3035"/>
      <c r="R15" s="3035"/>
      <c r="S15" s="3035"/>
      <c r="T15" s="3036"/>
      <c r="U15" s="868">
        <f>UnosNovoZaposl!E7</f>
        <v>0</v>
      </c>
      <c r="V15" s="868"/>
      <c r="W15" s="868"/>
      <c r="X15" s="868"/>
      <c r="Y15" s="868"/>
      <c r="Z15" s="868"/>
      <c r="AA15" s="868">
        <f>UnosNovoZaposl!B7</f>
        <v>0</v>
      </c>
      <c r="AB15" s="868"/>
      <c r="AC15" s="868"/>
      <c r="AD15" s="868"/>
      <c r="AE15" s="868"/>
      <c r="AF15" s="868"/>
      <c r="AG15" s="868">
        <f>UnosNovoZaposl!F7</f>
        <v>0</v>
      </c>
      <c r="AH15" s="868"/>
      <c r="AI15" s="868"/>
      <c r="AJ15" s="868"/>
      <c r="AK15" s="868"/>
      <c r="AL15" s="868"/>
      <c r="AM15" s="868">
        <f>UnosNovoZaposl!G7</f>
        <v>0</v>
      </c>
      <c r="AN15" s="868"/>
      <c r="AO15" s="868"/>
      <c r="AP15" s="868"/>
      <c r="AQ15" s="868"/>
      <c r="AR15" s="868"/>
      <c r="AS15" s="868">
        <f t="shared" si="0"/>
        <v>0</v>
      </c>
      <c r="AT15" s="868"/>
      <c r="AU15" s="868"/>
      <c r="AV15" s="868"/>
      <c r="AW15" s="868"/>
      <c r="AX15" s="868"/>
    </row>
    <row r="16" s="687" customFormat="1" ht="15.75" customHeight="1" spans="1:50">
      <c r="A16" s="3033"/>
      <c r="B16" s="754" t="s">
        <v>3905</v>
      </c>
      <c r="C16" s="864">
        <f>UnosNovoZaposl!C8</f>
        <v>0</v>
      </c>
      <c r="D16" s="864"/>
      <c r="E16" s="864"/>
      <c r="F16" s="864"/>
      <c r="G16" s="864"/>
      <c r="H16" s="864"/>
      <c r="I16" s="864"/>
      <c r="J16" s="864"/>
      <c r="K16" s="864"/>
      <c r="L16" s="864"/>
      <c r="M16" s="864"/>
      <c r="N16" s="3034">
        <f>UnosNovoZaposl!D8</f>
        <v>0</v>
      </c>
      <c r="O16" s="3035"/>
      <c r="P16" s="3035"/>
      <c r="Q16" s="3035"/>
      <c r="R16" s="3035"/>
      <c r="S16" s="3035"/>
      <c r="T16" s="3036"/>
      <c r="U16" s="868">
        <f>UnosNovoZaposl!E8</f>
        <v>0</v>
      </c>
      <c r="V16" s="868"/>
      <c r="W16" s="868"/>
      <c r="X16" s="868"/>
      <c r="Y16" s="868"/>
      <c r="Z16" s="868"/>
      <c r="AA16" s="868">
        <f>UnosNovoZaposl!B8</f>
        <v>0</v>
      </c>
      <c r="AB16" s="868"/>
      <c r="AC16" s="868"/>
      <c r="AD16" s="868"/>
      <c r="AE16" s="868"/>
      <c r="AF16" s="868"/>
      <c r="AG16" s="868">
        <f>UnosNovoZaposl!F8</f>
        <v>0</v>
      </c>
      <c r="AH16" s="868"/>
      <c r="AI16" s="868"/>
      <c r="AJ16" s="868"/>
      <c r="AK16" s="868"/>
      <c r="AL16" s="868"/>
      <c r="AM16" s="868">
        <f>UnosNovoZaposl!G8</f>
        <v>0</v>
      </c>
      <c r="AN16" s="868"/>
      <c r="AO16" s="868"/>
      <c r="AP16" s="868"/>
      <c r="AQ16" s="868"/>
      <c r="AR16" s="868"/>
      <c r="AS16" s="868">
        <f t="shared" si="0"/>
        <v>0</v>
      </c>
      <c r="AT16" s="868"/>
      <c r="AU16" s="868"/>
      <c r="AV16" s="868"/>
      <c r="AW16" s="868"/>
      <c r="AX16" s="868"/>
    </row>
    <row r="17" s="687" customFormat="1" ht="15.75" customHeight="1" spans="1:50">
      <c r="A17" s="3033"/>
      <c r="B17" s="754" t="s">
        <v>3915</v>
      </c>
      <c r="C17" s="864">
        <f>UnosNovoZaposl!C9</f>
        <v>0</v>
      </c>
      <c r="D17" s="864"/>
      <c r="E17" s="864"/>
      <c r="F17" s="864"/>
      <c r="G17" s="864"/>
      <c r="H17" s="864"/>
      <c r="I17" s="864"/>
      <c r="J17" s="864"/>
      <c r="K17" s="864"/>
      <c r="L17" s="864"/>
      <c r="M17" s="864"/>
      <c r="N17" s="3034">
        <f>UnosNovoZaposl!D9</f>
        <v>0</v>
      </c>
      <c r="O17" s="3035"/>
      <c r="P17" s="3035"/>
      <c r="Q17" s="3035"/>
      <c r="R17" s="3035"/>
      <c r="S17" s="3035"/>
      <c r="T17" s="3036"/>
      <c r="U17" s="868">
        <f>UnosNovoZaposl!E9</f>
        <v>0</v>
      </c>
      <c r="V17" s="868"/>
      <c r="W17" s="868"/>
      <c r="X17" s="868"/>
      <c r="Y17" s="868"/>
      <c r="Z17" s="868"/>
      <c r="AA17" s="868">
        <f>UnosNovoZaposl!B9</f>
        <v>0</v>
      </c>
      <c r="AB17" s="868"/>
      <c r="AC17" s="868"/>
      <c r="AD17" s="868"/>
      <c r="AE17" s="868"/>
      <c r="AF17" s="868"/>
      <c r="AG17" s="868">
        <f>UnosNovoZaposl!F9</f>
        <v>0</v>
      </c>
      <c r="AH17" s="868"/>
      <c r="AI17" s="868"/>
      <c r="AJ17" s="868"/>
      <c r="AK17" s="868"/>
      <c r="AL17" s="868"/>
      <c r="AM17" s="868">
        <f>UnosNovoZaposl!G9</f>
        <v>0</v>
      </c>
      <c r="AN17" s="868"/>
      <c r="AO17" s="868"/>
      <c r="AP17" s="868"/>
      <c r="AQ17" s="868"/>
      <c r="AR17" s="868"/>
      <c r="AS17" s="868">
        <f t="shared" si="0"/>
        <v>0</v>
      </c>
      <c r="AT17" s="868"/>
      <c r="AU17" s="868"/>
      <c r="AV17" s="868"/>
      <c r="AW17" s="868"/>
      <c r="AX17" s="868"/>
    </row>
    <row r="18" s="687" customFormat="1" ht="15.75" customHeight="1" spans="1:50">
      <c r="A18" s="3033"/>
      <c r="B18" s="754" t="s">
        <v>3918</v>
      </c>
      <c r="C18" s="864">
        <f>UnosNovoZaposl!C10</f>
        <v>0</v>
      </c>
      <c r="D18" s="864"/>
      <c r="E18" s="864"/>
      <c r="F18" s="864"/>
      <c r="G18" s="864"/>
      <c r="H18" s="864"/>
      <c r="I18" s="864"/>
      <c r="J18" s="864"/>
      <c r="K18" s="864"/>
      <c r="L18" s="864"/>
      <c r="M18" s="864"/>
      <c r="N18" s="3034">
        <f>UnosNovoZaposl!D10</f>
        <v>0</v>
      </c>
      <c r="O18" s="3035"/>
      <c r="P18" s="3035"/>
      <c r="Q18" s="3035"/>
      <c r="R18" s="3035"/>
      <c r="S18" s="3035"/>
      <c r="T18" s="3036"/>
      <c r="U18" s="868">
        <f>UnosNovoZaposl!E10</f>
        <v>0</v>
      </c>
      <c r="V18" s="868"/>
      <c r="W18" s="868"/>
      <c r="X18" s="868"/>
      <c r="Y18" s="868"/>
      <c r="Z18" s="868"/>
      <c r="AA18" s="868">
        <f>UnosNovoZaposl!B10</f>
        <v>0</v>
      </c>
      <c r="AB18" s="868"/>
      <c r="AC18" s="868"/>
      <c r="AD18" s="868"/>
      <c r="AE18" s="868"/>
      <c r="AF18" s="868"/>
      <c r="AG18" s="868">
        <f>UnosNovoZaposl!F10</f>
        <v>0</v>
      </c>
      <c r="AH18" s="868"/>
      <c r="AI18" s="868"/>
      <c r="AJ18" s="868"/>
      <c r="AK18" s="868"/>
      <c r="AL18" s="868"/>
      <c r="AM18" s="868">
        <f>UnosNovoZaposl!G10</f>
        <v>0</v>
      </c>
      <c r="AN18" s="868"/>
      <c r="AO18" s="868"/>
      <c r="AP18" s="868"/>
      <c r="AQ18" s="868"/>
      <c r="AR18" s="868"/>
      <c r="AS18" s="868">
        <f t="shared" si="0"/>
        <v>0</v>
      </c>
      <c r="AT18" s="868"/>
      <c r="AU18" s="868"/>
      <c r="AV18" s="868"/>
      <c r="AW18" s="868"/>
      <c r="AX18" s="868"/>
    </row>
    <row r="19" s="687" customFormat="1" ht="15.75" customHeight="1" spans="1:50">
      <c r="A19" s="3033"/>
      <c r="B19" s="754" t="s">
        <v>3920</v>
      </c>
      <c r="C19" s="864">
        <f>UnosNovoZaposl!C11</f>
        <v>0</v>
      </c>
      <c r="D19" s="864"/>
      <c r="E19" s="864"/>
      <c r="F19" s="864"/>
      <c r="G19" s="864"/>
      <c r="H19" s="864"/>
      <c r="I19" s="864"/>
      <c r="J19" s="864"/>
      <c r="K19" s="864"/>
      <c r="L19" s="864"/>
      <c r="M19" s="864"/>
      <c r="N19" s="3034">
        <f>UnosNovoZaposl!D11</f>
        <v>0</v>
      </c>
      <c r="O19" s="3035"/>
      <c r="P19" s="3035"/>
      <c r="Q19" s="3035"/>
      <c r="R19" s="3035"/>
      <c r="S19" s="3035"/>
      <c r="T19" s="3036"/>
      <c r="U19" s="868">
        <f>UnosNovoZaposl!E11</f>
        <v>0</v>
      </c>
      <c r="V19" s="868"/>
      <c r="W19" s="868"/>
      <c r="X19" s="868"/>
      <c r="Y19" s="868"/>
      <c r="Z19" s="868"/>
      <c r="AA19" s="868">
        <f>UnosNovoZaposl!B11</f>
        <v>0</v>
      </c>
      <c r="AB19" s="868"/>
      <c r="AC19" s="868"/>
      <c r="AD19" s="868"/>
      <c r="AE19" s="868"/>
      <c r="AF19" s="868"/>
      <c r="AG19" s="868">
        <f>UnosNovoZaposl!F11</f>
        <v>0</v>
      </c>
      <c r="AH19" s="868"/>
      <c r="AI19" s="868"/>
      <c r="AJ19" s="868"/>
      <c r="AK19" s="868"/>
      <c r="AL19" s="868"/>
      <c r="AM19" s="868">
        <f>UnosNovoZaposl!G11</f>
        <v>0</v>
      </c>
      <c r="AN19" s="868"/>
      <c r="AO19" s="868"/>
      <c r="AP19" s="868"/>
      <c r="AQ19" s="868"/>
      <c r="AR19" s="868"/>
      <c r="AS19" s="868">
        <f t="shared" si="0"/>
        <v>0</v>
      </c>
      <c r="AT19" s="868"/>
      <c r="AU19" s="868"/>
      <c r="AV19" s="868"/>
      <c r="AW19" s="868"/>
      <c r="AX19" s="868"/>
    </row>
    <row r="20" s="687" customFormat="1" ht="15.75" customHeight="1" spans="1:50">
      <c r="A20" s="3033"/>
      <c r="B20" s="754" t="s">
        <v>3923</v>
      </c>
      <c r="C20" s="864">
        <f>UnosNovoZaposl!C12</f>
        <v>0</v>
      </c>
      <c r="D20" s="864"/>
      <c r="E20" s="864"/>
      <c r="F20" s="864"/>
      <c r="G20" s="864"/>
      <c r="H20" s="864"/>
      <c r="I20" s="864"/>
      <c r="J20" s="864"/>
      <c r="K20" s="864"/>
      <c r="L20" s="864"/>
      <c r="M20" s="864"/>
      <c r="N20" s="3034">
        <f>UnosNovoZaposl!D12</f>
        <v>0</v>
      </c>
      <c r="O20" s="3035"/>
      <c r="P20" s="3035"/>
      <c r="Q20" s="3035"/>
      <c r="R20" s="3035"/>
      <c r="S20" s="3035"/>
      <c r="T20" s="3036"/>
      <c r="U20" s="868">
        <f>UnosNovoZaposl!E12</f>
        <v>0</v>
      </c>
      <c r="V20" s="868"/>
      <c r="W20" s="868"/>
      <c r="X20" s="868"/>
      <c r="Y20" s="868"/>
      <c r="Z20" s="868"/>
      <c r="AA20" s="868">
        <f>UnosNovoZaposl!B12</f>
        <v>0</v>
      </c>
      <c r="AB20" s="868"/>
      <c r="AC20" s="868"/>
      <c r="AD20" s="868"/>
      <c r="AE20" s="868"/>
      <c r="AF20" s="868"/>
      <c r="AG20" s="868">
        <f>UnosNovoZaposl!F12</f>
        <v>0</v>
      </c>
      <c r="AH20" s="868"/>
      <c r="AI20" s="868"/>
      <c r="AJ20" s="868"/>
      <c r="AK20" s="868"/>
      <c r="AL20" s="868"/>
      <c r="AM20" s="868">
        <f>UnosNovoZaposl!G12</f>
        <v>0</v>
      </c>
      <c r="AN20" s="868"/>
      <c r="AO20" s="868"/>
      <c r="AP20" s="868"/>
      <c r="AQ20" s="868"/>
      <c r="AR20" s="868"/>
      <c r="AS20" s="868">
        <f t="shared" si="0"/>
        <v>0</v>
      </c>
      <c r="AT20" s="868"/>
      <c r="AU20" s="868"/>
      <c r="AV20" s="868"/>
      <c r="AW20" s="868"/>
      <c r="AX20" s="868"/>
    </row>
    <row r="21" s="687" customFormat="1" ht="15.75" customHeight="1" spans="1:50">
      <c r="A21" s="3033"/>
      <c r="B21" s="754" t="s">
        <v>3925</v>
      </c>
      <c r="C21" s="864">
        <f>UnosNovoZaposl!C13</f>
        <v>0</v>
      </c>
      <c r="D21" s="864"/>
      <c r="E21" s="864"/>
      <c r="F21" s="864"/>
      <c r="G21" s="864"/>
      <c r="H21" s="864"/>
      <c r="I21" s="864"/>
      <c r="J21" s="864"/>
      <c r="K21" s="864"/>
      <c r="L21" s="864"/>
      <c r="M21" s="864"/>
      <c r="N21" s="3034">
        <f>UnosNovoZaposl!D13</f>
        <v>0</v>
      </c>
      <c r="O21" s="3035"/>
      <c r="P21" s="3035"/>
      <c r="Q21" s="3035"/>
      <c r="R21" s="3035"/>
      <c r="S21" s="3035"/>
      <c r="T21" s="3036"/>
      <c r="U21" s="868">
        <f>UnosNovoZaposl!E13</f>
        <v>0</v>
      </c>
      <c r="V21" s="868"/>
      <c r="W21" s="868"/>
      <c r="X21" s="868"/>
      <c r="Y21" s="868"/>
      <c r="Z21" s="868"/>
      <c r="AA21" s="868">
        <f>UnosNovoZaposl!B13</f>
        <v>0</v>
      </c>
      <c r="AB21" s="868"/>
      <c r="AC21" s="868"/>
      <c r="AD21" s="868"/>
      <c r="AE21" s="868"/>
      <c r="AF21" s="868"/>
      <c r="AG21" s="868">
        <f>UnosNovoZaposl!F13</f>
        <v>0</v>
      </c>
      <c r="AH21" s="868"/>
      <c r="AI21" s="868"/>
      <c r="AJ21" s="868"/>
      <c r="AK21" s="868"/>
      <c r="AL21" s="868"/>
      <c r="AM21" s="868">
        <f>UnosNovoZaposl!G13</f>
        <v>0</v>
      </c>
      <c r="AN21" s="868"/>
      <c r="AO21" s="868"/>
      <c r="AP21" s="868"/>
      <c r="AQ21" s="868"/>
      <c r="AR21" s="868"/>
      <c r="AS21" s="868">
        <f t="shared" si="0"/>
        <v>0</v>
      </c>
      <c r="AT21" s="868"/>
      <c r="AU21" s="868"/>
      <c r="AV21" s="868"/>
      <c r="AW21" s="868"/>
      <c r="AX21" s="868"/>
    </row>
    <row r="22" s="687" customFormat="1" ht="15.75" customHeight="1" spans="1:50">
      <c r="A22" s="3033"/>
      <c r="B22" s="754" t="s">
        <v>3928</v>
      </c>
      <c r="C22" s="864">
        <f>UnosNovoZaposl!C14</f>
        <v>0</v>
      </c>
      <c r="D22" s="864"/>
      <c r="E22" s="864"/>
      <c r="F22" s="864"/>
      <c r="G22" s="864"/>
      <c r="H22" s="864"/>
      <c r="I22" s="864"/>
      <c r="J22" s="864"/>
      <c r="K22" s="864"/>
      <c r="L22" s="864"/>
      <c r="M22" s="864"/>
      <c r="N22" s="3034">
        <f>UnosNovoZaposl!D14</f>
        <v>0</v>
      </c>
      <c r="O22" s="3035"/>
      <c r="P22" s="3035"/>
      <c r="Q22" s="3035"/>
      <c r="R22" s="3035"/>
      <c r="S22" s="3035"/>
      <c r="T22" s="3036"/>
      <c r="U22" s="868">
        <f>UnosNovoZaposl!E14</f>
        <v>0</v>
      </c>
      <c r="V22" s="868"/>
      <c r="W22" s="868"/>
      <c r="X22" s="868"/>
      <c r="Y22" s="868"/>
      <c r="Z22" s="868"/>
      <c r="AA22" s="868">
        <f>UnosNovoZaposl!B14</f>
        <v>0</v>
      </c>
      <c r="AB22" s="868"/>
      <c r="AC22" s="868"/>
      <c r="AD22" s="868"/>
      <c r="AE22" s="868"/>
      <c r="AF22" s="868"/>
      <c r="AG22" s="868">
        <f>UnosNovoZaposl!F14</f>
        <v>0</v>
      </c>
      <c r="AH22" s="868"/>
      <c r="AI22" s="868"/>
      <c r="AJ22" s="868"/>
      <c r="AK22" s="868"/>
      <c r="AL22" s="868"/>
      <c r="AM22" s="868">
        <f>UnosNovoZaposl!G14</f>
        <v>0</v>
      </c>
      <c r="AN22" s="868"/>
      <c r="AO22" s="868"/>
      <c r="AP22" s="868"/>
      <c r="AQ22" s="868"/>
      <c r="AR22" s="868"/>
      <c r="AS22" s="868">
        <f t="shared" si="0"/>
        <v>0</v>
      </c>
      <c r="AT22" s="868"/>
      <c r="AU22" s="868"/>
      <c r="AV22" s="868"/>
      <c r="AW22" s="868"/>
      <c r="AX22" s="868"/>
    </row>
    <row r="23" s="687" customFormat="1" ht="15.75" customHeight="1" spans="1:50">
      <c r="A23" s="3033"/>
      <c r="B23" s="754" t="s">
        <v>3934</v>
      </c>
      <c r="C23" s="864">
        <f>UnosNovoZaposl!C15</f>
        <v>0</v>
      </c>
      <c r="D23" s="864"/>
      <c r="E23" s="864"/>
      <c r="F23" s="864"/>
      <c r="G23" s="864"/>
      <c r="H23" s="864"/>
      <c r="I23" s="864"/>
      <c r="J23" s="864"/>
      <c r="K23" s="864"/>
      <c r="L23" s="864"/>
      <c r="M23" s="864"/>
      <c r="N23" s="3034">
        <f>UnosNovoZaposl!D15</f>
        <v>0</v>
      </c>
      <c r="O23" s="3035"/>
      <c r="P23" s="3035"/>
      <c r="Q23" s="3035"/>
      <c r="R23" s="3035"/>
      <c r="S23" s="3035"/>
      <c r="T23" s="3036"/>
      <c r="U23" s="868">
        <f>UnosNovoZaposl!E15</f>
        <v>0</v>
      </c>
      <c r="V23" s="868"/>
      <c r="W23" s="868"/>
      <c r="X23" s="868"/>
      <c r="Y23" s="868"/>
      <c r="Z23" s="868"/>
      <c r="AA23" s="868">
        <f>UnosNovoZaposl!B15</f>
        <v>0</v>
      </c>
      <c r="AB23" s="868"/>
      <c r="AC23" s="868"/>
      <c r="AD23" s="868"/>
      <c r="AE23" s="868"/>
      <c r="AF23" s="868"/>
      <c r="AG23" s="868">
        <f>UnosNovoZaposl!F15</f>
        <v>0</v>
      </c>
      <c r="AH23" s="868"/>
      <c r="AI23" s="868"/>
      <c r="AJ23" s="868"/>
      <c r="AK23" s="868"/>
      <c r="AL23" s="868"/>
      <c r="AM23" s="868">
        <f>UnosNovoZaposl!G15</f>
        <v>0</v>
      </c>
      <c r="AN23" s="868"/>
      <c r="AO23" s="868"/>
      <c r="AP23" s="868"/>
      <c r="AQ23" s="868"/>
      <c r="AR23" s="868"/>
      <c r="AS23" s="868">
        <f t="shared" si="0"/>
        <v>0</v>
      </c>
      <c r="AT23" s="868"/>
      <c r="AU23" s="868"/>
      <c r="AV23" s="868"/>
      <c r="AW23" s="868"/>
      <c r="AX23" s="868"/>
    </row>
    <row r="24" s="687" customFormat="1" ht="15.75" customHeight="1" spans="1:50">
      <c r="A24" s="3033"/>
      <c r="B24" s="754" t="s">
        <v>3945</v>
      </c>
      <c r="C24" s="864">
        <f>UnosNovoZaposl!C16</f>
        <v>0</v>
      </c>
      <c r="D24" s="864"/>
      <c r="E24" s="864"/>
      <c r="F24" s="864"/>
      <c r="G24" s="864"/>
      <c r="H24" s="864"/>
      <c r="I24" s="864"/>
      <c r="J24" s="864"/>
      <c r="K24" s="864"/>
      <c r="L24" s="864"/>
      <c r="M24" s="864"/>
      <c r="N24" s="3034">
        <f>UnosNovoZaposl!D16</f>
        <v>0</v>
      </c>
      <c r="O24" s="3035"/>
      <c r="P24" s="3035"/>
      <c r="Q24" s="3035"/>
      <c r="R24" s="3035"/>
      <c r="S24" s="3035"/>
      <c r="T24" s="3036"/>
      <c r="U24" s="868">
        <f>UnosNovoZaposl!E16</f>
        <v>0</v>
      </c>
      <c r="V24" s="868"/>
      <c r="W24" s="868"/>
      <c r="X24" s="868"/>
      <c r="Y24" s="868"/>
      <c r="Z24" s="868"/>
      <c r="AA24" s="868">
        <f>UnosNovoZaposl!B16</f>
        <v>0</v>
      </c>
      <c r="AB24" s="868"/>
      <c r="AC24" s="868"/>
      <c r="AD24" s="868"/>
      <c r="AE24" s="868"/>
      <c r="AF24" s="868"/>
      <c r="AG24" s="868">
        <f>UnosNovoZaposl!F16</f>
        <v>0</v>
      </c>
      <c r="AH24" s="868"/>
      <c r="AI24" s="868"/>
      <c r="AJ24" s="868"/>
      <c r="AK24" s="868"/>
      <c r="AL24" s="868"/>
      <c r="AM24" s="868">
        <f>UnosNovoZaposl!G16</f>
        <v>0</v>
      </c>
      <c r="AN24" s="868"/>
      <c r="AO24" s="868"/>
      <c r="AP24" s="868"/>
      <c r="AQ24" s="868"/>
      <c r="AR24" s="868"/>
      <c r="AS24" s="868">
        <f t="shared" si="0"/>
        <v>0</v>
      </c>
      <c r="AT24" s="868"/>
      <c r="AU24" s="868"/>
      <c r="AV24" s="868"/>
      <c r="AW24" s="868"/>
      <c r="AX24" s="868"/>
    </row>
    <row r="25" s="687" customFormat="1" ht="15.75" customHeight="1" spans="1:50">
      <c r="A25" s="3033"/>
      <c r="B25" s="754" t="s">
        <v>3947</v>
      </c>
      <c r="C25" s="864">
        <f>UnosNovoZaposl!C17</f>
        <v>0</v>
      </c>
      <c r="D25" s="864"/>
      <c r="E25" s="864"/>
      <c r="F25" s="864"/>
      <c r="G25" s="864"/>
      <c r="H25" s="864"/>
      <c r="I25" s="864"/>
      <c r="J25" s="864"/>
      <c r="K25" s="864"/>
      <c r="L25" s="864"/>
      <c r="M25" s="864"/>
      <c r="N25" s="3034">
        <f>UnosNovoZaposl!D17</f>
        <v>0</v>
      </c>
      <c r="O25" s="3035"/>
      <c r="P25" s="3035"/>
      <c r="Q25" s="3035"/>
      <c r="R25" s="3035"/>
      <c r="S25" s="3035"/>
      <c r="T25" s="3036"/>
      <c r="U25" s="868">
        <f>UnosNovoZaposl!E17</f>
        <v>0</v>
      </c>
      <c r="V25" s="868"/>
      <c r="W25" s="868"/>
      <c r="X25" s="868"/>
      <c r="Y25" s="868"/>
      <c r="Z25" s="868"/>
      <c r="AA25" s="868">
        <f>UnosNovoZaposl!B17</f>
        <v>0</v>
      </c>
      <c r="AB25" s="868"/>
      <c r="AC25" s="868"/>
      <c r="AD25" s="868"/>
      <c r="AE25" s="868"/>
      <c r="AF25" s="868"/>
      <c r="AG25" s="868">
        <f>UnosNovoZaposl!F17</f>
        <v>0</v>
      </c>
      <c r="AH25" s="868"/>
      <c r="AI25" s="868"/>
      <c r="AJ25" s="868"/>
      <c r="AK25" s="868"/>
      <c r="AL25" s="868"/>
      <c r="AM25" s="868">
        <f>UnosNovoZaposl!G17</f>
        <v>0</v>
      </c>
      <c r="AN25" s="868"/>
      <c r="AO25" s="868"/>
      <c r="AP25" s="868"/>
      <c r="AQ25" s="868"/>
      <c r="AR25" s="868"/>
      <c r="AS25" s="868">
        <f t="shared" si="0"/>
        <v>0</v>
      </c>
      <c r="AT25" s="868"/>
      <c r="AU25" s="868"/>
      <c r="AV25" s="868"/>
      <c r="AW25" s="868"/>
      <c r="AX25" s="868"/>
    </row>
    <row r="26" s="687" customFormat="1" ht="15.75" customHeight="1" spans="1:50">
      <c r="A26" s="3033"/>
      <c r="B26" s="754" t="s">
        <v>5705</v>
      </c>
      <c r="C26" s="864">
        <f>UnosNovoZaposl!C18</f>
        <v>0</v>
      </c>
      <c r="D26" s="864"/>
      <c r="E26" s="864"/>
      <c r="F26" s="864"/>
      <c r="G26" s="864"/>
      <c r="H26" s="864"/>
      <c r="I26" s="864"/>
      <c r="J26" s="864"/>
      <c r="K26" s="864"/>
      <c r="L26" s="864"/>
      <c r="M26" s="864"/>
      <c r="N26" s="3034">
        <f>UnosNovoZaposl!D18</f>
        <v>0</v>
      </c>
      <c r="O26" s="3035"/>
      <c r="P26" s="3035"/>
      <c r="Q26" s="3035"/>
      <c r="R26" s="3035"/>
      <c r="S26" s="3035"/>
      <c r="T26" s="3036"/>
      <c r="U26" s="868">
        <f>UnosNovoZaposl!E18</f>
        <v>0</v>
      </c>
      <c r="V26" s="868"/>
      <c r="W26" s="868"/>
      <c r="X26" s="868"/>
      <c r="Y26" s="868"/>
      <c r="Z26" s="868"/>
      <c r="AA26" s="868">
        <f>UnosNovoZaposl!B18</f>
        <v>0</v>
      </c>
      <c r="AB26" s="868"/>
      <c r="AC26" s="868"/>
      <c r="AD26" s="868"/>
      <c r="AE26" s="868"/>
      <c r="AF26" s="868"/>
      <c r="AG26" s="868">
        <f>UnosNovoZaposl!F18</f>
        <v>0</v>
      </c>
      <c r="AH26" s="868"/>
      <c r="AI26" s="868"/>
      <c r="AJ26" s="868"/>
      <c r="AK26" s="868"/>
      <c r="AL26" s="868"/>
      <c r="AM26" s="868">
        <f>UnosNovoZaposl!G18</f>
        <v>0</v>
      </c>
      <c r="AN26" s="868"/>
      <c r="AO26" s="868"/>
      <c r="AP26" s="868"/>
      <c r="AQ26" s="868"/>
      <c r="AR26" s="868"/>
      <c r="AS26" s="868">
        <f t="shared" si="0"/>
        <v>0</v>
      </c>
      <c r="AT26" s="868"/>
      <c r="AU26" s="868"/>
      <c r="AV26" s="868"/>
      <c r="AW26" s="868"/>
      <c r="AX26" s="868"/>
    </row>
    <row r="27" s="687" customFormat="1" ht="15.75" customHeight="1" spans="1:50">
      <c r="A27" s="3033"/>
      <c r="B27" s="754" t="s">
        <v>5707</v>
      </c>
      <c r="C27" s="864">
        <f>UnosNovoZaposl!C19</f>
        <v>0</v>
      </c>
      <c r="D27" s="864"/>
      <c r="E27" s="864"/>
      <c r="F27" s="864"/>
      <c r="G27" s="864"/>
      <c r="H27" s="864"/>
      <c r="I27" s="864"/>
      <c r="J27" s="864"/>
      <c r="K27" s="864"/>
      <c r="L27" s="864"/>
      <c r="M27" s="864"/>
      <c r="N27" s="3034">
        <f>UnosNovoZaposl!D19</f>
        <v>0</v>
      </c>
      <c r="O27" s="3035"/>
      <c r="P27" s="3035"/>
      <c r="Q27" s="3035"/>
      <c r="R27" s="3035"/>
      <c r="S27" s="3035"/>
      <c r="T27" s="3036"/>
      <c r="U27" s="868">
        <f>UnosNovoZaposl!E19</f>
        <v>0</v>
      </c>
      <c r="V27" s="868"/>
      <c r="W27" s="868"/>
      <c r="X27" s="868"/>
      <c r="Y27" s="868"/>
      <c r="Z27" s="868"/>
      <c r="AA27" s="868">
        <f>UnosNovoZaposl!B19</f>
        <v>0</v>
      </c>
      <c r="AB27" s="868"/>
      <c r="AC27" s="868"/>
      <c r="AD27" s="868"/>
      <c r="AE27" s="868"/>
      <c r="AF27" s="868"/>
      <c r="AG27" s="868">
        <f>UnosNovoZaposl!F19</f>
        <v>0</v>
      </c>
      <c r="AH27" s="868"/>
      <c r="AI27" s="868"/>
      <c r="AJ27" s="868"/>
      <c r="AK27" s="868"/>
      <c r="AL27" s="868"/>
      <c r="AM27" s="868">
        <f>UnosNovoZaposl!G19</f>
        <v>0</v>
      </c>
      <c r="AN27" s="868"/>
      <c r="AO27" s="868"/>
      <c r="AP27" s="868"/>
      <c r="AQ27" s="868"/>
      <c r="AR27" s="868"/>
      <c r="AS27" s="868">
        <f t="shared" si="0"/>
        <v>0</v>
      </c>
      <c r="AT27" s="868"/>
      <c r="AU27" s="868"/>
      <c r="AV27" s="868"/>
      <c r="AW27" s="868"/>
      <c r="AX27" s="868"/>
    </row>
    <row r="28" s="687" customFormat="1" ht="15.75" customHeight="1" spans="1:50">
      <c r="A28" s="3033"/>
      <c r="B28" s="754" t="s">
        <v>5708</v>
      </c>
      <c r="C28" s="864">
        <f>UnosNovoZaposl!C20</f>
        <v>0</v>
      </c>
      <c r="D28" s="864"/>
      <c r="E28" s="864"/>
      <c r="F28" s="864"/>
      <c r="G28" s="864"/>
      <c r="H28" s="864"/>
      <c r="I28" s="864"/>
      <c r="J28" s="864"/>
      <c r="K28" s="864"/>
      <c r="L28" s="864"/>
      <c r="M28" s="864"/>
      <c r="N28" s="3034">
        <f>UnosNovoZaposl!D20</f>
        <v>0</v>
      </c>
      <c r="O28" s="3035"/>
      <c r="P28" s="3035"/>
      <c r="Q28" s="3035"/>
      <c r="R28" s="3035"/>
      <c r="S28" s="3035"/>
      <c r="T28" s="3036"/>
      <c r="U28" s="868">
        <f>UnosNovoZaposl!E20</f>
        <v>0</v>
      </c>
      <c r="V28" s="868"/>
      <c r="W28" s="868"/>
      <c r="X28" s="868"/>
      <c r="Y28" s="868"/>
      <c r="Z28" s="868"/>
      <c r="AA28" s="868">
        <f>UnosNovoZaposl!B20</f>
        <v>0</v>
      </c>
      <c r="AB28" s="868"/>
      <c r="AC28" s="868"/>
      <c r="AD28" s="868"/>
      <c r="AE28" s="868"/>
      <c r="AF28" s="868"/>
      <c r="AG28" s="868">
        <f>UnosNovoZaposl!F20</f>
        <v>0</v>
      </c>
      <c r="AH28" s="868"/>
      <c r="AI28" s="868"/>
      <c r="AJ28" s="868"/>
      <c r="AK28" s="868"/>
      <c r="AL28" s="868"/>
      <c r="AM28" s="868">
        <f>UnosNovoZaposl!G20</f>
        <v>0</v>
      </c>
      <c r="AN28" s="868"/>
      <c r="AO28" s="868"/>
      <c r="AP28" s="868"/>
      <c r="AQ28" s="868"/>
      <c r="AR28" s="868"/>
      <c r="AS28" s="868">
        <f t="shared" si="0"/>
        <v>0</v>
      </c>
      <c r="AT28" s="868"/>
      <c r="AU28" s="868"/>
      <c r="AV28" s="868"/>
      <c r="AW28" s="868"/>
      <c r="AX28" s="868"/>
    </row>
    <row r="29" s="687" customFormat="1" ht="15.75" customHeight="1" spans="1:50">
      <c r="A29" s="3033"/>
      <c r="B29" s="754" t="s">
        <v>5709</v>
      </c>
      <c r="C29" s="864">
        <f>UnosNovoZaposl!C21</f>
        <v>0</v>
      </c>
      <c r="D29" s="864"/>
      <c r="E29" s="864"/>
      <c r="F29" s="864"/>
      <c r="G29" s="864"/>
      <c r="H29" s="864"/>
      <c r="I29" s="864"/>
      <c r="J29" s="864"/>
      <c r="K29" s="864"/>
      <c r="L29" s="864"/>
      <c r="M29" s="864"/>
      <c r="N29" s="3034">
        <f>UnosNovoZaposl!D21</f>
        <v>0</v>
      </c>
      <c r="O29" s="3035"/>
      <c r="P29" s="3035"/>
      <c r="Q29" s="3035"/>
      <c r="R29" s="3035"/>
      <c r="S29" s="3035"/>
      <c r="T29" s="3036"/>
      <c r="U29" s="868">
        <f>UnosNovoZaposl!E21</f>
        <v>0</v>
      </c>
      <c r="V29" s="868"/>
      <c r="W29" s="868"/>
      <c r="X29" s="868"/>
      <c r="Y29" s="868"/>
      <c r="Z29" s="868"/>
      <c r="AA29" s="868">
        <f>UnosNovoZaposl!B21</f>
        <v>0</v>
      </c>
      <c r="AB29" s="868"/>
      <c r="AC29" s="868"/>
      <c r="AD29" s="868"/>
      <c r="AE29" s="868"/>
      <c r="AF29" s="868"/>
      <c r="AG29" s="868">
        <f>UnosNovoZaposl!F21</f>
        <v>0</v>
      </c>
      <c r="AH29" s="868"/>
      <c r="AI29" s="868"/>
      <c r="AJ29" s="868"/>
      <c r="AK29" s="868"/>
      <c r="AL29" s="868"/>
      <c r="AM29" s="868">
        <f>UnosNovoZaposl!G21</f>
        <v>0</v>
      </c>
      <c r="AN29" s="868"/>
      <c r="AO29" s="868"/>
      <c r="AP29" s="868"/>
      <c r="AQ29" s="868"/>
      <c r="AR29" s="868"/>
      <c r="AS29" s="868">
        <f t="shared" si="0"/>
        <v>0</v>
      </c>
      <c r="AT29" s="868"/>
      <c r="AU29" s="868"/>
      <c r="AV29" s="868"/>
      <c r="AW29" s="868"/>
      <c r="AX29" s="868"/>
    </row>
    <row r="30" s="687" customFormat="1" ht="15.75" customHeight="1" spans="1:50">
      <c r="A30" s="3033"/>
      <c r="B30" s="754" t="s">
        <v>5710</v>
      </c>
      <c r="C30" s="864">
        <f>UnosNovoZaposl!C22</f>
        <v>0</v>
      </c>
      <c r="D30" s="864"/>
      <c r="E30" s="864"/>
      <c r="F30" s="864"/>
      <c r="G30" s="864"/>
      <c r="H30" s="864"/>
      <c r="I30" s="864"/>
      <c r="J30" s="864"/>
      <c r="K30" s="864"/>
      <c r="L30" s="864"/>
      <c r="M30" s="864"/>
      <c r="N30" s="3034">
        <f>UnosNovoZaposl!D22</f>
        <v>0</v>
      </c>
      <c r="O30" s="3035"/>
      <c r="P30" s="3035"/>
      <c r="Q30" s="3035"/>
      <c r="R30" s="3035"/>
      <c r="S30" s="3035"/>
      <c r="T30" s="3036"/>
      <c r="U30" s="868">
        <f>UnosNovoZaposl!E22</f>
        <v>0</v>
      </c>
      <c r="V30" s="868"/>
      <c r="W30" s="868"/>
      <c r="X30" s="868"/>
      <c r="Y30" s="868"/>
      <c r="Z30" s="868"/>
      <c r="AA30" s="868">
        <f>UnosNovoZaposl!B22</f>
        <v>0</v>
      </c>
      <c r="AB30" s="868"/>
      <c r="AC30" s="868"/>
      <c r="AD30" s="868"/>
      <c r="AE30" s="868"/>
      <c r="AF30" s="868"/>
      <c r="AG30" s="868">
        <f>UnosNovoZaposl!F22</f>
        <v>0</v>
      </c>
      <c r="AH30" s="868"/>
      <c r="AI30" s="868"/>
      <c r="AJ30" s="868"/>
      <c r="AK30" s="868"/>
      <c r="AL30" s="868"/>
      <c r="AM30" s="868">
        <f>UnosNovoZaposl!G22</f>
        <v>0</v>
      </c>
      <c r="AN30" s="868"/>
      <c r="AO30" s="868"/>
      <c r="AP30" s="868"/>
      <c r="AQ30" s="868"/>
      <c r="AR30" s="868"/>
      <c r="AS30" s="868">
        <f t="shared" si="0"/>
        <v>0</v>
      </c>
      <c r="AT30" s="868"/>
      <c r="AU30" s="868"/>
      <c r="AV30" s="868"/>
      <c r="AW30" s="868"/>
      <c r="AX30" s="868"/>
    </row>
    <row r="31" s="687" customFormat="1" ht="15.75" customHeight="1" spans="1:50">
      <c r="A31" s="3033"/>
      <c r="B31" s="754" t="s">
        <v>5711</v>
      </c>
      <c r="C31" s="864">
        <f>UnosNovoZaposl!C23</f>
        <v>0</v>
      </c>
      <c r="D31" s="864"/>
      <c r="E31" s="864"/>
      <c r="F31" s="864"/>
      <c r="G31" s="864"/>
      <c r="H31" s="864"/>
      <c r="I31" s="864"/>
      <c r="J31" s="864"/>
      <c r="K31" s="864"/>
      <c r="L31" s="864"/>
      <c r="M31" s="864"/>
      <c r="N31" s="3034">
        <f>UnosNovoZaposl!D23</f>
        <v>0</v>
      </c>
      <c r="O31" s="3035"/>
      <c r="P31" s="3035"/>
      <c r="Q31" s="3035"/>
      <c r="R31" s="3035"/>
      <c r="S31" s="3035"/>
      <c r="T31" s="3036"/>
      <c r="U31" s="868">
        <f>UnosNovoZaposl!E23</f>
        <v>0</v>
      </c>
      <c r="V31" s="868"/>
      <c r="W31" s="868"/>
      <c r="X31" s="868"/>
      <c r="Y31" s="868"/>
      <c r="Z31" s="868"/>
      <c r="AA31" s="868">
        <f>UnosNovoZaposl!B23</f>
        <v>0</v>
      </c>
      <c r="AB31" s="868"/>
      <c r="AC31" s="868"/>
      <c r="AD31" s="868"/>
      <c r="AE31" s="868"/>
      <c r="AF31" s="868"/>
      <c r="AG31" s="868">
        <f>UnosNovoZaposl!F23</f>
        <v>0</v>
      </c>
      <c r="AH31" s="868"/>
      <c r="AI31" s="868"/>
      <c r="AJ31" s="868"/>
      <c r="AK31" s="868"/>
      <c r="AL31" s="868"/>
      <c r="AM31" s="868">
        <f>UnosNovoZaposl!G23</f>
        <v>0</v>
      </c>
      <c r="AN31" s="868"/>
      <c r="AO31" s="868"/>
      <c r="AP31" s="868"/>
      <c r="AQ31" s="868"/>
      <c r="AR31" s="868"/>
      <c r="AS31" s="868">
        <f t="shared" si="0"/>
        <v>0</v>
      </c>
      <c r="AT31" s="868"/>
      <c r="AU31" s="868"/>
      <c r="AV31" s="868"/>
      <c r="AW31" s="868"/>
      <c r="AX31" s="868"/>
    </row>
    <row r="32" s="687" customFormat="1" ht="15.75" customHeight="1" spans="1:50">
      <c r="A32" s="3037"/>
      <c r="B32" s="754" t="s">
        <v>5713</v>
      </c>
      <c r="C32" s="864">
        <f>UnosNovoZaposl!C24</f>
        <v>0</v>
      </c>
      <c r="D32" s="864"/>
      <c r="E32" s="864"/>
      <c r="F32" s="864"/>
      <c r="G32" s="864"/>
      <c r="H32" s="864"/>
      <c r="I32" s="864"/>
      <c r="J32" s="864"/>
      <c r="K32" s="864"/>
      <c r="L32" s="864"/>
      <c r="M32" s="864"/>
      <c r="N32" s="3034">
        <f>UnosNovoZaposl!D24</f>
        <v>0</v>
      </c>
      <c r="O32" s="3035"/>
      <c r="P32" s="3035"/>
      <c r="Q32" s="3035"/>
      <c r="R32" s="3035"/>
      <c r="S32" s="3035"/>
      <c r="T32" s="3036"/>
      <c r="U32" s="868">
        <f>UnosNovoZaposl!E24</f>
        <v>0</v>
      </c>
      <c r="V32" s="868"/>
      <c r="W32" s="868"/>
      <c r="X32" s="868"/>
      <c r="Y32" s="868"/>
      <c r="Z32" s="868"/>
      <c r="AA32" s="868">
        <f>UnosNovoZaposl!B24</f>
        <v>0</v>
      </c>
      <c r="AB32" s="868"/>
      <c r="AC32" s="868"/>
      <c r="AD32" s="868"/>
      <c r="AE32" s="868"/>
      <c r="AF32" s="868"/>
      <c r="AG32" s="868">
        <f>UnosNovoZaposl!F24</f>
        <v>0</v>
      </c>
      <c r="AH32" s="868"/>
      <c r="AI32" s="868"/>
      <c r="AJ32" s="868"/>
      <c r="AK32" s="868"/>
      <c r="AL32" s="868"/>
      <c r="AM32" s="868">
        <f>UnosNovoZaposl!G24</f>
        <v>0</v>
      </c>
      <c r="AN32" s="868"/>
      <c r="AO32" s="868"/>
      <c r="AP32" s="868"/>
      <c r="AQ32" s="868"/>
      <c r="AR32" s="868"/>
      <c r="AS32" s="868">
        <f t="shared" si="0"/>
        <v>0</v>
      </c>
      <c r="AT32" s="868"/>
      <c r="AU32" s="868"/>
      <c r="AV32" s="868"/>
      <c r="AW32" s="868"/>
      <c r="AX32" s="868"/>
    </row>
    <row r="33" s="687" customFormat="1" ht="15.75" hidden="1" customHeight="1" spans="1:50">
      <c r="A33" s="3033"/>
      <c r="B33" s="754" t="s">
        <v>5714</v>
      </c>
      <c r="C33" s="864">
        <f>UnosNovoZaposl!C25</f>
        <v>0</v>
      </c>
      <c r="D33" s="864"/>
      <c r="E33" s="864"/>
      <c r="F33" s="864"/>
      <c r="G33" s="864"/>
      <c r="H33" s="864"/>
      <c r="I33" s="864"/>
      <c r="J33" s="864"/>
      <c r="K33" s="864"/>
      <c r="L33" s="864"/>
      <c r="M33" s="864"/>
      <c r="N33" s="3034">
        <f>UnosNovoZaposl!D25</f>
        <v>0</v>
      </c>
      <c r="O33" s="3035"/>
      <c r="P33" s="3035"/>
      <c r="Q33" s="3035"/>
      <c r="R33" s="3035"/>
      <c r="S33" s="3035"/>
      <c r="T33" s="3036"/>
      <c r="U33" s="868">
        <f>UnosNovoZaposl!E25</f>
        <v>0</v>
      </c>
      <c r="V33" s="868"/>
      <c r="W33" s="868"/>
      <c r="X33" s="868"/>
      <c r="Y33" s="868"/>
      <c r="Z33" s="868"/>
      <c r="AA33" s="868">
        <f>UnosNovoZaposl!B25</f>
        <v>0</v>
      </c>
      <c r="AB33" s="868"/>
      <c r="AC33" s="868"/>
      <c r="AD33" s="868"/>
      <c r="AE33" s="868"/>
      <c r="AF33" s="868"/>
      <c r="AG33" s="868">
        <f>UnosNovoZaposl!F25</f>
        <v>0</v>
      </c>
      <c r="AH33" s="868"/>
      <c r="AI33" s="868"/>
      <c r="AJ33" s="868"/>
      <c r="AK33" s="868"/>
      <c r="AL33" s="868"/>
      <c r="AM33" s="868">
        <f>UnosNovoZaposl!G25</f>
        <v>0</v>
      </c>
      <c r="AN33" s="868"/>
      <c r="AO33" s="868"/>
      <c r="AP33" s="868"/>
      <c r="AQ33" s="868"/>
      <c r="AR33" s="868"/>
      <c r="AS33" s="868">
        <f t="shared" si="0"/>
        <v>0</v>
      </c>
      <c r="AT33" s="868"/>
      <c r="AU33" s="868"/>
      <c r="AV33" s="868"/>
      <c r="AW33" s="868"/>
      <c r="AX33" s="868"/>
    </row>
    <row r="34" s="687" customFormat="1" ht="15.75" hidden="1" customHeight="1" spans="1:50">
      <c r="A34" s="3033"/>
      <c r="B34" s="754" t="s">
        <v>5715</v>
      </c>
      <c r="C34" s="864">
        <f>UnosNovoZaposl!C26</f>
        <v>0</v>
      </c>
      <c r="D34" s="864"/>
      <c r="E34" s="864"/>
      <c r="F34" s="864"/>
      <c r="G34" s="864"/>
      <c r="H34" s="864"/>
      <c r="I34" s="864"/>
      <c r="J34" s="864"/>
      <c r="K34" s="864"/>
      <c r="L34" s="864"/>
      <c r="M34" s="864"/>
      <c r="N34" s="3034">
        <f>UnosNovoZaposl!D26</f>
        <v>0</v>
      </c>
      <c r="O34" s="3035"/>
      <c r="P34" s="3035"/>
      <c r="Q34" s="3035"/>
      <c r="R34" s="3035"/>
      <c r="S34" s="3035"/>
      <c r="T34" s="3036"/>
      <c r="U34" s="868">
        <f>UnosNovoZaposl!E26</f>
        <v>0</v>
      </c>
      <c r="V34" s="868"/>
      <c r="W34" s="868"/>
      <c r="X34" s="868"/>
      <c r="Y34" s="868"/>
      <c r="Z34" s="868"/>
      <c r="AA34" s="868">
        <f>UnosNovoZaposl!B26</f>
        <v>0</v>
      </c>
      <c r="AB34" s="868"/>
      <c r="AC34" s="868"/>
      <c r="AD34" s="868"/>
      <c r="AE34" s="868"/>
      <c r="AF34" s="868"/>
      <c r="AG34" s="868">
        <f>UnosNovoZaposl!F26</f>
        <v>0</v>
      </c>
      <c r="AH34" s="868"/>
      <c r="AI34" s="868"/>
      <c r="AJ34" s="868"/>
      <c r="AK34" s="868"/>
      <c r="AL34" s="868"/>
      <c r="AM34" s="868">
        <f>UnosNovoZaposl!G26</f>
        <v>0</v>
      </c>
      <c r="AN34" s="868"/>
      <c r="AO34" s="868"/>
      <c r="AP34" s="868"/>
      <c r="AQ34" s="868"/>
      <c r="AR34" s="868"/>
      <c r="AS34" s="868">
        <f t="shared" si="0"/>
        <v>0</v>
      </c>
      <c r="AT34" s="868"/>
      <c r="AU34" s="868"/>
      <c r="AV34" s="868"/>
      <c r="AW34" s="868"/>
      <c r="AX34" s="868"/>
    </row>
    <row r="35" s="687" customFormat="1" ht="15.75" hidden="1" customHeight="1" spans="1:50">
      <c r="A35" s="3033"/>
      <c r="B35" s="754" t="s">
        <v>5716</v>
      </c>
      <c r="C35" s="864">
        <f>UnosNovoZaposl!C27</f>
        <v>0</v>
      </c>
      <c r="D35" s="864"/>
      <c r="E35" s="864"/>
      <c r="F35" s="864"/>
      <c r="G35" s="864"/>
      <c r="H35" s="864"/>
      <c r="I35" s="864"/>
      <c r="J35" s="864"/>
      <c r="K35" s="864"/>
      <c r="L35" s="864"/>
      <c r="M35" s="864"/>
      <c r="N35" s="3034">
        <f>UnosNovoZaposl!D27</f>
        <v>0</v>
      </c>
      <c r="O35" s="3035"/>
      <c r="P35" s="3035"/>
      <c r="Q35" s="3035"/>
      <c r="R35" s="3035"/>
      <c r="S35" s="3035"/>
      <c r="T35" s="3036"/>
      <c r="U35" s="868">
        <f>UnosNovoZaposl!E27</f>
        <v>0</v>
      </c>
      <c r="V35" s="868"/>
      <c r="W35" s="868"/>
      <c r="X35" s="868"/>
      <c r="Y35" s="868"/>
      <c r="Z35" s="868"/>
      <c r="AA35" s="868">
        <f>UnosNovoZaposl!B27</f>
        <v>0</v>
      </c>
      <c r="AB35" s="868"/>
      <c r="AC35" s="868"/>
      <c r="AD35" s="868"/>
      <c r="AE35" s="868"/>
      <c r="AF35" s="868"/>
      <c r="AG35" s="868">
        <f>UnosNovoZaposl!F27</f>
        <v>0</v>
      </c>
      <c r="AH35" s="868"/>
      <c r="AI35" s="868"/>
      <c r="AJ35" s="868"/>
      <c r="AK35" s="868"/>
      <c r="AL35" s="868"/>
      <c r="AM35" s="868">
        <f>UnosNovoZaposl!G27</f>
        <v>0</v>
      </c>
      <c r="AN35" s="868"/>
      <c r="AO35" s="868"/>
      <c r="AP35" s="868"/>
      <c r="AQ35" s="868"/>
      <c r="AR35" s="868"/>
      <c r="AS35" s="868">
        <f t="shared" si="0"/>
        <v>0</v>
      </c>
      <c r="AT35" s="868"/>
      <c r="AU35" s="868"/>
      <c r="AV35" s="868"/>
      <c r="AW35" s="868"/>
      <c r="AX35" s="868"/>
    </row>
    <row r="36" s="687" customFormat="1" ht="15.75" hidden="1" customHeight="1" spans="1:50">
      <c r="A36" s="3033"/>
      <c r="B36" s="754" t="s">
        <v>5717</v>
      </c>
      <c r="C36" s="864">
        <f>UnosNovoZaposl!C28</f>
        <v>0</v>
      </c>
      <c r="D36" s="864"/>
      <c r="E36" s="864"/>
      <c r="F36" s="864"/>
      <c r="G36" s="864"/>
      <c r="H36" s="864"/>
      <c r="I36" s="864"/>
      <c r="J36" s="864"/>
      <c r="K36" s="864"/>
      <c r="L36" s="864"/>
      <c r="M36" s="864"/>
      <c r="N36" s="3034">
        <f>UnosNovoZaposl!D28</f>
        <v>0</v>
      </c>
      <c r="O36" s="3035"/>
      <c r="P36" s="3035"/>
      <c r="Q36" s="3035"/>
      <c r="R36" s="3035"/>
      <c r="S36" s="3035"/>
      <c r="T36" s="3036"/>
      <c r="U36" s="868">
        <f>UnosNovoZaposl!E28</f>
        <v>0</v>
      </c>
      <c r="V36" s="868"/>
      <c r="W36" s="868"/>
      <c r="X36" s="868"/>
      <c r="Y36" s="868"/>
      <c r="Z36" s="868"/>
      <c r="AA36" s="868">
        <f>UnosNovoZaposl!B28</f>
        <v>0</v>
      </c>
      <c r="AB36" s="868"/>
      <c r="AC36" s="868"/>
      <c r="AD36" s="868"/>
      <c r="AE36" s="868"/>
      <c r="AF36" s="868"/>
      <c r="AG36" s="868">
        <f>UnosNovoZaposl!F28</f>
        <v>0</v>
      </c>
      <c r="AH36" s="868"/>
      <c r="AI36" s="868"/>
      <c r="AJ36" s="868"/>
      <c r="AK36" s="868"/>
      <c r="AL36" s="868"/>
      <c r="AM36" s="868">
        <f>UnosNovoZaposl!G28</f>
        <v>0</v>
      </c>
      <c r="AN36" s="868"/>
      <c r="AO36" s="868"/>
      <c r="AP36" s="868"/>
      <c r="AQ36" s="868"/>
      <c r="AR36" s="868"/>
      <c r="AS36" s="868">
        <f t="shared" si="0"/>
        <v>0</v>
      </c>
      <c r="AT36" s="868"/>
      <c r="AU36" s="868"/>
      <c r="AV36" s="868"/>
      <c r="AW36" s="868"/>
      <c r="AX36" s="868"/>
    </row>
    <row r="37" s="687" customFormat="1" ht="15.75" hidden="1" customHeight="1" spans="1:50">
      <c r="A37" s="3033"/>
      <c r="B37" s="754" t="s">
        <v>5718</v>
      </c>
      <c r="C37" s="864">
        <f>UnosNovoZaposl!C29</f>
        <v>0</v>
      </c>
      <c r="D37" s="864"/>
      <c r="E37" s="864"/>
      <c r="F37" s="864"/>
      <c r="G37" s="864"/>
      <c r="H37" s="864"/>
      <c r="I37" s="864"/>
      <c r="J37" s="864"/>
      <c r="K37" s="864"/>
      <c r="L37" s="864"/>
      <c r="M37" s="864"/>
      <c r="N37" s="3034">
        <f>UnosNovoZaposl!D29</f>
        <v>0</v>
      </c>
      <c r="O37" s="3035"/>
      <c r="P37" s="3035"/>
      <c r="Q37" s="3035"/>
      <c r="R37" s="3035"/>
      <c r="S37" s="3035"/>
      <c r="T37" s="3036"/>
      <c r="U37" s="868">
        <f>UnosNovoZaposl!E29</f>
        <v>0</v>
      </c>
      <c r="V37" s="868"/>
      <c r="W37" s="868"/>
      <c r="X37" s="868"/>
      <c r="Y37" s="868"/>
      <c r="Z37" s="868"/>
      <c r="AA37" s="868">
        <f>UnosNovoZaposl!B29</f>
        <v>0</v>
      </c>
      <c r="AB37" s="868"/>
      <c r="AC37" s="868"/>
      <c r="AD37" s="868"/>
      <c r="AE37" s="868"/>
      <c r="AF37" s="868"/>
      <c r="AG37" s="868">
        <f>UnosNovoZaposl!F29</f>
        <v>0</v>
      </c>
      <c r="AH37" s="868"/>
      <c r="AI37" s="868"/>
      <c r="AJ37" s="868"/>
      <c r="AK37" s="868"/>
      <c r="AL37" s="868"/>
      <c r="AM37" s="868">
        <f>UnosNovoZaposl!G29</f>
        <v>0</v>
      </c>
      <c r="AN37" s="868"/>
      <c r="AO37" s="868"/>
      <c r="AP37" s="868"/>
      <c r="AQ37" s="868"/>
      <c r="AR37" s="868"/>
      <c r="AS37" s="868">
        <f t="shared" si="0"/>
        <v>0</v>
      </c>
      <c r="AT37" s="868"/>
      <c r="AU37" s="868"/>
      <c r="AV37" s="868"/>
      <c r="AW37" s="868"/>
      <c r="AX37" s="868"/>
    </row>
    <row r="38" s="687" customFormat="1" ht="15.75" hidden="1" customHeight="1" spans="1:50">
      <c r="A38" s="3033"/>
      <c r="B38" s="754" t="s">
        <v>5835</v>
      </c>
      <c r="C38" s="864">
        <f>UnosNovoZaposl!C30</f>
        <v>0</v>
      </c>
      <c r="D38" s="864"/>
      <c r="E38" s="864"/>
      <c r="F38" s="864"/>
      <c r="G38" s="864"/>
      <c r="H38" s="864"/>
      <c r="I38" s="864"/>
      <c r="J38" s="864"/>
      <c r="K38" s="864"/>
      <c r="L38" s="864"/>
      <c r="M38" s="864"/>
      <c r="N38" s="3034">
        <f>UnosNovoZaposl!D30</f>
        <v>0</v>
      </c>
      <c r="O38" s="3035"/>
      <c r="P38" s="3035"/>
      <c r="Q38" s="3035"/>
      <c r="R38" s="3035"/>
      <c r="S38" s="3035"/>
      <c r="T38" s="3036"/>
      <c r="U38" s="868">
        <f>UnosNovoZaposl!E30</f>
        <v>0</v>
      </c>
      <c r="V38" s="868"/>
      <c r="W38" s="868"/>
      <c r="X38" s="868"/>
      <c r="Y38" s="868"/>
      <c r="Z38" s="868"/>
      <c r="AA38" s="868">
        <f>UnosNovoZaposl!B30</f>
        <v>0</v>
      </c>
      <c r="AB38" s="868"/>
      <c r="AC38" s="868"/>
      <c r="AD38" s="868"/>
      <c r="AE38" s="868"/>
      <c r="AF38" s="868"/>
      <c r="AG38" s="868">
        <f>UnosNovoZaposl!F30</f>
        <v>0</v>
      </c>
      <c r="AH38" s="868"/>
      <c r="AI38" s="868"/>
      <c r="AJ38" s="868"/>
      <c r="AK38" s="868"/>
      <c r="AL38" s="868"/>
      <c r="AM38" s="868">
        <f>UnosNovoZaposl!G30</f>
        <v>0</v>
      </c>
      <c r="AN38" s="868"/>
      <c r="AO38" s="868"/>
      <c r="AP38" s="868"/>
      <c r="AQ38" s="868"/>
      <c r="AR38" s="868"/>
      <c r="AS38" s="868">
        <f t="shared" si="0"/>
        <v>0</v>
      </c>
      <c r="AT38" s="868"/>
      <c r="AU38" s="868"/>
      <c r="AV38" s="868"/>
      <c r="AW38" s="868"/>
      <c r="AX38" s="868"/>
    </row>
    <row r="39" s="687" customFormat="1" ht="15.75" hidden="1" customHeight="1" spans="1:50">
      <c r="A39" s="3033"/>
      <c r="B39" s="754" t="s">
        <v>5837</v>
      </c>
      <c r="C39" s="864">
        <f>UnosNovoZaposl!C31</f>
        <v>0</v>
      </c>
      <c r="D39" s="864"/>
      <c r="E39" s="864"/>
      <c r="F39" s="864"/>
      <c r="G39" s="864"/>
      <c r="H39" s="864"/>
      <c r="I39" s="864"/>
      <c r="J39" s="864"/>
      <c r="K39" s="864"/>
      <c r="L39" s="864"/>
      <c r="M39" s="864"/>
      <c r="N39" s="3034">
        <f>UnosNovoZaposl!D31</f>
        <v>0</v>
      </c>
      <c r="O39" s="3035"/>
      <c r="P39" s="3035"/>
      <c r="Q39" s="3035"/>
      <c r="R39" s="3035"/>
      <c r="S39" s="3035"/>
      <c r="T39" s="3036"/>
      <c r="U39" s="868">
        <f>UnosNovoZaposl!E31</f>
        <v>0</v>
      </c>
      <c r="V39" s="868"/>
      <c r="W39" s="868"/>
      <c r="X39" s="868"/>
      <c r="Y39" s="868"/>
      <c r="Z39" s="868"/>
      <c r="AA39" s="868">
        <f>UnosNovoZaposl!B31</f>
        <v>0</v>
      </c>
      <c r="AB39" s="868"/>
      <c r="AC39" s="868"/>
      <c r="AD39" s="868"/>
      <c r="AE39" s="868"/>
      <c r="AF39" s="868"/>
      <c r="AG39" s="868">
        <f>UnosNovoZaposl!F31</f>
        <v>0</v>
      </c>
      <c r="AH39" s="868"/>
      <c r="AI39" s="868"/>
      <c r="AJ39" s="868"/>
      <c r="AK39" s="868"/>
      <c r="AL39" s="868"/>
      <c r="AM39" s="868">
        <f>UnosNovoZaposl!G31</f>
        <v>0</v>
      </c>
      <c r="AN39" s="868"/>
      <c r="AO39" s="868"/>
      <c r="AP39" s="868"/>
      <c r="AQ39" s="868"/>
      <c r="AR39" s="868"/>
      <c r="AS39" s="868">
        <f t="shared" si="0"/>
        <v>0</v>
      </c>
      <c r="AT39" s="868"/>
      <c r="AU39" s="868"/>
      <c r="AV39" s="868"/>
      <c r="AW39" s="868"/>
      <c r="AX39" s="868"/>
    </row>
    <row r="40" s="687" customFormat="1" ht="15.75" hidden="1" customHeight="1" spans="1:50">
      <c r="A40" s="3033"/>
      <c r="B40" s="754" t="s">
        <v>5839</v>
      </c>
      <c r="C40" s="864">
        <f>UnosNovoZaposl!C32</f>
        <v>0</v>
      </c>
      <c r="D40" s="864"/>
      <c r="E40" s="864"/>
      <c r="F40" s="864"/>
      <c r="G40" s="864"/>
      <c r="H40" s="864"/>
      <c r="I40" s="864"/>
      <c r="J40" s="864"/>
      <c r="K40" s="864"/>
      <c r="L40" s="864"/>
      <c r="M40" s="864"/>
      <c r="N40" s="3034">
        <f>UnosNovoZaposl!D32</f>
        <v>0</v>
      </c>
      <c r="O40" s="3035"/>
      <c r="P40" s="3035"/>
      <c r="Q40" s="3035"/>
      <c r="R40" s="3035"/>
      <c r="S40" s="3035"/>
      <c r="T40" s="3036"/>
      <c r="U40" s="868">
        <f>UnosNovoZaposl!E32</f>
        <v>0</v>
      </c>
      <c r="V40" s="868"/>
      <c r="W40" s="868"/>
      <c r="X40" s="868"/>
      <c r="Y40" s="868"/>
      <c r="Z40" s="868"/>
      <c r="AA40" s="868">
        <f>UnosNovoZaposl!B32</f>
        <v>0</v>
      </c>
      <c r="AB40" s="868"/>
      <c r="AC40" s="868"/>
      <c r="AD40" s="868"/>
      <c r="AE40" s="868"/>
      <c r="AF40" s="868"/>
      <c r="AG40" s="868">
        <f>UnosNovoZaposl!F32</f>
        <v>0</v>
      </c>
      <c r="AH40" s="868"/>
      <c r="AI40" s="868"/>
      <c r="AJ40" s="868"/>
      <c r="AK40" s="868"/>
      <c r="AL40" s="868"/>
      <c r="AM40" s="868">
        <f>UnosNovoZaposl!G32</f>
        <v>0</v>
      </c>
      <c r="AN40" s="868"/>
      <c r="AO40" s="868"/>
      <c r="AP40" s="868"/>
      <c r="AQ40" s="868"/>
      <c r="AR40" s="868"/>
      <c r="AS40" s="868">
        <f t="shared" si="0"/>
        <v>0</v>
      </c>
      <c r="AT40" s="868"/>
      <c r="AU40" s="868"/>
      <c r="AV40" s="868"/>
      <c r="AW40" s="868"/>
      <c r="AX40" s="868"/>
    </row>
    <row r="41" s="687" customFormat="1" ht="15.75" hidden="1" customHeight="1" spans="1:50">
      <c r="A41" s="3033"/>
      <c r="B41" s="754" t="s">
        <v>5841</v>
      </c>
      <c r="C41" s="864">
        <f>UnosNovoZaposl!C33</f>
        <v>0</v>
      </c>
      <c r="D41" s="864"/>
      <c r="E41" s="864"/>
      <c r="F41" s="864"/>
      <c r="G41" s="864"/>
      <c r="H41" s="864"/>
      <c r="I41" s="864"/>
      <c r="J41" s="864"/>
      <c r="K41" s="864"/>
      <c r="L41" s="864"/>
      <c r="M41" s="864"/>
      <c r="N41" s="3034">
        <f>UnosNovoZaposl!D33</f>
        <v>0</v>
      </c>
      <c r="O41" s="3035"/>
      <c r="P41" s="3035"/>
      <c r="Q41" s="3035"/>
      <c r="R41" s="3035"/>
      <c r="S41" s="3035"/>
      <c r="T41" s="3036"/>
      <c r="U41" s="868">
        <f>UnosNovoZaposl!E33</f>
        <v>0</v>
      </c>
      <c r="V41" s="868"/>
      <c r="W41" s="868"/>
      <c r="X41" s="868"/>
      <c r="Y41" s="868"/>
      <c r="Z41" s="868"/>
      <c r="AA41" s="868">
        <f>UnosNovoZaposl!B33</f>
        <v>0</v>
      </c>
      <c r="AB41" s="868"/>
      <c r="AC41" s="868"/>
      <c r="AD41" s="868"/>
      <c r="AE41" s="868"/>
      <c r="AF41" s="868"/>
      <c r="AG41" s="868">
        <f>UnosNovoZaposl!F33</f>
        <v>0</v>
      </c>
      <c r="AH41" s="868"/>
      <c r="AI41" s="868"/>
      <c r="AJ41" s="868"/>
      <c r="AK41" s="868"/>
      <c r="AL41" s="868"/>
      <c r="AM41" s="868">
        <f>UnosNovoZaposl!G33</f>
        <v>0</v>
      </c>
      <c r="AN41" s="868"/>
      <c r="AO41" s="868"/>
      <c r="AP41" s="868"/>
      <c r="AQ41" s="868"/>
      <c r="AR41" s="868"/>
      <c r="AS41" s="868">
        <f t="shared" si="0"/>
        <v>0</v>
      </c>
      <c r="AT41" s="868"/>
      <c r="AU41" s="868"/>
      <c r="AV41" s="868"/>
      <c r="AW41" s="868"/>
      <c r="AX41" s="868"/>
    </row>
    <row r="42" s="687" customFormat="1" ht="15.75" hidden="1" customHeight="1" spans="1:50">
      <c r="A42" s="3033"/>
      <c r="B42" s="754" t="s">
        <v>5843</v>
      </c>
      <c r="C42" s="864">
        <f>UnosNovoZaposl!C34</f>
        <v>0</v>
      </c>
      <c r="D42" s="864"/>
      <c r="E42" s="864"/>
      <c r="F42" s="864"/>
      <c r="G42" s="864"/>
      <c r="H42" s="864"/>
      <c r="I42" s="864"/>
      <c r="J42" s="864"/>
      <c r="K42" s="864"/>
      <c r="L42" s="864"/>
      <c r="M42" s="864"/>
      <c r="N42" s="3034">
        <f>UnosNovoZaposl!D34</f>
        <v>0</v>
      </c>
      <c r="O42" s="3035"/>
      <c r="P42" s="3035"/>
      <c r="Q42" s="3035"/>
      <c r="R42" s="3035"/>
      <c r="S42" s="3035"/>
      <c r="T42" s="3036"/>
      <c r="U42" s="868">
        <f>UnosNovoZaposl!E34</f>
        <v>0</v>
      </c>
      <c r="V42" s="868"/>
      <c r="W42" s="868"/>
      <c r="X42" s="868"/>
      <c r="Y42" s="868"/>
      <c r="Z42" s="868"/>
      <c r="AA42" s="868">
        <f>UnosNovoZaposl!B34</f>
        <v>0</v>
      </c>
      <c r="AB42" s="868"/>
      <c r="AC42" s="868"/>
      <c r="AD42" s="868"/>
      <c r="AE42" s="868"/>
      <c r="AF42" s="868"/>
      <c r="AG42" s="868">
        <f>UnosNovoZaposl!F34</f>
        <v>0</v>
      </c>
      <c r="AH42" s="868"/>
      <c r="AI42" s="868"/>
      <c r="AJ42" s="868"/>
      <c r="AK42" s="868"/>
      <c r="AL42" s="868"/>
      <c r="AM42" s="868">
        <f>UnosNovoZaposl!G34</f>
        <v>0</v>
      </c>
      <c r="AN42" s="868"/>
      <c r="AO42" s="868"/>
      <c r="AP42" s="868"/>
      <c r="AQ42" s="868"/>
      <c r="AR42" s="868"/>
      <c r="AS42" s="868">
        <f t="shared" si="0"/>
        <v>0</v>
      </c>
      <c r="AT42" s="868"/>
      <c r="AU42" s="868"/>
      <c r="AV42" s="868"/>
      <c r="AW42" s="868"/>
      <c r="AX42" s="868"/>
    </row>
    <row r="43" s="687" customFormat="1" ht="15.75" hidden="1" customHeight="1" spans="1:50">
      <c r="A43" s="3033"/>
      <c r="B43" s="754" t="s">
        <v>5845</v>
      </c>
      <c r="C43" s="864">
        <f>UnosNovoZaposl!C35</f>
        <v>0</v>
      </c>
      <c r="D43" s="864"/>
      <c r="E43" s="864"/>
      <c r="F43" s="864"/>
      <c r="G43" s="864"/>
      <c r="H43" s="864"/>
      <c r="I43" s="864"/>
      <c r="J43" s="864"/>
      <c r="K43" s="864"/>
      <c r="L43" s="864"/>
      <c r="M43" s="864"/>
      <c r="N43" s="3034">
        <f>UnosNovoZaposl!D35</f>
        <v>0</v>
      </c>
      <c r="O43" s="3035"/>
      <c r="P43" s="3035"/>
      <c r="Q43" s="3035"/>
      <c r="R43" s="3035"/>
      <c r="S43" s="3035"/>
      <c r="T43" s="3036"/>
      <c r="U43" s="868">
        <f>UnosNovoZaposl!E35</f>
        <v>0</v>
      </c>
      <c r="V43" s="868"/>
      <c r="W43" s="868"/>
      <c r="X43" s="868"/>
      <c r="Y43" s="868"/>
      <c r="Z43" s="868"/>
      <c r="AA43" s="868">
        <f>UnosNovoZaposl!B35</f>
        <v>0</v>
      </c>
      <c r="AB43" s="868"/>
      <c r="AC43" s="868"/>
      <c r="AD43" s="868"/>
      <c r="AE43" s="868"/>
      <c r="AF43" s="868"/>
      <c r="AG43" s="868">
        <f>UnosNovoZaposl!F35</f>
        <v>0</v>
      </c>
      <c r="AH43" s="868"/>
      <c r="AI43" s="868"/>
      <c r="AJ43" s="868"/>
      <c r="AK43" s="868"/>
      <c r="AL43" s="868"/>
      <c r="AM43" s="868">
        <f>UnosNovoZaposl!G35</f>
        <v>0</v>
      </c>
      <c r="AN43" s="868"/>
      <c r="AO43" s="868"/>
      <c r="AP43" s="868"/>
      <c r="AQ43" s="868"/>
      <c r="AR43" s="868"/>
      <c r="AS43" s="868">
        <f t="shared" si="0"/>
        <v>0</v>
      </c>
      <c r="AT43" s="868"/>
      <c r="AU43" s="868"/>
      <c r="AV43" s="868"/>
      <c r="AW43" s="868"/>
      <c r="AX43" s="868"/>
    </row>
    <row r="44" s="687" customFormat="1" ht="15.75" hidden="1" customHeight="1" spans="1:50">
      <c r="A44" s="3033"/>
      <c r="B44" s="754" t="s">
        <v>5847</v>
      </c>
      <c r="C44" s="864">
        <f>UnosNovoZaposl!C36</f>
        <v>0</v>
      </c>
      <c r="D44" s="864"/>
      <c r="E44" s="864"/>
      <c r="F44" s="864"/>
      <c r="G44" s="864"/>
      <c r="H44" s="864"/>
      <c r="I44" s="864"/>
      <c r="J44" s="864"/>
      <c r="K44" s="864"/>
      <c r="L44" s="864"/>
      <c r="M44" s="864"/>
      <c r="N44" s="3034">
        <f>UnosNovoZaposl!D36</f>
        <v>0</v>
      </c>
      <c r="O44" s="3035"/>
      <c r="P44" s="3035"/>
      <c r="Q44" s="3035"/>
      <c r="R44" s="3035"/>
      <c r="S44" s="3035"/>
      <c r="T44" s="3036"/>
      <c r="U44" s="868">
        <f>UnosNovoZaposl!E36</f>
        <v>0</v>
      </c>
      <c r="V44" s="868"/>
      <c r="W44" s="868"/>
      <c r="X44" s="868"/>
      <c r="Y44" s="868"/>
      <c r="Z44" s="868"/>
      <c r="AA44" s="868">
        <f>UnosNovoZaposl!B36</f>
        <v>0</v>
      </c>
      <c r="AB44" s="868"/>
      <c r="AC44" s="868"/>
      <c r="AD44" s="868"/>
      <c r="AE44" s="868"/>
      <c r="AF44" s="868"/>
      <c r="AG44" s="868">
        <f>UnosNovoZaposl!F36</f>
        <v>0</v>
      </c>
      <c r="AH44" s="868"/>
      <c r="AI44" s="868"/>
      <c r="AJ44" s="868"/>
      <c r="AK44" s="868"/>
      <c r="AL44" s="868"/>
      <c r="AM44" s="868">
        <f>UnosNovoZaposl!G36</f>
        <v>0</v>
      </c>
      <c r="AN44" s="868"/>
      <c r="AO44" s="868"/>
      <c r="AP44" s="868"/>
      <c r="AQ44" s="868"/>
      <c r="AR44" s="868"/>
      <c r="AS44" s="868">
        <f t="shared" si="0"/>
        <v>0</v>
      </c>
      <c r="AT44" s="868"/>
      <c r="AU44" s="868"/>
      <c r="AV44" s="868"/>
      <c r="AW44" s="868"/>
      <c r="AX44" s="868"/>
    </row>
    <row r="45" s="687" customFormat="1" ht="15.75" hidden="1" customHeight="1" spans="1:50">
      <c r="A45" s="3033"/>
      <c r="B45" s="754" t="s">
        <v>5849</v>
      </c>
      <c r="C45" s="864">
        <f>UnosNovoZaposl!C37</f>
        <v>0</v>
      </c>
      <c r="D45" s="864"/>
      <c r="E45" s="864"/>
      <c r="F45" s="864"/>
      <c r="G45" s="864"/>
      <c r="H45" s="864"/>
      <c r="I45" s="864"/>
      <c r="J45" s="864"/>
      <c r="K45" s="864"/>
      <c r="L45" s="864"/>
      <c r="M45" s="864"/>
      <c r="N45" s="3034">
        <f>UnosNovoZaposl!D37</f>
        <v>0</v>
      </c>
      <c r="O45" s="3035"/>
      <c r="P45" s="3035"/>
      <c r="Q45" s="3035"/>
      <c r="R45" s="3035"/>
      <c r="S45" s="3035"/>
      <c r="T45" s="3036"/>
      <c r="U45" s="868">
        <f>UnosNovoZaposl!E37</f>
        <v>0</v>
      </c>
      <c r="V45" s="868"/>
      <c r="W45" s="868"/>
      <c r="X45" s="868"/>
      <c r="Y45" s="868"/>
      <c r="Z45" s="868"/>
      <c r="AA45" s="868">
        <f>UnosNovoZaposl!B37</f>
        <v>0</v>
      </c>
      <c r="AB45" s="868"/>
      <c r="AC45" s="868"/>
      <c r="AD45" s="868"/>
      <c r="AE45" s="868"/>
      <c r="AF45" s="868"/>
      <c r="AG45" s="868">
        <f>UnosNovoZaposl!F37</f>
        <v>0</v>
      </c>
      <c r="AH45" s="868"/>
      <c r="AI45" s="868"/>
      <c r="AJ45" s="868"/>
      <c r="AK45" s="868"/>
      <c r="AL45" s="868"/>
      <c r="AM45" s="868">
        <f>UnosNovoZaposl!G37</f>
        <v>0</v>
      </c>
      <c r="AN45" s="868"/>
      <c r="AO45" s="868"/>
      <c r="AP45" s="868"/>
      <c r="AQ45" s="868"/>
      <c r="AR45" s="868"/>
      <c r="AS45" s="868">
        <f t="shared" si="0"/>
        <v>0</v>
      </c>
      <c r="AT45" s="868"/>
      <c r="AU45" s="868"/>
      <c r="AV45" s="868"/>
      <c r="AW45" s="868"/>
      <c r="AX45" s="868"/>
    </row>
    <row r="46" s="687" customFormat="1" ht="15.75" hidden="1" customHeight="1" spans="1:50">
      <c r="A46" s="3033"/>
      <c r="B46" s="754" t="s">
        <v>5851</v>
      </c>
      <c r="C46" s="864">
        <f>UnosNovoZaposl!C38</f>
        <v>0</v>
      </c>
      <c r="D46" s="864"/>
      <c r="E46" s="864"/>
      <c r="F46" s="864"/>
      <c r="G46" s="864"/>
      <c r="H46" s="864"/>
      <c r="I46" s="864"/>
      <c r="J46" s="864"/>
      <c r="K46" s="864"/>
      <c r="L46" s="864"/>
      <c r="M46" s="864"/>
      <c r="N46" s="3034">
        <f>UnosNovoZaposl!D38</f>
        <v>0</v>
      </c>
      <c r="O46" s="3035"/>
      <c r="P46" s="3035"/>
      <c r="Q46" s="3035"/>
      <c r="R46" s="3035"/>
      <c r="S46" s="3035"/>
      <c r="T46" s="3036"/>
      <c r="U46" s="868">
        <f>UnosNovoZaposl!E38</f>
        <v>0</v>
      </c>
      <c r="V46" s="868"/>
      <c r="W46" s="868"/>
      <c r="X46" s="868"/>
      <c r="Y46" s="868"/>
      <c r="Z46" s="868"/>
      <c r="AA46" s="868">
        <f>UnosNovoZaposl!B38</f>
        <v>0</v>
      </c>
      <c r="AB46" s="868"/>
      <c r="AC46" s="868"/>
      <c r="AD46" s="868"/>
      <c r="AE46" s="868"/>
      <c r="AF46" s="868"/>
      <c r="AG46" s="868">
        <f>UnosNovoZaposl!F38</f>
        <v>0</v>
      </c>
      <c r="AH46" s="868"/>
      <c r="AI46" s="868"/>
      <c r="AJ46" s="868"/>
      <c r="AK46" s="868"/>
      <c r="AL46" s="868"/>
      <c r="AM46" s="868">
        <f>UnosNovoZaposl!G38</f>
        <v>0</v>
      </c>
      <c r="AN46" s="868"/>
      <c r="AO46" s="868"/>
      <c r="AP46" s="868"/>
      <c r="AQ46" s="868"/>
      <c r="AR46" s="868"/>
      <c r="AS46" s="868">
        <f t="shared" si="0"/>
        <v>0</v>
      </c>
      <c r="AT46" s="868"/>
      <c r="AU46" s="868"/>
      <c r="AV46" s="868"/>
      <c r="AW46" s="868"/>
      <c r="AX46" s="868"/>
    </row>
    <row r="47" s="687" customFormat="1" ht="15.75" hidden="1" customHeight="1" spans="1:50">
      <c r="A47" s="3033"/>
      <c r="B47" s="754" t="s">
        <v>5853</v>
      </c>
      <c r="C47" s="864">
        <f>UnosNovoZaposl!C39</f>
        <v>0</v>
      </c>
      <c r="D47" s="864"/>
      <c r="E47" s="864"/>
      <c r="F47" s="864"/>
      <c r="G47" s="864"/>
      <c r="H47" s="864"/>
      <c r="I47" s="864"/>
      <c r="J47" s="864"/>
      <c r="K47" s="864"/>
      <c r="L47" s="864"/>
      <c r="M47" s="864"/>
      <c r="N47" s="3034">
        <f>UnosNovoZaposl!D39</f>
        <v>0</v>
      </c>
      <c r="O47" s="3035"/>
      <c r="P47" s="3035"/>
      <c r="Q47" s="3035"/>
      <c r="R47" s="3035"/>
      <c r="S47" s="3035"/>
      <c r="T47" s="3036"/>
      <c r="U47" s="868">
        <f>UnosNovoZaposl!E39</f>
        <v>0</v>
      </c>
      <c r="V47" s="868"/>
      <c r="W47" s="868"/>
      <c r="X47" s="868"/>
      <c r="Y47" s="868"/>
      <c r="Z47" s="868"/>
      <c r="AA47" s="868">
        <f>UnosNovoZaposl!B39</f>
        <v>0</v>
      </c>
      <c r="AB47" s="868"/>
      <c r="AC47" s="868"/>
      <c r="AD47" s="868"/>
      <c r="AE47" s="868"/>
      <c r="AF47" s="868"/>
      <c r="AG47" s="868">
        <f>UnosNovoZaposl!F39</f>
        <v>0</v>
      </c>
      <c r="AH47" s="868"/>
      <c r="AI47" s="868"/>
      <c r="AJ47" s="868"/>
      <c r="AK47" s="868"/>
      <c r="AL47" s="868"/>
      <c r="AM47" s="868">
        <f>UnosNovoZaposl!G39</f>
        <v>0</v>
      </c>
      <c r="AN47" s="868"/>
      <c r="AO47" s="868"/>
      <c r="AP47" s="868"/>
      <c r="AQ47" s="868"/>
      <c r="AR47" s="868"/>
      <c r="AS47" s="868">
        <f t="shared" si="0"/>
        <v>0</v>
      </c>
      <c r="AT47" s="868"/>
      <c r="AU47" s="868"/>
      <c r="AV47" s="868"/>
      <c r="AW47" s="868"/>
      <c r="AX47" s="868"/>
    </row>
    <row r="48" s="687" customFormat="1" ht="15.75" hidden="1" customHeight="1" spans="1:50">
      <c r="A48" s="3033"/>
      <c r="B48" s="754" t="s">
        <v>5855</v>
      </c>
      <c r="C48" s="864">
        <f>UnosNovoZaposl!C40</f>
        <v>0</v>
      </c>
      <c r="D48" s="864"/>
      <c r="E48" s="864"/>
      <c r="F48" s="864"/>
      <c r="G48" s="864"/>
      <c r="H48" s="864"/>
      <c r="I48" s="864"/>
      <c r="J48" s="864"/>
      <c r="K48" s="864"/>
      <c r="L48" s="864"/>
      <c r="M48" s="864"/>
      <c r="N48" s="3034">
        <f>UnosNovoZaposl!D40</f>
        <v>0</v>
      </c>
      <c r="O48" s="3035"/>
      <c r="P48" s="3035"/>
      <c r="Q48" s="3035"/>
      <c r="R48" s="3035"/>
      <c r="S48" s="3035"/>
      <c r="T48" s="3036"/>
      <c r="U48" s="868">
        <f>UnosNovoZaposl!E40</f>
        <v>0</v>
      </c>
      <c r="V48" s="868"/>
      <c r="W48" s="868"/>
      <c r="X48" s="868"/>
      <c r="Y48" s="868"/>
      <c r="Z48" s="868"/>
      <c r="AA48" s="868">
        <f>UnosNovoZaposl!B40</f>
        <v>0</v>
      </c>
      <c r="AB48" s="868"/>
      <c r="AC48" s="868"/>
      <c r="AD48" s="868"/>
      <c r="AE48" s="868"/>
      <c r="AF48" s="868"/>
      <c r="AG48" s="868">
        <f>UnosNovoZaposl!F40</f>
        <v>0</v>
      </c>
      <c r="AH48" s="868"/>
      <c r="AI48" s="868"/>
      <c r="AJ48" s="868"/>
      <c r="AK48" s="868"/>
      <c r="AL48" s="868"/>
      <c r="AM48" s="868">
        <f>UnosNovoZaposl!G40</f>
        <v>0</v>
      </c>
      <c r="AN48" s="868"/>
      <c r="AO48" s="868"/>
      <c r="AP48" s="868"/>
      <c r="AQ48" s="868"/>
      <c r="AR48" s="868"/>
      <c r="AS48" s="868">
        <f t="shared" si="0"/>
        <v>0</v>
      </c>
      <c r="AT48" s="868"/>
      <c r="AU48" s="868"/>
      <c r="AV48" s="868"/>
      <c r="AW48" s="868"/>
      <c r="AX48" s="868"/>
    </row>
    <row r="49" s="687" customFormat="1" ht="15.75" hidden="1" customHeight="1" spans="1:50">
      <c r="A49" s="3033"/>
      <c r="B49" s="754" t="s">
        <v>5856</v>
      </c>
      <c r="C49" s="864">
        <f>UnosNovoZaposl!C41</f>
        <v>0</v>
      </c>
      <c r="D49" s="864"/>
      <c r="E49" s="864"/>
      <c r="F49" s="864"/>
      <c r="G49" s="864"/>
      <c r="H49" s="864"/>
      <c r="I49" s="864"/>
      <c r="J49" s="864"/>
      <c r="K49" s="864"/>
      <c r="L49" s="864"/>
      <c r="M49" s="864"/>
      <c r="N49" s="3034">
        <f>UnosNovoZaposl!D41</f>
        <v>0</v>
      </c>
      <c r="O49" s="3035"/>
      <c r="P49" s="3035"/>
      <c r="Q49" s="3035"/>
      <c r="R49" s="3035"/>
      <c r="S49" s="3035"/>
      <c r="T49" s="3036"/>
      <c r="U49" s="868">
        <f>UnosNovoZaposl!E41</f>
        <v>0</v>
      </c>
      <c r="V49" s="868"/>
      <c r="W49" s="868"/>
      <c r="X49" s="868"/>
      <c r="Y49" s="868"/>
      <c r="Z49" s="868"/>
      <c r="AA49" s="868">
        <f>UnosNovoZaposl!B41</f>
        <v>0</v>
      </c>
      <c r="AB49" s="868"/>
      <c r="AC49" s="868"/>
      <c r="AD49" s="868"/>
      <c r="AE49" s="868"/>
      <c r="AF49" s="868"/>
      <c r="AG49" s="868">
        <f>UnosNovoZaposl!F41</f>
        <v>0</v>
      </c>
      <c r="AH49" s="868"/>
      <c r="AI49" s="868"/>
      <c r="AJ49" s="868"/>
      <c r="AK49" s="868"/>
      <c r="AL49" s="868"/>
      <c r="AM49" s="868">
        <f>UnosNovoZaposl!G41</f>
        <v>0</v>
      </c>
      <c r="AN49" s="868"/>
      <c r="AO49" s="868"/>
      <c r="AP49" s="868"/>
      <c r="AQ49" s="868"/>
      <c r="AR49" s="868"/>
      <c r="AS49" s="868">
        <f t="shared" si="0"/>
        <v>0</v>
      </c>
      <c r="AT49" s="868"/>
      <c r="AU49" s="868"/>
      <c r="AV49" s="868"/>
      <c r="AW49" s="868"/>
      <c r="AX49" s="868"/>
    </row>
    <row r="50" s="687" customFormat="1" ht="15.75" hidden="1" customHeight="1" spans="1:50">
      <c r="A50" s="3033"/>
      <c r="B50" s="754" t="s">
        <v>5857</v>
      </c>
      <c r="C50" s="864">
        <f>UnosNovoZaposl!C42</f>
        <v>0</v>
      </c>
      <c r="D50" s="864"/>
      <c r="E50" s="864"/>
      <c r="F50" s="864"/>
      <c r="G50" s="864"/>
      <c r="H50" s="864"/>
      <c r="I50" s="864"/>
      <c r="J50" s="864"/>
      <c r="K50" s="864"/>
      <c r="L50" s="864"/>
      <c r="M50" s="864"/>
      <c r="N50" s="3034">
        <f>UnosNovoZaposl!D42</f>
        <v>0</v>
      </c>
      <c r="O50" s="3035"/>
      <c r="P50" s="3035"/>
      <c r="Q50" s="3035"/>
      <c r="R50" s="3035"/>
      <c r="S50" s="3035"/>
      <c r="T50" s="3036"/>
      <c r="U50" s="868">
        <f>UnosNovoZaposl!E42</f>
        <v>0</v>
      </c>
      <c r="V50" s="868"/>
      <c r="W50" s="868"/>
      <c r="X50" s="868"/>
      <c r="Y50" s="868"/>
      <c r="Z50" s="868"/>
      <c r="AA50" s="868">
        <f>UnosNovoZaposl!B42</f>
        <v>0</v>
      </c>
      <c r="AB50" s="868"/>
      <c r="AC50" s="868"/>
      <c r="AD50" s="868"/>
      <c r="AE50" s="868"/>
      <c r="AF50" s="868"/>
      <c r="AG50" s="868">
        <f>UnosNovoZaposl!F42</f>
        <v>0</v>
      </c>
      <c r="AH50" s="868"/>
      <c r="AI50" s="868"/>
      <c r="AJ50" s="868"/>
      <c r="AK50" s="868"/>
      <c r="AL50" s="868"/>
      <c r="AM50" s="868">
        <f>UnosNovoZaposl!G42</f>
        <v>0</v>
      </c>
      <c r="AN50" s="868"/>
      <c r="AO50" s="868"/>
      <c r="AP50" s="868"/>
      <c r="AQ50" s="868"/>
      <c r="AR50" s="868"/>
      <c r="AS50" s="868">
        <f t="shared" si="0"/>
        <v>0</v>
      </c>
      <c r="AT50" s="868"/>
      <c r="AU50" s="868"/>
      <c r="AV50" s="868"/>
      <c r="AW50" s="868"/>
      <c r="AX50" s="868"/>
    </row>
    <row r="51" s="687" customFormat="1" ht="15.75" hidden="1" customHeight="1" spans="1:50">
      <c r="A51" s="3033"/>
      <c r="B51" s="754" t="s">
        <v>5859</v>
      </c>
      <c r="C51" s="864">
        <f>UnosNovoZaposl!C43</f>
        <v>0</v>
      </c>
      <c r="D51" s="864"/>
      <c r="E51" s="864"/>
      <c r="F51" s="864"/>
      <c r="G51" s="864"/>
      <c r="H51" s="864"/>
      <c r="I51" s="864"/>
      <c r="J51" s="864"/>
      <c r="K51" s="864"/>
      <c r="L51" s="864"/>
      <c r="M51" s="864"/>
      <c r="N51" s="3034">
        <f>UnosNovoZaposl!D43</f>
        <v>0</v>
      </c>
      <c r="O51" s="3035"/>
      <c r="P51" s="3035"/>
      <c r="Q51" s="3035"/>
      <c r="R51" s="3035"/>
      <c r="S51" s="3035"/>
      <c r="T51" s="3036"/>
      <c r="U51" s="868">
        <f>UnosNovoZaposl!E43</f>
        <v>0</v>
      </c>
      <c r="V51" s="868"/>
      <c r="W51" s="868"/>
      <c r="X51" s="868"/>
      <c r="Y51" s="868"/>
      <c r="Z51" s="868"/>
      <c r="AA51" s="868">
        <f>UnosNovoZaposl!B43</f>
        <v>0</v>
      </c>
      <c r="AB51" s="868"/>
      <c r="AC51" s="868"/>
      <c r="AD51" s="868"/>
      <c r="AE51" s="868"/>
      <c r="AF51" s="868"/>
      <c r="AG51" s="868">
        <f>UnosNovoZaposl!F43</f>
        <v>0</v>
      </c>
      <c r="AH51" s="868"/>
      <c r="AI51" s="868"/>
      <c r="AJ51" s="868"/>
      <c r="AK51" s="868"/>
      <c r="AL51" s="868"/>
      <c r="AM51" s="868">
        <f>UnosNovoZaposl!G43</f>
        <v>0</v>
      </c>
      <c r="AN51" s="868"/>
      <c r="AO51" s="868"/>
      <c r="AP51" s="868"/>
      <c r="AQ51" s="868"/>
      <c r="AR51" s="868"/>
      <c r="AS51" s="868">
        <f t="shared" si="0"/>
        <v>0</v>
      </c>
      <c r="AT51" s="868"/>
      <c r="AU51" s="868"/>
      <c r="AV51" s="868"/>
      <c r="AW51" s="868"/>
      <c r="AX51" s="868"/>
    </row>
    <row r="52" s="687" customFormat="1" ht="15.75" hidden="1" customHeight="1" spans="1:50">
      <c r="A52" s="3033"/>
      <c r="B52" s="754" t="s">
        <v>5862</v>
      </c>
      <c r="C52" s="864">
        <f>UnosNovoZaposl!C44</f>
        <v>0</v>
      </c>
      <c r="D52" s="864"/>
      <c r="E52" s="864"/>
      <c r="F52" s="864"/>
      <c r="G52" s="864"/>
      <c r="H52" s="864"/>
      <c r="I52" s="864"/>
      <c r="J52" s="864"/>
      <c r="K52" s="864"/>
      <c r="L52" s="864"/>
      <c r="M52" s="864"/>
      <c r="N52" s="3034">
        <f>UnosNovoZaposl!D44</f>
        <v>0</v>
      </c>
      <c r="O52" s="3035"/>
      <c r="P52" s="3035"/>
      <c r="Q52" s="3035"/>
      <c r="R52" s="3035"/>
      <c r="S52" s="3035"/>
      <c r="T52" s="3036"/>
      <c r="U52" s="868">
        <f>UnosNovoZaposl!E44</f>
        <v>0</v>
      </c>
      <c r="V52" s="868"/>
      <c r="W52" s="868"/>
      <c r="X52" s="868"/>
      <c r="Y52" s="868"/>
      <c r="Z52" s="868"/>
      <c r="AA52" s="868">
        <f>UnosNovoZaposl!B44</f>
        <v>0</v>
      </c>
      <c r="AB52" s="868"/>
      <c r="AC52" s="868"/>
      <c r="AD52" s="868"/>
      <c r="AE52" s="868"/>
      <c r="AF52" s="868"/>
      <c r="AG52" s="868">
        <f>UnosNovoZaposl!F44</f>
        <v>0</v>
      </c>
      <c r="AH52" s="868"/>
      <c r="AI52" s="868"/>
      <c r="AJ52" s="868"/>
      <c r="AK52" s="868"/>
      <c r="AL52" s="868"/>
      <c r="AM52" s="868">
        <f>UnosNovoZaposl!G44</f>
        <v>0</v>
      </c>
      <c r="AN52" s="868"/>
      <c r="AO52" s="868"/>
      <c r="AP52" s="868"/>
      <c r="AQ52" s="868"/>
      <c r="AR52" s="868"/>
      <c r="AS52" s="868">
        <f t="shared" si="0"/>
        <v>0</v>
      </c>
      <c r="AT52" s="868"/>
      <c r="AU52" s="868"/>
      <c r="AV52" s="868"/>
      <c r="AW52" s="868"/>
      <c r="AX52" s="868"/>
    </row>
    <row r="53" s="687" customFormat="1" ht="15.75" hidden="1" customHeight="1" spans="1:50">
      <c r="A53" s="3033"/>
      <c r="B53" s="754" t="s">
        <v>5864</v>
      </c>
      <c r="C53" s="864">
        <f>UnosNovoZaposl!C45</f>
        <v>0</v>
      </c>
      <c r="D53" s="864"/>
      <c r="E53" s="864"/>
      <c r="F53" s="864"/>
      <c r="G53" s="864"/>
      <c r="H53" s="864"/>
      <c r="I53" s="864"/>
      <c r="J53" s="864"/>
      <c r="K53" s="864"/>
      <c r="L53" s="864"/>
      <c r="M53" s="864"/>
      <c r="N53" s="3034">
        <f>UnosNovoZaposl!D45</f>
        <v>0</v>
      </c>
      <c r="O53" s="3035"/>
      <c r="P53" s="3035"/>
      <c r="Q53" s="3035"/>
      <c r="R53" s="3035"/>
      <c r="S53" s="3035"/>
      <c r="T53" s="3036"/>
      <c r="U53" s="868">
        <f>UnosNovoZaposl!E45</f>
        <v>0</v>
      </c>
      <c r="V53" s="868"/>
      <c r="W53" s="868"/>
      <c r="X53" s="868"/>
      <c r="Y53" s="868"/>
      <c r="Z53" s="868"/>
      <c r="AA53" s="868">
        <f>UnosNovoZaposl!B45</f>
        <v>0</v>
      </c>
      <c r="AB53" s="868"/>
      <c r="AC53" s="868"/>
      <c r="AD53" s="868"/>
      <c r="AE53" s="868"/>
      <c r="AF53" s="868"/>
      <c r="AG53" s="868">
        <f>UnosNovoZaposl!F45</f>
        <v>0</v>
      </c>
      <c r="AH53" s="868"/>
      <c r="AI53" s="868"/>
      <c r="AJ53" s="868"/>
      <c r="AK53" s="868"/>
      <c r="AL53" s="868"/>
      <c r="AM53" s="868">
        <f>UnosNovoZaposl!G45</f>
        <v>0</v>
      </c>
      <c r="AN53" s="868"/>
      <c r="AO53" s="868"/>
      <c r="AP53" s="868"/>
      <c r="AQ53" s="868"/>
      <c r="AR53" s="868"/>
      <c r="AS53" s="868">
        <f t="shared" si="0"/>
        <v>0</v>
      </c>
      <c r="AT53" s="868"/>
      <c r="AU53" s="868"/>
      <c r="AV53" s="868"/>
      <c r="AW53" s="868"/>
      <c r="AX53" s="868"/>
    </row>
    <row r="54" s="687" customFormat="1" ht="15.75" hidden="1" customHeight="1" spans="1:50">
      <c r="A54" s="3033"/>
      <c r="B54" s="754" t="s">
        <v>5865</v>
      </c>
      <c r="C54" s="864">
        <f>UnosNovoZaposl!C46</f>
        <v>0</v>
      </c>
      <c r="D54" s="864"/>
      <c r="E54" s="864"/>
      <c r="F54" s="864"/>
      <c r="G54" s="864"/>
      <c r="H54" s="864"/>
      <c r="I54" s="864"/>
      <c r="J54" s="864"/>
      <c r="K54" s="864"/>
      <c r="L54" s="864"/>
      <c r="M54" s="864"/>
      <c r="N54" s="3034">
        <f>UnosNovoZaposl!D46</f>
        <v>0</v>
      </c>
      <c r="O54" s="3035"/>
      <c r="P54" s="3035"/>
      <c r="Q54" s="3035"/>
      <c r="R54" s="3035"/>
      <c r="S54" s="3035"/>
      <c r="T54" s="3036"/>
      <c r="U54" s="868">
        <f>UnosNovoZaposl!E46</f>
        <v>0</v>
      </c>
      <c r="V54" s="868"/>
      <c r="W54" s="868"/>
      <c r="X54" s="868"/>
      <c r="Y54" s="868"/>
      <c r="Z54" s="868"/>
      <c r="AA54" s="868">
        <f>UnosNovoZaposl!B46</f>
        <v>0</v>
      </c>
      <c r="AB54" s="868"/>
      <c r="AC54" s="868"/>
      <c r="AD54" s="868"/>
      <c r="AE54" s="868"/>
      <c r="AF54" s="868"/>
      <c r="AG54" s="868">
        <f>UnosNovoZaposl!F46</f>
        <v>0</v>
      </c>
      <c r="AH54" s="868"/>
      <c r="AI54" s="868"/>
      <c r="AJ54" s="868"/>
      <c r="AK54" s="868"/>
      <c r="AL54" s="868"/>
      <c r="AM54" s="868">
        <f>UnosNovoZaposl!G46</f>
        <v>0</v>
      </c>
      <c r="AN54" s="868"/>
      <c r="AO54" s="868"/>
      <c r="AP54" s="868"/>
      <c r="AQ54" s="868"/>
      <c r="AR54" s="868"/>
      <c r="AS54" s="868">
        <f t="shared" si="0"/>
        <v>0</v>
      </c>
      <c r="AT54" s="868"/>
      <c r="AU54" s="868"/>
      <c r="AV54" s="868"/>
      <c r="AW54" s="868"/>
      <c r="AX54" s="868"/>
    </row>
    <row r="55" s="687" customFormat="1" ht="15.75" hidden="1" customHeight="1" spans="1:50">
      <c r="A55" s="3033"/>
      <c r="B55" s="754" t="s">
        <v>5867</v>
      </c>
      <c r="C55" s="864">
        <f>UnosNovoZaposl!C47</f>
        <v>0</v>
      </c>
      <c r="D55" s="864"/>
      <c r="E55" s="864"/>
      <c r="F55" s="864"/>
      <c r="G55" s="864"/>
      <c r="H55" s="864"/>
      <c r="I55" s="864"/>
      <c r="J55" s="864"/>
      <c r="K55" s="864"/>
      <c r="L55" s="864"/>
      <c r="M55" s="864"/>
      <c r="N55" s="3034">
        <f>UnosNovoZaposl!D47</f>
        <v>0</v>
      </c>
      <c r="O55" s="3035"/>
      <c r="P55" s="3035"/>
      <c r="Q55" s="3035"/>
      <c r="R55" s="3035"/>
      <c r="S55" s="3035"/>
      <c r="T55" s="3036"/>
      <c r="U55" s="868">
        <f>UnosNovoZaposl!E47</f>
        <v>0</v>
      </c>
      <c r="V55" s="868"/>
      <c r="W55" s="868"/>
      <c r="X55" s="868"/>
      <c r="Y55" s="868"/>
      <c r="Z55" s="868"/>
      <c r="AA55" s="868">
        <f>UnosNovoZaposl!B47</f>
        <v>0</v>
      </c>
      <c r="AB55" s="868"/>
      <c r="AC55" s="868"/>
      <c r="AD55" s="868"/>
      <c r="AE55" s="868"/>
      <c r="AF55" s="868"/>
      <c r="AG55" s="868">
        <f>UnosNovoZaposl!F47</f>
        <v>0</v>
      </c>
      <c r="AH55" s="868"/>
      <c r="AI55" s="868"/>
      <c r="AJ55" s="868"/>
      <c r="AK55" s="868"/>
      <c r="AL55" s="868"/>
      <c r="AM55" s="868">
        <f>UnosNovoZaposl!G47</f>
        <v>0</v>
      </c>
      <c r="AN55" s="868"/>
      <c r="AO55" s="868"/>
      <c r="AP55" s="868"/>
      <c r="AQ55" s="868"/>
      <c r="AR55" s="868"/>
      <c r="AS55" s="868">
        <f t="shared" si="0"/>
        <v>0</v>
      </c>
      <c r="AT55" s="868"/>
      <c r="AU55" s="868"/>
      <c r="AV55" s="868"/>
      <c r="AW55" s="868"/>
      <c r="AX55" s="868"/>
    </row>
    <row r="56" s="687" customFormat="1" ht="15.75" hidden="1" customHeight="1" spans="1:50">
      <c r="A56" s="3033"/>
      <c r="B56" s="754" t="s">
        <v>5869</v>
      </c>
      <c r="C56" s="864">
        <f>UnosNovoZaposl!C48</f>
        <v>0</v>
      </c>
      <c r="D56" s="864"/>
      <c r="E56" s="864"/>
      <c r="F56" s="864"/>
      <c r="G56" s="864"/>
      <c r="H56" s="864"/>
      <c r="I56" s="864"/>
      <c r="J56" s="864"/>
      <c r="K56" s="864"/>
      <c r="L56" s="864"/>
      <c r="M56" s="864"/>
      <c r="N56" s="3034">
        <f>UnosNovoZaposl!D48</f>
        <v>0</v>
      </c>
      <c r="O56" s="3035"/>
      <c r="P56" s="3035"/>
      <c r="Q56" s="3035"/>
      <c r="R56" s="3035"/>
      <c r="S56" s="3035"/>
      <c r="T56" s="3036"/>
      <c r="U56" s="868">
        <f>UnosNovoZaposl!E48</f>
        <v>0</v>
      </c>
      <c r="V56" s="868"/>
      <c r="W56" s="868"/>
      <c r="X56" s="868"/>
      <c r="Y56" s="868"/>
      <c r="Z56" s="868"/>
      <c r="AA56" s="868">
        <f>UnosNovoZaposl!B48</f>
        <v>0</v>
      </c>
      <c r="AB56" s="868"/>
      <c r="AC56" s="868"/>
      <c r="AD56" s="868"/>
      <c r="AE56" s="868"/>
      <c r="AF56" s="868"/>
      <c r="AG56" s="868">
        <f>UnosNovoZaposl!F48</f>
        <v>0</v>
      </c>
      <c r="AH56" s="868"/>
      <c r="AI56" s="868"/>
      <c r="AJ56" s="868"/>
      <c r="AK56" s="868"/>
      <c r="AL56" s="868"/>
      <c r="AM56" s="868">
        <f>UnosNovoZaposl!G48</f>
        <v>0</v>
      </c>
      <c r="AN56" s="868"/>
      <c r="AO56" s="868"/>
      <c r="AP56" s="868"/>
      <c r="AQ56" s="868"/>
      <c r="AR56" s="868"/>
      <c r="AS56" s="868">
        <f t="shared" si="0"/>
        <v>0</v>
      </c>
      <c r="AT56" s="868"/>
      <c r="AU56" s="868"/>
      <c r="AV56" s="868"/>
      <c r="AW56" s="868"/>
      <c r="AX56" s="868"/>
    </row>
    <row r="57" s="687" customFormat="1" ht="15.75" hidden="1" customHeight="1" spans="1:50">
      <c r="A57" s="3033"/>
      <c r="B57" s="754" t="s">
        <v>5871</v>
      </c>
      <c r="C57" s="864">
        <f>UnosNovoZaposl!C49</f>
        <v>0</v>
      </c>
      <c r="D57" s="864"/>
      <c r="E57" s="864"/>
      <c r="F57" s="864"/>
      <c r="G57" s="864"/>
      <c r="H57" s="864"/>
      <c r="I57" s="864"/>
      <c r="J57" s="864"/>
      <c r="K57" s="864"/>
      <c r="L57" s="864"/>
      <c r="M57" s="864"/>
      <c r="N57" s="3034">
        <f>UnosNovoZaposl!D49</f>
        <v>0</v>
      </c>
      <c r="O57" s="3035"/>
      <c r="P57" s="3035"/>
      <c r="Q57" s="3035"/>
      <c r="R57" s="3035"/>
      <c r="S57" s="3035"/>
      <c r="T57" s="3036"/>
      <c r="U57" s="868">
        <f>UnosNovoZaposl!E49</f>
        <v>0</v>
      </c>
      <c r="V57" s="868"/>
      <c r="W57" s="868"/>
      <c r="X57" s="868"/>
      <c r="Y57" s="868"/>
      <c r="Z57" s="868"/>
      <c r="AA57" s="868">
        <f>UnosNovoZaposl!B49</f>
        <v>0</v>
      </c>
      <c r="AB57" s="868"/>
      <c r="AC57" s="868"/>
      <c r="AD57" s="868"/>
      <c r="AE57" s="868"/>
      <c r="AF57" s="868"/>
      <c r="AG57" s="868">
        <f>UnosNovoZaposl!F49</f>
        <v>0</v>
      </c>
      <c r="AH57" s="868"/>
      <c r="AI57" s="868"/>
      <c r="AJ57" s="868"/>
      <c r="AK57" s="868"/>
      <c r="AL57" s="868"/>
      <c r="AM57" s="868">
        <f>UnosNovoZaposl!G49</f>
        <v>0</v>
      </c>
      <c r="AN57" s="868"/>
      <c r="AO57" s="868"/>
      <c r="AP57" s="868"/>
      <c r="AQ57" s="868"/>
      <c r="AR57" s="868"/>
      <c r="AS57" s="868">
        <f t="shared" si="0"/>
        <v>0</v>
      </c>
      <c r="AT57" s="868"/>
      <c r="AU57" s="868"/>
      <c r="AV57" s="868"/>
      <c r="AW57" s="868"/>
      <c r="AX57" s="868"/>
    </row>
    <row r="58" s="687" customFormat="1" ht="15.75" hidden="1" customHeight="1" spans="1:50">
      <c r="A58" s="3033"/>
      <c r="B58" s="754" t="s">
        <v>5873</v>
      </c>
      <c r="C58" s="864">
        <f>UnosNovoZaposl!C50</f>
        <v>0</v>
      </c>
      <c r="D58" s="864"/>
      <c r="E58" s="864"/>
      <c r="F58" s="864"/>
      <c r="G58" s="864"/>
      <c r="H58" s="864"/>
      <c r="I58" s="864"/>
      <c r="J58" s="864"/>
      <c r="K58" s="864"/>
      <c r="L58" s="864"/>
      <c r="M58" s="864"/>
      <c r="N58" s="3034">
        <f>UnosNovoZaposl!D50</f>
        <v>0</v>
      </c>
      <c r="O58" s="3035"/>
      <c r="P58" s="3035"/>
      <c r="Q58" s="3035"/>
      <c r="R58" s="3035"/>
      <c r="S58" s="3035"/>
      <c r="T58" s="3036"/>
      <c r="U58" s="868">
        <f>UnosNovoZaposl!E50</f>
        <v>0</v>
      </c>
      <c r="V58" s="868"/>
      <c r="W58" s="868"/>
      <c r="X58" s="868"/>
      <c r="Y58" s="868"/>
      <c r="Z58" s="868"/>
      <c r="AA58" s="868">
        <f>UnosNovoZaposl!B50</f>
        <v>0</v>
      </c>
      <c r="AB58" s="868"/>
      <c r="AC58" s="868"/>
      <c r="AD58" s="868"/>
      <c r="AE58" s="868"/>
      <c r="AF58" s="868"/>
      <c r="AG58" s="868">
        <f>UnosNovoZaposl!F50</f>
        <v>0</v>
      </c>
      <c r="AH58" s="868"/>
      <c r="AI58" s="868"/>
      <c r="AJ58" s="868"/>
      <c r="AK58" s="868"/>
      <c r="AL58" s="868"/>
      <c r="AM58" s="868">
        <f>UnosNovoZaposl!G50</f>
        <v>0</v>
      </c>
      <c r="AN58" s="868"/>
      <c r="AO58" s="868"/>
      <c r="AP58" s="868"/>
      <c r="AQ58" s="868"/>
      <c r="AR58" s="868"/>
      <c r="AS58" s="868">
        <f t="shared" si="0"/>
        <v>0</v>
      </c>
      <c r="AT58" s="868"/>
      <c r="AU58" s="868"/>
      <c r="AV58" s="868"/>
      <c r="AW58" s="868"/>
      <c r="AX58" s="868"/>
    </row>
    <row r="59" s="687" customFormat="1" ht="15.75" hidden="1" customHeight="1" spans="1:50">
      <c r="A59" s="3033"/>
      <c r="B59" s="754" t="s">
        <v>5875</v>
      </c>
      <c r="C59" s="864">
        <f>UnosNovoZaposl!C51</f>
        <v>0</v>
      </c>
      <c r="D59" s="864"/>
      <c r="E59" s="864"/>
      <c r="F59" s="864"/>
      <c r="G59" s="864"/>
      <c r="H59" s="864"/>
      <c r="I59" s="864"/>
      <c r="J59" s="864"/>
      <c r="K59" s="864"/>
      <c r="L59" s="864"/>
      <c r="M59" s="864"/>
      <c r="N59" s="3034">
        <f>UnosNovoZaposl!D51</f>
        <v>0</v>
      </c>
      <c r="O59" s="3035"/>
      <c r="P59" s="3035"/>
      <c r="Q59" s="3035"/>
      <c r="R59" s="3035"/>
      <c r="S59" s="3035"/>
      <c r="T59" s="3036"/>
      <c r="U59" s="868">
        <f>UnosNovoZaposl!E51</f>
        <v>0</v>
      </c>
      <c r="V59" s="868"/>
      <c r="W59" s="868"/>
      <c r="X59" s="868"/>
      <c r="Y59" s="868"/>
      <c r="Z59" s="868"/>
      <c r="AA59" s="868">
        <f>UnosNovoZaposl!B51</f>
        <v>0</v>
      </c>
      <c r="AB59" s="868"/>
      <c r="AC59" s="868"/>
      <c r="AD59" s="868"/>
      <c r="AE59" s="868"/>
      <c r="AF59" s="868"/>
      <c r="AG59" s="868">
        <f>UnosNovoZaposl!F51</f>
        <v>0</v>
      </c>
      <c r="AH59" s="868"/>
      <c r="AI59" s="868"/>
      <c r="AJ59" s="868"/>
      <c r="AK59" s="868"/>
      <c r="AL59" s="868"/>
      <c r="AM59" s="868">
        <f>UnosNovoZaposl!G51</f>
        <v>0</v>
      </c>
      <c r="AN59" s="868"/>
      <c r="AO59" s="868"/>
      <c r="AP59" s="868"/>
      <c r="AQ59" s="868"/>
      <c r="AR59" s="868"/>
      <c r="AS59" s="868">
        <f t="shared" si="0"/>
        <v>0</v>
      </c>
      <c r="AT59" s="868"/>
      <c r="AU59" s="868"/>
      <c r="AV59" s="868"/>
      <c r="AW59" s="868"/>
      <c r="AX59" s="868"/>
    </row>
    <row r="60" s="687" customFormat="1" ht="15.75" hidden="1" customHeight="1" spans="1:50">
      <c r="A60" s="3033"/>
      <c r="B60" s="754" t="s">
        <v>5877</v>
      </c>
      <c r="C60" s="864">
        <f>UnosNovoZaposl!C52</f>
        <v>0</v>
      </c>
      <c r="D60" s="864"/>
      <c r="E60" s="864"/>
      <c r="F60" s="864"/>
      <c r="G60" s="864"/>
      <c r="H60" s="864"/>
      <c r="I60" s="864"/>
      <c r="J60" s="864"/>
      <c r="K60" s="864"/>
      <c r="L60" s="864"/>
      <c r="M60" s="864"/>
      <c r="N60" s="3034">
        <f>UnosNovoZaposl!D52</f>
        <v>0</v>
      </c>
      <c r="O60" s="3035"/>
      <c r="P60" s="3035"/>
      <c r="Q60" s="3035"/>
      <c r="R60" s="3035"/>
      <c r="S60" s="3035"/>
      <c r="T60" s="3036"/>
      <c r="U60" s="868">
        <f>UnosNovoZaposl!E52</f>
        <v>0</v>
      </c>
      <c r="V60" s="868"/>
      <c r="W60" s="868"/>
      <c r="X60" s="868"/>
      <c r="Y60" s="868"/>
      <c r="Z60" s="868"/>
      <c r="AA60" s="868">
        <f>UnosNovoZaposl!B52</f>
        <v>0</v>
      </c>
      <c r="AB60" s="868"/>
      <c r="AC60" s="868"/>
      <c r="AD60" s="868"/>
      <c r="AE60" s="868"/>
      <c r="AF60" s="868"/>
      <c r="AG60" s="868">
        <f>UnosNovoZaposl!F52</f>
        <v>0</v>
      </c>
      <c r="AH60" s="868"/>
      <c r="AI60" s="868"/>
      <c r="AJ60" s="868"/>
      <c r="AK60" s="868"/>
      <c r="AL60" s="868"/>
      <c r="AM60" s="868">
        <f>UnosNovoZaposl!G52</f>
        <v>0</v>
      </c>
      <c r="AN60" s="868"/>
      <c r="AO60" s="868"/>
      <c r="AP60" s="868"/>
      <c r="AQ60" s="868"/>
      <c r="AR60" s="868"/>
      <c r="AS60" s="868">
        <f t="shared" si="0"/>
        <v>0</v>
      </c>
      <c r="AT60" s="868"/>
      <c r="AU60" s="868"/>
      <c r="AV60" s="868"/>
      <c r="AW60" s="868"/>
      <c r="AX60" s="868"/>
    </row>
    <row r="61" s="687" customFormat="1" ht="15.75" hidden="1" customHeight="1" spans="1:50">
      <c r="A61" s="3033"/>
      <c r="B61" s="754" t="s">
        <v>5879</v>
      </c>
      <c r="C61" s="864">
        <f>UnosNovoZaposl!C53</f>
        <v>0</v>
      </c>
      <c r="D61" s="864"/>
      <c r="E61" s="864"/>
      <c r="F61" s="864"/>
      <c r="G61" s="864"/>
      <c r="H61" s="864"/>
      <c r="I61" s="864"/>
      <c r="J61" s="864"/>
      <c r="K61" s="864"/>
      <c r="L61" s="864"/>
      <c r="M61" s="864"/>
      <c r="N61" s="3034">
        <f>UnosNovoZaposl!D53</f>
        <v>0</v>
      </c>
      <c r="O61" s="3035"/>
      <c r="P61" s="3035"/>
      <c r="Q61" s="3035"/>
      <c r="R61" s="3035"/>
      <c r="S61" s="3035"/>
      <c r="T61" s="3036"/>
      <c r="U61" s="868">
        <f>UnosNovoZaposl!E53</f>
        <v>0</v>
      </c>
      <c r="V61" s="868"/>
      <c r="W61" s="868"/>
      <c r="X61" s="868"/>
      <c r="Y61" s="868"/>
      <c r="Z61" s="868"/>
      <c r="AA61" s="868">
        <f>UnosNovoZaposl!B53</f>
        <v>0</v>
      </c>
      <c r="AB61" s="868"/>
      <c r="AC61" s="868"/>
      <c r="AD61" s="868"/>
      <c r="AE61" s="868"/>
      <c r="AF61" s="868"/>
      <c r="AG61" s="868">
        <f>UnosNovoZaposl!F53</f>
        <v>0</v>
      </c>
      <c r="AH61" s="868"/>
      <c r="AI61" s="868"/>
      <c r="AJ61" s="868"/>
      <c r="AK61" s="868"/>
      <c r="AL61" s="868"/>
      <c r="AM61" s="868">
        <f>UnosNovoZaposl!G53</f>
        <v>0</v>
      </c>
      <c r="AN61" s="868"/>
      <c r="AO61" s="868"/>
      <c r="AP61" s="868"/>
      <c r="AQ61" s="868"/>
      <c r="AR61" s="868"/>
      <c r="AS61" s="868">
        <f t="shared" si="0"/>
        <v>0</v>
      </c>
      <c r="AT61" s="868"/>
      <c r="AU61" s="868"/>
      <c r="AV61" s="868"/>
      <c r="AW61" s="868"/>
      <c r="AX61" s="868"/>
    </row>
    <row r="62" s="687" customFormat="1" ht="15.75" hidden="1" customHeight="1" spans="1:50">
      <c r="A62" s="3033"/>
      <c r="B62" s="754" t="s">
        <v>5881</v>
      </c>
      <c r="C62" s="864">
        <f>UnosNovoZaposl!C54</f>
        <v>0</v>
      </c>
      <c r="D62" s="864"/>
      <c r="E62" s="864"/>
      <c r="F62" s="864"/>
      <c r="G62" s="864"/>
      <c r="H62" s="864"/>
      <c r="I62" s="864"/>
      <c r="J62" s="864"/>
      <c r="K62" s="864"/>
      <c r="L62" s="864"/>
      <c r="M62" s="864"/>
      <c r="N62" s="3034">
        <f>UnosNovoZaposl!D54</f>
        <v>0</v>
      </c>
      <c r="O62" s="3035"/>
      <c r="P62" s="3035"/>
      <c r="Q62" s="3035"/>
      <c r="R62" s="3035"/>
      <c r="S62" s="3035"/>
      <c r="T62" s="3036"/>
      <c r="U62" s="868">
        <f>UnosNovoZaposl!E54</f>
        <v>0</v>
      </c>
      <c r="V62" s="868"/>
      <c r="W62" s="868"/>
      <c r="X62" s="868"/>
      <c r="Y62" s="868"/>
      <c r="Z62" s="868"/>
      <c r="AA62" s="868">
        <f>UnosNovoZaposl!B54</f>
        <v>0</v>
      </c>
      <c r="AB62" s="868"/>
      <c r="AC62" s="868"/>
      <c r="AD62" s="868"/>
      <c r="AE62" s="868"/>
      <c r="AF62" s="868"/>
      <c r="AG62" s="868">
        <f>UnosNovoZaposl!F54</f>
        <v>0</v>
      </c>
      <c r="AH62" s="868"/>
      <c r="AI62" s="868"/>
      <c r="AJ62" s="868"/>
      <c r="AK62" s="868"/>
      <c r="AL62" s="868"/>
      <c r="AM62" s="868">
        <f>UnosNovoZaposl!G54</f>
        <v>0</v>
      </c>
      <c r="AN62" s="868"/>
      <c r="AO62" s="868"/>
      <c r="AP62" s="868"/>
      <c r="AQ62" s="868"/>
      <c r="AR62" s="868"/>
      <c r="AS62" s="868">
        <f t="shared" si="0"/>
        <v>0</v>
      </c>
      <c r="AT62" s="868"/>
      <c r="AU62" s="868"/>
      <c r="AV62" s="868"/>
      <c r="AW62" s="868"/>
      <c r="AX62" s="868"/>
    </row>
    <row r="63" s="687" customFormat="1" ht="15.75" hidden="1" customHeight="1" spans="1:50">
      <c r="A63" s="3033"/>
      <c r="B63" s="754" t="s">
        <v>5882</v>
      </c>
      <c r="C63" s="864">
        <f>UnosNovoZaposl!C55</f>
        <v>0</v>
      </c>
      <c r="D63" s="864"/>
      <c r="E63" s="864"/>
      <c r="F63" s="864"/>
      <c r="G63" s="864"/>
      <c r="H63" s="864"/>
      <c r="I63" s="864"/>
      <c r="J63" s="864"/>
      <c r="K63" s="864"/>
      <c r="L63" s="864"/>
      <c r="M63" s="864"/>
      <c r="N63" s="3034">
        <f>UnosNovoZaposl!D55</f>
        <v>0</v>
      </c>
      <c r="O63" s="3035"/>
      <c r="P63" s="3035"/>
      <c r="Q63" s="3035"/>
      <c r="R63" s="3035"/>
      <c r="S63" s="3035"/>
      <c r="T63" s="3036"/>
      <c r="U63" s="868">
        <f>UnosNovoZaposl!E55</f>
        <v>0</v>
      </c>
      <c r="V63" s="868"/>
      <c r="W63" s="868"/>
      <c r="X63" s="868"/>
      <c r="Y63" s="868"/>
      <c r="Z63" s="868"/>
      <c r="AA63" s="868">
        <f>UnosNovoZaposl!B55</f>
        <v>0</v>
      </c>
      <c r="AB63" s="868"/>
      <c r="AC63" s="868"/>
      <c r="AD63" s="868"/>
      <c r="AE63" s="868"/>
      <c r="AF63" s="868"/>
      <c r="AG63" s="868">
        <f>UnosNovoZaposl!F55</f>
        <v>0</v>
      </c>
      <c r="AH63" s="868"/>
      <c r="AI63" s="868"/>
      <c r="AJ63" s="868"/>
      <c r="AK63" s="868"/>
      <c r="AL63" s="868"/>
      <c r="AM63" s="868">
        <f>UnosNovoZaposl!G55</f>
        <v>0</v>
      </c>
      <c r="AN63" s="868"/>
      <c r="AO63" s="868"/>
      <c r="AP63" s="868"/>
      <c r="AQ63" s="868"/>
      <c r="AR63" s="868"/>
      <c r="AS63" s="868">
        <f t="shared" si="0"/>
        <v>0</v>
      </c>
      <c r="AT63" s="868"/>
      <c r="AU63" s="868"/>
      <c r="AV63" s="868"/>
      <c r="AW63" s="868"/>
      <c r="AX63" s="868"/>
    </row>
    <row r="64" s="687" customFormat="1" ht="15.75" hidden="1" customHeight="1" spans="1:50">
      <c r="A64" s="3033"/>
      <c r="B64" s="754" t="s">
        <v>5884</v>
      </c>
      <c r="C64" s="864">
        <f>UnosNovoZaposl!C56</f>
        <v>0</v>
      </c>
      <c r="D64" s="864"/>
      <c r="E64" s="864"/>
      <c r="F64" s="864"/>
      <c r="G64" s="864"/>
      <c r="H64" s="864"/>
      <c r="I64" s="864"/>
      <c r="J64" s="864"/>
      <c r="K64" s="864"/>
      <c r="L64" s="864"/>
      <c r="M64" s="864"/>
      <c r="N64" s="3034">
        <f>UnosNovoZaposl!D56</f>
        <v>0</v>
      </c>
      <c r="O64" s="3035"/>
      <c r="P64" s="3035"/>
      <c r="Q64" s="3035"/>
      <c r="R64" s="3035"/>
      <c r="S64" s="3035"/>
      <c r="T64" s="3036"/>
      <c r="U64" s="868">
        <f>UnosNovoZaposl!E56</f>
        <v>0</v>
      </c>
      <c r="V64" s="868"/>
      <c r="W64" s="868"/>
      <c r="X64" s="868"/>
      <c r="Y64" s="868"/>
      <c r="Z64" s="868"/>
      <c r="AA64" s="868">
        <f>UnosNovoZaposl!B56</f>
        <v>0</v>
      </c>
      <c r="AB64" s="868"/>
      <c r="AC64" s="868"/>
      <c r="AD64" s="868"/>
      <c r="AE64" s="868"/>
      <c r="AF64" s="868"/>
      <c r="AG64" s="868">
        <f>UnosNovoZaposl!F56</f>
        <v>0</v>
      </c>
      <c r="AH64" s="868"/>
      <c r="AI64" s="868"/>
      <c r="AJ64" s="868"/>
      <c r="AK64" s="868"/>
      <c r="AL64" s="868"/>
      <c r="AM64" s="868">
        <f>UnosNovoZaposl!G56</f>
        <v>0</v>
      </c>
      <c r="AN64" s="868"/>
      <c r="AO64" s="868"/>
      <c r="AP64" s="868"/>
      <c r="AQ64" s="868"/>
      <c r="AR64" s="868"/>
      <c r="AS64" s="868">
        <f t="shared" si="0"/>
        <v>0</v>
      </c>
      <c r="AT64" s="868"/>
      <c r="AU64" s="868"/>
      <c r="AV64" s="868"/>
      <c r="AW64" s="868"/>
      <c r="AX64" s="868"/>
    </row>
    <row r="65" s="687" customFormat="1" ht="15.75" hidden="1" customHeight="1" spans="1:50">
      <c r="A65" s="3033"/>
      <c r="B65" s="754" t="s">
        <v>5886</v>
      </c>
      <c r="C65" s="864">
        <f>UnosNovoZaposl!C57</f>
        <v>0</v>
      </c>
      <c r="D65" s="864"/>
      <c r="E65" s="864"/>
      <c r="F65" s="864"/>
      <c r="G65" s="864"/>
      <c r="H65" s="864"/>
      <c r="I65" s="864"/>
      <c r="J65" s="864"/>
      <c r="K65" s="864"/>
      <c r="L65" s="864"/>
      <c r="M65" s="864"/>
      <c r="N65" s="3034">
        <f>UnosNovoZaposl!D57</f>
        <v>0</v>
      </c>
      <c r="O65" s="3035"/>
      <c r="P65" s="3035"/>
      <c r="Q65" s="3035"/>
      <c r="R65" s="3035"/>
      <c r="S65" s="3035"/>
      <c r="T65" s="3036"/>
      <c r="U65" s="868">
        <f>UnosNovoZaposl!E57</f>
        <v>0</v>
      </c>
      <c r="V65" s="868"/>
      <c r="W65" s="868"/>
      <c r="X65" s="868"/>
      <c r="Y65" s="868"/>
      <c r="Z65" s="868"/>
      <c r="AA65" s="868">
        <f>UnosNovoZaposl!B57</f>
        <v>0</v>
      </c>
      <c r="AB65" s="868"/>
      <c r="AC65" s="868"/>
      <c r="AD65" s="868"/>
      <c r="AE65" s="868"/>
      <c r="AF65" s="868"/>
      <c r="AG65" s="868">
        <f>UnosNovoZaposl!F57</f>
        <v>0</v>
      </c>
      <c r="AH65" s="868"/>
      <c r="AI65" s="868"/>
      <c r="AJ65" s="868"/>
      <c r="AK65" s="868"/>
      <c r="AL65" s="868"/>
      <c r="AM65" s="868">
        <f>UnosNovoZaposl!G57</f>
        <v>0</v>
      </c>
      <c r="AN65" s="868"/>
      <c r="AO65" s="868"/>
      <c r="AP65" s="868"/>
      <c r="AQ65" s="868"/>
      <c r="AR65" s="868"/>
      <c r="AS65" s="868">
        <f t="shared" si="0"/>
        <v>0</v>
      </c>
      <c r="AT65" s="868"/>
      <c r="AU65" s="868"/>
      <c r="AV65" s="868"/>
      <c r="AW65" s="868"/>
      <c r="AX65" s="868"/>
    </row>
    <row r="66" s="687" customFormat="1" ht="15.75" hidden="1" customHeight="1" spans="1:50">
      <c r="A66" s="3033"/>
      <c r="B66" s="754" t="s">
        <v>5888</v>
      </c>
      <c r="C66" s="864">
        <f>UnosNovoZaposl!C58</f>
        <v>0</v>
      </c>
      <c r="D66" s="864"/>
      <c r="E66" s="864"/>
      <c r="F66" s="864"/>
      <c r="G66" s="864"/>
      <c r="H66" s="864"/>
      <c r="I66" s="864"/>
      <c r="J66" s="864"/>
      <c r="K66" s="864"/>
      <c r="L66" s="864"/>
      <c r="M66" s="864"/>
      <c r="N66" s="3034">
        <f>UnosNovoZaposl!D58</f>
        <v>0</v>
      </c>
      <c r="O66" s="3035"/>
      <c r="P66" s="3035"/>
      <c r="Q66" s="3035"/>
      <c r="R66" s="3035"/>
      <c r="S66" s="3035"/>
      <c r="T66" s="3036"/>
      <c r="U66" s="868">
        <f>UnosNovoZaposl!E58</f>
        <v>0</v>
      </c>
      <c r="V66" s="868"/>
      <c r="W66" s="868"/>
      <c r="X66" s="868"/>
      <c r="Y66" s="868"/>
      <c r="Z66" s="868"/>
      <c r="AA66" s="868">
        <f>UnosNovoZaposl!B58</f>
        <v>0</v>
      </c>
      <c r="AB66" s="868"/>
      <c r="AC66" s="868"/>
      <c r="AD66" s="868"/>
      <c r="AE66" s="868"/>
      <c r="AF66" s="868"/>
      <c r="AG66" s="868">
        <f>UnosNovoZaposl!F58</f>
        <v>0</v>
      </c>
      <c r="AH66" s="868"/>
      <c r="AI66" s="868"/>
      <c r="AJ66" s="868"/>
      <c r="AK66" s="868"/>
      <c r="AL66" s="868"/>
      <c r="AM66" s="868">
        <f>UnosNovoZaposl!G58</f>
        <v>0</v>
      </c>
      <c r="AN66" s="868"/>
      <c r="AO66" s="868"/>
      <c r="AP66" s="868"/>
      <c r="AQ66" s="868"/>
      <c r="AR66" s="868"/>
      <c r="AS66" s="868">
        <f t="shared" si="0"/>
        <v>0</v>
      </c>
      <c r="AT66" s="868"/>
      <c r="AU66" s="868"/>
      <c r="AV66" s="868"/>
      <c r="AW66" s="868"/>
      <c r="AX66" s="868"/>
    </row>
    <row r="67" s="687" customFormat="1" ht="15.75" hidden="1" customHeight="1" spans="1:50">
      <c r="A67" s="3033"/>
      <c r="B67" s="754" t="s">
        <v>5890</v>
      </c>
      <c r="C67" s="864">
        <f>UnosNovoZaposl!C59</f>
        <v>0</v>
      </c>
      <c r="D67" s="864"/>
      <c r="E67" s="864"/>
      <c r="F67" s="864"/>
      <c r="G67" s="864"/>
      <c r="H67" s="864"/>
      <c r="I67" s="864"/>
      <c r="J67" s="864"/>
      <c r="K67" s="864"/>
      <c r="L67" s="864"/>
      <c r="M67" s="864"/>
      <c r="N67" s="3034">
        <f>UnosNovoZaposl!D59</f>
        <v>0</v>
      </c>
      <c r="O67" s="3035"/>
      <c r="P67" s="3035"/>
      <c r="Q67" s="3035"/>
      <c r="R67" s="3035"/>
      <c r="S67" s="3035"/>
      <c r="T67" s="3036"/>
      <c r="U67" s="868">
        <f>UnosNovoZaposl!E59</f>
        <v>0</v>
      </c>
      <c r="V67" s="868"/>
      <c r="W67" s="868"/>
      <c r="X67" s="868"/>
      <c r="Y67" s="868"/>
      <c r="Z67" s="868"/>
      <c r="AA67" s="868">
        <f>UnosNovoZaposl!B59</f>
        <v>0</v>
      </c>
      <c r="AB67" s="868"/>
      <c r="AC67" s="868"/>
      <c r="AD67" s="868"/>
      <c r="AE67" s="868"/>
      <c r="AF67" s="868"/>
      <c r="AG67" s="868">
        <f>UnosNovoZaposl!F59</f>
        <v>0</v>
      </c>
      <c r="AH67" s="868"/>
      <c r="AI67" s="868"/>
      <c r="AJ67" s="868"/>
      <c r="AK67" s="868"/>
      <c r="AL67" s="868"/>
      <c r="AM67" s="868">
        <f>UnosNovoZaposl!G59</f>
        <v>0</v>
      </c>
      <c r="AN67" s="868"/>
      <c r="AO67" s="868"/>
      <c r="AP67" s="868"/>
      <c r="AQ67" s="868"/>
      <c r="AR67" s="868"/>
      <c r="AS67" s="868">
        <f t="shared" si="0"/>
        <v>0</v>
      </c>
      <c r="AT67" s="868"/>
      <c r="AU67" s="868"/>
      <c r="AV67" s="868"/>
      <c r="AW67" s="868"/>
      <c r="AX67" s="868"/>
    </row>
    <row r="68" s="687" customFormat="1" ht="15.75" hidden="1" customHeight="1" spans="1:50">
      <c r="A68" s="3033"/>
      <c r="B68" s="754" t="s">
        <v>5892</v>
      </c>
      <c r="C68" s="864">
        <f>UnosNovoZaposl!C60</f>
        <v>0</v>
      </c>
      <c r="D68" s="864"/>
      <c r="E68" s="864"/>
      <c r="F68" s="864"/>
      <c r="G68" s="864"/>
      <c r="H68" s="864"/>
      <c r="I68" s="864"/>
      <c r="J68" s="864"/>
      <c r="K68" s="864"/>
      <c r="L68" s="864"/>
      <c r="M68" s="864"/>
      <c r="N68" s="3034">
        <f>UnosNovoZaposl!D60</f>
        <v>0</v>
      </c>
      <c r="O68" s="3035"/>
      <c r="P68" s="3035"/>
      <c r="Q68" s="3035"/>
      <c r="R68" s="3035"/>
      <c r="S68" s="3035"/>
      <c r="T68" s="3036"/>
      <c r="U68" s="868">
        <f>UnosNovoZaposl!E60</f>
        <v>0</v>
      </c>
      <c r="V68" s="868"/>
      <c r="W68" s="868"/>
      <c r="X68" s="868"/>
      <c r="Y68" s="868"/>
      <c r="Z68" s="868"/>
      <c r="AA68" s="868">
        <f>UnosNovoZaposl!B60</f>
        <v>0</v>
      </c>
      <c r="AB68" s="868"/>
      <c r="AC68" s="868"/>
      <c r="AD68" s="868"/>
      <c r="AE68" s="868"/>
      <c r="AF68" s="868"/>
      <c r="AG68" s="868">
        <f>UnosNovoZaposl!F60</f>
        <v>0</v>
      </c>
      <c r="AH68" s="868"/>
      <c r="AI68" s="868"/>
      <c r="AJ68" s="868"/>
      <c r="AK68" s="868"/>
      <c r="AL68" s="868"/>
      <c r="AM68" s="868">
        <f>UnosNovoZaposl!G60</f>
        <v>0</v>
      </c>
      <c r="AN68" s="868"/>
      <c r="AO68" s="868"/>
      <c r="AP68" s="868"/>
      <c r="AQ68" s="868"/>
      <c r="AR68" s="868"/>
      <c r="AS68" s="868">
        <f t="shared" si="0"/>
        <v>0</v>
      </c>
      <c r="AT68" s="868"/>
      <c r="AU68" s="868"/>
      <c r="AV68" s="868"/>
      <c r="AW68" s="868"/>
      <c r="AX68" s="868"/>
    </row>
    <row r="69" s="687" customFormat="1" ht="15.75" hidden="1" customHeight="1" spans="1:50">
      <c r="A69" s="3033"/>
      <c r="B69" s="754" t="s">
        <v>5894</v>
      </c>
      <c r="C69" s="864">
        <f>UnosNovoZaposl!C61</f>
        <v>0</v>
      </c>
      <c r="D69" s="864"/>
      <c r="E69" s="864"/>
      <c r="F69" s="864"/>
      <c r="G69" s="864"/>
      <c r="H69" s="864"/>
      <c r="I69" s="864"/>
      <c r="J69" s="864"/>
      <c r="K69" s="864"/>
      <c r="L69" s="864"/>
      <c r="M69" s="864"/>
      <c r="N69" s="3034">
        <f>UnosNovoZaposl!D61</f>
        <v>0</v>
      </c>
      <c r="O69" s="3035"/>
      <c r="P69" s="3035"/>
      <c r="Q69" s="3035"/>
      <c r="R69" s="3035"/>
      <c r="S69" s="3035"/>
      <c r="T69" s="3036"/>
      <c r="U69" s="868">
        <f>UnosNovoZaposl!E61</f>
        <v>0</v>
      </c>
      <c r="V69" s="868"/>
      <c r="W69" s="868"/>
      <c r="X69" s="868"/>
      <c r="Y69" s="868"/>
      <c r="Z69" s="868"/>
      <c r="AA69" s="868">
        <f>UnosNovoZaposl!B61</f>
        <v>0</v>
      </c>
      <c r="AB69" s="868"/>
      <c r="AC69" s="868"/>
      <c r="AD69" s="868"/>
      <c r="AE69" s="868"/>
      <c r="AF69" s="868"/>
      <c r="AG69" s="868">
        <f>UnosNovoZaposl!F61</f>
        <v>0</v>
      </c>
      <c r="AH69" s="868"/>
      <c r="AI69" s="868"/>
      <c r="AJ69" s="868"/>
      <c r="AK69" s="868"/>
      <c r="AL69" s="868"/>
      <c r="AM69" s="868">
        <f>UnosNovoZaposl!G61</f>
        <v>0</v>
      </c>
      <c r="AN69" s="868"/>
      <c r="AO69" s="868"/>
      <c r="AP69" s="868"/>
      <c r="AQ69" s="868"/>
      <c r="AR69" s="868"/>
      <c r="AS69" s="868">
        <f t="shared" si="0"/>
        <v>0</v>
      </c>
      <c r="AT69" s="868"/>
      <c r="AU69" s="868"/>
      <c r="AV69" s="868"/>
      <c r="AW69" s="868"/>
      <c r="AX69" s="868"/>
    </row>
    <row r="70" s="687" customFormat="1" ht="15.75" hidden="1" customHeight="1" spans="1:50">
      <c r="A70" s="3033"/>
      <c r="B70" s="754" t="s">
        <v>5896</v>
      </c>
      <c r="C70" s="864">
        <f>UnosNovoZaposl!C62</f>
        <v>0</v>
      </c>
      <c r="D70" s="864"/>
      <c r="E70" s="864"/>
      <c r="F70" s="864"/>
      <c r="G70" s="864"/>
      <c r="H70" s="864"/>
      <c r="I70" s="864"/>
      <c r="J70" s="864"/>
      <c r="K70" s="864"/>
      <c r="L70" s="864"/>
      <c r="M70" s="864"/>
      <c r="N70" s="3034">
        <f>UnosNovoZaposl!D62</f>
        <v>0</v>
      </c>
      <c r="O70" s="3035"/>
      <c r="P70" s="3035"/>
      <c r="Q70" s="3035"/>
      <c r="R70" s="3035"/>
      <c r="S70" s="3035"/>
      <c r="T70" s="3036"/>
      <c r="U70" s="868">
        <f>UnosNovoZaposl!E62</f>
        <v>0</v>
      </c>
      <c r="V70" s="868"/>
      <c r="W70" s="868"/>
      <c r="X70" s="868"/>
      <c r="Y70" s="868"/>
      <c r="Z70" s="868"/>
      <c r="AA70" s="868">
        <f>UnosNovoZaposl!B62</f>
        <v>0</v>
      </c>
      <c r="AB70" s="868"/>
      <c r="AC70" s="868"/>
      <c r="AD70" s="868"/>
      <c r="AE70" s="868"/>
      <c r="AF70" s="868"/>
      <c r="AG70" s="868">
        <f>UnosNovoZaposl!F62</f>
        <v>0</v>
      </c>
      <c r="AH70" s="868"/>
      <c r="AI70" s="868"/>
      <c r="AJ70" s="868"/>
      <c r="AK70" s="868"/>
      <c r="AL70" s="868"/>
      <c r="AM70" s="868">
        <f>UnosNovoZaposl!G62</f>
        <v>0</v>
      </c>
      <c r="AN70" s="868"/>
      <c r="AO70" s="868"/>
      <c r="AP70" s="868"/>
      <c r="AQ70" s="868"/>
      <c r="AR70" s="868"/>
      <c r="AS70" s="868">
        <f t="shared" si="0"/>
        <v>0</v>
      </c>
      <c r="AT70" s="868"/>
      <c r="AU70" s="868"/>
      <c r="AV70" s="868"/>
      <c r="AW70" s="868"/>
      <c r="AX70" s="868"/>
    </row>
    <row r="71" s="687" customFormat="1" ht="15.75" hidden="1" customHeight="1" spans="1:50">
      <c r="A71" s="3033"/>
      <c r="B71" s="754" t="s">
        <v>5898</v>
      </c>
      <c r="C71" s="864">
        <f>UnosNovoZaposl!C63</f>
        <v>0</v>
      </c>
      <c r="D71" s="864"/>
      <c r="E71" s="864"/>
      <c r="F71" s="864"/>
      <c r="G71" s="864"/>
      <c r="H71" s="864"/>
      <c r="I71" s="864"/>
      <c r="J71" s="864"/>
      <c r="K71" s="864"/>
      <c r="L71" s="864"/>
      <c r="M71" s="864"/>
      <c r="N71" s="3034">
        <f>UnosNovoZaposl!D63</f>
        <v>0</v>
      </c>
      <c r="O71" s="3035"/>
      <c r="P71" s="3035"/>
      <c r="Q71" s="3035"/>
      <c r="R71" s="3035"/>
      <c r="S71" s="3035"/>
      <c r="T71" s="3036"/>
      <c r="U71" s="868">
        <f>UnosNovoZaposl!E63</f>
        <v>0</v>
      </c>
      <c r="V71" s="868"/>
      <c r="W71" s="868"/>
      <c r="X71" s="868"/>
      <c r="Y71" s="868"/>
      <c r="Z71" s="868"/>
      <c r="AA71" s="868">
        <f>UnosNovoZaposl!B63</f>
        <v>0</v>
      </c>
      <c r="AB71" s="868"/>
      <c r="AC71" s="868"/>
      <c r="AD71" s="868"/>
      <c r="AE71" s="868"/>
      <c r="AF71" s="868"/>
      <c r="AG71" s="868">
        <f>UnosNovoZaposl!F63</f>
        <v>0</v>
      </c>
      <c r="AH71" s="868"/>
      <c r="AI71" s="868"/>
      <c r="AJ71" s="868"/>
      <c r="AK71" s="868"/>
      <c r="AL71" s="868"/>
      <c r="AM71" s="868">
        <f>UnosNovoZaposl!G63</f>
        <v>0</v>
      </c>
      <c r="AN71" s="868"/>
      <c r="AO71" s="868"/>
      <c r="AP71" s="868"/>
      <c r="AQ71" s="868"/>
      <c r="AR71" s="868"/>
      <c r="AS71" s="868">
        <f t="shared" si="0"/>
        <v>0</v>
      </c>
      <c r="AT71" s="868"/>
      <c r="AU71" s="868"/>
      <c r="AV71" s="868"/>
      <c r="AW71" s="868"/>
      <c r="AX71" s="868"/>
    </row>
    <row r="72" s="687" customFormat="1" ht="15.75" hidden="1" customHeight="1" spans="1:50">
      <c r="A72" s="3033"/>
      <c r="B72" s="754" t="s">
        <v>5900</v>
      </c>
      <c r="C72" s="864">
        <f>UnosNovoZaposl!C64</f>
        <v>0</v>
      </c>
      <c r="D72" s="864"/>
      <c r="E72" s="864"/>
      <c r="F72" s="864"/>
      <c r="G72" s="864"/>
      <c r="H72" s="864"/>
      <c r="I72" s="864"/>
      <c r="J72" s="864"/>
      <c r="K72" s="864"/>
      <c r="L72" s="864"/>
      <c r="M72" s="864"/>
      <c r="N72" s="3034">
        <f>UnosNovoZaposl!D64</f>
        <v>0</v>
      </c>
      <c r="O72" s="3035"/>
      <c r="P72" s="3035"/>
      <c r="Q72" s="3035"/>
      <c r="R72" s="3035"/>
      <c r="S72" s="3035"/>
      <c r="T72" s="3036"/>
      <c r="U72" s="868">
        <f>UnosNovoZaposl!E64</f>
        <v>0</v>
      </c>
      <c r="V72" s="868"/>
      <c r="W72" s="868"/>
      <c r="X72" s="868"/>
      <c r="Y72" s="868"/>
      <c r="Z72" s="868"/>
      <c r="AA72" s="868">
        <f>UnosNovoZaposl!B64</f>
        <v>0</v>
      </c>
      <c r="AB72" s="868"/>
      <c r="AC72" s="868"/>
      <c r="AD72" s="868"/>
      <c r="AE72" s="868"/>
      <c r="AF72" s="868"/>
      <c r="AG72" s="868">
        <f>UnosNovoZaposl!F64</f>
        <v>0</v>
      </c>
      <c r="AH72" s="868"/>
      <c r="AI72" s="868"/>
      <c r="AJ72" s="868"/>
      <c r="AK72" s="868"/>
      <c r="AL72" s="868"/>
      <c r="AM72" s="868">
        <f>UnosNovoZaposl!G64</f>
        <v>0</v>
      </c>
      <c r="AN72" s="868"/>
      <c r="AO72" s="868"/>
      <c r="AP72" s="868"/>
      <c r="AQ72" s="868"/>
      <c r="AR72" s="868"/>
      <c r="AS72" s="868">
        <f t="shared" si="0"/>
        <v>0</v>
      </c>
      <c r="AT72" s="868"/>
      <c r="AU72" s="868"/>
      <c r="AV72" s="868"/>
      <c r="AW72" s="868"/>
      <c r="AX72" s="868"/>
    </row>
    <row r="73" s="687" customFormat="1" ht="15.75" hidden="1" customHeight="1" spans="1:50">
      <c r="A73" s="3033"/>
      <c r="B73" s="754" t="s">
        <v>5902</v>
      </c>
      <c r="C73" s="864">
        <f>UnosNovoZaposl!C65</f>
        <v>0</v>
      </c>
      <c r="D73" s="864"/>
      <c r="E73" s="864"/>
      <c r="F73" s="864"/>
      <c r="G73" s="864"/>
      <c r="H73" s="864"/>
      <c r="I73" s="864"/>
      <c r="J73" s="864"/>
      <c r="K73" s="864"/>
      <c r="L73" s="864"/>
      <c r="M73" s="864"/>
      <c r="N73" s="3034">
        <f>UnosNovoZaposl!D65</f>
        <v>0</v>
      </c>
      <c r="O73" s="3035"/>
      <c r="P73" s="3035"/>
      <c r="Q73" s="3035"/>
      <c r="R73" s="3035"/>
      <c r="S73" s="3035"/>
      <c r="T73" s="3036"/>
      <c r="U73" s="868">
        <f>UnosNovoZaposl!E65</f>
        <v>0</v>
      </c>
      <c r="V73" s="868"/>
      <c r="W73" s="868"/>
      <c r="X73" s="868"/>
      <c r="Y73" s="868"/>
      <c r="Z73" s="868"/>
      <c r="AA73" s="868">
        <f>UnosNovoZaposl!B65</f>
        <v>0</v>
      </c>
      <c r="AB73" s="868"/>
      <c r="AC73" s="868"/>
      <c r="AD73" s="868"/>
      <c r="AE73" s="868"/>
      <c r="AF73" s="868"/>
      <c r="AG73" s="868">
        <f>UnosNovoZaposl!F65</f>
        <v>0</v>
      </c>
      <c r="AH73" s="868"/>
      <c r="AI73" s="868"/>
      <c r="AJ73" s="868"/>
      <c r="AK73" s="868"/>
      <c r="AL73" s="868"/>
      <c r="AM73" s="868">
        <f>UnosNovoZaposl!G65</f>
        <v>0</v>
      </c>
      <c r="AN73" s="868"/>
      <c r="AO73" s="868"/>
      <c r="AP73" s="868"/>
      <c r="AQ73" s="868"/>
      <c r="AR73" s="868"/>
      <c r="AS73" s="868">
        <f t="shared" si="0"/>
        <v>0</v>
      </c>
      <c r="AT73" s="868"/>
      <c r="AU73" s="868"/>
      <c r="AV73" s="868"/>
      <c r="AW73" s="868"/>
      <c r="AX73" s="868"/>
    </row>
    <row r="74" s="687" customFormat="1" ht="15.75" hidden="1" customHeight="1" spans="1:50">
      <c r="A74" s="3033"/>
      <c r="B74" s="754" t="s">
        <v>5904</v>
      </c>
      <c r="C74" s="864">
        <f>UnosNovoZaposl!C66</f>
        <v>0</v>
      </c>
      <c r="D74" s="864"/>
      <c r="E74" s="864"/>
      <c r="F74" s="864"/>
      <c r="G74" s="864"/>
      <c r="H74" s="864"/>
      <c r="I74" s="864"/>
      <c r="J74" s="864"/>
      <c r="K74" s="864"/>
      <c r="L74" s="864"/>
      <c r="M74" s="864"/>
      <c r="N74" s="3034">
        <f>UnosNovoZaposl!D66</f>
        <v>0</v>
      </c>
      <c r="O74" s="3035"/>
      <c r="P74" s="3035"/>
      <c r="Q74" s="3035"/>
      <c r="R74" s="3035"/>
      <c r="S74" s="3035"/>
      <c r="T74" s="3036"/>
      <c r="U74" s="868">
        <f>UnosNovoZaposl!E66</f>
        <v>0</v>
      </c>
      <c r="V74" s="868"/>
      <c r="W74" s="868"/>
      <c r="X74" s="868"/>
      <c r="Y74" s="868"/>
      <c r="Z74" s="868"/>
      <c r="AA74" s="868">
        <f>UnosNovoZaposl!B66</f>
        <v>0</v>
      </c>
      <c r="AB74" s="868"/>
      <c r="AC74" s="868"/>
      <c r="AD74" s="868"/>
      <c r="AE74" s="868"/>
      <c r="AF74" s="868"/>
      <c r="AG74" s="868">
        <f>UnosNovoZaposl!F66</f>
        <v>0</v>
      </c>
      <c r="AH74" s="868"/>
      <c r="AI74" s="868"/>
      <c r="AJ74" s="868"/>
      <c r="AK74" s="868"/>
      <c r="AL74" s="868"/>
      <c r="AM74" s="868">
        <f>UnosNovoZaposl!G66</f>
        <v>0</v>
      </c>
      <c r="AN74" s="868"/>
      <c r="AO74" s="868"/>
      <c r="AP74" s="868"/>
      <c r="AQ74" s="868"/>
      <c r="AR74" s="868"/>
      <c r="AS74" s="868">
        <f t="shared" si="0"/>
        <v>0</v>
      </c>
      <c r="AT74" s="868"/>
      <c r="AU74" s="868"/>
      <c r="AV74" s="868"/>
      <c r="AW74" s="868"/>
      <c r="AX74" s="868"/>
    </row>
    <row r="75" s="687" customFormat="1" ht="15.75" hidden="1" customHeight="1" spans="1:50">
      <c r="A75" s="3033"/>
      <c r="B75" s="754" t="s">
        <v>5908</v>
      </c>
      <c r="C75" s="864">
        <f>UnosNovoZaposl!C67</f>
        <v>0</v>
      </c>
      <c r="D75" s="864"/>
      <c r="E75" s="864"/>
      <c r="F75" s="864"/>
      <c r="G75" s="864"/>
      <c r="H75" s="864"/>
      <c r="I75" s="864"/>
      <c r="J75" s="864"/>
      <c r="K75" s="864"/>
      <c r="L75" s="864"/>
      <c r="M75" s="864"/>
      <c r="N75" s="3034">
        <f>UnosNovoZaposl!D67</f>
        <v>0</v>
      </c>
      <c r="O75" s="3035"/>
      <c r="P75" s="3035"/>
      <c r="Q75" s="3035"/>
      <c r="R75" s="3035"/>
      <c r="S75" s="3035"/>
      <c r="T75" s="3036"/>
      <c r="U75" s="868">
        <f>UnosNovoZaposl!E67</f>
        <v>0</v>
      </c>
      <c r="V75" s="868"/>
      <c r="W75" s="868"/>
      <c r="X75" s="868"/>
      <c r="Y75" s="868"/>
      <c r="Z75" s="868"/>
      <c r="AA75" s="868">
        <f>UnosNovoZaposl!B67</f>
        <v>0</v>
      </c>
      <c r="AB75" s="868"/>
      <c r="AC75" s="868"/>
      <c r="AD75" s="868"/>
      <c r="AE75" s="868"/>
      <c r="AF75" s="868"/>
      <c r="AG75" s="868">
        <f>UnosNovoZaposl!F67</f>
        <v>0</v>
      </c>
      <c r="AH75" s="868"/>
      <c r="AI75" s="868"/>
      <c r="AJ75" s="868"/>
      <c r="AK75" s="868"/>
      <c r="AL75" s="868"/>
      <c r="AM75" s="868">
        <f>UnosNovoZaposl!G67</f>
        <v>0</v>
      </c>
      <c r="AN75" s="868"/>
      <c r="AO75" s="868"/>
      <c r="AP75" s="868"/>
      <c r="AQ75" s="868"/>
      <c r="AR75" s="868"/>
      <c r="AS75" s="868">
        <f t="shared" si="0"/>
        <v>0</v>
      </c>
      <c r="AT75" s="868"/>
      <c r="AU75" s="868"/>
      <c r="AV75" s="868"/>
      <c r="AW75" s="868"/>
      <c r="AX75" s="868"/>
    </row>
    <row r="76" s="687" customFormat="1" ht="15.75" hidden="1" customHeight="1" spans="1:50">
      <c r="A76" s="3033"/>
      <c r="B76" s="754" t="s">
        <v>5910</v>
      </c>
      <c r="C76" s="864">
        <f>UnosNovoZaposl!C68</f>
        <v>0</v>
      </c>
      <c r="D76" s="864"/>
      <c r="E76" s="864"/>
      <c r="F76" s="864"/>
      <c r="G76" s="864"/>
      <c r="H76" s="864"/>
      <c r="I76" s="864"/>
      <c r="J76" s="864"/>
      <c r="K76" s="864"/>
      <c r="L76" s="864"/>
      <c r="M76" s="864"/>
      <c r="N76" s="3034">
        <f>UnosNovoZaposl!D68</f>
        <v>0</v>
      </c>
      <c r="O76" s="3035"/>
      <c r="P76" s="3035"/>
      <c r="Q76" s="3035"/>
      <c r="R76" s="3035"/>
      <c r="S76" s="3035"/>
      <c r="T76" s="3036"/>
      <c r="U76" s="868">
        <f>UnosNovoZaposl!E68</f>
        <v>0</v>
      </c>
      <c r="V76" s="868"/>
      <c r="W76" s="868"/>
      <c r="X76" s="868"/>
      <c r="Y76" s="868"/>
      <c r="Z76" s="868"/>
      <c r="AA76" s="868">
        <f>UnosNovoZaposl!B68</f>
        <v>0</v>
      </c>
      <c r="AB76" s="868"/>
      <c r="AC76" s="868"/>
      <c r="AD76" s="868"/>
      <c r="AE76" s="868"/>
      <c r="AF76" s="868"/>
      <c r="AG76" s="868">
        <f>UnosNovoZaposl!F68</f>
        <v>0</v>
      </c>
      <c r="AH76" s="868"/>
      <c r="AI76" s="868"/>
      <c r="AJ76" s="868"/>
      <c r="AK76" s="868"/>
      <c r="AL76" s="868"/>
      <c r="AM76" s="868">
        <f>UnosNovoZaposl!G68</f>
        <v>0</v>
      </c>
      <c r="AN76" s="868"/>
      <c r="AO76" s="868"/>
      <c r="AP76" s="868"/>
      <c r="AQ76" s="868"/>
      <c r="AR76" s="868"/>
      <c r="AS76" s="868">
        <f t="shared" si="0"/>
        <v>0</v>
      </c>
      <c r="AT76" s="868"/>
      <c r="AU76" s="868"/>
      <c r="AV76" s="868"/>
      <c r="AW76" s="868"/>
      <c r="AX76" s="868"/>
    </row>
    <row r="77" s="687" customFormat="1" ht="15.75" hidden="1" customHeight="1" spans="1:50">
      <c r="A77" s="3033"/>
      <c r="B77" s="754" t="s">
        <v>5914</v>
      </c>
      <c r="C77" s="864">
        <f>UnosNovoZaposl!C69</f>
        <v>0</v>
      </c>
      <c r="D77" s="864"/>
      <c r="E77" s="864"/>
      <c r="F77" s="864"/>
      <c r="G77" s="864"/>
      <c r="H77" s="864"/>
      <c r="I77" s="864"/>
      <c r="J77" s="864"/>
      <c r="K77" s="864"/>
      <c r="L77" s="864"/>
      <c r="M77" s="864"/>
      <c r="N77" s="3034">
        <f>UnosNovoZaposl!D69</f>
        <v>0</v>
      </c>
      <c r="O77" s="3035"/>
      <c r="P77" s="3035"/>
      <c r="Q77" s="3035"/>
      <c r="R77" s="3035"/>
      <c r="S77" s="3035"/>
      <c r="T77" s="3036"/>
      <c r="U77" s="868">
        <f>UnosNovoZaposl!E69</f>
        <v>0</v>
      </c>
      <c r="V77" s="868"/>
      <c r="W77" s="868"/>
      <c r="X77" s="868"/>
      <c r="Y77" s="868"/>
      <c r="Z77" s="868"/>
      <c r="AA77" s="868">
        <f>UnosNovoZaposl!B69</f>
        <v>0</v>
      </c>
      <c r="AB77" s="868"/>
      <c r="AC77" s="868"/>
      <c r="AD77" s="868"/>
      <c r="AE77" s="868"/>
      <c r="AF77" s="868"/>
      <c r="AG77" s="868">
        <f>UnosNovoZaposl!F69</f>
        <v>0</v>
      </c>
      <c r="AH77" s="868"/>
      <c r="AI77" s="868"/>
      <c r="AJ77" s="868"/>
      <c r="AK77" s="868"/>
      <c r="AL77" s="868"/>
      <c r="AM77" s="868">
        <f>UnosNovoZaposl!G69</f>
        <v>0</v>
      </c>
      <c r="AN77" s="868"/>
      <c r="AO77" s="868"/>
      <c r="AP77" s="868"/>
      <c r="AQ77" s="868"/>
      <c r="AR77" s="868"/>
      <c r="AS77" s="868">
        <f t="shared" si="0"/>
        <v>0</v>
      </c>
      <c r="AT77" s="868"/>
      <c r="AU77" s="868"/>
      <c r="AV77" s="868"/>
      <c r="AW77" s="868"/>
      <c r="AX77" s="868"/>
    </row>
    <row r="78" s="687" customFormat="1" ht="15.75" hidden="1" customHeight="1" spans="1:50">
      <c r="A78" s="3033"/>
      <c r="B78" s="754" t="s">
        <v>5916</v>
      </c>
      <c r="C78" s="864">
        <f>UnosNovoZaposl!C70</f>
        <v>0</v>
      </c>
      <c r="D78" s="864"/>
      <c r="E78" s="864"/>
      <c r="F78" s="864"/>
      <c r="G78" s="864"/>
      <c r="H78" s="864"/>
      <c r="I78" s="864"/>
      <c r="J78" s="864"/>
      <c r="K78" s="864"/>
      <c r="L78" s="864"/>
      <c r="M78" s="864"/>
      <c r="N78" s="3034">
        <f>UnosNovoZaposl!D70</f>
        <v>0</v>
      </c>
      <c r="O78" s="3035"/>
      <c r="P78" s="3035"/>
      <c r="Q78" s="3035"/>
      <c r="R78" s="3035"/>
      <c r="S78" s="3035"/>
      <c r="T78" s="3036"/>
      <c r="U78" s="868">
        <f>UnosNovoZaposl!E70</f>
        <v>0</v>
      </c>
      <c r="V78" s="868"/>
      <c r="W78" s="868"/>
      <c r="X78" s="868"/>
      <c r="Y78" s="868"/>
      <c r="Z78" s="868"/>
      <c r="AA78" s="868">
        <f>UnosNovoZaposl!B70</f>
        <v>0</v>
      </c>
      <c r="AB78" s="868"/>
      <c r="AC78" s="868"/>
      <c r="AD78" s="868"/>
      <c r="AE78" s="868"/>
      <c r="AF78" s="868"/>
      <c r="AG78" s="868">
        <f>UnosNovoZaposl!F70</f>
        <v>0</v>
      </c>
      <c r="AH78" s="868"/>
      <c r="AI78" s="868"/>
      <c r="AJ78" s="868"/>
      <c r="AK78" s="868"/>
      <c r="AL78" s="868"/>
      <c r="AM78" s="868">
        <f>UnosNovoZaposl!G70</f>
        <v>0</v>
      </c>
      <c r="AN78" s="868"/>
      <c r="AO78" s="868"/>
      <c r="AP78" s="868"/>
      <c r="AQ78" s="868"/>
      <c r="AR78" s="868"/>
      <c r="AS78" s="868">
        <f t="shared" ref="AS78:AS141" si="1">AG78+AM78</f>
        <v>0</v>
      </c>
      <c r="AT78" s="868"/>
      <c r="AU78" s="868"/>
      <c r="AV78" s="868"/>
      <c r="AW78" s="868"/>
      <c r="AX78" s="868"/>
    </row>
    <row r="79" s="687" customFormat="1" ht="15.75" hidden="1" customHeight="1" spans="1:50">
      <c r="A79" s="3033"/>
      <c r="B79" s="754" t="s">
        <v>5918</v>
      </c>
      <c r="C79" s="864">
        <f>UnosNovoZaposl!C71</f>
        <v>0</v>
      </c>
      <c r="D79" s="864"/>
      <c r="E79" s="864"/>
      <c r="F79" s="864"/>
      <c r="G79" s="864"/>
      <c r="H79" s="864"/>
      <c r="I79" s="864"/>
      <c r="J79" s="864"/>
      <c r="K79" s="864"/>
      <c r="L79" s="864"/>
      <c r="M79" s="864"/>
      <c r="N79" s="3034">
        <f>UnosNovoZaposl!D71</f>
        <v>0</v>
      </c>
      <c r="O79" s="3035"/>
      <c r="P79" s="3035"/>
      <c r="Q79" s="3035"/>
      <c r="R79" s="3035"/>
      <c r="S79" s="3035"/>
      <c r="T79" s="3036"/>
      <c r="U79" s="868">
        <f>UnosNovoZaposl!E71</f>
        <v>0</v>
      </c>
      <c r="V79" s="868"/>
      <c r="W79" s="868"/>
      <c r="X79" s="868"/>
      <c r="Y79" s="868"/>
      <c r="Z79" s="868"/>
      <c r="AA79" s="868">
        <f>UnosNovoZaposl!B71</f>
        <v>0</v>
      </c>
      <c r="AB79" s="868"/>
      <c r="AC79" s="868"/>
      <c r="AD79" s="868"/>
      <c r="AE79" s="868"/>
      <c r="AF79" s="868"/>
      <c r="AG79" s="868">
        <f>UnosNovoZaposl!F71</f>
        <v>0</v>
      </c>
      <c r="AH79" s="868"/>
      <c r="AI79" s="868"/>
      <c r="AJ79" s="868"/>
      <c r="AK79" s="868"/>
      <c r="AL79" s="868"/>
      <c r="AM79" s="868">
        <f>UnosNovoZaposl!G71</f>
        <v>0</v>
      </c>
      <c r="AN79" s="868"/>
      <c r="AO79" s="868"/>
      <c r="AP79" s="868"/>
      <c r="AQ79" s="868"/>
      <c r="AR79" s="868"/>
      <c r="AS79" s="868">
        <f t="shared" si="1"/>
        <v>0</v>
      </c>
      <c r="AT79" s="868"/>
      <c r="AU79" s="868"/>
      <c r="AV79" s="868"/>
      <c r="AW79" s="868"/>
      <c r="AX79" s="868"/>
    </row>
    <row r="80" s="687" customFormat="1" ht="15.75" hidden="1" customHeight="1" spans="1:50">
      <c r="A80" s="3033"/>
      <c r="B80" s="754" t="s">
        <v>5923</v>
      </c>
      <c r="C80" s="864">
        <f>UnosNovoZaposl!C72</f>
        <v>0</v>
      </c>
      <c r="D80" s="864"/>
      <c r="E80" s="864"/>
      <c r="F80" s="864"/>
      <c r="G80" s="864"/>
      <c r="H80" s="864"/>
      <c r="I80" s="864"/>
      <c r="J80" s="864"/>
      <c r="K80" s="864"/>
      <c r="L80" s="864"/>
      <c r="M80" s="864"/>
      <c r="N80" s="3034">
        <f>UnosNovoZaposl!D72</f>
        <v>0</v>
      </c>
      <c r="O80" s="3035"/>
      <c r="P80" s="3035"/>
      <c r="Q80" s="3035"/>
      <c r="R80" s="3035"/>
      <c r="S80" s="3035"/>
      <c r="T80" s="3036"/>
      <c r="U80" s="868">
        <f>UnosNovoZaposl!E72</f>
        <v>0</v>
      </c>
      <c r="V80" s="868"/>
      <c r="W80" s="868"/>
      <c r="X80" s="868"/>
      <c r="Y80" s="868"/>
      <c r="Z80" s="868"/>
      <c r="AA80" s="868">
        <f>UnosNovoZaposl!B72</f>
        <v>0</v>
      </c>
      <c r="AB80" s="868"/>
      <c r="AC80" s="868"/>
      <c r="AD80" s="868"/>
      <c r="AE80" s="868"/>
      <c r="AF80" s="868"/>
      <c r="AG80" s="868">
        <f>UnosNovoZaposl!F72</f>
        <v>0</v>
      </c>
      <c r="AH80" s="868"/>
      <c r="AI80" s="868"/>
      <c r="AJ80" s="868"/>
      <c r="AK80" s="868"/>
      <c r="AL80" s="868"/>
      <c r="AM80" s="868">
        <f>UnosNovoZaposl!G72</f>
        <v>0</v>
      </c>
      <c r="AN80" s="868"/>
      <c r="AO80" s="868"/>
      <c r="AP80" s="868"/>
      <c r="AQ80" s="868"/>
      <c r="AR80" s="868"/>
      <c r="AS80" s="868">
        <f t="shared" si="1"/>
        <v>0</v>
      </c>
      <c r="AT80" s="868"/>
      <c r="AU80" s="868"/>
      <c r="AV80" s="868"/>
      <c r="AW80" s="868"/>
      <c r="AX80" s="868"/>
    </row>
    <row r="81" s="687" customFormat="1" ht="15.75" hidden="1" customHeight="1" spans="1:50">
      <c r="A81" s="3033"/>
      <c r="B81" s="754" t="s">
        <v>5925</v>
      </c>
      <c r="C81" s="864">
        <f>UnosNovoZaposl!C73</f>
        <v>0</v>
      </c>
      <c r="D81" s="864"/>
      <c r="E81" s="864"/>
      <c r="F81" s="864"/>
      <c r="G81" s="864"/>
      <c r="H81" s="864"/>
      <c r="I81" s="864"/>
      <c r="J81" s="864"/>
      <c r="K81" s="864"/>
      <c r="L81" s="864"/>
      <c r="M81" s="864"/>
      <c r="N81" s="3034">
        <f>UnosNovoZaposl!D73</f>
        <v>0</v>
      </c>
      <c r="O81" s="3035"/>
      <c r="P81" s="3035"/>
      <c r="Q81" s="3035"/>
      <c r="R81" s="3035"/>
      <c r="S81" s="3035"/>
      <c r="T81" s="3036"/>
      <c r="U81" s="868">
        <f>UnosNovoZaposl!E73</f>
        <v>0</v>
      </c>
      <c r="V81" s="868"/>
      <c r="W81" s="868"/>
      <c r="X81" s="868"/>
      <c r="Y81" s="868"/>
      <c r="Z81" s="868"/>
      <c r="AA81" s="868">
        <f>UnosNovoZaposl!B73</f>
        <v>0</v>
      </c>
      <c r="AB81" s="868"/>
      <c r="AC81" s="868"/>
      <c r="AD81" s="868"/>
      <c r="AE81" s="868"/>
      <c r="AF81" s="868"/>
      <c r="AG81" s="868">
        <f>UnosNovoZaposl!F73</f>
        <v>0</v>
      </c>
      <c r="AH81" s="868"/>
      <c r="AI81" s="868"/>
      <c r="AJ81" s="868"/>
      <c r="AK81" s="868"/>
      <c r="AL81" s="868"/>
      <c r="AM81" s="868">
        <f>UnosNovoZaposl!G73</f>
        <v>0</v>
      </c>
      <c r="AN81" s="868"/>
      <c r="AO81" s="868"/>
      <c r="AP81" s="868"/>
      <c r="AQ81" s="868"/>
      <c r="AR81" s="868"/>
      <c r="AS81" s="868">
        <f t="shared" si="1"/>
        <v>0</v>
      </c>
      <c r="AT81" s="868"/>
      <c r="AU81" s="868"/>
      <c r="AV81" s="868"/>
      <c r="AW81" s="868"/>
      <c r="AX81" s="868"/>
    </row>
    <row r="82" s="687" customFormat="1" ht="15.75" hidden="1" customHeight="1" spans="1:50">
      <c r="A82" s="3033"/>
      <c r="B82" s="754" t="s">
        <v>5929</v>
      </c>
      <c r="C82" s="864">
        <f>UnosNovoZaposl!C74</f>
        <v>0</v>
      </c>
      <c r="D82" s="864"/>
      <c r="E82" s="864"/>
      <c r="F82" s="864"/>
      <c r="G82" s="864"/>
      <c r="H82" s="864"/>
      <c r="I82" s="864"/>
      <c r="J82" s="864"/>
      <c r="K82" s="864"/>
      <c r="L82" s="864"/>
      <c r="M82" s="864"/>
      <c r="N82" s="3034">
        <f>UnosNovoZaposl!D74</f>
        <v>0</v>
      </c>
      <c r="O82" s="3035"/>
      <c r="P82" s="3035"/>
      <c r="Q82" s="3035"/>
      <c r="R82" s="3035"/>
      <c r="S82" s="3035"/>
      <c r="T82" s="3036"/>
      <c r="U82" s="868">
        <f>UnosNovoZaposl!E74</f>
        <v>0</v>
      </c>
      <c r="V82" s="868"/>
      <c r="W82" s="868"/>
      <c r="X82" s="868"/>
      <c r="Y82" s="868"/>
      <c r="Z82" s="868"/>
      <c r="AA82" s="868">
        <f>UnosNovoZaposl!B74</f>
        <v>0</v>
      </c>
      <c r="AB82" s="868"/>
      <c r="AC82" s="868"/>
      <c r="AD82" s="868"/>
      <c r="AE82" s="868"/>
      <c r="AF82" s="868"/>
      <c r="AG82" s="868">
        <f>UnosNovoZaposl!F74</f>
        <v>0</v>
      </c>
      <c r="AH82" s="868"/>
      <c r="AI82" s="868"/>
      <c r="AJ82" s="868"/>
      <c r="AK82" s="868"/>
      <c r="AL82" s="868"/>
      <c r="AM82" s="868">
        <f>UnosNovoZaposl!G74</f>
        <v>0</v>
      </c>
      <c r="AN82" s="868"/>
      <c r="AO82" s="868"/>
      <c r="AP82" s="868"/>
      <c r="AQ82" s="868"/>
      <c r="AR82" s="868"/>
      <c r="AS82" s="868">
        <f t="shared" si="1"/>
        <v>0</v>
      </c>
      <c r="AT82" s="868"/>
      <c r="AU82" s="868"/>
      <c r="AV82" s="868"/>
      <c r="AW82" s="868"/>
      <c r="AX82" s="868"/>
    </row>
    <row r="83" s="687" customFormat="1" ht="15.75" hidden="1" customHeight="1" spans="1:50">
      <c r="A83" s="3033"/>
      <c r="B83" s="754" t="s">
        <v>5931</v>
      </c>
      <c r="C83" s="864">
        <f>UnosNovoZaposl!C75</f>
        <v>0</v>
      </c>
      <c r="D83" s="864"/>
      <c r="E83" s="864"/>
      <c r="F83" s="864"/>
      <c r="G83" s="864"/>
      <c r="H83" s="864"/>
      <c r="I83" s="864"/>
      <c r="J83" s="864"/>
      <c r="K83" s="864"/>
      <c r="L83" s="864"/>
      <c r="M83" s="864"/>
      <c r="N83" s="3034">
        <f>UnosNovoZaposl!D75</f>
        <v>0</v>
      </c>
      <c r="O83" s="3035"/>
      <c r="P83" s="3035"/>
      <c r="Q83" s="3035"/>
      <c r="R83" s="3035"/>
      <c r="S83" s="3035"/>
      <c r="T83" s="3036"/>
      <c r="U83" s="868">
        <f>UnosNovoZaposl!E75</f>
        <v>0</v>
      </c>
      <c r="V83" s="868"/>
      <c r="W83" s="868"/>
      <c r="X83" s="868"/>
      <c r="Y83" s="868"/>
      <c r="Z83" s="868"/>
      <c r="AA83" s="868">
        <f>UnosNovoZaposl!B75</f>
        <v>0</v>
      </c>
      <c r="AB83" s="868"/>
      <c r="AC83" s="868"/>
      <c r="AD83" s="868"/>
      <c r="AE83" s="868"/>
      <c r="AF83" s="868"/>
      <c r="AG83" s="868">
        <f>UnosNovoZaposl!F75</f>
        <v>0</v>
      </c>
      <c r="AH83" s="868"/>
      <c r="AI83" s="868"/>
      <c r="AJ83" s="868"/>
      <c r="AK83" s="868"/>
      <c r="AL83" s="868"/>
      <c r="AM83" s="868">
        <f>UnosNovoZaposl!G75</f>
        <v>0</v>
      </c>
      <c r="AN83" s="868"/>
      <c r="AO83" s="868"/>
      <c r="AP83" s="868"/>
      <c r="AQ83" s="868"/>
      <c r="AR83" s="868"/>
      <c r="AS83" s="868">
        <f t="shared" si="1"/>
        <v>0</v>
      </c>
      <c r="AT83" s="868"/>
      <c r="AU83" s="868"/>
      <c r="AV83" s="868"/>
      <c r="AW83" s="868"/>
      <c r="AX83" s="868"/>
    </row>
    <row r="84" s="687" customFormat="1" ht="15.75" hidden="1" customHeight="1" spans="1:50">
      <c r="A84" s="3033"/>
      <c r="B84" s="754" t="s">
        <v>5945</v>
      </c>
      <c r="C84" s="864">
        <f>UnosNovoZaposl!C76</f>
        <v>0</v>
      </c>
      <c r="D84" s="864"/>
      <c r="E84" s="864"/>
      <c r="F84" s="864"/>
      <c r="G84" s="864"/>
      <c r="H84" s="864"/>
      <c r="I84" s="864"/>
      <c r="J84" s="864"/>
      <c r="K84" s="864"/>
      <c r="L84" s="864"/>
      <c r="M84" s="864"/>
      <c r="N84" s="3034">
        <f>UnosNovoZaposl!D76</f>
        <v>0</v>
      </c>
      <c r="O84" s="3035"/>
      <c r="P84" s="3035"/>
      <c r="Q84" s="3035"/>
      <c r="R84" s="3035"/>
      <c r="S84" s="3035"/>
      <c r="T84" s="3036"/>
      <c r="U84" s="868">
        <f>UnosNovoZaposl!E76</f>
        <v>0</v>
      </c>
      <c r="V84" s="868"/>
      <c r="W84" s="868"/>
      <c r="X84" s="868"/>
      <c r="Y84" s="868"/>
      <c r="Z84" s="868"/>
      <c r="AA84" s="868">
        <f>UnosNovoZaposl!B76</f>
        <v>0</v>
      </c>
      <c r="AB84" s="868"/>
      <c r="AC84" s="868"/>
      <c r="AD84" s="868"/>
      <c r="AE84" s="868"/>
      <c r="AF84" s="868"/>
      <c r="AG84" s="868">
        <f>UnosNovoZaposl!F76</f>
        <v>0</v>
      </c>
      <c r="AH84" s="868"/>
      <c r="AI84" s="868"/>
      <c r="AJ84" s="868"/>
      <c r="AK84" s="868"/>
      <c r="AL84" s="868"/>
      <c r="AM84" s="868">
        <f>UnosNovoZaposl!G76</f>
        <v>0</v>
      </c>
      <c r="AN84" s="868"/>
      <c r="AO84" s="868"/>
      <c r="AP84" s="868"/>
      <c r="AQ84" s="868"/>
      <c r="AR84" s="868"/>
      <c r="AS84" s="868">
        <f t="shared" si="1"/>
        <v>0</v>
      </c>
      <c r="AT84" s="868"/>
      <c r="AU84" s="868"/>
      <c r="AV84" s="868"/>
      <c r="AW84" s="868"/>
      <c r="AX84" s="868"/>
    </row>
    <row r="85" s="687" customFormat="1" ht="15.75" hidden="1" customHeight="1" spans="1:50">
      <c r="A85" s="3033"/>
      <c r="B85" s="754" t="s">
        <v>5947</v>
      </c>
      <c r="C85" s="864">
        <f>UnosNovoZaposl!C77</f>
        <v>0</v>
      </c>
      <c r="D85" s="864"/>
      <c r="E85" s="864"/>
      <c r="F85" s="864"/>
      <c r="G85" s="864"/>
      <c r="H85" s="864"/>
      <c r="I85" s="864"/>
      <c r="J85" s="864"/>
      <c r="K85" s="864"/>
      <c r="L85" s="864"/>
      <c r="M85" s="864"/>
      <c r="N85" s="3034">
        <f>UnosNovoZaposl!D77</f>
        <v>0</v>
      </c>
      <c r="O85" s="3035"/>
      <c r="P85" s="3035"/>
      <c r="Q85" s="3035"/>
      <c r="R85" s="3035"/>
      <c r="S85" s="3035"/>
      <c r="T85" s="3036"/>
      <c r="U85" s="868">
        <f>UnosNovoZaposl!E77</f>
        <v>0</v>
      </c>
      <c r="V85" s="868"/>
      <c r="W85" s="868"/>
      <c r="X85" s="868"/>
      <c r="Y85" s="868"/>
      <c r="Z85" s="868"/>
      <c r="AA85" s="868">
        <f>UnosNovoZaposl!B77</f>
        <v>0</v>
      </c>
      <c r="AB85" s="868"/>
      <c r="AC85" s="868"/>
      <c r="AD85" s="868"/>
      <c r="AE85" s="868"/>
      <c r="AF85" s="868"/>
      <c r="AG85" s="868">
        <f>UnosNovoZaposl!F77</f>
        <v>0</v>
      </c>
      <c r="AH85" s="868"/>
      <c r="AI85" s="868"/>
      <c r="AJ85" s="868"/>
      <c r="AK85" s="868"/>
      <c r="AL85" s="868"/>
      <c r="AM85" s="868">
        <f>UnosNovoZaposl!G77</f>
        <v>0</v>
      </c>
      <c r="AN85" s="868"/>
      <c r="AO85" s="868"/>
      <c r="AP85" s="868"/>
      <c r="AQ85" s="868"/>
      <c r="AR85" s="868"/>
      <c r="AS85" s="868">
        <f t="shared" si="1"/>
        <v>0</v>
      </c>
      <c r="AT85" s="868"/>
      <c r="AU85" s="868"/>
      <c r="AV85" s="868"/>
      <c r="AW85" s="868"/>
      <c r="AX85" s="868"/>
    </row>
    <row r="86" s="687" customFormat="1" ht="15.75" hidden="1" customHeight="1" spans="1:50">
      <c r="A86" s="3033"/>
      <c r="B86" s="754" t="s">
        <v>5951</v>
      </c>
      <c r="C86" s="864">
        <f>UnosNovoZaposl!C78</f>
        <v>0</v>
      </c>
      <c r="D86" s="864"/>
      <c r="E86" s="864"/>
      <c r="F86" s="864"/>
      <c r="G86" s="864"/>
      <c r="H86" s="864"/>
      <c r="I86" s="864"/>
      <c r="J86" s="864"/>
      <c r="K86" s="864"/>
      <c r="L86" s="864"/>
      <c r="M86" s="864"/>
      <c r="N86" s="3034">
        <f>UnosNovoZaposl!D78</f>
        <v>0</v>
      </c>
      <c r="O86" s="3035"/>
      <c r="P86" s="3035"/>
      <c r="Q86" s="3035"/>
      <c r="R86" s="3035"/>
      <c r="S86" s="3035"/>
      <c r="T86" s="3036"/>
      <c r="U86" s="868">
        <f>UnosNovoZaposl!E78</f>
        <v>0</v>
      </c>
      <c r="V86" s="868"/>
      <c r="W86" s="868"/>
      <c r="X86" s="868"/>
      <c r="Y86" s="868"/>
      <c r="Z86" s="868"/>
      <c r="AA86" s="868">
        <f>UnosNovoZaposl!B78</f>
        <v>0</v>
      </c>
      <c r="AB86" s="868"/>
      <c r="AC86" s="868"/>
      <c r="AD86" s="868"/>
      <c r="AE86" s="868"/>
      <c r="AF86" s="868"/>
      <c r="AG86" s="868">
        <f>UnosNovoZaposl!F78</f>
        <v>0</v>
      </c>
      <c r="AH86" s="868"/>
      <c r="AI86" s="868"/>
      <c r="AJ86" s="868"/>
      <c r="AK86" s="868"/>
      <c r="AL86" s="868"/>
      <c r="AM86" s="868">
        <f>UnosNovoZaposl!G78</f>
        <v>0</v>
      </c>
      <c r="AN86" s="868"/>
      <c r="AO86" s="868"/>
      <c r="AP86" s="868"/>
      <c r="AQ86" s="868"/>
      <c r="AR86" s="868"/>
      <c r="AS86" s="868">
        <f t="shared" si="1"/>
        <v>0</v>
      </c>
      <c r="AT86" s="868"/>
      <c r="AU86" s="868"/>
      <c r="AV86" s="868"/>
      <c r="AW86" s="868"/>
      <c r="AX86" s="868"/>
    </row>
    <row r="87" s="687" customFormat="1" ht="15.75" hidden="1" customHeight="1" spans="1:50">
      <c r="A87" s="3033"/>
      <c r="B87" s="754" t="s">
        <v>5953</v>
      </c>
      <c r="C87" s="864">
        <f>UnosNovoZaposl!C79</f>
        <v>0</v>
      </c>
      <c r="D87" s="864"/>
      <c r="E87" s="864"/>
      <c r="F87" s="864"/>
      <c r="G87" s="864"/>
      <c r="H87" s="864"/>
      <c r="I87" s="864"/>
      <c r="J87" s="864"/>
      <c r="K87" s="864"/>
      <c r="L87" s="864"/>
      <c r="M87" s="864"/>
      <c r="N87" s="3034">
        <f>UnosNovoZaposl!D79</f>
        <v>0</v>
      </c>
      <c r="O87" s="3035"/>
      <c r="P87" s="3035"/>
      <c r="Q87" s="3035"/>
      <c r="R87" s="3035"/>
      <c r="S87" s="3035"/>
      <c r="T87" s="3036"/>
      <c r="U87" s="868">
        <f>UnosNovoZaposl!E79</f>
        <v>0</v>
      </c>
      <c r="V87" s="868"/>
      <c r="W87" s="868"/>
      <c r="X87" s="868"/>
      <c r="Y87" s="868"/>
      <c r="Z87" s="868"/>
      <c r="AA87" s="868">
        <f>UnosNovoZaposl!B79</f>
        <v>0</v>
      </c>
      <c r="AB87" s="868"/>
      <c r="AC87" s="868"/>
      <c r="AD87" s="868"/>
      <c r="AE87" s="868"/>
      <c r="AF87" s="868"/>
      <c r="AG87" s="868">
        <f>UnosNovoZaposl!F79</f>
        <v>0</v>
      </c>
      <c r="AH87" s="868"/>
      <c r="AI87" s="868"/>
      <c r="AJ87" s="868"/>
      <c r="AK87" s="868"/>
      <c r="AL87" s="868"/>
      <c r="AM87" s="868">
        <f>UnosNovoZaposl!G79</f>
        <v>0</v>
      </c>
      <c r="AN87" s="868"/>
      <c r="AO87" s="868"/>
      <c r="AP87" s="868"/>
      <c r="AQ87" s="868"/>
      <c r="AR87" s="868"/>
      <c r="AS87" s="868">
        <f t="shared" si="1"/>
        <v>0</v>
      </c>
      <c r="AT87" s="868"/>
      <c r="AU87" s="868"/>
      <c r="AV87" s="868"/>
      <c r="AW87" s="868"/>
      <c r="AX87" s="868"/>
    </row>
    <row r="88" s="687" customFormat="1" ht="15.75" hidden="1" customHeight="1" spans="1:50">
      <c r="A88" s="3033"/>
      <c r="B88" s="754" t="s">
        <v>5955</v>
      </c>
      <c r="C88" s="864">
        <f>UnosNovoZaposl!C80</f>
        <v>0</v>
      </c>
      <c r="D88" s="864"/>
      <c r="E88" s="864"/>
      <c r="F88" s="864"/>
      <c r="G88" s="864"/>
      <c r="H88" s="864"/>
      <c r="I88" s="864"/>
      <c r="J88" s="864"/>
      <c r="K88" s="864"/>
      <c r="L88" s="864"/>
      <c r="M88" s="864"/>
      <c r="N88" s="3034">
        <f>UnosNovoZaposl!D80</f>
        <v>0</v>
      </c>
      <c r="O88" s="3035"/>
      <c r="P88" s="3035"/>
      <c r="Q88" s="3035"/>
      <c r="R88" s="3035"/>
      <c r="S88" s="3035"/>
      <c r="T88" s="3036"/>
      <c r="U88" s="868">
        <f>UnosNovoZaposl!E80</f>
        <v>0</v>
      </c>
      <c r="V88" s="868"/>
      <c r="W88" s="868"/>
      <c r="X88" s="868"/>
      <c r="Y88" s="868"/>
      <c r="Z88" s="868"/>
      <c r="AA88" s="868">
        <f>UnosNovoZaposl!B80</f>
        <v>0</v>
      </c>
      <c r="AB88" s="868"/>
      <c r="AC88" s="868"/>
      <c r="AD88" s="868"/>
      <c r="AE88" s="868"/>
      <c r="AF88" s="868"/>
      <c r="AG88" s="868">
        <f>UnosNovoZaposl!F80</f>
        <v>0</v>
      </c>
      <c r="AH88" s="868"/>
      <c r="AI88" s="868"/>
      <c r="AJ88" s="868"/>
      <c r="AK88" s="868"/>
      <c r="AL88" s="868"/>
      <c r="AM88" s="868">
        <f>UnosNovoZaposl!G80</f>
        <v>0</v>
      </c>
      <c r="AN88" s="868"/>
      <c r="AO88" s="868"/>
      <c r="AP88" s="868"/>
      <c r="AQ88" s="868"/>
      <c r="AR88" s="868"/>
      <c r="AS88" s="868">
        <f t="shared" si="1"/>
        <v>0</v>
      </c>
      <c r="AT88" s="868"/>
      <c r="AU88" s="868"/>
      <c r="AV88" s="868"/>
      <c r="AW88" s="868"/>
      <c r="AX88" s="868"/>
    </row>
    <row r="89" s="687" customFormat="1" ht="15.75" hidden="1" customHeight="1" spans="1:50">
      <c r="A89" s="3033"/>
      <c r="B89" s="754" t="s">
        <v>5964</v>
      </c>
      <c r="C89" s="864">
        <f>UnosNovoZaposl!C81</f>
        <v>0</v>
      </c>
      <c r="D89" s="864"/>
      <c r="E89" s="864"/>
      <c r="F89" s="864"/>
      <c r="G89" s="864"/>
      <c r="H89" s="864"/>
      <c r="I89" s="864"/>
      <c r="J89" s="864"/>
      <c r="K89" s="864"/>
      <c r="L89" s="864"/>
      <c r="M89" s="864"/>
      <c r="N89" s="3034">
        <f>UnosNovoZaposl!D81</f>
        <v>0</v>
      </c>
      <c r="O89" s="3035"/>
      <c r="P89" s="3035"/>
      <c r="Q89" s="3035"/>
      <c r="R89" s="3035"/>
      <c r="S89" s="3035"/>
      <c r="T89" s="3036"/>
      <c r="U89" s="868">
        <f>UnosNovoZaposl!E81</f>
        <v>0</v>
      </c>
      <c r="V89" s="868"/>
      <c r="W89" s="868"/>
      <c r="X89" s="868"/>
      <c r="Y89" s="868"/>
      <c r="Z89" s="868"/>
      <c r="AA89" s="868">
        <f>UnosNovoZaposl!B81</f>
        <v>0</v>
      </c>
      <c r="AB89" s="868"/>
      <c r="AC89" s="868"/>
      <c r="AD89" s="868"/>
      <c r="AE89" s="868"/>
      <c r="AF89" s="868"/>
      <c r="AG89" s="868">
        <f>UnosNovoZaposl!F81</f>
        <v>0</v>
      </c>
      <c r="AH89" s="868"/>
      <c r="AI89" s="868"/>
      <c r="AJ89" s="868"/>
      <c r="AK89" s="868"/>
      <c r="AL89" s="868"/>
      <c r="AM89" s="868">
        <f>UnosNovoZaposl!G81</f>
        <v>0</v>
      </c>
      <c r="AN89" s="868"/>
      <c r="AO89" s="868"/>
      <c r="AP89" s="868"/>
      <c r="AQ89" s="868"/>
      <c r="AR89" s="868"/>
      <c r="AS89" s="868">
        <f t="shared" si="1"/>
        <v>0</v>
      </c>
      <c r="AT89" s="868"/>
      <c r="AU89" s="868"/>
      <c r="AV89" s="868"/>
      <c r="AW89" s="868"/>
      <c r="AX89" s="868"/>
    </row>
    <row r="90" s="687" customFormat="1" ht="15.75" hidden="1" customHeight="1" spans="1:50">
      <c r="A90" s="3033"/>
      <c r="B90" s="754" t="s">
        <v>5971</v>
      </c>
      <c r="C90" s="864">
        <f>UnosNovoZaposl!C82</f>
        <v>0</v>
      </c>
      <c r="D90" s="864"/>
      <c r="E90" s="864"/>
      <c r="F90" s="864"/>
      <c r="G90" s="864"/>
      <c r="H90" s="864"/>
      <c r="I90" s="864"/>
      <c r="J90" s="864"/>
      <c r="K90" s="864"/>
      <c r="L90" s="864"/>
      <c r="M90" s="864"/>
      <c r="N90" s="3034">
        <f>UnosNovoZaposl!D82</f>
        <v>0</v>
      </c>
      <c r="O90" s="3035"/>
      <c r="P90" s="3035"/>
      <c r="Q90" s="3035"/>
      <c r="R90" s="3035"/>
      <c r="S90" s="3035"/>
      <c r="T90" s="3036"/>
      <c r="U90" s="868">
        <f>UnosNovoZaposl!E82</f>
        <v>0</v>
      </c>
      <c r="V90" s="868"/>
      <c r="W90" s="868"/>
      <c r="X90" s="868"/>
      <c r="Y90" s="868"/>
      <c r="Z90" s="868"/>
      <c r="AA90" s="868">
        <f>UnosNovoZaposl!B82</f>
        <v>0</v>
      </c>
      <c r="AB90" s="868"/>
      <c r="AC90" s="868"/>
      <c r="AD90" s="868"/>
      <c r="AE90" s="868"/>
      <c r="AF90" s="868"/>
      <c r="AG90" s="868">
        <f>UnosNovoZaposl!F82</f>
        <v>0</v>
      </c>
      <c r="AH90" s="868"/>
      <c r="AI90" s="868"/>
      <c r="AJ90" s="868"/>
      <c r="AK90" s="868"/>
      <c r="AL90" s="868"/>
      <c r="AM90" s="868">
        <f>UnosNovoZaposl!G82</f>
        <v>0</v>
      </c>
      <c r="AN90" s="868"/>
      <c r="AO90" s="868"/>
      <c r="AP90" s="868"/>
      <c r="AQ90" s="868"/>
      <c r="AR90" s="868"/>
      <c r="AS90" s="868">
        <f t="shared" si="1"/>
        <v>0</v>
      </c>
      <c r="AT90" s="868"/>
      <c r="AU90" s="868"/>
      <c r="AV90" s="868"/>
      <c r="AW90" s="868"/>
      <c r="AX90" s="868"/>
    </row>
    <row r="91" s="687" customFormat="1" ht="15.75" hidden="1" customHeight="1" spans="1:50">
      <c r="A91" s="3033"/>
      <c r="B91" s="754" t="s">
        <v>5973</v>
      </c>
      <c r="C91" s="864">
        <f>UnosNovoZaposl!C83</f>
        <v>0</v>
      </c>
      <c r="D91" s="864"/>
      <c r="E91" s="864"/>
      <c r="F91" s="864"/>
      <c r="G91" s="864"/>
      <c r="H91" s="864"/>
      <c r="I91" s="864"/>
      <c r="J91" s="864"/>
      <c r="K91" s="864"/>
      <c r="L91" s="864"/>
      <c r="M91" s="864"/>
      <c r="N91" s="3034">
        <f>UnosNovoZaposl!D83</f>
        <v>0</v>
      </c>
      <c r="O91" s="3035"/>
      <c r="P91" s="3035"/>
      <c r="Q91" s="3035"/>
      <c r="R91" s="3035"/>
      <c r="S91" s="3035"/>
      <c r="T91" s="3036"/>
      <c r="U91" s="868">
        <f>UnosNovoZaposl!E83</f>
        <v>0</v>
      </c>
      <c r="V91" s="868"/>
      <c r="W91" s="868"/>
      <c r="X91" s="868"/>
      <c r="Y91" s="868"/>
      <c r="Z91" s="868"/>
      <c r="AA91" s="868">
        <f>UnosNovoZaposl!B83</f>
        <v>0</v>
      </c>
      <c r="AB91" s="868"/>
      <c r="AC91" s="868"/>
      <c r="AD91" s="868"/>
      <c r="AE91" s="868"/>
      <c r="AF91" s="868"/>
      <c r="AG91" s="868">
        <f>UnosNovoZaposl!F83</f>
        <v>0</v>
      </c>
      <c r="AH91" s="868"/>
      <c r="AI91" s="868"/>
      <c r="AJ91" s="868"/>
      <c r="AK91" s="868"/>
      <c r="AL91" s="868"/>
      <c r="AM91" s="868">
        <f>UnosNovoZaposl!G83</f>
        <v>0</v>
      </c>
      <c r="AN91" s="868"/>
      <c r="AO91" s="868"/>
      <c r="AP91" s="868"/>
      <c r="AQ91" s="868"/>
      <c r="AR91" s="868"/>
      <c r="AS91" s="868">
        <f t="shared" si="1"/>
        <v>0</v>
      </c>
      <c r="AT91" s="868"/>
      <c r="AU91" s="868"/>
      <c r="AV91" s="868"/>
      <c r="AW91" s="868"/>
      <c r="AX91" s="868"/>
    </row>
    <row r="92" s="687" customFormat="1" ht="15.75" hidden="1" customHeight="1" spans="1:50">
      <c r="A92" s="3033"/>
      <c r="B92" s="754" t="s">
        <v>5975</v>
      </c>
      <c r="C92" s="864">
        <f>UnosNovoZaposl!C84</f>
        <v>0</v>
      </c>
      <c r="D92" s="864"/>
      <c r="E92" s="864"/>
      <c r="F92" s="864"/>
      <c r="G92" s="864"/>
      <c r="H92" s="864"/>
      <c r="I92" s="864"/>
      <c r="J92" s="864"/>
      <c r="K92" s="864"/>
      <c r="L92" s="864"/>
      <c r="M92" s="864"/>
      <c r="N92" s="3034">
        <f>UnosNovoZaposl!D84</f>
        <v>0</v>
      </c>
      <c r="O92" s="3035"/>
      <c r="P92" s="3035"/>
      <c r="Q92" s="3035"/>
      <c r="R92" s="3035"/>
      <c r="S92" s="3035"/>
      <c r="T92" s="3036"/>
      <c r="U92" s="868">
        <f>UnosNovoZaposl!E84</f>
        <v>0</v>
      </c>
      <c r="V92" s="868"/>
      <c r="W92" s="868"/>
      <c r="X92" s="868"/>
      <c r="Y92" s="868"/>
      <c r="Z92" s="868"/>
      <c r="AA92" s="868">
        <f>UnosNovoZaposl!B84</f>
        <v>0</v>
      </c>
      <c r="AB92" s="868"/>
      <c r="AC92" s="868"/>
      <c r="AD92" s="868"/>
      <c r="AE92" s="868"/>
      <c r="AF92" s="868"/>
      <c r="AG92" s="868">
        <f>UnosNovoZaposl!F84</f>
        <v>0</v>
      </c>
      <c r="AH92" s="868"/>
      <c r="AI92" s="868"/>
      <c r="AJ92" s="868"/>
      <c r="AK92" s="868"/>
      <c r="AL92" s="868"/>
      <c r="AM92" s="868">
        <f>UnosNovoZaposl!G84</f>
        <v>0</v>
      </c>
      <c r="AN92" s="868"/>
      <c r="AO92" s="868"/>
      <c r="AP92" s="868"/>
      <c r="AQ92" s="868"/>
      <c r="AR92" s="868"/>
      <c r="AS92" s="868">
        <f t="shared" si="1"/>
        <v>0</v>
      </c>
      <c r="AT92" s="868"/>
      <c r="AU92" s="868"/>
      <c r="AV92" s="868"/>
      <c r="AW92" s="868"/>
      <c r="AX92" s="868"/>
    </row>
    <row r="93" s="687" customFormat="1" ht="15.75" hidden="1" customHeight="1" spans="1:50">
      <c r="A93" s="3033"/>
      <c r="B93" s="754" t="s">
        <v>5977</v>
      </c>
      <c r="C93" s="864">
        <f>UnosNovoZaposl!C85</f>
        <v>0</v>
      </c>
      <c r="D93" s="864"/>
      <c r="E93" s="864"/>
      <c r="F93" s="864"/>
      <c r="G93" s="864"/>
      <c r="H93" s="864"/>
      <c r="I93" s="864"/>
      <c r="J93" s="864"/>
      <c r="K93" s="864"/>
      <c r="L93" s="864"/>
      <c r="M93" s="864"/>
      <c r="N93" s="3034">
        <f>UnosNovoZaposl!D85</f>
        <v>0</v>
      </c>
      <c r="O93" s="3035"/>
      <c r="P93" s="3035"/>
      <c r="Q93" s="3035"/>
      <c r="R93" s="3035"/>
      <c r="S93" s="3035"/>
      <c r="T93" s="3036"/>
      <c r="U93" s="868">
        <f>UnosNovoZaposl!E85</f>
        <v>0</v>
      </c>
      <c r="V93" s="868"/>
      <c r="W93" s="868"/>
      <c r="X93" s="868"/>
      <c r="Y93" s="868"/>
      <c r="Z93" s="868"/>
      <c r="AA93" s="868">
        <f>UnosNovoZaposl!B85</f>
        <v>0</v>
      </c>
      <c r="AB93" s="868"/>
      <c r="AC93" s="868"/>
      <c r="AD93" s="868"/>
      <c r="AE93" s="868"/>
      <c r="AF93" s="868"/>
      <c r="AG93" s="868">
        <f>UnosNovoZaposl!F85</f>
        <v>0</v>
      </c>
      <c r="AH93" s="868"/>
      <c r="AI93" s="868"/>
      <c r="AJ93" s="868"/>
      <c r="AK93" s="868"/>
      <c r="AL93" s="868"/>
      <c r="AM93" s="868">
        <f>UnosNovoZaposl!G85</f>
        <v>0</v>
      </c>
      <c r="AN93" s="868"/>
      <c r="AO93" s="868"/>
      <c r="AP93" s="868"/>
      <c r="AQ93" s="868"/>
      <c r="AR93" s="868"/>
      <c r="AS93" s="868">
        <f t="shared" si="1"/>
        <v>0</v>
      </c>
      <c r="AT93" s="868"/>
      <c r="AU93" s="868"/>
      <c r="AV93" s="868"/>
      <c r="AW93" s="868"/>
      <c r="AX93" s="868"/>
    </row>
    <row r="94" s="687" customFormat="1" ht="15.75" hidden="1" customHeight="1" spans="1:50">
      <c r="A94" s="3033"/>
      <c r="B94" s="754" t="s">
        <v>5979</v>
      </c>
      <c r="C94" s="864">
        <f>UnosNovoZaposl!C86</f>
        <v>0</v>
      </c>
      <c r="D94" s="864"/>
      <c r="E94" s="864"/>
      <c r="F94" s="864"/>
      <c r="G94" s="864"/>
      <c r="H94" s="864"/>
      <c r="I94" s="864"/>
      <c r="J94" s="864"/>
      <c r="K94" s="864"/>
      <c r="L94" s="864"/>
      <c r="M94" s="864"/>
      <c r="N94" s="3034">
        <f>UnosNovoZaposl!D86</f>
        <v>0</v>
      </c>
      <c r="O94" s="3035"/>
      <c r="P94" s="3035"/>
      <c r="Q94" s="3035"/>
      <c r="R94" s="3035"/>
      <c r="S94" s="3035"/>
      <c r="T94" s="3036"/>
      <c r="U94" s="868">
        <f>UnosNovoZaposl!E86</f>
        <v>0</v>
      </c>
      <c r="V94" s="868"/>
      <c r="W94" s="868"/>
      <c r="X94" s="868"/>
      <c r="Y94" s="868"/>
      <c r="Z94" s="868"/>
      <c r="AA94" s="868">
        <f>UnosNovoZaposl!B86</f>
        <v>0</v>
      </c>
      <c r="AB94" s="868"/>
      <c r="AC94" s="868"/>
      <c r="AD94" s="868"/>
      <c r="AE94" s="868"/>
      <c r="AF94" s="868"/>
      <c r="AG94" s="868">
        <f>UnosNovoZaposl!F86</f>
        <v>0</v>
      </c>
      <c r="AH94" s="868"/>
      <c r="AI94" s="868"/>
      <c r="AJ94" s="868"/>
      <c r="AK94" s="868"/>
      <c r="AL94" s="868"/>
      <c r="AM94" s="868">
        <f>UnosNovoZaposl!G86</f>
        <v>0</v>
      </c>
      <c r="AN94" s="868"/>
      <c r="AO94" s="868"/>
      <c r="AP94" s="868"/>
      <c r="AQ94" s="868"/>
      <c r="AR94" s="868"/>
      <c r="AS94" s="868">
        <f t="shared" si="1"/>
        <v>0</v>
      </c>
      <c r="AT94" s="868"/>
      <c r="AU94" s="868"/>
      <c r="AV94" s="868"/>
      <c r="AW94" s="868"/>
      <c r="AX94" s="868"/>
    </row>
    <row r="95" s="687" customFormat="1" ht="15.75" hidden="1" customHeight="1" spans="1:50">
      <c r="A95" s="3033"/>
      <c r="B95" s="754" t="s">
        <v>5981</v>
      </c>
      <c r="C95" s="864">
        <f>UnosNovoZaposl!C87</f>
        <v>0</v>
      </c>
      <c r="D95" s="864"/>
      <c r="E95" s="864"/>
      <c r="F95" s="864"/>
      <c r="G95" s="864"/>
      <c r="H95" s="864"/>
      <c r="I95" s="864"/>
      <c r="J95" s="864"/>
      <c r="K95" s="864"/>
      <c r="L95" s="864"/>
      <c r="M95" s="864"/>
      <c r="N95" s="3034">
        <f>UnosNovoZaposl!D87</f>
        <v>0</v>
      </c>
      <c r="O95" s="3035"/>
      <c r="P95" s="3035"/>
      <c r="Q95" s="3035"/>
      <c r="R95" s="3035"/>
      <c r="S95" s="3035"/>
      <c r="T95" s="3036"/>
      <c r="U95" s="868">
        <f>UnosNovoZaposl!E87</f>
        <v>0</v>
      </c>
      <c r="V95" s="868"/>
      <c r="W95" s="868"/>
      <c r="X95" s="868"/>
      <c r="Y95" s="868"/>
      <c r="Z95" s="868"/>
      <c r="AA95" s="868">
        <f>UnosNovoZaposl!B87</f>
        <v>0</v>
      </c>
      <c r="AB95" s="868"/>
      <c r="AC95" s="868"/>
      <c r="AD95" s="868"/>
      <c r="AE95" s="868"/>
      <c r="AF95" s="868"/>
      <c r="AG95" s="868">
        <f>UnosNovoZaposl!F87</f>
        <v>0</v>
      </c>
      <c r="AH95" s="868"/>
      <c r="AI95" s="868"/>
      <c r="AJ95" s="868"/>
      <c r="AK95" s="868"/>
      <c r="AL95" s="868"/>
      <c r="AM95" s="868">
        <f>UnosNovoZaposl!G87</f>
        <v>0</v>
      </c>
      <c r="AN95" s="868"/>
      <c r="AO95" s="868"/>
      <c r="AP95" s="868"/>
      <c r="AQ95" s="868"/>
      <c r="AR95" s="868"/>
      <c r="AS95" s="868">
        <f t="shared" si="1"/>
        <v>0</v>
      </c>
      <c r="AT95" s="868"/>
      <c r="AU95" s="868"/>
      <c r="AV95" s="868"/>
      <c r="AW95" s="868"/>
      <c r="AX95" s="868"/>
    </row>
    <row r="96" s="687" customFormat="1" ht="15.75" hidden="1" customHeight="1" spans="1:50">
      <c r="A96" s="3033"/>
      <c r="B96" s="754" t="s">
        <v>6022</v>
      </c>
      <c r="C96" s="864">
        <f>UnosNovoZaposl!C88</f>
        <v>0</v>
      </c>
      <c r="D96" s="864"/>
      <c r="E96" s="864"/>
      <c r="F96" s="864"/>
      <c r="G96" s="864"/>
      <c r="H96" s="864"/>
      <c r="I96" s="864"/>
      <c r="J96" s="864"/>
      <c r="K96" s="864"/>
      <c r="L96" s="864"/>
      <c r="M96" s="864"/>
      <c r="N96" s="3034">
        <f>UnosNovoZaposl!D88</f>
        <v>0</v>
      </c>
      <c r="O96" s="3035"/>
      <c r="P96" s="3035"/>
      <c r="Q96" s="3035"/>
      <c r="R96" s="3035"/>
      <c r="S96" s="3035"/>
      <c r="T96" s="3036"/>
      <c r="U96" s="868">
        <f>UnosNovoZaposl!E88</f>
        <v>0</v>
      </c>
      <c r="V96" s="868"/>
      <c r="W96" s="868"/>
      <c r="X96" s="868"/>
      <c r="Y96" s="868"/>
      <c r="Z96" s="868"/>
      <c r="AA96" s="868">
        <f>UnosNovoZaposl!B88</f>
        <v>0</v>
      </c>
      <c r="AB96" s="868"/>
      <c r="AC96" s="868"/>
      <c r="AD96" s="868"/>
      <c r="AE96" s="868"/>
      <c r="AF96" s="868"/>
      <c r="AG96" s="868">
        <f>UnosNovoZaposl!F88</f>
        <v>0</v>
      </c>
      <c r="AH96" s="868"/>
      <c r="AI96" s="868"/>
      <c r="AJ96" s="868"/>
      <c r="AK96" s="868"/>
      <c r="AL96" s="868"/>
      <c r="AM96" s="868">
        <f>UnosNovoZaposl!G88</f>
        <v>0</v>
      </c>
      <c r="AN96" s="868"/>
      <c r="AO96" s="868"/>
      <c r="AP96" s="868"/>
      <c r="AQ96" s="868"/>
      <c r="AR96" s="868"/>
      <c r="AS96" s="868">
        <f t="shared" si="1"/>
        <v>0</v>
      </c>
      <c r="AT96" s="868"/>
      <c r="AU96" s="868"/>
      <c r="AV96" s="868"/>
      <c r="AW96" s="868"/>
      <c r="AX96" s="868"/>
    </row>
    <row r="97" s="687" customFormat="1" ht="15.75" hidden="1" customHeight="1" spans="1:50">
      <c r="A97" s="3033"/>
      <c r="B97" s="754" t="s">
        <v>6023</v>
      </c>
      <c r="C97" s="864">
        <f>UnosNovoZaposl!C89</f>
        <v>0</v>
      </c>
      <c r="D97" s="864"/>
      <c r="E97" s="864"/>
      <c r="F97" s="864"/>
      <c r="G97" s="864"/>
      <c r="H97" s="864"/>
      <c r="I97" s="864"/>
      <c r="J97" s="864"/>
      <c r="K97" s="864"/>
      <c r="L97" s="864"/>
      <c r="M97" s="864"/>
      <c r="N97" s="3034">
        <f>UnosNovoZaposl!D89</f>
        <v>0</v>
      </c>
      <c r="O97" s="3035"/>
      <c r="P97" s="3035"/>
      <c r="Q97" s="3035"/>
      <c r="R97" s="3035"/>
      <c r="S97" s="3035"/>
      <c r="T97" s="3036"/>
      <c r="U97" s="868">
        <f>UnosNovoZaposl!E89</f>
        <v>0</v>
      </c>
      <c r="V97" s="868"/>
      <c r="W97" s="868"/>
      <c r="X97" s="868"/>
      <c r="Y97" s="868"/>
      <c r="Z97" s="868"/>
      <c r="AA97" s="868">
        <f>UnosNovoZaposl!B89</f>
        <v>0</v>
      </c>
      <c r="AB97" s="868"/>
      <c r="AC97" s="868"/>
      <c r="AD97" s="868"/>
      <c r="AE97" s="868"/>
      <c r="AF97" s="868"/>
      <c r="AG97" s="868">
        <f>UnosNovoZaposl!F89</f>
        <v>0</v>
      </c>
      <c r="AH97" s="868"/>
      <c r="AI97" s="868"/>
      <c r="AJ97" s="868"/>
      <c r="AK97" s="868"/>
      <c r="AL97" s="868"/>
      <c r="AM97" s="868">
        <f>UnosNovoZaposl!G89</f>
        <v>0</v>
      </c>
      <c r="AN97" s="868"/>
      <c r="AO97" s="868"/>
      <c r="AP97" s="868"/>
      <c r="AQ97" s="868"/>
      <c r="AR97" s="868"/>
      <c r="AS97" s="868">
        <f t="shared" si="1"/>
        <v>0</v>
      </c>
      <c r="AT97" s="868"/>
      <c r="AU97" s="868"/>
      <c r="AV97" s="868"/>
      <c r="AW97" s="868"/>
      <c r="AX97" s="868"/>
    </row>
    <row r="98" s="687" customFormat="1" ht="15.75" hidden="1" customHeight="1" spans="1:50">
      <c r="A98" s="3033"/>
      <c r="B98" s="754" t="s">
        <v>6024</v>
      </c>
      <c r="C98" s="864">
        <f>UnosNovoZaposl!C90</f>
        <v>0</v>
      </c>
      <c r="D98" s="864"/>
      <c r="E98" s="864"/>
      <c r="F98" s="864"/>
      <c r="G98" s="864"/>
      <c r="H98" s="864"/>
      <c r="I98" s="864"/>
      <c r="J98" s="864"/>
      <c r="K98" s="864"/>
      <c r="L98" s="864"/>
      <c r="M98" s="864"/>
      <c r="N98" s="3034">
        <f>UnosNovoZaposl!D90</f>
        <v>0</v>
      </c>
      <c r="O98" s="3035"/>
      <c r="P98" s="3035"/>
      <c r="Q98" s="3035"/>
      <c r="R98" s="3035"/>
      <c r="S98" s="3035"/>
      <c r="T98" s="3036"/>
      <c r="U98" s="868">
        <f>UnosNovoZaposl!E90</f>
        <v>0</v>
      </c>
      <c r="V98" s="868"/>
      <c r="W98" s="868"/>
      <c r="X98" s="868"/>
      <c r="Y98" s="868"/>
      <c r="Z98" s="868"/>
      <c r="AA98" s="868">
        <f>UnosNovoZaposl!B90</f>
        <v>0</v>
      </c>
      <c r="AB98" s="868"/>
      <c r="AC98" s="868"/>
      <c r="AD98" s="868"/>
      <c r="AE98" s="868"/>
      <c r="AF98" s="868"/>
      <c r="AG98" s="868">
        <f>UnosNovoZaposl!F90</f>
        <v>0</v>
      </c>
      <c r="AH98" s="868"/>
      <c r="AI98" s="868"/>
      <c r="AJ98" s="868"/>
      <c r="AK98" s="868"/>
      <c r="AL98" s="868"/>
      <c r="AM98" s="868">
        <f>UnosNovoZaposl!G90</f>
        <v>0</v>
      </c>
      <c r="AN98" s="868"/>
      <c r="AO98" s="868"/>
      <c r="AP98" s="868"/>
      <c r="AQ98" s="868"/>
      <c r="AR98" s="868"/>
      <c r="AS98" s="868">
        <f t="shared" si="1"/>
        <v>0</v>
      </c>
      <c r="AT98" s="868"/>
      <c r="AU98" s="868"/>
      <c r="AV98" s="868"/>
      <c r="AW98" s="868"/>
      <c r="AX98" s="868"/>
    </row>
    <row r="99" s="687" customFormat="1" ht="15.75" hidden="1" customHeight="1" spans="1:50">
      <c r="A99" s="3033"/>
      <c r="B99" s="754" t="s">
        <v>6025</v>
      </c>
      <c r="C99" s="864">
        <f>UnosNovoZaposl!C91</f>
        <v>0</v>
      </c>
      <c r="D99" s="864"/>
      <c r="E99" s="864"/>
      <c r="F99" s="864"/>
      <c r="G99" s="864"/>
      <c r="H99" s="864"/>
      <c r="I99" s="864"/>
      <c r="J99" s="864"/>
      <c r="K99" s="864"/>
      <c r="L99" s="864"/>
      <c r="M99" s="864"/>
      <c r="N99" s="3034">
        <f>UnosNovoZaposl!D91</f>
        <v>0</v>
      </c>
      <c r="O99" s="3035"/>
      <c r="P99" s="3035"/>
      <c r="Q99" s="3035"/>
      <c r="R99" s="3035"/>
      <c r="S99" s="3035"/>
      <c r="T99" s="3036"/>
      <c r="U99" s="868">
        <f>UnosNovoZaposl!E91</f>
        <v>0</v>
      </c>
      <c r="V99" s="868"/>
      <c r="W99" s="868"/>
      <c r="X99" s="868"/>
      <c r="Y99" s="868"/>
      <c r="Z99" s="868"/>
      <c r="AA99" s="868">
        <f>UnosNovoZaposl!B91</f>
        <v>0</v>
      </c>
      <c r="AB99" s="868"/>
      <c r="AC99" s="868"/>
      <c r="AD99" s="868"/>
      <c r="AE99" s="868"/>
      <c r="AF99" s="868"/>
      <c r="AG99" s="868">
        <f>UnosNovoZaposl!F91</f>
        <v>0</v>
      </c>
      <c r="AH99" s="868"/>
      <c r="AI99" s="868"/>
      <c r="AJ99" s="868"/>
      <c r="AK99" s="868"/>
      <c r="AL99" s="868"/>
      <c r="AM99" s="868">
        <f>UnosNovoZaposl!G91</f>
        <v>0</v>
      </c>
      <c r="AN99" s="868"/>
      <c r="AO99" s="868"/>
      <c r="AP99" s="868"/>
      <c r="AQ99" s="868"/>
      <c r="AR99" s="868"/>
      <c r="AS99" s="868">
        <f t="shared" si="1"/>
        <v>0</v>
      </c>
      <c r="AT99" s="868"/>
      <c r="AU99" s="868"/>
      <c r="AV99" s="868"/>
      <c r="AW99" s="868"/>
      <c r="AX99" s="868"/>
    </row>
    <row r="100" s="687" customFormat="1" ht="15.75" hidden="1" customHeight="1" spans="1:50">
      <c r="A100" s="3033"/>
      <c r="B100" s="754" t="s">
        <v>6026</v>
      </c>
      <c r="C100" s="864">
        <f>UnosNovoZaposl!C92</f>
        <v>0</v>
      </c>
      <c r="D100" s="864"/>
      <c r="E100" s="864"/>
      <c r="F100" s="864"/>
      <c r="G100" s="864"/>
      <c r="H100" s="864"/>
      <c r="I100" s="864"/>
      <c r="J100" s="864"/>
      <c r="K100" s="864"/>
      <c r="L100" s="864"/>
      <c r="M100" s="864"/>
      <c r="N100" s="3034">
        <f>UnosNovoZaposl!D92</f>
        <v>0</v>
      </c>
      <c r="O100" s="3035"/>
      <c r="P100" s="3035"/>
      <c r="Q100" s="3035"/>
      <c r="R100" s="3035"/>
      <c r="S100" s="3035"/>
      <c r="T100" s="3036"/>
      <c r="U100" s="868">
        <f>UnosNovoZaposl!E92</f>
        <v>0</v>
      </c>
      <c r="V100" s="868"/>
      <c r="W100" s="868"/>
      <c r="X100" s="868"/>
      <c r="Y100" s="868"/>
      <c r="Z100" s="868"/>
      <c r="AA100" s="868">
        <f>UnosNovoZaposl!B92</f>
        <v>0</v>
      </c>
      <c r="AB100" s="868"/>
      <c r="AC100" s="868"/>
      <c r="AD100" s="868"/>
      <c r="AE100" s="868"/>
      <c r="AF100" s="868"/>
      <c r="AG100" s="868">
        <f>UnosNovoZaposl!F92</f>
        <v>0</v>
      </c>
      <c r="AH100" s="868"/>
      <c r="AI100" s="868"/>
      <c r="AJ100" s="868"/>
      <c r="AK100" s="868"/>
      <c r="AL100" s="868"/>
      <c r="AM100" s="868">
        <f>UnosNovoZaposl!G92</f>
        <v>0</v>
      </c>
      <c r="AN100" s="868"/>
      <c r="AO100" s="868"/>
      <c r="AP100" s="868"/>
      <c r="AQ100" s="868"/>
      <c r="AR100" s="868"/>
      <c r="AS100" s="868">
        <f t="shared" si="1"/>
        <v>0</v>
      </c>
      <c r="AT100" s="868"/>
      <c r="AU100" s="868"/>
      <c r="AV100" s="868"/>
      <c r="AW100" s="868"/>
      <c r="AX100" s="868"/>
    </row>
    <row r="101" s="687" customFormat="1" ht="15.75" hidden="1" customHeight="1" spans="1:50">
      <c r="A101" s="3033"/>
      <c r="B101" s="754" t="s">
        <v>6027</v>
      </c>
      <c r="C101" s="864">
        <f>UnosNovoZaposl!C93</f>
        <v>0</v>
      </c>
      <c r="D101" s="864"/>
      <c r="E101" s="864"/>
      <c r="F101" s="864"/>
      <c r="G101" s="864"/>
      <c r="H101" s="864"/>
      <c r="I101" s="864"/>
      <c r="J101" s="864"/>
      <c r="K101" s="864"/>
      <c r="L101" s="864"/>
      <c r="M101" s="864"/>
      <c r="N101" s="3034">
        <f>UnosNovoZaposl!D93</f>
        <v>0</v>
      </c>
      <c r="O101" s="3035"/>
      <c r="P101" s="3035"/>
      <c r="Q101" s="3035"/>
      <c r="R101" s="3035"/>
      <c r="S101" s="3035"/>
      <c r="T101" s="3036"/>
      <c r="U101" s="868">
        <f>UnosNovoZaposl!E93</f>
        <v>0</v>
      </c>
      <c r="V101" s="868"/>
      <c r="W101" s="868"/>
      <c r="X101" s="868"/>
      <c r="Y101" s="868"/>
      <c r="Z101" s="868"/>
      <c r="AA101" s="868">
        <f>UnosNovoZaposl!B93</f>
        <v>0</v>
      </c>
      <c r="AB101" s="868"/>
      <c r="AC101" s="868"/>
      <c r="AD101" s="868"/>
      <c r="AE101" s="868"/>
      <c r="AF101" s="868"/>
      <c r="AG101" s="868">
        <f>UnosNovoZaposl!F93</f>
        <v>0</v>
      </c>
      <c r="AH101" s="868"/>
      <c r="AI101" s="868"/>
      <c r="AJ101" s="868"/>
      <c r="AK101" s="868"/>
      <c r="AL101" s="868"/>
      <c r="AM101" s="868">
        <f>UnosNovoZaposl!G93</f>
        <v>0</v>
      </c>
      <c r="AN101" s="868"/>
      <c r="AO101" s="868"/>
      <c r="AP101" s="868"/>
      <c r="AQ101" s="868"/>
      <c r="AR101" s="868"/>
      <c r="AS101" s="868">
        <f t="shared" si="1"/>
        <v>0</v>
      </c>
      <c r="AT101" s="868"/>
      <c r="AU101" s="868"/>
      <c r="AV101" s="868"/>
      <c r="AW101" s="868"/>
      <c r="AX101" s="868"/>
    </row>
    <row r="102" s="687" customFormat="1" ht="15.75" hidden="1" customHeight="1" spans="1:50">
      <c r="A102" s="3033"/>
      <c r="B102" s="754" t="s">
        <v>6028</v>
      </c>
      <c r="C102" s="864">
        <f>UnosNovoZaposl!C94</f>
        <v>0</v>
      </c>
      <c r="D102" s="864"/>
      <c r="E102" s="864"/>
      <c r="F102" s="864"/>
      <c r="G102" s="864"/>
      <c r="H102" s="864"/>
      <c r="I102" s="864"/>
      <c r="J102" s="864"/>
      <c r="K102" s="864"/>
      <c r="L102" s="864"/>
      <c r="M102" s="864"/>
      <c r="N102" s="3034">
        <f>UnosNovoZaposl!D94</f>
        <v>0</v>
      </c>
      <c r="O102" s="3035"/>
      <c r="P102" s="3035"/>
      <c r="Q102" s="3035"/>
      <c r="R102" s="3035"/>
      <c r="S102" s="3035"/>
      <c r="T102" s="3036"/>
      <c r="U102" s="868">
        <f>UnosNovoZaposl!E94</f>
        <v>0</v>
      </c>
      <c r="V102" s="868"/>
      <c r="W102" s="868"/>
      <c r="X102" s="868"/>
      <c r="Y102" s="868"/>
      <c r="Z102" s="868"/>
      <c r="AA102" s="868">
        <f>UnosNovoZaposl!B94</f>
        <v>0</v>
      </c>
      <c r="AB102" s="868"/>
      <c r="AC102" s="868"/>
      <c r="AD102" s="868"/>
      <c r="AE102" s="868"/>
      <c r="AF102" s="868"/>
      <c r="AG102" s="868">
        <f>UnosNovoZaposl!F94</f>
        <v>0</v>
      </c>
      <c r="AH102" s="868"/>
      <c r="AI102" s="868"/>
      <c r="AJ102" s="868"/>
      <c r="AK102" s="868"/>
      <c r="AL102" s="868"/>
      <c r="AM102" s="868">
        <f>UnosNovoZaposl!G94</f>
        <v>0</v>
      </c>
      <c r="AN102" s="868"/>
      <c r="AO102" s="868"/>
      <c r="AP102" s="868"/>
      <c r="AQ102" s="868"/>
      <c r="AR102" s="868"/>
      <c r="AS102" s="868">
        <f t="shared" si="1"/>
        <v>0</v>
      </c>
      <c r="AT102" s="868"/>
      <c r="AU102" s="868"/>
      <c r="AV102" s="868"/>
      <c r="AW102" s="868"/>
      <c r="AX102" s="868"/>
    </row>
    <row r="103" s="687" customFormat="1" ht="15.75" hidden="1" customHeight="1" spans="1:50">
      <c r="A103" s="3033"/>
      <c r="B103" s="754" t="s">
        <v>6029</v>
      </c>
      <c r="C103" s="864">
        <f>UnosNovoZaposl!C95</f>
        <v>0</v>
      </c>
      <c r="D103" s="864"/>
      <c r="E103" s="864"/>
      <c r="F103" s="864"/>
      <c r="G103" s="864"/>
      <c r="H103" s="864"/>
      <c r="I103" s="864"/>
      <c r="J103" s="864"/>
      <c r="K103" s="864"/>
      <c r="L103" s="864"/>
      <c r="M103" s="864"/>
      <c r="N103" s="3034">
        <f>UnosNovoZaposl!D95</f>
        <v>0</v>
      </c>
      <c r="O103" s="3035"/>
      <c r="P103" s="3035"/>
      <c r="Q103" s="3035"/>
      <c r="R103" s="3035"/>
      <c r="S103" s="3035"/>
      <c r="T103" s="3036"/>
      <c r="U103" s="868">
        <f>UnosNovoZaposl!E95</f>
        <v>0</v>
      </c>
      <c r="V103" s="868"/>
      <c r="W103" s="868"/>
      <c r="X103" s="868"/>
      <c r="Y103" s="868"/>
      <c r="Z103" s="868"/>
      <c r="AA103" s="868">
        <f>UnosNovoZaposl!B95</f>
        <v>0</v>
      </c>
      <c r="AB103" s="868"/>
      <c r="AC103" s="868"/>
      <c r="AD103" s="868"/>
      <c r="AE103" s="868"/>
      <c r="AF103" s="868"/>
      <c r="AG103" s="868">
        <f>UnosNovoZaposl!F95</f>
        <v>0</v>
      </c>
      <c r="AH103" s="868"/>
      <c r="AI103" s="868"/>
      <c r="AJ103" s="868"/>
      <c r="AK103" s="868"/>
      <c r="AL103" s="868"/>
      <c r="AM103" s="868">
        <f>UnosNovoZaposl!G95</f>
        <v>0</v>
      </c>
      <c r="AN103" s="868"/>
      <c r="AO103" s="868"/>
      <c r="AP103" s="868"/>
      <c r="AQ103" s="868"/>
      <c r="AR103" s="868"/>
      <c r="AS103" s="868">
        <f t="shared" si="1"/>
        <v>0</v>
      </c>
      <c r="AT103" s="868"/>
      <c r="AU103" s="868"/>
      <c r="AV103" s="868"/>
      <c r="AW103" s="868"/>
      <c r="AX103" s="868"/>
    </row>
    <row r="104" s="687" customFormat="1" ht="15.75" hidden="1" customHeight="1" spans="1:50">
      <c r="A104" s="3033"/>
      <c r="B104" s="754" t="s">
        <v>6030</v>
      </c>
      <c r="C104" s="864">
        <f>UnosNovoZaposl!C96</f>
        <v>0</v>
      </c>
      <c r="D104" s="864"/>
      <c r="E104" s="864"/>
      <c r="F104" s="864"/>
      <c r="G104" s="864"/>
      <c r="H104" s="864"/>
      <c r="I104" s="864"/>
      <c r="J104" s="864"/>
      <c r="K104" s="864"/>
      <c r="L104" s="864"/>
      <c r="M104" s="864"/>
      <c r="N104" s="3034">
        <f>UnosNovoZaposl!D96</f>
        <v>0</v>
      </c>
      <c r="O104" s="3035"/>
      <c r="P104" s="3035"/>
      <c r="Q104" s="3035"/>
      <c r="R104" s="3035"/>
      <c r="S104" s="3035"/>
      <c r="T104" s="3036"/>
      <c r="U104" s="868">
        <f>UnosNovoZaposl!E96</f>
        <v>0</v>
      </c>
      <c r="V104" s="868"/>
      <c r="W104" s="868"/>
      <c r="X104" s="868"/>
      <c r="Y104" s="868"/>
      <c r="Z104" s="868"/>
      <c r="AA104" s="868">
        <f>UnosNovoZaposl!B96</f>
        <v>0</v>
      </c>
      <c r="AB104" s="868"/>
      <c r="AC104" s="868"/>
      <c r="AD104" s="868"/>
      <c r="AE104" s="868"/>
      <c r="AF104" s="868"/>
      <c r="AG104" s="868">
        <f>UnosNovoZaposl!F96</f>
        <v>0</v>
      </c>
      <c r="AH104" s="868"/>
      <c r="AI104" s="868"/>
      <c r="AJ104" s="868"/>
      <c r="AK104" s="868"/>
      <c r="AL104" s="868"/>
      <c r="AM104" s="868">
        <f>UnosNovoZaposl!G96</f>
        <v>0</v>
      </c>
      <c r="AN104" s="868"/>
      <c r="AO104" s="868"/>
      <c r="AP104" s="868"/>
      <c r="AQ104" s="868"/>
      <c r="AR104" s="868"/>
      <c r="AS104" s="868">
        <f t="shared" si="1"/>
        <v>0</v>
      </c>
      <c r="AT104" s="868"/>
      <c r="AU104" s="868"/>
      <c r="AV104" s="868"/>
      <c r="AW104" s="868"/>
      <c r="AX104" s="868"/>
    </row>
    <row r="105" s="687" customFormat="1" ht="15.75" hidden="1" customHeight="1" spans="1:50">
      <c r="A105" s="3033"/>
      <c r="B105" s="754" t="s">
        <v>6031</v>
      </c>
      <c r="C105" s="864">
        <f>UnosNovoZaposl!C97</f>
        <v>0</v>
      </c>
      <c r="D105" s="864"/>
      <c r="E105" s="864"/>
      <c r="F105" s="864"/>
      <c r="G105" s="864"/>
      <c r="H105" s="864"/>
      <c r="I105" s="864"/>
      <c r="J105" s="864"/>
      <c r="K105" s="864"/>
      <c r="L105" s="864"/>
      <c r="M105" s="864"/>
      <c r="N105" s="3034">
        <f>UnosNovoZaposl!D97</f>
        <v>0</v>
      </c>
      <c r="O105" s="3035"/>
      <c r="P105" s="3035"/>
      <c r="Q105" s="3035"/>
      <c r="R105" s="3035"/>
      <c r="S105" s="3035"/>
      <c r="T105" s="3036"/>
      <c r="U105" s="868">
        <f>UnosNovoZaposl!E97</f>
        <v>0</v>
      </c>
      <c r="V105" s="868"/>
      <c r="W105" s="868"/>
      <c r="X105" s="868"/>
      <c r="Y105" s="868"/>
      <c r="Z105" s="868"/>
      <c r="AA105" s="868">
        <f>UnosNovoZaposl!B97</f>
        <v>0</v>
      </c>
      <c r="AB105" s="868"/>
      <c r="AC105" s="868"/>
      <c r="AD105" s="868"/>
      <c r="AE105" s="868"/>
      <c r="AF105" s="868"/>
      <c r="AG105" s="868">
        <f>UnosNovoZaposl!F97</f>
        <v>0</v>
      </c>
      <c r="AH105" s="868"/>
      <c r="AI105" s="868"/>
      <c r="AJ105" s="868"/>
      <c r="AK105" s="868"/>
      <c r="AL105" s="868"/>
      <c r="AM105" s="868">
        <f>UnosNovoZaposl!G97</f>
        <v>0</v>
      </c>
      <c r="AN105" s="868"/>
      <c r="AO105" s="868"/>
      <c r="AP105" s="868"/>
      <c r="AQ105" s="868"/>
      <c r="AR105" s="868"/>
      <c r="AS105" s="868">
        <f t="shared" si="1"/>
        <v>0</v>
      </c>
      <c r="AT105" s="868"/>
      <c r="AU105" s="868"/>
      <c r="AV105" s="868"/>
      <c r="AW105" s="868"/>
      <c r="AX105" s="868"/>
    </row>
    <row r="106" s="687" customFormat="1" ht="15.75" hidden="1" customHeight="1" spans="1:50">
      <c r="A106" s="3033"/>
      <c r="B106" s="754" t="s">
        <v>6032</v>
      </c>
      <c r="C106" s="864">
        <f>UnosNovoZaposl!C98</f>
        <v>0</v>
      </c>
      <c r="D106" s="864"/>
      <c r="E106" s="864"/>
      <c r="F106" s="864"/>
      <c r="G106" s="864"/>
      <c r="H106" s="864"/>
      <c r="I106" s="864"/>
      <c r="J106" s="864"/>
      <c r="K106" s="864"/>
      <c r="L106" s="864"/>
      <c r="M106" s="864"/>
      <c r="N106" s="3034">
        <f>UnosNovoZaposl!D98</f>
        <v>0</v>
      </c>
      <c r="O106" s="3035"/>
      <c r="P106" s="3035"/>
      <c r="Q106" s="3035"/>
      <c r="R106" s="3035"/>
      <c r="S106" s="3035"/>
      <c r="T106" s="3036"/>
      <c r="U106" s="868">
        <f>UnosNovoZaposl!E98</f>
        <v>0</v>
      </c>
      <c r="V106" s="868"/>
      <c r="W106" s="868"/>
      <c r="X106" s="868"/>
      <c r="Y106" s="868"/>
      <c r="Z106" s="868"/>
      <c r="AA106" s="868">
        <f>UnosNovoZaposl!B98</f>
        <v>0</v>
      </c>
      <c r="AB106" s="868"/>
      <c r="AC106" s="868"/>
      <c r="AD106" s="868"/>
      <c r="AE106" s="868"/>
      <c r="AF106" s="868"/>
      <c r="AG106" s="868">
        <f>UnosNovoZaposl!F98</f>
        <v>0</v>
      </c>
      <c r="AH106" s="868"/>
      <c r="AI106" s="868"/>
      <c r="AJ106" s="868"/>
      <c r="AK106" s="868"/>
      <c r="AL106" s="868"/>
      <c r="AM106" s="868">
        <f>UnosNovoZaposl!G98</f>
        <v>0</v>
      </c>
      <c r="AN106" s="868"/>
      <c r="AO106" s="868"/>
      <c r="AP106" s="868"/>
      <c r="AQ106" s="868"/>
      <c r="AR106" s="868"/>
      <c r="AS106" s="868">
        <f t="shared" si="1"/>
        <v>0</v>
      </c>
      <c r="AT106" s="868"/>
      <c r="AU106" s="868"/>
      <c r="AV106" s="868"/>
      <c r="AW106" s="868"/>
      <c r="AX106" s="868"/>
    </row>
    <row r="107" s="687" customFormat="1" ht="15.75" hidden="1" customHeight="1" spans="1:50">
      <c r="A107" s="3033"/>
      <c r="B107" s="754" t="s">
        <v>6033</v>
      </c>
      <c r="C107" s="864">
        <f>UnosNovoZaposl!C99</f>
        <v>0</v>
      </c>
      <c r="D107" s="864"/>
      <c r="E107" s="864"/>
      <c r="F107" s="864"/>
      <c r="G107" s="864"/>
      <c r="H107" s="864"/>
      <c r="I107" s="864"/>
      <c r="J107" s="864"/>
      <c r="K107" s="864"/>
      <c r="L107" s="864"/>
      <c r="M107" s="864"/>
      <c r="N107" s="3034">
        <f>UnosNovoZaposl!D99</f>
        <v>0</v>
      </c>
      <c r="O107" s="3035"/>
      <c r="P107" s="3035"/>
      <c r="Q107" s="3035"/>
      <c r="R107" s="3035"/>
      <c r="S107" s="3035"/>
      <c r="T107" s="3036"/>
      <c r="U107" s="868">
        <f>UnosNovoZaposl!E99</f>
        <v>0</v>
      </c>
      <c r="V107" s="868"/>
      <c r="W107" s="868"/>
      <c r="X107" s="868"/>
      <c r="Y107" s="868"/>
      <c r="Z107" s="868"/>
      <c r="AA107" s="868">
        <f>UnosNovoZaposl!B99</f>
        <v>0</v>
      </c>
      <c r="AB107" s="868"/>
      <c r="AC107" s="868"/>
      <c r="AD107" s="868"/>
      <c r="AE107" s="868"/>
      <c r="AF107" s="868"/>
      <c r="AG107" s="868">
        <f>UnosNovoZaposl!F99</f>
        <v>0</v>
      </c>
      <c r="AH107" s="868"/>
      <c r="AI107" s="868"/>
      <c r="AJ107" s="868"/>
      <c r="AK107" s="868"/>
      <c r="AL107" s="868"/>
      <c r="AM107" s="868">
        <f>UnosNovoZaposl!G99</f>
        <v>0</v>
      </c>
      <c r="AN107" s="868"/>
      <c r="AO107" s="868"/>
      <c r="AP107" s="868"/>
      <c r="AQ107" s="868"/>
      <c r="AR107" s="868"/>
      <c r="AS107" s="868">
        <f t="shared" si="1"/>
        <v>0</v>
      </c>
      <c r="AT107" s="868"/>
      <c r="AU107" s="868"/>
      <c r="AV107" s="868"/>
      <c r="AW107" s="868"/>
      <c r="AX107" s="868"/>
    </row>
    <row r="108" s="687" customFormat="1" ht="15.75" hidden="1" customHeight="1" spans="1:50">
      <c r="A108" s="3033"/>
      <c r="B108" s="754" t="s">
        <v>6034</v>
      </c>
      <c r="C108" s="864">
        <f>UnosNovoZaposl!C100</f>
        <v>0</v>
      </c>
      <c r="D108" s="864"/>
      <c r="E108" s="864"/>
      <c r="F108" s="864"/>
      <c r="G108" s="864"/>
      <c r="H108" s="864"/>
      <c r="I108" s="864"/>
      <c r="J108" s="864"/>
      <c r="K108" s="864"/>
      <c r="L108" s="864"/>
      <c r="M108" s="864"/>
      <c r="N108" s="3034">
        <f>UnosNovoZaposl!D100</f>
        <v>0</v>
      </c>
      <c r="O108" s="3035"/>
      <c r="P108" s="3035"/>
      <c r="Q108" s="3035"/>
      <c r="R108" s="3035"/>
      <c r="S108" s="3035"/>
      <c r="T108" s="3036"/>
      <c r="U108" s="868">
        <f>UnosNovoZaposl!E100</f>
        <v>0</v>
      </c>
      <c r="V108" s="868"/>
      <c r="W108" s="868"/>
      <c r="X108" s="868"/>
      <c r="Y108" s="868"/>
      <c r="Z108" s="868"/>
      <c r="AA108" s="868">
        <f>UnosNovoZaposl!B100</f>
        <v>0</v>
      </c>
      <c r="AB108" s="868"/>
      <c r="AC108" s="868"/>
      <c r="AD108" s="868"/>
      <c r="AE108" s="868"/>
      <c r="AF108" s="868"/>
      <c r="AG108" s="868">
        <f>UnosNovoZaposl!F100</f>
        <v>0</v>
      </c>
      <c r="AH108" s="868"/>
      <c r="AI108" s="868"/>
      <c r="AJ108" s="868"/>
      <c r="AK108" s="868"/>
      <c r="AL108" s="868"/>
      <c r="AM108" s="868">
        <f>UnosNovoZaposl!G100</f>
        <v>0</v>
      </c>
      <c r="AN108" s="868"/>
      <c r="AO108" s="868"/>
      <c r="AP108" s="868"/>
      <c r="AQ108" s="868"/>
      <c r="AR108" s="868"/>
      <c r="AS108" s="868">
        <f t="shared" si="1"/>
        <v>0</v>
      </c>
      <c r="AT108" s="868"/>
      <c r="AU108" s="868"/>
      <c r="AV108" s="868"/>
      <c r="AW108" s="868"/>
      <c r="AX108" s="868"/>
    </row>
    <row r="109" s="687" customFormat="1" ht="15.75" hidden="1" customHeight="1" spans="1:50">
      <c r="A109" s="3033"/>
      <c r="B109" s="754" t="s">
        <v>6035</v>
      </c>
      <c r="C109" s="864">
        <f>UnosNovoZaposl!C101</f>
        <v>0</v>
      </c>
      <c r="D109" s="864"/>
      <c r="E109" s="864"/>
      <c r="F109" s="864"/>
      <c r="G109" s="864"/>
      <c r="H109" s="864"/>
      <c r="I109" s="864"/>
      <c r="J109" s="864"/>
      <c r="K109" s="864"/>
      <c r="L109" s="864"/>
      <c r="M109" s="864"/>
      <c r="N109" s="3034">
        <f>UnosNovoZaposl!D101</f>
        <v>0</v>
      </c>
      <c r="O109" s="3035"/>
      <c r="P109" s="3035"/>
      <c r="Q109" s="3035"/>
      <c r="R109" s="3035"/>
      <c r="S109" s="3035"/>
      <c r="T109" s="3036"/>
      <c r="U109" s="868">
        <f>UnosNovoZaposl!E101</f>
        <v>0</v>
      </c>
      <c r="V109" s="868"/>
      <c r="W109" s="868"/>
      <c r="X109" s="868"/>
      <c r="Y109" s="868"/>
      <c r="Z109" s="868"/>
      <c r="AA109" s="868">
        <f>UnosNovoZaposl!B101</f>
        <v>0</v>
      </c>
      <c r="AB109" s="868"/>
      <c r="AC109" s="868"/>
      <c r="AD109" s="868"/>
      <c r="AE109" s="868"/>
      <c r="AF109" s="868"/>
      <c r="AG109" s="868">
        <f>UnosNovoZaposl!F101</f>
        <v>0</v>
      </c>
      <c r="AH109" s="868"/>
      <c r="AI109" s="868"/>
      <c r="AJ109" s="868"/>
      <c r="AK109" s="868"/>
      <c r="AL109" s="868"/>
      <c r="AM109" s="868">
        <f>UnosNovoZaposl!G101</f>
        <v>0</v>
      </c>
      <c r="AN109" s="868"/>
      <c r="AO109" s="868"/>
      <c r="AP109" s="868"/>
      <c r="AQ109" s="868"/>
      <c r="AR109" s="868"/>
      <c r="AS109" s="868">
        <f t="shared" si="1"/>
        <v>0</v>
      </c>
      <c r="AT109" s="868"/>
      <c r="AU109" s="868"/>
      <c r="AV109" s="868"/>
      <c r="AW109" s="868"/>
      <c r="AX109" s="868"/>
    </row>
    <row r="110" s="687" customFormat="1" ht="15.75" hidden="1" customHeight="1" spans="1:50">
      <c r="A110" s="3033"/>
      <c r="B110" s="754" t="s">
        <v>6036</v>
      </c>
      <c r="C110" s="864">
        <f>UnosNovoZaposl!C102</f>
        <v>0</v>
      </c>
      <c r="D110" s="864"/>
      <c r="E110" s="864"/>
      <c r="F110" s="864"/>
      <c r="G110" s="864"/>
      <c r="H110" s="864"/>
      <c r="I110" s="864"/>
      <c r="J110" s="864"/>
      <c r="K110" s="864"/>
      <c r="L110" s="864"/>
      <c r="M110" s="864"/>
      <c r="N110" s="3034">
        <f>UnosNovoZaposl!D102</f>
        <v>0</v>
      </c>
      <c r="O110" s="3035"/>
      <c r="P110" s="3035"/>
      <c r="Q110" s="3035"/>
      <c r="R110" s="3035"/>
      <c r="S110" s="3035"/>
      <c r="T110" s="3036"/>
      <c r="U110" s="868">
        <f>UnosNovoZaposl!E102</f>
        <v>0</v>
      </c>
      <c r="V110" s="868"/>
      <c r="W110" s="868"/>
      <c r="X110" s="868"/>
      <c r="Y110" s="868"/>
      <c r="Z110" s="868"/>
      <c r="AA110" s="868">
        <f>UnosNovoZaposl!B102</f>
        <v>0</v>
      </c>
      <c r="AB110" s="868"/>
      <c r="AC110" s="868"/>
      <c r="AD110" s="868"/>
      <c r="AE110" s="868"/>
      <c r="AF110" s="868"/>
      <c r="AG110" s="868">
        <f>UnosNovoZaposl!F102</f>
        <v>0</v>
      </c>
      <c r="AH110" s="868"/>
      <c r="AI110" s="868"/>
      <c r="AJ110" s="868"/>
      <c r="AK110" s="868"/>
      <c r="AL110" s="868"/>
      <c r="AM110" s="868">
        <f>UnosNovoZaposl!G102</f>
        <v>0</v>
      </c>
      <c r="AN110" s="868"/>
      <c r="AO110" s="868"/>
      <c r="AP110" s="868"/>
      <c r="AQ110" s="868"/>
      <c r="AR110" s="868"/>
      <c r="AS110" s="868">
        <f t="shared" si="1"/>
        <v>0</v>
      </c>
      <c r="AT110" s="868"/>
      <c r="AU110" s="868"/>
      <c r="AV110" s="868"/>
      <c r="AW110" s="868"/>
      <c r="AX110" s="868"/>
    </row>
    <row r="111" s="687" customFormat="1" ht="15.75" hidden="1" customHeight="1" spans="1:50">
      <c r="A111" s="3033"/>
      <c r="B111" s="754" t="s">
        <v>6037</v>
      </c>
      <c r="C111" s="864">
        <f>UnosNovoZaposl!C103</f>
        <v>0</v>
      </c>
      <c r="D111" s="864"/>
      <c r="E111" s="864"/>
      <c r="F111" s="864"/>
      <c r="G111" s="864"/>
      <c r="H111" s="864"/>
      <c r="I111" s="864"/>
      <c r="J111" s="864"/>
      <c r="K111" s="864"/>
      <c r="L111" s="864"/>
      <c r="M111" s="864"/>
      <c r="N111" s="3034">
        <f>UnosNovoZaposl!D103</f>
        <v>0</v>
      </c>
      <c r="O111" s="3035"/>
      <c r="P111" s="3035"/>
      <c r="Q111" s="3035"/>
      <c r="R111" s="3035"/>
      <c r="S111" s="3035"/>
      <c r="T111" s="3036"/>
      <c r="U111" s="868">
        <f>UnosNovoZaposl!E103</f>
        <v>0</v>
      </c>
      <c r="V111" s="868"/>
      <c r="W111" s="868"/>
      <c r="X111" s="868"/>
      <c r="Y111" s="868"/>
      <c r="Z111" s="868"/>
      <c r="AA111" s="868">
        <f>UnosNovoZaposl!B103</f>
        <v>0</v>
      </c>
      <c r="AB111" s="868"/>
      <c r="AC111" s="868"/>
      <c r="AD111" s="868"/>
      <c r="AE111" s="868"/>
      <c r="AF111" s="868"/>
      <c r="AG111" s="868">
        <f>UnosNovoZaposl!F103</f>
        <v>0</v>
      </c>
      <c r="AH111" s="868"/>
      <c r="AI111" s="868"/>
      <c r="AJ111" s="868"/>
      <c r="AK111" s="868"/>
      <c r="AL111" s="868"/>
      <c r="AM111" s="868">
        <f>UnosNovoZaposl!G103</f>
        <v>0</v>
      </c>
      <c r="AN111" s="868"/>
      <c r="AO111" s="868"/>
      <c r="AP111" s="868"/>
      <c r="AQ111" s="868"/>
      <c r="AR111" s="868"/>
      <c r="AS111" s="868">
        <f t="shared" si="1"/>
        <v>0</v>
      </c>
      <c r="AT111" s="868"/>
      <c r="AU111" s="868"/>
      <c r="AV111" s="868"/>
      <c r="AW111" s="868"/>
      <c r="AX111" s="868"/>
    </row>
    <row r="112" s="687" customFormat="1" ht="15.75" hidden="1" customHeight="1" spans="1:50">
      <c r="A112" s="3033"/>
      <c r="B112" s="754" t="s">
        <v>6038</v>
      </c>
      <c r="C112" s="864">
        <f>UnosNovoZaposl!C104</f>
        <v>0</v>
      </c>
      <c r="D112" s="864"/>
      <c r="E112" s="864"/>
      <c r="F112" s="864"/>
      <c r="G112" s="864"/>
      <c r="H112" s="864"/>
      <c r="I112" s="864"/>
      <c r="J112" s="864"/>
      <c r="K112" s="864"/>
      <c r="L112" s="864"/>
      <c r="M112" s="864"/>
      <c r="N112" s="3034">
        <f>UnosNovoZaposl!D104</f>
        <v>0</v>
      </c>
      <c r="O112" s="3035"/>
      <c r="P112" s="3035"/>
      <c r="Q112" s="3035"/>
      <c r="R112" s="3035"/>
      <c r="S112" s="3035"/>
      <c r="T112" s="3036"/>
      <c r="U112" s="868">
        <f>UnosNovoZaposl!E104</f>
        <v>0</v>
      </c>
      <c r="V112" s="868"/>
      <c r="W112" s="868"/>
      <c r="X112" s="868"/>
      <c r="Y112" s="868"/>
      <c r="Z112" s="868"/>
      <c r="AA112" s="868">
        <f>UnosNovoZaposl!B104</f>
        <v>0</v>
      </c>
      <c r="AB112" s="868"/>
      <c r="AC112" s="868"/>
      <c r="AD112" s="868"/>
      <c r="AE112" s="868"/>
      <c r="AF112" s="868"/>
      <c r="AG112" s="868">
        <f>UnosNovoZaposl!F104</f>
        <v>0</v>
      </c>
      <c r="AH112" s="868"/>
      <c r="AI112" s="868"/>
      <c r="AJ112" s="868"/>
      <c r="AK112" s="868"/>
      <c r="AL112" s="868"/>
      <c r="AM112" s="868">
        <f>UnosNovoZaposl!G104</f>
        <v>0</v>
      </c>
      <c r="AN112" s="868"/>
      <c r="AO112" s="868"/>
      <c r="AP112" s="868"/>
      <c r="AQ112" s="868"/>
      <c r="AR112" s="868"/>
      <c r="AS112" s="868">
        <f t="shared" si="1"/>
        <v>0</v>
      </c>
      <c r="AT112" s="868"/>
      <c r="AU112" s="868"/>
      <c r="AV112" s="868"/>
      <c r="AW112" s="868"/>
      <c r="AX112" s="868"/>
    </row>
    <row r="113" s="687" customFormat="1" ht="15.75" hidden="1" customHeight="1" spans="1:50">
      <c r="A113" s="3033"/>
      <c r="B113" s="754" t="s">
        <v>6379</v>
      </c>
      <c r="C113" s="864">
        <f>UnosNovoZaposl!C105</f>
        <v>0</v>
      </c>
      <c r="D113" s="864"/>
      <c r="E113" s="864"/>
      <c r="F113" s="864"/>
      <c r="G113" s="864"/>
      <c r="H113" s="864"/>
      <c r="I113" s="864"/>
      <c r="J113" s="864"/>
      <c r="K113" s="864"/>
      <c r="L113" s="864"/>
      <c r="M113" s="864"/>
      <c r="N113" s="3034">
        <f>UnosNovoZaposl!D105</f>
        <v>0</v>
      </c>
      <c r="O113" s="3035"/>
      <c r="P113" s="3035"/>
      <c r="Q113" s="3035"/>
      <c r="R113" s="3035"/>
      <c r="S113" s="3035"/>
      <c r="T113" s="3036"/>
      <c r="U113" s="868">
        <f>UnosNovoZaposl!E105</f>
        <v>0</v>
      </c>
      <c r="V113" s="868"/>
      <c r="W113" s="868"/>
      <c r="X113" s="868"/>
      <c r="Y113" s="868"/>
      <c r="Z113" s="868"/>
      <c r="AA113" s="868">
        <f>UnosNovoZaposl!B105</f>
        <v>0</v>
      </c>
      <c r="AB113" s="868"/>
      <c r="AC113" s="868"/>
      <c r="AD113" s="868"/>
      <c r="AE113" s="868"/>
      <c r="AF113" s="868"/>
      <c r="AG113" s="868">
        <f>UnosNovoZaposl!F105</f>
        <v>0</v>
      </c>
      <c r="AH113" s="868"/>
      <c r="AI113" s="868"/>
      <c r="AJ113" s="868"/>
      <c r="AK113" s="868"/>
      <c r="AL113" s="868"/>
      <c r="AM113" s="868">
        <f>UnosNovoZaposl!G105</f>
        <v>0</v>
      </c>
      <c r="AN113" s="868"/>
      <c r="AO113" s="868"/>
      <c r="AP113" s="868"/>
      <c r="AQ113" s="868"/>
      <c r="AR113" s="868"/>
      <c r="AS113" s="868">
        <f t="shared" si="1"/>
        <v>0</v>
      </c>
      <c r="AT113" s="868"/>
      <c r="AU113" s="868"/>
      <c r="AV113" s="868"/>
      <c r="AW113" s="868"/>
      <c r="AX113" s="868"/>
    </row>
    <row r="114" s="687" customFormat="1" ht="15.75" hidden="1" customHeight="1" spans="1:50">
      <c r="A114" s="3033"/>
      <c r="B114" s="754" t="s">
        <v>6380</v>
      </c>
      <c r="C114" s="864">
        <f>UnosNovoZaposl!C106</f>
        <v>0</v>
      </c>
      <c r="D114" s="864"/>
      <c r="E114" s="864"/>
      <c r="F114" s="864"/>
      <c r="G114" s="864"/>
      <c r="H114" s="864"/>
      <c r="I114" s="864"/>
      <c r="J114" s="864"/>
      <c r="K114" s="864"/>
      <c r="L114" s="864"/>
      <c r="M114" s="864"/>
      <c r="N114" s="3034">
        <f>UnosNovoZaposl!D106</f>
        <v>0</v>
      </c>
      <c r="O114" s="3035"/>
      <c r="P114" s="3035"/>
      <c r="Q114" s="3035"/>
      <c r="R114" s="3035"/>
      <c r="S114" s="3035"/>
      <c r="T114" s="3036"/>
      <c r="U114" s="868">
        <f>UnosNovoZaposl!E106</f>
        <v>0</v>
      </c>
      <c r="V114" s="868"/>
      <c r="W114" s="868"/>
      <c r="X114" s="868"/>
      <c r="Y114" s="868"/>
      <c r="Z114" s="868"/>
      <c r="AA114" s="868">
        <f>UnosNovoZaposl!B106</f>
        <v>0</v>
      </c>
      <c r="AB114" s="868"/>
      <c r="AC114" s="868"/>
      <c r="AD114" s="868"/>
      <c r="AE114" s="868"/>
      <c r="AF114" s="868"/>
      <c r="AG114" s="868">
        <f>UnosNovoZaposl!F106</f>
        <v>0</v>
      </c>
      <c r="AH114" s="868"/>
      <c r="AI114" s="868"/>
      <c r="AJ114" s="868"/>
      <c r="AK114" s="868"/>
      <c r="AL114" s="868"/>
      <c r="AM114" s="868">
        <f>UnosNovoZaposl!G106</f>
        <v>0</v>
      </c>
      <c r="AN114" s="868"/>
      <c r="AO114" s="868"/>
      <c r="AP114" s="868"/>
      <c r="AQ114" s="868"/>
      <c r="AR114" s="868"/>
      <c r="AS114" s="868">
        <f t="shared" si="1"/>
        <v>0</v>
      </c>
      <c r="AT114" s="868"/>
      <c r="AU114" s="868"/>
      <c r="AV114" s="868"/>
      <c r="AW114" s="868"/>
      <c r="AX114" s="868"/>
    </row>
    <row r="115" s="687" customFormat="1" ht="15.75" hidden="1" customHeight="1" spans="1:50">
      <c r="A115" s="3033"/>
      <c r="B115" s="754" t="s">
        <v>6381</v>
      </c>
      <c r="C115" s="864">
        <f>UnosNovoZaposl!C107</f>
        <v>0</v>
      </c>
      <c r="D115" s="864"/>
      <c r="E115" s="864"/>
      <c r="F115" s="864"/>
      <c r="G115" s="864"/>
      <c r="H115" s="864"/>
      <c r="I115" s="864"/>
      <c r="J115" s="864"/>
      <c r="K115" s="864"/>
      <c r="L115" s="864"/>
      <c r="M115" s="864"/>
      <c r="N115" s="3034">
        <f>UnosNovoZaposl!D107</f>
        <v>0</v>
      </c>
      <c r="O115" s="3035"/>
      <c r="P115" s="3035"/>
      <c r="Q115" s="3035"/>
      <c r="R115" s="3035"/>
      <c r="S115" s="3035"/>
      <c r="T115" s="3036"/>
      <c r="U115" s="868">
        <f>UnosNovoZaposl!E107</f>
        <v>0</v>
      </c>
      <c r="V115" s="868"/>
      <c r="W115" s="868"/>
      <c r="X115" s="868"/>
      <c r="Y115" s="868"/>
      <c r="Z115" s="868"/>
      <c r="AA115" s="868">
        <f>UnosNovoZaposl!B107</f>
        <v>0</v>
      </c>
      <c r="AB115" s="868"/>
      <c r="AC115" s="868"/>
      <c r="AD115" s="868"/>
      <c r="AE115" s="868"/>
      <c r="AF115" s="868"/>
      <c r="AG115" s="868">
        <f>UnosNovoZaposl!F107</f>
        <v>0</v>
      </c>
      <c r="AH115" s="868"/>
      <c r="AI115" s="868"/>
      <c r="AJ115" s="868"/>
      <c r="AK115" s="868"/>
      <c r="AL115" s="868"/>
      <c r="AM115" s="868">
        <f>UnosNovoZaposl!G107</f>
        <v>0</v>
      </c>
      <c r="AN115" s="868"/>
      <c r="AO115" s="868"/>
      <c r="AP115" s="868"/>
      <c r="AQ115" s="868"/>
      <c r="AR115" s="868"/>
      <c r="AS115" s="868">
        <f t="shared" si="1"/>
        <v>0</v>
      </c>
      <c r="AT115" s="868"/>
      <c r="AU115" s="868"/>
      <c r="AV115" s="868"/>
      <c r="AW115" s="868"/>
      <c r="AX115" s="868"/>
    </row>
    <row r="116" s="687" customFormat="1" ht="15.75" hidden="1" customHeight="1" spans="1:50">
      <c r="A116" s="3033"/>
      <c r="B116" s="754" t="s">
        <v>6382</v>
      </c>
      <c r="C116" s="864">
        <f>UnosNovoZaposl!C108</f>
        <v>0</v>
      </c>
      <c r="D116" s="864"/>
      <c r="E116" s="864"/>
      <c r="F116" s="864"/>
      <c r="G116" s="864"/>
      <c r="H116" s="864"/>
      <c r="I116" s="864"/>
      <c r="J116" s="864"/>
      <c r="K116" s="864"/>
      <c r="L116" s="864"/>
      <c r="M116" s="864"/>
      <c r="N116" s="3034">
        <f>UnosNovoZaposl!D108</f>
        <v>0</v>
      </c>
      <c r="O116" s="3035"/>
      <c r="P116" s="3035"/>
      <c r="Q116" s="3035"/>
      <c r="R116" s="3035"/>
      <c r="S116" s="3035"/>
      <c r="T116" s="3036"/>
      <c r="U116" s="868">
        <f>UnosNovoZaposl!E108</f>
        <v>0</v>
      </c>
      <c r="V116" s="868"/>
      <c r="W116" s="868"/>
      <c r="X116" s="868"/>
      <c r="Y116" s="868"/>
      <c r="Z116" s="868"/>
      <c r="AA116" s="868">
        <f>UnosNovoZaposl!B108</f>
        <v>0</v>
      </c>
      <c r="AB116" s="868"/>
      <c r="AC116" s="868"/>
      <c r="AD116" s="868"/>
      <c r="AE116" s="868"/>
      <c r="AF116" s="868"/>
      <c r="AG116" s="868">
        <f>UnosNovoZaposl!F108</f>
        <v>0</v>
      </c>
      <c r="AH116" s="868"/>
      <c r="AI116" s="868"/>
      <c r="AJ116" s="868"/>
      <c r="AK116" s="868"/>
      <c r="AL116" s="868"/>
      <c r="AM116" s="868">
        <f>UnosNovoZaposl!G108</f>
        <v>0</v>
      </c>
      <c r="AN116" s="868"/>
      <c r="AO116" s="868"/>
      <c r="AP116" s="868"/>
      <c r="AQ116" s="868"/>
      <c r="AR116" s="868"/>
      <c r="AS116" s="868">
        <f t="shared" si="1"/>
        <v>0</v>
      </c>
      <c r="AT116" s="868"/>
      <c r="AU116" s="868"/>
      <c r="AV116" s="868"/>
      <c r="AW116" s="868"/>
      <c r="AX116" s="868"/>
    </row>
    <row r="117" s="687" customFormat="1" ht="15.75" hidden="1" customHeight="1" spans="1:50">
      <c r="A117" s="3033"/>
      <c r="B117" s="754" t="s">
        <v>6383</v>
      </c>
      <c r="C117" s="864">
        <f>UnosNovoZaposl!C109</f>
        <v>0</v>
      </c>
      <c r="D117" s="864"/>
      <c r="E117" s="864"/>
      <c r="F117" s="864"/>
      <c r="G117" s="864"/>
      <c r="H117" s="864"/>
      <c r="I117" s="864"/>
      <c r="J117" s="864"/>
      <c r="K117" s="864"/>
      <c r="L117" s="864"/>
      <c r="M117" s="864"/>
      <c r="N117" s="3034">
        <f>UnosNovoZaposl!D109</f>
        <v>0</v>
      </c>
      <c r="O117" s="3035"/>
      <c r="P117" s="3035"/>
      <c r="Q117" s="3035"/>
      <c r="R117" s="3035"/>
      <c r="S117" s="3035"/>
      <c r="T117" s="3036"/>
      <c r="U117" s="868">
        <f>UnosNovoZaposl!E109</f>
        <v>0</v>
      </c>
      <c r="V117" s="868"/>
      <c r="W117" s="868"/>
      <c r="X117" s="868"/>
      <c r="Y117" s="868"/>
      <c r="Z117" s="868"/>
      <c r="AA117" s="868">
        <f>UnosNovoZaposl!B109</f>
        <v>0</v>
      </c>
      <c r="AB117" s="868"/>
      <c r="AC117" s="868"/>
      <c r="AD117" s="868"/>
      <c r="AE117" s="868"/>
      <c r="AF117" s="868"/>
      <c r="AG117" s="868">
        <f>UnosNovoZaposl!F109</f>
        <v>0</v>
      </c>
      <c r="AH117" s="868"/>
      <c r="AI117" s="868"/>
      <c r="AJ117" s="868"/>
      <c r="AK117" s="868"/>
      <c r="AL117" s="868"/>
      <c r="AM117" s="868">
        <f>UnosNovoZaposl!G109</f>
        <v>0</v>
      </c>
      <c r="AN117" s="868"/>
      <c r="AO117" s="868"/>
      <c r="AP117" s="868"/>
      <c r="AQ117" s="868"/>
      <c r="AR117" s="868"/>
      <c r="AS117" s="868">
        <f t="shared" si="1"/>
        <v>0</v>
      </c>
      <c r="AT117" s="868"/>
      <c r="AU117" s="868"/>
      <c r="AV117" s="868"/>
      <c r="AW117" s="868"/>
      <c r="AX117" s="868"/>
    </row>
    <row r="118" s="687" customFormat="1" ht="15.75" hidden="1" customHeight="1" spans="1:50">
      <c r="A118" s="3033"/>
      <c r="B118" s="754" t="s">
        <v>6384</v>
      </c>
      <c r="C118" s="864">
        <f>UnosNovoZaposl!C110</f>
        <v>0</v>
      </c>
      <c r="D118" s="864"/>
      <c r="E118" s="864"/>
      <c r="F118" s="864"/>
      <c r="G118" s="864"/>
      <c r="H118" s="864"/>
      <c r="I118" s="864"/>
      <c r="J118" s="864"/>
      <c r="K118" s="864"/>
      <c r="L118" s="864"/>
      <c r="M118" s="864"/>
      <c r="N118" s="3034">
        <f>UnosNovoZaposl!D110</f>
        <v>0</v>
      </c>
      <c r="O118" s="3035"/>
      <c r="P118" s="3035"/>
      <c r="Q118" s="3035"/>
      <c r="R118" s="3035"/>
      <c r="S118" s="3035"/>
      <c r="T118" s="3036"/>
      <c r="U118" s="868">
        <f>UnosNovoZaposl!E110</f>
        <v>0</v>
      </c>
      <c r="V118" s="868"/>
      <c r="W118" s="868"/>
      <c r="X118" s="868"/>
      <c r="Y118" s="868"/>
      <c r="Z118" s="868"/>
      <c r="AA118" s="868">
        <f>UnosNovoZaposl!B110</f>
        <v>0</v>
      </c>
      <c r="AB118" s="868"/>
      <c r="AC118" s="868"/>
      <c r="AD118" s="868"/>
      <c r="AE118" s="868"/>
      <c r="AF118" s="868"/>
      <c r="AG118" s="868">
        <f>UnosNovoZaposl!F110</f>
        <v>0</v>
      </c>
      <c r="AH118" s="868"/>
      <c r="AI118" s="868"/>
      <c r="AJ118" s="868"/>
      <c r="AK118" s="868"/>
      <c r="AL118" s="868"/>
      <c r="AM118" s="868">
        <f>UnosNovoZaposl!G110</f>
        <v>0</v>
      </c>
      <c r="AN118" s="868"/>
      <c r="AO118" s="868"/>
      <c r="AP118" s="868"/>
      <c r="AQ118" s="868"/>
      <c r="AR118" s="868"/>
      <c r="AS118" s="868">
        <f t="shared" si="1"/>
        <v>0</v>
      </c>
      <c r="AT118" s="868"/>
      <c r="AU118" s="868"/>
      <c r="AV118" s="868"/>
      <c r="AW118" s="868"/>
      <c r="AX118" s="868"/>
    </row>
    <row r="119" s="687" customFormat="1" ht="15.75" hidden="1" customHeight="1" spans="1:50">
      <c r="A119" s="3033"/>
      <c r="B119" s="754" t="s">
        <v>6385</v>
      </c>
      <c r="C119" s="864">
        <f>UnosNovoZaposl!C111</f>
        <v>0</v>
      </c>
      <c r="D119" s="864"/>
      <c r="E119" s="864"/>
      <c r="F119" s="864"/>
      <c r="G119" s="864"/>
      <c r="H119" s="864"/>
      <c r="I119" s="864"/>
      <c r="J119" s="864"/>
      <c r="K119" s="864"/>
      <c r="L119" s="864"/>
      <c r="M119" s="864"/>
      <c r="N119" s="3034">
        <f>UnosNovoZaposl!D111</f>
        <v>0</v>
      </c>
      <c r="O119" s="3035"/>
      <c r="P119" s="3035"/>
      <c r="Q119" s="3035"/>
      <c r="R119" s="3035"/>
      <c r="S119" s="3035"/>
      <c r="T119" s="3036"/>
      <c r="U119" s="868">
        <f>UnosNovoZaposl!E111</f>
        <v>0</v>
      </c>
      <c r="V119" s="868"/>
      <c r="W119" s="868"/>
      <c r="X119" s="868"/>
      <c r="Y119" s="868"/>
      <c r="Z119" s="868"/>
      <c r="AA119" s="868">
        <f>UnosNovoZaposl!B111</f>
        <v>0</v>
      </c>
      <c r="AB119" s="868"/>
      <c r="AC119" s="868"/>
      <c r="AD119" s="868"/>
      <c r="AE119" s="868"/>
      <c r="AF119" s="868"/>
      <c r="AG119" s="868">
        <f>UnosNovoZaposl!F111</f>
        <v>0</v>
      </c>
      <c r="AH119" s="868"/>
      <c r="AI119" s="868"/>
      <c r="AJ119" s="868"/>
      <c r="AK119" s="868"/>
      <c r="AL119" s="868"/>
      <c r="AM119" s="868">
        <f>UnosNovoZaposl!G111</f>
        <v>0</v>
      </c>
      <c r="AN119" s="868"/>
      <c r="AO119" s="868"/>
      <c r="AP119" s="868"/>
      <c r="AQ119" s="868"/>
      <c r="AR119" s="868"/>
      <c r="AS119" s="868">
        <f t="shared" si="1"/>
        <v>0</v>
      </c>
      <c r="AT119" s="868"/>
      <c r="AU119" s="868"/>
      <c r="AV119" s="868"/>
      <c r="AW119" s="868"/>
      <c r="AX119" s="868"/>
    </row>
    <row r="120" s="687" customFormat="1" ht="15.75" hidden="1" customHeight="1" spans="1:50">
      <c r="A120" s="3033"/>
      <c r="B120" s="754" t="s">
        <v>6386</v>
      </c>
      <c r="C120" s="864">
        <f>UnosNovoZaposl!C112</f>
        <v>0</v>
      </c>
      <c r="D120" s="864"/>
      <c r="E120" s="864"/>
      <c r="F120" s="864"/>
      <c r="G120" s="864"/>
      <c r="H120" s="864"/>
      <c r="I120" s="864"/>
      <c r="J120" s="864"/>
      <c r="K120" s="864"/>
      <c r="L120" s="864"/>
      <c r="M120" s="864"/>
      <c r="N120" s="3034">
        <f>UnosNovoZaposl!D112</f>
        <v>0</v>
      </c>
      <c r="O120" s="3035"/>
      <c r="P120" s="3035"/>
      <c r="Q120" s="3035"/>
      <c r="R120" s="3035"/>
      <c r="S120" s="3035"/>
      <c r="T120" s="3036"/>
      <c r="U120" s="868">
        <f>UnosNovoZaposl!E112</f>
        <v>0</v>
      </c>
      <c r="V120" s="868"/>
      <c r="W120" s="868"/>
      <c r="X120" s="868"/>
      <c r="Y120" s="868"/>
      <c r="Z120" s="868"/>
      <c r="AA120" s="868">
        <f>UnosNovoZaposl!B112</f>
        <v>0</v>
      </c>
      <c r="AB120" s="868"/>
      <c r="AC120" s="868"/>
      <c r="AD120" s="868"/>
      <c r="AE120" s="868"/>
      <c r="AF120" s="868"/>
      <c r="AG120" s="868">
        <f>UnosNovoZaposl!F112</f>
        <v>0</v>
      </c>
      <c r="AH120" s="868"/>
      <c r="AI120" s="868"/>
      <c r="AJ120" s="868"/>
      <c r="AK120" s="868"/>
      <c r="AL120" s="868"/>
      <c r="AM120" s="868">
        <f>UnosNovoZaposl!G112</f>
        <v>0</v>
      </c>
      <c r="AN120" s="868"/>
      <c r="AO120" s="868"/>
      <c r="AP120" s="868"/>
      <c r="AQ120" s="868"/>
      <c r="AR120" s="868"/>
      <c r="AS120" s="868">
        <f t="shared" si="1"/>
        <v>0</v>
      </c>
      <c r="AT120" s="868"/>
      <c r="AU120" s="868"/>
      <c r="AV120" s="868"/>
      <c r="AW120" s="868"/>
      <c r="AX120" s="868"/>
    </row>
    <row r="121" s="687" customFormat="1" ht="15.75" hidden="1" customHeight="1" spans="1:50">
      <c r="A121" s="3033"/>
      <c r="B121" s="754" t="s">
        <v>6387</v>
      </c>
      <c r="C121" s="864">
        <f>UnosNovoZaposl!C113</f>
        <v>0</v>
      </c>
      <c r="D121" s="864"/>
      <c r="E121" s="864"/>
      <c r="F121" s="864"/>
      <c r="G121" s="864"/>
      <c r="H121" s="864"/>
      <c r="I121" s="864"/>
      <c r="J121" s="864"/>
      <c r="K121" s="864"/>
      <c r="L121" s="864"/>
      <c r="M121" s="864"/>
      <c r="N121" s="3034">
        <f>UnosNovoZaposl!D113</f>
        <v>0</v>
      </c>
      <c r="O121" s="3035"/>
      <c r="P121" s="3035"/>
      <c r="Q121" s="3035"/>
      <c r="R121" s="3035"/>
      <c r="S121" s="3035"/>
      <c r="T121" s="3036"/>
      <c r="U121" s="868">
        <f>UnosNovoZaposl!E113</f>
        <v>0</v>
      </c>
      <c r="V121" s="868"/>
      <c r="W121" s="868"/>
      <c r="X121" s="868"/>
      <c r="Y121" s="868"/>
      <c r="Z121" s="868"/>
      <c r="AA121" s="868">
        <f>UnosNovoZaposl!B113</f>
        <v>0</v>
      </c>
      <c r="AB121" s="868"/>
      <c r="AC121" s="868"/>
      <c r="AD121" s="868"/>
      <c r="AE121" s="868"/>
      <c r="AF121" s="868"/>
      <c r="AG121" s="868">
        <f>UnosNovoZaposl!F113</f>
        <v>0</v>
      </c>
      <c r="AH121" s="868"/>
      <c r="AI121" s="868"/>
      <c r="AJ121" s="868"/>
      <c r="AK121" s="868"/>
      <c r="AL121" s="868"/>
      <c r="AM121" s="868">
        <f>UnosNovoZaposl!G113</f>
        <v>0</v>
      </c>
      <c r="AN121" s="868"/>
      <c r="AO121" s="868"/>
      <c r="AP121" s="868"/>
      <c r="AQ121" s="868"/>
      <c r="AR121" s="868"/>
      <c r="AS121" s="868">
        <f t="shared" si="1"/>
        <v>0</v>
      </c>
      <c r="AT121" s="868"/>
      <c r="AU121" s="868"/>
      <c r="AV121" s="868"/>
      <c r="AW121" s="868"/>
      <c r="AX121" s="868"/>
    </row>
    <row r="122" s="687" customFormat="1" ht="15.75" hidden="1" customHeight="1" spans="1:50">
      <c r="A122" s="3033"/>
      <c r="B122" s="754" t="s">
        <v>6388</v>
      </c>
      <c r="C122" s="864">
        <f>UnosNovoZaposl!C114</f>
        <v>0</v>
      </c>
      <c r="D122" s="864"/>
      <c r="E122" s="864"/>
      <c r="F122" s="864"/>
      <c r="G122" s="864"/>
      <c r="H122" s="864"/>
      <c r="I122" s="864"/>
      <c r="J122" s="864"/>
      <c r="K122" s="864"/>
      <c r="L122" s="864"/>
      <c r="M122" s="864"/>
      <c r="N122" s="3034">
        <f>UnosNovoZaposl!D114</f>
        <v>0</v>
      </c>
      <c r="O122" s="3035"/>
      <c r="P122" s="3035"/>
      <c r="Q122" s="3035"/>
      <c r="R122" s="3035"/>
      <c r="S122" s="3035"/>
      <c r="T122" s="3036"/>
      <c r="U122" s="868">
        <f>UnosNovoZaposl!E114</f>
        <v>0</v>
      </c>
      <c r="V122" s="868"/>
      <c r="W122" s="868"/>
      <c r="X122" s="868"/>
      <c r="Y122" s="868"/>
      <c r="Z122" s="868"/>
      <c r="AA122" s="868">
        <f>UnosNovoZaposl!B114</f>
        <v>0</v>
      </c>
      <c r="AB122" s="868"/>
      <c r="AC122" s="868"/>
      <c r="AD122" s="868"/>
      <c r="AE122" s="868"/>
      <c r="AF122" s="868"/>
      <c r="AG122" s="868">
        <f>UnosNovoZaposl!F114</f>
        <v>0</v>
      </c>
      <c r="AH122" s="868"/>
      <c r="AI122" s="868"/>
      <c r="AJ122" s="868"/>
      <c r="AK122" s="868"/>
      <c r="AL122" s="868"/>
      <c r="AM122" s="868">
        <f>UnosNovoZaposl!G114</f>
        <v>0</v>
      </c>
      <c r="AN122" s="868"/>
      <c r="AO122" s="868"/>
      <c r="AP122" s="868"/>
      <c r="AQ122" s="868"/>
      <c r="AR122" s="868"/>
      <c r="AS122" s="868">
        <f t="shared" si="1"/>
        <v>0</v>
      </c>
      <c r="AT122" s="868"/>
      <c r="AU122" s="868"/>
      <c r="AV122" s="868"/>
      <c r="AW122" s="868"/>
      <c r="AX122" s="868"/>
    </row>
    <row r="123" s="687" customFormat="1" ht="15.75" hidden="1" customHeight="1" spans="1:50">
      <c r="A123" s="3033"/>
      <c r="B123" s="754" t="s">
        <v>6389</v>
      </c>
      <c r="C123" s="864">
        <f>UnosNovoZaposl!C115</f>
        <v>0</v>
      </c>
      <c r="D123" s="864"/>
      <c r="E123" s="864"/>
      <c r="F123" s="864"/>
      <c r="G123" s="864"/>
      <c r="H123" s="864"/>
      <c r="I123" s="864"/>
      <c r="J123" s="864"/>
      <c r="K123" s="864"/>
      <c r="L123" s="864"/>
      <c r="M123" s="864"/>
      <c r="N123" s="3034">
        <f>UnosNovoZaposl!D115</f>
        <v>0</v>
      </c>
      <c r="O123" s="3035"/>
      <c r="P123" s="3035"/>
      <c r="Q123" s="3035"/>
      <c r="R123" s="3035"/>
      <c r="S123" s="3035"/>
      <c r="T123" s="3036"/>
      <c r="U123" s="868">
        <f>UnosNovoZaposl!E115</f>
        <v>0</v>
      </c>
      <c r="V123" s="868"/>
      <c r="W123" s="868"/>
      <c r="X123" s="868"/>
      <c r="Y123" s="868"/>
      <c r="Z123" s="868"/>
      <c r="AA123" s="868">
        <f>UnosNovoZaposl!B115</f>
        <v>0</v>
      </c>
      <c r="AB123" s="868"/>
      <c r="AC123" s="868"/>
      <c r="AD123" s="868"/>
      <c r="AE123" s="868"/>
      <c r="AF123" s="868"/>
      <c r="AG123" s="868">
        <f>UnosNovoZaposl!F115</f>
        <v>0</v>
      </c>
      <c r="AH123" s="868"/>
      <c r="AI123" s="868"/>
      <c r="AJ123" s="868"/>
      <c r="AK123" s="868"/>
      <c r="AL123" s="868"/>
      <c r="AM123" s="868">
        <f>UnosNovoZaposl!G115</f>
        <v>0</v>
      </c>
      <c r="AN123" s="868"/>
      <c r="AO123" s="868"/>
      <c r="AP123" s="868"/>
      <c r="AQ123" s="868"/>
      <c r="AR123" s="868"/>
      <c r="AS123" s="868">
        <f t="shared" si="1"/>
        <v>0</v>
      </c>
      <c r="AT123" s="868"/>
      <c r="AU123" s="868"/>
      <c r="AV123" s="868"/>
      <c r="AW123" s="868"/>
      <c r="AX123" s="868"/>
    </row>
    <row r="124" s="687" customFormat="1" ht="15.75" hidden="1" customHeight="1" spans="1:50">
      <c r="A124" s="3033"/>
      <c r="B124" s="754" t="s">
        <v>6390</v>
      </c>
      <c r="C124" s="864">
        <f>UnosNovoZaposl!C116</f>
        <v>0</v>
      </c>
      <c r="D124" s="864"/>
      <c r="E124" s="864"/>
      <c r="F124" s="864"/>
      <c r="G124" s="864"/>
      <c r="H124" s="864"/>
      <c r="I124" s="864"/>
      <c r="J124" s="864"/>
      <c r="K124" s="864"/>
      <c r="L124" s="864"/>
      <c r="M124" s="864"/>
      <c r="N124" s="3034">
        <f>UnosNovoZaposl!D116</f>
        <v>0</v>
      </c>
      <c r="O124" s="3035"/>
      <c r="P124" s="3035"/>
      <c r="Q124" s="3035"/>
      <c r="R124" s="3035"/>
      <c r="S124" s="3035"/>
      <c r="T124" s="3036"/>
      <c r="U124" s="868">
        <f>UnosNovoZaposl!E116</f>
        <v>0</v>
      </c>
      <c r="V124" s="868"/>
      <c r="W124" s="868"/>
      <c r="X124" s="868"/>
      <c r="Y124" s="868"/>
      <c r="Z124" s="868"/>
      <c r="AA124" s="868">
        <f>UnosNovoZaposl!B116</f>
        <v>0</v>
      </c>
      <c r="AB124" s="868"/>
      <c r="AC124" s="868"/>
      <c r="AD124" s="868"/>
      <c r="AE124" s="868"/>
      <c r="AF124" s="868"/>
      <c r="AG124" s="868">
        <f>UnosNovoZaposl!F116</f>
        <v>0</v>
      </c>
      <c r="AH124" s="868"/>
      <c r="AI124" s="868"/>
      <c r="AJ124" s="868"/>
      <c r="AK124" s="868"/>
      <c r="AL124" s="868"/>
      <c r="AM124" s="868">
        <f>UnosNovoZaposl!G116</f>
        <v>0</v>
      </c>
      <c r="AN124" s="868"/>
      <c r="AO124" s="868"/>
      <c r="AP124" s="868"/>
      <c r="AQ124" s="868"/>
      <c r="AR124" s="868"/>
      <c r="AS124" s="868">
        <f t="shared" si="1"/>
        <v>0</v>
      </c>
      <c r="AT124" s="868"/>
      <c r="AU124" s="868"/>
      <c r="AV124" s="868"/>
      <c r="AW124" s="868"/>
      <c r="AX124" s="868"/>
    </row>
    <row r="125" s="687" customFormat="1" ht="15.75" hidden="1" customHeight="1" spans="1:50">
      <c r="A125" s="3033"/>
      <c r="B125" s="754" t="s">
        <v>6391</v>
      </c>
      <c r="C125" s="864">
        <f>UnosNovoZaposl!C117</f>
        <v>0</v>
      </c>
      <c r="D125" s="864"/>
      <c r="E125" s="864"/>
      <c r="F125" s="864"/>
      <c r="G125" s="864"/>
      <c r="H125" s="864"/>
      <c r="I125" s="864"/>
      <c r="J125" s="864"/>
      <c r="K125" s="864"/>
      <c r="L125" s="864"/>
      <c r="M125" s="864"/>
      <c r="N125" s="3034">
        <f>UnosNovoZaposl!D117</f>
        <v>0</v>
      </c>
      <c r="O125" s="3035"/>
      <c r="P125" s="3035"/>
      <c r="Q125" s="3035"/>
      <c r="R125" s="3035"/>
      <c r="S125" s="3035"/>
      <c r="T125" s="3036"/>
      <c r="U125" s="868">
        <f>UnosNovoZaposl!E117</f>
        <v>0</v>
      </c>
      <c r="V125" s="868"/>
      <c r="W125" s="868"/>
      <c r="X125" s="868"/>
      <c r="Y125" s="868"/>
      <c r="Z125" s="868"/>
      <c r="AA125" s="868">
        <f>UnosNovoZaposl!B117</f>
        <v>0</v>
      </c>
      <c r="AB125" s="868"/>
      <c r="AC125" s="868"/>
      <c r="AD125" s="868"/>
      <c r="AE125" s="868"/>
      <c r="AF125" s="868"/>
      <c r="AG125" s="868">
        <f>UnosNovoZaposl!F117</f>
        <v>0</v>
      </c>
      <c r="AH125" s="868"/>
      <c r="AI125" s="868"/>
      <c r="AJ125" s="868"/>
      <c r="AK125" s="868"/>
      <c r="AL125" s="868"/>
      <c r="AM125" s="868">
        <f>UnosNovoZaposl!G117</f>
        <v>0</v>
      </c>
      <c r="AN125" s="868"/>
      <c r="AO125" s="868"/>
      <c r="AP125" s="868"/>
      <c r="AQ125" s="868"/>
      <c r="AR125" s="868"/>
      <c r="AS125" s="868">
        <f t="shared" si="1"/>
        <v>0</v>
      </c>
      <c r="AT125" s="868"/>
      <c r="AU125" s="868"/>
      <c r="AV125" s="868"/>
      <c r="AW125" s="868"/>
      <c r="AX125" s="868"/>
    </row>
    <row r="126" s="687" customFormat="1" ht="15.75" hidden="1" customHeight="1" spans="1:50">
      <c r="A126" s="3033"/>
      <c r="B126" s="754" t="s">
        <v>6392</v>
      </c>
      <c r="C126" s="864">
        <f>UnosNovoZaposl!C118</f>
        <v>0</v>
      </c>
      <c r="D126" s="864"/>
      <c r="E126" s="864"/>
      <c r="F126" s="864"/>
      <c r="G126" s="864"/>
      <c r="H126" s="864"/>
      <c r="I126" s="864"/>
      <c r="J126" s="864"/>
      <c r="K126" s="864"/>
      <c r="L126" s="864"/>
      <c r="M126" s="864"/>
      <c r="N126" s="3034">
        <f>UnosNovoZaposl!D118</f>
        <v>0</v>
      </c>
      <c r="O126" s="3035"/>
      <c r="P126" s="3035"/>
      <c r="Q126" s="3035"/>
      <c r="R126" s="3035"/>
      <c r="S126" s="3035"/>
      <c r="T126" s="3036"/>
      <c r="U126" s="868">
        <f>UnosNovoZaposl!E118</f>
        <v>0</v>
      </c>
      <c r="V126" s="868"/>
      <c r="W126" s="868"/>
      <c r="X126" s="868"/>
      <c r="Y126" s="868"/>
      <c r="Z126" s="868"/>
      <c r="AA126" s="868">
        <f>UnosNovoZaposl!B118</f>
        <v>0</v>
      </c>
      <c r="AB126" s="868"/>
      <c r="AC126" s="868"/>
      <c r="AD126" s="868"/>
      <c r="AE126" s="868"/>
      <c r="AF126" s="868"/>
      <c r="AG126" s="868">
        <f>UnosNovoZaposl!F118</f>
        <v>0</v>
      </c>
      <c r="AH126" s="868"/>
      <c r="AI126" s="868"/>
      <c r="AJ126" s="868"/>
      <c r="AK126" s="868"/>
      <c r="AL126" s="868"/>
      <c r="AM126" s="868">
        <f>UnosNovoZaposl!G118</f>
        <v>0</v>
      </c>
      <c r="AN126" s="868"/>
      <c r="AO126" s="868"/>
      <c r="AP126" s="868"/>
      <c r="AQ126" s="868"/>
      <c r="AR126" s="868"/>
      <c r="AS126" s="868">
        <f t="shared" si="1"/>
        <v>0</v>
      </c>
      <c r="AT126" s="868"/>
      <c r="AU126" s="868"/>
      <c r="AV126" s="868"/>
      <c r="AW126" s="868"/>
      <c r="AX126" s="868"/>
    </row>
    <row r="127" s="687" customFormat="1" ht="15.75" hidden="1" customHeight="1" spans="1:50">
      <c r="A127" s="3033"/>
      <c r="B127" s="754" t="s">
        <v>6393</v>
      </c>
      <c r="C127" s="864">
        <f>UnosNovoZaposl!C119</f>
        <v>0</v>
      </c>
      <c r="D127" s="864"/>
      <c r="E127" s="864"/>
      <c r="F127" s="864"/>
      <c r="G127" s="864"/>
      <c r="H127" s="864"/>
      <c r="I127" s="864"/>
      <c r="J127" s="864"/>
      <c r="K127" s="864"/>
      <c r="L127" s="864"/>
      <c r="M127" s="864"/>
      <c r="N127" s="3034">
        <f>UnosNovoZaposl!D119</f>
        <v>0</v>
      </c>
      <c r="O127" s="3035"/>
      <c r="P127" s="3035"/>
      <c r="Q127" s="3035"/>
      <c r="R127" s="3035"/>
      <c r="S127" s="3035"/>
      <c r="T127" s="3036"/>
      <c r="U127" s="868">
        <f>UnosNovoZaposl!E119</f>
        <v>0</v>
      </c>
      <c r="V127" s="868"/>
      <c r="W127" s="868"/>
      <c r="X127" s="868"/>
      <c r="Y127" s="868"/>
      <c r="Z127" s="868"/>
      <c r="AA127" s="868">
        <f>UnosNovoZaposl!B119</f>
        <v>0</v>
      </c>
      <c r="AB127" s="868"/>
      <c r="AC127" s="868"/>
      <c r="AD127" s="868"/>
      <c r="AE127" s="868"/>
      <c r="AF127" s="868"/>
      <c r="AG127" s="868">
        <f>UnosNovoZaposl!F119</f>
        <v>0</v>
      </c>
      <c r="AH127" s="868"/>
      <c r="AI127" s="868"/>
      <c r="AJ127" s="868"/>
      <c r="AK127" s="868"/>
      <c r="AL127" s="868"/>
      <c r="AM127" s="868">
        <f>UnosNovoZaposl!G119</f>
        <v>0</v>
      </c>
      <c r="AN127" s="868"/>
      <c r="AO127" s="868"/>
      <c r="AP127" s="868"/>
      <c r="AQ127" s="868"/>
      <c r="AR127" s="868"/>
      <c r="AS127" s="868">
        <f t="shared" si="1"/>
        <v>0</v>
      </c>
      <c r="AT127" s="868"/>
      <c r="AU127" s="868"/>
      <c r="AV127" s="868"/>
      <c r="AW127" s="868"/>
      <c r="AX127" s="868"/>
    </row>
    <row r="128" s="687" customFormat="1" ht="15.75" hidden="1" customHeight="1" spans="1:50">
      <c r="A128" s="3033"/>
      <c r="B128" s="754" t="s">
        <v>6394</v>
      </c>
      <c r="C128" s="864">
        <f>UnosNovoZaposl!C120</f>
        <v>0</v>
      </c>
      <c r="D128" s="864"/>
      <c r="E128" s="864"/>
      <c r="F128" s="864"/>
      <c r="G128" s="864"/>
      <c r="H128" s="864"/>
      <c r="I128" s="864"/>
      <c r="J128" s="864"/>
      <c r="K128" s="864"/>
      <c r="L128" s="864"/>
      <c r="M128" s="864"/>
      <c r="N128" s="3034">
        <f>UnosNovoZaposl!D120</f>
        <v>0</v>
      </c>
      <c r="O128" s="3035"/>
      <c r="P128" s="3035"/>
      <c r="Q128" s="3035"/>
      <c r="R128" s="3035"/>
      <c r="S128" s="3035"/>
      <c r="T128" s="3036"/>
      <c r="U128" s="868">
        <f>UnosNovoZaposl!E120</f>
        <v>0</v>
      </c>
      <c r="V128" s="868"/>
      <c r="W128" s="868"/>
      <c r="X128" s="868"/>
      <c r="Y128" s="868"/>
      <c r="Z128" s="868"/>
      <c r="AA128" s="868">
        <f>UnosNovoZaposl!B120</f>
        <v>0</v>
      </c>
      <c r="AB128" s="868"/>
      <c r="AC128" s="868"/>
      <c r="AD128" s="868"/>
      <c r="AE128" s="868"/>
      <c r="AF128" s="868"/>
      <c r="AG128" s="868">
        <f>UnosNovoZaposl!F120</f>
        <v>0</v>
      </c>
      <c r="AH128" s="868"/>
      <c r="AI128" s="868"/>
      <c r="AJ128" s="868"/>
      <c r="AK128" s="868"/>
      <c r="AL128" s="868"/>
      <c r="AM128" s="868">
        <f>UnosNovoZaposl!G120</f>
        <v>0</v>
      </c>
      <c r="AN128" s="868"/>
      <c r="AO128" s="868"/>
      <c r="AP128" s="868"/>
      <c r="AQ128" s="868"/>
      <c r="AR128" s="868"/>
      <c r="AS128" s="868">
        <f t="shared" si="1"/>
        <v>0</v>
      </c>
      <c r="AT128" s="868"/>
      <c r="AU128" s="868"/>
      <c r="AV128" s="868"/>
      <c r="AW128" s="868"/>
      <c r="AX128" s="868"/>
    </row>
    <row r="129" s="687" customFormat="1" ht="15.75" hidden="1" customHeight="1" spans="1:50">
      <c r="A129" s="3033"/>
      <c r="B129" s="754" t="s">
        <v>6395</v>
      </c>
      <c r="C129" s="864">
        <f>UnosNovoZaposl!C121</f>
        <v>0</v>
      </c>
      <c r="D129" s="864"/>
      <c r="E129" s="864"/>
      <c r="F129" s="864"/>
      <c r="G129" s="864"/>
      <c r="H129" s="864"/>
      <c r="I129" s="864"/>
      <c r="J129" s="864"/>
      <c r="K129" s="864"/>
      <c r="L129" s="864"/>
      <c r="M129" s="864"/>
      <c r="N129" s="3034">
        <f>UnosNovoZaposl!D121</f>
        <v>0</v>
      </c>
      <c r="O129" s="3035"/>
      <c r="P129" s="3035"/>
      <c r="Q129" s="3035"/>
      <c r="R129" s="3035"/>
      <c r="S129" s="3035"/>
      <c r="T129" s="3036"/>
      <c r="U129" s="868">
        <f>UnosNovoZaposl!E121</f>
        <v>0</v>
      </c>
      <c r="V129" s="868"/>
      <c r="W129" s="868"/>
      <c r="X129" s="868"/>
      <c r="Y129" s="868"/>
      <c r="Z129" s="868"/>
      <c r="AA129" s="868">
        <f>UnosNovoZaposl!B121</f>
        <v>0</v>
      </c>
      <c r="AB129" s="868"/>
      <c r="AC129" s="868"/>
      <c r="AD129" s="868"/>
      <c r="AE129" s="868"/>
      <c r="AF129" s="868"/>
      <c r="AG129" s="868">
        <f>UnosNovoZaposl!F121</f>
        <v>0</v>
      </c>
      <c r="AH129" s="868"/>
      <c r="AI129" s="868"/>
      <c r="AJ129" s="868"/>
      <c r="AK129" s="868"/>
      <c r="AL129" s="868"/>
      <c r="AM129" s="868">
        <f>UnosNovoZaposl!G121</f>
        <v>0</v>
      </c>
      <c r="AN129" s="868"/>
      <c r="AO129" s="868"/>
      <c r="AP129" s="868"/>
      <c r="AQ129" s="868"/>
      <c r="AR129" s="868"/>
      <c r="AS129" s="868">
        <f t="shared" si="1"/>
        <v>0</v>
      </c>
      <c r="AT129" s="868"/>
      <c r="AU129" s="868"/>
      <c r="AV129" s="868"/>
      <c r="AW129" s="868"/>
      <c r="AX129" s="868"/>
    </row>
    <row r="130" s="687" customFormat="1" ht="15.75" hidden="1" customHeight="1" spans="1:50">
      <c r="A130" s="3033"/>
      <c r="B130" s="754" t="s">
        <v>6396</v>
      </c>
      <c r="C130" s="864">
        <f>UnosNovoZaposl!C122</f>
        <v>0</v>
      </c>
      <c r="D130" s="864"/>
      <c r="E130" s="864"/>
      <c r="F130" s="864"/>
      <c r="G130" s="864"/>
      <c r="H130" s="864"/>
      <c r="I130" s="864"/>
      <c r="J130" s="864"/>
      <c r="K130" s="864"/>
      <c r="L130" s="864"/>
      <c r="M130" s="864"/>
      <c r="N130" s="3034">
        <f>UnosNovoZaposl!D122</f>
        <v>0</v>
      </c>
      <c r="O130" s="3035"/>
      <c r="P130" s="3035"/>
      <c r="Q130" s="3035"/>
      <c r="R130" s="3035"/>
      <c r="S130" s="3035"/>
      <c r="T130" s="3036"/>
      <c r="U130" s="868">
        <f>UnosNovoZaposl!E122</f>
        <v>0</v>
      </c>
      <c r="V130" s="868"/>
      <c r="W130" s="868"/>
      <c r="X130" s="868"/>
      <c r="Y130" s="868"/>
      <c r="Z130" s="868"/>
      <c r="AA130" s="868">
        <f>UnosNovoZaposl!B122</f>
        <v>0</v>
      </c>
      <c r="AB130" s="868"/>
      <c r="AC130" s="868"/>
      <c r="AD130" s="868"/>
      <c r="AE130" s="868"/>
      <c r="AF130" s="868"/>
      <c r="AG130" s="868">
        <f>UnosNovoZaposl!F122</f>
        <v>0</v>
      </c>
      <c r="AH130" s="868"/>
      <c r="AI130" s="868"/>
      <c r="AJ130" s="868"/>
      <c r="AK130" s="868"/>
      <c r="AL130" s="868"/>
      <c r="AM130" s="868">
        <f>UnosNovoZaposl!G122</f>
        <v>0</v>
      </c>
      <c r="AN130" s="868"/>
      <c r="AO130" s="868"/>
      <c r="AP130" s="868"/>
      <c r="AQ130" s="868"/>
      <c r="AR130" s="868"/>
      <c r="AS130" s="868">
        <f t="shared" si="1"/>
        <v>0</v>
      </c>
      <c r="AT130" s="868"/>
      <c r="AU130" s="868"/>
      <c r="AV130" s="868"/>
      <c r="AW130" s="868"/>
      <c r="AX130" s="868"/>
    </row>
    <row r="131" s="687" customFormat="1" ht="15.75" hidden="1" customHeight="1" spans="1:50">
      <c r="A131" s="3033"/>
      <c r="B131" s="754" t="s">
        <v>6397</v>
      </c>
      <c r="C131" s="864">
        <f>UnosNovoZaposl!C123</f>
        <v>0</v>
      </c>
      <c r="D131" s="864"/>
      <c r="E131" s="864"/>
      <c r="F131" s="864"/>
      <c r="G131" s="864"/>
      <c r="H131" s="864"/>
      <c r="I131" s="864"/>
      <c r="J131" s="864"/>
      <c r="K131" s="864"/>
      <c r="L131" s="864"/>
      <c r="M131" s="864"/>
      <c r="N131" s="3034">
        <f>UnosNovoZaposl!D123</f>
        <v>0</v>
      </c>
      <c r="O131" s="3035"/>
      <c r="P131" s="3035"/>
      <c r="Q131" s="3035"/>
      <c r="R131" s="3035"/>
      <c r="S131" s="3035"/>
      <c r="T131" s="3036"/>
      <c r="U131" s="868">
        <f>UnosNovoZaposl!E123</f>
        <v>0</v>
      </c>
      <c r="V131" s="868"/>
      <c r="W131" s="868"/>
      <c r="X131" s="868"/>
      <c r="Y131" s="868"/>
      <c r="Z131" s="868"/>
      <c r="AA131" s="868">
        <f>UnosNovoZaposl!B123</f>
        <v>0</v>
      </c>
      <c r="AB131" s="868"/>
      <c r="AC131" s="868"/>
      <c r="AD131" s="868"/>
      <c r="AE131" s="868"/>
      <c r="AF131" s="868"/>
      <c r="AG131" s="868">
        <f>UnosNovoZaposl!F123</f>
        <v>0</v>
      </c>
      <c r="AH131" s="868"/>
      <c r="AI131" s="868"/>
      <c r="AJ131" s="868"/>
      <c r="AK131" s="868"/>
      <c r="AL131" s="868"/>
      <c r="AM131" s="868">
        <f>UnosNovoZaposl!G123</f>
        <v>0</v>
      </c>
      <c r="AN131" s="868"/>
      <c r="AO131" s="868"/>
      <c r="AP131" s="868"/>
      <c r="AQ131" s="868"/>
      <c r="AR131" s="868"/>
      <c r="AS131" s="868">
        <f t="shared" si="1"/>
        <v>0</v>
      </c>
      <c r="AT131" s="868"/>
      <c r="AU131" s="868"/>
      <c r="AV131" s="868"/>
      <c r="AW131" s="868"/>
      <c r="AX131" s="868"/>
    </row>
    <row r="132" s="687" customFormat="1" ht="15.75" hidden="1" customHeight="1" spans="1:50">
      <c r="A132" s="3033"/>
      <c r="B132" s="754" t="s">
        <v>6398</v>
      </c>
      <c r="C132" s="864">
        <f>UnosNovoZaposl!C124</f>
        <v>0</v>
      </c>
      <c r="D132" s="864"/>
      <c r="E132" s="864"/>
      <c r="F132" s="864"/>
      <c r="G132" s="864"/>
      <c r="H132" s="864"/>
      <c r="I132" s="864"/>
      <c r="J132" s="864"/>
      <c r="K132" s="864"/>
      <c r="L132" s="864"/>
      <c r="M132" s="864"/>
      <c r="N132" s="3034">
        <f>UnosNovoZaposl!D124</f>
        <v>0</v>
      </c>
      <c r="O132" s="3035"/>
      <c r="P132" s="3035"/>
      <c r="Q132" s="3035"/>
      <c r="R132" s="3035"/>
      <c r="S132" s="3035"/>
      <c r="T132" s="3036"/>
      <c r="U132" s="868">
        <f>UnosNovoZaposl!E124</f>
        <v>0</v>
      </c>
      <c r="V132" s="868"/>
      <c r="W132" s="868"/>
      <c r="X132" s="868"/>
      <c r="Y132" s="868"/>
      <c r="Z132" s="868"/>
      <c r="AA132" s="868">
        <f>UnosNovoZaposl!B124</f>
        <v>0</v>
      </c>
      <c r="AB132" s="868"/>
      <c r="AC132" s="868"/>
      <c r="AD132" s="868"/>
      <c r="AE132" s="868"/>
      <c r="AF132" s="868"/>
      <c r="AG132" s="868">
        <f>UnosNovoZaposl!F124</f>
        <v>0</v>
      </c>
      <c r="AH132" s="868"/>
      <c r="AI132" s="868"/>
      <c r="AJ132" s="868"/>
      <c r="AK132" s="868"/>
      <c r="AL132" s="868"/>
      <c r="AM132" s="868">
        <f>UnosNovoZaposl!G124</f>
        <v>0</v>
      </c>
      <c r="AN132" s="868"/>
      <c r="AO132" s="868"/>
      <c r="AP132" s="868"/>
      <c r="AQ132" s="868"/>
      <c r="AR132" s="868"/>
      <c r="AS132" s="868">
        <f t="shared" si="1"/>
        <v>0</v>
      </c>
      <c r="AT132" s="868"/>
      <c r="AU132" s="868"/>
      <c r="AV132" s="868"/>
      <c r="AW132" s="868"/>
      <c r="AX132" s="868"/>
    </row>
    <row r="133" s="687" customFormat="1" ht="15.75" hidden="1" customHeight="1" spans="1:50">
      <c r="A133" s="3033"/>
      <c r="B133" s="754" t="s">
        <v>6399</v>
      </c>
      <c r="C133" s="864">
        <f>UnosNovoZaposl!C125</f>
        <v>0</v>
      </c>
      <c r="D133" s="864"/>
      <c r="E133" s="864"/>
      <c r="F133" s="864"/>
      <c r="G133" s="864"/>
      <c r="H133" s="864"/>
      <c r="I133" s="864"/>
      <c r="J133" s="864"/>
      <c r="K133" s="864"/>
      <c r="L133" s="864"/>
      <c r="M133" s="864"/>
      <c r="N133" s="3034">
        <f>UnosNovoZaposl!D125</f>
        <v>0</v>
      </c>
      <c r="O133" s="3035"/>
      <c r="P133" s="3035"/>
      <c r="Q133" s="3035"/>
      <c r="R133" s="3035"/>
      <c r="S133" s="3035"/>
      <c r="T133" s="3036"/>
      <c r="U133" s="868">
        <f>UnosNovoZaposl!E125</f>
        <v>0</v>
      </c>
      <c r="V133" s="868"/>
      <c r="W133" s="868"/>
      <c r="X133" s="868"/>
      <c r="Y133" s="868"/>
      <c r="Z133" s="868"/>
      <c r="AA133" s="868">
        <f>UnosNovoZaposl!B125</f>
        <v>0</v>
      </c>
      <c r="AB133" s="868"/>
      <c r="AC133" s="868"/>
      <c r="AD133" s="868"/>
      <c r="AE133" s="868"/>
      <c r="AF133" s="868"/>
      <c r="AG133" s="868">
        <f>UnosNovoZaposl!F125</f>
        <v>0</v>
      </c>
      <c r="AH133" s="868"/>
      <c r="AI133" s="868"/>
      <c r="AJ133" s="868"/>
      <c r="AK133" s="868"/>
      <c r="AL133" s="868"/>
      <c r="AM133" s="868">
        <f>UnosNovoZaposl!G125</f>
        <v>0</v>
      </c>
      <c r="AN133" s="868"/>
      <c r="AO133" s="868"/>
      <c r="AP133" s="868"/>
      <c r="AQ133" s="868"/>
      <c r="AR133" s="868"/>
      <c r="AS133" s="868">
        <f t="shared" si="1"/>
        <v>0</v>
      </c>
      <c r="AT133" s="868"/>
      <c r="AU133" s="868"/>
      <c r="AV133" s="868"/>
      <c r="AW133" s="868"/>
      <c r="AX133" s="868"/>
    </row>
    <row r="134" s="687" customFormat="1" ht="15.75" hidden="1" customHeight="1" spans="1:50">
      <c r="A134" s="3033"/>
      <c r="B134" s="754" t="s">
        <v>6400</v>
      </c>
      <c r="C134" s="864">
        <f>UnosNovoZaposl!C126</f>
        <v>0</v>
      </c>
      <c r="D134" s="864"/>
      <c r="E134" s="864"/>
      <c r="F134" s="864"/>
      <c r="G134" s="864"/>
      <c r="H134" s="864"/>
      <c r="I134" s="864"/>
      <c r="J134" s="864"/>
      <c r="K134" s="864"/>
      <c r="L134" s="864"/>
      <c r="M134" s="864"/>
      <c r="N134" s="3034">
        <f>UnosNovoZaposl!D126</f>
        <v>0</v>
      </c>
      <c r="O134" s="3035"/>
      <c r="P134" s="3035"/>
      <c r="Q134" s="3035"/>
      <c r="R134" s="3035"/>
      <c r="S134" s="3035"/>
      <c r="T134" s="3036"/>
      <c r="U134" s="868">
        <f>UnosNovoZaposl!E126</f>
        <v>0</v>
      </c>
      <c r="V134" s="868"/>
      <c r="W134" s="868"/>
      <c r="X134" s="868"/>
      <c r="Y134" s="868"/>
      <c r="Z134" s="868"/>
      <c r="AA134" s="868">
        <f>UnosNovoZaposl!B126</f>
        <v>0</v>
      </c>
      <c r="AB134" s="868"/>
      <c r="AC134" s="868"/>
      <c r="AD134" s="868"/>
      <c r="AE134" s="868"/>
      <c r="AF134" s="868"/>
      <c r="AG134" s="868">
        <f>UnosNovoZaposl!F126</f>
        <v>0</v>
      </c>
      <c r="AH134" s="868"/>
      <c r="AI134" s="868"/>
      <c r="AJ134" s="868"/>
      <c r="AK134" s="868"/>
      <c r="AL134" s="868"/>
      <c r="AM134" s="868">
        <f>UnosNovoZaposl!G126</f>
        <v>0</v>
      </c>
      <c r="AN134" s="868"/>
      <c r="AO134" s="868"/>
      <c r="AP134" s="868"/>
      <c r="AQ134" s="868"/>
      <c r="AR134" s="868"/>
      <c r="AS134" s="868">
        <f t="shared" si="1"/>
        <v>0</v>
      </c>
      <c r="AT134" s="868"/>
      <c r="AU134" s="868"/>
      <c r="AV134" s="868"/>
      <c r="AW134" s="868"/>
      <c r="AX134" s="868"/>
    </row>
    <row r="135" s="687" customFormat="1" ht="15.75" hidden="1" customHeight="1" spans="1:50">
      <c r="A135" s="3033"/>
      <c r="B135" s="754" t="s">
        <v>6401</v>
      </c>
      <c r="C135" s="864">
        <f>UnosNovoZaposl!C127</f>
        <v>0</v>
      </c>
      <c r="D135" s="864"/>
      <c r="E135" s="864"/>
      <c r="F135" s="864"/>
      <c r="G135" s="864"/>
      <c r="H135" s="864"/>
      <c r="I135" s="864"/>
      <c r="J135" s="864"/>
      <c r="K135" s="864"/>
      <c r="L135" s="864"/>
      <c r="M135" s="864"/>
      <c r="N135" s="3034">
        <f>UnosNovoZaposl!D127</f>
        <v>0</v>
      </c>
      <c r="O135" s="3035"/>
      <c r="P135" s="3035"/>
      <c r="Q135" s="3035"/>
      <c r="R135" s="3035"/>
      <c r="S135" s="3035"/>
      <c r="T135" s="3036"/>
      <c r="U135" s="868">
        <f>UnosNovoZaposl!E127</f>
        <v>0</v>
      </c>
      <c r="V135" s="868"/>
      <c r="W135" s="868"/>
      <c r="X135" s="868"/>
      <c r="Y135" s="868"/>
      <c r="Z135" s="868"/>
      <c r="AA135" s="868">
        <f>UnosNovoZaposl!B127</f>
        <v>0</v>
      </c>
      <c r="AB135" s="868"/>
      <c r="AC135" s="868"/>
      <c r="AD135" s="868"/>
      <c r="AE135" s="868"/>
      <c r="AF135" s="868"/>
      <c r="AG135" s="868">
        <f>UnosNovoZaposl!F127</f>
        <v>0</v>
      </c>
      <c r="AH135" s="868"/>
      <c r="AI135" s="868"/>
      <c r="AJ135" s="868"/>
      <c r="AK135" s="868"/>
      <c r="AL135" s="868"/>
      <c r="AM135" s="868">
        <f>UnosNovoZaposl!G127</f>
        <v>0</v>
      </c>
      <c r="AN135" s="868"/>
      <c r="AO135" s="868"/>
      <c r="AP135" s="868"/>
      <c r="AQ135" s="868"/>
      <c r="AR135" s="868"/>
      <c r="AS135" s="868">
        <f t="shared" si="1"/>
        <v>0</v>
      </c>
      <c r="AT135" s="868"/>
      <c r="AU135" s="868"/>
      <c r="AV135" s="868"/>
      <c r="AW135" s="868"/>
      <c r="AX135" s="868"/>
    </row>
    <row r="136" s="687" customFormat="1" ht="15.75" hidden="1" customHeight="1" spans="1:50">
      <c r="A136" s="3033"/>
      <c r="B136" s="754" t="s">
        <v>6402</v>
      </c>
      <c r="C136" s="864">
        <f>UnosNovoZaposl!C128</f>
        <v>0</v>
      </c>
      <c r="D136" s="864"/>
      <c r="E136" s="864"/>
      <c r="F136" s="864"/>
      <c r="G136" s="864"/>
      <c r="H136" s="864"/>
      <c r="I136" s="864"/>
      <c r="J136" s="864"/>
      <c r="K136" s="864"/>
      <c r="L136" s="864"/>
      <c r="M136" s="864"/>
      <c r="N136" s="3034">
        <f>UnosNovoZaposl!D128</f>
        <v>0</v>
      </c>
      <c r="O136" s="3035"/>
      <c r="P136" s="3035"/>
      <c r="Q136" s="3035"/>
      <c r="R136" s="3035"/>
      <c r="S136" s="3035"/>
      <c r="T136" s="3036"/>
      <c r="U136" s="868">
        <f>UnosNovoZaposl!E128</f>
        <v>0</v>
      </c>
      <c r="V136" s="868"/>
      <c r="W136" s="868"/>
      <c r="X136" s="868"/>
      <c r="Y136" s="868"/>
      <c r="Z136" s="868"/>
      <c r="AA136" s="868">
        <f>UnosNovoZaposl!B128</f>
        <v>0</v>
      </c>
      <c r="AB136" s="868"/>
      <c r="AC136" s="868"/>
      <c r="AD136" s="868"/>
      <c r="AE136" s="868"/>
      <c r="AF136" s="868"/>
      <c r="AG136" s="868">
        <f>UnosNovoZaposl!F128</f>
        <v>0</v>
      </c>
      <c r="AH136" s="868"/>
      <c r="AI136" s="868"/>
      <c r="AJ136" s="868"/>
      <c r="AK136" s="868"/>
      <c r="AL136" s="868"/>
      <c r="AM136" s="868">
        <f>UnosNovoZaposl!G128</f>
        <v>0</v>
      </c>
      <c r="AN136" s="868"/>
      <c r="AO136" s="868"/>
      <c r="AP136" s="868"/>
      <c r="AQ136" s="868"/>
      <c r="AR136" s="868"/>
      <c r="AS136" s="868">
        <f t="shared" si="1"/>
        <v>0</v>
      </c>
      <c r="AT136" s="868"/>
      <c r="AU136" s="868"/>
      <c r="AV136" s="868"/>
      <c r="AW136" s="868"/>
      <c r="AX136" s="868"/>
    </row>
    <row r="137" s="687" customFormat="1" ht="15.75" hidden="1" customHeight="1" spans="1:50">
      <c r="A137" s="3033"/>
      <c r="B137" s="754" t="s">
        <v>6403</v>
      </c>
      <c r="C137" s="864">
        <f>UnosNovoZaposl!C129</f>
        <v>0</v>
      </c>
      <c r="D137" s="864"/>
      <c r="E137" s="864"/>
      <c r="F137" s="864"/>
      <c r="G137" s="864"/>
      <c r="H137" s="864"/>
      <c r="I137" s="864"/>
      <c r="J137" s="864"/>
      <c r="K137" s="864"/>
      <c r="L137" s="864"/>
      <c r="M137" s="864"/>
      <c r="N137" s="3034">
        <f>UnosNovoZaposl!D129</f>
        <v>0</v>
      </c>
      <c r="O137" s="3035"/>
      <c r="P137" s="3035"/>
      <c r="Q137" s="3035"/>
      <c r="R137" s="3035"/>
      <c r="S137" s="3035"/>
      <c r="T137" s="3036"/>
      <c r="U137" s="868">
        <f>UnosNovoZaposl!E129</f>
        <v>0</v>
      </c>
      <c r="V137" s="868"/>
      <c r="W137" s="868"/>
      <c r="X137" s="868"/>
      <c r="Y137" s="868"/>
      <c r="Z137" s="868"/>
      <c r="AA137" s="868">
        <f>UnosNovoZaposl!B129</f>
        <v>0</v>
      </c>
      <c r="AB137" s="868"/>
      <c r="AC137" s="868"/>
      <c r="AD137" s="868"/>
      <c r="AE137" s="868"/>
      <c r="AF137" s="868"/>
      <c r="AG137" s="868">
        <f>UnosNovoZaposl!F129</f>
        <v>0</v>
      </c>
      <c r="AH137" s="868"/>
      <c r="AI137" s="868"/>
      <c r="AJ137" s="868"/>
      <c r="AK137" s="868"/>
      <c r="AL137" s="868"/>
      <c r="AM137" s="868">
        <f>UnosNovoZaposl!G129</f>
        <v>0</v>
      </c>
      <c r="AN137" s="868"/>
      <c r="AO137" s="868"/>
      <c r="AP137" s="868"/>
      <c r="AQ137" s="868"/>
      <c r="AR137" s="868"/>
      <c r="AS137" s="868">
        <f t="shared" si="1"/>
        <v>0</v>
      </c>
      <c r="AT137" s="868"/>
      <c r="AU137" s="868"/>
      <c r="AV137" s="868"/>
      <c r="AW137" s="868"/>
      <c r="AX137" s="868"/>
    </row>
    <row r="138" s="687" customFormat="1" ht="15.75" hidden="1" customHeight="1" spans="1:50">
      <c r="A138" s="3033"/>
      <c r="B138" s="754" t="s">
        <v>6404</v>
      </c>
      <c r="C138" s="864">
        <f>UnosNovoZaposl!C130</f>
        <v>0</v>
      </c>
      <c r="D138" s="864"/>
      <c r="E138" s="864"/>
      <c r="F138" s="864"/>
      <c r="G138" s="864"/>
      <c r="H138" s="864"/>
      <c r="I138" s="864"/>
      <c r="J138" s="864"/>
      <c r="K138" s="864"/>
      <c r="L138" s="864"/>
      <c r="M138" s="864"/>
      <c r="N138" s="3034">
        <f>UnosNovoZaposl!D130</f>
        <v>0</v>
      </c>
      <c r="O138" s="3035"/>
      <c r="P138" s="3035"/>
      <c r="Q138" s="3035"/>
      <c r="R138" s="3035"/>
      <c r="S138" s="3035"/>
      <c r="T138" s="3036"/>
      <c r="U138" s="868">
        <f>UnosNovoZaposl!E130</f>
        <v>0</v>
      </c>
      <c r="V138" s="868"/>
      <c r="W138" s="868"/>
      <c r="X138" s="868"/>
      <c r="Y138" s="868"/>
      <c r="Z138" s="868"/>
      <c r="AA138" s="868">
        <f>UnosNovoZaposl!B130</f>
        <v>0</v>
      </c>
      <c r="AB138" s="868"/>
      <c r="AC138" s="868"/>
      <c r="AD138" s="868"/>
      <c r="AE138" s="868"/>
      <c r="AF138" s="868"/>
      <c r="AG138" s="868">
        <f>UnosNovoZaposl!F130</f>
        <v>0</v>
      </c>
      <c r="AH138" s="868"/>
      <c r="AI138" s="868"/>
      <c r="AJ138" s="868"/>
      <c r="AK138" s="868"/>
      <c r="AL138" s="868"/>
      <c r="AM138" s="868">
        <f>UnosNovoZaposl!G130</f>
        <v>0</v>
      </c>
      <c r="AN138" s="868"/>
      <c r="AO138" s="868"/>
      <c r="AP138" s="868"/>
      <c r="AQ138" s="868"/>
      <c r="AR138" s="868"/>
      <c r="AS138" s="868">
        <f t="shared" si="1"/>
        <v>0</v>
      </c>
      <c r="AT138" s="868"/>
      <c r="AU138" s="868"/>
      <c r="AV138" s="868"/>
      <c r="AW138" s="868"/>
      <c r="AX138" s="868"/>
    </row>
    <row r="139" s="687" customFormat="1" ht="15.75" hidden="1" customHeight="1" spans="1:50">
      <c r="A139" s="3033"/>
      <c r="B139" s="754" t="s">
        <v>6405</v>
      </c>
      <c r="C139" s="864">
        <f>UnosNovoZaposl!C131</f>
        <v>0</v>
      </c>
      <c r="D139" s="864"/>
      <c r="E139" s="864"/>
      <c r="F139" s="864"/>
      <c r="G139" s="864"/>
      <c r="H139" s="864"/>
      <c r="I139" s="864"/>
      <c r="J139" s="864"/>
      <c r="K139" s="864"/>
      <c r="L139" s="864"/>
      <c r="M139" s="864"/>
      <c r="N139" s="3034">
        <f>UnosNovoZaposl!D131</f>
        <v>0</v>
      </c>
      <c r="O139" s="3035"/>
      <c r="P139" s="3035"/>
      <c r="Q139" s="3035"/>
      <c r="R139" s="3035"/>
      <c r="S139" s="3035"/>
      <c r="T139" s="3036"/>
      <c r="U139" s="868">
        <f>UnosNovoZaposl!E131</f>
        <v>0</v>
      </c>
      <c r="V139" s="868"/>
      <c r="W139" s="868"/>
      <c r="X139" s="868"/>
      <c r="Y139" s="868"/>
      <c r="Z139" s="868"/>
      <c r="AA139" s="868">
        <f>UnosNovoZaposl!B131</f>
        <v>0</v>
      </c>
      <c r="AB139" s="868"/>
      <c r="AC139" s="868"/>
      <c r="AD139" s="868"/>
      <c r="AE139" s="868"/>
      <c r="AF139" s="868"/>
      <c r="AG139" s="868">
        <f>UnosNovoZaposl!F131</f>
        <v>0</v>
      </c>
      <c r="AH139" s="868"/>
      <c r="AI139" s="868"/>
      <c r="AJ139" s="868"/>
      <c r="AK139" s="868"/>
      <c r="AL139" s="868"/>
      <c r="AM139" s="868">
        <f>UnosNovoZaposl!G131</f>
        <v>0</v>
      </c>
      <c r="AN139" s="868"/>
      <c r="AO139" s="868"/>
      <c r="AP139" s="868"/>
      <c r="AQ139" s="868"/>
      <c r="AR139" s="868"/>
      <c r="AS139" s="868">
        <f t="shared" si="1"/>
        <v>0</v>
      </c>
      <c r="AT139" s="868"/>
      <c r="AU139" s="868"/>
      <c r="AV139" s="868"/>
      <c r="AW139" s="868"/>
      <c r="AX139" s="868"/>
    </row>
    <row r="140" s="687" customFormat="1" ht="15.75" hidden="1" customHeight="1" spans="1:50">
      <c r="A140" s="3033"/>
      <c r="B140" s="754" t="s">
        <v>6406</v>
      </c>
      <c r="C140" s="864">
        <f>UnosNovoZaposl!C132</f>
        <v>0</v>
      </c>
      <c r="D140" s="864"/>
      <c r="E140" s="864"/>
      <c r="F140" s="864"/>
      <c r="G140" s="864"/>
      <c r="H140" s="864"/>
      <c r="I140" s="864"/>
      <c r="J140" s="864"/>
      <c r="K140" s="864"/>
      <c r="L140" s="864"/>
      <c r="M140" s="864"/>
      <c r="N140" s="3034">
        <f>UnosNovoZaposl!D132</f>
        <v>0</v>
      </c>
      <c r="O140" s="3035"/>
      <c r="P140" s="3035"/>
      <c r="Q140" s="3035"/>
      <c r="R140" s="3035"/>
      <c r="S140" s="3035"/>
      <c r="T140" s="3036"/>
      <c r="U140" s="868">
        <f>UnosNovoZaposl!E132</f>
        <v>0</v>
      </c>
      <c r="V140" s="868"/>
      <c r="W140" s="868"/>
      <c r="X140" s="868"/>
      <c r="Y140" s="868"/>
      <c r="Z140" s="868"/>
      <c r="AA140" s="868">
        <f>UnosNovoZaposl!B132</f>
        <v>0</v>
      </c>
      <c r="AB140" s="868"/>
      <c r="AC140" s="868"/>
      <c r="AD140" s="868"/>
      <c r="AE140" s="868"/>
      <c r="AF140" s="868"/>
      <c r="AG140" s="868">
        <f>UnosNovoZaposl!F132</f>
        <v>0</v>
      </c>
      <c r="AH140" s="868"/>
      <c r="AI140" s="868"/>
      <c r="AJ140" s="868"/>
      <c r="AK140" s="868"/>
      <c r="AL140" s="868"/>
      <c r="AM140" s="868">
        <f>UnosNovoZaposl!G132</f>
        <v>0</v>
      </c>
      <c r="AN140" s="868"/>
      <c r="AO140" s="868"/>
      <c r="AP140" s="868"/>
      <c r="AQ140" s="868"/>
      <c r="AR140" s="868"/>
      <c r="AS140" s="868">
        <f t="shared" si="1"/>
        <v>0</v>
      </c>
      <c r="AT140" s="868"/>
      <c r="AU140" s="868"/>
      <c r="AV140" s="868"/>
      <c r="AW140" s="868"/>
      <c r="AX140" s="868"/>
    </row>
    <row r="141" s="687" customFormat="1" ht="15.75" hidden="1" customHeight="1" spans="1:50">
      <c r="A141" s="3033"/>
      <c r="B141" s="754" t="s">
        <v>6407</v>
      </c>
      <c r="C141" s="864">
        <f>UnosNovoZaposl!C133</f>
        <v>0</v>
      </c>
      <c r="D141" s="864"/>
      <c r="E141" s="864"/>
      <c r="F141" s="864"/>
      <c r="G141" s="864"/>
      <c r="H141" s="864"/>
      <c r="I141" s="864"/>
      <c r="J141" s="864"/>
      <c r="K141" s="864"/>
      <c r="L141" s="864"/>
      <c r="M141" s="864"/>
      <c r="N141" s="3034">
        <f>UnosNovoZaposl!D133</f>
        <v>0</v>
      </c>
      <c r="O141" s="3035"/>
      <c r="P141" s="3035"/>
      <c r="Q141" s="3035"/>
      <c r="R141" s="3035"/>
      <c r="S141" s="3035"/>
      <c r="T141" s="3036"/>
      <c r="U141" s="868">
        <f>UnosNovoZaposl!E133</f>
        <v>0</v>
      </c>
      <c r="V141" s="868"/>
      <c r="W141" s="868"/>
      <c r="X141" s="868"/>
      <c r="Y141" s="868"/>
      <c r="Z141" s="868"/>
      <c r="AA141" s="868">
        <f>UnosNovoZaposl!B133</f>
        <v>0</v>
      </c>
      <c r="AB141" s="868"/>
      <c r="AC141" s="868"/>
      <c r="AD141" s="868"/>
      <c r="AE141" s="868"/>
      <c r="AF141" s="868"/>
      <c r="AG141" s="868">
        <f>UnosNovoZaposl!F133</f>
        <v>0</v>
      </c>
      <c r="AH141" s="868"/>
      <c r="AI141" s="868"/>
      <c r="AJ141" s="868"/>
      <c r="AK141" s="868"/>
      <c r="AL141" s="868"/>
      <c r="AM141" s="868">
        <f>UnosNovoZaposl!G133</f>
        <v>0</v>
      </c>
      <c r="AN141" s="868"/>
      <c r="AO141" s="868"/>
      <c r="AP141" s="868"/>
      <c r="AQ141" s="868"/>
      <c r="AR141" s="868"/>
      <c r="AS141" s="868">
        <f t="shared" si="1"/>
        <v>0</v>
      </c>
      <c r="AT141" s="868"/>
      <c r="AU141" s="868"/>
      <c r="AV141" s="868"/>
      <c r="AW141" s="868"/>
      <c r="AX141" s="868"/>
    </row>
    <row r="142" s="687" customFormat="1" ht="15.75" hidden="1" customHeight="1" spans="1:50">
      <c r="A142" s="3033"/>
      <c r="B142" s="754" t="s">
        <v>6408</v>
      </c>
      <c r="C142" s="864">
        <f>UnosNovoZaposl!C134</f>
        <v>0</v>
      </c>
      <c r="D142" s="864"/>
      <c r="E142" s="864"/>
      <c r="F142" s="864"/>
      <c r="G142" s="864"/>
      <c r="H142" s="864"/>
      <c r="I142" s="864"/>
      <c r="J142" s="864"/>
      <c r="K142" s="864"/>
      <c r="L142" s="864"/>
      <c r="M142" s="864"/>
      <c r="N142" s="3034">
        <f>UnosNovoZaposl!D134</f>
        <v>0</v>
      </c>
      <c r="O142" s="3035"/>
      <c r="P142" s="3035"/>
      <c r="Q142" s="3035"/>
      <c r="R142" s="3035"/>
      <c r="S142" s="3035"/>
      <c r="T142" s="3036"/>
      <c r="U142" s="868">
        <f>UnosNovoZaposl!E134</f>
        <v>0</v>
      </c>
      <c r="V142" s="868"/>
      <c r="W142" s="868"/>
      <c r="X142" s="868"/>
      <c r="Y142" s="868"/>
      <c r="Z142" s="868"/>
      <c r="AA142" s="868">
        <f>UnosNovoZaposl!B134</f>
        <v>0</v>
      </c>
      <c r="AB142" s="868"/>
      <c r="AC142" s="868"/>
      <c r="AD142" s="868"/>
      <c r="AE142" s="868"/>
      <c r="AF142" s="868"/>
      <c r="AG142" s="868">
        <f>UnosNovoZaposl!F134</f>
        <v>0</v>
      </c>
      <c r="AH142" s="868"/>
      <c r="AI142" s="868"/>
      <c r="AJ142" s="868"/>
      <c r="AK142" s="868"/>
      <c r="AL142" s="868"/>
      <c r="AM142" s="868">
        <f>UnosNovoZaposl!G134</f>
        <v>0</v>
      </c>
      <c r="AN142" s="868"/>
      <c r="AO142" s="868"/>
      <c r="AP142" s="868"/>
      <c r="AQ142" s="868"/>
      <c r="AR142" s="868"/>
      <c r="AS142" s="868">
        <f t="shared" ref="AS142:AS205" si="2">AG142+AM142</f>
        <v>0</v>
      </c>
      <c r="AT142" s="868"/>
      <c r="AU142" s="868"/>
      <c r="AV142" s="868"/>
      <c r="AW142" s="868"/>
      <c r="AX142" s="868"/>
    </row>
    <row r="143" s="687" customFormat="1" ht="15.75" hidden="1" customHeight="1" spans="1:50">
      <c r="A143" s="3033"/>
      <c r="B143" s="754" t="s">
        <v>6409</v>
      </c>
      <c r="C143" s="864">
        <f>UnosNovoZaposl!C135</f>
        <v>0</v>
      </c>
      <c r="D143" s="864"/>
      <c r="E143" s="864"/>
      <c r="F143" s="864"/>
      <c r="G143" s="864"/>
      <c r="H143" s="864"/>
      <c r="I143" s="864"/>
      <c r="J143" s="864"/>
      <c r="K143" s="864"/>
      <c r="L143" s="864"/>
      <c r="M143" s="864"/>
      <c r="N143" s="3034">
        <f>UnosNovoZaposl!D135</f>
        <v>0</v>
      </c>
      <c r="O143" s="3035"/>
      <c r="P143" s="3035"/>
      <c r="Q143" s="3035"/>
      <c r="R143" s="3035"/>
      <c r="S143" s="3035"/>
      <c r="T143" s="3036"/>
      <c r="U143" s="868">
        <f>UnosNovoZaposl!E135</f>
        <v>0</v>
      </c>
      <c r="V143" s="868"/>
      <c r="W143" s="868"/>
      <c r="X143" s="868"/>
      <c r="Y143" s="868"/>
      <c r="Z143" s="868"/>
      <c r="AA143" s="868">
        <f>UnosNovoZaposl!B135</f>
        <v>0</v>
      </c>
      <c r="AB143" s="868"/>
      <c r="AC143" s="868"/>
      <c r="AD143" s="868"/>
      <c r="AE143" s="868"/>
      <c r="AF143" s="868"/>
      <c r="AG143" s="868">
        <f>UnosNovoZaposl!F135</f>
        <v>0</v>
      </c>
      <c r="AH143" s="868"/>
      <c r="AI143" s="868"/>
      <c r="AJ143" s="868"/>
      <c r="AK143" s="868"/>
      <c r="AL143" s="868"/>
      <c r="AM143" s="868">
        <f>UnosNovoZaposl!G135</f>
        <v>0</v>
      </c>
      <c r="AN143" s="868"/>
      <c r="AO143" s="868"/>
      <c r="AP143" s="868"/>
      <c r="AQ143" s="868"/>
      <c r="AR143" s="868"/>
      <c r="AS143" s="868">
        <f t="shared" si="2"/>
        <v>0</v>
      </c>
      <c r="AT143" s="868"/>
      <c r="AU143" s="868"/>
      <c r="AV143" s="868"/>
      <c r="AW143" s="868"/>
      <c r="AX143" s="868"/>
    </row>
    <row r="144" s="687" customFormat="1" ht="15.75" hidden="1" customHeight="1" spans="1:50">
      <c r="A144" s="3033"/>
      <c r="B144" s="754" t="s">
        <v>6410</v>
      </c>
      <c r="C144" s="864">
        <f>UnosNovoZaposl!C136</f>
        <v>0</v>
      </c>
      <c r="D144" s="864"/>
      <c r="E144" s="864"/>
      <c r="F144" s="864"/>
      <c r="G144" s="864"/>
      <c r="H144" s="864"/>
      <c r="I144" s="864"/>
      <c r="J144" s="864"/>
      <c r="K144" s="864"/>
      <c r="L144" s="864"/>
      <c r="M144" s="864"/>
      <c r="N144" s="3034">
        <f>UnosNovoZaposl!D136</f>
        <v>0</v>
      </c>
      <c r="O144" s="3035"/>
      <c r="P144" s="3035"/>
      <c r="Q144" s="3035"/>
      <c r="R144" s="3035"/>
      <c r="S144" s="3035"/>
      <c r="T144" s="3036"/>
      <c r="U144" s="868">
        <f>UnosNovoZaposl!E136</f>
        <v>0</v>
      </c>
      <c r="V144" s="868"/>
      <c r="W144" s="868"/>
      <c r="X144" s="868"/>
      <c r="Y144" s="868"/>
      <c r="Z144" s="868"/>
      <c r="AA144" s="868">
        <f>UnosNovoZaposl!B136</f>
        <v>0</v>
      </c>
      <c r="AB144" s="868"/>
      <c r="AC144" s="868"/>
      <c r="AD144" s="868"/>
      <c r="AE144" s="868"/>
      <c r="AF144" s="868"/>
      <c r="AG144" s="868">
        <f>UnosNovoZaposl!F136</f>
        <v>0</v>
      </c>
      <c r="AH144" s="868"/>
      <c r="AI144" s="868"/>
      <c r="AJ144" s="868"/>
      <c r="AK144" s="868"/>
      <c r="AL144" s="868"/>
      <c r="AM144" s="868">
        <f>UnosNovoZaposl!G136</f>
        <v>0</v>
      </c>
      <c r="AN144" s="868"/>
      <c r="AO144" s="868"/>
      <c r="AP144" s="868"/>
      <c r="AQ144" s="868"/>
      <c r="AR144" s="868"/>
      <c r="AS144" s="868">
        <f t="shared" si="2"/>
        <v>0</v>
      </c>
      <c r="AT144" s="868"/>
      <c r="AU144" s="868"/>
      <c r="AV144" s="868"/>
      <c r="AW144" s="868"/>
      <c r="AX144" s="868"/>
    </row>
    <row r="145" s="687" customFormat="1" ht="15.75" hidden="1" customHeight="1" spans="1:50">
      <c r="A145" s="3033"/>
      <c r="B145" s="754" t="s">
        <v>6411</v>
      </c>
      <c r="C145" s="864">
        <f>UnosNovoZaposl!C137</f>
        <v>0</v>
      </c>
      <c r="D145" s="864"/>
      <c r="E145" s="864"/>
      <c r="F145" s="864"/>
      <c r="G145" s="864"/>
      <c r="H145" s="864"/>
      <c r="I145" s="864"/>
      <c r="J145" s="864"/>
      <c r="K145" s="864"/>
      <c r="L145" s="864"/>
      <c r="M145" s="864"/>
      <c r="N145" s="3034">
        <f>UnosNovoZaposl!D137</f>
        <v>0</v>
      </c>
      <c r="O145" s="3035"/>
      <c r="P145" s="3035"/>
      <c r="Q145" s="3035"/>
      <c r="R145" s="3035"/>
      <c r="S145" s="3035"/>
      <c r="T145" s="3036"/>
      <c r="U145" s="868">
        <f>UnosNovoZaposl!E137</f>
        <v>0</v>
      </c>
      <c r="V145" s="868"/>
      <c r="W145" s="868"/>
      <c r="X145" s="868"/>
      <c r="Y145" s="868"/>
      <c r="Z145" s="868"/>
      <c r="AA145" s="868">
        <f>UnosNovoZaposl!B137</f>
        <v>0</v>
      </c>
      <c r="AB145" s="868"/>
      <c r="AC145" s="868"/>
      <c r="AD145" s="868"/>
      <c r="AE145" s="868"/>
      <c r="AF145" s="868"/>
      <c r="AG145" s="868">
        <f>UnosNovoZaposl!F137</f>
        <v>0</v>
      </c>
      <c r="AH145" s="868"/>
      <c r="AI145" s="868"/>
      <c r="AJ145" s="868"/>
      <c r="AK145" s="868"/>
      <c r="AL145" s="868"/>
      <c r="AM145" s="868">
        <f>UnosNovoZaposl!G137</f>
        <v>0</v>
      </c>
      <c r="AN145" s="868"/>
      <c r="AO145" s="868"/>
      <c r="AP145" s="868"/>
      <c r="AQ145" s="868"/>
      <c r="AR145" s="868"/>
      <c r="AS145" s="868">
        <f t="shared" si="2"/>
        <v>0</v>
      </c>
      <c r="AT145" s="868"/>
      <c r="AU145" s="868"/>
      <c r="AV145" s="868"/>
      <c r="AW145" s="868"/>
      <c r="AX145" s="868"/>
    </row>
    <row r="146" s="687" customFormat="1" ht="15.75" hidden="1" customHeight="1" spans="1:50">
      <c r="A146" s="3033"/>
      <c r="B146" s="754" t="s">
        <v>6412</v>
      </c>
      <c r="C146" s="864">
        <f>UnosNovoZaposl!C138</f>
        <v>0</v>
      </c>
      <c r="D146" s="864"/>
      <c r="E146" s="864"/>
      <c r="F146" s="864"/>
      <c r="G146" s="864"/>
      <c r="H146" s="864"/>
      <c r="I146" s="864"/>
      <c r="J146" s="864"/>
      <c r="K146" s="864"/>
      <c r="L146" s="864"/>
      <c r="M146" s="864"/>
      <c r="N146" s="3034">
        <f>UnosNovoZaposl!D138</f>
        <v>0</v>
      </c>
      <c r="O146" s="3035"/>
      <c r="P146" s="3035"/>
      <c r="Q146" s="3035"/>
      <c r="R146" s="3035"/>
      <c r="S146" s="3035"/>
      <c r="T146" s="3036"/>
      <c r="U146" s="868">
        <f>UnosNovoZaposl!E138</f>
        <v>0</v>
      </c>
      <c r="V146" s="868"/>
      <c r="W146" s="868"/>
      <c r="X146" s="868"/>
      <c r="Y146" s="868"/>
      <c r="Z146" s="868"/>
      <c r="AA146" s="868">
        <f>UnosNovoZaposl!B138</f>
        <v>0</v>
      </c>
      <c r="AB146" s="868"/>
      <c r="AC146" s="868"/>
      <c r="AD146" s="868"/>
      <c r="AE146" s="868"/>
      <c r="AF146" s="868"/>
      <c r="AG146" s="868">
        <f>UnosNovoZaposl!F138</f>
        <v>0</v>
      </c>
      <c r="AH146" s="868"/>
      <c r="AI146" s="868"/>
      <c r="AJ146" s="868"/>
      <c r="AK146" s="868"/>
      <c r="AL146" s="868"/>
      <c r="AM146" s="868">
        <f>UnosNovoZaposl!G138</f>
        <v>0</v>
      </c>
      <c r="AN146" s="868"/>
      <c r="AO146" s="868"/>
      <c r="AP146" s="868"/>
      <c r="AQ146" s="868"/>
      <c r="AR146" s="868"/>
      <c r="AS146" s="868">
        <f t="shared" si="2"/>
        <v>0</v>
      </c>
      <c r="AT146" s="868"/>
      <c r="AU146" s="868"/>
      <c r="AV146" s="868"/>
      <c r="AW146" s="868"/>
      <c r="AX146" s="868"/>
    </row>
    <row r="147" s="687" customFormat="1" ht="15.75" hidden="1" customHeight="1" spans="1:50">
      <c r="A147" s="3033"/>
      <c r="B147" s="754" t="s">
        <v>6413</v>
      </c>
      <c r="C147" s="864">
        <f>UnosNovoZaposl!C139</f>
        <v>0</v>
      </c>
      <c r="D147" s="864"/>
      <c r="E147" s="864"/>
      <c r="F147" s="864"/>
      <c r="G147" s="864"/>
      <c r="H147" s="864"/>
      <c r="I147" s="864"/>
      <c r="J147" s="864"/>
      <c r="K147" s="864"/>
      <c r="L147" s="864"/>
      <c r="M147" s="864"/>
      <c r="N147" s="3034">
        <f>UnosNovoZaposl!D139</f>
        <v>0</v>
      </c>
      <c r="O147" s="3035"/>
      <c r="P147" s="3035"/>
      <c r="Q147" s="3035"/>
      <c r="R147" s="3035"/>
      <c r="S147" s="3035"/>
      <c r="T147" s="3036"/>
      <c r="U147" s="868">
        <f>UnosNovoZaposl!E139</f>
        <v>0</v>
      </c>
      <c r="V147" s="868"/>
      <c r="W147" s="868"/>
      <c r="X147" s="868"/>
      <c r="Y147" s="868"/>
      <c r="Z147" s="868"/>
      <c r="AA147" s="868">
        <f>UnosNovoZaposl!B139</f>
        <v>0</v>
      </c>
      <c r="AB147" s="868"/>
      <c r="AC147" s="868"/>
      <c r="AD147" s="868"/>
      <c r="AE147" s="868"/>
      <c r="AF147" s="868"/>
      <c r="AG147" s="868">
        <f>UnosNovoZaposl!F139</f>
        <v>0</v>
      </c>
      <c r="AH147" s="868"/>
      <c r="AI147" s="868"/>
      <c r="AJ147" s="868"/>
      <c r="AK147" s="868"/>
      <c r="AL147" s="868"/>
      <c r="AM147" s="868">
        <f>UnosNovoZaposl!G139</f>
        <v>0</v>
      </c>
      <c r="AN147" s="868"/>
      <c r="AO147" s="868"/>
      <c r="AP147" s="868"/>
      <c r="AQ147" s="868"/>
      <c r="AR147" s="868"/>
      <c r="AS147" s="868">
        <f t="shared" si="2"/>
        <v>0</v>
      </c>
      <c r="AT147" s="868"/>
      <c r="AU147" s="868"/>
      <c r="AV147" s="868"/>
      <c r="AW147" s="868"/>
      <c r="AX147" s="868"/>
    </row>
    <row r="148" s="687" customFormat="1" ht="15.75" hidden="1" customHeight="1" spans="1:50">
      <c r="A148" s="3033"/>
      <c r="B148" s="754" t="s">
        <v>6414</v>
      </c>
      <c r="C148" s="864">
        <f>UnosNovoZaposl!C140</f>
        <v>0</v>
      </c>
      <c r="D148" s="864"/>
      <c r="E148" s="864"/>
      <c r="F148" s="864"/>
      <c r="G148" s="864"/>
      <c r="H148" s="864"/>
      <c r="I148" s="864"/>
      <c r="J148" s="864"/>
      <c r="K148" s="864"/>
      <c r="L148" s="864"/>
      <c r="M148" s="864"/>
      <c r="N148" s="3034">
        <f>UnosNovoZaposl!D140</f>
        <v>0</v>
      </c>
      <c r="O148" s="3035"/>
      <c r="P148" s="3035"/>
      <c r="Q148" s="3035"/>
      <c r="R148" s="3035"/>
      <c r="S148" s="3035"/>
      <c r="T148" s="3036"/>
      <c r="U148" s="868">
        <f>UnosNovoZaposl!E140</f>
        <v>0</v>
      </c>
      <c r="V148" s="868"/>
      <c r="W148" s="868"/>
      <c r="X148" s="868"/>
      <c r="Y148" s="868"/>
      <c r="Z148" s="868"/>
      <c r="AA148" s="868">
        <f>UnosNovoZaposl!B140</f>
        <v>0</v>
      </c>
      <c r="AB148" s="868"/>
      <c r="AC148" s="868"/>
      <c r="AD148" s="868"/>
      <c r="AE148" s="868"/>
      <c r="AF148" s="868"/>
      <c r="AG148" s="868">
        <f>UnosNovoZaposl!F140</f>
        <v>0</v>
      </c>
      <c r="AH148" s="868"/>
      <c r="AI148" s="868"/>
      <c r="AJ148" s="868"/>
      <c r="AK148" s="868"/>
      <c r="AL148" s="868"/>
      <c r="AM148" s="868">
        <f>UnosNovoZaposl!G140</f>
        <v>0</v>
      </c>
      <c r="AN148" s="868"/>
      <c r="AO148" s="868"/>
      <c r="AP148" s="868"/>
      <c r="AQ148" s="868"/>
      <c r="AR148" s="868"/>
      <c r="AS148" s="868">
        <f t="shared" si="2"/>
        <v>0</v>
      </c>
      <c r="AT148" s="868"/>
      <c r="AU148" s="868"/>
      <c r="AV148" s="868"/>
      <c r="AW148" s="868"/>
      <c r="AX148" s="868"/>
    </row>
    <row r="149" s="687" customFormat="1" ht="15.75" hidden="1" customHeight="1" spans="1:50">
      <c r="A149" s="3033"/>
      <c r="B149" s="754" t="s">
        <v>6415</v>
      </c>
      <c r="C149" s="864">
        <f>UnosNovoZaposl!C141</f>
        <v>0</v>
      </c>
      <c r="D149" s="864"/>
      <c r="E149" s="864"/>
      <c r="F149" s="864"/>
      <c r="G149" s="864"/>
      <c r="H149" s="864"/>
      <c r="I149" s="864"/>
      <c r="J149" s="864"/>
      <c r="K149" s="864"/>
      <c r="L149" s="864"/>
      <c r="M149" s="864"/>
      <c r="N149" s="3034">
        <f>UnosNovoZaposl!D141</f>
        <v>0</v>
      </c>
      <c r="O149" s="3035"/>
      <c r="P149" s="3035"/>
      <c r="Q149" s="3035"/>
      <c r="R149" s="3035"/>
      <c r="S149" s="3035"/>
      <c r="T149" s="3036"/>
      <c r="U149" s="868">
        <f>UnosNovoZaposl!E141</f>
        <v>0</v>
      </c>
      <c r="V149" s="868"/>
      <c r="W149" s="868"/>
      <c r="X149" s="868"/>
      <c r="Y149" s="868"/>
      <c r="Z149" s="868"/>
      <c r="AA149" s="868">
        <f>UnosNovoZaposl!B141</f>
        <v>0</v>
      </c>
      <c r="AB149" s="868"/>
      <c r="AC149" s="868"/>
      <c r="AD149" s="868"/>
      <c r="AE149" s="868"/>
      <c r="AF149" s="868"/>
      <c r="AG149" s="868">
        <f>UnosNovoZaposl!F141</f>
        <v>0</v>
      </c>
      <c r="AH149" s="868"/>
      <c r="AI149" s="868"/>
      <c r="AJ149" s="868"/>
      <c r="AK149" s="868"/>
      <c r="AL149" s="868"/>
      <c r="AM149" s="868">
        <f>UnosNovoZaposl!G141</f>
        <v>0</v>
      </c>
      <c r="AN149" s="868"/>
      <c r="AO149" s="868"/>
      <c r="AP149" s="868"/>
      <c r="AQ149" s="868"/>
      <c r="AR149" s="868"/>
      <c r="AS149" s="868">
        <f t="shared" si="2"/>
        <v>0</v>
      </c>
      <c r="AT149" s="868"/>
      <c r="AU149" s="868"/>
      <c r="AV149" s="868"/>
      <c r="AW149" s="868"/>
      <c r="AX149" s="868"/>
    </row>
    <row r="150" s="687" customFormat="1" ht="15.75" hidden="1" customHeight="1" spans="1:50">
      <c r="A150" s="3033"/>
      <c r="B150" s="754" t="s">
        <v>6416</v>
      </c>
      <c r="C150" s="864">
        <f>UnosNovoZaposl!C142</f>
        <v>0</v>
      </c>
      <c r="D150" s="864"/>
      <c r="E150" s="864"/>
      <c r="F150" s="864"/>
      <c r="G150" s="864"/>
      <c r="H150" s="864"/>
      <c r="I150" s="864"/>
      <c r="J150" s="864"/>
      <c r="K150" s="864"/>
      <c r="L150" s="864"/>
      <c r="M150" s="864"/>
      <c r="N150" s="3034">
        <f>UnosNovoZaposl!D142</f>
        <v>0</v>
      </c>
      <c r="O150" s="3035"/>
      <c r="P150" s="3035"/>
      <c r="Q150" s="3035"/>
      <c r="R150" s="3035"/>
      <c r="S150" s="3035"/>
      <c r="T150" s="3036"/>
      <c r="U150" s="868">
        <f>UnosNovoZaposl!E142</f>
        <v>0</v>
      </c>
      <c r="V150" s="868"/>
      <c r="W150" s="868"/>
      <c r="X150" s="868"/>
      <c r="Y150" s="868"/>
      <c r="Z150" s="868"/>
      <c r="AA150" s="868">
        <f>UnosNovoZaposl!B142</f>
        <v>0</v>
      </c>
      <c r="AB150" s="868"/>
      <c r="AC150" s="868"/>
      <c r="AD150" s="868"/>
      <c r="AE150" s="868"/>
      <c r="AF150" s="868"/>
      <c r="AG150" s="868">
        <f>UnosNovoZaposl!F142</f>
        <v>0</v>
      </c>
      <c r="AH150" s="868"/>
      <c r="AI150" s="868"/>
      <c r="AJ150" s="868"/>
      <c r="AK150" s="868"/>
      <c r="AL150" s="868"/>
      <c r="AM150" s="868">
        <f>UnosNovoZaposl!G142</f>
        <v>0</v>
      </c>
      <c r="AN150" s="868"/>
      <c r="AO150" s="868"/>
      <c r="AP150" s="868"/>
      <c r="AQ150" s="868"/>
      <c r="AR150" s="868"/>
      <c r="AS150" s="868">
        <f t="shared" si="2"/>
        <v>0</v>
      </c>
      <c r="AT150" s="868"/>
      <c r="AU150" s="868"/>
      <c r="AV150" s="868"/>
      <c r="AW150" s="868"/>
      <c r="AX150" s="868"/>
    </row>
    <row r="151" s="687" customFormat="1" ht="15.75" hidden="1" customHeight="1" spans="1:50">
      <c r="A151" s="3033"/>
      <c r="B151" s="754" t="s">
        <v>6417</v>
      </c>
      <c r="C151" s="864">
        <f>UnosNovoZaposl!C143</f>
        <v>0</v>
      </c>
      <c r="D151" s="864"/>
      <c r="E151" s="864"/>
      <c r="F151" s="864"/>
      <c r="G151" s="864"/>
      <c r="H151" s="864"/>
      <c r="I151" s="864"/>
      <c r="J151" s="864"/>
      <c r="K151" s="864"/>
      <c r="L151" s="864"/>
      <c r="M151" s="864"/>
      <c r="N151" s="3034">
        <f>UnosNovoZaposl!D143</f>
        <v>0</v>
      </c>
      <c r="O151" s="3035"/>
      <c r="P151" s="3035"/>
      <c r="Q151" s="3035"/>
      <c r="R151" s="3035"/>
      <c r="S151" s="3035"/>
      <c r="T151" s="3036"/>
      <c r="U151" s="868">
        <f>UnosNovoZaposl!E143</f>
        <v>0</v>
      </c>
      <c r="V151" s="868"/>
      <c r="W151" s="868"/>
      <c r="X151" s="868"/>
      <c r="Y151" s="868"/>
      <c r="Z151" s="868"/>
      <c r="AA151" s="868">
        <f>UnosNovoZaposl!B143</f>
        <v>0</v>
      </c>
      <c r="AB151" s="868"/>
      <c r="AC151" s="868"/>
      <c r="AD151" s="868"/>
      <c r="AE151" s="868"/>
      <c r="AF151" s="868"/>
      <c r="AG151" s="868">
        <f>UnosNovoZaposl!F143</f>
        <v>0</v>
      </c>
      <c r="AH151" s="868"/>
      <c r="AI151" s="868"/>
      <c r="AJ151" s="868"/>
      <c r="AK151" s="868"/>
      <c r="AL151" s="868"/>
      <c r="AM151" s="868">
        <f>UnosNovoZaposl!G143</f>
        <v>0</v>
      </c>
      <c r="AN151" s="868"/>
      <c r="AO151" s="868"/>
      <c r="AP151" s="868"/>
      <c r="AQ151" s="868"/>
      <c r="AR151" s="868"/>
      <c r="AS151" s="868">
        <f t="shared" si="2"/>
        <v>0</v>
      </c>
      <c r="AT151" s="868"/>
      <c r="AU151" s="868"/>
      <c r="AV151" s="868"/>
      <c r="AW151" s="868"/>
      <c r="AX151" s="868"/>
    </row>
    <row r="152" s="687" customFormat="1" ht="15.75" hidden="1" customHeight="1" spans="1:50">
      <c r="A152" s="3033"/>
      <c r="B152" s="754" t="s">
        <v>6418</v>
      </c>
      <c r="C152" s="864">
        <f>UnosNovoZaposl!C144</f>
        <v>0</v>
      </c>
      <c r="D152" s="864"/>
      <c r="E152" s="864"/>
      <c r="F152" s="864"/>
      <c r="G152" s="864"/>
      <c r="H152" s="864"/>
      <c r="I152" s="864"/>
      <c r="J152" s="864"/>
      <c r="K152" s="864"/>
      <c r="L152" s="864"/>
      <c r="M152" s="864"/>
      <c r="N152" s="3034">
        <f>UnosNovoZaposl!D144</f>
        <v>0</v>
      </c>
      <c r="O152" s="3035"/>
      <c r="P152" s="3035"/>
      <c r="Q152" s="3035"/>
      <c r="R152" s="3035"/>
      <c r="S152" s="3035"/>
      <c r="T152" s="3036"/>
      <c r="U152" s="868">
        <f>UnosNovoZaposl!E144</f>
        <v>0</v>
      </c>
      <c r="V152" s="868"/>
      <c r="W152" s="868"/>
      <c r="X152" s="868"/>
      <c r="Y152" s="868"/>
      <c r="Z152" s="868"/>
      <c r="AA152" s="868">
        <f>UnosNovoZaposl!B144</f>
        <v>0</v>
      </c>
      <c r="AB152" s="868"/>
      <c r="AC152" s="868"/>
      <c r="AD152" s="868"/>
      <c r="AE152" s="868"/>
      <c r="AF152" s="868"/>
      <c r="AG152" s="868">
        <f>UnosNovoZaposl!F144</f>
        <v>0</v>
      </c>
      <c r="AH152" s="868"/>
      <c r="AI152" s="868"/>
      <c r="AJ152" s="868"/>
      <c r="AK152" s="868"/>
      <c r="AL152" s="868"/>
      <c r="AM152" s="868">
        <f>UnosNovoZaposl!G144</f>
        <v>0</v>
      </c>
      <c r="AN152" s="868"/>
      <c r="AO152" s="868"/>
      <c r="AP152" s="868"/>
      <c r="AQ152" s="868"/>
      <c r="AR152" s="868"/>
      <c r="AS152" s="868">
        <f t="shared" si="2"/>
        <v>0</v>
      </c>
      <c r="AT152" s="868"/>
      <c r="AU152" s="868"/>
      <c r="AV152" s="868"/>
      <c r="AW152" s="868"/>
      <c r="AX152" s="868"/>
    </row>
    <row r="153" s="687" customFormat="1" ht="15.75" hidden="1" customHeight="1" spans="1:50">
      <c r="A153" s="3033"/>
      <c r="B153" s="754" t="s">
        <v>6419</v>
      </c>
      <c r="C153" s="864">
        <f>UnosNovoZaposl!C145</f>
        <v>0</v>
      </c>
      <c r="D153" s="864"/>
      <c r="E153" s="864"/>
      <c r="F153" s="864"/>
      <c r="G153" s="864"/>
      <c r="H153" s="864"/>
      <c r="I153" s="864"/>
      <c r="J153" s="864"/>
      <c r="K153" s="864"/>
      <c r="L153" s="864"/>
      <c r="M153" s="864"/>
      <c r="N153" s="3034">
        <f>UnosNovoZaposl!D145</f>
        <v>0</v>
      </c>
      <c r="O153" s="3035"/>
      <c r="P153" s="3035"/>
      <c r="Q153" s="3035"/>
      <c r="R153" s="3035"/>
      <c r="S153" s="3035"/>
      <c r="T153" s="3036"/>
      <c r="U153" s="868">
        <f>UnosNovoZaposl!E145</f>
        <v>0</v>
      </c>
      <c r="V153" s="868"/>
      <c r="W153" s="868"/>
      <c r="X153" s="868"/>
      <c r="Y153" s="868"/>
      <c r="Z153" s="868"/>
      <c r="AA153" s="868">
        <f>UnosNovoZaposl!B145</f>
        <v>0</v>
      </c>
      <c r="AB153" s="868"/>
      <c r="AC153" s="868"/>
      <c r="AD153" s="868"/>
      <c r="AE153" s="868"/>
      <c r="AF153" s="868"/>
      <c r="AG153" s="868">
        <f>UnosNovoZaposl!F145</f>
        <v>0</v>
      </c>
      <c r="AH153" s="868"/>
      <c r="AI153" s="868"/>
      <c r="AJ153" s="868"/>
      <c r="AK153" s="868"/>
      <c r="AL153" s="868"/>
      <c r="AM153" s="868">
        <f>UnosNovoZaposl!G145</f>
        <v>0</v>
      </c>
      <c r="AN153" s="868"/>
      <c r="AO153" s="868"/>
      <c r="AP153" s="868"/>
      <c r="AQ153" s="868"/>
      <c r="AR153" s="868"/>
      <c r="AS153" s="868">
        <f t="shared" si="2"/>
        <v>0</v>
      </c>
      <c r="AT153" s="868"/>
      <c r="AU153" s="868"/>
      <c r="AV153" s="868"/>
      <c r="AW153" s="868"/>
      <c r="AX153" s="868"/>
    </row>
    <row r="154" s="687" customFormat="1" ht="15.75" hidden="1" customHeight="1" spans="1:50">
      <c r="A154" s="3033"/>
      <c r="B154" s="754" t="s">
        <v>6420</v>
      </c>
      <c r="C154" s="864">
        <f>UnosNovoZaposl!C146</f>
        <v>0</v>
      </c>
      <c r="D154" s="864"/>
      <c r="E154" s="864"/>
      <c r="F154" s="864"/>
      <c r="G154" s="864"/>
      <c r="H154" s="864"/>
      <c r="I154" s="864"/>
      <c r="J154" s="864"/>
      <c r="K154" s="864"/>
      <c r="L154" s="864"/>
      <c r="M154" s="864"/>
      <c r="N154" s="3034">
        <f>UnosNovoZaposl!D146</f>
        <v>0</v>
      </c>
      <c r="O154" s="3035"/>
      <c r="P154" s="3035"/>
      <c r="Q154" s="3035"/>
      <c r="R154" s="3035"/>
      <c r="S154" s="3035"/>
      <c r="T154" s="3036"/>
      <c r="U154" s="868">
        <f>UnosNovoZaposl!E146</f>
        <v>0</v>
      </c>
      <c r="V154" s="868"/>
      <c r="W154" s="868"/>
      <c r="X154" s="868"/>
      <c r="Y154" s="868"/>
      <c r="Z154" s="868"/>
      <c r="AA154" s="868">
        <f>UnosNovoZaposl!B146</f>
        <v>0</v>
      </c>
      <c r="AB154" s="868"/>
      <c r="AC154" s="868"/>
      <c r="AD154" s="868"/>
      <c r="AE154" s="868"/>
      <c r="AF154" s="868"/>
      <c r="AG154" s="868">
        <f>UnosNovoZaposl!F146</f>
        <v>0</v>
      </c>
      <c r="AH154" s="868"/>
      <c r="AI154" s="868"/>
      <c r="AJ154" s="868"/>
      <c r="AK154" s="868"/>
      <c r="AL154" s="868"/>
      <c r="AM154" s="868">
        <f>UnosNovoZaposl!G146</f>
        <v>0</v>
      </c>
      <c r="AN154" s="868"/>
      <c r="AO154" s="868"/>
      <c r="AP154" s="868"/>
      <c r="AQ154" s="868"/>
      <c r="AR154" s="868"/>
      <c r="AS154" s="868">
        <f t="shared" si="2"/>
        <v>0</v>
      </c>
      <c r="AT154" s="868"/>
      <c r="AU154" s="868"/>
      <c r="AV154" s="868"/>
      <c r="AW154" s="868"/>
      <c r="AX154" s="868"/>
    </row>
    <row r="155" s="687" customFormat="1" ht="15.75" hidden="1" customHeight="1" spans="1:50">
      <c r="A155" s="3033"/>
      <c r="B155" s="754" t="s">
        <v>6421</v>
      </c>
      <c r="C155" s="864">
        <f>UnosNovoZaposl!C147</f>
        <v>0</v>
      </c>
      <c r="D155" s="864"/>
      <c r="E155" s="864"/>
      <c r="F155" s="864"/>
      <c r="G155" s="864"/>
      <c r="H155" s="864"/>
      <c r="I155" s="864"/>
      <c r="J155" s="864"/>
      <c r="K155" s="864"/>
      <c r="L155" s="864"/>
      <c r="M155" s="864"/>
      <c r="N155" s="3034">
        <f>UnosNovoZaposl!D147</f>
        <v>0</v>
      </c>
      <c r="O155" s="3035"/>
      <c r="P155" s="3035"/>
      <c r="Q155" s="3035"/>
      <c r="R155" s="3035"/>
      <c r="S155" s="3035"/>
      <c r="T155" s="3036"/>
      <c r="U155" s="868">
        <f>UnosNovoZaposl!E147</f>
        <v>0</v>
      </c>
      <c r="V155" s="868"/>
      <c r="W155" s="868"/>
      <c r="X155" s="868"/>
      <c r="Y155" s="868"/>
      <c r="Z155" s="868"/>
      <c r="AA155" s="868">
        <f>UnosNovoZaposl!B147</f>
        <v>0</v>
      </c>
      <c r="AB155" s="868"/>
      <c r="AC155" s="868"/>
      <c r="AD155" s="868"/>
      <c r="AE155" s="868"/>
      <c r="AF155" s="868"/>
      <c r="AG155" s="868">
        <f>UnosNovoZaposl!F147</f>
        <v>0</v>
      </c>
      <c r="AH155" s="868"/>
      <c r="AI155" s="868"/>
      <c r="AJ155" s="868"/>
      <c r="AK155" s="868"/>
      <c r="AL155" s="868"/>
      <c r="AM155" s="868">
        <f>UnosNovoZaposl!G147</f>
        <v>0</v>
      </c>
      <c r="AN155" s="868"/>
      <c r="AO155" s="868"/>
      <c r="AP155" s="868"/>
      <c r="AQ155" s="868"/>
      <c r="AR155" s="868"/>
      <c r="AS155" s="868">
        <f t="shared" si="2"/>
        <v>0</v>
      </c>
      <c r="AT155" s="868"/>
      <c r="AU155" s="868"/>
      <c r="AV155" s="868"/>
      <c r="AW155" s="868"/>
      <c r="AX155" s="868"/>
    </row>
    <row r="156" s="687" customFormat="1" ht="15.75" hidden="1" customHeight="1" spans="1:50">
      <c r="A156" s="3033"/>
      <c r="B156" s="754" t="s">
        <v>6422</v>
      </c>
      <c r="C156" s="864">
        <f>UnosNovoZaposl!C148</f>
        <v>0</v>
      </c>
      <c r="D156" s="864"/>
      <c r="E156" s="864"/>
      <c r="F156" s="864"/>
      <c r="G156" s="864"/>
      <c r="H156" s="864"/>
      <c r="I156" s="864"/>
      <c r="J156" s="864"/>
      <c r="K156" s="864"/>
      <c r="L156" s="864"/>
      <c r="M156" s="864"/>
      <c r="N156" s="3034">
        <f>UnosNovoZaposl!D148</f>
        <v>0</v>
      </c>
      <c r="O156" s="3035"/>
      <c r="P156" s="3035"/>
      <c r="Q156" s="3035"/>
      <c r="R156" s="3035"/>
      <c r="S156" s="3035"/>
      <c r="T156" s="3036"/>
      <c r="U156" s="868">
        <f>UnosNovoZaposl!E148</f>
        <v>0</v>
      </c>
      <c r="V156" s="868"/>
      <c r="W156" s="868"/>
      <c r="X156" s="868"/>
      <c r="Y156" s="868"/>
      <c r="Z156" s="868"/>
      <c r="AA156" s="868">
        <f>UnosNovoZaposl!B148</f>
        <v>0</v>
      </c>
      <c r="AB156" s="868"/>
      <c r="AC156" s="868"/>
      <c r="AD156" s="868"/>
      <c r="AE156" s="868"/>
      <c r="AF156" s="868"/>
      <c r="AG156" s="868">
        <f>UnosNovoZaposl!F148</f>
        <v>0</v>
      </c>
      <c r="AH156" s="868"/>
      <c r="AI156" s="868"/>
      <c r="AJ156" s="868"/>
      <c r="AK156" s="868"/>
      <c r="AL156" s="868"/>
      <c r="AM156" s="868">
        <f>UnosNovoZaposl!G148</f>
        <v>0</v>
      </c>
      <c r="AN156" s="868"/>
      <c r="AO156" s="868"/>
      <c r="AP156" s="868"/>
      <c r="AQ156" s="868"/>
      <c r="AR156" s="868"/>
      <c r="AS156" s="868">
        <f t="shared" si="2"/>
        <v>0</v>
      </c>
      <c r="AT156" s="868"/>
      <c r="AU156" s="868"/>
      <c r="AV156" s="868"/>
      <c r="AW156" s="868"/>
      <c r="AX156" s="868"/>
    </row>
    <row r="157" s="687" customFormat="1" ht="15.75" hidden="1" customHeight="1" spans="1:50">
      <c r="A157" s="3033"/>
      <c r="B157" s="754" t="s">
        <v>6423</v>
      </c>
      <c r="C157" s="864">
        <f>UnosNovoZaposl!C149</f>
        <v>0</v>
      </c>
      <c r="D157" s="864"/>
      <c r="E157" s="864"/>
      <c r="F157" s="864"/>
      <c r="G157" s="864"/>
      <c r="H157" s="864"/>
      <c r="I157" s="864"/>
      <c r="J157" s="864"/>
      <c r="K157" s="864"/>
      <c r="L157" s="864"/>
      <c r="M157" s="864"/>
      <c r="N157" s="3034">
        <f>UnosNovoZaposl!D149</f>
        <v>0</v>
      </c>
      <c r="O157" s="3035"/>
      <c r="P157" s="3035"/>
      <c r="Q157" s="3035"/>
      <c r="R157" s="3035"/>
      <c r="S157" s="3035"/>
      <c r="T157" s="3036"/>
      <c r="U157" s="868">
        <f>UnosNovoZaposl!E149</f>
        <v>0</v>
      </c>
      <c r="V157" s="868"/>
      <c r="W157" s="868"/>
      <c r="X157" s="868"/>
      <c r="Y157" s="868"/>
      <c r="Z157" s="868"/>
      <c r="AA157" s="868">
        <f>UnosNovoZaposl!B149</f>
        <v>0</v>
      </c>
      <c r="AB157" s="868"/>
      <c r="AC157" s="868"/>
      <c r="AD157" s="868"/>
      <c r="AE157" s="868"/>
      <c r="AF157" s="868"/>
      <c r="AG157" s="868">
        <f>UnosNovoZaposl!F149</f>
        <v>0</v>
      </c>
      <c r="AH157" s="868"/>
      <c r="AI157" s="868"/>
      <c r="AJ157" s="868"/>
      <c r="AK157" s="868"/>
      <c r="AL157" s="868"/>
      <c r="AM157" s="868">
        <f>UnosNovoZaposl!G149</f>
        <v>0</v>
      </c>
      <c r="AN157" s="868"/>
      <c r="AO157" s="868"/>
      <c r="AP157" s="868"/>
      <c r="AQ157" s="868"/>
      <c r="AR157" s="868"/>
      <c r="AS157" s="868">
        <f t="shared" si="2"/>
        <v>0</v>
      </c>
      <c r="AT157" s="868"/>
      <c r="AU157" s="868"/>
      <c r="AV157" s="868"/>
      <c r="AW157" s="868"/>
      <c r="AX157" s="868"/>
    </row>
    <row r="158" s="687" customFormat="1" ht="15.75" hidden="1" customHeight="1" spans="1:50">
      <c r="A158" s="3033"/>
      <c r="B158" s="754" t="s">
        <v>6424</v>
      </c>
      <c r="C158" s="864">
        <f>UnosNovoZaposl!C150</f>
        <v>0</v>
      </c>
      <c r="D158" s="864"/>
      <c r="E158" s="864"/>
      <c r="F158" s="864"/>
      <c r="G158" s="864"/>
      <c r="H158" s="864"/>
      <c r="I158" s="864"/>
      <c r="J158" s="864"/>
      <c r="K158" s="864"/>
      <c r="L158" s="864"/>
      <c r="M158" s="864"/>
      <c r="N158" s="3034">
        <f>UnosNovoZaposl!D150</f>
        <v>0</v>
      </c>
      <c r="O158" s="3035"/>
      <c r="P158" s="3035"/>
      <c r="Q158" s="3035"/>
      <c r="R158" s="3035"/>
      <c r="S158" s="3035"/>
      <c r="T158" s="3036"/>
      <c r="U158" s="868">
        <f>UnosNovoZaposl!E150</f>
        <v>0</v>
      </c>
      <c r="V158" s="868"/>
      <c r="W158" s="868"/>
      <c r="X158" s="868"/>
      <c r="Y158" s="868"/>
      <c r="Z158" s="868"/>
      <c r="AA158" s="868">
        <f>UnosNovoZaposl!B150</f>
        <v>0</v>
      </c>
      <c r="AB158" s="868"/>
      <c r="AC158" s="868"/>
      <c r="AD158" s="868"/>
      <c r="AE158" s="868"/>
      <c r="AF158" s="868"/>
      <c r="AG158" s="868">
        <f>UnosNovoZaposl!F150</f>
        <v>0</v>
      </c>
      <c r="AH158" s="868"/>
      <c r="AI158" s="868"/>
      <c r="AJ158" s="868"/>
      <c r="AK158" s="868"/>
      <c r="AL158" s="868"/>
      <c r="AM158" s="868">
        <f>UnosNovoZaposl!G150</f>
        <v>0</v>
      </c>
      <c r="AN158" s="868"/>
      <c r="AO158" s="868"/>
      <c r="AP158" s="868"/>
      <c r="AQ158" s="868"/>
      <c r="AR158" s="868"/>
      <c r="AS158" s="868">
        <f t="shared" si="2"/>
        <v>0</v>
      </c>
      <c r="AT158" s="868"/>
      <c r="AU158" s="868"/>
      <c r="AV158" s="868"/>
      <c r="AW158" s="868"/>
      <c r="AX158" s="868"/>
    </row>
    <row r="159" s="687" customFormat="1" ht="15.75" hidden="1" customHeight="1" spans="1:50">
      <c r="A159" s="3033"/>
      <c r="B159" s="754" t="s">
        <v>6425</v>
      </c>
      <c r="C159" s="864">
        <f>UnosNovoZaposl!C151</f>
        <v>0</v>
      </c>
      <c r="D159" s="864"/>
      <c r="E159" s="864"/>
      <c r="F159" s="864"/>
      <c r="G159" s="864"/>
      <c r="H159" s="864"/>
      <c r="I159" s="864"/>
      <c r="J159" s="864"/>
      <c r="K159" s="864"/>
      <c r="L159" s="864"/>
      <c r="M159" s="864"/>
      <c r="N159" s="3034">
        <f>UnosNovoZaposl!D151</f>
        <v>0</v>
      </c>
      <c r="O159" s="3035"/>
      <c r="P159" s="3035"/>
      <c r="Q159" s="3035"/>
      <c r="R159" s="3035"/>
      <c r="S159" s="3035"/>
      <c r="T159" s="3036"/>
      <c r="U159" s="868">
        <f>UnosNovoZaposl!E151</f>
        <v>0</v>
      </c>
      <c r="V159" s="868"/>
      <c r="W159" s="868"/>
      <c r="X159" s="868"/>
      <c r="Y159" s="868"/>
      <c r="Z159" s="868"/>
      <c r="AA159" s="868">
        <f>UnosNovoZaposl!B151</f>
        <v>0</v>
      </c>
      <c r="AB159" s="868"/>
      <c r="AC159" s="868"/>
      <c r="AD159" s="868"/>
      <c r="AE159" s="868"/>
      <c r="AF159" s="868"/>
      <c r="AG159" s="868">
        <f>UnosNovoZaposl!F151</f>
        <v>0</v>
      </c>
      <c r="AH159" s="868"/>
      <c r="AI159" s="868"/>
      <c r="AJ159" s="868"/>
      <c r="AK159" s="868"/>
      <c r="AL159" s="868"/>
      <c r="AM159" s="868">
        <f>UnosNovoZaposl!G151</f>
        <v>0</v>
      </c>
      <c r="AN159" s="868"/>
      <c r="AO159" s="868"/>
      <c r="AP159" s="868"/>
      <c r="AQ159" s="868"/>
      <c r="AR159" s="868"/>
      <c r="AS159" s="868">
        <f t="shared" si="2"/>
        <v>0</v>
      </c>
      <c r="AT159" s="868"/>
      <c r="AU159" s="868"/>
      <c r="AV159" s="868"/>
      <c r="AW159" s="868"/>
      <c r="AX159" s="868"/>
    </row>
    <row r="160" s="687" customFormat="1" ht="15.75" hidden="1" customHeight="1" spans="1:50">
      <c r="A160" s="3033"/>
      <c r="B160" s="754" t="s">
        <v>6426</v>
      </c>
      <c r="C160" s="864">
        <f>UnosNovoZaposl!C152</f>
        <v>0</v>
      </c>
      <c r="D160" s="864"/>
      <c r="E160" s="864"/>
      <c r="F160" s="864"/>
      <c r="G160" s="864"/>
      <c r="H160" s="864"/>
      <c r="I160" s="864"/>
      <c r="J160" s="864"/>
      <c r="K160" s="864"/>
      <c r="L160" s="864"/>
      <c r="M160" s="864"/>
      <c r="N160" s="3034">
        <f>UnosNovoZaposl!D152</f>
        <v>0</v>
      </c>
      <c r="O160" s="3035"/>
      <c r="P160" s="3035"/>
      <c r="Q160" s="3035"/>
      <c r="R160" s="3035"/>
      <c r="S160" s="3035"/>
      <c r="T160" s="3036"/>
      <c r="U160" s="868">
        <f>UnosNovoZaposl!E152</f>
        <v>0</v>
      </c>
      <c r="V160" s="868"/>
      <c r="W160" s="868"/>
      <c r="X160" s="868"/>
      <c r="Y160" s="868"/>
      <c r="Z160" s="868"/>
      <c r="AA160" s="868">
        <f>UnosNovoZaposl!B152</f>
        <v>0</v>
      </c>
      <c r="AB160" s="868"/>
      <c r="AC160" s="868"/>
      <c r="AD160" s="868"/>
      <c r="AE160" s="868"/>
      <c r="AF160" s="868"/>
      <c r="AG160" s="868">
        <f>UnosNovoZaposl!F152</f>
        <v>0</v>
      </c>
      <c r="AH160" s="868"/>
      <c r="AI160" s="868"/>
      <c r="AJ160" s="868"/>
      <c r="AK160" s="868"/>
      <c r="AL160" s="868"/>
      <c r="AM160" s="868">
        <f>UnosNovoZaposl!G152</f>
        <v>0</v>
      </c>
      <c r="AN160" s="868"/>
      <c r="AO160" s="868"/>
      <c r="AP160" s="868"/>
      <c r="AQ160" s="868"/>
      <c r="AR160" s="868"/>
      <c r="AS160" s="868">
        <f t="shared" si="2"/>
        <v>0</v>
      </c>
      <c r="AT160" s="868"/>
      <c r="AU160" s="868"/>
      <c r="AV160" s="868"/>
      <c r="AW160" s="868"/>
      <c r="AX160" s="868"/>
    </row>
    <row r="161" s="687" customFormat="1" ht="15.75" hidden="1" customHeight="1" spans="1:50">
      <c r="A161" s="3033"/>
      <c r="B161" s="754" t="s">
        <v>6427</v>
      </c>
      <c r="C161" s="864">
        <f>UnosNovoZaposl!C153</f>
        <v>0</v>
      </c>
      <c r="D161" s="864"/>
      <c r="E161" s="864"/>
      <c r="F161" s="864"/>
      <c r="G161" s="864"/>
      <c r="H161" s="864"/>
      <c r="I161" s="864"/>
      <c r="J161" s="864"/>
      <c r="K161" s="864"/>
      <c r="L161" s="864"/>
      <c r="M161" s="864"/>
      <c r="N161" s="3034">
        <f>UnosNovoZaposl!D153</f>
        <v>0</v>
      </c>
      <c r="O161" s="3035"/>
      <c r="P161" s="3035"/>
      <c r="Q161" s="3035"/>
      <c r="R161" s="3035"/>
      <c r="S161" s="3035"/>
      <c r="T161" s="3036"/>
      <c r="U161" s="868">
        <f>UnosNovoZaposl!E153</f>
        <v>0</v>
      </c>
      <c r="V161" s="868"/>
      <c r="W161" s="868"/>
      <c r="X161" s="868"/>
      <c r="Y161" s="868"/>
      <c r="Z161" s="868"/>
      <c r="AA161" s="868">
        <f>UnosNovoZaposl!B153</f>
        <v>0</v>
      </c>
      <c r="AB161" s="868"/>
      <c r="AC161" s="868"/>
      <c r="AD161" s="868"/>
      <c r="AE161" s="868"/>
      <c r="AF161" s="868"/>
      <c r="AG161" s="868">
        <f>UnosNovoZaposl!F153</f>
        <v>0</v>
      </c>
      <c r="AH161" s="868"/>
      <c r="AI161" s="868"/>
      <c r="AJ161" s="868"/>
      <c r="AK161" s="868"/>
      <c r="AL161" s="868"/>
      <c r="AM161" s="868">
        <f>UnosNovoZaposl!G153</f>
        <v>0</v>
      </c>
      <c r="AN161" s="868"/>
      <c r="AO161" s="868"/>
      <c r="AP161" s="868"/>
      <c r="AQ161" s="868"/>
      <c r="AR161" s="868"/>
      <c r="AS161" s="868">
        <f t="shared" si="2"/>
        <v>0</v>
      </c>
      <c r="AT161" s="868"/>
      <c r="AU161" s="868"/>
      <c r="AV161" s="868"/>
      <c r="AW161" s="868"/>
      <c r="AX161" s="868"/>
    </row>
    <row r="162" s="687" customFormat="1" ht="15.75" hidden="1" customHeight="1" spans="1:50">
      <c r="A162" s="3033"/>
      <c r="B162" s="754" t="s">
        <v>6428</v>
      </c>
      <c r="C162" s="864">
        <f>UnosNovoZaposl!C154</f>
        <v>0</v>
      </c>
      <c r="D162" s="864"/>
      <c r="E162" s="864"/>
      <c r="F162" s="864"/>
      <c r="G162" s="864"/>
      <c r="H162" s="864"/>
      <c r="I162" s="864"/>
      <c r="J162" s="864"/>
      <c r="K162" s="864"/>
      <c r="L162" s="864"/>
      <c r="M162" s="864"/>
      <c r="N162" s="3034">
        <f>UnosNovoZaposl!D154</f>
        <v>0</v>
      </c>
      <c r="O162" s="3035"/>
      <c r="P162" s="3035"/>
      <c r="Q162" s="3035"/>
      <c r="R162" s="3035"/>
      <c r="S162" s="3035"/>
      <c r="T162" s="3036"/>
      <c r="U162" s="868">
        <f>UnosNovoZaposl!E154</f>
        <v>0</v>
      </c>
      <c r="V162" s="868"/>
      <c r="W162" s="868"/>
      <c r="X162" s="868"/>
      <c r="Y162" s="868"/>
      <c r="Z162" s="868"/>
      <c r="AA162" s="868">
        <f>UnosNovoZaposl!B154</f>
        <v>0</v>
      </c>
      <c r="AB162" s="868"/>
      <c r="AC162" s="868"/>
      <c r="AD162" s="868"/>
      <c r="AE162" s="868"/>
      <c r="AF162" s="868"/>
      <c r="AG162" s="868">
        <f>UnosNovoZaposl!F154</f>
        <v>0</v>
      </c>
      <c r="AH162" s="868"/>
      <c r="AI162" s="868"/>
      <c r="AJ162" s="868"/>
      <c r="AK162" s="868"/>
      <c r="AL162" s="868"/>
      <c r="AM162" s="868">
        <f>UnosNovoZaposl!G154</f>
        <v>0</v>
      </c>
      <c r="AN162" s="868"/>
      <c r="AO162" s="868"/>
      <c r="AP162" s="868"/>
      <c r="AQ162" s="868"/>
      <c r="AR162" s="868"/>
      <c r="AS162" s="868">
        <f t="shared" si="2"/>
        <v>0</v>
      </c>
      <c r="AT162" s="868"/>
      <c r="AU162" s="868"/>
      <c r="AV162" s="868"/>
      <c r="AW162" s="868"/>
      <c r="AX162" s="868"/>
    </row>
    <row r="163" s="687" customFormat="1" ht="15.75" hidden="1" customHeight="1" spans="1:50">
      <c r="A163" s="3033"/>
      <c r="B163" s="754" t="s">
        <v>6429</v>
      </c>
      <c r="C163" s="864">
        <f>UnosNovoZaposl!C155</f>
        <v>0</v>
      </c>
      <c r="D163" s="864"/>
      <c r="E163" s="864"/>
      <c r="F163" s="864"/>
      <c r="G163" s="864"/>
      <c r="H163" s="864"/>
      <c r="I163" s="864"/>
      <c r="J163" s="864"/>
      <c r="K163" s="864"/>
      <c r="L163" s="864"/>
      <c r="M163" s="864"/>
      <c r="N163" s="3034">
        <f>UnosNovoZaposl!D155</f>
        <v>0</v>
      </c>
      <c r="O163" s="3035"/>
      <c r="P163" s="3035"/>
      <c r="Q163" s="3035"/>
      <c r="R163" s="3035"/>
      <c r="S163" s="3035"/>
      <c r="T163" s="3036"/>
      <c r="U163" s="868">
        <f>UnosNovoZaposl!E155</f>
        <v>0</v>
      </c>
      <c r="V163" s="868"/>
      <c r="W163" s="868"/>
      <c r="X163" s="868"/>
      <c r="Y163" s="868"/>
      <c r="Z163" s="868"/>
      <c r="AA163" s="868">
        <f>UnosNovoZaposl!B155</f>
        <v>0</v>
      </c>
      <c r="AB163" s="868"/>
      <c r="AC163" s="868"/>
      <c r="AD163" s="868"/>
      <c r="AE163" s="868"/>
      <c r="AF163" s="868"/>
      <c r="AG163" s="868">
        <f>UnosNovoZaposl!F155</f>
        <v>0</v>
      </c>
      <c r="AH163" s="868"/>
      <c r="AI163" s="868"/>
      <c r="AJ163" s="868"/>
      <c r="AK163" s="868"/>
      <c r="AL163" s="868"/>
      <c r="AM163" s="868">
        <f>UnosNovoZaposl!G155</f>
        <v>0</v>
      </c>
      <c r="AN163" s="868"/>
      <c r="AO163" s="868"/>
      <c r="AP163" s="868"/>
      <c r="AQ163" s="868"/>
      <c r="AR163" s="868"/>
      <c r="AS163" s="868">
        <f t="shared" si="2"/>
        <v>0</v>
      </c>
      <c r="AT163" s="868"/>
      <c r="AU163" s="868"/>
      <c r="AV163" s="868"/>
      <c r="AW163" s="868"/>
      <c r="AX163" s="868"/>
    </row>
    <row r="164" s="687" customFormat="1" ht="15.75" hidden="1" customHeight="1" spans="1:50">
      <c r="A164" s="3033"/>
      <c r="B164" s="754" t="s">
        <v>6430</v>
      </c>
      <c r="C164" s="864">
        <f>UnosNovoZaposl!C156</f>
        <v>0</v>
      </c>
      <c r="D164" s="864"/>
      <c r="E164" s="864"/>
      <c r="F164" s="864"/>
      <c r="G164" s="864"/>
      <c r="H164" s="864"/>
      <c r="I164" s="864"/>
      <c r="J164" s="864"/>
      <c r="K164" s="864"/>
      <c r="L164" s="864"/>
      <c r="M164" s="864"/>
      <c r="N164" s="3034">
        <f>UnosNovoZaposl!D156</f>
        <v>0</v>
      </c>
      <c r="O164" s="3035"/>
      <c r="P164" s="3035"/>
      <c r="Q164" s="3035"/>
      <c r="R164" s="3035"/>
      <c r="S164" s="3035"/>
      <c r="T164" s="3036"/>
      <c r="U164" s="868">
        <f>UnosNovoZaposl!E156</f>
        <v>0</v>
      </c>
      <c r="V164" s="868"/>
      <c r="W164" s="868"/>
      <c r="X164" s="868"/>
      <c r="Y164" s="868"/>
      <c r="Z164" s="868"/>
      <c r="AA164" s="868">
        <f>UnosNovoZaposl!B156</f>
        <v>0</v>
      </c>
      <c r="AB164" s="868"/>
      <c r="AC164" s="868"/>
      <c r="AD164" s="868"/>
      <c r="AE164" s="868"/>
      <c r="AF164" s="868"/>
      <c r="AG164" s="868">
        <f>UnosNovoZaposl!F156</f>
        <v>0</v>
      </c>
      <c r="AH164" s="868"/>
      <c r="AI164" s="868"/>
      <c r="AJ164" s="868"/>
      <c r="AK164" s="868"/>
      <c r="AL164" s="868"/>
      <c r="AM164" s="868">
        <f>UnosNovoZaposl!G156</f>
        <v>0</v>
      </c>
      <c r="AN164" s="868"/>
      <c r="AO164" s="868"/>
      <c r="AP164" s="868"/>
      <c r="AQ164" s="868"/>
      <c r="AR164" s="868"/>
      <c r="AS164" s="868">
        <f t="shared" si="2"/>
        <v>0</v>
      </c>
      <c r="AT164" s="868"/>
      <c r="AU164" s="868"/>
      <c r="AV164" s="868"/>
      <c r="AW164" s="868"/>
      <c r="AX164" s="868"/>
    </row>
    <row r="165" s="687" customFormat="1" ht="15.75" hidden="1" customHeight="1" spans="1:50">
      <c r="A165" s="3033"/>
      <c r="B165" s="754" t="s">
        <v>6431</v>
      </c>
      <c r="C165" s="864">
        <f>UnosNovoZaposl!C157</f>
        <v>0</v>
      </c>
      <c r="D165" s="864"/>
      <c r="E165" s="864"/>
      <c r="F165" s="864"/>
      <c r="G165" s="864"/>
      <c r="H165" s="864"/>
      <c r="I165" s="864"/>
      <c r="J165" s="864"/>
      <c r="K165" s="864"/>
      <c r="L165" s="864"/>
      <c r="M165" s="864"/>
      <c r="N165" s="3034">
        <f>UnosNovoZaposl!D157</f>
        <v>0</v>
      </c>
      <c r="O165" s="3035"/>
      <c r="P165" s="3035"/>
      <c r="Q165" s="3035"/>
      <c r="R165" s="3035"/>
      <c r="S165" s="3035"/>
      <c r="T165" s="3036"/>
      <c r="U165" s="868">
        <f>UnosNovoZaposl!E157</f>
        <v>0</v>
      </c>
      <c r="V165" s="868"/>
      <c r="W165" s="868"/>
      <c r="X165" s="868"/>
      <c r="Y165" s="868"/>
      <c r="Z165" s="868"/>
      <c r="AA165" s="868">
        <f>UnosNovoZaposl!B157</f>
        <v>0</v>
      </c>
      <c r="AB165" s="868"/>
      <c r="AC165" s="868"/>
      <c r="AD165" s="868"/>
      <c r="AE165" s="868"/>
      <c r="AF165" s="868"/>
      <c r="AG165" s="868">
        <f>UnosNovoZaposl!F157</f>
        <v>0</v>
      </c>
      <c r="AH165" s="868"/>
      <c r="AI165" s="868"/>
      <c r="AJ165" s="868"/>
      <c r="AK165" s="868"/>
      <c r="AL165" s="868"/>
      <c r="AM165" s="868">
        <f>UnosNovoZaposl!G157</f>
        <v>0</v>
      </c>
      <c r="AN165" s="868"/>
      <c r="AO165" s="868"/>
      <c r="AP165" s="868"/>
      <c r="AQ165" s="868"/>
      <c r="AR165" s="868"/>
      <c r="AS165" s="868">
        <f t="shared" si="2"/>
        <v>0</v>
      </c>
      <c r="AT165" s="868"/>
      <c r="AU165" s="868"/>
      <c r="AV165" s="868"/>
      <c r="AW165" s="868"/>
      <c r="AX165" s="868"/>
    </row>
    <row r="166" s="687" customFormat="1" ht="15.75" hidden="1" customHeight="1" spans="1:50">
      <c r="A166" s="3033"/>
      <c r="B166" s="754" t="s">
        <v>6432</v>
      </c>
      <c r="C166" s="864">
        <f>UnosNovoZaposl!C158</f>
        <v>0</v>
      </c>
      <c r="D166" s="864"/>
      <c r="E166" s="864"/>
      <c r="F166" s="864"/>
      <c r="G166" s="864"/>
      <c r="H166" s="864"/>
      <c r="I166" s="864"/>
      <c r="J166" s="864"/>
      <c r="K166" s="864"/>
      <c r="L166" s="864"/>
      <c r="M166" s="864"/>
      <c r="N166" s="3034">
        <f>UnosNovoZaposl!D158</f>
        <v>0</v>
      </c>
      <c r="O166" s="3035"/>
      <c r="P166" s="3035"/>
      <c r="Q166" s="3035"/>
      <c r="R166" s="3035"/>
      <c r="S166" s="3035"/>
      <c r="T166" s="3036"/>
      <c r="U166" s="868">
        <f>UnosNovoZaposl!E158</f>
        <v>0</v>
      </c>
      <c r="V166" s="868"/>
      <c r="W166" s="868"/>
      <c r="X166" s="868"/>
      <c r="Y166" s="868"/>
      <c r="Z166" s="868"/>
      <c r="AA166" s="868">
        <f>UnosNovoZaposl!B158</f>
        <v>0</v>
      </c>
      <c r="AB166" s="868"/>
      <c r="AC166" s="868"/>
      <c r="AD166" s="868"/>
      <c r="AE166" s="868"/>
      <c r="AF166" s="868"/>
      <c r="AG166" s="868">
        <f>UnosNovoZaposl!F158</f>
        <v>0</v>
      </c>
      <c r="AH166" s="868"/>
      <c r="AI166" s="868"/>
      <c r="AJ166" s="868"/>
      <c r="AK166" s="868"/>
      <c r="AL166" s="868"/>
      <c r="AM166" s="868">
        <f>UnosNovoZaposl!G158</f>
        <v>0</v>
      </c>
      <c r="AN166" s="868"/>
      <c r="AO166" s="868"/>
      <c r="AP166" s="868"/>
      <c r="AQ166" s="868"/>
      <c r="AR166" s="868"/>
      <c r="AS166" s="868">
        <f t="shared" si="2"/>
        <v>0</v>
      </c>
      <c r="AT166" s="868"/>
      <c r="AU166" s="868"/>
      <c r="AV166" s="868"/>
      <c r="AW166" s="868"/>
      <c r="AX166" s="868"/>
    </row>
    <row r="167" s="687" customFormat="1" ht="15.75" hidden="1" customHeight="1" spans="1:50">
      <c r="A167" s="3033"/>
      <c r="B167" s="754" t="s">
        <v>6433</v>
      </c>
      <c r="C167" s="864">
        <f>UnosNovoZaposl!C159</f>
        <v>0</v>
      </c>
      <c r="D167" s="864"/>
      <c r="E167" s="864"/>
      <c r="F167" s="864"/>
      <c r="G167" s="864"/>
      <c r="H167" s="864"/>
      <c r="I167" s="864"/>
      <c r="J167" s="864"/>
      <c r="K167" s="864"/>
      <c r="L167" s="864"/>
      <c r="M167" s="864"/>
      <c r="N167" s="3034">
        <f>UnosNovoZaposl!D159</f>
        <v>0</v>
      </c>
      <c r="O167" s="3035"/>
      <c r="P167" s="3035"/>
      <c r="Q167" s="3035"/>
      <c r="R167" s="3035"/>
      <c r="S167" s="3035"/>
      <c r="T167" s="3036"/>
      <c r="U167" s="868">
        <f>UnosNovoZaposl!E159</f>
        <v>0</v>
      </c>
      <c r="V167" s="868"/>
      <c r="W167" s="868"/>
      <c r="X167" s="868"/>
      <c r="Y167" s="868"/>
      <c r="Z167" s="868"/>
      <c r="AA167" s="868">
        <f>UnosNovoZaposl!B159</f>
        <v>0</v>
      </c>
      <c r="AB167" s="868"/>
      <c r="AC167" s="868"/>
      <c r="AD167" s="868"/>
      <c r="AE167" s="868"/>
      <c r="AF167" s="868"/>
      <c r="AG167" s="868">
        <f>UnosNovoZaposl!F159</f>
        <v>0</v>
      </c>
      <c r="AH167" s="868"/>
      <c r="AI167" s="868"/>
      <c r="AJ167" s="868"/>
      <c r="AK167" s="868"/>
      <c r="AL167" s="868"/>
      <c r="AM167" s="868">
        <f>UnosNovoZaposl!G159</f>
        <v>0</v>
      </c>
      <c r="AN167" s="868"/>
      <c r="AO167" s="868"/>
      <c r="AP167" s="868"/>
      <c r="AQ167" s="868"/>
      <c r="AR167" s="868"/>
      <c r="AS167" s="868">
        <f t="shared" si="2"/>
        <v>0</v>
      </c>
      <c r="AT167" s="868"/>
      <c r="AU167" s="868"/>
      <c r="AV167" s="868"/>
      <c r="AW167" s="868"/>
      <c r="AX167" s="868"/>
    </row>
    <row r="168" s="687" customFormat="1" ht="15.75" hidden="1" customHeight="1" spans="1:50">
      <c r="A168" s="3033"/>
      <c r="B168" s="754" t="s">
        <v>6434</v>
      </c>
      <c r="C168" s="864">
        <f>UnosNovoZaposl!C160</f>
        <v>0</v>
      </c>
      <c r="D168" s="864"/>
      <c r="E168" s="864"/>
      <c r="F168" s="864"/>
      <c r="G168" s="864"/>
      <c r="H168" s="864"/>
      <c r="I168" s="864"/>
      <c r="J168" s="864"/>
      <c r="K168" s="864"/>
      <c r="L168" s="864"/>
      <c r="M168" s="864"/>
      <c r="N168" s="3034">
        <f>UnosNovoZaposl!D160</f>
        <v>0</v>
      </c>
      <c r="O168" s="3035"/>
      <c r="P168" s="3035"/>
      <c r="Q168" s="3035"/>
      <c r="R168" s="3035"/>
      <c r="S168" s="3035"/>
      <c r="T168" s="3036"/>
      <c r="U168" s="868">
        <f>UnosNovoZaposl!E160</f>
        <v>0</v>
      </c>
      <c r="V168" s="868"/>
      <c r="W168" s="868"/>
      <c r="X168" s="868"/>
      <c r="Y168" s="868"/>
      <c r="Z168" s="868"/>
      <c r="AA168" s="868">
        <f>UnosNovoZaposl!B160</f>
        <v>0</v>
      </c>
      <c r="AB168" s="868"/>
      <c r="AC168" s="868"/>
      <c r="AD168" s="868"/>
      <c r="AE168" s="868"/>
      <c r="AF168" s="868"/>
      <c r="AG168" s="868">
        <f>UnosNovoZaposl!F160</f>
        <v>0</v>
      </c>
      <c r="AH168" s="868"/>
      <c r="AI168" s="868"/>
      <c r="AJ168" s="868"/>
      <c r="AK168" s="868"/>
      <c r="AL168" s="868"/>
      <c r="AM168" s="868">
        <f>UnosNovoZaposl!G160</f>
        <v>0</v>
      </c>
      <c r="AN168" s="868"/>
      <c r="AO168" s="868"/>
      <c r="AP168" s="868"/>
      <c r="AQ168" s="868"/>
      <c r="AR168" s="868"/>
      <c r="AS168" s="868">
        <f t="shared" si="2"/>
        <v>0</v>
      </c>
      <c r="AT168" s="868"/>
      <c r="AU168" s="868"/>
      <c r="AV168" s="868"/>
      <c r="AW168" s="868"/>
      <c r="AX168" s="868"/>
    </row>
    <row r="169" s="687" customFormat="1" ht="15.75" hidden="1" customHeight="1" spans="1:50">
      <c r="A169" s="3033"/>
      <c r="B169" s="754" t="s">
        <v>6435</v>
      </c>
      <c r="C169" s="864">
        <f>UnosNovoZaposl!C161</f>
        <v>0</v>
      </c>
      <c r="D169" s="864"/>
      <c r="E169" s="864"/>
      <c r="F169" s="864"/>
      <c r="G169" s="864"/>
      <c r="H169" s="864"/>
      <c r="I169" s="864"/>
      <c r="J169" s="864"/>
      <c r="K169" s="864"/>
      <c r="L169" s="864"/>
      <c r="M169" s="864"/>
      <c r="N169" s="3034">
        <f>UnosNovoZaposl!D161</f>
        <v>0</v>
      </c>
      <c r="O169" s="3035"/>
      <c r="P169" s="3035"/>
      <c r="Q169" s="3035"/>
      <c r="R169" s="3035"/>
      <c r="S169" s="3035"/>
      <c r="T169" s="3036"/>
      <c r="U169" s="868">
        <f>UnosNovoZaposl!E161</f>
        <v>0</v>
      </c>
      <c r="V169" s="868"/>
      <c r="W169" s="868"/>
      <c r="X169" s="868"/>
      <c r="Y169" s="868"/>
      <c r="Z169" s="868"/>
      <c r="AA169" s="868">
        <f>UnosNovoZaposl!B161</f>
        <v>0</v>
      </c>
      <c r="AB169" s="868"/>
      <c r="AC169" s="868"/>
      <c r="AD169" s="868"/>
      <c r="AE169" s="868"/>
      <c r="AF169" s="868"/>
      <c r="AG169" s="868">
        <f>UnosNovoZaposl!F161</f>
        <v>0</v>
      </c>
      <c r="AH169" s="868"/>
      <c r="AI169" s="868"/>
      <c r="AJ169" s="868"/>
      <c r="AK169" s="868"/>
      <c r="AL169" s="868"/>
      <c r="AM169" s="868">
        <f>UnosNovoZaposl!G161</f>
        <v>0</v>
      </c>
      <c r="AN169" s="868"/>
      <c r="AO169" s="868"/>
      <c r="AP169" s="868"/>
      <c r="AQ169" s="868"/>
      <c r="AR169" s="868"/>
      <c r="AS169" s="868">
        <f t="shared" si="2"/>
        <v>0</v>
      </c>
      <c r="AT169" s="868"/>
      <c r="AU169" s="868"/>
      <c r="AV169" s="868"/>
      <c r="AW169" s="868"/>
      <c r="AX169" s="868"/>
    </row>
    <row r="170" s="687" customFormat="1" ht="15.75" hidden="1" customHeight="1" spans="1:50">
      <c r="A170" s="3033"/>
      <c r="B170" s="754" t="s">
        <v>6436</v>
      </c>
      <c r="C170" s="864">
        <f>UnosNovoZaposl!C162</f>
        <v>0</v>
      </c>
      <c r="D170" s="864"/>
      <c r="E170" s="864"/>
      <c r="F170" s="864"/>
      <c r="G170" s="864"/>
      <c r="H170" s="864"/>
      <c r="I170" s="864"/>
      <c r="J170" s="864"/>
      <c r="K170" s="864"/>
      <c r="L170" s="864"/>
      <c r="M170" s="864"/>
      <c r="N170" s="3034">
        <f>UnosNovoZaposl!D162</f>
        <v>0</v>
      </c>
      <c r="O170" s="3035"/>
      <c r="P170" s="3035"/>
      <c r="Q170" s="3035"/>
      <c r="R170" s="3035"/>
      <c r="S170" s="3035"/>
      <c r="T170" s="3036"/>
      <c r="U170" s="868">
        <f>UnosNovoZaposl!E162</f>
        <v>0</v>
      </c>
      <c r="V170" s="868"/>
      <c r="W170" s="868"/>
      <c r="X170" s="868"/>
      <c r="Y170" s="868"/>
      <c r="Z170" s="868"/>
      <c r="AA170" s="868">
        <f>UnosNovoZaposl!B162</f>
        <v>0</v>
      </c>
      <c r="AB170" s="868"/>
      <c r="AC170" s="868"/>
      <c r="AD170" s="868"/>
      <c r="AE170" s="868"/>
      <c r="AF170" s="868"/>
      <c r="AG170" s="868">
        <f>UnosNovoZaposl!F162</f>
        <v>0</v>
      </c>
      <c r="AH170" s="868"/>
      <c r="AI170" s="868"/>
      <c r="AJ170" s="868"/>
      <c r="AK170" s="868"/>
      <c r="AL170" s="868"/>
      <c r="AM170" s="868">
        <f>UnosNovoZaposl!G162</f>
        <v>0</v>
      </c>
      <c r="AN170" s="868"/>
      <c r="AO170" s="868"/>
      <c r="AP170" s="868"/>
      <c r="AQ170" s="868"/>
      <c r="AR170" s="868"/>
      <c r="AS170" s="868">
        <f t="shared" si="2"/>
        <v>0</v>
      </c>
      <c r="AT170" s="868"/>
      <c r="AU170" s="868"/>
      <c r="AV170" s="868"/>
      <c r="AW170" s="868"/>
      <c r="AX170" s="868"/>
    </row>
    <row r="171" s="687" customFormat="1" ht="15.75" hidden="1" customHeight="1" spans="1:50">
      <c r="A171" s="3033"/>
      <c r="B171" s="754" t="s">
        <v>6437</v>
      </c>
      <c r="C171" s="864">
        <f>UnosNovoZaposl!C163</f>
        <v>0</v>
      </c>
      <c r="D171" s="864"/>
      <c r="E171" s="864"/>
      <c r="F171" s="864"/>
      <c r="G171" s="864"/>
      <c r="H171" s="864"/>
      <c r="I171" s="864"/>
      <c r="J171" s="864"/>
      <c r="K171" s="864"/>
      <c r="L171" s="864"/>
      <c r="M171" s="864"/>
      <c r="N171" s="3034">
        <f>UnosNovoZaposl!D163</f>
        <v>0</v>
      </c>
      <c r="O171" s="3035"/>
      <c r="P171" s="3035"/>
      <c r="Q171" s="3035"/>
      <c r="R171" s="3035"/>
      <c r="S171" s="3035"/>
      <c r="T171" s="3036"/>
      <c r="U171" s="868">
        <f>UnosNovoZaposl!E163</f>
        <v>0</v>
      </c>
      <c r="V171" s="868"/>
      <c r="W171" s="868"/>
      <c r="X171" s="868"/>
      <c r="Y171" s="868"/>
      <c r="Z171" s="868"/>
      <c r="AA171" s="868">
        <f>UnosNovoZaposl!B163</f>
        <v>0</v>
      </c>
      <c r="AB171" s="868"/>
      <c r="AC171" s="868"/>
      <c r="AD171" s="868"/>
      <c r="AE171" s="868"/>
      <c r="AF171" s="868"/>
      <c r="AG171" s="868">
        <f>UnosNovoZaposl!F163</f>
        <v>0</v>
      </c>
      <c r="AH171" s="868"/>
      <c r="AI171" s="868"/>
      <c r="AJ171" s="868"/>
      <c r="AK171" s="868"/>
      <c r="AL171" s="868"/>
      <c r="AM171" s="868">
        <f>UnosNovoZaposl!G163</f>
        <v>0</v>
      </c>
      <c r="AN171" s="868"/>
      <c r="AO171" s="868"/>
      <c r="AP171" s="868"/>
      <c r="AQ171" s="868"/>
      <c r="AR171" s="868"/>
      <c r="AS171" s="868">
        <f t="shared" si="2"/>
        <v>0</v>
      </c>
      <c r="AT171" s="868"/>
      <c r="AU171" s="868"/>
      <c r="AV171" s="868"/>
      <c r="AW171" s="868"/>
      <c r="AX171" s="868"/>
    </row>
    <row r="172" s="687" customFormat="1" ht="15.75" hidden="1" customHeight="1" spans="1:50">
      <c r="A172" s="3033"/>
      <c r="B172" s="754" t="s">
        <v>6438</v>
      </c>
      <c r="C172" s="864">
        <f>UnosNovoZaposl!C164</f>
        <v>0</v>
      </c>
      <c r="D172" s="864"/>
      <c r="E172" s="864"/>
      <c r="F172" s="864"/>
      <c r="G172" s="864"/>
      <c r="H172" s="864"/>
      <c r="I172" s="864"/>
      <c r="J172" s="864"/>
      <c r="K172" s="864"/>
      <c r="L172" s="864"/>
      <c r="M172" s="864"/>
      <c r="N172" s="3034">
        <f>UnosNovoZaposl!D164</f>
        <v>0</v>
      </c>
      <c r="O172" s="3035"/>
      <c r="P172" s="3035"/>
      <c r="Q172" s="3035"/>
      <c r="R172" s="3035"/>
      <c r="S172" s="3035"/>
      <c r="T172" s="3036"/>
      <c r="U172" s="868">
        <f>UnosNovoZaposl!E164</f>
        <v>0</v>
      </c>
      <c r="V172" s="868"/>
      <c r="W172" s="868"/>
      <c r="X172" s="868"/>
      <c r="Y172" s="868"/>
      <c r="Z172" s="868"/>
      <c r="AA172" s="868">
        <f>UnosNovoZaposl!B164</f>
        <v>0</v>
      </c>
      <c r="AB172" s="868"/>
      <c r="AC172" s="868"/>
      <c r="AD172" s="868"/>
      <c r="AE172" s="868"/>
      <c r="AF172" s="868"/>
      <c r="AG172" s="868">
        <f>UnosNovoZaposl!F164</f>
        <v>0</v>
      </c>
      <c r="AH172" s="868"/>
      <c r="AI172" s="868"/>
      <c r="AJ172" s="868"/>
      <c r="AK172" s="868"/>
      <c r="AL172" s="868"/>
      <c r="AM172" s="868">
        <f>UnosNovoZaposl!G164</f>
        <v>0</v>
      </c>
      <c r="AN172" s="868"/>
      <c r="AO172" s="868"/>
      <c r="AP172" s="868"/>
      <c r="AQ172" s="868"/>
      <c r="AR172" s="868"/>
      <c r="AS172" s="868">
        <f t="shared" si="2"/>
        <v>0</v>
      </c>
      <c r="AT172" s="868"/>
      <c r="AU172" s="868"/>
      <c r="AV172" s="868"/>
      <c r="AW172" s="868"/>
      <c r="AX172" s="868"/>
    </row>
    <row r="173" s="687" customFormat="1" ht="15.75" hidden="1" customHeight="1" spans="1:50">
      <c r="A173" s="3033"/>
      <c r="B173" s="754" t="s">
        <v>6439</v>
      </c>
      <c r="C173" s="864">
        <f>UnosNovoZaposl!C165</f>
        <v>0</v>
      </c>
      <c r="D173" s="864"/>
      <c r="E173" s="864"/>
      <c r="F173" s="864"/>
      <c r="G173" s="864"/>
      <c r="H173" s="864"/>
      <c r="I173" s="864"/>
      <c r="J173" s="864"/>
      <c r="K173" s="864"/>
      <c r="L173" s="864"/>
      <c r="M173" s="864"/>
      <c r="N173" s="3034">
        <f>UnosNovoZaposl!D165</f>
        <v>0</v>
      </c>
      <c r="O173" s="3035"/>
      <c r="P173" s="3035"/>
      <c r="Q173" s="3035"/>
      <c r="R173" s="3035"/>
      <c r="S173" s="3035"/>
      <c r="T173" s="3036"/>
      <c r="U173" s="868">
        <f>UnosNovoZaposl!E165</f>
        <v>0</v>
      </c>
      <c r="V173" s="868"/>
      <c r="W173" s="868"/>
      <c r="X173" s="868"/>
      <c r="Y173" s="868"/>
      <c r="Z173" s="868"/>
      <c r="AA173" s="868">
        <f>UnosNovoZaposl!B165</f>
        <v>0</v>
      </c>
      <c r="AB173" s="868"/>
      <c r="AC173" s="868"/>
      <c r="AD173" s="868"/>
      <c r="AE173" s="868"/>
      <c r="AF173" s="868"/>
      <c r="AG173" s="868">
        <f>UnosNovoZaposl!F165</f>
        <v>0</v>
      </c>
      <c r="AH173" s="868"/>
      <c r="AI173" s="868"/>
      <c r="AJ173" s="868"/>
      <c r="AK173" s="868"/>
      <c r="AL173" s="868"/>
      <c r="AM173" s="868">
        <f>UnosNovoZaposl!G165</f>
        <v>0</v>
      </c>
      <c r="AN173" s="868"/>
      <c r="AO173" s="868"/>
      <c r="AP173" s="868"/>
      <c r="AQ173" s="868"/>
      <c r="AR173" s="868"/>
      <c r="AS173" s="868">
        <f t="shared" si="2"/>
        <v>0</v>
      </c>
      <c r="AT173" s="868"/>
      <c r="AU173" s="868"/>
      <c r="AV173" s="868"/>
      <c r="AW173" s="868"/>
      <c r="AX173" s="868"/>
    </row>
    <row r="174" s="687" customFormat="1" ht="15.75" hidden="1" customHeight="1" spans="1:50">
      <c r="A174" s="3033"/>
      <c r="B174" s="754" t="s">
        <v>6440</v>
      </c>
      <c r="C174" s="864">
        <f>UnosNovoZaposl!C166</f>
        <v>0</v>
      </c>
      <c r="D174" s="864"/>
      <c r="E174" s="864"/>
      <c r="F174" s="864"/>
      <c r="G174" s="864"/>
      <c r="H174" s="864"/>
      <c r="I174" s="864"/>
      <c r="J174" s="864"/>
      <c r="K174" s="864"/>
      <c r="L174" s="864"/>
      <c r="M174" s="864"/>
      <c r="N174" s="3034">
        <f>UnosNovoZaposl!D166</f>
        <v>0</v>
      </c>
      <c r="O174" s="3035"/>
      <c r="P174" s="3035"/>
      <c r="Q174" s="3035"/>
      <c r="R174" s="3035"/>
      <c r="S174" s="3035"/>
      <c r="T174" s="3036"/>
      <c r="U174" s="868">
        <f>UnosNovoZaposl!E166</f>
        <v>0</v>
      </c>
      <c r="V174" s="868"/>
      <c r="W174" s="868"/>
      <c r="X174" s="868"/>
      <c r="Y174" s="868"/>
      <c r="Z174" s="868"/>
      <c r="AA174" s="868">
        <f>UnosNovoZaposl!B166</f>
        <v>0</v>
      </c>
      <c r="AB174" s="868"/>
      <c r="AC174" s="868"/>
      <c r="AD174" s="868"/>
      <c r="AE174" s="868"/>
      <c r="AF174" s="868"/>
      <c r="AG174" s="868">
        <f>UnosNovoZaposl!F166</f>
        <v>0</v>
      </c>
      <c r="AH174" s="868"/>
      <c r="AI174" s="868"/>
      <c r="AJ174" s="868"/>
      <c r="AK174" s="868"/>
      <c r="AL174" s="868"/>
      <c r="AM174" s="868">
        <f>UnosNovoZaposl!G166</f>
        <v>0</v>
      </c>
      <c r="AN174" s="868"/>
      <c r="AO174" s="868"/>
      <c r="AP174" s="868"/>
      <c r="AQ174" s="868"/>
      <c r="AR174" s="868"/>
      <c r="AS174" s="868">
        <f t="shared" si="2"/>
        <v>0</v>
      </c>
      <c r="AT174" s="868"/>
      <c r="AU174" s="868"/>
      <c r="AV174" s="868"/>
      <c r="AW174" s="868"/>
      <c r="AX174" s="868"/>
    </row>
    <row r="175" s="687" customFormat="1" ht="15.75" hidden="1" customHeight="1" spans="1:50">
      <c r="A175" s="3033"/>
      <c r="B175" s="754" t="s">
        <v>6441</v>
      </c>
      <c r="C175" s="864">
        <f>UnosNovoZaposl!C167</f>
        <v>0</v>
      </c>
      <c r="D175" s="864"/>
      <c r="E175" s="864"/>
      <c r="F175" s="864"/>
      <c r="G175" s="864"/>
      <c r="H175" s="864"/>
      <c r="I175" s="864"/>
      <c r="J175" s="864"/>
      <c r="K175" s="864"/>
      <c r="L175" s="864"/>
      <c r="M175" s="864"/>
      <c r="N175" s="3034">
        <f>UnosNovoZaposl!D167</f>
        <v>0</v>
      </c>
      <c r="O175" s="3035"/>
      <c r="P175" s="3035"/>
      <c r="Q175" s="3035"/>
      <c r="R175" s="3035"/>
      <c r="S175" s="3035"/>
      <c r="T175" s="3036"/>
      <c r="U175" s="868">
        <f>UnosNovoZaposl!E167</f>
        <v>0</v>
      </c>
      <c r="V175" s="868"/>
      <c r="W175" s="868"/>
      <c r="X175" s="868"/>
      <c r="Y175" s="868"/>
      <c r="Z175" s="868"/>
      <c r="AA175" s="868">
        <f>UnosNovoZaposl!B167</f>
        <v>0</v>
      </c>
      <c r="AB175" s="868"/>
      <c r="AC175" s="868"/>
      <c r="AD175" s="868"/>
      <c r="AE175" s="868"/>
      <c r="AF175" s="868"/>
      <c r="AG175" s="868">
        <f>UnosNovoZaposl!F167</f>
        <v>0</v>
      </c>
      <c r="AH175" s="868"/>
      <c r="AI175" s="868"/>
      <c r="AJ175" s="868"/>
      <c r="AK175" s="868"/>
      <c r="AL175" s="868"/>
      <c r="AM175" s="868">
        <f>UnosNovoZaposl!G167</f>
        <v>0</v>
      </c>
      <c r="AN175" s="868"/>
      <c r="AO175" s="868"/>
      <c r="AP175" s="868"/>
      <c r="AQ175" s="868"/>
      <c r="AR175" s="868"/>
      <c r="AS175" s="868">
        <f t="shared" si="2"/>
        <v>0</v>
      </c>
      <c r="AT175" s="868"/>
      <c r="AU175" s="868"/>
      <c r="AV175" s="868"/>
      <c r="AW175" s="868"/>
      <c r="AX175" s="868"/>
    </row>
    <row r="176" s="687" customFormat="1" ht="15.75" hidden="1" customHeight="1" spans="1:50">
      <c r="A176" s="3033"/>
      <c r="B176" s="754" t="s">
        <v>6442</v>
      </c>
      <c r="C176" s="864">
        <f>UnosNovoZaposl!C168</f>
        <v>0</v>
      </c>
      <c r="D176" s="864"/>
      <c r="E176" s="864"/>
      <c r="F176" s="864"/>
      <c r="G176" s="864"/>
      <c r="H176" s="864"/>
      <c r="I176" s="864"/>
      <c r="J176" s="864"/>
      <c r="K176" s="864"/>
      <c r="L176" s="864"/>
      <c r="M176" s="864"/>
      <c r="N176" s="3034">
        <f>UnosNovoZaposl!D168</f>
        <v>0</v>
      </c>
      <c r="O176" s="3035"/>
      <c r="P176" s="3035"/>
      <c r="Q176" s="3035"/>
      <c r="R176" s="3035"/>
      <c r="S176" s="3035"/>
      <c r="T176" s="3036"/>
      <c r="U176" s="868">
        <f>UnosNovoZaposl!E168</f>
        <v>0</v>
      </c>
      <c r="V176" s="868"/>
      <c r="W176" s="868"/>
      <c r="X176" s="868"/>
      <c r="Y176" s="868"/>
      <c r="Z176" s="868"/>
      <c r="AA176" s="868">
        <f>UnosNovoZaposl!B168</f>
        <v>0</v>
      </c>
      <c r="AB176" s="868"/>
      <c r="AC176" s="868"/>
      <c r="AD176" s="868"/>
      <c r="AE176" s="868"/>
      <c r="AF176" s="868"/>
      <c r="AG176" s="868">
        <f>UnosNovoZaposl!F168</f>
        <v>0</v>
      </c>
      <c r="AH176" s="868"/>
      <c r="AI176" s="868"/>
      <c r="AJ176" s="868"/>
      <c r="AK176" s="868"/>
      <c r="AL176" s="868"/>
      <c r="AM176" s="868">
        <f>UnosNovoZaposl!G168</f>
        <v>0</v>
      </c>
      <c r="AN176" s="868"/>
      <c r="AO176" s="868"/>
      <c r="AP176" s="868"/>
      <c r="AQ176" s="868"/>
      <c r="AR176" s="868"/>
      <c r="AS176" s="868">
        <f t="shared" si="2"/>
        <v>0</v>
      </c>
      <c r="AT176" s="868"/>
      <c r="AU176" s="868"/>
      <c r="AV176" s="868"/>
      <c r="AW176" s="868"/>
      <c r="AX176" s="868"/>
    </row>
    <row r="177" s="687" customFormat="1" ht="15.75" hidden="1" customHeight="1" spans="1:50">
      <c r="A177" s="3033"/>
      <c r="B177" s="754" t="s">
        <v>6443</v>
      </c>
      <c r="C177" s="864">
        <f>UnosNovoZaposl!C169</f>
        <v>0</v>
      </c>
      <c r="D177" s="864"/>
      <c r="E177" s="864"/>
      <c r="F177" s="864"/>
      <c r="G177" s="864"/>
      <c r="H177" s="864"/>
      <c r="I177" s="864"/>
      <c r="J177" s="864"/>
      <c r="K177" s="864"/>
      <c r="L177" s="864"/>
      <c r="M177" s="864"/>
      <c r="N177" s="3034">
        <f>UnosNovoZaposl!D169</f>
        <v>0</v>
      </c>
      <c r="O177" s="3035"/>
      <c r="P177" s="3035"/>
      <c r="Q177" s="3035"/>
      <c r="R177" s="3035"/>
      <c r="S177" s="3035"/>
      <c r="T177" s="3036"/>
      <c r="U177" s="868">
        <f>UnosNovoZaposl!E169</f>
        <v>0</v>
      </c>
      <c r="V177" s="868"/>
      <c r="W177" s="868"/>
      <c r="X177" s="868"/>
      <c r="Y177" s="868"/>
      <c r="Z177" s="868"/>
      <c r="AA177" s="868">
        <f>UnosNovoZaposl!B169</f>
        <v>0</v>
      </c>
      <c r="AB177" s="868"/>
      <c r="AC177" s="868"/>
      <c r="AD177" s="868"/>
      <c r="AE177" s="868"/>
      <c r="AF177" s="868"/>
      <c r="AG177" s="868">
        <f>UnosNovoZaposl!F169</f>
        <v>0</v>
      </c>
      <c r="AH177" s="868"/>
      <c r="AI177" s="868"/>
      <c r="AJ177" s="868"/>
      <c r="AK177" s="868"/>
      <c r="AL177" s="868"/>
      <c r="AM177" s="868">
        <f>UnosNovoZaposl!G169</f>
        <v>0</v>
      </c>
      <c r="AN177" s="868"/>
      <c r="AO177" s="868"/>
      <c r="AP177" s="868"/>
      <c r="AQ177" s="868"/>
      <c r="AR177" s="868"/>
      <c r="AS177" s="868">
        <f t="shared" si="2"/>
        <v>0</v>
      </c>
      <c r="AT177" s="868"/>
      <c r="AU177" s="868"/>
      <c r="AV177" s="868"/>
      <c r="AW177" s="868"/>
      <c r="AX177" s="868"/>
    </row>
    <row r="178" s="687" customFormat="1" ht="15.75" hidden="1" customHeight="1" spans="1:50">
      <c r="A178" s="3033"/>
      <c r="B178" s="754" t="s">
        <v>6444</v>
      </c>
      <c r="C178" s="864">
        <f>UnosNovoZaposl!C170</f>
        <v>0</v>
      </c>
      <c r="D178" s="864"/>
      <c r="E178" s="864"/>
      <c r="F178" s="864"/>
      <c r="G178" s="864"/>
      <c r="H178" s="864"/>
      <c r="I178" s="864"/>
      <c r="J178" s="864"/>
      <c r="K178" s="864"/>
      <c r="L178" s="864"/>
      <c r="M178" s="864"/>
      <c r="N178" s="3034">
        <f>UnosNovoZaposl!D170</f>
        <v>0</v>
      </c>
      <c r="O178" s="3035"/>
      <c r="P178" s="3035"/>
      <c r="Q178" s="3035"/>
      <c r="R178" s="3035"/>
      <c r="S178" s="3035"/>
      <c r="T178" s="3036"/>
      <c r="U178" s="868">
        <f>UnosNovoZaposl!E170</f>
        <v>0</v>
      </c>
      <c r="V178" s="868"/>
      <c r="W178" s="868"/>
      <c r="X178" s="868"/>
      <c r="Y178" s="868"/>
      <c r="Z178" s="868"/>
      <c r="AA178" s="868">
        <f>UnosNovoZaposl!B170</f>
        <v>0</v>
      </c>
      <c r="AB178" s="868"/>
      <c r="AC178" s="868"/>
      <c r="AD178" s="868"/>
      <c r="AE178" s="868"/>
      <c r="AF178" s="868"/>
      <c r="AG178" s="868">
        <f>UnosNovoZaposl!F170</f>
        <v>0</v>
      </c>
      <c r="AH178" s="868"/>
      <c r="AI178" s="868"/>
      <c r="AJ178" s="868"/>
      <c r="AK178" s="868"/>
      <c r="AL178" s="868"/>
      <c r="AM178" s="868">
        <f>UnosNovoZaposl!G170</f>
        <v>0</v>
      </c>
      <c r="AN178" s="868"/>
      <c r="AO178" s="868"/>
      <c r="AP178" s="868"/>
      <c r="AQ178" s="868"/>
      <c r="AR178" s="868"/>
      <c r="AS178" s="868">
        <f t="shared" si="2"/>
        <v>0</v>
      </c>
      <c r="AT178" s="868"/>
      <c r="AU178" s="868"/>
      <c r="AV178" s="868"/>
      <c r="AW178" s="868"/>
      <c r="AX178" s="868"/>
    </row>
    <row r="179" s="687" customFormat="1" ht="15.75" hidden="1" customHeight="1" spans="1:50">
      <c r="A179" s="3033"/>
      <c r="B179" s="754" t="s">
        <v>6445</v>
      </c>
      <c r="C179" s="864">
        <f>UnosNovoZaposl!C171</f>
        <v>0</v>
      </c>
      <c r="D179" s="864"/>
      <c r="E179" s="864"/>
      <c r="F179" s="864"/>
      <c r="G179" s="864"/>
      <c r="H179" s="864"/>
      <c r="I179" s="864"/>
      <c r="J179" s="864"/>
      <c r="K179" s="864"/>
      <c r="L179" s="864"/>
      <c r="M179" s="864"/>
      <c r="N179" s="3034">
        <f>UnosNovoZaposl!D171</f>
        <v>0</v>
      </c>
      <c r="O179" s="3035"/>
      <c r="P179" s="3035"/>
      <c r="Q179" s="3035"/>
      <c r="R179" s="3035"/>
      <c r="S179" s="3035"/>
      <c r="T179" s="3036"/>
      <c r="U179" s="868">
        <f>UnosNovoZaposl!E171</f>
        <v>0</v>
      </c>
      <c r="V179" s="868"/>
      <c r="W179" s="868"/>
      <c r="X179" s="868"/>
      <c r="Y179" s="868"/>
      <c r="Z179" s="868"/>
      <c r="AA179" s="868">
        <f>UnosNovoZaposl!B171</f>
        <v>0</v>
      </c>
      <c r="AB179" s="868"/>
      <c r="AC179" s="868"/>
      <c r="AD179" s="868"/>
      <c r="AE179" s="868"/>
      <c r="AF179" s="868"/>
      <c r="AG179" s="868">
        <f>UnosNovoZaposl!F171</f>
        <v>0</v>
      </c>
      <c r="AH179" s="868"/>
      <c r="AI179" s="868"/>
      <c r="AJ179" s="868"/>
      <c r="AK179" s="868"/>
      <c r="AL179" s="868"/>
      <c r="AM179" s="868">
        <f>UnosNovoZaposl!G171</f>
        <v>0</v>
      </c>
      <c r="AN179" s="868"/>
      <c r="AO179" s="868"/>
      <c r="AP179" s="868"/>
      <c r="AQ179" s="868"/>
      <c r="AR179" s="868"/>
      <c r="AS179" s="868">
        <f t="shared" si="2"/>
        <v>0</v>
      </c>
      <c r="AT179" s="868"/>
      <c r="AU179" s="868"/>
      <c r="AV179" s="868"/>
      <c r="AW179" s="868"/>
      <c r="AX179" s="868"/>
    </row>
    <row r="180" s="687" customFormat="1" ht="15.75" hidden="1" customHeight="1" spans="1:50">
      <c r="A180" s="3033"/>
      <c r="B180" s="754" t="s">
        <v>6446</v>
      </c>
      <c r="C180" s="864">
        <f>UnosNovoZaposl!C172</f>
        <v>0</v>
      </c>
      <c r="D180" s="864"/>
      <c r="E180" s="864"/>
      <c r="F180" s="864"/>
      <c r="G180" s="864"/>
      <c r="H180" s="864"/>
      <c r="I180" s="864"/>
      <c r="J180" s="864"/>
      <c r="K180" s="864"/>
      <c r="L180" s="864"/>
      <c r="M180" s="864"/>
      <c r="N180" s="3034">
        <f>UnosNovoZaposl!D172</f>
        <v>0</v>
      </c>
      <c r="O180" s="3035"/>
      <c r="P180" s="3035"/>
      <c r="Q180" s="3035"/>
      <c r="R180" s="3035"/>
      <c r="S180" s="3035"/>
      <c r="T180" s="3036"/>
      <c r="U180" s="868">
        <f>UnosNovoZaposl!E172</f>
        <v>0</v>
      </c>
      <c r="V180" s="868"/>
      <c r="W180" s="868"/>
      <c r="X180" s="868"/>
      <c r="Y180" s="868"/>
      <c r="Z180" s="868"/>
      <c r="AA180" s="868">
        <f>UnosNovoZaposl!B172</f>
        <v>0</v>
      </c>
      <c r="AB180" s="868"/>
      <c r="AC180" s="868"/>
      <c r="AD180" s="868"/>
      <c r="AE180" s="868"/>
      <c r="AF180" s="868"/>
      <c r="AG180" s="868">
        <f>UnosNovoZaposl!F172</f>
        <v>0</v>
      </c>
      <c r="AH180" s="868"/>
      <c r="AI180" s="868"/>
      <c r="AJ180" s="868"/>
      <c r="AK180" s="868"/>
      <c r="AL180" s="868"/>
      <c r="AM180" s="868">
        <f>UnosNovoZaposl!G172</f>
        <v>0</v>
      </c>
      <c r="AN180" s="868"/>
      <c r="AO180" s="868"/>
      <c r="AP180" s="868"/>
      <c r="AQ180" s="868"/>
      <c r="AR180" s="868"/>
      <c r="AS180" s="868">
        <f t="shared" si="2"/>
        <v>0</v>
      </c>
      <c r="AT180" s="868"/>
      <c r="AU180" s="868"/>
      <c r="AV180" s="868"/>
      <c r="AW180" s="868"/>
      <c r="AX180" s="868"/>
    </row>
    <row r="181" s="687" customFormat="1" ht="15.75" hidden="1" customHeight="1" spans="1:50">
      <c r="A181" s="3033"/>
      <c r="B181" s="754" t="s">
        <v>6447</v>
      </c>
      <c r="C181" s="864">
        <f>UnosNovoZaposl!C173</f>
        <v>0</v>
      </c>
      <c r="D181" s="864"/>
      <c r="E181" s="864"/>
      <c r="F181" s="864"/>
      <c r="G181" s="864"/>
      <c r="H181" s="864"/>
      <c r="I181" s="864"/>
      <c r="J181" s="864"/>
      <c r="K181" s="864"/>
      <c r="L181" s="864"/>
      <c r="M181" s="864"/>
      <c r="N181" s="3034">
        <f>UnosNovoZaposl!D173</f>
        <v>0</v>
      </c>
      <c r="O181" s="3035"/>
      <c r="P181" s="3035"/>
      <c r="Q181" s="3035"/>
      <c r="R181" s="3035"/>
      <c r="S181" s="3035"/>
      <c r="T181" s="3036"/>
      <c r="U181" s="868">
        <f>UnosNovoZaposl!E173</f>
        <v>0</v>
      </c>
      <c r="V181" s="868"/>
      <c r="W181" s="868"/>
      <c r="X181" s="868"/>
      <c r="Y181" s="868"/>
      <c r="Z181" s="868"/>
      <c r="AA181" s="868">
        <f>UnosNovoZaposl!B173</f>
        <v>0</v>
      </c>
      <c r="AB181" s="868"/>
      <c r="AC181" s="868"/>
      <c r="AD181" s="868"/>
      <c r="AE181" s="868"/>
      <c r="AF181" s="868"/>
      <c r="AG181" s="868">
        <f>UnosNovoZaposl!F173</f>
        <v>0</v>
      </c>
      <c r="AH181" s="868"/>
      <c r="AI181" s="868"/>
      <c r="AJ181" s="868"/>
      <c r="AK181" s="868"/>
      <c r="AL181" s="868"/>
      <c r="AM181" s="868">
        <f>UnosNovoZaposl!G173</f>
        <v>0</v>
      </c>
      <c r="AN181" s="868"/>
      <c r="AO181" s="868"/>
      <c r="AP181" s="868"/>
      <c r="AQ181" s="868"/>
      <c r="AR181" s="868"/>
      <c r="AS181" s="868">
        <f t="shared" si="2"/>
        <v>0</v>
      </c>
      <c r="AT181" s="868"/>
      <c r="AU181" s="868"/>
      <c r="AV181" s="868"/>
      <c r="AW181" s="868"/>
      <c r="AX181" s="868"/>
    </row>
    <row r="182" s="687" customFormat="1" ht="15.75" hidden="1" customHeight="1" spans="1:50">
      <c r="A182" s="3033"/>
      <c r="B182" s="754" t="s">
        <v>6448</v>
      </c>
      <c r="C182" s="864">
        <f>UnosNovoZaposl!C174</f>
        <v>0</v>
      </c>
      <c r="D182" s="864"/>
      <c r="E182" s="864"/>
      <c r="F182" s="864"/>
      <c r="G182" s="864"/>
      <c r="H182" s="864"/>
      <c r="I182" s="864"/>
      <c r="J182" s="864"/>
      <c r="K182" s="864"/>
      <c r="L182" s="864"/>
      <c r="M182" s="864"/>
      <c r="N182" s="3034">
        <f>UnosNovoZaposl!D174</f>
        <v>0</v>
      </c>
      <c r="O182" s="3035"/>
      <c r="P182" s="3035"/>
      <c r="Q182" s="3035"/>
      <c r="R182" s="3035"/>
      <c r="S182" s="3035"/>
      <c r="T182" s="3036"/>
      <c r="U182" s="868">
        <f>UnosNovoZaposl!E174</f>
        <v>0</v>
      </c>
      <c r="V182" s="868"/>
      <c r="W182" s="868"/>
      <c r="X182" s="868"/>
      <c r="Y182" s="868"/>
      <c r="Z182" s="868"/>
      <c r="AA182" s="868">
        <f>UnosNovoZaposl!B174</f>
        <v>0</v>
      </c>
      <c r="AB182" s="868"/>
      <c r="AC182" s="868"/>
      <c r="AD182" s="868"/>
      <c r="AE182" s="868"/>
      <c r="AF182" s="868"/>
      <c r="AG182" s="868">
        <f>UnosNovoZaposl!F174</f>
        <v>0</v>
      </c>
      <c r="AH182" s="868"/>
      <c r="AI182" s="868"/>
      <c r="AJ182" s="868"/>
      <c r="AK182" s="868"/>
      <c r="AL182" s="868"/>
      <c r="AM182" s="868">
        <f>UnosNovoZaposl!G174</f>
        <v>0</v>
      </c>
      <c r="AN182" s="868"/>
      <c r="AO182" s="868"/>
      <c r="AP182" s="868"/>
      <c r="AQ182" s="868"/>
      <c r="AR182" s="868"/>
      <c r="AS182" s="868">
        <f t="shared" si="2"/>
        <v>0</v>
      </c>
      <c r="AT182" s="868"/>
      <c r="AU182" s="868"/>
      <c r="AV182" s="868"/>
      <c r="AW182" s="868"/>
      <c r="AX182" s="868"/>
    </row>
    <row r="183" s="687" customFormat="1" ht="15.75" hidden="1" customHeight="1" spans="1:50">
      <c r="A183" s="3033"/>
      <c r="B183" s="754" t="s">
        <v>6449</v>
      </c>
      <c r="C183" s="864">
        <f>UnosNovoZaposl!C175</f>
        <v>0</v>
      </c>
      <c r="D183" s="864"/>
      <c r="E183" s="864"/>
      <c r="F183" s="864"/>
      <c r="G183" s="864"/>
      <c r="H183" s="864"/>
      <c r="I183" s="864"/>
      <c r="J183" s="864"/>
      <c r="K183" s="864"/>
      <c r="L183" s="864"/>
      <c r="M183" s="864"/>
      <c r="N183" s="3034">
        <f>UnosNovoZaposl!D175</f>
        <v>0</v>
      </c>
      <c r="O183" s="3035"/>
      <c r="P183" s="3035"/>
      <c r="Q183" s="3035"/>
      <c r="R183" s="3035"/>
      <c r="S183" s="3035"/>
      <c r="T183" s="3036"/>
      <c r="U183" s="868">
        <f>UnosNovoZaposl!E175</f>
        <v>0</v>
      </c>
      <c r="V183" s="868"/>
      <c r="W183" s="868"/>
      <c r="X183" s="868"/>
      <c r="Y183" s="868"/>
      <c r="Z183" s="868"/>
      <c r="AA183" s="868">
        <f>UnosNovoZaposl!B175</f>
        <v>0</v>
      </c>
      <c r="AB183" s="868"/>
      <c r="AC183" s="868"/>
      <c r="AD183" s="868"/>
      <c r="AE183" s="868"/>
      <c r="AF183" s="868"/>
      <c r="AG183" s="868">
        <f>UnosNovoZaposl!F175</f>
        <v>0</v>
      </c>
      <c r="AH183" s="868"/>
      <c r="AI183" s="868"/>
      <c r="AJ183" s="868"/>
      <c r="AK183" s="868"/>
      <c r="AL183" s="868"/>
      <c r="AM183" s="868">
        <f>UnosNovoZaposl!G175</f>
        <v>0</v>
      </c>
      <c r="AN183" s="868"/>
      <c r="AO183" s="868"/>
      <c r="AP183" s="868"/>
      <c r="AQ183" s="868"/>
      <c r="AR183" s="868"/>
      <c r="AS183" s="868">
        <f t="shared" si="2"/>
        <v>0</v>
      </c>
      <c r="AT183" s="868"/>
      <c r="AU183" s="868"/>
      <c r="AV183" s="868"/>
      <c r="AW183" s="868"/>
      <c r="AX183" s="868"/>
    </row>
    <row r="184" s="687" customFormat="1" ht="15.75" hidden="1" customHeight="1" spans="1:50">
      <c r="A184" s="3033"/>
      <c r="B184" s="754" t="s">
        <v>6450</v>
      </c>
      <c r="C184" s="864">
        <f>UnosNovoZaposl!C176</f>
        <v>0</v>
      </c>
      <c r="D184" s="864"/>
      <c r="E184" s="864"/>
      <c r="F184" s="864"/>
      <c r="G184" s="864"/>
      <c r="H184" s="864"/>
      <c r="I184" s="864"/>
      <c r="J184" s="864"/>
      <c r="K184" s="864"/>
      <c r="L184" s="864"/>
      <c r="M184" s="864"/>
      <c r="N184" s="3034">
        <f>UnosNovoZaposl!D176</f>
        <v>0</v>
      </c>
      <c r="O184" s="3035"/>
      <c r="P184" s="3035"/>
      <c r="Q184" s="3035"/>
      <c r="R184" s="3035"/>
      <c r="S184" s="3035"/>
      <c r="T184" s="3036"/>
      <c r="U184" s="868">
        <f>UnosNovoZaposl!E176</f>
        <v>0</v>
      </c>
      <c r="V184" s="868"/>
      <c r="W184" s="868"/>
      <c r="X184" s="868"/>
      <c r="Y184" s="868"/>
      <c r="Z184" s="868"/>
      <c r="AA184" s="868">
        <f>UnosNovoZaposl!B176</f>
        <v>0</v>
      </c>
      <c r="AB184" s="868"/>
      <c r="AC184" s="868"/>
      <c r="AD184" s="868"/>
      <c r="AE184" s="868"/>
      <c r="AF184" s="868"/>
      <c r="AG184" s="868">
        <f>UnosNovoZaposl!F176</f>
        <v>0</v>
      </c>
      <c r="AH184" s="868"/>
      <c r="AI184" s="868"/>
      <c r="AJ184" s="868"/>
      <c r="AK184" s="868"/>
      <c r="AL184" s="868"/>
      <c r="AM184" s="868">
        <f>UnosNovoZaposl!G176</f>
        <v>0</v>
      </c>
      <c r="AN184" s="868"/>
      <c r="AO184" s="868"/>
      <c r="AP184" s="868"/>
      <c r="AQ184" s="868"/>
      <c r="AR184" s="868"/>
      <c r="AS184" s="868">
        <f t="shared" si="2"/>
        <v>0</v>
      </c>
      <c r="AT184" s="868"/>
      <c r="AU184" s="868"/>
      <c r="AV184" s="868"/>
      <c r="AW184" s="868"/>
      <c r="AX184" s="868"/>
    </row>
    <row r="185" s="687" customFormat="1" ht="15.75" hidden="1" customHeight="1" spans="1:50">
      <c r="A185" s="3033"/>
      <c r="B185" s="754" t="s">
        <v>6451</v>
      </c>
      <c r="C185" s="864">
        <f>UnosNovoZaposl!C177</f>
        <v>0</v>
      </c>
      <c r="D185" s="864"/>
      <c r="E185" s="864"/>
      <c r="F185" s="864"/>
      <c r="G185" s="864"/>
      <c r="H185" s="864"/>
      <c r="I185" s="864"/>
      <c r="J185" s="864"/>
      <c r="K185" s="864"/>
      <c r="L185" s="864"/>
      <c r="M185" s="864"/>
      <c r="N185" s="3034">
        <f>UnosNovoZaposl!D177</f>
        <v>0</v>
      </c>
      <c r="O185" s="3035"/>
      <c r="P185" s="3035"/>
      <c r="Q185" s="3035"/>
      <c r="R185" s="3035"/>
      <c r="S185" s="3035"/>
      <c r="T185" s="3036"/>
      <c r="U185" s="868">
        <f>UnosNovoZaposl!E177</f>
        <v>0</v>
      </c>
      <c r="V185" s="868"/>
      <c r="W185" s="868"/>
      <c r="X185" s="868"/>
      <c r="Y185" s="868"/>
      <c r="Z185" s="868"/>
      <c r="AA185" s="868">
        <f>UnosNovoZaposl!B177</f>
        <v>0</v>
      </c>
      <c r="AB185" s="868"/>
      <c r="AC185" s="868"/>
      <c r="AD185" s="868"/>
      <c r="AE185" s="868"/>
      <c r="AF185" s="868"/>
      <c r="AG185" s="868">
        <f>UnosNovoZaposl!F177</f>
        <v>0</v>
      </c>
      <c r="AH185" s="868"/>
      <c r="AI185" s="868"/>
      <c r="AJ185" s="868"/>
      <c r="AK185" s="868"/>
      <c r="AL185" s="868"/>
      <c r="AM185" s="868">
        <f>UnosNovoZaposl!G177</f>
        <v>0</v>
      </c>
      <c r="AN185" s="868"/>
      <c r="AO185" s="868"/>
      <c r="AP185" s="868"/>
      <c r="AQ185" s="868"/>
      <c r="AR185" s="868"/>
      <c r="AS185" s="868">
        <f t="shared" si="2"/>
        <v>0</v>
      </c>
      <c r="AT185" s="868"/>
      <c r="AU185" s="868"/>
      <c r="AV185" s="868"/>
      <c r="AW185" s="868"/>
      <c r="AX185" s="868"/>
    </row>
    <row r="186" s="687" customFormat="1" ht="15.75" hidden="1" customHeight="1" spans="1:50">
      <c r="A186" s="3033"/>
      <c r="B186" s="754" t="s">
        <v>6452</v>
      </c>
      <c r="C186" s="864">
        <f>UnosNovoZaposl!C178</f>
        <v>0</v>
      </c>
      <c r="D186" s="864"/>
      <c r="E186" s="864"/>
      <c r="F186" s="864"/>
      <c r="G186" s="864"/>
      <c r="H186" s="864"/>
      <c r="I186" s="864"/>
      <c r="J186" s="864"/>
      <c r="K186" s="864"/>
      <c r="L186" s="864"/>
      <c r="M186" s="864"/>
      <c r="N186" s="3034">
        <f>UnosNovoZaposl!D178</f>
        <v>0</v>
      </c>
      <c r="O186" s="3035"/>
      <c r="P186" s="3035"/>
      <c r="Q186" s="3035"/>
      <c r="R186" s="3035"/>
      <c r="S186" s="3035"/>
      <c r="T186" s="3036"/>
      <c r="U186" s="868">
        <f>UnosNovoZaposl!E178</f>
        <v>0</v>
      </c>
      <c r="V186" s="868"/>
      <c r="W186" s="868"/>
      <c r="X186" s="868"/>
      <c r="Y186" s="868"/>
      <c r="Z186" s="868"/>
      <c r="AA186" s="868">
        <f>UnosNovoZaposl!B178</f>
        <v>0</v>
      </c>
      <c r="AB186" s="868"/>
      <c r="AC186" s="868"/>
      <c r="AD186" s="868"/>
      <c r="AE186" s="868"/>
      <c r="AF186" s="868"/>
      <c r="AG186" s="868">
        <f>UnosNovoZaposl!F178</f>
        <v>0</v>
      </c>
      <c r="AH186" s="868"/>
      <c r="AI186" s="868"/>
      <c r="AJ186" s="868"/>
      <c r="AK186" s="868"/>
      <c r="AL186" s="868"/>
      <c r="AM186" s="868">
        <f>UnosNovoZaposl!G178</f>
        <v>0</v>
      </c>
      <c r="AN186" s="868"/>
      <c r="AO186" s="868"/>
      <c r="AP186" s="868"/>
      <c r="AQ186" s="868"/>
      <c r="AR186" s="868"/>
      <c r="AS186" s="868">
        <f t="shared" si="2"/>
        <v>0</v>
      </c>
      <c r="AT186" s="868"/>
      <c r="AU186" s="868"/>
      <c r="AV186" s="868"/>
      <c r="AW186" s="868"/>
      <c r="AX186" s="868"/>
    </row>
    <row r="187" s="687" customFormat="1" ht="15.75" hidden="1" customHeight="1" spans="1:50">
      <c r="A187" s="3033"/>
      <c r="B187" s="754" t="s">
        <v>6453</v>
      </c>
      <c r="C187" s="864">
        <f>UnosNovoZaposl!C179</f>
        <v>0</v>
      </c>
      <c r="D187" s="864"/>
      <c r="E187" s="864"/>
      <c r="F187" s="864"/>
      <c r="G187" s="864"/>
      <c r="H187" s="864"/>
      <c r="I187" s="864"/>
      <c r="J187" s="864"/>
      <c r="K187" s="864"/>
      <c r="L187" s="864"/>
      <c r="M187" s="864"/>
      <c r="N187" s="3034">
        <f>UnosNovoZaposl!D179</f>
        <v>0</v>
      </c>
      <c r="O187" s="3035"/>
      <c r="P187" s="3035"/>
      <c r="Q187" s="3035"/>
      <c r="R187" s="3035"/>
      <c r="S187" s="3035"/>
      <c r="T187" s="3036"/>
      <c r="U187" s="868">
        <f>UnosNovoZaposl!E179</f>
        <v>0</v>
      </c>
      <c r="V187" s="868"/>
      <c r="W187" s="868"/>
      <c r="X187" s="868"/>
      <c r="Y187" s="868"/>
      <c r="Z187" s="868"/>
      <c r="AA187" s="868">
        <f>UnosNovoZaposl!B179</f>
        <v>0</v>
      </c>
      <c r="AB187" s="868"/>
      <c r="AC187" s="868"/>
      <c r="AD187" s="868"/>
      <c r="AE187" s="868"/>
      <c r="AF187" s="868"/>
      <c r="AG187" s="868">
        <f>UnosNovoZaposl!F179</f>
        <v>0</v>
      </c>
      <c r="AH187" s="868"/>
      <c r="AI187" s="868"/>
      <c r="AJ187" s="868"/>
      <c r="AK187" s="868"/>
      <c r="AL187" s="868"/>
      <c r="AM187" s="868">
        <f>UnosNovoZaposl!G179</f>
        <v>0</v>
      </c>
      <c r="AN187" s="868"/>
      <c r="AO187" s="868"/>
      <c r="AP187" s="868"/>
      <c r="AQ187" s="868"/>
      <c r="AR187" s="868"/>
      <c r="AS187" s="868">
        <f t="shared" si="2"/>
        <v>0</v>
      </c>
      <c r="AT187" s="868"/>
      <c r="AU187" s="868"/>
      <c r="AV187" s="868"/>
      <c r="AW187" s="868"/>
      <c r="AX187" s="868"/>
    </row>
    <row r="188" s="687" customFormat="1" ht="15.75" hidden="1" customHeight="1" spans="1:50">
      <c r="A188" s="3033"/>
      <c r="B188" s="754" t="s">
        <v>6454</v>
      </c>
      <c r="C188" s="864">
        <f>UnosNovoZaposl!C180</f>
        <v>0</v>
      </c>
      <c r="D188" s="864"/>
      <c r="E188" s="864"/>
      <c r="F188" s="864"/>
      <c r="G188" s="864"/>
      <c r="H188" s="864"/>
      <c r="I188" s="864"/>
      <c r="J188" s="864"/>
      <c r="K188" s="864"/>
      <c r="L188" s="864"/>
      <c r="M188" s="864"/>
      <c r="N188" s="3034">
        <f>UnosNovoZaposl!D180</f>
        <v>0</v>
      </c>
      <c r="O188" s="3035"/>
      <c r="P188" s="3035"/>
      <c r="Q188" s="3035"/>
      <c r="R188" s="3035"/>
      <c r="S188" s="3035"/>
      <c r="T188" s="3036"/>
      <c r="U188" s="868">
        <f>UnosNovoZaposl!E180</f>
        <v>0</v>
      </c>
      <c r="V188" s="868"/>
      <c r="W188" s="868"/>
      <c r="X188" s="868"/>
      <c r="Y188" s="868"/>
      <c r="Z188" s="868"/>
      <c r="AA188" s="868">
        <f>UnosNovoZaposl!B180</f>
        <v>0</v>
      </c>
      <c r="AB188" s="868"/>
      <c r="AC188" s="868"/>
      <c r="AD188" s="868"/>
      <c r="AE188" s="868"/>
      <c r="AF188" s="868"/>
      <c r="AG188" s="868">
        <f>UnosNovoZaposl!F180</f>
        <v>0</v>
      </c>
      <c r="AH188" s="868"/>
      <c r="AI188" s="868"/>
      <c r="AJ188" s="868"/>
      <c r="AK188" s="868"/>
      <c r="AL188" s="868"/>
      <c r="AM188" s="868">
        <f>UnosNovoZaposl!G180</f>
        <v>0</v>
      </c>
      <c r="AN188" s="868"/>
      <c r="AO188" s="868"/>
      <c r="AP188" s="868"/>
      <c r="AQ188" s="868"/>
      <c r="AR188" s="868"/>
      <c r="AS188" s="868">
        <f t="shared" si="2"/>
        <v>0</v>
      </c>
      <c r="AT188" s="868"/>
      <c r="AU188" s="868"/>
      <c r="AV188" s="868"/>
      <c r="AW188" s="868"/>
      <c r="AX188" s="868"/>
    </row>
    <row r="189" s="687" customFormat="1" ht="15.75" hidden="1" customHeight="1" spans="1:50">
      <c r="A189" s="3033"/>
      <c r="B189" s="754" t="s">
        <v>6455</v>
      </c>
      <c r="C189" s="864">
        <f>UnosNovoZaposl!C181</f>
        <v>0</v>
      </c>
      <c r="D189" s="864"/>
      <c r="E189" s="864"/>
      <c r="F189" s="864"/>
      <c r="G189" s="864"/>
      <c r="H189" s="864"/>
      <c r="I189" s="864"/>
      <c r="J189" s="864"/>
      <c r="K189" s="864"/>
      <c r="L189" s="864"/>
      <c r="M189" s="864"/>
      <c r="N189" s="3034">
        <f>UnosNovoZaposl!D181</f>
        <v>0</v>
      </c>
      <c r="O189" s="3035"/>
      <c r="P189" s="3035"/>
      <c r="Q189" s="3035"/>
      <c r="R189" s="3035"/>
      <c r="S189" s="3035"/>
      <c r="T189" s="3036"/>
      <c r="U189" s="868">
        <f>UnosNovoZaposl!E181</f>
        <v>0</v>
      </c>
      <c r="V189" s="868"/>
      <c r="W189" s="868"/>
      <c r="X189" s="868"/>
      <c r="Y189" s="868"/>
      <c r="Z189" s="868"/>
      <c r="AA189" s="868">
        <f>UnosNovoZaposl!B181</f>
        <v>0</v>
      </c>
      <c r="AB189" s="868"/>
      <c r="AC189" s="868"/>
      <c r="AD189" s="868"/>
      <c r="AE189" s="868"/>
      <c r="AF189" s="868"/>
      <c r="AG189" s="868">
        <f>UnosNovoZaposl!F181</f>
        <v>0</v>
      </c>
      <c r="AH189" s="868"/>
      <c r="AI189" s="868"/>
      <c r="AJ189" s="868"/>
      <c r="AK189" s="868"/>
      <c r="AL189" s="868"/>
      <c r="AM189" s="868">
        <f>UnosNovoZaposl!G181</f>
        <v>0</v>
      </c>
      <c r="AN189" s="868"/>
      <c r="AO189" s="868"/>
      <c r="AP189" s="868"/>
      <c r="AQ189" s="868"/>
      <c r="AR189" s="868"/>
      <c r="AS189" s="868">
        <f t="shared" si="2"/>
        <v>0</v>
      </c>
      <c r="AT189" s="868"/>
      <c r="AU189" s="868"/>
      <c r="AV189" s="868"/>
      <c r="AW189" s="868"/>
      <c r="AX189" s="868"/>
    </row>
    <row r="190" s="687" customFormat="1" ht="15.75" hidden="1" customHeight="1" spans="1:50">
      <c r="A190" s="3033"/>
      <c r="B190" s="754" t="s">
        <v>6456</v>
      </c>
      <c r="C190" s="864">
        <f>UnosNovoZaposl!C182</f>
        <v>0</v>
      </c>
      <c r="D190" s="864"/>
      <c r="E190" s="864"/>
      <c r="F190" s="864"/>
      <c r="G190" s="864"/>
      <c r="H190" s="864"/>
      <c r="I190" s="864"/>
      <c r="J190" s="864"/>
      <c r="K190" s="864"/>
      <c r="L190" s="864"/>
      <c r="M190" s="864"/>
      <c r="N190" s="3034">
        <f>UnosNovoZaposl!D182</f>
        <v>0</v>
      </c>
      <c r="O190" s="3035"/>
      <c r="P190" s="3035"/>
      <c r="Q190" s="3035"/>
      <c r="R190" s="3035"/>
      <c r="S190" s="3035"/>
      <c r="T190" s="3036"/>
      <c r="U190" s="868">
        <f>UnosNovoZaposl!E182</f>
        <v>0</v>
      </c>
      <c r="V190" s="868"/>
      <c r="W190" s="868"/>
      <c r="X190" s="868"/>
      <c r="Y190" s="868"/>
      <c r="Z190" s="868"/>
      <c r="AA190" s="868">
        <f>UnosNovoZaposl!B182</f>
        <v>0</v>
      </c>
      <c r="AB190" s="868"/>
      <c r="AC190" s="868"/>
      <c r="AD190" s="868"/>
      <c r="AE190" s="868"/>
      <c r="AF190" s="868"/>
      <c r="AG190" s="868">
        <f>UnosNovoZaposl!F182</f>
        <v>0</v>
      </c>
      <c r="AH190" s="868"/>
      <c r="AI190" s="868"/>
      <c r="AJ190" s="868"/>
      <c r="AK190" s="868"/>
      <c r="AL190" s="868"/>
      <c r="AM190" s="868">
        <f>UnosNovoZaposl!G182</f>
        <v>0</v>
      </c>
      <c r="AN190" s="868"/>
      <c r="AO190" s="868"/>
      <c r="AP190" s="868"/>
      <c r="AQ190" s="868"/>
      <c r="AR190" s="868"/>
      <c r="AS190" s="868">
        <f t="shared" si="2"/>
        <v>0</v>
      </c>
      <c r="AT190" s="868"/>
      <c r="AU190" s="868"/>
      <c r="AV190" s="868"/>
      <c r="AW190" s="868"/>
      <c r="AX190" s="868"/>
    </row>
    <row r="191" s="687" customFormat="1" ht="15.75" hidden="1" customHeight="1" spans="1:50">
      <c r="A191" s="3033"/>
      <c r="B191" s="754" t="s">
        <v>6457</v>
      </c>
      <c r="C191" s="864">
        <f>UnosNovoZaposl!C183</f>
        <v>0</v>
      </c>
      <c r="D191" s="864"/>
      <c r="E191" s="864"/>
      <c r="F191" s="864"/>
      <c r="G191" s="864"/>
      <c r="H191" s="864"/>
      <c r="I191" s="864"/>
      <c r="J191" s="864"/>
      <c r="K191" s="864"/>
      <c r="L191" s="864"/>
      <c r="M191" s="864"/>
      <c r="N191" s="3034">
        <f>UnosNovoZaposl!D183</f>
        <v>0</v>
      </c>
      <c r="O191" s="3035"/>
      <c r="P191" s="3035"/>
      <c r="Q191" s="3035"/>
      <c r="R191" s="3035"/>
      <c r="S191" s="3035"/>
      <c r="T191" s="3036"/>
      <c r="U191" s="868">
        <f>UnosNovoZaposl!E183</f>
        <v>0</v>
      </c>
      <c r="V191" s="868"/>
      <c r="W191" s="868"/>
      <c r="X191" s="868"/>
      <c r="Y191" s="868"/>
      <c r="Z191" s="868"/>
      <c r="AA191" s="868">
        <f>UnosNovoZaposl!B183</f>
        <v>0</v>
      </c>
      <c r="AB191" s="868"/>
      <c r="AC191" s="868"/>
      <c r="AD191" s="868"/>
      <c r="AE191" s="868"/>
      <c r="AF191" s="868"/>
      <c r="AG191" s="868">
        <f>UnosNovoZaposl!F183</f>
        <v>0</v>
      </c>
      <c r="AH191" s="868"/>
      <c r="AI191" s="868"/>
      <c r="AJ191" s="868"/>
      <c r="AK191" s="868"/>
      <c r="AL191" s="868"/>
      <c r="AM191" s="868">
        <f>UnosNovoZaposl!G183</f>
        <v>0</v>
      </c>
      <c r="AN191" s="868"/>
      <c r="AO191" s="868"/>
      <c r="AP191" s="868"/>
      <c r="AQ191" s="868"/>
      <c r="AR191" s="868"/>
      <c r="AS191" s="868">
        <f t="shared" si="2"/>
        <v>0</v>
      </c>
      <c r="AT191" s="868"/>
      <c r="AU191" s="868"/>
      <c r="AV191" s="868"/>
      <c r="AW191" s="868"/>
      <c r="AX191" s="868"/>
    </row>
    <row r="192" s="687" customFormat="1" ht="15.75" hidden="1" customHeight="1" spans="1:50">
      <c r="A192" s="3033"/>
      <c r="B192" s="754" t="s">
        <v>6458</v>
      </c>
      <c r="C192" s="864">
        <f>UnosNovoZaposl!C184</f>
        <v>0</v>
      </c>
      <c r="D192" s="864"/>
      <c r="E192" s="864"/>
      <c r="F192" s="864"/>
      <c r="G192" s="864"/>
      <c r="H192" s="864"/>
      <c r="I192" s="864"/>
      <c r="J192" s="864"/>
      <c r="K192" s="864"/>
      <c r="L192" s="864"/>
      <c r="M192" s="864"/>
      <c r="N192" s="3034">
        <f>UnosNovoZaposl!D184</f>
        <v>0</v>
      </c>
      <c r="O192" s="3035"/>
      <c r="P192" s="3035"/>
      <c r="Q192" s="3035"/>
      <c r="R192" s="3035"/>
      <c r="S192" s="3035"/>
      <c r="T192" s="3036"/>
      <c r="U192" s="868">
        <f>UnosNovoZaposl!E184</f>
        <v>0</v>
      </c>
      <c r="V192" s="868"/>
      <c r="W192" s="868"/>
      <c r="X192" s="868"/>
      <c r="Y192" s="868"/>
      <c r="Z192" s="868"/>
      <c r="AA192" s="868">
        <f>UnosNovoZaposl!B184</f>
        <v>0</v>
      </c>
      <c r="AB192" s="868"/>
      <c r="AC192" s="868"/>
      <c r="AD192" s="868"/>
      <c r="AE192" s="868"/>
      <c r="AF192" s="868"/>
      <c r="AG192" s="868">
        <f>UnosNovoZaposl!F184</f>
        <v>0</v>
      </c>
      <c r="AH192" s="868"/>
      <c r="AI192" s="868"/>
      <c r="AJ192" s="868"/>
      <c r="AK192" s="868"/>
      <c r="AL192" s="868"/>
      <c r="AM192" s="868">
        <f>UnosNovoZaposl!G184</f>
        <v>0</v>
      </c>
      <c r="AN192" s="868"/>
      <c r="AO192" s="868"/>
      <c r="AP192" s="868"/>
      <c r="AQ192" s="868"/>
      <c r="AR192" s="868"/>
      <c r="AS192" s="868">
        <f t="shared" si="2"/>
        <v>0</v>
      </c>
      <c r="AT192" s="868"/>
      <c r="AU192" s="868"/>
      <c r="AV192" s="868"/>
      <c r="AW192" s="868"/>
      <c r="AX192" s="868"/>
    </row>
    <row r="193" s="687" customFormat="1" ht="15.75" hidden="1" customHeight="1" spans="1:50">
      <c r="A193" s="3033"/>
      <c r="B193" s="754" t="s">
        <v>6459</v>
      </c>
      <c r="C193" s="864">
        <f>UnosNovoZaposl!C185</f>
        <v>0</v>
      </c>
      <c r="D193" s="864"/>
      <c r="E193" s="864"/>
      <c r="F193" s="864"/>
      <c r="G193" s="864"/>
      <c r="H193" s="864"/>
      <c r="I193" s="864"/>
      <c r="J193" s="864"/>
      <c r="K193" s="864"/>
      <c r="L193" s="864"/>
      <c r="M193" s="864"/>
      <c r="N193" s="3034">
        <f>UnosNovoZaposl!D185</f>
        <v>0</v>
      </c>
      <c r="O193" s="3035"/>
      <c r="P193" s="3035"/>
      <c r="Q193" s="3035"/>
      <c r="R193" s="3035"/>
      <c r="S193" s="3035"/>
      <c r="T193" s="3036"/>
      <c r="U193" s="868">
        <f>UnosNovoZaposl!E185</f>
        <v>0</v>
      </c>
      <c r="V193" s="868"/>
      <c r="W193" s="868"/>
      <c r="X193" s="868"/>
      <c r="Y193" s="868"/>
      <c r="Z193" s="868"/>
      <c r="AA193" s="868">
        <f>UnosNovoZaposl!B185</f>
        <v>0</v>
      </c>
      <c r="AB193" s="868"/>
      <c r="AC193" s="868"/>
      <c r="AD193" s="868"/>
      <c r="AE193" s="868"/>
      <c r="AF193" s="868"/>
      <c r="AG193" s="868">
        <f>UnosNovoZaposl!F185</f>
        <v>0</v>
      </c>
      <c r="AH193" s="868"/>
      <c r="AI193" s="868"/>
      <c r="AJ193" s="868"/>
      <c r="AK193" s="868"/>
      <c r="AL193" s="868"/>
      <c r="AM193" s="868">
        <f>UnosNovoZaposl!G185</f>
        <v>0</v>
      </c>
      <c r="AN193" s="868"/>
      <c r="AO193" s="868"/>
      <c r="AP193" s="868"/>
      <c r="AQ193" s="868"/>
      <c r="AR193" s="868"/>
      <c r="AS193" s="868">
        <f t="shared" si="2"/>
        <v>0</v>
      </c>
      <c r="AT193" s="868"/>
      <c r="AU193" s="868"/>
      <c r="AV193" s="868"/>
      <c r="AW193" s="868"/>
      <c r="AX193" s="868"/>
    </row>
    <row r="194" s="687" customFormat="1" ht="15.75" hidden="1" customHeight="1" spans="1:50">
      <c r="A194" s="3033"/>
      <c r="B194" s="754" t="s">
        <v>6460</v>
      </c>
      <c r="C194" s="864">
        <f>UnosNovoZaposl!C186</f>
        <v>0</v>
      </c>
      <c r="D194" s="864"/>
      <c r="E194" s="864"/>
      <c r="F194" s="864"/>
      <c r="G194" s="864"/>
      <c r="H194" s="864"/>
      <c r="I194" s="864"/>
      <c r="J194" s="864"/>
      <c r="K194" s="864"/>
      <c r="L194" s="864"/>
      <c r="M194" s="864"/>
      <c r="N194" s="3034">
        <f>UnosNovoZaposl!D186</f>
        <v>0</v>
      </c>
      <c r="O194" s="3035"/>
      <c r="P194" s="3035"/>
      <c r="Q194" s="3035"/>
      <c r="R194" s="3035"/>
      <c r="S194" s="3035"/>
      <c r="T194" s="3036"/>
      <c r="U194" s="868">
        <f>UnosNovoZaposl!E186</f>
        <v>0</v>
      </c>
      <c r="V194" s="868"/>
      <c r="W194" s="868"/>
      <c r="X194" s="868"/>
      <c r="Y194" s="868"/>
      <c r="Z194" s="868"/>
      <c r="AA194" s="868">
        <f>UnosNovoZaposl!B186</f>
        <v>0</v>
      </c>
      <c r="AB194" s="868"/>
      <c r="AC194" s="868"/>
      <c r="AD194" s="868"/>
      <c r="AE194" s="868"/>
      <c r="AF194" s="868"/>
      <c r="AG194" s="868">
        <f>UnosNovoZaposl!F186</f>
        <v>0</v>
      </c>
      <c r="AH194" s="868"/>
      <c r="AI194" s="868"/>
      <c r="AJ194" s="868"/>
      <c r="AK194" s="868"/>
      <c r="AL194" s="868"/>
      <c r="AM194" s="868">
        <f>UnosNovoZaposl!G186</f>
        <v>0</v>
      </c>
      <c r="AN194" s="868"/>
      <c r="AO194" s="868"/>
      <c r="AP194" s="868"/>
      <c r="AQ194" s="868"/>
      <c r="AR194" s="868"/>
      <c r="AS194" s="868">
        <f t="shared" si="2"/>
        <v>0</v>
      </c>
      <c r="AT194" s="868"/>
      <c r="AU194" s="868"/>
      <c r="AV194" s="868"/>
      <c r="AW194" s="868"/>
      <c r="AX194" s="868"/>
    </row>
    <row r="195" s="687" customFormat="1" ht="15.75" hidden="1" customHeight="1" spans="1:50">
      <c r="A195" s="3033"/>
      <c r="B195" s="754" t="s">
        <v>6461</v>
      </c>
      <c r="C195" s="864">
        <f>UnosNovoZaposl!C187</f>
        <v>0</v>
      </c>
      <c r="D195" s="864"/>
      <c r="E195" s="864"/>
      <c r="F195" s="864"/>
      <c r="G195" s="864"/>
      <c r="H195" s="864"/>
      <c r="I195" s="864"/>
      <c r="J195" s="864"/>
      <c r="K195" s="864"/>
      <c r="L195" s="864"/>
      <c r="M195" s="864"/>
      <c r="N195" s="3034">
        <f>UnosNovoZaposl!D187</f>
        <v>0</v>
      </c>
      <c r="O195" s="3035"/>
      <c r="P195" s="3035"/>
      <c r="Q195" s="3035"/>
      <c r="R195" s="3035"/>
      <c r="S195" s="3035"/>
      <c r="T195" s="3036"/>
      <c r="U195" s="868">
        <f>UnosNovoZaposl!E187</f>
        <v>0</v>
      </c>
      <c r="V195" s="868"/>
      <c r="W195" s="868"/>
      <c r="X195" s="868"/>
      <c r="Y195" s="868"/>
      <c r="Z195" s="868"/>
      <c r="AA195" s="868">
        <f>UnosNovoZaposl!B187</f>
        <v>0</v>
      </c>
      <c r="AB195" s="868"/>
      <c r="AC195" s="868"/>
      <c r="AD195" s="868"/>
      <c r="AE195" s="868"/>
      <c r="AF195" s="868"/>
      <c r="AG195" s="868">
        <f>UnosNovoZaposl!F187</f>
        <v>0</v>
      </c>
      <c r="AH195" s="868"/>
      <c r="AI195" s="868"/>
      <c r="AJ195" s="868"/>
      <c r="AK195" s="868"/>
      <c r="AL195" s="868"/>
      <c r="AM195" s="868">
        <f>UnosNovoZaposl!G187</f>
        <v>0</v>
      </c>
      <c r="AN195" s="868"/>
      <c r="AO195" s="868"/>
      <c r="AP195" s="868"/>
      <c r="AQ195" s="868"/>
      <c r="AR195" s="868"/>
      <c r="AS195" s="868">
        <f t="shared" si="2"/>
        <v>0</v>
      </c>
      <c r="AT195" s="868"/>
      <c r="AU195" s="868"/>
      <c r="AV195" s="868"/>
      <c r="AW195" s="868"/>
      <c r="AX195" s="868"/>
    </row>
    <row r="196" s="687" customFormat="1" ht="15.75" hidden="1" customHeight="1" spans="1:50">
      <c r="A196" s="3033"/>
      <c r="B196" s="754" t="s">
        <v>6462</v>
      </c>
      <c r="C196" s="864">
        <f>UnosNovoZaposl!C188</f>
        <v>0</v>
      </c>
      <c r="D196" s="864"/>
      <c r="E196" s="864"/>
      <c r="F196" s="864"/>
      <c r="G196" s="864"/>
      <c r="H196" s="864"/>
      <c r="I196" s="864"/>
      <c r="J196" s="864"/>
      <c r="K196" s="864"/>
      <c r="L196" s="864"/>
      <c r="M196" s="864"/>
      <c r="N196" s="3034">
        <f>UnosNovoZaposl!D188</f>
        <v>0</v>
      </c>
      <c r="O196" s="3035"/>
      <c r="P196" s="3035"/>
      <c r="Q196" s="3035"/>
      <c r="R196" s="3035"/>
      <c r="S196" s="3035"/>
      <c r="T196" s="3036"/>
      <c r="U196" s="868">
        <f>UnosNovoZaposl!E188</f>
        <v>0</v>
      </c>
      <c r="V196" s="868"/>
      <c r="W196" s="868"/>
      <c r="X196" s="868"/>
      <c r="Y196" s="868"/>
      <c r="Z196" s="868"/>
      <c r="AA196" s="868">
        <f>UnosNovoZaposl!B188</f>
        <v>0</v>
      </c>
      <c r="AB196" s="868"/>
      <c r="AC196" s="868"/>
      <c r="AD196" s="868"/>
      <c r="AE196" s="868"/>
      <c r="AF196" s="868"/>
      <c r="AG196" s="868">
        <f>UnosNovoZaposl!F188</f>
        <v>0</v>
      </c>
      <c r="AH196" s="868"/>
      <c r="AI196" s="868"/>
      <c r="AJ196" s="868"/>
      <c r="AK196" s="868"/>
      <c r="AL196" s="868"/>
      <c r="AM196" s="868">
        <f>UnosNovoZaposl!G188</f>
        <v>0</v>
      </c>
      <c r="AN196" s="868"/>
      <c r="AO196" s="868"/>
      <c r="AP196" s="868"/>
      <c r="AQ196" s="868"/>
      <c r="AR196" s="868"/>
      <c r="AS196" s="868">
        <f t="shared" si="2"/>
        <v>0</v>
      </c>
      <c r="AT196" s="868"/>
      <c r="AU196" s="868"/>
      <c r="AV196" s="868"/>
      <c r="AW196" s="868"/>
      <c r="AX196" s="868"/>
    </row>
    <row r="197" s="687" customFormat="1" ht="15.75" hidden="1" customHeight="1" spans="1:50">
      <c r="A197" s="3033"/>
      <c r="B197" s="754" t="s">
        <v>6463</v>
      </c>
      <c r="C197" s="864">
        <f>UnosNovoZaposl!C189</f>
        <v>0</v>
      </c>
      <c r="D197" s="864"/>
      <c r="E197" s="864"/>
      <c r="F197" s="864"/>
      <c r="G197" s="864"/>
      <c r="H197" s="864"/>
      <c r="I197" s="864"/>
      <c r="J197" s="864"/>
      <c r="K197" s="864"/>
      <c r="L197" s="864"/>
      <c r="M197" s="864"/>
      <c r="N197" s="3034">
        <f>UnosNovoZaposl!D189</f>
        <v>0</v>
      </c>
      <c r="O197" s="3035"/>
      <c r="P197" s="3035"/>
      <c r="Q197" s="3035"/>
      <c r="R197" s="3035"/>
      <c r="S197" s="3035"/>
      <c r="T197" s="3036"/>
      <c r="U197" s="868">
        <f>UnosNovoZaposl!E189</f>
        <v>0</v>
      </c>
      <c r="V197" s="868"/>
      <c r="W197" s="868"/>
      <c r="X197" s="868"/>
      <c r="Y197" s="868"/>
      <c r="Z197" s="868"/>
      <c r="AA197" s="868">
        <f>UnosNovoZaposl!B189</f>
        <v>0</v>
      </c>
      <c r="AB197" s="868"/>
      <c r="AC197" s="868"/>
      <c r="AD197" s="868"/>
      <c r="AE197" s="868"/>
      <c r="AF197" s="868"/>
      <c r="AG197" s="868">
        <f>UnosNovoZaposl!F189</f>
        <v>0</v>
      </c>
      <c r="AH197" s="868"/>
      <c r="AI197" s="868"/>
      <c r="AJ197" s="868"/>
      <c r="AK197" s="868"/>
      <c r="AL197" s="868"/>
      <c r="AM197" s="868">
        <f>UnosNovoZaposl!G189</f>
        <v>0</v>
      </c>
      <c r="AN197" s="868"/>
      <c r="AO197" s="868"/>
      <c r="AP197" s="868"/>
      <c r="AQ197" s="868"/>
      <c r="AR197" s="868"/>
      <c r="AS197" s="868">
        <f t="shared" si="2"/>
        <v>0</v>
      </c>
      <c r="AT197" s="868"/>
      <c r="AU197" s="868"/>
      <c r="AV197" s="868"/>
      <c r="AW197" s="868"/>
      <c r="AX197" s="868"/>
    </row>
    <row r="198" s="687" customFormat="1" ht="15.75" hidden="1" customHeight="1" spans="1:50">
      <c r="A198" s="3033"/>
      <c r="B198" s="754" t="s">
        <v>6464</v>
      </c>
      <c r="C198" s="864">
        <f>UnosNovoZaposl!C190</f>
        <v>0</v>
      </c>
      <c r="D198" s="864"/>
      <c r="E198" s="864"/>
      <c r="F198" s="864"/>
      <c r="G198" s="864"/>
      <c r="H198" s="864"/>
      <c r="I198" s="864"/>
      <c r="J198" s="864"/>
      <c r="K198" s="864"/>
      <c r="L198" s="864"/>
      <c r="M198" s="864"/>
      <c r="N198" s="3034">
        <f>UnosNovoZaposl!D190</f>
        <v>0</v>
      </c>
      <c r="O198" s="3035"/>
      <c r="P198" s="3035"/>
      <c r="Q198" s="3035"/>
      <c r="R198" s="3035"/>
      <c r="S198" s="3035"/>
      <c r="T198" s="3036"/>
      <c r="U198" s="868">
        <f>UnosNovoZaposl!E190</f>
        <v>0</v>
      </c>
      <c r="V198" s="868"/>
      <c r="W198" s="868"/>
      <c r="X198" s="868"/>
      <c r="Y198" s="868"/>
      <c r="Z198" s="868"/>
      <c r="AA198" s="868">
        <f>UnosNovoZaposl!B190</f>
        <v>0</v>
      </c>
      <c r="AB198" s="868"/>
      <c r="AC198" s="868"/>
      <c r="AD198" s="868"/>
      <c r="AE198" s="868"/>
      <c r="AF198" s="868"/>
      <c r="AG198" s="868">
        <f>UnosNovoZaposl!F190</f>
        <v>0</v>
      </c>
      <c r="AH198" s="868"/>
      <c r="AI198" s="868"/>
      <c r="AJ198" s="868"/>
      <c r="AK198" s="868"/>
      <c r="AL198" s="868"/>
      <c r="AM198" s="868">
        <f>UnosNovoZaposl!G190</f>
        <v>0</v>
      </c>
      <c r="AN198" s="868"/>
      <c r="AO198" s="868"/>
      <c r="AP198" s="868"/>
      <c r="AQ198" s="868"/>
      <c r="AR198" s="868"/>
      <c r="AS198" s="868">
        <f t="shared" si="2"/>
        <v>0</v>
      </c>
      <c r="AT198" s="868"/>
      <c r="AU198" s="868"/>
      <c r="AV198" s="868"/>
      <c r="AW198" s="868"/>
      <c r="AX198" s="868"/>
    </row>
    <row r="199" s="687" customFormat="1" ht="15.75" hidden="1" customHeight="1" spans="1:50">
      <c r="A199" s="3033"/>
      <c r="B199" s="754" t="s">
        <v>6465</v>
      </c>
      <c r="C199" s="864">
        <f>UnosNovoZaposl!C191</f>
        <v>0</v>
      </c>
      <c r="D199" s="864"/>
      <c r="E199" s="864"/>
      <c r="F199" s="864"/>
      <c r="G199" s="864"/>
      <c r="H199" s="864"/>
      <c r="I199" s="864"/>
      <c r="J199" s="864"/>
      <c r="K199" s="864"/>
      <c r="L199" s="864"/>
      <c r="M199" s="864"/>
      <c r="N199" s="3034">
        <f>UnosNovoZaposl!D191</f>
        <v>0</v>
      </c>
      <c r="O199" s="3035"/>
      <c r="P199" s="3035"/>
      <c r="Q199" s="3035"/>
      <c r="R199" s="3035"/>
      <c r="S199" s="3035"/>
      <c r="T199" s="3036"/>
      <c r="U199" s="868">
        <f>UnosNovoZaposl!E191</f>
        <v>0</v>
      </c>
      <c r="V199" s="868"/>
      <c r="W199" s="868"/>
      <c r="X199" s="868"/>
      <c r="Y199" s="868"/>
      <c r="Z199" s="868"/>
      <c r="AA199" s="868">
        <f>UnosNovoZaposl!B191</f>
        <v>0</v>
      </c>
      <c r="AB199" s="868"/>
      <c r="AC199" s="868"/>
      <c r="AD199" s="868"/>
      <c r="AE199" s="868"/>
      <c r="AF199" s="868"/>
      <c r="AG199" s="868">
        <f>UnosNovoZaposl!F191</f>
        <v>0</v>
      </c>
      <c r="AH199" s="868"/>
      <c r="AI199" s="868"/>
      <c r="AJ199" s="868"/>
      <c r="AK199" s="868"/>
      <c r="AL199" s="868"/>
      <c r="AM199" s="868">
        <f>UnosNovoZaposl!G191</f>
        <v>0</v>
      </c>
      <c r="AN199" s="868"/>
      <c r="AO199" s="868"/>
      <c r="AP199" s="868"/>
      <c r="AQ199" s="868"/>
      <c r="AR199" s="868"/>
      <c r="AS199" s="868">
        <f t="shared" si="2"/>
        <v>0</v>
      </c>
      <c r="AT199" s="868"/>
      <c r="AU199" s="868"/>
      <c r="AV199" s="868"/>
      <c r="AW199" s="868"/>
      <c r="AX199" s="868"/>
    </row>
    <row r="200" s="687" customFormat="1" ht="15.75" hidden="1" customHeight="1" spans="1:50">
      <c r="A200" s="3033"/>
      <c r="B200" s="754" t="s">
        <v>6466</v>
      </c>
      <c r="C200" s="864">
        <f>UnosNovoZaposl!C192</f>
        <v>0</v>
      </c>
      <c r="D200" s="864"/>
      <c r="E200" s="864"/>
      <c r="F200" s="864"/>
      <c r="G200" s="864"/>
      <c r="H200" s="864"/>
      <c r="I200" s="864"/>
      <c r="J200" s="864"/>
      <c r="K200" s="864"/>
      <c r="L200" s="864"/>
      <c r="M200" s="864"/>
      <c r="N200" s="3034">
        <f>UnosNovoZaposl!D192</f>
        <v>0</v>
      </c>
      <c r="O200" s="3035"/>
      <c r="P200" s="3035"/>
      <c r="Q200" s="3035"/>
      <c r="R200" s="3035"/>
      <c r="S200" s="3035"/>
      <c r="T200" s="3036"/>
      <c r="U200" s="868">
        <f>UnosNovoZaposl!E192</f>
        <v>0</v>
      </c>
      <c r="V200" s="868"/>
      <c r="W200" s="868"/>
      <c r="X200" s="868"/>
      <c r="Y200" s="868"/>
      <c r="Z200" s="868"/>
      <c r="AA200" s="868">
        <f>UnosNovoZaposl!B192</f>
        <v>0</v>
      </c>
      <c r="AB200" s="868"/>
      <c r="AC200" s="868"/>
      <c r="AD200" s="868"/>
      <c r="AE200" s="868"/>
      <c r="AF200" s="868"/>
      <c r="AG200" s="868">
        <f>UnosNovoZaposl!F192</f>
        <v>0</v>
      </c>
      <c r="AH200" s="868"/>
      <c r="AI200" s="868"/>
      <c r="AJ200" s="868"/>
      <c r="AK200" s="868"/>
      <c r="AL200" s="868"/>
      <c r="AM200" s="868">
        <f>UnosNovoZaposl!G192</f>
        <v>0</v>
      </c>
      <c r="AN200" s="868"/>
      <c r="AO200" s="868"/>
      <c r="AP200" s="868"/>
      <c r="AQ200" s="868"/>
      <c r="AR200" s="868"/>
      <c r="AS200" s="868">
        <f t="shared" si="2"/>
        <v>0</v>
      </c>
      <c r="AT200" s="868"/>
      <c r="AU200" s="868"/>
      <c r="AV200" s="868"/>
      <c r="AW200" s="868"/>
      <c r="AX200" s="868"/>
    </row>
    <row r="201" s="687" customFormat="1" ht="15.75" hidden="1" customHeight="1" spans="1:50">
      <c r="A201" s="3033"/>
      <c r="B201" s="754" t="s">
        <v>6467</v>
      </c>
      <c r="C201" s="864">
        <f>UnosNovoZaposl!C193</f>
        <v>0</v>
      </c>
      <c r="D201" s="864"/>
      <c r="E201" s="864"/>
      <c r="F201" s="864"/>
      <c r="G201" s="864"/>
      <c r="H201" s="864"/>
      <c r="I201" s="864"/>
      <c r="J201" s="864"/>
      <c r="K201" s="864"/>
      <c r="L201" s="864"/>
      <c r="M201" s="864"/>
      <c r="N201" s="3034">
        <f>UnosNovoZaposl!D193</f>
        <v>0</v>
      </c>
      <c r="O201" s="3035"/>
      <c r="P201" s="3035"/>
      <c r="Q201" s="3035"/>
      <c r="R201" s="3035"/>
      <c r="S201" s="3035"/>
      <c r="T201" s="3036"/>
      <c r="U201" s="868">
        <f>UnosNovoZaposl!E193</f>
        <v>0</v>
      </c>
      <c r="V201" s="868"/>
      <c r="W201" s="868"/>
      <c r="X201" s="868"/>
      <c r="Y201" s="868"/>
      <c r="Z201" s="868"/>
      <c r="AA201" s="868">
        <f>UnosNovoZaposl!B193</f>
        <v>0</v>
      </c>
      <c r="AB201" s="868"/>
      <c r="AC201" s="868"/>
      <c r="AD201" s="868"/>
      <c r="AE201" s="868"/>
      <c r="AF201" s="868"/>
      <c r="AG201" s="868">
        <f>UnosNovoZaposl!F193</f>
        <v>0</v>
      </c>
      <c r="AH201" s="868"/>
      <c r="AI201" s="868"/>
      <c r="AJ201" s="868"/>
      <c r="AK201" s="868"/>
      <c r="AL201" s="868"/>
      <c r="AM201" s="868">
        <f>UnosNovoZaposl!G193</f>
        <v>0</v>
      </c>
      <c r="AN201" s="868"/>
      <c r="AO201" s="868"/>
      <c r="AP201" s="868"/>
      <c r="AQ201" s="868"/>
      <c r="AR201" s="868"/>
      <c r="AS201" s="868">
        <f t="shared" si="2"/>
        <v>0</v>
      </c>
      <c r="AT201" s="868"/>
      <c r="AU201" s="868"/>
      <c r="AV201" s="868"/>
      <c r="AW201" s="868"/>
      <c r="AX201" s="868"/>
    </row>
    <row r="202" s="687" customFormat="1" ht="15.75" hidden="1" customHeight="1" spans="1:50">
      <c r="A202" s="3033"/>
      <c r="B202" s="754" t="s">
        <v>6468</v>
      </c>
      <c r="C202" s="864">
        <f>UnosNovoZaposl!C194</f>
        <v>0</v>
      </c>
      <c r="D202" s="864"/>
      <c r="E202" s="864"/>
      <c r="F202" s="864"/>
      <c r="G202" s="864"/>
      <c r="H202" s="864"/>
      <c r="I202" s="864"/>
      <c r="J202" s="864"/>
      <c r="K202" s="864"/>
      <c r="L202" s="864"/>
      <c r="M202" s="864"/>
      <c r="N202" s="3034">
        <f>UnosNovoZaposl!D194</f>
        <v>0</v>
      </c>
      <c r="O202" s="3035"/>
      <c r="P202" s="3035"/>
      <c r="Q202" s="3035"/>
      <c r="R202" s="3035"/>
      <c r="S202" s="3035"/>
      <c r="T202" s="3036"/>
      <c r="U202" s="868">
        <f>UnosNovoZaposl!E194</f>
        <v>0</v>
      </c>
      <c r="V202" s="868"/>
      <c r="W202" s="868"/>
      <c r="X202" s="868"/>
      <c r="Y202" s="868"/>
      <c r="Z202" s="868"/>
      <c r="AA202" s="868">
        <f>UnosNovoZaposl!B194</f>
        <v>0</v>
      </c>
      <c r="AB202" s="868"/>
      <c r="AC202" s="868"/>
      <c r="AD202" s="868"/>
      <c r="AE202" s="868"/>
      <c r="AF202" s="868"/>
      <c r="AG202" s="868">
        <f>UnosNovoZaposl!F194</f>
        <v>0</v>
      </c>
      <c r="AH202" s="868"/>
      <c r="AI202" s="868"/>
      <c r="AJ202" s="868"/>
      <c r="AK202" s="868"/>
      <c r="AL202" s="868"/>
      <c r="AM202" s="868">
        <f>UnosNovoZaposl!G194</f>
        <v>0</v>
      </c>
      <c r="AN202" s="868"/>
      <c r="AO202" s="868"/>
      <c r="AP202" s="868"/>
      <c r="AQ202" s="868"/>
      <c r="AR202" s="868"/>
      <c r="AS202" s="868">
        <f t="shared" si="2"/>
        <v>0</v>
      </c>
      <c r="AT202" s="868"/>
      <c r="AU202" s="868"/>
      <c r="AV202" s="868"/>
      <c r="AW202" s="868"/>
      <c r="AX202" s="868"/>
    </row>
    <row r="203" s="687" customFormat="1" ht="15.75" hidden="1" customHeight="1" spans="1:50">
      <c r="A203" s="3033"/>
      <c r="B203" s="754" t="s">
        <v>6469</v>
      </c>
      <c r="C203" s="864">
        <f>UnosNovoZaposl!C195</f>
        <v>0</v>
      </c>
      <c r="D203" s="864"/>
      <c r="E203" s="864"/>
      <c r="F203" s="864"/>
      <c r="G203" s="864"/>
      <c r="H203" s="864"/>
      <c r="I203" s="864"/>
      <c r="J203" s="864"/>
      <c r="K203" s="864"/>
      <c r="L203" s="864"/>
      <c r="M203" s="864"/>
      <c r="N203" s="3034">
        <f>UnosNovoZaposl!D195</f>
        <v>0</v>
      </c>
      <c r="O203" s="3035"/>
      <c r="P203" s="3035"/>
      <c r="Q203" s="3035"/>
      <c r="R203" s="3035"/>
      <c r="S203" s="3035"/>
      <c r="T203" s="3036"/>
      <c r="U203" s="868">
        <f>UnosNovoZaposl!E195</f>
        <v>0</v>
      </c>
      <c r="V203" s="868"/>
      <c r="W203" s="868"/>
      <c r="X203" s="868"/>
      <c r="Y203" s="868"/>
      <c r="Z203" s="868"/>
      <c r="AA203" s="868">
        <f>UnosNovoZaposl!B195</f>
        <v>0</v>
      </c>
      <c r="AB203" s="868"/>
      <c r="AC203" s="868"/>
      <c r="AD203" s="868"/>
      <c r="AE203" s="868"/>
      <c r="AF203" s="868"/>
      <c r="AG203" s="868">
        <f>UnosNovoZaposl!F195</f>
        <v>0</v>
      </c>
      <c r="AH203" s="868"/>
      <c r="AI203" s="868"/>
      <c r="AJ203" s="868"/>
      <c r="AK203" s="868"/>
      <c r="AL203" s="868"/>
      <c r="AM203" s="868">
        <f>UnosNovoZaposl!G195</f>
        <v>0</v>
      </c>
      <c r="AN203" s="868"/>
      <c r="AO203" s="868"/>
      <c r="AP203" s="868"/>
      <c r="AQ203" s="868"/>
      <c r="AR203" s="868"/>
      <c r="AS203" s="868">
        <f t="shared" si="2"/>
        <v>0</v>
      </c>
      <c r="AT203" s="868"/>
      <c r="AU203" s="868"/>
      <c r="AV203" s="868"/>
      <c r="AW203" s="868"/>
      <c r="AX203" s="868"/>
    </row>
    <row r="204" s="687" customFormat="1" ht="15.75" hidden="1" customHeight="1" spans="1:50">
      <c r="A204" s="3033"/>
      <c r="B204" s="754" t="s">
        <v>6470</v>
      </c>
      <c r="C204" s="864">
        <f>UnosNovoZaposl!C196</f>
        <v>0</v>
      </c>
      <c r="D204" s="864"/>
      <c r="E204" s="864"/>
      <c r="F204" s="864"/>
      <c r="G204" s="864"/>
      <c r="H204" s="864"/>
      <c r="I204" s="864"/>
      <c r="J204" s="864"/>
      <c r="K204" s="864"/>
      <c r="L204" s="864"/>
      <c r="M204" s="864"/>
      <c r="N204" s="3034">
        <f>UnosNovoZaposl!D196</f>
        <v>0</v>
      </c>
      <c r="O204" s="3035"/>
      <c r="P204" s="3035"/>
      <c r="Q204" s="3035"/>
      <c r="R204" s="3035"/>
      <c r="S204" s="3035"/>
      <c r="T204" s="3036"/>
      <c r="U204" s="868">
        <f>UnosNovoZaposl!E196</f>
        <v>0</v>
      </c>
      <c r="V204" s="868"/>
      <c r="W204" s="868"/>
      <c r="X204" s="868"/>
      <c r="Y204" s="868"/>
      <c r="Z204" s="868"/>
      <c r="AA204" s="868">
        <f>UnosNovoZaposl!B196</f>
        <v>0</v>
      </c>
      <c r="AB204" s="868"/>
      <c r="AC204" s="868"/>
      <c r="AD204" s="868"/>
      <c r="AE204" s="868"/>
      <c r="AF204" s="868"/>
      <c r="AG204" s="868">
        <f>UnosNovoZaposl!F196</f>
        <v>0</v>
      </c>
      <c r="AH204" s="868"/>
      <c r="AI204" s="868"/>
      <c r="AJ204" s="868"/>
      <c r="AK204" s="868"/>
      <c r="AL204" s="868"/>
      <c r="AM204" s="868">
        <f>UnosNovoZaposl!G196</f>
        <v>0</v>
      </c>
      <c r="AN204" s="868"/>
      <c r="AO204" s="868"/>
      <c r="AP204" s="868"/>
      <c r="AQ204" s="868"/>
      <c r="AR204" s="868"/>
      <c r="AS204" s="868">
        <f t="shared" si="2"/>
        <v>0</v>
      </c>
      <c r="AT204" s="868"/>
      <c r="AU204" s="868"/>
      <c r="AV204" s="868"/>
      <c r="AW204" s="868"/>
      <c r="AX204" s="868"/>
    </row>
    <row r="205" s="687" customFormat="1" ht="15.75" hidden="1" customHeight="1" spans="1:50">
      <c r="A205" s="3033"/>
      <c r="B205" s="754" t="s">
        <v>6471</v>
      </c>
      <c r="C205" s="864">
        <f>UnosNovoZaposl!C197</f>
        <v>0</v>
      </c>
      <c r="D205" s="864"/>
      <c r="E205" s="864"/>
      <c r="F205" s="864"/>
      <c r="G205" s="864"/>
      <c r="H205" s="864"/>
      <c r="I205" s="864"/>
      <c r="J205" s="864"/>
      <c r="K205" s="864"/>
      <c r="L205" s="864"/>
      <c r="M205" s="864"/>
      <c r="N205" s="3034">
        <f>UnosNovoZaposl!D197</f>
        <v>0</v>
      </c>
      <c r="O205" s="3035"/>
      <c r="P205" s="3035"/>
      <c r="Q205" s="3035"/>
      <c r="R205" s="3035"/>
      <c r="S205" s="3035"/>
      <c r="T205" s="3036"/>
      <c r="U205" s="868">
        <f>UnosNovoZaposl!E197</f>
        <v>0</v>
      </c>
      <c r="V205" s="868"/>
      <c r="W205" s="868"/>
      <c r="X205" s="868"/>
      <c r="Y205" s="868"/>
      <c r="Z205" s="868"/>
      <c r="AA205" s="868">
        <f>UnosNovoZaposl!B197</f>
        <v>0</v>
      </c>
      <c r="AB205" s="868"/>
      <c r="AC205" s="868"/>
      <c r="AD205" s="868"/>
      <c r="AE205" s="868"/>
      <c r="AF205" s="868"/>
      <c r="AG205" s="868">
        <f>UnosNovoZaposl!F197</f>
        <v>0</v>
      </c>
      <c r="AH205" s="868"/>
      <c r="AI205" s="868"/>
      <c r="AJ205" s="868"/>
      <c r="AK205" s="868"/>
      <c r="AL205" s="868"/>
      <c r="AM205" s="868">
        <f>UnosNovoZaposl!G197</f>
        <v>0</v>
      </c>
      <c r="AN205" s="868"/>
      <c r="AO205" s="868"/>
      <c r="AP205" s="868"/>
      <c r="AQ205" s="868"/>
      <c r="AR205" s="868"/>
      <c r="AS205" s="868">
        <f t="shared" si="2"/>
        <v>0</v>
      </c>
      <c r="AT205" s="868"/>
      <c r="AU205" s="868"/>
      <c r="AV205" s="868"/>
      <c r="AW205" s="868"/>
      <c r="AX205" s="868"/>
    </row>
    <row r="206" s="687" customFormat="1" ht="15.75" hidden="1" customHeight="1" spans="1:50">
      <c r="A206" s="3033"/>
      <c r="B206" s="754" t="s">
        <v>6472</v>
      </c>
      <c r="C206" s="864">
        <f>UnosNovoZaposl!C198</f>
        <v>0</v>
      </c>
      <c r="D206" s="864"/>
      <c r="E206" s="864"/>
      <c r="F206" s="864"/>
      <c r="G206" s="864"/>
      <c r="H206" s="864"/>
      <c r="I206" s="864"/>
      <c r="J206" s="864"/>
      <c r="K206" s="864"/>
      <c r="L206" s="864"/>
      <c r="M206" s="864"/>
      <c r="N206" s="3034">
        <f>UnosNovoZaposl!D198</f>
        <v>0</v>
      </c>
      <c r="O206" s="3035"/>
      <c r="P206" s="3035"/>
      <c r="Q206" s="3035"/>
      <c r="R206" s="3035"/>
      <c r="S206" s="3035"/>
      <c r="T206" s="3036"/>
      <c r="U206" s="868">
        <f>UnosNovoZaposl!E198</f>
        <v>0</v>
      </c>
      <c r="V206" s="868"/>
      <c r="W206" s="868"/>
      <c r="X206" s="868"/>
      <c r="Y206" s="868"/>
      <c r="Z206" s="868"/>
      <c r="AA206" s="868">
        <f>UnosNovoZaposl!B198</f>
        <v>0</v>
      </c>
      <c r="AB206" s="868"/>
      <c r="AC206" s="868"/>
      <c r="AD206" s="868"/>
      <c r="AE206" s="868"/>
      <c r="AF206" s="868"/>
      <c r="AG206" s="868">
        <f>UnosNovoZaposl!F198</f>
        <v>0</v>
      </c>
      <c r="AH206" s="868"/>
      <c r="AI206" s="868"/>
      <c r="AJ206" s="868"/>
      <c r="AK206" s="868"/>
      <c r="AL206" s="868"/>
      <c r="AM206" s="868">
        <f>UnosNovoZaposl!G198</f>
        <v>0</v>
      </c>
      <c r="AN206" s="868"/>
      <c r="AO206" s="868"/>
      <c r="AP206" s="868"/>
      <c r="AQ206" s="868"/>
      <c r="AR206" s="868"/>
      <c r="AS206" s="868">
        <f t="shared" ref="AS206:AS212" si="3">AG206+AM206</f>
        <v>0</v>
      </c>
      <c r="AT206" s="868"/>
      <c r="AU206" s="868"/>
      <c r="AV206" s="868"/>
      <c r="AW206" s="868"/>
      <c r="AX206" s="868"/>
    </row>
    <row r="207" s="687" customFormat="1" ht="15.75" hidden="1" customHeight="1" spans="1:50">
      <c r="A207" s="3033"/>
      <c r="B207" s="754" t="s">
        <v>6473</v>
      </c>
      <c r="C207" s="864">
        <f>UnosNovoZaposl!C199</f>
        <v>0</v>
      </c>
      <c r="D207" s="864"/>
      <c r="E207" s="864"/>
      <c r="F207" s="864"/>
      <c r="G207" s="864"/>
      <c r="H207" s="864"/>
      <c r="I207" s="864"/>
      <c r="J207" s="864"/>
      <c r="K207" s="864"/>
      <c r="L207" s="864"/>
      <c r="M207" s="864"/>
      <c r="N207" s="3034">
        <f>UnosNovoZaposl!D199</f>
        <v>0</v>
      </c>
      <c r="O207" s="3035"/>
      <c r="P207" s="3035"/>
      <c r="Q207" s="3035"/>
      <c r="R207" s="3035"/>
      <c r="S207" s="3035"/>
      <c r="T207" s="3036"/>
      <c r="U207" s="868">
        <f>UnosNovoZaposl!E199</f>
        <v>0</v>
      </c>
      <c r="V207" s="868"/>
      <c r="W207" s="868"/>
      <c r="X207" s="868"/>
      <c r="Y207" s="868"/>
      <c r="Z207" s="868"/>
      <c r="AA207" s="868">
        <f>UnosNovoZaposl!B199</f>
        <v>0</v>
      </c>
      <c r="AB207" s="868"/>
      <c r="AC207" s="868"/>
      <c r="AD207" s="868"/>
      <c r="AE207" s="868"/>
      <c r="AF207" s="868"/>
      <c r="AG207" s="868">
        <f>UnosNovoZaposl!F199</f>
        <v>0</v>
      </c>
      <c r="AH207" s="868"/>
      <c r="AI207" s="868"/>
      <c r="AJ207" s="868"/>
      <c r="AK207" s="868"/>
      <c r="AL207" s="868"/>
      <c r="AM207" s="868">
        <f>UnosNovoZaposl!G199</f>
        <v>0</v>
      </c>
      <c r="AN207" s="868"/>
      <c r="AO207" s="868"/>
      <c r="AP207" s="868"/>
      <c r="AQ207" s="868"/>
      <c r="AR207" s="868"/>
      <c r="AS207" s="868">
        <f t="shared" si="3"/>
        <v>0</v>
      </c>
      <c r="AT207" s="868"/>
      <c r="AU207" s="868"/>
      <c r="AV207" s="868"/>
      <c r="AW207" s="868"/>
      <c r="AX207" s="868"/>
    </row>
    <row r="208" s="687" customFormat="1" ht="15.75" hidden="1" customHeight="1" spans="1:50">
      <c r="A208" s="3033"/>
      <c r="B208" s="754" t="s">
        <v>6474</v>
      </c>
      <c r="C208" s="864">
        <f>UnosNovoZaposl!C200</f>
        <v>0</v>
      </c>
      <c r="D208" s="864"/>
      <c r="E208" s="864"/>
      <c r="F208" s="864"/>
      <c r="G208" s="864"/>
      <c r="H208" s="864"/>
      <c r="I208" s="864"/>
      <c r="J208" s="864"/>
      <c r="K208" s="864"/>
      <c r="L208" s="864"/>
      <c r="M208" s="864"/>
      <c r="N208" s="3034">
        <f>UnosNovoZaposl!D200</f>
        <v>0</v>
      </c>
      <c r="O208" s="3035"/>
      <c r="P208" s="3035"/>
      <c r="Q208" s="3035"/>
      <c r="R208" s="3035"/>
      <c r="S208" s="3035"/>
      <c r="T208" s="3036"/>
      <c r="U208" s="868">
        <f>UnosNovoZaposl!E200</f>
        <v>0</v>
      </c>
      <c r="V208" s="868"/>
      <c r="W208" s="868"/>
      <c r="X208" s="868"/>
      <c r="Y208" s="868"/>
      <c r="Z208" s="868"/>
      <c r="AA208" s="868">
        <f>UnosNovoZaposl!B200</f>
        <v>0</v>
      </c>
      <c r="AB208" s="868"/>
      <c r="AC208" s="868"/>
      <c r="AD208" s="868"/>
      <c r="AE208" s="868"/>
      <c r="AF208" s="868"/>
      <c r="AG208" s="868">
        <f>UnosNovoZaposl!F200</f>
        <v>0</v>
      </c>
      <c r="AH208" s="868"/>
      <c r="AI208" s="868"/>
      <c r="AJ208" s="868"/>
      <c r="AK208" s="868"/>
      <c r="AL208" s="868"/>
      <c r="AM208" s="868">
        <f>UnosNovoZaposl!G200</f>
        <v>0</v>
      </c>
      <c r="AN208" s="868"/>
      <c r="AO208" s="868"/>
      <c r="AP208" s="868"/>
      <c r="AQ208" s="868"/>
      <c r="AR208" s="868"/>
      <c r="AS208" s="868">
        <f t="shared" si="3"/>
        <v>0</v>
      </c>
      <c r="AT208" s="868"/>
      <c r="AU208" s="868"/>
      <c r="AV208" s="868"/>
      <c r="AW208" s="868"/>
      <c r="AX208" s="868"/>
    </row>
    <row r="209" s="687" customFormat="1" ht="15.75" hidden="1" customHeight="1" spans="1:50">
      <c r="A209" s="3033"/>
      <c r="B209" s="754" t="s">
        <v>6475</v>
      </c>
      <c r="C209" s="864">
        <f>UnosNovoZaposl!C201</f>
        <v>0</v>
      </c>
      <c r="D209" s="864"/>
      <c r="E209" s="864"/>
      <c r="F209" s="864"/>
      <c r="G209" s="864"/>
      <c r="H209" s="864"/>
      <c r="I209" s="864"/>
      <c r="J209" s="864"/>
      <c r="K209" s="864"/>
      <c r="L209" s="864"/>
      <c r="M209" s="864"/>
      <c r="N209" s="3034">
        <f>UnosNovoZaposl!D201</f>
        <v>0</v>
      </c>
      <c r="O209" s="3035"/>
      <c r="P209" s="3035"/>
      <c r="Q209" s="3035"/>
      <c r="R209" s="3035"/>
      <c r="S209" s="3035"/>
      <c r="T209" s="3036"/>
      <c r="U209" s="868">
        <f>UnosNovoZaposl!E201</f>
        <v>0</v>
      </c>
      <c r="V209" s="868"/>
      <c r="W209" s="868"/>
      <c r="X209" s="868"/>
      <c r="Y209" s="868"/>
      <c r="Z209" s="868"/>
      <c r="AA209" s="868">
        <f>UnosNovoZaposl!B201</f>
        <v>0</v>
      </c>
      <c r="AB209" s="868"/>
      <c r="AC209" s="868"/>
      <c r="AD209" s="868"/>
      <c r="AE209" s="868"/>
      <c r="AF209" s="868"/>
      <c r="AG209" s="868">
        <f>UnosNovoZaposl!F201</f>
        <v>0</v>
      </c>
      <c r="AH209" s="868"/>
      <c r="AI209" s="868"/>
      <c r="AJ209" s="868"/>
      <c r="AK209" s="868"/>
      <c r="AL209" s="868"/>
      <c r="AM209" s="868">
        <f>UnosNovoZaposl!G201</f>
        <v>0</v>
      </c>
      <c r="AN209" s="868"/>
      <c r="AO209" s="868"/>
      <c r="AP209" s="868"/>
      <c r="AQ209" s="868"/>
      <c r="AR209" s="868"/>
      <c r="AS209" s="868">
        <f t="shared" si="3"/>
        <v>0</v>
      </c>
      <c r="AT209" s="868"/>
      <c r="AU209" s="868"/>
      <c r="AV209" s="868"/>
      <c r="AW209" s="868"/>
      <c r="AX209" s="868"/>
    </row>
    <row r="210" s="687" customFormat="1" ht="15.75" hidden="1" customHeight="1" spans="1:50">
      <c r="A210" s="3033"/>
      <c r="B210" s="754" t="s">
        <v>6476</v>
      </c>
      <c r="C210" s="864">
        <f>UnosNovoZaposl!C202</f>
        <v>0</v>
      </c>
      <c r="D210" s="864"/>
      <c r="E210" s="864"/>
      <c r="F210" s="864"/>
      <c r="G210" s="864"/>
      <c r="H210" s="864"/>
      <c r="I210" s="864"/>
      <c r="J210" s="864"/>
      <c r="K210" s="864"/>
      <c r="L210" s="864"/>
      <c r="M210" s="864"/>
      <c r="N210" s="3034">
        <f>UnosNovoZaposl!D202</f>
        <v>0</v>
      </c>
      <c r="O210" s="3035"/>
      <c r="P210" s="3035"/>
      <c r="Q210" s="3035"/>
      <c r="R210" s="3035"/>
      <c r="S210" s="3035"/>
      <c r="T210" s="3036"/>
      <c r="U210" s="868">
        <f>UnosNovoZaposl!E202</f>
        <v>0</v>
      </c>
      <c r="V210" s="868"/>
      <c r="W210" s="868"/>
      <c r="X210" s="868"/>
      <c r="Y210" s="868"/>
      <c r="Z210" s="868"/>
      <c r="AA210" s="868">
        <f>UnosNovoZaposl!B202</f>
        <v>0</v>
      </c>
      <c r="AB210" s="868"/>
      <c r="AC210" s="868"/>
      <c r="AD210" s="868"/>
      <c r="AE210" s="868"/>
      <c r="AF210" s="868"/>
      <c r="AG210" s="868">
        <f>UnosNovoZaposl!F202</f>
        <v>0</v>
      </c>
      <c r="AH210" s="868"/>
      <c r="AI210" s="868"/>
      <c r="AJ210" s="868"/>
      <c r="AK210" s="868"/>
      <c r="AL210" s="868"/>
      <c r="AM210" s="868">
        <f>UnosNovoZaposl!G202</f>
        <v>0</v>
      </c>
      <c r="AN210" s="868"/>
      <c r="AO210" s="868"/>
      <c r="AP210" s="868"/>
      <c r="AQ210" s="868"/>
      <c r="AR210" s="868"/>
      <c r="AS210" s="868">
        <f t="shared" si="3"/>
        <v>0</v>
      </c>
      <c r="AT210" s="868"/>
      <c r="AU210" s="868"/>
      <c r="AV210" s="868"/>
      <c r="AW210" s="868"/>
      <c r="AX210" s="868"/>
    </row>
    <row r="211" s="687" customFormat="1" ht="15.75" hidden="1" customHeight="1" spans="1:50">
      <c r="A211" s="3033"/>
      <c r="B211" s="754" t="s">
        <v>6477</v>
      </c>
      <c r="C211" s="864">
        <f>UnosNovoZaposl!C203</f>
        <v>0</v>
      </c>
      <c r="D211" s="864"/>
      <c r="E211" s="864"/>
      <c r="F211" s="864"/>
      <c r="G211" s="864"/>
      <c r="H211" s="864"/>
      <c r="I211" s="864"/>
      <c r="J211" s="864"/>
      <c r="K211" s="864"/>
      <c r="L211" s="864"/>
      <c r="M211" s="864"/>
      <c r="N211" s="3034">
        <f>UnosNovoZaposl!D203</f>
        <v>0</v>
      </c>
      <c r="O211" s="3035"/>
      <c r="P211" s="3035"/>
      <c r="Q211" s="3035"/>
      <c r="R211" s="3035"/>
      <c r="S211" s="3035"/>
      <c r="T211" s="3036"/>
      <c r="U211" s="868">
        <f>UnosNovoZaposl!E203</f>
        <v>0</v>
      </c>
      <c r="V211" s="868"/>
      <c r="W211" s="868"/>
      <c r="X211" s="868"/>
      <c r="Y211" s="868"/>
      <c r="Z211" s="868"/>
      <c r="AA211" s="868">
        <f>UnosNovoZaposl!B203</f>
        <v>0</v>
      </c>
      <c r="AB211" s="868"/>
      <c r="AC211" s="868"/>
      <c r="AD211" s="868"/>
      <c r="AE211" s="868"/>
      <c r="AF211" s="868"/>
      <c r="AG211" s="868">
        <f>UnosNovoZaposl!F203</f>
        <v>0</v>
      </c>
      <c r="AH211" s="868"/>
      <c r="AI211" s="868"/>
      <c r="AJ211" s="868"/>
      <c r="AK211" s="868"/>
      <c r="AL211" s="868"/>
      <c r="AM211" s="868">
        <f>UnosNovoZaposl!G203</f>
        <v>0</v>
      </c>
      <c r="AN211" s="868"/>
      <c r="AO211" s="868"/>
      <c r="AP211" s="868"/>
      <c r="AQ211" s="868"/>
      <c r="AR211" s="868"/>
      <c r="AS211" s="868">
        <f t="shared" si="3"/>
        <v>0</v>
      </c>
      <c r="AT211" s="868"/>
      <c r="AU211" s="868"/>
      <c r="AV211" s="868"/>
      <c r="AW211" s="868"/>
      <c r="AX211" s="868"/>
    </row>
    <row r="212" s="687" customFormat="1" ht="15.75" hidden="1" customHeight="1" spans="1:50">
      <c r="A212" s="3033"/>
      <c r="B212" s="754" t="s">
        <v>6478</v>
      </c>
      <c r="C212" s="864">
        <f>UnosNovoZaposl!C204</f>
        <v>0</v>
      </c>
      <c r="D212" s="864"/>
      <c r="E212" s="864"/>
      <c r="F212" s="864"/>
      <c r="G212" s="864"/>
      <c r="H212" s="864"/>
      <c r="I212" s="864"/>
      <c r="J212" s="864"/>
      <c r="K212" s="864"/>
      <c r="L212" s="864"/>
      <c r="M212" s="864"/>
      <c r="N212" s="3034">
        <f>UnosNovoZaposl!D204</f>
        <v>0</v>
      </c>
      <c r="O212" s="3035"/>
      <c r="P212" s="3035"/>
      <c r="Q212" s="3035"/>
      <c r="R212" s="3035"/>
      <c r="S212" s="3035"/>
      <c r="T212" s="3036"/>
      <c r="U212" s="868">
        <f>UnosNovoZaposl!E204</f>
        <v>0</v>
      </c>
      <c r="V212" s="868"/>
      <c r="W212" s="868"/>
      <c r="X212" s="868"/>
      <c r="Y212" s="868"/>
      <c r="Z212" s="868"/>
      <c r="AA212" s="868">
        <f>UnosNovoZaposl!B204</f>
        <v>0</v>
      </c>
      <c r="AB212" s="868"/>
      <c r="AC212" s="868"/>
      <c r="AD212" s="868"/>
      <c r="AE212" s="868"/>
      <c r="AF212" s="868"/>
      <c r="AG212" s="868">
        <f>UnosNovoZaposl!F204</f>
        <v>0</v>
      </c>
      <c r="AH212" s="868"/>
      <c r="AI212" s="868"/>
      <c r="AJ212" s="868"/>
      <c r="AK212" s="868"/>
      <c r="AL212" s="868"/>
      <c r="AM212" s="868">
        <f>UnosNovoZaposl!G204</f>
        <v>0</v>
      </c>
      <c r="AN212" s="868"/>
      <c r="AO212" s="868"/>
      <c r="AP212" s="868"/>
      <c r="AQ212" s="868"/>
      <c r="AR212" s="868"/>
      <c r="AS212" s="868">
        <f t="shared" si="3"/>
        <v>0</v>
      </c>
      <c r="AT212" s="868"/>
      <c r="AU212" s="868"/>
      <c r="AV212" s="868"/>
      <c r="AW212" s="868"/>
      <c r="AX212" s="868"/>
    </row>
    <row r="213" s="687" customFormat="1" ht="18" customHeight="1" spans="1:50">
      <c r="A213" s="3038"/>
      <c r="B213" s="754"/>
      <c r="C213" s="2992" t="s">
        <v>6676</v>
      </c>
      <c r="D213" s="869"/>
      <c r="E213" s="869"/>
      <c r="F213" s="869"/>
      <c r="G213" s="869"/>
      <c r="H213" s="869"/>
      <c r="I213" s="869"/>
      <c r="J213" s="869"/>
      <c r="K213" s="869"/>
      <c r="L213" s="869"/>
      <c r="M213" s="869"/>
      <c r="N213" s="869"/>
      <c r="O213" s="869"/>
      <c r="P213" s="869"/>
      <c r="Q213" s="869"/>
      <c r="R213" s="869"/>
      <c r="S213" s="869"/>
      <c r="T213" s="869"/>
      <c r="U213" s="869"/>
      <c r="V213" s="869"/>
      <c r="W213" s="869"/>
      <c r="X213" s="869"/>
      <c r="Y213" s="869"/>
      <c r="Z213" s="869"/>
      <c r="AA213" s="869"/>
      <c r="AB213" s="869"/>
      <c r="AC213" s="869"/>
      <c r="AD213" s="869"/>
      <c r="AE213" s="869"/>
      <c r="AF213" s="870"/>
      <c r="AG213" s="868">
        <f>SUM(AG13:AL212)</f>
        <v>20325.41</v>
      </c>
      <c r="AH213" s="868"/>
      <c r="AI213" s="868"/>
      <c r="AJ213" s="868"/>
      <c r="AK213" s="868"/>
      <c r="AL213" s="868"/>
      <c r="AM213" s="868">
        <f>SUM(AM13:AR212)</f>
        <v>9131.67</v>
      </c>
      <c r="AN213" s="868"/>
      <c r="AO213" s="868"/>
      <c r="AP213" s="868"/>
      <c r="AQ213" s="868"/>
      <c r="AR213" s="868"/>
      <c r="AS213" s="868">
        <f>SUM(AS13:AX212)</f>
        <v>29457.08</v>
      </c>
      <c r="AT213" s="868"/>
      <c r="AU213" s="868"/>
      <c r="AV213" s="868"/>
      <c r="AW213" s="868"/>
      <c r="AX213" s="868"/>
    </row>
    <row r="214" ht="15" customHeight="1"/>
    <row r="215" ht="15" customHeight="1"/>
    <row r="216" s="799" customFormat="1" ht="18.75" customHeight="1" spans="1:50">
      <c r="A216" s="800" t="str">
        <f>"2. PODACI O NOVIM ZAPOSLENICIMA - IZ PRETHODNOG POREZNOG "&amp;Text!B9</f>
        <v>2. PODACI O NOVIM ZAPOSLENICIMA - IZ PRETHODNOG POREZNOG PERIODA</v>
      </c>
      <c r="B216" s="2984"/>
      <c r="C216" s="2923"/>
      <c r="D216" s="2923"/>
      <c r="E216" s="2923"/>
      <c r="F216" s="2923"/>
      <c r="G216" s="2923"/>
      <c r="H216" s="2923"/>
      <c r="I216" s="2923"/>
      <c r="J216" s="2923"/>
      <c r="K216" s="2923"/>
      <c r="L216" s="2923"/>
      <c r="M216" s="2923"/>
      <c r="N216" s="2923"/>
      <c r="O216" s="2923"/>
      <c r="P216" s="2923"/>
      <c r="Q216" s="2923"/>
      <c r="R216" s="2923"/>
      <c r="S216" s="2923"/>
      <c r="T216" s="2923"/>
      <c r="U216" s="2923"/>
      <c r="V216" s="2923"/>
      <c r="W216" s="2923"/>
      <c r="X216" s="2923"/>
      <c r="Y216" s="2923"/>
      <c r="Z216" s="2923"/>
      <c r="AA216" s="2923"/>
      <c r="AB216" s="2923"/>
      <c r="AC216" s="2923"/>
      <c r="AD216" s="2923"/>
      <c r="AE216" s="2923"/>
      <c r="AF216" s="2923"/>
      <c r="AG216" s="2923"/>
      <c r="AH216" s="2923"/>
      <c r="AI216" s="2923"/>
      <c r="AJ216" s="2923"/>
      <c r="AK216" s="2923"/>
      <c r="AL216" s="2923"/>
      <c r="AM216" s="2923"/>
      <c r="AN216" s="2923"/>
      <c r="AO216" s="2923"/>
      <c r="AP216" s="2923"/>
      <c r="AQ216" s="2923"/>
      <c r="AR216" s="2923"/>
      <c r="AS216" s="2923"/>
      <c r="AT216" s="2923"/>
      <c r="AU216" s="2923"/>
      <c r="AV216" s="2923"/>
      <c r="AW216" s="2923"/>
      <c r="AX216" s="2943"/>
    </row>
    <row r="217" s="688" customFormat="1" ht="29.25" customHeight="1" spans="1:50">
      <c r="A217" s="840"/>
      <c r="B217" s="2985" t="s">
        <v>5985</v>
      </c>
      <c r="C217" s="2986" t="s">
        <v>6677</v>
      </c>
      <c r="D217" s="2987"/>
      <c r="E217" s="2987"/>
      <c r="F217" s="2987"/>
      <c r="G217" s="2987"/>
      <c r="H217" s="2987"/>
      <c r="I217" s="2987"/>
      <c r="J217" s="2987"/>
      <c r="K217" s="2987"/>
      <c r="L217" s="2987"/>
      <c r="M217" s="2988"/>
      <c r="N217" s="2985" t="s">
        <v>6678</v>
      </c>
      <c r="O217" s="2985"/>
      <c r="P217" s="2985"/>
      <c r="Q217" s="2985"/>
      <c r="R217" s="2985"/>
      <c r="S217" s="2985"/>
      <c r="T217" s="2985"/>
      <c r="U217" s="2985" t="s">
        <v>6679</v>
      </c>
      <c r="V217" s="2985"/>
      <c r="W217" s="2985"/>
      <c r="X217" s="2985"/>
      <c r="Y217" s="2985"/>
      <c r="Z217" s="2985"/>
      <c r="AA217" s="2985" t="s">
        <v>6680</v>
      </c>
      <c r="AB217" s="2985"/>
      <c r="AC217" s="2985"/>
      <c r="AD217" s="2985"/>
      <c r="AE217" s="2985"/>
      <c r="AF217" s="2985"/>
      <c r="AG217" s="2989" t="s">
        <v>6681</v>
      </c>
      <c r="AH217" s="2989"/>
      <c r="AI217" s="2989"/>
      <c r="AJ217" s="2989"/>
      <c r="AK217" s="2989"/>
      <c r="AL217" s="2989"/>
      <c r="AM217" s="2985" t="s">
        <v>6682</v>
      </c>
      <c r="AN217" s="2985"/>
      <c r="AO217" s="2985"/>
      <c r="AP217" s="2985"/>
      <c r="AQ217" s="2985"/>
      <c r="AR217" s="2985"/>
      <c r="AS217" s="2985" t="s">
        <v>6683</v>
      </c>
      <c r="AT217" s="2985"/>
      <c r="AU217" s="2985"/>
      <c r="AV217" s="2985"/>
      <c r="AW217" s="2985"/>
      <c r="AX217" s="2985"/>
    </row>
    <row r="218" s="687" customFormat="1" ht="15" customHeight="1" spans="1:50">
      <c r="A218" s="745"/>
      <c r="B218" s="754" t="s">
        <v>3953</v>
      </c>
      <c r="C218" s="864">
        <f>UnosNovoZaposl!C208</f>
        <v>0</v>
      </c>
      <c r="D218" s="864"/>
      <c r="E218" s="864"/>
      <c r="F218" s="864"/>
      <c r="G218" s="864"/>
      <c r="H218" s="864"/>
      <c r="I218" s="864"/>
      <c r="J218" s="864"/>
      <c r="K218" s="864"/>
      <c r="L218" s="864"/>
      <c r="M218" s="864"/>
      <c r="N218" s="864">
        <f>UnosNovoZaposl!D208</f>
        <v>0</v>
      </c>
      <c r="O218" s="864"/>
      <c r="P218" s="864"/>
      <c r="Q218" s="864"/>
      <c r="R218" s="864"/>
      <c r="S218" s="864"/>
      <c r="T218" s="864"/>
      <c r="U218" s="868">
        <f>UnosNovoZaposl!E208</f>
        <v>0</v>
      </c>
      <c r="V218" s="868"/>
      <c r="W218" s="868"/>
      <c r="X218" s="868"/>
      <c r="Y218" s="868"/>
      <c r="Z218" s="868"/>
      <c r="AA218" s="868">
        <f>UnosNovoZaposl!B208</f>
        <v>0</v>
      </c>
      <c r="AB218" s="868"/>
      <c r="AC218" s="868"/>
      <c r="AD218" s="868"/>
      <c r="AE218" s="868"/>
      <c r="AF218" s="868"/>
      <c r="AG218" s="868">
        <f>UnosNovoZaposl!F208</f>
        <v>0</v>
      </c>
      <c r="AH218" s="868"/>
      <c r="AI218" s="868"/>
      <c r="AJ218" s="868"/>
      <c r="AK218" s="868"/>
      <c r="AL218" s="868"/>
      <c r="AM218" s="868">
        <f>UnosNovoZaposl!G208</f>
        <v>0</v>
      </c>
      <c r="AN218" s="868"/>
      <c r="AO218" s="868"/>
      <c r="AP218" s="868"/>
      <c r="AQ218" s="868"/>
      <c r="AR218" s="868"/>
      <c r="AS218" s="868">
        <f t="shared" ref="AS218" si="4">AG218+AM218</f>
        <v>0</v>
      </c>
      <c r="AT218" s="868"/>
      <c r="AU218" s="868"/>
      <c r="AV218" s="868"/>
      <c r="AW218" s="868"/>
      <c r="AX218" s="868"/>
    </row>
    <row r="219" s="687" customFormat="1" ht="15" customHeight="1" spans="1:50">
      <c r="A219" s="745"/>
      <c r="B219" s="754" t="s">
        <v>3891</v>
      </c>
      <c r="C219" s="864">
        <f>UnosNovoZaposl!C209</f>
        <v>0</v>
      </c>
      <c r="D219" s="864"/>
      <c r="E219" s="864"/>
      <c r="F219" s="864"/>
      <c r="G219" s="864"/>
      <c r="H219" s="864"/>
      <c r="I219" s="864"/>
      <c r="J219" s="864"/>
      <c r="K219" s="864"/>
      <c r="L219" s="864"/>
      <c r="M219" s="864"/>
      <c r="N219" s="864">
        <f>UnosNovoZaposl!D209</f>
        <v>0</v>
      </c>
      <c r="O219" s="864"/>
      <c r="P219" s="864"/>
      <c r="Q219" s="864"/>
      <c r="R219" s="864"/>
      <c r="S219" s="864"/>
      <c r="T219" s="864"/>
      <c r="U219" s="868">
        <f>UnosNovoZaposl!E209</f>
        <v>0</v>
      </c>
      <c r="V219" s="868"/>
      <c r="W219" s="868"/>
      <c r="X219" s="868"/>
      <c r="Y219" s="868"/>
      <c r="Z219" s="868"/>
      <c r="AA219" s="868">
        <f>UnosNovoZaposl!B209</f>
        <v>0</v>
      </c>
      <c r="AB219" s="868"/>
      <c r="AC219" s="868"/>
      <c r="AD219" s="868"/>
      <c r="AE219" s="868"/>
      <c r="AF219" s="868"/>
      <c r="AG219" s="868">
        <f>UnosNovoZaposl!F209</f>
        <v>0</v>
      </c>
      <c r="AH219" s="868"/>
      <c r="AI219" s="868"/>
      <c r="AJ219" s="868"/>
      <c r="AK219" s="868"/>
      <c r="AL219" s="868"/>
      <c r="AM219" s="868">
        <f>UnosNovoZaposl!G209</f>
        <v>0</v>
      </c>
      <c r="AN219" s="868"/>
      <c r="AO219" s="868"/>
      <c r="AP219" s="868"/>
      <c r="AQ219" s="868"/>
      <c r="AR219" s="868"/>
      <c r="AS219" s="868">
        <f t="shared" ref="AS219:AS282" si="5">AG219+AM219</f>
        <v>0</v>
      </c>
      <c r="AT219" s="868"/>
      <c r="AU219" s="868"/>
      <c r="AV219" s="868"/>
      <c r="AW219" s="868"/>
      <c r="AX219" s="868"/>
    </row>
    <row r="220" s="687" customFormat="1" ht="15" customHeight="1" spans="1:50">
      <c r="A220" s="745"/>
      <c r="B220" s="754" t="s">
        <v>3902</v>
      </c>
      <c r="C220" s="864">
        <f>UnosNovoZaposl!C210</f>
        <v>0</v>
      </c>
      <c r="D220" s="864"/>
      <c r="E220" s="864"/>
      <c r="F220" s="864"/>
      <c r="G220" s="864"/>
      <c r="H220" s="864"/>
      <c r="I220" s="864"/>
      <c r="J220" s="864"/>
      <c r="K220" s="864"/>
      <c r="L220" s="864"/>
      <c r="M220" s="864"/>
      <c r="N220" s="864">
        <f>UnosNovoZaposl!D210</f>
        <v>0</v>
      </c>
      <c r="O220" s="864"/>
      <c r="P220" s="864"/>
      <c r="Q220" s="864"/>
      <c r="R220" s="864"/>
      <c r="S220" s="864"/>
      <c r="T220" s="864"/>
      <c r="U220" s="868">
        <f>UnosNovoZaposl!E210</f>
        <v>0</v>
      </c>
      <c r="V220" s="868"/>
      <c r="W220" s="868"/>
      <c r="X220" s="868"/>
      <c r="Y220" s="868"/>
      <c r="Z220" s="868"/>
      <c r="AA220" s="868">
        <f>UnosNovoZaposl!B210</f>
        <v>0</v>
      </c>
      <c r="AB220" s="868"/>
      <c r="AC220" s="868"/>
      <c r="AD220" s="868"/>
      <c r="AE220" s="868"/>
      <c r="AF220" s="868"/>
      <c r="AG220" s="868">
        <f>UnosNovoZaposl!F210</f>
        <v>0</v>
      </c>
      <c r="AH220" s="868"/>
      <c r="AI220" s="868"/>
      <c r="AJ220" s="868"/>
      <c r="AK220" s="868"/>
      <c r="AL220" s="868"/>
      <c r="AM220" s="868">
        <f>UnosNovoZaposl!G210</f>
        <v>0</v>
      </c>
      <c r="AN220" s="868"/>
      <c r="AO220" s="868"/>
      <c r="AP220" s="868"/>
      <c r="AQ220" s="868"/>
      <c r="AR220" s="868"/>
      <c r="AS220" s="868">
        <f t="shared" si="5"/>
        <v>0</v>
      </c>
      <c r="AT220" s="868"/>
      <c r="AU220" s="868"/>
      <c r="AV220" s="868"/>
      <c r="AW220" s="868"/>
      <c r="AX220" s="868"/>
    </row>
    <row r="221" s="687" customFormat="1" ht="15" customHeight="1" spans="1:50">
      <c r="A221" s="745"/>
      <c r="B221" s="754" t="s">
        <v>3905</v>
      </c>
      <c r="C221" s="864">
        <f>UnosNovoZaposl!C211</f>
        <v>0</v>
      </c>
      <c r="D221" s="864"/>
      <c r="E221" s="864"/>
      <c r="F221" s="864"/>
      <c r="G221" s="864"/>
      <c r="H221" s="864"/>
      <c r="I221" s="864"/>
      <c r="J221" s="864"/>
      <c r="K221" s="864"/>
      <c r="L221" s="864"/>
      <c r="M221" s="864"/>
      <c r="N221" s="864">
        <f>UnosNovoZaposl!D211</f>
        <v>0</v>
      </c>
      <c r="O221" s="864"/>
      <c r="P221" s="864"/>
      <c r="Q221" s="864"/>
      <c r="R221" s="864"/>
      <c r="S221" s="864"/>
      <c r="T221" s="864"/>
      <c r="U221" s="868">
        <f>UnosNovoZaposl!E211</f>
        <v>0</v>
      </c>
      <c r="V221" s="868"/>
      <c r="W221" s="868"/>
      <c r="X221" s="868"/>
      <c r="Y221" s="868"/>
      <c r="Z221" s="868"/>
      <c r="AA221" s="868">
        <f>UnosNovoZaposl!B211</f>
        <v>0</v>
      </c>
      <c r="AB221" s="868"/>
      <c r="AC221" s="868"/>
      <c r="AD221" s="868"/>
      <c r="AE221" s="868"/>
      <c r="AF221" s="868"/>
      <c r="AG221" s="868">
        <f>UnosNovoZaposl!F211</f>
        <v>0</v>
      </c>
      <c r="AH221" s="868"/>
      <c r="AI221" s="868"/>
      <c r="AJ221" s="868"/>
      <c r="AK221" s="868"/>
      <c r="AL221" s="868"/>
      <c r="AM221" s="868">
        <f>UnosNovoZaposl!G211</f>
        <v>0</v>
      </c>
      <c r="AN221" s="868"/>
      <c r="AO221" s="868"/>
      <c r="AP221" s="868"/>
      <c r="AQ221" s="868"/>
      <c r="AR221" s="868"/>
      <c r="AS221" s="868">
        <f t="shared" si="5"/>
        <v>0</v>
      </c>
      <c r="AT221" s="868"/>
      <c r="AU221" s="868"/>
      <c r="AV221" s="868"/>
      <c r="AW221" s="868"/>
      <c r="AX221" s="868"/>
    </row>
    <row r="222" s="687" customFormat="1" ht="15" customHeight="1" spans="1:50">
      <c r="A222" s="745"/>
      <c r="B222" s="754" t="s">
        <v>3915</v>
      </c>
      <c r="C222" s="864">
        <f>UnosNovoZaposl!C212</f>
        <v>0</v>
      </c>
      <c r="D222" s="864"/>
      <c r="E222" s="864"/>
      <c r="F222" s="864"/>
      <c r="G222" s="864"/>
      <c r="H222" s="864"/>
      <c r="I222" s="864"/>
      <c r="J222" s="864"/>
      <c r="K222" s="864"/>
      <c r="L222" s="864"/>
      <c r="M222" s="864"/>
      <c r="N222" s="864">
        <f>UnosNovoZaposl!D212</f>
        <v>0</v>
      </c>
      <c r="O222" s="864"/>
      <c r="P222" s="864"/>
      <c r="Q222" s="864"/>
      <c r="R222" s="864"/>
      <c r="S222" s="864"/>
      <c r="T222" s="864"/>
      <c r="U222" s="868">
        <f>UnosNovoZaposl!E212</f>
        <v>0</v>
      </c>
      <c r="V222" s="868"/>
      <c r="W222" s="868"/>
      <c r="X222" s="868"/>
      <c r="Y222" s="868"/>
      <c r="Z222" s="868"/>
      <c r="AA222" s="868">
        <f>UnosNovoZaposl!B212</f>
        <v>0</v>
      </c>
      <c r="AB222" s="868"/>
      <c r="AC222" s="868"/>
      <c r="AD222" s="868"/>
      <c r="AE222" s="868"/>
      <c r="AF222" s="868"/>
      <c r="AG222" s="868">
        <f>UnosNovoZaposl!F212</f>
        <v>0</v>
      </c>
      <c r="AH222" s="868"/>
      <c r="AI222" s="868"/>
      <c r="AJ222" s="868"/>
      <c r="AK222" s="868"/>
      <c r="AL222" s="868"/>
      <c r="AM222" s="868">
        <f>UnosNovoZaposl!G212</f>
        <v>0</v>
      </c>
      <c r="AN222" s="868"/>
      <c r="AO222" s="868"/>
      <c r="AP222" s="868"/>
      <c r="AQ222" s="868"/>
      <c r="AR222" s="868"/>
      <c r="AS222" s="868">
        <f t="shared" si="5"/>
        <v>0</v>
      </c>
      <c r="AT222" s="868"/>
      <c r="AU222" s="868"/>
      <c r="AV222" s="868"/>
      <c r="AW222" s="868"/>
      <c r="AX222" s="868"/>
    </row>
    <row r="223" s="687" customFormat="1" ht="15" customHeight="1" spans="1:50">
      <c r="A223" s="745"/>
      <c r="B223" s="754" t="s">
        <v>3918</v>
      </c>
      <c r="C223" s="864">
        <f>UnosNovoZaposl!C213</f>
        <v>0</v>
      </c>
      <c r="D223" s="864"/>
      <c r="E223" s="864"/>
      <c r="F223" s="864"/>
      <c r="G223" s="864"/>
      <c r="H223" s="864"/>
      <c r="I223" s="864"/>
      <c r="J223" s="864"/>
      <c r="K223" s="864"/>
      <c r="L223" s="864"/>
      <c r="M223" s="864"/>
      <c r="N223" s="864">
        <f>UnosNovoZaposl!D213</f>
        <v>0</v>
      </c>
      <c r="O223" s="864"/>
      <c r="P223" s="864"/>
      <c r="Q223" s="864"/>
      <c r="R223" s="864"/>
      <c r="S223" s="864"/>
      <c r="T223" s="864"/>
      <c r="U223" s="868">
        <f>UnosNovoZaposl!E213</f>
        <v>0</v>
      </c>
      <c r="V223" s="868"/>
      <c r="W223" s="868"/>
      <c r="X223" s="868"/>
      <c r="Y223" s="868"/>
      <c r="Z223" s="868"/>
      <c r="AA223" s="868">
        <f>UnosNovoZaposl!B213</f>
        <v>0</v>
      </c>
      <c r="AB223" s="868"/>
      <c r="AC223" s="868"/>
      <c r="AD223" s="868"/>
      <c r="AE223" s="868"/>
      <c r="AF223" s="868"/>
      <c r="AG223" s="868">
        <f>UnosNovoZaposl!F213</f>
        <v>0</v>
      </c>
      <c r="AH223" s="868"/>
      <c r="AI223" s="868"/>
      <c r="AJ223" s="868"/>
      <c r="AK223" s="868"/>
      <c r="AL223" s="868"/>
      <c r="AM223" s="868">
        <f>UnosNovoZaposl!G213</f>
        <v>0</v>
      </c>
      <c r="AN223" s="868"/>
      <c r="AO223" s="868"/>
      <c r="AP223" s="868"/>
      <c r="AQ223" s="868"/>
      <c r="AR223" s="868"/>
      <c r="AS223" s="868">
        <f t="shared" si="5"/>
        <v>0</v>
      </c>
      <c r="AT223" s="868"/>
      <c r="AU223" s="868"/>
      <c r="AV223" s="868"/>
      <c r="AW223" s="868"/>
      <c r="AX223" s="868"/>
    </row>
    <row r="224" s="687" customFormat="1" ht="15" customHeight="1" spans="1:50">
      <c r="A224" s="745"/>
      <c r="B224" s="754" t="s">
        <v>3920</v>
      </c>
      <c r="C224" s="864">
        <f>UnosNovoZaposl!C214</f>
        <v>0</v>
      </c>
      <c r="D224" s="864"/>
      <c r="E224" s="864"/>
      <c r="F224" s="864"/>
      <c r="G224" s="864"/>
      <c r="H224" s="864"/>
      <c r="I224" s="864"/>
      <c r="J224" s="864"/>
      <c r="K224" s="864"/>
      <c r="L224" s="864"/>
      <c r="M224" s="864"/>
      <c r="N224" s="864">
        <f>UnosNovoZaposl!D214</f>
        <v>0</v>
      </c>
      <c r="O224" s="864"/>
      <c r="P224" s="864"/>
      <c r="Q224" s="864"/>
      <c r="R224" s="864"/>
      <c r="S224" s="864"/>
      <c r="T224" s="864"/>
      <c r="U224" s="868">
        <f>UnosNovoZaposl!E214</f>
        <v>0</v>
      </c>
      <c r="V224" s="868"/>
      <c r="W224" s="868"/>
      <c r="X224" s="868"/>
      <c r="Y224" s="868"/>
      <c r="Z224" s="868"/>
      <c r="AA224" s="868">
        <f>UnosNovoZaposl!B214</f>
        <v>0</v>
      </c>
      <c r="AB224" s="868"/>
      <c r="AC224" s="868"/>
      <c r="AD224" s="868"/>
      <c r="AE224" s="868"/>
      <c r="AF224" s="868"/>
      <c r="AG224" s="868">
        <f>UnosNovoZaposl!F214</f>
        <v>0</v>
      </c>
      <c r="AH224" s="868"/>
      <c r="AI224" s="868"/>
      <c r="AJ224" s="868"/>
      <c r="AK224" s="868"/>
      <c r="AL224" s="868"/>
      <c r="AM224" s="868">
        <f>UnosNovoZaposl!G214</f>
        <v>0</v>
      </c>
      <c r="AN224" s="868"/>
      <c r="AO224" s="868"/>
      <c r="AP224" s="868"/>
      <c r="AQ224" s="868"/>
      <c r="AR224" s="868"/>
      <c r="AS224" s="868">
        <f t="shared" si="5"/>
        <v>0</v>
      </c>
      <c r="AT224" s="868"/>
      <c r="AU224" s="868"/>
      <c r="AV224" s="868"/>
      <c r="AW224" s="868"/>
      <c r="AX224" s="868"/>
    </row>
    <row r="225" s="687" customFormat="1" ht="15" customHeight="1" spans="1:50">
      <c r="A225" s="745"/>
      <c r="B225" s="754" t="s">
        <v>3923</v>
      </c>
      <c r="C225" s="864">
        <f>UnosNovoZaposl!C215</f>
        <v>0</v>
      </c>
      <c r="D225" s="864"/>
      <c r="E225" s="864"/>
      <c r="F225" s="864"/>
      <c r="G225" s="864"/>
      <c r="H225" s="864"/>
      <c r="I225" s="864"/>
      <c r="J225" s="864"/>
      <c r="K225" s="864"/>
      <c r="L225" s="864"/>
      <c r="M225" s="864"/>
      <c r="N225" s="864">
        <f>UnosNovoZaposl!D215</f>
        <v>0</v>
      </c>
      <c r="O225" s="864"/>
      <c r="P225" s="864"/>
      <c r="Q225" s="864"/>
      <c r="R225" s="864"/>
      <c r="S225" s="864"/>
      <c r="T225" s="864"/>
      <c r="U225" s="868">
        <f>UnosNovoZaposl!E215</f>
        <v>0</v>
      </c>
      <c r="V225" s="868"/>
      <c r="W225" s="868"/>
      <c r="X225" s="868"/>
      <c r="Y225" s="868"/>
      <c r="Z225" s="868"/>
      <c r="AA225" s="868">
        <f>UnosNovoZaposl!B215</f>
        <v>0</v>
      </c>
      <c r="AB225" s="868"/>
      <c r="AC225" s="868"/>
      <c r="AD225" s="868"/>
      <c r="AE225" s="868"/>
      <c r="AF225" s="868"/>
      <c r="AG225" s="868">
        <f>UnosNovoZaposl!F215</f>
        <v>0</v>
      </c>
      <c r="AH225" s="868"/>
      <c r="AI225" s="868"/>
      <c r="AJ225" s="868"/>
      <c r="AK225" s="868"/>
      <c r="AL225" s="868"/>
      <c r="AM225" s="868">
        <f>UnosNovoZaposl!G215</f>
        <v>0</v>
      </c>
      <c r="AN225" s="868"/>
      <c r="AO225" s="868"/>
      <c r="AP225" s="868"/>
      <c r="AQ225" s="868"/>
      <c r="AR225" s="868"/>
      <c r="AS225" s="868">
        <f t="shared" si="5"/>
        <v>0</v>
      </c>
      <c r="AT225" s="868"/>
      <c r="AU225" s="868"/>
      <c r="AV225" s="868"/>
      <c r="AW225" s="868"/>
      <c r="AX225" s="868"/>
    </row>
    <row r="226" s="687" customFormat="1" ht="15" customHeight="1" spans="1:50">
      <c r="A226" s="745"/>
      <c r="B226" s="754" t="s">
        <v>3925</v>
      </c>
      <c r="C226" s="864">
        <f>UnosNovoZaposl!C216</f>
        <v>0</v>
      </c>
      <c r="D226" s="864"/>
      <c r="E226" s="864"/>
      <c r="F226" s="864"/>
      <c r="G226" s="864"/>
      <c r="H226" s="864"/>
      <c r="I226" s="864"/>
      <c r="J226" s="864"/>
      <c r="K226" s="864"/>
      <c r="L226" s="864"/>
      <c r="M226" s="864"/>
      <c r="N226" s="864">
        <f>UnosNovoZaposl!D216</f>
        <v>0</v>
      </c>
      <c r="O226" s="864"/>
      <c r="P226" s="864"/>
      <c r="Q226" s="864"/>
      <c r="R226" s="864"/>
      <c r="S226" s="864"/>
      <c r="T226" s="864"/>
      <c r="U226" s="868">
        <f>UnosNovoZaposl!E216</f>
        <v>0</v>
      </c>
      <c r="V226" s="868"/>
      <c r="W226" s="868"/>
      <c r="X226" s="868"/>
      <c r="Y226" s="868"/>
      <c r="Z226" s="868"/>
      <c r="AA226" s="868">
        <f>UnosNovoZaposl!B216</f>
        <v>0</v>
      </c>
      <c r="AB226" s="868"/>
      <c r="AC226" s="868"/>
      <c r="AD226" s="868"/>
      <c r="AE226" s="868"/>
      <c r="AF226" s="868"/>
      <c r="AG226" s="868">
        <f>UnosNovoZaposl!F216</f>
        <v>0</v>
      </c>
      <c r="AH226" s="868"/>
      <c r="AI226" s="868"/>
      <c r="AJ226" s="868"/>
      <c r="AK226" s="868"/>
      <c r="AL226" s="868"/>
      <c r="AM226" s="868">
        <f>UnosNovoZaposl!G216</f>
        <v>0</v>
      </c>
      <c r="AN226" s="868"/>
      <c r="AO226" s="868"/>
      <c r="AP226" s="868"/>
      <c r="AQ226" s="868"/>
      <c r="AR226" s="868"/>
      <c r="AS226" s="868">
        <f t="shared" si="5"/>
        <v>0</v>
      </c>
      <c r="AT226" s="868"/>
      <c r="AU226" s="868"/>
      <c r="AV226" s="868"/>
      <c r="AW226" s="868"/>
      <c r="AX226" s="868"/>
    </row>
    <row r="227" s="687" customFormat="1" ht="15" customHeight="1" spans="1:50">
      <c r="A227" s="745"/>
      <c r="B227" s="754" t="s">
        <v>3928</v>
      </c>
      <c r="C227" s="864">
        <f>UnosNovoZaposl!C217</f>
        <v>0</v>
      </c>
      <c r="D227" s="864"/>
      <c r="E227" s="864"/>
      <c r="F227" s="864"/>
      <c r="G227" s="864"/>
      <c r="H227" s="864"/>
      <c r="I227" s="864"/>
      <c r="J227" s="864"/>
      <c r="K227" s="864"/>
      <c r="L227" s="864"/>
      <c r="M227" s="864"/>
      <c r="N227" s="864">
        <f>UnosNovoZaposl!D217</f>
        <v>0</v>
      </c>
      <c r="O227" s="864"/>
      <c r="P227" s="864"/>
      <c r="Q227" s="864"/>
      <c r="R227" s="864"/>
      <c r="S227" s="864"/>
      <c r="T227" s="864"/>
      <c r="U227" s="868">
        <f>UnosNovoZaposl!E217</f>
        <v>0</v>
      </c>
      <c r="V227" s="868"/>
      <c r="W227" s="868"/>
      <c r="X227" s="868"/>
      <c r="Y227" s="868"/>
      <c r="Z227" s="868"/>
      <c r="AA227" s="868">
        <f>UnosNovoZaposl!B217</f>
        <v>0</v>
      </c>
      <c r="AB227" s="868"/>
      <c r="AC227" s="868"/>
      <c r="AD227" s="868"/>
      <c r="AE227" s="868"/>
      <c r="AF227" s="868"/>
      <c r="AG227" s="868">
        <f>UnosNovoZaposl!F217</f>
        <v>0</v>
      </c>
      <c r="AH227" s="868"/>
      <c r="AI227" s="868"/>
      <c r="AJ227" s="868"/>
      <c r="AK227" s="868"/>
      <c r="AL227" s="868"/>
      <c r="AM227" s="868">
        <f>UnosNovoZaposl!G217</f>
        <v>0</v>
      </c>
      <c r="AN227" s="868"/>
      <c r="AO227" s="868"/>
      <c r="AP227" s="868"/>
      <c r="AQ227" s="868"/>
      <c r="AR227" s="868"/>
      <c r="AS227" s="868">
        <f t="shared" si="5"/>
        <v>0</v>
      </c>
      <c r="AT227" s="868"/>
      <c r="AU227" s="868"/>
      <c r="AV227" s="868"/>
      <c r="AW227" s="868"/>
      <c r="AX227" s="868"/>
    </row>
    <row r="228" s="687" customFormat="1" ht="15" customHeight="1" spans="1:50">
      <c r="A228" s="745"/>
      <c r="B228" s="754" t="s">
        <v>3934</v>
      </c>
      <c r="C228" s="864">
        <f>UnosNovoZaposl!C218</f>
        <v>0</v>
      </c>
      <c r="D228" s="864"/>
      <c r="E228" s="864"/>
      <c r="F228" s="864"/>
      <c r="G228" s="864"/>
      <c r="H228" s="864"/>
      <c r="I228" s="864"/>
      <c r="J228" s="864"/>
      <c r="K228" s="864"/>
      <c r="L228" s="864"/>
      <c r="M228" s="864"/>
      <c r="N228" s="864">
        <f>UnosNovoZaposl!D218</f>
        <v>0</v>
      </c>
      <c r="O228" s="864"/>
      <c r="P228" s="864"/>
      <c r="Q228" s="864"/>
      <c r="R228" s="864"/>
      <c r="S228" s="864"/>
      <c r="T228" s="864"/>
      <c r="U228" s="868">
        <f>UnosNovoZaposl!E218</f>
        <v>0</v>
      </c>
      <c r="V228" s="868"/>
      <c r="W228" s="868"/>
      <c r="X228" s="868"/>
      <c r="Y228" s="868"/>
      <c r="Z228" s="868"/>
      <c r="AA228" s="868">
        <f>UnosNovoZaposl!B218</f>
        <v>0</v>
      </c>
      <c r="AB228" s="868"/>
      <c r="AC228" s="868"/>
      <c r="AD228" s="868"/>
      <c r="AE228" s="868"/>
      <c r="AF228" s="868"/>
      <c r="AG228" s="868">
        <f>UnosNovoZaposl!F218</f>
        <v>0</v>
      </c>
      <c r="AH228" s="868"/>
      <c r="AI228" s="868"/>
      <c r="AJ228" s="868"/>
      <c r="AK228" s="868"/>
      <c r="AL228" s="868"/>
      <c r="AM228" s="868">
        <f>UnosNovoZaposl!G218</f>
        <v>0</v>
      </c>
      <c r="AN228" s="868"/>
      <c r="AO228" s="868"/>
      <c r="AP228" s="868"/>
      <c r="AQ228" s="868"/>
      <c r="AR228" s="868"/>
      <c r="AS228" s="868">
        <f t="shared" si="5"/>
        <v>0</v>
      </c>
      <c r="AT228" s="868"/>
      <c r="AU228" s="868"/>
      <c r="AV228" s="868"/>
      <c r="AW228" s="868"/>
      <c r="AX228" s="868"/>
    </row>
    <row r="229" s="687" customFormat="1" ht="15" customHeight="1" spans="1:50">
      <c r="A229" s="745"/>
      <c r="B229" s="754" t="s">
        <v>3945</v>
      </c>
      <c r="C229" s="864">
        <f>UnosNovoZaposl!C219</f>
        <v>0</v>
      </c>
      <c r="D229" s="864"/>
      <c r="E229" s="864"/>
      <c r="F229" s="864"/>
      <c r="G229" s="864"/>
      <c r="H229" s="864"/>
      <c r="I229" s="864"/>
      <c r="J229" s="864"/>
      <c r="K229" s="864"/>
      <c r="L229" s="864"/>
      <c r="M229" s="864"/>
      <c r="N229" s="864">
        <f>UnosNovoZaposl!D219</f>
        <v>0</v>
      </c>
      <c r="O229" s="864"/>
      <c r="P229" s="864"/>
      <c r="Q229" s="864"/>
      <c r="R229" s="864"/>
      <c r="S229" s="864"/>
      <c r="T229" s="864"/>
      <c r="U229" s="868">
        <f>UnosNovoZaposl!E219</f>
        <v>0</v>
      </c>
      <c r="V229" s="868"/>
      <c r="W229" s="868"/>
      <c r="X229" s="868"/>
      <c r="Y229" s="868"/>
      <c r="Z229" s="868"/>
      <c r="AA229" s="868">
        <f>UnosNovoZaposl!B219</f>
        <v>0</v>
      </c>
      <c r="AB229" s="868"/>
      <c r="AC229" s="868"/>
      <c r="AD229" s="868"/>
      <c r="AE229" s="868"/>
      <c r="AF229" s="868"/>
      <c r="AG229" s="868">
        <f>UnosNovoZaposl!F219</f>
        <v>0</v>
      </c>
      <c r="AH229" s="868"/>
      <c r="AI229" s="868"/>
      <c r="AJ229" s="868"/>
      <c r="AK229" s="868"/>
      <c r="AL229" s="868"/>
      <c r="AM229" s="868">
        <f>UnosNovoZaposl!G219</f>
        <v>0</v>
      </c>
      <c r="AN229" s="868"/>
      <c r="AO229" s="868"/>
      <c r="AP229" s="868"/>
      <c r="AQ229" s="868"/>
      <c r="AR229" s="868"/>
      <c r="AS229" s="868">
        <f t="shared" si="5"/>
        <v>0</v>
      </c>
      <c r="AT229" s="868"/>
      <c r="AU229" s="868"/>
      <c r="AV229" s="868"/>
      <c r="AW229" s="868"/>
      <c r="AX229" s="868"/>
    </row>
    <row r="230" s="687" customFormat="1" ht="15" customHeight="1" spans="1:50">
      <c r="A230" s="745"/>
      <c r="B230" s="754" t="s">
        <v>3947</v>
      </c>
      <c r="C230" s="864">
        <f>UnosNovoZaposl!C220</f>
        <v>0</v>
      </c>
      <c r="D230" s="864"/>
      <c r="E230" s="864"/>
      <c r="F230" s="864"/>
      <c r="G230" s="864"/>
      <c r="H230" s="864"/>
      <c r="I230" s="864"/>
      <c r="J230" s="864"/>
      <c r="K230" s="864"/>
      <c r="L230" s="864"/>
      <c r="M230" s="864"/>
      <c r="N230" s="864">
        <f>UnosNovoZaposl!D220</f>
        <v>0</v>
      </c>
      <c r="O230" s="864"/>
      <c r="P230" s="864"/>
      <c r="Q230" s="864"/>
      <c r="R230" s="864"/>
      <c r="S230" s="864"/>
      <c r="T230" s="864"/>
      <c r="U230" s="868">
        <f>UnosNovoZaposl!E220</f>
        <v>0</v>
      </c>
      <c r="V230" s="868"/>
      <c r="W230" s="868"/>
      <c r="X230" s="868"/>
      <c r="Y230" s="868"/>
      <c r="Z230" s="868"/>
      <c r="AA230" s="868">
        <f>UnosNovoZaposl!B220</f>
        <v>0</v>
      </c>
      <c r="AB230" s="868"/>
      <c r="AC230" s="868"/>
      <c r="AD230" s="868"/>
      <c r="AE230" s="868"/>
      <c r="AF230" s="868"/>
      <c r="AG230" s="868">
        <f>UnosNovoZaposl!F220</f>
        <v>0</v>
      </c>
      <c r="AH230" s="868"/>
      <c r="AI230" s="868"/>
      <c r="AJ230" s="868"/>
      <c r="AK230" s="868"/>
      <c r="AL230" s="868"/>
      <c r="AM230" s="868">
        <f>UnosNovoZaposl!G220</f>
        <v>0</v>
      </c>
      <c r="AN230" s="868"/>
      <c r="AO230" s="868"/>
      <c r="AP230" s="868"/>
      <c r="AQ230" s="868"/>
      <c r="AR230" s="868"/>
      <c r="AS230" s="868">
        <f t="shared" si="5"/>
        <v>0</v>
      </c>
      <c r="AT230" s="868"/>
      <c r="AU230" s="868"/>
      <c r="AV230" s="868"/>
      <c r="AW230" s="868"/>
      <c r="AX230" s="868"/>
    </row>
    <row r="231" s="687" customFormat="1" ht="15" customHeight="1" spans="1:50">
      <c r="A231" s="745"/>
      <c r="B231" s="754" t="s">
        <v>5705</v>
      </c>
      <c r="C231" s="864">
        <f>UnosNovoZaposl!C221</f>
        <v>0</v>
      </c>
      <c r="D231" s="864"/>
      <c r="E231" s="864"/>
      <c r="F231" s="864"/>
      <c r="G231" s="864"/>
      <c r="H231" s="864"/>
      <c r="I231" s="864"/>
      <c r="J231" s="864"/>
      <c r="K231" s="864"/>
      <c r="L231" s="864"/>
      <c r="M231" s="864"/>
      <c r="N231" s="864">
        <f>UnosNovoZaposl!D221</f>
        <v>0</v>
      </c>
      <c r="O231" s="864"/>
      <c r="P231" s="864"/>
      <c r="Q231" s="864"/>
      <c r="R231" s="864"/>
      <c r="S231" s="864"/>
      <c r="T231" s="864"/>
      <c r="U231" s="868">
        <f>UnosNovoZaposl!E221</f>
        <v>0</v>
      </c>
      <c r="V231" s="868"/>
      <c r="W231" s="868"/>
      <c r="X231" s="868"/>
      <c r="Y231" s="868"/>
      <c r="Z231" s="868"/>
      <c r="AA231" s="868">
        <f>UnosNovoZaposl!B221</f>
        <v>0</v>
      </c>
      <c r="AB231" s="868"/>
      <c r="AC231" s="868"/>
      <c r="AD231" s="868"/>
      <c r="AE231" s="868"/>
      <c r="AF231" s="868"/>
      <c r="AG231" s="868">
        <f>UnosNovoZaposl!F221</f>
        <v>0</v>
      </c>
      <c r="AH231" s="868"/>
      <c r="AI231" s="868"/>
      <c r="AJ231" s="868"/>
      <c r="AK231" s="868"/>
      <c r="AL231" s="868"/>
      <c r="AM231" s="868">
        <f>UnosNovoZaposl!G221</f>
        <v>0</v>
      </c>
      <c r="AN231" s="868"/>
      <c r="AO231" s="868"/>
      <c r="AP231" s="868"/>
      <c r="AQ231" s="868"/>
      <c r="AR231" s="868"/>
      <c r="AS231" s="868">
        <f t="shared" si="5"/>
        <v>0</v>
      </c>
      <c r="AT231" s="868"/>
      <c r="AU231" s="868"/>
      <c r="AV231" s="868"/>
      <c r="AW231" s="868"/>
      <c r="AX231" s="868"/>
    </row>
    <row r="232" s="687" customFormat="1" ht="15" customHeight="1" spans="1:50">
      <c r="A232" s="745"/>
      <c r="B232" s="754" t="s">
        <v>5707</v>
      </c>
      <c r="C232" s="864">
        <f>UnosNovoZaposl!C222</f>
        <v>0</v>
      </c>
      <c r="D232" s="864"/>
      <c r="E232" s="864"/>
      <c r="F232" s="864"/>
      <c r="G232" s="864"/>
      <c r="H232" s="864"/>
      <c r="I232" s="864"/>
      <c r="J232" s="864"/>
      <c r="K232" s="864"/>
      <c r="L232" s="864"/>
      <c r="M232" s="864"/>
      <c r="N232" s="864">
        <f>UnosNovoZaposl!D222</f>
        <v>0</v>
      </c>
      <c r="O232" s="864"/>
      <c r="P232" s="864"/>
      <c r="Q232" s="864"/>
      <c r="R232" s="864"/>
      <c r="S232" s="864"/>
      <c r="T232" s="864"/>
      <c r="U232" s="868">
        <f>UnosNovoZaposl!E222</f>
        <v>0</v>
      </c>
      <c r="V232" s="868"/>
      <c r="W232" s="868"/>
      <c r="X232" s="868"/>
      <c r="Y232" s="868"/>
      <c r="Z232" s="868"/>
      <c r="AA232" s="868">
        <f>UnosNovoZaposl!B222</f>
        <v>0</v>
      </c>
      <c r="AB232" s="868"/>
      <c r="AC232" s="868"/>
      <c r="AD232" s="868"/>
      <c r="AE232" s="868"/>
      <c r="AF232" s="868"/>
      <c r="AG232" s="868">
        <f>UnosNovoZaposl!F222</f>
        <v>0</v>
      </c>
      <c r="AH232" s="868"/>
      <c r="AI232" s="868"/>
      <c r="AJ232" s="868"/>
      <c r="AK232" s="868"/>
      <c r="AL232" s="868"/>
      <c r="AM232" s="868">
        <f>UnosNovoZaposl!G222</f>
        <v>0</v>
      </c>
      <c r="AN232" s="868"/>
      <c r="AO232" s="868"/>
      <c r="AP232" s="868"/>
      <c r="AQ232" s="868"/>
      <c r="AR232" s="868"/>
      <c r="AS232" s="868">
        <f t="shared" si="5"/>
        <v>0</v>
      </c>
      <c r="AT232" s="868"/>
      <c r="AU232" s="868"/>
      <c r="AV232" s="868"/>
      <c r="AW232" s="868"/>
      <c r="AX232" s="868"/>
    </row>
    <row r="233" s="687" customFormat="1" ht="15" customHeight="1" spans="1:50">
      <c r="A233" s="745"/>
      <c r="B233" s="754" t="s">
        <v>5708</v>
      </c>
      <c r="C233" s="864">
        <f>UnosNovoZaposl!C223</f>
        <v>0</v>
      </c>
      <c r="D233" s="864"/>
      <c r="E233" s="864"/>
      <c r="F233" s="864"/>
      <c r="G233" s="864"/>
      <c r="H233" s="864"/>
      <c r="I233" s="864"/>
      <c r="J233" s="864"/>
      <c r="K233" s="864"/>
      <c r="L233" s="864"/>
      <c r="M233" s="864"/>
      <c r="N233" s="864">
        <f>UnosNovoZaposl!D223</f>
        <v>0</v>
      </c>
      <c r="O233" s="864"/>
      <c r="P233" s="864"/>
      <c r="Q233" s="864"/>
      <c r="R233" s="864"/>
      <c r="S233" s="864"/>
      <c r="T233" s="864"/>
      <c r="U233" s="868">
        <f>UnosNovoZaposl!E223</f>
        <v>0</v>
      </c>
      <c r="V233" s="868"/>
      <c r="W233" s="868"/>
      <c r="X233" s="868"/>
      <c r="Y233" s="868"/>
      <c r="Z233" s="868"/>
      <c r="AA233" s="868">
        <f>UnosNovoZaposl!B223</f>
        <v>0</v>
      </c>
      <c r="AB233" s="868"/>
      <c r="AC233" s="868"/>
      <c r="AD233" s="868"/>
      <c r="AE233" s="868"/>
      <c r="AF233" s="868"/>
      <c r="AG233" s="868">
        <f>UnosNovoZaposl!F223</f>
        <v>0</v>
      </c>
      <c r="AH233" s="868"/>
      <c r="AI233" s="868"/>
      <c r="AJ233" s="868"/>
      <c r="AK233" s="868"/>
      <c r="AL233" s="868"/>
      <c r="AM233" s="868">
        <f>UnosNovoZaposl!G223</f>
        <v>0</v>
      </c>
      <c r="AN233" s="868"/>
      <c r="AO233" s="868"/>
      <c r="AP233" s="868"/>
      <c r="AQ233" s="868"/>
      <c r="AR233" s="868"/>
      <c r="AS233" s="868">
        <f t="shared" si="5"/>
        <v>0</v>
      </c>
      <c r="AT233" s="868"/>
      <c r="AU233" s="868"/>
      <c r="AV233" s="868"/>
      <c r="AW233" s="868"/>
      <c r="AX233" s="868"/>
    </row>
    <row r="234" s="687" customFormat="1" ht="15" customHeight="1" spans="1:50">
      <c r="A234" s="745"/>
      <c r="B234" s="754" t="s">
        <v>5709</v>
      </c>
      <c r="C234" s="864">
        <f>UnosNovoZaposl!C224</f>
        <v>0</v>
      </c>
      <c r="D234" s="864"/>
      <c r="E234" s="864"/>
      <c r="F234" s="864"/>
      <c r="G234" s="864"/>
      <c r="H234" s="864"/>
      <c r="I234" s="864"/>
      <c r="J234" s="864"/>
      <c r="K234" s="864"/>
      <c r="L234" s="864"/>
      <c r="M234" s="864"/>
      <c r="N234" s="864">
        <f>UnosNovoZaposl!D224</f>
        <v>0</v>
      </c>
      <c r="O234" s="864"/>
      <c r="P234" s="864"/>
      <c r="Q234" s="864"/>
      <c r="R234" s="864"/>
      <c r="S234" s="864"/>
      <c r="T234" s="864"/>
      <c r="U234" s="868">
        <f>UnosNovoZaposl!E224</f>
        <v>0</v>
      </c>
      <c r="V234" s="868"/>
      <c r="W234" s="868"/>
      <c r="X234" s="868"/>
      <c r="Y234" s="868"/>
      <c r="Z234" s="868"/>
      <c r="AA234" s="868">
        <f>UnosNovoZaposl!B224</f>
        <v>0</v>
      </c>
      <c r="AB234" s="868"/>
      <c r="AC234" s="868"/>
      <c r="AD234" s="868"/>
      <c r="AE234" s="868"/>
      <c r="AF234" s="868"/>
      <c r="AG234" s="868">
        <f>UnosNovoZaposl!F224</f>
        <v>0</v>
      </c>
      <c r="AH234" s="868"/>
      <c r="AI234" s="868"/>
      <c r="AJ234" s="868"/>
      <c r="AK234" s="868"/>
      <c r="AL234" s="868"/>
      <c r="AM234" s="868">
        <f>UnosNovoZaposl!G224</f>
        <v>0</v>
      </c>
      <c r="AN234" s="868"/>
      <c r="AO234" s="868"/>
      <c r="AP234" s="868"/>
      <c r="AQ234" s="868"/>
      <c r="AR234" s="868"/>
      <c r="AS234" s="868">
        <f t="shared" si="5"/>
        <v>0</v>
      </c>
      <c r="AT234" s="868"/>
      <c r="AU234" s="868"/>
      <c r="AV234" s="868"/>
      <c r="AW234" s="868"/>
      <c r="AX234" s="868"/>
    </row>
    <row r="235" s="687" customFormat="1" ht="15" customHeight="1" spans="1:50">
      <c r="A235" s="745"/>
      <c r="B235" s="754" t="s">
        <v>5710</v>
      </c>
      <c r="C235" s="864">
        <f>UnosNovoZaposl!C225</f>
        <v>0</v>
      </c>
      <c r="D235" s="864"/>
      <c r="E235" s="864"/>
      <c r="F235" s="864"/>
      <c r="G235" s="864"/>
      <c r="H235" s="864"/>
      <c r="I235" s="864"/>
      <c r="J235" s="864"/>
      <c r="K235" s="864"/>
      <c r="L235" s="864"/>
      <c r="M235" s="864"/>
      <c r="N235" s="864">
        <f>UnosNovoZaposl!D225</f>
        <v>0</v>
      </c>
      <c r="O235" s="864"/>
      <c r="P235" s="864"/>
      <c r="Q235" s="864"/>
      <c r="R235" s="864"/>
      <c r="S235" s="864"/>
      <c r="T235" s="864"/>
      <c r="U235" s="868">
        <f>UnosNovoZaposl!E225</f>
        <v>0</v>
      </c>
      <c r="V235" s="868"/>
      <c r="W235" s="868"/>
      <c r="X235" s="868"/>
      <c r="Y235" s="868"/>
      <c r="Z235" s="868"/>
      <c r="AA235" s="868">
        <f>UnosNovoZaposl!B225</f>
        <v>0</v>
      </c>
      <c r="AB235" s="868"/>
      <c r="AC235" s="868"/>
      <c r="AD235" s="868"/>
      <c r="AE235" s="868"/>
      <c r="AF235" s="868"/>
      <c r="AG235" s="868">
        <f>UnosNovoZaposl!F225</f>
        <v>0</v>
      </c>
      <c r="AH235" s="868"/>
      <c r="AI235" s="868"/>
      <c r="AJ235" s="868"/>
      <c r="AK235" s="868"/>
      <c r="AL235" s="868"/>
      <c r="AM235" s="868">
        <f>UnosNovoZaposl!G225</f>
        <v>0</v>
      </c>
      <c r="AN235" s="868"/>
      <c r="AO235" s="868"/>
      <c r="AP235" s="868"/>
      <c r="AQ235" s="868"/>
      <c r="AR235" s="868"/>
      <c r="AS235" s="868">
        <f t="shared" si="5"/>
        <v>0</v>
      </c>
      <c r="AT235" s="868"/>
      <c r="AU235" s="868"/>
      <c r="AV235" s="868"/>
      <c r="AW235" s="868"/>
      <c r="AX235" s="868"/>
    </row>
    <row r="236" s="687" customFormat="1" ht="15" customHeight="1" spans="1:50">
      <c r="A236" s="745"/>
      <c r="B236" s="754" t="s">
        <v>5711</v>
      </c>
      <c r="C236" s="864">
        <f>UnosNovoZaposl!C226</f>
        <v>0</v>
      </c>
      <c r="D236" s="864"/>
      <c r="E236" s="864"/>
      <c r="F236" s="864"/>
      <c r="G236" s="864"/>
      <c r="H236" s="864"/>
      <c r="I236" s="864"/>
      <c r="J236" s="864"/>
      <c r="K236" s="864"/>
      <c r="L236" s="864"/>
      <c r="M236" s="864"/>
      <c r="N236" s="864">
        <f>UnosNovoZaposl!D226</f>
        <v>0</v>
      </c>
      <c r="O236" s="864"/>
      <c r="P236" s="864"/>
      <c r="Q236" s="864"/>
      <c r="R236" s="864"/>
      <c r="S236" s="864"/>
      <c r="T236" s="864"/>
      <c r="U236" s="868">
        <f>UnosNovoZaposl!E226</f>
        <v>0</v>
      </c>
      <c r="V236" s="868"/>
      <c r="W236" s="868"/>
      <c r="X236" s="868"/>
      <c r="Y236" s="868"/>
      <c r="Z236" s="868"/>
      <c r="AA236" s="868">
        <f>UnosNovoZaposl!B226</f>
        <v>0</v>
      </c>
      <c r="AB236" s="868"/>
      <c r="AC236" s="868"/>
      <c r="AD236" s="868"/>
      <c r="AE236" s="868"/>
      <c r="AF236" s="868"/>
      <c r="AG236" s="868">
        <f>UnosNovoZaposl!F226</f>
        <v>0</v>
      </c>
      <c r="AH236" s="868"/>
      <c r="AI236" s="868"/>
      <c r="AJ236" s="868"/>
      <c r="AK236" s="868"/>
      <c r="AL236" s="868"/>
      <c r="AM236" s="868">
        <f>UnosNovoZaposl!G226</f>
        <v>0</v>
      </c>
      <c r="AN236" s="868"/>
      <c r="AO236" s="868"/>
      <c r="AP236" s="868"/>
      <c r="AQ236" s="868"/>
      <c r="AR236" s="868"/>
      <c r="AS236" s="868">
        <f t="shared" si="5"/>
        <v>0</v>
      </c>
      <c r="AT236" s="868"/>
      <c r="AU236" s="868"/>
      <c r="AV236" s="868"/>
      <c r="AW236" s="868"/>
      <c r="AX236" s="868"/>
    </row>
    <row r="237" s="687" customFormat="1" ht="15" customHeight="1" spans="1:50">
      <c r="A237" s="2990"/>
      <c r="B237" s="754" t="s">
        <v>5713</v>
      </c>
      <c r="C237" s="864">
        <f>UnosNovoZaposl!C227</f>
        <v>0</v>
      </c>
      <c r="D237" s="864"/>
      <c r="E237" s="864"/>
      <c r="F237" s="864"/>
      <c r="G237" s="864"/>
      <c r="H237" s="864"/>
      <c r="I237" s="864"/>
      <c r="J237" s="864"/>
      <c r="K237" s="864"/>
      <c r="L237" s="864"/>
      <c r="M237" s="864"/>
      <c r="N237" s="864">
        <f>UnosNovoZaposl!D227</f>
        <v>0</v>
      </c>
      <c r="O237" s="864"/>
      <c r="P237" s="864"/>
      <c r="Q237" s="864"/>
      <c r="R237" s="864"/>
      <c r="S237" s="864"/>
      <c r="T237" s="864"/>
      <c r="U237" s="868">
        <f>UnosNovoZaposl!E227</f>
        <v>0</v>
      </c>
      <c r="V237" s="868"/>
      <c r="W237" s="868"/>
      <c r="X237" s="868"/>
      <c r="Y237" s="868"/>
      <c r="Z237" s="868"/>
      <c r="AA237" s="868">
        <f>UnosNovoZaposl!B227</f>
        <v>0</v>
      </c>
      <c r="AB237" s="868"/>
      <c r="AC237" s="868"/>
      <c r="AD237" s="868"/>
      <c r="AE237" s="868"/>
      <c r="AF237" s="868"/>
      <c r="AG237" s="868">
        <f>UnosNovoZaposl!F227</f>
        <v>0</v>
      </c>
      <c r="AH237" s="868"/>
      <c r="AI237" s="868"/>
      <c r="AJ237" s="868"/>
      <c r="AK237" s="868"/>
      <c r="AL237" s="868"/>
      <c r="AM237" s="868">
        <f>UnosNovoZaposl!G227</f>
        <v>0</v>
      </c>
      <c r="AN237" s="868"/>
      <c r="AO237" s="868"/>
      <c r="AP237" s="868"/>
      <c r="AQ237" s="868"/>
      <c r="AR237" s="868"/>
      <c r="AS237" s="868">
        <f t="shared" si="5"/>
        <v>0</v>
      </c>
      <c r="AT237" s="868"/>
      <c r="AU237" s="868"/>
      <c r="AV237" s="868"/>
      <c r="AW237" s="868"/>
      <c r="AX237" s="868"/>
    </row>
    <row r="238" s="687" customFormat="1" ht="15" hidden="1" customHeight="1" spans="1:50">
      <c r="A238" s="745"/>
      <c r="B238" s="754" t="s">
        <v>5714</v>
      </c>
      <c r="C238" s="864">
        <f>UnosNovoZaposl!C228</f>
        <v>0</v>
      </c>
      <c r="D238" s="864"/>
      <c r="E238" s="864"/>
      <c r="F238" s="864"/>
      <c r="G238" s="864"/>
      <c r="H238" s="864"/>
      <c r="I238" s="864"/>
      <c r="J238" s="864"/>
      <c r="K238" s="864"/>
      <c r="L238" s="864"/>
      <c r="M238" s="864"/>
      <c r="N238" s="864">
        <f>UnosNovoZaposl!D228</f>
        <v>0</v>
      </c>
      <c r="O238" s="864"/>
      <c r="P238" s="864"/>
      <c r="Q238" s="864"/>
      <c r="R238" s="864"/>
      <c r="S238" s="864"/>
      <c r="T238" s="864"/>
      <c r="U238" s="868">
        <f>UnosNovoZaposl!E228</f>
        <v>0</v>
      </c>
      <c r="V238" s="868"/>
      <c r="W238" s="868"/>
      <c r="X238" s="868"/>
      <c r="Y238" s="868"/>
      <c r="Z238" s="868"/>
      <c r="AA238" s="868">
        <f>UnosNovoZaposl!B228</f>
        <v>0</v>
      </c>
      <c r="AB238" s="868"/>
      <c r="AC238" s="868"/>
      <c r="AD238" s="868"/>
      <c r="AE238" s="868"/>
      <c r="AF238" s="868"/>
      <c r="AG238" s="868">
        <f>UnosNovoZaposl!F228</f>
        <v>0</v>
      </c>
      <c r="AH238" s="868"/>
      <c r="AI238" s="868"/>
      <c r="AJ238" s="868"/>
      <c r="AK238" s="868"/>
      <c r="AL238" s="868"/>
      <c r="AM238" s="868">
        <f>UnosNovoZaposl!G228</f>
        <v>0</v>
      </c>
      <c r="AN238" s="868"/>
      <c r="AO238" s="868"/>
      <c r="AP238" s="868"/>
      <c r="AQ238" s="868"/>
      <c r="AR238" s="868"/>
      <c r="AS238" s="868">
        <f t="shared" si="5"/>
        <v>0</v>
      </c>
      <c r="AT238" s="868"/>
      <c r="AU238" s="868"/>
      <c r="AV238" s="868"/>
      <c r="AW238" s="868"/>
      <c r="AX238" s="868"/>
    </row>
    <row r="239" s="687" customFormat="1" ht="15" hidden="1" customHeight="1" spans="1:50">
      <c r="A239" s="745"/>
      <c r="B239" s="754" t="s">
        <v>5715</v>
      </c>
      <c r="C239" s="864">
        <f>UnosNovoZaposl!C229</f>
        <v>0</v>
      </c>
      <c r="D239" s="864"/>
      <c r="E239" s="864"/>
      <c r="F239" s="864"/>
      <c r="G239" s="864"/>
      <c r="H239" s="864"/>
      <c r="I239" s="864"/>
      <c r="J239" s="864"/>
      <c r="K239" s="864"/>
      <c r="L239" s="864"/>
      <c r="M239" s="864"/>
      <c r="N239" s="864">
        <f>UnosNovoZaposl!D229</f>
        <v>0</v>
      </c>
      <c r="O239" s="864"/>
      <c r="P239" s="864"/>
      <c r="Q239" s="864"/>
      <c r="R239" s="864"/>
      <c r="S239" s="864"/>
      <c r="T239" s="864"/>
      <c r="U239" s="868">
        <f>UnosNovoZaposl!E229</f>
        <v>0</v>
      </c>
      <c r="V239" s="868"/>
      <c r="W239" s="868"/>
      <c r="X239" s="868"/>
      <c r="Y239" s="868"/>
      <c r="Z239" s="868"/>
      <c r="AA239" s="868">
        <f>UnosNovoZaposl!B229</f>
        <v>0</v>
      </c>
      <c r="AB239" s="868"/>
      <c r="AC239" s="868"/>
      <c r="AD239" s="868"/>
      <c r="AE239" s="868"/>
      <c r="AF239" s="868"/>
      <c r="AG239" s="868">
        <f>UnosNovoZaposl!F229</f>
        <v>0</v>
      </c>
      <c r="AH239" s="868"/>
      <c r="AI239" s="868"/>
      <c r="AJ239" s="868"/>
      <c r="AK239" s="868"/>
      <c r="AL239" s="868"/>
      <c r="AM239" s="868">
        <f>UnosNovoZaposl!G229</f>
        <v>0</v>
      </c>
      <c r="AN239" s="868"/>
      <c r="AO239" s="868"/>
      <c r="AP239" s="868"/>
      <c r="AQ239" s="868"/>
      <c r="AR239" s="868"/>
      <c r="AS239" s="868">
        <f t="shared" si="5"/>
        <v>0</v>
      </c>
      <c r="AT239" s="868"/>
      <c r="AU239" s="868"/>
      <c r="AV239" s="868"/>
      <c r="AW239" s="868"/>
      <c r="AX239" s="868"/>
    </row>
    <row r="240" s="687" customFormat="1" ht="15" hidden="1" customHeight="1" spans="1:50">
      <c r="A240" s="745"/>
      <c r="B240" s="754" t="s">
        <v>5716</v>
      </c>
      <c r="C240" s="864">
        <f>UnosNovoZaposl!C230</f>
        <v>0</v>
      </c>
      <c r="D240" s="864"/>
      <c r="E240" s="864"/>
      <c r="F240" s="864"/>
      <c r="G240" s="864"/>
      <c r="H240" s="864"/>
      <c r="I240" s="864"/>
      <c r="J240" s="864"/>
      <c r="K240" s="864"/>
      <c r="L240" s="864"/>
      <c r="M240" s="864"/>
      <c r="N240" s="864">
        <f>UnosNovoZaposl!D230</f>
        <v>0</v>
      </c>
      <c r="O240" s="864"/>
      <c r="P240" s="864"/>
      <c r="Q240" s="864"/>
      <c r="R240" s="864"/>
      <c r="S240" s="864"/>
      <c r="T240" s="864"/>
      <c r="U240" s="868">
        <f>UnosNovoZaposl!E230</f>
        <v>0</v>
      </c>
      <c r="V240" s="868"/>
      <c r="W240" s="868"/>
      <c r="X240" s="868"/>
      <c r="Y240" s="868"/>
      <c r="Z240" s="868"/>
      <c r="AA240" s="868">
        <f>UnosNovoZaposl!B230</f>
        <v>0</v>
      </c>
      <c r="AB240" s="868"/>
      <c r="AC240" s="868"/>
      <c r="AD240" s="868"/>
      <c r="AE240" s="868"/>
      <c r="AF240" s="868"/>
      <c r="AG240" s="868">
        <f>UnosNovoZaposl!F230</f>
        <v>0</v>
      </c>
      <c r="AH240" s="868"/>
      <c r="AI240" s="868"/>
      <c r="AJ240" s="868"/>
      <c r="AK240" s="868"/>
      <c r="AL240" s="868"/>
      <c r="AM240" s="868">
        <f>UnosNovoZaposl!G230</f>
        <v>0</v>
      </c>
      <c r="AN240" s="868"/>
      <c r="AO240" s="868"/>
      <c r="AP240" s="868"/>
      <c r="AQ240" s="868"/>
      <c r="AR240" s="868"/>
      <c r="AS240" s="868">
        <f t="shared" si="5"/>
        <v>0</v>
      </c>
      <c r="AT240" s="868"/>
      <c r="AU240" s="868"/>
      <c r="AV240" s="868"/>
      <c r="AW240" s="868"/>
      <c r="AX240" s="868"/>
    </row>
    <row r="241" s="687" customFormat="1" ht="15" hidden="1" customHeight="1" spans="1:50">
      <c r="A241" s="745"/>
      <c r="B241" s="754" t="s">
        <v>5717</v>
      </c>
      <c r="C241" s="864">
        <f>UnosNovoZaposl!C231</f>
        <v>0</v>
      </c>
      <c r="D241" s="864"/>
      <c r="E241" s="864"/>
      <c r="F241" s="864"/>
      <c r="G241" s="864"/>
      <c r="H241" s="864"/>
      <c r="I241" s="864"/>
      <c r="J241" s="864"/>
      <c r="K241" s="864"/>
      <c r="L241" s="864"/>
      <c r="M241" s="864"/>
      <c r="N241" s="864">
        <f>UnosNovoZaposl!D231</f>
        <v>0</v>
      </c>
      <c r="O241" s="864"/>
      <c r="P241" s="864"/>
      <c r="Q241" s="864"/>
      <c r="R241" s="864"/>
      <c r="S241" s="864"/>
      <c r="T241" s="864"/>
      <c r="U241" s="868">
        <f>UnosNovoZaposl!E231</f>
        <v>0</v>
      </c>
      <c r="V241" s="868"/>
      <c r="W241" s="868"/>
      <c r="X241" s="868"/>
      <c r="Y241" s="868"/>
      <c r="Z241" s="868"/>
      <c r="AA241" s="868">
        <f>UnosNovoZaposl!B231</f>
        <v>0</v>
      </c>
      <c r="AB241" s="868"/>
      <c r="AC241" s="868"/>
      <c r="AD241" s="868"/>
      <c r="AE241" s="868"/>
      <c r="AF241" s="868"/>
      <c r="AG241" s="868">
        <f>UnosNovoZaposl!F231</f>
        <v>0</v>
      </c>
      <c r="AH241" s="868"/>
      <c r="AI241" s="868"/>
      <c r="AJ241" s="868"/>
      <c r="AK241" s="868"/>
      <c r="AL241" s="868"/>
      <c r="AM241" s="868">
        <f>UnosNovoZaposl!G231</f>
        <v>0</v>
      </c>
      <c r="AN241" s="868"/>
      <c r="AO241" s="868"/>
      <c r="AP241" s="868"/>
      <c r="AQ241" s="868"/>
      <c r="AR241" s="868"/>
      <c r="AS241" s="868">
        <f t="shared" si="5"/>
        <v>0</v>
      </c>
      <c r="AT241" s="868"/>
      <c r="AU241" s="868"/>
      <c r="AV241" s="868"/>
      <c r="AW241" s="868"/>
      <c r="AX241" s="868"/>
    </row>
    <row r="242" s="687" customFormat="1" ht="15" hidden="1" customHeight="1" spans="1:50">
      <c r="A242" s="745"/>
      <c r="B242" s="754" t="s">
        <v>5718</v>
      </c>
      <c r="C242" s="864">
        <f>UnosNovoZaposl!C232</f>
        <v>0</v>
      </c>
      <c r="D242" s="864"/>
      <c r="E242" s="864"/>
      <c r="F242" s="864"/>
      <c r="G242" s="864"/>
      <c r="H242" s="864"/>
      <c r="I242" s="864"/>
      <c r="J242" s="864"/>
      <c r="K242" s="864"/>
      <c r="L242" s="864"/>
      <c r="M242" s="864"/>
      <c r="N242" s="864">
        <f>UnosNovoZaposl!D232</f>
        <v>0</v>
      </c>
      <c r="O242" s="864"/>
      <c r="P242" s="864"/>
      <c r="Q242" s="864"/>
      <c r="R242" s="864"/>
      <c r="S242" s="864"/>
      <c r="T242" s="864"/>
      <c r="U242" s="868">
        <f>UnosNovoZaposl!E232</f>
        <v>0</v>
      </c>
      <c r="V242" s="868"/>
      <c r="W242" s="868"/>
      <c r="X242" s="868"/>
      <c r="Y242" s="868"/>
      <c r="Z242" s="868"/>
      <c r="AA242" s="868">
        <f>UnosNovoZaposl!B232</f>
        <v>0</v>
      </c>
      <c r="AB242" s="868"/>
      <c r="AC242" s="868"/>
      <c r="AD242" s="868"/>
      <c r="AE242" s="868"/>
      <c r="AF242" s="868"/>
      <c r="AG242" s="868">
        <f>UnosNovoZaposl!F232</f>
        <v>0</v>
      </c>
      <c r="AH242" s="868"/>
      <c r="AI242" s="868"/>
      <c r="AJ242" s="868"/>
      <c r="AK242" s="868"/>
      <c r="AL242" s="868"/>
      <c r="AM242" s="868">
        <f>UnosNovoZaposl!G232</f>
        <v>0</v>
      </c>
      <c r="AN242" s="868"/>
      <c r="AO242" s="868"/>
      <c r="AP242" s="868"/>
      <c r="AQ242" s="868"/>
      <c r="AR242" s="868"/>
      <c r="AS242" s="868">
        <f t="shared" si="5"/>
        <v>0</v>
      </c>
      <c r="AT242" s="868"/>
      <c r="AU242" s="868"/>
      <c r="AV242" s="868"/>
      <c r="AW242" s="868"/>
      <c r="AX242" s="868"/>
    </row>
    <row r="243" s="687" customFormat="1" ht="15" hidden="1" customHeight="1" spans="1:50">
      <c r="A243" s="745"/>
      <c r="B243" s="754" t="s">
        <v>5835</v>
      </c>
      <c r="C243" s="864">
        <f>UnosNovoZaposl!C233</f>
        <v>0</v>
      </c>
      <c r="D243" s="864"/>
      <c r="E243" s="864"/>
      <c r="F243" s="864"/>
      <c r="G243" s="864"/>
      <c r="H243" s="864"/>
      <c r="I243" s="864"/>
      <c r="J243" s="864"/>
      <c r="K243" s="864"/>
      <c r="L243" s="864"/>
      <c r="M243" s="864"/>
      <c r="N243" s="864">
        <f>UnosNovoZaposl!D233</f>
        <v>0</v>
      </c>
      <c r="O243" s="864"/>
      <c r="P243" s="864"/>
      <c r="Q243" s="864"/>
      <c r="R243" s="864"/>
      <c r="S243" s="864"/>
      <c r="T243" s="864"/>
      <c r="U243" s="868">
        <f>UnosNovoZaposl!E233</f>
        <v>0</v>
      </c>
      <c r="V243" s="868"/>
      <c r="W243" s="868"/>
      <c r="X243" s="868"/>
      <c r="Y243" s="868"/>
      <c r="Z243" s="868"/>
      <c r="AA243" s="868">
        <f>UnosNovoZaposl!B233</f>
        <v>0</v>
      </c>
      <c r="AB243" s="868"/>
      <c r="AC243" s="868"/>
      <c r="AD243" s="868"/>
      <c r="AE243" s="868"/>
      <c r="AF243" s="868"/>
      <c r="AG243" s="868">
        <f>UnosNovoZaposl!F233</f>
        <v>0</v>
      </c>
      <c r="AH243" s="868"/>
      <c r="AI243" s="868"/>
      <c r="AJ243" s="868"/>
      <c r="AK243" s="868"/>
      <c r="AL243" s="868"/>
      <c r="AM243" s="868">
        <f>UnosNovoZaposl!G233</f>
        <v>0</v>
      </c>
      <c r="AN243" s="868"/>
      <c r="AO243" s="868"/>
      <c r="AP243" s="868"/>
      <c r="AQ243" s="868"/>
      <c r="AR243" s="868"/>
      <c r="AS243" s="868">
        <f t="shared" si="5"/>
        <v>0</v>
      </c>
      <c r="AT243" s="868"/>
      <c r="AU243" s="868"/>
      <c r="AV243" s="868"/>
      <c r="AW243" s="868"/>
      <c r="AX243" s="868"/>
    </row>
    <row r="244" s="687" customFormat="1" ht="15" hidden="1" customHeight="1" spans="1:50">
      <c r="A244" s="745"/>
      <c r="B244" s="754" t="s">
        <v>5837</v>
      </c>
      <c r="C244" s="864">
        <f>UnosNovoZaposl!C234</f>
        <v>0</v>
      </c>
      <c r="D244" s="864"/>
      <c r="E244" s="864"/>
      <c r="F244" s="864"/>
      <c r="G244" s="864"/>
      <c r="H244" s="864"/>
      <c r="I244" s="864"/>
      <c r="J244" s="864"/>
      <c r="K244" s="864"/>
      <c r="L244" s="864"/>
      <c r="M244" s="864"/>
      <c r="N244" s="864">
        <f>UnosNovoZaposl!D234</f>
        <v>0</v>
      </c>
      <c r="O244" s="864"/>
      <c r="P244" s="864"/>
      <c r="Q244" s="864"/>
      <c r="R244" s="864"/>
      <c r="S244" s="864"/>
      <c r="T244" s="864"/>
      <c r="U244" s="868">
        <f>UnosNovoZaposl!E234</f>
        <v>0</v>
      </c>
      <c r="V244" s="868"/>
      <c r="W244" s="868"/>
      <c r="X244" s="868"/>
      <c r="Y244" s="868"/>
      <c r="Z244" s="868"/>
      <c r="AA244" s="868">
        <f>UnosNovoZaposl!B234</f>
        <v>0</v>
      </c>
      <c r="AB244" s="868"/>
      <c r="AC244" s="868"/>
      <c r="AD244" s="868"/>
      <c r="AE244" s="868"/>
      <c r="AF244" s="868"/>
      <c r="AG244" s="868">
        <f>UnosNovoZaposl!F234</f>
        <v>0</v>
      </c>
      <c r="AH244" s="868"/>
      <c r="AI244" s="868"/>
      <c r="AJ244" s="868"/>
      <c r="AK244" s="868"/>
      <c r="AL244" s="868"/>
      <c r="AM244" s="868">
        <f>UnosNovoZaposl!G234</f>
        <v>0</v>
      </c>
      <c r="AN244" s="868"/>
      <c r="AO244" s="868"/>
      <c r="AP244" s="868"/>
      <c r="AQ244" s="868"/>
      <c r="AR244" s="868"/>
      <c r="AS244" s="868">
        <f t="shared" si="5"/>
        <v>0</v>
      </c>
      <c r="AT244" s="868"/>
      <c r="AU244" s="868"/>
      <c r="AV244" s="868"/>
      <c r="AW244" s="868"/>
      <c r="AX244" s="868"/>
    </row>
    <row r="245" s="687" customFormat="1" ht="15" hidden="1" customHeight="1" spans="1:50">
      <c r="A245" s="745"/>
      <c r="B245" s="754" t="s">
        <v>5839</v>
      </c>
      <c r="C245" s="864">
        <f>UnosNovoZaposl!C235</f>
        <v>0</v>
      </c>
      <c r="D245" s="864"/>
      <c r="E245" s="864"/>
      <c r="F245" s="864"/>
      <c r="G245" s="864"/>
      <c r="H245" s="864"/>
      <c r="I245" s="864"/>
      <c r="J245" s="864"/>
      <c r="K245" s="864"/>
      <c r="L245" s="864"/>
      <c r="M245" s="864"/>
      <c r="N245" s="864">
        <f>UnosNovoZaposl!D235</f>
        <v>0</v>
      </c>
      <c r="O245" s="864"/>
      <c r="P245" s="864"/>
      <c r="Q245" s="864"/>
      <c r="R245" s="864"/>
      <c r="S245" s="864"/>
      <c r="T245" s="864"/>
      <c r="U245" s="868">
        <f>UnosNovoZaposl!E235</f>
        <v>0</v>
      </c>
      <c r="V245" s="868"/>
      <c r="W245" s="868"/>
      <c r="X245" s="868"/>
      <c r="Y245" s="868"/>
      <c r="Z245" s="868"/>
      <c r="AA245" s="868">
        <f>UnosNovoZaposl!B235</f>
        <v>0</v>
      </c>
      <c r="AB245" s="868"/>
      <c r="AC245" s="868"/>
      <c r="AD245" s="868"/>
      <c r="AE245" s="868"/>
      <c r="AF245" s="868"/>
      <c r="AG245" s="868">
        <f>UnosNovoZaposl!F235</f>
        <v>0</v>
      </c>
      <c r="AH245" s="868"/>
      <c r="AI245" s="868"/>
      <c r="AJ245" s="868"/>
      <c r="AK245" s="868"/>
      <c r="AL245" s="868"/>
      <c r="AM245" s="868">
        <f>UnosNovoZaposl!G235</f>
        <v>0</v>
      </c>
      <c r="AN245" s="868"/>
      <c r="AO245" s="868"/>
      <c r="AP245" s="868"/>
      <c r="AQ245" s="868"/>
      <c r="AR245" s="868"/>
      <c r="AS245" s="868">
        <f t="shared" si="5"/>
        <v>0</v>
      </c>
      <c r="AT245" s="868"/>
      <c r="AU245" s="868"/>
      <c r="AV245" s="868"/>
      <c r="AW245" s="868"/>
      <c r="AX245" s="868"/>
    </row>
    <row r="246" s="687" customFormat="1" ht="15" hidden="1" customHeight="1" spans="1:50">
      <c r="A246" s="745"/>
      <c r="B246" s="754" t="s">
        <v>5841</v>
      </c>
      <c r="C246" s="864">
        <f>UnosNovoZaposl!C236</f>
        <v>0</v>
      </c>
      <c r="D246" s="864"/>
      <c r="E246" s="864"/>
      <c r="F246" s="864"/>
      <c r="G246" s="864"/>
      <c r="H246" s="864"/>
      <c r="I246" s="864"/>
      <c r="J246" s="864"/>
      <c r="K246" s="864"/>
      <c r="L246" s="864"/>
      <c r="M246" s="864"/>
      <c r="N246" s="864">
        <f>UnosNovoZaposl!D236</f>
        <v>0</v>
      </c>
      <c r="O246" s="864"/>
      <c r="P246" s="864"/>
      <c r="Q246" s="864"/>
      <c r="R246" s="864"/>
      <c r="S246" s="864"/>
      <c r="T246" s="864"/>
      <c r="U246" s="868">
        <f>UnosNovoZaposl!E236</f>
        <v>0</v>
      </c>
      <c r="V246" s="868"/>
      <c r="W246" s="868"/>
      <c r="X246" s="868"/>
      <c r="Y246" s="868"/>
      <c r="Z246" s="868"/>
      <c r="AA246" s="868">
        <f>UnosNovoZaposl!B236</f>
        <v>0</v>
      </c>
      <c r="AB246" s="868"/>
      <c r="AC246" s="868"/>
      <c r="AD246" s="868"/>
      <c r="AE246" s="868"/>
      <c r="AF246" s="868"/>
      <c r="AG246" s="868">
        <f>UnosNovoZaposl!F236</f>
        <v>0</v>
      </c>
      <c r="AH246" s="868"/>
      <c r="AI246" s="868"/>
      <c r="AJ246" s="868"/>
      <c r="AK246" s="868"/>
      <c r="AL246" s="868"/>
      <c r="AM246" s="868">
        <f>UnosNovoZaposl!G236</f>
        <v>0</v>
      </c>
      <c r="AN246" s="868"/>
      <c r="AO246" s="868"/>
      <c r="AP246" s="868"/>
      <c r="AQ246" s="868"/>
      <c r="AR246" s="868"/>
      <c r="AS246" s="868">
        <f t="shared" si="5"/>
        <v>0</v>
      </c>
      <c r="AT246" s="868"/>
      <c r="AU246" s="868"/>
      <c r="AV246" s="868"/>
      <c r="AW246" s="868"/>
      <c r="AX246" s="868"/>
    </row>
    <row r="247" s="687" customFormat="1" ht="15" hidden="1" customHeight="1" spans="1:50">
      <c r="A247" s="745"/>
      <c r="B247" s="754" t="s">
        <v>5843</v>
      </c>
      <c r="C247" s="864">
        <f>UnosNovoZaposl!C237</f>
        <v>0</v>
      </c>
      <c r="D247" s="864"/>
      <c r="E247" s="864"/>
      <c r="F247" s="864"/>
      <c r="G247" s="864"/>
      <c r="H247" s="864"/>
      <c r="I247" s="864"/>
      <c r="J247" s="864"/>
      <c r="K247" s="864"/>
      <c r="L247" s="864"/>
      <c r="M247" s="864"/>
      <c r="N247" s="864">
        <f>UnosNovoZaposl!D237</f>
        <v>0</v>
      </c>
      <c r="O247" s="864"/>
      <c r="P247" s="864"/>
      <c r="Q247" s="864"/>
      <c r="R247" s="864"/>
      <c r="S247" s="864"/>
      <c r="T247" s="864"/>
      <c r="U247" s="868">
        <f>UnosNovoZaposl!E237</f>
        <v>0</v>
      </c>
      <c r="V247" s="868"/>
      <c r="W247" s="868"/>
      <c r="X247" s="868"/>
      <c r="Y247" s="868"/>
      <c r="Z247" s="868"/>
      <c r="AA247" s="868">
        <f>UnosNovoZaposl!B237</f>
        <v>0</v>
      </c>
      <c r="AB247" s="868"/>
      <c r="AC247" s="868"/>
      <c r="AD247" s="868"/>
      <c r="AE247" s="868"/>
      <c r="AF247" s="868"/>
      <c r="AG247" s="868">
        <f>UnosNovoZaposl!F237</f>
        <v>0</v>
      </c>
      <c r="AH247" s="868"/>
      <c r="AI247" s="868"/>
      <c r="AJ247" s="868"/>
      <c r="AK247" s="868"/>
      <c r="AL247" s="868"/>
      <c r="AM247" s="868">
        <f>UnosNovoZaposl!G237</f>
        <v>0</v>
      </c>
      <c r="AN247" s="868"/>
      <c r="AO247" s="868"/>
      <c r="AP247" s="868"/>
      <c r="AQ247" s="868"/>
      <c r="AR247" s="868"/>
      <c r="AS247" s="868">
        <f t="shared" si="5"/>
        <v>0</v>
      </c>
      <c r="AT247" s="868"/>
      <c r="AU247" s="868"/>
      <c r="AV247" s="868"/>
      <c r="AW247" s="868"/>
      <c r="AX247" s="868"/>
    </row>
    <row r="248" s="687" customFormat="1" ht="15" hidden="1" customHeight="1" spans="1:50">
      <c r="A248" s="745"/>
      <c r="B248" s="754" t="s">
        <v>5845</v>
      </c>
      <c r="C248" s="864">
        <f>UnosNovoZaposl!C238</f>
        <v>0</v>
      </c>
      <c r="D248" s="864"/>
      <c r="E248" s="864"/>
      <c r="F248" s="864"/>
      <c r="G248" s="864"/>
      <c r="H248" s="864"/>
      <c r="I248" s="864"/>
      <c r="J248" s="864"/>
      <c r="K248" s="864"/>
      <c r="L248" s="864"/>
      <c r="M248" s="864"/>
      <c r="N248" s="864">
        <f>UnosNovoZaposl!D238</f>
        <v>0</v>
      </c>
      <c r="O248" s="864"/>
      <c r="P248" s="864"/>
      <c r="Q248" s="864"/>
      <c r="R248" s="864"/>
      <c r="S248" s="864"/>
      <c r="T248" s="864"/>
      <c r="U248" s="868">
        <f>UnosNovoZaposl!E238</f>
        <v>0</v>
      </c>
      <c r="V248" s="868"/>
      <c r="W248" s="868"/>
      <c r="X248" s="868"/>
      <c r="Y248" s="868"/>
      <c r="Z248" s="868"/>
      <c r="AA248" s="868">
        <f>UnosNovoZaposl!B238</f>
        <v>0</v>
      </c>
      <c r="AB248" s="868"/>
      <c r="AC248" s="868"/>
      <c r="AD248" s="868"/>
      <c r="AE248" s="868"/>
      <c r="AF248" s="868"/>
      <c r="AG248" s="868">
        <f>UnosNovoZaposl!F238</f>
        <v>0</v>
      </c>
      <c r="AH248" s="868"/>
      <c r="AI248" s="868"/>
      <c r="AJ248" s="868"/>
      <c r="AK248" s="868"/>
      <c r="AL248" s="868"/>
      <c r="AM248" s="868">
        <f>UnosNovoZaposl!G238</f>
        <v>0</v>
      </c>
      <c r="AN248" s="868"/>
      <c r="AO248" s="868"/>
      <c r="AP248" s="868"/>
      <c r="AQ248" s="868"/>
      <c r="AR248" s="868"/>
      <c r="AS248" s="868">
        <f t="shared" si="5"/>
        <v>0</v>
      </c>
      <c r="AT248" s="868"/>
      <c r="AU248" s="868"/>
      <c r="AV248" s="868"/>
      <c r="AW248" s="868"/>
      <c r="AX248" s="868"/>
    </row>
    <row r="249" s="687" customFormat="1" ht="15" hidden="1" customHeight="1" spans="1:50">
      <c r="A249" s="745"/>
      <c r="B249" s="754" t="s">
        <v>5847</v>
      </c>
      <c r="C249" s="864">
        <f>UnosNovoZaposl!C239</f>
        <v>0</v>
      </c>
      <c r="D249" s="864"/>
      <c r="E249" s="864"/>
      <c r="F249" s="864"/>
      <c r="G249" s="864"/>
      <c r="H249" s="864"/>
      <c r="I249" s="864"/>
      <c r="J249" s="864"/>
      <c r="K249" s="864"/>
      <c r="L249" s="864"/>
      <c r="M249" s="864"/>
      <c r="N249" s="864">
        <f>UnosNovoZaposl!D239</f>
        <v>0</v>
      </c>
      <c r="O249" s="864"/>
      <c r="P249" s="864"/>
      <c r="Q249" s="864"/>
      <c r="R249" s="864"/>
      <c r="S249" s="864"/>
      <c r="T249" s="864"/>
      <c r="U249" s="868">
        <f>UnosNovoZaposl!E239</f>
        <v>0</v>
      </c>
      <c r="V249" s="868"/>
      <c r="W249" s="868"/>
      <c r="X249" s="868"/>
      <c r="Y249" s="868"/>
      <c r="Z249" s="868"/>
      <c r="AA249" s="868">
        <f>UnosNovoZaposl!B239</f>
        <v>0</v>
      </c>
      <c r="AB249" s="868"/>
      <c r="AC249" s="868"/>
      <c r="AD249" s="868"/>
      <c r="AE249" s="868"/>
      <c r="AF249" s="868"/>
      <c r="AG249" s="868">
        <f>UnosNovoZaposl!F239</f>
        <v>0</v>
      </c>
      <c r="AH249" s="868"/>
      <c r="AI249" s="868"/>
      <c r="AJ249" s="868"/>
      <c r="AK249" s="868"/>
      <c r="AL249" s="868"/>
      <c r="AM249" s="868">
        <f>UnosNovoZaposl!G239</f>
        <v>0</v>
      </c>
      <c r="AN249" s="868"/>
      <c r="AO249" s="868"/>
      <c r="AP249" s="868"/>
      <c r="AQ249" s="868"/>
      <c r="AR249" s="868"/>
      <c r="AS249" s="868">
        <f t="shared" si="5"/>
        <v>0</v>
      </c>
      <c r="AT249" s="868"/>
      <c r="AU249" s="868"/>
      <c r="AV249" s="868"/>
      <c r="AW249" s="868"/>
      <c r="AX249" s="868"/>
    </row>
    <row r="250" s="687" customFormat="1" ht="15" hidden="1" customHeight="1" spans="1:50">
      <c r="A250" s="745"/>
      <c r="B250" s="754" t="s">
        <v>5849</v>
      </c>
      <c r="C250" s="864">
        <f>UnosNovoZaposl!C240</f>
        <v>0</v>
      </c>
      <c r="D250" s="864"/>
      <c r="E250" s="864"/>
      <c r="F250" s="864"/>
      <c r="G250" s="864"/>
      <c r="H250" s="864"/>
      <c r="I250" s="864"/>
      <c r="J250" s="864"/>
      <c r="K250" s="864"/>
      <c r="L250" s="864"/>
      <c r="M250" s="864"/>
      <c r="N250" s="864">
        <f>UnosNovoZaposl!D240</f>
        <v>0</v>
      </c>
      <c r="O250" s="864"/>
      <c r="P250" s="864"/>
      <c r="Q250" s="864"/>
      <c r="R250" s="864"/>
      <c r="S250" s="864"/>
      <c r="T250" s="864"/>
      <c r="U250" s="868">
        <f>UnosNovoZaposl!E240</f>
        <v>0</v>
      </c>
      <c r="V250" s="868"/>
      <c r="W250" s="868"/>
      <c r="X250" s="868"/>
      <c r="Y250" s="868"/>
      <c r="Z250" s="868"/>
      <c r="AA250" s="868">
        <f>UnosNovoZaposl!B240</f>
        <v>0</v>
      </c>
      <c r="AB250" s="868"/>
      <c r="AC250" s="868"/>
      <c r="AD250" s="868"/>
      <c r="AE250" s="868"/>
      <c r="AF250" s="868"/>
      <c r="AG250" s="868">
        <f>UnosNovoZaposl!F240</f>
        <v>0</v>
      </c>
      <c r="AH250" s="868"/>
      <c r="AI250" s="868"/>
      <c r="AJ250" s="868"/>
      <c r="AK250" s="868"/>
      <c r="AL250" s="868"/>
      <c r="AM250" s="868">
        <f>UnosNovoZaposl!G240</f>
        <v>0</v>
      </c>
      <c r="AN250" s="868"/>
      <c r="AO250" s="868"/>
      <c r="AP250" s="868"/>
      <c r="AQ250" s="868"/>
      <c r="AR250" s="868"/>
      <c r="AS250" s="868">
        <f t="shared" si="5"/>
        <v>0</v>
      </c>
      <c r="AT250" s="868"/>
      <c r="AU250" s="868"/>
      <c r="AV250" s="868"/>
      <c r="AW250" s="868"/>
      <c r="AX250" s="868"/>
    </row>
    <row r="251" s="687" customFormat="1" ht="15" hidden="1" customHeight="1" spans="1:50">
      <c r="A251" s="745"/>
      <c r="B251" s="754" t="s">
        <v>5851</v>
      </c>
      <c r="C251" s="864">
        <f>UnosNovoZaposl!C241</f>
        <v>0</v>
      </c>
      <c r="D251" s="864"/>
      <c r="E251" s="864"/>
      <c r="F251" s="864"/>
      <c r="G251" s="864"/>
      <c r="H251" s="864"/>
      <c r="I251" s="864"/>
      <c r="J251" s="864"/>
      <c r="K251" s="864"/>
      <c r="L251" s="864"/>
      <c r="M251" s="864"/>
      <c r="N251" s="864">
        <f>UnosNovoZaposl!D241</f>
        <v>0</v>
      </c>
      <c r="O251" s="864"/>
      <c r="P251" s="864"/>
      <c r="Q251" s="864"/>
      <c r="R251" s="864"/>
      <c r="S251" s="864"/>
      <c r="T251" s="864"/>
      <c r="U251" s="868">
        <f>UnosNovoZaposl!E241</f>
        <v>0</v>
      </c>
      <c r="V251" s="868"/>
      <c r="W251" s="868"/>
      <c r="X251" s="868"/>
      <c r="Y251" s="868"/>
      <c r="Z251" s="868"/>
      <c r="AA251" s="868">
        <f>UnosNovoZaposl!B241</f>
        <v>0</v>
      </c>
      <c r="AB251" s="868"/>
      <c r="AC251" s="868"/>
      <c r="AD251" s="868"/>
      <c r="AE251" s="868"/>
      <c r="AF251" s="868"/>
      <c r="AG251" s="868">
        <f>UnosNovoZaposl!F241</f>
        <v>0</v>
      </c>
      <c r="AH251" s="868"/>
      <c r="AI251" s="868"/>
      <c r="AJ251" s="868"/>
      <c r="AK251" s="868"/>
      <c r="AL251" s="868"/>
      <c r="AM251" s="868">
        <f>UnosNovoZaposl!G241</f>
        <v>0</v>
      </c>
      <c r="AN251" s="868"/>
      <c r="AO251" s="868"/>
      <c r="AP251" s="868"/>
      <c r="AQ251" s="868"/>
      <c r="AR251" s="868"/>
      <c r="AS251" s="868">
        <f t="shared" si="5"/>
        <v>0</v>
      </c>
      <c r="AT251" s="868"/>
      <c r="AU251" s="868"/>
      <c r="AV251" s="868"/>
      <c r="AW251" s="868"/>
      <c r="AX251" s="868"/>
    </row>
    <row r="252" s="687" customFormat="1" ht="15" hidden="1" customHeight="1" spans="1:50">
      <c r="A252" s="745"/>
      <c r="B252" s="754" t="s">
        <v>5853</v>
      </c>
      <c r="C252" s="864">
        <f>UnosNovoZaposl!C242</f>
        <v>0</v>
      </c>
      <c r="D252" s="864"/>
      <c r="E252" s="864"/>
      <c r="F252" s="864"/>
      <c r="G252" s="864"/>
      <c r="H252" s="864"/>
      <c r="I252" s="864"/>
      <c r="J252" s="864"/>
      <c r="K252" s="864"/>
      <c r="L252" s="864"/>
      <c r="M252" s="864"/>
      <c r="N252" s="864">
        <f>UnosNovoZaposl!D242</f>
        <v>0</v>
      </c>
      <c r="O252" s="864"/>
      <c r="P252" s="864"/>
      <c r="Q252" s="864"/>
      <c r="R252" s="864"/>
      <c r="S252" s="864"/>
      <c r="T252" s="864"/>
      <c r="U252" s="868">
        <f>UnosNovoZaposl!E242</f>
        <v>0</v>
      </c>
      <c r="V252" s="868"/>
      <c r="W252" s="868"/>
      <c r="X252" s="868"/>
      <c r="Y252" s="868"/>
      <c r="Z252" s="868"/>
      <c r="AA252" s="868">
        <f>UnosNovoZaposl!B242</f>
        <v>0</v>
      </c>
      <c r="AB252" s="868"/>
      <c r="AC252" s="868"/>
      <c r="AD252" s="868"/>
      <c r="AE252" s="868"/>
      <c r="AF252" s="868"/>
      <c r="AG252" s="868">
        <f>UnosNovoZaposl!F242</f>
        <v>0</v>
      </c>
      <c r="AH252" s="868"/>
      <c r="AI252" s="868"/>
      <c r="AJ252" s="868"/>
      <c r="AK252" s="868"/>
      <c r="AL252" s="868"/>
      <c r="AM252" s="868">
        <f>UnosNovoZaposl!G242</f>
        <v>0</v>
      </c>
      <c r="AN252" s="868"/>
      <c r="AO252" s="868"/>
      <c r="AP252" s="868"/>
      <c r="AQ252" s="868"/>
      <c r="AR252" s="868"/>
      <c r="AS252" s="868">
        <f t="shared" si="5"/>
        <v>0</v>
      </c>
      <c r="AT252" s="868"/>
      <c r="AU252" s="868"/>
      <c r="AV252" s="868"/>
      <c r="AW252" s="868"/>
      <c r="AX252" s="868"/>
    </row>
    <row r="253" s="687" customFormat="1" ht="15" hidden="1" customHeight="1" spans="1:50">
      <c r="A253" s="745"/>
      <c r="B253" s="754" t="s">
        <v>5855</v>
      </c>
      <c r="C253" s="864">
        <f>UnosNovoZaposl!C243</f>
        <v>0</v>
      </c>
      <c r="D253" s="864"/>
      <c r="E253" s="864"/>
      <c r="F253" s="864"/>
      <c r="G253" s="864"/>
      <c r="H253" s="864"/>
      <c r="I253" s="864"/>
      <c r="J253" s="864"/>
      <c r="K253" s="864"/>
      <c r="L253" s="864"/>
      <c r="M253" s="864"/>
      <c r="N253" s="864">
        <f>UnosNovoZaposl!D243</f>
        <v>0</v>
      </c>
      <c r="O253" s="864"/>
      <c r="P253" s="864"/>
      <c r="Q253" s="864"/>
      <c r="R253" s="864"/>
      <c r="S253" s="864"/>
      <c r="T253" s="864"/>
      <c r="U253" s="868">
        <f>UnosNovoZaposl!E243</f>
        <v>0</v>
      </c>
      <c r="V253" s="868"/>
      <c r="W253" s="868"/>
      <c r="X253" s="868"/>
      <c r="Y253" s="868"/>
      <c r="Z253" s="868"/>
      <c r="AA253" s="868">
        <f>UnosNovoZaposl!B243</f>
        <v>0</v>
      </c>
      <c r="AB253" s="868"/>
      <c r="AC253" s="868"/>
      <c r="AD253" s="868"/>
      <c r="AE253" s="868"/>
      <c r="AF253" s="868"/>
      <c r="AG253" s="868">
        <f>UnosNovoZaposl!F243</f>
        <v>0</v>
      </c>
      <c r="AH253" s="868"/>
      <c r="AI253" s="868"/>
      <c r="AJ253" s="868"/>
      <c r="AK253" s="868"/>
      <c r="AL253" s="868"/>
      <c r="AM253" s="868">
        <f>UnosNovoZaposl!G243</f>
        <v>0</v>
      </c>
      <c r="AN253" s="868"/>
      <c r="AO253" s="868"/>
      <c r="AP253" s="868"/>
      <c r="AQ253" s="868"/>
      <c r="AR253" s="868"/>
      <c r="AS253" s="868">
        <f t="shared" si="5"/>
        <v>0</v>
      </c>
      <c r="AT253" s="868"/>
      <c r="AU253" s="868"/>
      <c r="AV253" s="868"/>
      <c r="AW253" s="868"/>
      <c r="AX253" s="868"/>
    </row>
    <row r="254" s="687" customFormat="1" ht="15" hidden="1" customHeight="1" spans="1:50">
      <c r="A254" s="745"/>
      <c r="B254" s="754" t="s">
        <v>5856</v>
      </c>
      <c r="C254" s="864">
        <f>UnosNovoZaposl!C244</f>
        <v>0</v>
      </c>
      <c r="D254" s="864"/>
      <c r="E254" s="864"/>
      <c r="F254" s="864"/>
      <c r="G254" s="864"/>
      <c r="H254" s="864"/>
      <c r="I254" s="864"/>
      <c r="J254" s="864"/>
      <c r="K254" s="864"/>
      <c r="L254" s="864"/>
      <c r="M254" s="864"/>
      <c r="N254" s="864">
        <f>UnosNovoZaposl!D244</f>
        <v>0</v>
      </c>
      <c r="O254" s="864"/>
      <c r="P254" s="864"/>
      <c r="Q254" s="864"/>
      <c r="R254" s="864"/>
      <c r="S254" s="864"/>
      <c r="T254" s="864"/>
      <c r="U254" s="868">
        <f>UnosNovoZaposl!E244</f>
        <v>0</v>
      </c>
      <c r="V254" s="868"/>
      <c r="W254" s="868"/>
      <c r="X254" s="868"/>
      <c r="Y254" s="868"/>
      <c r="Z254" s="868"/>
      <c r="AA254" s="868">
        <f>UnosNovoZaposl!B244</f>
        <v>0</v>
      </c>
      <c r="AB254" s="868"/>
      <c r="AC254" s="868"/>
      <c r="AD254" s="868"/>
      <c r="AE254" s="868"/>
      <c r="AF254" s="868"/>
      <c r="AG254" s="868">
        <f>UnosNovoZaposl!F244</f>
        <v>0</v>
      </c>
      <c r="AH254" s="868"/>
      <c r="AI254" s="868"/>
      <c r="AJ254" s="868"/>
      <c r="AK254" s="868"/>
      <c r="AL254" s="868"/>
      <c r="AM254" s="868">
        <f>UnosNovoZaposl!G244</f>
        <v>0</v>
      </c>
      <c r="AN254" s="868"/>
      <c r="AO254" s="868"/>
      <c r="AP254" s="868"/>
      <c r="AQ254" s="868"/>
      <c r="AR254" s="868"/>
      <c r="AS254" s="868">
        <f t="shared" si="5"/>
        <v>0</v>
      </c>
      <c r="AT254" s="868"/>
      <c r="AU254" s="868"/>
      <c r="AV254" s="868"/>
      <c r="AW254" s="868"/>
      <c r="AX254" s="868"/>
    </row>
    <row r="255" s="687" customFormat="1" ht="15" hidden="1" customHeight="1" spans="1:50">
      <c r="A255" s="745"/>
      <c r="B255" s="754" t="s">
        <v>5857</v>
      </c>
      <c r="C255" s="864">
        <f>UnosNovoZaposl!C245</f>
        <v>0</v>
      </c>
      <c r="D255" s="864"/>
      <c r="E255" s="864"/>
      <c r="F255" s="864"/>
      <c r="G255" s="864"/>
      <c r="H255" s="864"/>
      <c r="I255" s="864"/>
      <c r="J255" s="864"/>
      <c r="K255" s="864"/>
      <c r="L255" s="864"/>
      <c r="M255" s="864"/>
      <c r="N255" s="864">
        <f>UnosNovoZaposl!D245</f>
        <v>0</v>
      </c>
      <c r="O255" s="864"/>
      <c r="P255" s="864"/>
      <c r="Q255" s="864"/>
      <c r="R255" s="864"/>
      <c r="S255" s="864"/>
      <c r="T255" s="864"/>
      <c r="U255" s="868">
        <f>UnosNovoZaposl!E245</f>
        <v>0</v>
      </c>
      <c r="V255" s="868"/>
      <c r="W255" s="868"/>
      <c r="X255" s="868"/>
      <c r="Y255" s="868"/>
      <c r="Z255" s="868"/>
      <c r="AA255" s="868">
        <f>UnosNovoZaposl!B245</f>
        <v>0</v>
      </c>
      <c r="AB255" s="868"/>
      <c r="AC255" s="868"/>
      <c r="AD255" s="868"/>
      <c r="AE255" s="868"/>
      <c r="AF255" s="868"/>
      <c r="AG255" s="868">
        <f>UnosNovoZaposl!F245</f>
        <v>0</v>
      </c>
      <c r="AH255" s="868"/>
      <c r="AI255" s="868"/>
      <c r="AJ255" s="868"/>
      <c r="AK255" s="868"/>
      <c r="AL255" s="868"/>
      <c r="AM255" s="868">
        <f>UnosNovoZaposl!G245</f>
        <v>0</v>
      </c>
      <c r="AN255" s="868"/>
      <c r="AO255" s="868"/>
      <c r="AP255" s="868"/>
      <c r="AQ255" s="868"/>
      <c r="AR255" s="868"/>
      <c r="AS255" s="868">
        <f t="shared" si="5"/>
        <v>0</v>
      </c>
      <c r="AT255" s="868"/>
      <c r="AU255" s="868"/>
      <c r="AV255" s="868"/>
      <c r="AW255" s="868"/>
      <c r="AX255" s="868"/>
    </row>
    <row r="256" s="687" customFormat="1" ht="15" hidden="1" customHeight="1" spans="1:50">
      <c r="A256" s="745"/>
      <c r="B256" s="754" t="s">
        <v>5859</v>
      </c>
      <c r="C256" s="864">
        <f>UnosNovoZaposl!C246</f>
        <v>0</v>
      </c>
      <c r="D256" s="864"/>
      <c r="E256" s="864"/>
      <c r="F256" s="864"/>
      <c r="G256" s="864"/>
      <c r="H256" s="864"/>
      <c r="I256" s="864"/>
      <c r="J256" s="864"/>
      <c r="K256" s="864"/>
      <c r="L256" s="864"/>
      <c r="M256" s="864"/>
      <c r="N256" s="864">
        <f>UnosNovoZaposl!D246</f>
        <v>0</v>
      </c>
      <c r="O256" s="864"/>
      <c r="P256" s="864"/>
      <c r="Q256" s="864"/>
      <c r="R256" s="864"/>
      <c r="S256" s="864"/>
      <c r="T256" s="864"/>
      <c r="U256" s="868">
        <f>UnosNovoZaposl!E246</f>
        <v>0</v>
      </c>
      <c r="V256" s="868"/>
      <c r="W256" s="868"/>
      <c r="X256" s="868"/>
      <c r="Y256" s="868"/>
      <c r="Z256" s="868"/>
      <c r="AA256" s="868">
        <f>UnosNovoZaposl!B246</f>
        <v>0</v>
      </c>
      <c r="AB256" s="868"/>
      <c r="AC256" s="868"/>
      <c r="AD256" s="868"/>
      <c r="AE256" s="868"/>
      <c r="AF256" s="868"/>
      <c r="AG256" s="868">
        <f>UnosNovoZaposl!F246</f>
        <v>0</v>
      </c>
      <c r="AH256" s="868"/>
      <c r="AI256" s="868"/>
      <c r="AJ256" s="868"/>
      <c r="AK256" s="868"/>
      <c r="AL256" s="868"/>
      <c r="AM256" s="868">
        <f>UnosNovoZaposl!G246</f>
        <v>0</v>
      </c>
      <c r="AN256" s="868"/>
      <c r="AO256" s="868"/>
      <c r="AP256" s="868"/>
      <c r="AQ256" s="868"/>
      <c r="AR256" s="868"/>
      <c r="AS256" s="868">
        <f t="shared" si="5"/>
        <v>0</v>
      </c>
      <c r="AT256" s="868"/>
      <c r="AU256" s="868"/>
      <c r="AV256" s="868"/>
      <c r="AW256" s="868"/>
      <c r="AX256" s="868"/>
    </row>
    <row r="257" s="687" customFormat="1" ht="15" hidden="1" customHeight="1" spans="1:50">
      <c r="A257" s="745"/>
      <c r="B257" s="754" t="s">
        <v>5862</v>
      </c>
      <c r="C257" s="864">
        <f>UnosNovoZaposl!C247</f>
        <v>0</v>
      </c>
      <c r="D257" s="864"/>
      <c r="E257" s="864"/>
      <c r="F257" s="864"/>
      <c r="G257" s="864"/>
      <c r="H257" s="864"/>
      <c r="I257" s="864"/>
      <c r="J257" s="864"/>
      <c r="K257" s="864"/>
      <c r="L257" s="864"/>
      <c r="M257" s="864"/>
      <c r="N257" s="864">
        <f>UnosNovoZaposl!D247</f>
        <v>0</v>
      </c>
      <c r="O257" s="864"/>
      <c r="P257" s="864"/>
      <c r="Q257" s="864"/>
      <c r="R257" s="864"/>
      <c r="S257" s="864"/>
      <c r="T257" s="864"/>
      <c r="U257" s="868">
        <f>UnosNovoZaposl!E247</f>
        <v>0</v>
      </c>
      <c r="V257" s="868"/>
      <c r="W257" s="868"/>
      <c r="X257" s="868"/>
      <c r="Y257" s="868"/>
      <c r="Z257" s="868"/>
      <c r="AA257" s="868">
        <f>UnosNovoZaposl!B247</f>
        <v>0</v>
      </c>
      <c r="AB257" s="868"/>
      <c r="AC257" s="868"/>
      <c r="AD257" s="868"/>
      <c r="AE257" s="868"/>
      <c r="AF257" s="868"/>
      <c r="AG257" s="868">
        <f>UnosNovoZaposl!F247</f>
        <v>0</v>
      </c>
      <c r="AH257" s="868"/>
      <c r="AI257" s="868"/>
      <c r="AJ257" s="868"/>
      <c r="AK257" s="868"/>
      <c r="AL257" s="868"/>
      <c r="AM257" s="868">
        <f>UnosNovoZaposl!G247</f>
        <v>0</v>
      </c>
      <c r="AN257" s="868"/>
      <c r="AO257" s="868"/>
      <c r="AP257" s="868"/>
      <c r="AQ257" s="868"/>
      <c r="AR257" s="868"/>
      <c r="AS257" s="868">
        <f t="shared" si="5"/>
        <v>0</v>
      </c>
      <c r="AT257" s="868"/>
      <c r="AU257" s="868"/>
      <c r="AV257" s="868"/>
      <c r="AW257" s="868"/>
      <c r="AX257" s="868"/>
    </row>
    <row r="258" s="687" customFormat="1" ht="15" hidden="1" customHeight="1" spans="1:50">
      <c r="A258" s="745"/>
      <c r="B258" s="754" t="s">
        <v>5864</v>
      </c>
      <c r="C258" s="864">
        <f>UnosNovoZaposl!C248</f>
        <v>0</v>
      </c>
      <c r="D258" s="864"/>
      <c r="E258" s="864"/>
      <c r="F258" s="864"/>
      <c r="G258" s="864"/>
      <c r="H258" s="864"/>
      <c r="I258" s="864"/>
      <c r="J258" s="864"/>
      <c r="K258" s="864"/>
      <c r="L258" s="864"/>
      <c r="M258" s="864"/>
      <c r="N258" s="864">
        <f>UnosNovoZaposl!D248</f>
        <v>0</v>
      </c>
      <c r="O258" s="864"/>
      <c r="P258" s="864"/>
      <c r="Q258" s="864"/>
      <c r="R258" s="864"/>
      <c r="S258" s="864"/>
      <c r="T258" s="864"/>
      <c r="U258" s="868">
        <f>UnosNovoZaposl!E248</f>
        <v>0</v>
      </c>
      <c r="V258" s="868"/>
      <c r="W258" s="868"/>
      <c r="X258" s="868"/>
      <c r="Y258" s="868"/>
      <c r="Z258" s="868"/>
      <c r="AA258" s="868">
        <f>UnosNovoZaposl!B248</f>
        <v>0</v>
      </c>
      <c r="AB258" s="868"/>
      <c r="AC258" s="868"/>
      <c r="AD258" s="868"/>
      <c r="AE258" s="868"/>
      <c r="AF258" s="868"/>
      <c r="AG258" s="868">
        <f>UnosNovoZaposl!F248</f>
        <v>0</v>
      </c>
      <c r="AH258" s="868"/>
      <c r="AI258" s="868"/>
      <c r="AJ258" s="868"/>
      <c r="AK258" s="868"/>
      <c r="AL258" s="868"/>
      <c r="AM258" s="868">
        <f>UnosNovoZaposl!G248</f>
        <v>0</v>
      </c>
      <c r="AN258" s="868"/>
      <c r="AO258" s="868"/>
      <c r="AP258" s="868"/>
      <c r="AQ258" s="868"/>
      <c r="AR258" s="868"/>
      <c r="AS258" s="868">
        <f t="shared" si="5"/>
        <v>0</v>
      </c>
      <c r="AT258" s="868"/>
      <c r="AU258" s="868"/>
      <c r="AV258" s="868"/>
      <c r="AW258" s="868"/>
      <c r="AX258" s="868"/>
    </row>
    <row r="259" s="687" customFormat="1" ht="15" hidden="1" customHeight="1" spans="1:50">
      <c r="A259" s="745"/>
      <c r="B259" s="754" t="s">
        <v>5865</v>
      </c>
      <c r="C259" s="864">
        <f>UnosNovoZaposl!C249</f>
        <v>0</v>
      </c>
      <c r="D259" s="864"/>
      <c r="E259" s="864"/>
      <c r="F259" s="864"/>
      <c r="G259" s="864"/>
      <c r="H259" s="864"/>
      <c r="I259" s="864"/>
      <c r="J259" s="864"/>
      <c r="K259" s="864"/>
      <c r="L259" s="864"/>
      <c r="M259" s="864"/>
      <c r="N259" s="864">
        <f>UnosNovoZaposl!D249</f>
        <v>0</v>
      </c>
      <c r="O259" s="864"/>
      <c r="P259" s="864"/>
      <c r="Q259" s="864"/>
      <c r="R259" s="864"/>
      <c r="S259" s="864"/>
      <c r="T259" s="864"/>
      <c r="U259" s="868">
        <f>UnosNovoZaposl!E249</f>
        <v>0</v>
      </c>
      <c r="V259" s="868"/>
      <c r="W259" s="868"/>
      <c r="X259" s="868"/>
      <c r="Y259" s="868"/>
      <c r="Z259" s="868"/>
      <c r="AA259" s="868">
        <f>UnosNovoZaposl!B249</f>
        <v>0</v>
      </c>
      <c r="AB259" s="868"/>
      <c r="AC259" s="868"/>
      <c r="AD259" s="868"/>
      <c r="AE259" s="868"/>
      <c r="AF259" s="868"/>
      <c r="AG259" s="868">
        <f>UnosNovoZaposl!F249</f>
        <v>0</v>
      </c>
      <c r="AH259" s="868"/>
      <c r="AI259" s="868"/>
      <c r="AJ259" s="868"/>
      <c r="AK259" s="868"/>
      <c r="AL259" s="868"/>
      <c r="AM259" s="868">
        <f>UnosNovoZaposl!G249</f>
        <v>0</v>
      </c>
      <c r="AN259" s="868"/>
      <c r="AO259" s="868"/>
      <c r="AP259" s="868"/>
      <c r="AQ259" s="868"/>
      <c r="AR259" s="868"/>
      <c r="AS259" s="868">
        <f t="shared" si="5"/>
        <v>0</v>
      </c>
      <c r="AT259" s="868"/>
      <c r="AU259" s="868"/>
      <c r="AV259" s="868"/>
      <c r="AW259" s="868"/>
      <c r="AX259" s="868"/>
    </row>
    <row r="260" s="687" customFormat="1" ht="15" hidden="1" customHeight="1" spans="1:50">
      <c r="A260" s="745"/>
      <c r="B260" s="754" t="s">
        <v>5867</v>
      </c>
      <c r="C260" s="864">
        <f>UnosNovoZaposl!C250</f>
        <v>0</v>
      </c>
      <c r="D260" s="864"/>
      <c r="E260" s="864"/>
      <c r="F260" s="864"/>
      <c r="G260" s="864"/>
      <c r="H260" s="864"/>
      <c r="I260" s="864"/>
      <c r="J260" s="864"/>
      <c r="K260" s="864"/>
      <c r="L260" s="864"/>
      <c r="M260" s="864"/>
      <c r="N260" s="864">
        <f>UnosNovoZaposl!D250</f>
        <v>0</v>
      </c>
      <c r="O260" s="864"/>
      <c r="P260" s="864"/>
      <c r="Q260" s="864"/>
      <c r="R260" s="864"/>
      <c r="S260" s="864"/>
      <c r="T260" s="864"/>
      <c r="U260" s="868">
        <f>UnosNovoZaposl!E250</f>
        <v>0</v>
      </c>
      <c r="V260" s="868"/>
      <c r="W260" s="868"/>
      <c r="X260" s="868"/>
      <c r="Y260" s="868"/>
      <c r="Z260" s="868"/>
      <c r="AA260" s="868">
        <f>UnosNovoZaposl!B250</f>
        <v>0</v>
      </c>
      <c r="AB260" s="868"/>
      <c r="AC260" s="868"/>
      <c r="AD260" s="868"/>
      <c r="AE260" s="868"/>
      <c r="AF260" s="868"/>
      <c r="AG260" s="868">
        <f>UnosNovoZaposl!F250</f>
        <v>0</v>
      </c>
      <c r="AH260" s="868"/>
      <c r="AI260" s="868"/>
      <c r="AJ260" s="868"/>
      <c r="AK260" s="868"/>
      <c r="AL260" s="868"/>
      <c r="AM260" s="868">
        <f>UnosNovoZaposl!G250</f>
        <v>0</v>
      </c>
      <c r="AN260" s="868"/>
      <c r="AO260" s="868"/>
      <c r="AP260" s="868"/>
      <c r="AQ260" s="868"/>
      <c r="AR260" s="868"/>
      <c r="AS260" s="868">
        <f t="shared" si="5"/>
        <v>0</v>
      </c>
      <c r="AT260" s="868"/>
      <c r="AU260" s="868"/>
      <c r="AV260" s="868"/>
      <c r="AW260" s="868"/>
      <c r="AX260" s="868"/>
    </row>
    <row r="261" s="687" customFormat="1" ht="15" hidden="1" customHeight="1" spans="1:50">
      <c r="A261" s="745"/>
      <c r="B261" s="754" t="s">
        <v>5869</v>
      </c>
      <c r="C261" s="864">
        <f>UnosNovoZaposl!C251</f>
        <v>0</v>
      </c>
      <c r="D261" s="864"/>
      <c r="E261" s="864"/>
      <c r="F261" s="864"/>
      <c r="G261" s="864"/>
      <c r="H261" s="864"/>
      <c r="I261" s="864"/>
      <c r="J261" s="864"/>
      <c r="K261" s="864"/>
      <c r="L261" s="864"/>
      <c r="M261" s="864"/>
      <c r="N261" s="864">
        <f>UnosNovoZaposl!D251</f>
        <v>0</v>
      </c>
      <c r="O261" s="864"/>
      <c r="P261" s="864"/>
      <c r="Q261" s="864"/>
      <c r="R261" s="864"/>
      <c r="S261" s="864"/>
      <c r="T261" s="864"/>
      <c r="U261" s="868">
        <f>UnosNovoZaposl!E251</f>
        <v>0</v>
      </c>
      <c r="V261" s="868"/>
      <c r="W261" s="868"/>
      <c r="X261" s="868"/>
      <c r="Y261" s="868"/>
      <c r="Z261" s="868"/>
      <c r="AA261" s="868">
        <f>UnosNovoZaposl!B251</f>
        <v>0</v>
      </c>
      <c r="AB261" s="868"/>
      <c r="AC261" s="868"/>
      <c r="AD261" s="868"/>
      <c r="AE261" s="868"/>
      <c r="AF261" s="868"/>
      <c r="AG261" s="868">
        <f>UnosNovoZaposl!F251</f>
        <v>0</v>
      </c>
      <c r="AH261" s="868"/>
      <c r="AI261" s="868"/>
      <c r="AJ261" s="868"/>
      <c r="AK261" s="868"/>
      <c r="AL261" s="868"/>
      <c r="AM261" s="868">
        <f>UnosNovoZaposl!G251</f>
        <v>0</v>
      </c>
      <c r="AN261" s="868"/>
      <c r="AO261" s="868"/>
      <c r="AP261" s="868"/>
      <c r="AQ261" s="868"/>
      <c r="AR261" s="868"/>
      <c r="AS261" s="868">
        <f t="shared" si="5"/>
        <v>0</v>
      </c>
      <c r="AT261" s="868"/>
      <c r="AU261" s="868"/>
      <c r="AV261" s="868"/>
      <c r="AW261" s="868"/>
      <c r="AX261" s="868"/>
    </row>
    <row r="262" s="687" customFormat="1" ht="15" hidden="1" customHeight="1" spans="1:50">
      <c r="A262" s="745"/>
      <c r="B262" s="754" t="s">
        <v>5871</v>
      </c>
      <c r="C262" s="864">
        <f>UnosNovoZaposl!C252</f>
        <v>0</v>
      </c>
      <c r="D262" s="864"/>
      <c r="E262" s="864"/>
      <c r="F262" s="864"/>
      <c r="G262" s="864"/>
      <c r="H262" s="864"/>
      <c r="I262" s="864"/>
      <c r="J262" s="864"/>
      <c r="K262" s="864"/>
      <c r="L262" s="864"/>
      <c r="M262" s="864"/>
      <c r="N262" s="864">
        <f>UnosNovoZaposl!D252</f>
        <v>0</v>
      </c>
      <c r="O262" s="864"/>
      <c r="P262" s="864"/>
      <c r="Q262" s="864"/>
      <c r="R262" s="864"/>
      <c r="S262" s="864"/>
      <c r="T262" s="864"/>
      <c r="U262" s="868">
        <f>UnosNovoZaposl!E252</f>
        <v>0</v>
      </c>
      <c r="V262" s="868"/>
      <c r="W262" s="868"/>
      <c r="X262" s="868"/>
      <c r="Y262" s="868"/>
      <c r="Z262" s="868"/>
      <c r="AA262" s="868">
        <f>UnosNovoZaposl!B252</f>
        <v>0</v>
      </c>
      <c r="AB262" s="868"/>
      <c r="AC262" s="868"/>
      <c r="AD262" s="868"/>
      <c r="AE262" s="868"/>
      <c r="AF262" s="868"/>
      <c r="AG262" s="868">
        <f>UnosNovoZaposl!F252</f>
        <v>0</v>
      </c>
      <c r="AH262" s="868"/>
      <c r="AI262" s="868"/>
      <c r="AJ262" s="868"/>
      <c r="AK262" s="868"/>
      <c r="AL262" s="868"/>
      <c r="AM262" s="868">
        <f>UnosNovoZaposl!G252</f>
        <v>0</v>
      </c>
      <c r="AN262" s="868"/>
      <c r="AO262" s="868"/>
      <c r="AP262" s="868"/>
      <c r="AQ262" s="868"/>
      <c r="AR262" s="868"/>
      <c r="AS262" s="868">
        <f t="shared" si="5"/>
        <v>0</v>
      </c>
      <c r="AT262" s="868"/>
      <c r="AU262" s="868"/>
      <c r="AV262" s="868"/>
      <c r="AW262" s="868"/>
      <c r="AX262" s="868"/>
    </row>
    <row r="263" s="687" customFormat="1" ht="15" hidden="1" customHeight="1" spans="1:50">
      <c r="A263" s="745"/>
      <c r="B263" s="754" t="s">
        <v>5873</v>
      </c>
      <c r="C263" s="864">
        <f>UnosNovoZaposl!C253</f>
        <v>0</v>
      </c>
      <c r="D263" s="864"/>
      <c r="E263" s="864"/>
      <c r="F263" s="864"/>
      <c r="G263" s="864"/>
      <c r="H263" s="864"/>
      <c r="I263" s="864"/>
      <c r="J263" s="864"/>
      <c r="K263" s="864"/>
      <c r="L263" s="864"/>
      <c r="M263" s="864"/>
      <c r="N263" s="864">
        <f>UnosNovoZaposl!D253</f>
        <v>0</v>
      </c>
      <c r="O263" s="864"/>
      <c r="P263" s="864"/>
      <c r="Q263" s="864"/>
      <c r="R263" s="864"/>
      <c r="S263" s="864"/>
      <c r="T263" s="864"/>
      <c r="U263" s="868">
        <f>UnosNovoZaposl!E253</f>
        <v>0</v>
      </c>
      <c r="V263" s="868"/>
      <c r="W263" s="868"/>
      <c r="X263" s="868"/>
      <c r="Y263" s="868"/>
      <c r="Z263" s="868"/>
      <c r="AA263" s="868">
        <f>UnosNovoZaposl!B253</f>
        <v>0</v>
      </c>
      <c r="AB263" s="868"/>
      <c r="AC263" s="868"/>
      <c r="AD263" s="868"/>
      <c r="AE263" s="868"/>
      <c r="AF263" s="868"/>
      <c r="AG263" s="868">
        <f>UnosNovoZaposl!F253</f>
        <v>0</v>
      </c>
      <c r="AH263" s="868"/>
      <c r="AI263" s="868"/>
      <c r="AJ263" s="868"/>
      <c r="AK263" s="868"/>
      <c r="AL263" s="868"/>
      <c r="AM263" s="868">
        <f>UnosNovoZaposl!G253</f>
        <v>0</v>
      </c>
      <c r="AN263" s="868"/>
      <c r="AO263" s="868"/>
      <c r="AP263" s="868"/>
      <c r="AQ263" s="868"/>
      <c r="AR263" s="868"/>
      <c r="AS263" s="868">
        <f t="shared" si="5"/>
        <v>0</v>
      </c>
      <c r="AT263" s="868"/>
      <c r="AU263" s="868"/>
      <c r="AV263" s="868"/>
      <c r="AW263" s="868"/>
      <c r="AX263" s="868"/>
    </row>
    <row r="264" s="687" customFormat="1" ht="15" hidden="1" customHeight="1" spans="1:50">
      <c r="A264" s="745"/>
      <c r="B264" s="754" t="s">
        <v>5875</v>
      </c>
      <c r="C264" s="864">
        <f>UnosNovoZaposl!C254</f>
        <v>0</v>
      </c>
      <c r="D264" s="864"/>
      <c r="E264" s="864"/>
      <c r="F264" s="864"/>
      <c r="G264" s="864"/>
      <c r="H264" s="864"/>
      <c r="I264" s="864"/>
      <c r="J264" s="864"/>
      <c r="K264" s="864"/>
      <c r="L264" s="864"/>
      <c r="M264" s="864"/>
      <c r="N264" s="864">
        <f>UnosNovoZaposl!D254</f>
        <v>0</v>
      </c>
      <c r="O264" s="864"/>
      <c r="P264" s="864"/>
      <c r="Q264" s="864"/>
      <c r="R264" s="864"/>
      <c r="S264" s="864"/>
      <c r="T264" s="864"/>
      <c r="U264" s="868">
        <f>UnosNovoZaposl!E254</f>
        <v>0</v>
      </c>
      <c r="V264" s="868"/>
      <c r="W264" s="868"/>
      <c r="X264" s="868"/>
      <c r="Y264" s="868"/>
      <c r="Z264" s="868"/>
      <c r="AA264" s="868">
        <f>UnosNovoZaposl!B254</f>
        <v>0</v>
      </c>
      <c r="AB264" s="868"/>
      <c r="AC264" s="868"/>
      <c r="AD264" s="868"/>
      <c r="AE264" s="868"/>
      <c r="AF264" s="868"/>
      <c r="AG264" s="868">
        <f>UnosNovoZaposl!F254</f>
        <v>0</v>
      </c>
      <c r="AH264" s="868"/>
      <c r="AI264" s="868"/>
      <c r="AJ264" s="868"/>
      <c r="AK264" s="868"/>
      <c r="AL264" s="868"/>
      <c r="AM264" s="868">
        <f>UnosNovoZaposl!G254</f>
        <v>0</v>
      </c>
      <c r="AN264" s="868"/>
      <c r="AO264" s="868"/>
      <c r="AP264" s="868"/>
      <c r="AQ264" s="868"/>
      <c r="AR264" s="868"/>
      <c r="AS264" s="868">
        <f t="shared" si="5"/>
        <v>0</v>
      </c>
      <c r="AT264" s="868"/>
      <c r="AU264" s="868"/>
      <c r="AV264" s="868"/>
      <c r="AW264" s="868"/>
      <c r="AX264" s="868"/>
    </row>
    <row r="265" s="687" customFormat="1" ht="15" hidden="1" customHeight="1" spans="1:50">
      <c r="A265" s="745"/>
      <c r="B265" s="754" t="s">
        <v>5877</v>
      </c>
      <c r="C265" s="864">
        <f>UnosNovoZaposl!C255</f>
        <v>0</v>
      </c>
      <c r="D265" s="864"/>
      <c r="E265" s="864"/>
      <c r="F265" s="864"/>
      <c r="G265" s="864"/>
      <c r="H265" s="864"/>
      <c r="I265" s="864"/>
      <c r="J265" s="864"/>
      <c r="K265" s="864"/>
      <c r="L265" s="864"/>
      <c r="M265" s="864"/>
      <c r="N265" s="864">
        <f>UnosNovoZaposl!D255</f>
        <v>0</v>
      </c>
      <c r="O265" s="864"/>
      <c r="P265" s="864"/>
      <c r="Q265" s="864"/>
      <c r="R265" s="864"/>
      <c r="S265" s="864"/>
      <c r="T265" s="864"/>
      <c r="U265" s="868">
        <f>UnosNovoZaposl!E255</f>
        <v>0</v>
      </c>
      <c r="V265" s="868"/>
      <c r="W265" s="868"/>
      <c r="X265" s="868"/>
      <c r="Y265" s="868"/>
      <c r="Z265" s="868"/>
      <c r="AA265" s="868">
        <f>UnosNovoZaposl!B255</f>
        <v>0</v>
      </c>
      <c r="AB265" s="868"/>
      <c r="AC265" s="868"/>
      <c r="AD265" s="868"/>
      <c r="AE265" s="868"/>
      <c r="AF265" s="868"/>
      <c r="AG265" s="868">
        <f>UnosNovoZaposl!F255</f>
        <v>0</v>
      </c>
      <c r="AH265" s="868"/>
      <c r="AI265" s="868"/>
      <c r="AJ265" s="868"/>
      <c r="AK265" s="868"/>
      <c r="AL265" s="868"/>
      <c r="AM265" s="868">
        <f>UnosNovoZaposl!G255</f>
        <v>0</v>
      </c>
      <c r="AN265" s="868"/>
      <c r="AO265" s="868"/>
      <c r="AP265" s="868"/>
      <c r="AQ265" s="868"/>
      <c r="AR265" s="868"/>
      <c r="AS265" s="868">
        <f t="shared" si="5"/>
        <v>0</v>
      </c>
      <c r="AT265" s="868"/>
      <c r="AU265" s="868"/>
      <c r="AV265" s="868"/>
      <c r="AW265" s="868"/>
      <c r="AX265" s="868"/>
    </row>
    <row r="266" s="687" customFormat="1" ht="15" hidden="1" customHeight="1" spans="1:50">
      <c r="A266" s="745"/>
      <c r="B266" s="754" t="s">
        <v>5879</v>
      </c>
      <c r="C266" s="864">
        <f>UnosNovoZaposl!C256</f>
        <v>0</v>
      </c>
      <c r="D266" s="864"/>
      <c r="E266" s="864"/>
      <c r="F266" s="864"/>
      <c r="G266" s="864"/>
      <c r="H266" s="864"/>
      <c r="I266" s="864"/>
      <c r="J266" s="864"/>
      <c r="K266" s="864"/>
      <c r="L266" s="864"/>
      <c r="M266" s="864"/>
      <c r="N266" s="864">
        <f>UnosNovoZaposl!D256</f>
        <v>0</v>
      </c>
      <c r="O266" s="864"/>
      <c r="P266" s="864"/>
      <c r="Q266" s="864"/>
      <c r="R266" s="864"/>
      <c r="S266" s="864"/>
      <c r="T266" s="864"/>
      <c r="U266" s="868">
        <f>UnosNovoZaposl!E256</f>
        <v>0</v>
      </c>
      <c r="V266" s="868"/>
      <c r="W266" s="868"/>
      <c r="X266" s="868"/>
      <c r="Y266" s="868"/>
      <c r="Z266" s="868"/>
      <c r="AA266" s="868">
        <f>UnosNovoZaposl!B256</f>
        <v>0</v>
      </c>
      <c r="AB266" s="868"/>
      <c r="AC266" s="868"/>
      <c r="AD266" s="868"/>
      <c r="AE266" s="868"/>
      <c r="AF266" s="868"/>
      <c r="AG266" s="868">
        <f>UnosNovoZaposl!F256</f>
        <v>0</v>
      </c>
      <c r="AH266" s="868"/>
      <c r="AI266" s="868"/>
      <c r="AJ266" s="868"/>
      <c r="AK266" s="868"/>
      <c r="AL266" s="868"/>
      <c r="AM266" s="868">
        <f>UnosNovoZaposl!G256</f>
        <v>0</v>
      </c>
      <c r="AN266" s="868"/>
      <c r="AO266" s="868"/>
      <c r="AP266" s="868"/>
      <c r="AQ266" s="868"/>
      <c r="AR266" s="868"/>
      <c r="AS266" s="868">
        <f t="shared" si="5"/>
        <v>0</v>
      </c>
      <c r="AT266" s="868"/>
      <c r="AU266" s="868"/>
      <c r="AV266" s="868"/>
      <c r="AW266" s="868"/>
      <c r="AX266" s="868"/>
    </row>
    <row r="267" s="687" customFormat="1" ht="15" hidden="1" customHeight="1" spans="1:50">
      <c r="A267" s="745"/>
      <c r="B267" s="754" t="s">
        <v>5881</v>
      </c>
      <c r="C267" s="864">
        <f>UnosNovoZaposl!C257</f>
        <v>0</v>
      </c>
      <c r="D267" s="864"/>
      <c r="E267" s="864"/>
      <c r="F267" s="864"/>
      <c r="G267" s="864"/>
      <c r="H267" s="864"/>
      <c r="I267" s="864"/>
      <c r="J267" s="864"/>
      <c r="K267" s="864"/>
      <c r="L267" s="864"/>
      <c r="M267" s="864"/>
      <c r="N267" s="864">
        <f>UnosNovoZaposl!D257</f>
        <v>0</v>
      </c>
      <c r="O267" s="864"/>
      <c r="P267" s="864"/>
      <c r="Q267" s="864"/>
      <c r="R267" s="864"/>
      <c r="S267" s="864"/>
      <c r="T267" s="864"/>
      <c r="U267" s="868">
        <f>UnosNovoZaposl!E257</f>
        <v>0</v>
      </c>
      <c r="V267" s="868"/>
      <c r="W267" s="868"/>
      <c r="X267" s="868"/>
      <c r="Y267" s="868"/>
      <c r="Z267" s="868"/>
      <c r="AA267" s="868">
        <f>UnosNovoZaposl!B257</f>
        <v>0</v>
      </c>
      <c r="AB267" s="868"/>
      <c r="AC267" s="868"/>
      <c r="AD267" s="868"/>
      <c r="AE267" s="868"/>
      <c r="AF267" s="868"/>
      <c r="AG267" s="868">
        <f>UnosNovoZaposl!F257</f>
        <v>0</v>
      </c>
      <c r="AH267" s="868"/>
      <c r="AI267" s="868"/>
      <c r="AJ267" s="868"/>
      <c r="AK267" s="868"/>
      <c r="AL267" s="868"/>
      <c r="AM267" s="868">
        <f>UnosNovoZaposl!G257</f>
        <v>0</v>
      </c>
      <c r="AN267" s="868"/>
      <c r="AO267" s="868"/>
      <c r="AP267" s="868"/>
      <c r="AQ267" s="868"/>
      <c r="AR267" s="868"/>
      <c r="AS267" s="868">
        <f t="shared" si="5"/>
        <v>0</v>
      </c>
      <c r="AT267" s="868"/>
      <c r="AU267" s="868"/>
      <c r="AV267" s="868"/>
      <c r="AW267" s="868"/>
      <c r="AX267" s="868"/>
    </row>
    <row r="268" s="687" customFormat="1" ht="15" hidden="1" customHeight="1" spans="1:50">
      <c r="A268" s="745"/>
      <c r="B268" s="754" t="s">
        <v>5882</v>
      </c>
      <c r="C268" s="864">
        <f>UnosNovoZaposl!C258</f>
        <v>0</v>
      </c>
      <c r="D268" s="864"/>
      <c r="E268" s="864"/>
      <c r="F268" s="864"/>
      <c r="G268" s="864"/>
      <c r="H268" s="864"/>
      <c r="I268" s="864"/>
      <c r="J268" s="864"/>
      <c r="K268" s="864"/>
      <c r="L268" s="864"/>
      <c r="M268" s="864"/>
      <c r="N268" s="864">
        <f>UnosNovoZaposl!D258</f>
        <v>0</v>
      </c>
      <c r="O268" s="864"/>
      <c r="P268" s="864"/>
      <c r="Q268" s="864"/>
      <c r="R268" s="864"/>
      <c r="S268" s="864"/>
      <c r="T268" s="864"/>
      <c r="U268" s="868">
        <f>UnosNovoZaposl!E258</f>
        <v>0</v>
      </c>
      <c r="V268" s="868"/>
      <c r="W268" s="868"/>
      <c r="X268" s="868"/>
      <c r="Y268" s="868"/>
      <c r="Z268" s="868"/>
      <c r="AA268" s="868">
        <f>UnosNovoZaposl!B258</f>
        <v>0</v>
      </c>
      <c r="AB268" s="868"/>
      <c r="AC268" s="868"/>
      <c r="AD268" s="868"/>
      <c r="AE268" s="868"/>
      <c r="AF268" s="868"/>
      <c r="AG268" s="868">
        <f>UnosNovoZaposl!F258</f>
        <v>0</v>
      </c>
      <c r="AH268" s="868"/>
      <c r="AI268" s="868"/>
      <c r="AJ268" s="868"/>
      <c r="AK268" s="868"/>
      <c r="AL268" s="868"/>
      <c r="AM268" s="868">
        <f>UnosNovoZaposl!G258</f>
        <v>0</v>
      </c>
      <c r="AN268" s="868"/>
      <c r="AO268" s="868"/>
      <c r="AP268" s="868"/>
      <c r="AQ268" s="868"/>
      <c r="AR268" s="868"/>
      <c r="AS268" s="868">
        <f t="shared" si="5"/>
        <v>0</v>
      </c>
      <c r="AT268" s="868"/>
      <c r="AU268" s="868"/>
      <c r="AV268" s="868"/>
      <c r="AW268" s="868"/>
      <c r="AX268" s="868"/>
    </row>
    <row r="269" s="687" customFormat="1" ht="15" hidden="1" customHeight="1" spans="1:50">
      <c r="A269" s="745"/>
      <c r="B269" s="754" t="s">
        <v>5884</v>
      </c>
      <c r="C269" s="864">
        <f>UnosNovoZaposl!C259</f>
        <v>0</v>
      </c>
      <c r="D269" s="864"/>
      <c r="E269" s="864"/>
      <c r="F269" s="864"/>
      <c r="G269" s="864"/>
      <c r="H269" s="864"/>
      <c r="I269" s="864"/>
      <c r="J269" s="864"/>
      <c r="K269" s="864"/>
      <c r="L269" s="864"/>
      <c r="M269" s="864"/>
      <c r="N269" s="864">
        <f>UnosNovoZaposl!D259</f>
        <v>0</v>
      </c>
      <c r="O269" s="864"/>
      <c r="P269" s="864"/>
      <c r="Q269" s="864"/>
      <c r="R269" s="864"/>
      <c r="S269" s="864"/>
      <c r="T269" s="864"/>
      <c r="U269" s="868">
        <f>UnosNovoZaposl!E259</f>
        <v>0</v>
      </c>
      <c r="V269" s="868"/>
      <c r="W269" s="868"/>
      <c r="X269" s="868"/>
      <c r="Y269" s="868"/>
      <c r="Z269" s="868"/>
      <c r="AA269" s="868">
        <f>UnosNovoZaposl!B259</f>
        <v>0</v>
      </c>
      <c r="AB269" s="868"/>
      <c r="AC269" s="868"/>
      <c r="AD269" s="868"/>
      <c r="AE269" s="868"/>
      <c r="AF269" s="868"/>
      <c r="AG269" s="868">
        <f>UnosNovoZaposl!F259</f>
        <v>0</v>
      </c>
      <c r="AH269" s="868"/>
      <c r="AI269" s="868"/>
      <c r="AJ269" s="868"/>
      <c r="AK269" s="868"/>
      <c r="AL269" s="868"/>
      <c r="AM269" s="868">
        <f>UnosNovoZaposl!G259</f>
        <v>0</v>
      </c>
      <c r="AN269" s="868"/>
      <c r="AO269" s="868"/>
      <c r="AP269" s="868"/>
      <c r="AQ269" s="868"/>
      <c r="AR269" s="868"/>
      <c r="AS269" s="868">
        <f t="shared" si="5"/>
        <v>0</v>
      </c>
      <c r="AT269" s="868"/>
      <c r="AU269" s="868"/>
      <c r="AV269" s="868"/>
      <c r="AW269" s="868"/>
      <c r="AX269" s="868"/>
    </row>
    <row r="270" s="687" customFormat="1" ht="15" hidden="1" customHeight="1" spans="1:50">
      <c r="A270" s="745"/>
      <c r="B270" s="754" t="s">
        <v>5886</v>
      </c>
      <c r="C270" s="864">
        <f>UnosNovoZaposl!C260</f>
        <v>0</v>
      </c>
      <c r="D270" s="864"/>
      <c r="E270" s="864"/>
      <c r="F270" s="864"/>
      <c r="G270" s="864"/>
      <c r="H270" s="864"/>
      <c r="I270" s="864"/>
      <c r="J270" s="864"/>
      <c r="K270" s="864"/>
      <c r="L270" s="864"/>
      <c r="M270" s="864"/>
      <c r="N270" s="864">
        <f>UnosNovoZaposl!D260</f>
        <v>0</v>
      </c>
      <c r="O270" s="864"/>
      <c r="P270" s="864"/>
      <c r="Q270" s="864"/>
      <c r="R270" s="864"/>
      <c r="S270" s="864"/>
      <c r="T270" s="864"/>
      <c r="U270" s="868">
        <f>UnosNovoZaposl!E260</f>
        <v>0</v>
      </c>
      <c r="V270" s="868"/>
      <c r="W270" s="868"/>
      <c r="X270" s="868"/>
      <c r="Y270" s="868"/>
      <c r="Z270" s="868"/>
      <c r="AA270" s="868">
        <f>UnosNovoZaposl!B260</f>
        <v>0</v>
      </c>
      <c r="AB270" s="868"/>
      <c r="AC270" s="868"/>
      <c r="AD270" s="868"/>
      <c r="AE270" s="868"/>
      <c r="AF270" s="868"/>
      <c r="AG270" s="868">
        <f>UnosNovoZaposl!F260</f>
        <v>0</v>
      </c>
      <c r="AH270" s="868"/>
      <c r="AI270" s="868"/>
      <c r="AJ270" s="868"/>
      <c r="AK270" s="868"/>
      <c r="AL270" s="868"/>
      <c r="AM270" s="868">
        <f>UnosNovoZaposl!G260</f>
        <v>0</v>
      </c>
      <c r="AN270" s="868"/>
      <c r="AO270" s="868"/>
      <c r="AP270" s="868"/>
      <c r="AQ270" s="868"/>
      <c r="AR270" s="868"/>
      <c r="AS270" s="868">
        <f t="shared" si="5"/>
        <v>0</v>
      </c>
      <c r="AT270" s="868"/>
      <c r="AU270" s="868"/>
      <c r="AV270" s="868"/>
      <c r="AW270" s="868"/>
      <c r="AX270" s="868"/>
    </row>
    <row r="271" s="687" customFormat="1" ht="15" hidden="1" customHeight="1" spans="1:50">
      <c r="A271" s="745"/>
      <c r="B271" s="754" t="s">
        <v>5888</v>
      </c>
      <c r="C271" s="864">
        <f>UnosNovoZaposl!C261</f>
        <v>0</v>
      </c>
      <c r="D271" s="864"/>
      <c r="E271" s="864"/>
      <c r="F271" s="864"/>
      <c r="G271" s="864"/>
      <c r="H271" s="864"/>
      <c r="I271" s="864"/>
      <c r="J271" s="864"/>
      <c r="K271" s="864"/>
      <c r="L271" s="864"/>
      <c r="M271" s="864"/>
      <c r="N271" s="864">
        <f>UnosNovoZaposl!D261</f>
        <v>0</v>
      </c>
      <c r="O271" s="864"/>
      <c r="P271" s="864"/>
      <c r="Q271" s="864"/>
      <c r="R271" s="864"/>
      <c r="S271" s="864"/>
      <c r="T271" s="864"/>
      <c r="U271" s="868">
        <f>UnosNovoZaposl!E261</f>
        <v>0</v>
      </c>
      <c r="V271" s="868"/>
      <c r="W271" s="868"/>
      <c r="X271" s="868"/>
      <c r="Y271" s="868"/>
      <c r="Z271" s="868"/>
      <c r="AA271" s="868">
        <f>UnosNovoZaposl!B261</f>
        <v>0</v>
      </c>
      <c r="AB271" s="868"/>
      <c r="AC271" s="868"/>
      <c r="AD271" s="868"/>
      <c r="AE271" s="868"/>
      <c r="AF271" s="868"/>
      <c r="AG271" s="868">
        <f>UnosNovoZaposl!F261</f>
        <v>0</v>
      </c>
      <c r="AH271" s="868"/>
      <c r="AI271" s="868"/>
      <c r="AJ271" s="868"/>
      <c r="AK271" s="868"/>
      <c r="AL271" s="868"/>
      <c r="AM271" s="868">
        <f>UnosNovoZaposl!G261</f>
        <v>0</v>
      </c>
      <c r="AN271" s="868"/>
      <c r="AO271" s="868"/>
      <c r="AP271" s="868"/>
      <c r="AQ271" s="868"/>
      <c r="AR271" s="868"/>
      <c r="AS271" s="868">
        <f t="shared" si="5"/>
        <v>0</v>
      </c>
      <c r="AT271" s="868"/>
      <c r="AU271" s="868"/>
      <c r="AV271" s="868"/>
      <c r="AW271" s="868"/>
      <c r="AX271" s="868"/>
    </row>
    <row r="272" s="687" customFormat="1" ht="15" hidden="1" customHeight="1" spans="1:50">
      <c r="A272" s="745"/>
      <c r="B272" s="754" t="s">
        <v>5890</v>
      </c>
      <c r="C272" s="864">
        <f>UnosNovoZaposl!C262</f>
        <v>0</v>
      </c>
      <c r="D272" s="864"/>
      <c r="E272" s="864"/>
      <c r="F272" s="864"/>
      <c r="G272" s="864"/>
      <c r="H272" s="864"/>
      <c r="I272" s="864"/>
      <c r="J272" s="864"/>
      <c r="K272" s="864"/>
      <c r="L272" s="864"/>
      <c r="M272" s="864"/>
      <c r="N272" s="864">
        <f>UnosNovoZaposl!D262</f>
        <v>0</v>
      </c>
      <c r="O272" s="864"/>
      <c r="P272" s="864"/>
      <c r="Q272" s="864"/>
      <c r="R272" s="864"/>
      <c r="S272" s="864"/>
      <c r="T272" s="864"/>
      <c r="U272" s="868">
        <f>UnosNovoZaposl!E262</f>
        <v>0</v>
      </c>
      <c r="V272" s="868"/>
      <c r="W272" s="868"/>
      <c r="X272" s="868"/>
      <c r="Y272" s="868"/>
      <c r="Z272" s="868"/>
      <c r="AA272" s="868">
        <f>UnosNovoZaposl!B262</f>
        <v>0</v>
      </c>
      <c r="AB272" s="868"/>
      <c r="AC272" s="868"/>
      <c r="AD272" s="868"/>
      <c r="AE272" s="868"/>
      <c r="AF272" s="868"/>
      <c r="AG272" s="868">
        <f>UnosNovoZaposl!F262</f>
        <v>0</v>
      </c>
      <c r="AH272" s="868"/>
      <c r="AI272" s="868"/>
      <c r="AJ272" s="868"/>
      <c r="AK272" s="868"/>
      <c r="AL272" s="868"/>
      <c r="AM272" s="868">
        <f>UnosNovoZaposl!G262</f>
        <v>0</v>
      </c>
      <c r="AN272" s="868"/>
      <c r="AO272" s="868"/>
      <c r="AP272" s="868"/>
      <c r="AQ272" s="868"/>
      <c r="AR272" s="868"/>
      <c r="AS272" s="868">
        <f t="shared" si="5"/>
        <v>0</v>
      </c>
      <c r="AT272" s="868"/>
      <c r="AU272" s="868"/>
      <c r="AV272" s="868"/>
      <c r="AW272" s="868"/>
      <c r="AX272" s="868"/>
    </row>
    <row r="273" s="687" customFormat="1" ht="15" hidden="1" customHeight="1" spans="1:50">
      <c r="A273" s="745"/>
      <c r="B273" s="754" t="s">
        <v>5892</v>
      </c>
      <c r="C273" s="864">
        <f>UnosNovoZaposl!C263</f>
        <v>0</v>
      </c>
      <c r="D273" s="864"/>
      <c r="E273" s="864"/>
      <c r="F273" s="864"/>
      <c r="G273" s="864"/>
      <c r="H273" s="864"/>
      <c r="I273" s="864"/>
      <c r="J273" s="864"/>
      <c r="K273" s="864"/>
      <c r="L273" s="864"/>
      <c r="M273" s="864"/>
      <c r="N273" s="864">
        <f>UnosNovoZaposl!D263</f>
        <v>0</v>
      </c>
      <c r="O273" s="864"/>
      <c r="P273" s="864"/>
      <c r="Q273" s="864"/>
      <c r="R273" s="864"/>
      <c r="S273" s="864"/>
      <c r="T273" s="864"/>
      <c r="U273" s="868">
        <f>UnosNovoZaposl!E263</f>
        <v>0</v>
      </c>
      <c r="V273" s="868"/>
      <c r="W273" s="868"/>
      <c r="X273" s="868"/>
      <c r="Y273" s="868"/>
      <c r="Z273" s="868"/>
      <c r="AA273" s="868">
        <f>UnosNovoZaposl!B263</f>
        <v>0</v>
      </c>
      <c r="AB273" s="868"/>
      <c r="AC273" s="868"/>
      <c r="AD273" s="868"/>
      <c r="AE273" s="868"/>
      <c r="AF273" s="868"/>
      <c r="AG273" s="868">
        <f>UnosNovoZaposl!F263</f>
        <v>0</v>
      </c>
      <c r="AH273" s="868"/>
      <c r="AI273" s="868"/>
      <c r="AJ273" s="868"/>
      <c r="AK273" s="868"/>
      <c r="AL273" s="868"/>
      <c r="AM273" s="868">
        <f>UnosNovoZaposl!G263</f>
        <v>0</v>
      </c>
      <c r="AN273" s="868"/>
      <c r="AO273" s="868"/>
      <c r="AP273" s="868"/>
      <c r="AQ273" s="868"/>
      <c r="AR273" s="868"/>
      <c r="AS273" s="868">
        <f t="shared" si="5"/>
        <v>0</v>
      </c>
      <c r="AT273" s="868"/>
      <c r="AU273" s="868"/>
      <c r="AV273" s="868"/>
      <c r="AW273" s="868"/>
      <c r="AX273" s="868"/>
    </row>
    <row r="274" s="687" customFormat="1" ht="15" hidden="1" customHeight="1" spans="1:50">
      <c r="A274" s="745"/>
      <c r="B274" s="754" t="s">
        <v>5894</v>
      </c>
      <c r="C274" s="864">
        <f>UnosNovoZaposl!C264</f>
        <v>0</v>
      </c>
      <c r="D274" s="864"/>
      <c r="E274" s="864"/>
      <c r="F274" s="864"/>
      <c r="G274" s="864"/>
      <c r="H274" s="864"/>
      <c r="I274" s="864"/>
      <c r="J274" s="864"/>
      <c r="K274" s="864"/>
      <c r="L274" s="864"/>
      <c r="M274" s="864"/>
      <c r="N274" s="864">
        <f>UnosNovoZaposl!D264</f>
        <v>0</v>
      </c>
      <c r="O274" s="864"/>
      <c r="P274" s="864"/>
      <c r="Q274" s="864"/>
      <c r="R274" s="864"/>
      <c r="S274" s="864"/>
      <c r="T274" s="864"/>
      <c r="U274" s="868">
        <f>UnosNovoZaposl!E264</f>
        <v>0</v>
      </c>
      <c r="V274" s="868"/>
      <c r="W274" s="868"/>
      <c r="X274" s="868"/>
      <c r="Y274" s="868"/>
      <c r="Z274" s="868"/>
      <c r="AA274" s="868">
        <f>UnosNovoZaposl!B264</f>
        <v>0</v>
      </c>
      <c r="AB274" s="868"/>
      <c r="AC274" s="868"/>
      <c r="AD274" s="868"/>
      <c r="AE274" s="868"/>
      <c r="AF274" s="868"/>
      <c r="AG274" s="868">
        <f>UnosNovoZaposl!F264</f>
        <v>0</v>
      </c>
      <c r="AH274" s="868"/>
      <c r="AI274" s="868"/>
      <c r="AJ274" s="868"/>
      <c r="AK274" s="868"/>
      <c r="AL274" s="868"/>
      <c r="AM274" s="868">
        <f>UnosNovoZaposl!G264</f>
        <v>0</v>
      </c>
      <c r="AN274" s="868"/>
      <c r="AO274" s="868"/>
      <c r="AP274" s="868"/>
      <c r="AQ274" s="868"/>
      <c r="AR274" s="868"/>
      <c r="AS274" s="868">
        <f t="shared" si="5"/>
        <v>0</v>
      </c>
      <c r="AT274" s="868"/>
      <c r="AU274" s="868"/>
      <c r="AV274" s="868"/>
      <c r="AW274" s="868"/>
      <c r="AX274" s="868"/>
    </row>
    <row r="275" s="687" customFormat="1" ht="15" hidden="1" customHeight="1" spans="1:50">
      <c r="A275" s="745"/>
      <c r="B275" s="754" t="s">
        <v>5896</v>
      </c>
      <c r="C275" s="864">
        <f>UnosNovoZaposl!C265</f>
        <v>0</v>
      </c>
      <c r="D275" s="864"/>
      <c r="E275" s="864"/>
      <c r="F275" s="864"/>
      <c r="G275" s="864"/>
      <c r="H275" s="864"/>
      <c r="I275" s="864"/>
      <c r="J275" s="864"/>
      <c r="K275" s="864"/>
      <c r="L275" s="864"/>
      <c r="M275" s="864"/>
      <c r="N275" s="864">
        <f>UnosNovoZaposl!D265</f>
        <v>0</v>
      </c>
      <c r="O275" s="864"/>
      <c r="P275" s="864"/>
      <c r="Q275" s="864"/>
      <c r="R275" s="864"/>
      <c r="S275" s="864"/>
      <c r="T275" s="864"/>
      <c r="U275" s="868">
        <f>UnosNovoZaposl!E265</f>
        <v>0</v>
      </c>
      <c r="V275" s="868"/>
      <c r="W275" s="868"/>
      <c r="X275" s="868"/>
      <c r="Y275" s="868"/>
      <c r="Z275" s="868"/>
      <c r="AA275" s="868">
        <f>UnosNovoZaposl!B265</f>
        <v>0</v>
      </c>
      <c r="AB275" s="868"/>
      <c r="AC275" s="868"/>
      <c r="AD275" s="868"/>
      <c r="AE275" s="868"/>
      <c r="AF275" s="868"/>
      <c r="AG275" s="868">
        <f>UnosNovoZaposl!F265</f>
        <v>0</v>
      </c>
      <c r="AH275" s="868"/>
      <c r="AI275" s="868"/>
      <c r="AJ275" s="868"/>
      <c r="AK275" s="868"/>
      <c r="AL275" s="868"/>
      <c r="AM275" s="868">
        <f>UnosNovoZaposl!G265</f>
        <v>0</v>
      </c>
      <c r="AN275" s="868"/>
      <c r="AO275" s="868"/>
      <c r="AP275" s="868"/>
      <c r="AQ275" s="868"/>
      <c r="AR275" s="868"/>
      <c r="AS275" s="868">
        <f t="shared" si="5"/>
        <v>0</v>
      </c>
      <c r="AT275" s="868"/>
      <c r="AU275" s="868"/>
      <c r="AV275" s="868"/>
      <c r="AW275" s="868"/>
      <c r="AX275" s="868"/>
    </row>
    <row r="276" s="687" customFormat="1" ht="15" hidden="1" customHeight="1" spans="1:50">
      <c r="A276" s="745"/>
      <c r="B276" s="754" t="s">
        <v>5898</v>
      </c>
      <c r="C276" s="864">
        <f>UnosNovoZaposl!C266</f>
        <v>0</v>
      </c>
      <c r="D276" s="864"/>
      <c r="E276" s="864"/>
      <c r="F276" s="864"/>
      <c r="G276" s="864"/>
      <c r="H276" s="864"/>
      <c r="I276" s="864"/>
      <c r="J276" s="864"/>
      <c r="K276" s="864"/>
      <c r="L276" s="864"/>
      <c r="M276" s="864"/>
      <c r="N276" s="864">
        <f>UnosNovoZaposl!D266</f>
        <v>0</v>
      </c>
      <c r="O276" s="864"/>
      <c r="P276" s="864"/>
      <c r="Q276" s="864"/>
      <c r="R276" s="864"/>
      <c r="S276" s="864"/>
      <c r="T276" s="864"/>
      <c r="U276" s="868">
        <f>UnosNovoZaposl!E266</f>
        <v>0</v>
      </c>
      <c r="V276" s="868"/>
      <c r="W276" s="868"/>
      <c r="X276" s="868"/>
      <c r="Y276" s="868"/>
      <c r="Z276" s="868"/>
      <c r="AA276" s="868">
        <f>UnosNovoZaposl!B266</f>
        <v>0</v>
      </c>
      <c r="AB276" s="868"/>
      <c r="AC276" s="868"/>
      <c r="AD276" s="868"/>
      <c r="AE276" s="868"/>
      <c r="AF276" s="868"/>
      <c r="AG276" s="868">
        <f>UnosNovoZaposl!F266</f>
        <v>0</v>
      </c>
      <c r="AH276" s="868"/>
      <c r="AI276" s="868"/>
      <c r="AJ276" s="868"/>
      <c r="AK276" s="868"/>
      <c r="AL276" s="868"/>
      <c r="AM276" s="868">
        <f>UnosNovoZaposl!G266</f>
        <v>0</v>
      </c>
      <c r="AN276" s="868"/>
      <c r="AO276" s="868"/>
      <c r="AP276" s="868"/>
      <c r="AQ276" s="868"/>
      <c r="AR276" s="868"/>
      <c r="AS276" s="868">
        <f t="shared" si="5"/>
        <v>0</v>
      </c>
      <c r="AT276" s="868"/>
      <c r="AU276" s="868"/>
      <c r="AV276" s="868"/>
      <c r="AW276" s="868"/>
      <c r="AX276" s="868"/>
    </row>
    <row r="277" s="687" customFormat="1" ht="15" hidden="1" customHeight="1" spans="1:50">
      <c r="A277" s="745"/>
      <c r="B277" s="754" t="s">
        <v>5900</v>
      </c>
      <c r="C277" s="864">
        <f>UnosNovoZaposl!C267</f>
        <v>0</v>
      </c>
      <c r="D277" s="864"/>
      <c r="E277" s="864"/>
      <c r="F277" s="864"/>
      <c r="G277" s="864"/>
      <c r="H277" s="864"/>
      <c r="I277" s="864"/>
      <c r="J277" s="864"/>
      <c r="K277" s="864"/>
      <c r="L277" s="864"/>
      <c r="M277" s="864"/>
      <c r="N277" s="864">
        <f>UnosNovoZaposl!D267</f>
        <v>0</v>
      </c>
      <c r="O277" s="864"/>
      <c r="P277" s="864"/>
      <c r="Q277" s="864"/>
      <c r="R277" s="864"/>
      <c r="S277" s="864"/>
      <c r="T277" s="864"/>
      <c r="U277" s="868">
        <f>UnosNovoZaposl!E267</f>
        <v>0</v>
      </c>
      <c r="V277" s="868"/>
      <c r="W277" s="868"/>
      <c r="X277" s="868"/>
      <c r="Y277" s="868"/>
      <c r="Z277" s="868"/>
      <c r="AA277" s="868">
        <f>UnosNovoZaposl!B267</f>
        <v>0</v>
      </c>
      <c r="AB277" s="868"/>
      <c r="AC277" s="868"/>
      <c r="AD277" s="868"/>
      <c r="AE277" s="868"/>
      <c r="AF277" s="868"/>
      <c r="AG277" s="868">
        <f>UnosNovoZaposl!F267</f>
        <v>0</v>
      </c>
      <c r="AH277" s="868"/>
      <c r="AI277" s="868"/>
      <c r="AJ277" s="868"/>
      <c r="AK277" s="868"/>
      <c r="AL277" s="868"/>
      <c r="AM277" s="868">
        <f>UnosNovoZaposl!G267</f>
        <v>0</v>
      </c>
      <c r="AN277" s="868"/>
      <c r="AO277" s="868"/>
      <c r="AP277" s="868"/>
      <c r="AQ277" s="868"/>
      <c r="AR277" s="868"/>
      <c r="AS277" s="868">
        <f t="shared" si="5"/>
        <v>0</v>
      </c>
      <c r="AT277" s="868"/>
      <c r="AU277" s="868"/>
      <c r="AV277" s="868"/>
      <c r="AW277" s="868"/>
      <c r="AX277" s="868"/>
    </row>
    <row r="278" s="687" customFormat="1" ht="15" hidden="1" customHeight="1" spans="1:50">
      <c r="A278" s="745"/>
      <c r="B278" s="754" t="s">
        <v>5902</v>
      </c>
      <c r="C278" s="864">
        <f>UnosNovoZaposl!C268</f>
        <v>0</v>
      </c>
      <c r="D278" s="864"/>
      <c r="E278" s="864"/>
      <c r="F278" s="864"/>
      <c r="G278" s="864"/>
      <c r="H278" s="864"/>
      <c r="I278" s="864"/>
      <c r="J278" s="864"/>
      <c r="K278" s="864"/>
      <c r="L278" s="864"/>
      <c r="M278" s="864"/>
      <c r="N278" s="864">
        <f>UnosNovoZaposl!D268</f>
        <v>0</v>
      </c>
      <c r="O278" s="864"/>
      <c r="P278" s="864"/>
      <c r="Q278" s="864"/>
      <c r="R278" s="864"/>
      <c r="S278" s="864"/>
      <c r="T278" s="864"/>
      <c r="U278" s="868">
        <f>UnosNovoZaposl!E268</f>
        <v>0</v>
      </c>
      <c r="V278" s="868"/>
      <c r="W278" s="868"/>
      <c r="X278" s="868"/>
      <c r="Y278" s="868"/>
      <c r="Z278" s="868"/>
      <c r="AA278" s="868">
        <f>UnosNovoZaposl!B268</f>
        <v>0</v>
      </c>
      <c r="AB278" s="868"/>
      <c r="AC278" s="868"/>
      <c r="AD278" s="868"/>
      <c r="AE278" s="868"/>
      <c r="AF278" s="868"/>
      <c r="AG278" s="868">
        <f>UnosNovoZaposl!F268</f>
        <v>0</v>
      </c>
      <c r="AH278" s="868"/>
      <c r="AI278" s="868"/>
      <c r="AJ278" s="868"/>
      <c r="AK278" s="868"/>
      <c r="AL278" s="868"/>
      <c r="AM278" s="868">
        <f>UnosNovoZaposl!G268</f>
        <v>0</v>
      </c>
      <c r="AN278" s="868"/>
      <c r="AO278" s="868"/>
      <c r="AP278" s="868"/>
      <c r="AQ278" s="868"/>
      <c r="AR278" s="868"/>
      <c r="AS278" s="868">
        <f t="shared" si="5"/>
        <v>0</v>
      </c>
      <c r="AT278" s="868"/>
      <c r="AU278" s="868"/>
      <c r="AV278" s="868"/>
      <c r="AW278" s="868"/>
      <c r="AX278" s="868"/>
    </row>
    <row r="279" s="687" customFormat="1" ht="15" hidden="1" customHeight="1" spans="1:50">
      <c r="A279" s="745"/>
      <c r="B279" s="754" t="s">
        <v>5904</v>
      </c>
      <c r="C279" s="864">
        <f>UnosNovoZaposl!C269</f>
        <v>0</v>
      </c>
      <c r="D279" s="864"/>
      <c r="E279" s="864"/>
      <c r="F279" s="864"/>
      <c r="G279" s="864"/>
      <c r="H279" s="864"/>
      <c r="I279" s="864"/>
      <c r="J279" s="864"/>
      <c r="K279" s="864"/>
      <c r="L279" s="864"/>
      <c r="M279" s="864"/>
      <c r="N279" s="864">
        <f>UnosNovoZaposl!D269</f>
        <v>0</v>
      </c>
      <c r="O279" s="864"/>
      <c r="P279" s="864"/>
      <c r="Q279" s="864"/>
      <c r="R279" s="864"/>
      <c r="S279" s="864"/>
      <c r="T279" s="864"/>
      <c r="U279" s="868">
        <f>UnosNovoZaposl!E269</f>
        <v>0</v>
      </c>
      <c r="V279" s="868"/>
      <c r="W279" s="868"/>
      <c r="X279" s="868"/>
      <c r="Y279" s="868"/>
      <c r="Z279" s="868"/>
      <c r="AA279" s="868">
        <f>UnosNovoZaposl!B269</f>
        <v>0</v>
      </c>
      <c r="AB279" s="868"/>
      <c r="AC279" s="868"/>
      <c r="AD279" s="868"/>
      <c r="AE279" s="868"/>
      <c r="AF279" s="868"/>
      <c r="AG279" s="868">
        <f>UnosNovoZaposl!F269</f>
        <v>0</v>
      </c>
      <c r="AH279" s="868"/>
      <c r="AI279" s="868"/>
      <c r="AJ279" s="868"/>
      <c r="AK279" s="868"/>
      <c r="AL279" s="868"/>
      <c r="AM279" s="868">
        <f>UnosNovoZaposl!G269</f>
        <v>0</v>
      </c>
      <c r="AN279" s="868"/>
      <c r="AO279" s="868"/>
      <c r="AP279" s="868"/>
      <c r="AQ279" s="868"/>
      <c r="AR279" s="868"/>
      <c r="AS279" s="868">
        <f t="shared" si="5"/>
        <v>0</v>
      </c>
      <c r="AT279" s="868"/>
      <c r="AU279" s="868"/>
      <c r="AV279" s="868"/>
      <c r="AW279" s="868"/>
      <c r="AX279" s="868"/>
    </row>
    <row r="280" s="687" customFormat="1" ht="15" hidden="1" customHeight="1" spans="1:50">
      <c r="A280" s="745"/>
      <c r="B280" s="754" t="s">
        <v>5908</v>
      </c>
      <c r="C280" s="864">
        <f>UnosNovoZaposl!C270</f>
        <v>0</v>
      </c>
      <c r="D280" s="864"/>
      <c r="E280" s="864"/>
      <c r="F280" s="864"/>
      <c r="G280" s="864"/>
      <c r="H280" s="864"/>
      <c r="I280" s="864"/>
      <c r="J280" s="864"/>
      <c r="K280" s="864"/>
      <c r="L280" s="864"/>
      <c r="M280" s="864"/>
      <c r="N280" s="864">
        <f>UnosNovoZaposl!D270</f>
        <v>0</v>
      </c>
      <c r="O280" s="864"/>
      <c r="P280" s="864"/>
      <c r="Q280" s="864"/>
      <c r="R280" s="864"/>
      <c r="S280" s="864"/>
      <c r="T280" s="864"/>
      <c r="U280" s="868">
        <f>UnosNovoZaposl!E270</f>
        <v>0</v>
      </c>
      <c r="V280" s="868"/>
      <c r="W280" s="868"/>
      <c r="X280" s="868"/>
      <c r="Y280" s="868"/>
      <c r="Z280" s="868"/>
      <c r="AA280" s="868">
        <f>UnosNovoZaposl!B270</f>
        <v>0</v>
      </c>
      <c r="AB280" s="868"/>
      <c r="AC280" s="868"/>
      <c r="AD280" s="868"/>
      <c r="AE280" s="868"/>
      <c r="AF280" s="868"/>
      <c r="AG280" s="868">
        <f>UnosNovoZaposl!F270</f>
        <v>0</v>
      </c>
      <c r="AH280" s="868"/>
      <c r="AI280" s="868"/>
      <c r="AJ280" s="868"/>
      <c r="AK280" s="868"/>
      <c r="AL280" s="868"/>
      <c r="AM280" s="868">
        <f>UnosNovoZaposl!G270</f>
        <v>0</v>
      </c>
      <c r="AN280" s="868"/>
      <c r="AO280" s="868"/>
      <c r="AP280" s="868"/>
      <c r="AQ280" s="868"/>
      <c r="AR280" s="868"/>
      <c r="AS280" s="868">
        <f t="shared" si="5"/>
        <v>0</v>
      </c>
      <c r="AT280" s="868"/>
      <c r="AU280" s="868"/>
      <c r="AV280" s="868"/>
      <c r="AW280" s="868"/>
      <c r="AX280" s="868"/>
    </row>
    <row r="281" s="687" customFormat="1" ht="15" hidden="1" customHeight="1" spans="1:50">
      <c r="A281" s="745"/>
      <c r="B281" s="754" t="s">
        <v>5910</v>
      </c>
      <c r="C281" s="864">
        <f>UnosNovoZaposl!C271</f>
        <v>0</v>
      </c>
      <c r="D281" s="864"/>
      <c r="E281" s="864"/>
      <c r="F281" s="864"/>
      <c r="G281" s="864"/>
      <c r="H281" s="864"/>
      <c r="I281" s="864"/>
      <c r="J281" s="864"/>
      <c r="K281" s="864"/>
      <c r="L281" s="864"/>
      <c r="M281" s="864"/>
      <c r="N281" s="864">
        <f>UnosNovoZaposl!D271</f>
        <v>0</v>
      </c>
      <c r="O281" s="864"/>
      <c r="P281" s="864"/>
      <c r="Q281" s="864"/>
      <c r="R281" s="864"/>
      <c r="S281" s="864"/>
      <c r="T281" s="864"/>
      <c r="U281" s="868">
        <f>UnosNovoZaposl!E271</f>
        <v>0</v>
      </c>
      <c r="V281" s="868"/>
      <c r="W281" s="868"/>
      <c r="X281" s="868"/>
      <c r="Y281" s="868"/>
      <c r="Z281" s="868"/>
      <c r="AA281" s="868">
        <f>UnosNovoZaposl!B271</f>
        <v>0</v>
      </c>
      <c r="AB281" s="868"/>
      <c r="AC281" s="868"/>
      <c r="AD281" s="868"/>
      <c r="AE281" s="868"/>
      <c r="AF281" s="868"/>
      <c r="AG281" s="868">
        <f>UnosNovoZaposl!F271</f>
        <v>0</v>
      </c>
      <c r="AH281" s="868"/>
      <c r="AI281" s="868"/>
      <c r="AJ281" s="868"/>
      <c r="AK281" s="868"/>
      <c r="AL281" s="868"/>
      <c r="AM281" s="868">
        <f>UnosNovoZaposl!G271</f>
        <v>0</v>
      </c>
      <c r="AN281" s="868"/>
      <c r="AO281" s="868"/>
      <c r="AP281" s="868"/>
      <c r="AQ281" s="868"/>
      <c r="AR281" s="868"/>
      <c r="AS281" s="868">
        <f t="shared" si="5"/>
        <v>0</v>
      </c>
      <c r="AT281" s="868"/>
      <c r="AU281" s="868"/>
      <c r="AV281" s="868"/>
      <c r="AW281" s="868"/>
      <c r="AX281" s="868"/>
    </row>
    <row r="282" s="687" customFormat="1" ht="15" hidden="1" customHeight="1" spans="1:50">
      <c r="A282" s="745"/>
      <c r="B282" s="754" t="s">
        <v>5914</v>
      </c>
      <c r="C282" s="864">
        <f>UnosNovoZaposl!C272</f>
        <v>0</v>
      </c>
      <c r="D282" s="864"/>
      <c r="E282" s="864"/>
      <c r="F282" s="864"/>
      <c r="G282" s="864"/>
      <c r="H282" s="864"/>
      <c r="I282" s="864"/>
      <c r="J282" s="864"/>
      <c r="K282" s="864"/>
      <c r="L282" s="864"/>
      <c r="M282" s="864"/>
      <c r="N282" s="864">
        <f>UnosNovoZaposl!D272</f>
        <v>0</v>
      </c>
      <c r="O282" s="864"/>
      <c r="P282" s="864"/>
      <c r="Q282" s="864"/>
      <c r="R282" s="864"/>
      <c r="S282" s="864"/>
      <c r="T282" s="864"/>
      <c r="U282" s="868">
        <f>UnosNovoZaposl!E272</f>
        <v>0</v>
      </c>
      <c r="V282" s="868"/>
      <c r="W282" s="868"/>
      <c r="X282" s="868"/>
      <c r="Y282" s="868"/>
      <c r="Z282" s="868"/>
      <c r="AA282" s="868">
        <f>UnosNovoZaposl!B272</f>
        <v>0</v>
      </c>
      <c r="AB282" s="868"/>
      <c r="AC282" s="868"/>
      <c r="AD282" s="868"/>
      <c r="AE282" s="868"/>
      <c r="AF282" s="868"/>
      <c r="AG282" s="868">
        <f>UnosNovoZaposl!F272</f>
        <v>0</v>
      </c>
      <c r="AH282" s="868"/>
      <c r="AI282" s="868"/>
      <c r="AJ282" s="868"/>
      <c r="AK282" s="868"/>
      <c r="AL282" s="868"/>
      <c r="AM282" s="868">
        <f>UnosNovoZaposl!G272</f>
        <v>0</v>
      </c>
      <c r="AN282" s="868"/>
      <c r="AO282" s="868"/>
      <c r="AP282" s="868"/>
      <c r="AQ282" s="868"/>
      <c r="AR282" s="868"/>
      <c r="AS282" s="868">
        <f t="shared" si="5"/>
        <v>0</v>
      </c>
      <c r="AT282" s="868"/>
      <c r="AU282" s="868"/>
      <c r="AV282" s="868"/>
      <c r="AW282" s="868"/>
      <c r="AX282" s="868"/>
    </row>
    <row r="283" s="687" customFormat="1" ht="15" hidden="1" customHeight="1" spans="1:50">
      <c r="A283" s="745"/>
      <c r="B283" s="754" t="s">
        <v>5916</v>
      </c>
      <c r="C283" s="864">
        <f>UnosNovoZaposl!C273</f>
        <v>0</v>
      </c>
      <c r="D283" s="864"/>
      <c r="E283" s="864"/>
      <c r="F283" s="864"/>
      <c r="G283" s="864"/>
      <c r="H283" s="864"/>
      <c r="I283" s="864"/>
      <c r="J283" s="864"/>
      <c r="K283" s="864"/>
      <c r="L283" s="864"/>
      <c r="M283" s="864"/>
      <c r="N283" s="864">
        <f>UnosNovoZaposl!D273</f>
        <v>0</v>
      </c>
      <c r="O283" s="864"/>
      <c r="P283" s="864"/>
      <c r="Q283" s="864"/>
      <c r="R283" s="864"/>
      <c r="S283" s="864"/>
      <c r="T283" s="864"/>
      <c r="U283" s="868">
        <f>UnosNovoZaposl!E273</f>
        <v>0</v>
      </c>
      <c r="V283" s="868"/>
      <c r="W283" s="868"/>
      <c r="X283" s="868"/>
      <c r="Y283" s="868"/>
      <c r="Z283" s="868"/>
      <c r="AA283" s="868">
        <f>UnosNovoZaposl!B273</f>
        <v>0</v>
      </c>
      <c r="AB283" s="868"/>
      <c r="AC283" s="868"/>
      <c r="AD283" s="868"/>
      <c r="AE283" s="868"/>
      <c r="AF283" s="868"/>
      <c r="AG283" s="868">
        <f>UnosNovoZaposl!F273</f>
        <v>0</v>
      </c>
      <c r="AH283" s="868"/>
      <c r="AI283" s="868"/>
      <c r="AJ283" s="868"/>
      <c r="AK283" s="868"/>
      <c r="AL283" s="868"/>
      <c r="AM283" s="868">
        <f>UnosNovoZaposl!G273</f>
        <v>0</v>
      </c>
      <c r="AN283" s="868"/>
      <c r="AO283" s="868"/>
      <c r="AP283" s="868"/>
      <c r="AQ283" s="868"/>
      <c r="AR283" s="868"/>
      <c r="AS283" s="868">
        <f t="shared" ref="AS283:AS346" si="6">AG283+AM283</f>
        <v>0</v>
      </c>
      <c r="AT283" s="868"/>
      <c r="AU283" s="868"/>
      <c r="AV283" s="868"/>
      <c r="AW283" s="868"/>
      <c r="AX283" s="868"/>
    </row>
    <row r="284" s="687" customFormat="1" ht="15" hidden="1" customHeight="1" spans="1:50">
      <c r="A284" s="745"/>
      <c r="B284" s="754" t="s">
        <v>5918</v>
      </c>
      <c r="C284" s="864">
        <f>UnosNovoZaposl!C274</f>
        <v>0</v>
      </c>
      <c r="D284" s="864"/>
      <c r="E284" s="864"/>
      <c r="F284" s="864"/>
      <c r="G284" s="864"/>
      <c r="H284" s="864"/>
      <c r="I284" s="864"/>
      <c r="J284" s="864"/>
      <c r="K284" s="864"/>
      <c r="L284" s="864"/>
      <c r="M284" s="864"/>
      <c r="N284" s="864">
        <f>UnosNovoZaposl!D274</f>
        <v>0</v>
      </c>
      <c r="O284" s="864"/>
      <c r="P284" s="864"/>
      <c r="Q284" s="864"/>
      <c r="R284" s="864"/>
      <c r="S284" s="864"/>
      <c r="T284" s="864"/>
      <c r="U284" s="868">
        <f>UnosNovoZaposl!E274</f>
        <v>0</v>
      </c>
      <c r="V284" s="868"/>
      <c r="W284" s="868"/>
      <c r="X284" s="868"/>
      <c r="Y284" s="868"/>
      <c r="Z284" s="868"/>
      <c r="AA284" s="868">
        <f>UnosNovoZaposl!B274</f>
        <v>0</v>
      </c>
      <c r="AB284" s="868"/>
      <c r="AC284" s="868"/>
      <c r="AD284" s="868"/>
      <c r="AE284" s="868"/>
      <c r="AF284" s="868"/>
      <c r="AG284" s="868">
        <f>UnosNovoZaposl!F274</f>
        <v>0</v>
      </c>
      <c r="AH284" s="868"/>
      <c r="AI284" s="868"/>
      <c r="AJ284" s="868"/>
      <c r="AK284" s="868"/>
      <c r="AL284" s="868"/>
      <c r="AM284" s="868">
        <f>UnosNovoZaposl!G274</f>
        <v>0</v>
      </c>
      <c r="AN284" s="868"/>
      <c r="AO284" s="868"/>
      <c r="AP284" s="868"/>
      <c r="AQ284" s="868"/>
      <c r="AR284" s="868"/>
      <c r="AS284" s="868">
        <f t="shared" si="6"/>
        <v>0</v>
      </c>
      <c r="AT284" s="868"/>
      <c r="AU284" s="868"/>
      <c r="AV284" s="868"/>
      <c r="AW284" s="868"/>
      <c r="AX284" s="868"/>
    </row>
    <row r="285" s="687" customFormat="1" ht="15" hidden="1" customHeight="1" spans="1:50">
      <c r="A285" s="745"/>
      <c r="B285" s="754" t="s">
        <v>5923</v>
      </c>
      <c r="C285" s="864">
        <f>UnosNovoZaposl!C275</f>
        <v>0</v>
      </c>
      <c r="D285" s="864"/>
      <c r="E285" s="864"/>
      <c r="F285" s="864"/>
      <c r="G285" s="864"/>
      <c r="H285" s="864"/>
      <c r="I285" s="864"/>
      <c r="J285" s="864"/>
      <c r="K285" s="864"/>
      <c r="L285" s="864"/>
      <c r="M285" s="864"/>
      <c r="N285" s="864">
        <f>UnosNovoZaposl!D275</f>
        <v>0</v>
      </c>
      <c r="O285" s="864"/>
      <c r="P285" s="864"/>
      <c r="Q285" s="864"/>
      <c r="R285" s="864"/>
      <c r="S285" s="864"/>
      <c r="T285" s="864"/>
      <c r="U285" s="868">
        <f>UnosNovoZaposl!E275</f>
        <v>0</v>
      </c>
      <c r="V285" s="868"/>
      <c r="W285" s="868"/>
      <c r="X285" s="868"/>
      <c r="Y285" s="868"/>
      <c r="Z285" s="868"/>
      <c r="AA285" s="868">
        <f>UnosNovoZaposl!B275</f>
        <v>0</v>
      </c>
      <c r="AB285" s="868"/>
      <c r="AC285" s="868"/>
      <c r="AD285" s="868"/>
      <c r="AE285" s="868"/>
      <c r="AF285" s="868"/>
      <c r="AG285" s="868">
        <f>UnosNovoZaposl!F275</f>
        <v>0</v>
      </c>
      <c r="AH285" s="868"/>
      <c r="AI285" s="868"/>
      <c r="AJ285" s="868"/>
      <c r="AK285" s="868"/>
      <c r="AL285" s="868"/>
      <c r="AM285" s="868">
        <f>UnosNovoZaposl!G275</f>
        <v>0</v>
      </c>
      <c r="AN285" s="868"/>
      <c r="AO285" s="868"/>
      <c r="AP285" s="868"/>
      <c r="AQ285" s="868"/>
      <c r="AR285" s="868"/>
      <c r="AS285" s="868">
        <f t="shared" si="6"/>
        <v>0</v>
      </c>
      <c r="AT285" s="868"/>
      <c r="AU285" s="868"/>
      <c r="AV285" s="868"/>
      <c r="AW285" s="868"/>
      <c r="AX285" s="868"/>
    </row>
    <row r="286" s="687" customFormat="1" ht="15" hidden="1" customHeight="1" spans="1:50">
      <c r="A286" s="745"/>
      <c r="B286" s="754" t="s">
        <v>5925</v>
      </c>
      <c r="C286" s="864">
        <f>UnosNovoZaposl!C276</f>
        <v>0</v>
      </c>
      <c r="D286" s="864"/>
      <c r="E286" s="864"/>
      <c r="F286" s="864"/>
      <c r="G286" s="864"/>
      <c r="H286" s="864"/>
      <c r="I286" s="864"/>
      <c r="J286" s="864"/>
      <c r="K286" s="864"/>
      <c r="L286" s="864"/>
      <c r="M286" s="864"/>
      <c r="N286" s="864">
        <f>UnosNovoZaposl!D276</f>
        <v>0</v>
      </c>
      <c r="O286" s="864"/>
      <c r="P286" s="864"/>
      <c r="Q286" s="864"/>
      <c r="R286" s="864"/>
      <c r="S286" s="864"/>
      <c r="T286" s="864"/>
      <c r="U286" s="868">
        <f>UnosNovoZaposl!E276</f>
        <v>0</v>
      </c>
      <c r="V286" s="868"/>
      <c r="W286" s="868"/>
      <c r="X286" s="868"/>
      <c r="Y286" s="868"/>
      <c r="Z286" s="868"/>
      <c r="AA286" s="868">
        <f>UnosNovoZaposl!B276</f>
        <v>0</v>
      </c>
      <c r="AB286" s="868"/>
      <c r="AC286" s="868"/>
      <c r="AD286" s="868"/>
      <c r="AE286" s="868"/>
      <c r="AF286" s="868"/>
      <c r="AG286" s="868">
        <f>UnosNovoZaposl!F276</f>
        <v>0</v>
      </c>
      <c r="AH286" s="868"/>
      <c r="AI286" s="868"/>
      <c r="AJ286" s="868"/>
      <c r="AK286" s="868"/>
      <c r="AL286" s="868"/>
      <c r="AM286" s="868">
        <f>UnosNovoZaposl!G276</f>
        <v>0</v>
      </c>
      <c r="AN286" s="868"/>
      <c r="AO286" s="868"/>
      <c r="AP286" s="868"/>
      <c r="AQ286" s="868"/>
      <c r="AR286" s="868"/>
      <c r="AS286" s="868">
        <f t="shared" si="6"/>
        <v>0</v>
      </c>
      <c r="AT286" s="868"/>
      <c r="AU286" s="868"/>
      <c r="AV286" s="868"/>
      <c r="AW286" s="868"/>
      <c r="AX286" s="868"/>
    </row>
    <row r="287" s="687" customFormat="1" ht="15" hidden="1" customHeight="1" spans="1:50">
      <c r="A287" s="745"/>
      <c r="B287" s="754" t="s">
        <v>5929</v>
      </c>
      <c r="C287" s="864">
        <f>UnosNovoZaposl!C277</f>
        <v>0</v>
      </c>
      <c r="D287" s="864"/>
      <c r="E287" s="864"/>
      <c r="F287" s="864"/>
      <c r="G287" s="864"/>
      <c r="H287" s="864"/>
      <c r="I287" s="864"/>
      <c r="J287" s="864"/>
      <c r="K287" s="864"/>
      <c r="L287" s="864"/>
      <c r="M287" s="864"/>
      <c r="N287" s="864">
        <f>UnosNovoZaposl!D277</f>
        <v>0</v>
      </c>
      <c r="O287" s="864"/>
      <c r="P287" s="864"/>
      <c r="Q287" s="864"/>
      <c r="R287" s="864"/>
      <c r="S287" s="864"/>
      <c r="T287" s="864"/>
      <c r="U287" s="868">
        <f>UnosNovoZaposl!E277</f>
        <v>0</v>
      </c>
      <c r="V287" s="868"/>
      <c r="W287" s="868"/>
      <c r="X287" s="868"/>
      <c r="Y287" s="868"/>
      <c r="Z287" s="868"/>
      <c r="AA287" s="868">
        <f>UnosNovoZaposl!B277</f>
        <v>0</v>
      </c>
      <c r="AB287" s="868"/>
      <c r="AC287" s="868"/>
      <c r="AD287" s="868"/>
      <c r="AE287" s="868"/>
      <c r="AF287" s="868"/>
      <c r="AG287" s="868">
        <f>UnosNovoZaposl!F277</f>
        <v>0</v>
      </c>
      <c r="AH287" s="868"/>
      <c r="AI287" s="868"/>
      <c r="AJ287" s="868"/>
      <c r="AK287" s="868"/>
      <c r="AL287" s="868"/>
      <c r="AM287" s="868">
        <f>UnosNovoZaposl!G277</f>
        <v>0</v>
      </c>
      <c r="AN287" s="868"/>
      <c r="AO287" s="868"/>
      <c r="AP287" s="868"/>
      <c r="AQ287" s="868"/>
      <c r="AR287" s="868"/>
      <c r="AS287" s="868">
        <f t="shared" si="6"/>
        <v>0</v>
      </c>
      <c r="AT287" s="868"/>
      <c r="AU287" s="868"/>
      <c r="AV287" s="868"/>
      <c r="AW287" s="868"/>
      <c r="AX287" s="868"/>
    </row>
    <row r="288" s="687" customFormat="1" ht="15" hidden="1" customHeight="1" spans="1:50">
      <c r="A288" s="745"/>
      <c r="B288" s="754" t="s">
        <v>5931</v>
      </c>
      <c r="C288" s="864">
        <f>UnosNovoZaposl!C278</f>
        <v>0</v>
      </c>
      <c r="D288" s="864"/>
      <c r="E288" s="864"/>
      <c r="F288" s="864"/>
      <c r="G288" s="864"/>
      <c r="H288" s="864"/>
      <c r="I288" s="864"/>
      <c r="J288" s="864"/>
      <c r="K288" s="864"/>
      <c r="L288" s="864"/>
      <c r="M288" s="864"/>
      <c r="N288" s="864">
        <f>UnosNovoZaposl!D278</f>
        <v>0</v>
      </c>
      <c r="O288" s="864"/>
      <c r="P288" s="864"/>
      <c r="Q288" s="864"/>
      <c r="R288" s="864"/>
      <c r="S288" s="864"/>
      <c r="T288" s="864"/>
      <c r="U288" s="868">
        <f>UnosNovoZaposl!E278</f>
        <v>0</v>
      </c>
      <c r="V288" s="868"/>
      <c r="W288" s="868"/>
      <c r="X288" s="868"/>
      <c r="Y288" s="868"/>
      <c r="Z288" s="868"/>
      <c r="AA288" s="868">
        <f>UnosNovoZaposl!B278</f>
        <v>0</v>
      </c>
      <c r="AB288" s="868"/>
      <c r="AC288" s="868"/>
      <c r="AD288" s="868"/>
      <c r="AE288" s="868"/>
      <c r="AF288" s="868"/>
      <c r="AG288" s="868">
        <f>UnosNovoZaposl!F278</f>
        <v>0</v>
      </c>
      <c r="AH288" s="868"/>
      <c r="AI288" s="868"/>
      <c r="AJ288" s="868"/>
      <c r="AK288" s="868"/>
      <c r="AL288" s="868"/>
      <c r="AM288" s="868">
        <f>UnosNovoZaposl!G278</f>
        <v>0</v>
      </c>
      <c r="AN288" s="868"/>
      <c r="AO288" s="868"/>
      <c r="AP288" s="868"/>
      <c r="AQ288" s="868"/>
      <c r="AR288" s="868"/>
      <c r="AS288" s="868">
        <f t="shared" si="6"/>
        <v>0</v>
      </c>
      <c r="AT288" s="868"/>
      <c r="AU288" s="868"/>
      <c r="AV288" s="868"/>
      <c r="AW288" s="868"/>
      <c r="AX288" s="868"/>
    </row>
    <row r="289" s="687" customFormat="1" ht="15" hidden="1" customHeight="1" spans="1:50">
      <c r="A289" s="745"/>
      <c r="B289" s="754" t="s">
        <v>5945</v>
      </c>
      <c r="C289" s="864">
        <f>UnosNovoZaposl!C279</f>
        <v>0</v>
      </c>
      <c r="D289" s="864"/>
      <c r="E289" s="864"/>
      <c r="F289" s="864"/>
      <c r="G289" s="864"/>
      <c r="H289" s="864"/>
      <c r="I289" s="864"/>
      <c r="J289" s="864"/>
      <c r="K289" s="864"/>
      <c r="L289" s="864"/>
      <c r="M289" s="864"/>
      <c r="N289" s="864">
        <f>UnosNovoZaposl!D279</f>
        <v>0</v>
      </c>
      <c r="O289" s="864"/>
      <c r="P289" s="864"/>
      <c r="Q289" s="864"/>
      <c r="R289" s="864"/>
      <c r="S289" s="864"/>
      <c r="T289" s="864"/>
      <c r="U289" s="868">
        <f>UnosNovoZaposl!E279</f>
        <v>0</v>
      </c>
      <c r="V289" s="868"/>
      <c r="W289" s="868"/>
      <c r="X289" s="868"/>
      <c r="Y289" s="868"/>
      <c r="Z289" s="868"/>
      <c r="AA289" s="868">
        <f>UnosNovoZaposl!B279</f>
        <v>0</v>
      </c>
      <c r="AB289" s="868"/>
      <c r="AC289" s="868"/>
      <c r="AD289" s="868"/>
      <c r="AE289" s="868"/>
      <c r="AF289" s="868"/>
      <c r="AG289" s="868">
        <f>UnosNovoZaposl!F279</f>
        <v>0</v>
      </c>
      <c r="AH289" s="868"/>
      <c r="AI289" s="868"/>
      <c r="AJ289" s="868"/>
      <c r="AK289" s="868"/>
      <c r="AL289" s="868"/>
      <c r="AM289" s="868">
        <f>UnosNovoZaposl!G279</f>
        <v>0</v>
      </c>
      <c r="AN289" s="868"/>
      <c r="AO289" s="868"/>
      <c r="AP289" s="868"/>
      <c r="AQ289" s="868"/>
      <c r="AR289" s="868"/>
      <c r="AS289" s="868">
        <f t="shared" si="6"/>
        <v>0</v>
      </c>
      <c r="AT289" s="868"/>
      <c r="AU289" s="868"/>
      <c r="AV289" s="868"/>
      <c r="AW289" s="868"/>
      <c r="AX289" s="868"/>
    </row>
    <row r="290" s="687" customFormat="1" ht="15" hidden="1" customHeight="1" spans="1:50">
      <c r="A290" s="745"/>
      <c r="B290" s="754" t="s">
        <v>5947</v>
      </c>
      <c r="C290" s="864">
        <f>UnosNovoZaposl!C280</f>
        <v>0</v>
      </c>
      <c r="D290" s="864"/>
      <c r="E290" s="864"/>
      <c r="F290" s="864"/>
      <c r="G290" s="864"/>
      <c r="H290" s="864"/>
      <c r="I290" s="864"/>
      <c r="J290" s="864"/>
      <c r="K290" s="864"/>
      <c r="L290" s="864"/>
      <c r="M290" s="864"/>
      <c r="N290" s="864">
        <f>UnosNovoZaposl!D280</f>
        <v>0</v>
      </c>
      <c r="O290" s="864"/>
      <c r="P290" s="864"/>
      <c r="Q290" s="864"/>
      <c r="R290" s="864"/>
      <c r="S290" s="864"/>
      <c r="T290" s="864"/>
      <c r="U290" s="868">
        <f>UnosNovoZaposl!E280</f>
        <v>0</v>
      </c>
      <c r="V290" s="868"/>
      <c r="W290" s="868"/>
      <c r="X290" s="868"/>
      <c r="Y290" s="868"/>
      <c r="Z290" s="868"/>
      <c r="AA290" s="868">
        <f>UnosNovoZaposl!B280</f>
        <v>0</v>
      </c>
      <c r="AB290" s="868"/>
      <c r="AC290" s="868"/>
      <c r="AD290" s="868"/>
      <c r="AE290" s="868"/>
      <c r="AF290" s="868"/>
      <c r="AG290" s="868">
        <f>UnosNovoZaposl!F280</f>
        <v>0</v>
      </c>
      <c r="AH290" s="868"/>
      <c r="AI290" s="868"/>
      <c r="AJ290" s="868"/>
      <c r="AK290" s="868"/>
      <c r="AL290" s="868"/>
      <c r="AM290" s="868">
        <f>UnosNovoZaposl!G280</f>
        <v>0</v>
      </c>
      <c r="AN290" s="868"/>
      <c r="AO290" s="868"/>
      <c r="AP290" s="868"/>
      <c r="AQ290" s="868"/>
      <c r="AR290" s="868"/>
      <c r="AS290" s="868">
        <f t="shared" si="6"/>
        <v>0</v>
      </c>
      <c r="AT290" s="868"/>
      <c r="AU290" s="868"/>
      <c r="AV290" s="868"/>
      <c r="AW290" s="868"/>
      <c r="AX290" s="868"/>
    </row>
    <row r="291" s="687" customFormat="1" ht="15" hidden="1" customHeight="1" spans="1:50">
      <c r="A291" s="745"/>
      <c r="B291" s="754" t="s">
        <v>5951</v>
      </c>
      <c r="C291" s="864">
        <f>UnosNovoZaposl!C281</f>
        <v>0</v>
      </c>
      <c r="D291" s="864"/>
      <c r="E291" s="864"/>
      <c r="F291" s="864"/>
      <c r="G291" s="864"/>
      <c r="H291" s="864"/>
      <c r="I291" s="864"/>
      <c r="J291" s="864"/>
      <c r="K291" s="864"/>
      <c r="L291" s="864"/>
      <c r="M291" s="864"/>
      <c r="N291" s="864">
        <f>UnosNovoZaposl!D281</f>
        <v>0</v>
      </c>
      <c r="O291" s="864"/>
      <c r="P291" s="864"/>
      <c r="Q291" s="864"/>
      <c r="R291" s="864"/>
      <c r="S291" s="864"/>
      <c r="T291" s="864"/>
      <c r="U291" s="868">
        <f>UnosNovoZaposl!E281</f>
        <v>0</v>
      </c>
      <c r="V291" s="868"/>
      <c r="W291" s="868"/>
      <c r="X291" s="868"/>
      <c r="Y291" s="868"/>
      <c r="Z291" s="868"/>
      <c r="AA291" s="868">
        <f>UnosNovoZaposl!B281</f>
        <v>0</v>
      </c>
      <c r="AB291" s="868"/>
      <c r="AC291" s="868"/>
      <c r="AD291" s="868"/>
      <c r="AE291" s="868"/>
      <c r="AF291" s="868"/>
      <c r="AG291" s="868">
        <f>UnosNovoZaposl!F281</f>
        <v>0</v>
      </c>
      <c r="AH291" s="868"/>
      <c r="AI291" s="868"/>
      <c r="AJ291" s="868"/>
      <c r="AK291" s="868"/>
      <c r="AL291" s="868"/>
      <c r="AM291" s="868">
        <f>UnosNovoZaposl!G281</f>
        <v>0</v>
      </c>
      <c r="AN291" s="868"/>
      <c r="AO291" s="868"/>
      <c r="AP291" s="868"/>
      <c r="AQ291" s="868"/>
      <c r="AR291" s="868"/>
      <c r="AS291" s="868">
        <f t="shared" si="6"/>
        <v>0</v>
      </c>
      <c r="AT291" s="868"/>
      <c r="AU291" s="868"/>
      <c r="AV291" s="868"/>
      <c r="AW291" s="868"/>
      <c r="AX291" s="868"/>
    </row>
    <row r="292" s="687" customFormat="1" ht="15" hidden="1" customHeight="1" spans="1:50">
      <c r="A292" s="745"/>
      <c r="B292" s="754" t="s">
        <v>5953</v>
      </c>
      <c r="C292" s="864">
        <f>UnosNovoZaposl!C282</f>
        <v>0</v>
      </c>
      <c r="D292" s="864"/>
      <c r="E292" s="864"/>
      <c r="F292" s="864"/>
      <c r="G292" s="864"/>
      <c r="H292" s="864"/>
      <c r="I292" s="864"/>
      <c r="J292" s="864"/>
      <c r="K292" s="864"/>
      <c r="L292" s="864"/>
      <c r="M292" s="864"/>
      <c r="N292" s="864">
        <f>UnosNovoZaposl!D282</f>
        <v>0</v>
      </c>
      <c r="O292" s="864"/>
      <c r="P292" s="864"/>
      <c r="Q292" s="864"/>
      <c r="R292" s="864"/>
      <c r="S292" s="864"/>
      <c r="T292" s="864"/>
      <c r="U292" s="868">
        <f>UnosNovoZaposl!E282</f>
        <v>0</v>
      </c>
      <c r="V292" s="868"/>
      <c r="W292" s="868"/>
      <c r="X292" s="868"/>
      <c r="Y292" s="868"/>
      <c r="Z292" s="868"/>
      <c r="AA292" s="868">
        <f>UnosNovoZaposl!B282</f>
        <v>0</v>
      </c>
      <c r="AB292" s="868"/>
      <c r="AC292" s="868"/>
      <c r="AD292" s="868"/>
      <c r="AE292" s="868"/>
      <c r="AF292" s="868"/>
      <c r="AG292" s="868">
        <f>UnosNovoZaposl!F282</f>
        <v>0</v>
      </c>
      <c r="AH292" s="868"/>
      <c r="AI292" s="868"/>
      <c r="AJ292" s="868"/>
      <c r="AK292" s="868"/>
      <c r="AL292" s="868"/>
      <c r="AM292" s="868">
        <f>UnosNovoZaposl!G282</f>
        <v>0</v>
      </c>
      <c r="AN292" s="868"/>
      <c r="AO292" s="868"/>
      <c r="AP292" s="868"/>
      <c r="AQ292" s="868"/>
      <c r="AR292" s="868"/>
      <c r="AS292" s="868">
        <f t="shared" si="6"/>
        <v>0</v>
      </c>
      <c r="AT292" s="868"/>
      <c r="AU292" s="868"/>
      <c r="AV292" s="868"/>
      <c r="AW292" s="868"/>
      <c r="AX292" s="868"/>
    </row>
    <row r="293" s="687" customFormat="1" ht="15" hidden="1" customHeight="1" spans="1:50">
      <c r="A293" s="745"/>
      <c r="B293" s="754" t="s">
        <v>5955</v>
      </c>
      <c r="C293" s="864">
        <f>UnosNovoZaposl!C283</f>
        <v>0</v>
      </c>
      <c r="D293" s="864"/>
      <c r="E293" s="864"/>
      <c r="F293" s="864"/>
      <c r="G293" s="864"/>
      <c r="H293" s="864"/>
      <c r="I293" s="864"/>
      <c r="J293" s="864"/>
      <c r="K293" s="864"/>
      <c r="L293" s="864"/>
      <c r="M293" s="864"/>
      <c r="N293" s="864">
        <f>UnosNovoZaposl!D283</f>
        <v>0</v>
      </c>
      <c r="O293" s="864"/>
      <c r="P293" s="864"/>
      <c r="Q293" s="864"/>
      <c r="R293" s="864"/>
      <c r="S293" s="864"/>
      <c r="T293" s="864"/>
      <c r="U293" s="868">
        <f>UnosNovoZaposl!E283</f>
        <v>0</v>
      </c>
      <c r="V293" s="868"/>
      <c r="W293" s="868"/>
      <c r="X293" s="868"/>
      <c r="Y293" s="868"/>
      <c r="Z293" s="868"/>
      <c r="AA293" s="868">
        <f>UnosNovoZaposl!B283</f>
        <v>0</v>
      </c>
      <c r="AB293" s="868"/>
      <c r="AC293" s="868"/>
      <c r="AD293" s="868"/>
      <c r="AE293" s="868"/>
      <c r="AF293" s="868"/>
      <c r="AG293" s="868">
        <f>UnosNovoZaposl!F283</f>
        <v>0</v>
      </c>
      <c r="AH293" s="868"/>
      <c r="AI293" s="868"/>
      <c r="AJ293" s="868"/>
      <c r="AK293" s="868"/>
      <c r="AL293" s="868"/>
      <c r="AM293" s="868">
        <f>UnosNovoZaposl!G283</f>
        <v>0</v>
      </c>
      <c r="AN293" s="868"/>
      <c r="AO293" s="868"/>
      <c r="AP293" s="868"/>
      <c r="AQ293" s="868"/>
      <c r="AR293" s="868"/>
      <c r="AS293" s="868">
        <f t="shared" si="6"/>
        <v>0</v>
      </c>
      <c r="AT293" s="868"/>
      <c r="AU293" s="868"/>
      <c r="AV293" s="868"/>
      <c r="AW293" s="868"/>
      <c r="AX293" s="868"/>
    </row>
    <row r="294" s="687" customFormat="1" ht="15" hidden="1" customHeight="1" spans="1:50">
      <c r="A294" s="745"/>
      <c r="B294" s="754" t="s">
        <v>5964</v>
      </c>
      <c r="C294" s="864">
        <f>UnosNovoZaposl!C284</f>
        <v>0</v>
      </c>
      <c r="D294" s="864"/>
      <c r="E294" s="864"/>
      <c r="F294" s="864"/>
      <c r="G294" s="864"/>
      <c r="H294" s="864"/>
      <c r="I294" s="864"/>
      <c r="J294" s="864"/>
      <c r="K294" s="864"/>
      <c r="L294" s="864"/>
      <c r="M294" s="864"/>
      <c r="N294" s="864">
        <f>UnosNovoZaposl!D284</f>
        <v>0</v>
      </c>
      <c r="O294" s="864"/>
      <c r="P294" s="864"/>
      <c r="Q294" s="864"/>
      <c r="R294" s="864"/>
      <c r="S294" s="864"/>
      <c r="T294" s="864"/>
      <c r="U294" s="868">
        <f>UnosNovoZaposl!E284</f>
        <v>0</v>
      </c>
      <c r="V294" s="868"/>
      <c r="W294" s="868"/>
      <c r="X294" s="868"/>
      <c r="Y294" s="868"/>
      <c r="Z294" s="868"/>
      <c r="AA294" s="868">
        <f>UnosNovoZaposl!B284</f>
        <v>0</v>
      </c>
      <c r="AB294" s="868"/>
      <c r="AC294" s="868"/>
      <c r="AD294" s="868"/>
      <c r="AE294" s="868"/>
      <c r="AF294" s="868"/>
      <c r="AG294" s="868">
        <f>UnosNovoZaposl!F284</f>
        <v>0</v>
      </c>
      <c r="AH294" s="868"/>
      <c r="AI294" s="868"/>
      <c r="AJ294" s="868"/>
      <c r="AK294" s="868"/>
      <c r="AL294" s="868"/>
      <c r="AM294" s="868">
        <f>UnosNovoZaposl!G284</f>
        <v>0</v>
      </c>
      <c r="AN294" s="868"/>
      <c r="AO294" s="868"/>
      <c r="AP294" s="868"/>
      <c r="AQ294" s="868"/>
      <c r="AR294" s="868"/>
      <c r="AS294" s="868">
        <f t="shared" si="6"/>
        <v>0</v>
      </c>
      <c r="AT294" s="868"/>
      <c r="AU294" s="868"/>
      <c r="AV294" s="868"/>
      <c r="AW294" s="868"/>
      <c r="AX294" s="868"/>
    </row>
    <row r="295" s="687" customFormat="1" ht="15" hidden="1" customHeight="1" spans="1:50">
      <c r="A295" s="745"/>
      <c r="B295" s="754" t="s">
        <v>5971</v>
      </c>
      <c r="C295" s="864">
        <f>UnosNovoZaposl!C285</f>
        <v>0</v>
      </c>
      <c r="D295" s="864"/>
      <c r="E295" s="864"/>
      <c r="F295" s="864"/>
      <c r="G295" s="864"/>
      <c r="H295" s="864"/>
      <c r="I295" s="864"/>
      <c r="J295" s="864"/>
      <c r="K295" s="864"/>
      <c r="L295" s="864"/>
      <c r="M295" s="864"/>
      <c r="N295" s="864">
        <f>UnosNovoZaposl!D285</f>
        <v>0</v>
      </c>
      <c r="O295" s="864"/>
      <c r="P295" s="864"/>
      <c r="Q295" s="864"/>
      <c r="R295" s="864"/>
      <c r="S295" s="864"/>
      <c r="T295" s="864"/>
      <c r="U295" s="868">
        <f>UnosNovoZaposl!E285</f>
        <v>0</v>
      </c>
      <c r="V295" s="868"/>
      <c r="W295" s="868"/>
      <c r="X295" s="868"/>
      <c r="Y295" s="868"/>
      <c r="Z295" s="868"/>
      <c r="AA295" s="868">
        <f>UnosNovoZaposl!B285</f>
        <v>0</v>
      </c>
      <c r="AB295" s="868"/>
      <c r="AC295" s="868"/>
      <c r="AD295" s="868"/>
      <c r="AE295" s="868"/>
      <c r="AF295" s="868"/>
      <c r="AG295" s="868">
        <f>UnosNovoZaposl!F285</f>
        <v>0</v>
      </c>
      <c r="AH295" s="868"/>
      <c r="AI295" s="868"/>
      <c r="AJ295" s="868"/>
      <c r="AK295" s="868"/>
      <c r="AL295" s="868"/>
      <c r="AM295" s="868">
        <f>UnosNovoZaposl!G285</f>
        <v>0</v>
      </c>
      <c r="AN295" s="868"/>
      <c r="AO295" s="868"/>
      <c r="AP295" s="868"/>
      <c r="AQ295" s="868"/>
      <c r="AR295" s="868"/>
      <c r="AS295" s="868">
        <f t="shared" si="6"/>
        <v>0</v>
      </c>
      <c r="AT295" s="868"/>
      <c r="AU295" s="868"/>
      <c r="AV295" s="868"/>
      <c r="AW295" s="868"/>
      <c r="AX295" s="868"/>
    </row>
    <row r="296" s="687" customFormat="1" ht="15" hidden="1" customHeight="1" spans="1:50">
      <c r="A296" s="745"/>
      <c r="B296" s="754" t="s">
        <v>5973</v>
      </c>
      <c r="C296" s="864">
        <f>UnosNovoZaposl!C286</f>
        <v>0</v>
      </c>
      <c r="D296" s="864"/>
      <c r="E296" s="864"/>
      <c r="F296" s="864"/>
      <c r="G296" s="864"/>
      <c r="H296" s="864"/>
      <c r="I296" s="864"/>
      <c r="J296" s="864"/>
      <c r="K296" s="864"/>
      <c r="L296" s="864"/>
      <c r="M296" s="864"/>
      <c r="N296" s="864">
        <f>UnosNovoZaposl!D286</f>
        <v>0</v>
      </c>
      <c r="O296" s="864"/>
      <c r="P296" s="864"/>
      <c r="Q296" s="864"/>
      <c r="R296" s="864"/>
      <c r="S296" s="864"/>
      <c r="T296" s="864"/>
      <c r="U296" s="868">
        <f>UnosNovoZaposl!E286</f>
        <v>0</v>
      </c>
      <c r="V296" s="868"/>
      <c r="W296" s="868"/>
      <c r="X296" s="868"/>
      <c r="Y296" s="868"/>
      <c r="Z296" s="868"/>
      <c r="AA296" s="868">
        <f>UnosNovoZaposl!B286</f>
        <v>0</v>
      </c>
      <c r="AB296" s="868"/>
      <c r="AC296" s="868"/>
      <c r="AD296" s="868"/>
      <c r="AE296" s="868"/>
      <c r="AF296" s="868"/>
      <c r="AG296" s="868">
        <f>UnosNovoZaposl!F286</f>
        <v>0</v>
      </c>
      <c r="AH296" s="868"/>
      <c r="AI296" s="868"/>
      <c r="AJ296" s="868"/>
      <c r="AK296" s="868"/>
      <c r="AL296" s="868"/>
      <c r="AM296" s="868">
        <f>UnosNovoZaposl!G286</f>
        <v>0</v>
      </c>
      <c r="AN296" s="868"/>
      <c r="AO296" s="868"/>
      <c r="AP296" s="868"/>
      <c r="AQ296" s="868"/>
      <c r="AR296" s="868"/>
      <c r="AS296" s="868">
        <f t="shared" si="6"/>
        <v>0</v>
      </c>
      <c r="AT296" s="868"/>
      <c r="AU296" s="868"/>
      <c r="AV296" s="868"/>
      <c r="AW296" s="868"/>
      <c r="AX296" s="868"/>
    </row>
    <row r="297" s="687" customFormat="1" ht="15" hidden="1" customHeight="1" spans="1:50">
      <c r="A297" s="745"/>
      <c r="B297" s="754" t="s">
        <v>5975</v>
      </c>
      <c r="C297" s="864">
        <f>UnosNovoZaposl!C287</f>
        <v>0</v>
      </c>
      <c r="D297" s="864"/>
      <c r="E297" s="864"/>
      <c r="F297" s="864"/>
      <c r="G297" s="864"/>
      <c r="H297" s="864"/>
      <c r="I297" s="864"/>
      <c r="J297" s="864"/>
      <c r="K297" s="864"/>
      <c r="L297" s="864"/>
      <c r="M297" s="864"/>
      <c r="N297" s="864">
        <f>UnosNovoZaposl!D287</f>
        <v>0</v>
      </c>
      <c r="O297" s="864"/>
      <c r="P297" s="864"/>
      <c r="Q297" s="864"/>
      <c r="R297" s="864"/>
      <c r="S297" s="864"/>
      <c r="T297" s="864"/>
      <c r="U297" s="868">
        <f>UnosNovoZaposl!E287</f>
        <v>0</v>
      </c>
      <c r="V297" s="868"/>
      <c r="W297" s="868"/>
      <c r="X297" s="868"/>
      <c r="Y297" s="868"/>
      <c r="Z297" s="868"/>
      <c r="AA297" s="868">
        <f>UnosNovoZaposl!B287</f>
        <v>0</v>
      </c>
      <c r="AB297" s="868"/>
      <c r="AC297" s="868"/>
      <c r="AD297" s="868"/>
      <c r="AE297" s="868"/>
      <c r="AF297" s="868"/>
      <c r="AG297" s="868">
        <f>UnosNovoZaposl!F287</f>
        <v>0</v>
      </c>
      <c r="AH297" s="868"/>
      <c r="AI297" s="868"/>
      <c r="AJ297" s="868"/>
      <c r="AK297" s="868"/>
      <c r="AL297" s="868"/>
      <c r="AM297" s="868">
        <f>UnosNovoZaposl!G287</f>
        <v>0</v>
      </c>
      <c r="AN297" s="868"/>
      <c r="AO297" s="868"/>
      <c r="AP297" s="868"/>
      <c r="AQ297" s="868"/>
      <c r="AR297" s="868"/>
      <c r="AS297" s="868">
        <f t="shared" si="6"/>
        <v>0</v>
      </c>
      <c r="AT297" s="868"/>
      <c r="AU297" s="868"/>
      <c r="AV297" s="868"/>
      <c r="AW297" s="868"/>
      <c r="AX297" s="868"/>
    </row>
    <row r="298" s="687" customFormat="1" ht="15" hidden="1" customHeight="1" spans="1:50">
      <c r="A298" s="745"/>
      <c r="B298" s="754" t="s">
        <v>5977</v>
      </c>
      <c r="C298" s="864">
        <f>UnosNovoZaposl!C288</f>
        <v>0</v>
      </c>
      <c r="D298" s="864"/>
      <c r="E298" s="864"/>
      <c r="F298" s="864"/>
      <c r="G298" s="864"/>
      <c r="H298" s="864"/>
      <c r="I298" s="864"/>
      <c r="J298" s="864"/>
      <c r="K298" s="864"/>
      <c r="L298" s="864"/>
      <c r="M298" s="864"/>
      <c r="N298" s="864">
        <f>UnosNovoZaposl!D288</f>
        <v>0</v>
      </c>
      <c r="O298" s="864"/>
      <c r="P298" s="864"/>
      <c r="Q298" s="864"/>
      <c r="R298" s="864"/>
      <c r="S298" s="864"/>
      <c r="T298" s="864"/>
      <c r="U298" s="868">
        <f>UnosNovoZaposl!E288</f>
        <v>0</v>
      </c>
      <c r="V298" s="868"/>
      <c r="W298" s="868"/>
      <c r="X298" s="868"/>
      <c r="Y298" s="868"/>
      <c r="Z298" s="868"/>
      <c r="AA298" s="868">
        <f>UnosNovoZaposl!B288</f>
        <v>0</v>
      </c>
      <c r="AB298" s="868"/>
      <c r="AC298" s="868"/>
      <c r="AD298" s="868"/>
      <c r="AE298" s="868"/>
      <c r="AF298" s="868"/>
      <c r="AG298" s="868">
        <f>UnosNovoZaposl!F288</f>
        <v>0</v>
      </c>
      <c r="AH298" s="868"/>
      <c r="AI298" s="868"/>
      <c r="AJ298" s="868"/>
      <c r="AK298" s="868"/>
      <c r="AL298" s="868"/>
      <c r="AM298" s="868">
        <f>UnosNovoZaposl!G288</f>
        <v>0</v>
      </c>
      <c r="AN298" s="868"/>
      <c r="AO298" s="868"/>
      <c r="AP298" s="868"/>
      <c r="AQ298" s="868"/>
      <c r="AR298" s="868"/>
      <c r="AS298" s="868">
        <f t="shared" si="6"/>
        <v>0</v>
      </c>
      <c r="AT298" s="868"/>
      <c r="AU298" s="868"/>
      <c r="AV298" s="868"/>
      <c r="AW298" s="868"/>
      <c r="AX298" s="868"/>
    </row>
    <row r="299" s="687" customFormat="1" ht="15" hidden="1" customHeight="1" spans="1:50">
      <c r="A299" s="745"/>
      <c r="B299" s="754" t="s">
        <v>5979</v>
      </c>
      <c r="C299" s="864">
        <f>UnosNovoZaposl!C289</f>
        <v>0</v>
      </c>
      <c r="D299" s="864"/>
      <c r="E299" s="864"/>
      <c r="F299" s="864"/>
      <c r="G299" s="864"/>
      <c r="H299" s="864"/>
      <c r="I299" s="864"/>
      <c r="J299" s="864"/>
      <c r="K299" s="864"/>
      <c r="L299" s="864"/>
      <c r="M299" s="864"/>
      <c r="N299" s="864">
        <f>UnosNovoZaposl!D289</f>
        <v>0</v>
      </c>
      <c r="O299" s="864"/>
      <c r="P299" s="864"/>
      <c r="Q299" s="864"/>
      <c r="R299" s="864"/>
      <c r="S299" s="864"/>
      <c r="T299" s="864"/>
      <c r="U299" s="868">
        <f>UnosNovoZaposl!E289</f>
        <v>0</v>
      </c>
      <c r="V299" s="868"/>
      <c r="W299" s="868"/>
      <c r="X299" s="868"/>
      <c r="Y299" s="868"/>
      <c r="Z299" s="868"/>
      <c r="AA299" s="868">
        <f>UnosNovoZaposl!B289</f>
        <v>0</v>
      </c>
      <c r="AB299" s="868"/>
      <c r="AC299" s="868"/>
      <c r="AD299" s="868"/>
      <c r="AE299" s="868"/>
      <c r="AF299" s="868"/>
      <c r="AG299" s="868">
        <f>UnosNovoZaposl!F289</f>
        <v>0</v>
      </c>
      <c r="AH299" s="868"/>
      <c r="AI299" s="868"/>
      <c r="AJ299" s="868"/>
      <c r="AK299" s="868"/>
      <c r="AL299" s="868"/>
      <c r="AM299" s="868">
        <f>UnosNovoZaposl!G289</f>
        <v>0</v>
      </c>
      <c r="AN299" s="868"/>
      <c r="AO299" s="868"/>
      <c r="AP299" s="868"/>
      <c r="AQ299" s="868"/>
      <c r="AR299" s="868"/>
      <c r="AS299" s="868">
        <f t="shared" si="6"/>
        <v>0</v>
      </c>
      <c r="AT299" s="868"/>
      <c r="AU299" s="868"/>
      <c r="AV299" s="868"/>
      <c r="AW299" s="868"/>
      <c r="AX299" s="868"/>
    </row>
    <row r="300" s="687" customFormat="1" ht="15" hidden="1" customHeight="1" spans="1:50">
      <c r="A300" s="745"/>
      <c r="B300" s="754" t="s">
        <v>5981</v>
      </c>
      <c r="C300" s="864">
        <f>UnosNovoZaposl!C290</f>
        <v>0</v>
      </c>
      <c r="D300" s="864"/>
      <c r="E300" s="864"/>
      <c r="F300" s="864"/>
      <c r="G300" s="864"/>
      <c r="H300" s="864"/>
      <c r="I300" s="864"/>
      <c r="J300" s="864"/>
      <c r="K300" s="864"/>
      <c r="L300" s="864"/>
      <c r="M300" s="864"/>
      <c r="N300" s="864">
        <f>UnosNovoZaposl!D290</f>
        <v>0</v>
      </c>
      <c r="O300" s="864"/>
      <c r="P300" s="864"/>
      <c r="Q300" s="864"/>
      <c r="R300" s="864"/>
      <c r="S300" s="864"/>
      <c r="T300" s="864"/>
      <c r="U300" s="868">
        <f>UnosNovoZaposl!E290</f>
        <v>0</v>
      </c>
      <c r="V300" s="868"/>
      <c r="W300" s="868"/>
      <c r="X300" s="868"/>
      <c r="Y300" s="868"/>
      <c r="Z300" s="868"/>
      <c r="AA300" s="868">
        <f>UnosNovoZaposl!B290</f>
        <v>0</v>
      </c>
      <c r="AB300" s="868"/>
      <c r="AC300" s="868"/>
      <c r="AD300" s="868"/>
      <c r="AE300" s="868"/>
      <c r="AF300" s="868"/>
      <c r="AG300" s="868">
        <f>UnosNovoZaposl!F290</f>
        <v>0</v>
      </c>
      <c r="AH300" s="868"/>
      <c r="AI300" s="868"/>
      <c r="AJ300" s="868"/>
      <c r="AK300" s="868"/>
      <c r="AL300" s="868"/>
      <c r="AM300" s="868">
        <f>UnosNovoZaposl!G290</f>
        <v>0</v>
      </c>
      <c r="AN300" s="868"/>
      <c r="AO300" s="868"/>
      <c r="AP300" s="868"/>
      <c r="AQ300" s="868"/>
      <c r="AR300" s="868"/>
      <c r="AS300" s="868">
        <f t="shared" si="6"/>
        <v>0</v>
      </c>
      <c r="AT300" s="868"/>
      <c r="AU300" s="868"/>
      <c r="AV300" s="868"/>
      <c r="AW300" s="868"/>
      <c r="AX300" s="868"/>
    </row>
    <row r="301" s="687" customFormat="1" ht="15" hidden="1" customHeight="1" spans="1:50">
      <c r="A301" s="745"/>
      <c r="B301" s="754" t="s">
        <v>6022</v>
      </c>
      <c r="C301" s="864">
        <f>UnosNovoZaposl!C291</f>
        <v>0</v>
      </c>
      <c r="D301" s="864"/>
      <c r="E301" s="864"/>
      <c r="F301" s="864"/>
      <c r="G301" s="864"/>
      <c r="H301" s="864"/>
      <c r="I301" s="864"/>
      <c r="J301" s="864"/>
      <c r="K301" s="864"/>
      <c r="L301" s="864"/>
      <c r="M301" s="864"/>
      <c r="N301" s="864">
        <f>UnosNovoZaposl!D291</f>
        <v>0</v>
      </c>
      <c r="O301" s="864"/>
      <c r="P301" s="864"/>
      <c r="Q301" s="864"/>
      <c r="R301" s="864"/>
      <c r="S301" s="864"/>
      <c r="T301" s="864"/>
      <c r="U301" s="868">
        <f>UnosNovoZaposl!E291</f>
        <v>0</v>
      </c>
      <c r="V301" s="868"/>
      <c r="W301" s="868"/>
      <c r="X301" s="868"/>
      <c r="Y301" s="868"/>
      <c r="Z301" s="868"/>
      <c r="AA301" s="868">
        <f>UnosNovoZaposl!B291</f>
        <v>0</v>
      </c>
      <c r="AB301" s="868"/>
      <c r="AC301" s="868"/>
      <c r="AD301" s="868"/>
      <c r="AE301" s="868"/>
      <c r="AF301" s="868"/>
      <c r="AG301" s="868">
        <f>UnosNovoZaposl!F291</f>
        <v>0</v>
      </c>
      <c r="AH301" s="868"/>
      <c r="AI301" s="868"/>
      <c r="AJ301" s="868"/>
      <c r="AK301" s="868"/>
      <c r="AL301" s="868"/>
      <c r="AM301" s="868">
        <f>UnosNovoZaposl!G291</f>
        <v>0</v>
      </c>
      <c r="AN301" s="868"/>
      <c r="AO301" s="868"/>
      <c r="AP301" s="868"/>
      <c r="AQ301" s="868"/>
      <c r="AR301" s="868"/>
      <c r="AS301" s="868">
        <f t="shared" si="6"/>
        <v>0</v>
      </c>
      <c r="AT301" s="868"/>
      <c r="AU301" s="868"/>
      <c r="AV301" s="868"/>
      <c r="AW301" s="868"/>
      <c r="AX301" s="868"/>
    </row>
    <row r="302" s="687" customFormat="1" ht="15" hidden="1" customHeight="1" spans="1:50">
      <c r="A302" s="745"/>
      <c r="B302" s="754" t="s">
        <v>6023</v>
      </c>
      <c r="C302" s="864">
        <f>UnosNovoZaposl!C292</f>
        <v>0</v>
      </c>
      <c r="D302" s="864"/>
      <c r="E302" s="864"/>
      <c r="F302" s="864"/>
      <c r="G302" s="864"/>
      <c r="H302" s="864"/>
      <c r="I302" s="864"/>
      <c r="J302" s="864"/>
      <c r="K302" s="864"/>
      <c r="L302" s="864"/>
      <c r="M302" s="864"/>
      <c r="N302" s="864">
        <f>UnosNovoZaposl!D292</f>
        <v>0</v>
      </c>
      <c r="O302" s="864"/>
      <c r="P302" s="864"/>
      <c r="Q302" s="864"/>
      <c r="R302" s="864"/>
      <c r="S302" s="864"/>
      <c r="T302" s="864"/>
      <c r="U302" s="868">
        <f>UnosNovoZaposl!E292</f>
        <v>0</v>
      </c>
      <c r="V302" s="868"/>
      <c r="W302" s="868"/>
      <c r="X302" s="868"/>
      <c r="Y302" s="868"/>
      <c r="Z302" s="868"/>
      <c r="AA302" s="868">
        <f>UnosNovoZaposl!B292</f>
        <v>0</v>
      </c>
      <c r="AB302" s="868"/>
      <c r="AC302" s="868"/>
      <c r="AD302" s="868"/>
      <c r="AE302" s="868"/>
      <c r="AF302" s="868"/>
      <c r="AG302" s="868">
        <f>UnosNovoZaposl!F292</f>
        <v>0</v>
      </c>
      <c r="AH302" s="868"/>
      <c r="AI302" s="868"/>
      <c r="AJ302" s="868"/>
      <c r="AK302" s="868"/>
      <c r="AL302" s="868"/>
      <c r="AM302" s="868">
        <f>UnosNovoZaposl!G292</f>
        <v>0</v>
      </c>
      <c r="AN302" s="868"/>
      <c r="AO302" s="868"/>
      <c r="AP302" s="868"/>
      <c r="AQ302" s="868"/>
      <c r="AR302" s="868"/>
      <c r="AS302" s="868">
        <f t="shared" si="6"/>
        <v>0</v>
      </c>
      <c r="AT302" s="868"/>
      <c r="AU302" s="868"/>
      <c r="AV302" s="868"/>
      <c r="AW302" s="868"/>
      <c r="AX302" s="868"/>
    </row>
    <row r="303" s="687" customFormat="1" ht="15" hidden="1" customHeight="1" spans="1:50">
      <c r="A303" s="745"/>
      <c r="B303" s="754" t="s">
        <v>6024</v>
      </c>
      <c r="C303" s="864">
        <f>UnosNovoZaposl!C293</f>
        <v>0</v>
      </c>
      <c r="D303" s="864"/>
      <c r="E303" s="864"/>
      <c r="F303" s="864"/>
      <c r="G303" s="864"/>
      <c r="H303" s="864"/>
      <c r="I303" s="864"/>
      <c r="J303" s="864"/>
      <c r="K303" s="864"/>
      <c r="L303" s="864"/>
      <c r="M303" s="864"/>
      <c r="N303" s="864">
        <f>UnosNovoZaposl!D293</f>
        <v>0</v>
      </c>
      <c r="O303" s="864"/>
      <c r="P303" s="864"/>
      <c r="Q303" s="864"/>
      <c r="R303" s="864"/>
      <c r="S303" s="864"/>
      <c r="T303" s="864"/>
      <c r="U303" s="868">
        <f>UnosNovoZaposl!E293</f>
        <v>0</v>
      </c>
      <c r="V303" s="868"/>
      <c r="W303" s="868"/>
      <c r="X303" s="868"/>
      <c r="Y303" s="868"/>
      <c r="Z303" s="868"/>
      <c r="AA303" s="868">
        <f>UnosNovoZaposl!B293</f>
        <v>0</v>
      </c>
      <c r="AB303" s="868"/>
      <c r="AC303" s="868"/>
      <c r="AD303" s="868"/>
      <c r="AE303" s="868"/>
      <c r="AF303" s="868"/>
      <c r="AG303" s="868">
        <f>UnosNovoZaposl!F293</f>
        <v>0</v>
      </c>
      <c r="AH303" s="868"/>
      <c r="AI303" s="868"/>
      <c r="AJ303" s="868"/>
      <c r="AK303" s="868"/>
      <c r="AL303" s="868"/>
      <c r="AM303" s="868">
        <f>UnosNovoZaposl!G293</f>
        <v>0</v>
      </c>
      <c r="AN303" s="868"/>
      <c r="AO303" s="868"/>
      <c r="AP303" s="868"/>
      <c r="AQ303" s="868"/>
      <c r="AR303" s="868"/>
      <c r="AS303" s="868">
        <f t="shared" si="6"/>
        <v>0</v>
      </c>
      <c r="AT303" s="868"/>
      <c r="AU303" s="868"/>
      <c r="AV303" s="868"/>
      <c r="AW303" s="868"/>
      <c r="AX303" s="868"/>
    </row>
    <row r="304" s="687" customFormat="1" ht="15" hidden="1" customHeight="1" spans="1:50">
      <c r="A304" s="745"/>
      <c r="B304" s="754" t="s">
        <v>6025</v>
      </c>
      <c r="C304" s="864">
        <f>UnosNovoZaposl!C294</f>
        <v>0</v>
      </c>
      <c r="D304" s="864"/>
      <c r="E304" s="864"/>
      <c r="F304" s="864"/>
      <c r="G304" s="864"/>
      <c r="H304" s="864"/>
      <c r="I304" s="864"/>
      <c r="J304" s="864"/>
      <c r="K304" s="864"/>
      <c r="L304" s="864"/>
      <c r="M304" s="864"/>
      <c r="N304" s="864">
        <f>UnosNovoZaposl!D294</f>
        <v>0</v>
      </c>
      <c r="O304" s="864"/>
      <c r="P304" s="864"/>
      <c r="Q304" s="864"/>
      <c r="R304" s="864"/>
      <c r="S304" s="864"/>
      <c r="T304" s="864"/>
      <c r="U304" s="868">
        <f>UnosNovoZaposl!E294</f>
        <v>0</v>
      </c>
      <c r="V304" s="868"/>
      <c r="W304" s="868"/>
      <c r="X304" s="868"/>
      <c r="Y304" s="868"/>
      <c r="Z304" s="868"/>
      <c r="AA304" s="868">
        <f>UnosNovoZaposl!B294</f>
        <v>0</v>
      </c>
      <c r="AB304" s="868"/>
      <c r="AC304" s="868"/>
      <c r="AD304" s="868"/>
      <c r="AE304" s="868"/>
      <c r="AF304" s="868"/>
      <c r="AG304" s="868">
        <f>UnosNovoZaposl!F294</f>
        <v>0</v>
      </c>
      <c r="AH304" s="868"/>
      <c r="AI304" s="868"/>
      <c r="AJ304" s="868"/>
      <c r="AK304" s="868"/>
      <c r="AL304" s="868"/>
      <c r="AM304" s="868">
        <f>UnosNovoZaposl!G294</f>
        <v>0</v>
      </c>
      <c r="AN304" s="868"/>
      <c r="AO304" s="868"/>
      <c r="AP304" s="868"/>
      <c r="AQ304" s="868"/>
      <c r="AR304" s="868"/>
      <c r="AS304" s="868">
        <f t="shared" si="6"/>
        <v>0</v>
      </c>
      <c r="AT304" s="868"/>
      <c r="AU304" s="868"/>
      <c r="AV304" s="868"/>
      <c r="AW304" s="868"/>
      <c r="AX304" s="868"/>
    </row>
    <row r="305" s="687" customFormat="1" ht="15" hidden="1" customHeight="1" spans="1:50">
      <c r="A305" s="745"/>
      <c r="B305" s="754" t="s">
        <v>6026</v>
      </c>
      <c r="C305" s="864">
        <f>UnosNovoZaposl!C295</f>
        <v>0</v>
      </c>
      <c r="D305" s="864"/>
      <c r="E305" s="864"/>
      <c r="F305" s="864"/>
      <c r="G305" s="864"/>
      <c r="H305" s="864"/>
      <c r="I305" s="864"/>
      <c r="J305" s="864"/>
      <c r="K305" s="864"/>
      <c r="L305" s="864"/>
      <c r="M305" s="864"/>
      <c r="N305" s="864">
        <f>UnosNovoZaposl!D295</f>
        <v>0</v>
      </c>
      <c r="O305" s="864"/>
      <c r="P305" s="864"/>
      <c r="Q305" s="864"/>
      <c r="R305" s="864"/>
      <c r="S305" s="864"/>
      <c r="T305" s="864"/>
      <c r="U305" s="868">
        <f>UnosNovoZaposl!E295</f>
        <v>0</v>
      </c>
      <c r="V305" s="868"/>
      <c r="W305" s="868"/>
      <c r="X305" s="868"/>
      <c r="Y305" s="868"/>
      <c r="Z305" s="868"/>
      <c r="AA305" s="868">
        <f>UnosNovoZaposl!B295</f>
        <v>0</v>
      </c>
      <c r="AB305" s="868"/>
      <c r="AC305" s="868"/>
      <c r="AD305" s="868"/>
      <c r="AE305" s="868"/>
      <c r="AF305" s="868"/>
      <c r="AG305" s="868">
        <f>UnosNovoZaposl!F295</f>
        <v>0</v>
      </c>
      <c r="AH305" s="868"/>
      <c r="AI305" s="868"/>
      <c r="AJ305" s="868"/>
      <c r="AK305" s="868"/>
      <c r="AL305" s="868"/>
      <c r="AM305" s="868">
        <f>UnosNovoZaposl!G295</f>
        <v>0</v>
      </c>
      <c r="AN305" s="868"/>
      <c r="AO305" s="868"/>
      <c r="AP305" s="868"/>
      <c r="AQ305" s="868"/>
      <c r="AR305" s="868"/>
      <c r="AS305" s="868">
        <f t="shared" si="6"/>
        <v>0</v>
      </c>
      <c r="AT305" s="868"/>
      <c r="AU305" s="868"/>
      <c r="AV305" s="868"/>
      <c r="AW305" s="868"/>
      <c r="AX305" s="868"/>
    </row>
    <row r="306" s="687" customFormat="1" ht="15" hidden="1" customHeight="1" spans="1:50">
      <c r="A306" s="745"/>
      <c r="B306" s="754" t="s">
        <v>6027</v>
      </c>
      <c r="C306" s="864">
        <f>UnosNovoZaposl!C296</f>
        <v>0</v>
      </c>
      <c r="D306" s="864"/>
      <c r="E306" s="864"/>
      <c r="F306" s="864"/>
      <c r="G306" s="864"/>
      <c r="H306" s="864"/>
      <c r="I306" s="864"/>
      <c r="J306" s="864"/>
      <c r="K306" s="864"/>
      <c r="L306" s="864"/>
      <c r="M306" s="864"/>
      <c r="N306" s="864">
        <f>UnosNovoZaposl!D296</f>
        <v>0</v>
      </c>
      <c r="O306" s="864"/>
      <c r="P306" s="864"/>
      <c r="Q306" s="864"/>
      <c r="R306" s="864"/>
      <c r="S306" s="864"/>
      <c r="T306" s="864"/>
      <c r="U306" s="868">
        <f>UnosNovoZaposl!E296</f>
        <v>0</v>
      </c>
      <c r="V306" s="868"/>
      <c r="W306" s="868"/>
      <c r="X306" s="868"/>
      <c r="Y306" s="868"/>
      <c r="Z306" s="868"/>
      <c r="AA306" s="868">
        <f>UnosNovoZaposl!B296</f>
        <v>0</v>
      </c>
      <c r="AB306" s="868"/>
      <c r="AC306" s="868"/>
      <c r="AD306" s="868"/>
      <c r="AE306" s="868"/>
      <c r="AF306" s="868"/>
      <c r="AG306" s="868">
        <f>UnosNovoZaposl!F296</f>
        <v>0</v>
      </c>
      <c r="AH306" s="868"/>
      <c r="AI306" s="868"/>
      <c r="AJ306" s="868"/>
      <c r="AK306" s="868"/>
      <c r="AL306" s="868"/>
      <c r="AM306" s="868">
        <f>UnosNovoZaposl!G296</f>
        <v>0</v>
      </c>
      <c r="AN306" s="868"/>
      <c r="AO306" s="868"/>
      <c r="AP306" s="868"/>
      <c r="AQ306" s="868"/>
      <c r="AR306" s="868"/>
      <c r="AS306" s="868">
        <f t="shared" si="6"/>
        <v>0</v>
      </c>
      <c r="AT306" s="868"/>
      <c r="AU306" s="868"/>
      <c r="AV306" s="868"/>
      <c r="AW306" s="868"/>
      <c r="AX306" s="868"/>
    </row>
    <row r="307" s="687" customFormat="1" ht="15" hidden="1" customHeight="1" spans="1:50">
      <c r="A307" s="745"/>
      <c r="B307" s="754" t="s">
        <v>6028</v>
      </c>
      <c r="C307" s="864">
        <f>UnosNovoZaposl!C297</f>
        <v>0</v>
      </c>
      <c r="D307" s="864"/>
      <c r="E307" s="864"/>
      <c r="F307" s="864"/>
      <c r="G307" s="864"/>
      <c r="H307" s="864"/>
      <c r="I307" s="864"/>
      <c r="J307" s="864"/>
      <c r="K307" s="864"/>
      <c r="L307" s="864"/>
      <c r="M307" s="864"/>
      <c r="N307" s="864">
        <f>UnosNovoZaposl!D297</f>
        <v>0</v>
      </c>
      <c r="O307" s="864"/>
      <c r="P307" s="864"/>
      <c r="Q307" s="864"/>
      <c r="R307" s="864"/>
      <c r="S307" s="864"/>
      <c r="T307" s="864"/>
      <c r="U307" s="868">
        <f>UnosNovoZaposl!E297</f>
        <v>0</v>
      </c>
      <c r="V307" s="868"/>
      <c r="W307" s="868"/>
      <c r="X307" s="868"/>
      <c r="Y307" s="868"/>
      <c r="Z307" s="868"/>
      <c r="AA307" s="868">
        <f>UnosNovoZaposl!B297</f>
        <v>0</v>
      </c>
      <c r="AB307" s="868"/>
      <c r="AC307" s="868"/>
      <c r="AD307" s="868"/>
      <c r="AE307" s="868"/>
      <c r="AF307" s="868"/>
      <c r="AG307" s="868">
        <f>UnosNovoZaposl!F297</f>
        <v>0</v>
      </c>
      <c r="AH307" s="868"/>
      <c r="AI307" s="868"/>
      <c r="AJ307" s="868"/>
      <c r="AK307" s="868"/>
      <c r="AL307" s="868"/>
      <c r="AM307" s="868">
        <f>UnosNovoZaposl!G297</f>
        <v>0</v>
      </c>
      <c r="AN307" s="868"/>
      <c r="AO307" s="868"/>
      <c r="AP307" s="868"/>
      <c r="AQ307" s="868"/>
      <c r="AR307" s="868"/>
      <c r="AS307" s="868">
        <f t="shared" si="6"/>
        <v>0</v>
      </c>
      <c r="AT307" s="868"/>
      <c r="AU307" s="868"/>
      <c r="AV307" s="868"/>
      <c r="AW307" s="868"/>
      <c r="AX307" s="868"/>
    </row>
    <row r="308" s="687" customFormat="1" ht="15" hidden="1" customHeight="1" spans="1:50">
      <c r="A308" s="745"/>
      <c r="B308" s="754" t="s">
        <v>6029</v>
      </c>
      <c r="C308" s="864">
        <f>UnosNovoZaposl!C298</f>
        <v>0</v>
      </c>
      <c r="D308" s="864"/>
      <c r="E308" s="864"/>
      <c r="F308" s="864"/>
      <c r="G308" s="864"/>
      <c r="H308" s="864"/>
      <c r="I308" s="864"/>
      <c r="J308" s="864"/>
      <c r="K308" s="864"/>
      <c r="L308" s="864"/>
      <c r="M308" s="864"/>
      <c r="N308" s="864">
        <f>UnosNovoZaposl!D298</f>
        <v>0</v>
      </c>
      <c r="O308" s="864"/>
      <c r="P308" s="864"/>
      <c r="Q308" s="864"/>
      <c r="R308" s="864"/>
      <c r="S308" s="864"/>
      <c r="T308" s="864"/>
      <c r="U308" s="868">
        <f>UnosNovoZaposl!E298</f>
        <v>0</v>
      </c>
      <c r="V308" s="868"/>
      <c r="W308" s="868"/>
      <c r="X308" s="868"/>
      <c r="Y308" s="868"/>
      <c r="Z308" s="868"/>
      <c r="AA308" s="868">
        <f>UnosNovoZaposl!B298</f>
        <v>0</v>
      </c>
      <c r="AB308" s="868"/>
      <c r="AC308" s="868"/>
      <c r="AD308" s="868"/>
      <c r="AE308" s="868"/>
      <c r="AF308" s="868"/>
      <c r="AG308" s="868">
        <f>UnosNovoZaposl!F298</f>
        <v>0</v>
      </c>
      <c r="AH308" s="868"/>
      <c r="AI308" s="868"/>
      <c r="AJ308" s="868"/>
      <c r="AK308" s="868"/>
      <c r="AL308" s="868"/>
      <c r="AM308" s="868">
        <f>UnosNovoZaposl!G298</f>
        <v>0</v>
      </c>
      <c r="AN308" s="868"/>
      <c r="AO308" s="868"/>
      <c r="AP308" s="868"/>
      <c r="AQ308" s="868"/>
      <c r="AR308" s="868"/>
      <c r="AS308" s="868">
        <f t="shared" si="6"/>
        <v>0</v>
      </c>
      <c r="AT308" s="868"/>
      <c r="AU308" s="868"/>
      <c r="AV308" s="868"/>
      <c r="AW308" s="868"/>
      <c r="AX308" s="868"/>
    </row>
    <row r="309" s="687" customFormat="1" ht="15" hidden="1" customHeight="1" spans="1:50">
      <c r="A309" s="745"/>
      <c r="B309" s="754" t="s">
        <v>6030</v>
      </c>
      <c r="C309" s="864">
        <f>UnosNovoZaposl!C299</f>
        <v>0</v>
      </c>
      <c r="D309" s="864"/>
      <c r="E309" s="864"/>
      <c r="F309" s="864"/>
      <c r="G309" s="864"/>
      <c r="H309" s="864"/>
      <c r="I309" s="864"/>
      <c r="J309" s="864"/>
      <c r="K309" s="864"/>
      <c r="L309" s="864"/>
      <c r="M309" s="864"/>
      <c r="N309" s="864">
        <f>UnosNovoZaposl!D299</f>
        <v>0</v>
      </c>
      <c r="O309" s="864"/>
      <c r="P309" s="864"/>
      <c r="Q309" s="864"/>
      <c r="R309" s="864"/>
      <c r="S309" s="864"/>
      <c r="T309" s="864"/>
      <c r="U309" s="868">
        <f>UnosNovoZaposl!E299</f>
        <v>0</v>
      </c>
      <c r="V309" s="868"/>
      <c r="W309" s="868"/>
      <c r="X309" s="868"/>
      <c r="Y309" s="868"/>
      <c r="Z309" s="868"/>
      <c r="AA309" s="868">
        <f>UnosNovoZaposl!B299</f>
        <v>0</v>
      </c>
      <c r="AB309" s="868"/>
      <c r="AC309" s="868"/>
      <c r="AD309" s="868"/>
      <c r="AE309" s="868"/>
      <c r="AF309" s="868"/>
      <c r="AG309" s="868">
        <f>UnosNovoZaposl!F299</f>
        <v>0</v>
      </c>
      <c r="AH309" s="868"/>
      <c r="AI309" s="868"/>
      <c r="AJ309" s="868"/>
      <c r="AK309" s="868"/>
      <c r="AL309" s="868"/>
      <c r="AM309" s="868">
        <f>UnosNovoZaposl!G299</f>
        <v>0</v>
      </c>
      <c r="AN309" s="868"/>
      <c r="AO309" s="868"/>
      <c r="AP309" s="868"/>
      <c r="AQ309" s="868"/>
      <c r="AR309" s="868"/>
      <c r="AS309" s="868">
        <f t="shared" si="6"/>
        <v>0</v>
      </c>
      <c r="AT309" s="868"/>
      <c r="AU309" s="868"/>
      <c r="AV309" s="868"/>
      <c r="AW309" s="868"/>
      <c r="AX309" s="868"/>
    </row>
    <row r="310" s="687" customFormat="1" ht="15" hidden="1" customHeight="1" spans="1:50">
      <c r="A310" s="745"/>
      <c r="B310" s="754" t="s">
        <v>6031</v>
      </c>
      <c r="C310" s="864">
        <f>UnosNovoZaposl!C300</f>
        <v>0</v>
      </c>
      <c r="D310" s="864"/>
      <c r="E310" s="864"/>
      <c r="F310" s="864"/>
      <c r="G310" s="864"/>
      <c r="H310" s="864"/>
      <c r="I310" s="864"/>
      <c r="J310" s="864"/>
      <c r="K310" s="864"/>
      <c r="L310" s="864"/>
      <c r="M310" s="864"/>
      <c r="N310" s="864">
        <f>UnosNovoZaposl!D300</f>
        <v>0</v>
      </c>
      <c r="O310" s="864"/>
      <c r="P310" s="864"/>
      <c r="Q310" s="864"/>
      <c r="R310" s="864"/>
      <c r="S310" s="864"/>
      <c r="T310" s="864"/>
      <c r="U310" s="868">
        <f>UnosNovoZaposl!E300</f>
        <v>0</v>
      </c>
      <c r="V310" s="868"/>
      <c r="W310" s="868"/>
      <c r="X310" s="868"/>
      <c r="Y310" s="868"/>
      <c r="Z310" s="868"/>
      <c r="AA310" s="868">
        <f>UnosNovoZaposl!B300</f>
        <v>0</v>
      </c>
      <c r="AB310" s="868"/>
      <c r="AC310" s="868"/>
      <c r="AD310" s="868"/>
      <c r="AE310" s="868"/>
      <c r="AF310" s="868"/>
      <c r="AG310" s="868">
        <f>UnosNovoZaposl!F300</f>
        <v>0</v>
      </c>
      <c r="AH310" s="868"/>
      <c r="AI310" s="868"/>
      <c r="AJ310" s="868"/>
      <c r="AK310" s="868"/>
      <c r="AL310" s="868"/>
      <c r="AM310" s="868">
        <f>UnosNovoZaposl!G300</f>
        <v>0</v>
      </c>
      <c r="AN310" s="868"/>
      <c r="AO310" s="868"/>
      <c r="AP310" s="868"/>
      <c r="AQ310" s="868"/>
      <c r="AR310" s="868"/>
      <c r="AS310" s="868">
        <f t="shared" si="6"/>
        <v>0</v>
      </c>
      <c r="AT310" s="868"/>
      <c r="AU310" s="868"/>
      <c r="AV310" s="868"/>
      <c r="AW310" s="868"/>
      <c r="AX310" s="868"/>
    </row>
    <row r="311" s="687" customFormat="1" ht="15" hidden="1" customHeight="1" spans="1:50">
      <c r="A311" s="745"/>
      <c r="B311" s="754" t="s">
        <v>6032</v>
      </c>
      <c r="C311" s="864">
        <f>UnosNovoZaposl!C301</f>
        <v>0</v>
      </c>
      <c r="D311" s="864"/>
      <c r="E311" s="864"/>
      <c r="F311" s="864"/>
      <c r="G311" s="864"/>
      <c r="H311" s="864"/>
      <c r="I311" s="864"/>
      <c r="J311" s="864"/>
      <c r="K311" s="864"/>
      <c r="L311" s="864"/>
      <c r="M311" s="864"/>
      <c r="N311" s="864">
        <f>UnosNovoZaposl!D301</f>
        <v>0</v>
      </c>
      <c r="O311" s="864"/>
      <c r="P311" s="864"/>
      <c r="Q311" s="864"/>
      <c r="R311" s="864"/>
      <c r="S311" s="864"/>
      <c r="T311" s="864"/>
      <c r="U311" s="868">
        <f>UnosNovoZaposl!E301</f>
        <v>0</v>
      </c>
      <c r="V311" s="868"/>
      <c r="W311" s="868"/>
      <c r="X311" s="868"/>
      <c r="Y311" s="868"/>
      <c r="Z311" s="868"/>
      <c r="AA311" s="868">
        <f>UnosNovoZaposl!B301</f>
        <v>0</v>
      </c>
      <c r="AB311" s="868"/>
      <c r="AC311" s="868"/>
      <c r="AD311" s="868"/>
      <c r="AE311" s="868"/>
      <c r="AF311" s="868"/>
      <c r="AG311" s="868">
        <f>UnosNovoZaposl!F301</f>
        <v>0</v>
      </c>
      <c r="AH311" s="868"/>
      <c r="AI311" s="868"/>
      <c r="AJ311" s="868"/>
      <c r="AK311" s="868"/>
      <c r="AL311" s="868"/>
      <c r="AM311" s="868">
        <f>UnosNovoZaposl!G301</f>
        <v>0</v>
      </c>
      <c r="AN311" s="868"/>
      <c r="AO311" s="868"/>
      <c r="AP311" s="868"/>
      <c r="AQ311" s="868"/>
      <c r="AR311" s="868"/>
      <c r="AS311" s="868">
        <f t="shared" si="6"/>
        <v>0</v>
      </c>
      <c r="AT311" s="868"/>
      <c r="AU311" s="868"/>
      <c r="AV311" s="868"/>
      <c r="AW311" s="868"/>
      <c r="AX311" s="868"/>
    </row>
    <row r="312" s="687" customFormat="1" ht="15" hidden="1" customHeight="1" spans="1:50">
      <c r="A312" s="745"/>
      <c r="B312" s="754" t="s">
        <v>6033</v>
      </c>
      <c r="C312" s="864">
        <f>UnosNovoZaposl!C302</f>
        <v>0</v>
      </c>
      <c r="D312" s="864"/>
      <c r="E312" s="864"/>
      <c r="F312" s="864"/>
      <c r="G312" s="864"/>
      <c r="H312" s="864"/>
      <c r="I312" s="864"/>
      <c r="J312" s="864"/>
      <c r="K312" s="864"/>
      <c r="L312" s="864"/>
      <c r="M312" s="864"/>
      <c r="N312" s="864">
        <f>UnosNovoZaposl!D302</f>
        <v>0</v>
      </c>
      <c r="O312" s="864"/>
      <c r="P312" s="864"/>
      <c r="Q312" s="864"/>
      <c r="R312" s="864"/>
      <c r="S312" s="864"/>
      <c r="T312" s="864"/>
      <c r="U312" s="868">
        <f>UnosNovoZaposl!E302</f>
        <v>0</v>
      </c>
      <c r="V312" s="868"/>
      <c r="W312" s="868"/>
      <c r="X312" s="868"/>
      <c r="Y312" s="868"/>
      <c r="Z312" s="868"/>
      <c r="AA312" s="868">
        <f>UnosNovoZaposl!B302</f>
        <v>0</v>
      </c>
      <c r="AB312" s="868"/>
      <c r="AC312" s="868"/>
      <c r="AD312" s="868"/>
      <c r="AE312" s="868"/>
      <c r="AF312" s="868"/>
      <c r="AG312" s="868">
        <f>UnosNovoZaposl!F302</f>
        <v>0</v>
      </c>
      <c r="AH312" s="868"/>
      <c r="AI312" s="868"/>
      <c r="AJ312" s="868"/>
      <c r="AK312" s="868"/>
      <c r="AL312" s="868"/>
      <c r="AM312" s="868">
        <f>UnosNovoZaposl!G302</f>
        <v>0</v>
      </c>
      <c r="AN312" s="868"/>
      <c r="AO312" s="868"/>
      <c r="AP312" s="868"/>
      <c r="AQ312" s="868"/>
      <c r="AR312" s="868"/>
      <c r="AS312" s="868">
        <f t="shared" si="6"/>
        <v>0</v>
      </c>
      <c r="AT312" s="868"/>
      <c r="AU312" s="868"/>
      <c r="AV312" s="868"/>
      <c r="AW312" s="868"/>
      <c r="AX312" s="868"/>
    </row>
    <row r="313" s="687" customFormat="1" ht="15" hidden="1" customHeight="1" spans="1:50">
      <c r="A313" s="745"/>
      <c r="B313" s="754" t="s">
        <v>6034</v>
      </c>
      <c r="C313" s="864">
        <f>UnosNovoZaposl!C303</f>
        <v>0</v>
      </c>
      <c r="D313" s="864"/>
      <c r="E313" s="864"/>
      <c r="F313" s="864"/>
      <c r="G313" s="864"/>
      <c r="H313" s="864"/>
      <c r="I313" s="864"/>
      <c r="J313" s="864"/>
      <c r="K313" s="864"/>
      <c r="L313" s="864"/>
      <c r="M313" s="864"/>
      <c r="N313" s="864">
        <f>UnosNovoZaposl!D303</f>
        <v>0</v>
      </c>
      <c r="O313" s="864"/>
      <c r="P313" s="864"/>
      <c r="Q313" s="864"/>
      <c r="R313" s="864"/>
      <c r="S313" s="864"/>
      <c r="T313" s="864"/>
      <c r="U313" s="868">
        <f>UnosNovoZaposl!E303</f>
        <v>0</v>
      </c>
      <c r="V313" s="868"/>
      <c r="W313" s="868"/>
      <c r="X313" s="868"/>
      <c r="Y313" s="868"/>
      <c r="Z313" s="868"/>
      <c r="AA313" s="868">
        <f>UnosNovoZaposl!B303</f>
        <v>0</v>
      </c>
      <c r="AB313" s="868"/>
      <c r="AC313" s="868"/>
      <c r="AD313" s="868"/>
      <c r="AE313" s="868"/>
      <c r="AF313" s="868"/>
      <c r="AG313" s="868">
        <f>UnosNovoZaposl!F303</f>
        <v>0</v>
      </c>
      <c r="AH313" s="868"/>
      <c r="AI313" s="868"/>
      <c r="AJ313" s="868"/>
      <c r="AK313" s="868"/>
      <c r="AL313" s="868"/>
      <c r="AM313" s="868">
        <f>UnosNovoZaposl!G303</f>
        <v>0</v>
      </c>
      <c r="AN313" s="868"/>
      <c r="AO313" s="868"/>
      <c r="AP313" s="868"/>
      <c r="AQ313" s="868"/>
      <c r="AR313" s="868"/>
      <c r="AS313" s="868">
        <f t="shared" si="6"/>
        <v>0</v>
      </c>
      <c r="AT313" s="868"/>
      <c r="AU313" s="868"/>
      <c r="AV313" s="868"/>
      <c r="AW313" s="868"/>
      <c r="AX313" s="868"/>
    </row>
    <row r="314" s="687" customFormat="1" ht="15" hidden="1" customHeight="1" spans="1:50">
      <c r="A314" s="745"/>
      <c r="B314" s="754" t="s">
        <v>6035</v>
      </c>
      <c r="C314" s="864">
        <f>UnosNovoZaposl!C304</f>
        <v>0</v>
      </c>
      <c r="D314" s="864"/>
      <c r="E314" s="864"/>
      <c r="F314" s="864"/>
      <c r="G314" s="864"/>
      <c r="H314" s="864"/>
      <c r="I314" s="864"/>
      <c r="J314" s="864"/>
      <c r="K314" s="864"/>
      <c r="L314" s="864"/>
      <c r="M314" s="864"/>
      <c r="N314" s="864">
        <f>UnosNovoZaposl!D304</f>
        <v>0</v>
      </c>
      <c r="O314" s="864"/>
      <c r="P314" s="864"/>
      <c r="Q314" s="864"/>
      <c r="R314" s="864"/>
      <c r="S314" s="864"/>
      <c r="T314" s="864"/>
      <c r="U314" s="868">
        <f>UnosNovoZaposl!E304</f>
        <v>0</v>
      </c>
      <c r="V314" s="868"/>
      <c r="W314" s="868"/>
      <c r="X314" s="868"/>
      <c r="Y314" s="868"/>
      <c r="Z314" s="868"/>
      <c r="AA314" s="868">
        <f>UnosNovoZaposl!B304</f>
        <v>0</v>
      </c>
      <c r="AB314" s="868"/>
      <c r="AC314" s="868"/>
      <c r="AD314" s="868"/>
      <c r="AE314" s="868"/>
      <c r="AF314" s="868"/>
      <c r="AG314" s="868">
        <f>UnosNovoZaposl!F304</f>
        <v>0</v>
      </c>
      <c r="AH314" s="868"/>
      <c r="AI314" s="868"/>
      <c r="AJ314" s="868"/>
      <c r="AK314" s="868"/>
      <c r="AL314" s="868"/>
      <c r="AM314" s="868">
        <f>UnosNovoZaposl!G304</f>
        <v>0</v>
      </c>
      <c r="AN314" s="868"/>
      <c r="AO314" s="868"/>
      <c r="AP314" s="868"/>
      <c r="AQ314" s="868"/>
      <c r="AR314" s="868"/>
      <c r="AS314" s="868">
        <f t="shared" si="6"/>
        <v>0</v>
      </c>
      <c r="AT314" s="868"/>
      <c r="AU314" s="868"/>
      <c r="AV314" s="868"/>
      <c r="AW314" s="868"/>
      <c r="AX314" s="868"/>
    </row>
    <row r="315" s="687" customFormat="1" ht="15" hidden="1" customHeight="1" spans="1:50">
      <c r="A315" s="745"/>
      <c r="B315" s="754" t="s">
        <v>6036</v>
      </c>
      <c r="C315" s="864">
        <f>UnosNovoZaposl!C305</f>
        <v>0</v>
      </c>
      <c r="D315" s="864"/>
      <c r="E315" s="864"/>
      <c r="F315" s="864"/>
      <c r="G315" s="864"/>
      <c r="H315" s="864"/>
      <c r="I315" s="864"/>
      <c r="J315" s="864"/>
      <c r="K315" s="864"/>
      <c r="L315" s="864"/>
      <c r="M315" s="864"/>
      <c r="N315" s="864">
        <f>UnosNovoZaposl!D305</f>
        <v>0</v>
      </c>
      <c r="O315" s="864"/>
      <c r="P315" s="864"/>
      <c r="Q315" s="864"/>
      <c r="R315" s="864"/>
      <c r="S315" s="864"/>
      <c r="T315" s="864"/>
      <c r="U315" s="868">
        <f>UnosNovoZaposl!E305</f>
        <v>0</v>
      </c>
      <c r="V315" s="868"/>
      <c r="W315" s="868"/>
      <c r="X315" s="868"/>
      <c r="Y315" s="868"/>
      <c r="Z315" s="868"/>
      <c r="AA315" s="868">
        <f>UnosNovoZaposl!B305</f>
        <v>0</v>
      </c>
      <c r="AB315" s="868"/>
      <c r="AC315" s="868"/>
      <c r="AD315" s="868"/>
      <c r="AE315" s="868"/>
      <c r="AF315" s="868"/>
      <c r="AG315" s="868">
        <f>UnosNovoZaposl!F305</f>
        <v>0</v>
      </c>
      <c r="AH315" s="868"/>
      <c r="AI315" s="868"/>
      <c r="AJ315" s="868"/>
      <c r="AK315" s="868"/>
      <c r="AL315" s="868"/>
      <c r="AM315" s="868">
        <f>UnosNovoZaposl!G305</f>
        <v>0</v>
      </c>
      <c r="AN315" s="868"/>
      <c r="AO315" s="868"/>
      <c r="AP315" s="868"/>
      <c r="AQ315" s="868"/>
      <c r="AR315" s="868"/>
      <c r="AS315" s="868">
        <f t="shared" si="6"/>
        <v>0</v>
      </c>
      <c r="AT315" s="868"/>
      <c r="AU315" s="868"/>
      <c r="AV315" s="868"/>
      <c r="AW315" s="868"/>
      <c r="AX315" s="868"/>
    </row>
    <row r="316" s="687" customFormat="1" ht="15" hidden="1" customHeight="1" spans="1:50">
      <c r="A316" s="745"/>
      <c r="B316" s="754" t="s">
        <v>6037</v>
      </c>
      <c r="C316" s="864">
        <f>UnosNovoZaposl!C306</f>
        <v>0</v>
      </c>
      <c r="D316" s="864"/>
      <c r="E316" s="864"/>
      <c r="F316" s="864"/>
      <c r="G316" s="864"/>
      <c r="H316" s="864"/>
      <c r="I316" s="864"/>
      <c r="J316" s="864"/>
      <c r="K316" s="864"/>
      <c r="L316" s="864"/>
      <c r="M316" s="864"/>
      <c r="N316" s="864">
        <f>UnosNovoZaposl!D306</f>
        <v>0</v>
      </c>
      <c r="O316" s="864"/>
      <c r="P316" s="864"/>
      <c r="Q316" s="864"/>
      <c r="R316" s="864"/>
      <c r="S316" s="864"/>
      <c r="T316" s="864"/>
      <c r="U316" s="868">
        <f>UnosNovoZaposl!E306</f>
        <v>0</v>
      </c>
      <c r="V316" s="868"/>
      <c r="W316" s="868"/>
      <c r="X316" s="868"/>
      <c r="Y316" s="868"/>
      <c r="Z316" s="868"/>
      <c r="AA316" s="868">
        <f>UnosNovoZaposl!B306</f>
        <v>0</v>
      </c>
      <c r="AB316" s="868"/>
      <c r="AC316" s="868"/>
      <c r="AD316" s="868"/>
      <c r="AE316" s="868"/>
      <c r="AF316" s="868"/>
      <c r="AG316" s="868">
        <f>UnosNovoZaposl!F306</f>
        <v>0</v>
      </c>
      <c r="AH316" s="868"/>
      <c r="AI316" s="868"/>
      <c r="AJ316" s="868"/>
      <c r="AK316" s="868"/>
      <c r="AL316" s="868"/>
      <c r="AM316" s="868">
        <f>UnosNovoZaposl!G306</f>
        <v>0</v>
      </c>
      <c r="AN316" s="868"/>
      <c r="AO316" s="868"/>
      <c r="AP316" s="868"/>
      <c r="AQ316" s="868"/>
      <c r="AR316" s="868"/>
      <c r="AS316" s="868">
        <f t="shared" si="6"/>
        <v>0</v>
      </c>
      <c r="AT316" s="868"/>
      <c r="AU316" s="868"/>
      <c r="AV316" s="868"/>
      <c r="AW316" s="868"/>
      <c r="AX316" s="868"/>
    </row>
    <row r="317" s="687" customFormat="1" ht="15" hidden="1" customHeight="1" spans="1:50">
      <c r="A317" s="745"/>
      <c r="B317" s="754" t="s">
        <v>6038</v>
      </c>
      <c r="C317" s="864">
        <f>UnosNovoZaposl!C307</f>
        <v>0</v>
      </c>
      <c r="D317" s="864"/>
      <c r="E317" s="864"/>
      <c r="F317" s="864"/>
      <c r="G317" s="864"/>
      <c r="H317" s="864"/>
      <c r="I317" s="864"/>
      <c r="J317" s="864"/>
      <c r="K317" s="864"/>
      <c r="L317" s="864"/>
      <c r="M317" s="864"/>
      <c r="N317" s="864">
        <f>UnosNovoZaposl!D307</f>
        <v>0</v>
      </c>
      <c r="O317" s="864"/>
      <c r="P317" s="864"/>
      <c r="Q317" s="864"/>
      <c r="R317" s="864"/>
      <c r="S317" s="864"/>
      <c r="T317" s="864"/>
      <c r="U317" s="868">
        <f>UnosNovoZaposl!E307</f>
        <v>0</v>
      </c>
      <c r="V317" s="868"/>
      <c r="W317" s="868"/>
      <c r="X317" s="868"/>
      <c r="Y317" s="868"/>
      <c r="Z317" s="868"/>
      <c r="AA317" s="868">
        <f>UnosNovoZaposl!B307</f>
        <v>0</v>
      </c>
      <c r="AB317" s="868"/>
      <c r="AC317" s="868"/>
      <c r="AD317" s="868"/>
      <c r="AE317" s="868"/>
      <c r="AF317" s="868"/>
      <c r="AG317" s="868">
        <f>UnosNovoZaposl!F307</f>
        <v>0</v>
      </c>
      <c r="AH317" s="868"/>
      <c r="AI317" s="868"/>
      <c r="AJ317" s="868"/>
      <c r="AK317" s="868"/>
      <c r="AL317" s="868"/>
      <c r="AM317" s="868">
        <f>UnosNovoZaposl!G307</f>
        <v>0</v>
      </c>
      <c r="AN317" s="868"/>
      <c r="AO317" s="868"/>
      <c r="AP317" s="868"/>
      <c r="AQ317" s="868"/>
      <c r="AR317" s="868"/>
      <c r="AS317" s="868">
        <f t="shared" si="6"/>
        <v>0</v>
      </c>
      <c r="AT317" s="868"/>
      <c r="AU317" s="868"/>
      <c r="AV317" s="868"/>
      <c r="AW317" s="868"/>
      <c r="AX317" s="868"/>
    </row>
    <row r="318" s="687" customFormat="1" ht="15" hidden="1" customHeight="1" spans="1:50">
      <c r="A318" s="745"/>
      <c r="B318" s="754" t="s">
        <v>6379</v>
      </c>
      <c r="C318" s="864">
        <f>UnosNovoZaposl!C308</f>
        <v>0</v>
      </c>
      <c r="D318" s="864"/>
      <c r="E318" s="864"/>
      <c r="F318" s="864"/>
      <c r="G318" s="864"/>
      <c r="H318" s="864"/>
      <c r="I318" s="864"/>
      <c r="J318" s="864"/>
      <c r="K318" s="864"/>
      <c r="L318" s="864"/>
      <c r="M318" s="864"/>
      <c r="N318" s="864">
        <f>UnosNovoZaposl!D308</f>
        <v>0</v>
      </c>
      <c r="O318" s="864"/>
      <c r="P318" s="864"/>
      <c r="Q318" s="864"/>
      <c r="R318" s="864"/>
      <c r="S318" s="864"/>
      <c r="T318" s="864"/>
      <c r="U318" s="868">
        <f>UnosNovoZaposl!E308</f>
        <v>0</v>
      </c>
      <c r="V318" s="868"/>
      <c r="W318" s="868"/>
      <c r="X318" s="868"/>
      <c r="Y318" s="868"/>
      <c r="Z318" s="868"/>
      <c r="AA318" s="868">
        <f>UnosNovoZaposl!B308</f>
        <v>0</v>
      </c>
      <c r="AB318" s="868"/>
      <c r="AC318" s="868"/>
      <c r="AD318" s="868"/>
      <c r="AE318" s="868"/>
      <c r="AF318" s="868"/>
      <c r="AG318" s="868">
        <f>UnosNovoZaposl!F308</f>
        <v>0</v>
      </c>
      <c r="AH318" s="868"/>
      <c r="AI318" s="868"/>
      <c r="AJ318" s="868"/>
      <c r="AK318" s="868"/>
      <c r="AL318" s="868"/>
      <c r="AM318" s="868">
        <f>UnosNovoZaposl!G308</f>
        <v>0</v>
      </c>
      <c r="AN318" s="868"/>
      <c r="AO318" s="868"/>
      <c r="AP318" s="868"/>
      <c r="AQ318" s="868"/>
      <c r="AR318" s="868"/>
      <c r="AS318" s="868">
        <f t="shared" si="6"/>
        <v>0</v>
      </c>
      <c r="AT318" s="868"/>
      <c r="AU318" s="868"/>
      <c r="AV318" s="868"/>
      <c r="AW318" s="868"/>
      <c r="AX318" s="868"/>
    </row>
    <row r="319" s="687" customFormat="1" ht="15" hidden="1" customHeight="1" spans="1:50">
      <c r="A319" s="745"/>
      <c r="B319" s="754" t="s">
        <v>6380</v>
      </c>
      <c r="C319" s="864">
        <f>UnosNovoZaposl!C309</f>
        <v>0</v>
      </c>
      <c r="D319" s="864"/>
      <c r="E319" s="864"/>
      <c r="F319" s="864"/>
      <c r="G319" s="864"/>
      <c r="H319" s="864"/>
      <c r="I319" s="864"/>
      <c r="J319" s="864"/>
      <c r="K319" s="864"/>
      <c r="L319" s="864"/>
      <c r="M319" s="864"/>
      <c r="N319" s="864">
        <f>UnosNovoZaposl!D309</f>
        <v>0</v>
      </c>
      <c r="O319" s="864"/>
      <c r="P319" s="864"/>
      <c r="Q319" s="864"/>
      <c r="R319" s="864"/>
      <c r="S319" s="864"/>
      <c r="T319" s="864"/>
      <c r="U319" s="868">
        <f>UnosNovoZaposl!E309</f>
        <v>0</v>
      </c>
      <c r="V319" s="868"/>
      <c r="W319" s="868"/>
      <c r="X319" s="868"/>
      <c r="Y319" s="868"/>
      <c r="Z319" s="868"/>
      <c r="AA319" s="868">
        <f>UnosNovoZaposl!B309</f>
        <v>0</v>
      </c>
      <c r="AB319" s="868"/>
      <c r="AC319" s="868"/>
      <c r="AD319" s="868"/>
      <c r="AE319" s="868"/>
      <c r="AF319" s="868"/>
      <c r="AG319" s="868">
        <f>UnosNovoZaposl!F309</f>
        <v>0</v>
      </c>
      <c r="AH319" s="868"/>
      <c r="AI319" s="868"/>
      <c r="AJ319" s="868"/>
      <c r="AK319" s="868"/>
      <c r="AL319" s="868"/>
      <c r="AM319" s="868">
        <f>UnosNovoZaposl!G309</f>
        <v>0</v>
      </c>
      <c r="AN319" s="868"/>
      <c r="AO319" s="868"/>
      <c r="AP319" s="868"/>
      <c r="AQ319" s="868"/>
      <c r="AR319" s="868"/>
      <c r="AS319" s="868">
        <f t="shared" si="6"/>
        <v>0</v>
      </c>
      <c r="AT319" s="868"/>
      <c r="AU319" s="868"/>
      <c r="AV319" s="868"/>
      <c r="AW319" s="868"/>
      <c r="AX319" s="868"/>
    </row>
    <row r="320" s="687" customFormat="1" ht="15" hidden="1" customHeight="1" spans="1:50">
      <c r="A320" s="745"/>
      <c r="B320" s="754" t="s">
        <v>6381</v>
      </c>
      <c r="C320" s="864">
        <f>UnosNovoZaposl!C310</f>
        <v>0</v>
      </c>
      <c r="D320" s="864"/>
      <c r="E320" s="864"/>
      <c r="F320" s="864"/>
      <c r="G320" s="864"/>
      <c r="H320" s="864"/>
      <c r="I320" s="864"/>
      <c r="J320" s="864"/>
      <c r="K320" s="864"/>
      <c r="L320" s="864"/>
      <c r="M320" s="864"/>
      <c r="N320" s="864">
        <f>UnosNovoZaposl!D310</f>
        <v>0</v>
      </c>
      <c r="O320" s="864"/>
      <c r="P320" s="864"/>
      <c r="Q320" s="864"/>
      <c r="R320" s="864"/>
      <c r="S320" s="864"/>
      <c r="T320" s="864"/>
      <c r="U320" s="868">
        <f>UnosNovoZaposl!E310</f>
        <v>0</v>
      </c>
      <c r="V320" s="868"/>
      <c r="W320" s="868"/>
      <c r="X320" s="868"/>
      <c r="Y320" s="868"/>
      <c r="Z320" s="868"/>
      <c r="AA320" s="868">
        <f>UnosNovoZaposl!B310</f>
        <v>0</v>
      </c>
      <c r="AB320" s="868"/>
      <c r="AC320" s="868"/>
      <c r="AD320" s="868"/>
      <c r="AE320" s="868"/>
      <c r="AF320" s="868"/>
      <c r="AG320" s="868">
        <f>UnosNovoZaposl!F310</f>
        <v>0</v>
      </c>
      <c r="AH320" s="868"/>
      <c r="AI320" s="868"/>
      <c r="AJ320" s="868"/>
      <c r="AK320" s="868"/>
      <c r="AL320" s="868"/>
      <c r="AM320" s="868">
        <f>UnosNovoZaposl!G310</f>
        <v>0</v>
      </c>
      <c r="AN320" s="868"/>
      <c r="AO320" s="868"/>
      <c r="AP320" s="868"/>
      <c r="AQ320" s="868"/>
      <c r="AR320" s="868"/>
      <c r="AS320" s="868">
        <f t="shared" si="6"/>
        <v>0</v>
      </c>
      <c r="AT320" s="868"/>
      <c r="AU320" s="868"/>
      <c r="AV320" s="868"/>
      <c r="AW320" s="868"/>
      <c r="AX320" s="868"/>
    </row>
    <row r="321" s="687" customFormat="1" ht="15" hidden="1" customHeight="1" spans="1:50">
      <c r="A321" s="745"/>
      <c r="B321" s="754" t="s">
        <v>6382</v>
      </c>
      <c r="C321" s="864">
        <f>UnosNovoZaposl!C311</f>
        <v>0</v>
      </c>
      <c r="D321" s="864"/>
      <c r="E321" s="864"/>
      <c r="F321" s="864"/>
      <c r="G321" s="864"/>
      <c r="H321" s="864"/>
      <c r="I321" s="864"/>
      <c r="J321" s="864"/>
      <c r="K321" s="864"/>
      <c r="L321" s="864"/>
      <c r="M321" s="864"/>
      <c r="N321" s="864">
        <f>UnosNovoZaposl!D311</f>
        <v>0</v>
      </c>
      <c r="O321" s="864"/>
      <c r="P321" s="864"/>
      <c r="Q321" s="864"/>
      <c r="R321" s="864"/>
      <c r="S321" s="864"/>
      <c r="T321" s="864"/>
      <c r="U321" s="868">
        <f>UnosNovoZaposl!E311</f>
        <v>0</v>
      </c>
      <c r="V321" s="868"/>
      <c r="W321" s="868"/>
      <c r="X321" s="868"/>
      <c r="Y321" s="868"/>
      <c r="Z321" s="868"/>
      <c r="AA321" s="868">
        <f>UnosNovoZaposl!B311</f>
        <v>0</v>
      </c>
      <c r="AB321" s="868"/>
      <c r="AC321" s="868"/>
      <c r="AD321" s="868"/>
      <c r="AE321" s="868"/>
      <c r="AF321" s="868"/>
      <c r="AG321" s="868">
        <f>UnosNovoZaposl!F311</f>
        <v>0</v>
      </c>
      <c r="AH321" s="868"/>
      <c r="AI321" s="868"/>
      <c r="AJ321" s="868"/>
      <c r="AK321" s="868"/>
      <c r="AL321" s="868"/>
      <c r="AM321" s="868">
        <f>UnosNovoZaposl!G311</f>
        <v>0</v>
      </c>
      <c r="AN321" s="868"/>
      <c r="AO321" s="868"/>
      <c r="AP321" s="868"/>
      <c r="AQ321" s="868"/>
      <c r="AR321" s="868"/>
      <c r="AS321" s="868">
        <f t="shared" si="6"/>
        <v>0</v>
      </c>
      <c r="AT321" s="868"/>
      <c r="AU321" s="868"/>
      <c r="AV321" s="868"/>
      <c r="AW321" s="868"/>
      <c r="AX321" s="868"/>
    </row>
    <row r="322" s="687" customFormat="1" ht="15" hidden="1" customHeight="1" spans="1:50">
      <c r="A322" s="745"/>
      <c r="B322" s="754" t="s">
        <v>6383</v>
      </c>
      <c r="C322" s="864">
        <f>UnosNovoZaposl!C312</f>
        <v>0</v>
      </c>
      <c r="D322" s="864"/>
      <c r="E322" s="864"/>
      <c r="F322" s="864"/>
      <c r="G322" s="864"/>
      <c r="H322" s="864"/>
      <c r="I322" s="864"/>
      <c r="J322" s="864"/>
      <c r="K322" s="864"/>
      <c r="L322" s="864"/>
      <c r="M322" s="864"/>
      <c r="N322" s="864">
        <f>UnosNovoZaposl!D312</f>
        <v>0</v>
      </c>
      <c r="O322" s="864"/>
      <c r="P322" s="864"/>
      <c r="Q322" s="864"/>
      <c r="R322" s="864"/>
      <c r="S322" s="864"/>
      <c r="T322" s="864"/>
      <c r="U322" s="868">
        <f>UnosNovoZaposl!E312</f>
        <v>0</v>
      </c>
      <c r="V322" s="868"/>
      <c r="W322" s="868"/>
      <c r="X322" s="868"/>
      <c r="Y322" s="868"/>
      <c r="Z322" s="868"/>
      <c r="AA322" s="868">
        <f>UnosNovoZaposl!B312</f>
        <v>0</v>
      </c>
      <c r="AB322" s="868"/>
      <c r="AC322" s="868"/>
      <c r="AD322" s="868"/>
      <c r="AE322" s="868"/>
      <c r="AF322" s="868"/>
      <c r="AG322" s="868">
        <f>UnosNovoZaposl!F312</f>
        <v>0</v>
      </c>
      <c r="AH322" s="868"/>
      <c r="AI322" s="868"/>
      <c r="AJ322" s="868"/>
      <c r="AK322" s="868"/>
      <c r="AL322" s="868"/>
      <c r="AM322" s="868">
        <f>UnosNovoZaposl!G312</f>
        <v>0</v>
      </c>
      <c r="AN322" s="868"/>
      <c r="AO322" s="868"/>
      <c r="AP322" s="868"/>
      <c r="AQ322" s="868"/>
      <c r="AR322" s="868"/>
      <c r="AS322" s="868">
        <f t="shared" si="6"/>
        <v>0</v>
      </c>
      <c r="AT322" s="868"/>
      <c r="AU322" s="868"/>
      <c r="AV322" s="868"/>
      <c r="AW322" s="868"/>
      <c r="AX322" s="868"/>
    </row>
    <row r="323" s="687" customFormat="1" ht="15" hidden="1" customHeight="1" spans="1:50">
      <c r="A323" s="745"/>
      <c r="B323" s="754" t="s">
        <v>6384</v>
      </c>
      <c r="C323" s="864">
        <f>UnosNovoZaposl!C313</f>
        <v>0</v>
      </c>
      <c r="D323" s="864"/>
      <c r="E323" s="864"/>
      <c r="F323" s="864"/>
      <c r="G323" s="864"/>
      <c r="H323" s="864"/>
      <c r="I323" s="864"/>
      <c r="J323" s="864"/>
      <c r="K323" s="864"/>
      <c r="L323" s="864"/>
      <c r="M323" s="864"/>
      <c r="N323" s="864">
        <f>UnosNovoZaposl!D313</f>
        <v>0</v>
      </c>
      <c r="O323" s="864"/>
      <c r="P323" s="864"/>
      <c r="Q323" s="864"/>
      <c r="R323" s="864"/>
      <c r="S323" s="864"/>
      <c r="T323" s="864"/>
      <c r="U323" s="868">
        <f>UnosNovoZaposl!E313</f>
        <v>0</v>
      </c>
      <c r="V323" s="868"/>
      <c r="W323" s="868"/>
      <c r="X323" s="868"/>
      <c r="Y323" s="868"/>
      <c r="Z323" s="868"/>
      <c r="AA323" s="868">
        <f>UnosNovoZaposl!B313</f>
        <v>0</v>
      </c>
      <c r="AB323" s="868"/>
      <c r="AC323" s="868"/>
      <c r="AD323" s="868"/>
      <c r="AE323" s="868"/>
      <c r="AF323" s="868"/>
      <c r="AG323" s="868">
        <f>UnosNovoZaposl!F313</f>
        <v>0</v>
      </c>
      <c r="AH323" s="868"/>
      <c r="AI323" s="868"/>
      <c r="AJ323" s="868"/>
      <c r="AK323" s="868"/>
      <c r="AL323" s="868"/>
      <c r="AM323" s="868">
        <f>UnosNovoZaposl!G313</f>
        <v>0</v>
      </c>
      <c r="AN323" s="868"/>
      <c r="AO323" s="868"/>
      <c r="AP323" s="868"/>
      <c r="AQ323" s="868"/>
      <c r="AR323" s="868"/>
      <c r="AS323" s="868">
        <f t="shared" si="6"/>
        <v>0</v>
      </c>
      <c r="AT323" s="868"/>
      <c r="AU323" s="868"/>
      <c r="AV323" s="868"/>
      <c r="AW323" s="868"/>
      <c r="AX323" s="868"/>
    </row>
    <row r="324" s="687" customFormat="1" ht="15" hidden="1" customHeight="1" spans="1:50">
      <c r="A324" s="745"/>
      <c r="B324" s="754" t="s">
        <v>6385</v>
      </c>
      <c r="C324" s="864">
        <f>UnosNovoZaposl!C314</f>
        <v>0</v>
      </c>
      <c r="D324" s="864"/>
      <c r="E324" s="864"/>
      <c r="F324" s="864"/>
      <c r="G324" s="864"/>
      <c r="H324" s="864"/>
      <c r="I324" s="864"/>
      <c r="J324" s="864"/>
      <c r="K324" s="864"/>
      <c r="L324" s="864"/>
      <c r="M324" s="864"/>
      <c r="N324" s="864">
        <f>UnosNovoZaposl!D314</f>
        <v>0</v>
      </c>
      <c r="O324" s="864"/>
      <c r="P324" s="864"/>
      <c r="Q324" s="864"/>
      <c r="R324" s="864"/>
      <c r="S324" s="864"/>
      <c r="T324" s="864"/>
      <c r="U324" s="868">
        <f>UnosNovoZaposl!E314</f>
        <v>0</v>
      </c>
      <c r="V324" s="868"/>
      <c r="W324" s="868"/>
      <c r="X324" s="868"/>
      <c r="Y324" s="868"/>
      <c r="Z324" s="868"/>
      <c r="AA324" s="868">
        <f>UnosNovoZaposl!B314</f>
        <v>0</v>
      </c>
      <c r="AB324" s="868"/>
      <c r="AC324" s="868"/>
      <c r="AD324" s="868"/>
      <c r="AE324" s="868"/>
      <c r="AF324" s="868"/>
      <c r="AG324" s="868">
        <f>UnosNovoZaposl!F314</f>
        <v>0</v>
      </c>
      <c r="AH324" s="868"/>
      <c r="AI324" s="868"/>
      <c r="AJ324" s="868"/>
      <c r="AK324" s="868"/>
      <c r="AL324" s="868"/>
      <c r="AM324" s="868">
        <f>UnosNovoZaposl!G314</f>
        <v>0</v>
      </c>
      <c r="AN324" s="868"/>
      <c r="AO324" s="868"/>
      <c r="AP324" s="868"/>
      <c r="AQ324" s="868"/>
      <c r="AR324" s="868"/>
      <c r="AS324" s="868">
        <f t="shared" si="6"/>
        <v>0</v>
      </c>
      <c r="AT324" s="868"/>
      <c r="AU324" s="868"/>
      <c r="AV324" s="868"/>
      <c r="AW324" s="868"/>
      <c r="AX324" s="868"/>
    </row>
    <row r="325" s="687" customFormat="1" ht="15" hidden="1" customHeight="1" spans="1:50">
      <c r="A325" s="745"/>
      <c r="B325" s="754" t="s">
        <v>6386</v>
      </c>
      <c r="C325" s="864">
        <f>UnosNovoZaposl!C315</f>
        <v>0</v>
      </c>
      <c r="D325" s="864"/>
      <c r="E325" s="864"/>
      <c r="F325" s="864"/>
      <c r="G325" s="864"/>
      <c r="H325" s="864"/>
      <c r="I325" s="864"/>
      <c r="J325" s="864"/>
      <c r="K325" s="864"/>
      <c r="L325" s="864"/>
      <c r="M325" s="864"/>
      <c r="N325" s="864">
        <f>UnosNovoZaposl!D315</f>
        <v>0</v>
      </c>
      <c r="O325" s="864"/>
      <c r="P325" s="864"/>
      <c r="Q325" s="864"/>
      <c r="R325" s="864"/>
      <c r="S325" s="864"/>
      <c r="T325" s="864"/>
      <c r="U325" s="868">
        <f>UnosNovoZaposl!E315</f>
        <v>0</v>
      </c>
      <c r="V325" s="868"/>
      <c r="W325" s="868"/>
      <c r="X325" s="868"/>
      <c r="Y325" s="868"/>
      <c r="Z325" s="868"/>
      <c r="AA325" s="868">
        <f>UnosNovoZaposl!B315</f>
        <v>0</v>
      </c>
      <c r="AB325" s="868"/>
      <c r="AC325" s="868"/>
      <c r="AD325" s="868"/>
      <c r="AE325" s="868"/>
      <c r="AF325" s="868"/>
      <c r="AG325" s="868">
        <f>UnosNovoZaposl!F315</f>
        <v>0</v>
      </c>
      <c r="AH325" s="868"/>
      <c r="AI325" s="868"/>
      <c r="AJ325" s="868"/>
      <c r="AK325" s="868"/>
      <c r="AL325" s="868"/>
      <c r="AM325" s="868">
        <f>UnosNovoZaposl!G315</f>
        <v>0</v>
      </c>
      <c r="AN325" s="868"/>
      <c r="AO325" s="868"/>
      <c r="AP325" s="868"/>
      <c r="AQ325" s="868"/>
      <c r="AR325" s="868"/>
      <c r="AS325" s="868">
        <f t="shared" si="6"/>
        <v>0</v>
      </c>
      <c r="AT325" s="868"/>
      <c r="AU325" s="868"/>
      <c r="AV325" s="868"/>
      <c r="AW325" s="868"/>
      <c r="AX325" s="868"/>
    </row>
    <row r="326" s="687" customFormat="1" ht="15" hidden="1" customHeight="1" spans="1:50">
      <c r="A326" s="745"/>
      <c r="B326" s="754" t="s">
        <v>6387</v>
      </c>
      <c r="C326" s="864">
        <f>UnosNovoZaposl!C316</f>
        <v>0</v>
      </c>
      <c r="D326" s="864"/>
      <c r="E326" s="864"/>
      <c r="F326" s="864"/>
      <c r="G326" s="864"/>
      <c r="H326" s="864"/>
      <c r="I326" s="864"/>
      <c r="J326" s="864"/>
      <c r="K326" s="864"/>
      <c r="L326" s="864"/>
      <c r="M326" s="864"/>
      <c r="N326" s="864">
        <f>UnosNovoZaposl!D316</f>
        <v>0</v>
      </c>
      <c r="O326" s="864"/>
      <c r="P326" s="864"/>
      <c r="Q326" s="864"/>
      <c r="R326" s="864"/>
      <c r="S326" s="864"/>
      <c r="T326" s="864"/>
      <c r="U326" s="868">
        <f>UnosNovoZaposl!E316</f>
        <v>0</v>
      </c>
      <c r="V326" s="868"/>
      <c r="W326" s="868"/>
      <c r="X326" s="868"/>
      <c r="Y326" s="868"/>
      <c r="Z326" s="868"/>
      <c r="AA326" s="868">
        <f>UnosNovoZaposl!B316</f>
        <v>0</v>
      </c>
      <c r="AB326" s="868"/>
      <c r="AC326" s="868"/>
      <c r="AD326" s="868"/>
      <c r="AE326" s="868"/>
      <c r="AF326" s="868"/>
      <c r="AG326" s="868">
        <f>UnosNovoZaposl!F316</f>
        <v>0</v>
      </c>
      <c r="AH326" s="868"/>
      <c r="AI326" s="868"/>
      <c r="AJ326" s="868"/>
      <c r="AK326" s="868"/>
      <c r="AL326" s="868"/>
      <c r="AM326" s="868">
        <f>UnosNovoZaposl!G316</f>
        <v>0</v>
      </c>
      <c r="AN326" s="868"/>
      <c r="AO326" s="868"/>
      <c r="AP326" s="868"/>
      <c r="AQ326" s="868"/>
      <c r="AR326" s="868"/>
      <c r="AS326" s="868">
        <f t="shared" si="6"/>
        <v>0</v>
      </c>
      <c r="AT326" s="868"/>
      <c r="AU326" s="868"/>
      <c r="AV326" s="868"/>
      <c r="AW326" s="868"/>
      <c r="AX326" s="868"/>
    </row>
    <row r="327" s="687" customFormat="1" ht="15" hidden="1" customHeight="1" spans="1:50">
      <c r="A327" s="745"/>
      <c r="B327" s="754" t="s">
        <v>6388</v>
      </c>
      <c r="C327" s="864">
        <f>UnosNovoZaposl!C317</f>
        <v>0</v>
      </c>
      <c r="D327" s="864"/>
      <c r="E327" s="864"/>
      <c r="F327" s="864"/>
      <c r="G327" s="864"/>
      <c r="H327" s="864"/>
      <c r="I327" s="864"/>
      <c r="J327" s="864"/>
      <c r="K327" s="864"/>
      <c r="L327" s="864"/>
      <c r="M327" s="864"/>
      <c r="N327" s="864">
        <f>UnosNovoZaposl!D317</f>
        <v>0</v>
      </c>
      <c r="O327" s="864"/>
      <c r="P327" s="864"/>
      <c r="Q327" s="864"/>
      <c r="R327" s="864"/>
      <c r="S327" s="864"/>
      <c r="T327" s="864"/>
      <c r="U327" s="868">
        <f>UnosNovoZaposl!E317</f>
        <v>0</v>
      </c>
      <c r="V327" s="868"/>
      <c r="W327" s="868"/>
      <c r="X327" s="868"/>
      <c r="Y327" s="868"/>
      <c r="Z327" s="868"/>
      <c r="AA327" s="868">
        <f>UnosNovoZaposl!B317</f>
        <v>0</v>
      </c>
      <c r="AB327" s="868"/>
      <c r="AC327" s="868"/>
      <c r="AD327" s="868"/>
      <c r="AE327" s="868"/>
      <c r="AF327" s="868"/>
      <c r="AG327" s="868">
        <f>UnosNovoZaposl!F317</f>
        <v>0</v>
      </c>
      <c r="AH327" s="868"/>
      <c r="AI327" s="868"/>
      <c r="AJ327" s="868"/>
      <c r="AK327" s="868"/>
      <c r="AL327" s="868"/>
      <c r="AM327" s="868">
        <f>UnosNovoZaposl!G317</f>
        <v>0</v>
      </c>
      <c r="AN327" s="868"/>
      <c r="AO327" s="868"/>
      <c r="AP327" s="868"/>
      <c r="AQ327" s="868"/>
      <c r="AR327" s="868"/>
      <c r="AS327" s="868">
        <f t="shared" si="6"/>
        <v>0</v>
      </c>
      <c r="AT327" s="868"/>
      <c r="AU327" s="868"/>
      <c r="AV327" s="868"/>
      <c r="AW327" s="868"/>
      <c r="AX327" s="868"/>
    </row>
    <row r="328" s="687" customFormat="1" ht="15" hidden="1" customHeight="1" spans="1:50">
      <c r="A328" s="745"/>
      <c r="B328" s="754" t="s">
        <v>6389</v>
      </c>
      <c r="C328" s="864">
        <f>UnosNovoZaposl!C318</f>
        <v>0</v>
      </c>
      <c r="D328" s="864"/>
      <c r="E328" s="864"/>
      <c r="F328" s="864"/>
      <c r="G328" s="864"/>
      <c r="H328" s="864"/>
      <c r="I328" s="864"/>
      <c r="J328" s="864"/>
      <c r="K328" s="864"/>
      <c r="L328" s="864"/>
      <c r="M328" s="864"/>
      <c r="N328" s="864">
        <f>UnosNovoZaposl!D318</f>
        <v>0</v>
      </c>
      <c r="O328" s="864"/>
      <c r="P328" s="864"/>
      <c r="Q328" s="864"/>
      <c r="R328" s="864"/>
      <c r="S328" s="864"/>
      <c r="T328" s="864"/>
      <c r="U328" s="868">
        <f>UnosNovoZaposl!E318</f>
        <v>0</v>
      </c>
      <c r="V328" s="868"/>
      <c r="W328" s="868"/>
      <c r="X328" s="868"/>
      <c r="Y328" s="868"/>
      <c r="Z328" s="868"/>
      <c r="AA328" s="868">
        <f>UnosNovoZaposl!B318</f>
        <v>0</v>
      </c>
      <c r="AB328" s="868"/>
      <c r="AC328" s="868"/>
      <c r="AD328" s="868"/>
      <c r="AE328" s="868"/>
      <c r="AF328" s="868"/>
      <c r="AG328" s="868">
        <f>UnosNovoZaposl!F318</f>
        <v>0</v>
      </c>
      <c r="AH328" s="868"/>
      <c r="AI328" s="868"/>
      <c r="AJ328" s="868"/>
      <c r="AK328" s="868"/>
      <c r="AL328" s="868"/>
      <c r="AM328" s="868">
        <f>UnosNovoZaposl!G318</f>
        <v>0</v>
      </c>
      <c r="AN328" s="868"/>
      <c r="AO328" s="868"/>
      <c r="AP328" s="868"/>
      <c r="AQ328" s="868"/>
      <c r="AR328" s="868"/>
      <c r="AS328" s="868">
        <f t="shared" si="6"/>
        <v>0</v>
      </c>
      <c r="AT328" s="868"/>
      <c r="AU328" s="868"/>
      <c r="AV328" s="868"/>
      <c r="AW328" s="868"/>
      <c r="AX328" s="868"/>
    </row>
    <row r="329" s="687" customFormat="1" ht="15" hidden="1" customHeight="1" spans="1:50">
      <c r="A329" s="745"/>
      <c r="B329" s="754" t="s">
        <v>6390</v>
      </c>
      <c r="C329" s="864">
        <f>UnosNovoZaposl!C319</f>
        <v>0</v>
      </c>
      <c r="D329" s="864"/>
      <c r="E329" s="864"/>
      <c r="F329" s="864"/>
      <c r="G329" s="864"/>
      <c r="H329" s="864"/>
      <c r="I329" s="864"/>
      <c r="J329" s="864"/>
      <c r="K329" s="864"/>
      <c r="L329" s="864"/>
      <c r="M329" s="864"/>
      <c r="N329" s="864">
        <f>UnosNovoZaposl!D319</f>
        <v>0</v>
      </c>
      <c r="O329" s="864"/>
      <c r="P329" s="864"/>
      <c r="Q329" s="864"/>
      <c r="R329" s="864"/>
      <c r="S329" s="864"/>
      <c r="T329" s="864"/>
      <c r="U329" s="868">
        <f>UnosNovoZaposl!E319</f>
        <v>0</v>
      </c>
      <c r="V329" s="868"/>
      <c r="W329" s="868"/>
      <c r="X329" s="868"/>
      <c r="Y329" s="868"/>
      <c r="Z329" s="868"/>
      <c r="AA329" s="868">
        <f>UnosNovoZaposl!B319</f>
        <v>0</v>
      </c>
      <c r="AB329" s="868"/>
      <c r="AC329" s="868"/>
      <c r="AD329" s="868"/>
      <c r="AE329" s="868"/>
      <c r="AF329" s="868"/>
      <c r="AG329" s="868">
        <f>UnosNovoZaposl!F319</f>
        <v>0</v>
      </c>
      <c r="AH329" s="868"/>
      <c r="AI329" s="868"/>
      <c r="AJ329" s="868"/>
      <c r="AK329" s="868"/>
      <c r="AL329" s="868"/>
      <c r="AM329" s="868">
        <f>UnosNovoZaposl!G319</f>
        <v>0</v>
      </c>
      <c r="AN329" s="868"/>
      <c r="AO329" s="868"/>
      <c r="AP329" s="868"/>
      <c r="AQ329" s="868"/>
      <c r="AR329" s="868"/>
      <c r="AS329" s="868">
        <f t="shared" si="6"/>
        <v>0</v>
      </c>
      <c r="AT329" s="868"/>
      <c r="AU329" s="868"/>
      <c r="AV329" s="868"/>
      <c r="AW329" s="868"/>
      <c r="AX329" s="868"/>
    </row>
    <row r="330" s="687" customFormat="1" ht="15" hidden="1" customHeight="1" spans="1:50">
      <c r="A330" s="745"/>
      <c r="B330" s="754" t="s">
        <v>6391</v>
      </c>
      <c r="C330" s="864">
        <f>UnosNovoZaposl!C320</f>
        <v>0</v>
      </c>
      <c r="D330" s="864"/>
      <c r="E330" s="864"/>
      <c r="F330" s="864"/>
      <c r="G330" s="864"/>
      <c r="H330" s="864"/>
      <c r="I330" s="864"/>
      <c r="J330" s="864"/>
      <c r="K330" s="864"/>
      <c r="L330" s="864"/>
      <c r="M330" s="864"/>
      <c r="N330" s="864">
        <f>UnosNovoZaposl!D320</f>
        <v>0</v>
      </c>
      <c r="O330" s="864"/>
      <c r="P330" s="864"/>
      <c r="Q330" s="864"/>
      <c r="R330" s="864"/>
      <c r="S330" s="864"/>
      <c r="T330" s="864"/>
      <c r="U330" s="868">
        <f>UnosNovoZaposl!E320</f>
        <v>0</v>
      </c>
      <c r="V330" s="868"/>
      <c r="W330" s="868"/>
      <c r="X330" s="868"/>
      <c r="Y330" s="868"/>
      <c r="Z330" s="868"/>
      <c r="AA330" s="868">
        <f>UnosNovoZaposl!B320</f>
        <v>0</v>
      </c>
      <c r="AB330" s="868"/>
      <c r="AC330" s="868"/>
      <c r="AD330" s="868"/>
      <c r="AE330" s="868"/>
      <c r="AF330" s="868"/>
      <c r="AG330" s="868">
        <f>UnosNovoZaposl!F320</f>
        <v>0</v>
      </c>
      <c r="AH330" s="868"/>
      <c r="AI330" s="868"/>
      <c r="AJ330" s="868"/>
      <c r="AK330" s="868"/>
      <c r="AL330" s="868"/>
      <c r="AM330" s="868">
        <f>UnosNovoZaposl!G320</f>
        <v>0</v>
      </c>
      <c r="AN330" s="868"/>
      <c r="AO330" s="868"/>
      <c r="AP330" s="868"/>
      <c r="AQ330" s="868"/>
      <c r="AR330" s="868"/>
      <c r="AS330" s="868">
        <f t="shared" si="6"/>
        <v>0</v>
      </c>
      <c r="AT330" s="868"/>
      <c r="AU330" s="868"/>
      <c r="AV330" s="868"/>
      <c r="AW330" s="868"/>
      <c r="AX330" s="868"/>
    </row>
    <row r="331" s="687" customFormat="1" ht="15" hidden="1" customHeight="1" spans="1:50">
      <c r="A331" s="745"/>
      <c r="B331" s="754" t="s">
        <v>6392</v>
      </c>
      <c r="C331" s="864">
        <f>UnosNovoZaposl!C321</f>
        <v>0</v>
      </c>
      <c r="D331" s="864"/>
      <c r="E331" s="864"/>
      <c r="F331" s="864"/>
      <c r="G331" s="864"/>
      <c r="H331" s="864"/>
      <c r="I331" s="864"/>
      <c r="J331" s="864"/>
      <c r="K331" s="864"/>
      <c r="L331" s="864"/>
      <c r="M331" s="864"/>
      <c r="N331" s="864">
        <f>UnosNovoZaposl!D321</f>
        <v>0</v>
      </c>
      <c r="O331" s="864"/>
      <c r="P331" s="864"/>
      <c r="Q331" s="864"/>
      <c r="R331" s="864"/>
      <c r="S331" s="864"/>
      <c r="T331" s="864"/>
      <c r="U331" s="868">
        <f>UnosNovoZaposl!E321</f>
        <v>0</v>
      </c>
      <c r="V331" s="868"/>
      <c r="W331" s="868"/>
      <c r="X331" s="868"/>
      <c r="Y331" s="868"/>
      <c r="Z331" s="868"/>
      <c r="AA331" s="868">
        <f>UnosNovoZaposl!B321</f>
        <v>0</v>
      </c>
      <c r="AB331" s="868"/>
      <c r="AC331" s="868"/>
      <c r="AD331" s="868"/>
      <c r="AE331" s="868"/>
      <c r="AF331" s="868"/>
      <c r="AG331" s="868">
        <f>UnosNovoZaposl!F321</f>
        <v>0</v>
      </c>
      <c r="AH331" s="868"/>
      <c r="AI331" s="868"/>
      <c r="AJ331" s="868"/>
      <c r="AK331" s="868"/>
      <c r="AL331" s="868"/>
      <c r="AM331" s="868">
        <f>UnosNovoZaposl!G321</f>
        <v>0</v>
      </c>
      <c r="AN331" s="868"/>
      <c r="AO331" s="868"/>
      <c r="AP331" s="868"/>
      <c r="AQ331" s="868"/>
      <c r="AR331" s="868"/>
      <c r="AS331" s="868">
        <f t="shared" si="6"/>
        <v>0</v>
      </c>
      <c r="AT331" s="868"/>
      <c r="AU331" s="868"/>
      <c r="AV331" s="868"/>
      <c r="AW331" s="868"/>
      <c r="AX331" s="868"/>
    </row>
    <row r="332" s="687" customFormat="1" ht="15" hidden="1" customHeight="1" spans="1:50">
      <c r="A332" s="745"/>
      <c r="B332" s="754" t="s">
        <v>6393</v>
      </c>
      <c r="C332" s="864">
        <f>UnosNovoZaposl!C322</f>
        <v>0</v>
      </c>
      <c r="D332" s="864"/>
      <c r="E332" s="864"/>
      <c r="F332" s="864"/>
      <c r="G332" s="864"/>
      <c r="H332" s="864"/>
      <c r="I332" s="864"/>
      <c r="J332" s="864"/>
      <c r="K332" s="864"/>
      <c r="L332" s="864"/>
      <c r="M332" s="864"/>
      <c r="N332" s="864">
        <f>UnosNovoZaposl!D322</f>
        <v>0</v>
      </c>
      <c r="O332" s="864"/>
      <c r="P332" s="864"/>
      <c r="Q332" s="864"/>
      <c r="R332" s="864"/>
      <c r="S332" s="864"/>
      <c r="T332" s="864"/>
      <c r="U332" s="868">
        <f>UnosNovoZaposl!E322</f>
        <v>0</v>
      </c>
      <c r="V332" s="868"/>
      <c r="W332" s="868"/>
      <c r="X332" s="868"/>
      <c r="Y332" s="868"/>
      <c r="Z332" s="868"/>
      <c r="AA332" s="868">
        <f>UnosNovoZaposl!B322</f>
        <v>0</v>
      </c>
      <c r="AB332" s="868"/>
      <c r="AC332" s="868"/>
      <c r="AD332" s="868"/>
      <c r="AE332" s="868"/>
      <c r="AF332" s="868"/>
      <c r="AG332" s="868">
        <f>UnosNovoZaposl!F322</f>
        <v>0</v>
      </c>
      <c r="AH332" s="868"/>
      <c r="AI332" s="868"/>
      <c r="AJ332" s="868"/>
      <c r="AK332" s="868"/>
      <c r="AL332" s="868"/>
      <c r="AM332" s="868">
        <f>UnosNovoZaposl!G322</f>
        <v>0</v>
      </c>
      <c r="AN332" s="868"/>
      <c r="AO332" s="868"/>
      <c r="AP332" s="868"/>
      <c r="AQ332" s="868"/>
      <c r="AR332" s="868"/>
      <c r="AS332" s="868">
        <f t="shared" si="6"/>
        <v>0</v>
      </c>
      <c r="AT332" s="868"/>
      <c r="AU332" s="868"/>
      <c r="AV332" s="868"/>
      <c r="AW332" s="868"/>
      <c r="AX332" s="868"/>
    </row>
    <row r="333" s="687" customFormat="1" ht="15" hidden="1" customHeight="1" spans="1:50">
      <c r="A333" s="745"/>
      <c r="B333" s="754" t="s">
        <v>6394</v>
      </c>
      <c r="C333" s="864">
        <f>UnosNovoZaposl!C323</f>
        <v>0</v>
      </c>
      <c r="D333" s="864"/>
      <c r="E333" s="864"/>
      <c r="F333" s="864"/>
      <c r="G333" s="864"/>
      <c r="H333" s="864"/>
      <c r="I333" s="864"/>
      <c r="J333" s="864"/>
      <c r="K333" s="864"/>
      <c r="L333" s="864"/>
      <c r="M333" s="864"/>
      <c r="N333" s="864">
        <f>UnosNovoZaposl!D323</f>
        <v>0</v>
      </c>
      <c r="O333" s="864"/>
      <c r="P333" s="864"/>
      <c r="Q333" s="864"/>
      <c r="R333" s="864"/>
      <c r="S333" s="864"/>
      <c r="T333" s="864"/>
      <c r="U333" s="868">
        <f>UnosNovoZaposl!E323</f>
        <v>0</v>
      </c>
      <c r="V333" s="868"/>
      <c r="W333" s="868"/>
      <c r="X333" s="868"/>
      <c r="Y333" s="868"/>
      <c r="Z333" s="868"/>
      <c r="AA333" s="868">
        <f>UnosNovoZaposl!B323</f>
        <v>0</v>
      </c>
      <c r="AB333" s="868"/>
      <c r="AC333" s="868"/>
      <c r="AD333" s="868"/>
      <c r="AE333" s="868"/>
      <c r="AF333" s="868"/>
      <c r="AG333" s="868">
        <f>UnosNovoZaposl!F323</f>
        <v>0</v>
      </c>
      <c r="AH333" s="868"/>
      <c r="AI333" s="868"/>
      <c r="AJ333" s="868"/>
      <c r="AK333" s="868"/>
      <c r="AL333" s="868"/>
      <c r="AM333" s="868">
        <f>UnosNovoZaposl!G323</f>
        <v>0</v>
      </c>
      <c r="AN333" s="868"/>
      <c r="AO333" s="868"/>
      <c r="AP333" s="868"/>
      <c r="AQ333" s="868"/>
      <c r="AR333" s="868"/>
      <c r="AS333" s="868">
        <f t="shared" si="6"/>
        <v>0</v>
      </c>
      <c r="AT333" s="868"/>
      <c r="AU333" s="868"/>
      <c r="AV333" s="868"/>
      <c r="AW333" s="868"/>
      <c r="AX333" s="868"/>
    </row>
    <row r="334" s="687" customFormat="1" ht="15" hidden="1" customHeight="1" spans="1:50">
      <c r="A334" s="745"/>
      <c r="B334" s="754" t="s">
        <v>6395</v>
      </c>
      <c r="C334" s="864">
        <f>UnosNovoZaposl!C324</f>
        <v>0</v>
      </c>
      <c r="D334" s="864"/>
      <c r="E334" s="864"/>
      <c r="F334" s="864"/>
      <c r="G334" s="864"/>
      <c r="H334" s="864"/>
      <c r="I334" s="864"/>
      <c r="J334" s="864"/>
      <c r="K334" s="864"/>
      <c r="L334" s="864"/>
      <c r="M334" s="864"/>
      <c r="N334" s="864">
        <f>UnosNovoZaposl!D324</f>
        <v>0</v>
      </c>
      <c r="O334" s="864"/>
      <c r="P334" s="864"/>
      <c r="Q334" s="864"/>
      <c r="R334" s="864"/>
      <c r="S334" s="864"/>
      <c r="T334" s="864"/>
      <c r="U334" s="868">
        <f>UnosNovoZaposl!E324</f>
        <v>0</v>
      </c>
      <c r="V334" s="868"/>
      <c r="W334" s="868"/>
      <c r="X334" s="868"/>
      <c r="Y334" s="868"/>
      <c r="Z334" s="868"/>
      <c r="AA334" s="868">
        <f>UnosNovoZaposl!B324</f>
        <v>0</v>
      </c>
      <c r="AB334" s="868"/>
      <c r="AC334" s="868"/>
      <c r="AD334" s="868"/>
      <c r="AE334" s="868"/>
      <c r="AF334" s="868"/>
      <c r="AG334" s="868">
        <f>UnosNovoZaposl!F324</f>
        <v>0</v>
      </c>
      <c r="AH334" s="868"/>
      <c r="AI334" s="868"/>
      <c r="AJ334" s="868"/>
      <c r="AK334" s="868"/>
      <c r="AL334" s="868"/>
      <c r="AM334" s="868">
        <f>UnosNovoZaposl!G324</f>
        <v>0</v>
      </c>
      <c r="AN334" s="868"/>
      <c r="AO334" s="868"/>
      <c r="AP334" s="868"/>
      <c r="AQ334" s="868"/>
      <c r="AR334" s="868"/>
      <c r="AS334" s="868">
        <f t="shared" si="6"/>
        <v>0</v>
      </c>
      <c r="AT334" s="868"/>
      <c r="AU334" s="868"/>
      <c r="AV334" s="868"/>
      <c r="AW334" s="868"/>
      <c r="AX334" s="868"/>
    </row>
    <row r="335" s="687" customFormat="1" ht="15" hidden="1" customHeight="1" spans="1:50">
      <c r="A335" s="745"/>
      <c r="B335" s="754" t="s">
        <v>6396</v>
      </c>
      <c r="C335" s="864">
        <f>UnosNovoZaposl!C325</f>
        <v>0</v>
      </c>
      <c r="D335" s="864"/>
      <c r="E335" s="864"/>
      <c r="F335" s="864"/>
      <c r="G335" s="864"/>
      <c r="H335" s="864"/>
      <c r="I335" s="864"/>
      <c r="J335" s="864"/>
      <c r="K335" s="864"/>
      <c r="L335" s="864"/>
      <c r="M335" s="864"/>
      <c r="N335" s="864">
        <f>UnosNovoZaposl!D325</f>
        <v>0</v>
      </c>
      <c r="O335" s="864"/>
      <c r="P335" s="864"/>
      <c r="Q335" s="864"/>
      <c r="R335" s="864"/>
      <c r="S335" s="864"/>
      <c r="T335" s="864"/>
      <c r="U335" s="868">
        <f>UnosNovoZaposl!E325</f>
        <v>0</v>
      </c>
      <c r="V335" s="868"/>
      <c r="W335" s="868"/>
      <c r="X335" s="868"/>
      <c r="Y335" s="868"/>
      <c r="Z335" s="868"/>
      <c r="AA335" s="868">
        <f>UnosNovoZaposl!B325</f>
        <v>0</v>
      </c>
      <c r="AB335" s="868"/>
      <c r="AC335" s="868"/>
      <c r="AD335" s="868"/>
      <c r="AE335" s="868"/>
      <c r="AF335" s="868"/>
      <c r="AG335" s="868">
        <f>UnosNovoZaposl!F325</f>
        <v>0</v>
      </c>
      <c r="AH335" s="868"/>
      <c r="AI335" s="868"/>
      <c r="AJ335" s="868"/>
      <c r="AK335" s="868"/>
      <c r="AL335" s="868"/>
      <c r="AM335" s="868">
        <f>UnosNovoZaposl!G325</f>
        <v>0</v>
      </c>
      <c r="AN335" s="868"/>
      <c r="AO335" s="868"/>
      <c r="AP335" s="868"/>
      <c r="AQ335" s="868"/>
      <c r="AR335" s="868"/>
      <c r="AS335" s="868">
        <f t="shared" si="6"/>
        <v>0</v>
      </c>
      <c r="AT335" s="868"/>
      <c r="AU335" s="868"/>
      <c r="AV335" s="868"/>
      <c r="AW335" s="868"/>
      <c r="AX335" s="868"/>
    </row>
    <row r="336" s="687" customFormat="1" ht="15" hidden="1" customHeight="1" spans="1:50">
      <c r="A336" s="745"/>
      <c r="B336" s="754" t="s">
        <v>6397</v>
      </c>
      <c r="C336" s="864">
        <f>UnosNovoZaposl!C326</f>
        <v>0</v>
      </c>
      <c r="D336" s="864"/>
      <c r="E336" s="864"/>
      <c r="F336" s="864"/>
      <c r="G336" s="864"/>
      <c r="H336" s="864"/>
      <c r="I336" s="864"/>
      <c r="J336" s="864"/>
      <c r="K336" s="864"/>
      <c r="L336" s="864"/>
      <c r="M336" s="864"/>
      <c r="N336" s="864">
        <f>UnosNovoZaposl!D326</f>
        <v>0</v>
      </c>
      <c r="O336" s="864"/>
      <c r="P336" s="864"/>
      <c r="Q336" s="864"/>
      <c r="R336" s="864"/>
      <c r="S336" s="864"/>
      <c r="T336" s="864"/>
      <c r="U336" s="868">
        <f>UnosNovoZaposl!E326</f>
        <v>0</v>
      </c>
      <c r="V336" s="868"/>
      <c r="W336" s="868"/>
      <c r="X336" s="868"/>
      <c r="Y336" s="868"/>
      <c r="Z336" s="868"/>
      <c r="AA336" s="868">
        <f>UnosNovoZaposl!B326</f>
        <v>0</v>
      </c>
      <c r="AB336" s="868"/>
      <c r="AC336" s="868"/>
      <c r="AD336" s="868"/>
      <c r="AE336" s="868"/>
      <c r="AF336" s="868"/>
      <c r="AG336" s="868">
        <f>UnosNovoZaposl!F326</f>
        <v>0</v>
      </c>
      <c r="AH336" s="868"/>
      <c r="AI336" s="868"/>
      <c r="AJ336" s="868"/>
      <c r="AK336" s="868"/>
      <c r="AL336" s="868"/>
      <c r="AM336" s="868">
        <f>UnosNovoZaposl!G326</f>
        <v>0</v>
      </c>
      <c r="AN336" s="868"/>
      <c r="AO336" s="868"/>
      <c r="AP336" s="868"/>
      <c r="AQ336" s="868"/>
      <c r="AR336" s="868"/>
      <c r="AS336" s="868">
        <f t="shared" si="6"/>
        <v>0</v>
      </c>
      <c r="AT336" s="868"/>
      <c r="AU336" s="868"/>
      <c r="AV336" s="868"/>
      <c r="AW336" s="868"/>
      <c r="AX336" s="868"/>
    </row>
    <row r="337" s="687" customFormat="1" ht="15" hidden="1" customHeight="1" spans="1:50">
      <c r="A337" s="745"/>
      <c r="B337" s="754" t="s">
        <v>6398</v>
      </c>
      <c r="C337" s="864">
        <f>UnosNovoZaposl!C327</f>
        <v>0</v>
      </c>
      <c r="D337" s="864"/>
      <c r="E337" s="864"/>
      <c r="F337" s="864"/>
      <c r="G337" s="864"/>
      <c r="H337" s="864"/>
      <c r="I337" s="864"/>
      <c r="J337" s="864"/>
      <c r="K337" s="864"/>
      <c r="L337" s="864"/>
      <c r="M337" s="864"/>
      <c r="N337" s="864">
        <f>UnosNovoZaposl!D327</f>
        <v>0</v>
      </c>
      <c r="O337" s="864"/>
      <c r="P337" s="864"/>
      <c r="Q337" s="864"/>
      <c r="R337" s="864"/>
      <c r="S337" s="864"/>
      <c r="T337" s="864"/>
      <c r="U337" s="868">
        <f>UnosNovoZaposl!E327</f>
        <v>0</v>
      </c>
      <c r="V337" s="868"/>
      <c r="W337" s="868"/>
      <c r="X337" s="868"/>
      <c r="Y337" s="868"/>
      <c r="Z337" s="868"/>
      <c r="AA337" s="868">
        <f>UnosNovoZaposl!B327</f>
        <v>0</v>
      </c>
      <c r="AB337" s="868"/>
      <c r="AC337" s="868"/>
      <c r="AD337" s="868"/>
      <c r="AE337" s="868"/>
      <c r="AF337" s="868"/>
      <c r="AG337" s="868">
        <f>UnosNovoZaposl!F327</f>
        <v>0</v>
      </c>
      <c r="AH337" s="868"/>
      <c r="AI337" s="868"/>
      <c r="AJ337" s="868"/>
      <c r="AK337" s="868"/>
      <c r="AL337" s="868"/>
      <c r="AM337" s="868">
        <f>UnosNovoZaposl!G327</f>
        <v>0</v>
      </c>
      <c r="AN337" s="868"/>
      <c r="AO337" s="868"/>
      <c r="AP337" s="868"/>
      <c r="AQ337" s="868"/>
      <c r="AR337" s="868"/>
      <c r="AS337" s="868">
        <f t="shared" si="6"/>
        <v>0</v>
      </c>
      <c r="AT337" s="868"/>
      <c r="AU337" s="868"/>
      <c r="AV337" s="868"/>
      <c r="AW337" s="868"/>
      <c r="AX337" s="868"/>
    </row>
    <row r="338" s="687" customFormat="1" ht="15" hidden="1" customHeight="1" spans="1:50">
      <c r="A338" s="745"/>
      <c r="B338" s="754" t="s">
        <v>6399</v>
      </c>
      <c r="C338" s="864">
        <f>UnosNovoZaposl!C328</f>
        <v>0</v>
      </c>
      <c r="D338" s="864"/>
      <c r="E338" s="864"/>
      <c r="F338" s="864"/>
      <c r="G338" s="864"/>
      <c r="H338" s="864"/>
      <c r="I338" s="864"/>
      <c r="J338" s="864"/>
      <c r="K338" s="864"/>
      <c r="L338" s="864"/>
      <c r="M338" s="864"/>
      <c r="N338" s="864">
        <f>UnosNovoZaposl!D328</f>
        <v>0</v>
      </c>
      <c r="O338" s="864"/>
      <c r="P338" s="864"/>
      <c r="Q338" s="864"/>
      <c r="R338" s="864"/>
      <c r="S338" s="864"/>
      <c r="T338" s="864"/>
      <c r="U338" s="868">
        <f>UnosNovoZaposl!E328</f>
        <v>0</v>
      </c>
      <c r="V338" s="868"/>
      <c r="W338" s="868"/>
      <c r="X338" s="868"/>
      <c r="Y338" s="868"/>
      <c r="Z338" s="868"/>
      <c r="AA338" s="868">
        <f>UnosNovoZaposl!B328</f>
        <v>0</v>
      </c>
      <c r="AB338" s="868"/>
      <c r="AC338" s="868"/>
      <c r="AD338" s="868"/>
      <c r="AE338" s="868"/>
      <c r="AF338" s="868"/>
      <c r="AG338" s="868">
        <f>UnosNovoZaposl!F328</f>
        <v>0</v>
      </c>
      <c r="AH338" s="868"/>
      <c r="AI338" s="868"/>
      <c r="AJ338" s="868"/>
      <c r="AK338" s="868"/>
      <c r="AL338" s="868"/>
      <c r="AM338" s="868">
        <f>UnosNovoZaposl!G328</f>
        <v>0</v>
      </c>
      <c r="AN338" s="868"/>
      <c r="AO338" s="868"/>
      <c r="AP338" s="868"/>
      <c r="AQ338" s="868"/>
      <c r="AR338" s="868"/>
      <c r="AS338" s="868">
        <f t="shared" si="6"/>
        <v>0</v>
      </c>
      <c r="AT338" s="868"/>
      <c r="AU338" s="868"/>
      <c r="AV338" s="868"/>
      <c r="AW338" s="868"/>
      <c r="AX338" s="868"/>
    </row>
    <row r="339" s="687" customFormat="1" ht="15" hidden="1" customHeight="1" spans="1:50">
      <c r="A339" s="745"/>
      <c r="B339" s="754" t="s">
        <v>6400</v>
      </c>
      <c r="C339" s="864">
        <f>UnosNovoZaposl!C329</f>
        <v>0</v>
      </c>
      <c r="D339" s="864"/>
      <c r="E339" s="864"/>
      <c r="F339" s="864"/>
      <c r="G339" s="864"/>
      <c r="H339" s="864"/>
      <c r="I339" s="864"/>
      <c r="J339" s="864"/>
      <c r="K339" s="864"/>
      <c r="L339" s="864"/>
      <c r="M339" s="864"/>
      <c r="N339" s="864">
        <f>UnosNovoZaposl!D329</f>
        <v>0</v>
      </c>
      <c r="O339" s="864"/>
      <c r="P339" s="864"/>
      <c r="Q339" s="864"/>
      <c r="R339" s="864"/>
      <c r="S339" s="864"/>
      <c r="T339" s="864"/>
      <c r="U339" s="868">
        <f>UnosNovoZaposl!E329</f>
        <v>0</v>
      </c>
      <c r="V339" s="868"/>
      <c r="W339" s="868"/>
      <c r="X339" s="868"/>
      <c r="Y339" s="868"/>
      <c r="Z339" s="868"/>
      <c r="AA339" s="868">
        <f>UnosNovoZaposl!B329</f>
        <v>0</v>
      </c>
      <c r="AB339" s="868"/>
      <c r="AC339" s="868"/>
      <c r="AD339" s="868"/>
      <c r="AE339" s="868"/>
      <c r="AF339" s="868"/>
      <c r="AG339" s="868">
        <f>UnosNovoZaposl!F329</f>
        <v>0</v>
      </c>
      <c r="AH339" s="868"/>
      <c r="AI339" s="868"/>
      <c r="AJ339" s="868"/>
      <c r="AK339" s="868"/>
      <c r="AL339" s="868"/>
      <c r="AM339" s="868">
        <f>UnosNovoZaposl!G329</f>
        <v>0</v>
      </c>
      <c r="AN339" s="868"/>
      <c r="AO339" s="868"/>
      <c r="AP339" s="868"/>
      <c r="AQ339" s="868"/>
      <c r="AR339" s="868"/>
      <c r="AS339" s="868">
        <f t="shared" si="6"/>
        <v>0</v>
      </c>
      <c r="AT339" s="868"/>
      <c r="AU339" s="868"/>
      <c r="AV339" s="868"/>
      <c r="AW339" s="868"/>
      <c r="AX339" s="868"/>
    </row>
    <row r="340" s="687" customFormat="1" ht="15" hidden="1" customHeight="1" spans="1:50">
      <c r="A340" s="745"/>
      <c r="B340" s="754" t="s">
        <v>6401</v>
      </c>
      <c r="C340" s="864">
        <f>UnosNovoZaposl!C330</f>
        <v>0</v>
      </c>
      <c r="D340" s="864"/>
      <c r="E340" s="864"/>
      <c r="F340" s="864"/>
      <c r="G340" s="864"/>
      <c r="H340" s="864"/>
      <c r="I340" s="864"/>
      <c r="J340" s="864"/>
      <c r="K340" s="864"/>
      <c r="L340" s="864"/>
      <c r="M340" s="864"/>
      <c r="N340" s="864">
        <f>UnosNovoZaposl!D330</f>
        <v>0</v>
      </c>
      <c r="O340" s="864"/>
      <c r="P340" s="864"/>
      <c r="Q340" s="864"/>
      <c r="R340" s="864"/>
      <c r="S340" s="864"/>
      <c r="T340" s="864"/>
      <c r="U340" s="868">
        <f>UnosNovoZaposl!E330</f>
        <v>0</v>
      </c>
      <c r="V340" s="868"/>
      <c r="W340" s="868"/>
      <c r="X340" s="868"/>
      <c r="Y340" s="868"/>
      <c r="Z340" s="868"/>
      <c r="AA340" s="868">
        <f>UnosNovoZaposl!B330</f>
        <v>0</v>
      </c>
      <c r="AB340" s="868"/>
      <c r="AC340" s="868"/>
      <c r="AD340" s="868"/>
      <c r="AE340" s="868"/>
      <c r="AF340" s="868"/>
      <c r="AG340" s="868">
        <f>UnosNovoZaposl!F330</f>
        <v>0</v>
      </c>
      <c r="AH340" s="868"/>
      <c r="AI340" s="868"/>
      <c r="AJ340" s="868"/>
      <c r="AK340" s="868"/>
      <c r="AL340" s="868"/>
      <c r="AM340" s="868">
        <f>UnosNovoZaposl!G330</f>
        <v>0</v>
      </c>
      <c r="AN340" s="868"/>
      <c r="AO340" s="868"/>
      <c r="AP340" s="868"/>
      <c r="AQ340" s="868"/>
      <c r="AR340" s="868"/>
      <c r="AS340" s="868">
        <f t="shared" si="6"/>
        <v>0</v>
      </c>
      <c r="AT340" s="868"/>
      <c r="AU340" s="868"/>
      <c r="AV340" s="868"/>
      <c r="AW340" s="868"/>
      <c r="AX340" s="868"/>
    </row>
    <row r="341" s="687" customFormat="1" ht="15" hidden="1" customHeight="1" spans="1:50">
      <c r="A341" s="745"/>
      <c r="B341" s="754" t="s">
        <v>6402</v>
      </c>
      <c r="C341" s="864">
        <f>UnosNovoZaposl!C331</f>
        <v>0</v>
      </c>
      <c r="D341" s="864"/>
      <c r="E341" s="864"/>
      <c r="F341" s="864"/>
      <c r="G341" s="864"/>
      <c r="H341" s="864"/>
      <c r="I341" s="864"/>
      <c r="J341" s="864"/>
      <c r="K341" s="864"/>
      <c r="L341" s="864"/>
      <c r="M341" s="864"/>
      <c r="N341" s="864">
        <f>UnosNovoZaposl!D331</f>
        <v>0</v>
      </c>
      <c r="O341" s="864"/>
      <c r="P341" s="864"/>
      <c r="Q341" s="864"/>
      <c r="R341" s="864"/>
      <c r="S341" s="864"/>
      <c r="T341" s="864"/>
      <c r="U341" s="868">
        <f>UnosNovoZaposl!E331</f>
        <v>0</v>
      </c>
      <c r="V341" s="868"/>
      <c r="W341" s="868"/>
      <c r="X341" s="868"/>
      <c r="Y341" s="868"/>
      <c r="Z341" s="868"/>
      <c r="AA341" s="868">
        <f>UnosNovoZaposl!B331</f>
        <v>0</v>
      </c>
      <c r="AB341" s="868"/>
      <c r="AC341" s="868"/>
      <c r="AD341" s="868"/>
      <c r="AE341" s="868"/>
      <c r="AF341" s="868"/>
      <c r="AG341" s="868">
        <f>UnosNovoZaposl!F331</f>
        <v>0</v>
      </c>
      <c r="AH341" s="868"/>
      <c r="AI341" s="868"/>
      <c r="AJ341" s="868"/>
      <c r="AK341" s="868"/>
      <c r="AL341" s="868"/>
      <c r="AM341" s="868">
        <f>UnosNovoZaposl!G331</f>
        <v>0</v>
      </c>
      <c r="AN341" s="868"/>
      <c r="AO341" s="868"/>
      <c r="AP341" s="868"/>
      <c r="AQ341" s="868"/>
      <c r="AR341" s="868"/>
      <c r="AS341" s="868">
        <f t="shared" si="6"/>
        <v>0</v>
      </c>
      <c r="AT341" s="868"/>
      <c r="AU341" s="868"/>
      <c r="AV341" s="868"/>
      <c r="AW341" s="868"/>
      <c r="AX341" s="868"/>
    </row>
    <row r="342" s="687" customFormat="1" ht="15" hidden="1" customHeight="1" spans="1:50">
      <c r="A342" s="745"/>
      <c r="B342" s="754" t="s">
        <v>6403</v>
      </c>
      <c r="C342" s="864">
        <f>UnosNovoZaposl!C332</f>
        <v>0</v>
      </c>
      <c r="D342" s="864"/>
      <c r="E342" s="864"/>
      <c r="F342" s="864"/>
      <c r="G342" s="864"/>
      <c r="H342" s="864"/>
      <c r="I342" s="864"/>
      <c r="J342" s="864"/>
      <c r="K342" s="864"/>
      <c r="L342" s="864"/>
      <c r="M342" s="864"/>
      <c r="N342" s="864">
        <f>UnosNovoZaposl!D332</f>
        <v>0</v>
      </c>
      <c r="O342" s="864"/>
      <c r="P342" s="864"/>
      <c r="Q342" s="864"/>
      <c r="R342" s="864"/>
      <c r="S342" s="864"/>
      <c r="T342" s="864"/>
      <c r="U342" s="868">
        <f>UnosNovoZaposl!E332</f>
        <v>0</v>
      </c>
      <c r="V342" s="868"/>
      <c r="W342" s="868"/>
      <c r="X342" s="868"/>
      <c r="Y342" s="868"/>
      <c r="Z342" s="868"/>
      <c r="AA342" s="868">
        <f>UnosNovoZaposl!B332</f>
        <v>0</v>
      </c>
      <c r="AB342" s="868"/>
      <c r="AC342" s="868"/>
      <c r="AD342" s="868"/>
      <c r="AE342" s="868"/>
      <c r="AF342" s="868"/>
      <c r="AG342" s="868">
        <f>UnosNovoZaposl!F332</f>
        <v>0</v>
      </c>
      <c r="AH342" s="868"/>
      <c r="AI342" s="868"/>
      <c r="AJ342" s="868"/>
      <c r="AK342" s="868"/>
      <c r="AL342" s="868"/>
      <c r="AM342" s="868">
        <f>UnosNovoZaposl!G332</f>
        <v>0</v>
      </c>
      <c r="AN342" s="868"/>
      <c r="AO342" s="868"/>
      <c r="AP342" s="868"/>
      <c r="AQ342" s="868"/>
      <c r="AR342" s="868"/>
      <c r="AS342" s="868">
        <f t="shared" si="6"/>
        <v>0</v>
      </c>
      <c r="AT342" s="868"/>
      <c r="AU342" s="868"/>
      <c r="AV342" s="868"/>
      <c r="AW342" s="868"/>
      <c r="AX342" s="868"/>
    </row>
    <row r="343" s="687" customFormat="1" ht="15" hidden="1" customHeight="1" spans="1:50">
      <c r="A343" s="745"/>
      <c r="B343" s="754" t="s">
        <v>6404</v>
      </c>
      <c r="C343" s="864">
        <f>UnosNovoZaposl!C333</f>
        <v>0</v>
      </c>
      <c r="D343" s="864"/>
      <c r="E343" s="864"/>
      <c r="F343" s="864"/>
      <c r="G343" s="864"/>
      <c r="H343" s="864"/>
      <c r="I343" s="864"/>
      <c r="J343" s="864"/>
      <c r="K343" s="864"/>
      <c r="L343" s="864"/>
      <c r="M343" s="864"/>
      <c r="N343" s="864">
        <f>UnosNovoZaposl!D333</f>
        <v>0</v>
      </c>
      <c r="O343" s="864"/>
      <c r="P343" s="864"/>
      <c r="Q343" s="864"/>
      <c r="R343" s="864"/>
      <c r="S343" s="864"/>
      <c r="T343" s="864"/>
      <c r="U343" s="868">
        <f>UnosNovoZaposl!E333</f>
        <v>0</v>
      </c>
      <c r="V343" s="868"/>
      <c r="W343" s="868"/>
      <c r="X343" s="868"/>
      <c r="Y343" s="868"/>
      <c r="Z343" s="868"/>
      <c r="AA343" s="868">
        <f>UnosNovoZaposl!B333</f>
        <v>0</v>
      </c>
      <c r="AB343" s="868"/>
      <c r="AC343" s="868"/>
      <c r="AD343" s="868"/>
      <c r="AE343" s="868"/>
      <c r="AF343" s="868"/>
      <c r="AG343" s="868">
        <f>UnosNovoZaposl!F333</f>
        <v>0</v>
      </c>
      <c r="AH343" s="868"/>
      <c r="AI343" s="868"/>
      <c r="AJ343" s="868"/>
      <c r="AK343" s="868"/>
      <c r="AL343" s="868"/>
      <c r="AM343" s="868">
        <f>UnosNovoZaposl!G333</f>
        <v>0</v>
      </c>
      <c r="AN343" s="868"/>
      <c r="AO343" s="868"/>
      <c r="AP343" s="868"/>
      <c r="AQ343" s="868"/>
      <c r="AR343" s="868"/>
      <c r="AS343" s="868">
        <f t="shared" si="6"/>
        <v>0</v>
      </c>
      <c r="AT343" s="868"/>
      <c r="AU343" s="868"/>
      <c r="AV343" s="868"/>
      <c r="AW343" s="868"/>
      <c r="AX343" s="868"/>
    </row>
    <row r="344" s="687" customFormat="1" ht="15" hidden="1" customHeight="1" spans="1:50">
      <c r="A344" s="745"/>
      <c r="B344" s="754" t="s">
        <v>6405</v>
      </c>
      <c r="C344" s="864">
        <f>UnosNovoZaposl!C334</f>
        <v>0</v>
      </c>
      <c r="D344" s="864"/>
      <c r="E344" s="864"/>
      <c r="F344" s="864"/>
      <c r="G344" s="864"/>
      <c r="H344" s="864"/>
      <c r="I344" s="864"/>
      <c r="J344" s="864"/>
      <c r="K344" s="864"/>
      <c r="L344" s="864"/>
      <c r="M344" s="864"/>
      <c r="N344" s="864">
        <f>UnosNovoZaposl!D334</f>
        <v>0</v>
      </c>
      <c r="O344" s="864"/>
      <c r="P344" s="864"/>
      <c r="Q344" s="864"/>
      <c r="R344" s="864"/>
      <c r="S344" s="864"/>
      <c r="T344" s="864"/>
      <c r="U344" s="868">
        <f>UnosNovoZaposl!E334</f>
        <v>0</v>
      </c>
      <c r="V344" s="868"/>
      <c r="W344" s="868"/>
      <c r="X344" s="868"/>
      <c r="Y344" s="868"/>
      <c r="Z344" s="868"/>
      <c r="AA344" s="868">
        <f>UnosNovoZaposl!B334</f>
        <v>0</v>
      </c>
      <c r="AB344" s="868"/>
      <c r="AC344" s="868"/>
      <c r="AD344" s="868"/>
      <c r="AE344" s="868"/>
      <c r="AF344" s="868"/>
      <c r="AG344" s="868">
        <f>UnosNovoZaposl!F334</f>
        <v>0</v>
      </c>
      <c r="AH344" s="868"/>
      <c r="AI344" s="868"/>
      <c r="AJ344" s="868"/>
      <c r="AK344" s="868"/>
      <c r="AL344" s="868"/>
      <c r="AM344" s="868">
        <f>UnosNovoZaposl!G334</f>
        <v>0</v>
      </c>
      <c r="AN344" s="868"/>
      <c r="AO344" s="868"/>
      <c r="AP344" s="868"/>
      <c r="AQ344" s="868"/>
      <c r="AR344" s="868"/>
      <c r="AS344" s="868">
        <f t="shared" si="6"/>
        <v>0</v>
      </c>
      <c r="AT344" s="868"/>
      <c r="AU344" s="868"/>
      <c r="AV344" s="868"/>
      <c r="AW344" s="868"/>
      <c r="AX344" s="868"/>
    </row>
    <row r="345" s="687" customFormat="1" ht="15" hidden="1" customHeight="1" spans="1:50">
      <c r="A345" s="745"/>
      <c r="B345" s="754" t="s">
        <v>6406</v>
      </c>
      <c r="C345" s="864">
        <f>UnosNovoZaposl!C335</f>
        <v>0</v>
      </c>
      <c r="D345" s="864"/>
      <c r="E345" s="864"/>
      <c r="F345" s="864"/>
      <c r="G345" s="864"/>
      <c r="H345" s="864"/>
      <c r="I345" s="864"/>
      <c r="J345" s="864"/>
      <c r="K345" s="864"/>
      <c r="L345" s="864"/>
      <c r="M345" s="864"/>
      <c r="N345" s="864">
        <f>UnosNovoZaposl!D335</f>
        <v>0</v>
      </c>
      <c r="O345" s="864"/>
      <c r="P345" s="864"/>
      <c r="Q345" s="864"/>
      <c r="R345" s="864"/>
      <c r="S345" s="864"/>
      <c r="T345" s="864"/>
      <c r="U345" s="868">
        <f>UnosNovoZaposl!E335</f>
        <v>0</v>
      </c>
      <c r="V345" s="868"/>
      <c r="W345" s="868"/>
      <c r="X345" s="868"/>
      <c r="Y345" s="868"/>
      <c r="Z345" s="868"/>
      <c r="AA345" s="868">
        <f>UnosNovoZaposl!B335</f>
        <v>0</v>
      </c>
      <c r="AB345" s="868"/>
      <c r="AC345" s="868"/>
      <c r="AD345" s="868"/>
      <c r="AE345" s="868"/>
      <c r="AF345" s="868"/>
      <c r="AG345" s="868">
        <f>UnosNovoZaposl!F335</f>
        <v>0</v>
      </c>
      <c r="AH345" s="868"/>
      <c r="AI345" s="868"/>
      <c r="AJ345" s="868"/>
      <c r="AK345" s="868"/>
      <c r="AL345" s="868"/>
      <c r="AM345" s="868">
        <f>UnosNovoZaposl!G335</f>
        <v>0</v>
      </c>
      <c r="AN345" s="868"/>
      <c r="AO345" s="868"/>
      <c r="AP345" s="868"/>
      <c r="AQ345" s="868"/>
      <c r="AR345" s="868"/>
      <c r="AS345" s="868">
        <f t="shared" si="6"/>
        <v>0</v>
      </c>
      <c r="AT345" s="868"/>
      <c r="AU345" s="868"/>
      <c r="AV345" s="868"/>
      <c r="AW345" s="868"/>
      <c r="AX345" s="868"/>
    </row>
    <row r="346" s="687" customFormat="1" ht="15" hidden="1" customHeight="1" spans="1:50">
      <c r="A346" s="745"/>
      <c r="B346" s="754" t="s">
        <v>6407</v>
      </c>
      <c r="C346" s="864">
        <f>UnosNovoZaposl!C336</f>
        <v>0</v>
      </c>
      <c r="D346" s="864"/>
      <c r="E346" s="864"/>
      <c r="F346" s="864"/>
      <c r="G346" s="864"/>
      <c r="H346" s="864"/>
      <c r="I346" s="864"/>
      <c r="J346" s="864"/>
      <c r="K346" s="864"/>
      <c r="L346" s="864"/>
      <c r="M346" s="864"/>
      <c r="N346" s="864">
        <f>UnosNovoZaposl!D336</f>
        <v>0</v>
      </c>
      <c r="O346" s="864"/>
      <c r="P346" s="864"/>
      <c r="Q346" s="864"/>
      <c r="R346" s="864"/>
      <c r="S346" s="864"/>
      <c r="T346" s="864"/>
      <c r="U346" s="868">
        <f>UnosNovoZaposl!E336</f>
        <v>0</v>
      </c>
      <c r="V346" s="868"/>
      <c r="W346" s="868"/>
      <c r="X346" s="868"/>
      <c r="Y346" s="868"/>
      <c r="Z346" s="868"/>
      <c r="AA346" s="868">
        <f>UnosNovoZaposl!B336</f>
        <v>0</v>
      </c>
      <c r="AB346" s="868"/>
      <c r="AC346" s="868"/>
      <c r="AD346" s="868"/>
      <c r="AE346" s="868"/>
      <c r="AF346" s="868"/>
      <c r="AG346" s="868">
        <f>UnosNovoZaposl!F336</f>
        <v>0</v>
      </c>
      <c r="AH346" s="868"/>
      <c r="AI346" s="868"/>
      <c r="AJ346" s="868"/>
      <c r="AK346" s="868"/>
      <c r="AL346" s="868"/>
      <c r="AM346" s="868">
        <f>UnosNovoZaposl!G336</f>
        <v>0</v>
      </c>
      <c r="AN346" s="868"/>
      <c r="AO346" s="868"/>
      <c r="AP346" s="868"/>
      <c r="AQ346" s="868"/>
      <c r="AR346" s="868"/>
      <c r="AS346" s="868">
        <f t="shared" si="6"/>
        <v>0</v>
      </c>
      <c r="AT346" s="868"/>
      <c r="AU346" s="868"/>
      <c r="AV346" s="868"/>
      <c r="AW346" s="868"/>
      <c r="AX346" s="868"/>
    </row>
    <row r="347" s="687" customFormat="1" ht="15" hidden="1" customHeight="1" spans="1:50">
      <c r="A347" s="745"/>
      <c r="B347" s="754" t="s">
        <v>6408</v>
      </c>
      <c r="C347" s="864">
        <f>UnosNovoZaposl!C337</f>
        <v>0</v>
      </c>
      <c r="D347" s="864"/>
      <c r="E347" s="864"/>
      <c r="F347" s="864"/>
      <c r="G347" s="864"/>
      <c r="H347" s="864"/>
      <c r="I347" s="864"/>
      <c r="J347" s="864"/>
      <c r="K347" s="864"/>
      <c r="L347" s="864"/>
      <c r="M347" s="864"/>
      <c r="N347" s="864">
        <f>UnosNovoZaposl!D337</f>
        <v>0</v>
      </c>
      <c r="O347" s="864"/>
      <c r="P347" s="864"/>
      <c r="Q347" s="864"/>
      <c r="R347" s="864"/>
      <c r="S347" s="864"/>
      <c r="T347" s="864"/>
      <c r="U347" s="868">
        <f>UnosNovoZaposl!E337</f>
        <v>0</v>
      </c>
      <c r="V347" s="868"/>
      <c r="W347" s="868"/>
      <c r="X347" s="868"/>
      <c r="Y347" s="868"/>
      <c r="Z347" s="868"/>
      <c r="AA347" s="868">
        <f>UnosNovoZaposl!B337</f>
        <v>0</v>
      </c>
      <c r="AB347" s="868"/>
      <c r="AC347" s="868"/>
      <c r="AD347" s="868"/>
      <c r="AE347" s="868"/>
      <c r="AF347" s="868"/>
      <c r="AG347" s="868">
        <f>UnosNovoZaposl!F337</f>
        <v>0</v>
      </c>
      <c r="AH347" s="868"/>
      <c r="AI347" s="868"/>
      <c r="AJ347" s="868"/>
      <c r="AK347" s="868"/>
      <c r="AL347" s="868"/>
      <c r="AM347" s="868">
        <f>UnosNovoZaposl!G337</f>
        <v>0</v>
      </c>
      <c r="AN347" s="868"/>
      <c r="AO347" s="868"/>
      <c r="AP347" s="868"/>
      <c r="AQ347" s="868"/>
      <c r="AR347" s="868"/>
      <c r="AS347" s="868">
        <f t="shared" ref="AS347:AS410" si="7">AG347+AM347</f>
        <v>0</v>
      </c>
      <c r="AT347" s="868"/>
      <c r="AU347" s="868"/>
      <c r="AV347" s="868"/>
      <c r="AW347" s="868"/>
      <c r="AX347" s="868"/>
    </row>
    <row r="348" s="687" customFormat="1" ht="15" hidden="1" customHeight="1" spans="1:50">
      <c r="A348" s="745"/>
      <c r="B348" s="754" t="s">
        <v>6409</v>
      </c>
      <c r="C348" s="864">
        <f>UnosNovoZaposl!C338</f>
        <v>0</v>
      </c>
      <c r="D348" s="864"/>
      <c r="E348" s="864"/>
      <c r="F348" s="864"/>
      <c r="G348" s="864"/>
      <c r="H348" s="864"/>
      <c r="I348" s="864"/>
      <c r="J348" s="864"/>
      <c r="K348" s="864"/>
      <c r="L348" s="864"/>
      <c r="M348" s="864"/>
      <c r="N348" s="864">
        <f>UnosNovoZaposl!D338</f>
        <v>0</v>
      </c>
      <c r="O348" s="864"/>
      <c r="P348" s="864"/>
      <c r="Q348" s="864"/>
      <c r="R348" s="864"/>
      <c r="S348" s="864"/>
      <c r="T348" s="864"/>
      <c r="U348" s="868">
        <f>UnosNovoZaposl!E338</f>
        <v>0</v>
      </c>
      <c r="V348" s="868"/>
      <c r="W348" s="868"/>
      <c r="X348" s="868"/>
      <c r="Y348" s="868"/>
      <c r="Z348" s="868"/>
      <c r="AA348" s="868">
        <f>UnosNovoZaposl!B338</f>
        <v>0</v>
      </c>
      <c r="AB348" s="868"/>
      <c r="AC348" s="868"/>
      <c r="AD348" s="868"/>
      <c r="AE348" s="868"/>
      <c r="AF348" s="868"/>
      <c r="AG348" s="868">
        <f>UnosNovoZaposl!F338</f>
        <v>0</v>
      </c>
      <c r="AH348" s="868"/>
      <c r="AI348" s="868"/>
      <c r="AJ348" s="868"/>
      <c r="AK348" s="868"/>
      <c r="AL348" s="868"/>
      <c r="AM348" s="868">
        <f>UnosNovoZaposl!G338</f>
        <v>0</v>
      </c>
      <c r="AN348" s="868"/>
      <c r="AO348" s="868"/>
      <c r="AP348" s="868"/>
      <c r="AQ348" s="868"/>
      <c r="AR348" s="868"/>
      <c r="AS348" s="868">
        <f t="shared" si="7"/>
        <v>0</v>
      </c>
      <c r="AT348" s="868"/>
      <c r="AU348" s="868"/>
      <c r="AV348" s="868"/>
      <c r="AW348" s="868"/>
      <c r="AX348" s="868"/>
    </row>
    <row r="349" s="687" customFormat="1" ht="15" hidden="1" customHeight="1" spans="1:50">
      <c r="A349" s="745"/>
      <c r="B349" s="754" t="s">
        <v>6410</v>
      </c>
      <c r="C349" s="864">
        <f>UnosNovoZaposl!C339</f>
        <v>0</v>
      </c>
      <c r="D349" s="864"/>
      <c r="E349" s="864"/>
      <c r="F349" s="864"/>
      <c r="G349" s="864"/>
      <c r="H349" s="864"/>
      <c r="I349" s="864"/>
      <c r="J349" s="864"/>
      <c r="K349" s="864"/>
      <c r="L349" s="864"/>
      <c r="M349" s="864"/>
      <c r="N349" s="864">
        <f>UnosNovoZaposl!D339</f>
        <v>0</v>
      </c>
      <c r="O349" s="864"/>
      <c r="P349" s="864"/>
      <c r="Q349" s="864"/>
      <c r="R349" s="864"/>
      <c r="S349" s="864"/>
      <c r="T349" s="864"/>
      <c r="U349" s="868">
        <f>UnosNovoZaposl!E339</f>
        <v>0</v>
      </c>
      <c r="V349" s="868"/>
      <c r="W349" s="868"/>
      <c r="X349" s="868"/>
      <c r="Y349" s="868"/>
      <c r="Z349" s="868"/>
      <c r="AA349" s="868">
        <f>UnosNovoZaposl!B339</f>
        <v>0</v>
      </c>
      <c r="AB349" s="868"/>
      <c r="AC349" s="868"/>
      <c r="AD349" s="868"/>
      <c r="AE349" s="868"/>
      <c r="AF349" s="868"/>
      <c r="AG349" s="868">
        <f>UnosNovoZaposl!F339</f>
        <v>0</v>
      </c>
      <c r="AH349" s="868"/>
      <c r="AI349" s="868"/>
      <c r="AJ349" s="868"/>
      <c r="AK349" s="868"/>
      <c r="AL349" s="868"/>
      <c r="AM349" s="868">
        <f>UnosNovoZaposl!G339</f>
        <v>0</v>
      </c>
      <c r="AN349" s="868"/>
      <c r="AO349" s="868"/>
      <c r="AP349" s="868"/>
      <c r="AQ349" s="868"/>
      <c r="AR349" s="868"/>
      <c r="AS349" s="868">
        <f t="shared" si="7"/>
        <v>0</v>
      </c>
      <c r="AT349" s="868"/>
      <c r="AU349" s="868"/>
      <c r="AV349" s="868"/>
      <c r="AW349" s="868"/>
      <c r="AX349" s="868"/>
    </row>
    <row r="350" s="687" customFormat="1" ht="15" hidden="1" customHeight="1" spans="1:50">
      <c r="A350" s="745"/>
      <c r="B350" s="754" t="s">
        <v>6411</v>
      </c>
      <c r="C350" s="864">
        <f>UnosNovoZaposl!C340</f>
        <v>0</v>
      </c>
      <c r="D350" s="864"/>
      <c r="E350" s="864"/>
      <c r="F350" s="864"/>
      <c r="G350" s="864"/>
      <c r="H350" s="864"/>
      <c r="I350" s="864"/>
      <c r="J350" s="864"/>
      <c r="K350" s="864"/>
      <c r="L350" s="864"/>
      <c r="M350" s="864"/>
      <c r="N350" s="864">
        <f>UnosNovoZaposl!D340</f>
        <v>0</v>
      </c>
      <c r="O350" s="864"/>
      <c r="P350" s="864"/>
      <c r="Q350" s="864"/>
      <c r="R350" s="864"/>
      <c r="S350" s="864"/>
      <c r="T350" s="864"/>
      <c r="U350" s="868">
        <f>UnosNovoZaposl!E340</f>
        <v>0</v>
      </c>
      <c r="V350" s="868"/>
      <c r="W350" s="868"/>
      <c r="X350" s="868"/>
      <c r="Y350" s="868"/>
      <c r="Z350" s="868"/>
      <c r="AA350" s="868">
        <f>UnosNovoZaposl!B340</f>
        <v>0</v>
      </c>
      <c r="AB350" s="868"/>
      <c r="AC350" s="868"/>
      <c r="AD350" s="868"/>
      <c r="AE350" s="868"/>
      <c r="AF350" s="868"/>
      <c r="AG350" s="868">
        <f>UnosNovoZaposl!F340</f>
        <v>0</v>
      </c>
      <c r="AH350" s="868"/>
      <c r="AI350" s="868"/>
      <c r="AJ350" s="868"/>
      <c r="AK350" s="868"/>
      <c r="AL350" s="868"/>
      <c r="AM350" s="868">
        <f>UnosNovoZaposl!G340</f>
        <v>0</v>
      </c>
      <c r="AN350" s="868"/>
      <c r="AO350" s="868"/>
      <c r="AP350" s="868"/>
      <c r="AQ350" s="868"/>
      <c r="AR350" s="868"/>
      <c r="AS350" s="868">
        <f t="shared" si="7"/>
        <v>0</v>
      </c>
      <c r="AT350" s="868"/>
      <c r="AU350" s="868"/>
      <c r="AV350" s="868"/>
      <c r="AW350" s="868"/>
      <c r="AX350" s="868"/>
    </row>
    <row r="351" s="687" customFormat="1" ht="15" hidden="1" customHeight="1" spans="1:50">
      <c r="A351" s="745"/>
      <c r="B351" s="754" t="s">
        <v>6412</v>
      </c>
      <c r="C351" s="864">
        <f>UnosNovoZaposl!C341</f>
        <v>0</v>
      </c>
      <c r="D351" s="864"/>
      <c r="E351" s="864"/>
      <c r="F351" s="864"/>
      <c r="G351" s="864"/>
      <c r="H351" s="864"/>
      <c r="I351" s="864"/>
      <c r="J351" s="864"/>
      <c r="K351" s="864"/>
      <c r="L351" s="864"/>
      <c r="M351" s="864"/>
      <c r="N351" s="864">
        <f>UnosNovoZaposl!D341</f>
        <v>0</v>
      </c>
      <c r="O351" s="864"/>
      <c r="P351" s="864"/>
      <c r="Q351" s="864"/>
      <c r="R351" s="864"/>
      <c r="S351" s="864"/>
      <c r="T351" s="864"/>
      <c r="U351" s="868">
        <f>UnosNovoZaposl!E341</f>
        <v>0</v>
      </c>
      <c r="V351" s="868"/>
      <c r="W351" s="868"/>
      <c r="X351" s="868"/>
      <c r="Y351" s="868"/>
      <c r="Z351" s="868"/>
      <c r="AA351" s="868">
        <f>UnosNovoZaposl!B341</f>
        <v>0</v>
      </c>
      <c r="AB351" s="868"/>
      <c r="AC351" s="868"/>
      <c r="AD351" s="868"/>
      <c r="AE351" s="868"/>
      <c r="AF351" s="868"/>
      <c r="AG351" s="868">
        <f>UnosNovoZaposl!F341</f>
        <v>0</v>
      </c>
      <c r="AH351" s="868"/>
      <c r="AI351" s="868"/>
      <c r="AJ351" s="868"/>
      <c r="AK351" s="868"/>
      <c r="AL351" s="868"/>
      <c r="AM351" s="868">
        <f>UnosNovoZaposl!G341</f>
        <v>0</v>
      </c>
      <c r="AN351" s="868"/>
      <c r="AO351" s="868"/>
      <c r="AP351" s="868"/>
      <c r="AQ351" s="868"/>
      <c r="AR351" s="868"/>
      <c r="AS351" s="868">
        <f t="shared" si="7"/>
        <v>0</v>
      </c>
      <c r="AT351" s="868"/>
      <c r="AU351" s="868"/>
      <c r="AV351" s="868"/>
      <c r="AW351" s="868"/>
      <c r="AX351" s="868"/>
    </row>
    <row r="352" s="687" customFormat="1" ht="15" hidden="1" customHeight="1" spans="1:50">
      <c r="A352" s="745"/>
      <c r="B352" s="754" t="s">
        <v>6413</v>
      </c>
      <c r="C352" s="864">
        <f>UnosNovoZaposl!C342</f>
        <v>0</v>
      </c>
      <c r="D352" s="864"/>
      <c r="E352" s="864"/>
      <c r="F352" s="864"/>
      <c r="G352" s="864"/>
      <c r="H352" s="864"/>
      <c r="I352" s="864"/>
      <c r="J352" s="864"/>
      <c r="K352" s="864"/>
      <c r="L352" s="864"/>
      <c r="M352" s="864"/>
      <c r="N352" s="864">
        <f>UnosNovoZaposl!D342</f>
        <v>0</v>
      </c>
      <c r="O352" s="864"/>
      <c r="P352" s="864"/>
      <c r="Q352" s="864"/>
      <c r="R352" s="864"/>
      <c r="S352" s="864"/>
      <c r="T352" s="864"/>
      <c r="U352" s="868">
        <f>UnosNovoZaposl!E342</f>
        <v>0</v>
      </c>
      <c r="V352" s="868"/>
      <c r="W352" s="868"/>
      <c r="X352" s="868"/>
      <c r="Y352" s="868"/>
      <c r="Z352" s="868"/>
      <c r="AA352" s="868">
        <f>UnosNovoZaposl!B342</f>
        <v>0</v>
      </c>
      <c r="AB352" s="868"/>
      <c r="AC352" s="868"/>
      <c r="AD352" s="868"/>
      <c r="AE352" s="868"/>
      <c r="AF352" s="868"/>
      <c r="AG352" s="868">
        <f>UnosNovoZaposl!F342</f>
        <v>0</v>
      </c>
      <c r="AH352" s="868"/>
      <c r="AI352" s="868"/>
      <c r="AJ352" s="868"/>
      <c r="AK352" s="868"/>
      <c r="AL352" s="868"/>
      <c r="AM352" s="868">
        <f>UnosNovoZaposl!G342</f>
        <v>0</v>
      </c>
      <c r="AN352" s="868"/>
      <c r="AO352" s="868"/>
      <c r="AP352" s="868"/>
      <c r="AQ352" s="868"/>
      <c r="AR352" s="868"/>
      <c r="AS352" s="868">
        <f t="shared" si="7"/>
        <v>0</v>
      </c>
      <c r="AT352" s="868"/>
      <c r="AU352" s="868"/>
      <c r="AV352" s="868"/>
      <c r="AW352" s="868"/>
      <c r="AX352" s="868"/>
    </row>
    <row r="353" s="687" customFormat="1" ht="15" hidden="1" customHeight="1" spans="1:50">
      <c r="A353" s="745"/>
      <c r="B353" s="754" t="s">
        <v>6414</v>
      </c>
      <c r="C353" s="864">
        <f>UnosNovoZaposl!C343</f>
        <v>0</v>
      </c>
      <c r="D353" s="864"/>
      <c r="E353" s="864"/>
      <c r="F353" s="864"/>
      <c r="G353" s="864"/>
      <c r="H353" s="864"/>
      <c r="I353" s="864"/>
      <c r="J353" s="864"/>
      <c r="K353" s="864"/>
      <c r="L353" s="864"/>
      <c r="M353" s="864"/>
      <c r="N353" s="864">
        <f>UnosNovoZaposl!D343</f>
        <v>0</v>
      </c>
      <c r="O353" s="864"/>
      <c r="P353" s="864"/>
      <c r="Q353" s="864"/>
      <c r="R353" s="864"/>
      <c r="S353" s="864"/>
      <c r="T353" s="864"/>
      <c r="U353" s="868">
        <f>UnosNovoZaposl!E343</f>
        <v>0</v>
      </c>
      <c r="V353" s="868"/>
      <c r="W353" s="868"/>
      <c r="X353" s="868"/>
      <c r="Y353" s="868"/>
      <c r="Z353" s="868"/>
      <c r="AA353" s="868">
        <f>UnosNovoZaposl!B343</f>
        <v>0</v>
      </c>
      <c r="AB353" s="868"/>
      <c r="AC353" s="868"/>
      <c r="AD353" s="868"/>
      <c r="AE353" s="868"/>
      <c r="AF353" s="868"/>
      <c r="AG353" s="868">
        <f>UnosNovoZaposl!F343</f>
        <v>0</v>
      </c>
      <c r="AH353" s="868"/>
      <c r="AI353" s="868"/>
      <c r="AJ353" s="868"/>
      <c r="AK353" s="868"/>
      <c r="AL353" s="868"/>
      <c r="AM353" s="868">
        <f>UnosNovoZaposl!G343</f>
        <v>0</v>
      </c>
      <c r="AN353" s="868"/>
      <c r="AO353" s="868"/>
      <c r="AP353" s="868"/>
      <c r="AQ353" s="868"/>
      <c r="AR353" s="868"/>
      <c r="AS353" s="868">
        <f t="shared" si="7"/>
        <v>0</v>
      </c>
      <c r="AT353" s="868"/>
      <c r="AU353" s="868"/>
      <c r="AV353" s="868"/>
      <c r="AW353" s="868"/>
      <c r="AX353" s="868"/>
    </row>
    <row r="354" s="687" customFormat="1" ht="15" hidden="1" customHeight="1" spans="1:50">
      <c r="A354" s="745"/>
      <c r="B354" s="754" t="s">
        <v>6415</v>
      </c>
      <c r="C354" s="864">
        <f>UnosNovoZaposl!C344</f>
        <v>0</v>
      </c>
      <c r="D354" s="864"/>
      <c r="E354" s="864"/>
      <c r="F354" s="864"/>
      <c r="G354" s="864"/>
      <c r="H354" s="864"/>
      <c r="I354" s="864"/>
      <c r="J354" s="864"/>
      <c r="K354" s="864"/>
      <c r="L354" s="864"/>
      <c r="M354" s="864"/>
      <c r="N354" s="864">
        <f>UnosNovoZaposl!D344</f>
        <v>0</v>
      </c>
      <c r="O354" s="864"/>
      <c r="P354" s="864"/>
      <c r="Q354" s="864"/>
      <c r="R354" s="864"/>
      <c r="S354" s="864"/>
      <c r="T354" s="864"/>
      <c r="U354" s="868">
        <f>UnosNovoZaposl!E344</f>
        <v>0</v>
      </c>
      <c r="V354" s="868"/>
      <c r="W354" s="868"/>
      <c r="X354" s="868"/>
      <c r="Y354" s="868"/>
      <c r="Z354" s="868"/>
      <c r="AA354" s="868">
        <f>UnosNovoZaposl!B344</f>
        <v>0</v>
      </c>
      <c r="AB354" s="868"/>
      <c r="AC354" s="868"/>
      <c r="AD354" s="868"/>
      <c r="AE354" s="868"/>
      <c r="AF354" s="868"/>
      <c r="AG354" s="868">
        <f>UnosNovoZaposl!F344</f>
        <v>0</v>
      </c>
      <c r="AH354" s="868"/>
      <c r="AI354" s="868"/>
      <c r="AJ354" s="868"/>
      <c r="AK354" s="868"/>
      <c r="AL354" s="868"/>
      <c r="AM354" s="868">
        <f>UnosNovoZaposl!G344</f>
        <v>0</v>
      </c>
      <c r="AN354" s="868"/>
      <c r="AO354" s="868"/>
      <c r="AP354" s="868"/>
      <c r="AQ354" s="868"/>
      <c r="AR354" s="868"/>
      <c r="AS354" s="868">
        <f t="shared" si="7"/>
        <v>0</v>
      </c>
      <c r="AT354" s="868"/>
      <c r="AU354" s="868"/>
      <c r="AV354" s="868"/>
      <c r="AW354" s="868"/>
      <c r="AX354" s="868"/>
    </row>
    <row r="355" s="687" customFormat="1" ht="15" hidden="1" customHeight="1" spans="1:50">
      <c r="A355" s="745"/>
      <c r="B355" s="754" t="s">
        <v>6416</v>
      </c>
      <c r="C355" s="864">
        <f>UnosNovoZaposl!C345</f>
        <v>0</v>
      </c>
      <c r="D355" s="864"/>
      <c r="E355" s="864"/>
      <c r="F355" s="864"/>
      <c r="G355" s="864"/>
      <c r="H355" s="864"/>
      <c r="I355" s="864"/>
      <c r="J355" s="864"/>
      <c r="K355" s="864"/>
      <c r="L355" s="864"/>
      <c r="M355" s="864"/>
      <c r="N355" s="864">
        <f>UnosNovoZaposl!D345</f>
        <v>0</v>
      </c>
      <c r="O355" s="864"/>
      <c r="P355" s="864"/>
      <c r="Q355" s="864"/>
      <c r="R355" s="864"/>
      <c r="S355" s="864"/>
      <c r="T355" s="864"/>
      <c r="U355" s="868">
        <f>UnosNovoZaposl!E345</f>
        <v>0</v>
      </c>
      <c r="V355" s="868"/>
      <c r="W355" s="868"/>
      <c r="X355" s="868"/>
      <c r="Y355" s="868"/>
      <c r="Z355" s="868"/>
      <c r="AA355" s="868">
        <f>UnosNovoZaposl!B345</f>
        <v>0</v>
      </c>
      <c r="AB355" s="868"/>
      <c r="AC355" s="868"/>
      <c r="AD355" s="868"/>
      <c r="AE355" s="868"/>
      <c r="AF355" s="868"/>
      <c r="AG355" s="868">
        <f>UnosNovoZaposl!F345</f>
        <v>0</v>
      </c>
      <c r="AH355" s="868"/>
      <c r="AI355" s="868"/>
      <c r="AJ355" s="868"/>
      <c r="AK355" s="868"/>
      <c r="AL355" s="868"/>
      <c r="AM355" s="868">
        <f>UnosNovoZaposl!G345</f>
        <v>0</v>
      </c>
      <c r="AN355" s="868"/>
      <c r="AO355" s="868"/>
      <c r="AP355" s="868"/>
      <c r="AQ355" s="868"/>
      <c r="AR355" s="868"/>
      <c r="AS355" s="868">
        <f t="shared" si="7"/>
        <v>0</v>
      </c>
      <c r="AT355" s="868"/>
      <c r="AU355" s="868"/>
      <c r="AV355" s="868"/>
      <c r="AW355" s="868"/>
      <c r="AX355" s="868"/>
    </row>
    <row r="356" s="687" customFormat="1" ht="15" hidden="1" customHeight="1" spans="1:50">
      <c r="A356" s="745"/>
      <c r="B356" s="754" t="s">
        <v>6417</v>
      </c>
      <c r="C356" s="864">
        <f>UnosNovoZaposl!C346</f>
        <v>0</v>
      </c>
      <c r="D356" s="864"/>
      <c r="E356" s="864"/>
      <c r="F356" s="864"/>
      <c r="G356" s="864"/>
      <c r="H356" s="864"/>
      <c r="I356" s="864"/>
      <c r="J356" s="864"/>
      <c r="K356" s="864"/>
      <c r="L356" s="864"/>
      <c r="M356" s="864"/>
      <c r="N356" s="864">
        <f>UnosNovoZaposl!D346</f>
        <v>0</v>
      </c>
      <c r="O356" s="864"/>
      <c r="P356" s="864"/>
      <c r="Q356" s="864"/>
      <c r="R356" s="864"/>
      <c r="S356" s="864"/>
      <c r="T356" s="864"/>
      <c r="U356" s="868">
        <f>UnosNovoZaposl!E346</f>
        <v>0</v>
      </c>
      <c r="V356" s="868"/>
      <c r="W356" s="868"/>
      <c r="X356" s="868"/>
      <c r="Y356" s="868"/>
      <c r="Z356" s="868"/>
      <c r="AA356" s="868">
        <f>UnosNovoZaposl!B346</f>
        <v>0</v>
      </c>
      <c r="AB356" s="868"/>
      <c r="AC356" s="868"/>
      <c r="AD356" s="868"/>
      <c r="AE356" s="868"/>
      <c r="AF356" s="868"/>
      <c r="AG356" s="868">
        <f>UnosNovoZaposl!F346</f>
        <v>0</v>
      </c>
      <c r="AH356" s="868"/>
      <c r="AI356" s="868"/>
      <c r="AJ356" s="868"/>
      <c r="AK356" s="868"/>
      <c r="AL356" s="868"/>
      <c r="AM356" s="868">
        <f>UnosNovoZaposl!G346</f>
        <v>0</v>
      </c>
      <c r="AN356" s="868"/>
      <c r="AO356" s="868"/>
      <c r="AP356" s="868"/>
      <c r="AQ356" s="868"/>
      <c r="AR356" s="868"/>
      <c r="AS356" s="868">
        <f t="shared" si="7"/>
        <v>0</v>
      </c>
      <c r="AT356" s="868"/>
      <c r="AU356" s="868"/>
      <c r="AV356" s="868"/>
      <c r="AW356" s="868"/>
      <c r="AX356" s="868"/>
    </row>
    <row r="357" s="687" customFormat="1" ht="15" hidden="1" customHeight="1" spans="1:50">
      <c r="A357" s="745"/>
      <c r="B357" s="754" t="s">
        <v>6418</v>
      </c>
      <c r="C357" s="864">
        <f>UnosNovoZaposl!C347</f>
        <v>0</v>
      </c>
      <c r="D357" s="864"/>
      <c r="E357" s="864"/>
      <c r="F357" s="864"/>
      <c r="G357" s="864"/>
      <c r="H357" s="864"/>
      <c r="I357" s="864"/>
      <c r="J357" s="864"/>
      <c r="K357" s="864"/>
      <c r="L357" s="864"/>
      <c r="M357" s="864"/>
      <c r="N357" s="864">
        <f>UnosNovoZaposl!D347</f>
        <v>0</v>
      </c>
      <c r="O357" s="864"/>
      <c r="P357" s="864"/>
      <c r="Q357" s="864"/>
      <c r="R357" s="864"/>
      <c r="S357" s="864"/>
      <c r="T357" s="864"/>
      <c r="U357" s="868">
        <f>UnosNovoZaposl!E347</f>
        <v>0</v>
      </c>
      <c r="V357" s="868"/>
      <c r="W357" s="868"/>
      <c r="X357" s="868"/>
      <c r="Y357" s="868"/>
      <c r="Z357" s="868"/>
      <c r="AA357" s="868">
        <f>UnosNovoZaposl!B347</f>
        <v>0</v>
      </c>
      <c r="AB357" s="868"/>
      <c r="AC357" s="868"/>
      <c r="AD357" s="868"/>
      <c r="AE357" s="868"/>
      <c r="AF357" s="868"/>
      <c r="AG357" s="868">
        <f>UnosNovoZaposl!F347</f>
        <v>0</v>
      </c>
      <c r="AH357" s="868"/>
      <c r="AI357" s="868"/>
      <c r="AJ357" s="868"/>
      <c r="AK357" s="868"/>
      <c r="AL357" s="868"/>
      <c r="AM357" s="868">
        <f>UnosNovoZaposl!G347</f>
        <v>0</v>
      </c>
      <c r="AN357" s="868"/>
      <c r="AO357" s="868"/>
      <c r="AP357" s="868"/>
      <c r="AQ357" s="868"/>
      <c r="AR357" s="868"/>
      <c r="AS357" s="868">
        <f t="shared" si="7"/>
        <v>0</v>
      </c>
      <c r="AT357" s="868"/>
      <c r="AU357" s="868"/>
      <c r="AV357" s="868"/>
      <c r="AW357" s="868"/>
      <c r="AX357" s="868"/>
    </row>
    <row r="358" s="687" customFormat="1" ht="15" hidden="1" customHeight="1" spans="1:50">
      <c r="A358" s="745"/>
      <c r="B358" s="754" t="s">
        <v>6419</v>
      </c>
      <c r="C358" s="864">
        <f>UnosNovoZaposl!C348</f>
        <v>0</v>
      </c>
      <c r="D358" s="864"/>
      <c r="E358" s="864"/>
      <c r="F358" s="864"/>
      <c r="G358" s="864"/>
      <c r="H358" s="864"/>
      <c r="I358" s="864"/>
      <c r="J358" s="864"/>
      <c r="K358" s="864"/>
      <c r="L358" s="864"/>
      <c r="M358" s="864"/>
      <c r="N358" s="864">
        <f>UnosNovoZaposl!D348</f>
        <v>0</v>
      </c>
      <c r="O358" s="864"/>
      <c r="P358" s="864"/>
      <c r="Q358" s="864"/>
      <c r="R358" s="864"/>
      <c r="S358" s="864"/>
      <c r="T358" s="864"/>
      <c r="U358" s="868">
        <f>UnosNovoZaposl!E348</f>
        <v>0</v>
      </c>
      <c r="V358" s="868"/>
      <c r="W358" s="868"/>
      <c r="X358" s="868"/>
      <c r="Y358" s="868"/>
      <c r="Z358" s="868"/>
      <c r="AA358" s="868">
        <f>UnosNovoZaposl!B348</f>
        <v>0</v>
      </c>
      <c r="AB358" s="868"/>
      <c r="AC358" s="868"/>
      <c r="AD358" s="868"/>
      <c r="AE358" s="868"/>
      <c r="AF358" s="868"/>
      <c r="AG358" s="868">
        <f>UnosNovoZaposl!F348</f>
        <v>0</v>
      </c>
      <c r="AH358" s="868"/>
      <c r="AI358" s="868"/>
      <c r="AJ358" s="868"/>
      <c r="AK358" s="868"/>
      <c r="AL358" s="868"/>
      <c r="AM358" s="868">
        <f>UnosNovoZaposl!G348</f>
        <v>0</v>
      </c>
      <c r="AN358" s="868"/>
      <c r="AO358" s="868"/>
      <c r="AP358" s="868"/>
      <c r="AQ358" s="868"/>
      <c r="AR358" s="868"/>
      <c r="AS358" s="868">
        <f t="shared" si="7"/>
        <v>0</v>
      </c>
      <c r="AT358" s="868"/>
      <c r="AU358" s="868"/>
      <c r="AV358" s="868"/>
      <c r="AW358" s="868"/>
      <c r="AX358" s="868"/>
    </row>
    <row r="359" s="687" customFormat="1" ht="15" hidden="1" customHeight="1" spans="1:50">
      <c r="A359" s="745"/>
      <c r="B359" s="754" t="s">
        <v>6420</v>
      </c>
      <c r="C359" s="864">
        <f>UnosNovoZaposl!C349</f>
        <v>0</v>
      </c>
      <c r="D359" s="864"/>
      <c r="E359" s="864"/>
      <c r="F359" s="864"/>
      <c r="G359" s="864"/>
      <c r="H359" s="864"/>
      <c r="I359" s="864"/>
      <c r="J359" s="864"/>
      <c r="K359" s="864"/>
      <c r="L359" s="864"/>
      <c r="M359" s="864"/>
      <c r="N359" s="864">
        <f>UnosNovoZaposl!D349</f>
        <v>0</v>
      </c>
      <c r="O359" s="864"/>
      <c r="P359" s="864"/>
      <c r="Q359" s="864"/>
      <c r="R359" s="864"/>
      <c r="S359" s="864"/>
      <c r="T359" s="864"/>
      <c r="U359" s="868">
        <f>UnosNovoZaposl!E349</f>
        <v>0</v>
      </c>
      <c r="V359" s="868"/>
      <c r="W359" s="868"/>
      <c r="X359" s="868"/>
      <c r="Y359" s="868"/>
      <c r="Z359" s="868"/>
      <c r="AA359" s="868">
        <f>UnosNovoZaposl!B349</f>
        <v>0</v>
      </c>
      <c r="AB359" s="868"/>
      <c r="AC359" s="868"/>
      <c r="AD359" s="868"/>
      <c r="AE359" s="868"/>
      <c r="AF359" s="868"/>
      <c r="AG359" s="868">
        <f>UnosNovoZaposl!F349</f>
        <v>0</v>
      </c>
      <c r="AH359" s="868"/>
      <c r="AI359" s="868"/>
      <c r="AJ359" s="868"/>
      <c r="AK359" s="868"/>
      <c r="AL359" s="868"/>
      <c r="AM359" s="868">
        <f>UnosNovoZaposl!G349</f>
        <v>0</v>
      </c>
      <c r="AN359" s="868"/>
      <c r="AO359" s="868"/>
      <c r="AP359" s="868"/>
      <c r="AQ359" s="868"/>
      <c r="AR359" s="868"/>
      <c r="AS359" s="868">
        <f t="shared" si="7"/>
        <v>0</v>
      </c>
      <c r="AT359" s="868"/>
      <c r="AU359" s="868"/>
      <c r="AV359" s="868"/>
      <c r="AW359" s="868"/>
      <c r="AX359" s="868"/>
    </row>
    <row r="360" s="687" customFormat="1" ht="15" hidden="1" customHeight="1" spans="1:50">
      <c r="A360" s="745"/>
      <c r="B360" s="754" t="s">
        <v>6421</v>
      </c>
      <c r="C360" s="864">
        <f>UnosNovoZaposl!C350</f>
        <v>0</v>
      </c>
      <c r="D360" s="864"/>
      <c r="E360" s="864"/>
      <c r="F360" s="864"/>
      <c r="G360" s="864"/>
      <c r="H360" s="864"/>
      <c r="I360" s="864"/>
      <c r="J360" s="864"/>
      <c r="K360" s="864"/>
      <c r="L360" s="864"/>
      <c r="M360" s="864"/>
      <c r="N360" s="864">
        <f>UnosNovoZaposl!D350</f>
        <v>0</v>
      </c>
      <c r="O360" s="864"/>
      <c r="P360" s="864"/>
      <c r="Q360" s="864"/>
      <c r="R360" s="864"/>
      <c r="S360" s="864"/>
      <c r="T360" s="864"/>
      <c r="U360" s="868">
        <f>UnosNovoZaposl!E350</f>
        <v>0</v>
      </c>
      <c r="V360" s="868"/>
      <c r="W360" s="868"/>
      <c r="X360" s="868"/>
      <c r="Y360" s="868"/>
      <c r="Z360" s="868"/>
      <c r="AA360" s="868">
        <f>UnosNovoZaposl!B350</f>
        <v>0</v>
      </c>
      <c r="AB360" s="868"/>
      <c r="AC360" s="868"/>
      <c r="AD360" s="868"/>
      <c r="AE360" s="868"/>
      <c r="AF360" s="868"/>
      <c r="AG360" s="868">
        <f>UnosNovoZaposl!F350</f>
        <v>0</v>
      </c>
      <c r="AH360" s="868"/>
      <c r="AI360" s="868"/>
      <c r="AJ360" s="868"/>
      <c r="AK360" s="868"/>
      <c r="AL360" s="868"/>
      <c r="AM360" s="868">
        <f>UnosNovoZaposl!G350</f>
        <v>0</v>
      </c>
      <c r="AN360" s="868"/>
      <c r="AO360" s="868"/>
      <c r="AP360" s="868"/>
      <c r="AQ360" s="868"/>
      <c r="AR360" s="868"/>
      <c r="AS360" s="868">
        <f t="shared" si="7"/>
        <v>0</v>
      </c>
      <c r="AT360" s="868"/>
      <c r="AU360" s="868"/>
      <c r="AV360" s="868"/>
      <c r="AW360" s="868"/>
      <c r="AX360" s="868"/>
    </row>
    <row r="361" s="687" customFormat="1" ht="15" hidden="1" customHeight="1" spans="1:50">
      <c r="A361" s="745"/>
      <c r="B361" s="754" t="s">
        <v>6422</v>
      </c>
      <c r="C361" s="864">
        <f>UnosNovoZaposl!C351</f>
        <v>0</v>
      </c>
      <c r="D361" s="864"/>
      <c r="E361" s="864"/>
      <c r="F361" s="864"/>
      <c r="G361" s="864"/>
      <c r="H361" s="864"/>
      <c r="I361" s="864"/>
      <c r="J361" s="864"/>
      <c r="K361" s="864"/>
      <c r="L361" s="864"/>
      <c r="M361" s="864"/>
      <c r="N361" s="864">
        <f>UnosNovoZaposl!D351</f>
        <v>0</v>
      </c>
      <c r="O361" s="864"/>
      <c r="P361" s="864"/>
      <c r="Q361" s="864"/>
      <c r="R361" s="864"/>
      <c r="S361" s="864"/>
      <c r="T361" s="864"/>
      <c r="U361" s="868">
        <f>UnosNovoZaposl!E351</f>
        <v>0</v>
      </c>
      <c r="V361" s="868"/>
      <c r="W361" s="868"/>
      <c r="X361" s="868"/>
      <c r="Y361" s="868"/>
      <c r="Z361" s="868"/>
      <c r="AA361" s="868">
        <f>UnosNovoZaposl!B351</f>
        <v>0</v>
      </c>
      <c r="AB361" s="868"/>
      <c r="AC361" s="868"/>
      <c r="AD361" s="868"/>
      <c r="AE361" s="868"/>
      <c r="AF361" s="868"/>
      <c r="AG361" s="868">
        <f>UnosNovoZaposl!F351</f>
        <v>0</v>
      </c>
      <c r="AH361" s="868"/>
      <c r="AI361" s="868"/>
      <c r="AJ361" s="868"/>
      <c r="AK361" s="868"/>
      <c r="AL361" s="868"/>
      <c r="AM361" s="868">
        <f>UnosNovoZaposl!G351</f>
        <v>0</v>
      </c>
      <c r="AN361" s="868"/>
      <c r="AO361" s="868"/>
      <c r="AP361" s="868"/>
      <c r="AQ361" s="868"/>
      <c r="AR361" s="868"/>
      <c r="AS361" s="868">
        <f t="shared" si="7"/>
        <v>0</v>
      </c>
      <c r="AT361" s="868"/>
      <c r="AU361" s="868"/>
      <c r="AV361" s="868"/>
      <c r="AW361" s="868"/>
      <c r="AX361" s="868"/>
    </row>
    <row r="362" s="687" customFormat="1" ht="15" hidden="1" customHeight="1" spans="1:50">
      <c r="A362" s="745"/>
      <c r="B362" s="754" t="s">
        <v>6423</v>
      </c>
      <c r="C362" s="864">
        <f>UnosNovoZaposl!C352</f>
        <v>0</v>
      </c>
      <c r="D362" s="864"/>
      <c r="E362" s="864"/>
      <c r="F362" s="864"/>
      <c r="G362" s="864"/>
      <c r="H362" s="864"/>
      <c r="I362" s="864"/>
      <c r="J362" s="864"/>
      <c r="K362" s="864"/>
      <c r="L362" s="864"/>
      <c r="M362" s="864"/>
      <c r="N362" s="864">
        <f>UnosNovoZaposl!D352</f>
        <v>0</v>
      </c>
      <c r="O362" s="864"/>
      <c r="P362" s="864"/>
      <c r="Q362" s="864"/>
      <c r="R362" s="864"/>
      <c r="S362" s="864"/>
      <c r="T362" s="864"/>
      <c r="U362" s="868">
        <f>UnosNovoZaposl!E352</f>
        <v>0</v>
      </c>
      <c r="V362" s="868"/>
      <c r="W362" s="868"/>
      <c r="X362" s="868"/>
      <c r="Y362" s="868"/>
      <c r="Z362" s="868"/>
      <c r="AA362" s="868">
        <f>UnosNovoZaposl!B352</f>
        <v>0</v>
      </c>
      <c r="AB362" s="868"/>
      <c r="AC362" s="868"/>
      <c r="AD362" s="868"/>
      <c r="AE362" s="868"/>
      <c r="AF362" s="868"/>
      <c r="AG362" s="868">
        <f>UnosNovoZaposl!F352</f>
        <v>0</v>
      </c>
      <c r="AH362" s="868"/>
      <c r="AI362" s="868"/>
      <c r="AJ362" s="868"/>
      <c r="AK362" s="868"/>
      <c r="AL362" s="868"/>
      <c r="AM362" s="868">
        <f>UnosNovoZaposl!G352</f>
        <v>0</v>
      </c>
      <c r="AN362" s="868"/>
      <c r="AO362" s="868"/>
      <c r="AP362" s="868"/>
      <c r="AQ362" s="868"/>
      <c r="AR362" s="868"/>
      <c r="AS362" s="868">
        <f t="shared" si="7"/>
        <v>0</v>
      </c>
      <c r="AT362" s="868"/>
      <c r="AU362" s="868"/>
      <c r="AV362" s="868"/>
      <c r="AW362" s="868"/>
      <c r="AX362" s="868"/>
    </row>
    <row r="363" s="687" customFormat="1" ht="15" hidden="1" customHeight="1" spans="1:50">
      <c r="A363" s="745"/>
      <c r="B363" s="754" t="s">
        <v>6424</v>
      </c>
      <c r="C363" s="864">
        <f>UnosNovoZaposl!C353</f>
        <v>0</v>
      </c>
      <c r="D363" s="864"/>
      <c r="E363" s="864"/>
      <c r="F363" s="864"/>
      <c r="G363" s="864"/>
      <c r="H363" s="864"/>
      <c r="I363" s="864"/>
      <c r="J363" s="864"/>
      <c r="K363" s="864"/>
      <c r="L363" s="864"/>
      <c r="M363" s="864"/>
      <c r="N363" s="864">
        <f>UnosNovoZaposl!D353</f>
        <v>0</v>
      </c>
      <c r="O363" s="864"/>
      <c r="P363" s="864"/>
      <c r="Q363" s="864"/>
      <c r="R363" s="864"/>
      <c r="S363" s="864"/>
      <c r="T363" s="864"/>
      <c r="U363" s="868">
        <f>UnosNovoZaposl!E353</f>
        <v>0</v>
      </c>
      <c r="V363" s="868"/>
      <c r="W363" s="868"/>
      <c r="X363" s="868"/>
      <c r="Y363" s="868"/>
      <c r="Z363" s="868"/>
      <c r="AA363" s="868">
        <f>UnosNovoZaposl!B353</f>
        <v>0</v>
      </c>
      <c r="AB363" s="868"/>
      <c r="AC363" s="868"/>
      <c r="AD363" s="868"/>
      <c r="AE363" s="868"/>
      <c r="AF363" s="868"/>
      <c r="AG363" s="868">
        <f>UnosNovoZaposl!F353</f>
        <v>0</v>
      </c>
      <c r="AH363" s="868"/>
      <c r="AI363" s="868"/>
      <c r="AJ363" s="868"/>
      <c r="AK363" s="868"/>
      <c r="AL363" s="868"/>
      <c r="AM363" s="868">
        <f>UnosNovoZaposl!G353</f>
        <v>0</v>
      </c>
      <c r="AN363" s="868"/>
      <c r="AO363" s="868"/>
      <c r="AP363" s="868"/>
      <c r="AQ363" s="868"/>
      <c r="AR363" s="868"/>
      <c r="AS363" s="868">
        <f t="shared" si="7"/>
        <v>0</v>
      </c>
      <c r="AT363" s="868"/>
      <c r="AU363" s="868"/>
      <c r="AV363" s="868"/>
      <c r="AW363" s="868"/>
      <c r="AX363" s="868"/>
    </row>
    <row r="364" s="687" customFormat="1" ht="15" hidden="1" customHeight="1" spans="1:50">
      <c r="A364" s="745"/>
      <c r="B364" s="754" t="s">
        <v>6425</v>
      </c>
      <c r="C364" s="864">
        <f>UnosNovoZaposl!C354</f>
        <v>0</v>
      </c>
      <c r="D364" s="864"/>
      <c r="E364" s="864"/>
      <c r="F364" s="864"/>
      <c r="G364" s="864"/>
      <c r="H364" s="864"/>
      <c r="I364" s="864"/>
      <c r="J364" s="864"/>
      <c r="K364" s="864"/>
      <c r="L364" s="864"/>
      <c r="M364" s="864"/>
      <c r="N364" s="864">
        <f>UnosNovoZaposl!D354</f>
        <v>0</v>
      </c>
      <c r="O364" s="864"/>
      <c r="P364" s="864"/>
      <c r="Q364" s="864"/>
      <c r="R364" s="864"/>
      <c r="S364" s="864"/>
      <c r="T364" s="864"/>
      <c r="U364" s="868">
        <f>UnosNovoZaposl!E354</f>
        <v>0</v>
      </c>
      <c r="V364" s="868"/>
      <c r="W364" s="868"/>
      <c r="X364" s="868"/>
      <c r="Y364" s="868"/>
      <c r="Z364" s="868"/>
      <c r="AA364" s="868">
        <f>UnosNovoZaposl!B354</f>
        <v>0</v>
      </c>
      <c r="AB364" s="868"/>
      <c r="AC364" s="868"/>
      <c r="AD364" s="868"/>
      <c r="AE364" s="868"/>
      <c r="AF364" s="868"/>
      <c r="AG364" s="868">
        <f>UnosNovoZaposl!F354</f>
        <v>0</v>
      </c>
      <c r="AH364" s="868"/>
      <c r="AI364" s="868"/>
      <c r="AJ364" s="868"/>
      <c r="AK364" s="868"/>
      <c r="AL364" s="868"/>
      <c r="AM364" s="868">
        <f>UnosNovoZaposl!G354</f>
        <v>0</v>
      </c>
      <c r="AN364" s="868"/>
      <c r="AO364" s="868"/>
      <c r="AP364" s="868"/>
      <c r="AQ364" s="868"/>
      <c r="AR364" s="868"/>
      <c r="AS364" s="868">
        <f t="shared" si="7"/>
        <v>0</v>
      </c>
      <c r="AT364" s="868"/>
      <c r="AU364" s="868"/>
      <c r="AV364" s="868"/>
      <c r="AW364" s="868"/>
      <c r="AX364" s="868"/>
    </row>
    <row r="365" s="687" customFormat="1" ht="15" hidden="1" customHeight="1" spans="1:50">
      <c r="A365" s="745"/>
      <c r="B365" s="754" t="s">
        <v>6426</v>
      </c>
      <c r="C365" s="864">
        <f>UnosNovoZaposl!C355</f>
        <v>0</v>
      </c>
      <c r="D365" s="864"/>
      <c r="E365" s="864"/>
      <c r="F365" s="864"/>
      <c r="G365" s="864"/>
      <c r="H365" s="864"/>
      <c r="I365" s="864"/>
      <c r="J365" s="864"/>
      <c r="K365" s="864"/>
      <c r="L365" s="864"/>
      <c r="M365" s="864"/>
      <c r="N365" s="864">
        <f>UnosNovoZaposl!D355</f>
        <v>0</v>
      </c>
      <c r="O365" s="864"/>
      <c r="P365" s="864"/>
      <c r="Q365" s="864"/>
      <c r="R365" s="864"/>
      <c r="S365" s="864"/>
      <c r="T365" s="864"/>
      <c r="U365" s="868">
        <f>UnosNovoZaposl!E355</f>
        <v>0</v>
      </c>
      <c r="V365" s="868"/>
      <c r="W365" s="868"/>
      <c r="X365" s="868"/>
      <c r="Y365" s="868"/>
      <c r="Z365" s="868"/>
      <c r="AA365" s="868">
        <f>UnosNovoZaposl!B355</f>
        <v>0</v>
      </c>
      <c r="AB365" s="868"/>
      <c r="AC365" s="868"/>
      <c r="AD365" s="868"/>
      <c r="AE365" s="868"/>
      <c r="AF365" s="868"/>
      <c r="AG365" s="868">
        <f>UnosNovoZaposl!F355</f>
        <v>0</v>
      </c>
      <c r="AH365" s="868"/>
      <c r="AI365" s="868"/>
      <c r="AJ365" s="868"/>
      <c r="AK365" s="868"/>
      <c r="AL365" s="868"/>
      <c r="AM365" s="868">
        <f>UnosNovoZaposl!G355</f>
        <v>0</v>
      </c>
      <c r="AN365" s="868"/>
      <c r="AO365" s="868"/>
      <c r="AP365" s="868"/>
      <c r="AQ365" s="868"/>
      <c r="AR365" s="868"/>
      <c r="AS365" s="868">
        <f t="shared" si="7"/>
        <v>0</v>
      </c>
      <c r="AT365" s="868"/>
      <c r="AU365" s="868"/>
      <c r="AV365" s="868"/>
      <c r="AW365" s="868"/>
      <c r="AX365" s="868"/>
    </row>
    <row r="366" s="687" customFormat="1" ht="15" hidden="1" customHeight="1" spans="1:50">
      <c r="A366" s="745"/>
      <c r="B366" s="754" t="s">
        <v>6427</v>
      </c>
      <c r="C366" s="864">
        <f>UnosNovoZaposl!C356</f>
        <v>0</v>
      </c>
      <c r="D366" s="864"/>
      <c r="E366" s="864"/>
      <c r="F366" s="864"/>
      <c r="G366" s="864"/>
      <c r="H366" s="864"/>
      <c r="I366" s="864"/>
      <c r="J366" s="864"/>
      <c r="K366" s="864"/>
      <c r="L366" s="864"/>
      <c r="M366" s="864"/>
      <c r="N366" s="864">
        <f>UnosNovoZaposl!D356</f>
        <v>0</v>
      </c>
      <c r="O366" s="864"/>
      <c r="P366" s="864"/>
      <c r="Q366" s="864"/>
      <c r="R366" s="864"/>
      <c r="S366" s="864"/>
      <c r="T366" s="864"/>
      <c r="U366" s="868">
        <f>UnosNovoZaposl!E356</f>
        <v>0</v>
      </c>
      <c r="V366" s="868"/>
      <c r="W366" s="868"/>
      <c r="X366" s="868"/>
      <c r="Y366" s="868"/>
      <c r="Z366" s="868"/>
      <c r="AA366" s="868">
        <f>UnosNovoZaposl!B356</f>
        <v>0</v>
      </c>
      <c r="AB366" s="868"/>
      <c r="AC366" s="868"/>
      <c r="AD366" s="868"/>
      <c r="AE366" s="868"/>
      <c r="AF366" s="868"/>
      <c r="AG366" s="868">
        <f>UnosNovoZaposl!F356</f>
        <v>0</v>
      </c>
      <c r="AH366" s="868"/>
      <c r="AI366" s="868"/>
      <c r="AJ366" s="868"/>
      <c r="AK366" s="868"/>
      <c r="AL366" s="868"/>
      <c r="AM366" s="868">
        <f>UnosNovoZaposl!G356</f>
        <v>0</v>
      </c>
      <c r="AN366" s="868"/>
      <c r="AO366" s="868"/>
      <c r="AP366" s="868"/>
      <c r="AQ366" s="868"/>
      <c r="AR366" s="868"/>
      <c r="AS366" s="868">
        <f t="shared" si="7"/>
        <v>0</v>
      </c>
      <c r="AT366" s="868"/>
      <c r="AU366" s="868"/>
      <c r="AV366" s="868"/>
      <c r="AW366" s="868"/>
      <c r="AX366" s="868"/>
    </row>
    <row r="367" s="687" customFormat="1" ht="15" hidden="1" customHeight="1" spans="1:50">
      <c r="A367" s="745"/>
      <c r="B367" s="754" t="s">
        <v>6428</v>
      </c>
      <c r="C367" s="864">
        <f>UnosNovoZaposl!C357</f>
        <v>0</v>
      </c>
      <c r="D367" s="864"/>
      <c r="E367" s="864"/>
      <c r="F367" s="864"/>
      <c r="G367" s="864"/>
      <c r="H367" s="864"/>
      <c r="I367" s="864"/>
      <c r="J367" s="864"/>
      <c r="K367" s="864"/>
      <c r="L367" s="864"/>
      <c r="M367" s="864"/>
      <c r="N367" s="864">
        <f>UnosNovoZaposl!D357</f>
        <v>0</v>
      </c>
      <c r="O367" s="864"/>
      <c r="P367" s="864"/>
      <c r="Q367" s="864"/>
      <c r="R367" s="864"/>
      <c r="S367" s="864"/>
      <c r="T367" s="864"/>
      <c r="U367" s="868">
        <f>UnosNovoZaposl!E357</f>
        <v>0</v>
      </c>
      <c r="V367" s="868"/>
      <c r="W367" s="868"/>
      <c r="X367" s="868"/>
      <c r="Y367" s="868"/>
      <c r="Z367" s="868"/>
      <c r="AA367" s="868">
        <f>UnosNovoZaposl!B357</f>
        <v>0</v>
      </c>
      <c r="AB367" s="868"/>
      <c r="AC367" s="868"/>
      <c r="AD367" s="868"/>
      <c r="AE367" s="868"/>
      <c r="AF367" s="868"/>
      <c r="AG367" s="868">
        <f>UnosNovoZaposl!F357</f>
        <v>0</v>
      </c>
      <c r="AH367" s="868"/>
      <c r="AI367" s="868"/>
      <c r="AJ367" s="868"/>
      <c r="AK367" s="868"/>
      <c r="AL367" s="868"/>
      <c r="AM367" s="868">
        <f>UnosNovoZaposl!G357</f>
        <v>0</v>
      </c>
      <c r="AN367" s="868"/>
      <c r="AO367" s="868"/>
      <c r="AP367" s="868"/>
      <c r="AQ367" s="868"/>
      <c r="AR367" s="868"/>
      <c r="AS367" s="868">
        <f t="shared" si="7"/>
        <v>0</v>
      </c>
      <c r="AT367" s="868"/>
      <c r="AU367" s="868"/>
      <c r="AV367" s="868"/>
      <c r="AW367" s="868"/>
      <c r="AX367" s="868"/>
    </row>
    <row r="368" s="687" customFormat="1" ht="15" hidden="1" customHeight="1" spans="1:50">
      <c r="A368" s="745"/>
      <c r="B368" s="754" t="s">
        <v>6429</v>
      </c>
      <c r="C368" s="864">
        <f>UnosNovoZaposl!C358</f>
        <v>0</v>
      </c>
      <c r="D368" s="864"/>
      <c r="E368" s="864"/>
      <c r="F368" s="864"/>
      <c r="G368" s="864"/>
      <c r="H368" s="864"/>
      <c r="I368" s="864"/>
      <c r="J368" s="864"/>
      <c r="K368" s="864"/>
      <c r="L368" s="864"/>
      <c r="M368" s="864"/>
      <c r="N368" s="864">
        <f>UnosNovoZaposl!D358</f>
        <v>0</v>
      </c>
      <c r="O368" s="864"/>
      <c r="P368" s="864"/>
      <c r="Q368" s="864"/>
      <c r="R368" s="864"/>
      <c r="S368" s="864"/>
      <c r="T368" s="864"/>
      <c r="U368" s="868">
        <f>UnosNovoZaposl!E358</f>
        <v>0</v>
      </c>
      <c r="V368" s="868"/>
      <c r="W368" s="868"/>
      <c r="X368" s="868"/>
      <c r="Y368" s="868"/>
      <c r="Z368" s="868"/>
      <c r="AA368" s="868">
        <f>UnosNovoZaposl!B358</f>
        <v>0</v>
      </c>
      <c r="AB368" s="868"/>
      <c r="AC368" s="868"/>
      <c r="AD368" s="868"/>
      <c r="AE368" s="868"/>
      <c r="AF368" s="868"/>
      <c r="AG368" s="868">
        <f>UnosNovoZaposl!F358</f>
        <v>0</v>
      </c>
      <c r="AH368" s="868"/>
      <c r="AI368" s="868"/>
      <c r="AJ368" s="868"/>
      <c r="AK368" s="868"/>
      <c r="AL368" s="868"/>
      <c r="AM368" s="868">
        <f>UnosNovoZaposl!G358</f>
        <v>0</v>
      </c>
      <c r="AN368" s="868"/>
      <c r="AO368" s="868"/>
      <c r="AP368" s="868"/>
      <c r="AQ368" s="868"/>
      <c r="AR368" s="868"/>
      <c r="AS368" s="868">
        <f t="shared" si="7"/>
        <v>0</v>
      </c>
      <c r="AT368" s="868"/>
      <c r="AU368" s="868"/>
      <c r="AV368" s="868"/>
      <c r="AW368" s="868"/>
      <c r="AX368" s="868"/>
    </row>
    <row r="369" s="687" customFormat="1" ht="15" hidden="1" customHeight="1" spans="1:50">
      <c r="A369" s="745"/>
      <c r="B369" s="754" t="s">
        <v>6430</v>
      </c>
      <c r="C369" s="864">
        <f>UnosNovoZaposl!C359</f>
        <v>0</v>
      </c>
      <c r="D369" s="864"/>
      <c r="E369" s="864"/>
      <c r="F369" s="864"/>
      <c r="G369" s="864"/>
      <c r="H369" s="864"/>
      <c r="I369" s="864"/>
      <c r="J369" s="864"/>
      <c r="K369" s="864"/>
      <c r="L369" s="864"/>
      <c r="M369" s="864"/>
      <c r="N369" s="864">
        <f>UnosNovoZaposl!D359</f>
        <v>0</v>
      </c>
      <c r="O369" s="864"/>
      <c r="P369" s="864"/>
      <c r="Q369" s="864"/>
      <c r="R369" s="864"/>
      <c r="S369" s="864"/>
      <c r="T369" s="864"/>
      <c r="U369" s="868">
        <f>UnosNovoZaposl!E359</f>
        <v>0</v>
      </c>
      <c r="V369" s="868"/>
      <c r="W369" s="868"/>
      <c r="X369" s="868"/>
      <c r="Y369" s="868"/>
      <c r="Z369" s="868"/>
      <c r="AA369" s="868">
        <f>UnosNovoZaposl!B359</f>
        <v>0</v>
      </c>
      <c r="AB369" s="868"/>
      <c r="AC369" s="868"/>
      <c r="AD369" s="868"/>
      <c r="AE369" s="868"/>
      <c r="AF369" s="868"/>
      <c r="AG369" s="868">
        <f>UnosNovoZaposl!F359</f>
        <v>0</v>
      </c>
      <c r="AH369" s="868"/>
      <c r="AI369" s="868"/>
      <c r="AJ369" s="868"/>
      <c r="AK369" s="868"/>
      <c r="AL369" s="868"/>
      <c r="AM369" s="868">
        <f>UnosNovoZaposl!G359</f>
        <v>0</v>
      </c>
      <c r="AN369" s="868"/>
      <c r="AO369" s="868"/>
      <c r="AP369" s="868"/>
      <c r="AQ369" s="868"/>
      <c r="AR369" s="868"/>
      <c r="AS369" s="868">
        <f t="shared" si="7"/>
        <v>0</v>
      </c>
      <c r="AT369" s="868"/>
      <c r="AU369" s="868"/>
      <c r="AV369" s="868"/>
      <c r="AW369" s="868"/>
      <c r="AX369" s="868"/>
    </row>
    <row r="370" s="687" customFormat="1" ht="15" hidden="1" customHeight="1" spans="1:50">
      <c r="A370" s="745"/>
      <c r="B370" s="754" t="s">
        <v>6431</v>
      </c>
      <c r="C370" s="864">
        <f>UnosNovoZaposl!C360</f>
        <v>0</v>
      </c>
      <c r="D370" s="864"/>
      <c r="E370" s="864"/>
      <c r="F370" s="864"/>
      <c r="G370" s="864"/>
      <c r="H370" s="864"/>
      <c r="I370" s="864"/>
      <c r="J370" s="864"/>
      <c r="K370" s="864"/>
      <c r="L370" s="864"/>
      <c r="M370" s="864"/>
      <c r="N370" s="864">
        <f>UnosNovoZaposl!D360</f>
        <v>0</v>
      </c>
      <c r="O370" s="864"/>
      <c r="P370" s="864"/>
      <c r="Q370" s="864"/>
      <c r="R370" s="864"/>
      <c r="S370" s="864"/>
      <c r="T370" s="864"/>
      <c r="U370" s="868">
        <f>UnosNovoZaposl!E360</f>
        <v>0</v>
      </c>
      <c r="V370" s="868"/>
      <c r="W370" s="868"/>
      <c r="X370" s="868"/>
      <c r="Y370" s="868"/>
      <c r="Z370" s="868"/>
      <c r="AA370" s="868">
        <f>UnosNovoZaposl!B360</f>
        <v>0</v>
      </c>
      <c r="AB370" s="868"/>
      <c r="AC370" s="868"/>
      <c r="AD370" s="868"/>
      <c r="AE370" s="868"/>
      <c r="AF370" s="868"/>
      <c r="AG370" s="868">
        <f>UnosNovoZaposl!F360</f>
        <v>0</v>
      </c>
      <c r="AH370" s="868"/>
      <c r="AI370" s="868"/>
      <c r="AJ370" s="868"/>
      <c r="AK370" s="868"/>
      <c r="AL370" s="868"/>
      <c r="AM370" s="868">
        <f>UnosNovoZaposl!G360</f>
        <v>0</v>
      </c>
      <c r="AN370" s="868"/>
      <c r="AO370" s="868"/>
      <c r="AP370" s="868"/>
      <c r="AQ370" s="868"/>
      <c r="AR370" s="868"/>
      <c r="AS370" s="868">
        <f t="shared" si="7"/>
        <v>0</v>
      </c>
      <c r="AT370" s="868"/>
      <c r="AU370" s="868"/>
      <c r="AV370" s="868"/>
      <c r="AW370" s="868"/>
      <c r="AX370" s="868"/>
    </row>
    <row r="371" s="687" customFormat="1" ht="15" hidden="1" customHeight="1" spans="1:50">
      <c r="A371" s="745"/>
      <c r="B371" s="754" t="s">
        <v>6432</v>
      </c>
      <c r="C371" s="864">
        <f>UnosNovoZaposl!C361</f>
        <v>0</v>
      </c>
      <c r="D371" s="864"/>
      <c r="E371" s="864"/>
      <c r="F371" s="864"/>
      <c r="G371" s="864"/>
      <c r="H371" s="864"/>
      <c r="I371" s="864"/>
      <c r="J371" s="864"/>
      <c r="K371" s="864"/>
      <c r="L371" s="864"/>
      <c r="M371" s="864"/>
      <c r="N371" s="864">
        <f>UnosNovoZaposl!D361</f>
        <v>0</v>
      </c>
      <c r="O371" s="864"/>
      <c r="P371" s="864"/>
      <c r="Q371" s="864"/>
      <c r="R371" s="864"/>
      <c r="S371" s="864"/>
      <c r="T371" s="864"/>
      <c r="U371" s="868">
        <f>UnosNovoZaposl!E361</f>
        <v>0</v>
      </c>
      <c r="V371" s="868"/>
      <c r="W371" s="868"/>
      <c r="X371" s="868"/>
      <c r="Y371" s="868"/>
      <c r="Z371" s="868"/>
      <c r="AA371" s="868">
        <f>UnosNovoZaposl!B361</f>
        <v>0</v>
      </c>
      <c r="AB371" s="868"/>
      <c r="AC371" s="868"/>
      <c r="AD371" s="868"/>
      <c r="AE371" s="868"/>
      <c r="AF371" s="868"/>
      <c r="AG371" s="868">
        <f>UnosNovoZaposl!F361</f>
        <v>0</v>
      </c>
      <c r="AH371" s="868"/>
      <c r="AI371" s="868"/>
      <c r="AJ371" s="868"/>
      <c r="AK371" s="868"/>
      <c r="AL371" s="868"/>
      <c r="AM371" s="868">
        <f>UnosNovoZaposl!G361</f>
        <v>0</v>
      </c>
      <c r="AN371" s="868"/>
      <c r="AO371" s="868"/>
      <c r="AP371" s="868"/>
      <c r="AQ371" s="868"/>
      <c r="AR371" s="868"/>
      <c r="AS371" s="868">
        <f t="shared" si="7"/>
        <v>0</v>
      </c>
      <c r="AT371" s="868"/>
      <c r="AU371" s="868"/>
      <c r="AV371" s="868"/>
      <c r="AW371" s="868"/>
      <c r="AX371" s="868"/>
    </row>
    <row r="372" s="687" customFormat="1" ht="15" hidden="1" customHeight="1" spans="1:50">
      <c r="A372" s="745"/>
      <c r="B372" s="754" t="s">
        <v>6433</v>
      </c>
      <c r="C372" s="864">
        <f>UnosNovoZaposl!C362</f>
        <v>0</v>
      </c>
      <c r="D372" s="864"/>
      <c r="E372" s="864"/>
      <c r="F372" s="864"/>
      <c r="G372" s="864"/>
      <c r="H372" s="864"/>
      <c r="I372" s="864"/>
      <c r="J372" s="864"/>
      <c r="K372" s="864"/>
      <c r="L372" s="864"/>
      <c r="M372" s="864"/>
      <c r="N372" s="864">
        <f>UnosNovoZaposl!D362</f>
        <v>0</v>
      </c>
      <c r="O372" s="864"/>
      <c r="P372" s="864"/>
      <c r="Q372" s="864"/>
      <c r="R372" s="864"/>
      <c r="S372" s="864"/>
      <c r="T372" s="864"/>
      <c r="U372" s="868">
        <f>UnosNovoZaposl!E362</f>
        <v>0</v>
      </c>
      <c r="V372" s="868"/>
      <c r="W372" s="868"/>
      <c r="X372" s="868"/>
      <c r="Y372" s="868"/>
      <c r="Z372" s="868"/>
      <c r="AA372" s="868">
        <f>UnosNovoZaposl!B362</f>
        <v>0</v>
      </c>
      <c r="AB372" s="868"/>
      <c r="AC372" s="868"/>
      <c r="AD372" s="868"/>
      <c r="AE372" s="868"/>
      <c r="AF372" s="868"/>
      <c r="AG372" s="868">
        <f>UnosNovoZaposl!F362</f>
        <v>0</v>
      </c>
      <c r="AH372" s="868"/>
      <c r="AI372" s="868"/>
      <c r="AJ372" s="868"/>
      <c r="AK372" s="868"/>
      <c r="AL372" s="868"/>
      <c r="AM372" s="868">
        <f>UnosNovoZaposl!G362</f>
        <v>0</v>
      </c>
      <c r="AN372" s="868"/>
      <c r="AO372" s="868"/>
      <c r="AP372" s="868"/>
      <c r="AQ372" s="868"/>
      <c r="AR372" s="868"/>
      <c r="AS372" s="868">
        <f t="shared" si="7"/>
        <v>0</v>
      </c>
      <c r="AT372" s="868"/>
      <c r="AU372" s="868"/>
      <c r="AV372" s="868"/>
      <c r="AW372" s="868"/>
      <c r="AX372" s="868"/>
    </row>
    <row r="373" s="687" customFormat="1" ht="15" hidden="1" customHeight="1" spans="1:50">
      <c r="A373" s="745"/>
      <c r="B373" s="754" t="s">
        <v>6434</v>
      </c>
      <c r="C373" s="864">
        <f>UnosNovoZaposl!C363</f>
        <v>0</v>
      </c>
      <c r="D373" s="864"/>
      <c r="E373" s="864"/>
      <c r="F373" s="864"/>
      <c r="G373" s="864"/>
      <c r="H373" s="864"/>
      <c r="I373" s="864"/>
      <c r="J373" s="864"/>
      <c r="K373" s="864"/>
      <c r="L373" s="864"/>
      <c r="M373" s="864"/>
      <c r="N373" s="864">
        <f>UnosNovoZaposl!D363</f>
        <v>0</v>
      </c>
      <c r="O373" s="864"/>
      <c r="P373" s="864"/>
      <c r="Q373" s="864"/>
      <c r="R373" s="864"/>
      <c r="S373" s="864"/>
      <c r="T373" s="864"/>
      <c r="U373" s="868">
        <f>UnosNovoZaposl!E363</f>
        <v>0</v>
      </c>
      <c r="V373" s="868"/>
      <c r="W373" s="868"/>
      <c r="X373" s="868"/>
      <c r="Y373" s="868"/>
      <c r="Z373" s="868"/>
      <c r="AA373" s="868">
        <f>UnosNovoZaposl!B363</f>
        <v>0</v>
      </c>
      <c r="AB373" s="868"/>
      <c r="AC373" s="868"/>
      <c r="AD373" s="868"/>
      <c r="AE373" s="868"/>
      <c r="AF373" s="868"/>
      <c r="AG373" s="868">
        <f>UnosNovoZaposl!F363</f>
        <v>0</v>
      </c>
      <c r="AH373" s="868"/>
      <c r="AI373" s="868"/>
      <c r="AJ373" s="868"/>
      <c r="AK373" s="868"/>
      <c r="AL373" s="868"/>
      <c r="AM373" s="868">
        <f>UnosNovoZaposl!G363</f>
        <v>0</v>
      </c>
      <c r="AN373" s="868"/>
      <c r="AO373" s="868"/>
      <c r="AP373" s="868"/>
      <c r="AQ373" s="868"/>
      <c r="AR373" s="868"/>
      <c r="AS373" s="868">
        <f t="shared" si="7"/>
        <v>0</v>
      </c>
      <c r="AT373" s="868"/>
      <c r="AU373" s="868"/>
      <c r="AV373" s="868"/>
      <c r="AW373" s="868"/>
      <c r="AX373" s="868"/>
    </row>
    <row r="374" s="687" customFormat="1" ht="15" hidden="1" customHeight="1" spans="1:50">
      <c r="A374" s="745"/>
      <c r="B374" s="754" t="s">
        <v>6435</v>
      </c>
      <c r="C374" s="864">
        <f>UnosNovoZaposl!C364</f>
        <v>0</v>
      </c>
      <c r="D374" s="864"/>
      <c r="E374" s="864"/>
      <c r="F374" s="864"/>
      <c r="G374" s="864"/>
      <c r="H374" s="864"/>
      <c r="I374" s="864"/>
      <c r="J374" s="864"/>
      <c r="K374" s="864"/>
      <c r="L374" s="864"/>
      <c r="M374" s="864"/>
      <c r="N374" s="864">
        <f>UnosNovoZaposl!D364</f>
        <v>0</v>
      </c>
      <c r="O374" s="864"/>
      <c r="P374" s="864"/>
      <c r="Q374" s="864"/>
      <c r="R374" s="864"/>
      <c r="S374" s="864"/>
      <c r="T374" s="864"/>
      <c r="U374" s="868">
        <f>UnosNovoZaposl!E364</f>
        <v>0</v>
      </c>
      <c r="V374" s="868"/>
      <c r="W374" s="868"/>
      <c r="X374" s="868"/>
      <c r="Y374" s="868"/>
      <c r="Z374" s="868"/>
      <c r="AA374" s="868">
        <f>UnosNovoZaposl!B364</f>
        <v>0</v>
      </c>
      <c r="AB374" s="868"/>
      <c r="AC374" s="868"/>
      <c r="AD374" s="868"/>
      <c r="AE374" s="868"/>
      <c r="AF374" s="868"/>
      <c r="AG374" s="868">
        <f>UnosNovoZaposl!F364</f>
        <v>0</v>
      </c>
      <c r="AH374" s="868"/>
      <c r="AI374" s="868"/>
      <c r="AJ374" s="868"/>
      <c r="AK374" s="868"/>
      <c r="AL374" s="868"/>
      <c r="AM374" s="868">
        <f>UnosNovoZaposl!G364</f>
        <v>0</v>
      </c>
      <c r="AN374" s="868"/>
      <c r="AO374" s="868"/>
      <c r="AP374" s="868"/>
      <c r="AQ374" s="868"/>
      <c r="AR374" s="868"/>
      <c r="AS374" s="868">
        <f t="shared" si="7"/>
        <v>0</v>
      </c>
      <c r="AT374" s="868"/>
      <c r="AU374" s="868"/>
      <c r="AV374" s="868"/>
      <c r="AW374" s="868"/>
      <c r="AX374" s="868"/>
    </row>
    <row r="375" s="687" customFormat="1" ht="15" hidden="1" customHeight="1" spans="1:50">
      <c r="A375" s="745"/>
      <c r="B375" s="754" t="s">
        <v>6436</v>
      </c>
      <c r="C375" s="864">
        <f>UnosNovoZaposl!C365</f>
        <v>0</v>
      </c>
      <c r="D375" s="864"/>
      <c r="E375" s="864"/>
      <c r="F375" s="864"/>
      <c r="G375" s="864"/>
      <c r="H375" s="864"/>
      <c r="I375" s="864"/>
      <c r="J375" s="864"/>
      <c r="K375" s="864"/>
      <c r="L375" s="864"/>
      <c r="M375" s="864"/>
      <c r="N375" s="864">
        <f>UnosNovoZaposl!D365</f>
        <v>0</v>
      </c>
      <c r="O375" s="864"/>
      <c r="P375" s="864"/>
      <c r="Q375" s="864"/>
      <c r="R375" s="864"/>
      <c r="S375" s="864"/>
      <c r="T375" s="864"/>
      <c r="U375" s="868">
        <f>UnosNovoZaposl!E365</f>
        <v>0</v>
      </c>
      <c r="V375" s="868"/>
      <c r="W375" s="868"/>
      <c r="X375" s="868"/>
      <c r="Y375" s="868"/>
      <c r="Z375" s="868"/>
      <c r="AA375" s="868">
        <f>UnosNovoZaposl!B365</f>
        <v>0</v>
      </c>
      <c r="AB375" s="868"/>
      <c r="AC375" s="868"/>
      <c r="AD375" s="868"/>
      <c r="AE375" s="868"/>
      <c r="AF375" s="868"/>
      <c r="AG375" s="868">
        <f>UnosNovoZaposl!F365</f>
        <v>0</v>
      </c>
      <c r="AH375" s="868"/>
      <c r="AI375" s="868"/>
      <c r="AJ375" s="868"/>
      <c r="AK375" s="868"/>
      <c r="AL375" s="868"/>
      <c r="AM375" s="868">
        <f>UnosNovoZaposl!G365</f>
        <v>0</v>
      </c>
      <c r="AN375" s="868"/>
      <c r="AO375" s="868"/>
      <c r="AP375" s="868"/>
      <c r="AQ375" s="868"/>
      <c r="AR375" s="868"/>
      <c r="AS375" s="868">
        <f t="shared" si="7"/>
        <v>0</v>
      </c>
      <c r="AT375" s="868"/>
      <c r="AU375" s="868"/>
      <c r="AV375" s="868"/>
      <c r="AW375" s="868"/>
      <c r="AX375" s="868"/>
    </row>
    <row r="376" s="687" customFormat="1" ht="15" hidden="1" customHeight="1" spans="1:50">
      <c r="A376" s="745"/>
      <c r="B376" s="754" t="s">
        <v>6437</v>
      </c>
      <c r="C376" s="864">
        <f>UnosNovoZaposl!C366</f>
        <v>0</v>
      </c>
      <c r="D376" s="864"/>
      <c r="E376" s="864"/>
      <c r="F376" s="864"/>
      <c r="G376" s="864"/>
      <c r="H376" s="864"/>
      <c r="I376" s="864"/>
      <c r="J376" s="864"/>
      <c r="K376" s="864"/>
      <c r="L376" s="864"/>
      <c r="M376" s="864"/>
      <c r="N376" s="864">
        <f>UnosNovoZaposl!D366</f>
        <v>0</v>
      </c>
      <c r="O376" s="864"/>
      <c r="P376" s="864"/>
      <c r="Q376" s="864"/>
      <c r="R376" s="864"/>
      <c r="S376" s="864"/>
      <c r="T376" s="864"/>
      <c r="U376" s="868">
        <f>UnosNovoZaposl!E366</f>
        <v>0</v>
      </c>
      <c r="V376" s="868"/>
      <c r="W376" s="868"/>
      <c r="X376" s="868"/>
      <c r="Y376" s="868"/>
      <c r="Z376" s="868"/>
      <c r="AA376" s="868">
        <f>UnosNovoZaposl!B366</f>
        <v>0</v>
      </c>
      <c r="AB376" s="868"/>
      <c r="AC376" s="868"/>
      <c r="AD376" s="868"/>
      <c r="AE376" s="868"/>
      <c r="AF376" s="868"/>
      <c r="AG376" s="868">
        <f>UnosNovoZaposl!F366</f>
        <v>0</v>
      </c>
      <c r="AH376" s="868"/>
      <c r="AI376" s="868"/>
      <c r="AJ376" s="868"/>
      <c r="AK376" s="868"/>
      <c r="AL376" s="868"/>
      <c r="AM376" s="868">
        <f>UnosNovoZaposl!G366</f>
        <v>0</v>
      </c>
      <c r="AN376" s="868"/>
      <c r="AO376" s="868"/>
      <c r="AP376" s="868"/>
      <c r="AQ376" s="868"/>
      <c r="AR376" s="868"/>
      <c r="AS376" s="868">
        <f t="shared" si="7"/>
        <v>0</v>
      </c>
      <c r="AT376" s="868"/>
      <c r="AU376" s="868"/>
      <c r="AV376" s="868"/>
      <c r="AW376" s="868"/>
      <c r="AX376" s="868"/>
    </row>
    <row r="377" s="687" customFormat="1" ht="15" hidden="1" customHeight="1" spans="1:50">
      <c r="A377" s="745"/>
      <c r="B377" s="754" t="s">
        <v>6438</v>
      </c>
      <c r="C377" s="864">
        <f>UnosNovoZaposl!C367</f>
        <v>0</v>
      </c>
      <c r="D377" s="864"/>
      <c r="E377" s="864"/>
      <c r="F377" s="864"/>
      <c r="G377" s="864"/>
      <c r="H377" s="864"/>
      <c r="I377" s="864"/>
      <c r="J377" s="864"/>
      <c r="K377" s="864"/>
      <c r="L377" s="864"/>
      <c r="M377" s="864"/>
      <c r="N377" s="864">
        <f>UnosNovoZaposl!D367</f>
        <v>0</v>
      </c>
      <c r="O377" s="864"/>
      <c r="P377" s="864"/>
      <c r="Q377" s="864"/>
      <c r="R377" s="864"/>
      <c r="S377" s="864"/>
      <c r="T377" s="864"/>
      <c r="U377" s="868">
        <f>UnosNovoZaposl!E367</f>
        <v>0</v>
      </c>
      <c r="V377" s="868"/>
      <c r="W377" s="868"/>
      <c r="X377" s="868"/>
      <c r="Y377" s="868"/>
      <c r="Z377" s="868"/>
      <c r="AA377" s="868">
        <f>UnosNovoZaposl!B367</f>
        <v>0</v>
      </c>
      <c r="AB377" s="868"/>
      <c r="AC377" s="868"/>
      <c r="AD377" s="868"/>
      <c r="AE377" s="868"/>
      <c r="AF377" s="868"/>
      <c r="AG377" s="868">
        <f>UnosNovoZaposl!F367</f>
        <v>0</v>
      </c>
      <c r="AH377" s="868"/>
      <c r="AI377" s="868"/>
      <c r="AJ377" s="868"/>
      <c r="AK377" s="868"/>
      <c r="AL377" s="868"/>
      <c r="AM377" s="868">
        <f>UnosNovoZaposl!G367</f>
        <v>0</v>
      </c>
      <c r="AN377" s="868"/>
      <c r="AO377" s="868"/>
      <c r="AP377" s="868"/>
      <c r="AQ377" s="868"/>
      <c r="AR377" s="868"/>
      <c r="AS377" s="868">
        <f t="shared" si="7"/>
        <v>0</v>
      </c>
      <c r="AT377" s="868"/>
      <c r="AU377" s="868"/>
      <c r="AV377" s="868"/>
      <c r="AW377" s="868"/>
      <c r="AX377" s="868"/>
    </row>
    <row r="378" s="687" customFormat="1" ht="15" hidden="1" customHeight="1" spans="1:50">
      <c r="A378" s="745"/>
      <c r="B378" s="754" t="s">
        <v>6439</v>
      </c>
      <c r="C378" s="864">
        <f>UnosNovoZaposl!C368</f>
        <v>0</v>
      </c>
      <c r="D378" s="864"/>
      <c r="E378" s="864"/>
      <c r="F378" s="864"/>
      <c r="G378" s="864"/>
      <c r="H378" s="864"/>
      <c r="I378" s="864"/>
      <c r="J378" s="864"/>
      <c r="K378" s="864"/>
      <c r="L378" s="864"/>
      <c r="M378" s="864"/>
      <c r="N378" s="864">
        <f>UnosNovoZaposl!D368</f>
        <v>0</v>
      </c>
      <c r="O378" s="864"/>
      <c r="P378" s="864"/>
      <c r="Q378" s="864"/>
      <c r="R378" s="864"/>
      <c r="S378" s="864"/>
      <c r="T378" s="864"/>
      <c r="U378" s="868">
        <f>UnosNovoZaposl!E368</f>
        <v>0</v>
      </c>
      <c r="V378" s="868"/>
      <c r="W378" s="868"/>
      <c r="X378" s="868"/>
      <c r="Y378" s="868"/>
      <c r="Z378" s="868"/>
      <c r="AA378" s="868">
        <f>UnosNovoZaposl!B368</f>
        <v>0</v>
      </c>
      <c r="AB378" s="868"/>
      <c r="AC378" s="868"/>
      <c r="AD378" s="868"/>
      <c r="AE378" s="868"/>
      <c r="AF378" s="868"/>
      <c r="AG378" s="868">
        <f>UnosNovoZaposl!F368</f>
        <v>0</v>
      </c>
      <c r="AH378" s="868"/>
      <c r="AI378" s="868"/>
      <c r="AJ378" s="868"/>
      <c r="AK378" s="868"/>
      <c r="AL378" s="868"/>
      <c r="AM378" s="868">
        <f>UnosNovoZaposl!G368</f>
        <v>0</v>
      </c>
      <c r="AN378" s="868"/>
      <c r="AO378" s="868"/>
      <c r="AP378" s="868"/>
      <c r="AQ378" s="868"/>
      <c r="AR378" s="868"/>
      <c r="AS378" s="868">
        <f t="shared" si="7"/>
        <v>0</v>
      </c>
      <c r="AT378" s="868"/>
      <c r="AU378" s="868"/>
      <c r="AV378" s="868"/>
      <c r="AW378" s="868"/>
      <c r="AX378" s="868"/>
    </row>
    <row r="379" s="687" customFormat="1" ht="15" hidden="1" customHeight="1" spans="1:50">
      <c r="A379" s="745"/>
      <c r="B379" s="754" t="s">
        <v>6440</v>
      </c>
      <c r="C379" s="864">
        <f>UnosNovoZaposl!C369</f>
        <v>0</v>
      </c>
      <c r="D379" s="864"/>
      <c r="E379" s="864"/>
      <c r="F379" s="864"/>
      <c r="G379" s="864"/>
      <c r="H379" s="864"/>
      <c r="I379" s="864"/>
      <c r="J379" s="864"/>
      <c r="K379" s="864"/>
      <c r="L379" s="864"/>
      <c r="M379" s="864"/>
      <c r="N379" s="864">
        <f>UnosNovoZaposl!D369</f>
        <v>0</v>
      </c>
      <c r="O379" s="864"/>
      <c r="P379" s="864"/>
      <c r="Q379" s="864"/>
      <c r="R379" s="864"/>
      <c r="S379" s="864"/>
      <c r="T379" s="864"/>
      <c r="U379" s="868">
        <f>UnosNovoZaposl!E369</f>
        <v>0</v>
      </c>
      <c r="V379" s="868"/>
      <c r="W379" s="868"/>
      <c r="X379" s="868"/>
      <c r="Y379" s="868"/>
      <c r="Z379" s="868"/>
      <c r="AA379" s="868">
        <f>UnosNovoZaposl!B369</f>
        <v>0</v>
      </c>
      <c r="AB379" s="868"/>
      <c r="AC379" s="868"/>
      <c r="AD379" s="868"/>
      <c r="AE379" s="868"/>
      <c r="AF379" s="868"/>
      <c r="AG379" s="868">
        <f>UnosNovoZaposl!F369</f>
        <v>0</v>
      </c>
      <c r="AH379" s="868"/>
      <c r="AI379" s="868"/>
      <c r="AJ379" s="868"/>
      <c r="AK379" s="868"/>
      <c r="AL379" s="868"/>
      <c r="AM379" s="868">
        <f>UnosNovoZaposl!G369</f>
        <v>0</v>
      </c>
      <c r="AN379" s="868"/>
      <c r="AO379" s="868"/>
      <c r="AP379" s="868"/>
      <c r="AQ379" s="868"/>
      <c r="AR379" s="868"/>
      <c r="AS379" s="868">
        <f t="shared" si="7"/>
        <v>0</v>
      </c>
      <c r="AT379" s="868"/>
      <c r="AU379" s="868"/>
      <c r="AV379" s="868"/>
      <c r="AW379" s="868"/>
      <c r="AX379" s="868"/>
    </row>
    <row r="380" s="687" customFormat="1" ht="15" hidden="1" customHeight="1" spans="1:50">
      <c r="A380" s="745"/>
      <c r="B380" s="754" t="s">
        <v>6441</v>
      </c>
      <c r="C380" s="864">
        <f>UnosNovoZaposl!C370</f>
        <v>0</v>
      </c>
      <c r="D380" s="864"/>
      <c r="E380" s="864"/>
      <c r="F380" s="864"/>
      <c r="G380" s="864"/>
      <c r="H380" s="864"/>
      <c r="I380" s="864"/>
      <c r="J380" s="864"/>
      <c r="K380" s="864"/>
      <c r="L380" s="864"/>
      <c r="M380" s="864"/>
      <c r="N380" s="864">
        <f>UnosNovoZaposl!D370</f>
        <v>0</v>
      </c>
      <c r="O380" s="864"/>
      <c r="P380" s="864"/>
      <c r="Q380" s="864"/>
      <c r="R380" s="864"/>
      <c r="S380" s="864"/>
      <c r="T380" s="864"/>
      <c r="U380" s="868">
        <f>UnosNovoZaposl!E370</f>
        <v>0</v>
      </c>
      <c r="V380" s="868"/>
      <c r="W380" s="868"/>
      <c r="X380" s="868"/>
      <c r="Y380" s="868"/>
      <c r="Z380" s="868"/>
      <c r="AA380" s="868">
        <f>UnosNovoZaposl!B370</f>
        <v>0</v>
      </c>
      <c r="AB380" s="868"/>
      <c r="AC380" s="868"/>
      <c r="AD380" s="868"/>
      <c r="AE380" s="868"/>
      <c r="AF380" s="868"/>
      <c r="AG380" s="868">
        <f>UnosNovoZaposl!F370</f>
        <v>0</v>
      </c>
      <c r="AH380" s="868"/>
      <c r="AI380" s="868"/>
      <c r="AJ380" s="868"/>
      <c r="AK380" s="868"/>
      <c r="AL380" s="868"/>
      <c r="AM380" s="868">
        <f>UnosNovoZaposl!G370</f>
        <v>0</v>
      </c>
      <c r="AN380" s="868"/>
      <c r="AO380" s="868"/>
      <c r="AP380" s="868"/>
      <c r="AQ380" s="868"/>
      <c r="AR380" s="868"/>
      <c r="AS380" s="868">
        <f t="shared" si="7"/>
        <v>0</v>
      </c>
      <c r="AT380" s="868"/>
      <c r="AU380" s="868"/>
      <c r="AV380" s="868"/>
      <c r="AW380" s="868"/>
      <c r="AX380" s="868"/>
    </row>
    <row r="381" s="687" customFormat="1" ht="15" hidden="1" customHeight="1" spans="1:50">
      <c r="A381" s="745"/>
      <c r="B381" s="754" t="s">
        <v>6442</v>
      </c>
      <c r="C381" s="864">
        <f>UnosNovoZaposl!C371</f>
        <v>0</v>
      </c>
      <c r="D381" s="864"/>
      <c r="E381" s="864"/>
      <c r="F381" s="864"/>
      <c r="G381" s="864"/>
      <c r="H381" s="864"/>
      <c r="I381" s="864"/>
      <c r="J381" s="864"/>
      <c r="K381" s="864"/>
      <c r="L381" s="864"/>
      <c r="M381" s="864"/>
      <c r="N381" s="864">
        <f>UnosNovoZaposl!D371</f>
        <v>0</v>
      </c>
      <c r="O381" s="864"/>
      <c r="P381" s="864"/>
      <c r="Q381" s="864"/>
      <c r="R381" s="864"/>
      <c r="S381" s="864"/>
      <c r="T381" s="864"/>
      <c r="U381" s="868">
        <f>UnosNovoZaposl!E371</f>
        <v>0</v>
      </c>
      <c r="V381" s="868"/>
      <c r="W381" s="868"/>
      <c r="X381" s="868"/>
      <c r="Y381" s="868"/>
      <c r="Z381" s="868"/>
      <c r="AA381" s="868">
        <f>UnosNovoZaposl!B371</f>
        <v>0</v>
      </c>
      <c r="AB381" s="868"/>
      <c r="AC381" s="868"/>
      <c r="AD381" s="868"/>
      <c r="AE381" s="868"/>
      <c r="AF381" s="868"/>
      <c r="AG381" s="868">
        <f>UnosNovoZaposl!F371</f>
        <v>0</v>
      </c>
      <c r="AH381" s="868"/>
      <c r="AI381" s="868"/>
      <c r="AJ381" s="868"/>
      <c r="AK381" s="868"/>
      <c r="AL381" s="868"/>
      <c r="AM381" s="868">
        <f>UnosNovoZaposl!G371</f>
        <v>0</v>
      </c>
      <c r="AN381" s="868"/>
      <c r="AO381" s="868"/>
      <c r="AP381" s="868"/>
      <c r="AQ381" s="868"/>
      <c r="AR381" s="868"/>
      <c r="AS381" s="868">
        <f t="shared" si="7"/>
        <v>0</v>
      </c>
      <c r="AT381" s="868"/>
      <c r="AU381" s="868"/>
      <c r="AV381" s="868"/>
      <c r="AW381" s="868"/>
      <c r="AX381" s="868"/>
    </row>
    <row r="382" s="687" customFormat="1" ht="15" hidden="1" customHeight="1" spans="1:50">
      <c r="A382" s="745"/>
      <c r="B382" s="754" t="s">
        <v>6443</v>
      </c>
      <c r="C382" s="864">
        <f>UnosNovoZaposl!C372</f>
        <v>0</v>
      </c>
      <c r="D382" s="864"/>
      <c r="E382" s="864"/>
      <c r="F382" s="864"/>
      <c r="G382" s="864"/>
      <c r="H382" s="864"/>
      <c r="I382" s="864"/>
      <c r="J382" s="864"/>
      <c r="K382" s="864"/>
      <c r="L382" s="864"/>
      <c r="M382" s="864"/>
      <c r="N382" s="864">
        <f>UnosNovoZaposl!D372</f>
        <v>0</v>
      </c>
      <c r="O382" s="864"/>
      <c r="P382" s="864"/>
      <c r="Q382" s="864"/>
      <c r="R382" s="864"/>
      <c r="S382" s="864"/>
      <c r="T382" s="864"/>
      <c r="U382" s="868">
        <f>UnosNovoZaposl!E372</f>
        <v>0</v>
      </c>
      <c r="V382" s="868"/>
      <c r="W382" s="868"/>
      <c r="X382" s="868"/>
      <c r="Y382" s="868"/>
      <c r="Z382" s="868"/>
      <c r="AA382" s="868">
        <f>UnosNovoZaposl!B372</f>
        <v>0</v>
      </c>
      <c r="AB382" s="868"/>
      <c r="AC382" s="868"/>
      <c r="AD382" s="868"/>
      <c r="AE382" s="868"/>
      <c r="AF382" s="868"/>
      <c r="AG382" s="868">
        <f>UnosNovoZaposl!F372</f>
        <v>0</v>
      </c>
      <c r="AH382" s="868"/>
      <c r="AI382" s="868"/>
      <c r="AJ382" s="868"/>
      <c r="AK382" s="868"/>
      <c r="AL382" s="868"/>
      <c r="AM382" s="868">
        <f>UnosNovoZaposl!G372</f>
        <v>0</v>
      </c>
      <c r="AN382" s="868"/>
      <c r="AO382" s="868"/>
      <c r="AP382" s="868"/>
      <c r="AQ382" s="868"/>
      <c r="AR382" s="868"/>
      <c r="AS382" s="868">
        <f t="shared" si="7"/>
        <v>0</v>
      </c>
      <c r="AT382" s="868"/>
      <c r="AU382" s="868"/>
      <c r="AV382" s="868"/>
      <c r="AW382" s="868"/>
      <c r="AX382" s="868"/>
    </row>
    <row r="383" s="687" customFormat="1" ht="15" hidden="1" customHeight="1" spans="1:50">
      <c r="A383" s="745"/>
      <c r="B383" s="754" t="s">
        <v>6444</v>
      </c>
      <c r="C383" s="864">
        <f>UnosNovoZaposl!C373</f>
        <v>0</v>
      </c>
      <c r="D383" s="864"/>
      <c r="E383" s="864"/>
      <c r="F383" s="864"/>
      <c r="G383" s="864"/>
      <c r="H383" s="864"/>
      <c r="I383" s="864"/>
      <c r="J383" s="864"/>
      <c r="K383" s="864"/>
      <c r="L383" s="864"/>
      <c r="M383" s="864"/>
      <c r="N383" s="864">
        <f>UnosNovoZaposl!D373</f>
        <v>0</v>
      </c>
      <c r="O383" s="864"/>
      <c r="P383" s="864"/>
      <c r="Q383" s="864"/>
      <c r="R383" s="864"/>
      <c r="S383" s="864"/>
      <c r="T383" s="864"/>
      <c r="U383" s="868">
        <f>UnosNovoZaposl!E373</f>
        <v>0</v>
      </c>
      <c r="V383" s="868"/>
      <c r="W383" s="868"/>
      <c r="X383" s="868"/>
      <c r="Y383" s="868"/>
      <c r="Z383" s="868"/>
      <c r="AA383" s="868">
        <f>UnosNovoZaposl!B373</f>
        <v>0</v>
      </c>
      <c r="AB383" s="868"/>
      <c r="AC383" s="868"/>
      <c r="AD383" s="868"/>
      <c r="AE383" s="868"/>
      <c r="AF383" s="868"/>
      <c r="AG383" s="868">
        <f>UnosNovoZaposl!F373</f>
        <v>0</v>
      </c>
      <c r="AH383" s="868"/>
      <c r="AI383" s="868"/>
      <c r="AJ383" s="868"/>
      <c r="AK383" s="868"/>
      <c r="AL383" s="868"/>
      <c r="AM383" s="868">
        <f>UnosNovoZaposl!G373</f>
        <v>0</v>
      </c>
      <c r="AN383" s="868"/>
      <c r="AO383" s="868"/>
      <c r="AP383" s="868"/>
      <c r="AQ383" s="868"/>
      <c r="AR383" s="868"/>
      <c r="AS383" s="868">
        <f t="shared" si="7"/>
        <v>0</v>
      </c>
      <c r="AT383" s="868"/>
      <c r="AU383" s="868"/>
      <c r="AV383" s="868"/>
      <c r="AW383" s="868"/>
      <c r="AX383" s="868"/>
    </row>
    <row r="384" s="687" customFormat="1" ht="15" hidden="1" customHeight="1" spans="1:50">
      <c r="A384" s="745"/>
      <c r="B384" s="754" t="s">
        <v>6445</v>
      </c>
      <c r="C384" s="864">
        <f>UnosNovoZaposl!C374</f>
        <v>0</v>
      </c>
      <c r="D384" s="864"/>
      <c r="E384" s="864"/>
      <c r="F384" s="864"/>
      <c r="G384" s="864"/>
      <c r="H384" s="864"/>
      <c r="I384" s="864"/>
      <c r="J384" s="864"/>
      <c r="K384" s="864"/>
      <c r="L384" s="864"/>
      <c r="M384" s="864"/>
      <c r="N384" s="864">
        <f>UnosNovoZaposl!D374</f>
        <v>0</v>
      </c>
      <c r="O384" s="864"/>
      <c r="P384" s="864"/>
      <c r="Q384" s="864"/>
      <c r="R384" s="864"/>
      <c r="S384" s="864"/>
      <c r="T384" s="864"/>
      <c r="U384" s="868">
        <f>UnosNovoZaposl!E374</f>
        <v>0</v>
      </c>
      <c r="V384" s="868"/>
      <c r="W384" s="868"/>
      <c r="X384" s="868"/>
      <c r="Y384" s="868"/>
      <c r="Z384" s="868"/>
      <c r="AA384" s="868">
        <f>UnosNovoZaposl!B374</f>
        <v>0</v>
      </c>
      <c r="AB384" s="868"/>
      <c r="AC384" s="868"/>
      <c r="AD384" s="868"/>
      <c r="AE384" s="868"/>
      <c r="AF384" s="868"/>
      <c r="AG384" s="868">
        <f>UnosNovoZaposl!F374</f>
        <v>0</v>
      </c>
      <c r="AH384" s="868"/>
      <c r="AI384" s="868"/>
      <c r="AJ384" s="868"/>
      <c r="AK384" s="868"/>
      <c r="AL384" s="868"/>
      <c r="AM384" s="868">
        <f>UnosNovoZaposl!G374</f>
        <v>0</v>
      </c>
      <c r="AN384" s="868"/>
      <c r="AO384" s="868"/>
      <c r="AP384" s="868"/>
      <c r="AQ384" s="868"/>
      <c r="AR384" s="868"/>
      <c r="AS384" s="868">
        <f t="shared" si="7"/>
        <v>0</v>
      </c>
      <c r="AT384" s="868"/>
      <c r="AU384" s="868"/>
      <c r="AV384" s="868"/>
      <c r="AW384" s="868"/>
      <c r="AX384" s="868"/>
    </row>
    <row r="385" s="687" customFormat="1" ht="15" hidden="1" customHeight="1" spans="1:50">
      <c r="A385" s="745"/>
      <c r="B385" s="754" t="s">
        <v>6446</v>
      </c>
      <c r="C385" s="864">
        <f>UnosNovoZaposl!C375</f>
        <v>0</v>
      </c>
      <c r="D385" s="864"/>
      <c r="E385" s="864"/>
      <c r="F385" s="864"/>
      <c r="G385" s="864"/>
      <c r="H385" s="864"/>
      <c r="I385" s="864"/>
      <c r="J385" s="864"/>
      <c r="K385" s="864"/>
      <c r="L385" s="864"/>
      <c r="M385" s="864"/>
      <c r="N385" s="864">
        <f>UnosNovoZaposl!D375</f>
        <v>0</v>
      </c>
      <c r="O385" s="864"/>
      <c r="P385" s="864"/>
      <c r="Q385" s="864"/>
      <c r="R385" s="864"/>
      <c r="S385" s="864"/>
      <c r="T385" s="864"/>
      <c r="U385" s="868">
        <f>UnosNovoZaposl!E375</f>
        <v>0</v>
      </c>
      <c r="V385" s="868"/>
      <c r="W385" s="868"/>
      <c r="X385" s="868"/>
      <c r="Y385" s="868"/>
      <c r="Z385" s="868"/>
      <c r="AA385" s="868">
        <f>UnosNovoZaposl!B375</f>
        <v>0</v>
      </c>
      <c r="AB385" s="868"/>
      <c r="AC385" s="868"/>
      <c r="AD385" s="868"/>
      <c r="AE385" s="868"/>
      <c r="AF385" s="868"/>
      <c r="AG385" s="868">
        <f>UnosNovoZaposl!F375</f>
        <v>0</v>
      </c>
      <c r="AH385" s="868"/>
      <c r="AI385" s="868"/>
      <c r="AJ385" s="868"/>
      <c r="AK385" s="868"/>
      <c r="AL385" s="868"/>
      <c r="AM385" s="868">
        <f>UnosNovoZaposl!G375</f>
        <v>0</v>
      </c>
      <c r="AN385" s="868"/>
      <c r="AO385" s="868"/>
      <c r="AP385" s="868"/>
      <c r="AQ385" s="868"/>
      <c r="AR385" s="868"/>
      <c r="AS385" s="868">
        <f t="shared" si="7"/>
        <v>0</v>
      </c>
      <c r="AT385" s="868"/>
      <c r="AU385" s="868"/>
      <c r="AV385" s="868"/>
      <c r="AW385" s="868"/>
      <c r="AX385" s="868"/>
    </row>
    <row r="386" s="687" customFormat="1" ht="15" hidden="1" customHeight="1" spans="1:50">
      <c r="A386" s="745"/>
      <c r="B386" s="754" t="s">
        <v>6447</v>
      </c>
      <c r="C386" s="864">
        <f>UnosNovoZaposl!C376</f>
        <v>0</v>
      </c>
      <c r="D386" s="864"/>
      <c r="E386" s="864"/>
      <c r="F386" s="864"/>
      <c r="G386" s="864"/>
      <c r="H386" s="864"/>
      <c r="I386" s="864"/>
      <c r="J386" s="864"/>
      <c r="K386" s="864"/>
      <c r="L386" s="864"/>
      <c r="M386" s="864"/>
      <c r="N386" s="864">
        <f>UnosNovoZaposl!D376</f>
        <v>0</v>
      </c>
      <c r="O386" s="864"/>
      <c r="P386" s="864"/>
      <c r="Q386" s="864"/>
      <c r="R386" s="864"/>
      <c r="S386" s="864"/>
      <c r="T386" s="864"/>
      <c r="U386" s="868">
        <f>UnosNovoZaposl!E376</f>
        <v>0</v>
      </c>
      <c r="V386" s="868"/>
      <c r="W386" s="868"/>
      <c r="X386" s="868"/>
      <c r="Y386" s="868"/>
      <c r="Z386" s="868"/>
      <c r="AA386" s="868">
        <f>UnosNovoZaposl!B376</f>
        <v>0</v>
      </c>
      <c r="AB386" s="868"/>
      <c r="AC386" s="868"/>
      <c r="AD386" s="868"/>
      <c r="AE386" s="868"/>
      <c r="AF386" s="868"/>
      <c r="AG386" s="868">
        <f>UnosNovoZaposl!F376</f>
        <v>0</v>
      </c>
      <c r="AH386" s="868"/>
      <c r="AI386" s="868"/>
      <c r="AJ386" s="868"/>
      <c r="AK386" s="868"/>
      <c r="AL386" s="868"/>
      <c r="AM386" s="868">
        <f>UnosNovoZaposl!G376</f>
        <v>0</v>
      </c>
      <c r="AN386" s="868"/>
      <c r="AO386" s="868"/>
      <c r="AP386" s="868"/>
      <c r="AQ386" s="868"/>
      <c r="AR386" s="868"/>
      <c r="AS386" s="868">
        <f t="shared" si="7"/>
        <v>0</v>
      </c>
      <c r="AT386" s="868"/>
      <c r="AU386" s="868"/>
      <c r="AV386" s="868"/>
      <c r="AW386" s="868"/>
      <c r="AX386" s="868"/>
    </row>
    <row r="387" s="687" customFormat="1" ht="15" hidden="1" customHeight="1" spans="1:50">
      <c r="A387" s="745"/>
      <c r="B387" s="754" t="s">
        <v>6448</v>
      </c>
      <c r="C387" s="864">
        <f>UnosNovoZaposl!C377</f>
        <v>0</v>
      </c>
      <c r="D387" s="864"/>
      <c r="E387" s="864"/>
      <c r="F387" s="864"/>
      <c r="G387" s="864"/>
      <c r="H387" s="864"/>
      <c r="I387" s="864"/>
      <c r="J387" s="864"/>
      <c r="K387" s="864"/>
      <c r="L387" s="864"/>
      <c r="M387" s="864"/>
      <c r="N387" s="864">
        <f>UnosNovoZaposl!D377</f>
        <v>0</v>
      </c>
      <c r="O387" s="864"/>
      <c r="P387" s="864"/>
      <c r="Q387" s="864"/>
      <c r="R387" s="864"/>
      <c r="S387" s="864"/>
      <c r="T387" s="864"/>
      <c r="U387" s="868">
        <f>UnosNovoZaposl!E377</f>
        <v>0</v>
      </c>
      <c r="V387" s="868"/>
      <c r="W387" s="868"/>
      <c r="X387" s="868"/>
      <c r="Y387" s="868"/>
      <c r="Z387" s="868"/>
      <c r="AA387" s="868">
        <f>UnosNovoZaposl!B377</f>
        <v>0</v>
      </c>
      <c r="AB387" s="868"/>
      <c r="AC387" s="868"/>
      <c r="AD387" s="868"/>
      <c r="AE387" s="868"/>
      <c r="AF387" s="868"/>
      <c r="AG387" s="868">
        <f>UnosNovoZaposl!F377</f>
        <v>0</v>
      </c>
      <c r="AH387" s="868"/>
      <c r="AI387" s="868"/>
      <c r="AJ387" s="868"/>
      <c r="AK387" s="868"/>
      <c r="AL387" s="868"/>
      <c r="AM387" s="868">
        <f>UnosNovoZaposl!G377</f>
        <v>0</v>
      </c>
      <c r="AN387" s="868"/>
      <c r="AO387" s="868"/>
      <c r="AP387" s="868"/>
      <c r="AQ387" s="868"/>
      <c r="AR387" s="868"/>
      <c r="AS387" s="868">
        <f t="shared" si="7"/>
        <v>0</v>
      </c>
      <c r="AT387" s="868"/>
      <c r="AU387" s="868"/>
      <c r="AV387" s="868"/>
      <c r="AW387" s="868"/>
      <c r="AX387" s="868"/>
    </row>
    <row r="388" s="687" customFormat="1" ht="15" hidden="1" customHeight="1" spans="1:50">
      <c r="A388" s="745"/>
      <c r="B388" s="754" t="s">
        <v>6449</v>
      </c>
      <c r="C388" s="864">
        <f>UnosNovoZaposl!C378</f>
        <v>0</v>
      </c>
      <c r="D388" s="864"/>
      <c r="E388" s="864"/>
      <c r="F388" s="864"/>
      <c r="G388" s="864"/>
      <c r="H388" s="864"/>
      <c r="I388" s="864"/>
      <c r="J388" s="864"/>
      <c r="K388" s="864"/>
      <c r="L388" s="864"/>
      <c r="M388" s="864"/>
      <c r="N388" s="864">
        <f>UnosNovoZaposl!D378</f>
        <v>0</v>
      </c>
      <c r="O388" s="864"/>
      <c r="P388" s="864"/>
      <c r="Q388" s="864"/>
      <c r="R388" s="864"/>
      <c r="S388" s="864"/>
      <c r="T388" s="864"/>
      <c r="U388" s="868">
        <f>UnosNovoZaposl!E378</f>
        <v>0</v>
      </c>
      <c r="V388" s="868"/>
      <c r="W388" s="868"/>
      <c r="X388" s="868"/>
      <c r="Y388" s="868"/>
      <c r="Z388" s="868"/>
      <c r="AA388" s="868">
        <f>UnosNovoZaposl!B378</f>
        <v>0</v>
      </c>
      <c r="AB388" s="868"/>
      <c r="AC388" s="868"/>
      <c r="AD388" s="868"/>
      <c r="AE388" s="868"/>
      <c r="AF388" s="868"/>
      <c r="AG388" s="868">
        <f>UnosNovoZaposl!F378</f>
        <v>0</v>
      </c>
      <c r="AH388" s="868"/>
      <c r="AI388" s="868"/>
      <c r="AJ388" s="868"/>
      <c r="AK388" s="868"/>
      <c r="AL388" s="868"/>
      <c r="AM388" s="868">
        <f>UnosNovoZaposl!G378</f>
        <v>0</v>
      </c>
      <c r="AN388" s="868"/>
      <c r="AO388" s="868"/>
      <c r="AP388" s="868"/>
      <c r="AQ388" s="868"/>
      <c r="AR388" s="868"/>
      <c r="AS388" s="868">
        <f t="shared" si="7"/>
        <v>0</v>
      </c>
      <c r="AT388" s="868"/>
      <c r="AU388" s="868"/>
      <c r="AV388" s="868"/>
      <c r="AW388" s="868"/>
      <c r="AX388" s="868"/>
    </row>
    <row r="389" s="687" customFormat="1" ht="15" hidden="1" customHeight="1" spans="1:50">
      <c r="A389" s="745"/>
      <c r="B389" s="754" t="s">
        <v>6450</v>
      </c>
      <c r="C389" s="864">
        <f>UnosNovoZaposl!C379</f>
        <v>0</v>
      </c>
      <c r="D389" s="864"/>
      <c r="E389" s="864"/>
      <c r="F389" s="864"/>
      <c r="G389" s="864"/>
      <c r="H389" s="864"/>
      <c r="I389" s="864"/>
      <c r="J389" s="864"/>
      <c r="K389" s="864"/>
      <c r="L389" s="864"/>
      <c r="M389" s="864"/>
      <c r="N389" s="864">
        <f>UnosNovoZaposl!D379</f>
        <v>0</v>
      </c>
      <c r="O389" s="864"/>
      <c r="P389" s="864"/>
      <c r="Q389" s="864"/>
      <c r="R389" s="864"/>
      <c r="S389" s="864"/>
      <c r="T389" s="864"/>
      <c r="U389" s="868">
        <f>UnosNovoZaposl!E379</f>
        <v>0</v>
      </c>
      <c r="V389" s="868"/>
      <c r="W389" s="868"/>
      <c r="X389" s="868"/>
      <c r="Y389" s="868"/>
      <c r="Z389" s="868"/>
      <c r="AA389" s="868">
        <f>UnosNovoZaposl!B379</f>
        <v>0</v>
      </c>
      <c r="AB389" s="868"/>
      <c r="AC389" s="868"/>
      <c r="AD389" s="868"/>
      <c r="AE389" s="868"/>
      <c r="AF389" s="868"/>
      <c r="AG389" s="868">
        <f>UnosNovoZaposl!F379</f>
        <v>0</v>
      </c>
      <c r="AH389" s="868"/>
      <c r="AI389" s="868"/>
      <c r="AJ389" s="868"/>
      <c r="AK389" s="868"/>
      <c r="AL389" s="868"/>
      <c r="AM389" s="868">
        <f>UnosNovoZaposl!G379</f>
        <v>0</v>
      </c>
      <c r="AN389" s="868"/>
      <c r="AO389" s="868"/>
      <c r="AP389" s="868"/>
      <c r="AQ389" s="868"/>
      <c r="AR389" s="868"/>
      <c r="AS389" s="868">
        <f t="shared" si="7"/>
        <v>0</v>
      </c>
      <c r="AT389" s="868"/>
      <c r="AU389" s="868"/>
      <c r="AV389" s="868"/>
      <c r="AW389" s="868"/>
      <c r="AX389" s="868"/>
    </row>
    <row r="390" s="687" customFormat="1" ht="15" hidden="1" customHeight="1" spans="1:50">
      <c r="A390" s="745"/>
      <c r="B390" s="754" t="s">
        <v>6451</v>
      </c>
      <c r="C390" s="864">
        <f>UnosNovoZaposl!C380</f>
        <v>0</v>
      </c>
      <c r="D390" s="864"/>
      <c r="E390" s="864"/>
      <c r="F390" s="864"/>
      <c r="G390" s="864"/>
      <c r="H390" s="864"/>
      <c r="I390" s="864"/>
      <c r="J390" s="864"/>
      <c r="K390" s="864"/>
      <c r="L390" s="864"/>
      <c r="M390" s="864"/>
      <c r="N390" s="864">
        <f>UnosNovoZaposl!D380</f>
        <v>0</v>
      </c>
      <c r="O390" s="864"/>
      <c r="P390" s="864"/>
      <c r="Q390" s="864"/>
      <c r="R390" s="864"/>
      <c r="S390" s="864"/>
      <c r="T390" s="864"/>
      <c r="U390" s="868">
        <f>UnosNovoZaposl!E380</f>
        <v>0</v>
      </c>
      <c r="V390" s="868"/>
      <c r="W390" s="868"/>
      <c r="X390" s="868"/>
      <c r="Y390" s="868"/>
      <c r="Z390" s="868"/>
      <c r="AA390" s="868">
        <f>UnosNovoZaposl!B380</f>
        <v>0</v>
      </c>
      <c r="AB390" s="868"/>
      <c r="AC390" s="868"/>
      <c r="AD390" s="868"/>
      <c r="AE390" s="868"/>
      <c r="AF390" s="868"/>
      <c r="AG390" s="868">
        <f>UnosNovoZaposl!F380</f>
        <v>0</v>
      </c>
      <c r="AH390" s="868"/>
      <c r="AI390" s="868"/>
      <c r="AJ390" s="868"/>
      <c r="AK390" s="868"/>
      <c r="AL390" s="868"/>
      <c r="AM390" s="868">
        <f>UnosNovoZaposl!G380</f>
        <v>0</v>
      </c>
      <c r="AN390" s="868"/>
      <c r="AO390" s="868"/>
      <c r="AP390" s="868"/>
      <c r="AQ390" s="868"/>
      <c r="AR390" s="868"/>
      <c r="AS390" s="868">
        <f t="shared" si="7"/>
        <v>0</v>
      </c>
      <c r="AT390" s="868"/>
      <c r="AU390" s="868"/>
      <c r="AV390" s="868"/>
      <c r="AW390" s="868"/>
      <c r="AX390" s="868"/>
    </row>
    <row r="391" s="687" customFormat="1" ht="15" hidden="1" customHeight="1" spans="1:50">
      <c r="A391" s="745"/>
      <c r="B391" s="754" t="s">
        <v>6452</v>
      </c>
      <c r="C391" s="864">
        <f>UnosNovoZaposl!C381</f>
        <v>0</v>
      </c>
      <c r="D391" s="864"/>
      <c r="E391" s="864"/>
      <c r="F391" s="864"/>
      <c r="G391" s="864"/>
      <c r="H391" s="864"/>
      <c r="I391" s="864"/>
      <c r="J391" s="864"/>
      <c r="K391" s="864"/>
      <c r="L391" s="864"/>
      <c r="M391" s="864"/>
      <c r="N391" s="864">
        <f>UnosNovoZaposl!D381</f>
        <v>0</v>
      </c>
      <c r="O391" s="864"/>
      <c r="P391" s="864"/>
      <c r="Q391" s="864"/>
      <c r="R391" s="864"/>
      <c r="S391" s="864"/>
      <c r="T391" s="864"/>
      <c r="U391" s="868">
        <f>UnosNovoZaposl!E381</f>
        <v>0</v>
      </c>
      <c r="V391" s="868"/>
      <c r="W391" s="868"/>
      <c r="X391" s="868"/>
      <c r="Y391" s="868"/>
      <c r="Z391" s="868"/>
      <c r="AA391" s="868">
        <f>UnosNovoZaposl!B381</f>
        <v>0</v>
      </c>
      <c r="AB391" s="868"/>
      <c r="AC391" s="868"/>
      <c r="AD391" s="868"/>
      <c r="AE391" s="868"/>
      <c r="AF391" s="868"/>
      <c r="AG391" s="868">
        <f>UnosNovoZaposl!F381</f>
        <v>0</v>
      </c>
      <c r="AH391" s="868"/>
      <c r="AI391" s="868"/>
      <c r="AJ391" s="868"/>
      <c r="AK391" s="868"/>
      <c r="AL391" s="868"/>
      <c r="AM391" s="868">
        <f>UnosNovoZaposl!G381</f>
        <v>0</v>
      </c>
      <c r="AN391" s="868"/>
      <c r="AO391" s="868"/>
      <c r="AP391" s="868"/>
      <c r="AQ391" s="868"/>
      <c r="AR391" s="868"/>
      <c r="AS391" s="868">
        <f t="shared" si="7"/>
        <v>0</v>
      </c>
      <c r="AT391" s="868"/>
      <c r="AU391" s="868"/>
      <c r="AV391" s="868"/>
      <c r="AW391" s="868"/>
      <c r="AX391" s="868"/>
    </row>
    <row r="392" s="687" customFormat="1" ht="15" hidden="1" customHeight="1" spans="1:50">
      <c r="A392" s="745"/>
      <c r="B392" s="754" t="s">
        <v>6453</v>
      </c>
      <c r="C392" s="864">
        <f>UnosNovoZaposl!C382</f>
        <v>0</v>
      </c>
      <c r="D392" s="864"/>
      <c r="E392" s="864"/>
      <c r="F392" s="864"/>
      <c r="G392" s="864"/>
      <c r="H392" s="864"/>
      <c r="I392" s="864"/>
      <c r="J392" s="864"/>
      <c r="K392" s="864"/>
      <c r="L392" s="864"/>
      <c r="M392" s="864"/>
      <c r="N392" s="864">
        <f>UnosNovoZaposl!D382</f>
        <v>0</v>
      </c>
      <c r="O392" s="864"/>
      <c r="P392" s="864"/>
      <c r="Q392" s="864"/>
      <c r="R392" s="864"/>
      <c r="S392" s="864"/>
      <c r="T392" s="864"/>
      <c r="U392" s="868">
        <f>UnosNovoZaposl!E382</f>
        <v>0</v>
      </c>
      <c r="V392" s="868"/>
      <c r="W392" s="868"/>
      <c r="X392" s="868"/>
      <c r="Y392" s="868"/>
      <c r="Z392" s="868"/>
      <c r="AA392" s="868">
        <f>UnosNovoZaposl!B382</f>
        <v>0</v>
      </c>
      <c r="AB392" s="868"/>
      <c r="AC392" s="868"/>
      <c r="AD392" s="868"/>
      <c r="AE392" s="868"/>
      <c r="AF392" s="868"/>
      <c r="AG392" s="868">
        <f>UnosNovoZaposl!F382</f>
        <v>0</v>
      </c>
      <c r="AH392" s="868"/>
      <c r="AI392" s="868"/>
      <c r="AJ392" s="868"/>
      <c r="AK392" s="868"/>
      <c r="AL392" s="868"/>
      <c r="AM392" s="868">
        <f>UnosNovoZaposl!G382</f>
        <v>0</v>
      </c>
      <c r="AN392" s="868"/>
      <c r="AO392" s="868"/>
      <c r="AP392" s="868"/>
      <c r="AQ392" s="868"/>
      <c r="AR392" s="868"/>
      <c r="AS392" s="868">
        <f t="shared" si="7"/>
        <v>0</v>
      </c>
      <c r="AT392" s="868"/>
      <c r="AU392" s="868"/>
      <c r="AV392" s="868"/>
      <c r="AW392" s="868"/>
      <c r="AX392" s="868"/>
    </row>
    <row r="393" s="687" customFormat="1" ht="15" hidden="1" customHeight="1" spans="1:50">
      <c r="A393" s="745"/>
      <c r="B393" s="754" t="s">
        <v>6454</v>
      </c>
      <c r="C393" s="864">
        <f>UnosNovoZaposl!C383</f>
        <v>0</v>
      </c>
      <c r="D393" s="864"/>
      <c r="E393" s="864"/>
      <c r="F393" s="864"/>
      <c r="G393" s="864"/>
      <c r="H393" s="864"/>
      <c r="I393" s="864"/>
      <c r="J393" s="864"/>
      <c r="K393" s="864"/>
      <c r="L393" s="864"/>
      <c r="M393" s="864"/>
      <c r="N393" s="864">
        <f>UnosNovoZaposl!D383</f>
        <v>0</v>
      </c>
      <c r="O393" s="864"/>
      <c r="P393" s="864"/>
      <c r="Q393" s="864"/>
      <c r="R393" s="864"/>
      <c r="S393" s="864"/>
      <c r="T393" s="864"/>
      <c r="U393" s="868">
        <f>UnosNovoZaposl!E383</f>
        <v>0</v>
      </c>
      <c r="V393" s="868"/>
      <c r="W393" s="868"/>
      <c r="X393" s="868"/>
      <c r="Y393" s="868"/>
      <c r="Z393" s="868"/>
      <c r="AA393" s="868">
        <f>UnosNovoZaposl!B383</f>
        <v>0</v>
      </c>
      <c r="AB393" s="868"/>
      <c r="AC393" s="868"/>
      <c r="AD393" s="868"/>
      <c r="AE393" s="868"/>
      <c r="AF393" s="868"/>
      <c r="AG393" s="868">
        <f>UnosNovoZaposl!F383</f>
        <v>0</v>
      </c>
      <c r="AH393" s="868"/>
      <c r="AI393" s="868"/>
      <c r="AJ393" s="868"/>
      <c r="AK393" s="868"/>
      <c r="AL393" s="868"/>
      <c r="AM393" s="868">
        <f>UnosNovoZaposl!G383</f>
        <v>0</v>
      </c>
      <c r="AN393" s="868"/>
      <c r="AO393" s="868"/>
      <c r="AP393" s="868"/>
      <c r="AQ393" s="868"/>
      <c r="AR393" s="868"/>
      <c r="AS393" s="868">
        <f t="shared" si="7"/>
        <v>0</v>
      </c>
      <c r="AT393" s="868"/>
      <c r="AU393" s="868"/>
      <c r="AV393" s="868"/>
      <c r="AW393" s="868"/>
      <c r="AX393" s="868"/>
    </row>
    <row r="394" s="687" customFormat="1" ht="15" hidden="1" customHeight="1" spans="1:50">
      <c r="A394" s="745"/>
      <c r="B394" s="754" t="s">
        <v>6455</v>
      </c>
      <c r="C394" s="864">
        <f>UnosNovoZaposl!C384</f>
        <v>0</v>
      </c>
      <c r="D394" s="864"/>
      <c r="E394" s="864"/>
      <c r="F394" s="864"/>
      <c r="G394" s="864"/>
      <c r="H394" s="864"/>
      <c r="I394" s="864"/>
      <c r="J394" s="864"/>
      <c r="K394" s="864"/>
      <c r="L394" s="864"/>
      <c r="M394" s="864"/>
      <c r="N394" s="864">
        <f>UnosNovoZaposl!D384</f>
        <v>0</v>
      </c>
      <c r="O394" s="864"/>
      <c r="P394" s="864"/>
      <c r="Q394" s="864"/>
      <c r="R394" s="864"/>
      <c r="S394" s="864"/>
      <c r="T394" s="864"/>
      <c r="U394" s="868">
        <f>UnosNovoZaposl!E384</f>
        <v>0</v>
      </c>
      <c r="V394" s="868"/>
      <c r="W394" s="868"/>
      <c r="X394" s="868"/>
      <c r="Y394" s="868"/>
      <c r="Z394" s="868"/>
      <c r="AA394" s="868">
        <f>UnosNovoZaposl!B384</f>
        <v>0</v>
      </c>
      <c r="AB394" s="868"/>
      <c r="AC394" s="868"/>
      <c r="AD394" s="868"/>
      <c r="AE394" s="868"/>
      <c r="AF394" s="868"/>
      <c r="AG394" s="868">
        <f>UnosNovoZaposl!F384</f>
        <v>0</v>
      </c>
      <c r="AH394" s="868"/>
      <c r="AI394" s="868"/>
      <c r="AJ394" s="868"/>
      <c r="AK394" s="868"/>
      <c r="AL394" s="868"/>
      <c r="AM394" s="868">
        <f>UnosNovoZaposl!G384</f>
        <v>0</v>
      </c>
      <c r="AN394" s="868"/>
      <c r="AO394" s="868"/>
      <c r="AP394" s="868"/>
      <c r="AQ394" s="868"/>
      <c r="AR394" s="868"/>
      <c r="AS394" s="868">
        <f t="shared" si="7"/>
        <v>0</v>
      </c>
      <c r="AT394" s="868"/>
      <c r="AU394" s="868"/>
      <c r="AV394" s="868"/>
      <c r="AW394" s="868"/>
      <c r="AX394" s="868"/>
    </row>
    <row r="395" s="687" customFormat="1" ht="15" hidden="1" customHeight="1" spans="1:50">
      <c r="A395" s="745"/>
      <c r="B395" s="754" t="s">
        <v>6456</v>
      </c>
      <c r="C395" s="864">
        <f>UnosNovoZaposl!C385</f>
        <v>0</v>
      </c>
      <c r="D395" s="864"/>
      <c r="E395" s="864"/>
      <c r="F395" s="864"/>
      <c r="G395" s="864"/>
      <c r="H395" s="864"/>
      <c r="I395" s="864"/>
      <c r="J395" s="864"/>
      <c r="K395" s="864"/>
      <c r="L395" s="864"/>
      <c r="M395" s="864"/>
      <c r="N395" s="864">
        <f>UnosNovoZaposl!D385</f>
        <v>0</v>
      </c>
      <c r="O395" s="864"/>
      <c r="P395" s="864"/>
      <c r="Q395" s="864"/>
      <c r="R395" s="864"/>
      <c r="S395" s="864"/>
      <c r="T395" s="864"/>
      <c r="U395" s="868">
        <f>UnosNovoZaposl!E385</f>
        <v>0</v>
      </c>
      <c r="V395" s="868"/>
      <c r="W395" s="868"/>
      <c r="X395" s="868"/>
      <c r="Y395" s="868"/>
      <c r="Z395" s="868"/>
      <c r="AA395" s="868">
        <f>UnosNovoZaposl!B385</f>
        <v>0</v>
      </c>
      <c r="AB395" s="868"/>
      <c r="AC395" s="868"/>
      <c r="AD395" s="868"/>
      <c r="AE395" s="868"/>
      <c r="AF395" s="868"/>
      <c r="AG395" s="868">
        <f>UnosNovoZaposl!F385</f>
        <v>0</v>
      </c>
      <c r="AH395" s="868"/>
      <c r="AI395" s="868"/>
      <c r="AJ395" s="868"/>
      <c r="AK395" s="868"/>
      <c r="AL395" s="868"/>
      <c r="AM395" s="868">
        <f>UnosNovoZaposl!G385</f>
        <v>0</v>
      </c>
      <c r="AN395" s="868"/>
      <c r="AO395" s="868"/>
      <c r="AP395" s="868"/>
      <c r="AQ395" s="868"/>
      <c r="AR395" s="868"/>
      <c r="AS395" s="868">
        <f t="shared" si="7"/>
        <v>0</v>
      </c>
      <c r="AT395" s="868"/>
      <c r="AU395" s="868"/>
      <c r="AV395" s="868"/>
      <c r="AW395" s="868"/>
      <c r="AX395" s="868"/>
    </row>
    <row r="396" s="687" customFormat="1" ht="15" hidden="1" customHeight="1" spans="1:50">
      <c r="A396" s="745"/>
      <c r="B396" s="754" t="s">
        <v>6457</v>
      </c>
      <c r="C396" s="864">
        <f>UnosNovoZaposl!C386</f>
        <v>0</v>
      </c>
      <c r="D396" s="864"/>
      <c r="E396" s="864"/>
      <c r="F396" s="864"/>
      <c r="G396" s="864"/>
      <c r="H396" s="864"/>
      <c r="I396" s="864"/>
      <c r="J396" s="864"/>
      <c r="K396" s="864"/>
      <c r="L396" s="864"/>
      <c r="M396" s="864"/>
      <c r="N396" s="864">
        <f>UnosNovoZaposl!D386</f>
        <v>0</v>
      </c>
      <c r="O396" s="864"/>
      <c r="P396" s="864"/>
      <c r="Q396" s="864"/>
      <c r="R396" s="864"/>
      <c r="S396" s="864"/>
      <c r="T396" s="864"/>
      <c r="U396" s="868">
        <f>UnosNovoZaposl!E386</f>
        <v>0</v>
      </c>
      <c r="V396" s="868"/>
      <c r="W396" s="868"/>
      <c r="X396" s="868"/>
      <c r="Y396" s="868"/>
      <c r="Z396" s="868"/>
      <c r="AA396" s="868">
        <f>UnosNovoZaposl!B386</f>
        <v>0</v>
      </c>
      <c r="AB396" s="868"/>
      <c r="AC396" s="868"/>
      <c r="AD396" s="868"/>
      <c r="AE396" s="868"/>
      <c r="AF396" s="868"/>
      <c r="AG396" s="868">
        <f>UnosNovoZaposl!F386</f>
        <v>0</v>
      </c>
      <c r="AH396" s="868"/>
      <c r="AI396" s="868"/>
      <c r="AJ396" s="868"/>
      <c r="AK396" s="868"/>
      <c r="AL396" s="868"/>
      <c r="AM396" s="868">
        <f>UnosNovoZaposl!G386</f>
        <v>0</v>
      </c>
      <c r="AN396" s="868"/>
      <c r="AO396" s="868"/>
      <c r="AP396" s="868"/>
      <c r="AQ396" s="868"/>
      <c r="AR396" s="868"/>
      <c r="AS396" s="868">
        <f t="shared" si="7"/>
        <v>0</v>
      </c>
      <c r="AT396" s="868"/>
      <c r="AU396" s="868"/>
      <c r="AV396" s="868"/>
      <c r="AW396" s="868"/>
      <c r="AX396" s="868"/>
    </row>
    <row r="397" s="687" customFormat="1" ht="15" hidden="1" customHeight="1" spans="1:50">
      <c r="A397" s="745"/>
      <c r="B397" s="754" t="s">
        <v>6458</v>
      </c>
      <c r="C397" s="864">
        <f>UnosNovoZaposl!C387</f>
        <v>0</v>
      </c>
      <c r="D397" s="864"/>
      <c r="E397" s="864"/>
      <c r="F397" s="864"/>
      <c r="G397" s="864"/>
      <c r="H397" s="864"/>
      <c r="I397" s="864"/>
      <c r="J397" s="864"/>
      <c r="K397" s="864"/>
      <c r="L397" s="864"/>
      <c r="M397" s="864"/>
      <c r="N397" s="864">
        <f>UnosNovoZaposl!D387</f>
        <v>0</v>
      </c>
      <c r="O397" s="864"/>
      <c r="P397" s="864"/>
      <c r="Q397" s="864"/>
      <c r="R397" s="864"/>
      <c r="S397" s="864"/>
      <c r="T397" s="864"/>
      <c r="U397" s="868">
        <f>UnosNovoZaposl!E387</f>
        <v>0</v>
      </c>
      <c r="V397" s="868"/>
      <c r="W397" s="868"/>
      <c r="X397" s="868"/>
      <c r="Y397" s="868"/>
      <c r="Z397" s="868"/>
      <c r="AA397" s="868">
        <f>UnosNovoZaposl!B387</f>
        <v>0</v>
      </c>
      <c r="AB397" s="868"/>
      <c r="AC397" s="868"/>
      <c r="AD397" s="868"/>
      <c r="AE397" s="868"/>
      <c r="AF397" s="868"/>
      <c r="AG397" s="868">
        <f>UnosNovoZaposl!F387</f>
        <v>0</v>
      </c>
      <c r="AH397" s="868"/>
      <c r="AI397" s="868"/>
      <c r="AJ397" s="868"/>
      <c r="AK397" s="868"/>
      <c r="AL397" s="868"/>
      <c r="AM397" s="868">
        <f>UnosNovoZaposl!G387</f>
        <v>0</v>
      </c>
      <c r="AN397" s="868"/>
      <c r="AO397" s="868"/>
      <c r="AP397" s="868"/>
      <c r="AQ397" s="868"/>
      <c r="AR397" s="868"/>
      <c r="AS397" s="868">
        <f t="shared" si="7"/>
        <v>0</v>
      </c>
      <c r="AT397" s="868"/>
      <c r="AU397" s="868"/>
      <c r="AV397" s="868"/>
      <c r="AW397" s="868"/>
      <c r="AX397" s="868"/>
    </row>
    <row r="398" s="687" customFormat="1" ht="15" hidden="1" customHeight="1" spans="1:50">
      <c r="A398" s="745"/>
      <c r="B398" s="754" t="s">
        <v>6459</v>
      </c>
      <c r="C398" s="864">
        <f>UnosNovoZaposl!C388</f>
        <v>0</v>
      </c>
      <c r="D398" s="864"/>
      <c r="E398" s="864"/>
      <c r="F398" s="864"/>
      <c r="G398" s="864"/>
      <c r="H398" s="864"/>
      <c r="I398" s="864"/>
      <c r="J398" s="864"/>
      <c r="K398" s="864"/>
      <c r="L398" s="864"/>
      <c r="M398" s="864"/>
      <c r="N398" s="864">
        <f>UnosNovoZaposl!D388</f>
        <v>0</v>
      </c>
      <c r="O398" s="864"/>
      <c r="P398" s="864"/>
      <c r="Q398" s="864"/>
      <c r="R398" s="864"/>
      <c r="S398" s="864"/>
      <c r="T398" s="864"/>
      <c r="U398" s="868">
        <f>UnosNovoZaposl!E388</f>
        <v>0</v>
      </c>
      <c r="V398" s="868"/>
      <c r="W398" s="868"/>
      <c r="X398" s="868"/>
      <c r="Y398" s="868"/>
      <c r="Z398" s="868"/>
      <c r="AA398" s="868">
        <f>UnosNovoZaposl!B388</f>
        <v>0</v>
      </c>
      <c r="AB398" s="868"/>
      <c r="AC398" s="868"/>
      <c r="AD398" s="868"/>
      <c r="AE398" s="868"/>
      <c r="AF398" s="868"/>
      <c r="AG398" s="868">
        <f>UnosNovoZaposl!F388</f>
        <v>0</v>
      </c>
      <c r="AH398" s="868"/>
      <c r="AI398" s="868"/>
      <c r="AJ398" s="868"/>
      <c r="AK398" s="868"/>
      <c r="AL398" s="868"/>
      <c r="AM398" s="868">
        <f>UnosNovoZaposl!G388</f>
        <v>0</v>
      </c>
      <c r="AN398" s="868"/>
      <c r="AO398" s="868"/>
      <c r="AP398" s="868"/>
      <c r="AQ398" s="868"/>
      <c r="AR398" s="868"/>
      <c r="AS398" s="868">
        <f t="shared" si="7"/>
        <v>0</v>
      </c>
      <c r="AT398" s="868"/>
      <c r="AU398" s="868"/>
      <c r="AV398" s="868"/>
      <c r="AW398" s="868"/>
      <c r="AX398" s="868"/>
    </row>
    <row r="399" s="687" customFormat="1" ht="15" hidden="1" customHeight="1" spans="1:50">
      <c r="A399" s="745"/>
      <c r="B399" s="754" t="s">
        <v>6460</v>
      </c>
      <c r="C399" s="864">
        <f>UnosNovoZaposl!C389</f>
        <v>0</v>
      </c>
      <c r="D399" s="864"/>
      <c r="E399" s="864"/>
      <c r="F399" s="864"/>
      <c r="G399" s="864"/>
      <c r="H399" s="864"/>
      <c r="I399" s="864"/>
      <c r="J399" s="864"/>
      <c r="K399" s="864"/>
      <c r="L399" s="864"/>
      <c r="M399" s="864"/>
      <c r="N399" s="864">
        <f>UnosNovoZaposl!D389</f>
        <v>0</v>
      </c>
      <c r="O399" s="864"/>
      <c r="P399" s="864"/>
      <c r="Q399" s="864"/>
      <c r="R399" s="864"/>
      <c r="S399" s="864"/>
      <c r="T399" s="864"/>
      <c r="U399" s="868">
        <f>UnosNovoZaposl!E389</f>
        <v>0</v>
      </c>
      <c r="V399" s="868"/>
      <c r="W399" s="868"/>
      <c r="X399" s="868"/>
      <c r="Y399" s="868"/>
      <c r="Z399" s="868"/>
      <c r="AA399" s="868">
        <f>UnosNovoZaposl!B389</f>
        <v>0</v>
      </c>
      <c r="AB399" s="868"/>
      <c r="AC399" s="868"/>
      <c r="AD399" s="868"/>
      <c r="AE399" s="868"/>
      <c r="AF399" s="868"/>
      <c r="AG399" s="868">
        <f>UnosNovoZaposl!F389</f>
        <v>0</v>
      </c>
      <c r="AH399" s="868"/>
      <c r="AI399" s="868"/>
      <c r="AJ399" s="868"/>
      <c r="AK399" s="868"/>
      <c r="AL399" s="868"/>
      <c r="AM399" s="868">
        <f>UnosNovoZaposl!G389</f>
        <v>0</v>
      </c>
      <c r="AN399" s="868"/>
      <c r="AO399" s="868"/>
      <c r="AP399" s="868"/>
      <c r="AQ399" s="868"/>
      <c r="AR399" s="868"/>
      <c r="AS399" s="868">
        <f t="shared" si="7"/>
        <v>0</v>
      </c>
      <c r="AT399" s="868"/>
      <c r="AU399" s="868"/>
      <c r="AV399" s="868"/>
      <c r="AW399" s="868"/>
      <c r="AX399" s="868"/>
    </row>
    <row r="400" s="687" customFormat="1" ht="15" hidden="1" customHeight="1" spans="1:50">
      <c r="A400" s="745"/>
      <c r="B400" s="754" t="s">
        <v>6461</v>
      </c>
      <c r="C400" s="864">
        <f>UnosNovoZaposl!C390</f>
        <v>0</v>
      </c>
      <c r="D400" s="864"/>
      <c r="E400" s="864"/>
      <c r="F400" s="864"/>
      <c r="G400" s="864"/>
      <c r="H400" s="864"/>
      <c r="I400" s="864"/>
      <c r="J400" s="864"/>
      <c r="K400" s="864"/>
      <c r="L400" s="864"/>
      <c r="M400" s="864"/>
      <c r="N400" s="864">
        <f>UnosNovoZaposl!D390</f>
        <v>0</v>
      </c>
      <c r="O400" s="864"/>
      <c r="P400" s="864"/>
      <c r="Q400" s="864"/>
      <c r="R400" s="864"/>
      <c r="S400" s="864"/>
      <c r="T400" s="864"/>
      <c r="U400" s="868">
        <f>UnosNovoZaposl!E390</f>
        <v>0</v>
      </c>
      <c r="V400" s="868"/>
      <c r="W400" s="868"/>
      <c r="X400" s="868"/>
      <c r="Y400" s="868"/>
      <c r="Z400" s="868"/>
      <c r="AA400" s="868">
        <f>UnosNovoZaposl!B390</f>
        <v>0</v>
      </c>
      <c r="AB400" s="868"/>
      <c r="AC400" s="868"/>
      <c r="AD400" s="868"/>
      <c r="AE400" s="868"/>
      <c r="AF400" s="868"/>
      <c r="AG400" s="868">
        <f>UnosNovoZaposl!F390</f>
        <v>0</v>
      </c>
      <c r="AH400" s="868"/>
      <c r="AI400" s="868"/>
      <c r="AJ400" s="868"/>
      <c r="AK400" s="868"/>
      <c r="AL400" s="868"/>
      <c r="AM400" s="868">
        <f>UnosNovoZaposl!G390</f>
        <v>0</v>
      </c>
      <c r="AN400" s="868"/>
      <c r="AO400" s="868"/>
      <c r="AP400" s="868"/>
      <c r="AQ400" s="868"/>
      <c r="AR400" s="868"/>
      <c r="AS400" s="868">
        <f t="shared" si="7"/>
        <v>0</v>
      </c>
      <c r="AT400" s="868"/>
      <c r="AU400" s="868"/>
      <c r="AV400" s="868"/>
      <c r="AW400" s="868"/>
      <c r="AX400" s="868"/>
    </row>
    <row r="401" s="687" customFormat="1" ht="15" hidden="1" customHeight="1" spans="1:50">
      <c r="A401" s="745"/>
      <c r="B401" s="754" t="s">
        <v>6462</v>
      </c>
      <c r="C401" s="864">
        <f>UnosNovoZaposl!C391</f>
        <v>0</v>
      </c>
      <c r="D401" s="864"/>
      <c r="E401" s="864"/>
      <c r="F401" s="864"/>
      <c r="G401" s="864"/>
      <c r="H401" s="864"/>
      <c r="I401" s="864"/>
      <c r="J401" s="864"/>
      <c r="K401" s="864"/>
      <c r="L401" s="864"/>
      <c r="M401" s="864"/>
      <c r="N401" s="864">
        <f>UnosNovoZaposl!D391</f>
        <v>0</v>
      </c>
      <c r="O401" s="864"/>
      <c r="P401" s="864"/>
      <c r="Q401" s="864"/>
      <c r="R401" s="864"/>
      <c r="S401" s="864"/>
      <c r="T401" s="864"/>
      <c r="U401" s="868">
        <f>UnosNovoZaposl!E391</f>
        <v>0</v>
      </c>
      <c r="V401" s="868"/>
      <c r="W401" s="868"/>
      <c r="X401" s="868"/>
      <c r="Y401" s="868"/>
      <c r="Z401" s="868"/>
      <c r="AA401" s="868">
        <f>UnosNovoZaposl!B391</f>
        <v>0</v>
      </c>
      <c r="AB401" s="868"/>
      <c r="AC401" s="868"/>
      <c r="AD401" s="868"/>
      <c r="AE401" s="868"/>
      <c r="AF401" s="868"/>
      <c r="AG401" s="868">
        <f>UnosNovoZaposl!F391</f>
        <v>0</v>
      </c>
      <c r="AH401" s="868"/>
      <c r="AI401" s="868"/>
      <c r="AJ401" s="868"/>
      <c r="AK401" s="868"/>
      <c r="AL401" s="868"/>
      <c r="AM401" s="868">
        <f>UnosNovoZaposl!G391</f>
        <v>0</v>
      </c>
      <c r="AN401" s="868"/>
      <c r="AO401" s="868"/>
      <c r="AP401" s="868"/>
      <c r="AQ401" s="868"/>
      <c r="AR401" s="868"/>
      <c r="AS401" s="868">
        <f t="shared" si="7"/>
        <v>0</v>
      </c>
      <c r="AT401" s="868"/>
      <c r="AU401" s="868"/>
      <c r="AV401" s="868"/>
      <c r="AW401" s="868"/>
      <c r="AX401" s="868"/>
    </row>
    <row r="402" s="687" customFormat="1" ht="15" hidden="1" customHeight="1" spans="1:50">
      <c r="A402" s="745"/>
      <c r="B402" s="754" t="s">
        <v>6463</v>
      </c>
      <c r="C402" s="864">
        <f>UnosNovoZaposl!C392</f>
        <v>0</v>
      </c>
      <c r="D402" s="864"/>
      <c r="E402" s="864"/>
      <c r="F402" s="864"/>
      <c r="G402" s="864"/>
      <c r="H402" s="864"/>
      <c r="I402" s="864"/>
      <c r="J402" s="864"/>
      <c r="K402" s="864"/>
      <c r="L402" s="864"/>
      <c r="M402" s="864"/>
      <c r="N402" s="864">
        <f>UnosNovoZaposl!D392</f>
        <v>0</v>
      </c>
      <c r="O402" s="864"/>
      <c r="P402" s="864"/>
      <c r="Q402" s="864"/>
      <c r="R402" s="864"/>
      <c r="S402" s="864"/>
      <c r="T402" s="864"/>
      <c r="U402" s="868">
        <f>UnosNovoZaposl!E392</f>
        <v>0</v>
      </c>
      <c r="V402" s="868"/>
      <c r="W402" s="868"/>
      <c r="X402" s="868"/>
      <c r="Y402" s="868"/>
      <c r="Z402" s="868"/>
      <c r="AA402" s="868">
        <f>UnosNovoZaposl!B392</f>
        <v>0</v>
      </c>
      <c r="AB402" s="868"/>
      <c r="AC402" s="868"/>
      <c r="AD402" s="868"/>
      <c r="AE402" s="868"/>
      <c r="AF402" s="868"/>
      <c r="AG402" s="868">
        <f>UnosNovoZaposl!F392</f>
        <v>0</v>
      </c>
      <c r="AH402" s="868"/>
      <c r="AI402" s="868"/>
      <c r="AJ402" s="868"/>
      <c r="AK402" s="868"/>
      <c r="AL402" s="868"/>
      <c r="AM402" s="868">
        <f>UnosNovoZaposl!G392</f>
        <v>0</v>
      </c>
      <c r="AN402" s="868"/>
      <c r="AO402" s="868"/>
      <c r="AP402" s="868"/>
      <c r="AQ402" s="868"/>
      <c r="AR402" s="868"/>
      <c r="AS402" s="868">
        <f t="shared" si="7"/>
        <v>0</v>
      </c>
      <c r="AT402" s="868"/>
      <c r="AU402" s="868"/>
      <c r="AV402" s="868"/>
      <c r="AW402" s="868"/>
      <c r="AX402" s="868"/>
    </row>
    <row r="403" s="687" customFormat="1" ht="15" hidden="1" customHeight="1" spans="1:50">
      <c r="A403" s="745"/>
      <c r="B403" s="754" t="s">
        <v>6464</v>
      </c>
      <c r="C403" s="864">
        <f>UnosNovoZaposl!C393</f>
        <v>0</v>
      </c>
      <c r="D403" s="864"/>
      <c r="E403" s="864"/>
      <c r="F403" s="864"/>
      <c r="G403" s="864"/>
      <c r="H403" s="864"/>
      <c r="I403" s="864"/>
      <c r="J403" s="864"/>
      <c r="K403" s="864"/>
      <c r="L403" s="864"/>
      <c r="M403" s="864"/>
      <c r="N403" s="864">
        <f>UnosNovoZaposl!D393</f>
        <v>0</v>
      </c>
      <c r="O403" s="864"/>
      <c r="P403" s="864"/>
      <c r="Q403" s="864"/>
      <c r="R403" s="864"/>
      <c r="S403" s="864"/>
      <c r="T403" s="864"/>
      <c r="U403" s="868">
        <f>UnosNovoZaposl!E393</f>
        <v>0</v>
      </c>
      <c r="V403" s="868"/>
      <c r="W403" s="868"/>
      <c r="X403" s="868"/>
      <c r="Y403" s="868"/>
      <c r="Z403" s="868"/>
      <c r="AA403" s="868">
        <f>UnosNovoZaposl!B393</f>
        <v>0</v>
      </c>
      <c r="AB403" s="868"/>
      <c r="AC403" s="868"/>
      <c r="AD403" s="868"/>
      <c r="AE403" s="868"/>
      <c r="AF403" s="868"/>
      <c r="AG403" s="868">
        <f>UnosNovoZaposl!F393</f>
        <v>0</v>
      </c>
      <c r="AH403" s="868"/>
      <c r="AI403" s="868"/>
      <c r="AJ403" s="868"/>
      <c r="AK403" s="868"/>
      <c r="AL403" s="868"/>
      <c r="AM403" s="868">
        <f>UnosNovoZaposl!G393</f>
        <v>0</v>
      </c>
      <c r="AN403" s="868"/>
      <c r="AO403" s="868"/>
      <c r="AP403" s="868"/>
      <c r="AQ403" s="868"/>
      <c r="AR403" s="868"/>
      <c r="AS403" s="868">
        <f t="shared" si="7"/>
        <v>0</v>
      </c>
      <c r="AT403" s="868"/>
      <c r="AU403" s="868"/>
      <c r="AV403" s="868"/>
      <c r="AW403" s="868"/>
      <c r="AX403" s="868"/>
    </row>
    <row r="404" s="687" customFormat="1" ht="15" hidden="1" customHeight="1" spans="1:50">
      <c r="A404" s="745"/>
      <c r="B404" s="754" t="s">
        <v>6465</v>
      </c>
      <c r="C404" s="864">
        <f>UnosNovoZaposl!C394</f>
        <v>0</v>
      </c>
      <c r="D404" s="864"/>
      <c r="E404" s="864"/>
      <c r="F404" s="864"/>
      <c r="G404" s="864"/>
      <c r="H404" s="864"/>
      <c r="I404" s="864"/>
      <c r="J404" s="864"/>
      <c r="K404" s="864"/>
      <c r="L404" s="864"/>
      <c r="M404" s="864"/>
      <c r="N404" s="864">
        <f>UnosNovoZaposl!D394</f>
        <v>0</v>
      </c>
      <c r="O404" s="864"/>
      <c r="P404" s="864"/>
      <c r="Q404" s="864"/>
      <c r="R404" s="864"/>
      <c r="S404" s="864"/>
      <c r="T404" s="864"/>
      <c r="U404" s="868">
        <f>UnosNovoZaposl!E394</f>
        <v>0</v>
      </c>
      <c r="V404" s="868"/>
      <c r="W404" s="868"/>
      <c r="X404" s="868"/>
      <c r="Y404" s="868"/>
      <c r="Z404" s="868"/>
      <c r="AA404" s="868">
        <f>UnosNovoZaposl!B394</f>
        <v>0</v>
      </c>
      <c r="AB404" s="868"/>
      <c r="AC404" s="868"/>
      <c r="AD404" s="868"/>
      <c r="AE404" s="868"/>
      <c r="AF404" s="868"/>
      <c r="AG404" s="868">
        <f>UnosNovoZaposl!F394</f>
        <v>0</v>
      </c>
      <c r="AH404" s="868"/>
      <c r="AI404" s="868"/>
      <c r="AJ404" s="868"/>
      <c r="AK404" s="868"/>
      <c r="AL404" s="868"/>
      <c r="AM404" s="868">
        <f>UnosNovoZaposl!G394</f>
        <v>0</v>
      </c>
      <c r="AN404" s="868"/>
      <c r="AO404" s="868"/>
      <c r="AP404" s="868"/>
      <c r="AQ404" s="868"/>
      <c r="AR404" s="868"/>
      <c r="AS404" s="868">
        <f t="shared" si="7"/>
        <v>0</v>
      </c>
      <c r="AT404" s="868"/>
      <c r="AU404" s="868"/>
      <c r="AV404" s="868"/>
      <c r="AW404" s="868"/>
      <c r="AX404" s="868"/>
    </row>
    <row r="405" s="687" customFormat="1" ht="15" hidden="1" customHeight="1" spans="1:50">
      <c r="A405" s="745"/>
      <c r="B405" s="754" t="s">
        <v>6466</v>
      </c>
      <c r="C405" s="864">
        <f>UnosNovoZaposl!C395</f>
        <v>0</v>
      </c>
      <c r="D405" s="864"/>
      <c r="E405" s="864"/>
      <c r="F405" s="864"/>
      <c r="G405" s="864"/>
      <c r="H405" s="864"/>
      <c r="I405" s="864"/>
      <c r="J405" s="864"/>
      <c r="K405" s="864"/>
      <c r="L405" s="864"/>
      <c r="M405" s="864"/>
      <c r="N405" s="864">
        <f>UnosNovoZaposl!D395</f>
        <v>0</v>
      </c>
      <c r="O405" s="864"/>
      <c r="P405" s="864"/>
      <c r="Q405" s="864"/>
      <c r="R405" s="864"/>
      <c r="S405" s="864"/>
      <c r="T405" s="864"/>
      <c r="U405" s="868">
        <f>UnosNovoZaposl!E395</f>
        <v>0</v>
      </c>
      <c r="V405" s="868"/>
      <c r="W405" s="868"/>
      <c r="X405" s="868"/>
      <c r="Y405" s="868"/>
      <c r="Z405" s="868"/>
      <c r="AA405" s="868">
        <f>UnosNovoZaposl!B395</f>
        <v>0</v>
      </c>
      <c r="AB405" s="868"/>
      <c r="AC405" s="868"/>
      <c r="AD405" s="868"/>
      <c r="AE405" s="868"/>
      <c r="AF405" s="868"/>
      <c r="AG405" s="868">
        <f>UnosNovoZaposl!F395</f>
        <v>0</v>
      </c>
      <c r="AH405" s="868"/>
      <c r="AI405" s="868"/>
      <c r="AJ405" s="868"/>
      <c r="AK405" s="868"/>
      <c r="AL405" s="868"/>
      <c r="AM405" s="868">
        <f>UnosNovoZaposl!G395</f>
        <v>0</v>
      </c>
      <c r="AN405" s="868"/>
      <c r="AO405" s="868"/>
      <c r="AP405" s="868"/>
      <c r="AQ405" s="868"/>
      <c r="AR405" s="868"/>
      <c r="AS405" s="868">
        <f t="shared" si="7"/>
        <v>0</v>
      </c>
      <c r="AT405" s="868"/>
      <c r="AU405" s="868"/>
      <c r="AV405" s="868"/>
      <c r="AW405" s="868"/>
      <c r="AX405" s="868"/>
    </row>
    <row r="406" s="687" customFormat="1" ht="15" hidden="1" customHeight="1" spans="1:50">
      <c r="A406" s="745"/>
      <c r="B406" s="754" t="s">
        <v>6467</v>
      </c>
      <c r="C406" s="864">
        <f>UnosNovoZaposl!C396</f>
        <v>0</v>
      </c>
      <c r="D406" s="864"/>
      <c r="E406" s="864"/>
      <c r="F406" s="864"/>
      <c r="G406" s="864"/>
      <c r="H406" s="864"/>
      <c r="I406" s="864"/>
      <c r="J406" s="864"/>
      <c r="K406" s="864"/>
      <c r="L406" s="864"/>
      <c r="M406" s="864"/>
      <c r="N406" s="864">
        <f>UnosNovoZaposl!D396</f>
        <v>0</v>
      </c>
      <c r="O406" s="864"/>
      <c r="P406" s="864"/>
      <c r="Q406" s="864"/>
      <c r="R406" s="864"/>
      <c r="S406" s="864"/>
      <c r="T406" s="864"/>
      <c r="U406" s="868">
        <f>UnosNovoZaposl!E396</f>
        <v>0</v>
      </c>
      <c r="V406" s="868"/>
      <c r="W406" s="868"/>
      <c r="X406" s="868"/>
      <c r="Y406" s="868"/>
      <c r="Z406" s="868"/>
      <c r="AA406" s="868">
        <f>UnosNovoZaposl!B396</f>
        <v>0</v>
      </c>
      <c r="AB406" s="868"/>
      <c r="AC406" s="868"/>
      <c r="AD406" s="868"/>
      <c r="AE406" s="868"/>
      <c r="AF406" s="868"/>
      <c r="AG406" s="868">
        <f>UnosNovoZaposl!F396</f>
        <v>0</v>
      </c>
      <c r="AH406" s="868"/>
      <c r="AI406" s="868"/>
      <c r="AJ406" s="868"/>
      <c r="AK406" s="868"/>
      <c r="AL406" s="868"/>
      <c r="AM406" s="868">
        <f>UnosNovoZaposl!G396</f>
        <v>0</v>
      </c>
      <c r="AN406" s="868"/>
      <c r="AO406" s="868"/>
      <c r="AP406" s="868"/>
      <c r="AQ406" s="868"/>
      <c r="AR406" s="868"/>
      <c r="AS406" s="868">
        <f t="shared" si="7"/>
        <v>0</v>
      </c>
      <c r="AT406" s="868"/>
      <c r="AU406" s="868"/>
      <c r="AV406" s="868"/>
      <c r="AW406" s="868"/>
      <c r="AX406" s="868"/>
    </row>
    <row r="407" s="687" customFormat="1" ht="15" hidden="1" customHeight="1" spans="1:50">
      <c r="A407" s="745"/>
      <c r="B407" s="754" t="s">
        <v>6468</v>
      </c>
      <c r="C407" s="864">
        <f>UnosNovoZaposl!C397</f>
        <v>0</v>
      </c>
      <c r="D407" s="864"/>
      <c r="E407" s="864"/>
      <c r="F407" s="864"/>
      <c r="G407" s="864"/>
      <c r="H407" s="864"/>
      <c r="I407" s="864"/>
      <c r="J407" s="864"/>
      <c r="K407" s="864"/>
      <c r="L407" s="864"/>
      <c r="M407" s="864"/>
      <c r="N407" s="864">
        <f>UnosNovoZaposl!D397</f>
        <v>0</v>
      </c>
      <c r="O407" s="864"/>
      <c r="P407" s="864"/>
      <c r="Q407" s="864"/>
      <c r="R407" s="864"/>
      <c r="S407" s="864"/>
      <c r="T407" s="864"/>
      <c r="U407" s="868">
        <f>UnosNovoZaposl!E397</f>
        <v>0</v>
      </c>
      <c r="V407" s="868"/>
      <c r="W407" s="868"/>
      <c r="X407" s="868"/>
      <c r="Y407" s="868"/>
      <c r="Z407" s="868"/>
      <c r="AA407" s="868">
        <f>UnosNovoZaposl!B397</f>
        <v>0</v>
      </c>
      <c r="AB407" s="868"/>
      <c r="AC407" s="868"/>
      <c r="AD407" s="868"/>
      <c r="AE407" s="868"/>
      <c r="AF407" s="868"/>
      <c r="AG407" s="868">
        <f>UnosNovoZaposl!F397</f>
        <v>0</v>
      </c>
      <c r="AH407" s="868"/>
      <c r="AI407" s="868"/>
      <c r="AJ407" s="868"/>
      <c r="AK407" s="868"/>
      <c r="AL407" s="868"/>
      <c r="AM407" s="868">
        <f>UnosNovoZaposl!G397</f>
        <v>0</v>
      </c>
      <c r="AN407" s="868"/>
      <c r="AO407" s="868"/>
      <c r="AP407" s="868"/>
      <c r="AQ407" s="868"/>
      <c r="AR407" s="868"/>
      <c r="AS407" s="868">
        <f t="shared" si="7"/>
        <v>0</v>
      </c>
      <c r="AT407" s="868"/>
      <c r="AU407" s="868"/>
      <c r="AV407" s="868"/>
      <c r="AW407" s="868"/>
      <c r="AX407" s="868"/>
    </row>
    <row r="408" s="687" customFormat="1" ht="15" hidden="1" customHeight="1" spans="1:50">
      <c r="A408" s="745"/>
      <c r="B408" s="754" t="s">
        <v>6469</v>
      </c>
      <c r="C408" s="864">
        <f>UnosNovoZaposl!C398</f>
        <v>0</v>
      </c>
      <c r="D408" s="864"/>
      <c r="E408" s="864"/>
      <c r="F408" s="864"/>
      <c r="G408" s="864"/>
      <c r="H408" s="864"/>
      <c r="I408" s="864"/>
      <c r="J408" s="864"/>
      <c r="K408" s="864"/>
      <c r="L408" s="864"/>
      <c r="M408" s="864"/>
      <c r="N408" s="864">
        <f>UnosNovoZaposl!D398</f>
        <v>0</v>
      </c>
      <c r="O408" s="864"/>
      <c r="P408" s="864"/>
      <c r="Q408" s="864"/>
      <c r="R408" s="864"/>
      <c r="S408" s="864"/>
      <c r="T408" s="864"/>
      <c r="U408" s="868">
        <f>UnosNovoZaposl!E398</f>
        <v>0</v>
      </c>
      <c r="V408" s="868"/>
      <c r="W408" s="868"/>
      <c r="X408" s="868"/>
      <c r="Y408" s="868"/>
      <c r="Z408" s="868"/>
      <c r="AA408" s="868">
        <f>UnosNovoZaposl!B398</f>
        <v>0</v>
      </c>
      <c r="AB408" s="868"/>
      <c r="AC408" s="868"/>
      <c r="AD408" s="868"/>
      <c r="AE408" s="868"/>
      <c r="AF408" s="868"/>
      <c r="AG408" s="868">
        <f>UnosNovoZaposl!F398</f>
        <v>0</v>
      </c>
      <c r="AH408" s="868"/>
      <c r="AI408" s="868"/>
      <c r="AJ408" s="868"/>
      <c r="AK408" s="868"/>
      <c r="AL408" s="868"/>
      <c r="AM408" s="868">
        <f>UnosNovoZaposl!G398</f>
        <v>0</v>
      </c>
      <c r="AN408" s="868"/>
      <c r="AO408" s="868"/>
      <c r="AP408" s="868"/>
      <c r="AQ408" s="868"/>
      <c r="AR408" s="868"/>
      <c r="AS408" s="868">
        <f t="shared" si="7"/>
        <v>0</v>
      </c>
      <c r="AT408" s="868"/>
      <c r="AU408" s="868"/>
      <c r="AV408" s="868"/>
      <c r="AW408" s="868"/>
      <c r="AX408" s="868"/>
    </row>
    <row r="409" s="687" customFormat="1" ht="15" hidden="1" customHeight="1" spans="1:50">
      <c r="A409" s="745"/>
      <c r="B409" s="754" t="s">
        <v>6470</v>
      </c>
      <c r="C409" s="864">
        <f>UnosNovoZaposl!C399</f>
        <v>0</v>
      </c>
      <c r="D409" s="864"/>
      <c r="E409" s="864"/>
      <c r="F409" s="864"/>
      <c r="G409" s="864"/>
      <c r="H409" s="864"/>
      <c r="I409" s="864"/>
      <c r="J409" s="864"/>
      <c r="K409" s="864"/>
      <c r="L409" s="864"/>
      <c r="M409" s="864"/>
      <c r="N409" s="864">
        <f>UnosNovoZaposl!D399</f>
        <v>0</v>
      </c>
      <c r="O409" s="864"/>
      <c r="P409" s="864"/>
      <c r="Q409" s="864"/>
      <c r="R409" s="864"/>
      <c r="S409" s="864"/>
      <c r="T409" s="864"/>
      <c r="U409" s="868">
        <f>UnosNovoZaposl!E399</f>
        <v>0</v>
      </c>
      <c r="V409" s="868"/>
      <c r="W409" s="868"/>
      <c r="X409" s="868"/>
      <c r="Y409" s="868"/>
      <c r="Z409" s="868"/>
      <c r="AA409" s="868">
        <f>UnosNovoZaposl!B399</f>
        <v>0</v>
      </c>
      <c r="AB409" s="868"/>
      <c r="AC409" s="868"/>
      <c r="AD409" s="868"/>
      <c r="AE409" s="868"/>
      <c r="AF409" s="868"/>
      <c r="AG409" s="868">
        <f>UnosNovoZaposl!F399</f>
        <v>0</v>
      </c>
      <c r="AH409" s="868"/>
      <c r="AI409" s="868"/>
      <c r="AJ409" s="868"/>
      <c r="AK409" s="868"/>
      <c r="AL409" s="868"/>
      <c r="AM409" s="868">
        <f>UnosNovoZaposl!G399</f>
        <v>0</v>
      </c>
      <c r="AN409" s="868"/>
      <c r="AO409" s="868"/>
      <c r="AP409" s="868"/>
      <c r="AQ409" s="868"/>
      <c r="AR409" s="868"/>
      <c r="AS409" s="868">
        <f t="shared" si="7"/>
        <v>0</v>
      </c>
      <c r="AT409" s="868"/>
      <c r="AU409" s="868"/>
      <c r="AV409" s="868"/>
      <c r="AW409" s="868"/>
      <c r="AX409" s="868"/>
    </row>
    <row r="410" s="687" customFormat="1" ht="15" hidden="1" customHeight="1" spans="1:50">
      <c r="A410" s="745"/>
      <c r="B410" s="754" t="s">
        <v>6471</v>
      </c>
      <c r="C410" s="864">
        <f>UnosNovoZaposl!C400</f>
        <v>0</v>
      </c>
      <c r="D410" s="864"/>
      <c r="E410" s="864"/>
      <c r="F410" s="864"/>
      <c r="G410" s="864"/>
      <c r="H410" s="864"/>
      <c r="I410" s="864"/>
      <c r="J410" s="864"/>
      <c r="K410" s="864"/>
      <c r="L410" s="864"/>
      <c r="M410" s="864"/>
      <c r="N410" s="864">
        <f>UnosNovoZaposl!D400</f>
        <v>0</v>
      </c>
      <c r="O410" s="864"/>
      <c r="P410" s="864"/>
      <c r="Q410" s="864"/>
      <c r="R410" s="864"/>
      <c r="S410" s="864"/>
      <c r="T410" s="864"/>
      <c r="U410" s="868">
        <f>UnosNovoZaposl!E400</f>
        <v>0</v>
      </c>
      <c r="V410" s="868"/>
      <c r="W410" s="868"/>
      <c r="X410" s="868"/>
      <c r="Y410" s="868"/>
      <c r="Z410" s="868"/>
      <c r="AA410" s="868">
        <f>UnosNovoZaposl!B400</f>
        <v>0</v>
      </c>
      <c r="AB410" s="868"/>
      <c r="AC410" s="868"/>
      <c r="AD410" s="868"/>
      <c r="AE410" s="868"/>
      <c r="AF410" s="868"/>
      <c r="AG410" s="868">
        <f>UnosNovoZaposl!F400</f>
        <v>0</v>
      </c>
      <c r="AH410" s="868"/>
      <c r="AI410" s="868"/>
      <c r="AJ410" s="868"/>
      <c r="AK410" s="868"/>
      <c r="AL410" s="868"/>
      <c r="AM410" s="868">
        <f>UnosNovoZaposl!G400</f>
        <v>0</v>
      </c>
      <c r="AN410" s="868"/>
      <c r="AO410" s="868"/>
      <c r="AP410" s="868"/>
      <c r="AQ410" s="868"/>
      <c r="AR410" s="868"/>
      <c r="AS410" s="868">
        <f t="shared" si="7"/>
        <v>0</v>
      </c>
      <c r="AT410" s="868"/>
      <c r="AU410" s="868"/>
      <c r="AV410" s="868"/>
      <c r="AW410" s="868"/>
      <c r="AX410" s="868"/>
    </row>
    <row r="411" s="687" customFormat="1" ht="15" hidden="1" customHeight="1" spans="1:50">
      <c r="A411" s="745"/>
      <c r="B411" s="754" t="s">
        <v>6472</v>
      </c>
      <c r="C411" s="864">
        <f>UnosNovoZaposl!C401</f>
        <v>0</v>
      </c>
      <c r="D411" s="864"/>
      <c r="E411" s="864"/>
      <c r="F411" s="864"/>
      <c r="G411" s="864"/>
      <c r="H411" s="864"/>
      <c r="I411" s="864"/>
      <c r="J411" s="864"/>
      <c r="K411" s="864"/>
      <c r="L411" s="864"/>
      <c r="M411" s="864"/>
      <c r="N411" s="864">
        <f>UnosNovoZaposl!D401</f>
        <v>0</v>
      </c>
      <c r="O411" s="864"/>
      <c r="P411" s="864"/>
      <c r="Q411" s="864"/>
      <c r="R411" s="864"/>
      <c r="S411" s="864"/>
      <c r="T411" s="864"/>
      <c r="U411" s="868">
        <f>UnosNovoZaposl!E401</f>
        <v>0</v>
      </c>
      <c r="V411" s="868"/>
      <c r="W411" s="868"/>
      <c r="X411" s="868"/>
      <c r="Y411" s="868"/>
      <c r="Z411" s="868"/>
      <c r="AA411" s="868">
        <f>UnosNovoZaposl!B401</f>
        <v>0</v>
      </c>
      <c r="AB411" s="868"/>
      <c r="AC411" s="868"/>
      <c r="AD411" s="868"/>
      <c r="AE411" s="868"/>
      <c r="AF411" s="868"/>
      <c r="AG411" s="868">
        <f>UnosNovoZaposl!F401</f>
        <v>0</v>
      </c>
      <c r="AH411" s="868"/>
      <c r="AI411" s="868"/>
      <c r="AJ411" s="868"/>
      <c r="AK411" s="868"/>
      <c r="AL411" s="868"/>
      <c r="AM411" s="868">
        <f>UnosNovoZaposl!G401</f>
        <v>0</v>
      </c>
      <c r="AN411" s="868"/>
      <c r="AO411" s="868"/>
      <c r="AP411" s="868"/>
      <c r="AQ411" s="868"/>
      <c r="AR411" s="868"/>
      <c r="AS411" s="868">
        <f t="shared" ref="AS411:AS417" si="8">AG411+AM411</f>
        <v>0</v>
      </c>
      <c r="AT411" s="868"/>
      <c r="AU411" s="868"/>
      <c r="AV411" s="868"/>
      <c r="AW411" s="868"/>
      <c r="AX411" s="868"/>
    </row>
    <row r="412" s="687" customFormat="1" ht="15" hidden="1" customHeight="1" spans="1:50">
      <c r="A412" s="745"/>
      <c r="B412" s="754" t="s">
        <v>6473</v>
      </c>
      <c r="C412" s="864">
        <f>UnosNovoZaposl!C402</f>
        <v>0</v>
      </c>
      <c r="D412" s="864"/>
      <c r="E412" s="864"/>
      <c r="F412" s="864"/>
      <c r="G412" s="864"/>
      <c r="H412" s="864"/>
      <c r="I412" s="864"/>
      <c r="J412" s="864"/>
      <c r="K412" s="864"/>
      <c r="L412" s="864"/>
      <c r="M412" s="864"/>
      <c r="N412" s="864">
        <f>UnosNovoZaposl!D402</f>
        <v>0</v>
      </c>
      <c r="O412" s="864"/>
      <c r="P412" s="864"/>
      <c r="Q412" s="864"/>
      <c r="R412" s="864"/>
      <c r="S412" s="864"/>
      <c r="T412" s="864"/>
      <c r="U412" s="868">
        <f>UnosNovoZaposl!E402</f>
        <v>0</v>
      </c>
      <c r="V412" s="868"/>
      <c r="W412" s="868"/>
      <c r="X412" s="868"/>
      <c r="Y412" s="868"/>
      <c r="Z412" s="868"/>
      <c r="AA412" s="868">
        <f>UnosNovoZaposl!B402</f>
        <v>0</v>
      </c>
      <c r="AB412" s="868"/>
      <c r="AC412" s="868"/>
      <c r="AD412" s="868"/>
      <c r="AE412" s="868"/>
      <c r="AF412" s="868"/>
      <c r="AG412" s="868">
        <f>UnosNovoZaposl!F402</f>
        <v>0</v>
      </c>
      <c r="AH412" s="868"/>
      <c r="AI412" s="868"/>
      <c r="AJ412" s="868"/>
      <c r="AK412" s="868"/>
      <c r="AL412" s="868"/>
      <c r="AM412" s="868">
        <f>UnosNovoZaposl!G402</f>
        <v>0</v>
      </c>
      <c r="AN412" s="868"/>
      <c r="AO412" s="868"/>
      <c r="AP412" s="868"/>
      <c r="AQ412" s="868"/>
      <c r="AR412" s="868"/>
      <c r="AS412" s="868">
        <f t="shared" si="8"/>
        <v>0</v>
      </c>
      <c r="AT412" s="868"/>
      <c r="AU412" s="868"/>
      <c r="AV412" s="868"/>
      <c r="AW412" s="868"/>
      <c r="AX412" s="868"/>
    </row>
    <row r="413" s="687" customFormat="1" ht="15" hidden="1" customHeight="1" spans="1:50">
      <c r="A413" s="745"/>
      <c r="B413" s="754" t="s">
        <v>6474</v>
      </c>
      <c r="C413" s="864">
        <f>UnosNovoZaposl!C403</f>
        <v>0</v>
      </c>
      <c r="D413" s="864"/>
      <c r="E413" s="864"/>
      <c r="F413" s="864"/>
      <c r="G413" s="864"/>
      <c r="H413" s="864"/>
      <c r="I413" s="864"/>
      <c r="J413" s="864"/>
      <c r="K413" s="864"/>
      <c r="L413" s="864"/>
      <c r="M413" s="864"/>
      <c r="N413" s="864">
        <f>UnosNovoZaposl!D403</f>
        <v>0</v>
      </c>
      <c r="O413" s="864"/>
      <c r="P413" s="864"/>
      <c r="Q413" s="864"/>
      <c r="R413" s="864"/>
      <c r="S413" s="864"/>
      <c r="T413" s="864"/>
      <c r="U413" s="868">
        <f>UnosNovoZaposl!E403</f>
        <v>0</v>
      </c>
      <c r="V413" s="868"/>
      <c r="W413" s="868"/>
      <c r="X413" s="868"/>
      <c r="Y413" s="868"/>
      <c r="Z413" s="868"/>
      <c r="AA413" s="868">
        <f>UnosNovoZaposl!B403</f>
        <v>0</v>
      </c>
      <c r="AB413" s="868"/>
      <c r="AC413" s="868"/>
      <c r="AD413" s="868"/>
      <c r="AE413" s="868"/>
      <c r="AF413" s="868"/>
      <c r="AG413" s="868">
        <f>UnosNovoZaposl!F403</f>
        <v>0</v>
      </c>
      <c r="AH413" s="868"/>
      <c r="AI413" s="868"/>
      <c r="AJ413" s="868"/>
      <c r="AK413" s="868"/>
      <c r="AL413" s="868"/>
      <c r="AM413" s="868">
        <f>UnosNovoZaposl!G403</f>
        <v>0</v>
      </c>
      <c r="AN413" s="868"/>
      <c r="AO413" s="868"/>
      <c r="AP413" s="868"/>
      <c r="AQ413" s="868"/>
      <c r="AR413" s="868"/>
      <c r="AS413" s="868">
        <f t="shared" si="8"/>
        <v>0</v>
      </c>
      <c r="AT413" s="868"/>
      <c r="AU413" s="868"/>
      <c r="AV413" s="868"/>
      <c r="AW413" s="868"/>
      <c r="AX413" s="868"/>
    </row>
    <row r="414" s="687" customFormat="1" ht="15" hidden="1" customHeight="1" spans="1:50">
      <c r="A414" s="745"/>
      <c r="B414" s="754" t="s">
        <v>6475</v>
      </c>
      <c r="C414" s="864">
        <f>UnosNovoZaposl!C404</f>
        <v>0</v>
      </c>
      <c r="D414" s="864"/>
      <c r="E414" s="864"/>
      <c r="F414" s="864"/>
      <c r="G414" s="864"/>
      <c r="H414" s="864"/>
      <c r="I414" s="864"/>
      <c r="J414" s="864"/>
      <c r="K414" s="864"/>
      <c r="L414" s="864"/>
      <c r="M414" s="864"/>
      <c r="N414" s="864">
        <f>UnosNovoZaposl!D404</f>
        <v>0</v>
      </c>
      <c r="O414" s="864"/>
      <c r="P414" s="864"/>
      <c r="Q414" s="864"/>
      <c r="R414" s="864"/>
      <c r="S414" s="864"/>
      <c r="T414" s="864"/>
      <c r="U414" s="868">
        <f>UnosNovoZaposl!E404</f>
        <v>0</v>
      </c>
      <c r="V414" s="868"/>
      <c r="W414" s="868"/>
      <c r="X414" s="868"/>
      <c r="Y414" s="868"/>
      <c r="Z414" s="868"/>
      <c r="AA414" s="868">
        <f>UnosNovoZaposl!B404</f>
        <v>0</v>
      </c>
      <c r="AB414" s="868"/>
      <c r="AC414" s="868"/>
      <c r="AD414" s="868"/>
      <c r="AE414" s="868"/>
      <c r="AF414" s="868"/>
      <c r="AG414" s="868">
        <f>UnosNovoZaposl!F404</f>
        <v>0</v>
      </c>
      <c r="AH414" s="868"/>
      <c r="AI414" s="868"/>
      <c r="AJ414" s="868"/>
      <c r="AK414" s="868"/>
      <c r="AL414" s="868"/>
      <c r="AM414" s="868">
        <f>UnosNovoZaposl!G404</f>
        <v>0</v>
      </c>
      <c r="AN414" s="868"/>
      <c r="AO414" s="868"/>
      <c r="AP414" s="868"/>
      <c r="AQ414" s="868"/>
      <c r="AR414" s="868"/>
      <c r="AS414" s="868">
        <f t="shared" si="8"/>
        <v>0</v>
      </c>
      <c r="AT414" s="868"/>
      <c r="AU414" s="868"/>
      <c r="AV414" s="868"/>
      <c r="AW414" s="868"/>
      <c r="AX414" s="868"/>
    </row>
    <row r="415" s="687" customFormat="1" ht="15" hidden="1" customHeight="1" spans="1:50">
      <c r="A415" s="745"/>
      <c r="B415" s="754" t="s">
        <v>6476</v>
      </c>
      <c r="C415" s="864">
        <f>UnosNovoZaposl!C405</f>
        <v>0</v>
      </c>
      <c r="D415" s="864"/>
      <c r="E415" s="864"/>
      <c r="F415" s="864"/>
      <c r="G415" s="864"/>
      <c r="H415" s="864"/>
      <c r="I415" s="864"/>
      <c r="J415" s="864"/>
      <c r="K415" s="864"/>
      <c r="L415" s="864"/>
      <c r="M415" s="864"/>
      <c r="N415" s="864">
        <f>UnosNovoZaposl!D405</f>
        <v>0</v>
      </c>
      <c r="O415" s="864"/>
      <c r="P415" s="864"/>
      <c r="Q415" s="864"/>
      <c r="R415" s="864"/>
      <c r="S415" s="864"/>
      <c r="T415" s="864"/>
      <c r="U415" s="868">
        <f>UnosNovoZaposl!E405</f>
        <v>0</v>
      </c>
      <c r="V415" s="868"/>
      <c r="W415" s="868"/>
      <c r="X415" s="868"/>
      <c r="Y415" s="868"/>
      <c r="Z415" s="868"/>
      <c r="AA415" s="868">
        <f>UnosNovoZaposl!B405</f>
        <v>0</v>
      </c>
      <c r="AB415" s="868"/>
      <c r="AC415" s="868"/>
      <c r="AD415" s="868"/>
      <c r="AE415" s="868"/>
      <c r="AF415" s="868"/>
      <c r="AG415" s="868">
        <f>UnosNovoZaposl!F405</f>
        <v>0</v>
      </c>
      <c r="AH415" s="868"/>
      <c r="AI415" s="868"/>
      <c r="AJ415" s="868"/>
      <c r="AK415" s="868"/>
      <c r="AL415" s="868"/>
      <c r="AM415" s="868">
        <f>UnosNovoZaposl!G405</f>
        <v>0</v>
      </c>
      <c r="AN415" s="868"/>
      <c r="AO415" s="868"/>
      <c r="AP415" s="868"/>
      <c r="AQ415" s="868"/>
      <c r="AR415" s="868"/>
      <c r="AS415" s="868">
        <f t="shared" si="8"/>
        <v>0</v>
      </c>
      <c r="AT415" s="868"/>
      <c r="AU415" s="868"/>
      <c r="AV415" s="868"/>
      <c r="AW415" s="868"/>
      <c r="AX415" s="868"/>
    </row>
    <row r="416" s="687" customFormat="1" ht="15" hidden="1" customHeight="1" spans="1:50">
      <c r="A416" s="745"/>
      <c r="B416" s="754" t="s">
        <v>6477</v>
      </c>
      <c r="C416" s="864">
        <f>UnosNovoZaposl!C406</f>
        <v>0</v>
      </c>
      <c r="D416" s="864"/>
      <c r="E416" s="864"/>
      <c r="F416" s="864"/>
      <c r="G416" s="864"/>
      <c r="H416" s="864"/>
      <c r="I416" s="864"/>
      <c r="J416" s="864"/>
      <c r="K416" s="864"/>
      <c r="L416" s="864"/>
      <c r="M416" s="864"/>
      <c r="N416" s="864">
        <f>UnosNovoZaposl!D406</f>
        <v>0</v>
      </c>
      <c r="O416" s="864"/>
      <c r="P416" s="864"/>
      <c r="Q416" s="864"/>
      <c r="R416" s="864"/>
      <c r="S416" s="864"/>
      <c r="T416" s="864"/>
      <c r="U416" s="868">
        <f>UnosNovoZaposl!E406</f>
        <v>0</v>
      </c>
      <c r="V416" s="868"/>
      <c r="W416" s="868"/>
      <c r="X416" s="868"/>
      <c r="Y416" s="868"/>
      <c r="Z416" s="868"/>
      <c r="AA416" s="868">
        <f>UnosNovoZaposl!B406</f>
        <v>0</v>
      </c>
      <c r="AB416" s="868"/>
      <c r="AC416" s="868"/>
      <c r="AD416" s="868"/>
      <c r="AE416" s="868"/>
      <c r="AF416" s="868"/>
      <c r="AG416" s="868">
        <f>UnosNovoZaposl!F406</f>
        <v>0</v>
      </c>
      <c r="AH416" s="868"/>
      <c r="AI416" s="868"/>
      <c r="AJ416" s="868"/>
      <c r="AK416" s="868"/>
      <c r="AL416" s="868"/>
      <c r="AM416" s="868">
        <f>UnosNovoZaposl!G406</f>
        <v>0</v>
      </c>
      <c r="AN416" s="868"/>
      <c r="AO416" s="868"/>
      <c r="AP416" s="868"/>
      <c r="AQ416" s="868"/>
      <c r="AR416" s="868"/>
      <c r="AS416" s="868">
        <f t="shared" si="8"/>
        <v>0</v>
      </c>
      <c r="AT416" s="868"/>
      <c r="AU416" s="868"/>
      <c r="AV416" s="868"/>
      <c r="AW416" s="868"/>
      <c r="AX416" s="868"/>
    </row>
    <row r="417" s="687" customFormat="1" ht="15" hidden="1" customHeight="1" spans="1:50">
      <c r="A417" s="745"/>
      <c r="B417" s="754" t="s">
        <v>6478</v>
      </c>
      <c r="C417" s="864">
        <f>UnosNovoZaposl!C407</f>
        <v>0</v>
      </c>
      <c r="D417" s="864"/>
      <c r="E417" s="864"/>
      <c r="F417" s="864"/>
      <c r="G417" s="864"/>
      <c r="H417" s="864"/>
      <c r="I417" s="864"/>
      <c r="J417" s="864"/>
      <c r="K417" s="864"/>
      <c r="L417" s="864"/>
      <c r="M417" s="864"/>
      <c r="N417" s="864">
        <f>UnosNovoZaposl!D407</f>
        <v>0</v>
      </c>
      <c r="O417" s="864"/>
      <c r="P417" s="864"/>
      <c r="Q417" s="864"/>
      <c r="R417" s="864"/>
      <c r="S417" s="864"/>
      <c r="T417" s="864"/>
      <c r="U417" s="868">
        <f>UnosNovoZaposl!E407</f>
        <v>0</v>
      </c>
      <c r="V417" s="868"/>
      <c r="W417" s="868"/>
      <c r="X417" s="868"/>
      <c r="Y417" s="868"/>
      <c r="Z417" s="868"/>
      <c r="AA417" s="868">
        <f>UnosNovoZaposl!B407</f>
        <v>0</v>
      </c>
      <c r="AB417" s="868"/>
      <c r="AC417" s="868"/>
      <c r="AD417" s="868"/>
      <c r="AE417" s="868"/>
      <c r="AF417" s="868"/>
      <c r="AG417" s="868">
        <f>UnosNovoZaposl!F407</f>
        <v>0</v>
      </c>
      <c r="AH417" s="868"/>
      <c r="AI417" s="868"/>
      <c r="AJ417" s="868"/>
      <c r="AK417" s="868"/>
      <c r="AL417" s="868"/>
      <c r="AM417" s="868">
        <f>UnosNovoZaposl!G407</f>
        <v>0</v>
      </c>
      <c r="AN417" s="868"/>
      <c r="AO417" s="868"/>
      <c r="AP417" s="868"/>
      <c r="AQ417" s="868"/>
      <c r="AR417" s="868"/>
      <c r="AS417" s="868">
        <f t="shared" si="8"/>
        <v>0</v>
      </c>
      <c r="AT417" s="868"/>
      <c r="AU417" s="868"/>
      <c r="AV417" s="868"/>
      <c r="AW417" s="868"/>
      <c r="AX417" s="868"/>
    </row>
    <row r="418" s="687" customFormat="1" ht="15.75" customHeight="1" spans="1:50">
      <c r="A418" s="2991"/>
      <c r="B418" s="754"/>
      <c r="C418" s="2992" t="s">
        <v>6684</v>
      </c>
      <c r="D418" s="869"/>
      <c r="E418" s="869"/>
      <c r="F418" s="869"/>
      <c r="G418" s="869"/>
      <c r="H418" s="869"/>
      <c r="I418" s="869"/>
      <c r="J418" s="869"/>
      <c r="K418" s="869"/>
      <c r="L418" s="869"/>
      <c r="M418" s="869"/>
      <c r="N418" s="869"/>
      <c r="O418" s="869"/>
      <c r="P418" s="869"/>
      <c r="Q418" s="869"/>
      <c r="R418" s="869"/>
      <c r="S418" s="869"/>
      <c r="T418" s="869"/>
      <c r="U418" s="869"/>
      <c r="V418" s="869"/>
      <c r="W418" s="869"/>
      <c r="X418" s="869"/>
      <c r="Y418" s="869"/>
      <c r="Z418" s="869"/>
      <c r="AA418" s="869"/>
      <c r="AB418" s="869"/>
      <c r="AC418" s="869"/>
      <c r="AD418" s="869"/>
      <c r="AE418" s="869"/>
      <c r="AF418" s="870"/>
      <c r="AG418" s="868">
        <f>SUM(AG218:AL417)</f>
        <v>0</v>
      </c>
      <c r="AH418" s="868"/>
      <c r="AI418" s="868"/>
      <c r="AJ418" s="868"/>
      <c r="AK418" s="868"/>
      <c r="AL418" s="868"/>
      <c r="AM418" s="868">
        <f>SUM(AM218:AR417)</f>
        <v>0</v>
      </c>
      <c r="AN418" s="868"/>
      <c r="AO418" s="868"/>
      <c r="AP418" s="868"/>
      <c r="AQ418" s="868"/>
      <c r="AR418" s="868"/>
      <c r="AS418" s="868">
        <f>SUM(AS218:AX417)</f>
        <v>0</v>
      </c>
      <c r="AT418" s="868"/>
      <c r="AU418" s="868"/>
      <c r="AV418" s="868"/>
      <c r="AW418" s="868"/>
      <c r="AX418" s="868"/>
    </row>
    <row r="419" s="687" customFormat="1" ht="6" customHeight="1" spans="1:50">
      <c r="A419" s="745"/>
      <c r="B419" s="2993"/>
      <c r="C419" s="2994"/>
      <c r="D419" s="2994"/>
      <c r="E419" s="2994"/>
      <c r="F419" s="2994"/>
      <c r="G419" s="2994"/>
      <c r="H419" s="2994"/>
      <c r="I419" s="2994"/>
      <c r="J419" s="2994"/>
      <c r="K419" s="2994"/>
      <c r="L419" s="2994"/>
      <c r="M419" s="2994"/>
      <c r="N419" s="2994"/>
      <c r="O419" s="2994"/>
      <c r="P419" s="2994"/>
      <c r="Q419" s="2994"/>
      <c r="R419" s="2994"/>
      <c r="S419" s="2994"/>
      <c r="T419" s="2994"/>
      <c r="U419" s="2994"/>
      <c r="V419" s="2994"/>
      <c r="W419" s="2994"/>
      <c r="X419" s="2994"/>
      <c r="Y419" s="2994"/>
      <c r="Z419" s="2994"/>
      <c r="AA419" s="2994"/>
      <c r="AB419" s="2994"/>
      <c r="AC419" s="2994"/>
      <c r="AD419" s="2994"/>
      <c r="AE419" s="2994"/>
      <c r="AF419" s="2994"/>
      <c r="AG419" s="2995"/>
      <c r="AH419" s="2995"/>
      <c r="AI419" s="2995"/>
      <c r="AJ419" s="2995"/>
      <c r="AK419" s="2995"/>
      <c r="AL419" s="2995"/>
      <c r="AM419" s="2996"/>
      <c r="AN419" s="2996"/>
      <c r="AO419" s="2996"/>
      <c r="AP419" s="2996"/>
      <c r="AQ419" s="2996"/>
      <c r="AR419" s="2996"/>
      <c r="AS419" s="2996"/>
      <c r="AT419" s="2996"/>
      <c r="AU419" s="2996"/>
      <c r="AV419" s="2996"/>
      <c r="AW419" s="2996"/>
      <c r="AX419" s="2997"/>
    </row>
    <row r="420" s="687" customFormat="1" ht="14.25" customHeight="1" spans="1:50">
      <c r="A420" s="745"/>
      <c r="B420" s="2993"/>
      <c r="C420" s="2994"/>
      <c r="D420" s="2994"/>
      <c r="E420" s="2994"/>
      <c r="F420" s="2994"/>
      <c r="G420" s="2994"/>
      <c r="H420" s="2994"/>
      <c r="I420" s="2994"/>
      <c r="J420" s="2994"/>
      <c r="K420" s="2994"/>
      <c r="L420" s="2994"/>
      <c r="M420" s="2994"/>
      <c r="N420" s="2994"/>
      <c r="O420" s="2994"/>
      <c r="P420" s="2994"/>
      <c r="Q420" s="2994"/>
      <c r="R420" s="2994"/>
      <c r="S420" s="2994"/>
      <c r="T420" s="2994"/>
      <c r="U420" s="2994"/>
      <c r="V420" s="2994"/>
      <c r="W420" s="2994"/>
      <c r="X420" s="2994"/>
      <c r="Y420" s="2994"/>
      <c r="Z420" s="2994"/>
      <c r="AA420" s="2994"/>
      <c r="AB420" s="2994"/>
      <c r="AC420" s="2994"/>
      <c r="AD420" s="2994"/>
      <c r="AE420" s="2994"/>
      <c r="AF420" s="2994"/>
      <c r="AG420" s="2995"/>
      <c r="AH420" s="2998" t="s">
        <v>6482</v>
      </c>
      <c r="AI420" s="2998"/>
      <c r="AJ420" s="2998"/>
      <c r="AK420" s="2998"/>
      <c r="AL420" s="2998"/>
      <c r="AM420" s="2998"/>
      <c r="AN420" s="2998"/>
      <c r="AO420" s="2998"/>
      <c r="AP420" s="2998"/>
      <c r="AQ420" s="2998"/>
      <c r="AR420" s="2999"/>
      <c r="AS420" s="868">
        <f>AS213</f>
        <v>29457.08</v>
      </c>
      <c r="AT420" s="868"/>
      <c r="AU420" s="868"/>
      <c r="AV420" s="868"/>
      <c r="AW420" s="868"/>
      <c r="AX420" s="868"/>
    </row>
    <row r="421" s="687" customFormat="1" ht="14.25" customHeight="1" spans="1:50">
      <c r="A421" s="745"/>
      <c r="B421" s="2993"/>
      <c r="C421" s="2994"/>
      <c r="D421" s="2994"/>
      <c r="E421" s="2994"/>
      <c r="F421" s="2994"/>
      <c r="G421" s="2994"/>
      <c r="H421" s="2994"/>
      <c r="I421" s="2994"/>
      <c r="J421" s="2994"/>
      <c r="K421" s="2994"/>
      <c r="L421" s="2994"/>
      <c r="M421" s="2994"/>
      <c r="N421" s="2994"/>
      <c r="O421" s="2994"/>
      <c r="P421" s="2994"/>
      <c r="Q421" s="2994"/>
      <c r="R421" s="2994"/>
      <c r="S421" s="2994"/>
      <c r="T421" s="2994"/>
      <c r="U421" s="2994"/>
      <c r="V421" s="2994"/>
      <c r="W421" s="2994"/>
      <c r="X421" s="2994"/>
      <c r="Y421" s="2994"/>
      <c r="Z421" s="2994"/>
      <c r="AA421" s="2994"/>
      <c r="AB421" s="2994"/>
      <c r="AC421" s="2994"/>
      <c r="AD421" s="2994"/>
      <c r="AE421" s="2994"/>
      <c r="AF421" s="2994"/>
      <c r="AG421" s="2995"/>
      <c r="AH421" s="2998" t="s">
        <v>6483</v>
      </c>
      <c r="AI421" s="2998"/>
      <c r="AJ421" s="2998"/>
      <c r="AK421" s="2998"/>
      <c r="AL421" s="2998"/>
      <c r="AM421" s="2998"/>
      <c r="AN421" s="2998"/>
      <c r="AO421" s="2998"/>
      <c r="AP421" s="2998"/>
      <c r="AQ421" s="2998"/>
      <c r="AR421" s="2999"/>
      <c r="AS421" s="868">
        <f>AS418</f>
        <v>0</v>
      </c>
      <c r="AT421" s="868"/>
      <c r="AU421" s="868"/>
      <c r="AV421" s="868"/>
      <c r="AW421" s="868"/>
      <c r="AX421" s="868"/>
    </row>
    <row r="422" s="687" customFormat="1" ht="14.25" customHeight="1" spans="1:50">
      <c r="A422" s="745"/>
      <c r="B422" s="2993"/>
      <c r="C422" s="2994"/>
      <c r="D422" s="2994"/>
      <c r="E422" s="2994"/>
      <c r="F422" s="2994"/>
      <c r="G422" s="2994"/>
      <c r="H422" s="2994"/>
      <c r="I422" s="2994"/>
      <c r="J422" s="2994"/>
      <c r="K422" s="2994"/>
      <c r="L422" s="2994"/>
      <c r="M422" s="2994"/>
      <c r="N422" s="2994"/>
      <c r="O422" s="2994"/>
      <c r="P422" s="2994"/>
      <c r="Q422" s="2994"/>
      <c r="R422" s="2994"/>
      <c r="S422" s="2994"/>
      <c r="T422" s="2994"/>
      <c r="U422" s="2994"/>
      <c r="V422" s="2994"/>
      <c r="W422" s="2994"/>
      <c r="X422" s="2994"/>
      <c r="Y422" s="2994"/>
      <c r="Z422" s="2994"/>
      <c r="AA422" s="2994"/>
      <c r="AB422" s="2994"/>
      <c r="AC422" s="2994"/>
      <c r="AD422" s="2994"/>
      <c r="AE422" s="2994"/>
      <c r="AF422" s="2994"/>
      <c r="AG422" s="2995"/>
      <c r="AH422" s="2998" t="s">
        <v>6484</v>
      </c>
      <c r="AI422" s="2998"/>
      <c r="AJ422" s="2998"/>
      <c r="AK422" s="2998"/>
      <c r="AL422" s="2998"/>
      <c r="AM422" s="2998"/>
      <c r="AN422" s="2998"/>
      <c r="AO422" s="2998"/>
      <c r="AP422" s="2998"/>
      <c r="AQ422" s="2998"/>
      <c r="AR422" s="2999"/>
      <c r="AS422" s="868">
        <f>SUM(AS420:AX421)</f>
        <v>29457.08</v>
      </c>
      <c r="AT422" s="868"/>
      <c r="AU422" s="868"/>
      <c r="AV422" s="868"/>
      <c r="AW422" s="868"/>
      <c r="AX422" s="868"/>
    </row>
    <row r="423" s="687" customFormat="1" ht="6" customHeight="1" spans="1:50">
      <c r="A423" s="3008"/>
      <c r="B423" s="2994"/>
      <c r="C423" s="2994"/>
      <c r="D423" s="2994"/>
      <c r="E423" s="2994"/>
      <c r="F423" s="2994"/>
      <c r="G423" s="2994"/>
      <c r="H423" s="2994"/>
      <c r="I423" s="2994"/>
      <c r="J423" s="2994"/>
      <c r="K423" s="2994"/>
      <c r="L423" s="2994"/>
      <c r="M423" s="2994"/>
      <c r="N423" s="2994"/>
      <c r="O423" s="2994"/>
      <c r="P423" s="2994"/>
      <c r="Q423" s="2994"/>
      <c r="R423" s="2994"/>
      <c r="S423" s="2994"/>
      <c r="T423" s="2994"/>
      <c r="U423" s="2994"/>
      <c r="V423" s="2994"/>
      <c r="W423" s="2994"/>
      <c r="X423" s="2994"/>
      <c r="Y423" s="2994"/>
      <c r="Z423" s="2994"/>
      <c r="AA423" s="2994"/>
      <c r="AB423" s="2994"/>
      <c r="AC423" s="2994"/>
      <c r="AD423" s="2994"/>
      <c r="AE423" s="2995"/>
      <c r="AF423" s="2995"/>
      <c r="AG423" s="2995"/>
      <c r="AH423" s="2995"/>
      <c r="AI423" s="2995"/>
      <c r="AJ423" s="2995"/>
      <c r="AK423" s="2996"/>
      <c r="AL423" s="2996"/>
      <c r="AM423" s="2996"/>
      <c r="AN423" s="2996"/>
      <c r="AO423" s="2996"/>
      <c r="AP423" s="2996"/>
      <c r="AQ423" s="2996"/>
      <c r="AR423" s="2996"/>
      <c r="AS423" s="2996"/>
      <c r="AT423" s="2996"/>
      <c r="AX423" s="746"/>
    </row>
    <row r="424" ht="14.25" customHeight="1" spans="1:50">
      <c r="A424" s="3039"/>
      <c r="B424" s="708"/>
      <c r="C424" s="2958" t="s">
        <v>6685</v>
      </c>
      <c r="D424" s="2958"/>
      <c r="E424" s="2958"/>
      <c r="F424" s="2958"/>
      <c r="G424" s="2958"/>
      <c r="H424" s="2958"/>
      <c r="I424" s="2958"/>
      <c r="J424" s="2958"/>
      <c r="K424" s="2958"/>
      <c r="L424" s="2958"/>
      <c r="M424" s="2958"/>
      <c r="N424" s="2958"/>
      <c r="O424" s="2958"/>
      <c r="P424" s="2958"/>
      <c r="Q424" s="2958"/>
      <c r="R424" s="2958"/>
      <c r="S424" s="2958"/>
      <c r="T424" s="2958"/>
      <c r="U424" s="2958"/>
      <c r="V424" s="2958"/>
      <c r="W424" s="2958"/>
      <c r="X424" s="2958"/>
      <c r="Y424" s="2958"/>
      <c r="Z424" s="2958"/>
      <c r="AA424" s="2958"/>
      <c r="AB424" s="2958"/>
      <c r="AC424" s="2958"/>
      <c r="AD424" s="2958"/>
      <c r="AE424" s="2958"/>
      <c r="AF424" s="2958"/>
      <c r="AG424" s="2958"/>
      <c r="AH424" s="2958"/>
      <c r="AI424" s="2958"/>
      <c r="AJ424" s="2958"/>
      <c r="AK424" s="2958"/>
      <c r="AL424" s="2958"/>
      <c r="AM424" s="2958"/>
      <c r="AN424" s="2958"/>
      <c r="AO424" s="2958"/>
      <c r="AP424" s="2958"/>
      <c r="AQ424" s="2958"/>
      <c r="AR424" s="2958"/>
      <c r="AS424" s="2958"/>
      <c r="AT424" s="2958"/>
      <c r="AU424" s="2958"/>
      <c r="AV424" s="2958"/>
      <c r="AW424" s="2958"/>
      <c r="AX424" s="2959"/>
    </row>
    <row r="425" s="689" customFormat="1" customHeight="1" spans="1:50">
      <c r="A425" s="773"/>
      <c r="C425" s="2961"/>
      <c r="D425" s="2961"/>
      <c r="E425" s="2961"/>
      <c r="F425" s="2961"/>
      <c r="G425" s="2961"/>
      <c r="H425" s="2961"/>
      <c r="I425" s="2961"/>
      <c r="J425" s="2961"/>
      <c r="K425" s="2961"/>
      <c r="L425" s="2961"/>
      <c r="M425" s="2961"/>
      <c r="N425" s="2961"/>
      <c r="O425" s="2961"/>
      <c r="P425" s="2961"/>
      <c r="Q425" s="2961"/>
      <c r="R425" s="2961"/>
      <c r="S425" s="2961"/>
      <c r="T425" s="2961"/>
      <c r="U425" s="2961"/>
      <c r="V425" s="2961"/>
      <c r="W425" s="2961"/>
      <c r="X425" s="2961"/>
      <c r="Y425" s="2961"/>
      <c r="Z425" s="2961"/>
      <c r="AA425" s="2961"/>
      <c r="AB425" s="2961"/>
      <c r="AC425" s="2961"/>
      <c r="AD425" s="2961"/>
      <c r="AE425" s="2961"/>
      <c r="AF425" s="2961"/>
      <c r="AG425" s="2961"/>
      <c r="AH425" s="2961"/>
      <c r="AI425" s="2961"/>
      <c r="AJ425" s="2961"/>
      <c r="AK425" s="2961"/>
      <c r="AL425" s="2961"/>
      <c r="AM425" s="2961"/>
      <c r="AN425" s="2961"/>
      <c r="AO425" s="2961"/>
      <c r="AP425" s="2961"/>
      <c r="AQ425" s="2961"/>
      <c r="AR425" s="2961"/>
      <c r="AS425" s="2961"/>
      <c r="AT425" s="2961"/>
      <c r="AU425" s="2961"/>
      <c r="AV425" s="2961"/>
      <c r="AW425" s="2961"/>
      <c r="AX425" s="2962"/>
    </row>
    <row r="426" s="689" customFormat="1" ht="12.75" customHeight="1" spans="1:50">
      <c r="A426" s="773"/>
      <c r="B426" s="3009" t="str">
        <f>Text!B11</f>
        <v>Odgovorno lice</v>
      </c>
      <c r="C426" s="3010"/>
      <c r="D426" s="690"/>
      <c r="E426" s="690"/>
      <c r="F426" s="690"/>
      <c r="G426" s="690"/>
      <c r="H426" s="690"/>
      <c r="I426" s="690"/>
      <c r="J426" s="690"/>
      <c r="K426" s="690"/>
      <c r="L426" s="690"/>
      <c r="M426" s="690"/>
      <c r="N426" s="690"/>
      <c r="O426" s="690"/>
      <c r="P426" s="690"/>
      <c r="Q426" s="690"/>
      <c r="R426" s="690"/>
      <c r="S426" s="690"/>
      <c r="T426" s="690"/>
      <c r="U426" s="690"/>
      <c r="V426" s="690"/>
      <c r="W426" s="690"/>
      <c r="X426" s="690"/>
      <c r="Y426" s="690"/>
      <c r="Z426" s="690"/>
      <c r="AA426" s="3009" t="s">
        <v>6551</v>
      </c>
      <c r="AB426" s="3010"/>
      <c r="AC426" s="690"/>
      <c r="AD426" s="690"/>
      <c r="AE426" s="690"/>
      <c r="AF426" s="690"/>
      <c r="AG426" s="690"/>
      <c r="AH426" s="690"/>
      <c r="AI426" s="690"/>
      <c r="AJ426" s="690"/>
      <c r="AK426" s="690"/>
      <c r="AL426" s="690"/>
      <c r="AM426" s="690"/>
      <c r="AN426" s="690"/>
      <c r="AO426" s="690"/>
      <c r="AP426" s="690"/>
      <c r="AQ426" s="690"/>
      <c r="AR426" s="690"/>
      <c r="AS426" s="690"/>
      <c r="AT426" s="690"/>
      <c r="AU426" s="690"/>
      <c r="AV426" s="690"/>
      <c r="AW426" s="690"/>
      <c r="AX426" s="712"/>
    </row>
    <row r="427" s="689" customFormat="1" customHeight="1" spans="1:50">
      <c r="A427" s="773"/>
      <c r="B427" s="3011"/>
      <c r="C427" s="3012"/>
      <c r="M427" s="769"/>
      <c r="N427" s="770" t="str">
        <f>UnosPod!AA22&amp;UnosPod!AB22&amp;"."&amp;UnosPod!AC22&amp;UnosPod!AD22+1&amp;"."&amp;UnosPod!AE22&amp;UnosPod!AF22&amp;UnosPod!AG22&amp;UnosPod!AH22&amp;"."</f>
        <v>28.03.2026.</v>
      </c>
      <c r="O427" s="771"/>
      <c r="P427" s="771"/>
      <c r="Q427" s="771"/>
      <c r="R427" s="772"/>
      <c r="S427" s="3013" t="s">
        <v>2539</v>
      </c>
      <c r="T427" s="2961"/>
      <c r="U427" s="2961"/>
      <c r="V427" s="2961"/>
      <c r="W427" s="2961"/>
      <c r="X427" s="2961"/>
      <c r="Y427" s="2961"/>
      <c r="Z427" s="2962"/>
      <c r="AA427" s="3011"/>
      <c r="AB427" s="3012"/>
      <c r="AK427" s="769"/>
      <c r="AL427" s="770" t="str">
        <f>UnosPod!AA22&amp;UnosPod!AB22&amp;"."&amp;UnosPod!AC22&amp;UnosPod!AD22+1&amp;"."&amp;UnosPod!AE22&amp;UnosPod!AF22&amp;UnosPod!AG22&amp;UnosPod!AH22&amp;"."</f>
        <v>28.03.2026.</v>
      </c>
      <c r="AM427" s="771"/>
      <c r="AN427" s="771"/>
      <c r="AO427" s="771"/>
      <c r="AP427" s="772"/>
      <c r="AQ427" s="3014" t="s">
        <v>6552</v>
      </c>
      <c r="AR427" s="3015"/>
      <c r="AS427" s="3015"/>
      <c r="AT427" s="3015"/>
      <c r="AU427" s="3015"/>
      <c r="AV427" s="3015"/>
      <c r="AW427" s="3015"/>
      <c r="AX427" s="3016"/>
    </row>
    <row r="428" s="689" customFormat="1" ht="15" spans="1:50">
      <c r="A428" s="773"/>
      <c r="B428" s="3011"/>
      <c r="C428" s="3012"/>
      <c r="D428" s="774" t="str">
        <f>Direktor</f>
        <v>Nedim Vilogorac</v>
      </c>
      <c r="E428" s="775"/>
      <c r="F428" s="775"/>
      <c r="G428" s="775"/>
      <c r="H428" s="775"/>
      <c r="I428" s="775"/>
      <c r="J428" s="775"/>
      <c r="K428" s="775"/>
      <c r="L428" s="775"/>
      <c r="M428" s="776"/>
      <c r="N428" s="777"/>
      <c r="O428" s="778"/>
      <c r="P428" s="778"/>
      <c r="Q428" s="778"/>
      <c r="R428" s="779"/>
      <c r="S428" s="3017"/>
      <c r="T428" s="3018"/>
      <c r="U428" s="3018"/>
      <c r="V428" s="3018"/>
      <c r="W428" s="3018"/>
      <c r="X428" s="3018"/>
      <c r="Y428" s="3018"/>
      <c r="Z428" s="3019"/>
      <c r="AA428" s="3011"/>
      <c r="AB428" s="3012"/>
      <c r="AC428" s="2938" t="str">
        <f>Racunovoda</f>
        <v>Elvira Žilić</v>
      </c>
      <c r="AD428" s="775"/>
      <c r="AE428" s="775"/>
      <c r="AF428" s="775"/>
      <c r="AG428" s="775"/>
      <c r="AH428" s="775"/>
      <c r="AI428" s="775"/>
      <c r="AJ428" s="775"/>
      <c r="AK428" s="776"/>
      <c r="AL428" s="777"/>
      <c r="AM428" s="778"/>
      <c r="AN428" s="778"/>
      <c r="AO428" s="778"/>
      <c r="AP428" s="779"/>
      <c r="AQ428" s="3020"/>
      <c r="AR428" s="3021"/>
      <c r="AS428" s="3021"/>
      <c r="AT428" s="3021"/>
      <c r="AU428" s="3021"/>
      <c r="AV428" s="3021"/>
      <c r="AW428" s="3021"/>
      <c r="AX428" s="3022"/>
    </row>
    <row r="429" s="689" customFormat="1" spans="1:50">
      <c r="A429" s="773"/>
      <c r="B429" s="3011"/>
      <c r="C429" s="3012"/>
      <c r="D429" s="783" t="s">
        <v>6548</v>
      </c>
      <c r="E429" s="783"/>
      <c r="F429" s="783"/>
      <c r="G429" s="783"/>
      <c r="H429" s="783"/>
      <c r="I429" s="783"/>
      <c r="J429" s="783"/>
      <c r="K429" s="783"/>
      <c r="L429" s="783"/>
      <c r="M429" s="783"/>
      <c r="N429" s="783" t="s">
        <v>6549</v>
      </c>
      <c r="O429" s="783"/>
      <c r="P429" s="783"/>
      <c r="Q429" s="783"/>
      <c r="R429" s="783"/>
      <c r="S429" s="783" t="s">
        <v>6550</v>
      </c>
      <c r="T429" s="783"/>
      <c r="U429" s="783"/>
      <c r="V429" s="783"/>
      <c r="W429" s="783"/>
      <c r="X429" s="783"/>
      <c r="Y429" s="783"/>
      <c r="Z429" s="783"/>
      <c r="AA429" s="3011"/>
      <c r="AB429" s="3012"/>
      <c r="AC429" s="783" t="s">
        <v>6548</v>
      </c>
      <c r="AD429" s="783"/>
      <c r="AE429" s="783"/>
      <c r="AF429" s="783"/>
      <c r="AG429" s="783"/>
      <c r="AH429" s="783"/>
      <c r="AI429" s="783"/>
      <c r="AJ429" s="783"/>
      <c r="AK429" s="783"/>
      <c r="AL429" s="783" t="s">
        <v>6549</v>
      </c>
      <c r="AM429" s="783"/>
      <c r="AN429" s="783"/>
      <c r="AO429" s="783"/>
      <c r="AP429" s="783"/>
      <c r="AQ429" s="783" t="s">
        <v>6550</v>
      </c>
      <c r="AR429" s="783"/>
      <c r="AS429" s="783"/>
      <c r="AT429" s="783"/>
      <c r="AU429" s="783"/>
      <c r="AV429" s="783"/>
      <c r="AW429" s="783"/>
      <c r="AX429" s="784"/>
    </row>
    <row r="430" s="689" customFormat="1" spans="1:50">
      <c r="A430" s="3023"/>
      <c r="B430" s="3024"/>
      <c r="C430" s="3025"/>
      <c r="D430" s="797"/>
      <c r="E430" s="797"/>
      <c r="F430" s="797"/>
      <c r="G430" s="797"/>
      <c r="H430" s="797"/>
      <c r="I430" s="797"/>
      <c r="J430" s="797"/>
      <c r="K430" s="797"/>
      <c r="L430" s="797"/>
      <c r="M430" s="797"/>
      <c r="N430" s="797"/>
      <c r="O430" s="797"/>
      <c r="P430" s="797"/>
      <c r="Q430" s="797"/>
      <c r="R430" s="797"/>
      <c r="S430" s="797"/>
      <c r="T430" s="797"/>
      <c r="U430" s="797"/>
      <c r="V430" s="797"/>
      <c r="W430" s="797"/>
      <c r="X430" s="797"/>
      <c r="Y430" s="797"/>
      <c r="Z430" s="797"/>
      <c r="AA430" s="3024"/>
      <c r="AB430" s="3025"/>
      <c r="AC430" s="797"/>
      <c r="AD430" s="797"/>
      <c r="AE430" s="797"/>
      <c r="AF430" s="797"/>
      <c r="AG430" s="797"/>
      <c r="AH430" s="797"/>
      <c r="AI430" s="797"/>
      <c r="AJ430" s="797"/>
      <c r="AK430" s="797"/>
      <c r="AL430" s="797"/>
      <c r="AM430" s="797"/>
      <c r="AN430" s="797"/>
      <c r="AO430" s="797"/>
      <c r="AP430" s="797"/>
      <c r="AQ430" s="797"/>
      <c r="AR430" s="797"/>
      <c r="AS430" s="797"/>
      <c r="AT430" s="797"/>
      <c r="AU430" s="797"/>
      <c r="AV430" s="797"/>
      <c r="AW430" s="797"/>
      <c r="AX430" s="798"/>
    </row>
    <row r="431" spans="1:50">
      <c r="A431" s="708"/>
      <c r="B431" s="708"/>
      <c r="C431" s="708"/>
      <c r="D431" s="708"/>
      <c r="E431" s="708"/>
      <c r="F431" s="708"/>
      <c r="G431" s="708"/>
      <c r="H431" s="708"/>
      <c r="I431" s="708"/>
      <c r="J431" s="708"/>
      <c r="K431" s="708"/>
      <c r="L431" s="708"/>
      <c r="M431" s="708"/>
      <c r="N431" s="708"/>
      <c r="O431" s="708"/>
      <c r="P431" s="708"/>
      <c r="Q431" s="708"/>
      <c r="R431" s="708"/>
      <c r="S431" s="708"/>
      <c r="T431" s="708"/>
      <c r="U431" s="708"/>
      <c r="V431" s="708"/>
      <c r="W431" s="708"/>
      <c r="X431" s="708"/>
      <c r="Y431" s="708"/>
      <c r="Z431" s="708"/>
      <c r="AA431" s="708"/>
      <c r="AB431" s="708"/>
      <c r="AC431" s="708"/>
      <c r="AD431" s="708"/>
      <c r="AE431" s="708"/>
      <c r="AF431" s="708"/>
      <c r="AG431" s="708"/>
      <c r="AH431" s="708"/>
      <c r="AI431" s="708"/>
      <c r="AJ431" s="708"/>
      <c r="AK431" s="708"/>
      <c r="AL431" s="708"/>
      <c r="AM431" s="708"/>
      <c r="AN431" s="708"/>
      <c r="AO431" s="708"/>
      <c r="AP431" s="708"/>
      <c r="AQ431" s="708"/>
      <c r="AR431" s="708"/>
      <c r="AS431" s="708"/>
      <c r="AT431" s="708"/>
      <c r="AU431" s="708"/>
      <c r="AV431" s="708"/>
      <c r="AW431" s="708"/>
      <c r="AX431" s="708"/>
    </row>
    <row r="435" customHeight="1"/>
  </sheetData>
  <mergeCells count="2861">
    <mergeCell ref="A1:K1"/>
    <mergeCell ref="R1:AM1"/>
    <mergeCell ref="AN1:AX1"/>
    <mergeCell ref="A2:K2"/>
    <mergeCell ref="A3:K3"/>
    <mergeCell ref="A4:K4"/>
    <mergeCell ref="A5:K5"/>
    <mergeCell ref="A6:K6"/>
    <mergeCell ref="A7:AX7"/>
    <mergeCell ref="A9:M9"/>
    <mergeCell ref="P9:Q9"/>
    <mergeCell ref="R9:S9"/>
    <mergeCell ref="T9:W9"/>
    <mergeCell ref="X9:AC9"/>
    <mergeCell ref="AD9:AE9"/>
    <mergeCell ref="AF9:AG9"/>
    <mergeCell ref="AH9:AK9"/>
    <mergeCell ref="C12:M12"/>
    <mergeCell ref="N12:T12"/>
    <mergeCell ref="U12:Z12"/>
    <mergeCell ref="AA12:AF12"/>
    <mergeCell ref="AG12:AL12"/>
    <mergeCell ref="AM12:AR12"/>
    <mergeCell ref="AS12:AX12"/>
    <mergeCell ref="C13:M13"/>
    <mergeCell ref="N13:T13"/>
    <mergeCell ref="U13:Z13"/>
    <mergeCell ref="AA13:AF13"/>
    <mergeCell ref="AG13:AL13"/>
    <mergeCell ref="AM13:AR13"/>
    <mergeCell ref="AS13:AX13"/>
    <mergeCell ref="C14:M14"/>
    <mergeCell ref="N14:T14"/>
    <mergeCell ref="U14:Z14"/>
    <mergeCell ref="AA14:AF14"/>
    <mergeCell ref="AG14:AL14"/>
    <mergeCell ref="AM14:AR14"/>
    <mergeCell ref="AS14:AX14"/>
    <mergeCell ref="C15:M15"/>
    <mergeCell ref="N15:T15"/>
    <mergeCell ref="U15:Z15"/>
    <mergeCell ref="AA15:AF15"/>
    <mergeCell ref="AG15:AL15"/>
    <mergeCell ref="AM15:AR15"/>
    <mergeCell ref="AS15:AX15"/>
    <mergeCell ref="C16:M16"/>
    <mergeCell ref="N16:T16"/>
    <mergeCell ref="U16:Z16"/>
    <mergeCell ref="AA16:AF16"/>
    <mergeCell ref="AG16:AL16"/>
    <mergeCell ref="AM16:AR16"/>
    <mergeCell ref="AS16:AX16"/>
    <mergeCell ref="C17:M17"/>
    <mergeCell ref="N17:T17"/>
    <mergeCell ref="U17:Z17"/>
    <mergeCell ref="AA17:AF17"/>
    <mergeCell ref="AG17:AL17"/>
    <mergeCell ref="AM17:AR17"/>
    <mergeCell ref="AS17:AX17"/>
    <mergeCell ref="C18:M18"/>
    <mergeCell ref="N18:T18"/>
    <mergeCell ref="U18:Z18"/>
    <mergeCell ref="AA18:AF18"/>
    <mergeCell ref="AG18:AL18"/>
    <mergeCell ref="AM18:AR18"/>
    <mergeCell ref="AS18:AX18"/>
    <mergeCell ref="C19:M19"/>
    <mergeCell ref="N19:T19"/>
    <mergeCell ref="U19:Z19"/>
    <mergeCell ref="AA19:AF19"/>
    <mergeCell ref="AG19:AL19"/>
    <mergeCell ref="AM19:AR19"/>
    <mergeCell ref="AS19:AX19"/>
    <mergeCell ref="C20:M20"/>
    <mergeCell ref="N20:T20"/>
    <mergeCell ref="U20:Z20"/>
    <mergeCell ref="AA20:AF20"/>
    <mergeCell ref="AG20:AL20"/>
    <mergeCell ref="AM20:AR20"/>
    <mergeCell ref="AS20:AX20"/>
    <mergeCell ref="C21:M21"/>
    <mergeCell ref="N21:T21"/>
    <mergeCell ref="U21:Z21"/>
    <mergeCell ref="AA21:AF21"/>
    <mergeCell ref="AG21:AL21"/>
    <mergeCell ref="AM21:AR21"/>
    <mergeCell ref="AS21:AX21"/>
    <mergeCell ref="C22:M22"/>
    <mergeCell ref="N22:T22"/>
    <mergeCell ref="U22:Z22"/>
    <mergeCell ref="AA22:AF22"/>
    <mergeCell ref="AG22:AL22"/>
    <mergeCell ref="AM22:AR22"/>
    <mergeCell ref="AS22:AX22"/>
    <mergeCell ref="C23:M23"/>
    <mergeCell ref="N23:T23"/>
    <mergeCell ref="U23:Z23"/>
    <mergeCell ref="AA23:AF23"/>
    <mergeCell ref="AG23:AL23"/>
    <mergeCell ref="AM23:AR23"/>
    <mergeCell ref="AS23:AX23"/>
    <mergeCell ref="C24:M24"/>
    <mergeCell ref="N24:T24"/>
    <mergeCell ref="U24:Z24"/>
    <mergeCell ref="AA24:AF24"/>
    <mergeCell ref="AG24:AL24"/>
    <mergeCell ref="AM24:AR24"/>
    <mergeCell ref="AS24:AX24"/>
    <mergeCell ref="C25:M25"/>
    <mergeCell ref="N25:T25"/>
    <mergeCell ref="U25:Z25"/>
    <mergeCell ref="AA25:AF25"/>
    <mergeCell ref="AG25:AL25"/>
    <mergeCell ref="AM25:AR25"/>
    <mergeCell ref="AS25:AX25"/>
    <mergeCell ref="C26:M26"/>
    <mergeCell ref="N26:T26"/>
    <mergeCell ref="U26:Z26"/>
    <mergeCell ref="AA26:AF26"/>
    <mergeCell ref="AG26:AL26"/>
    <mergeCell ref="AM26:AR26"/>
    <mergeCell ref="AS26:AX26"/>
    <mergeCell ref="C27:M27"/>
    <mergeCell ref="N27:T27"/>
    <mergeCell ref="U27:Z27"/>
    <mergeCell ref="AA27:AF27"/>
    <mergeCell ref="AG27:AL27"/>
    <mergeCell ref="AM27:AR27"/>
    <mergeCell ref="AS27:AX27"/>
    <mergeCell ref="C28:M28"/>
    <mergeCell ref="N28:T28"/>
    <mergeCell ref="U28:Z28"/>
    <mergeCell ref="AA28:AF28"/>
    <mergeCell ref="AG28:AL28"/>
    <mergeCell ref="AM28:AR28"/>
    <mergeCell ref="AS28:AX28"/>
    <mergeCell ref="C29:M29"/>
    <mergeCell ref="N29:T29"/>
    <mergeCell ref="U29:Z29"/>
    <mergeCell ref="AA29:AF29"/>
    <mergeCell ref="AG29:AL29"/>
    <mergeCell ref="AM29:AR29"/>
    <mergeCell ref="AS29:AX29"/>
    <mergeCell ref="C30:M30"/>
    <mergeCell ref="N30:T30"/>
    <mergeCell ref="U30:Z30"/>
    <mergeCell ref="AA30:AF30"/>
    <mergeCell ref="AG30:AL30"/>
    <mergeCell ref="AM30:AR30"/>
    <mergeCell ref="AS30:AX30"/>
    <mergeCell ref="C31:M31"/>
    <mergeCell ref="N31:T31"/>
    <mergeCell ref="U31:Z31"/>
    <mergeCell ref="AA31:AF31"/>
    <mergeCell ref="AG31:AL31"/>
    <mergeCell ref="AM31:AR31"/>
    <mergeCell ref="AS31:AX31"/>
    <mergeCell ref="C32:M32"/>
    <mergeCell ref="N32:T32"/>
    <mergeCell ref="U32:Z32"/>
    <mergeCell ref="AA32:AF32"/>
    <mergeCell ref="AG32:AL32"/>
    <mergeCell ref="AM32:AR32"/>
    <mergeCell ref="AS32:AX32"/>
    <mergeCell ref="C33:M33"/>
    <mergeCell ref="N33:T33"/>
    <mergeCell ref="U33:Z33"/>
    <mergeCell ref="AA33:AF33"/>
    <mergeCell ref="AG33:AL33"/>
    <mergeCell ref="AM33:AR33"/>
    <mergeCell ref="AS33:AX33"/>
    <mergeCell ref="C34:M34"/>
    <mergeCell ref="N34:T34"/>
    <mergeCell ref="U34:Z34"/>
    <mergeCell ref="AA34:AF34"/>
    <mergeCell ref="AG34:AL34"/>
    <mergeCell ref="AM34:AR34"/>
    <mergeCell ref="AS34:AX34"/>
    <mergeCell ref="C35:M35"/>
    <mergeCell ref="N35:T35"/>
    <mergeCell ref="U35:Z35"/>
    <mergeCell ref="AA35:AF35"/>
    <mergeCell ref="AG35:AL35"/>
    <mergeCell ref="AM35:AR35"/>
    <mergeCell ref="AS35:AX35"/>
    <mergeCell ref="C36:M36"/>
    <mergeCell ref="N36:T36"/>
    <mergeCell ref="U36:Z36"/>
    <mergeCell ref="AA36:AF36"/>
    <mergeCell ref="AG36:AL36"/>
    <mergeCell ref="AM36:AR36"/>
    <mergeCell ref="AS36:AX36"/>
    <mergeCell ref="C37:M37"/>
    <mergeCell ref="N37:T37"/>
    <mergeCell ref="U37:Z37"/>
    <mergeCell ref="AA37:AF37"/>
    <mergeCell ref="AG37:AL37"/>
    <mergeCell ref="AM37:AR37"/>
    <mergeCell ref="AS37:AX37"/>
    <mergeCell ref="C38:M38"/>
    <mergeCell ref="N38:T38"/>
    <mergeCell ref="U38:Z38"/>
    <mergeCell ref="AA38:AF38"/>
    <mergeCell ref="AG38:AL38"/>
    <mergeCell ref="AM38:AR38"/>
    <mergeCell ref="AS38:AX38"/>
    <mergeCell ref="C39:M39"/>
    <mergeCell ref="N39:T39"/>
    <mergeCell ref="U39:Z39"/>
    <mergeCell ref="AA39:AF39"/>
    <mergeCell ref="AG39:AL39"/>
    <mergeCell ref="AM39:AR39"/>
    <mergeCell ref="AS39:AX39"/>
    <mergeCell ref="C40:M40"/>
    <mergeCell ref="N40:T40"/>
    <mergeCell ref="U40:Z40"/>
    <mergeCell ref="AA40:AF40"/>
    <mergeCell ref="AG40:AL40"/>
    <mergeCell ref="AM40:AR40"/>
    <mergeCell ref="AS40:AX40"/>
    <mergeCell ref="C41:M41"/>
    <mergeCell ref="N41:T41"/>
    <mergeCell ref="U41:Z41"/>
    <mergeCell ref="AA41:AF41"/>
    <mergeCell ref="AG41:AL41"/>
    <mergeCell ref="AM41:AR41"/>
    <mergeCell ref="AS41:AX41"/>
    <mergeCell ref="C42:M42"/>
    <mergeCell ref="N42:T42"/>
    <mergeCell ref="U42:Z42"/>
    <mergeCell ref="AA42:AF42"/>
    <mergeCell ref="AG42:AL42"/>
    <mergeCell ref="AM42:AR42"/>
    <mergeCell ref="AS42:AX42"/>
    <mergeCell ref="C43:M43"/>
    <mergeCell ref="N43:T43"/>
    <mergeCell ref="U43:Z43"/>
    <mergeCell ref="AA43:AF43"/>
    <mergeCell ref="AG43:AL43"/>
    <mergeCell ref="AM43:AR43"/>
    <mergeCell ref="AS43:AX43"/>
    <mergeCell ref="C44:M44"/>
    <mergeCell ref="N44:T44"/>
    <mergeCell ref="U44:Z44"/>
    <mergeCell ref="AA44:AF44"/>
    <mergeCell ref="AG44:AL44"/>
    <mergeCell ref="AM44:AR44"/>
    <mergeCell ref="AS44:AX44"/>
    <mergeCell ref="C45:M45"/>
    <mergeCell ref="N45:T45"/>
    <mergeCell ref="U45:Z45"/>
    <mergeCell ref="AA45:AF45"/>
    <mergeCell ref="AG45:AL45"/>
    <mergeCell ref="AM45:AR45"/>
    <mergeCell ref="AS45:AX45"/>
    <mergeCell ref="C46:M46"/>
    <mergeCell ref="N46:T46"/>
    <mergeCell ref="U46:Z46"/>
    <mergeCell ref="AA46:AF46"/>
    <mergeCell ref="AG46:AL46"/>
    <mergeCell ref="AM46:AR46"/>
    <mergeCell ref="AS46:AX46"/>
    <mergeCell ref="C47:M47"/>
    <mergeCell ref="N47:T47"/>
    <mergeCell ref="U47:Z47"/>
    <mergeCell ref="AA47:AF47"/>
    <mergeCell ref="AG47:AL47"/>
    <mergeCell ref="AM47:AR47"/>
    <mergeCell ref="AS47:AX47"/>
    <mergeCell ref="C48:M48"/>
    <mergeCell ref="N48:T48"/>
    <mergeCell ref="U48:Z48"/>
    <mergeCell ref="AA48:AF48"/>
    <mergeCell ref="AG48:AL48"/>
    <mergeCell ref="AM48:AR48"/>
    <mergeCell ref="AS48:AX48"/>
    <mergeCell ref="C49:M49"/>
    <mergeCell ref="N49:T49"/>
    <mergeCell ref="U49:Z49"/>
    <mergeCell ref="AA49:AF49"/>
    <mergeCell ref="AG49:AL49"/>
    <mergeCell ref="AM49:AR49"/>
    <mergeCell ref="AS49:AX49"/>
    <mergeCell ref="C50:M50"/>
    <mergeCell ref="N50:T50"/>
    <mergeCell ref="U50:Z50"/>
    <mergeCell ref="AA50:AF50"/>
    <mergeCell ref="AG50:AL50"/>
    <mergeCell ref="AM50:AR50"/>
    <mergeCell ref="AS50:AX50"/>
    <mergeCell ref="C51:M51"/>
    <mergeCell ref="N51:T51"/>
    <mergeCell ref="U51:Z51"/>
    <mergeCell ref="AA51:AF51"/>
    <mergeCell ref="AG51:AL51"/>
    <mergeCell ref="AM51:AR51"/>
    <mergeCell ref="AS51:AX51"/>
    <mergeCell ref="C52:M52"/>
    <mergeCell ref="N52:T52"/>
    <mergeCell ref="U52:Z52"/>
    <mergeCell ref="AA52:AF52"/>
    <mergeCell ref="AG52:AL52"/>
    <mergeCell ref="AM52:AR52"/>
    <mergeCell ref="AS52:AX52"/>
    <mergeCell ref="C53:M53"/>
    <mergeCell ref="N53:T53"/>
    <mergeCell ref="U53:Z53"/>
    <mergeCell ref="AA53:AF53"/>
    <mergeCell ref="AG53:AL53"/>
    <mergeCell ref="AM53:AR53"/>
    <mergeCell ref="AS53:AX53"/>
    <mergeCell ref="C54:M54"/>
    <mergeCell ref="N54:T54"/>
    <mergeCell ref="U54:Z54"/>
    <mergeCell ref="AA54:AF54"/>
    <mergeCell ref="AG54:AL54"/>
    <mergeCell ref="AM54:AR54"/>
    <mergeCell ref="AS54:AX54"/>
    <mergeCell ref="C55:M55"/>
    <mergeCell ref="N55:T55"/>
    <mergeCell ref="U55:Z55"/>
    <mergeCell ref="AA55:AF55"/>
    <mergeCell ref="AG55:AL55"/>
    <mergeCell ref="AM55:AR55"/>
    <mergeCell ref="AS55:AX55"/>
    <mergeCell ref="C56:M56"/>
    <mergeCell ref="N56:T56"/>
    <mergeCell ref="U56:Z56"/>
    <mergeCell ref="AA56:AF56"/>
    <mergeCell ref="AG56:AL56"/>
    <mergeCell ref="AM56:AR56"/>
    <mergeCell ref="AS56:AX56"/>
    <mergeCell ref="C57:M57"/>
    <mergeCell ref="N57:T57"/>
    <mergeCell ref="U57:Z57"/>
    <mergeCell ref="AA57:AF57"/>
    <mergeCell ref="AG57:AL57"/>
    <mergeCell ref="AM57:AR57"/>
    <mergeCell ref="AS57:AX57"/>
    <mergeCell ref="C58:M58"/>
    <mergeCell ref="N58:T58"/>
    <mergeCell ref="U58:Z58"/>
    <mergeCell ref="AA58:AF58"/>
    <mergeCell ref="AG58:AL58"/>
    <mergeCell ref="AM58:AR58"/>
    <mergeCell ref="AS58:AX58"/>
    <mergeCell ref="C59:M59"/>
    <mergeCell ref="N59:T59"/>
    <mergeCell ref="U59:Z59"/>
    <mergeCell ref="AA59:AF59"/>
    <mergeCell ref="AG59:AL59"/>
    <mergeCell ref="AM59:AR59"/>
    <mergeCell ref="AS59:AX59"/>
    <mergeCell ref="C60:M60"/>
    <mergeCell ref="N60:T60"/>
    <mergeCell ref="U60:Z60"/>
    <mergeCell ref="AA60:AF60"/>
    <mergeCell ref="AG60:AL60"/>
    <mergeCell ref="AM60:AR60"/>
    <mergeCell ref="AS60:AX60"/>
    <mergeCell ref="C61:M61"/>
    <mergeCell ref="N61:T61"/>
    <mergeCell ref="U61:Z61"/>
    <mergeCell ref="AA61:AF61"/>
    <mergeCell ref="AG61:AL61"/>
    <mergeCell ref="AM61:AR61"/>
    <mergeCell ref="AS61:AX61"/>
    <mergeCell ref="C62:M62"/>
    <mergeCell ref="N62:T62"/>
    <mergeCell ref="U62:Z62"/>
    <mergeCell ref="AA62:AF62"/>
    <mergeCell ref="AG62:AL62"/>
    <mergeCell ref="AM62:AR62"/>
    <mergeCell ref="AS62:AX62"/>
    <mergeCell ref="C63:M63"/>
    <mergeCell ref="N63:T63"/>
    <mergeCell ref="U63:Z63"/>
    <mergeCell ref="AA63:AF63"/>
    <mergeCell ref="AG63:AL63"/>
    <mergeCell ref="AM63:AR63"/>
    <mergeCell ref="AS63:AX63"/>
    <mergeCell ref="C64:M64"/>
    <mergeCell ref="N64:T64"/>
    <mergeCell ref="U64:Z64"/>
    <mergeCell ref="AA64:AF64"/>
    <mergeCell ref="AG64:AL64"/>
    <mergeCell ref="AM64:AR64"/>
    <mergeCell ref="AS64:AX64"/>
    <mergeCell ref="C65:M65"/>
    <mergeCell ref="N65:T65"/>
    <mergeCell ref="U65:Z65"/>
    <mergeCell ref="AA65:AF65"/>
    <mergeCell ref="AG65:AL65"/>
    <mergeCell ref="AM65:AR65"/>
    <mergeCell ref="AS65:AX65"/>
    <mergeCell ref="C66:M66"/>
    <mergeCell ref="N66:T66"/>
    <mergeCell ref="U66:Z66"/>
    <mergeCell ref="AA66:AF66"/>
    <mergeCell ref="AG66:AL66"/>
    <mergeCell ref="AM66:AR66"/>
    <mergeCell ref="AS66:AX66"/>
    <mergeCell ref="C67:M67"/>
    <mergeCell ref="N67:T67"/>
    <mergeCell ref="U67:Z67"/>
    <mergeCell ref="AA67:AF67"/>
    <mergeCell ref="AG67:AL67"/>
    <mergeCell ref="AM67:AR67"/>
    <mergeCell ref="AS67:AX67"/>
    <mergeCell ref="C68:M68"/>
    <mergeCell ref="N68:T68"/>
    <mergeCell ref="U68:Z68"/>
    <mergeCell ref="AA68:AF68"/>
    <mergeCell ref="AG68:AL68"/>
    <mergeCell ref="AM68:AR68"/>
    <mergeCell ref="AS68:AX68"/>
    <mergeCell ref="C69:M69"/>
    <mergeCell ref="N69:T69"/>
    <mergeCell ref="U69:Z69"/>
    <mergeCell ref="AA69:AF69"/>
    <mergeCell ref="AG69:AL69"/>
    <mergeCell ref="AM69:AR69"/>
    <mergeCell ref="AS69:AX69"/>
    <mergeCell ref="C70:M70"/>
    <mergeCell ref="N70:T70"/>
    <mergeCell ref="U70:Z70"/>
    <mergeCell ref="AA70:AF70"/>
    <mergeCell ref="AG70:AL70"/>
    <mergeCell ref="AM70:AR70"/>
    <mergeCell ref="AS70:AX70"/>
    <mergeCell ref="C71:M71"/>
    <mergeCell ref="N71:T71"/>
    <mergeCell ref="U71:Z71"/>
    <mergeCell ref="AA71:AF71"/>
    <mergeCell ref="AG71:AL71"/>
    <mergeCell ref="AM71:AR71"/>
    <mergeCell ref="AS71:AX71"/>
    <mergeCell ref="C72:M72"/>
    <mergeCell ref="N72:T72"/>
    <mergeCell ref="U72:Z72"/>
    <mergeCell ref="AA72:AF72"/>
    <mergeCell ref="AG72:AL72"/>
    <mergeCell ref="AM72:AR72"/>
    <mergeCell ref="AS72:AX72"/>
    <mergeCell ref="C73:M73"/>
    <mergeCell ref="N73:T73"/>
    <mergeCell ref="U73:Z73"/>
    <mergeCell ref="AA73:AF73"/>
    <mergeCell ref="AG73:AL73"/>
    <mergeCell ref="AM73:AR73"/>
    <mergeCell ref="AS73:AX73"/>
    <mergeCell ref="C74:M74"/>
    <mergeCell ref="N74:T74"/>
    <mergeCell ref="U74:Z74"/>
    <mergeCell ref="AA74:AF74"/>
    <mergeCell ref="AG74:AL74"/>
    <mergeCell ref="AM74:AR74"/>
    <mergeCell ref="AS74:AX74"/>
    <mergeCell ref="C75:M75"/>
    <mergeCell ref="N75:T75"/>
    <mergeCell ref="U75:Z75"/>
    <mergeCell ref="AA75:AF75"/>
    <mergeCell ref="AG75:AL75"/>
    <mergeCell ref="AM75:AR75"/>
    <mergeCell ref="AS75:AX75"/>
    <mergeCell ref="C76:M76"/>
    <mergeCell ref="N76:T76"/>
    <mergeCell ref="U76:Z76"/>
    <mergeCell ref="AA76:AF76"/>
    <mergeCell ref="AG76:AL76"/>
    <mergeCell ref="AM76:AR76"/>
    <mergeCell ref="AS76:AX76"/>
    <mergeCell ref="C77:M77"/>
    <mergeCell ref="N77:T77"/>
    <mergeCell ref="U77:Z77"/>
    <mergeCell ref="AA77:AF77"/>
    <mergeCell ref="AG77:AL77"/>
    <mergeCell ref="AM77:AR77"/>
    <mergeCell ref="AS77:AX77"/>
    <mergeCell ref="C78:M78"/>
    <mergeCell ref="N78:T78"/>
    <mergeCell ref="U78:Z78"/>
    <mergeCell ref="AA78:AF78"/>
    <mergeCell ref="AG78:AL78"/>
    <mergeCell ref="AM78:AR78"/>
    <mergeCell ref="AS78:AX78"/>
    <mergeCell ref="C79:M79"/>
    <mergeCell ref="N79:T79"/>
    <mergeCell ref="U79:Z79"/>
    <mergeCell ref="AA79:AF79"/>
    <mergeCell ref="AG79:AL79"/>
    <mergeCell ref="AM79:AR79"/>
    <mergeCell ref="AS79:AX79"/>
    <mergeCell ref="C80:M80"/>
    <mergeCell ref="N80:T80"/>
    <mergeCell ref="U80:Z80"/>
    <mergeCell ref="AA80:AF80"/>
    <mergeCell ref="AG80:AL80"/>
    <mergeCell ref="AM80:AR80"/>
    <mergeCell ref="AS80:AX80"/>
    <mergeCell ref="C81:M81"/>
    <mergeCell ref="N81:T81"/>
    <mergeCell ref="U81:Z81"/>
    <mergeCell ref="AA81:AF81"/>
    <mergeCell ref="AG81:AL81"/>
    <mergeCell ref="AM81:AR81"/>
    <mergeCell ref="AS81:AX81"/>
    <mergeCell ref="C82:M82"/>
    <mergeCell ref="N82:T82"/>
    <mergeCell ref="U82:Z82"/>
    <mergeCell ref="AA82:AF82"/>
    <mergeCell ref="AG82:AL82"/>
    <mergeCell ref="AM82:AR82"/>
    <mergeCell ref="AS82:AX82"/>
    <mergeCell ref="C83:M83"/>
    <mergeCell ref="N83:T83"/>
    <mergeCell ref="U83:Z83"/>
    <mergeCell ref="AA83:AF83"/>
    <mergeCell ref="AG83:AL83"/>
    <mergeCell ref="AM83:AR83"/>
    <mergeCell ref="AS83:AX83"/>
    <mergeCell ref="C84:M84"/>
    <mergeCell ref="N84:T84"/>
    <mergeCell ref="U84:Z84"/>
    <mergeCell ref="AA84:AF84"/>
    <mergeCell ref="AG84:AL84"/>
    <mergeCell ref="AM84:AR84"/>
    <mergeCell ref="AS84:AX84"/>
    <mergeCell ref="C85:M85"/>
    <mergeCell ref="N85:T85"/>
    <mergeCell ref="U85:Z85"/>
    <mergeCell ref="AA85:AF85"/>
    <mergeCell ref="AG85:AL85"/>
    <mergeCell ref="AM85:AR85"/>
    <mergeCell ref="AS85:AX85"/>
    <mergeCell ref="C86:M86"/>
    <mergeCell ref="N86:T86"/>
    <mergeCell ref="U86:Z86"/>
    <mergeCell ref="AA86:AF86"/>
    <mergeCell ref="AG86:AL86"/>
    <mergeCell ref="AM86:AR86"/>
    <mergeCell ref="AS86:AX86"/>
    <mergeCell ref="C87:M87"/>
    <mergeCell ref="N87:T87"/>
    <mergeCell ref="U87:Z87"/>
    <mergeCell ref="AA87:AF87"/>
    <mergeCell ref="AG87:AL87"/>
    <mergeCell ref="AM87:AR87"/>
    <mergeCell ref="AS87:AX87"/>
    <mergeCell ref="C88:M88"/>
    <mergeCell ref="N88:T88"/>
    <mergeCell ref="U88:Z88"/>
    <mergeCell ref="AA88:AF88"/>
    <mergeCell ref="AG88:AL88"/>
    <mergeCell ref="AM88:AR88"/>
    <mergeCell ref="AS88:AX88"/>
    <mergeCell ref="C89:M89"/>
    <mergeCell ref="N89:T89"/>
    <mergeCell ref="U89:Z89"/>
    <mergeCell ref="AA89:AF89"/>
    <mergeCell ref="AG89:AL89"/>
    <mergeCell ref="AM89:AR89"/>
    <mergeCell ref="AS89:AX89"/>
    <mergeCell ref="C90:M90"/>
    <mergeCell ref="N90:T90"/>
    <mergeCell ref="U90:Z90"/>
    <mergeCell ref="AA90:AF90"/>
    <mergeCell ref="AG90:AL90"/>
    <mergeCell ref="AM90:AR90"/>
    <mergeCell ref="AS90:AX90"/>
    <mergeCell ref="C91:M91"/>
    <mergeCell ref="N91:T91"/>
    <mergeCell ref="U91:Z91"/>
    <mergeCell ref="AA91:AF91"/>
    <mergeCell ref="AG91:AL91"/>
    <mergeCell ref="AM91:AR91"/>
    <mergeCell ref="AS91:AX91"/>
    <mergeCell ref="C92:M92"/>
    <mergeCell ref="N92:T92"/>
    <mergeCell ref="U92:Z92"/>
    <mergeCell ref="AA92:AF92"/>
    <mergeCell ref="AG92:AL92"/>
    <mergeCell ref="AM92:AR92"/>
    <mergeCell ref="AS92:AX92"/>
    <mergeCell ref="C93:M93"/>
    <mergeCell ref="N93:T93"/>
    <mergeCell ref="U93:Z93"/>
    <mergeCell ref="AA93:AF93"/>
    <mergeCell ref="AG93:AL93"/>
    <mergeCell ref="AM93:AR93"/>
    <mergeCell ref="AS93:AX93"/>
    <mergeCell ref="C94:M94"/>
    <mergeCell ref="N94:T94"/>
    <mergeCell ref="U94:Z94"/>
    <mergeCell ref="AA94:AF94"/>
    <mergeCell ref="AG94:AL94"/>
    <mergeCell ref="AM94:AR94"/>
    <mergeCell ref="AS94:AX94"/>
    <mergeCell ref="C95:M95"/>
    <mergeCell ref="N95:T95"/>
    <mergeCell ref="U95:Z95"/>
    <mergeCell ref="AA95:AF95"/>
    <mergeCell ref="AG95:AL95"/>
    <mergeCell ref="AM95:AR95"/>
    <mergeCell ref="AS95:AX95"/>
    <mergeCell ref="C96:M96"/>
    <mergeCell ref="N96:T96"/>
    <mergeCell ref="U96:Z96"/>
    <mergeCell ref="AA96:AF96"/>
    <mergeCell ref="AG96:AL96"/>
    <mergeCell ref="AM96:AR96"/>
    <mergeCell ref="AS96:AX96"/>
    <mergeCell ref="C97:M97"/>
    <mergeCell ref="N97:T97"/>
    <mergeCell ref="U97:Z97"/>
    <mergeCell ref="AA97:AF97"/>
    <mergeCell ref="AG97:AL97"/>
    <mergeCell ref="AM97:AR97"/>
    <mergeCell ref="AS97:AX97"/>
    <mergeCell ref="C98:M98"/>
    <mergeCell ref="N98:T98"/>
    <mergeCell ref="U98:Z98"/>
    <mergeCell ref="AA98:AF98"/>
    <mergeCell ref="AG98:AL98"/>
    <mergeCell ref="AM98:AR98"/>
    <mergeCell ref="AS98:AX98"/>
    <mergeCell ref="C99:M99"/>
    <mergeCell ref="N99:T99"/>
    <mergeCell ref="U99:Z99"/>
    <mergeCell ref="AA99:AF99"/>
    <mergeCell ref="AG99:AL99"/>
    <mergeCell ref="AM99:AR99"/>
    <mergeCell ref="AS99:AX99"/>
    <mergeCell ref="C100:M100"/>
    <mergeCell ref="N100:T100"/>
    <mergeCell ref="U100:Z100"/>
    <mergeCell ref="AA100:AF100"/>
    <mergeCell ref="AG100:AL100"/>
    <mergeCell ref="AM100:AR100"/>
    <mergeCell ref="AS100:AX100"/>
    <mergeCell ref="C101:M101"/>
    <mergeCell ref="N101:T101"/>
    <mergeCell ref="U101:Z101"/>
    <mergeCell ref="AA101:AF101"/>
    <mergeCell ref="AG101:AL101"/>
    <mergeCell ref="AM101:AR101"/>
    <mergeCell ref="AS101:AX101"/>
    <mergeCell ref="C102:M102"/>
    <mergeCell ref="N102:T102"/>
    <mergeCell ref="U102:Z102"/>
    <mergeCell ref="AA102:AF102"/>
    <mergeCell ref="AG102:AL102"/>
    <mergeCell ref="AM102:AR102"/>
    <mergeCell ref="AS102:AX102"/>
    <mergeCell ref="C103:M103"/>
    <mergeCell ref="N103:T103"/>
    <mergeCell ref="U103:Z103"/>
    <mergeCell ref="AA103:AF103"/>
    <mergeCell ref="AG103:AL103"/>
    <mergeCell ref="AM103:AR103"/>
    <mergeCell ref="AS103:AX103"/>
    <mergeCell ref="C104:M104"/>
    <mergeCell ref="N104:T104"/>
    <mergeCell ref="U104:Z104"/>
    <mergeCell ref="AA104:AF104"/>
    <mergeCell ref="AG104:AL104"/>
    <mergeCell ref="AM104:AR104"/>
    <mergeCell ref="AS104:AX104"/>
    <mergeCell ref="C105:M105"/>
    <mergeCell ref="N105:T105"/>
    <mergeCell ref="U105:Z105"/>
    <mergeCell ref="AA105:AF105"/>
    <mergeCell ref="AG105:AL105"/>
    <mergeCell ref="AM105:AR105"/>
    <mergeCell ref="AS105:AX105"/>
    <mergeCell ref="C106:M106"/>
    <mergeCell ref="N106:T106"/>
    <mergeCell ref="U106:Z106"/>
    <mergeCell ref="AA106:AF106"/>
    <mergeCell ref="AG106:AL106"/>
    <mergeCell ref="AM106:AR106"/>
    <mergeCell ref="AS106:AX106"/>
    <mergeCell ref="C107:M107"/>
    <mergeCell ref="N107:T107"/>
    <mergeCell ref="U107:Z107"/>
    <mergeCell ref="AA107:AF107"/>
    <mergeCell ref="AG107:AL107"/>
    <mergeCell ref="AM107:AR107"/>
    <mergeCell ref="AS107:AX107"/>
    <mergeCell ref="C108:M108"/>
    <mergeCell ref="N108:T108"/>
    <mergeCell ref="U108:Z108"/>
    <mergeCell ref="AA108:AF108"/>
    <mergeCell ref="AG108:AL108"/>
    <mergeCell ref="AM108:AR108"/>
    <mergeCell ref="AS108:AX108"/>
    <mergeCell ref="C109:M109"/>
    <mergeCell ref="N109:T109"/>
    <mergeCell ref="U109:Z109"/>
    <mergeCell ref="AA109:AF109"/>
    <mergeCell ref="AG109:AL109"/>
    <mergeCell ref="AM109:AR109"/>
    <mergeCell ref="AS109:AX109"/>
    <mergeCell ref="C110:M110"/>
    <mergeCell ref="N110:T110"/>
    <mergeCell ref="U110:Z110"/>
    <mergeCell ref="AA110:AF110"/>
    <mergeCell ref="AG110:AL110"/>
    <mergeCell ref="AM110:AR110"/>
    <mergeCell ref="AS110:AX110"/>
    <mergeCell ref="C111:M111"/>
    <mergeCell ref="N111:T111"/>
    <mergeCell ref="U111:Z111"/>
    <mergeCell ref="AA111:AF111"/>
    <mergeCell ref="AG111:AL111"/>
    <mergeCell ref="AM111:AR111"/>
    <mergeCell ref="AS111:AX111"/>
    <mergeCell ref="C112:M112"/>
    <mergeCell ref="N112:T112"/>
    <mergeCell ref="U112:Z112"/>
    <mergeCell ref="AA112:AF112"/>
    <mergeCell ref="AG112:AL112"/>
    <mergeCell ref="AM112:AR112"/>
    <mergeCell ref="AS112:AX112"/>
    <mergeCell ref="C113:M113"/>
    <mergeCell ref="N113:T113"/>
    <mergeCell ref="U113:Z113"/>
    <mergeCell ref="AA113:AF113"/>
    <mergeCell ref="AG113:AL113"/>
    <mergeCell ref="AM113:AR113"/>
    <mergeCell ref="AS113:AX113"/>
    <mergeCell ref="C114:M114"/>
    <mergeCell ref="N114:T114"/>
    <mergeCell ref="U114:Z114"/>
    <mergeCell ref="AA114:AF114"/>
    <mergeCell ref="AG114:AL114"/>
    <mergeCell ref="AM114:AR114"/>
    <mergeCell ref="AS114:AX114"/>
    <mergeCell ref="C115:M115"/>
    <mergeCell ref="N115:T115"/>
    <mergeCell ref="U115:Z115"/>
    <mergeCell ref="AA115:AF115"/>
    <mergeCell ref="AG115:AL115"/>
    <mergeCell ref="AM115:AR115"/>
    <mergeCell ref="AS115:AX115"/>
    <mergeCell ref="C116:M116"/>
    <mergeCell ref="N116:T116"/>
    <mergeCell ref="U116:Z116"/>
    <mergeCell ref="AA116:AF116"/>
    <mergeCell ref="AG116:AL116"/>
    <mergeCell ref="AM116:AR116"/>
    <mergeCell ref="AS116:AX116"/>
    <mergeCell ref="C117:M117"/>
    <mergeCell ref="N117:T117"/>
    <mergeCell ref="U117:Z117"/>
    <mergeCell ref="AA117:AF117"/>
    <mergeCell ref="AG117:AL117"/>
    <mergeCell ref="AM117:AR117"/>
    <mergeCell ref="AS117:AX117"/>
    <mergeCell ref="C118:M118"/>
    <mergeCell ref="N118:T118"/>
    <mergeCell ref="U118:Z118"/>
    <mergeCell ref="AA118:AF118"/>
    <mergeCell ref="AG118:AL118"/>
    <mergeCell ref="AM118:AR118"/>
    <mergeCell ref="AS118:AX118"/>
    <mergeCell ref="C119:M119"/>
    <mergeCell ref="N119:T119"/>
    <mergeCell ref="U119:Z119"/>
    <mergeCell ref="AA119:AF119"/>
    <mergeCell ref="AG119:AL119"/>
    <mergeCell ref="AM119:AR119"/>
    <mergeCell ref="AS119:AX119"/>
    <mergeCell ref="C120:M120"/>
    <mergeCell ref="N120:T120"/>
    <mergeCell ref="U120:Z120"/>
    <mergeCell ref="AA120:AF120"/>
    <mergeCell ref="AG120:AL120"/>
    <mergeCell ref="AM120:AR120"/>
    <mergeCell ref="AS120:AX120"/>
    <mergeCell ref="C121:M121"/>
    <mergeCell ref="N121:T121"/>
    <mergeCell ref="U121:Z121"/>
    <mergeCell ref="AA121:AF121"/>
    <mergeCell ref="AG121:AL121"/>
    <mergeCell ref="AM121:AR121"/>
    <mergeCell ref="AS121:AX121"/>
    <mergeCell ref="C122:M122"/>
    <mergeCell ref="N122:T122"/>
    <mergeCell ref="U122:Z122"/>
    <mergeCell ref="AA122:AF122"/>
    <mergeCell ref="AG122:AL122"/>
    <mergeCell ref="AM122:AR122"/>
    <mergeCell ref="AS122:AX122"/>
    <mergeCell ref="C123:M123"/>
    <mergeCell ref="N123:T123"/>
    <mergeCell ref="U123:Z123"/>
    <mergeCell ref="AA123:AF123"/>
    <mergeCell ref="AG123:AL123"/>
    <mergeCell ref="AM123:AR123"/>
    <mergeCell ref="AS123:AX123"/>
    <mergeCell ref="C124:M124"/>
    <mergeCell ref="N124:T124"/>
    <mergeCell ref="U124:Z124"/>
    <mergeCell ref="AA124:AF124"/>
    <mergeCell ref="AG124:AL124"/>
    <mergeCell ref="AM124:AR124"/>
    <mergeCell ref="AS124:AX124"/>
    <mergeCell ref="C125:M125"/>
    <mergeCell ref="N125:T125"/>
    <mergeCell ref="U125:Z125"/>
    <mergeCell ref="AA125:AF125"/>
    <mergeCell ref="AG125:AL125"/>
    <mergeCell ref="AM125:AR125"/>
    <mergeCell ref="AS125:AX125"/>
    <mergeCell ref="C126:M126"/>
    <mergeCell ref="N126:T126"/>
    <mergeCell ref="U126:Z126"/>
    <mergeCell ref="AA126:AF126"/>
    <mergeCell ref="AG126:AL126"/>
    <mergeCell ref="AM126:AR126"/>
    <mergeCell ref="AS126:AX126"/>
    <mergeCell ref="C127:M127"/>
    <mergeCell ref="N127:T127"/>
    <mergeCell ref="U127:Z127"/>
    <mergeCell ref="AA127:AF127"/>
    <mergeCell ref="AG127:AL127"/>
    <mergeCell ref="AM127:AR127"/>
    <mergeCell ref="AS127:AX127"/>
    <mergeCell ref="C128:M128"/>
    <mergeCell ref="N128:T128"/>
    <mergeCell ref="U128:Z128"/>
    <mergeCell ref="AA128:AF128"/>
    <mergeCell ref="AG128:AL128"/>
    <mergeCell ref="AM128:AR128"/>
    <mergeCell ref="AS128:AX128"/>
    <mergeCell ref="C129:M129"/>
    <mergeCell ref="N129:T129"/>
    <mergeCell ref="U129:Z129"/>
    <mergeCell ref="AA129:AF129"/>
    <mergeCell ref="AG129:AL129"/>
    <mergeCell ref="AM129:AR129"/>
    <mergeCell ref="AS129:AX129"/>
    <mergeCell ref="C130:M130"/>
    <mergeCell ref="N130:T130"/>
    <mergeCell ref="U130:Z130"/>
    <mergeCell ref="AA130:AF130"/>
    <mergeCell ref="AG130:AL130"/>
    <mergeCell ref="AM130:AR130"/>
    <mergeCell ref="AS130:AX130"/>
    <mergeCell ref="C131:M131"/>
    <mergeCell ref="N131:T131"/>
    <mergeCell ref="U131:Z131"/>
    <mergeCell ref="AA131:AF131"/>
    <mergeCell ref="AG131:AL131"/>
    <mergeCell ref="AM131:AR131"/>
    <mergeCell ref="AS131:AX131"/>
    <mergeCell ref="C132:M132"/>
    <mergeCell ref="N132:T132"/>
    <mergeCell ref="U132:Z132"/>
    <mergeCell ref="AA132:AF132"/>
    <mergeCell ref="AG132:AL132"/>
    <mergeCell ref="AM132:AR132"/>
    <mergeCell ref="AS132:AX132"/>
    <mergeCell ref="C133:M133"/>
    <mergeCell ref="N133:T133"/>
    <mergeCell ref="U133:Z133"/>
    <mergeCell ref="AA133:AF133"/>
    <mergeCell ref="AG133:AL133"/>
    <mergeCell ref="AM133:AR133"/>
    <mergeCell ref="AS133:AX133"/>
    <mergeCell ref="C134:M134"/>
    <mergeCell ref="N134:T134"/>
    <mergeCell ref="U134:Z134"/>
    <mergeCell ref="AA134:AF134"/>
    <mergeCell ref="AG134:AL134"/>
    <mergeCell ref="AM134:AR134"/>
    <mergeCell ref="AS134:AX134"/>
    <mergeCell ref="C135:M135"/>
    <mergeCell ref="N135:T135"/>
    <mergeCell ref="U135:Z135"/>
    <mergeCell ref="AA135:AF135"/>
    <mergeCell ref="AG135:AL135"/>
    <mergeCell ref="AM135:AR135"/>
    <mergeCell ref="AS135:AX135"/>
    <mergeCell ref="C136:M136"/>
    <mergeCell ref="N136:T136"/>
    <mergeCell ref="U136:Z136"/>
    <mergeCell ref="AA136:AF136"/>
    <mergeCell ref="AG136:AL136"/>
    <mergeCell ref="AM136:AR136"/>
    <mergeCell ref="AS136:AX136"/>
    <mergeCell ref="C137:M137"/>
    <mergeCell ref="N137:T137"/>
    <mergeCell ref="U137:Z137"/>
    <mergeCell ref="AA137:AF137"/>
    <mergeCell ref="AG137:AL137"/>
    <mergeCell ref="AM137:AR137"/>
    <mergeCell ref="AS137:AX137"/>
    <mergeCell ref="C138:M138"/>
    <mergeCell ref="N138:T138"/>
    <mergeCell ref="U138:Z138"/>
    <mergeCell ref="AA138:AF138"/>
    <mergeCell ref="AG138:AL138"/>
    <mergeCell ref="AM138:AR138"/>
    <mergeCell ref="AS138:AX138"/>
    <mergeCell ref="C139:M139"/>
    <mergeCell ref="N139:T139"/>
    <mergeCell ref="U139:Z139"/>
    <mergeCell ref="AA139:AF139"/>
    <mergeCell ref="AG139:AL139"/>
    <mergeCell ref="AM139:AR139"/>
    <mergeCell ref="AS139:AX139"/>
    <mergeCell ref="C140:M140"/>
    <mergeCell ref="N140:T140"/>
    <mergeCell ref="U140:Z140"/>
    <mergeCell ref="AA140:AF140"/>
    <mergeCell ref="AG140:AL140"/>
    <mergeCell ref="AM140:AR140"/>
    <mergeCell ref="AS140:AX140"/>
    <mergeCell ref="C141:M141"/>
    <mergeCell ref="N141:T141"/>
    <mergeCell ref="U141:Z141"/>
    <mergeCell ref="AA141:AF141"/>
    <mergeCell ref="AG141:AL141"/>
    <mergeCell ref="AM141:AR141"/>
    <mergeCell ref="AS141:AX141"/>
    <mergeCell ref="C142:M142"/>
    <mergeCell ref="N142:T142"/>
    <mergeCell ref="U142:Z142"/>
    <mergeCell ref="AA142:AF142"/>
    <mergeCell ref="AG142:AL142"/>
    <mergeCell ref="AM142:AR142"/>
    <mergeCell ref="AS142:AX142"/>
    <mergeCell ref="C143:M143"/>
    <mergeCell ref="N143:T143"/>
    <mergeCell ref="U143:Z143"/>
    <mergeCell ref="AA143:AF143"/>
    <mergeCell ref="AG143:AL143"/>
    <mergeCell ref="AM143:AR143"/>
    <mergeCell ref="AS143:AX143"/>
    <mergeCell ref="C144:M144"/>
    <mergeCell ref="N144:T144"/>
    <mergeCell ref="U144:Z144"/>
    <mergeCell ref="AA144:AF144"/>
    <mergeCell ref="AG144:AL144"/>
    <mergeCell ref="AM144:AR144"/>
    <mergeCell ref="AS144:AX144"/>
    <mergeCell ref="C145:M145"/>
    <mergeCell ref="N145:T145"/>
    <mergeCell ref="U145:Z145"/>
    <mergeCell ref="AA145:AF145"/>
    <mergeCell ref="AG145:AL145"/>
    <mergeCell ref="AM145:AR145"/>
    <mergeCell ref="AS145:AX145"/>
    <mergeCell ref="C146:M146"/>
    <mergeCell ref="N146:T146"/>
    <mergeCell ref="U146:Z146"/>
    <mergeCell ref="AA146:AF146"/>
    <mergeCell ref="AG146:AL146"/>
    <mergeCell ref="AM146:AR146"/>
    <mergeCell ref="AS146:AX146"/>
    <mergeCell ref="C147:M147"/>
    <mergeCell ref="N147:T147"/>
    <mergeCell ref="U147:Z147"/>
    <mergeCell ref="AA147:AF147"/>
    <mergeCell ref="AG147:AL147"/>
    <mergeCell ref="AM147:AR147"/>
    <mergeCell ref="AS147:AX147"/>
    <mergeCell ref="C148:M148"/>
    <mergeCell ref="N148:T148"/>
    <mergeCell ref="U148:Z148"/>
    <mergeCell ref="AA148:AF148"/>
    <mergeCell ref="AG148:AL148"/>
    <mergeCell ref="AM148:AR148"/>
    <mergeCell ref="AS148:AX148"/>
    <mergeCell ref="C149:M149"/>
    <mergeCell ref="N149:T149"/>
    <mergeCell ref="U149:Z149"/>
    <mergeCell ref="AA149:AF149"/>
    <mergeCell ref="AG149:AL149"/>
    <mergeCell ref="AM149:AR149"/>
    <mergeCell ref="AS149:AX149"/>
    <mergeCell ref="C150:M150"/>
    <mergeCell ref="N150:T150"/>
    <mergeCell ref="U150:Z150"/>
    <mergeCell ref="AA150:AF150"/>
    <mergeCell ref="AG150:AL150"/>
    <mergeCell ref="AM150:AR150"/>
    <mergeCell ref="AS150:AX150"/>
    <mergeCell ref="C151:M151"/>
    <mergeCell ref="N151:T151"/>
    <mergeCell ref="U151:Z151"/>
    <mergeCell ref="AA151:AF151"/>
    <mergeCell ref="AG151:AL151"/>
    <mergeCell ref="AM151:AR151"/>
    <mergeCell ref="AS151:AX151"/>
    <mergeCell ref="C152:M152"/>
    <mergeCell ref="N152:T152"/>
    <mergeCell ref="U152:Z152"/>
    <mergeCell ref="AA152:AF152"/>
    <mergeCell ref="AG152:AL152"/>
    <mergeCell ref="AM152:AR152"/>
    <mergeCell ref="AS152:AX152"/>
    <mergeCell ref="C153:M153"/>
    <mergeCell ref="N153:T153"/>
    <mergeCell ref="U153:Z153"/>
    <mergeCell ref="AA153:AF153"/>
    <mergeCell ref="AG153:AL153"/>
    <mergeCell ref="AM153:AR153"/>
    <mergeCell ref="AS153:AX153"/>
    <mergeCell ref="C154:M154"/>
    <mergeCell ref="N154:T154"/>
    <mergeCell ref="U154:Z154"/>
    <mergeCell ref="AA154:AF154"/>
    <mergeCell ref="AG154:AL154"/>
    <mergeCell ref="AM154:AR154"/>
    <mergeCell ref="AS154:AX154"/>
    <mergeCell ref="C155:M155"/>
    <mergeCell ref="N155:T155"/>
    <mergeCell ref="U155:Z155"/>
    <mergeCell ref="AA155:AF155"/>
    <mergeCell ref="AG155:AL155"/>
    <mergeCell ref="AM155:AR155"/>
    <mergeCell ref="AS155:AX155"/>
    <mergeCell ref="C156:M156"/>
    <mergeCell ref="N156:T156"/>
    <mergeCell ref="U156:Z156"/>
    <mergeCell ref="AA156:AF156"/>
    <mergeCell ref="AG156:AL156"/>
    <mergeCell ref="AM156:AR156"/>
    <mergeCell ref="AS156:AX156"/>
    <mergeCell ref="C157:M157"/>
    <mergeCell ref="N157:T157"/>
    <mergeCell ref="U157:Z157"/>
    <mergeCell ref="AA157:AF157"/>
    <mergeCell ref="AG157:AL157"/>
    <mergeCell ref="AM157:AR157"/>
    <mergeCell ref="AS157:AX157"/>
    <mergeCell ref="C158:M158"/>
    <mergeCell ref="N158:T158"/>
    <mergeCell ref="U158:Z158"/>
    <mergeCell ref="AA158:AF158"/>
    <mergeCell ref="AG158:AL158"/>
    <mergeCell ref="AM158:AR158"/>
    <mergeCell ref="AS158:AX158"/>
    <mergeCell ref="C159:M159"/>
    <mergeCell ref="N159:T159"/>
    <mergeCell ref="U159:Z159"/>
    <mergeCell ref="AA159:AF159"/>
    <mergeCell ref="AG159:AL159"/>
    <mergeCell ref="AM159:AR159"/>
    <mergeCell ref="AS159:AX159"/>
    <mergeCell ref="C160:M160"/>
    <mergeCell ref="N160:T160"/>
    <mergeCell ref="U160:Z160"/>
    <mergeCell ref="AA160:AF160"/>
    <mergeCell ref="AG160:AL160"/>
    <mergeCell ref="AM160:AR160"/>
    <mergeCell ref="AS160:AX160"/>
    <mergeCell ref="C161:M161"/>
    <mergeCell ref="N161:T161"/>
    <mergeCell ref="U161:Z161"/>
    <mergeCell ref="AA161:AF161"/>
    <mergeCell ref="AG161:AL161"/>
    <mergeCell ref="AM161:AR161"/>
    <mergeCell ref="AS161:AX161"/>
    <mergeCell ref="C162:M162"/>
    <mergeCell ref="N162:T162"/>
    <mergeCell ref="U162:Z162"/>
    <mergeCell ref="AA162:AF162"/>
    <mergeCell ref="AG162:AL162"/>
    <mergeCell ref="AM162:AR162"/>
    <mergeCell ref="AS162:AX162"/>
    <mergeCell ref="C163:M163"/>
    <mergeCell ref="N163:T163"/>
    <mergeCell ref="U163:Z163"/>
    <mergeCell ref="AA163:AF163"/>
    <mergeCell ref="AG163:AL163"/>
    <mergeCell ref="AM163:AR163"/>
    <mergeCell ref="AS163:AX163"/>
    <mergeCell ref="C164:M164"/>
    <mergeCell ref="N164:T164"/>
    <mergeCell ref="U164:Z164"/>
    <mergeCell ref="AA164:AF164"/>
    <mergeCell ref="AG164:AL164"/>
    <mergeCell ref="AM164:AR164"/>
    <mergeCell ref="AS164:AX164"/>
    <mergeCell ref="C165:M165"/>
    <mergeCell ref="N165:T165"/>
    <mergeCell ref="U165:Z165"/>
    <mergeCell ref="AA165:AF165"/>
    <mergeCell ref="AG165:AL165"/>
    <mergeCell ref="AM165:AR165"/>
    <mergeCell ref="AS165:AX165"/>
    <mergeCell ref="C166:M166"/>
    <mergeCell ref="N166:T166"/>
    <mergeCell ref="U166:Z166"/>
    <mergeCell ref="AA166:AF166"/>
    <mergeCell ref="AG166:AL166"/>
    <mergeCell ref="AM166:AR166"/>
    <mergeCell ref="AS166:AX166"/>
    <mergeCell ref="C167:M167"/>
    <mergeCell ref="N167:T167"/>
    <mergeCell ref="U167:Z167"/>
    <mergeCell ref="AA167:AF167"/>
    <mergeCell ref="AG167:AL167"/>
    <mergeCell ref="AM167:AR167"/>
    <mergeCell ref="AS167:AX167"/>
    <mergeCell ref="C168:M168"/>
    <mergeCell ref="N168:T168"/>
    <mergeCell ref="U168:Z168"/>
    <mergeCell ref="AA168:AF168"/>
    <mergeCell ref="AG168:AL168"/>
    <mergeCell ref="AM168:AR168"/>
    <mergeCell ref="AS168:AX168"/>
    <mergeCell ref="C169:M169"/>
    <mergeCell ref="N169:T169"/>
    <mergeCell ref="U169:Z169"/>
    <mergeCell ref="AA169:AF169"/>
    <mergeCell ref="AG169:AL169"/>
    <mergeCell ref="AM169:AR169"/>
    <mergeCell ref="AS169:AX169"/>
    <mergeCell ref="C170:M170"/>
    <mergeCell ref="N170:T170"/>
    <mergeCell ref="U170:Z170"/>
    <mergeCell ref="AA170:AF170"/>
    <mergeCell ref="AG170:AL170"/>
    <mergeCell ref="AM170:AR170"/>
    <mergeCell ref="AS170:AX170"/>
    <mergeCell ref="C171:M171"/>
    <mergeCell ref="N171:T171"/>
    <mergeCell ref="U171:Z171"/>
    <mergeCell ref="AA171:AF171"/>
    <mergeCell ref="AG171:AL171"/>
    <mergeCell ref="AM171:AR171"/>
    <mergeCell ref="AS171:AX171"/>
    <mergeCell ref="C172:M172"/>
    <mergeCell ref="N172:T172"/>
    <mergeCell ref="U172:Z172"/>
    <mergeCell ref="AA172:AF172"/>
    <mergeCell ref="AG172:AL172"/>
    <mergeCell ref="AM172:AR172"/>
    <mergeCell ref="AS172:AX172"/>
    <mergeCell ref="C173:M173"/>
    <mergeCell ref="N173:T173"/>
    <mergeCell ref="U173:Z173"/>
    <mergeCell ref="AA173:AF173"/>
    <mergeCell ref="AG173:AL173"/>
    <mergeCell ref="AM173:AR173"/>
    <mergeCell ref="AS173:AX173"/>
    <mergeCell ref="C174:M174"/>
    <mergeCell ref="N174:T174"/>
    <mergeCell ref="U174:Z174"/>
    <mergeCell ref="AA174:AF174"/>
    <mergeCell ref="AG174:AL174"/>
    <mergeCell ref="AM174:AR174"/>
    <mergeCell ref="AS174:AX174"/>
    <mergeCell ref="C175:M175"/>
    <mergeCell ref="N175:T175"/>
    <mergeCell ref="U175:Z175"/>
    <mergeCell ref="AA175:AF175"/>
    <mergeCell ref="AG175:AL175"/>
    <mergeCell ref="AM175:AR175"/>
    <mergeCell ref="AS175:AX175"/>
    <mergeCell ref="C176:M176"/>
    <mergeCell ref="N176:T176"/>
    <mergeCell ref="U176:Z176"/>
    <mergeCell ref="AA176:AF176"/>
    <mergeCell ref="AG176:AL176"/>
    <mergeCell ref="AM176:AR176"/>
    <mergeCell ref="AS176:AX176"/>
    <mergeCell ref="C177:M177"/>
    <mergeCell ref="N177:T177"/>
    <mergeCell ref="U177:Z177"/>
    <mergeCell ref="AA177:AF177"/>
    <mergeCell ref="AG177:AL177"/>
    <mergeCell ref="AM177:AR177"/>
    <mergeCell ref="AS177:AX177"/>
    <mergeCell ref="C178:M178"/>
    <mergeCell ref="N178:T178"/>
    <mergeCell ref="U178:Z178"/>
    <mergeCell ref="AA178:AF178"/>
    <mergeCell ref="AG178:AL178"/>
    <mergeCell ref="AM178:AR178"/>
    <mergeCell ref="AS178:AX178"/>
    <mergeCell ref="C179:M179"/>
    <mergeCell ref="N179:T179"/>
    <mergeCell ref="U179:Z179"/>
    <mergeCell ref="AA179:AF179"/>
    <mergeCell ref="AG179:AL179"/>
    <mergeCell ref="AM179:AR179"/>
    <mergeCell ref="AS179:AX179"/>
    <mergeCell ref="C180:M180"/>
    <mergeCell ref="N180:T180"/>
    <mergeCell ref="U180:Z180"/>
    <mergeCell ref="AA180:AF180"/>
    <mergeCell ref="AG180:AL180"/>
    <mergeCell ref="AM180:AR180"/>
    <mergeCell ref="AS180:AX180"/>
    <mergeCell ref="C181:M181"/>
    <mergeCell ref="N181:T181"/>
    <mergeCell ref="U181:Z181"/>
    <mergeCell ref="AA181:AF181"/>
    <mergeCell ref="AG181:AL181"/>
    <mergeCell ref="AM181:AR181"/>
    <mergeCell ref="AS181:AX181"/>
    <mergeCell ref="C182:M182"/>
    <mergeCell ref="N182:T182"/>
    <mergeCell ref="U182:Z182"/>
    <mergeCell ref="AA182:AF182"/>
    <mergeCell ref="AG182:AL182"/>
    <mergeCell ref="AM182:AR182"/>
    <mergeCell ref="AS182:AX182"/>
    <mergeCell ref="C183:M183"/>
    <mergeCell ref="N183:T183"/>
    <mergeCell ref="U183:Z183"/>
    <mergeCell ref="AA183:AF183"/>
    <mergeCell ref="AG183:AL183"/>
    <mergeCell ref="AM183:AR183"/>
    <mergeCell ref="AS183:AX183"/>
    <mergeCell ref="C184:M184"/>
    <mergeCell ref="N184:T184"/>
    <mergeCell ref="U184:Z184"/>
    <mergeCell ref="AA184:AF184"/>
    <mergeCell ref="AG184:AL184"/>
    <mergeCell ref="AM184:AR184"/>
    <mergeCell ref="AS184:AX184"/>
    <mergeCell ref="C185:M185"/>
    <mergeCell ref="N185:T185"/>
    <mergeCell ref="U185:Z185"/>
    <mergeCell ref="AA185:AF185"/>
    <mergeCell ref="AG185:AL185"/>
    <mergeCell ref="AM185:AR185"/>
    <mergeCell ref="AS185:AX185"/>
    <mergeCell ref="C186:M186"/>
    <mergeCell ref="N186:T186"/>
    <mergeCell ref="U186:Z186"/>
    <mergeCell ref="AA186:AF186"/>
    <mergeCell ref="AG186:AL186"/>
    <mergeCell ref="AM186:AR186"/>
    <mergeCell ref="AS186:AX186"/>
    <mergeCell ref="C187:M187"/>
    <mergeCell ref="N187:T187"/>
    <mergeCell ref="U187:Z187"/>
    <mergeCell ref="AA187:AF187"/>
    <mergeCell ref="AG187:AL187"/>
    <mergeCell ref="AM187:AR187"/>
    <mergeCell ref="AS187:AX187"/>
    <mergeCell ref="C188:M188"/>
    <mergeCell ref="N188:T188"/>
    <mergeCell ref="U188:Z188"/>
    <mergeCell ref="AA188:AF188"/>
    <mergeCell ref="AG188:AL188"/>
    <mergeCell ref="AM188:AR188"/>
    <mergeCell ref="AS188:AX188"/>
    <mergeCell ref="C189:M189"/>
    <mergeCell ref="N189:T189"/>
    <mergeCell ref="U189:Z189"/>
    <mergeCell ref="AA189:AF189"/>
    <mergeCell ref="AG189:AL189"/>
    <mergeCell ref="AM189:AR189"/>
    <mergeCell ref="AS189:AX189"/>
    <mergeCell ref="C190:M190"/>
    <mergeCell ref="N190:T190"/>
    <mergeCell ref="U190:Z190"/>
    <mergeCell ref="AA190:AF190"/>
    <mergeCell ref="AG190:AL190"/>
    <mergeCell ref="AM190:AR190"/>
    <mergeCell ref="AS190:AX190"/>
    <mergeCell ref="C191:M191"/>
    <mergeCell ref="N191:T191"/>
    <mergeCell ref="U191:Z191"/>
    <mergeCell ref="AA191:AF191"/>
    <mergeCell ref="AG191:AL191"/>
    <mergeCell ref="AM191:AR191"/>
    <mergeCell ref="AS191:AX191"/>
    <mergeCell ref="C192:M192"/>
    <mergeCell ref="N192:T192"/>
    <mergeCell ref="U192:Z192"/>
    <mergeCell ref="AA192:AF192"/>
    <mergeCell ref="AG192:AL192"/>
    <mergeCell ref="AM192:AR192"/>
    <mergeCell ref="AS192:AX192"/>
    <mergeCell ref="C193:M193"/>
    <mergeCell ref="N193:T193"/>
    <mergeCell ref="U193:Z193"/>
    <mergeCell ref="AA193:AF193"/>
    <mergeCell ref="AG193:AL193"/>
    <mergeCell ref="AM193:AR193"/>
    <mergeCell ref="AS193:AX193"/>
    <mergeCell ref="C194:M194"/>
    <mergeCell ref="N194:T194"/>
    <mergeCell ref="U194:Z194"/>
    <mergeCell ref="AA194:AF194"/>
    <mergeCell ref="AG194:AL194"/>
    <mergeCell ref="AM194:AR194"/>
    <mergeCell ref="AS194:AX194"/>
    <mergeCell ref="C195:M195"/>
    <mergeCell ref="N195:T195"/>
    <mergeCell ref="U195:Z195"/>
    <mergeCell ref="AA195:AF195"/>
    <mergeCell ref="AG195:AL195"/>
    <mergeCell ref="AM195:AR195"/>
    <mergeCell ref="AS195:AX195"/>
    <mergeCell ref="C196:M196"/>
    <mergeCell ref="N196:T196"/>
    <mergeCell ref="U196:Z196"/>
    <mergeCell ref="AA196:AF196"/>
    <mergeCell ref="AG196:AL196"/>
    <mergeCell ref="AM196:AR196"/>
    <mergeCell ref="AS196:AX196"/>
    <mergeCell ref="C197:M197"/>
    <mergeCell ref="N197:T197"/>
    <mergeCell ref="U197:Z197"/>
    <mergeCell ref="AA197:AF197"/>
    <mergeCell ref="AG197:AL197"/>
    <mergeCell ref="AM197:AR197"/>
    <mergeCell ref="AS197:AX197"/>
    <mergeCell ref="C198:M198"/>
    <mergeCell ref="N198:T198"/>
    <mergeCell ref="U198:Z198"/>
    <mergeCell ref="AA198:AF198"/>
    <mergeCell ref="AG198:AL198"/>
    <mergeCell ref="AM198:AR198"/>
    <mergeCell ref="AS198:AX198"/>
    <mergeCell ref="C199:M199"/>
    <mergeCell ref="N199:T199"/>
    <mergeCell ref="U199:Z199"/>
    <mergeCell ref="AA199:AF199"/>
    <mergeCell ref="AG199:AL199"/>
    <mergeCell ref="AM199:AR199"/>
    <mergeCell ref="AS199:AX199"/>
    <mergeCell ref="C200:M200"/>
    <mergeCell ref="N200:T200"/>
    <mergeCell ref="U200:Z200"/>
    <mergeCell ref="AA200:AF200"/>
    <mergeCell ref="AG200:AL200"/>
    <mergeCell ref="AM200:AR200"/>
    <mergeCell ref="AS200:AX200"/>
    <mergeCell ref="C201:M201"/>
    <mergeCell ref="N201:T201"/>
    <mergeCell ref="U201:Z201"/>
    <mergeCell ref="AA201:AF201"/>
    <mergeCell ref="AG201:AL201"/>
    <mergeCell ref="AM201:AR201"/>
    <mergeCell ref="AS201:AX201"/>
    <mergeCell ref="C202:M202"/>
    <mergeCell ref="N202:T202"/>
    <mergeCell ref="U202:Z202"/>
    <mergeCell ref="AA202:AF202"/>
    <mergeCell ref="AG202:AL202"/>
    <mergeCell ref="AM202:AR202"/>
    <mergeCell ref="AS202:AX202"/>
    <mergeCell ref="C203:M203"/>
    <mergeCell ref="N203:T203"/>
    <mergeCell ref="U203:Z203"/>
    <mergeCell ref="AA203:AF203"/>
    <mergeCell ref="AG203:AL203"/>
    <mergeCell ref="AM203:AR203"/>
    <mergeCell ref="AS203:AX203"/>
    <mergeCell ref="C204:M204"/>
    <mergeCell ref="N204:T204"/>
    <mergeCell ref="U204:Z204"/>
    <mergeCell ref="AA204:AF204"/>
    <mergeCell ref="AG204:AL204"/>
    <mergeCell ref="AM204:AR204"/>
    <mergeCell ref="AS204:AX204"/>
    <mergeCell ref="C205:M205"/>
    <mergeCell ref="N205:T205"/>
    <mergeCell ref="U205:Z205"/>
    <mergeCell ref="AA205:AF205"/>
    <mergeCell ref="AG205:AL205"/>
    <mergeCell ref="AM205:AR205"/>
    <mergeCell ref="AS205:AX205"/>
    <mergeCell ref="C206:M206"/>
    <mergeCell ref="N206:T206"/>
    <mergeCell ref="U206:Z206"/>
    <mergeCell ref="AA206:AF206"/>
    <mergeCell ref="AG206:AL206"/>
    <mergeCell ref="AM206:AR206"/>
    <mergeCell ref="AS206:AX206"/>
    <mergeCell ref="C207:M207"/>
    <mergeCell ref="N207:T207"/>
    <mergeCell ref="U207:Z207"/>
    <mergeCell ref="AA207:AF207"/>
    <mergeCell ref="AG207:AL207"/>
    <mergeCell ref="AM207:AR207"/>
    <mergeCell ref="AS207:AX207"/>
    <mergeCell ref="C208:M208"/>
    <mergeCell ref="N208:T208"/>
    <mergeCell ref="U208:Z208"/>
    <mergeCell ref="AA208:AF208"/>
    <mergeCell ref="AG208:AL208"/>
    <mergeCell ref="AM208:AR208"/>
    <mergeCell ref="AS208:AX208"/>
    <mergeCell ref="C209:M209"/>
    <mergeCell ref="N209:T209"/>
    <mergeCell ref="U209:Z209"/>
    <mergeCell ref="AA209:AF209"/>
    <mergeCell ref="AG209:AL209"/>
    <mergeCell ref="AM209:AR209"/>
    <mergeCell ref="AS209:AX209"/>
    <mergeCell ref="C210:M210"/>
    <mergeCell ref="N210:T210"/>
    <mergeCell ref="U210:Z210"/>
    <mergeCell ref="AA210:AF210"/>
    <mergeCell ref="AG210:AL210"/>
    <mergeCell ref="AM210:AR210"/>
    <mergeCell ref="AS210:AX210"/>
    <mergeCell ref="C211:M211"/>
    <mergeCell ref="N211:T211"/>
    <mergeCell ref="U211:Z211"/>
    <mergeCell ref="AA211:AF211"/>
    <mergeCell ref="AG211:AL211"/>
    <mergeCell ref="AM211:AR211"/>
    <mergeCell ref="AS211:AX211"/>
    <mergeCell ref="C212:M212"/>
    <mergeCell ref="N212:T212"/>
    <mergeCell ref="U212:Z212"/>
    <mergeCell ref="AA212:AF212"/>
    <mergeCell ref="AG212:AL212"/>
    <mergeCell ref="AM212:AR212"/>
    <mergeCell ref="AS212:AX212"/>
    <mergeCell ref="C213:AF213"/>
    <mergeCell ref="AG213:AL213"/>
    <mergeCell ref="AM213:AR213"/>
    <mergeCell ref="AS213:AX213"/>
    <mergeCell ref="C217:M217"/>
    <mergeCell ref="N217:T217"/>
    <mergeCell ref="U217:Z217"/>
    <mergeCell ref="AA217:AF217"/>
    <mergeCell ref="AG217:AL217"/>
    <mergeCell ref="AM217:AR217"/>
    <mergeCell ref="AS217:AX217"/>
    <mergeCell ref="C218:M218"/>
    <mergeCell ref="N218:T218"/>
    <mergeCell ref="U218:Z218"/>
    <mergeCell ref="AA218:AF218"/>
    <mergeCell ref="AG218:AL218"/>
    <mergeCell ref="AM218:AR218"/>
    <mergeCell ref="AS218:AX218"/>
    <mergeCell ref="C219:M219"/>
    <mergeCell ref="N219:T219"/>
    <mergeCell ref="U219:Z219"/>
    <mergeCell ref="AA219:AF219"/>
    <mergeCell ref="AG219:AL219"/>
    <mergeCell ref="AM219:AR219"/>
    <mergeCell ref="AS219:AX219"/>
    <mergeCell ref="C220:M220"/>
    <mergeCell ref="N220:T220"/>
    <mergeCell ref="U220:Z220"/>
    <mergeCell ref="AA220:AF220"/>
    <mergeCell ref="AG220:AL220"/>
    <mergeCell ref="AM220:AR220"/>
    <mergeCell ref="AS220:AX220"/>
    <mergeCell ref="C221:M221"/>
    <mergeCell ref="N221:T221"/>
    <mergeCell ref="U221:Z221"/>
    <mergeCell ref="AA221:AF221"/>
    <mergeCell ref="AG221:AL221"/>
    <mergeCell ref="AM221:AR221"/>
    <mergeCell ref="AS221:AX221"/>
    <mergeCell ref="C222:M222"/>
    <mergeCell ref="N222:T222"/>
    <mergeCell ref="U222:Z222"/>
    <mergeCell ref="AA222:AF222"/>
    <mergeCell ref="AG222:AL222"/>
    <mergeCell ref="AM222:AR222"/>
    <mergeCell ref="AS222:AX222"/>
    <mergeCell ref="C223:M223"/>
    <mergeCell ref="N223:T223"/>
    <mergeCell ref="U223:Z223"/>
    <mergeCell ref="AA223:AF223"/>
    <mergeCell ref="AG223:AL223"/>
    <mergeCell ref="AM223:AR223"/>
    <mergeCell ref="AS223:AX223"/>
    <mergeCell ref="C224:M224"/>
    <mergeCell ref="N224:T224"/>
    <mergeCell ref="U224:Z224"/>
    <mergeCell ref="AA224:AF224"/>
    <mergeCell ref="AG224:AL224"/>
    <mergeCell ref="AM224:AR224"/>
    <mergeCell ref="AS224:AX224"/>
    <mergeCell ref="C225:M225"/>
    <mergeCell ref="N225:T225"/>
    <mergeCell ref="U225:Z225"/>
    <mergeCell ref="AA225:AF225"/>
    <mergeCell ref="AG225:AL225"/>
    <mergeCell ref="AM225:AR225"/>
    <mergeCell ref="AS225:AX225"/>
    <mergeCell ref="C226:M226"/>
    <mergeCell ref="N226:T226"/>
    <mergeCell ref="U226:Z226"/>
    <mergeCell ref="AA226:AF226"/>
    <mergeCell ref="AG226:AL226"/>
    <mergeCell ref="AM226:AR226"/>
    <mergeCell ref="AS226:AX226"/>
    <mergeCell ref="C227:M227"/>
    <mergeCell ref="N227:T227"/>
    <mergeCell ref="U227:Z227"/>
    <mergeCell ref="AA227:AF227"/>
    <mergeCell ref="AG227:AL227"/>
    <mergeCell ref="AM227:AR227"/>
    <mergeCell ref="AS227:AX227"/>
    <mergeCell ref="C228:M228"/>
    <mergeCell ref="N228:T228"/>
    <mergeCell ref="U228:Z228"/>
    <mergeCell ref="AA228:AF228"/>
    <mergeCell ref="AG228:AL228"/>
    <mergeCell ref="AM228:AR228"/>
    <mergeCell ref="AS228:AX228"/>
    <mergeCell ref="C229:M229"/>
    <mergeCell ref="N229:T229"/>
    <mergeCell ref="U229:Z229"/>
    <mergeCell ref="AA229:AF229"/>
    <mergeCell ref="AG229:AL229"/>
    <mergeCell ref="AM229:AR229"/>
    <mergeCell ref="AS229:AX229"/>
    <mergeCell ref="C230:M230"/>
    <mergeCell ref="N230:T230"/>
    <mergeCell ref="U230:Z230"/>
    <mergeCell ref="AA230:AF230"/>
    <mergeCell ref="AG230:AL230"/>
    <mergeCell ref="AM230:AR230"/>
    <mergeCell ref="AS230:AX230"/>
    <mergeCell ref="C231:M231"/>
    <mergeCell ref="N231:T231"/>
    <mergeCell ref="U231:Z231"/>
    <mergeCell ref="AA231:AF231"/>
    <mergeCell ref="AG231:AL231"/>
    <mergeCell ref="AM231:AR231"/>
    <mergeCell ref="AS231:AX231"/>
    <mergeCell ref="C232:M232"/>
    <mergeCell ref="N232:T232"/>
    <mergeCell ref="U232:Z232"/>
    <mergeCell ref="AA232:AF232"/>
    <mergeCell ref="AG232:AL232"/>
    <mergeCell ref="AM232:AR232"/>
    <mergeCell ref="AS232:AX232"/>
    <mergeCell ref="C233:M233"/>
    <mergeCell ref="N233:T233"/>
    <mergeCell ref="U233:Z233"/>
    <mergeCell ref="AA233:AF233"/>
    <mergeCell ref="AG233:AL233"/>
    <mergeCell ref="AM233:AR233"/>
    <mergeCell ref="AS233:AX233"/>
    <mergeCell ref="C234:M234"/>
    <mergeCell ref="N234:T234"/>
    <mergeCell ref="U234:Z234"/>
    <mergeCell ref="AA234:AF234"/>
    <mergeCell ref="AG234:AL234"/>
    <mergeCell ref="AM234:AR234"/>
    <mergeCell ref="AS234:AX234"/>
    <mergeCell ref="C235:M235"/>
    <mergeCell ref="N235:T235"/>
    <mergeCell ref="U235:Z235"/>
    <mergeCell ref="AA235:AF235"/>
    <mergeCell ref="AG235:AL235"/>
    <mergeCell ref="AM235:AR235"/>
    <mergeCell ref="AS235:AX235"/>
    <mergeCell ref="C236:M236"/>
    <mergeCell ref="N236:T236"/>
    <mergeCell ref="U236:Z236"/>
    <mergeCell ref="AA236:AF236"/>
    <mergeCell ref="AG236:AL236"/>
    <mergeCell ref="AM236:AR236"/>
    <mergeCell ref="AS236:AX236"/>
    <mergeCell ref="C237:M237"/>
    <mergeCell ref="N237:T237"/>
    <mergeCell ref="U237:Z237"/>
    <mergeCell ref="AA237:AF237"/>
    <mergeCell ref="AG237:AL237"/>
    <mergeCell ref="AM237:AR237"/>
    <mergeCell ref="AS237:AX237"/>
    <mergeCell ref="C238:M238"/>
    <mergeCell ref="N238:T238"/>
    <mergeCell ref="U238:Z238"/>
    <mergeCell ref="AA238:AF238"/>
    <mergeCell ref="AG238:AL238"/>
    <mergeCell ref="AM238:AR238"/>
    <mergeCell ref="AS238:AX238"/>
    <mergeCell ref="C239:M239"/>
    <mergeCell ref="N239:T239"/>
    <mergeCell ref="U239:Z239"/>
    <mergeCell ref="AA239:AF239"/>
    <mergeCell ref="AG239:AL239"/>
    <mergeCell ref="AM239:AR239"/>
    <mergeCell ref="AS239:AX239"/>
    <mergeCell ref="C240:M240"/>
    <mergeCell ref="N240:T240"/>
    <mergeCell ref="U240:Z240"/>
    <mergeCell ref="AA240:AF240"/>
    <mergeCell ref="AG240:AL240"/>
    <mergeCell ref="AM240:AR240"/>
    <mergeCell ref="AS240:AX240"/>
    <mergeCell ref="C241:M241"/>
    <mergeCell ref="N241:T241"/>
    <mergeCell ref="U241:Z241"/>
    <mergeCell ref="AA241:AF241"/>
    <mergeCell ref="AG241:AL241"/>
    <mergeCell ref="AM241:AR241"/>
    <mergeCell ref="AS241:AX241"/>
    <mergeCell ref="C242:M242"/>
    <mergeCell ref="N242:T242"/>
    <mergeCell ref="U242:Z242"/>
    <mergeCell ref="AA242:AF242"/>
    <mergeCell ref="AG242:AL242"/>
    <mergeCell ref="AM242:AR242"/>
    <mergeCell ref="AS242:AX242"/>
    <mergeCell ref="C243:M243"/>
    <mergeCell ref="N243:T243"/>
    <mergeCell ref="U243:Z243"/>
    <mergeCell ref="AA243:AF243"/>
    <mergeCell ref="AG243:AL243"/>
    <mergeCell ref="AM243:AR243"/>
    <mergeCell ref="AS243:AX243"/>
    <mergeCell ref="C244:M244"/>
    <mergeCell ref="N244:T244"/>
    <mergeCell ref="U244:Z244"/>
    <mergeCell ref="AA244:AF244"/>
    <mergeCell ref="AG244:AL244"/>
    <mergeCell ref="AM244:AR244"/>
    <mergeCell ref="AS244:AX244"/>
    <mergeCell ref="C245:M245"/>
    <mergeCell ref="N245:T245"/>
    <mergeCell ref="U245:Z245"/>
    <mergeCell ref="AA245:AF245"/>
    <mergeCell ref="AG245:AL245"/>
    <mergeCell ref="AM245:AR245"/>
    <mergeCell ref="AS245:AX245"/>
    <mergeCell ref="C246:M246"/>
    <mergeCell ref="N246:T246"/>
    <mergeCell ref="U246:Z246"/>
    <mergeCell ref="AA246:AF246"/>
    <mergeCell ref="AG246:AL246"/>
    <mergeCell ref="AM246:AR246"/>
    <mergeCell ref="AS246:AX246"/>
    <mergeCell ref="C247:M247"/>
    <mergeCell ref="N247:T247"/>
    <mergeCell ref="U247:Z247"/>
    <mergeCell ref="AA247:AF247"/>
    <mergeCell ref="AG247:AL247"/>
    <mergeCell ref="AM247:AR247"/>
    <mergeCell ref="AS247:AX247"/>
    <mergeCell ref="C248:M248"/>
    <mergeCell ref="N248:T248"/>
    <mergeCell ref="U248:Z248"/>
    <mergeCell ref="AA248:AF248"/>
    <mergeCell ref="AG248:AL248"/>
    <mergeCell ref="AM248:AR248"/>
    <mergeCell ref="AS248:AX248"/>
    <mergeCell ref="C249:M249"/>
    <mergeCell ref="N249:T249"/>
    <mergeCell ref="U249:Z249"/>
    <mergeCell ref="AA249:AF249"/>
    <mergeCell ref="AG249:AL249"/>
    <mergeCell ref="AM249:AR249"/>
    <mergeCell ref="AS249:AX249"/>
    <mergeCell ref="C250:M250"/>
    <mergeCell ref="N250:T250"/>
    <mergeCell ref="U250:Z250"/>
    <mergeCell ref="AA250:AF250"/>
    <mergeCell ref="AG250:AL250"/>
    <mergeCell ref="AM250:AR250"/>
    <mergeCell ref="AS250:AX250"/>
    <mergeCell ref="C251:M251"/>
    <mergeCell ref="N251:T251"/>
    <mergeCell ref="U251:Z251"/>
    <mergeCell ref="AA251:AF251"/>
    <mergeCell ref="AG251:AL251"/>
    <mergeCell ref="AM251:AR251"/>
    <mergeCell ref="AS251:AX251"/>
    <mergeCell ref="C252:M252"/>
    <mergeCell ref="N252:T252"/>
    <mergeCell ref="U252:Z252"/>
    <mergeCell ref="AA252:AF252"/>
    <mergeCell ref="AG252:AL252"/>
    <mergeCell ref="AM252:AR252"/>
    <mergeCell ref="AS252:AX252"/>
    <mergeCell ref="C253:M253"/>
    <mergeCell ref="N253:T253"/>
    <mergeCell ref="U253:Z253"/>
    <mergeCell ref="AA253:AF253"/>
    <mergeCell ref="AG253:AL253"/>
    <mergeCell ref="AM253:AR253"/>
    <mergeCell ref="AS253:AX253"/>
    <mergeCell ref="C254:M254"/>
    <mergeCell ref="N254:T254"/>
    <mergeCell ref="U254:Z254"/>
    <mergeCell ref="AA254:AF254"/>
    <mergeCell ref="AG254:AL254"/>
    <mergeCell ref="AM254:AR254"/>
    <mergeCell ref="AS254:AX254"/>
    <mergeCell ref="C255:M255"/>
    <mergeCell ref="N255:T255"/>
    <mergeCell ref="U255:Z255"/>
    <mergeCell ref="AA255:AF255"/>
    <mergeCell ref="AG255:AL255"/>
    <mergeCell ref="AM255:AR255"/>
    <mergeCell ref="AS255:AX255"/>
    <mergeCell ref="C256:M256"/>
    <mergeCell ref="N256:T256"/>
    <mergeCell ref="U256:Z256"/>
    <mergeCell ref="AA256:AF256"/>
    <mergeCell ref="AG256:AL256"/>
    <mergeCell ref="AM256:AR256"/>
    <mergeCell ref="AS256:AX256"/>
    <mergeCell ref="C257:M257"/>
    <mergeCell ref="N257:T257"/>
    <mergeCell ref="U257:Z257"/>
    <mergeCell ref="AA257:AF257"/>
    <mergeCell ref="AG257:AL257"/>
    <mergeCell ref="AM257:AR257"/>
    <mergeCell ref="AS257:AX257"/>
    <mergeCell ref="C258:M258"/>
    <mergeCell ref="N258:T258"/>
    <mergeCell ref="U258:Z258"/>
    <mergeCell ref="AA258:AF258"/>
    <mergeCell ref="AG258:AL258"/>
    <mergeCell ref="AM258:AR258"/>
    <mergeCell ref="AS258:AX258"/>
    <mergeCell ref="C259:M259"/>
    <mergeCell ref="N259:T259"/>
    <mergeCell ref="U259:Z259"/>
    <mergeCell ref="AA259:AF259"/>
    <mergeCell ref="AG259:AL259"/>
    <mergeCell ref="AM259:AR259"/>
    <mergeCell ref="AS259:AX259"/>
    <mergeCell ref="C260:M260"/>
    <mergeCell ref="N260:T260"/>
    <mergeCell ref="U260:Z260"/>
    <mergeCell ref="AA260:AF260"/>
    <mergeCell ref="AG260:AL260"/>
    <mergeCell ref="AM260:AR260"/>
    <mergeCell ref="AS260:AX260"/>
    <mergeCell ref="C261:M261"/>
    <mergeCell ref="N261:T261"/>
    <mergeCell ref="U261:Z261"/>
    <mergeCell ref="AA261:AF261"/>
    <mergeCell ref="AG261:AL261"/>
    <mergeCell ref="AM261:AR261"/>
    <mergeCell ref="AS261:AX261"/>
    <mergeCell ref="C262:M262"/>
    <mergeCell ref="N262:T262"/>
    <mergeCell ref="U262:Z262"/>
    <mergeCell ref="AA262:AF262"/>
    <mergeCell ref="AG262:AL262"/>
    <mergeCell ref="AM262:AR262"/>
    <mergeCell ref="AS262:AX262"/>
    <mergeCell ref="C263:M263"/>
    <mergeCell ref="N263:T263"/>
    <mergeCell ref="U263:Z263"/>
    <mergeCell ref="AA263:AF263"/>
    <mergeCell ref="AG263:AL263"/>
    <mergeCell ref="AM263:AR263"/>
    <mergeCell ref="AS263:AX263"/>
    <mergeCell ref="C264:M264"/>
    <mergeCell ref="N264:T264"/>
    <mergeCell ref="U264:Z264"/>
    <mergeCell ref="AA264:AF264"/>
    <mergeCell ref="AG264:AL264"/>
    <mergeCell ref="AM264:AR264"/>
    <mergeCell ref="AS264:AX264"/>
    <mergeCell ref="C265:M265"/>
    <mergeCell ref="N265:T265"/>
    <mergeCell ref="U265:Z265"/>
    <mergeCell ref="AA265:AF265"/>
    <mergeCell ref="AG265:AL265"/>
    <mergeCell ref="AM265:AR265"/>
    <mergeCell ref="AS265:AX265"/>
    <mergeCell ref="C266:M266"/>
    <mergeCell ref="N266:T266"/>
    <mergeCell ref="U266:Z266"/>
    <mergeCell ref="AA266:AF266"/>
    <mergeCell ref="AG266:AL266"/>
    <mergeCell ref="AM266:AR266"/>
    <mergeCell ref="AS266:AX266"/>
    <mergeCell ref="C267:M267"/>
    <mergeCell ref="N267:T267"/>
    <mergeCell ref="U267:Z267"/>
    <mergeCell ref="AA267:AF267"/>
    <mergeCell ref="AG267:AL267"/>
    <mergeCell ref="AM267:AR267"/>
    <mergeCell ref="AS267:AX267"/>
    <mergeCell ref="C268:M268"/>
    <mergeCell ref="N268:T268"/>
    <mergeCell ref="U268:Z268"/>
    <mergeCell ref="AA268:AF268"/>
    <mergeCell ref="AG268:AL268"/>
    <mergeCell ref="AM268:AR268"/>
    <mergeCell ref="AS268:AX268"/>
    <mergeCell ref="C269:M269"/>
    <mergeCell ref="N269:T269"/>
    <mergeCell ref="U269:Z269"/>
    <mergeCell ref="AA269:AF269"/>
    <mergeCell ref="AG269:AL269"/>
    <mergeCell ref="AM269:AR269"/>
    <mergeCell ref="AS269:AX269"/>
    <mergeCell ref="C270:M270"/>
    <mergeCell ref="N270:T270"/>
    <mergeCell ref="U270:Z270"/>
    <mergeCell ref="AA270:AF270"/>
    <mergeCell ref="AG270:AL270"/>
    <mergeCell ref="AM270:AR270"/>
    <mergeCell ref="AS270:AX270"/>
    <mergeCell ref="C271:M271"/>
    <mergeCell ref="N271:T271"/>
    <mergeCell ref="U271:Z271"/>
    <mergeCell ref="AA271:AF271"/>
    <mergeCell ref="AG271:AL271"/>
    <mergeCell ref="AM271:AR271"/>
    <mergeCell ref="AS271:AX271"/>
    <mergeCell ref="C272:M272"/>
    <mergeCell ref="N272:T272"/>
    <mergeCell ref="U272:Z272"/>
    <mergeCell ref="AA272:AF272"/>
    <mergeCell ref="AG272:AL272"/>
    <mergeCell ref="AM272:AR272"/>
    <mergeCell ref="AS272:AX272"/>
    <mergeCell ref="C273:M273"/>
    <mergeCell ref="N273:T273"/>
    <mergeCell ref="U273:Z273"/>
    <mergeCell ref="AA273:AF273"/>
    <mergeCell ref="AG273:AL273"/>
    <mergeCell ref="AM273:AR273"/>
    <mergeCell ref="AS273:AX273"/>
    <mergeCell ref="C274:M274"/>
    <mergeCell ref="N274:T274"/>
    <mergeCell ref="U274:Z274"/>
    <mergeCell ref="AA274:AF274"/>
    <mergeCell ref="AG274:AL274"/>
    <mergeCell ref="AM274:AR274"/>
    <mergeCell ref="AS274:AX274"/>
    <mergeCell ref="C275:M275"/>
    <mergeCell ref="N275:T275"/>
    <mergeCell ref="U275:Z275"/>
    <mergeCell ref="AA275:AF275"/>
    <mergeCell ref="AG275:AL275"/>
    <mergeCell ref="AM275:AR275"/>
    <mergeCell ref="AS275:AX275"/>
    <mergeCell ref="C276:M276"/>
    <mergeCell ref="N276:T276"/>
    <mergeCell ref="U276:Z276"/>
    <mergeCell ref="AA276:AF276"/>
    <mergeCell ref="AG276:AL276"/>
    <mergeCell ref="AM276:AR276"/>
    <mergeCell ref="AS276:AX276"/>
    <mergeCell ref="C277:M277"/>
    <mergeCell ref="N277:T277"/>
    <mergeCell ref="U277:Z277"/>
    <mergeCell ref="AA277:AF277"/>
    <mergeCell ref="AG277:AL277"/>
    <mergeCell ref="AM277:AR277"/>
    <mergeCell ref="AS277:AX277"/>
    <mergeCell ref="C278:M278"/>
    <mergeCell ref="N278:T278"/>
    <mergeCell ref="U278:Z278"/>
    <mergeCell ref="AA278:AF278"/>
    <mergeCell ref="AG278:AL278"/>
    <mergeCell ref="AM278:AR278"/>
    <mergeCell ref="AS278:AX278"/>
    <mergeCell ref="C279:M279"/>
    <mergeCell ref="N279:T279"/>
    <mergeCell ref="U279:Z279"/>
    <mergeCell ref="AA279:AF279"/>
    <mergeCell ref="AG279:AL279"/>
    <mergeCell ref="AM279:AR279"/>
    <mergeCell ref="AS279:AX279"/>
    <mergeCell ref="C280:M280"/>
    <mergeCell ref="N280:T280"/>
    <mergeCell ref="U280:Z280"/>
    <mergeCell ref="AA280:AF280"/>
    <mergeCell ref="AG280:AL280"/>
    <mergeCell ref="AM280:AR280"/>
    <mergeCell ref="AS280:AX280"/>
    <mergeCell ref="C281:M281"/>
    <mergeCell ref="N281:T281"/>
    <mergeCell ref="U281:Z281"/>
    <mergeCell ref="AA281:AF281"/>
    <mergeCell ref="AG281:AL281"/>
    <mergeCell ref="AM281:AR281"/>
    <mergeCell ref="AS281:AX281"/>
    <mergeCell ref="C282:M282"/>
    <mergeCell ref="N282:T282"/>
    <mergeCell ref="U282:Z282"/>
    <mergeCell ref="AA282:AF282"/>
    <mergeCell ref="AG282:AL282"/>
    <mergeCell ref="AM282:AR282"/>
    <mergeCell ref="AS282:AX282"/>
    <mergeCell ref="C283:M283"/>
    <mergeCell ref="N283:T283"/>
    <mergeCell ref="U283:Z283"/>
    <mergeCell ref="AA283:AF283"/>
    <mergeCell ref="AG283:AL283"/>
    <mergeCell ref="AM283:AR283"/>
    <mergeCell ref="AS283:AX283"/>
    <mergeCell ref="C284:M284"/>
    <mergeCell ref="N284:T284"/>
    <mergeCell ref="U284:Z284"/>
    <mergeCell ref="AA284:AF284"/>
    <mergeCell ref="AG284:AL284"/>
    <mergeCell ref="AM284:AR284"/>
    <mergeCell ref="AS284:AX284"/>
    <mergeCell ref="C285:M285"/>
    <mergeCell ref="N285:T285"/>
    <mergeCell ref="U285:Z285"/>
    <mergeCell ref="AA285:AF285"/>
    <mergeCell ref="AG285:AL285"/>
    <mergeCell ref="AM285:AR285"/>
    <mergeCell ref="AS285:AX285"/>
    <mergeCell ref="C286:M286"/>
    <mergeCell ref="N286:T286"/>
    <mergeCell ref="U286:Z286"/>
    <mergeCell ref="AA286:AF286"/>
    <mergeCell ref="AG286:AL286"/>
    <mergeCell ref="AM286:AR286"/>
    <mergeCell ref="AS286:AX286"/>
    <mergeCell ref="C287:M287"/>
    <mergeCell ref="N287:T287"/>
    <mergeCell ref="U287:Z287"/>
    <mergeCell ref="AA287:AF287"/>
    <mergeCell ref="AG287:AL287"/>
    <mergeCell ref="AM287:AR287"/>
    <mergeCell ref="AS287:AX287"/>
    <mergeCell ref="C288:M288"/>
    <mergeCell ref="N288:T288"/>
    <mergeCell ref="U288:Z288"/>
    <mergeCell ref="AA288:AF288"/>
    <mergeCell ref="AG288:AL288"/>
    <mergeCell ref="AM288:AR288"/>
    <mergeCell ref="AS288:AX288"/>
    <mergeCell ref="C289:M289"/>
    <mergeCell ref="N289:T289"/>
    <mergeCell ref="U289:Z289"/>
    <mergeCell ref="AA289:AF289"/>
    <mergeCell ref="AG289:AL289"/>
    <mergeCell ref="AM289:AR289"/>
    <mergeCell ref="AS289:AX289"/>
    <mergeCell ref="C290:M290"/>
    <mergeCell ref="N290:T290"/>
    <mergeCell ref="U290:Z290"/>
    <mergeCell ref="AA290:AF290"/>
    <mergeCell ref="AG290:AL290"/>
    <mergeCell ref="AM290:AR290"/>
    <mergeCell ref="AS290:AX290"/>
    <mergeCell ref="C291:M291"/>
    <mergeCell ref="N291:T291"/>
    <mergeCell ref="U291:Z291"/>
    <mergeCell ref="AA291:AF291"/>
    <mergeCell ref="AG291:AL291"/>
    <mergeCell ref="AM291:AR291"/>
    <mergeCell ref="AS291:AX291"/>
    <mergeCell ref="C292:M292"/>
    <mergeCell ref="N292:T292"/>
    <mergeCell ref="U292:Z292"/>
    <mergeCell ref="AA292:AF292"/>
    <mergeCell ref="AG292:AL292"/>
    <mergeCell ref="AM292:AR292"/>
    <mergeCell ref="AS292:AX292"/>
    <mergeCell ref="C293:M293"/>
    <mergeCell ref="N293:T293"/>
    <mergeCell ref="U293:Z293"/>
    <mergeCell ref="AA293:AF293"/>
    <mergeCell ref="AG293:AL293"/>
    <mergeCell ref="AM293:AR293"/>
    <mergeCell ref="AS293:AX293"/>
    <mergeCell ref="C294:M294"/>
    <mergeCell ref="N294:T294"/>
    <mergeCell ref="U294:Z294"/>
    <mergeCell ref="AA294:AF294"/>
    <mergeCell ref="AG294:AL294"/>
    <mergeCell ref="AM294:AR294"/>
    <mergeCell ref="AS294:AX294"/>
    <mergeCell ref="C295:M295"/>
    <mergeCell ref="N295:T295"/>
    <mergeCell ref="U295:Z295"/>
    <mergeCell ref="AA295:AF295"/>
    <mergeCell ref="AG295:AL295"/>
    <mergeCell ref="AM295:AR295"/>
    <mergeCell ref="AS295:AX295"/>
    <mergeCell ref="C296:M296"/>
    <mergeCell ref="N296:T296"/>
    <mergeCell ref="U296:Z296"/>
    <mergeCell ref="AA296:AF296"/>
    <mergeCell ref="AG296:AL296"/>
    <mergeCell ref="AM296:AR296"/>
    <mergeCell ref="AS296:AX296"/>
    <mergeCell ref="C297:M297"/>
    <mergeCell ref="N297:T297"/>
    <mergeCell ref="U297:Z297"/>
    <mergeCell ref="AA297:AF297"/>
    <mergeCell ref="AG297:AL297"/>
    <mergeCell ref="AM297:AR297"/>
    <mergeCell ref="AS297:AX297"/>
    <mergeCell ref="C298:M298"/>
    <mergeCell ref="N298:T298"/>
    <mergeCell ref="U298:Z298"/>
    <mergeCell ref="AA298:AF298"/>
    <mergeCell ref="AG298:AL298"/>
    <mergeCell ref="AM298:AR298"/>
    <mergeCell ref="AS298:AX298"/>
    <mergeCell ref="C299:M299"/>
    <mergeCell ref="N299:T299"/>
    <mergeCell ref="U299:Z299"/>
    <mergeCell ref="AA299:AF299"/>
    <mergeCell ref="AG299:AL299"/>
    <mergeCell ref="AM299:AR299"/>
    <mergeCell ref="AS299:AX299"/>
    <mergeCell ref="C300:M300"/>
    <mergeCell ref="N300:T300"/>
    <mergeCell ref="U300:Z300"/>
    <mergeCell ref="AA300:AF300"/>
    <mergeCell ref="AG300:AL300"/>
    <mergeCell ref="AM300:AR300"/>
    <mergeCell ref="AS300:AX300"/>
    <mergeCell ref="C301:M301"/>
    <mergeCell ref="N301:T301"/>
    <mergeCell ref="U301:Z301"/>
    <mergeCell ref="AA301:AF301"/>
    <mergeCell ref="AG301:AL301"/>
    <mergeCell ref="AM301:AR301"/>
    <mergeCell ref="AS301:AX301"/>
    <mergeCell ref="C302:M302"/>
    <mergeCell ref="N302:T302"/>
    <mergeCell ref="U302:Z302"/>
    <mergeCell ref="AA302:AF302"/>
    <mergeCell ref="AG302:AL302"/>
    <mergeCell ref="AM302:AR302"/>
    <mergeCell ref="AS302:AX302"/>
    <mergeCell ref="C303:M303"/>
    <mergeCell ref="N303:T303"/>
    <mergeCell ref="U303:Z303"/>
    <mergeCell ref="AA303:AF303"/>
    <mergeCell ref="AG303:AL303"/>
    <mergeCell ref="AM303:AR303"/>
    <mergeCell ref="AS303:AX303"/>
    <mergeCell ref="C304:M304"/>
    <mergeCell ref="N304:T304"/>
    <mergeCell ref="U304:Z304"/>
    <mergeCell ref="AA304:AF304"/>
    <mergeCell ref="AG304:AL304"/>
    <mergeCell ref="AM304:AR304"/>
    <mergeCell ref="AS304:AX304"/>
    <mergeCell ref="C305:M305"/>
    <mergeCell ref="N305:T305"/>
    <mergeCell ref="U305:Z305"/>
    <mergeCell ref="AA305:AF305"/>
    <mergeCell ref="AG305:AL305"/>
    <mergeCell ref="AM305:AR305"/>
    <mergeCell ref="AS305:AX305"/>
    <mergeCell ref="C306:M306"/>
    <mergeCell ref="N306:T306"/>
    <mergeCell ref="U306:Z306"/>
    <mergeCell ref="AA306:AF306"/>
    <mergeCell ref="AG306:AL306"/>
    <mergeCell ref="AM306:AR306"/>
    <mergeCell ref="AS306:AX306"/>
    <mergeCell ref="C307:M307"/>
    <mergeCell ref="N307:T307"/>
    <mergeCell ref="U307:Z307"/>
    <mergeCell ref="AA307:AF307"/>
    <mergeCell ref="AG307:AL307"/>
    <mergeCell ref="AM307:AR307"/>
    <mergeCell ref="AS307:AX307"/>
    <mergeCell ref="C308:M308"/>
    <mergeCell ref="N308:T308"/>
    <mergeCell ref="U308:Z308"/>
    <mergeCell ref="AA308:AF308"/>
    <mergeCell ref="AG308:AL308"/>
    <mergeCell ref="AM308:AR308"/>
    <mergeCell ref="AS308:AX308"/>
    <mergeCell ref="C309:M309"/>
    <mergeCell ref="N309:T309"/>
    <mergeCell ref="U309:Z309"/>
    <mergeCell ref="AA309:AF309"/>
    <mergeCell ref="AG309:AL309"/>
    <mergeCell ref="AM309:AR309"/>
    <mergeCell ref="AS309:AX309"/>
    <mergeCell ref="C310:M310"/>
    <mergeCell ref="N310:T310"/>
    <mergeCell ref="U310:Z310"/>
    <mergeCell ref="AA310:AF310"/>
    <mergeCell ref="AG310:AL310"/>
    <mergeCell ref="AM310:AR310"/>
    <mergeCell ref="AS310:AX310"/>
    <mergeCell ref="C311:M311"/>
    <mergeCell ref="N311:T311"/>
    <mergeCell ref="U311:Z311"/>
    <mergeCell ref="AA311:AF311"/>
    <mergeCell ref="AG311:AL311"/>
    <mergeCell ref="AM311:AR311"/>
    <mergeCell ref="AS311:AX311"/>
    <mergeCell ref="C312:M312"/>
    <mergeCell ref="N312:T312"/>
    <mergeCell ref="U312:Z312"/>
    <mergeCell ref="AA312:AF312"/>
    <mergeCell ref="AG312:AL312"/>
    <mergeCell ref="AM312:AR312"/>
    <mergeCell ref="AS312:AX312"/>
    <mergeCell ref="C313:M313"/>
    <mergeCell ref="N313:T313"/>
    <mergeCell ref="U313:Z313"/>
    <mergeCell ref="AA313:AF313"/>
    <mergeCell ref="AG313:AL313"/>
    <mergeCell ref="AM313:AR313"/>
    <mergeCell ref="AS313:AX313"/>
    <mergeCell ref="C314:M314"/>
    <mergeCell ref="N314:T314"/>
    <mergeCell ref="U314:Z314"/>
    <mergeCell ref="AA314:AF314"/>
    <mergeCell ref="AG314:AL314"/>
    <mergeCell ref="AM314:AR314"/>
    <mergeCell ref="AS314:AX314"/>
    <mergeCell ref="C315:M315"/>
    <mergeCell ref="N315:T315"/>
    <mergeCell ref="U315:Z315"/>
    <mergeCell ref="AA315:AF315"/>
    <mergeCell ref="AG315:AL315"/>
    <mergeCell ref="AM315:AR315"/>
    <mergeCell ref="AS315:AX315"/>
    <mergeCell ref="C316:M316"/>
    <mergeCell ref="N316:T316"/>
    <mergeCell ref="U316:Z316"/>
    <mergeCell ref="AA316:AF316"/>
    <mergeCell ref="AG316:AL316"/>
    <mergeCell ref="AM316:AR316"/>
    <mergeCell ref="AS316:AX316"/>
    <mergeCell ref="C317:M317"/>
    <mergeCell ref="N317:T317"/>
    <mergeCell ref="U317:Z317"/>
    <mergeCell ref="AA317:AF317"/>
    <mergeCell ref="AG317:AL317"/>
    <mergeCell ref="AM317:AR317"/>
    <mergeCell ref="AS317:AX317"/>
    <mergeCell ref="C318:M318"/>
    <mergeCell ref="N318:T318"/>
    <mergeCell ref="U318:Z318"/>
    <mergeCell ref="AA318:AF318"/>
    <mergeCell ref="AG318:AL318"/>
    <mergeCell ref="AM318:AR318"/>
    <mergeCell ref="AS318:AX318"/>
    <mergeCell ref="C319:M319"/>
    <mergeCell ref="N319:T319"/>
    <mergeCell ref="U319:Z319"/>
    <mergeCell ref="AA319:AF319"/>
    <mergeCell ref="AG319:AL319"/>
    <mergeCell ref="AM319:AR319"/>
    <mergeCell ref="AS319:AX319"/>
    <mergeCell ref="C320:M320"/>
    <mergeCell ref="N320:T320"/>
    <mergeCell ref="U320:Z320"/>
    <mergeCell ref="AA320:AF320"/>
    <mergeCell ref="AG320:AL320"/>
    <mergeCell ref="AM320:AR320"/>
    <mergeCell ref="AS320:AX320"/>
    <mergeCell ref="C321:M321"/>
    <mergeCell ref="N321:T321"/>
    <mergeCell ref="U321:Z321"/>
    <mergeCell ref="AA321:AF321"/>
    <mergeCell ref="AG321:AL321"/>
    <mergeCell ref="AM321:AR321"/>
    <mergeCell ref="AS321:AX321"/>
    <mergeCell ref="C322:M322"/>
    <mergeCell ref="N322:T322"/>
    <mergeCell ref="U322:Z322"/>
    <mergeCell ref="AA322:AF322"/>
    <mergeCell ref="AG322:AL322"/>
    <mergeCell ref="AM322:AR322"/>
    <mergeCell ref="AS322:AX322"/>
    <mergeCell ref="C323:M323"/>
    <mergeCell ref="N323:T323"/>
    <mergeCell ref="U323:Z323"/>
    <mergeCell ref="AA323:AF323"/>
    <mergeCell ref="AG323:AL323"/>
    <mergeCell ref="AM323:AR323"/>
    <mergeCell ref="AS323:AX323"/>
    <mergeCell ref="C324:M324"/>
    <mergeCell ref="N324:T324"/>
    <mergeCell ref="U324:Z324"/>
    <mergeCell ref="AA324:AF324"/>
    <mergeCell ref="AG324:AL324"/>
    <mergeCell ref="AM324:AR324"/>
    <mergeCell ref="AS324:AX324"/>
    <mergeCell ref="C325:M325"/>
    <mergeCell ref="N325:T325"/>
    <mergeCell ref="U325:Z325"/>
    <mergeCell ref="AA325:AF325"/>
    <mergeCell ref="AG325:AL325"/>
    <mergeCell ref="AM325:AR325"/>
    <mergeCell ref="AS325:AX325"/>
    <mergeCell ref="C326:M326"/>
    <mergeCell ref="N326:T326"/>
    <mergeCell ref="U326:Z326"/>
    <mergeCell ref="AA326:AF326"/>
    <mergeCell ref="AG326:AL326"/>
    <mergeCell ref="AM326:AR326"/>
    <mergeCell ref="AS326:AX326"/>
    <mergeCell ref="C327:M327"/>
    <mergeCell ref="N327:T327"/>
    <mergeCell ref="U327:Z327"/>
    <mergeCell ref="AA327:AF327"/>
    <mergeCell ref="AG327:AL327"/>
    <mergeCell ref="AM327:AR327"/>
    <mergeCell ref="AS327:AX327"/>
    <mergeCell ref="C328:M328"/>
    <mergeCell ref="N328:T328"/>
    <mergeCell ref="U328:Z328"/>
    <mergeCell ref="AA328:AF328"/>
    <mergeCell ref="AG328:AL328"/>
    <mergeCell ref="AM328:AR328"/>
    <mergeCell ref="AS328:AX328"/>
    <mergeCell ref="C329:M329"/>
    <mergeCell ref="N329:T329"/>
    <mergeCell ref="U329:Z329"/>
    <mergeCell ref="AA329:AF329"/>
    <mergeCell ref="AG329:AL329"/>
    <mergeCell ref="AM329:AR329"/>
    <mergeCell ref="AS329:AX329"/>
    <mergeCell ref="C330:M330"/>
    <mergeCell ref="N330:T330"/>
    <mergeCell ref="U330:Z330"/>
    <mergeCell ref="AA330:AF330"/>
    <mergeCell ref="AG330:AL330"/>
    <mergeCell ref="AM330:AR330"/>
    <mergeCell ref="AS330:AX330"/>
    <mergeCell ref="C331:M331"/>
    <mergeCell ref="N331:T331"/>
    <mergeCell ref="U331:Z331"/>
    <mergeCell ref="AA331:AF331"/>
    <mergeCell ref="AG331:AL331"/>
    <mergeCell ref="AM331:AR331"/>
    <mergeCell ref="AS331:AX331"/>
    <mergeCell ref="C332:M332"/>
    <mergeCell ref="N332:T332"/>
    <mergeCell ref="U332:Z332"/>
    <mergeCell ref="AA332:AF332"/>
    <mergeCell ref="AG332:AL332"/>
    <mergeCell ref="AM332:AR332"/>
    <mergeCell ref="AS332:AX332"/>
    <mergeCell ref="C333:M333"/>
    <mergeCell ref="N333:T333"/>
    <mergeCell ref="U333:Z333"/>
    <mergeCell ref="AA333:AF333"/>
    <mergeCell ref="AG333:AL333"/>
    <mergeCell ref="AM333:AR333"/>
    <mergeCell ref="AS333:AX333"/>
    <mergeCell ref="C334:M334"/>
    <mergeCell ref="N334:T334"/>
    <mergeCell ref="U334:Z334"/>
    <mergeCell ref="AA334:AF334"/>
    <mergeCell ref="AG334:AL334"/>
    <mergeCell ref="AM334:AR334"/>
    <mergeCell ref="AS334:AX334"/>
    <mergeCell ref="C335:M335"/>
    <mergeCell ref="N335:T335"/>
    <mergeCell ref="U335:Z335"/>
    <mergeCell ref="AA335:AF335"/>
    <mergeCell ref="AG335:AL335"/>
    <mergeCell ref="AM335:AR335"/>
    <mergeCell ref="AS335:AX335"/>
    <mergeCell ref="C336:M336"/>
    <mergeCell ref="N336:T336"/>
    <mergeCell ref="U336:Z336"/>
    <mergeCell ref="AA336:AF336"/>
    <mergeCell ref="AG336:AL336"/>
    <mergeCell ref="AM336:AR336"/>
    <mergeCell ref="AS336:AX336"/>
    <mergeCell ref="C337:M337"/>
    <mergeCell ref="N337:T337"/>
    <mergeCell ref="U337:Z337"/>
    <mergeCell ref="AA337:AF337"/>
    <mergeCell ref="AG337:AL337"/>
    <mergeCell ref="AM337:AR337"/>
    <mergeCell ref="AS337:AX337"/>
    <mergeCell ref="C338:M338"/>
    <mergeCell ref="N338:T338"/>
    <mergeCell ref="U338:Z338"/>
    <mergeCell ref="AA338:AF338"/>
    <mergeCell ref="AG338:AL338"/>
    <mergeCell ref="AM338:AR338"/>
    <mergeCell ref="AS338:AX338"/>
    <mergeCell ref="C339:M339"/>
    <mergeCell ref="N339:T339"/>
    <mergeCell ref="U339:Z339"/>
    <mergeCell ref="AA339:AF339"/>
    <mergeCell ref="AG339:AL339"/>
    <mergeCell ref="AM339:AR339"/>
    <mergeCell ref="AS339:AX339"/>
    <mergeCell ref="C340:M340"/>
    <mergeCell ref="N340:T340"/>
    <mergeCell ref="U340:Z340"/>
    <mergeCell ref="AA340:AF340"/>
    <mergeCell ref="AG340:AL340"/>
    <mergeCell ref="AM340:AR340"/>
    <mergeCell ref="AS340:AX340"/>
    <mergeCell ref="C341:M341"/>
    <mergeCell ref="N341:T341"/>
    <mergeCell ref="U341:Z341"/>
    <mergeCell ref="AA341:AF341"/>
    <mergeCell ref="AG341:AL341"/>
    <mergeCell ref="AM341:AR341"/>
    <mergeCell ref="AS341:AX341"/>
    <mergeCell ref="C342:M342"/>
    <mergeCell ref="N342:T342"/>
    <mergeCell ref="U342:Z342"/>
    <mergeCell ref="AA342:AF342"/>
    <mergeCell ref="AG342:AL342"/>
    <mergeCell ref="AM342:AR342"/>
    <mergeCell ref="AS342:AX342"/>
    <mergeCell ref="C343:M343"/>
    <mergeCell ref="N343:T343"/>
    <mergeCell ref="U343:Z343"/>
    <mergeCell ref="AA343:AF343"/>
    <mergeCell ref="AG343:AL343"/>
    <mergeCell ref="AM343:AR343"/>
    <mergeCell ref="AS343:AX343"/>
    <mergeCell ref="C344:M344"/>
    <mergeCell ref="N344:T344"/>
    <mergeCell ref="U344:Z344"/>
    <mergeCell ref="AA344:AF344"/>
    <mergeCell ref="AG344:AL344"/>
    <mergeCell ref="AM344:AR344"/>
    <mergeCell ref="AS344:AX344"/>
    <mergeCell ref="C345:M345"/>
    <mergeCell ref="N345:T345"/>
    <mergeCell ref="U345:Z345"/>
    <mergeCell ref="AA345:AF345"/>
    <mergeCell ref="AG345:AL345"/>
    <mergeCell ref="AM345:AR345"/>
    <mergeCell ref="AS345:AX345"/>
    <mergeCell ref="C346:M346"/>
    <mergeCell ref="N346:T346"/>
    <mergeCell ref="U346:Z346"/>
    <mergeCell ref="AA346:AF346"/>
    <mergeCell ref="AG346:AL346"/>
    <mergeCell ref="AM346:AR346"/>
    <mergeCell ref="AS346:AX346"/>
    <mergeCell ref="C347:M347"/>
    <mergeCell ref="N347:T347"/>
    <mergeCell ref="U347:Z347"/>
    <mergeCell ref="AA347:AF347"/>
    <mergeCell ref="AG347:AL347"/>
    <mergeCell ref="AM347:AR347"/>
    <mergeCell ref="AS347:AX347"/>
    <mergeCell ref="C348:M348"/>
    <mergeCell ref="N348:T348"/>
    <mergeCell ref="U348:Z348"/>
    <mergeCell ref="AA348:AF348"/>
    <mergeCell ref="AG348:AL348"/>
    <mergeCell ref="AM348:AR348"/>
    <mergeCell ref="AS348:AX348"/>
    <mergeCell ref="C349:M349"/>
    <mergeCell ref="N349:T349"/>
    <mergeCell ref="U349:Z349"/>
    <mergeCell ref="AA349:AF349"/>
    <mergeCell ref="AG349:AL349"/>
    <mergeCell ref="AM349:AR349"/>
    <mergeCell ref="AS349:AX349"/>
    <mergeCell ref="C350:M350"/>
    <mergeCell ref="N350:T350"/>
    <mergeCell ref="U350:Z350"/>
    <mergeCell ref="AA350:AF350"/>
    <mergeCell ref="AG350:AL350"/>
    <mergeCell ref="AM350:AR350"/>
    <mergeCell ref="AS350:AX350"/>
    <mergeCell ref="C351:M351"/>
    <mergeCell ref="N351:T351"/>
    <mergeCell ref="U351:Z351"/>
    <mergeCell ref="AA351:AF351"/>
    <mergeCell ref="AG351:AL351"/>
    <mergeCell ref="AM351:AR351"/>
    <mergeCell ref="AS351:AX351"/>
    <mergeCell ref="C352:M352"/>
    <mergeCell ref="N352:T352"/>
    <mergeCell ref="U352:Z352"/>
    <mergeCell ref="AA352:AF352"/>
    <mergeCell ref="AG352:AL352"/>
    <mergeCell ref="AM352:AR352"/>
    <mergeCell ref="AS352:AX352"/>
    <mergeCell ref="C353:M353"/>
    <mergeCell ref="N353:T353"/>
    <mergeCell ref="U353:Z353"/>
    <mergeCell ref="AA353:AF353"/>
    <mergeCell ref="AG353:AL353"/>
    <mergeCell ref="AM353:AR353"/>
    <mergeCell ref="AS353:AX353"/>
    <mergeCell ref="C354:M354"/>
    <mergeCell ref="N354:T354"/>
    <mergeCell ref="U354:Z354"/>
    <mergeCell ref="AA354:AF354"/>
    <mergeCell ref="AG354:AL354"/>
    <mergeCell ref="AM354:AR354"/>
    <mergeCell ref="AS354:AX354"/>
    <mergeCell ref="C355:M355"/>
    <mergeCell ref="N355:T355"/>
    <mergeCell ref="U355:Z355"/>
    <mergeCell ref="AA355:AF355"/>
    <mergeCell ref="AG355:AL355"/>
    <mergeCell ref="AM355:AR355"/>
    <mergeCell ref="AS355:AX355"/>
    <mergeCell ref="C356:M356"/>
    <mergeCell ref="N356:T356"/>
    <mergeCell ref="U356:Z356"/>
    <mergeCell ref="AA356:AF356"/>
    <mergeCell ref="AG356:AL356"/>
    <mergeCell ref="AM356:AR356"/>
    <mergeCell ref="AS356:AX356"/>
    <mergeCell ref="C357:M357"/>
    <mergeCell ref="N357:T357"/>
    <mergeCell ref="U357:Z357"/>
    <mergeCell ref="AA357:AF357"/>
    <mergeCell ref="AG357:AL357"/>
    <mergeCell ref="AM357:AR357"/>
    <mergeCell ref="AS357:AX357"/>
    <mergeCell ref="C358:M358"/>
    <mergeCell ref="N358:T358"/>
    <mergeCell ref="U358:Z358"/>
    <mergeCell ref="AA358:AF358"/>
    <mergeCell ref="AG358:AL358"/>
    <mergeCell ref="AM358:AR358"/>
    <mergeCell ref="AS358:AX358"/>
    <mergeCell ref="C359:M359"/>
    <mergeCell ref="N359:T359"/>
    <mergeCell ref="U359:Z359"/>
    <mergeCell ref="AA359:AF359"/>
    <mergeCell ref="AG359:AL359"/>
    <mergeCell ref="AM359:AR359"/>
    <mergeCell ref="AS359:AX359"/>
    <mergeCell ref="C360:M360"/>
    <mergeCell ref="N360:T360"/>
    <mergeCell ref="U360:Z360"/>
    <mergeCell ref="AA360:AF360"/>
    <mergeCell ref="AG360:AL360"/>
    <mergeCell ref="AM360:AR360"/>
    <mergeCell ref="AS360:AX360"/>
    <mergeCell ref="C361:M361"/>
    <mergeCell ref="N361:T361"/>
    <mergeCell ref="U361:Z361"/>
    <mergeCell ref="AA361:AF361"/>
    <mergeCell ref="AG361:AL361"/>
    <mergeCell ref="AM361:AR361"/>
    <mergeCell ref="AS361:AX361"/>
    <mergeCell ref="C362:M362"/>
    <mergeCell ref="N362:T362"/>
    <mergeCell ref="U362:Z362"/>
    <mergeCell ref="AA362:AF362"/>
    <mergeCell ref="AG362:AL362"/>
    <mergeCell ref="AM362:AR362"/>
    <mergeCell ref="AS362:AX362"/>
    <mergeCell ref="C363:M363"/>
    <mergeCell ref="N363:T363"/>
    <mergeCell ref="U363:Z363"/>
    <mergeCell ref="AA363:AF363"/>
    <mergeCell ref="AG363:AL363"/>
    <mergeCell ref="AM363:AR363"/>
    <mergeCell ref="AS363:AX363"/>
    <mergeCell ref="C364:M364"/>
    <mergeCell ref="N364:T364"/>
    <mergeCell ref="U364:Z364"/>
    <mergeCell ref="AA364:AF364"/>
    <mergeCell ref="AG364:AL364"/>
    <mergeCell ref="AM364:AR364"/>
    <mergeCell ref="AS364:AX364"/>
    <mergeCell ref="C365:M365"/>
    <mergeCell ref="N365:T365"/>
    <mergeCell ref="U365:Z365"/>
    <mergeCell ref="AA365:AF365"/>
    <mergeCell ref="AG365:AL365"/>
    <mergeCell ref="AM365:AR365"/>
    <mergeCell ref="AS365:AX365"/>
    <mergeCell ref="C366:M366"/>
    <mergeCell ref="N366:T366"/>
    <mergeCell ref="U366:Z366"/>
    <mergeCell ref="AA366:AF366"/>
    <mergeCell ref="AG366:AL366"/>
    <mergeCell ref="AM366:AR366"/>
    <mergeCell ref="AS366:AX366"/>
    <mergeCell ref="C367:M367"/>
    <mergeCell ref="N367:T367"/>
    <mergeCell ref="U367:Z367"/>
    <mergeCell ref="AA367:AF367"/>
    <mergeCell ref="AG367:AL367"/>
    <mergeCell ref="AM367:AR367"/>
    <mergeCell ref="AS367:AX367"/>
    <mergeCell ref="C368:M368"/>
    <mergeCell ref="N368:T368"/>
    <mergeCell ref="U368:Z368"/>
    <mergeCell ref="AA368:AF368"/>
    <mergeCell ref="AG368:AL368"/>
    <mergeCell ref="AM368:AR368"/>
    <mergeCell ref="AS368:AX368"/>
    <mergeCell ref="C369:M369"/>
    <mergeCell ref="N369:T369"/>
    <mergeCell ref="U369:Z369"/>
    <mergeCell ref="AA369:AF369"/>
    <mergeCell ref="AG369:AL369"/>
    <mergeCell ref="AM369:AR369"/>
    <mergeCell ref="AS369:AX369"/>
    <mergeCell ref="C370:M370"/>
    <mergeCell ref="N370:T370"/>
    <mergeCell ref="U370:Z370"/>
    <mergeCell ref="AA370:AF370"/>
    <mergeCell ref="AG370:AL370"/>
    <mergeCell ref="AM370:AR370"/>
    <mergeCell ref="AS370:AX370"/>
    <mergeCell ref="C371:M371"/>
    <mergeCell ref="N371:T371"/>
    <mergeCell ref="U371:Z371"/>
    <mergeCell ref="AA371:AF371"/>
    <mergeCell ref="AG371:AL371"/>
    <mergeCell ref="AM371:AR371"/>
    <mergeCell ref="AS371:AX371"/>
    <mergeCell ref="C372:M372"/>
    <mergeCell ref="N372:T372"/>
    <mergeCell ref="U372:Z372"/>
    <mergeCell ref="AA372:AF372"/>
    <mergeCell ref="AG372:AL372"/>
    <mergeCell ref="AM372:AR372"/>
    <mergeCell ref="AS372:AX372"/>
    <mergeCell ref="C373:M373"/>
    <mergeCell ref="N373:T373"/>
    <mergeCell ref="U373:Z373"/>
    <mergeCell ref="AA373:AF373"/>
    <mergeCell ref="AG373:AL373"/>
    <mergeCell ref="AM373:AR373"/>
    <mergeCell ref="AS373:AX373"/>
    <mergeCell ref="C374:M374"/>
    <mergeCell ref="N374:T374"/>
    <mergeCell ref="U374:Z374"/>
    <mergeCell ref="AA374:AF374"/>
    <mergeCell ref="AG374:AL374"/>
    <mergeCell ref="AM374:AR374"/>
    <mergeCell ref="AS374:AX374"/>
    <mergeCell ref="C375:M375"/>
    <mergeCell ref="N375:T375"/>
    <mergeCell ref="U375:Z375"/>
    <mergeCell ref="AA375:AF375"/>
    <mergeCell ref="AG375:AL375"/>
    <mergeCell ref="AM375:AR375"/>
    <mergeCell ref="AS375:AX375"/>
    <mergeCell ref="C376:M376"/>
    <mergeCell ref="N376:T376"/>
    <mergeCell ref="U376:Z376"/>
    <mergeCell ref="AA376:AF376"/>
    <mergeCell ref="AG376:AL376"/>
    <mergeCell ref="AM376:AR376"/>
    <mergeCell ref="AS376:AX376"/>
    <mergeCell ref="C377:M377"/>
    <mergeCell ref="N377:T377"/>
    <mergeCell ref="U377:Z377"/>
    <mergeCell ref="AA377:AF377"/>
    <mergeCell ref="AG377:AL377"/>
    <mergeCell ref="AM377:AR377"/>
    <mergeCell ref="AS377:AX377"/>
    <mergeCell ref="C378:M378"/>
    <mergeCell ref="N378:T378"/>
    <mergeCell ref="U378:Z378"/>
    <mergeCell ref="AA378:AF378"/>
    <mergeCell ref="AG378:AL378"/>
    <mergeCell ref="AM378:AR378"/>
    <mergeCell ref="AS378:AX378"/>
    <mergeCell ref="C379:M379"/>
    <mergeCell ref="N379:T379"/>
    <mergeCell ref="U379:Z379"/>
    <mergeCell ref="AA379:AF379"/>
    <mergeCell ref="AG379:AL379"/>
    <mergeCell ref="AM379:AR379"/>
    <mergeCell ref="AS379:AX379"/>
    <mergeCell ref="C380:M380"/>
    <mergeCell ref="N380:T380"/>
    <mergeCell ref="U380:Z380"/>
    <mergeCell ref="AA380:AF380"/>
    <mergeCell ref="AG380:AL380"/>
    <mergeCell ref="AM380:AR380"/>
    <mergeCell ref="AS380:AX380"/>
    <mergeCell ref="C381:M381"/>
    <mergeCell ref="N381:T381"/>
    <mergeCell ref="U381:Z381"/>
    <mergeCell ref="AA381:AF381"/>
    <mergeCell ref="AG381:AL381"/>
    <mergeCell ref="AM381:AR381"/>
    <mergeCell ref="AS381:AX381"/>
    <mergeCell ref="C382:M382"/>
    <mergeCell ref="N382:T382"/>
    <mergeCell ref="U382:Z382"/>
    <mergeCell ref="AA382:AF382"/>
    <mergeCell ref="AG382:AL382"/>
    <mergeCell ref="AM382:AR382"/>
    <mergeCell ref="AS382:AX382"/>
    <mergeCell ref="C383:M383"/>
    <mergeCell ref="N383:T383"/>
    <mergeCell ref="U383:Z383"/>
    <mergeCell ref="AA383:AF383"/>
    <mergeCell ref="AG383:AL383"/>
    <mergeCell ref="AM383:AR383"/>
    <mergeCell ref="AS383:AX383"/>
    <mergeCell ref="C384:M384"/>
    <mergeCell ref="N384:T384"/>
    <mergeCell ref="U384:Z384"/>
    <mergeCell ref="AA384:AF384"/>
    <mergeCell ref="AG384:AL384"/>
    <mergeCell ref="AM384:AR384"/>
    <mergeCell ref="AS384:AX384"/>
    <mergeCell ref="C385:M385"/>
    <mergeCell ref="N385:T385"/>
    <mergeCell ref="U385:Z385"/>
    <mergeCell ref="AA385:AF385"/>
    <mergeCell ref="AG385:AL385"/>
    <mergeCell ref="AM385:AR385"/>
    <mergeCell ref="AS385:AX385"/>
    <mergeCell ref="C386:M386"/>
    <mergeCell ref="N386:T386"/>
    <mergeCell ref="U386:Z386"/>
    <mergeCell ref="AA386:AF386"/>
    <mergeCell ref="AG386:AL386"/>
    <mergeCell ref="AM386:AR386"/>
    <mergeCell ref="AS386:AX386"/>
    <mergeCell ref="C387:M387"/>
    <mergeCell ref="N387:T387"/>
    <mergeCell ref="U387:Z387"/>
    <mergeCell ref="AA387:AF387"/>
    <mergeCell ref="AG387:AL387"/>
    <mergeCell ref="AM387:AR387"/>
    <mergeCell ref="AS387:AX387"/>
    <mergeCell ref="C388:M388"/>
    <mergeCell ref="N388:T388"/>
    <mergeCell ref="U388:Z388"/>
    <mergeCell ref="AA388:AF388"/>
    <mergeCell ref="AG388:AL388"/>
    <mergeCell ref="AM388:AR388"/>
    <mergeCell ref="AS388:AX388"/>
    <mergeCell ref="C389:M389"/>
    <mergeCell ref="N389:T389"/>
    <mergeCell ref="U389:Z389"/>
    <mergeCell ref="AA389:AF389"/>
    <mergeCell ref="AG389:AL389"/>
    <mergeCell ref="AM389:AR389"/>
    <mergeCell ref="AS389:AX389"/>
    <mergeCell ref="C390:M390"/>
    <mergeCell ref="N390:T390"/>
    <mergeCell ref="U390:Z390"/>
    <mergeCell ref="AA390:AF390"/>
    <mergeCell ref="AG390:AL390"/>
    <mergeCell ref="AM390:AR390"/>
    <mergeCell ref="AS390:AX390"/>
    <mergeCell ref="C391:M391"/>
    <mergeCell ref="N391:T391"/>
    <mergeCell ref="U391:Z391"/>
    <mergeCell ref="AA391:AF391"/>
    <mergeCell ref="AG391:AL391"/>
    <mergeCell ref="AM391:AR391"/>
    <mergeCell ref="AS391:AX391"/>
    <mergeCell ref="C392:M392"/>
    <mergeCell ref="N392:T392"/>
    <mergeCell ref="U392:Z392"/>
    <mergeCell ref="AA392:AF392"/>
    <mergeCell ref="AG392:AL392"/>
    <mergeCell ref="AM392:AR392"/>
    <mergeCell ref="AS392:AX392"/>
    <mergeCell ref="C393:M393"/>
    <mergeCell ref="N393:T393"/>
    <mergeCell ref="U393:Z393"/>
    <mergeCell ref="AA393:AF393"/>
    <mergeCell ref="AG393:AL393"/>
    <mergeCell ref="AM393:AR393"/>
    <mergeCell ref="AS393:AX393"/>
    <mergeCell ref="C394:M394"/>
    <mergeCell ref="N394:T394"/>
    <mergeCell ref="U394:Z394"/>
    <mergeCell ref="AA394:AF394"/>
    <mergeCell ref="AG394:AL394"/>
    <mergeCell ref="AM394:AR394"/>
    <mergeCell ref="AS394:AX394"/>
    <mergeCell ref="C395:M395"/>
    <mergeCell ref="N395:T395"/>
    <mergeCell ref="U395:Z395"/>
    <mergeCell ref="AA395:AF395"/>
    <mergeCell ref="AG395:AL395"/>
    <mergeCell ref="AM395:AR395"/>
    <mergeCell ref="AS395:AX395"/>
    <mergeCell ref="C396:M396"/>
    <mergeCell ref="N396:T396"/>
    <mergeCell ref="U396:Z396"/>
    <mergeCell ref="AA396:AF396"/>
    <mergeCell ref="AG396:AL396"/>
    <mergeCell ref="AM396:AR396"/>
    <mergeCell ref="AS396:AX396"/>
    <mergeCell ref="C397:M397"/>
    <mergeCell ref="N397:T397"/>
    <mergeCell ref="U397:Z397"/>
    <mergeCell ref="AA397:AF397"/>
    <mergeCell ref="AG397:AL397"/>
    <mergeCell ref="AM397:AR397"/>
    <mergeCell ref="AS397:AX397"/>
    <mergeCell ref="C398:M398"/>
    <mergeCell ref="N398:T398"/>
    <mergeCell ref="U398:Z398"/>
    <mergeCell ref="AA398:AF398"/>
    <mergeCell ref="AG398:AL398"/>
    <mergeCell ref="AM398:AR398"/>
    <mergeCell ref="AS398:AX398"/>
    <mergeCell ref="C399:M399"/>
    <mergeCell ref="N399:T399"/>
    <mergeCell ref="U399:Z399"/>
    <mergeCell ref="AA399:AF399"/>
    <mergeCell ref="AG399:AL399"/>
    <mergeCell ref="AM399:AR399"/>
    <mergeCell ref="AS399:AX399"/>
    <mergeCell ref="C400:M400"/>
    <mergeCell ref="N400:T400"/>
    <mergeCell ref="U400:Z400"/>
    <mergeCell ref="AA400:AF400"/>
    <mergeCell ref="AG400:AL400"/>
    <mergeCell ref="AM400:AR400"/>
    <mergeCell ref="AS400:AX400"/>
    <mergeCell ref="C401:M401"/>
    <mergeCell ref="N401:T401"/>
    <mergeCell ref="U401:Z401"/>
    <mergeCell ref="AA401:AF401"/>
    <mergeCell ref="AG401:AL401"/>
    <mergeCell ref="AM401:AR401"/>
    <mergeCell ref="AS401:AX401"/>
    <mergeCell ref="C402:M402"/>
    <mergeCell ref="N402:T402"/>
    <mergeCell ref="U402:Z402"/>
    <mergeCell ref="AA402:AF402"/>
    <mergeCell ref="AG402:AL402"/>
    <mergeCell ref="AM402:AR402"/>
    <mergeCell ref="AS402:AX402"/>
    <mergeCell ref="C403:M403"/>
    <mergeCell ref="N403:T403"/>
    <mergeCell ref="U403:Z403"/>
    <mergeCell ref="AA403:AF403"/>
    <mergeCell ref="AG403:AL403"/>
    <mergeCell ref="AM403:AR403"/>
    <mergeCell ref="AS403:AX403"/>
    <mergeCell ref="C404:M404"/>
    <mergeCell ref="N404:T404"/>
    <mergeCell ref="U404:Z404"/>
    <mergeCell ref="AA404:AF404"/>
    <mergeCell ref="AG404:AL404"/>
    <mergeCell ref="AM404:AR404"/>
    <mergeCell ref="AS404:AX404"/>
    <mergeCell ref="C405:M405"/>
    <mergeCell ref="N405:T405"/>
    <mergeCell ref="U405:Z405"/>
    <mergeCell ref="AA405:AF405"/>
    <mergeCell ref="AG405:AL405"/>
    <mergeCell ref="AM405:AR405"/>
    <mergeCell ref="AS405:AX405"/>
    <mergeCell ref="C406:M406"/>
    <mergeCell ref="N406:T406"/>
    <mergeCell ref="U406:Z406"/>
    <mergeCell ref="AA406:AF406"/>
    <mergeCell ref="AG406:AL406"/>
    <mergeCell ref="AM406:AR406"/>
    <mergeCell ref="AS406:AX406"/>
    <mergeCell ref="C407:M407"/>
    <mergeCell ref="N407:T407"/>
    <mergeCell ref="U407:Z407"/>
    <mergeCell ref="AA407:AF407"/>
    <mergeCell ref="AG407:AL407"/>
    <mergeCell ref="AM407:AR407"/>
    <mergeCell ref="AS407:AX407"/>
    <mergeCell ref="C408:M408"/>
    <mergeCell ref="N408:T408"/>
    <mergeCell ref="U408:Z408"/>
    <mergeCell ref="AA408:AF408"/>
    <mergeCell ref="AG408:AL408"/>
    <mergeCell ref="AM408:AR408"/>
    <mergeCell ref="AS408:AX408"/>
    <mergeCell ref="C409:M409"/>
    <mergeCell ref="N409:T409"/>
    <mergeCell ref="U409:Z409"/>
    <mergeCell ref="AA409:AF409"/>
    <mergeCell ref="AG409:AL409"/>
    <mergeCell ref="AM409:AR409"/>
    <mergeCell ref="AS409:AX409"/>
    <mergeCell ref="C410:M410"/>
    <mergeCell ref="N410:T410"/>
    <mergeCell ref="U410:Z410"/>
    <mergeCell ref="AA410:AF410"/>
    <mergeCell ref="AG410:AL410"/>
    <mergeCell ref="AM410:AR410"/>
    <mergeCell ref="AS410:AX410"/>
    <mergeCell ref="C411:M411"/>
    <mergeCell ref="N411:T411"/>
    <mergeCell ref="U411:Z411"/>
    <mergeCell ref="AA411:AF411"/>
    <mergeCell ref="AG411:AL411"/>
    <mergeCell ref="AM411:AR411"/>
    <mergeCell ref="AS411:AX411"/>
    <mergeCell ref="C412:M412"/>
    <mergeCell ref="N412:T412"/>
    <mergeCell ref="U412:Z412"/>
    <mergeCell ref="AA412:AF412"/>
    <mergeCell ref="AG412:AL412"/>
    <mergeCell ref="AM412:AR412"/>
    <mergeCell ref="AS412:AX412"/>
    <mergeCell ref="C413:M413"/>
    <mergeCell ref="N413:T413"/>
    <mergeCell ref="U413:Z413"/>
    <mergeCell ref="AA413:AF413"/>
    <mergeCell ref="AG413:AL413"/>
    <mergeCell ref="AM413:AR413"/>
    <mergeCell ref="AS413:AX413"/>
    <mergeCell ref="C414:M414"/>
    <mergeCell ref="N414:T414"/>
    <mergeCell ref="U414:Z414"/>
    <mergeCell ref="AA414:AF414"/>
    <mergeCell ref="AG414:AL414"/>
    <mergeCell ref="AM414:AR414"/>
    <mergeCell ref="AS414:AX414"/>
    <mergeCell ref="C415:M415"/>
    <mergeCell ref="N415:T415"/>
    <mergeCell ref="U415:Z415"/>
    <mergeCell ref="AA415:AF415"/>
    <mergeCell ref="AG415:AL415"/>
    <mergeCell ref="AM415:AR415"/>
    <mergeCell ref="AS415:AX415"/>
    <mergeCell ref="C416:M416"/>
    <mergeCell ref="N416:T416"/>
    <mergeCell ref="U416:Z416"/>
    <mergeCell ref="AA416:AF416"/>
    <mergeCell ref="AG416:AL416"/>
    <mergeCell ref="AM416:AR416"/>
    <mergeCell ref="AS416:AX416"/>
    <mergeCell ref="C417:M417"/>
    <mergeCell ref="N417:T417"/>
    <mergeCell ref="U417:Z417"/>
    <mergeCell ref="AA417:AF417"/>
    <mergeCell ref="AG417:AL417"/>
    <mergeCell ref="AM417:AR417"/>
    <mergeCell ref="AS417:AX417"/>
    <mergeCell ref="C418:AF418"/>
    <mergeCell ref="AG418:AL418"/>
    <mergeCell ref="AM418:AR418"/>
    <mergeCell ref="AS418:AX418"/>
    <mergeCell ref="AH420:AR420"/>
    <mergeCell ref="AS420:AX420"/>
    <mergeCell ref="AH421:AR421"/>
    <mergeCell ref="AS421:AX421"/>
    <mergeCell ref="AH422:AR422"/>
    <mergeCell ref="AS422:AX422"/>
    <mergeCell ref="B426:C430"/>
    <mergeCell ref="AA426:AB430"/>
    <mergeCell ref="C424:AX425"/>
    <mergeCell ref="S427:Z428"/>
    <mergeCell ref="AQ427:AX428"/>
    <mergeCell ref="L1:M6"/>
    <mergeCell ref="R3:AM4"/>
    <mergeCell ref="R5:AM6"/>
    <mergeCell ref="D429:M430"/>
    <mergeCell ref="N429:R430"/>
    <mergeCell ref="S429:Z430"/>
    <mergeCell ref="AQ429:AX430"/>
    <mergeCell ref="N427:R428"/>
    <mergeCell ref="AL427:AP428"/>
    <mergeCell ref="AL429:AP430"/>
    <mergeCell ref="AC429:AK430"/>
  </mergeCells>
  <pageMargins left="0.905511811023622" right="0.905511811023622" top="0.748031496062992" bottom="0.590551181102362" header="0.31496062992126" footer="0.31496062992126"/>
  <pageSetup paperSize="9" scale="93" fitToHeight="0" orientation="landscape"/>
  <headerFooter/>
  <rowBreaks count="1" manualBreakCount="1">
    <brk id="214"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9">
    <tabColor theme="9" tint="0.599993896298105"/>
    <pageSetUpPr fitToPage="1"/>
  </sheetPr>
  <dimension ref="A1:AX229"/>
  <sheetViews>
    <sheetView showGridLines="0" topLeftCell="A9" workbookViewId="0">
      <selection activeCell="BJ22" sqref="BJ22"/>
    </sheetView>
  </sheetViews>
  <sheetFormatPr defaultColWidth="2.42857142857143" defaultRowHeight="12"/>
  <cols>
    <col min="1" max="1" width="2.57142857142857" style="690" customWidth="1"/>
    <col min="2" max="2" width="4.42857142857143" style="690" customWidth="1"/>
    <col min="3" max="3" width="2.57142857142857" style="690" customWidth="1"/>
    <col min="4" max="11" width="3" style="690" customWidth="1"/>
    <col min="12" max="20" width="2.42857142857143" style="690"/>
    <col min="21" max="50" width="2.71428571428571" style="690" customWidth="1"/>
    <col min="51" max="16384" width="2.42857142857143" style="690"/>
  </cols>
  <sheetData>
    <row r="1" ht="21" customHeight="1" spans="1:50">
      <c r="A1" s="691" t="s">
        <v>6686</v>
      </c>
      <c r="B1" s="692"/>
      <c r="C1" s="692"/>
      <c r="D1" s="692"/>
      <c r="E1" s="692"/>
      <c r="F1" s="692"/>
      <c r="G1" s="692"/>
      <c r="H1" s="692"/>
      <c r="I1" s="692"/>
      <c r="J1" s="692"/>
      <c r="K1" s="693"/>
      <c r="L1" s="694" t="s">
        <v>6554</v>
      </c>
      <c r="M1" s="695"/>
      <c r="N1" s="696" t="s">
        <v>6555</v>
      </c>
      <c r="O1" s="697"/>
      <c r="P1" s="697"/>
      <c r="Q1" s="697"/>
      <c r="R1" s="698" t="str">
        <f>UnosPod!F8</f>
        <v>LILIUM ASSET MANAGEMENT d.o.o. Sarajevo</v>
      </c>
      <c r="S1" s="698"/>
      <c r="T1" s="698"/>
      <c r="U1" s="698"/>
      <c r="V1" s="698"/>
      <c r="W1" s="698"/>
      <c r="X1" s="698"/>
      <c r="Y1" s="698"/>
      <c r="Z1" s="698"/>
      <c r="AA1" s="698"/>
      <c r="AB1" s="698"/>
      <c r="AC1" s="698"/>
      <c r="AD1" s="698"/>
      <c r="AE1" s="698"/>
      <c r="AF1" s="698"/>
      <c r="AG1" s="698"/>
      <c r="AH1" s="698"/>
      <c r="AI1" s="698"/>
      <c r="AJ1" s="698"/>
      <c r="AK1" s="698"/>
      <c r="AL1" s="698"/>
      <c r="AM1" s="699"/>
      <c r="AN1" s="700" t="s">
        <v>6489</v>
      </c>
      <c r="AO1" s="701"/>
      <c r="AP1" s="701"/>
      <c r="AQ1" s="701"/>
      <c r="AR1" s="701"/>
      <c r="AS1" s="701"/>
      <c r="AT1" s="701"/>
      <c r="AU1" s="701"/>
      <c r="AV1" s="701"/>
      <c r="AW1" s="701"/>
      <c r="AX1" s="702"/>
    </row>
    <row r="2" ht="18" customHeight="1" spans="1:50">
      <c r="A2" s="703"/>
      <c r="B2" s="704"/>
      <c r="C2" s="704"/>
      <c r="D2" s="704"/>
      <c r="E2" s="704"/>
      <c r="F2" s="704"/>
      <c r="G2" s="704"/>
      <c r="H2" s="704"/>
      <c r="I2" s="704"/>
      <c r="J2" s="704"/>
      <c r="K2" s="705"/>
      <c r="L2" s="706"/>
      <c r="M2" s="707"/>
      <c r="N2" s="696" t="s">
        <v>6556</v>
      </c>
      <c r="O2" s="697"/>
      <c r="P2" s="697"/>
      <c r="Q2" s="697"/>
      <c r="R2" s="852">
        <f>UnosPod!AA8</f>
        <v>4</v>
      </c>
      <c r="S2" s="852">
        <f>UnosPod!AB8</f>
        <v>2</v>
      </c>
      <c r="T2" s="852">
        <f>UnosPod!AC8</f>
        <v>0</v>
      </c>
      <c r="U2" s="852">
        <f>UnosPod!AD8</f>
        <v>1</v>
      </c>
      <c r="V2" s="852">
        <f>UnosPod!AE8</f>
        <v>3</v>
      </c>
      <c r="W2" s="852">
        <f>UnosPod!AF8</f>
        <v>3</v>
      </c>
      <c r="X2" s="852">
        <f>UnosPod!AG8</f>
        <v>7</v>
      </c>
      <c r="Y2" s="852">
        <f>UnosPod!AH8</f>
        <v>6</v>
      </c>
      <c r="Z2" s="852">
        <f>UnosPod!AI8</f>
        <v>7</v>
      </c>
      <c r="AA2" s="852">
        <f>UnosPod!AJ8</f>
        <v>0</v>
      </c>
      <c r="AB2" s="852">
        <f>UnosPod!AK8</f>
        <v>0</v>
      </c>
      <c r="AC2" s="852">
        <f>UnosPod!AL8</f>
        <v>0</v>
      </c>
      <c r="AD2" s="852">
        <f>UnosPod!AM8</f>
        <v>9</v>
      </c>
      <c r="AE2" s="852"/>
      <c r="AF2" s="698"/>
      <c r="AG2" s="698"/>
      <c r="AH2" s="698"/>
      <c r="AI2" s="698"/>
      <c r="AJ2" s="698"/>
      <c r="AK2" s="698"/>
      <c r="AL2" s="698"/>
      <c r="AM2" s="698"/>
      <c r="AN2" s="711"/>
      <c r="AX2" s="712"/>
    </row>
    <row r="3" ht="10.5" customHeight="1" spans="1:50">
      <c r="A3" s="703" t="s">
        <v>6490</v>
      </c>
      <c r="B3" s="704"/>
      <c r="C3" s="704"/>
      <c r="D3" s="704"/>
      <c r="E3" s="704"/>
      <c r="F3" s="704"/>
      <c r="G3" s="704"/>
      <c r="H3" s="704"/>
      <c r="I3" s="704"/>
      <c r="J3" s="704"/>
      <c r="K3" s="705"/>
      <c r="L3" s="706"/>
      <c r="M3" s="707"/>
      <c r="N3" s="713"/>
      <c r="O3" s="708"/>
      <c r="P3" s="708"/>
      <c r="Q3" s="708"/>
      <c r="R3" s="2976" t="str">
        <f>UnosPod!F10</f>
        <v>Dženetića čikma br.8</v>
      </c>
      <c r="S3" s="2976"/>
      <c r="T3" s="2976"/>
      <c r="U3" s="2976"/>
      <c r="V3" s="2976"/>
      <c r="W3" s="2976"/>
      <c r="X3" s="2976"/>
      <c r="Y3" s="2976"/>
      <c r="Z3" s="2976"/>
      <c r="AA3" s="2976"/>
      <c r="AB3" s="2976"/>
      <c r="AC3" s="2976"/>
      <c r="AD3" s="2976"/>
      <c r="AE3" s="2976"/>
      <c r="AF3" s="2976"/>
      <c r="AG3" s="2976"/>
      <c r="AH3" s="2976"/>
      <c r="AI3" s="2976"/>
      <c r="AJ3" s="2976"/>
      <c r="AK3" s="2976"/>
      <c r="AL3" s="2976"/>
      <c r="AM3" s="2977"/>
      <c r="AN3" s="711"/>
      <c r="AX3" s="712"/>
    </row>
    <row r="4" ht="10.5" customHeight="1" spans="1:50">
      <c r="A4" s="703" t="s">
        <v>6491</v>
      </c>
      <c r="B4" s="704"/>
      <c r="C4" s="704"/>
      <c r="D4" s="704"/>
      <c r="E4" s="704"/>
      <c r="F4" s="704"/>
      <c r="G4" s="704"/>
      <c r="H4" s="704"/>
      <c r="I4" s="704"/>
      <c r="J4" s="704"/>
      <c r="K4" s="705"/>
      <c r="L4" s="706"/>
      <c r="M4" s="707"/>
      <c r="N4" s="716" t="s">
        <v>6498</v>
      </c>
      <c r="O4" s="717"/>
      <c r="P4" s="717"/>
      <c r="Q4" s="717"/>
      <c r="R4" s="2978"/>
      <c r="S4" s="2978"/>
      <c r="T4" s="2978"/>
      <c r="U4" s="2978"/>
      <c r="V4" s="2978"/>
      <c r="W4" s="2978"/>
      <c r="X4" s="2978"/>
      <c r="Y4" s="2978"/>
      <c r="Z4" s="2978"/>
      <c r="AA4" s="2978"/>
      <c r="AB4" s="2978"/>
      <c r="AC4" s="2978"/>
      <c r="AD4" s="2978"/>
      <c r="AE4" s="2978"/>
      <c r="AF4" s="2978"/>
      <c r="AG4" s="2978"/>
      <c r="AH4" s="2978"/>
      <c r="AI4" s="2978"/>
      <c r="AJ4" s="2978"/>
      <c r="AK4" s="2978"/>
      <c r="AL4" s="2978"/>
      <c r="AM4" s="2979"/>
      <c r="AN4" s="720"/>
      <c r="AX4" s="712"/>
    </row>
    <row r="5" ht="10.5" customHeight="1" spans="1:50">
      <c r="A5" s="721" t="s">
        <v>6492</v>
      </c>
      <c r="B5" s="722"/>
      <c r="C5" s="722"/>
      <c r="D5" s="722"/>
      <c r="E5" s="722"/>
      <c r="F5" s="722"/>
      <c r="G5" s="722"/>
      <c r="H5" s="722"/>
      <c r="I5" s="722"/>
      <c r="J5" s="722"/>
      <c r="K5" s="723"/>
      <c r="L5" s="706"/>
      <c r="M5" s="707"/>
      <c r="N5" s="713"/>
      <c r="O5" s="708"/>
      <c r="P5" s="708"/>
      <c r="Q5" s="708"/>
      <c r="R5" s="710" t="str">
        <f>Baza!I21</f>
        <v>Sarajevo-Stari Grad</v>
      </c>
      <c r="S5" s="710"/>
      <c r="T5" s="710"/>
      <c r="U5" s="710"/>
      <c r="V5" s="710"/>
      <c r="W5" s="710"/>
      <c r="X5" s="710"/>
      <c r="Y5" s="710"/>
      <c r="Z5" s="710"/>
      <c r="AA5" s="710"/>
      <c r="AB5" s="710"/>
      <c r="AC5" s="710"/>
      <c r="AD5" s="710"/>
      <c r="AE5" s="710"/>
      <c r="AF5" s="710"/>
      <c r="AG5" s="710"/>
      <c r="AH5" s="710"/>
      <c r="AI5" s="710"/>
      <c r="AJ5" s="710"/>
      <c r="AK5" s="710"/>
      <c r="AL5" s="710"/>
      <c r="AM5" s="2980"/>
      <c r="AN5" s="720"/>
      <c r="AX5" s="712"/>
    </row>
    <row r="6" ht="10.5" customHeight="1" spans="1:50">
      <c r="A6" s="721" t="s">
        <v>6493</v>
      </c>
      <c r="B6" s="722"/>
      <c r="C6" s="722"/>
      <c r="D6" s="722"/>
      <c r="E6" s="722"/>
      <c r="F6" s="722"/>
      <c r="G6" s="722"/>
      <c r="H6" s="722"/>
      <c r="I6" s="722"/>
      <c r="J6" s="722"/>
      <c r="K6" s="723"/>
      <c r="L6" s="726"/>
      <c r="M6" s="727"/>
      <c r="N6" s="716" t="s">
        <v>6559</v>
      </c>
      <c r="O6" s="717"/>
      <c r="P6" s="717"/>
      <c r="Q6" s="717"/>
      <c r="R6" s="2981"/>
      <c r="S6" s="2981"/>
      <c r="T6" s="2981"/>
      <c r="U6" s="2981"/>
      <c r="V6" s="2981"/>
      <c r="W6" s="2981"/>
      <c r="X6" s="2981"/>
      <c r="Y6" s="2981"/>
      <c r="Z6" s="2981"/>
      <c r="AA6" s="2981"/>
      <c r="AB6" s="2981"/>
      <c r="AC6" s="2981"/>
      <c r="AD6" s="2981"/>
      <c r="AE6" s="2981"/>
      <c r="AF6" s="2981"/>
      <c r="AG6" s="2981"/>
      <c r="AH6" s="2981"/>
      <c r="AI6" s="2981"/>
      <c r="AJ6" s="2981"/>
      <c r="AK6" s="2981"/>
      <c r="AL6" s="2981"/>
      <c r="AM6" s="2982"/>
      <c r="AN6" s="730"/>
      <c r="AO6" s="717"/>
      <c r="AP6" s="717"/>
      <c r="AQ6" s="717"/>
      <c r="AR6" s="717"/>
      <c r="AS6" s="717"/>
      <c r="AT6" s="717"/>
      <c r="AU6" s="717"/>
      <c r="AV6" s="717"/>
      <c r="AW6" s="717"/>
      <c r="AX6" s="731"/>
    </row>
    <row r="7" ht="27" customHeight="1" spans="1:50">
      <c r="A7" s="2983" t="s">
        <v>6687</v>
      </c>
      <c r="B7" s="2983"/>
      <c r="C7" s="2983"/>
      <c r="D7" s="2983"/>
      <c r="E7" s="2983"/>
      <c r="F7" s="2983"/>
      <c r="G7" s="2983"/>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2983"/>
      <c r="AU7" s="2983"/>
      <c r="AV7" s="2983"/>
      <c r="AW7" s="2983"/>
      <c r="AX7" s="2983"/>
    </row>
    <row r="8" ht="8.25" customHeight="1" spans="1:50">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AT8" s="733"/>
      <c r="AU8" s="733"/>
      <c r="AV8" s="733"/>
      <c r="AW8" s="733"/>
      <c r="AX8" s="733"/>
    </row>
    <row r="9" ht="15.75" spans="1:50">
      <c r="A9" s="734" t="str">
        <f>"za "&amp;Text!B8</f>
        <v>za period</v>
      </c>
      <c r="B9" s="734"/>
      <c r="C9" s="734"/>
      <c r="D9" s="734"/>
      <c r="E9" s="734"/>
      <c r="F9" s="734"/>
      <c r="G9" s="734"/>
      <c r="H9" s="734"/>
      <c r="I9" s="734"/>
      <c r="J9" s="734"/>
      <c r="K9" s="734"/>
      <c r="L9" s="734"/>
      <c r="M9" s="734"/>
      <c r="N9" s="735"/>
      <c r="P9" s="736" t="str">
        <f>UnosPod!F6&amp;UnosPod!G6</f>
        <v>01</v>
      </c>
      <c r="Q9" s="737"/>
      <c r="R9" s="736" t="str">
        <f>UnosPod!H6&amp;UnosPod!I6</f>
        <v>01</v>
      </c>
      <c r="S9" s="737"/>
      <c r="T9" s="736">
        <f>UnosPod!J6</f>
        <v>2025</v>
      </c>
      <c r="U9" s="738"/>
      <c r="V9" s="738"/>
      <c r="W9" s="737"/>
      <c r="X9" s="739" t="s">
        <v>12</v>
      </c>
      <c r="Y9" s="740"/>
      <c r="Z9" s="740"/>
      <c r="AA9" s="740"/>
      <c r="AB9" s="740"/>
      <c r="AC9" s="741"/>
      <c r="AD9" s="736" t="str">
        <f>UnosPod!M6&amp;UnosPod!N6</f>
        <v>31</v>
      </c>
      <c r="AE9" s="737"/>
      <c r="AF9" s="736" t="str">
        <f>UnosPod!O6&amp;UnosPod!P6</f>
        <v>12</v>
      </c>
      <c r="AG9" s="737"/>
      <c r="AH9" s="736">
        <f>UnosPod!Q6</f>
        <v>2025</v>
      </c>
      <c r="AI9" s="738"/>
      <c r="AJ9" s="738"/>
      <c r="AK9" s="737"/>
    </row>
    <row r="10" ht="6" customHeight="1"/>
    <row r="11" s="799" customFormat="1" ht="24" customHeight="1" spans="1:50">
      <c r="A11" s="800" t="str">
        <f>"1. PODACI O NOVIM ZAPOSLENICIMA - IZ PRETHODNOG POREZNOG "&amp;Text!B9</f>
        <v>1. PODACI O NOVIM ZAPOSLENICIMA - IZ PRETHODNOG POREZNOG PERIODA</v>
      </c>
      <c r="B11" s="2984"/>
      <c r="C11" s="2923"/>
      <c r="D11" s="2923"/>
      <c r="E11" s="2923"/>
      <c r="F11" s="2923"/>
      <c r="G11" s="2923"/>
      <c r="H11" s="2923"/>
      <c r="I11" s="2923"/>
      <c r="J11" s="2923"/>
      <c r="K11" s="2923"/>
      <c r="L11" s="2923"/>
      <c r="M11" s="2923"/>
      <c r="N11" s="2923"/>
      <c r="O11" s="2923"/>
      <c r="P11" s="2923"/>
      <c r="Q11" s="2923"/>
      <c r="R11" s="2923"/>
      <c r="S11" s="2923"/>
      <c r="T11" s="2923"/>
      <c r="U11" s="2923"/>
      <c r="V11" s="2923"/>
      <c r="W11" s="2923"/>
      <c r="X11" s="2923"/>
      <c r="Y11" s="2923"/>
      <c r="Z11" s="2923"/>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43"/>
    </row>
    <row r="12" s="688" customFormat="1" ht="29.25" customHeight="1" spans="1:50">
      <c r="A12" s="840"/>
      <c r="B12" s="2985" t="s">
        <v>5985</v>
      </c>
      <c r="C12" s="2986" t="s">
        <v>6677</v>
      </c>
      <c r="D12" s="2987"/>
      <c r="E12" s="2987"/>
      <c r="F12" s="2987"/>
      <c r="G12" s="2987"/>
      <c r="H12" s="2987"/>
      <c r="I12" s="2987"/>
      <c r="J12" s="2987"/>
      <c r="K12" s="2987"/>
      <c r="L12" s="2987"/>
      <c r="M12" s="2988"/>
      <c r="N12" s="2985" t="s">
        <v>6678</v>
      </c>
      <c r="O12" s="2985"/>
      <c r="P12" s="2985"/>
      <c r="Q12" s="2985"/>
      <c r="R12" s="2985"/>
      <c r="S12" s="2985"/>
      <c r="T12" s="2985"/>
      <c r="U12" s="2985" t="s">
        <v>6679</v>
      </c>
      <c r="V12" s="2985"/>
      <c r="W12" s="2985"/>
      <c r="X12" s="2985"/>
      <c r="Y12" s="2985"/>
      <c r="Z12" s="2985"/>
      <c r="AA12" s="2985" t="s">
        <v>6680</v>
      </c>
      <c r="AB12" s="2985"/>
      <c r="AC12" s="2985"/>
      <c r="AD12" s="2985"/>
      <c r="AE12" s="2985"/>
      <c r="AF12" s="2985"/>
      <c r="AG12" s="2989" t="s">
        <v>6681</v>
      </c>
      <c r="AH12" s="2989"/>
      <c r="AI12" s="2989"/>
      <c r="AJ12" s="2989"/>
      <c r="AK12" s="2989"/>
      <c r="AL12" s="2989"/>
      <c r="AM12" s="2985" t="s">
        <v>6682</v>
      </c>
      <c r="AN12" s="2985"/>
      <c r="AO12" s="2985"/>
      <c r="AP12" s="2985"/>
      <c r="AQ12" s="2985"/>
      <c r="AR12" s="2985"/>
      <c r="AS12" s="2985" t="s">
        <v>6683</v>
      </c>
      <c r="AT12" s="2985"/>
      <c r="AU12" s="2985"/>
      <c r="AV12" s="2985"/>
      <c r="AW12" s="2985"/>
      <c r="AX12" s="2985"/>
    </row>
    <row r="13" s="687" customFormat="1" ht="15" customHeight="1" spans="1:50">
      <c r="A13" s="745"/>
      <c r="B13" s="754" t="s">
        <v>3953</v>
      </c>
      <c r="C13" s="864">
        <f>UnosNovoZaposl!C419</f>
        <v>0</v>
      </c>
      <c r="D13" s="864"/>
      <c r="E13" s="864"/>
      <c r="F13" s="864"/>
      <c r="G13" s="864"/>
      <c r="H13" s="864"/>
      <c r="I13" s="864"/>
      <c r="J13" s="864"/>
      <c r="K13" s="864"/>
      <c r="L13" s="864"/>
      <c r="M13" s="864"/>
      <c r="N13" s="864">
        <f>UnosNovoZaposl!D419</f>
        <v>0</v>
      </c>
      <c r="O13" s="864"/>
      <c r="P13" s="864"/>
      <c r="Q13" s="864"/>
      <c r="R13" s="864"/>
      <c r="S13" s="864"/>
      <c r="T13" s="864"/>
      <c r="U13" s="868">
        <f>UnosNovoZaposl!E419</f>
        <v>0</v>
      </c>
      <c r="V13" s="868"/>
      <c r="W13" s="868"/>
      <c r="X13" s="868"/>
      <c r="Y13" s="868"/>
      <c r="Z13" s="868"/>
      <c r="AA13" s="868">
        <f>UnosNovoZaposl!B419</f>
        <v>0</v>
      </c>
      <c r="AB13" s="868"/>
      <c r="AC13" s="868"/>
      <c r="AD13" s="868"/>
      <c r="AE13" s="868"/>
      <c r="AF13" s="868"/>
      <c r="AG13" s="868">
        <f>UnosNovoZaposl!F419</f>
        <v>0</v>
      </c>
      <c r="AH13" s="868"/>
      <c r="AI13" s="868"/>
      <c r="AJ13" s="868"/>
      <c r="AK13" s="868"/>
      <c r="AL13" s="868"/>
      <c r="AM13" s="868">
        <f>UnosNovoZaposl!G419</f>
        <v>0</v>
      </c>
      <c r="AN13" s="868"/>
      <c r="AO13" s="868"/>
      <c r="AP13" s="868"/>
      <c r="AQ13" s="868"/>
      <c r="AR13" s="868"/>
      <c r="AS13" s="868">
        <f>AG13+AM13</f>
        <v>0</v>
      </c>
      <c r="AT13" s="868"/>
      <c r="AU13" s="868"/>
      <c r="AV13" s="868"/>
      <c r="AW13" s="868"/>
      <c r="AX13" s="868"/>
    </row>
    <row r="14" s="687" customFormat="1" ht="15" customHeight="1" spans="1:50">
      <c r="A14" s="745"/>
      <c r="B14" s="754" t="s">
        <v>3891</v>
      </c>
      <c r="C14" s="864">
        <f>UnosNovoZaposl!C420</f>
        <v>0</v>
      </c>
      <c r="D14" s="864"/>
      <c r="E14" s="864"/>
      <c r="F14" s="864"/>
      <c r="G14" s="864"/>
      <c r="H14" s="864"/>
      <c r="I14" s="864"/>
      <c r="J14" s="864"/>
      <c r="K14" s="864"/>
      <c r="L14" s="864"/>
      <c r="M14" s="864"/>
      <c r="N14" s="864">
        <f>UnosNovoZaposl!D420</f>
        <v>0</v>
      </c>
      <c r="O14" s="864"/>
      <c r="P14" s="864"/>
      <c r="Q14" s="864"/>
      <c r="R14" s="864"/>
      <c r="S14" s="864"/>
      <c r="T14" s="864"/>
      <c r="U14" s="868">
        <f>UnosNovoZaposl!E420</f>
        <v>0</v>
      </c>
      <c r="V14" s="868"/>
      <c r="W14" s="868"/>
      <c r="X14" s="868"/>
      <c r="Y14" s="868"/>
      <c r="Z14" s="868"/>
      <c r="AA14" s="868">
        <f>UnosNovoZaposl!B420</f>
        <v>0</v>
      </c>
      <c r="AB14" s="868"/>
      <c r="AC14" s="868"/>
      <c r="AD14" s="868"/>
      <c r="AE14" s="868"/>
      <c r="AF14" s="868"/>
      <c r="AG14" s="868">
        <f>UnosNovoZaposl!F420</f>
        <v>0</v>
      </c>
      <c r="AH14" s="868"/>
      <c r="AI14" s="868"/>
      <c r="AJ14" s="868"/>
      <c r="AK14" s="868"/>
      <c r="AL14" s="868"/>
      <c r="AM14" s="868">
        <f>UnosNovoZaposl!G420</f>
        <v>0</v>
      </c>
      <c r="AN14" s="868"/>
      <c r="AO14" s="868"/>
      <c r="AP14" s="868"/>
      <c r="AQ14" s="868"/>
      <c r="AR14" s="868"/>
      <c r="AS14" s="868">
        <f t="shared" ref="AS14:AS43" si="0">AG14+AM14</f>
        <v>0</v>
      </c>
      <c r="AT14" s="868"/>
      <c r="AU14" s="868"/>
      <c r="AV14" s="868"/>
      <c r="AW14" s="868"/>
      <c r="AX14" s="868"/>
    </row>
    <row r="15" s="687" customFormat="1" ht="15" customHeight="1" spans="1:50">
      <c r="A15" s="745"/>
      <c r="B15" s="754" t="s">
        <v>3902</v>
      </c>
      <c r="C15" s="864">
        <f>UnosNovoZaposl!C421</f>
        <v>0</v>
      </c>
      <c r="D15" s="864"/>
      <c r="E15" s="864"/>
      <c r="F15" s="864"/>
      <c r="G15" s="864"/>
      <c r="H15" s="864"/>
      <c r="I15" s="864"/>
      <c r="J15" s="864"/>
      <c r="K15" s="864"/>
      <c r="L15" s="864"/>
      <c r="M15" s="864"/>
      <c r="N15" s="864">
        <f>UnosNovoZaposl!D421</f>
        <v>0</v>
      </c>
      <c r="O15" s="864"/>
      <c r="P15" s="864"/>
      <c r="Q15" s="864"/>
      <c r="R15" s="864"/>
      <c r="S15" s="864"/>
      <c r="T15" s="864"/>
      <c r="U15" s="868">
        <f>UnosNovoZaposl!E421</f>
        <v>0</v>
      </c>
      <c r="V15" s="868"/>
      <c r="W15" s="868"/>
      <c r="X15" s="868"/>
      <c r="Y15" s="868"/>
      <c r="Z15" s="868"/>
      <c r="AA15" s="868">
        <f>UnosNovoZaposl!B421</f>
        <v>0</v>
      </c>
      <c r="AB15" s="868"/>
      <c r="AC15" s="868"/>
      <c r="AD15" s="868"/>
      <c r="AE15" s="868"/>
      <c r="AF15" s="868"/>
      <c r="AG15" s="868">
        <f>UnosNovoZaposl!F421</f>
        <v>0</v>
      </c>
      <c r="AH15" s="868"/>
      <c r="AI15" s="868"/>
      <c r="AJ15" s="868"/>
      <c r="AK15" s="868"/>
      <c r="AL15" s="868"/>
      <c r="AM15" s="868">
        <f>UnosNovoZaposl!G421</f>
        <v>0</v>
      </c>
      <c r="AN15" s="868"/>
      <c r="AO15" s="868"/>
      <c r="AP15" s="868"/>
      <c r="AQ15" s="868"/>
      <c r="AR15" s="868"/>
      <c r="AS15" s="868">
        <f t="shared" si="0"/>
        <v>0</v>
      </c>
      <c r="AT15" s="868"/>
      <c r="AU15" s="868"/>
      <c r="AV15" s="868"/>
      <c r="AW15" s="868"/>
      <c r="AX15" s="868"/>
    </row>
    <row r="16" s="687" customFormat="1" ht="15" customHeight="1" spans="1:50">
      <c r="A16" s="745"/>
      <c r="B16" s="754" t="s">
        <v>3905</v>
      </c>
      <c r="C16" s="864">
        <f>UnosNovoZaposl!C422</f>
        <v>0</v>
      </c>
      <c r="D16" s="864"/>
      <c r="E16" s="864"/>
      <c r="F16" s="864"/>
      <c r="G16" s="864"/>
      <c r="H16" s="864"/>
      <c r="I16" s="864"/>
      <c r="J16" s="864"/>
      <c r="K16" s="864"/>
      <c r="L16" s="864"/>
      <c r="M16" s="864"/>
      <c r="N16" s="864">
        <f>UnosNovoZaposl!D422</f>
        <v>0</v>
      </c>
      <c r="O16" s="864"/>
      <c r="P16" s="864"/>
      <c r="Q16" s="864"/>
      <c r="R16" s="864"/>
      <c r="S16" s="864"/>
      <c r="T16" s="864"/>
      <c r="U16" s="868">
        <f>UnosNovoZaposl!E422</f>
        <v>0</v>
      </c>
      <c r="V16" s="868"/>
      <c r="W16" s="868"/>
      <c r="X16" s="868"/>
      <c r="Y16" s="868"/>
      <c r="Z16" s="868"/>
      <c r="AA16" s="868">
        <f>UnosNovoZaposl!B422</f>
        <v>0</v>
      </c>
      <c r="AB16" s="868"/>
      <c r="AC16" s="868"/>
      <c r="AD16" s="868"/>
      <c r="AE16" s="868"/>
      <c r="AF16" s="868"/>
      <c r="AG16" s="868">
        <f>UnosNovoZaposl!F422</f>
        <v>0</v>
      </c>
      <c r="AH16" s="868"/>
      <c r="AI16" s="868"/>
      <c r="AJ16" s="868"/>
      <c r="AK16" s="868"/>
      <c r="AL16" s="868"/>
      <c r="AM16" s="868">
        <f>UnosNovoZaposl!G422</f>
        <v>0</v>
      </c>
      <c r="AN16" s="868"/>
      <c r="AO16" s="868"/>
      <c r="AP16" s="868"/>
      <c r="AQ16" s="868"/>
      <c r="AR16" s="868"/>
      <c r="AS16" s="868">
        <f t="shared" si="0"/>
        <v>0</v>
      </c>
      <c r="AT16" s="868"/>
      <c r="AU16" s="868"/>
      <c r="AV16" s="868"/>
      <c r="AW16" s="868"/>
      <c r="AX16" s="868"/>
    </row>
    <row r="17" s="687" customFormat="1" ht="15" customHeight="1" spans="1:50">
      <c r="A17" s="745"/>
      <c r="B17" s="754" t="s">
        <v>3915</v>
      </c>
      <c r="C17" s="864">
        <f>UnosNovoZaposl!C423</f>
        <v>0</v>
      </c>
      <c r="D17" s="864"/>
      <c r="E17" s="864"/>
      <c r="F17" s="864"/>
      <c r="G17" s="864"/>
      <c r="H17" s="864"/>
      <c r="I17" s="864"/>
      <c r="J17" s="864"/>
      <c r="K17" s="864"/>
      <c r="L17" s="864"/>
      <c r="M17" s="864"/>
      <c r="N17" s="864">
        <f>UnosNovoZaposl!D423</f>
        <v>0</v>
      </c>
      <c r="O17" s="864"/>
      <c r="P17" s="864"/>
      <c r="Q17" s="864"/>
      <c r="R17" s="864"/>
      <c r="S17" s="864"/>
      <c r="T17" s="864"/>
      <c r="U17" s="868">
        <f>UnosNovoZaposl!E423</f>
        <v>0</v>
      </c>
      <c r="V17" s="868"/>
      <c r="W17" s="868"/>
      <c r="X17" s="868"/>
      <c r="Y17" s="868"/>
      <c r="Z17" s="868"/>
      <c r="AA17" s="868">
        <f>UnosNovoZaposl!B423</f>
        <v>0</v>
      </c>
      <c r="AB17" s="868"/>
      <c r="AC17" s="868"/>
      <c r="AD17" s="868"/>
      <c r="AE17" s="868"/>
      <c r="AF17" s="868"/>
      <c r="AG17" s="868">
        <f>UnosNovoZaposl!F423</f>
        <v>0</v>
      </c>
      <c r="AH17" s="868"/>
      <c r="AI17" s="868"/>
      <c r="AJ17" s="868"/>
      <c r="AK17" s="868"/>
      <c r="AL17" s="868"/>
      <c r="AM17" s="868">
        <f>UnosNovoZaposl!G423</f>
        <v>0</v>
      </c>
      <c r="AN17" s="868"/>
      <c r="AO17" s="868"/>
      <c r="AP17" s="868"/>
      <c r="AQ17" s="868"/>
      <c r="AR17" s="868"/>
      <c r="AS17" s="868">
        <f t="shared" si="0"/>
        <v>0</v>
      </c>
      <c r="AT17" s="868"/>
      <c r="AU17" s="868"/>
      <c r="AV17" s="868"/>
      <c r="AW17" s="868"/>
      <c r="AX17" s="868"/>
    </row>
    <row r="18" s="687" customFormat="1" ht="15" customHeight="1" spans="1:50">
      <c r="A18" s="745"/>
      <c r="B18" s="754" t="s">
        <v>3918</v>
      </c>
      <c r="C18" s="864">
        <f>UnosNovoZaposl!C424</f>
        <v>0</v>
      </c>
      <c r="D18" s="864"/>
      <c r="E18" s="864"/>
      <c r="F18" s="864"/>
      <c r="G18" s="864"/>
      <c r="H18" s="864"/>
      <c r="I18" s="864"/>
      <c r="J18" s="864"/>
      <c r="K18" s="864"/>
      <c r="L18" s="864"/>
      <c r="M18" s="864"/>
      <c r="N18" s="864">
        <f>UnosNovoZaposl!D424</f>
        <v>0</v>
      </c>
      <c r="O18" s="864"/>
      <c r="P18" s="864"/>
      <c r="Q18" s="864"/>
      <c r="R18" s="864"/>
      <c r="S18" s="864"/>
      <c r="T18" s="864"/>
      <c r="U18" s="868">
        <f>UnosNovoZaposl!E424</f>
        <v>0</v>
      </c>
      <c r="V18" s="868"/>
      <c r="W18" s="868"/>
      <c r="X18" s="868"/>
      <c r="Y18" s="868"/>
      <c r="Z18" s="868"/>
      <c r="AA18" s="868">
        <f>UnosNovoZaposl!B424</f>
        <v>0</v>
      </c>
      <c r="AB18" s="868"/>
      <c r="AC18" s="868"/>
      <c r="AD18" s="868"/>
      <c r="AE18" s="868"/>
      <c r="AF18" s="868"/>
      <c r="AG18" s="868">
        <f>UnosNovoZaposl!F424</f>
        <v>0</v>
      </c>
      <c r="AH18" s="868"/>
      <c r="AI18" s="868"/>
      <c r="AJ18" s="868"/>
      <c r="AK18" s="868"/>
      <c r="AL18" s="868"/>
      <c r="AM18" s="868">
        <f>UnosNovoZaposl!G424</f>
        <v>0</v>
      </c>
      <c r="AN18" s="868"/>
      <c r="AO18" s="868"/>
      <c r="AP18" s="868"/>
      <c r="AQ18" s="868"/>
      <c r="AR18" s="868"/>
      <c r="AS18" s="868">
        <f t="shared" si="0"/>
        <v>0</v>
      </c>
      <c r="AT18" s="868"/>
      <c r="AU18" s="868"/>
      <c r="AV18" s="868"/>
      <c r="AW18" s="868"/>
      <c r="AX18" s="868"/>
    </row>
    <row r="19" s="687" customFormat="1" ht="15" customHeight="1" spans="1:50">
      <c r="A19" s="745"/>
      <c r="B19" s="754" t="s">
        <v>3920</v>
      </c>
      <c r="C19" s="864">
        <f>UnosNovoZaposl!C425</f>
        <v>0</v>
      </c>
      <c r="D19" s="864"/>
      <c r="E19" s="864"/>
      <c r="F19" s="864"/>
      <c r="G19" s="864"/>
      <c r="H19" s="864"/>
      <c r="I19" s="864"/>
      <c r="J19" s="864"/>
      <c r="K19" s="864"/>
      <c r="L19" s="864"/>
      <c r="M19" s="864"/>
      <c r="N19" s="864">
        <f>UnosNovoZaposl!D425</f>
        <v>0</v>
      </c>
      <c r="O19" s="864"/>
      <c r="P19" s="864"/>
      <c r="Q19" s="864"/>
      <c r="R19" s="864"/>
      <c r="S19" s="864"/>
      <c r="T19" s="864"/>
      <c r="U19" s="868">
        <f>UnosNovoZaposl!E425</f>
        <v>0</v>
      </c>
      <c r="V19" s="868"/>
      <c r="W19" s="868"/>
      <c r="X19" s="868"/>
      <c r="Y19" s="868"/>
      <c r="Z19" s="868"/>
      <c r="AA19" s="868">
        <f>UnosNovoZaposl!B425</f>
        <v>0</v>
      </c>
      <c r="AB19" s="868"/>
      <c r="AC19" s="868"/>
      <c r="AD19" s="868"/>
      <c r="AE19" s="868"/>
      <c r="AF19" s="868"/>
      <c r="AG19" s="868">
        <f>UnosNovoZaposl!F425</f>
        <v>0</v>
      </c>
      <c r="AH19" s="868"/>
      <c r="AI19" s="868"/>
      <c r="AJ19" s="868"/>
      <c r="AK19" s="868"/>
      <c r="AL19" s="868"/>
      <c r="AM19" s="868">
        <f>UnosNovoZaposl!G425</f>
        <v>0</v>
      </c>
      <c r="AN19" s="868"/>
      <c r="AO19" s="868"/>
      <c r="AP19" s="868"/>
      <c r="AQ19" s="868"/>
      <c r="AR19" s="868"/>
      <c r="AS19" s="868">
        <f t="shared" si="0"/>
        <v>0</v>
      </c>
      <c r="AT19" s="868"/>
      <c r="AU19" s="868"/>
      <c r="AV19" s="868"/>
      <c r="AW19" s="868"/>
      <c r="AX19" s="868"/>
    </row>
    <row r="20" s="687" customFormat="1" ht="15" customHeight="1" spans="1:50">
      <c r="A20" s="745"/>
      <c r="B20" s="754" t="s">
        <v>3923</v>
      </c>
      <c r="C20" s="864">
        <f>UnosNovoZaposl!C426</f>
        <v>0</v>
      </c>
      <c r="D20" s="864"/>
      <c r="E20" s="864"/>
      <c r="F20" s="864"/>
      <c r="G20" s="864"/>
      <c r="H20" s="864"/>
      <c r="I20" s="864"/>
      <c r="J20" s="864"/>
      <c r="K20" s="864"/>
      <c r="L20" s="864"/>
      <c r="M20" s="864"/>
      <c r="N20" s="864">
        <f>UnosNovoZaposl!D426</f>
        <v>0</v>
      </c>
      <c r="O20" s="864"/>
      <c r="P20" s="864"/>
      <c r="Q20" s="864"/>
      <c r="R20" s="864"/>
      <c r="S20" s="864"/>
      <c r="T20" s="864"/>
      <c r="U20" s="868">
        <f>UnosNovoZaposl!E426</f>
        <v>0</v>
      </c>
      <c r="V20" s="868"/>
      <c r="W20" s="868"/>
      <c r="X20" s="868"/>
      <c r="Y20" s="868"/>
      <c r="Z20" s="868"/>
      <c r="AA20" s="868">
        <f>UnosNovoZaposl!B426</f>
        <v>0</v>
      </c>
      <c r="AB20" s="868"/>
      <c r="AC20" s="868"/>
      <c r="AD20" s="868"/>
      <c r="AE20" s="868"/>
      <c r="AF20" s="868"/>
      <c r="AG20" s="868">
        <f>UnosNovoZaposl!F426</f>
        <v>0</v>
      </c>
      <c r="AH20" s="868"/>
      <c r="AI20" s="868"/>
      <c r="AJ20" s="868"/>
      <c r="AK20" s="868"/>
      <c r="AL20" s="868"/>
      <c r="AM20" s="868">
        <f>UnosNovoZaposl!G426</f>
        <v>0</v>
      </c>
      <c r="AN20" s="868"/>
      <c r="AO20" s="868"/>
      <c r="AP20" s="868"/>
      <c r="AQ20" s="868"/>
      <c r="AR20" s="868"/>
      <c r="AS20" s="868">
        <f t="shared" si="0"/>
        <v>0</v>
      </c>
      <c r="AT20" s="868"/>
      <c r="AU20" s="868"/>
      <c r="AV20" s="868"/>
      <c r="AW20" s="868"/>
      <c r="AX20" s="868"/>
    </row>
    <row r="21" s="687" customFormat="1" ht="15" customHeight="1" spans="1:50">
      <c r="A21" s="745"/>
      <c r="B21" s="754" t="s">
        <v>3925</v>
      </c>
      <c r="C21" s="864">
        <f>UnosNovoZaposl!C427</f>
        <v>0</v>
      </c>
      <c r="D21" s="864"/>
      <c r="E21" s="864"/>
      <c r="F21" s="864"/>
      <c r="G21" s="864"/>
      <c r="H21" s="864"/>
      <c r="I21" s="864"/>
      <c r="J21" s="864"/>
      <c r="K21" s="864"/>
      <c r="L21" s="864"/>
      <c r="M21" s="864"/>
      <c r="N21" s="864">
        <f>UnosNovoZaposl!D427</f>
        <v>0</v>
      </c>
      <c r="O21" s="864"/>
      <c r="P21" s="864"/>
      <c r="Q21" s="864"/>
      <c r="R21" s="864"/>
      <c r="S21" s="864"/>
      <c r="T21" s="864"/>
      <c r="U21" s="868">
        <f>UnosNovoZaposl!E427</f>
        <v>0</v>
      </c>
      <c r="V21" s="868"/>
      <c r="W21" s="868"/>
      <c r="X21" s="868"/>
      <c r="Y21" s="868"/>
      <c r="Z21" s="868"/>
      <c r="AA21" s="868">
        <f>UnosNovoZaposl!B427</f>
        <v>0</v>
      </c>
      <c r="AB21" s="868"/>
      <c r="AC21" s="868"/>
      <c r="AD21" s="868"/>
      <c r="AE21" s="868"/>
      <c r="AF21" s="868"/>
      <c r="AG21" s="868">
        <f>UnosNovoZaposl!F427</f>
        <v>0</v>
      </c>
      <c r="AH21" s="868"/>
      <c r="AI21" s="868"/>
      <c r="AJ21" s="868"/>
      <c r="AK21" s="868"/>
      <c r="AL21" s="868"/>
      <c r="AM21" s="868">
        <f>UnosNovoZaposl!G427</f>
        <v>0</v>
      </c>
      <c r="AN21" s="868"/>
      <c r="AO21" s="868"/>
      <c r="AP21" s="868"/>
      <c r="AQ21" s="868"/>
      <c r="AR21" s="868"/>
      <c r="AS21" s="868">
        <f t="shared" si="0"/>
        <v>0</v>
      </c>
      <c r="AT21" s="868"/>
      <c r="AU21" s="868"/>
      <c r="AV21" s="868"/>
      <c r="AW21" s="868"/>
      <c r="AX21" s="868"/>
    </row>
    <row r="22" s="687" customFormat="1" ht="15" customHeight="1" spans="1:50">
      <c r="A22" s="745"/>
      <c r="B22" s="754" t="s">
        <v>3928</v>
      </c>
      <c r="C22" s="864">
        <f>UnosNovoZaposl!C428</f>
        <v>0</v>
      </c>
      <c r="D22" s="864"/>
      <c r="E22" s="864"/>
      <c r="F22" s="864"/>
      <c r="G22" s="864"/>
      <c r="H22" s="864"/>
      <c r="I22" s="864"/>
      <c r="J22" s="864"/>
      <c r="K22" s="864"/>
      <c r="L22" s="864"/>
      <c r="M22" s="864"/>
      <c r="N22" s="864">
        <f>UnosNovoZaposl!D428</f>
        <v>0</v>
      </c>
      <c r="O22" s="864"/>
      <c r="P22" s="864"/>
      <c r="Q22" s="864"/>
      <c r="R22" s="864"/>
      <c r="S22" s="864"/>
      <c r="T22" s="864"/>
      <c r="U22" s="868">
        <f>UnosNovoZaposl!E428</f>
        <v>0</v>
      </c>
      <c r="V22" s="868"/>
      <c r="W22" s="868"/>
      <c r="X22" s="868"/>
      <c r="Y22" s="868"/>
      <c r="Z22" s="868"/>
      <c r="AA22" s="868">
        <f>UnosNovoZaposl!B428</f>
        <v>0</v>
      </c>
      <c r="AB22" s="868"/>
      <c r="AC22" s="868"/>
      <c r="AD22" s="868"/>
      <c r="AE22" s="868"/>
      <c r="AF22" s="868"/>
      <c r="AG22" s="868">
        <f>UnosNovoZaposl!F428</f>
        <v>0</v>
      </c>
      <c r="AH22" s="868"/>
      <c r="AI22" s="868"/>
      <c r="AJ22" s="868"/>
      <c r="AK22" s="868"/>
      <c r="AL22" s="868"/>
      <c r="AM22" s="868">
        <f>UnosNovoZaposl!G428</f>
        <v>0</v>
      </c>
      <c r="AN22" s="868"/>
      <c r="AO22" s="868"/>
      <c r="AP22" s="868"/>
      <c r="AQ22" s="868"/>
      <c r="AR22" s="868"/>
      <c r="AS22" s="868">
        <f t="shared" si="0"/>
        <v>0</v>
      </c>
      <c r="AT22" s="868"/>
      <c r="AU22" s="868"/>
      <c r="AV22" s="868"/>
      <c r="AW22" s="868"/>
      <c r="AX22" s="868"/>
    </row>
    <row r="23" s="687" customFormat="1" ht="15" customHeight="1" spans="1:50">
      <c r="A23" s="745"/>
      <c r="B23" s="754" t="s">
        <v>3934</v>
      </c>
      <c r="C23" s="864">
        <f>UnosNovoZaposl!C429</f>
        <v>0</v>
      </c>
      <c r="D23" s="864"/>
      <c r="E23" s="864"/>
      <c r="F23" s="864"/>
      <c r="G23" s="864"/>
      <c r="H23" s="864"/>
      <c r="I23" s="864"/>
      <c r="J23" s="864"/>
      <c r="K23" s="864"/>
      <c r="L23" s="864"/>
      <c r="M23" s="864"/>
      <c r="N23" s="864">
        <f>UnosNovoZaposl!D429</f>
        <v>0</v>
      </c>
      <c r="O23" s="864"/>
      <c r="P23" s="864"/>
      <c r="Q23" s="864"/>
      <c r="R23" s="864"/>
      <c r="S23" s="864"/>
      <c r="T23" s="864"/>
      <c r="U23" s="868">
        <f>UnosNovoZaposl!E429</f>
        <v>0</v>
      </c>
      <c r="V23" s="868"/>
      <c r="W23" s="868"/>
      <c r="X23" s="868"/>
      <c r="Y23" s="868"/>
      <c r="Z23" s="868"/>
      <c r="AA23" s="868">
        <f>UnosNovoZaposl!B429</f>
        <v>0</v>
      </c>
      <c r="AB23" s="868"/>
      <c r="AC23" s="868"/>
      <c r="AD23" s="868"/>
      <c r="AE23" s="868"/>
      <c r="AF23" s="868"/>
      <c r="AG23" s="868">
        <f>UnosNovoZaposl!F429</f>
        <v>0</v>
      </c>
      <c r="AH23" s="868"/>
      <c r="AI23" s="868"/>
      <c r="AJ23" s="868"/>
      <c r="AK23" s="868"/>
      <c r="AL23" s="868"/>
      <c r="AM23" s="868">
        <f>UnosNovoZaposl!G429</f>
        <v>0</v>
      </c>
      <c r="AN23" s="868"/>
      <c r="AO23" s="868"/>
      <c r="AP23" s="868"/>
      <c r="AQ23" s="868"/>
      <c r="AR23" s="868"/>
      <c r="AS23" s="868">
        <f t="shared" si="0"/>
        <v>0</v>
      </c>
      <c r="AT23" s="868"/>
      <c r="AU23" s="868"/>
      <c r="AV23" s="868"/>
      <c r="AW23" s="868"/>
      <c r="AX23" s="868"/>
    </row>
    <row r="24" s="687" customFormat="1" ht="15" customHeight="1" spans="1:50">
      <c r="A24" s="745"/>
      <c r="B24" s="754" t="s">
        <v>3945</v>
      </c>
      <c r="C24" s="864">
        <f>UnosNovoZaposl!C430</f>
        <v>0</v>
      </c>
      <c r="D24" s="864"/>
      <c r="E24" s="864"/>
      <c r="F24" s="864"/>
      <c r="G24" s="864"/>
      <c r="H24" s="864"/>
      <c r="I24" s="864"/>
      <c r="J24" s="864"/>
      <c r="K24" s="864"/>
      <c r="L24" s="864"/>
      <c r="M24" s="864"/>
      <c r="N24" s="864">
        <f>UnosNovoZaposl!D430</f>
        <v>0</v>
      </c>
      <c r="O24" s="864"/>
      <c r="P24" s="864"/>
      <c r="Q24" s="864"/>
      <c r="R24" s="864"/>
      <c r="S24" s="864"/>
      <c r="T24" s="864"/>
      <c r="U24" s="868">
        <f>UnosNovoZaposl!E430</f>
        <v>0</v>
      </c>
      <c r="V24" s="868"/>
      <c r="W24" s="868"/>
      <c r="X24" s="868"/>
      <c r="Y24" s="868"/>
      <c r="Z24" s="868"/>
      <c r="AA24" s="868">
        <f>UnosNovoZaposl!B430</f>
        <v>0</v>
      </c>
      <c r="AB24" s="868"/>
      <c r="AC24" s="868"/>
      <c r="AD24" s="868"/>
      <c r="AE24" s="868"/>
      <c r="AF24" s="868"/>
      <c r="AG24" s="868">
        <f>UnosNovoZaposl!F430</f>
        <v>0</v>
      </c>
      <c r="AH24" s="868"/>
      <c r="AI24" s="868"/>
      <c r="AJ24" s="868"/>
      <c r="AK24" s="868"/>
      <c r="AL24" s="868"/>
      <c r="AM24" s="868">
        <f>UnosNovoZaposl!G430</f>
        <v>0</v>
      </c>
      <c r="AN24" s="868"/>
      <c r="AO24" s="868"/>
      <c r="AP24" s="868"/>
      <c r="AQ24" s="868"/>
      <c r="AR24" s="868"/>
      <c r="AS24" s="868">
        <f t="shared" si="0"/>
        <v>0</v>
      </c>
      <c r="AT24" s="868"/>
      <c r="AU24" s="868"/>
      <c r="AV24" s="868"/>
      <c r="AW24" s="868"/>
      <c r="AX24" s="868"/>
    </row>
    <row r="25" s="687" customFormat="1" ht="15" customHeight="1" spans="1:50">
      <c r="A25" s="745"/>
      <c r="B25" s="754" t="s">
        <v>3947</v>
      </c>
      <c r="C25" s="864">
        <f>UnosNovoZaposl!C431</f>
        <v>0</v>
      </c>
      <c r="D25" s="864"/>
      <c r="E25" s="864"/>
      <c r="F25" s="864"/>
      <c r="G25" s="864"/>
      <c r="H25" s="864"/>
      <c r="I25" s="864"/>
      <c r="J25" s="864"/>
      <c r="K25" s="864"/>
      <c r="L25" s="864"/>
      <c r="M25" s="864"/>
      <c r="N25" s="864">
        <f>UnosNovoZaposl!D431</f>
        <v>0</v>
      </c>
      <c r="O25" s="864"/>
      <c r="P25" s="864"/>
      <c r="Q25" s="864"/>
      <c r="R25" s="864"/>
      <c r="S25" s="864"/>
      <c r="T25" s="864"/>
      <c r="U25" s="868">
        <f>UnosNovoZaposl!E431</f>
        <v>0</v>
      </c>
      <c r="V25" s="868"/>
      <c r="W25" s="868"/>
      <c r="X25" s="868"/>
      <c r="Y25" s="868"/>
      <c r="Z25" s="868"/>
      <c r="AA25" s="868">
        <f>UnosNovoZaposl!B431</f>
        <v>0</v>
      </c>
      <c r="AB25" s="868"/>
      <c r="AC25" s="868"/>
      <c r="AD25" s="868"/>
      <c r="AE25" s="868"/>
      <c r="AF25" s="868"/>
      <c r="AG25" s="868">
        <f>UnosNovoZaposl!F431</f>
        <v>0</v>
      </c>
      <c r="AH25" s="868"/>
      <c r="AI25" s="868"/>
      <c r="AJ25" s="868"/>
      <c r="AK25" s="868"/>
      <c r="AL25" s="868"/>
      <c r="AM25" s="868">
        <f>UnosNovoZaposl!G431</f>
        <v>0</v>
      </c>
      <c r="AN25" s="868"/>
      <c r="AO25" s="868"/>
      <c r="AP25" s="868"/>
      <c r="AQ25" s="868"/>
      <c r="AR25" s="868"/>
      <c r="AS25" s="868">
        <f t="shared" si="0"/>
        <v>0</v>
      </c>
      <c r="AT25" s="868"/>
      <c r="AU25" s="868"/>
      <c r="AV25" s="868"/>
      <c r="AW25" s="868"/>
      <c r="AX25" s="868"/>
    </row>
    <row r="26" s="687" customFormat="1" ht="15" customHeight="1" spans="1:50">
      <c r="A26" s="745"/>
      <c r="B26" s="754" t="s">
        <v>5705</v>
      </c>
      <c r="C26" s="864">
        <f>UnosNovoZaposl!C432</f>
        <v>0</v>
      </c>
      <c r="D26" s="864"/>
      <c r="E26" s="864"/>
      <c r="F26" s="864"/>
      <c r="G26" s="864"/>
      <c r="H26" s="864"/>
      <c r="I26" s="864"/>
      <c r="J26" s="864"/>
      <c r="K26" s="864"/>
      <c r="L26" s="864"/>
      <c r="M26" s="864"/>
      <c r="N26" s="864">
        <f>UnosNovoZaposl!D432</f>
        <v>0</v>
      </c>
      <c r="O26" s="864"/>
      <c r="P26" s="864"/>
      <c r="Q26" s="864"/>
      <c r="R26" s="864"/>
      <c r="S26" s="864"/>
      <c r="T26" s="864"/>
      <c r="U26" s="868">
        <f>UnosNovoZaposl!E432</f>
        <v>0</v>
      </c>
      <c r="V26" s="868"/>
      <c r="W26" s="868"/>
      <c r="X26" s="868"/>
      <c r="Y26" s="868"/>
      <c r="Z26" s="868"/>
      <c r="AA26" s="868">
        <f>UnosNovoZaposl!B432</f>
        <v>0</v>
      </c>
      <c r="AB26" s="868"/>
      <c r="AC26" s="868"/>
      <c r="AD26" s="868"/>
      <c r="AE26" s="868"/>
      <c r="AF26" s="868"/>
      <c r="AG26" s="868">
        <f>UnosNovoZaposl!F432</f>
        <v>0</v>
      </c>
      <c r="AH26" s="868"/>
      <c r="AI26" s="868"/>
      <c r="AJ26" s="868"/>
      <c r="AK26" s="868"/>
      <c r="AL26" s="868"/>
      <c r="AM26" s="868">
        <f>UnosNovoZaposl!G432</f>
        <v>0</v>
      </c>
      <c r="AN26" s="868"/>
      <c r="AO26" s="868"/>
      <c r="AP26" s="868"/>
      <c r="AQ26" s="868"/>
      <c r="AR26" s="868"/>
      <c r="AS26" s="868">
        <f t="shared" si="0"/>
        <v>0</v>
      </c>
      <c r="AT26" s="868"/>
      <c r="AU26" s="868"/>
      <c r="AV26" s="868"/>
      <c r="AW26" s="868"/>
      <c r="AX26" s="868"/>
    </row>
    <row r="27" s="687" customFormat="1" ht="15" customHeight="1" spans="1:50">
      <c r="A27" s="2990"/>
      <c r="B27" s="754" t="s">
        <v>5707</v>
      </c>
      <c r="C27" s="864">
        <f>UnosNovoZaposl!C433</f>
        <v>0</v>
      </c>
      <c r="D27" s="864"/>
      <c r="E27" s="864"/>
      <c r="F27" s="864"/>
      <c r="G27" s="864"/>
      <c r="H27" s="864"/>
      <c r="I27" s="864"/>
      <c r="J27" s="864"/>
      <c r="K27" s="864"/>
      <c r="L27" s="864"/>
      <c r="M27" s="864"/>
      <c r="N27" s="864">
        <f>UnosNovoZaposl!D433</f>
        <v>0</v>
      </c>
      <c r="O27" s="864"/>
      <c r="P27" s="864"/>
      <c r="Q27" s="864"/>
      <c r="R27" s="864"/>
      <c r="S27" s="864"/>
      <c r="T27" s="864"/>
      <c r="U27" s="868">
        <f>UnosNovoZaposl!E433</f>
        <v>0</v>
      </c>
      <c r="V27" s="868"/>
      <c r="W27" s="868"/>
      <c r="X27" s="868"/>
      <c r="Y27" s="868"/>
      <c r="Z27" s="868"/>
      <c r="AA27" s="868">
        <f>UnosNovoZaposl!B433</f>
        <v>0</v>
      </c>
      <c r="AB27" s="868"/>
      <c r="AC27" s="868"/>
      <c r="AD27" s="868"/>
      <c r="AE27" s="868"/>
      <c r="AF27" s="868"/>
      <c r="AG27" s="868">
        <f>UnosNovoZaposl!F433</f>
        <v>0</v>
      </c>
      <c r="AH27" s="868"/>
      <c r="AI27" s="868"/>
      <c r="AJ27" s="868"/>
      <c r="AK27" s="868"/>
      <c r="AL27" s="868"/>
      <c r="AM27" s="868">
        <f>UnosNovoZaposl!G433</f>
        <v>0</v>
      </c>
      <c r="AN27" s="868"/>
      <c r="AO27" s="868"/>
      <c r="AP27" s="868"/>
      <c r="AQ27" s="868"/>
      <c r="AR27" s="868"/>
      <c r="AS27" s="868">
        <f t="shared" si="0"/>
        <v>0</v>
      </c>
      <c r="AT27" s="868"/>
      <c r="AU27" s="868"/>
      <c r="AV27" s="868"/>
      <c r="AW27" s="868"/>
      <c r="AX27" s="868"/>
    </row>
    <row r="28" s="687" customFormat="1" ht="15" hidden="1" customHeight="1" spans="1:50">
      <c r="A28" s="745"/>
      <c r="B28" s="754" t="s">
        <v>5708</v>
      </c>
      <c r="C28" s="864">
        <f>UnosNovoZaposl!C434</f>
        <v>0</v>
      </c>
      <c r="D28" s="864"/>
      <c r="E28" s="864"/>
      <c r="F28" s="864"/>
      <c r="G28" s="864"/>
      <c r="H28" s="864"/>
      <c r="I28" s="864"/>
      <c r="J28" s="864"/>
      <c r="K28" s="864"/>
      <c r="L28" s="864"/>
      <c r="M28" s="864"/>
      <c r="N28" s="864">
        <f>UnosNovoZaposl!D434</f>
        <v>0</v>
      </c>
      <c r="O28" s="864"/>
      <c r="P28" s="864"/>
      <c r="Q28" s="864"/>
      <c r="R28" s="864"/>
      <c r="S28" s="864"/>
      <c r="T28" s="864"/>
      <c r="U28" s="868">
        <f>UnosNovoZaposl!E434</f>
        <v>0</v>
      </c>
      <c r="V28" s="868"/>
      <c r="W28" s="868"/>
      <c r="X28" s="868"/>
      <c r="Y28" s="868"/>
      <c r="Z28" s="868"/>
      <c r="AA28" s="868">
        <f>UnosNovoZaposl!B434</f>
        <v>0</v>
      </c>
      <c r="AB28" s="868"/>
      <c r="AC28" s="868"/>
      <c r="AD28" s="868"/>
      <c r="AE28" s="868"/>
      <c r="AF28" s="868"/>
      <c r="AG28" s="868">
        <f>UnosNovoZaposl!F434</f>
        <v>0</v>
      </c>
      <c r="AH28" s="868"/>
      <c r="AI28" s="868"/>
      <c r="AJ28" s="868"/>
      <c r="AK28" s="868"/>
      <c r="AL28" s="868"/>
      <c r="AM28" s="868">
        <f>UnosNovoZaposl!G434</f>
        <v>0</v>
      </c>
      <c r="AN28" s="868"/>
      <c r="AO28" s="868"/>
      <c r="AP28" s="868"/>
      <c r="AQ28" s="868"/>
      <c r="AR28" s="868"/>
      <c r="AS28" s="868">
        <f t="shared" si="0"/>
        <v>0</v>
      </c>
      <c r="AT28" s="868"/>
      <c r="AU28" s="868"/>
      <c r="AV28" s="868"/>
      <c r="AW28" s="868"/>
      <c r="AX28" s="868"/>
    </row>
    <row r="29" s="687" customFormat="1" ht="15" hidden="1" customHeight="1" spans="1:50">
      <c r="A29" s="745"/>
      <c r="B29" s="754" t="s">
        <v>5709</v>
      </c>
      <c r="C29" s="864">
        <f>UnosNovoZaposl!C435</f>
        <v>0</v>
      </c>
      <c r="D29" s="864"/>
      <c r="E29" s="864"/>
      <c r="F29" s="864"/>
      <c r="G29" s="864"/>
      <c r="H29" s="864"/>
      <c r="I29" s="864"/>
      <c r="J29" s="864"/>
      <c r="K29" s="864"/>
      <c r="L29" s="864"/>
      <c r="M29" s="864"/>
      <c r="N29" s="864">
        <f>UnosNovoZaposl!D435</f>
        <v>0</v>
      </c>
      <c r="O29" s="864"/>
      <c r="P29" s="864"/>
      <c r="Q29" s="864"/>
      <c r="R29" s="864"/>
      <c r="S29" s="864"/>
      <c r="T29" s="864"/>
      <c r="U29" s="868">
        <f>UnosNovoZaposl!E435</f>
        <v>0</v>
      </c>
      <c r="V29" s="868"/>
      <c r="W29" s="868"/>
      <c r="X29" s="868"/>
      <c r="Y29" s="868"/>
      <c r="Z29" s="868"/>
      <c r="AA29" s="868">
        <f>UnosNovoZaposl!B435</f>
        <v>0</v>
      </c>
      <c r="AB29" s="868"/>
      <c r="AC29" s="868"/>
      <c r="AD29" s="868"/>
      <c r="AE29" s="868"/>
      <c r="AF29" s="868"/>
      <c r="AG29" s="868">
        <f>UnosNovoZaposl!F435</f>
        <v>0</v>
      </c>
      <c r="AH29" s="868"/>
      <c r="AI29" s="868"/>
      <c r="AJ29" s="868"/>
      <c r="AK29" s="868"/>
      <c r="AL29" s="868"/>
      <c r="AM29" s="868">
        <f>UnosNovoZaposl!G435</f>
        <v>0</v>
      </c>
      <c r="AN29" s="868"/>
      <c r="AO29" s="868"/>
      <c r="AP29" s="868"/>
      <c r="AQ29" s="868"/>
      <c r="AR29" s="868"/>
      <c r="AS29" s="868">
        <f t="shared" si="0"/>
        <v>0</v>
      </c>
      <c r="AT29" s="868"/>
      <c r="AU29" s="868"/>
      <c r="AV29" s="868"/>
      <c r="AW29" s="868"/>
      <c r="AX29" s="868"/>
    </row>
    <row r="30" s="687" customFormat="1" ht="15" hidden="1" customHeight="1" spans="1:50">
      <c r="A30" s="745"/>
      <c r="B30" s="754" t="s">
        <v>5710</v>
      </c>
      <c r="C30" s="864">
        <f>UnosNovoZaposl!C436</f>
        <v>0</v>
      </c>
      <c r="D30" s="864"/>
      <c r="E30" s="864"/>
      <c r="F30" s="864"/>
      <c r="G30" s="864"/>
      <c r="H30" s="864"/>
      <c r="I30" s="864"/>
      <c r="J30" s="864"/>
      <c r="K30" s="864"/>
      <c r="L30" s="864"/>
      <c r="M30" s="864"/>
      <c r="N30" s="864">
        <f>UnosNovoZaposl!D436</f>
        <v>0</v>
      </c>
      <c r="O30" s="864"/>
      <c r="P30" s="864"/>
      <c r="Q30" s="864"/>
      <c r="R30" s="864"/>
      <c r="S30" s="864"/>
      <c r="T30" s="864"/>
      <c r="U30" s="868">
        <f>UnosNovoZaposl!E436</f>
        <v>0</v>
      </c>
      <c r="V30" s="868"/>
      <c r="W30" s="868"/>
      <c r="X30" s="868"/>
      <c r="Y30" s="868"/>
      <c r="Z30" s="868"/>
      <c r="AA30" s="868">
        <f>UnosNovoZaposl!B436</f>
        <v>0</v>
      </c>
      <c r="AB30" s="868"/>
      <c r="AC30" s="868"/>
      <c r="AD30" s="868"/>
      <c r="AE30" s="868"/>
      <c r="AF30" s="868"/>
      <c r="AG30" s="868">
        <f>UnosNovoZaposl!F436</f>
        <v>0</v>
      </c>
      <c r="AH30" s="868"/>
      <c r="AI30" s="868"/>
      <c r="AJ30" s="868"/>
      <c r="AK30" s="868"/>
      <c r="AL30" s="868"/>
      <c r="AM30" s="868">
        <f>UnosNovoZaposl!G436</f>
        <v>0</v>
      </c>
      <c r="AN30" s="868"/>
      <c r="AO30" s="868"/>
      <c r="AP30" s="868"/>
      <c r="AQ30" s="868"/>
      <c r="AR30" s="868"/>
      <c r="AS30" s="868">
        <f t="shared" si="0"/>
        <v>0</v>
      </c>
      <c r="AT30" s="868"/>
      <c r="AU30" s="868"/>
      <c r="AV30" s="868"/>
      <c r="AW30" s="868"/>
      <c r="AX30" s="868"/>
    </row>
    <row r="31" s="687" customFormat="1" ht="15" hidden="1" customHeight="1" spans="1:50">
      <c r="A31" s="745"/>
      <c r="B31" s="754" t="s">
        <v>5711</v>
      </c>
      <c r="C31" s="864">
        <f>UnosNovoZaposl!C437</f>
        <v>0</v>
      </c>
      <c r="D31" s="864"/>
      <c r="E31" s="864"/>
      <c r="F31" s="864"/>
      <c r="G31" s="864"/>
      <c r="H31" s="864"/>
      <c r="I31" s="864"/>
      <c r="J31" s="864"/>
      <c r="K31" s="864"/>
      <c r="L31" s="864"/>
      <c r="M31" s="864"/>
      <c r="N31" s="864">
        <f>UnosNovoZaposl!D437</f>
        <v>0</v>
      </c>
      <c r="O31" s="864"/>
      <c r="P31" s="864"/>
      <c r="Q31" s="864"/>
      <c r="R31" s="864"/>
      <c r="S31" s="864"/>
      <c r="T31" s="864"/>
      <c r="U31" s="868">
        <f>UnosNovoZaposl!E437</f>
        <v>0</v>
      </c>
      <c r="V31" s="868"/>
      <c r="W31" s="868"/>
      <c r="X31" s="868"/>
      <c r="Y31" s="868"/>
      <c r="Z31" s="868"/>
      <c r="AA31" s="868">
        <f>UnosNovoZaposl!B437</f>
        <v>0</v>
      </c>
      <c r="AB31" s="868"/>
      <c r="AC31" s="868"/>
      <c r="AD31" s="868"/>
      <c r="AE31" s="868"/>
      <c r="AF31" s="868"/>
      <c r="AG31" s="868">
        <f>UnosNovoZaposl!F437</f>
        <v>0</v>
      </c>
      <c r="AH31" s="868"/>
      <c r="AI31" s="868"/>
      <c r="AJ31" s="868"/>
      <c r="AK31" s="868"/>
      <c r="AL31" s="868"/>
      <c r="AM31" s="868">
        <f>UnosNovoZaposl!G437</f>
        <v>0</v>
      </c>
      <c r="AN31" s="868"/>
      <c r="AO31" s="868"/>
      <c r="AP31" s="868"/>
      <c r="AQ31" s="868"/>
      <c r="AR31" s="868"/>
      <c r="AS31" s="868">
        <f t="shared" si="0"/>
        <v>0</v>
      </c>
      <c r="AT31" s="868"/>
      <c r="AU31" s="868"/>
      <c r="AV31" s="868"/>
      <c r="AW31" s="868"/>
      <c r="AX31" s="868"/>
    </row>
    <row r="32" s="687" customFormat="1" ht="15" hidden="1" customHeight="1" spans="1:50">
      <c r="A32" s="2990"/>
      <c r="B32" s="754" t="s">
        <v>5713</v>
      </c>
      <c r="C32" s="864">
        <f>UnosNovoZaposl!C438</f>
        <v>0</v>
      </c>
      <c r="D32" s="864"/>
      <c r="E32" s="864"/>
      <c r="F32" s="864"/>
      <c r="G32" s="864"/>
      <c r="H32" s="864"/>
      <c r="I32" s="864"/>
      <c r="J32" s="864"/>
      <c r="K32" s="864"/>
      <c r="L32" s="864"/>
      <c r="M32" s="864"/>
      <c r="N32" s="864">
        <f>UnosNovoZaposl!D438</f>
        <v>0</v>
      </c>
      <c r="O32" s="864"/>
      <c r="P32" s="864"/>
      <c r="Q32" s="864"/>
      <c r="R32" s="864"/>
      <c r="S32" s="864"/>
      <c r="T32" s="864"/>
      <c r="U32" s="868">
        <f>UnosNovoZaposl!E438</f>
        <v>0</v>
      </c>
      <c r="V32" s="868"/>
      <c r="W32" s="868"/>
      <c r="X32" s="868"/>
      <c r="Y32" s="868"/>
      <c r="Z32" s="868"/>
      <c r="AA32" s="868">
        <f>UnosNovoZaposl!B438</f>
        <v>0</v>
      </c>
      <c r="AB32" s="868"/>
      <c r="AC32" s="868"/>
      <c r="AD32" s="868"/>
      <c r="AE32" s="868"/>
      <c r="AF32" s="868"/>
      <c r="AG32" s="868">
        <f>UnosNovoZaposl!F438</f>
        <v>0</v>
      </c>
      <c r="AH32" s="868"/>
      <c r="AI32" s="868"/>
      <c r="AJ32" s="868"/>
      <c r="AK32" s="868"/>
      <c r="AL32" s="868"/>
      <c r="AM32" s="868">
        <f>UnosNovoZaposl!G438</f>
        <v>0</v>
      </c>
      <c r="AN32" s="868"/>
      <c r="AO32" s="868"/>
      <c r="AP32" s="868"/>
      <c r="AQ32" s="868"/>
      <c r="AR32" s="868"/>
      <c r="AS32" s="868">
        <f t="shared" si="0"/>
        <v>0</v>
      </c>
      <c r="AT32" s="868"/>
      <c r="AU32" s="868"/>
      <c r="AV32" s="868"/>
      <c r="AW32" s="868"/>
      <c r="AX32" s="868"/>
    </row>
    <row r="33" s="687" customFormat="1" ht="15" hidden="1" customHeight="1" spans="1:50">
      <c r="A33" s="745"/>
      <c r="B33" s="754" t="s">
        <v>5714</v>
      </c>
      <c r="C33" s="864">
        <f>UnosNovoZaposl!C439</f>
        <v>0</v>
      </c>
      <c r="D33" s="864"/>
      <c r="E33" s="864"/>
      <c r="F33" s="864"/>
      <c r="G33" s="864"/>
      <c r="H33" s="864"/>
      <c r="I33" s="864"/>
      <c r="J33" s="864"/>
      <c r="K33" s="864"/>
      <c r="L33" s="864"/>
      <c r="M33" s="864"/>
      <c r="N33" s="864">
        <f>UnosNovoZaposl!D439</f>
        <v>0</v>
      </c>
      <c r="O33" s="864"/>
      <c r="P33" s="864"/>
      <c r="Q33" s="864"/>
      <c r="R33" s="864"/>
      <c r="S33" s="864"/>
      <c r="T33" s="864"/>
      <c r="U33" s="868">
        <f>UnosNovoZaposl!E439</f>
        <v>0</v>
      </c>
      <c r="V33" s="868"/>
      <c r="W33" s="868"/>
      <c r="X33" s="868"/>
      <c r="Y33" s="868"/>
      <c r="Z33" s="868"/>
      <c r="AA33" s="868">
        <f>UnosNovoZaposl!B439</f>
        <v>0</v>
      </c>
      <c r="AB33" s="868"/>
      <c r="AC33" s="868"/>
      <c r="AD33" s="868"/>
      <c r="AE33" s="868"/>
      <c r="AF33" s="868"/>
      <c r="AG33" s="868">
        <f>UnosNovoZaposl!F439</f>
        <v>0</v>
      </c>
      <c r="AH33" s="868"/>
      <c r="AI33" s="868"/>
      <c r="AJ33" s="868"/>
      <c r="AK33" s="868"/>
      <c r="AL33" s="868"/>
      <c r="AM33" s="868">
        <f>UnosNovoZaposl!G439</f>
        <v>0</v>
      </c>
      <c r="AN33" s="868"/>
      <c r="AO33" s="868"/>
      <c r="AP33" s="868"/>
      <c r="AQ33" s="868"/>
      <c r="AR33" s="868"/>
      <c r="AS33" s="868">
        <f t="shared" si="0"/>
        <v>0</v>
      </c>
      <c r="AT33" s="868"/>
      <c r="AU33" s="868"/>
      <c r="AV33" s="868"/>
      <c r="AW33" s="868"/>
      <c r="AX33" s="868"/>
    </row>
    <row r="34" s="687" customFormat="1" ht="15" hidden="1" customHeight="1" spans="1:50">
      <c r="A34" s="745"/>
      <c r="B34" s="754" t="s">
        <v>5715</v>
      </c>
      <c r="C34" s="864">
        <f>UnosNovoZaposl!C440</f>
        <v>0</v>
      </c>
      <c r="D34" s="864"/>
      <c r="E34" s="864"/>
      <c r="F34" s="864"/>
      <c r="G34" s="864"/>
      <c r="H34" s="864"/>
      <c r="I34" s="864"/>
      <c r="J34" s="864"/>
      <c r="K34" s="864"/>
      <c r="L34" s="864"/>
      <c r="M34" s="864"/>
      <c r="N34" s="864">
        <f>UnosNovoZaposl!D440</f>
        <v>0</v>
      </c>
      <c r="O34" s="864"/>
      <c r="P34" s="864"/>
      <c r="Q34" s="864"/>
      <c r="R34" s="864"/>
      <c r="S34" s="864"/>
      <c r="T34" s="864"/>
      <c r="U34" s="868">
        <f>UnosNovoZaposl!E440</f>
        <v>0</v>
      </c>
      <c r="V34" s="868"/>
      <c r="W34" s="868"/>
      <c r="X34" s="868"/>
      <c r="Y34" s="868"/>
      <c r="Z34" s="868"/>
      <c r="AA34" s="868">
        <f>UnosNovoZaposl!B440</f>
        <v>0</v>
      </c>
      <c r="AB34" s="868"/>
      <c r="AC34" s="868"/>
      <c r="AD34" s="868"/>
      <c r="AE34" s="868"/>
      <c r="AF34" s="868"/>
      <c r="AG34" s="868">
        <f>UnosNovoZaposl!F440</f>
        <v>0</v>
      </c>
      <c r="AH34" s="868"/>
      <c r="AI34" s="868"/>
      <c r="AJ34" s="868"/>
      <c r="AK34" s="868"/>
      <c r="AL34" s="868"/>
      <c r="AM34" s="868">
        <f>UnosNovoZaposl!G440</f>
        <v>0</v>
      </c>
      <c r="AN34" s="868"/>
      <c r="AO34" s="868"/>
      <c r="AP34" s="868"/>
      <c r="AQ34" s="868"/>
      <c r="AR34" s="868"/>
      <c r="AS34" s="868">
        <f t="shared" si="0"/>
        <v>0</v>
      </c>
      <c r="AT34" s="868"/>
      <c r="AU34" s="868"/>
      <c r="AV34" s="868"/>
      <c r="AW34" s="868"/>
      <c r="AX34" s="868"/>
    </row>
    <row r="35" s="687" customFormat="1" ht="15" hidden="1" customHeight="1" spans="1:50">
      <c r="A35" s="745"/>
      <c r="B35" s="754" t="s">
        <v>5716</v>
      </c>
      <c r="C35" s="864">
        <f>UnosNovoZaposl!C441</f>
        <v>0</v>
      </c>
      <c r="D35" s="864"/>
      <c r="E35" s="864"/>
      <c r="F35" s="864"/>
      <c r="G35" s="864"/>
      <c r="H35" s="864"/>
      <c r="I35" s="864"/>
      <c r="J35" s="864"/>
      <c r="K35" s="864"/>
      <c r="L35" s="864"/>
      <c r="M35" s="864"/>
      <c r="N35" s="864">
        <f>UnosNovoZaposl!D441</f>
        <v>0</v>
      </c>
      <c r="O35" s="864"/>
      <c r="P35" s="864"/>
      <c r="Q35" s="864"/>
      <c r="R35" s="864"/>
      <c r="S35" s="864"/>
      <c r="T35" s="864"/>
      <c r="U35" s="868">
        <f>UnosNovoZaposl!E441</f>
        <v>0</v>
      </c>
      <c r="V35" s="868"/>
      <c r="W35" s="868"/>
      <c r="X35" s="868"/>
      <c r="Y35" s="868"/>
      <c r="Z35" s="868"/>
      <c r="AA35" s="868">
        <f>UnosNovoZaposl!B441</f>
        <v>0</v>
      </c>
      <c r="AB35" s="868"/>
      <c r="AC35" s="868"/>
      <c r="AD35" s="868"/>
      <c r="AE35" s="868"/>
      <c r="AF35" s="868"/>
      <c r="AG35" s="868">
        <f>UnosNovoZaposl!F441</f>
        <v>0</v>
      </c>
      <c r="AH35" s="868"/>
      <c r="AI35" s="868"/>
      <c r="AJ35" s="868"/>
      <c r="AK35" s="868"/>
      <c r="AL35" s="868"/>
      <c r="AM35" s="868">
        <f>UnosNovoZaposl!G441</f>
        <v>0</v>
      </c>
      <c r="AN35" s="868"/>
      <c r="AO35" s="868"/>
      <c r="AP35" s="868"/>
      <c r="AQ35" s="868"/>
      <c r="AR35" s="868"/>
      <c r="AS35" s="868">
        <f t="shared" si="0"/>
        <v>0</v>
      </c>
      <c r="AT35" s="868"/>
      <c r="AU35" s="868"/>
      <c r="AV35" s="868"/>
      <c r="AW35" s="868"/>
      <c r="AX35" s="868"/>
    </row>
    <row r="36" s="687" customFormat="1" ht="15" hidden="1" customHeight="1" spans="1:50">
      <c r="A36" s="745"/>
      <c r="B36" s="754" t="s">
        <v>5717</v>
      </c>
      <c r="C36" s="864">
        <f>UnosNovoZaposl!C442</f>
        <v>0</v>
      </c>
      <c r="D36" s="864"/>
      <c r="E36" s="864"/>
      <c r="F36" s="864"/>
      <c r="G36" s="864"/>
      <c r="H36" s="864"/>
      <c r="I36" s="864"/>
      <c r="J36" s="864"/>
      <c r="K36" s="864"/>
      <c r="L36" s="864"/>
      <c r="M36" s="864"/>
      <c r="N36" s="864">
        <f>UnosNovoZaposl!D442</f>
        <v>0</v>
      </c>
      <c r="O36" s="864"/>
      <c r="P36" s="864"/>
      <c r="Q36" s="864"/>
      <c r="R36" s="864"/>
      <c r="S36" s="864"/>
      <c r="T36" s="864"/>
      <c r="U36" s="868">
        <f>UnosNovoZaposl!E442</f>
        <v>0</v>
      </c>
      <c r="V36" s="868"/>
      <c r="W36" s="868"/>
      <c r="X36" s="868"/>
      <c r="Y36" s="868"/>
      <c r="Z36" s="868"/>
      <c r="AA36" s="868">
        <f>UnosNovoZaposl!B442</f>
        <v>0</v>
      </c>
      <c r="AB36" s="868"/>
      <c r="AC36" s="868"/>
      <c r="AD36" s="868"/>
      <c r="AE36" s="868"/>
      <c r="AF36" s="868"/>
      <c r="AG36" s="868">
        <f>UnosNovoZaposl!F442</f>
        <v>0</v>
      </c>
      <c r="AH36" s="868"/>
      <c r="AI36" s="868"/>
      <c r="AJ36" s="868"/>
      <c r="AK36" s="868"/>
      <c r="AL36" s="868"/>
      <c r="AM36" s="868">
        <f>UnosNovoZaposl!G442</f>
        <v>0</v>
      </c>
      <c r="AN36" s="868"/>
      <c r="AO36" s="868"/>
      <c r="AP36" s="868"/>
      <c r="AQ36" s="868"/>
      <c r="AR36" s="868"/>
      <c r="AS36" s="868">
        <f t="shared" si="0"/>
        <v>0</v>
      </c>
      <c r="AT36" s="868"/>
      <c r="AU36" s="868"/>
      <c r="AV36" s="868"/>
      <c r="AW36" s="868"/>
      <c r="AX36" s="868"/>
    </row>
    <row r="37" s="687" customFormat="1" ht="15" hidden="1" customHeight="1" spans="1:50">
      <c r="A37" s="745"/>
      <c r="B37" s="754" t="s">
        <v>5718</v>
      </c>
      <c r="C37" s="864">
        <f>UnosNovoZaposl!C443</f>
        <v>0</v>
      </c>
      <c r="D37" s="864"/>
      <c r="E37" s="864"/>
      <c r="F37" s="864"/>
      <c r="G37" s="864"/>
      <c r="H37" s="864"/>
      <c r="I37" s="864"/>
      <c r="J37" s="864"/>
      <c r="K37" s="864"/>
      <c r="L37" s="864"/>
      <c r="M37" s="864"/>
      <c r="N37" s="864">
        <f>UnosNovoZaposl!D443</f>
        <v>0</v>
      </c>
      <c r="O37" s="864"/>
      <c r="P37" s="864"/>
      <c r="Q37" s="864"/>
      <c r="R37" s="864"/>
      <c r="S37" s="864"/>
      <c r="T37" s="864"/>
      <c r="U37" s="868">
        <f>UnosNovoZaposl!E443</f>
        <v>0</v>
      </c>
      <c r="V37" s="868"/>
      <c r="W37" s="868"/>
      <c r="X37" s="868"/>
      <c r="Y37" s="868"/>
      <c r="Z37" s="868"/>
      <c r="AA37" s="868">
        <f>UnosNovoZaposl!B443</f>
        <v>0</v>
      </c>
      <c r="AB37" s="868"/>
      <c r="AC37" s="868"/>
      <c r="AD37" s="868"/>
      <c r="AE37" s="868"/>
      <c r="AF37" s="868"/>
      <c r="AG37" s="868">
        <f>UnosNovoZaposl!F443</f>
        <v>0</v>
      </c>
      <c r="AH37" s="868"/>
      <c r="AI37" s="868"/>
      <c r="AJ37" s="868"/>
      <c r="AK37" s="868"/>
      <c r="AL37" s="868"/>
      <c r="AM37" s="868">
        <f>UnosNovoZaposl!G443</f>
        <v>0</v>
      </c>
      <c r="AN37" s="868"/>
      <c r="AO37" s="868"/>
      <c r="AP37" s="868"/>
      <c r="AQ37" s="868"/>
      <c r="AR37" s="868"/>
      <c r="AS37" s="868">
        <f t="shared" si="0"/>
        <v>0</v>
      </c>
      <c r="AT37" s="868"/>
      <c r="AU37" s="868"/>
      <c r="AV37" s="868"/>
      <c r="AW37" s="868"/>
      <c r="AX37" s="868"/>
    </row>
    <row r="38" s="687" customFormat="1" ht="15" hidden="1" customHeight="1" spans="1:50">
      <c r="A38" s="745"/>
      <c r="B38" s="754" t="s">
        <v>5835</v>
      </c>
      <c r="C38" s="864">
        <f>UnosNovoZaposl!C444</f>
        <v>0</v>
      </c>
      <c r="D38" s="864"/>
      <c r="E38" s="864"/>
      <c r="F38" s="864"/>
      <c r="G38" s="864"/>
      <c r="H38" s="864"/>
      <c r="I38" s="864"/>
      <c r="J38" s="864"/>
      <c r="K38" s="864"/>
      <c r="L38" s="864"/>
      <c r="M38" s="864"/>
      <c r="N38" s="864">
        <f>UnosNovoZaposl!D444</f>
        <v>0</v>
      </c>
      <c r="O38" s="864"/>
      <c r="P38" s="864"/>
      <c r="Q38" s="864"/>
      <c r="R38" s="864"/>
      <c r="S38" s="864"/>
      <c r="T38" s="864"/>
      <c r="U38" s="868">
        <f>UnosNovoZaposl!E444</f>
        <v>0</v>
      </c>
      <c r="V38" s="868"/>
      <c r="W38" s="868"/>
      <c r="X38" s="868"/>
      <c r="Y38" s="868"/>
      <c r="Z38" s="868"/>
      <c r="AA38" s="868">
        <f>UnosNovoZaposl!B444</f>
        <v>0</v>
      </c>
      <c r="AB38" s="868"/>
      <c r="AC38" s="868"/>
      <c r="AD38" s="868"/>
      <c r="AE38" s="868"/>
      <c r="AF38" s="868"/>
      <c r="AG38" s="868">
        <f>UnosNovoZaposl!F444</f>
        <v>0</v>
      </c>
      <c r="AH38" s="868"/>
      <c r="AI38" s="868"/>
      <c r="AJ38" s="868"/>
      <c r="AK38" s="868"/>
      <c r="AL38" s="868"/>
      <c r="AM38" s="868">
        <f>UnosNovoZaposl!G444</f>
        <v>0</v>
      </c>
      <c r="AN38" s="868"/>
      <c r="AO38" s="868"/>
      <c r="AP38" s="868"/>
      <c r="AQ38" s="868"/>
      <c r="AR38" s="868"/>
      <c r="AS38" s="868">
        <f t="shared" si="0"/>
        <v>0</v>
      </c>
      <c r="AT38" s="868"/>
      <c r="AU38" s="868"/>
      <c r="AV38" s="868"/>
      <c r="AW38" s="868"/>
      <c r="AX38" s="868"/>
    </row>
    <row r="39" s="687" customFormat="1" ht="15" hidden="1" customHeight="1" spans="1:50">
      <c r="A39" s="745"/>
      <c r="B39" s="754" t="s">
        <v>5837</v>
      </c>
      <c r="C39" s="864">
        <f>UnosNovoZaposl!C445</f>
        <v>0</v>
      </c>
      <c r="D39" s="864"/>
      <c r="E39" s="864"/>
      <c r="F39" s="864"/>
      <c r="G39" s="864"/>
      <c r="H39" s="864"/>
      <c r="I39" s="864"/>
      <c r="J39" s="864"/>
      <c r="K39" s="864"/>
      <c r="L39" s="864"/>
      <c r="M39" s="864"/>
      <c r="N39" s="864">
        <f>UnosNovoZaposl!D445</f>
        <v>0</v>
      </c>
      <c r="O39" s="864"/>
      <c r="P39" s="864"/>
      <c r="Q39" s="864"/>
      <c r="R39" s="864"/>
      <c r="S39" s="864"/>
      <c r="T39" s="864"/>
      <c r="U39" s="868">
        <f>UnosNovoZaposl!E445</f>
        <v>0</v>
      </c>
      <c r="V39" s="868"/>
      <c r="W39" s="868"/>
      <c r="X39" s="868"/>
      <c r="Y39" s="868"/>
      <c r="Z39" s="868"/>
      <c r="AA39" s="868">
        <f>UnosNovoZaposl!B445</f>
        <v>0</v>
      </c>
      <c r="AB39" s="868"/>
      <c r="AC39" s="868"/>
      <c r="AD39" s="868"/>
      <c r="AE39" s="868"/>
      <c r="AF39" s="868"/>
      <c r="AG39" s="868">
        <f>UnosNovoZaposl!F445</f>
        <v>0</v>
      </c>
      <c r="AH39" s="868"/>
      <c r="AI39" s="868"/>
      <c r="AJ39" s="868"/>
      <c r="AK39" s="868"/>
      <c r="AL39" s="868"/>
      <c r="AM39" s="868">
        <f>UnosNovoZaposl!G445</f>
        <v>0</v>
      </c>
      <c r="AN39" s="868"/>
      <c r="AO39" s="868"/>
      <c r="AP39" s="868"/>
      <c r="AQ39" s="868"/>
      <c r="AR39" s="868"/>
      <c r="AS39" s="868">
        <f t="shared" si="0"/>
        <v>0</v>
      </c>
      <c r="AT39" s="868"/>
      <c r="AU39" s="868"/>
      <c r="AV39" s="868"/>
      <c r="AW39" s="868"/>
      <c r="AX39" s="868"/>
    </row>
    <row r="40" s="687" customFormat="1" ht="15" hidden="1" customHeight="1" spans="1:50">
      <c r="A40" s="745"/>
      <c r="B40" s="754" t="s">
        <v>5839</v>
      </c>
      <c r="C40" s="864">
        <f>UnosNovoZaposl!C446</f>
        <v>0</v>
      </c>
      <c r="D40" s="864"/>
      <c r="E40" s="864"/>
      <c r="F40" s="864"/>
      <c r="G40" s="864"/>
      <c r="H40" s="864"/>
      <c r="I40" s="864"/>
      <c r="J40" s="864"/>
      <c r="K40" s="864"/>
      <c r="L40" s="864"/>
      <c r="M40" s="864"/>
      <c r="N40" s="864">
        <f>UnosNovoZaposl!D446</f>
        <v>0</v>
      </c>
      <c r="O40" s="864"/>
      <c r="P40" s="864"/>
      <c r="Q40" s="864"/>
      <c r="R40" s="864"/>
      <c r="S40" s="864"/>
      <c r="T40" s="864"/>
      <c r="U40" s="868">
        <f>UnosNovoZaposl!E446</f>
        <v>0</v>
      </c>
      <c r="V40" s="868"/>
      <c r="W40" s="868"/>
      <c r="X40" s="868"/>
      <c r="Y40" s="868"/>
      <c r="Z40" s="868"/>
      <c r="AA40" s="868">
        <f>UnosNovoZaposl!B446</f>
        <v>0</v>
      </c>
      <c r="AB40" s="868"/>
      <c r="AC40" s="868"/>
      <c r="AD40" s="868"/>
      <c r="AE40" s="868"/>
      <c r="AF40" s="868"/>
      <c r="AG40" s="868">
        <f>UnosNovoZaposl!F446</f>
        <v>0</v>
      </c>
      <c r="AH40" s="868"/>
      <c r="AI40" s="868"/>
      <c r="AJ40" s="868"/>
      <c r="AK40" s="868"/>
      <c r="AL40" s="868"/>
      <c r="AM40" s="868">
        <f>UnosNovoZaposl!G446</f>
        <v>0</v>
      </c>
      <c r="AN40" s="868"/>
      <c r="AO40" s="868"/>
      <c r="AP40" s="868"/>
      <c r="AQ40" s="868"/>
      <c r="AR40" s="868"/>
      <c r="AS40" s="868">
        <f t="shared" si="0"/>
        <v>0</v>
      </c>
      <c r="AT40" s="868"/>
      <c r="AU40" s="868"/>
      <c r="AV40" s="868"/>
      <c r="AW40" s="868"/>
      <c r="AX40" s="868"/>
    </row>
    <row r="41" s="687" customFormat="1" ht="15" hidden="1" customHeight="1" spans="1:50">
      <c r="A41" s="745"/>
      <c r="B41" s="754" t="s">
        <v>5841</v>
      </c>
      <c r="C41" s="864">
        <f>UnosNovoZaposl!C447</f>
        <v>0</v>
      </c>
      <c r="D41" s="864"/>
      <c r="E41" s="864"/>
      <c r="F41" s="864"/>
      <c r="G41" s="864"/>
      <c r="H41" s="864"/>
      <c r="I41" s="864"/>
      <c r="J41" s="864"/>
      <c r="K41" s="864"/>
      <c r="L41" s="864"/>
      <c r="M41" s="864"/>
      <c r="N41" s="864">
        <f>UnosNovoZaposl!D447</f>
        <v>0</v>
      </c>
      <c r="O41" s="864"/>
      <c r="P41" s="864"/>
      <c r="Q41" s="864"/>
      <c r="R41" s="864"/>
      <c r="S41" s="864"/>
      <c r="T41" s="864"/>
      <c r="U41" s="868">
        <f>UnosNovoZaposl!E447</f>
        <v>0</v>
      </c>
      <c r="V41" s="868"/>
      <c r="W41" s="868"/>
      <c r="X41" s="868"/>
      <c r="Y41" s="868"/>
      <c r="Z41" s="868"/>
      <c r="AA41" s="868">
        <f>UnosNovoZaposl!B447</f>
        <v>0</v>
      </c>
      <c r="AB41" s="868"/>
      <c r="AC41" s="868"/>
      <c r="AD41" s="868"/>
      <c r="AE41" s="868"/>
      <c r="AF41" s="868"/>
      <c r="AG41" s="868">
        <f>UnosNovoZaposl!F447</f>
        <v>0</v>
      </c>
      <c r="AH41" s="868"/>
      <c r="AI41" s="868"/>
      <c r="AJ41" s="868"/>
      <c r="AK41" s="868"/>
      <c r="AL41" s="868"/>
      <c r="AM41" s="868">
        <f>UnosNovoZaposl!G447</f>
        <v>0</v>
      </c>
      <c r="AN41" s="868"/>
      <c r="AO41" s="868"/>
      <c r="AP41" s="868"/>
      <c r="AQ41" s="868"/>
      <c r="AR41" s="868"/>
      <c r="AS41" s="868">
        <f t="shared" si="0"/>
        <v>0</v>
      </c>
      <c r="AT41" s="868"/>
      <c r="AU41" s="868"/>
      <c r="AV41" s="868"/>
      <c r="AW41" s="868"/>
      <c r="AX41" s="868"/>
    </row>
    <row r="42" s="687" customFormat="1" ht="15" hidden="1" customHeight="1" spans="1:50">
      <c r="A42" s="745"/>
      <c r="B42" s="754" t="s">
        <v>5843</v>
      </c>
      <c r="C42" s="864">
        <f>UnosNovoZaposl!C448</f>
        <v>0</v>
      </c>
      <c r="D42" s="864"/>
      <c r="E42" s="864"/>
      <c r="F42" s="864"/>
      <c r="G42" s="864"/>
      <c r="H42" s="864"/>
      <c r="I42" s="864"/>
      <c r="J42" s="864"/>
      <c r="K42" s="864"/>
      <c r="L42" s="864"/>
      <c r="M42" s="864"/>
      <c r="N42" s="864">
        <f>UnosNovoZaposl!D448</f>
        <v>0</v>
      </c>
      <c r="O42" s="864"/>
      <c r="P42" s="864"/>
      <c r="Q42" s="864"/>
      <c r="R42" s="864"/>
      <c r="S42" s="864"/>
      <c r="T42" s="864"/>
      <c r="U42" s="868">
        <f>UnosNovoZaposl!E448</f>
        <v>0</v>
      </c>
      <c r="V42" s="868"/>
      <c r="W42" s="868"/>
      <c r="X42" s="868"/>
      <c r="Y42" s="868"/>
      <c r="Z42" s="868"/>
      <c r="AA42" s="868">
        <f>UnosNovoZaposl!B448</f>
        <v>0</v>
      </c>
      <c r="AB42" s="868"/>
      <c r="AC42" s="868"/>
      <c r="AD42" s="868"/>
      <c r="AE42" s="868"/>
      <c r="AF42" s="868"/>
      <c r="AG42" s="868">
        <f>UnosNovoZaposl!F448</f>
        <v>0</v>
      </c>
      <c r="AH42" s="868"/>
      <c r="AI42" s="868"/>
      <c r="AJ42" s="868"/>
      <c r="AK42" s="868"/>
      <c r="AL42" s="868"/>
      <c r="AM42" s="868">
        <f>UnosNovoZaposl!G448</f>
        <v>0</v>
      </c>
      <c r="AN42" s="868"/>
      <c r="AO42" s="868"/>
      <c r="AP42" s="868"/>
      <c r="AQ42" s="868"/>
      <c r="AR42" s="868"/>
      <c r="AS42" s="868">
        <f t="shared" si="0"/>
        <v>0</v>
      </c>
      <c r="AT42" s="868"/>
      <c r="AU42" s="868"/>
      <c r="AV42" s="868"/>
      <c r="AW42" s="868"/>
      <c r="AX42" s="868"/>
    </row>
    <row r="43" s="687" customFormat="1" ht="15" hidden="1" customHeight="1" spans="1:50">
      <c r="A43" s="745"/>
      <c r="B43" s="754" t="s">
        <v>5845</v>
      </c>
      <c r="C43" s="864">
        <f>UnosNovoZaposl!C449</f>
        <v>0</v>
      </c>
      <c r="D43" s="864"/>
      <c r="E43" s="864"/>
      <c r="F43" s="864"/>
      <c r="G43" s="864"/>
      <c r="H43" s="864"/>
      <c r="I43" s="864"/>
      <c r="J43" s="864"/>
      <c r="K43" s="864"/>
      <c r="L43" s="864"/>
      <c r="M43" s="864"/>
      <c r="N43" s="864">
        <f>UnosNovoZaposl!D449</f>
        <v>0</v>
      </c>
      <c r="O43" s="864"/>
      <c r="P43" s="864"/>
      <c r="Q43" s="864"/>
      <c r="R43" s="864"/>
      <c r="S43" s="864"/>
      <c r="T43" s="864"/>
      <c r="U43" s="868">
        <f>UnosNovoZaposl!E449</f>
        <v>0</v>
      </c>
      <c r="V43" s="868"/>
      <c r="W43" s="868"/>
      <c r="X43" s="868"/>
      <c r="Y43" s="868"/>
      <c r="Z43" s="868"/>
      <c r="AA43" s="868">
        <f>UnosNovoZaposl!B449</f>
        <v>0</v>
      </c>
      <c r="AB43" s="868"/>
      <c r="AC43" s="868"/>
      <c r="AD43" s="868"/>
      <c r="AE43" s="868"/>
      <c r="AF43" s="868"/>
      <c r="AG43" s="868">
        <f>UnosNovoZaposl!F449</f>
        <v>0</v>
      </c>
      <c r="AH43" s="868"/>
      <c r="AI43" s="868"/>
      <c r="AJ43" s="868"/>
      <c r="AK43" s="868"/>
      <c r="AL43" s="868"/>
      <c r="AM43" s="868">
        <f>UnosNovoZaposl!G449</f>
        <v>0</v>
      </c>
      <c r="AN43" s="868"/>
      <c r="AO43" s="868"/>
      <c r="AP43" s="868"/>
      <c r="AQ43" s="868"/>
      <c r="AR43" s="868"/>
      <c r="AS43" s="868">
        <f t="shared" si="0"/>
        <v>0</v>
      </c>
      <c r="AT43" s="868"/>
      <c r="AU43" s="868"/>
      <c r="AV43" s="868"/>
      <c r="AW43" s="868"/>
      <c r="AX43" s="868"/>
    </row>
    <row r="44" s="687" customFormat="1" ht="15" hidden="1" customHeight="1" spans="1:50">
      <c r="A44" s="745"/>
      <c r="B44" s="754" t="s">
        <v>5847</v>
      </c>
      <c r="C44" s="864">
        <f>UnosNovoZaposl!C450</f>
        <v>0</v>
      </c>
      <c r="D44" s="864"/>
      <c r="E44" s="864"/>
      <c r="F44" s="864"/>
      <c r="G44" s="864"/>
      <c r="H44" s="864"/>
      <c r="I44" s="864"/>
      <c r="J44" s="864"/>
      <c r="K44" s="864"/>
      <c r="L44" s="864"/>
      <c r="M44" s="864"/>
      <c r="N44" s="864">
        <f>UnosNovoZaposl!D450</f>
        <v>0</v>
      </c>
      <c r="O44" s="864"/>
      <c r="P44" s="864"/>
      <c r="Q44" s="864"/>
      <c r="R44" s="864"/>
      <c r="S44" s="864"/>
      <c r="T44" s="864"/>
      <c r="U44" s="868">
        <f>UnosNovoZaposl!E450</f>
        <v>0</v>
      </c>
      <c r="V44" s="868"/>
      <c r="W44" s="868"/>
      <c r="X44" s="868"/>
      <c r="Y44" s="868"/>
      <c r="Z44" s="868"/>
      <c r="AA44" s="868">
        <f>UnosNovoZaposl!B450</f>
        <v>0</v>
      </c>
      <c r="AB44" s="868"/>
      <c r="AC44" s="868"/>
      <c r="AD44" s="868"/>
      <c r="AE44" s="868"/>
      <c r="AF44" s="868"/>
      <c r="AG44" s="868">
        <f>UnosNovoZaposl!F450</f>
        <v>0</v>
      </c>
      <c r="AH44" s="868"/>
      <c r="AI44" s="868"/>
      <c r="AJ44" s="868"/>
      <c r="AK44" s="868"/>
      <c r="AL44" s="868"/>
      <c r="AM44" s="868">
        <f>UnosNovoZaposl!G450</f>
        <v>0</v>
      </c>
      <c r="AN44" s="868"/>
      <c r="AO44" s="868"/>
      <c r="AP44" s="868"/>
      <c r="AQ44" s="868"/>
      <c r="AR44" s="868"/>
      <c r="AS44" s="868">
        <f t="shared" ref="AS44:AS107" si="1">AG44+AM44</f>
        <v>0</v>
      </c>
      <c r="AT44" s="868"/>
      <c r="AU44" s="868"/>
      <c r="AV44" s="868"/>
      <c r="AW44" s="868"/>
      <c r="AX44" s="868"/>
    </row>
    <row r="45" s="687" customFormat="1" ht="15" hidden="1" customHeight="1" spans="1:50">
      <c r="A45" s="745"/>
      <c r="B45" s="754" t="s">
        <v>5849</v>
      </c>
      <c r="C45" s="864">
        <f>UnosNovoZaposl!C451</f>
        <v>0</v>
      </c>
      <c r="D45" s="864"/>
      <c r="E45" s="864"/>
      <c r="F45" s="864"/>
      <c r="G45" s="864"/>
      <c r="H45" s="864"/>
      <c r="I45" s="864"/>
      <c r="J45" s="864"/>
      <c r="K45" s="864"/>
      <c r="L45" s="864"/>
      <c r="M45" s="864"/>
      <c r="N45" s="864">
        <f>UnosNovoZaposl!D451</f>
        <v>0</v>
      </c>
      <c r="O45" s="864"/>
      <c r="P45" s="864"/>
      <c r="Q45" s="864"/>
      <c r="R45" s="864"/>
      <c r="S45" s="864"/>
      <c r="T45" s="864"/>
      <c r="U45" s="868">
        <f>UnosNovoZaposl!E451</f>
        <v>0</v>
      </c>
      <c r="V45" s="868"/>
      <c r="W45" s="868"/>
      <c r="X45" s="868"/>
      <c r="Y45" s="868"/>
      <c r="Z45" s="868"/>
      <c r="AA45" s="868">
        <f>UnosNovoZaposl!B451</f>
        <v>0</v>
      </c>
      <c r="AB45" s="868"/>
      <c r="AC45" s="868"/>
      <c r="AD45" s="868"/>
      <c r="AE45" s="868"/>
      <c r="AF45" s="868"/>
      <c r="AG45" s="868">
        <f>UnosNovoZaposl!F451</f>
        <v>0</v>
      </c>
      <c r="AH45" s="868"/>
      <c r="AI45" s="868"/>
      <c r="AJ45" s="868"/>
      <c r="AK45" s="868"/>
      <c r="AL45" s="868"/>
      <c r="AM45" s="868">
        <f>UnosNovoZaposl!G451</f>
        <v>0</v>
      </c>
      <c r="AN45" s="868"/>
      <c r="AO45" s="868"/>
      <c r="AP45" s="868"/>
      <c r="AQ45" s="868"/>
      <c r="AR45" s="868"/>
      <c r="AS45" s="868">
        <f t="shared" si="1"/>
        <v>0</v>
      </c>
      <c r="AT45" s="868"/>
      <c r="AU45" s="868"/>
      <c r="AV45" s="868"/>
      <c r="AW45" s="868"/>
      <c r="AX45" s="868"/>
    </row>
    <row r="46" s="687" customFormat="1" ht="15" hidden="1" customHeight="1" spans="1:50">
      <c r="A46" s="745"/>
      <c r="B46" s="754" t="s">
        <v>5851</v>
      </c>
      <c r="C46" s="864">
        <f>UnosNovoZaposl!C452</f>
        <v>0</v>
      </c>
      <c r="D46" s="864"/>
      <c r="E46" s="864"/>
      <c r="F46" s="864"/>
      <c r="G46" s="864"/>
      <c r="H46" s="864"/>
      <c r="I46" s="864"/>
      <c r="J46" s="864"/>
      <c r="K46" s="864"/>
      <c r="L46" s="864"/>
      <c r="M46" s="864"/>
      <c r="N46" s="864">
        <f>UnosNovoZaposl!D452</f>
        <v>0</v>
      </c>
      <c r="O46" s="864"/>
      <c r="P46" s="864"/>
      <c r="Q46" s="864"/>
      <c r="R46" s="864"/>
      <c r="S46" s="864"/>
      <c r="T46" s="864"/>
      <c r="U46" s="868">
        <f>UnosNovoZaposl!E452</f>
        <v>0</v>
      </c>
      <c r="V46" s="868"/>
      <c r="W46" s="868"/>
      <c r="X46" s="868"/>
      <c r="Y46" s="868"/>
      <c r="Z46" s="868"/>
      <c r="AA46" s="868">
        <f>UnosNovoZaposl!B452</f>
        <v>0</v>
      </c>
      <c r="AB46" s="868"/>
      <c r="AC46" s="868"/>
      <c r="AD46" s="868"/>
      <c r="AE46" s="868"/>
      <c r="AF46" s="868"/>
      <c r="AG46" s="868">
        <f>UnosNovoZaposl!F452</f>
        <v>0</v>
      </c>
      <c r="AH46" s="868"/>
      <c r="AI46" s="868"/>
      <c r="AJ46" s="868"/>
      <c r="AK46" s="868"/>
      <c r="AL46" s="868"/>
      <c r="AM46" s="868">
        <f>UnosNovoZaposl!G452</f>
        <v>0</v>
      </c>
      <c r="AN46" s="868"/>
      <c r="AO46" s="868"/>
      <c r="AP46" s="868"/>
      <c r="AQ46" s="868"/>
      <c r="AR46" s="868"/>
      <c r="AS46" s="868">
        <f t="shared" si="1"/>
        <v>0</v>
      </c>
      <c r="AT46" s="868"/>
      <c r="AU46" s="868"/>
      <c r="AV46" s="868"/>
      <c r="AW46" s="868"/>
      <c r="AX46" s="868"/>
    </row>
    <row r="47" s="687" customFormat="1" ht="15" hidden="1" customHeight="1" spans="1:50">
      <c r="A47" s="745"/>
      <c r="B47" s="754" t="s">
        <v>5853</v>
      </c>
      <c r="C47" s="864">
        <f>UnosNovoZaposl!C453</f>
        <v>0</v>
      </c>
      <c r="D47" s="864"/>
      <c r="E47" s="864"/>
      <c r="F47" s="864"/>
      <c r="G47" s="864"/>
      <c r="H47" s="864"/>
      <c r="I47" s="864"/>
      <c r="J47" s="864"/>
      <c r="K47" s="864"/>
      <c r="L47" s="864"/>
      <c r="M47" s="864"/>
      <c r="N47" s="864">
        <f>UnosNovoZaposl!D453</f>
        <v>0</v>
      </c>
      <c r="O47" s="864"/>
      <c r="P47" s="864"/>
      <c r="Q47" s="864"/>
      <c r="R47" s="864"/>
      <c r="S47" s="864"/>
      <c r="T47" s="864"/>
      <c r="U47" s="868">
        <f>UnosNovoZaposl!E453</f>
        <v>0</v>
      </c>
      <c r="V47" s="868"/>
      <c r="W47" s="868"/>
      <c r="X47" s="868"/>
      <c r="Y47" s="868"/>
      <c r="Z47" s="868"/>
      <c r="AA47" s="868">
        <f>UnosNovoZaposl!B453</f>
        <v>0</v>
      </c>
      <c r="AB47" s="868"/>
      <c r="AC47" s="868"/>
      <c r="AD47" s="868"/>
      <c r="AE47" s="868"/>
      <c r="AF47" s="868"/>
      <c r="AG47" s="868">
        <f>UnosNovoZaposl!F453</f>
        <v>0</v>
      </c>
      <c r="AH47" s="868"/>
      <c r="AI47" s="868"/>
      <c r="AJ47" s="868"/>
      <c r="AK47" s="868"/>
      <c r="AL47" s="868"/>
      <c r="AM47" s="868">
        <f>UnosNovoZaposl!G453</f>
        <v>0</v>
      </c>
      <c r="AN47" s="868"/>
      <c r="AO47" s="868"/>
      <c r="AP47" s="868"/>
      <c r="AQ47" s="868"/>
      <c r="AR47" s="868"/>
      <c r="AS47" s="868">
        <f t="shared" si="1"/>
        <v>0</v>
      </c>
      <c r="AT47" s="868"/>
      <c r="AU47" s="868"/>
      <c r="AV47" s="868"/>
      <c r="AW47" s="868"/>
      <c r="AX47" s="868"/>
    </row>
    <row r="48" s="687" customFormat="1" ht="15" hidden="1" customHeight="1" spans="1:50">
      <c r="A48" s="745"/>
      <c r="B48" s="754" t="s">
        <v>5855</v>
      </c>
      <c r="C48" s="864">
        <f>UnosNovoZaposl!C454</f>
        <v>0</v>
      </c>
      <c r="D48" s="864"/>
      <c r="E48" s="864"/>
      <c r="F48" s="864"/>
      <c r="G48" s="864"/>
      <c r="H48" s="864"/>
      <c r="I48" s="864"/>
      <c r="J48" s="864"/>
      <c r="K48" s="864"/>
      <c r="L48" s="864"/>
      <c r="M48" s="864"/>
      <c r="N48" s="864">
        <f>UnosNovoZaposl!D454</f>
        <v>0</v>
      </c>
      <c r="O48" s="864"/>
      <c r="P48" s="864"/>
      <c r="Q48" s="864"/>
      <c r="R48" s="864"/>
      <c r="S48" s="864"/>
      <c r="T48" s="864"/>
      <c r="U48" s="868">
        <f>UnosNovoZaposl!E454</f>
        <v>0</v>
      </c>
      <c r="V48" s="868"/>
      <c r="W48" s="868"/>
      <c r="X48" s="868"/>
      <c r="Y48" s="868"/>
      <c r="Z48" s="868"/>
      <c r="AA48" s="868">
        <f>UnosNovoZaposl!B454</f>
        <v>0</v>
      </c>
      <c r="AB48" s="868"/>
      <c r="AC48" s="868"/>
      <c r="AD48" s="868"/>
      <c r="AE48" s="868"/>
      <c r="AF48" s="868"/>
      <c r="AG48" s="868">
        <f>UnosNovoZaposl!F454</f>
        <v>0</v>
      </c>
      <c r="AH48" s="868"/>
      <c r="AI48" s="868"/>
      <c r="AJ48" s="868"/>
      <c r="AK48" s="868"/>
      <c r="AL48" s="868"/>
      <c r="AM48" s="868">
        <f>UnosNovoZaposl!G454</f>
        <v>0</v>
      </c>
      <c r="AN48" s="868"/>
      <c r="AO48" s="868"/>
      <c r="AP48" s="868"/>
      <c r="AQ48" s="868"/>
      <c r="AR48" s="868"/>
      <c r="AS48" s="868">
        <f t="shared" si="1"/>
        <v>0</v>
      </c>
      <c r="AT48" s="868"/>
      <c r="AU48" s="868"/>
      <c r="AV48" s="868"/>
      <c r="AW48" s="868"/>
      <c r="AX48" s="868"/>
    </row>
    <row r="49" s="687" customFormat="1" ht="15" hidden="1" customHeight="1" spans="1:50">
      <c r="A49" s="745"/>
      <c r="B49" s="754" t="s">
        <v>5856</v>
      </c>
      <c r="C49" s="864">
        <f>UnosNovoZaposl!C455</f>
        <v>0</v>
      </c>
      <c r="D49" s="864"/>
      <c r="E49" s="864"/>
      <c r="F49" s="864"/>
      <c r="G49" s="864"/>
      <c r="H49" s="864"/>
      <c r="I49" s="864"/>
      <c r="J49" s="864"/>
      <c r="K49" s="864"/>
      <c r="L49" s="864"/>
      <c r="M49" s="864"/>
      <c r="N49" s="864">
        <f>UnosNovoZaposl!D455</f>
        <v>0</v>
      </c>
      <c r="O49" s="864"/>
      <c r="P49" s="864"/>
      <c r="Q49" s="864"/>
      <c r="R49" s="864"/>
      <c r="S49" s="864"/>
      <c r="T49" s="864"/>
      <c r="U49" s="868">
        <f>UnosNovoZaposl!E455</f>
        <v>0</v>
      </c>
      <c r="V49" s="868"/>
      <c r="W49" s="868"/>
      <c r="X49" s="868"/>
      <c r="Y49" s="868"/>
      <c r="Z49" s="868"/>
      <c r="AA49" s="868">
        <f>UnosNovoZaposl!B455</f>
        <v>0</v>
      </c>
      <c r="AB49" s="868"/>
      <c r="AC49" s="868"/>
      <c r="AD49" s="868"/>
      <c r="AE49" s="868"/>
      <c r="AF49" s="868"/>
      <c r="AG49" s="868">
        <f>UnosNovoZaposl!F455</f>
        <v>0</v>
      </c>
      <c r="AH49" s="868"/>
      <c r="AI49" s="868"/>
      <c r="AJ49" s="868"/>
      <c r="AK49" s="868"/>
      <c r="AL49" s="868"/>
      <c r="AM49" s="868">
        <f>UnosNovoZaposl!G455</f>
        <v>0</v>
      </c>
      <c r="AN49" s="868"/>
      <c r="AO49" s="868"/>
      <c r="AP49" s="868"/>
      <c r="AQ49" s="868"/>
      <c r="AR49" s="868"/>
      <c r="AS49" s="868">
        <f t="shared" si="1"/>
        <v>0</v>
      </c>
      <c r="AT49" s="868"/>
      <c r="AU49" s="868"/>
      <c r="AV49" s="868"/>
      <c r="AW49" s="868"/>
      <c r="AX49" s="868"/>
    </row>
    <row r="50" s="687" customFormat="1" ht="15" hidden="1" customHeight="1" spans="1:50">
      <c r="A50" s="745"/>
      <c r="B50" s="754" t="s">
        <v>5857</v>
      </c>
      <c r="C50" s="864">
        <f>UnosNovoZaposl!C456</f>
        <v>0</v>
      </c>
      <c r="D50" s="864"/>
      <c r="E50" s="864"/>
      <c r="F50" s="864"/>
      <c r="G50" s="864"/>
      <c r="H50" s="864"/>
      <c r="I50" s="864"/>
      <c r="J50" s="864"/>
      <c r="K50" s="864"/>
      <c r="L50" s="864"/>
      <c r="M50" s="864"/>
      <c r="N50" s="864">
        <f>UnosNovoZaposl!D456</f>
        <v>0</v>
      </c>
      <c r="O50" s="864"/>
      <c r="P50" s="864"/>
      <c r="Q50" s="864"/>
      <c r="R50" s="864"/>
      <c r="S50" s="864"/>
      <c r="T50" s="864"/>
      <c r="U50" s="868">
        <f>UnosNovoZaposl!E456</f>
        <v>0</v>
      </c>
      <c r="V50" s="868"/>
      <c r="W50" s="868"/>
      <c r="X50" s="868"/>
      <c r="Y50" s="868"/>
      <c r="Z50" s="868"/>
      <c r="AA50" s="868">
        <f>UnosNovoZaposl!B456</f>
        <v>0</v>
      </c>
      <c r="AB50" s="868"/>
      <c r="AC50" s="868"/>
      <c r="AD50" s="868"/>
      <c r="AE50" s="868"/>
      <c r="AF50" s="868"/>
      <c r="AG50" s="868">
        <f>UnosNovoZaposl!F456</f>
        <v>0</v>
      </c>
      <c r="AH50" s="868"/>
      <c r="AI50" s="868"/>
      <c r="AJ50" s="868"/>
      <c r="AK50" s="868"/>
      <c r="AL50" s="868"/>
      <c r="AM50" s="868">
        <f>UnosNovoZaposl!G456</f>
        <v>0</v>
      </c>
      <c r="AN50" s="868"/>
      <c r="AO50" s="868"/>
      <c r="AP50" s="868"/>
      <c r="AQ50" s="868"/>
      <c r="AR50" s="868"/>
      <c r="AS50" s="868">
        <f t="shared" si="1"/>
        <v>0</v>
      </c>
      <c r="AT50" s="868"/>
      <c r="AU50" s="868"/>
      <c r="AV50" s="868"/>
      <c r="AW50" s="868"/>
      <c r="AX50" s="868"/>
    </row>
    <row r="51" s="687" customFormat="1" ht="15" hidden="1" customHeight="1" spans="1:50">
      <c r="A51" s="745"/>
      <c r="B51" s="754" t="s">
        <v>5859</v>
      </c>
      <c r="C51" s="864">
        <f>UnosNovoZaposl!C457</f>
        <v>0</v>
      </c>
      <c r="D51" s="864"/>
      <c r="E51" s="864"/>
      <c r="F51" s="864"/>
      <c r="G51" s="864"/>
      <c r="H51" s="864"/>
      <c r="I51" s="864"/>
      <c r="J51" s="864"/>
      <c r="K51" s="864"/>
      <c r="L51" s="864"/>
      <c r="M51" s="864"/>
      <c r="N51" s="864">
        <f>UnosNovoZaposl!D457</f>
        <v>0</v>
      </c>
      <c r="O51" s="864"/>
      <c r="P51" s="864"/>
      <c r="Q51" s="864"/>
      <c r="R51" s="864"/>
      <c r="S51" s="864"/>
      <c r="T51" s="864"/>
      <c r="U51" s="868">
        <f>UnosNovoZaposl!E457</f>
        <v>0</v>
      </c>
      <c r="V51" s="868"/>
      <c r="W51" s="868"/>
      <c r="X51" s="868"/>
      <c r="Y51" s="868"/>
      <c r="Z51" s="868"/>
      <c r="AA51" s="868">
        <f>UnosNovoZaposl!B457</f>
        <v>0</v>
      </c>
      <c r="AB51" s="868"/>
      <c r="AC51" s="868"/>
      <c r="AD51" s="868"/>
      <c r="AE51" s="868"/>
      <c r="AF51" s="868"/>
      <c r="AG51" s="868">
        <f>UnosNovoZaposl!F457</f>
        <v>0</v>
      </c>
      <c r="AH51" s="868"/>
      <c r="AI51" s="868"/>
      <c r="AJ51" s="868"/>
      <c r="AK51" s="868"/>
      <c r="AL51" s="868"/>
      <c r="AM51" s="868">
        <f>UnosNovoZaposl!G457</f>
        <v>0</v>
      </c>
      <c r="AN51" s="868"/>
      <c r="AO51" s="868"/>
      <c r="AP51" s="868"/>
      <c r="AQ51" s="868"/>
      <c r="AR51" s="868"/>
      <c r="AS51" s="868">
        <f t="shared" si="1"/>
        <v>0</v>
      </c>
      <c r="AT51" s="868"/>
      <c r="AU51" s="868"/>
      <c r="AV51" s="868"/>
      <c r="AW51" s="868"/>
      <c r="AX51" s="868"/>
    </row>
    <row r="52" s="687" customFormat="1" ht="15" hidden="1" customHeight="1" spans="1:50">
      <c r="A52" s="745"/>
      <c r="B52" s="754" t="s">
        <v>5862</v>
      </c>
      <c r="C52" s="864">
        <f>UnosNovoZaposl!C458</f>
        <v>0</v>
      </c>
      <c r="D52" s="864"/>
      <c r="E52" s="864"/>
      <c r="F52" s="864"/>
      <c r="G52" s="864"/>
      <c r="H52" s="864"/>
      <c r="I52" s="864"/>
      <c r="J52" s="864"/>
      <c r="K52" s="864"/>
      <c r="L52" s="864"/>
      <c r="M52" s="864"/>
      <c r="N52" s="864">
        <f>UnosNovoZaposl!D458</f>
        <v>0</v>
      </c>
      <c r="O52" s="864"/>
      <c r="P52" s="864"/>
      <c r="Q52" s="864"/>
      <c r="R52" s="864"/>
      <c r="S52" s="864"/>
      <c r="T52" s="864"/>
      <c r="U52" s="868">
        <f>UnosNovoZaposl!E458</f>
        <v>0</v>
      </c>
      <c r="V52" s="868"/>
      <c r="W52" s="868"/>
      <c r="X52" s="868"/>
      <c r="Y52" s="868"/>
      <c r="Z52" s="868"/>
      <c r="AA52" s="868">
        <f>UnosNovoZaposl!B458</f>
        <v>0</v>
      </c>
      <c r="AB52" s="868"/>
      <c r="AC52" s="868"/>
      <c r="AD52" s="868"/>
      <c r="AE52" s="868"/>
      <c r="AF52" s="868"/>
      <c r="AG52" s="868">
        <f>UnosNovoZaposl!F458</f>
        <v>0</v>
      </c>
      <c r="AH52" s="868"/>
      <c r="AI52" s="868"/>
      <c r="AJ52" s="868"/>
      <c r="AK52" s="868"/>
      <c r="AL52" s="868"/>
      <c r="AM52" s="868">
        <f>UnosNovoZaposl!G458</f>
        <v>0</v>
      </c>
      <c r="AN52" s="868"/>
      <c r="AO52" s="868"/>
      <c r="AP52" s="868"/>
      <c r="AQ52" s="868"/>
      <c r="AR52" s="868"/>
      <c r="AS52" s="868">
        <f t="shared" si="1"/>
        <v>0</v>
      </c>
      <c r="AT52" s="868"/>
      <c r="AU52" s="868"/>
      <c r="AV52" s="868"/>
      <c r="AW52" s="868"/>
      <c r="AX52" s="868"/>
    </row>
    <row r="53" s="687" customFormat="1" ht="15" hidden="1" customHeight="1" spans="1:50">
      <c r="A53" s="745"/>
      <c r="B53" s="754" t="s">
        <v>5864</v>
      </c>
      <c r="C53" s="864">
        <f>UnosNovoZaposl!C459</f>
        <v>0</v>
      </c>
      <c r="D53" s="864"/>
      <c r="E53" s="864"/>
      <c r="F53" s="864"/>
      <c r="G53" s="864"/>
      <c r="H53" s="864"/>
      <c r="I53" s="864"/>
      <c r="J53" s="864"/>
      <c r="K53" s="864"/>
      <c r="L53" s="864"/>
      <c r="M53" s="864"/>
      <c r="N53" s="864">
        <f>UnosNovoZaposl!D459</f>
        <v>0</v>
      </c>
      <c r="O53" s="864"/>
      <c r="P53" s="864"/>
      <c r="Q53" s="864"/>
      <c r="R53" s="864"/>
      <c r="S53" s="864"/>
      <c r="T53" s="864"/>
      <c r="U53" s="868">
        <f>UnosNovoZaposl!E459</f>
        <v>0</v>
      </c>
      <c r="V53" s="868"/>
      <c r="W53" s="868"/>
      <c r="X53" s="868"/>
      <c r="Y53" s="868"/>
      <c r="Z53" s="868"/>
      <c r="AA53" s="868">
        <f>UnosNovoZaposl!B459</f>
        <v>0</v>
      </c>
      <c r="AB53" s="868"/>
      <c r="AC53" s="868"/>
      <c r="AD53" s="868"/>
      <c r="AE53" s="868"/>
      <c r="AF53" s="868"/>
      <c r="AG53" s="868">
        <f>UnosNovoZaposl!F459</f>
        <v>0</v>
      </c>
      <c r="AH53" s="868"/>
      <c r="AI53" s="868"/>
      <c r="AJ53" s="868"/>
      <c r="AK53" s="868"/>
      <c r="AL53" s="868"/>
      <c r="AM53" s="868">
        <f>UnosNovoZaposl!G459</f>
        <v>0</v>
      </c>
      <c r="AN53" s="868"/>
      <c r="AO53" s="868"/>
      <c r="AP53" s="868"/>
      <c r="AQ53" s="868"/>
      <c r="AR53" s="868"/>
      <c r="AS53" s="868">
        <f t="shared" si="1"/>
        <v>0</v>
      </c>
      <c r="AT53" s="868"/>
      <c r="AU53" s="868"/>
      <c r="AV53" s="868"/>
      <c r="AW53" s="868"/>
      <c r="AX53" s="868"/>
    </row>
    <row r="54" s="687" customFormat="1" ht="15" hidden="1" customHeight="1" spans="1:50">
      <c r="A54" s="745"/>
      <c r="B54" s="754" t="s">
        <v>5865</v>
      </c>
      <c r="C54" s="864">
        <f>UnosNovoZaposl!C460</f>
        <v>0</v>
      </c>
      <c r="D54" s="864"/>
      <c r="E54" s="864"/>
      <c r="F54" s="864"/>
      <c r="G54" s="864"/>
      <c r="H54" s="864"/>
      <c r="I54" s="864"/>
      <c r="J54" s="864"/>
      <c r="K54" s="864"/>
      <c r="L54" s="864"/>
      <c r="M54" s="864"/>
      <c r="N54" s="864">
        <f>UnosNovoZaposl!D460</f>
        <v>0</v>
      </c>
      <c r="O54" s="864"/>
      <c r="P54" s="864"/>
      <c r="Q54" s="864"/>
      <c r="R54" s="864"/>
      <c r="S54" s="864"/>
      <c r="T54" s="864"/>
      <c r="U54" s="868">
        <f>UnosNovoZaposl!E460</f>
        <v>0</v>
      </c>
      <c r="V54" s="868"/>
      <c r="W54" s="868"/>
      <c r="X54" s="868"/>
      <c r="Y54" s="868"/>
      <c r="Z54" s="868"/>
      <c r="AA54" s="868">
        <f>UnosNovoZaposl!B460</f>
        <v>0</v>
      </c>
      <c r="AB54" s="868"/>
      <c r="AC54" s="868"/>
      <c r="AD54" s="868"/>
      <c r="AE54" s="868"/>
      <c r="AF54" s="868"/>
      <c r="AG54" s="868">
        <f>UnosNovoZaposl!F460</f>
        <v>0</v>
      </c>
      <c r="AH54" s="868"/>
      <c r="AI54" s="868"/>
      <c r="AJ54" s="868"/>
      <c r="AK54" s="868"/>
      <c r="AL54" s="868"/>
      <c r="AM54" s="868">
        <f>UnosNovoZaposl!G460</f>
        <v>0</v>
      </c>
      <c r="AN54" s="868"/>
      <c r="AO54" s="868"/>
      <c r="AP54" s="868"/>
      <c r="AQ54" s="868"/>
      <c r="AR54" s="868"/>
      <c r="AS54" s="868">
        <f t="shared" si="1"/>
        <v>0</v>
      </c>
      <c r="AT54" s="868"/>
      <c r="AU54" s="868"/>
      <c r="AV54" s="868"/>
      <c r="AW54" s="868"/>
      <c r="AX54" s="868"/>
    </row>
    <row r="55" s="687" customFormat="1" ht="15" hidden="1" customHeight="1" spans="1:50">
      <c r="A55" s="745"/>
      <c r="B55" s="754" t="s">
        <v>5867</v>
      </c>
      <c r="C55" s="864">
        <f>UnosNovoZaposl!C461</f>
        <v>0</v>
      </c>
      <c r="D55" s="864"/>
      <c r="E55" s="864"/>
      <c r="F55" s="864"/>
      <c r="G55" s="864"/>
      <c r="H55" s="864"/>
      <c r="I55" s="864"/>
      <c r="J55" s="864"/>
      <c r="K55" s="864"/>
      <c r="L55" s="864"/>
      <c r="M55" s="864"/>
      <c r="N55" s="864">
        <f>UnosNovoZaposl!D461</f>
        <v>0</v>
      </c>
      <c r="O55" s="864"/>
      <c r="P55" s="864"/>
      <c r="Q55" s="864"/>
      <c r="R55" s="864"/>
      <c r="S55" s="864"/>
      <c r="T55" s="864"/>
      <c r="U55" s="868">
        <f>UnosNovoZaposl!E461</f>
        <v>0</v>
      </c>
      <c r="V55" s="868"/>
      <c r="W55" s="868"/>
      <c r="X55" s="868"/>
      <c r="Y55" s="868"/>
      <c r="Z55" s="868"/>
      <c r="AA55" s="868">
        <f>UnosNovoZaposl!B461</f>
        <v>0</v>
      </c>
      <c r="AB55" s="868"/>
      <c r="AC55" s="868"/>
      <c r="AD55" s="868"/>
      <c r="AE55" s="868"/>
      <c r="AF55" s="868"/>
      <c r="AG55" s="868">
        <f>UnosNovoZaposl!F461</f>
        <v>0</v>
      </c>
      <c r="AH55" s="868"/>
      <c r="AI55" s="868"/>
      <c r="AJ55" s="868"/>
      <c r="AK55" s="868"/>
      <c r="AL55" s="868"/>
      <c r="AM55" s="868">
        <f>UnosNovoZaposl!G461</f>
        <v>0</v>
      </c>
      <c r="AN55" s="868"/>
      <c r="AO55" s="868"/>
      <c r="AP55" s="868"/>
      <c r="AQ55" s="868"/>
      <c r="AR55" s="868"/>
      <c r="AS55" s="868">
        <f t="shared" si="1"/>
        <v>0</v>
      </c>
      <c r="AT55" s="868"/>
      <c r="AU55" s="868"/>
      <c r="AV55" s="868"/>
      <c r="AW55" s="868"/>
      <c r="AX55" s="868"/>
    </row>
    <row r="56" s="687" customFormat="1" ht="15" hidden="1" customHeight="1" spans="1:50">
      <c r="A56" s="745"/>
      <c r="B56" s="754" t="s">
        <v>5869</v>
      </c>
      <c r="C56" s="864">
        <f>UnosNovoZaposl!C462</f>
        <v>0</v>
      </c>
      <c r="D56" s="864"/>
      <c r="E56" s="864"/>
      <c r="F56" s="864"/>
      <c r="G56" s="864"/>
      <c r="H56" s="864"/>
      <c r="I56" s="864"/>
      <c r="J56" s="864"/>
      <c r="K56" s="864"/>
      <c r="L56" s="864"/>
      <c r="M56" s="864"/>
      <c r="N56" s="864">
        <f>UnosNovoZaposl!D462</f>
        <v>0</v>
      </c>
      <c r="O56" s="864"/>
      <c r="P56" s="864"/>
      <c r="Q56" s="864"/>
      <c r="R56" s="864"/>
      <c r="S56" s="864"/>
      <c r="T56" s="864"/>
      <c r="U56" s="868">
        <f>UnosNovoZaposl!E462</f>
        <v>0</v>
      </c>
      <c r="V56" s="868"/>
      <c r="W56" s="868"/>
      <c r="X56" s="868"/>
      <c r="Y56" s="868"/>
      <c r="Z56" s="868"/>
      <c r="AA56" s="868">
        <f>UnosNovoZaposl!B462</f>
        <v>0</v>
      </c>
      <c r="AB56" s="868"/>
      <c r="AC56" s="868"/>
      <c r="AD56" s="868"/>
      <c r="AE56" s="868"/>
      <c r="AF56" s="868"/>
      <c r="AG56" s="868">
        <f>UnosNovoZaposl!F462</f>
        <v>0</v>
      </c>
      <c r="AH56" s="868"/>
      <c r="AI56" s="868"/>
      <c r="AJ56" s="868"/>
      <c r="AK56" s="868"/>
      <c r="AL56" s="868"/>
      <c r="AM56" s="868">
        <f>UnosNovoZaposl!G462</f>
        <v>0</v>
      </c>
      <c r="AN56" s="868"/>
      <c r="AO56" s="868"/>
      <c r="AP56" s="868"/>
      <c r="AQ56" s="868"/>
      <c r="AR56" s="868"/>
      <c r="AS56" s="868">
        <f t="shared" si="1"/>
        <v>0</v>
      </c>
      <c r="AT56" s="868"/>
      <c r="AU56" s="868"/>
      <c r="AV56" s="868"/>
      <c r="AW56" s="868"/>
      <c r="AX56" s="868"/>
    </row>
    <row r="57" s="687" customFormat="1" ht="15" hidden="1" customHeight="1" spans="1:50">
      <c r="A57" s="745"/>
      <c r="B57" s="754" t="s">
        <v>5871</v>
      </c>
      <c r="C57" s="864">
        <f>UnosNovoZaposl!C463</f>
        <v>0</v>
      </c>
      <c r="D57" s="864"/>
      <c r="E57" s="864"/>
      <c r="F57" s="864"/>
      <c r="G57" s="864"/>
      <c r="H57" s="864"/>
      <c r="I57" s="864"/>
      <c r="J57" s="864"/>
      <c r="K57" s="864"/>
      <c r="L57" s="864"/>
      <c r="M57" s="864"/>
      <c r="N57" s="864">
        <f>UnosNovoZaposl!D463</f>
        <v>0</v>
      </c>
      <c r="O57" s="864"/>
      <c r="P57" s="864"/>
      <c r="Q57" s="864"/>
      <c r="R57" s="864"/>
      <c r="S57" s="864"/>
      <c r="T57" s="864"/>
      <c r="U57" s="868">
        <f>UnosNovoZaposl!E463</f>
        <v>0</v>
      </c>
      <c r="V57" s="868"/>
      <c r="W57" s="868"/>
      <c r="X57" s="868"/>
      <c r="Y57" s="868"/>
      <c r="Z57" s="868"/>
      <c r="AA57" s="868">
        <f>UnosNovoZaposl!B463</f>
        <v>0</v>
      </c>
      <c r="AB57" s="868"/>
      <c r="AC57" s="868"/>
      <c r="AD57" s="868"/>
      <c r="AE57" s="868"/>
      <c r="AF57" s="868"/>
      <c r="AG57" s="868">
        <f>UnosNovoZaposl!F463</f>
        <v>0</v>
      </c>
      <c r="AH57" s="868"/>
      <c r="AI57" s="868"/>
      <c r="AJ57" s="868"/>
      <c r="AK57" s="868"/>
      <c r="AL57" s="868"/>
      <c r="AM57" s="868">
        <f>UnosNovoZaposl!G463</f>
        <v>0</v>
      </c>
      <c r="AN57" s="868"/>
      <c r="AO57" s="868"/>
      <c r="AP57" s="868"/>
      <c r="AQ57" s="868"/>
      <c r="AR57" s="868"/>
      <c r="AS57" s="868">
        <f t="shared" si="1"/>
        <v>0</v>
      </c>
      <c r="AT57" s="868"/>
      <c r="AU57" s="868"/>
      <c r="AV57" s="868"/>
      <c r="AW57" s="868"/>
      <c r="AX57" s="868"/>
    </row>
    <row r="58" s="687" customFormat="1" ht="15" hidden="1" customHeight="1" spans="1:50">
      <c r="A58" s="745"/>
      <c r="B58" s="754" t="s">
        <v>5873</v>
      </c>
      <c r="C58" s="864">
        <f>UnosNovoZaposl!C464</f>
        <v>0</v>
      </c>
      <c r="D58" s="864"/>
      <c r="E58" s="864"/>
      <c r="F58" s="864"/>
      <c r="G58" s="864"/>
      <c r="H58" s="864"/>
      <c r="I58" s="864"/>
      <c r="J58" s="864"/>
      <c r="K58" s="864"/>
      <c r="L58" s="864"/>
      <c r="M58" s="864"/>
      <c r="N58" s="864">
        <f>UnosNovoZaposl!D464</f>
        <v>0</v>
      </c>
      <c r="O58" s="864"/>
      <c r="P58" s="864"/>
      <c r="Q58" s="864"/>
      <c r="R58" s="864"/>
      <c r="S58" s="864"/>
      <c r="T58" s="864"/>
      <c r="U58" s="868">
        <f>UnosNovoZaposl!E464</f>
        <v>0</v>
      </c>
      <c r="V58" s="868"/>
      <c r="W58" s="868"/>
      <c r="X58" s="868"/>
      <c r="Y58" s="868"/>
      <c r="Z58" s="868"/>
      <c r="AA58" s="868">
        <f>UnosNovoZaposl!B464</f>
        <v>0</v>
      </c>
      <c r="AB58" s="868"/>
      <c r="AC58" s="868"/>
      <c r="AD58" s="868"/>
      <c r="AE58" s="868"/>
      <c r="AF58" s="868"/>
      <c r="AG58" s="868">
        <f>UnosNovoZaposl!F464</f>
        <v>0</v>
      </c>
      <c r="AH58" s="868"/>
      <c r="AI58" s="868"/>
      <c r="AJ58" s="868"/>
      <c r="AK58" s="868"/>
      <c r="AL58" s="868"/>
      <c r="AM58" s="868">
        <f>UnosNovoZaposl!G464</f>
        <v>0</v>
      </c>
      <c r="AN58" s="868"/>
      <c r="AO58" s="868"/>
      <c r="AP58" s="868"/>
      <c r="AQ58" s="868"/>
      <c r="AR58" s="868"/>
      <c r="AS58" s="868">
        <f t="shared" si="1"/>
        <v>0</v>
      </c>
      <c r="AT58" s="868"/>
      <c r="AU58" s="868"/>
      <c r="AV58" s="868"/>
      <c r="AW58" s="868"/>
      <c r="AX58" s="868"/>
    </row>
    <row r="59" s="687" customFormat="1" ht="15" hidden="1" customHeight="1" spans="1:50">
      <c r="A59" s="745"/>
      <c r="B59" s="754" t="s">
        <v>5875</v>
      </c>
      <c r="C59" s="864">
        <f>UnosNovoZaposl!C465</f>
        <v>0</v>
      </c>
      <c r="D59" s="864"/>
      <c r="E59" s="864"/>
      <c r="F59" s="864"/>
      <c r="G59" s="864"/>
      <c r="H59" s="864"/>
      <c r="I59" s="864"/>
      <c r="J59" s="864"/>
      <c r="K59" s="864"/>
      <c r="L59" s="864"/>
      <c r="M59" s="864"/>
      <c r="N59" s="864">
        <f>UnosNovoZaposl!D465</f>
        <v>0</v>
      </c>
      <c r="O59" s="864"/>
      <c r="P59" s="864"/>
      <c r="Q59" s="864"/>
      <c r="R59" s="864"/>
      <c r="S59" s="864"/>
      <c r="T59" s="864"/>
      <c r="U59" s="868">
        <f>UnosNovoZaposl!E465</f>
        <v>0</v>
      </c>
      <c r="V59" s="868"/>
      <c r="W59" s="868"/>
      <c r="X59" s="868"/>
      <c r="Y59" s="868"/>
      <c r="Z59" s="868"/>
      <c r="AA59" s="868">
        <f>UnosNovoZaposl!B465</f>
        <v>0</v>
      </c>
      <c r="AB59" s="868"/>
      <c r="AC59" s="868"/>
      <c r="AD59" s="868"/>
      <c r="AE59" s="868"/>
      <c r="AF59" s="868"/>
      <c r="AG59" s="868">
        <f>UnosNovoZaposl!F465</f>
        <v>0</v>
      </c>
      <c r="AH59" s="868"/>
      <c r="AI59" s="868"/>
      <c r="AJ59" s="868"/>
      <c r="AK59" s="868"/>
      <c r="AL59" s="868"/>
      <c r="AM59" s="868">
        <f>UnosNovoZaposl!G465</f>
        <v>0</v>
      </c>
      <c r="AN59" s="868"/>
      <c r="AO59" s="868"/>
      <c r="AP59" s="868"/>
      <c r="AQ59" s="868"/>
      <c r="AR59" s="868"/>
      <c r="AS59" s="868">
        <f t="shared" si="1"/>
        <v>0</v>
      </c>
      <c r="AT59" s="868"/>
      <c r="AU59" s="868"/>
      <c r="AV59" s="868"/>
      <c r="AW59" s="868"/>
      <c r="AX59" s="868"/>
    </row>
    <row r="60" s="687" customFormat="1" ht="15" hidden="1" customHeight="1" spans="1:50">
      <c r="A60" s="745"/>
      <c r="B60" s="754" t="s">
        <v>5877</v>
      </c>
      <c r="C60" s="864">
        <f>UnosNovoZaposl!C466</f>
        <v>0</v>
      </c>
      <c r="D60" s="864"/>
      <c r="E60" s="864"/>
      <c r="F60" s="864"/>
      <c r="G60" s="864"/>
      <c r="H60" s="864"/>
      <c r="I60" s="864"/>
      <c r="J60" s="864"/>
      <c r="K60" s="864"/>
      <c r="L60" s="864"/>
      <c r="M60" s="864"/>
      <c r="N60" s="864">
        <f>UnosNovoZaposl!D466</f>
        <v>0</v>
      </c>
      <c r="O60" s="864"/>
      <c r="P60" s="864"/>
      <c r="Q60" s="864"/>
      <c r="R60" s="864"/>
      <c r="S60" s="864"/>
      <c r="T60" s="864"/>
      <c r="U60" s="868">
        <f>UnosNovoZaposl!E466</f>
        <v>0</v>
      </c>
      <c r="V60" s="868"/>
      <c r="W60" s="868"/>
      <c r="X60" s="868"/>
      <c r="Y60" s="868"/>
      <c r="Z60" s="868"/>
      <c r="AA60" s="868">
        <f>UnosNovoZaposl!B466</f>
        <v>0</v>
      </c>
      <c r="AB60" s="868"/>
      <c r="AC60" s="868"/>
      <c r="AD60" s="868"/>
      <c r="AE60" s="868"/>
      <c r="AF60" s="868"/>
      <c r="AG60" s="868">
        <f>UnosNovoZaposl!F466</f>
        <v>0</v>
      </c>
      <c r="AH60" s="868"/>
      <c r="AI60" s="868"/>
      <c r="AJ60" s="868"/>
      <c r="AK60" s="868"/>
      <c r="AL60" s="868"/>
      <c r="AM60" s="868">
        <f>UnosNovoZaposl!G466</f>
        <v>0</v>
      </c>
      <c r="AN60" s="868"/>
      <c r="AO60" s="868"/>
      <c r="AP60" s="868"/>
      <c r="AQ60" s="868"/>
      <c r="AR60" s="868"/>
      <c r="AS60" s="868">
        <f t="shared" si="1"/>
        <v>0</v>
      </c>
      <c r="AT60" s="868"/>
      <c r="AU60" s="868"/>
      <c r="AV60" s="868"/>
      <c r="AW60" s="868"/>
      <c r="AX60" s="868"/>
    </row>
    <row r="61" s="687" customFormat="1" ht="15" hidden="1" customHeight="1" spans="1:50">
      <c r="A61" s="745"/>
      <c r="B61" s="754" t="s">
        <v>5879</v>
      </c>
      <c r="C61" s="864">
        <f>UnosNovoZaposl!C467</f>
        <v>0</v>
      </c>
      <c r="D61" s="864"/>
      <c r="E61" s="864"/>
      <c r="F61" s="864"/>
      <c r="G61" s="864"/>
      <c r="H61" s="864"/>
      <c r="I61" s="864"/>
      <c r="J61" s="864"/>
      <c r="K61" s="864"/>
      <c r="L61" s="864"/>
      <c r="M61" s="864"/>
      <c r="N61" s="864">
        <f>UnosNovoZaposl!D467</f>
        <v>0</v>
      </c>
      <c r="O61" s="864"/>
      <c r="P61" s="864"/>
      <c r="Q61" s="864"/>
      <c r="R61" s="864"/>
      <c r="S61" s="864"/>
      <c r="T61" s="864"/>
      <c r="U61" s="868">
        <f>UnosNovoZaposl!E467</f>
        <v>0</v>
      </c>
      <c r="V61" s="868"/>
      <c r="W61" s="868"/>
      <c r="X61" s="868"/>
      <c r="Y61" s="868"/>
      <c r="Z61" s="868"/>
      <c r="AA61" s="868">
        <f>UnosNovoZaposl!B467</f>
        <v>0</v>
      </c>
      <c r="AB61" s="868"/>
      <c r="AC61" s="868"/>
      <c r="AD61" s="868"/>
      <c r="AE61" s="868"/>
      <c r="AF61" s="868"/>
      <c r="AG61" s="868">
        <f>UnosNovoZaposl!F467</f>
        <v>0</v>
      </c>
      <c r="AH61" s="868"/>
      <c r="AI61" s="868"/>
      <c r="AJ61" s="868"/>
      <c r="AK61" s="868"/>
      <c r="AL61" s="868"/>
      <c r="AM61" s="868">
        <f>UnosNovoZaposl!G467</f>
        <v>0</v>
      </c>
      <c r="AN61" s="868"/>
      <c r="AO61" s="868"/>
      <c r="AP61" s="868"/>
      <c r="AQ61" s="868"/>
      <c r="AR61" s="868"/>
      <c r="AS61" s="868">
        <f t="shared" si="1"/>
        <v>0</v>
      </c>
      <c r="AT61" s="868"/>
      <c r="AU61" s="868"/>
      <c r="AV61" s="868"/>
      <c r="AW61" s="868"/>
      <c r="AX61" s="868"/>
    </row>
    <row r="62" s="687" customFormat="1" ht="15" hidden="1" customHeight="1" spans="1:50">
      <c r="A62" s="745"/>
      <c r="B62" s="754" t="s">
        <v>5881</v>
      </c>
      <c r="C62" s="864">
        <f>UnosNovoZaposl!C468</f>
        <v>0</v>
      </c>
      <c r="D62" s="864"/>
      <c r="E62" s="864"/>
      <c r="F62" s="864"/>
      <c r="G62" s="864"/>
      <c r="H62" s="864"/>
      <c r="I62" s="864"/>
      <c r="J62" s="864"/>
      <c r="K62" s="864"/>
      <c r="L62" s="864"/>
      <c r="M62" s="864"/>
      <c r="N62" s="864">
        <f>UnosNovoZaposl!D468</f>
        <v>0</v>
      </c>
      <c r="O62" s="864"/>
      <c r="P62" s="864"/>
      <c r="Q62" s="864"/>
      <c r="R62" s="864"/>
      <c r="S62" s="864"/>
      <c r="T62" s="864"/>
      <c r="U62" s="868">
        <f>UnosNovoZaposl!E468</f>
        <v>0</v>
      </c>
      <c r="V62" s="868"/>
      <c r="W62" s="868"/>
      <c r="X62" s="868"/>
      <c r="Y62" s="868"/>
      <c r="Z62" s="868"/>
      <c r="AA62" s="868">
        <f>UnosNovoZaposl!B468</f>
        <v>0</v>
      </c>
      <c r="AB62" s="868"/>
      <c r="AC62" s="868"/>
      <c r="AD62" s="868"/>
      <c r="AE62" s="868"/>
      <c r="AF62" s="868"/>
      <c r="AG62" s="868">
        <f>UnosNovoZaposl!F468</f>
        <v>0</v>
      </c>
      <c r="AH62" s="868"/>
      <c r="AI62" s="868"/>
      <c r="AJ62" s="868"/>
      <c r="AK62" s="868"/>
      <c r="AL62" s="868"/>
      <c r="AM62" s="868">
        <f>UnosNovoZaposl!G468</f>
        <v>0</v>
      </c>
      <c r="AN62" s="868"/>
      <c r="AO62" s="868"/>
      <c r="AP62" s="868"/>
      <c r="AQ62" s="868"/>
      <c r="AR62" s="868"/>
      <c r="AS62" s="868">
        <f t="shared" si="1"/>
        <v>0</v>
      </c>
      <c r="AT62" s="868"/>
      <c r="AU62" s="868"/>
      <c r="AV62" s="868"/>
      <c r="AW62" s="868"/>
      <c r="AX62" s="868"/>
    </row>
    <row r="63" s="687" customFormat="1" ht="15" hidden="1" customHeight="1" spans="1:50">
      <c r="A63" s="745"/>
      <c r="B63" s="754" t="s">
        <v>5882</v>
      </c>
      <c r="C63" s="864">
        <f>UnosNovoZaposl!C469</f>
        <v>0</v>
      </c>
      <c r="D63" s="864"/>
      <c r="E63" s="864"/>
      <c r="F63" s="864"/>
      <c r="G63" s="864"/>
      <c r="H63" s="864"/>
      <c r="I63" s="864"/>
      <c r="J63" s="864"/>
      <c r="K63" s="864"/>
      <c r="L63" s="864"/>
      <c r="M63" s="864"/>
      <c r="N63" s="864">
        <f>UnosNovoZaposl!D469</f>
        <v>0</v>
      </c>
      <c r="O63" s="864"/>
      <c r="P63" s="864"/>
      <c r="Q63" s="864"/>
      <c r="R63" s="864"/>
      <c r="S63" s="864"/>
      <c r="T63" s="864"/>
      <c r="U63" s="868">
        <f>UnosNovoZaposl!E469</f>
        <v>0</v>
      </c>
      <c r="V63" s="868"/>
      <c r="W63" s="868"/>
      <c r="X63" s="868"/>
      <c r="Y63" s="868"/>
      <c r="Z63" s="868"/>
      <c r="AA63" s="868">
        <f>UnosNovoZaposl!B469</f>
        <v>0</v>
      </c>
      <c r="AB63" s="868"/>
      <c r="AC63" s="868"/>
      <c r="AD63" s="868"/>
      <c r="AE63" s="868"/>
      <c r="AF63" s="868"/>
      <c r="AG63" s="868">
        <f>UnosNovoZaposl!F469</f>
        <v>0</v>
      </c>
      <c r="AH63" s="868"/>
      <c r="AI63" s="868"/>
      <c r="AJ63" s="868"/>
      <c r="AK63" s="868"/>
      <c r="AL63" s="868"/>
      <c r="AM63" s="868">
        <f>UnosNovoZaposl!G469</f>
        <v>0</v>
      </c>
      <c r="AN63" s="868"/>
      <c r="AO63" s="868"/>
      <c r="AP63" s="868"/>
      <c r="AQ63" s="868"/>
      <c r="AR63" s="868"/>
      <c r="AS63" s="868">
        <f t="shared" si="1"/>
        <v>0</v>
      </c>
      <c r="AT63" s="868"/>
      <c r="AU63" s="868"/>
      <c r="AV63" s="868"/>
      <c r="AW63" s="868"/>
      <c r="AX63" s="868"/>
    </row>
    <row r="64" s="687" customFormat="1" ht="15" hidden="1" customHeight="1" spans="1:50">
      <c r="A64" s="745"/>
      <c r="B64" s="754" t="s">
        <v>5884</v>
      </c>
      <c r="C64" s="864">
        <f>UnosNovoZaposl!C470</f>
        <v>0</v>
      </c>
      <c r="D64" s="864"/>
      <c r="E64" s="864"/>
      <c r="F64" s="864"/>
      <c r="G64" s="864"/>
      <c r="H64" s="864"/>
      <c r="I64" s="864"/>
      <c r="J64" s="864"/>
      <c r="K64" s="864"/>
      <c r="L64" s="864"/>
      <c r="M64" s="864"/>
      <c r="N64" s="864">
        <f>UnosNovoZaposl!D470</f>
        <v>0</v>
      </c>
      <c r="O64" s="864"/>
      <c r="P64" s="864"/>
      <c r="Q64" s="864"/>
      <c r="R64" s="864"/>
      <c r="S64" s="864"/>
      <c r="T64" s="864"/>
      <c r="U64" s="868">
        <f>UnosNovoZaposl!E470</f>
        <v>0</v>
      </c>
      <c r="V64" s="868"/>
      <c r="W64" s="868"/>
      <c r="X64" s="868"/>
      <c r="Y64" s="868"/>
      <c r="Z64" s="868"/>
      <c r="AA64" s="868">
        <f>UnosNovoZaposl!B470</f>
        <v>0</v>
      </c>
      <c r="AB64" s="868"/>
      <c r="AC64" s="868"/>
      <c r="AD64" s="868"/>
      <c r="AE64" s="868"/>
      <c r="AF64" s="868"/>
      <c r="AG64" s="868">
        <f>UnosNovoZaposl!F470</f>
        <v>0</v>
      </c>
      <c r="AH64" s="868"/>
      <c r="AI64" s="868"/>
      <c r="AJ64" s="868"/>
      <c r="AK64" s="868"/>
      <c r="AL64" s="868"/>
      <c r="AM64" s="868">
        <f>UnosNovoZaposl!G470</f>
        <v>0</v>
      </c>
      <c r="AN64" s="868"/>
      <c r="AO64" s="868"/>
      <c r="AP64" s="868"/>
      <c r="AQ64" s="868"/>
      <c r="AR64" s="868"/>
      <c r="AS64" s="868">
        <f t="shared" si="1"/>
        <v>0</v>
      </c>
      <c r="AT64" s="868"/>
      <c r="AU64" s="868"/>
      <c r="AV64" s="868"/>
      <c r="AW64" s="868"/>
      <c r="AX64" s="868"/>
    </row>
    <row r="65" s="687" customFormat="1" ht="15" hidden="1" customHeight="1" spans="1:50">
      <c r="A65" s="745"/>
      <c r="B65" s="754" t="s">
        <v>5886</v>
      </c>
      <c r="C65" s="864">
        <f>UnosNovoZaposl!C471</f>
        <v>0</v>
      </c>
      <c r="D65" s="864"/>
      <c r="E65" s="864"/>
      <c r="F65" s="864"/>
      <c r="G65" s="864"/>
      <c r="H65" s="864"/>
      <c r="I65" s="864"/>
      <c r="J65" s="864"/>
      <c r="K65" s="864"/>
      <c r="L65" s="864"/>
      <c r="M65" s="864"/>
      <c r="N65" s="864">
        <f>UnosNovoZaposl!D471</f>
        <v>0</v>
      </c>
      <c r="O65" s="864"/>
      <c r="P65" s="864"/>
      <c r="Q65" s="864"/>
      <c r="R65" s="864"/>
      <c r="S65" s="864"/>
      <c r="T65" s="864"/>
      <c r="U65" s="868">
        <f>UnosNovoZaposl!E471</f>
        <v>0</v>
      </c>
      <c r="V65" s="868"/>
      <c r="W65" s="868"/>
      <c r="X65" s="868"/>
      <c r="Y65" s="868"/>
      <c r="Z65" s="868"/>
      <c r="AA65" s="868">
        <f>UnosNovoZaposl!B471</f>
        <v>0</v>
      </c>
      <c r="AB65" s="868"/>
      <c r="AC65" s="868"/>
      <c r="AD65" s="868"/>
      <c r="AE65" s="868"/>
      <c r="AF65" s="868"/>
      <c r="AG65" s="868">
        <f>UnosNovoZaposl!F471</f>
        <v>0</v>
      </c>
      <c r="AH65" s="868"/>
      <c r="AI65" s="868"/>
      <c r="AJ65" s="868"/>
      <c r="AK65" s="868"/>
      <c r="AL65" s="868"/>
      <c r="AM65" s="868">
        <f>UnosNovoZaposl!G471</f>
        <v>0</v>
      </c>
      <c r="AN65" s="868"/>
      <c r="AO65" s="868"/>
      <c r="AP65" s="868"/>
      <c r="AQ65" s="868"/>
      <c r="AR65" s="868"/>
      <c r="AS65" s="868">
        <f t="shared" si="1"/>
        <v>0</v>
      </c>
      <c r="AT65" s="868"/>
      <c r="AU65" s="868"/>
      <c r="AV65" s="868"/>
      <c r="AW65" s="868"/>
      <c r="AX65" s="868"/>
    </row>
    <row r="66" s="687" customFormat="1" ht="15" hidden="1" customHeight="1" spans="1:50">
      <c r="A66" s="745"/>
      <c r="B66" s="754" t="s">
        <v>5888</v>
      </c>
      <c r="C66" s="864">
        <f>UnosNovoZaposl!C472</f>
        <v>0</v>
      </c>
      <c r="D66" s="864"/>
      <c r="E66" s="864"/>
      <c r="F66" s="864"/>
      <c r="G66" s="864"/>
      <c r="H66" s="864"/>
      <c r="I66" s="864"/>
      <c r="J66" s="864"/>
      <c r="K66" s="864"/>
      <c r="L66" s="864"/>
      <c r="M66" s="864"/>
      <c r="N66" s="864">
        <f>UnosNovoZaposl!D472</f>
        <v>0</v>
      </c>
      <c r="O66" s="864"/>
      <c r="P66" s="864"/>
      <c r="Q66" s="864"/>
      <c r="R66" s="864"/>
      <c r="S66" s="864"/>
      <c r="T66" s="864"/>
      <c r="U66" s="868">
        <f>UnosNovoZaposl!E472</f>
        <v>0</v>
      </c>
      <c r="V66" s="868"/>
      <c r="W66" s="868"/>
      <c r="X66" s="868"/>
      <c r="Y66" s="868"/>
      <c r="Z66" s="868"/>
      <c r="AA66" s="868">
        <f>UnosNovoZaposl!B472</f>
        <v>0</v>
      </c>
      <c r="AB66" s="868"/>
      <c r="AC66" s="868"/>
      <c r="AD66" s="868"/>
      <c r="AE66" s="868"/>
      <c r="AF66" s="868"/>
      <c r="AG66" s="868">
        <f>UnosNovoZaposl!F472</f>
        <v>0</v>
      </c>
      <c r="AH66" s="868"/>
      <c r="AI66" s="868"/>
      <c r="AJ66" s="868"/>
      <c r="AK66" s="868"/>
      <c r="AL66" s="868"/>
      <c r="AM66" s="868">
        <f>UnosNovoZaposl!G472</f>
        <v>0</v>
      </c>
      <c r="AN66" s="868"/>
      <c r="AO66" s="868"/>
      <c r="AP66" s="868"/>
      <c r="AQ66" s="868"/>
      <c r="AR66" s="868"/>
      <c r="AS66" s="868">
        <f t="shared" si="1"/>
        <v>0</v>
      </c>
      <c r="AT66" s="868"/>
      <c r="AU66" s="868"/>
      <c r="AV66" s="868"/>
      <c r="AW66" s="868"/>
      <c r="AX66" s="868"/>
    </row>
    <row r="67" s="687" customFormat="1" ht="15" hidden="1" customHeight="1" spans="1:50">
      <c r="A67" s="745"/>
      <c r="B67" s="754" t="s">
        <v>5890</v>
      </c>
      <c r="C67" s="864">
        <f>UnosNovoZaposl!C473</f>
        <v>0</v>
      </c>
      <c r="D67" s="864"/>
      <c r="E67" s="864"/>
      <c r="F67" s="864"/>
      <c r="G67" s="864"/>
      <c r="H67" s="864"/>
      <c r="I67" s="864"/>
      <c r="J67" s="864"/>
      <c r="K67" s="864"/>
      <c r="L67" s="864"/>
      <c r="M67" s="864"/>
      <c r="N67" s="864">
        <f>UnosNovoZaposl!D473</f>
        <v>0</v>
      </c>
      <c r="O67" s="864"/>
      <c r="P67" s="864"/>
      <c r="Q67" s="864"/>
      <c r="R67" s="864"/>
      <c r="S67" s="864"/>
      <c r="T67" s="864"/>
      <c r="U67" s="868">
        <f>UnosNovoZaposl!E473</f>
        <v>0</v>
      </c>
      <c r="V67" s="868"/>
      <c r="W67" s="868"/>
      <c r="X67" s="868"/>
      <c r="Y67" s="868"/>
      <c r="Z67" s="868"/>
      <c r="AA67" s="868">
        <f>UnosNovoZaposl!B473</f>
        <v>0</v>
      </c>
      <c r="AB67" s="868"/>
      <c r="AC67" s="868"/>
      <c r="AD67" s="868"/>
      <c r="AE67" s="868"/>
      <c r="AF67" s="868"/>
      <c r="AG67" s="868">
        <f>UnosNovoZaposl!F473</f>
        <v>0</v>
      </c>
      <c r="AH67" s="868"/>
      <c r="AI67" s="868"/>
      <c r="AJ67" s="868"/>
      <c r="AK67" s="868"/>
      <c r="AL67" s="868"/>
      <c r="AM67" s="868">
        <f>UnosNovoZaposl!G473</f>
        <v>0</v>
      </c>
      <c r="AN67" s="868"/>
      <c r="AO67" s="868"/>
      <c r="AP67" s="868"/>
      <c r="AQ67" s="868"/>
      <c r="AR67" s="868"/>
      <c r="AS67" s="868">
        <f t="shared" si="1"/>
        <v>0</v>
      </c>
      <c r="AT67" s="868"/>
      <c r="AU67" s="868"/>
      <c r="AV67" s="868"/>
      <c r="AW67" s="868"/>
      <c r="AX67" s="868"/>
    </row>
    <row r="68" s="687" customFormat="1" ht="15" hidden="1" customHeight="1" spans="1:50">
      <c r="A68" s="745"/>
      <c r="B68" s="754" t="s">
        <v>5892</v>
      </c>
      <c r="C68" s="864">
        <f>UnosNovoZaposl!C474</f>
        <v>0</v>
      </c>
      <c r="D68" s="864"/>
      <c r="E68" s="864"/>
      <c r="F68" s="864"/>
      <c r="G68" s="864"/>
      <c r="H68" s="864"/>
      <c r="I68" s="864"/>
      <c r="J68" s="864"/>
      <c r="K68" s="864"/>
      <c r="L68" s="864"/>
      <c r="M68" s="864"/>
      <c r="N68" s="864">
        <f>UnosNovoZaposl!D474</f>
        <v>0</v>
      </c>
      <c r="O68" s="864"/>
      <c r="P68" s="864"/>
      <c r="Q68" s="864"/>
      <c r="R68" s="864"/>
      <c r="S68" s="864"/>
      <c r="T68" s="864"/>
      <c r="U68" s="868">
        <f>UnosNovoZaposl!E474</f>
        <v>0</v>
      </c>
      <c r="V68" s="868"/>
      <c r="W68" s="868"/>
      <c r="X68" s="868"/>
      <c r="Y68" s="868"/>
      <c r="Z68" s="868"/>
      <c r="AA68" s="868">
        <f>UnosNovoZaposl!B474</f>
        <v>0</v>
      </c>
      <c r="AB68" s="868"/>
      <c r="AC68" s="868"/>
      <c r="AD68" s="868"/>
      <c r="AE68" s="868"/>
      <c r="AF68" s="868"/>
      <c r="AG68" s="868">
        <f>UnosNovoZaposl!F474</f>
        <v>0</v>
      </c>
      <c r="AH68" s="868"/>
      <c r="AI68" s="868"/>
      <c r="AJ68" s="868"/>
      <c r="AK68" s="868"/>
      <c r="AL68" s="868"/>
      <c r="AM68" s="868">
        <f>UnosNovoZaposl!G474</f>
        <v>0</v>
      </c>
      <c r="AN68" s="868"/>
      <c r="AO68" s="868"/>
      <c r="AP68" s="868"/>
      <c r="AQ68" s="868"/>
      <c r="AR68" s="868"/>
      <c r="AS68" s="868">
        <f t="shared" si="1"/>
        <v>0</v>
      </c>
      <c r="AT68" s="868"/>
      <c r="AU68" s="868"/>
      <c r="AV68" s="868"/>
      <c r="AW68" s="868"/>
      <c r="AX68" s="868"/>
    </row>
    <row r="69" s="687" customFormat="1" ht="15" hidden="1" customHeight="1" spans="1:50">
      <c r="A69" s="745"/>
      <c r="B69" s="754" t="s">
        <v>5894</v>
      </c>
      <c r="C69" s="864">
        <f>UnosNovoZaposl!C475</f>
        <v>0</v>
      </c>
      <c r="D69" s="864"/>
      <c r="E69" s="864"/>
      <c r="F69" s="864"/>
      <c r="G69" s="864"/>
      <c r="H69" s="864"/>
      <c r="I69" s="864"/>
      <c r="J69" s="864"/>
      <c r="K69" s="864"/>
      <c r="L69" s="864"/>
      <c r="M69" s="864"/>
      <c r="N69" s="864">
        <f>UnosNovoZaposl!D475</f>
        <v>0</v>
      </c>
      <c r="O69" s="864"/>
      <c r="P69" s="864"/>
      <c r="Q69" s="864"/>
      <c r="R69" s="864"/>
      <c r="S69" s="864"/>
      <c r="T69" s="864"/>
      <c r="U69" s="868">
        <f>UnosNovoZaposl!E475</f>
        <v>0</v>
      </c>
      <c r="V69" s="868"/>
      <c r="W69" s="868"/>
      <c r="X69" s="868"/>
      <c r="Y69" s="868"/>
      <c r="Z69" s="868"/>
      <c r="AA69" s="868">
        <f>UnosNovoZaposl!B475</f>
        <v>0</v>
      </c>
      <c r="AB69" s="868"/>
      <c r="AC69" s="868"/>
      <c r="AD69" s="868"/>
      <c r="AE69" s="868"/>
      <c r="AF69" s="868"/>
      <c r="AG69" s="868">
        <f>UnosNovoZaposl!F475</f>
        <v>0</v>
      </c>
      <c r="AH69" s="868"/>
      <c r="AI69" s="868"/>
      <c r="AJ69" s="868"/>
      <c r="AK69" s="868"/>
      <c r="AL69" s="868"/>
      <c r="AM69" s="868">
        <f>UnosNovoZaposl!G475</f>
        <v>0</v>
      </c>
      <c r="AN69" s="868"/>
      <c r="AO69" s="868"/>
      <c r="AP69" s="868"/>
      <c r="AQ69" s="868"/>
      <c r="AR69" s="868"/>
      <c r="AS69" s="868">
        <f t="shared" si="1"/>
        <v>0</v>
      </c>
      <c r="AT69" s="868"/>
      <c r="AU69" s="868"/>
      <c r="AV69" s="868"/>
      <c r="AW69" s="868"/>
      <c r="AX69" s="868"/>
    </row>
    <row r="70" s="687" customFormat="1" ht="15" hidden="1" customHeight="1" spans="1:50">
      <c r="A70" s="745"/>
      <c r="B70" s="754" t="s">
        <v>5896</v>
      </c>
      <c r="C70" s="864">
        <f>UnosNovoZaposl!C476</f>
        <v>0</v>
      </c>
      <c r="D70" s="864"/>
      <c r="E70" s="864"/>
      <c r="F70" s="864"/>
      <c r="G70" s="864"/>
      <c r="H70" s="864"/>
      <c r="I70" s="864"/>
      <c r="J70" s="864"/>
      <c r="K70" s="864"/>
      <c r="L70" s="864"/>
      <c r="M70" s="864"/>
      <c r="N70" s="864">
        <f>UnosNovoZaposl!D476</f>
        <v>0</v>
      </c>
      <c r="O70" s="864"/>
      <c r="P70" s="864"/>
      <c r="Q70" s="864"/>
      <c r="R70" s="864"/>
      <c r="S70" s="864"/>
      <c r="T70" s="864"/>
      <c r="U70" s="868">
        <f>UnosNovoZaposl!E476</f>
        <v>0</v>
      </c>
      <c r="V70" s="868"/>
      <c r="W70" s="868"/>
      <c r="X70" s="868"/>
      <c r="Y70" s="868"/>
      <c r="Z70" s="868"/>
      <c r="AA70" s="868">
        <f>UnosNovoZaposl!B476</f>
        <v>0</v>
      </c>
      <c r="AB70" s="868"/>
      <c r="AC70" s="868"/>
      <c r="AD70" s="868"/>
      <c r="AE70" s="868"/>
      <c r="AF70" s="868"/>
      <c r="AG70" s="868">
        <f>UnosNovoZaposl!F476</f>
        <v>0</v>
      </c>
      <c r="AH70" s="868"/>
      <c r="AI70" s="868"/>
      <c r="AJ70" s="868"/>
      <c r="AK70" s="868"/>
      <c r="AL70" s="868"/>
      <c r="AM70" s="868">
        <f>UnosNovoZaposl!G476</f>
        <v>0</v>
      </c>
      <c r="AN70" s="868"/>
      <c r="AO70" s="868"/>
      <c r="AP70" s="868"/>
      <c r="AQ70" s="868"/>
      <c r="AR70" s="868"/>
      <c r="AS70" s="868">
        <f t="shared" si="1"/>
        <v>0</v>
      </c>
      <c r="AT70" s="868"/>
      <c r="AU70" s="868"/>
      <c r="AV70" s="868"/>
      <c r="AW70" s="868"/>
      <c r="AX70" s="868"/>
    </row>
    <row r="71" s="687" customFormat="1" ht="15" hidden="1" customHeight="1" spans="1:50">
      <c r="A71" s="745"/>
      <c r="B71" s="754" t="s">
        <v>5898</v>
      </c>
      <c r="C71" s="864">
        <f>UnosNovoZaposl!C477</f>
        <v>0</v>
      </c>
      <c r="D71" s="864"/>
      <c r="E71" s="864"/>
      <c r="F71" s="864"/>
      <c r="G71" s="864"/>
      <c r="H71" s="864"/>
      <c r="I71" s="864"/>
      <c r="J71" s="864"/>
      <c r="K71" s="864"/>
      <c r="L71" s="864"/>
      <c r="M71" s="864"/>
      <c r="N71" s="864">
        <f>UnosNovoZaposl!D477</f>
        <v>0</v>
      </c>
      <c r="O71" s="864"/>
      <c r="P71" s="864"/>
      <c r="Q71" s="864"/>
      <c r="R71" s="864"/>
      <c r="S71" s="864"/>
      <c r="T71" s="864"/>
      <c r="U71" s="868">
        <f>UnosNovoZaposl!E477</f>
        <v>0</v>
      </c>
      <c r="V71" s="868"/>
      <c r="W71" s="868"/>
      <c r="X71" s="868"/>
      <c r="Y71" s="868"/>
      <c r="Z71" s="868"/>
      <c r="AA71" s="868">
        <f>UnosNovoZaposl!B477</f>
        <v>0</v>
      </c>
      <c r="AB71" s="868"/>
      <c r="AC71" s="868"/>
      <c r="AD71" s="868"/>
      <c r="AE71" s="868"/>
      <c r="AF71" s="868"/>
      <c r="AG71" s="868">
        <f>UnosNovoZaposl!F477</f>
        <v>0</v>
      </c>
      <c r="AH71" s="868"/>
      <c r="AI71" s="868"/>
      <c r="AJ71" s="868"/>
      <c r="AK71" s="868"/>
      <c r="AL71" s="868"/>
      <c r="AM71" s="868">
        <f>UnosNovoZaposl!G477</f>
        <v>0</v>
      </c>
      <c r="AN71" s="868"/>
      <c r="AO71" s="868"/>
      <c r="AP71" s="868"/>
      <c r="AQ71" s="868"/>
      <c r="AR71" s="868"/>
      <c r="AS71" s="868">
        <f t="shared" si="1"/>
        <v>0</v>
      </c>
      <c r="AT71" s="868"/>
      <c r="AU71" s="868"/>
      <c r="AV71" s="868"/>
      <c r="AW71" s="868"/>
      <c r="AX71" s="868"/>
    </row>
    <row r="72" s="687" customFormat="1" ht="15" hidden="1" customHeight="1" spans="1:50">
      <c r="A72" s="745"/>
      <c r="B72" s="754" t="s">
        <v>5900</v>
      </c>
      <c r="C72" s="864">
        <f>UnosNovoZaposl!C478</f>
        <v>0</v>
      </c>
      <c r="D72" s="864"/>
      <c r="E72" s="864"/>
      <c r="F72" s="864"/>
      <c r="G72" s="864"/>
      <c r="H72" s="864"/>
      <c r="I72" s="864"/>
      <c r="J72" s="864"/>
      <c r="K72" s="864"/>
      <c r="L72" s="864"/>
      <c r="M72" s="864"/>
      <c r="N72" s="864">
        <f>UnosNovoZaposl!D478</f>
        <v>0</v>
      </c>
      <c r="O72" s="864"/>
      <c r="P72" s="864"/>
      <c r="Q72" s="864"/>
      <c r="R72" s="864"/>
      <c r="S72" s="864"/>
      <c r="T72" s="864"/>
      <c r="U72" s="868">
        <f>UnosNovoZaposl!E478</f>
        <v>0</v>
      </c>
      <c r="V72" s="868"/>
      <c r="W72" s="868"/>
      <c r="X72" s="868"/>
      <c r="Y72" s="868"/>
      <c r="Z72" s="868"/>
      <c r="AA72" s="868">
        <f>UnosNovoZaposl!B478</f>
        <v>0</v>
      </c>
      <c r="AB72" s="868"/>
      <c r="AC72" s="868"/>
      <c r="AD72" s="868"/>
      <c r="AE72" s="868"/>
      <c r="AF72" s="868"/>
      <c r="AG72" s="868">
        <f>UnosNovoZaposl!F478</f>
        <v>0</v>
      </c>
      <c r="AH72" s="868"/>
      <c r="AI72" s="868"/>
      <c r="AJ72" s="868"/>
      <c r="AK72" s="868"/>
      <c r="AL72" s="868"/>
      <c r="AM72" s="868">
        <f>UnosNovoZaposl!G478</f>
        <v>0</v>
      </c>
      <c r="AN72" s="868"/>
      <c r="AO72" s="868"/>
      <c r="AP72" s="868"/>
      <c r="AQ72" s="868"/>
      <c r="AR72" s="868"/>
      <c r="AS72" s="868">
        <f t="shared" si="1"/>
        <v>0</v>
      </c>
      <c r="AT72" s="868"/>
      <c r="AU72" s="868"/>
      <c r="AV72" s="868"/>
      <c r="AW72" s="868"/>
      <c r="AX72" s="868"/>
    </row>
    <row r="73" s="687" customFormat="1" ht="15" hidden="1" customHeight="1" spans="1:50">
      <c r="A73" s="745"/>
      <c r="B73" s="754" t="s">
        <v>5902</v>
      </c>
      <c r="C73" s="864">
        <f>UnosNovoZaposl!C479</f>
        <v>0</v>
      </c>
      <c r="D73" s="864"/>
      <c r="E73" s="864"/>
      <c r="F73" s="864"/>
      <c r="G73" s="864"/>
      <c r="H73" s="864"/>
      <c r="I73" s="864"/>
      <c r="J73" s="864"/>
      <c r="K73" s="864"/>
      <c r="L73" s="864"/>
      <c r="M73" s="864"/>
      <c r="N73" s="864">
        <f>UnosNovoZaposl!D479</f>
        <v>0</v>
      </c>
      <c r="O73" s="864"/>
      <c r="P73" s="864"/>
      <c r="Q73" s="864"/>
      <c r="R73" s="864"/>
      <c r="S73" s="864"/>
      <c r="T73" s="864"/>
      <c r="U73" s="868">
        <f>UnosNovoZaposl!E479</f>
        <v>0</v>
      </c>
      <c r="V73" s="868"/>
      <c r="W73" s="868"/>
      <c r="X73" s="868"/>
      <c r="Y73" s="868"/>
      <c r="Z73" s="868"/>
      <c r="AA73" s="868">
        <f>UnosNovoZaposl!B479</f>
        <v>0</v>
      </c>
      <c r="AB73" s="868"/>
      <c r="AC73" s="868"/>
      <c r="AD73" s="868"/>
      <c r="AE73" s="868"/>
      <c r="AF73" s="868"/>
      <c r="AG73" s="868">
        <f>UnosNovoZaposl!F479</f>
        <v>0</v>
      </c>
      <c r="AH73" s="868"/>
      <c r="AI73" s="868"/>
      <c r="AJ73" s="868"/>
      <c r="AK73" s="868"/>
      <c r="AL73" s="868"/>
      <c r="AM73" s="868">
        <f>UnosNovoZaposl!G479</f>
        <v>0</v>
      </c>
      <c r="AN73" s="868"/>
      <c r="AO73" s="868"/>
      <c r="AP73" s="868"/>
      <c r="AQ73" s="868"/>
      <c r="AR73" s="868"/>
      <c r="AS73" s="868">
        <f t="shared" si="1"/>
        <v>0</v>
      </c>
      <c r="AT73" s="868"/>
      <c r="AU73" s="868"/>
      <c r="AV73" s="868"/>
      <c r="AW73" s="868"/>
      <c r="AX73" s="868"/>
    </row>
    <row r="74" s="687" customFormat="1" ht="15" hidden="1" customHeight="1" spans="1:50">
      <c r="A74" s="745"/>
      <c r="B74" s="754" t="s">
        <v>5904</v>
      </c>
      <c r="C74" s="864">
        <f>UnosNovoZaposl!C480</f>
        <v>0</v>
      </c>
      <c r="D74" s="864"/>
      <c r="E74" s="864"/>
      <c r="F74" s="864"/>
      <c r="G74" s="864"/>
      <c r="H74" s="864"/>
      <c r="I74" s="864"/>
      <c r="J74" s="864"/>
      <c r="K74" s="864"/>
      <c r="L74" s="864"/>
      <c r="M74" s="864"/>
      <c r="N74" s="864">
        <f>UnosNovoZaposl!D480</f>
        <v>0</v>
      </c>
      <c r="O74" s="864"/>
      <c r="P74" s="864"/>
      <c r="Q74" s="864"/>
      <c r="R74" s="864"/>
      <c r="S74" s="864"/>
      <c r="T74" s="864"/>
      <c r="U74" s="868">
        <f>UnosNovoZaposl!E480</f>
        <v>0</v>
      </c>
      <c r="V74" s="868"/>
      <c r="W74" s="868"/>
      <c r="X74" s="868"/>
      <c r="Y74" s="868"/>
      <c r="Z74" s="868"/>
      <c r="AA74" s="868">
        <f>UnosNovoZaposl!B480</f>
        <v>0</v>
      </c>
      <c r="AB74" s="868"/>
      <c r="AC74" s="868"/>
      <c r="AD74" s="868"/>
      <c r="AE74" s="868"/>
      <c r="AF74" s="868"/>
      <c r="AG74" s="868">
        <f>UnosNovoZaposl!F480</f>
        <v>0</v>
      </c>
      <c r="AH74" s="868"/>
      <c r="AI74" s="868"/>
      <c r="AJ74" s="868"/>
      <c r="AK74" s="868"/>
      <c r="AL74" s="868"/>
      <c r="AM74" s="868">
        <f>UnosNovoZaposl!G480</f>
        <v>0</v>
      </c>
      <c r="AN74" s="868"/>
      <c r="AO74" s="868"/>
      <c r="AP74" s="868"/>
      <c r="AQ74" s="868"/>
      <c r="AR74" s="868"/>
      <c r="AS74" s="868">
        <f t="shared" si="1"/>
        <v>0</v>
      </c>
      <c r="AT74" s="868"/>
      <c r="AU74" s="868"/>
      <c r="AV74" s="868"/>
      <c r="AW74" s="868"/>
      <c r="AX74" s="868"/>
    </row>
    <row r="75" s="687" customFormat="1" ht="15" hidden="1" customHeight="1" spans="1:50">
      <c r="A75" s="745"/>
      <c r="B75" s="754" t="s">
        <v>5908</v>
      </c>
      <c r="C75" s="864">
        <f>UnosNovoZaposl!C481</f>
        <v>0</v>
      </c>
      <c r="D75" s="864"/>
      <c r="E75" s="864"/>
      <c r="F75" s="864"/>
      <c r="G75" s="864"/>
      <c r="H75" s="864"/>
      <c r="I75" s="864"/>
      <c r="J75" s="864"/>
      <c r="K75" s="864"/>
      <c r="L75" s="864"/>
      <c r="M75" s="864"/>
      <c r="N75" s="864">
        <f>UnosNovoZaposl!D481</f>
        <v>0</v>
      </c>
      <c r="O75" s="864"/>
      <c r="P75" s="864"/>
      <c r="Q75" s="864"/>
      <c r="R75" s="864"/>
      <c r="S75" s="864"/>
      <c r="T75" s="864"/>
      <c r="U75" s="868">
        <f>UnosNovoZaposl!E481</f>
        <v>0</v>
      </c>
      <c r="V75" s="868"/>
      <c r="W75" s="868"/>
      <c r="X75" s="868"/>
      <c r="Y75" s="868"/>
      <c r="Z75" s="868"/>
      <c r="AA75" s="868">
        <f>UnosNovoZaposl!B481</f>
        <v>0</v>
      </c>
      <c r="AB75" s="868"/>
      <c r="AC75" s="868"/>
      <c r="AD75" s="868"/>
      <c r="AE75" s="868"/>
      <c r="AF75" s="868"/>
      <c r="AG75" s="868">
        <f>UnosNovoZaposl!F481</f>
        <v>0</v>
      </c>
      <c r="AH75" s="868"/>
      <c r="AI75" s="868"/>
      <c r="AJ75" s="868"/>
      <c r="AK75" s="868"/>
      <c r="AL75" s="868"/>
      <c r="AM75" s="868">
        <f>UnosNovoZaposl!G481</f>
        <v>0</v>
      </c>
      <c r="AN75" s="868"/>
      <c r="AO75" s="868"/>
      <c r="AP75" s="868"/>
      <c r="AQ75" s="868"/>
      <c r="AR75" s="868"/>
      <c r="AS75" s="868">
        <f t="shared" si="1"/>
        <v>0</v>
      </c>
      <c r="AT75" s="868"/>
      <c r="AU75" s="868"/>
      <c r="AV75" s="868"/>
      <c r="AW75" s="868"/>
      <c r="AX75" s="868"/>
    </row>
    <row r="76" s="687" customFormat="1" ht="15" hidden="1" customHeight="1" spans="1:50">
      <c r="A76" s="745"/>
      <c r="B76" s="754" t="s">
        <v>5910</v>
      </c>
      <c r="C76" s="864">
        <f>UnosNovoZaposl!C482</f>
        <v>0</v>
      </c>
      <c r="D76" s="864"/>
      <c r="E76" s="864"/>
      <c r="F76" s="864"/>
      <c r="G76" s="864"/>
      <c r="H76" s="864"/>
      <c r="I76" s="864"/>
      <c r="J76" s="864"/>
      <c r="K76" s="864"/>
      <c r="L76" s="864"/>
      <c r="M76" s="864"/>
      <c r="N76" s="864">
        <f>UnosNovoZaposl!D482</f>
        <v>0</v>
      </c>
      <c r="O76" s="864"/>
      <c r="P76" s="864"/>
      <c r="Q76" s="864"/>
      <c r="R76" s="864"/>
      <c r="S76" s="864"/>
      <c r="T76" s="864"/>
      <c r="U76" s="868">
        <f>UnosNovoZaposl!E482</f>
        <v>0</v>
      </c>
      <c r="V76" s="868"/>
      <c r="W76" s="868"/>
      <c r="X76" s="868"/>
      <c r="Y76" s="868"/>
      <c r="Z76" s="868"/>
      <c r="AA76" s="868">
        <f>UnosNovoZaposl!B482</f>
        <v>0</v>
      </c>
      <c r="AB76" s="868"/>
      <c r="AC76" s="868"/>
      <c r="AD76" s="868"/>
      <c r="AE76" s="868"/>
      <c r="AF76" s="868"/>
      <c r="AG76" s="868">
        <f>UnosNovoZaposl!F482</f>
        <v>0</v>
      </c>
      <c r="AH76" s="868"/>
      <c r="AI76" s="868"/>
      <c r="AJ76" s="868"/>
      <c r="AK76" s="868"/>
      <c r="AL76" s="868"/>
      <c r="AM76" s="868">
        <f>UnosNovoZaposl!G482</f>
        <v>0</v>
      </c>
      <c r="AN76" s="868"/>
      <c r="AO76" s="868"/>
      <c r="AP76" s="868"/>
      <c r="AQ76" s="868"/>
      <c r="AR76" s="868"/>
      <c r="AS76" s="868">
        <f t="shared" si="1"/>
        <v>0</v>
      </c>
      <c r="AT76" s="868"/>
      <c r="AU76" s="868"/>
      <c r="AV76" s="868"/>
      <c r="AW76" s="868"/>
      <c r="AX76" s="868"/>
    </row>
    <row r="77" s="687" customFormat="1" ht="15" hidden="1" customHeight="1" spans="1:50">
      <c r="A77" s="745"/>
      <c r="B77" s="754" t="s">
        <v>5914</v>
      </c>
      <c r="C77" s="864">
        <f>UnosNovoZaposl!C483</f>
        <v>0</v>
      </c>
      <c r="D77" s="864"/>
      <c r="E77" s="864"/>
      <c r="F77" s="864"/>
      <c r="G77" s="864"/>
      <c r="H77" s="864"/>
      <c r="I77" s="864"/>
      <c r="J77" s="864"/>
      <c r="K77" s="864"/>
      <c r="L77" s="864"/>
      <c r="M77" s="864"/>
      <c r="N77" s="864">
        <f>UnosNovoZaposl!D483</f>
        <v>0</v>
      </c>
      <c r="O77" s="864"/>
      <c r="P77" s="864"/>
      <c r="Q77" s="864"/>
      <c r="R77" s="864"/>
      <c r="S77" s="864"/>
      <c r="T77" s="864"/>
      <c r="U77" s="868">
        <f>UnosNovoZaposl!E483</f>
        <v>0</v>
      </c>
      <c r="V77" s="868"/>
      <c r="W77" s="868"/>
      <c r="X77" s="868"/>
      <c r="Y77" s="868"/>
      <c r="Z77" s="868"/>
      <c r="AA77" s="868">
        <f>UnosNovoZaposl!B483</f>
        <v>0</v>
      </c>
      <c r="AB77" s="868"/>
      <c r="AC77" s="868"/>
      <c r="AD77" s="868"/>
      <c r="AE77" s="868"/>
      <c r="AF77" s="868"/>
      <c r="AG77" s="868">
        <f>UnosNovoZaposl!F483</f>
        <v>0</v>
      </c>
      <c r="AH77" s="868"/>
      <c r="AI77" s="868"/>
      <c r="AJ77" s="868"/>
      <c r="AK77" s="868"/>
      <c r="AL77" s="868"/>
      <c r="AM77" s="868">
        <f>UnosNovoZaposl!G483</f>
        <v>0</v>
      </c>
      <c r="AN77" s="868"/>
      <c r="AO77" s="868"/>
      <c r="AP77" s="868"/>
      <c r="AQ77" s="868"/>
      <c r="AR77" s="868"/>
      <c r="AS77" s="868">
        <f t="shared" si="1"/>
        <v>0</v>
      </c>
      <c r="AT77" s="868"/>
      <c r="AU77" s="868"/>
      <c r="AV77" s="868"/>
      <c r="AW77" s="868"/>
      <c r="AX77" s="868"/>
    </row>
    <row r="78" s="687" customFormat="1" ht="15" hidden="1" customHeight="1" spans="1:50">
      <c r="A78" s="745"/>
      <c r="B78" s="754" t="s">
        <v>5916</v>
      </c>
      <c r="C78" s="864">
        <f>UnosNovoZaposl!C484</f>
        <v>0</v>
      </c>
      <c r="D78" s="864"/>
      <c r="E78" s="864"/>
      <c r="F78" s="864"/>
      <c r="G78" s="864"/>
      <c r="H78" s="864"/>
      <c r="I78" s="864"/>
      <c r="J78" s="864"/>
      <c r="K78" s="864"/>
      <c r="L78" s="864"/>
      <c r="M78" s="864"/>
      <c r="N78" s="864">
        <f>UnosNovoZaposl!D484</f>
        <v>0</v>
      </c>
      <c r="O78" s="864"/>
      <c r="P78" s="864"/>
      <c r="Q78" s="864"/>
      <c r="R78" s="864"/>
      <c r="S78" s="864"/>
      <c r="T78" s="864"/>
      <c r="U78" s="868">
        <f>UnosNovoZaposl!E484</f>
        <v>0</v>
      </c>
      <c r="V78" s="868"/>
      <c r="W78" s="868"/>
      <c r="X78" s="868"/>
      <c r="Y78" s="868"/>
      <c r="Z78" s="868"/>
      <c r="AA78" s="868">
        <f>UnosNovoZaposl!B484</f>
        <v>0</v>
      </c>
      <c r="AB78" s="868"/>
      <c r="AC78" s="868"/>
      <c r="AD78" s="868"/>
      <c r="AE78" s="868"/>
      <c r="AF78" s="868"/>
      <c r="AG78" s="868">
        <f>UnosNovoZaposl!F484</f>
        <v>0</v>
      </c>
      <c r="AH78" s="868"/>
      <c r="AI78" s="868"/>
      <c r="AJ78" s="868"/>
      <c r="AK78" s="868"/>
      <c r="AL78" s="868"/>
      <c r="AM78" s="868">
        <f>UnosNovoZaposl!G484</f>
        <v>0</v>
      </c>
      <c r="AN78" s="868"/>
      <c r="AO78" s="868"/>
      <c r="AP78" s="868"/>
      <c r="AQ78" s="868"/>
      <c r="AR78" s="868"/>
      <c r="AS78" s="868">
        <f t="shared" si="1"/>
        <v>0</v>
      </c>
      <c r="AT78" s="868"/>
      <c r="AU78" s="868"/>
      <c r="AV78" s="868"/>
      <c r="AW78" s="868"/>
      <c r="AX78" s="868"/>
    </row>
    <row r="79" s="687" customFormat="1" ht="15" hidden="1" customHeight="1" spans="1:50">
      <c r="A79" s="745"/>
      <c r="B79" s="754" t="s">
        <v>5918</v>
      </c>
      <c r="C79" s="864">
        <f>UnosNovoZaposl!C485</f>
        <v>0</v>
      </c>
      <c r="D79" s="864"/>
      <c r="E79" s="864"/>
      <c r="F79" s="864"/>
      <c r="G79" s="864"/>
      <c r="H79" s="864"/>
      <c r="I79" s="864"/>
      <c r="J79" s="864"/>
      <c r="K79" s="864"/>
      <c r="L79" s="864"/>
      <c r="M79" s="864"/>
      <c r="N79" s="864">
        <f>UnosNovoZaposl!D485</f>
        <v>0</v>
      </c>
      <c r="O79" s="864"/>
      <c r="P79" s="864"/>
      <c r="Q79" s="864"/>
      <c r="R79" s="864"/>
      <c r="S79" s="864"/>
      <c r="T79" s="864"/>
      <c r="U79" s="868">
        <f>UnosNovoZaposl!E485</f>
        <v>0</v>
      </c>
      <c r="V79" s="868"/>
      <c r="W79" s="868"/>
      <c r="X79" s="868"/>
      <c r="Y79" s="868"/>
      <c r="Z79" s="868"/>
      <c r="AA79" s="868">
        <f>UnosNovoZaposl!B485</f>
        <v>0</v>
      </c>
      <c r="AB79" s="868"/>
      <c r="AC79" s="868"/>
      <c r="AD79" s="868"/>
      <c r="AE79" s="868"/>
      <c r="AF79" s="868"/>
      <c r="AG79" s="868">
        <f>UnosNovoZaposl!F485</f>
        <v>0</v>
      </c>
      <c r="AH79" s="868"/>
      <c r="AI79" s="868"/>
      <c r="AJ79" s="868"/>
      <c r="AK79" s="868"/>
      <c r="AL79" s="868"/>
      <c r="AM79" s="868">
        <f>UnosNovoZaposl!G485</f>
        <v>0</v>
      </c>
      <c r="AN79" s="868"/>
      <c r="AO79" s="868"/>
      <c r="AP79" s="868"/>
      <c r="AQ79" s="868"/>
      <c r="AR79" s="868"/>
      <c r="AS79" s="868">
        <f t="shared" si="1"/>
        <v>0</v>
      </c>
      <c r="AT79" s="868"/>
      <c r="AU79" s="868"/>
      <c r="AV79" s="868"/>
      <c r="AW79" s="868"/>
      <c r="AX79" s="868"/>
    </row>
    <row r="80" s="687" customFormat="1" ht="15" hidden="1" customHeight="1" spans="1:50">
      <c r="A80" s="745"/>
      <c r="B80" s="754" t="s">
        <v>5923</v>
      </c>
      <c r="C80" s="864">
        <f>UnosNovoZaposl!C486</f>
        <v>0</v>
      </c>
      <c r="D80" s="864"/>
      <c r="E80" s="864"/>
      <c r="F80" s="864"/>
      <c r="G80" s="864"/>
      <c r="H80" s="864"/>
      <c r="I80" s="864"/>
      <c r="J80" s="864"/>
      <c r="K80" s="864"/>
      <c r="L80" s="864"/>
      <c r="M80" s="864"/>
      <c r="N80" s="864">
        <f>UnosNovoZaposl!D486</f>
        <v>0</v>
      </c>
      <c r="O80" s="864"/>
      <c r="P80" s="864"/>
      <c r="Q80" s="864"/>
      <c r="R80" s="864"/>
      <c r="S80" s="864"/>
      <c r="T80" s="864"/>
      <c r="U80" s="868">
        <f>UnosNovoZaposl!E486</f>
        <v>0</v>
      </c>
      <c r="V80" s="868"/>
      <c r="W80" s="868"/>
      <c r="X80" s="868"/>
      <c r="Y80" s="868"/>
      <c r="Z80" s="868"/>
      <c r="AA80" s="868">
        <f>UnosNovoZaposl!B486</f>
        <v>0</v>
      </c>
      <c r="AB80" s="868"/>
      <c r="AC80" s="868"/>
      <c r="AD80" s="868"/>
      <c r="AE80" s="868"/>
      <c r="AF80" s="868"/>
      <c r="AG80" s="868">
        <f>UnosNovoZaposl!F486</f>
        <v>0</v>
      </c>
      <c r="AH80" s="868"/>
      <c r="AI80" s="868"/>
      <c r="AJ80" s="868"/>
      <c r="AK80" s="868"/>
      <c r="AL80" s="868"/>
      <c r="AM80" s="868">
        <f>UnosNovoZaposl!G486</f>
        <v>0</v>
      </c>
      <c r="AN80" s="868"/>
      <c r="AO80" s="868"/>
      <c r="AP80" s="868"/>
      <c r="AQ80" s="868"/>
      <c r="AR80" s="868"/>
      <c r="AS80" s="868">
        <f t="shared" si="1"/>
        <v>0</v>
      </c>
      <c r="AT80" s="868"/>
      <c r="AU80" s="868"/>
      <c r="AV80" s="868"/>
      <c r="AW80" s="868"/>
      <c r="AX80" s="868"/>
    </row>
    <row r="81" s="687" customFormat="1" ht="15" hidden="1" customHeight="1" spans="1:50">
      <c r="A81" s="745"/>
      <c r="B81" s="754" t="s">
        <v>5925</v>
      </c>
      <c r="C81" s="864">
        <f>UnosNovoZaposl!C487</f>
        <v>0</v>
      </c>
      <c r="D81" s="864"/>
      <c r="E81" s="864"/>
      <c r="F81" s="864"/>
      <c r="G81" s="864"/>
      <c r="H81" s="864"/>
      <c r="I81" s="864"/>
      <c r="J81" s="864"/>
      <c r="K81" s="864"/>
      <c r="L81" s="864"/>
      <c r="M81" s="864"/>
      <c r="N81" s="864">
        <f>UnosNovoZaposl!D487</f>
        <v>0</v>
      </c>
      <c r="O81" s="864"/>
      <c r="P81" s="864"/>
      <c r="Q81" s="864"/>
      <c r="R81" s="864"/>
      <c r="S81" s="864"/>
      <c r="T81" s="864"/>
      <c r="U81" s="868">
        <f>UnosNovoZaposl!E487</f>
        <v>0</v>
      </c>
      <c r="V81" s="868"/>
      <c r="W81" s="868"/>
      <c r="X81" s="868"/>
      <c r="Y81" s="868"/>
      <c r="Z81" s="868"/>
      <c r="AA81" s="868">
        <f>UnosNovoZaposl!B487</f>
        <v>0</v>
      </c>
      <c r="AB81" s="868"/>
      <c r="AC81" s="868"/>
      <c r="AD81" s="868"/>
      <c r="AE81" s="868"/>
      <c r="AF81" s="868"/>
      <c r="AG81" s="868">
        <f>UnosNovoZaposl!F487</f>
        <v>0</v>
      </c>
      <c r="AH81" s="868"/>
      <c r="AI81" s="868"/>
      <c r="AJ81" s="868"/>
      <c r="AK81" s="868"/>
      <c r="AL81" s="868"/>
      <c r="AM81" s="868">
        <f>UnosNovoZaposl!G487</f>
        <v>0</v>
      </c>
      <c r="AN81" s="868"/>
      <c r="AO81" s="868"/>
      <c r="AP81" s="868"/>
      <c r="AQ81" s="868"/>
      <c r="AR81" s="868"/>
      <c r="AS81" s="868">
        <f t="shared" si="1"/>
        <v>0</v>
      </c>
      <c r="AT81" s="868"/>
      <c r="AU81" s="868"/>
      <c r="AV81" s="868"/>
      <c r="AW81" s="868"/>
      <c r="AX81" s="868"/>
    </row>
    <row r="82" s="687" customFormat="1" ht="15" hidden="1" customHeight="1" spans="1:50">
      <c r="A82" s="745"/>
      <c r="B82" s="754" t="s">
        <v>5929</v>
      </c>
      <c r="C82" s="864">
        <f>UnosNovoZaposl!C488</f>
        <v>0</v>
      </c>
      <c r="D82" s="864"/>
      <c r="E82" s="864"/>
      <c r="F82" s="864"/>
      <c r="G82" s="864"/>
      <c r="H82" s="864"/>
      <c r="I82" s="864"/>
      <c r="J82" s="864"/>
      <c r="K82" s="864"/>
      <c r="L82" s="864"/>
      <c r="M82" s="864"/>
      <c r="N82" s="864">
        <f>UnosNovoZaposl!D488</f>
        <v>0</v>
      </c>
      <c r="O82" s="864"/>
      <c r="P82" s="864"/>
      <c r="Q82" s="864"/>
      <c r="R82" s="864"/>
      <c r="S82" s="864"/>
      <c r="T82" s="864"/>
      <c r="U82" s="868">
        <f>UnosNovoZaposl!E488</f>
        <v>0</v>
      </c>
      <c r="V82" s="868"/>
      <c r="W82" s="868"/>
      <c r="X82" s="868"/>
      <c r="Y82" s="868"/>
      <c r="Z82" s="868"/>
      <c r="AA82" s="868">
        <f>UnosNovoZaposl!B488</f>
        <v>0</v>
      </c>
      <c r="AB82" s="868"/>
      <c r="AC82" s="868"/>
      <c r="AD82" s="868"/>
      <c r="AE82" s="868"/>
      <c r="AF82" s="868"/>
      <c r="AG82" s="868">
        <f>UnosNovoZaposl!F488</f>
        <v>0</v>
      </c>
      <c r="AH82" s="868"/>
      <c r="AI82" s="868"/>
      <c r="AJ82" s="868"/>
      <c r="AK82" s="868"/>
      <c r="AL82" s="868"/>
      <c r="AM82" s="868">
        <f>UnosNovoZaposl!G488</f>
        <v>0</v>
      </c>
      <c r="AN82" s="868"/>
      <c r="AO82" s="868"/>
      <c r="AP82" s="868"/>
      <c r="AQ82" s="868"/>
      <c r="AR82" s="868"/>
      <c r="AS82" s="868">
        <f t="shared" si="1"/>
        <v>0</v>
      </c>
      <c r="AT82" s="868"/>
      <c r="AU82" s="868"/>
      <c r="AV82" s="868"/>
      <c r="AW82" s="868"/>
      <c r="AX82" s="868"/>
    </row>
    <row r="83" s="687" customFormat="1" ht="15" hidden="1" customHeight="1" spans="1:50">
      <c r="A83" s="745"/>
      <c r="B83" s="754" t="s">
        <v>5931</v>
      </c>
      <c r="C83" s="864">
        <f>UnosNovoZaposl!C489</f>
        <v>0</v>
      </c>
      <c r="D83" s="864"/>
      <c r="E83" s="864"/>
      <c r="F83" s="864"/>
      <c r="G83" s="864"/>
      <c r="H83" s="864"/>
      <c r="I83" s="864"/>
      <c r="J83" s="864"/>
      <c r="K83" s="864"/>
      <c r="L83" s="864"/>
      <c r="M83" s="864"/>
      <c r="N83" s="864">
        <f>UnosNovoZaposl!D489</f>
        <v>0</v>
      </c>
      <c r="O83" s="864"/>
      <c r="P83" s="864"/>
      <c r="Q83" s="864"/>
      <c r="R83" s="864"/>
      <c r="S83" s="864"/>
      <c r="T83" s="864"/>
      <c r="U83" s="868">
        <f>UnosNovoZaposl!E489</f>
        <v>0</v>
      </c>
      <c r="V83" s="868"/>
      <c r="W83" s="868"/>
      <c r="X83" s="868"/>
      <c r="Y83" s="868"/>
      <c r="Z83" s="868"/>
      <c r="AA83" s="868">
        <f>UnosNovoZaposl!B489</f>
        <v>0</v>
      </c>
      <c r="AB83" s="868"/>
      <c r="AC83" s="868"/>
      <c r="AD83" s="868"/>
      <c r="AE83" s="868"/>
      <c r="AF83" s="868"/>
      <c r="AG83" s="868">
        <f>UnosNovoZaposl!F489</f>
        <v>0</v>
      </c>
      <c r="AH83" s="868"/>
      <c r="AI83" s="868"/>
      <c r="AJ83" s="868"/>
      <c r="AK83" s="868"/>
      <c r="AL83" s="868"/>
      <c r="AM83" s="868">
        <f>UnosNovoZaposl!G489</f>
        <v>0</v>
      </c>
      <c r="AN83" s="868"/>
      <c r="AO83" s="868"/>
      <c r="AP83" s="868"/>
      <c r="AQ83" s="868"/>
      <c r="AR83" s="868"/>
      <c r="AS83" s="868">
        <f t="shared" si="1"/>
        <v>0</v>
      </c>
      <c r="AT83" s="868"/>
      <c r="AU83" s="868"/>
      <c r="AV83" s="868"/>
      <c r="AW83" s="868"/>
      <c r="AX83" s="868"/>
    </row>
    <row r="84" s="687" customFormat="1" ht="15" hidden="1" customHeight="1" spans="1:50">
      <c r="A84" s="745"/>
      <c r="B84" s="754" t="s">
        <v>5945</v>
      </c>
      <c r="C84" s="864">
        <f>UnosNovoZaposl!C490</f>
        <v>0</v>
      </c>
      <c r="D84" s="864"/>
      <c r="E84" s="864"/>
      <c r="F84" s="864"/>
      <c r="G84" s="864"/>
      <c r="H84" s="864"/>
      <c r="I84" s="864"/>
      <c r="J84" s="864"/>
      <c r="K84" s="864"/>
      <c r="L84" s="864"/>
      <c r="M84" s="864"/>
      <c r="N84" s="864">
        <f>UnosNovoZaposl!D490</f>
        <v>0</v>
      </c>
      <c r="O84" s="864"/>
      <c r="P84" s="864"/>
      <c r="Q84" s="864"/>
      <c r="R84" s="864"/>
      <c r="S84" s="864"/>
      <c r="T84" s="864"/>
      <c r="U84" s="868">
        <f>UnosNovoZaposl!E490</f>
        <v>0</v>
      </c>
      <c r="V84" s="868"/>
      <c r="W84" s="868"/>
      <c r="X84" s="868"/>
      <c r="Y84" s="868"/>
      <c r="Z84" s="868"/>
      <c r="AA84" s="868">
        <f>UnosNovoZaposl!B490</f>
        <v>0</v>
      </c>
      <c r="AB84" s="868"/>
      <c r="AC84" s="868"/>
      <c r="AD84" s="868"/>
      <c r="AE84" s="868"/>
      <c r="AF84" s="868"/>
      <c r="AG84" s="868">
        <f>UnosNovoZaposl!F490</f>
        <v>0</v>
      </c>
      <c r="AH84" s="868"/>
      <c r="AI84" s="868"/>
      <c r="AJ84" s="868"/>
      <c r="AK84" s="868"/>
      <c r="AL84" s="868"/>
      <c r="AM84" s="868">
        <f>UnosNovoZaposl!G490</f>
        <v>0</v>
      </c>
      <c r="AN84" s="868"/>
      <c r="AO84" s="868"/>
      <c r="AP84" s="868"/>
      <c r="AQ84" s="868"/>
      <c r="AR84" s="868"/>
      <c r="AS84" s="868">
        <f t="shared" si="1"/>
        <v>0</v>
      </c>
      <c r="AT84" s="868"/>
      <c r="AU84" s="868"/>
      <c r="AV84" s="868"/>
      <c r="AW84" s="868"/>
      <c r="AX84" s="868"/>
    </row>
    <row r="85" s="687" customFormat="1" ht="15" hidden="1" customHeight="1" spans="1:50">
      <c r="A85" s="745"/>
      <c r="B85" s="754" t="s">
        <v>5947</v>
      </c>
      <c r="C85" s="864">
        <f>UnosNovoZaposl!C491</f>
        <v>0</v>
      </c>
      <c r="D85" s="864"/>
      <c r="E85" s="864"/>
      <c r="F85" s="864"/>
      <c r="G85" s="864"/>
      <c r="H85" s="864"/>
      <c r="I85" s="864"/>
      <c r="J85" s="864"/>
      <c r="K85" s="864"/>
      <c r="L85" s="864"/>
      <c r="M85" s="864"/>
      <c r="N85" s="864">
        <f>UnosNovoZaposl!D491</f>
        <v>0</v>
      </c>
      <c r="O85" s="864"/>
      <c r="P85" s="864"/>
      <c r="Q85" s="864"/>
      <c r="R85" s="864"/>
      <c r="S85" s="864"/>
      <c r="T85" s="864"/>
      <c r="U85" s="868">
        <f>UnosNovoZaposl!E491</f>
        <v>0</v>
      </c>
      <c r="V85" s="868"/>
      <c r="W85" s="868"/>
      <c r="X85" s="868"/>
      <c r="Y85" s="868"/>
      <c r="Z85" s="868"/>
      <c r="AA85" s="868">
        <f>UnosNovoZaposl!B491</f>
        <v>0</v>
      </c>
      <c r="AB85" s="868"/>
      <c r="AC85" s="868"/>
      <c r="AD85" s="868"/>
      <c r="AE85" s="868"/>
      <c r="AF85" s="868"/>
      <c r="AG85" s="868">
        <f>UnosNovoZaposl!F491</f>
        <v>0</v>
      </c>
      <c r="AH85" s="868"/>
      <c r="AI85" s="868"/>
      <c r="AJ85" s="868"/>
      <c r="AK85" s="868"/>
      <c r="AL85" s="868"/>
      <c r="AM85" s="868">
        <f>UnosNovoZaposl!G491</f>
        <v>0</v>
      </c>
      <c r="AN85" s="868"/>
      <c r="AO85" s="868"/>
      <c r="AP85" s="868"/>
      <c r="AQ85" s="868"/>
      <c r="AR85" s="868"/>
      <c r="AS85" s="868">
        <f t="shared" si="1"/>
        <v>0</v>
      </c>
      <c r="AT85" s="868"/>
      <c r="AU85" s="868"/>
      <c r="AV85" s="868"/>
      <c r="AW85" s="868"/>
      <c r="AX85" s="868"/>
    </row>
    <row r="86" s="687" customFormat="1" ht="15" hidden="1" customHeight="1" spans="1:50">
      <c r="A86" s="745"/>
      <c r="B86" s="754" t="s">
        <v>5951</v>
      </c>
      <c r="C86" s="864">
        <f>UnosNovoZaposl!C492</f>
        <v>0</v>
      </c>
      <c r="D86" s="864"/>
      <c r="E86" s="864"/>
      <c r="F86" s="864"/>
      <c r="G86" s="864"/>
      <c r="H86" s="864"/>
      <c r="I86" s="864"/>
      <c r="J86" s="864"/>
      <c r="K86" s="864"/>
      <c r="L86" s="864"/>
      <c r="M86" s="864"/>
      <c r="N86" s="864">
        <f>UnosNovoZaposl!D492</f>
        <v>0</v>
      </c>
      <c r="O86" s="864"/>
      <c r="P86" s="864"/>
      <c r="Q86" s="864"/>
      <c r="R86" s="864"/>
      <c r="S86" s="864"/>
      <c r="T86" s="864"/>
      <c r="U86" s="868">
        <f>UnosNovoZaposl!E492</f>
        <v>0</v>
      </c>
      <c r="V86" s="868"/>
      <c r="W86" s="868"/>
      <c r="X86" s="868"/>
      <c r="Y86" s="868"/>
      <c r="Z86" s="868"/>
      <c r="AA86" s="868">
        <f>UnosNovoZaposl!B492</f>
        <v>0</v>
      </c>
      <c r="AB86" s="868"/>
      <c r="AC86" s="868"/>
      <c r="AD86" s="868"/>
      <c r="AE86" s="868"/>
      <c r="AF86" s="868"/>
      <c r="AG86" s="868">
        <f>UnosNovoZaposl!F492</f>
        <v>0</v>
      </c>
      <c r="AH86" s="868"/>
      <c r="AI86" s="868"/>
      <c r="AJ86" s="868"/>
      <c r="AK86" s="868"/>
      <c r="AL86" s="868"/>
      <c r="AM86" s="868">
        <f>UnosNovoZaposl!G492</f>
        <v>0</v>
      </c>
      <c r="AN86" s="868"/>
      <c r="AO86" s="868"/>
      <c r="AP86" s="868"/>
      <c r="AQ86" s="868"/>
      <c r="AR86" s="868"/>
      <c r="AS86" s="868">
        <f t="shared" si="1"/>
        <v>0</v>
      </c>
      <c r="AT86" s="868"/>
      <c r="AU86" s="868"/>
      <c r="AV86" s="868"/>
      <c r="AW86" s="868"/>
      <c r="AX86" s="868"/>
    </row>
    <row r="87" s="687" customFormat="1" ht="15" hidden="1" customHeight="1" spans="1:50">
      <c r="A87" s="745"/>
      <c r="B87" s="754" t="s">
        <v>5953</v>
      </c>
      <c r="C87" s="864">
        <f>UnosNovoZaposl!C493</f>
        <v>0</v>
      </c>
      <c r="D87" s="864"/>
      <c r="E87" s="864"/>
      <c r="F87" s="864"/>
      <c r="G87" s="864"/>
      <c r="H87" s="864"/>
      <c r="I87" s="864"/>
      <c r="J87" s="864"/>
      <c r="K87" s="864"/>
      <c r="L87" s="864"/>
      <c r="M87" s="864"/>
      <c r="N87" s="864">
        <f>UnosNovoZaposl!D493</f>
        <v>0</v>
      </c>
      <c r="O87" s="864"/>
      <c r="P87" s="864"/>
      <c r="Q87" s="864"/>
      <c r="R87" s="864"/>
      <c r="S87" s="864"/>
      <c r="T87" s="864"/>
      <c r="U87" s="868">
        <f>UnosNovoZaposl!E493</f>
        <v>0</v>
      </c>
      <c r="V87" s="868"/>
      <c r="W87" s="868"/>
      <c r="X87" s="868"/>
      <c r="Y87" s="868"/>
      <c r="Z87" s="868"/>
      <c r="AA87" s="868">
        <f>UnosNovoZaposl!B493</f>
        <v>0</v>
      </c>
      <c r="AB87" s="868"/>
      <c r="AC87" s="868"/>
      <c r="AD87" s="868"/>
      <c r="AE87" s="868"/>
      <c r="AF87" s="868"/>
      <c r="AG87" s="868">
        <f>UnosNovoZaposl!F493</f>
        <v>0</v>
      </c>
      <c r="AH87" s="868"/>
      <c r="AI87" s="868"/>
      <c r="AJ87" s="868"/>
      <c r="AK87" s="868"/>
      <c r="AL87" s="868"/>
      <c r="AM87" s="868">
        <f>UnosNovoZaposl!G493</f>
        <v>0</v>
      </c>
      <c r="AN87" s="868"/>
      <c r="AO87" s="868"/>
      <c r="AP87" s="868"/>
      <c r="AQ87" s="868"/>
      <c r="AR87" s="868"/>
      <c r="AS87" s="868">
        <f t="shared" si="1"/>
        <v>0</v>
      </c>
      <c r="AT87" s="868"/>
      <c r="AU87" s="868"/>
      <c r="AV87" s="868"/>
      <c r="AW87" s="868"/>
      <c r="AX87" s="868"/>
    </row>
    <row r="88" s="687" customFormat="1" ht="15" hidden="1" customHeight="1" spans="1:50">
      <c r="A88" s="745"/>
      <c r="B88" s="754" t="s">
        <v>5955</v>
      </c>
      <c r="C88" s="864">
        <f>UnosNovoZaposl!C494</f>
        <v>0</v>
      </c>
      <c r="D88" s="864"/>
      <c r="E88" s="864"/>
      <c r="F88" s="864"/>
      <c r="G88" s="864"/>
      <c r="H88" s="864"/>
      <c r="I88" s="864"/>
      <c r="J88" s="864"/>
      <c r="K88" s="864"/>
      <c r="L88" s="864"/>
      <c r="M88" s="864"/>
      <c r="N88" s="864">
        <f>UnosNovoZaposl!D494</f>
        <v>0</v>
      </c>
      <c r="O88" s="864"/>
      <c r="P88" s="864"/>
      <c r="Q88" s="864"/>
      <c r="R88" s="864"/>
      <c r="S88" s="864"/>
      <c r="T88" s="864"/>
      <c r="U88" s="868">
        <f>UnosNovoZaposl!E494</f>
        <v>0</v>
      </c>
      <c r="V88" s="868"/>
      <c r="W88" s="868"/>
      <c r="X88" s="868"/>
      <c r="Y88" s="868"/>
      <c r="Z88" s="868"/>
      <c r="AA88" s="868">
        <f>UnosNovoZaposl!B494</f>
        <v>0</v>
      </c>
      <c r="AB88" s="868"/>
      <c r="AC88" s="868"/>
      <c r="AD88" s="868"/>
      <c r="AE88" s="868"/>
      <c r="AF88" s="868"/>
      <c r="AG88" s="868">
        <f>UnosNovoZaposl!F494</f>
        <v>0</v>
      </c>
      <c r="AH88" s="868"/>
      <c r="AI88" s="868"/>
      <c r="AJ88" s="868"/>
      <c r="AK88" s="868"/>
      <c r="AL88" s="868"/>
      <c r="AM88" s="868">
        <f>UnosNovoZaposl!G494</f>
        <v>0</v>
      </c>
      <c r="AN88" s="868"/>
      <c r="AO88" s="868"/>
      <c r="AP88" s="868"/>
      <c r="AQ88" s="868"/>
      <c r="AR88" s="868"/>
      <c r="AS88" s="868">
        <f t="shared" si="1"/>
        <v>0</v>
      </c>
      <c r="AT88" s="868"/>
      <c r="AU88" s="868"/>
      <c r="AV88" s="868"/>
      <c r="AW88" s="868"/>
      <c r="AX88" s="868"/>
    </row>
    <row r="89" s="687" customFormat="1" ht="15" hidden="1" customHeight="1" spans="1:50">
      <c r="A89" s="745"/>
      <c r="B89" s="754" t="s">
        <v>5964</v>
      </c>
      <c r="C89" s="864">
        <f>UnosNovoZaposl!C495</f>
        <v>0</v>
      </c>
      <c r="D89" s="864"/>
      <c r="E89" s="864"/>
      <c r="F89" s="864"/>
      <c r="G89" s="864"/>
      <c r="H89" s="864"/>
      <c r="I89" s="864"/>
      <c r="J89" s="864"/>
      <c r="K89" s="864"/>
      <c r="L89" s="864"/>
      <c r="M89" s="864"/>
      <c r="N89" s="864">
        <f>UnosNovoZaposl!D495</f>
        <v>0</v>
      </c>
      <c r="O89" s="864"/>
      <c r="P89" s="864"/>
      <c r="Q89" s="864"/>
      <c r="R89" s="864"/>
      <c r="S89" s="864"/>
      <c r="T89" s="864"/>
      <c r="U89" s="868">
        <f>UnosNovoZaposl!E495</f>
        <v>0</v>
      </c>
      <c r="V89" s="868"/>
      <c r="W89" s="868"/>
      <c r="X89" s="868"/>
      <c r="Y89" s="868"/>
      <c r="Z89" s="868"/>
      <c r="AA89" s="868">
        <f>UnosNovoZaposl!B495</f>
        <v>0</v>
      </c>
      <c r="AB89" s="868"/>
      <c r="AC89" s="868"/>
      <c r="AD89" s="868"/>
      <c r="AE89" s="868"/>
      <c r="AF89" s="868"/>
      <c r="AG89" s="868">
        <f>UnosNovoZaposl!F495</f>
        <v>0</v>
      </c>
      <c r="AH89" s="868"/>
      <c r="AI89" s="868"/>
      <c r="AJ89" s="868"/>
      <c r="AK89" s="868"/>
      <c r="AL89" s="868"/>
      <c r="AM89" s="868">
        <f>UnosNovoZaposl!G495</f>
        <v>0</v>
      </c>
      <c r="AN89" s="868"/>
      <c r="AO89" s="868"/>
      <c r="AP89" s="868"/>
      <c r="AQ89" s="868"/>
      <c r="AR89" s="868"/>
      <c r="AS89" s="868">
        <f t="shared" si="1"/>
        <v>0</v>
      </c>
      <c r="AT89" s="868"/>
      <c r="AU89" s="868"/>
      <c r="AV89" s="868"/>
      <c r="AW89" s="868"/>
      <c r="AX89" s="868"/>
    </row>
    <row r="90" s="687" customFormat="1" ht="15" hidden="1" customHeight="1" spans="1:50">
      <c r="A90" s="745"/>
      <c r="B90" s="754" t="s">
        <v>5971</v>
      </c>
      <c r="C90" s="864">
        <f>UnosNovoZaposl!C496</f>
        <v>0</v>
      </c>
      <c r="D90" s="864"/>
      <c r="E90" s="864"/>
      <c r="F90" s="864"/>
      <c r="G90" s="864"/>
      <c r="H90" s="864"/>
      <c r="I90" s="864"/>
      <c r="J90" s="864"/>
      <c r="K90" s="864"/>
      <c r="L90" s="864"/>
      <c r="M90" s="864"/>
      <c r="N90" s="864">
        <f>UnosNovoZaposl!D496</f>
        <v>0</v>
      </c>
      <c r="O90" s="864"/>
      <c r="P90" s="864"/>
      <c r="Q90" s="864"/>
      <c r="R90" s="864"/>
      <c r="S90" s="864"/>
      <c r="T90" s="864"/>
      <c r="U90" s="868">
        <f>UnosNovoZaposl!E496</f>
        <v>0</v>
      </c>
      <c r="V90" s="868"/>
      <c r="W90" s="868"/>
      <c r="X90" s="868"/>
      <c r="Y90" s="868"/>
      <c r="Z90" s="868"/>
      <c r="AA90" s="868">
        <f>UnosNovoZaposl!B496</f>
        <v>0</v>
      </c>
      <c r="AB90" s="868"/>
      <c r="AC90" s="868"/>
      <c r="AD90" s="868"/>
      <c r="AE90" s="868"/>
      <c r="AF90" s="868"/>
      <c r="AG90" s="868">
        <f>UnosNovoZaposl!F496</f>
        <v>0</v>
      </c>
      <c r="AH90" s="868"/>
      <c r="AI90" s="868"/>
      <c r="AJ90" s="868"/>
      <c r="AK90" s="868"/>
      <c r="AL90" s="868"/>
      <c r="AM90" s="868">
        <f>UnosNovoZaposl!G496</f>
        <v>0</v>
      </c>
      <c r="AN90" s="868"/>
      <c r="AO90" s="868"/>
      <c r="AP90" s="868"/>
      <c r="AQ90" s="868"/>
      <c r="AR90" s="868"/>
      <c r="AS90" s="868">
        <f t="shared" si="1"/>
        <v>0</v>
      </c>
      <c r="AT90" s="868"/>
      <c r="AU90" s="868"/>
      <c r="AV90" s="868"/>
      <c r="AW90" s="868"/>
      <c r="AX90" s="868"/>
    </row>
    <row r="91" s="687" customFormat="1" ht="15" hidden="1" customHeight="1" spans="1:50">
      <c r="A91" s="745"/>
      <c r="B91" s="754" t="s">
        <v>5973</v>
      </c>
      <c r="C91" s="864">
        <f>UnosNovoZaposl!C497</f>
        <v>0</v>
      </c>
      <c r="D91" s="864"/>
      <c r="E91" s="864"/>
      <c r="F91" s="864"/>
      <c r="G91" s="864"/>
      <c r="H91" s="864"/>
      <c r="I91" s="864"/>
      <c r="J91" s="864"/>
      <c r="K91" s="864"/>
      <c r="L91" s="864"/>
      <c r="M91" s="864"/>
      <c r="N91" s="864">
        <f>UnosNovoZaposl!D497</f>
        <v>0</v>
      </c>
      <c r="O91" s="864"/>
      <c r="P91" s="864"/>
      <c r="Q91" s="864"/>
      <c r="R91" s="864"/>
      <c r="S91" s="864"/>
      <c r="T91" s="864"/>
      <c r="U91" s="868">
        <f>UnosNovoZaposl!E497</f>
        <v>0</v>
      </c>
      <c r="V91" s="868"/>
      <c r="W91" s="868"/>
      <c r="X91" s="868"/>
      <c r="Y91" s="868"/>
      <c r="Z91" s="868"/>
      <c r="AA91" s="868">
        <f>UnosNovoZaposl!B497</f>
        <v>0</v>
      </c>
      <c r="AB91" s="868"/>
      <c r="AC91" s="868"/>
      <c r="AD91" s="868"/>
      <c r="AE91" s="868"/>
      <c r="AF91" s="868"/>
      <c r="AG91" s="868">
        <f>UnosNovoZaposl!F497</f>
        <v>0</v>
      </c>
      <c r="AH91" s="868"/>
      <c r="AI91" s="868"/>
      <c r="AJ91" s="868"/>
      <c r="AK91" s="868"/>
      <c r="AL91" s="868"/>
      <c r="AM91" s="868">
        <f>UnosNovoZaposl!G497</f>
        <v>0</v>
      </c>
      <c r="AN91" s="868"/>
      <c r="AO91" s="868"/>
      <c r="AP91" s="868"/>
      <c r="AQ91" s="868"/>
      <c r="AR91" s="868"/>
      <c r="AS91" s="868">
        <f t="shared" si="1"/>
        <v>0</v>
      </c>
      <c r="AT91" s="868"/>
      <c r="AU91" s="868"/>
      <c r="AV91" s="868"/>
      <c r="AW91" s="868"/>
      <c r="AX91" s="868"/>
    </row>
    <row r="92" s="687" customFormat="1" ht="15" hidden="1" customHeight="1" spans="1:50">
      <c r="A92" s="745"/>
      <c r="B92" s="754" t="s">
        <v>5975</v>
      </c>
      <c r="C92" s="864">
        <f>UnosNovoZaposl!C498</f>
        <v>0</v>
      </c>
      <c r="D92" s="864"/>
      <c r="E92" s="864"/>
      <c r="F92" s="864"/>
      <c r="G92" s="864"/>
      <c r="H92" s="864"/>
      <c r="I92" s="864"/>
      <c r="J92" s="864"/>
      <c r="K92" s="864"/>
      <c r="L92" s="864"/>
      <c r="M92" s="864"/>
      <c r="N92" s="864">
        <f>UnosNovoZaposl!D498</f>
        <v>0</v>
      </c>
      <c r="O92" s="864"/>
      <c r="P92" s="864"/>
      <c r="Q92" s="864"/>
      <c r="R92" s="864"/>
      <c r="S92" s="864"/>
      <c r="T92" s="864"/>
      <c r="U92" s="868">
        <f>UnosNovoZaposl!E498</f>
        <v>0</v>
      </c>
      <c r="V92" s="868"/>
      <c r="W92" s="868"/>
      <c r="X92" s="868"/>
      <c r="Y92" s="868"/>
      <c r="Z92" s="868"/>
      <c r="AA92" s="868">
        <f>UnosNovoZaposl!B498</f>
        <v>0</v>
      </c>
      <c r="AB92" s="868"/>
      <c r="AC92" s="868"/>
      <c r="AD92" s="868"/>
      <c r="AE92" s="868"/>
      <c r="AF92" s="868"/>
      <c r="AG92" s="868">
        <f>UnosNovoZaposl!F498</f>
        <v>0</v>
      </c>
      <c r="AH92" s="868"/>
      <c r="AI92" s="868"/>
      <c r="AJ92" s="868"/>
      <c r="AK92" s="868"/>
      <c r="AL92" s="868"/>
      <c r="AM92" s="868">
        <f>UnosNovoZaposl!G498</f>
        <v>0</v>
      </c>
      <c r="AN92" s="868"/>
      <c r="AO92" s="868"/>
      <c r="AP92" s="868"/>
      <c r="AQ92" s="868"/>
      <c r="AR92" s="868"/>
      <c r="AS92" s="868">
        <f t="shared" si="1"/>
        <v>0</v>
      </c>
      <c r="AT92" s="868"/>
      <c r="AU92" s="868"/>
      <c r="AV92" s="868"/>
      <c r="AW92" s="868"/>
      <c r="AX92" s="868"/>
    </row>
    <row r="93" s="687" customFormat="1" ht="15" hidden="1" customHeight="1" spans="1:50">
      <c r="A93" s="745"/>
      <c r="B93" s="754" t="s">
        <v>5977</v>
      </c>
      <c r="C93" s="864">
        <f>UnosNovoZaposl!C499</f>
        <v>0</v>
      </c>
      <c r="D93" s="864"/>
      <c r="E93" s="864"/>
      <c r="F93" s="864"/>
      <c r="G93" s="864"/>
      <c r="H93" s="864"/>
      <c r="I93" s="864"/>
      <c r="J93" s="864"/>
      <c r="K93" s="864"/>
      <c r="L93" s="864"/>
      <c r="M93" s="864"/>
      <c r="N93" s="864">
        <f>UnosNovoZaposl!D499</f>
        <v>0</v>
      </c>
      <c r="O93" s="864"/>
      <c r="P93" s="864"/>
      <c r="Q93" s="864"/>
      <c r="R93" s="864"/>
      <c r="S93" s="864"/>
      <c r="T93" s="864"/>
      <c r="U93" s="868">
        <f>UnosNovoZaposl!E499</f>
        <v>0</v>
      </c>
      <c r="V93" s="868"/>
      <c r="W93" s="868"/>
      <c r="X93" s="868"/>
      <c r="Y93" s="868"/>
      <c r="Z93" s="868"/>
      <c r="AA93" s="868">
        <f>UnosNovoZaposl!B499</f>
        <v>0</v>
      </c>
      <c r="AB93" s="868"/>
      <c r="AC93" s="868"/>
      <c r="AD93" s="868"/>
      <c r="AE93" s="868"/>
      <c r="AF93" s="868"/>
      <c r="AG93" s="868">
        <f>UnosNovoZaposl!F499</f>
        <v>0</v>
      </c>
      <c r="AH93" s="868"/>
      <c r="AI93" s="868"/>
      <c r="AJ93" s="868"/>
      <c r="AK93" s="868"/>
      <c r="AL93" s="868"/>
      <c r="AM93" s="868">
        <f>UnosNovoZaposl!G499</f>
        <v>0</v>
      </c>
      <c r="AN93" s="868"/>
      <c r="AO93" s="868"/>
      <c r="AP93" s="868"/>
      <c r="AQ93" s="868"/>
      <c r="AR93" s="868"/>
      <c r="AS93" s="868">
        <f t="shared" si="1"/>
        <v>0</v>
      </c>
      <c r="AT93" s="868"/>
      <c r="AU93" s="868"/>
      <c r="AV93" s="868"/>
      <c r="AW93" s="868"/>
      <c r="AX93" s="868"/>
    </row>
    <row r="94" s="687" customFormat="1" ht="15" hidden="1" customHeight="1" spans="1:50">
      <c r="A94" s="745"/>
      <c r="B94" s="754" t="s">
        <v>5979</v>
      </c>
      <c r="C94" s="864">
        <f>UnosNovoZaposl!C500</f>
        <v>0</v>
      </c>
      <c r="D94" s="864"/>
      <c r="E94" s="864"/>
      <c r="F94" s="864"/>
      <c r="G94" s="864"/>
      <c r="H94" s="864"/>
      <c r="I94" s="864"/>
      <c r="J94" s="864"/>
      <c r="K94" s="864"/>
      <c r="L94" s="864"/>
      <c r="M94" s="864"/>
      <c r="N94" s="864">
        <f>UnosNovoZaposl!D500</f>
        <v>0</v>
      </c>
      <c r="O94" s="864"/>
      <c r="P94" s="864"/>
      <c r="Q94" s="864"/>
      <c r="R94" s="864"/>
      <c r="S94" s="864"/>
      <c r="T94" s="864"/>
      <c r="U94" s="868">
        <f>UnosNovoZaposl!E500</f>
        <v>0</v>
      </c>
      <c r="V94" s="868"/>
      <c r="W94" s="868"/>
      <c r="X94" s="868"/>
      <c r="Y94" s="868"/>
      <c r="Z94" s="868"/>
      <c r="AA94" s="868">
        <f>UnosNovoZaposl!B500</f>
        <v>0</v>
      </c>
      <c r="AB94" s="868"/>
      <c r="AC94" s="868"/>
      <c r="AD94" s="868"/>
      <c r="AE94" s="868"/>
      <c r="AF94" s="868"/>
      <c r="AG94" s="868">
        <f>UnosNovoZaposl!F500</f>
        <v>0</v>
      </c>
      <c r="AH94" s="868"/>
      <c r="AI94" s="868"/>
      <c r="AJ94" s="868"/>
      <c r="AK94" s="868"/>
      <c r="AL94" s="868"/>
      <c r="AM94" s="868">
        <f>UnosNovoZaposl!G500</f>
        <v>0</v>
      </c>
      <c r="AN94" s="868"/>
      <c r="AO94" s="868"/>
      <c r="AP94" s="868"/>
      <c r="AQ94" s="868"/>
      <c r="AR94" s="868"/>
      <c r="AS94" s="868">
        <f t="shared" si="1"/>
        <v>0</v>
      </c>
      <c r="AT94" s="868"/>
      <c r="AU94" s="868"/>
      <c r="AV94" s="868"/>
      <c r="AW94" s="868"/>
      <c r="AX94" s="868"/>
    </row>
    <row r="95" s="687" customFormat="1" ht="15" hidden="1" customHeight="1" spans="1:50">
      <c r="A95" s="745"/>
      <c r="B95" s="754" t="s">
        <v>5981</v>
      </c>
      <c r="C95" s="864">
        <f>UnosNovoZaposl!C501</f>
        <v>0</v>
      </c>
      <c r="D95" s="864"/>
      <c r="E95" s="864"/>
      <c r="F95" s="864"/>
      <c r="G95" s="864"/>
      <c r="H95" s="864"/>
      <c r="I95" s="864"/>
      <c r="J95" s="864"/>
      <c r="K95" s="864"/>
      <c r="L95" s="864"/>
      <c r="M95" s="864"/>
      <c r="N95" s="864">
        <f>UnosNovoZaposl!D501</f>
        <v>0</v>
      </c>
      <c r="O95" s="864"/>
      <c r="P95" s="864"/>
      <c r="Q95" s="864"/>
      <c r="R95" s="864"/>
      <c r="S95" s="864"/>
      <c r="T95" s="864"/>
      <c r="U95" s="868">
        <f>UnosNovoZaposl!E501</f>
        <v>0</v>
      </c>
      <c r="V95" s="868"/>
      <c r="W95" s="868"/>
      <c r="X95" s="868"/>
      <c r="Y95" s="868"/>
      <c r="Z95" s="868"/>
      <c r="AA95" s="868">
        <f>UnosNovoZaposl!B501</f>
        <v>0</v>
      </c>
      <c r="AB95" s="868"/>
      <c r="AC95" s="868"/>
      <c r="AD95" s="868"/>
      <c r="AE95" s="868"/>
      <c r="AF95" s="868"/>
      <c r="AG95" s="868">
        <f>UnosNovoZaposl!F501</f>
        <v>0</v>
      </c>
      <c r="AH95" s="868"/>
      <c r="AI95" s="868"/>
      <c r="AJ95" s="868"/>
      <c r="AK95" s="868"/>
      <c r="AL95" s="868"/>
      <c r="AM95" s="868">
        <f>UnosNovoZaposl!G501</f>
        <v>0</v>
      </c>
      <c r="AN95" s="868"/>
      <c r="AO95" s="868"/>
      <c r="AP95" s="868"/>
      <c r="AQ95" s="868"/>
      <c r="AR95" s="868"/>
      <c r="AS95" s="868">
        <f t="shared" si="1"/>
        <v>0</v>
      </c>
      <c r="AT95" s="868"/>
      <c r="AU95" s="868"/>
      <c r="AV95" s="868"/>
      <c r="AW95" s="868"/>
      <c r="AX95" s="868"/>
    </row>
    <row r="96" s="687" customFormat="1" ht="15" hidden="1" customHeight="1" spans="1:50">
      <c r="A96" s="745"/>
      <c r="B96" s="754" t="s">
        <v>6022</v>
      </c>
      <c r="C96" s="864">
        <f>UnosNovoZaposl!C502</f>
        <v>0</v>
      </c>
      <c r="D96" s="864"/>
      <c r="E96" s="864"/>
      <c r="F96" s="864"/>
      <c r="G96" s="864"/>
      <c r="H96" s="864"/>
      <c r="I96" s="864"/>
      <c r="J96" s="864"/>
      <c r="K96" s="864"/>
      <c r="L96" s="864"/>
      <c r="M96" s="864"/>
      <c r="N96" s="864">
        <f>UnosNovoZaposl!D502</f>
        <v>0</v>
      </c>
      <c r="O96" s="864"/>
      <c r="P96" s="864"/>
      <c r="Q96" s="864"/>
      <c r="R96" s="864"/>
      <c r="S96" s="864"/>
      <c r="T96" s="864"/>
      <c r="U96" s="868">
        <f>UnosNovoZaposl!E502</f>
        <v>0</v>
      </c>
      <c r="V96" s="868"/>
      <c r="W96" s="868"/>
      <c r="X96" s="868"/>
      <c r="Y96" s="868"/>
      <c r="Z96" s="868"/>
      <c r="AA96" s="868">
        <f>UnosNovoZaposl!B502</f>
        <v>0</v>
      </c>
      <c r="AB96" s="868"/>
      <c r="AC96" s="868"/>
      <c r="AD96" s="868"/>
      <c r="AE96" s="868"/>
      <c r="AF96" s="868"/>
      <c r="AG96" s="868">
        <f>UnosNovoZaposl!F502</f>
        <v>0</v>
      </c>
      <c r="AH96" s="868"/>
      <c r="AI96" s="868"/>
      <c r="AJ96" s="868"/>
      <c r="AK96" s="868"/>
      <c r="AL96" s="868"/>
      <c r="AM96" s="868">
        <f>UnosNovoZaposl!G502</f>
        <v>0</v>
      </c>
      <c r="AN96" s="868"/>
      <c r="AO96" s="868"/>
      <c r="AP96" s="868"/>
      <c r="AQ96" s="868"/>
      <c r="AR96" s="868"/>
      <c r="AS96" s="868">
        <f t="shared" si="1"/>
        <v>0</v>
      </c>
      <c r="AT96" s="868"/>
      <c r="AU96" s="868"/>
      <c r="AV96" s="868"/>
      <c r="AW96" s="868"/>
      <c r="AX96" s="868"/>
    </row>
    <row r="97" s="687" customFormat="1" ht="15" hidden="1" customHeight="1" spans="1:50">
      <c r="A97" s="745"/>
      <c r="B97" s="754" t="s">
        <v>6023</v>
      </c>
      <c r="C97" s="864">
        <f>UnosNovoZaposl!C503</f>
        <v>0</v>
      </c>
      <c r="D97" s="864"/>
      <c r="E97" s="864"/>
      <c r="F97" s="864"/>
      <c r="G97" s="864"/>
      <c r="H97" s="864"/>
      <c r="I97" s="864"/>
      <c r="J97" s="864"/>
      <c r="K97" s="864"/>
      <c r="L97" s="864"/>
      <c r="M97" s="864"/>
      <c r="N97" s="864">
        <f>UnosNovoZaposl!D503</f>
        <v>0</v>
      </c>
      <c r="O97" s="864"/>
      <c r="P97" s="864"/>
      <c r="Q97" s="864"/>
      <c r="R97" s="864"/>
      <c r="S97" s="864"/>
      <c r="T97" s="864"/>
      <c r="U97" s="868">
        <f>UnosNovoZaposl!E503</f>
        <v>0</v>
      </c>
      <c r="V97" s="868"/>
      <c r="W97" s="868"/>
      <c r="X97" s="868"/>
      <c r="Y97" s="868"/>
      <c r="Z97" s="868"/>
      <c r="AA97" s="868">
        <f>UnosNovoZaposl!B503</f>
        <v>0</v>
      </c>
      <c r="AB97" s="868"/>
      <c r="AC97" s="868"/>
      <c r="AD97" s="868"/>
      <c r="AE97" s="868"/>
      <c r="AF97" s="868"/>
      <c r="AG97" s="868">
        <f>UnosNovoZaposl!F503</f>
        <v>0</v>
      </c>
      <c r="AH97" s="868"/>
      <c r="AI97" s="868"/>
      <c r="AJ97" s="868"/>
      <c r="AK97" s="868"/>
      <c r="AL97" s="868"/>
      <c r="AM97" s="868">
        <f>UnosNovoZaposl!G503</f>
        <v>0</v>
      </c>
      <c r="AN97" s="868"/>
      <c r="AO97" s="868"/>
      <c r="AP97" s="868"/>
      <c r="AQ97" s="868"/>
      <c r="AR97" s="868"/>
      <c r="AS97" s="868">
        <f t="shared" si="1"/>
        <v>0</v>
      </c>
      <c r="AT97" s="868"/>
      <c r="AU97" s="868"/>
      <c r="AV97" s="868"/>
      <c r="AW97" s="868"/>
      <c r="AX97" s="868"/>
    </row>
    <row r="98" s="687" customFormat="1" ht="15" hidden="1" customHeight="1" spans="1:50">
      <c r="A98" s="745"/>
      <c r="B98" s="754" t="s">
        <v>6024</v>
      </c>
      <c r="C98" s="864">
        <f>UnosNovoZaposl!C504</f>
        <v>0</v>
      </c>
      <c r="D98" s="864"/>
      <c r="E98" s="864"/>
      <c r="F98" s="864"/>
      <c r="G98" s="864"/>
      <c r="H98" s="864"/>
      <c r="I98" s="864"/>
      <c r="J98" s="864"/>
      <c r="K98" s="864"/>
      <c r="L98" s="864"/>
      <c r="M98" s="864"/>
      <c r="N98" s="864">
        <f>UnosNovoZaposl!D504</f>
        <v>0</v>
      </c>
      <c r="O98" s="864"/>
      <c r="P98" s="864"/>
      <c r="Q98" s="864"/>
      <c r="R98" s="864"/>
      <c r="S98" s="864"/>
      <c r="T98" s="864"/>
      <c r="U98" s="868">
        <f>UnosNovoZaposl!E504</f>
        <v>0</v>
      </c>
      <c r="V98" s="868"/>
      <c r="W98" s="868"/>
      <c r="X98" s="868"/>
      <c r="Y98" s="868"/>
      <c r="Z98" s="868"/>
      <c r="AA98" s="868">
        <f>UnosNovoZaposl!B504</f>
        <v>0</v>
      </c>
      <c r="AB98" s="868"/>
      <c r="AC98" s="868"/>
      <c r="AD98" s="868"/>
      <c r="AE98" s="868"/>
      <c r="AF98" s="868"/>
      <c r="AG98" s="868">
        <f>UnosNovoZaposl!F504</f>
        <v>0</v>
      </c>
      <c r="AH98" s="868"/>
      <c r="AI98" s="868"/>
      <c r="AJ98" s="868"/>
      <c r="AK98" s="868"/>
      <c r="AL98" s="868"/>
      <c r="AM98" s="868">
        <f>UnosNovoZaposl!G504</f>
        <v>0</v>
      </c>
      <c r="AN98" s="868"/>
      <c r="AO98" s="868"/>
      <c r="AP98" s="868"/>
      <c r="AQ98" s="868"/>
      <c r="AR98" s="868"/>
      <c r="AS98" s="868">
        <f t="shared" si="1"/>
        <v>0</v>
      </c>
      <c r="AT98" s="868"/>
      <c r="AU98" s="868"/>
      <c r="AV98" s="868"/>
      <c r="AW98" s="868"/>
      <c r="AX98" s="868"/>
    </row>
    <row r="99" s="687" customFormat="1" ht="15" hidden="1" customHeight="1" spans="1:50">
      <c r="A99" s="745"/>
      <c r="B99" s="754" t="s">
        <v>6025</v>
      </c>
      <c r="C99" s="864">
        <f>UnosNovoZaposl!C505</f>
        <v>0</v>
      </c>
      <c r="D99" s="864"/>
      <c r="E99" s="864"/>
      <c r="F99" s="864"/>
      <c r="G99" s="864"/>
      <c r="H99" s="864"/>
      <c r="I99" s="864"/>
      <c r="J99" s="864"/>
      <c r="K99" s="864"/>
      <c r="L99" s="864"/>
      <c r="M99" s="864"/>
      <c r="N99" s="864">
        <f>UnosNovoZaposl!D505</f>
        <v>0</v>
      </c>
      <c r="O99" s="864"/>
      <c r="P99" s="864"/>
      <c r="Q99" s="864"/>
      <c r="R99" s="864"/>
      <c r="S99" s="864"/>
      <c r="T99" s="864"/>
      <c r="U99" s="868">
        <f>UnosNovoZaposl!E505</f>
        <v>0</v>
      </c>
      <c r="V99" s="868"/>
      <c r="W99" s="868"/>
      <c r="X99" s="868"/>
      <c r="Y99" s="868"/>
      <c r="Z99" s="868"/>
      <c r="AA99" s="868">
        <f>UnosNovoZaposl!B505</f>
        <v>0</v>
      </c>
      <c r="AB99" s="868"/>
      <c r="AC99" s="868"/>
      <c r="AD99" s="868"/>
      <c r="AE99" s="868"/>
      <c r="AF99" s="868"/>
      <c r="AG99" s="868">
        <f>UnosNovoZaposl!F505</f>
        <v>0</v>
      </c>
      <c r="AH99" s="868"/>
      <c r="AI99" s="868"/>
      <c r="AJ99" s="868"/>
      <c r="AK99" s="868"/>
      <c r="AL99" s="868"/>
      <c r="AM99" s="868">
        <f>UnosNovoZaposl!G505</f>
        <v>0</v>
      </c>
      <c r="AN99" s="868"/>
      <c r="AO99" s="868"/>
      <c r="AP99" s="868"/>
      <c r="AQ99" s="868"/>
      <c r="AR99" s="868"/>
      <c r="AS99" s="868">
        <f t="shared" si="1"/>
        <v>0</v>
      </c>
      <c r="AT99" s="868"/>
      <c r="AU99" s="868"/>
      <c r="AV99" s="868"/>
      <c r="AW99" s="868"/>
      <c r="AX99" s="868"/>
    </row>
    <row r="100" s="687" customFormat="1" ht="15" hidden="1" customHeight="1" spans="1:50">
      <c r="A100" s="745"/>
      <c r="B100" s="754" t="s">
        <v>6026</v>
      </c>
      <c r="C100" s="864">
        <f>UnosNovoZaposl!C506</f>
        <v>0</v>
      </c>
      <c r="D100" s="864"/>
      <c r="E100" s="864"/>
      <c r="F100" s="864"/>
      <c r="G100" s="864"/>
      <c r="H100" s="864"/>
      <c r="I100" s="864"/>
      <c r="J100" s="864"/>
      <c r="K100" s="864"/>
      <c r="L100" s="864"/>
      <c r="M100" s="864"/>
      <c r="N100" s="864">
        <f>UnosNovoZaposl!D506</f>
        <v>0</v>
      </c>
      <c r="O100" s="864"/>
      <c r="P100" s="864"/>
      <c r="Q100" s="864"/>
      <c r="R100" s="864"/>
      <c r="S100" s="864"/>
      <c r="T100" s="864"/>
      <c r="U100" s="868">
        <f>UnosNovoZaposl!E506</f>
        <v>0</v>
      </c>
      <c r="V100" s="868"/>
      <c r="W100" s="868"/>
      <c r="X100" s="868"/>
      <c r="Y100" s="868"/>
      <c r="Z100" s="868"/>
      <c r="AA100" s="868">
        <f>UnosNovoZaposl!B506</f>
        <v>0</v>
      </c>
      <c r="AB100" s="868"/>
      <c r="AC100" s="868"/>
      <c r="AD100" s="868"/>
      <c r="AE100" s="868"/>
      <c r="AF100" s="868"/>
      <c r="AG100" s="868">
        <f>UnosNovoZaposl!F506</f>
        <v>0</v>
      </c>
      <c r="AH100" s="868"/>
      <c r="AI100" s="868"/>
      <c r="AJ100" s="868"/>
      <c r="AK100" s="868"/>
      <c r="AL100" s="868"/>
      <c r="AM100" s="868">
        <f>UnosNovoZaposl!G506</f>
        <v>0</v>
      </c>
      <c r="AN100" s="868"/>
      <c r="AO100" s="868"/>
      <c r="AP100" s="868"/>
      <c r="AQ100" s="868"/>
      <c r="AR100" s="868"/>
      <c r="AS100" s="868">
        <f t="shared" si="1"/>
        <v>0</v>
      </c>
      <c r="AT100" s="868"/>
      <c r="AU100" s="868"/>
      <c r="AV100" s="868"/>
      <c r="AW100" s="868"/>
      <c r="AX100" s="868"/>
    </row>
    <row r="101" s="687" customFormat="1" ht="15" hidden="1" customHeight="1" spans="1:50">
      <c r="A101" s="745"/>
      <c r="B101" s="754" t="s">
        <v>6027</v>
      </c>
      <c r="C101" s="864">
        <f>UnosNovoZaposl!C507</f>
        <v>0</v>
      </c>
      <c r="D101" s="864"/>
      <c r="E101" s="864"/>
      <c r="F101" s="864"/>
      <c r="G101" s="864"/>
      <c r="H101" s="864"/>
      <c r="I101" s="864"/>
      <c r="J101" s="864"/>
      <c r="K101" s="864"/>
      <c r="L101" s="864"/>
      <c r="M101" s="864"/>
      <c r="N101" s="864">
        <f>UnosNovoZaposl!D507</f>
        <v>0</v>
      </c>
      <c r="O101" s="864"/>
      <c r="P101" s="864"/>
      <c r="Q101" s="864"/>
      <c r="R101" s="864"/>
      <c r="S101" s="864"/>
      <c r="T101" s="864"/>
      <c r="U101" s="868">
        <f>UnosNovoZaposl!E507</f>
        <v>0</v>
      </c>
      <c r="V101" s="868"/>
      <c r="W101" s="868"/>
      <c r="X101" s="868"/>
      <c r="Y101" s="868"/>
      <c r="Z101" s="868"/>
      <c r="AA101" s="868">
        <f>UnosNovoZaposl!B507</f>
        <v>0</v>
      </c>
      <c r="AB101" s="868"/>
      <c r="AC101" s="868"/>
      <c r="AD101" s="868"/>
      <c r="AE101" s="868"/>
      <c r="AF101" s="868"/>
      <c r="AG101" s="868">
        <f>UnosNovoZaposl!F507</f>
        <v>0</v>
      </c>
      <c r="AH101" s="868"/>
      <c r="AI101" s="868"/>
      <c r="AJ101" s="868"/>
      <c r="AK101" s="868"/>
      <c r="AL101" s="868"/>
      <c r="AM101" s="868">
        <f>UnosNovoZaposl!G507</f>
        <v>0</v>
      </c>
      <c r="AN101" s="868"/>
      <c r="AO101" s="868"/>
      <c r="AP101" s="868"/>
      <c r="AQ101" s="868"/>
      <c r="AR101" s="868"/>
      <c r="AS101" s="868">
        <f t="shared" si="1"/>
        <v>0</v>
      </c>
      <c r="AT101" s="868"/>
      <c r="AU101" s="868"/>
      <c r="AV101" s="868"/>
      <c r="AW101" s="868"/>
      <c r="AX101" s="868"/>
    </row>
    <row r="102" s="687" customFormat="1" ht="15" hidden="1" customHeight="1" spans="1:50">
      <c r="A102" s="745"/>
      <c r="B102" s="754" t="s">
        <v>6028</v>
      </c>
      <c r="C102" s="864">
        <f>UnosNovoZaposl!C508</f>
        <v>0</v>
      </c>
      <c r="D102" s="864"/>
      <c r="E102" s="864"/>
      <c r="F102" s="864"/>
      <c r="G102" s="864"/>
      <c r="H102" s="864"/>
      <c r="I102" s="864"/>
      <c r="J102" s="864"/>
      <c r="K102" s="864"/>
      <c r="L102" s="864"/>
      <c r="M102" s="864"/>
      <c r="N102" s="864">
        <f>UnosNovoZaposl!D508</f>
        <v>0</v>
      </c>
      <c r="O102" s="864"/>
      <c r="P102" s="864"/>
      <c r="Q102" s="864"/>
      <c r="R102" s="864"/>
      <c r="S102" s="864"/>
      <c r="T102" s="864"/>
      <c r="U102" s="868">
        <f>UnosNovoZaposl!E508</f>
        <v>0</v>
      </c>
      <c r="V102" s="868"/>
      <c r="W102" s="868"/>
      <c r="X102" s="868"/>
      <c r="Y102" s="868"/>
      <c r="Z102" s="868"/>
      <c r="AA102" s="868">
        <f>UnosNovoZaposl!B508</f>
        <v>0</v>
      </c>
      <c r="AB102" s="868"/>
      <c r="AC102" s="868"/>
      <c r="AD102" s="868"/>
      <c r="AE102" s="868"/>
      <c r="AF102" s="868"/>
      <c r="AG102" s="868">
        <f>UnosNovoZaposl!F508</f>
        <v>0</v>
      </c>
      <c r="AH102" s="868"/>
      <c r="AI102" s="868"/>
      <c r="AJ102" s="868"/>
      <c r="AK102" s="868"/>
      <c r="AL102" s="868"/>
      <c r="AM102" s="868">
        <f>UnosNovoZaposl!G508</f>
        <v>0</v>
      </c>
      <c r="AN102" s="868"/>
      <c r="AO102" s="868"/>
      <c r="AP102" s="868"/>
      <c r="AQ102" s="868"/>
      <c r="AR102" s="868"/>
      <c r="AS102" s="868">
        <f t="shared" si="1"/>
        <v>0</v>
      </c>
      <c r="AT102" s="868"/>
      <c r="AU102" s="868"/>
      <c r="AV102" s="868"/>
      <c r="AW102" s="868"/>
      <c r="AX102" s="868"/>
    </row>
    <row r="103" s="687" customFormat="1" ht="15" hidden="1" customHeight="1" spans="1:50">
      <c r="A103" s="745"/>
      <c r="B103" s="754" t="s">
        <v>6029</v>
      </c>
      <c r="C103" s="864">
        <f>UnosNovoZaposl!C509</f>
        <v>0</v>
      </c>
      <c r="D103" s="864"/>
      <c r="E103" s="864"/>
      <c r="F103" s="864"/>
      <c r="G103" s="864"/>
      <c r="H103" s="864"/>
      <c r="I103" s="864"/>
      <c r="J103" s="864"/>
      <c r="K103" s="864"/>
      <c r="L103" s="864"/>
      <c r="M103" s="864"/>
      <c r="N103" s="864">
        <f>UnosNovoZaposl!D509</f>
        <v>0</v>
      </c>
      <c r="O103" s="864"/>
      <c r="P103" s="864"/>
      <c r="Q103" s="864"/>
      <c r="R103" s="864"/>
      <c r="S103" s="864"/>
      <c r="T103" s="864"/>
      <c r="U103" s="868">
        <f>UnosNovoZaposl!E509</f>
        <v>0</v>
      </c>
      <c r="V103" s="868"/>
      <c r="W103" s="868"/>
      <c r="X103" s="868"/>
      <c r="Y103" s="868"/>
      <c r="Z103" s="868"/>
      <c r="AA103" s="868">
        <f>UnosNovoZaposl!B509</f>
        <v>0</v>
      </c>
      <c r="AB103" s="868"/>
      <c r="AC103" s="868"/>
      <c r="AD103" s="868"/>
      <c r="AE103" s="868"/>
      <c r="AF103" s="868"/>
      <c r="AG103" s="868">
        <f>UnosNovoZaposl!F509</f>
        <v>0</v>
      </c>
      <c r="AH103" s="868"/>
      <c r="AI103" s="868"/>
      <c r="AJ103" s="868"/>
      <c r="AK103" s="868"/>
      <c r="AL103" s="868"/>
      <c r="AM103" s="868">
        <f>UnosNovoZaposl!G509</f>
        <v>0</v>
      </c>
      <c r="AN103" s="868"/>
      <c r="AO103" s="868"/>
      <c r="AP103" s="868"/>
      <c r="AQ103" s="868"/>
      <c r="AR103" s="868"/>
      <c r="AS103" s="868">
        <f t="shared" si="1"/>
        <v>0</v>
      </c>
      <c r="AT103" s="868"/>
      <c r="AU103" s="868"/>
      <c r="AV103" s="868"/>
      <c r="AW103" s="868"/>
      <c r="AX103" s="868"/>
    </row>
    <row r="104" s="687" customFormat="1" ht="15" hidden="1" customHeight="1" spans="1:50">
      <c r="A104" s="745"/>
      <c r="B104" s="754" t="s">
        <v>6030</v>
      </c>
      <c r="C104" s="864">
        <f>UnosNovoZaposl!C510</f>
        <v>0</v>
      </c>
      <c r="D104" s="864"/>
      <c r="E104" s="864"/>
      <c r="F104" s="864"/>
      <c r="G104" s="864"/>
      <c r="H104" s="864"/>
      <c r="I104" s="864"/>
      <c r="J104" s="864"/>
      <c r="K104" s="864"/>
      <c r="L104" s="864"/>
      <c r="M104" s="864"/>
      <c r="N104" s="864">
        <f>UnosNovoZaposl!D510</f>
        <v>0</v>
      </c>
      <c r="O104" s="864"/>
      <c r="P104" s="864"/>
      <c r="Q104" s="864"/>
      <c r="R104" s="864"/>
      <c r="S104" s="864"/>
      <c r="T104" s="864"/>
      <c r="U104" s="868">
        <f>UnosNovoZaposl!E510</f>
        <v>0</v>
      </c>
      <c r="V104" s="868"/>
      <c r="W104" s="868"/>
      <c r="X104" s="868"/>
      <c r="Y104" s="868"/>
      <c r="Z104" s="868"/>
      <c r="AA104" s="868">
        <f>UnosNovoZaposl!B510</f>
        <v>0</v>
      </c>
      <c r="AB104" s="868"/>
      <c r="AC104" s="868"/>
      <c r="AD104" s="868"/>
      <c r="AE104" s="868"/>
      <c r="AF104" s="868"/>
      <c r="AG104" s="868">
        <f>UnosNovoZaposl!F510</f>
        <v>0</v>
      </c>
      <c r="AH104" s="868"/>
      <c r="AI104" s="868"/>
      <c r="AJ104" s="868"/>
      <c r="AK104" s="868"/>
      <c r="AL104" s="868"/>
      <c r="AM104" s="868">
        <f>UnosNovoZaposl!G510</f>
        <v>0</v>
      </c>
      <c r="AN104" s="868"/>
      <c r="AO104" s="868"/>
      <c r="AP104" s="868"/>
      <c r="AQ104" s="868"/>
      <c r="AR104" s="868"/>
      <c r="AS104" s="868">
        <f t="shared" si="1"/>
        <v>0</v>
      </c>
      <c r="AT104" s="868"/>
      <c r="AU104" s="868"/>
      <c r="AV104" s="868"/>
      <c r="AW104" s="868"/>
      <c r="AX104" s="868"/>
    </row>
    <row r="105" s="687" customFormat="1" ht="15" hidden="1" customHeight="1" spans="1:50">
      <c r="A105" s="745"/>
      <c r="B105" s="754" t="s">
        <v>6031</v>
      </c>
      <c r="C105" s="864">
        <f>UnosNovoZaposl!C511</f>
        <v>0</v>
      </c>
      <c r="D105" s="864"/>
      <c r="E105" s="864"/>
      <c r="F105" s="864"/>
      <c r="G105" s="864"/>
      <c r="H105" s="864"/>
      <c r="I105" s="864"/>
      <c r="J105" s="864"/>
      <c r="K105" s="864"/>
      <c r="L105" s="864"/>
      <c r="M105" s="864"/>
      <c r="N105" s="864">
        <f>UnosNovoZaposl!D511</f>
        <v>0</v>
      </c>
      <c r="O105" s="864"/>
      <c r="P105" s="864"/>
      <c r="Q105" s="864"/>
      <c r="R105" s="864"/>
      <c r="S105" s="864"/>
      <c r="T105" s="864"/>
      <c r="U105" s="868">
        <f>UnosNovoZaposl!E511</f>
        <v>0</v>
      </c>
      <c r="V105" s="868"/>
      <c r="W105" s="868"/>
      <c r="X105" s="868"/>
      <c r="Y105" s="868"/>
      <c r="Z105" s="868"/>
      <c r="AA105" s="868">
        <f>UnosNovoZaposl!B511</f>
        <v>0</v>
      </c>
      <c r="AB105" s="868"/>
      <c r="AC105" s="868"/>
      <c r="AD105" s="868"/>
      <c r="AE105" s="868"/>
      <c r="AF105" s="868"/>
      <c r="AG105" s="868">
        <f>UnosNovoZaposl!F511</f>
        <v>0</v>
      </c>
      <c r="AH105" s="868"/>
      <c r="AI105" s="868"/>
      <c r="AJ105" s="868"/>
      <c r="AK105" s="868"/>
      <c r="AL105" s="868"/>
      <c r="AM105" s="868">
        <f>UnosNovoZaposl!G511</f>
        <v>0</v>
      </c>
      <c r="AN105" s="868"/>
      <c r="AO105" s="868"/>
      <c r="AP105" s="868"/>
      <c r="AQ105" s="868"/>
      <c r="AR105" s="868"/>
      <c r="AS105" s="868">
        <f t="shared" si="1"/>
        <v>0</v>
      </c>
      <c r="AT105" s="868"/>
      <c r="AU105" s="868"/>
      <c r="AV105" s="868"/>
      <c r="AW105" s="868"/>
      <c r="AX105" s="868"/>
    </row>
    <row r="106" s="687" customFormat="1" ht="15" hidden="1" customHeight="1" spans="1:50">
      <c r="A106" s="745"/>
      <c r="B106" s="754" t="s">
        <v>6032</v>
      </c>
      <c r="C106" s="864">
        <f>UnosNovoZaposl!C512</f>
        <v>0</v>
      </c>
      <c r="D106" s="864"/>
      <c r="E106" s="864"/>
      <c r="F106" s="864"/>
      <c r="G106" s="864"/>
      <c r="H106" s="864"/>
      <c r="I106" s="864"/>
      <c r="J106" s="864"/>
      <c r="K106" s="864"/>
      <c r="L106" s="864"/>
      <c r="M106" s="864"/>
      <c r="N106" s="864">
        <f>UnosNovoZaposl!D512</f>
        <v>0</v>
      </c>
      <c r="O106" s="864"/>
      <c r="P106" s="864"/>
      <c r="Q106" s="864"/>
      <c r="R106" s="864"/>
      <c r="S106" s="864"/>
      <c r="T106" s="864"/>
      <c r="U106" s="868">
        <f>UnosNovoZaposl!E512</f>
        <v>0</v>
      </c>
      <c r="V106" s="868"/>
      <c r="W106" s="868"/>
      <c r="X106" s="868"/>
      <c r="Y106" s="868"/>
      <c r="Z106" s="868"/>
      <c r="AA106" s="868">
        <f>UnosNovoZaposl!B512</f>
        <v>0</v>
      </c>
      <c r="AB106" s="868"/>
      <c r="AC106" s="868"/>
      <c r="AD106" s="868"/>
      <c r="AE106" s="868"/>
      <c r="AF106" s="868"/>
      <c r="AG106" s="868">
        <f>UnosNovoZaposl!F512</f>
        <v>0</v>
      </c>
      <c r="AH106" s="868"/>
      <c r="AI106" s="868"/>
      <c r="AJ106" s="868"/>
      <c r="AK106" s="868"/>
      <c r="AL106" s="868"/>
      <c r="AM106" s="868">
        <f>UnosNovoZaposl!G512</f>
        <v>0</v>
      </c>
      <c r="AN106" s="868"/>
      <c r="AO106" s="868"/>
      <c r="AP106" s="868"/>
      <c r="AQ106" s="868"/>
      <c r="AR106" s="868"/>
      <c r="AS106" s="868">
        <f t="shared" si="1"/>
        <v>0</v>
      </c>
      <c r="AT106" s="868"/>
      <c r="AU106" s="868"/>
      <c r="AV106" s="868"/>
      <c r="AW106" s="868"/>
      <c r="AX106" s="868"/>
    </row>
    <row r="107" s="687" customFormat="1" ht="15" hidden="1" customHeight="1" spans="1:50">
      <c r="A107" s="745"/>
      <c r="B107" s="754" t="s">
        <v>6033</v>
      </c>
      <c r="C107" s="864">
        <f>UnosNovoZaposl!C513</f>
        <v>0</v>
      </c>
      <c r="D107" s="864"/>
      <c r="E107" s="864"/>
      <c r="F107" s="864"/>
      <c r="G107" s="864"/>
      <c r="H107" s="864"/>
      <c r="I107" s="864"/>
      <c r="J107" s="864"/>
      <c r="K107" s="864"/>
      <c r="L107" s="864"/>
      <c r="M107" s="864"/>
      <c r="N107" s="864">
        <f>UnosNovoZaposl!D513</f>
        <v>0</v>
      </c>
      <c r="O107" s="864"/>
      <c r="P107" s="864"/>
      <c r="Q107" s="864"/>
      <c r="R107" s="864"/>
      <c r="S107" s="864"/>
      <c r="T107" s="864"/>
      <c r="U107" s="868">
        <f>UnosNovoZaposl!E513</f>
        <v>0</v>
      </c>
      <c r="V107" s="868"/>
      <c r="W107" s="868"/>
      <c r="X107" s="868"/>
      <c r="Y107" s="868"/>
      <c r="Z107" s="868"/>
      <c r="AA107" s="868">
        <f>UnosNovoZaposl!B513</f>
        <v>0</v>
      </c>
      <c r="AB107" s="868"/>
      <c r="AC107" s="868"/>
      <c r="AD107" s="868"/>
      <c r="AE107" s="868"/>
      <c r="AF107" s="868"/>
      <c r="AG107" s="868">
        <f>UnosNovoZaposl!F513</f>
        <v>0</v>
      </c>
      <c r="AH107" s="868"/>
      <c r="AI107" s="868"/>
      <c r="AJ107" s="868"/>
      <c r="AK107" s="868"/>
      <c r="AL107" s="868"/>
      <c r="AM107" s="868">
        <f>UnosNovoZaposl!G513</f>
        <v>0</v>
      </c>
      <c r="AN107" s="868"/>
      <c r="AO107" s="868"/>
      <c r="AP107" s="868"/>
      <c r="AQ107" s="868"/>
      <c r="AR107" s="868"/>
      <c r="AS107" s="868">
        <f t="shared" si="1"/>
        <v>0</v>
      </c>
      <c r="AT107" s="868"/>
      <c r="AU107" s="868"/>
      <c r="AV107" s="868"/>
      <c r="AW107" s="868"/>
      <c r="AX107" s="868"/>
    </row>
    <row r="108" s="687" customFormat="1" ht="15" hidden="1" customHeight="1" spans="1:50">
      <c r="A108" s="745"/>
      <c r="B108" s="754" t="s">
        <v>6034</v>
      </c>
      <c r="C108" s="864">
        <f>UnosNovoZaposl!C514</f>
        <v>0</v>
      </c>
      <c r="D108" s="864"/>
      <c r="E108" s="864"/>
      <c r="F108" s="864"/>
      <c r="G108" s="864"/>
      <c r="H108" s="864"/>
      <c r="I108" s="864"/>
      <c r="J108" s="864"/>
      <c r="K108" s="864"/>
      <c r="L108" s="864"/>
      <c r="M108" s="864"/>
      <c r="N108" s="864">
        <f>UnosNovoZaposl!D514</f>
        <v>0</v>
      </c>
      <c r="O108" s="864"/>
      <c r="P108" s="864"/>
      <c r="Q108" s="864"/>
      <c r="R108" s="864"/>
      <c r="S108" s="864"/>
      <c r="T108" s="864"/>
      <c r="U108" s="868">
        <f>UnosNovoZaposl!E514</f>
        <v>0</v>
      </c>
      <c r="V108" s="868"/>
      <c r="W108" s="868"/>
      <c r="X108" s="868"/>
      <c r="Y108" s="868"/>
      <c r="Z108" s="868"/>
      <c r="AA108" s="868">
        <f>UnosNovoZaposl!B514</f>
        <v>0</v>
      </c>
      <c r="AB108" s="868"/>
      <c r="AC108" s="868"/>
      <c r="AD108" s="868"/>
      <c r="AE108" s="868"/>
      <c r="AF108" s="868"/>
      <c r="AG108" s="868">
        <f>UnosNovoZaposl!F514</f>
        <v>0</v>
      </c>
      <c r="AH108" s="868"/>
      <c r="AI108" s="868"/>
      <c r="AJ108" s="868"/>
      <c r="AK108" s="868"/>
      <c r="AL108" s="868"/>
      <c r="AM108" s="868">
        <f>UnosNovoZaposl!G514</f>
        <v>0</v>
      </c>
      <c r="AN108" s="868"/>
      <c r="AO108" s="868"/>
      <c r="AP108" s="868"/>
      <c r="AQ108" s="868"/>
      <c r="AR108" s="868"/>
      <c r="AS108" s="868">
        <f t="shared" ref="AS108:AS171" si="2">AG108+AM108</f>
        <v>0</v>
      </c>
      <c r="AT108" s="868"/>
      <c r="AU108" s="868"/>
      <c r="AV108" s="868"/>
      <c r="AW108" s="868"/>
      <c r="AX108" s="868"/>
    </row>
    <row r="109" s="687" customFormat="1" ht="15" hidden="1" customHeight="1" spans="1:50">
      <c r="A109" s="745"/>
      <c r="B109" s="754" t="s">
        <v>6035</v>
      </c>
      <c r="C109" s="864">
        <f>UnosNovoZaposl!C515</f>
        <v>0</v>
      </c>
      <c r="D109" s="864"/>
      <c r="E109" s="864"/>
      <c r="F109" s="864"/>
      <c r="G109" s="864"/>
      <c r="H109" s="864"/>
      <c r="I109" s="864"/>
      <c r="J109" s="864"/>
      <c r="K109" s="864"/>
      <c r="L109" s="864"/>
      <c r="M109" s="864"/>
      <c r="N109" s="864">
        <f>UnosNovoZaposl!D515</f>
        <v>0</v>
      </c>
      <c r="O109" s="864"/>
      <c r="P109" s="864"/>
      <c r="Q109" s="864"/>
      <c r="R109" s="864"/>
      <c r="S109" s="864"/>
      <c r="T109" s="864"/>
      <c r="U109" s="868">
        <f>UnosNovoZaposl!E515</f>
        <v>0</v>
      </c>
      <c r="V109" s="868"/>
      <c r="W109" s="868"/>
      <c r="X109" s="868"/>
      <c r="Y109" s="868"/>
      <c r="Z109" s="868"/>
      <c r="AA109" s="868">
        <f>UnosNovoZaposl!B515</f>
        <v>0</v>
      </c>
      <c r="AB109" s="868"/>
      <c r="AC109" s="868"/>
      <c r="AD109" s="868"/>
      <c r="AE109" s="868"/>
      <c r="AF109" s="868"/>
      <c r="AG109" s="868">
        <f>UnosNovoZaposl!F515</f>
        <v>0</v>
      </c>
      <c r="AH109" s="868"/>
      <c r="AI109" s="868"/>
      <c r="AJ109" s="868"/>
      <c r="AK109" s="868"/>
      <c r="AL109" s="868"/>
      <c r="AM109" s="868">
        <f>UnosNovoZaposl!G515</f>
        <v>0</v>
      </c>
      <c r="AN109" s="868"/>
      <c r="AO109" s="868"/>
      <c r="AP109" s="868"/>
      <c r="AQ109" s="868"/>
      <c r="AR109" s="868"/>
      <c r="AS109" s="868">
        <f t="shared" si="2"/>
        <v>0</v>
      </c>
      <c r="AT109" s="868"/>
      <c r="AU109" s="868"/>
      <c r="AV109" s="868"/>
      <c r="AW109" s="868"/>
      <c r="AX109" s="868"/>
    </row>
    <row r="110" s="687" customFormat="1" ht="15" hidden="1" customHeight="1" spans="1:50">
      <c r="A110" s="745"/>
      <c r="B110" s="754" t="s">
        <v>6036</v>
      </c>
      <c r="C110" s="864">
        <f>UnosNovoZaposl!C516</f>
        <v>0</v>
      </c>
      <c r="D110" s="864"/>
      <c r="E110" s="864"/>
      <c r="F110" s="864"/>
      <c r="G110" s="864"/>
      <c r="H110" s="864"/>
      <c r="I110" s="864"/>
      <c r="J110" s="864"/>
      <c r="K110" s="864"/>
      <c r="L110" s="864"/>
      <c r="M110" s="864"/>
      <c r="N110" s="864">
        <f>UnosNovoZaposl!D516</f>
        <v>0</v>
      </c>
      <c r="O110" s="864"/>
      <c r="P110" s="864"/>
      <c r="Q110" s="864"/>
      <c r="R110" s="864"/>
      <c r="S110" s="864"/>
      <c r="T110" s="864"/>
      <c r="U110" s="868">
        <f>UnosNovoZaposl!E516</f>
        <v>0</v>
      </c>
      <c r="V110" s="868"/>
      <c r="W110" s="868"/>
      <c r="X110" s="868"/>
      <c r="Y110" s="868"/>
      <c r="Z110" s="868"/>
      <c r="AA110" s="868">
        <f>UnosNovoZaposl!B516</f>
        <v>0</v>
      </c>
      <c r="AB110" s="868"/>
      <c r="AC110" s="868"/>
      <c r="AD110" s="868"/>
      <c r="AE110" s="868"/>
      <c r="AF110" s="868"/>
      <c r="AG110" s="868">
        <f>UnosNovoZaposl!F516</f>
        <v>0</v>
      </c>
      <c r="AH110" s="868"/>
      <c r="AI110" s="868"/>
      <c r="AJ110" s="868"/>
      <c r="AK110" s="868"/>
      <c r="AL110" s="868"/>
      <c r="AM110" s="868">
        <f>UnosNovoZaposl!G516</f>
        <v>0</v>
      </c>
      <c r="AN110" s="868"/>
      <c r="AO110" s="868"/>
      <c r="AP110" s="868"/>
      <c r="AQ110" s="868"/>
      <c r="AR110" s="868"/>
      <c r="AS110" s="868">
        <f t="shared" si="2"/>
        <v>0</v>
      </c>
      <c r="AT110" s="868"/>
      <c r="AU110" s="868"/>
      <c r="AV110" s="868"/>
      <c r="AW110" s="868"/>
      <c r="AX110" s="868"/>
    </row>
    <row r="111" s="687" customFormat="1" ht="15" hidden="1" customHeight="1" spans="1:50">
      <c r="A111" s="745"/>
      <c r="B111" s="754" t="s">
        <v>6037</v>
      </c>
      <c r="C111" s="864">
        <f>UnosNovoZaposl!C517</f>
        <v>0</v>
      </c>
      <c r="D111" s="864"/>
      <c r="E111" s="864"/>
      <c r="F111" s="864"/>
      <c r="G111" s="864"/>
      <c r="H111" s="864"/>
      <c r="I111" s="864"/>
      <c r="J111" s="864"/>
      <c r="K111" s="864"/>
      <c r="L111" s="864"/>
      <c r="M111" s="864"/>
      <c r="N111" s="864">
        <f>UnosNovoZaposl!D517</f>
        <v>0</v>
      </c>
      <c r="O111" s="864"/>
      <c r="P111" s="864"/>
      <c r="Q111" s="864"/>
      <c r="R111" s="864"/>
      <c r="S111" s="864"/>
      <c r="T111" s="864"/>
      <c r="U111" s="868">
        <f>UnosNovoZaposl!E517</f>
        <v>0</v>
      </c>
      <c r="V111" s="868"/>
      <c r="W111" s="868"/>
      <c r="X111" s="868"/>
      <c r="Y111" s="868"/>
      <c r="Z111" s="868"/>
      <c r="AA111" s="868">
        <f>UnosNovoZaposl!B517</f>
        <v>0</v>
      </c>
      <c r="AB111" s="868"/>
      <c r="AC111" s="868"/>
      <c r="AD111" s="868"/>
      <c r="AE111" s="868"/>
      <c r="AF111" s="868"/>
      <c r="AG111" s="868">
        <f>UnosNovoZaposl!F517</f>
        <v>0</v>
      </c>
      <c r="AH111" s="868"/>
      <c r="AI111" s="868"/>
      <c r="AJ111" s="868"/>
      <c r="AK111" s="868"/>
      <c r="AL111" s="868"/>
      <c r="AM111" s="868">
        <f>UnosNovoZaposl!G517</f>
        <v>0</v>
      </c>
      <c r="AN111" s="868"/>
      <c r="AO111" s="868"/>
      <c r="AP111" s="868"/>
      <c r="AQ111" s="868"/>
      <c r="AR111" s="868"/>
      <c r="AS111" s="868">
        <f t="shared" si="2"/>
        <v>0</v>
      </c>
      <c r="AT111" s="868"/>
      <c r="AU111" s="868"/>
      <c r="AV111" s="868"/>
      <c r="AW111" s="868"/>
      <c r="AX111" s="868"/>
    </row>
    <row r="112" s="687" customFormat="1" ht="15" hidden="1" customHeight="1" spans="1:50">
      <c r="A112" s="745"/>
      <c r="B112" s="754" t="s">
        <v>6038</v>
      </c>
      <c r="C112" s="864">
        <f>UnosNovoZaposl!C518</f>
        <v>0</v>
      </c>
      <c r="D112" s="864"/>
      <c r="E112" s="864"/>
      <c r="F112" s="864"/>
      <c r="G112" s="864"/>
      <c r="H112" s="864"/>
      <c r="I112" s="864"/>
      <c r="J112" s="864"/>
      <c r="K112" s="864"/>
      <c r="L112" s="864"/>
      <c r="M112" s="864"/>
      <c r="N112" s="864">
        <f>UnosNovoZaposl!D518</f>
        <v>0</v>
      </c>
      <c r="O112" s="864"/>
      <c r="P112" s="864"/>
      <c r="Q112" s="864"/>
      <c r="R112" s="864"/>
      <c r="S112" s="864"/>
      <c r="T112" s="864"/>
      <c r="U112" s="868">
        <f>UnosNovoZaposl!E518</f>
        <v>0</v>
      </c>
      <c r="V112" s="868"/>
      <c r="W112" s="868"/>
      <c r="X112" s="868"/>
      <c r="Y112" s="868"/>
      <c r="Z112" s="868"/>
      <c r="AA112" s="868">
        <f>UnosNovoZaposl!B518</f>
        <v>0</v>
      </c>
      <c r="AB112" s="868"/>
      <c r="AC112" s="868"/>
      <c r="AD112" s="868"/>
      <c r="AE112" s="868"/>
      <c r="AF112" s="868"/>
      <c r="AG112" s="868">
        <f>UnosNovoZaposl!F518</f>
        <v>0</v>
      </c>
      <c r="AH112" s="868"/>
      <c r="AI112" s="868"/>
      <c r="AJ112" s="868"/>
      <c r="AK112" s="868"/>
      <c r="AL112" s="868"/>
      <c r="AM112" s="868">
        <f>UnosNovoZaposl!G518</f>
        <v>0</v>
      </c>
      <c r="AN112" s="868"/>
      <c r="AO112" s="868"/>
      <c r="AP112" s="868"/>
      <c r="AQ112" s="868"/>
      <c r="AR112" s="868"/>
      <c r="AS112" s="868">
        <f t="shared" si="2"/>
        <v>0</v>
      </c>
      <c r="AT112" s="868"/>
      <c r="AU112" s="868"/>
      <c r="AV112" s="868"/>
      <c r="AW112" s="868"/>
      <c r="AX112" s="868"/>
    </row>
    <row r="113" s="687" customFormat="1" ht="15" hidden="1" customHeight="1" spans="1:50">
      <c r="A113" s="745"/>
      <c r="B113" s="754" t="s">
        <v>6379</v>
      </c>
      <c r="C113" s="864">
        <f>UnosNovoZaposl!C519</f>
        <v>0</v>
      </c>
      <c r="D113" s="864"/>
      <c r="E113" s="864"/>
      <c r="F113" s="864"/>
      <c r="G113" s="864"/>
      <c r="H113" s="864"/>
      <c r="I113" s="864"/>
      <c r="J113" s="864"/>
      <c r="K113" s="864"/>
      <c r="L113" s="864"/>
      <c r="M113" s="864"/>
      <c r="N113" s="864">
        <f>UnosNovoZaposl!D519</f>
        <v>0</v>
      </c>
      <c r="O113" s="864"/>
      <c r="P113" s="864"/>
      <c r="Q113" s="864"/>
      <c r="R113" s="864"/>
      <c r="S113" s="864"/>
      <c r="T113" s="864"/>
      <c r="U113" s="868">
        <f>UnosNovoZaposl!E519</f>
        <v>0</v>
      </c>
      <c r="V113" s="868"/>
      <c r="W113" s="868"/>
      <c r="X113" s="868"/>
      <c r="Y113" s="868"/>
      <c r="Z113" s="868"/>
      <c r="AA113" s="868">
        <f>UnosNovoZaposl!B519</f>
        <v>0</v>
      </c>
      <c r="AB113" s="868"/>
      <c r="AC113" s="868"/>
      <c r="AD113" s="868"/>
      <c r="AE113" s="868"/>
      <c r="AF113" s="868"/>
      <c r="AG113" s="868">
        <f>UnosNovoZaposl!F519</f>
        <v>0</v>
      </c>
      <c r="AH113" s="868"/>
      <c r="AI113" s="868"/>
      <c r="AJ113" s="868"/>
      <c r="AK113" s="868"/>
      <c r="AL113" s="868"/>
      <c r="AM113" s="868">
        <f>UnosNovoZaposl!G519</f>
        <v>0</v>
      </c>
      <c r="AN113" s="868"/>
      <c r="AO113" s="868"/>
      <c r="AP113" s="868"/>
      <c r="AQ113" s="868"/>
      <c r="AR113" s="868"/>
      <c r="AS113" s="868">
        <f t="shared" si="2"/>
        <v>0</v>
      </c>
      <c r="AT113" s="868"/>
      <c r="AU113" s="868"/>
      <c r="AV113" s="868"/>
      <c r="AW113" s="868"/>
      <c r="AX113" s="868"/>
    </row>
    <row r="114" s="687" customFormat="1" ht="15" hidden="1" customHeight="1" spans="1:50">
      <c r="A114" s="745"/>
      <c r="B114" s="754" t="s">
        <v>6380</v>
      </c>
      <c r="C114" s="864">
        <f>UnosNovoZaposl!C520</f>
        <v>0</v>
      </c>
      <c r="D114" s="864"/>
      <c r="E114" s="864"/>
      <c r="F114" s="864"/>
      <c r="G114" s="864"/>
      <c r="H114" s="864"/>
      <c r="I114" s="864"/>
      <c r="J114" s="864"/>
      <c r="K114" s="864"/>
      <c r="L114" s="864"/>
      <c r="M114" s="864"/>
      <c r="N114" s="864">
        <f>UnosNovoZaposl!D520</f>
        <v>0</v>
      </c>
      <c r="O114" s="864"/>
      <c r="P114" s="864"/>
      <c r="Q114" s="864"/>
      <c r="R114" s="864"/>
      <c r="S114" s="864"/>
      <c r="T114" s="864"/>
      <c r="U114" s="868">
        <f>UnosNovoZaposl!E520</f>
        <v>0</v>
      </c>
      <c r="V114" s="868"/>
      <c r="W114" s="868"/>
      <c r="X114" s="868"/>
      <c r="Y114" s="868"/>
      <c r="Z114" s="868"/>
      <c r="AA114" s="868">
        <f>UnosNovoZaposl!B520</f>
        <v>0</v>
      </c>
      <c r="AB114" s="868"/>
      <c r="AC114" s="868"/>
      <c r="AD114" s="868"/>
      <c r="AE114" s="868"/>
      <c r="AF114" s="868"/>
      <c r="AG114" s="868">
        <f>UnosNovoZaposl!F520</f>
        <v>0</v>
      </c>
      <c r="AH114" s="868"/>
      <c r="AI114" s="868"/>
      <c r="AJ114" s="868"/>
      <c r="AK114" s="868"/>
      <c r="AL114" s="868"/>
      <c r="AM114" s="868">
        <f>UnosNovoZaposl!G520</f>
        <v>0</v>
      </c>
      <c r="AN114" s="868"/>
      <c r="AO114" s="868"/>
      <c r="AP114" s="868"/>
      <c r="AQ114" s="868"/>
      <c r="AR114" s="868"/>
      <c r="AS114" s="868">
        <f t="shared" si="2"/>
        <v>0</v>
      </c>
      <c r="AT114" s="868"/>
      <c r="AU114" s="868"/>
      <c r="AV114" s="868"/>
      <c r="AW114" s="868"/>
      <c r="AX114" s="868"/>
    </row>
    <row r="115" s="687" customFormat="1" ht="15" hidden="1" customHeight="1" spans="1:50">
      <c r="A115" s="745"/>
      <c r="B115" s="754" t="s">
        <v>6381</v>
      </c>
      <c r="C115" s="864">
        <f>UnosNovoZaposl!C521</f>
        <v>0</v>
      </c>
      <c r="D115" s="864"/>
      <c r="E115" s="864"/>
      <c r="F115" s="864"/>
      <c r="G115" s="864"/>
      <c r="H115" s="864"/>
      <c r="I115" s="864"/>
      <c r="J115" s="864"/>
      <c r="K115" s="864"/>
      <c r="L115" s="864"/>
      <c r="M115" s="864"/>
      <c r="N115" s="864">
        <f>UnosNovoZaposl!D521</f>
        <v>0</v>
      </c>
      <c r="O115" s="864"/>
      <c r="P115" s="864"/>
      <c r="Q115" s="864"/>
      <c r="R115" s="864"/>
      <c r="S115" s="864"/>
      <c r="T115" s="864"/>
      <c r="U115" s="868">
        <f>UnosNovoZaposl!E521</f>
        <v>0</v>
      </c>
      <c r="V115" s="868"/>
      <c r="W115" s="868"/>
      <c r="X115" s="868"/>
      <c r="Y115" s="868"/>
      <c r="Z115" s="868"/>
      <c r="AA115" s="868">
        <f>UnosNovoZaposl!B521</f>
        <v>0</v>
      </c>
      <c r="AB115" s="868"/>
      <c r="AC115" s="868"/>
      <c r="AD115" s="868"/>
      <c r="AE115" s="868"/>
      <c r="AF115" s="868"/>
      <c r="AG115" s="868">
        <f>UnosNovoZaposl!F521</f>
        <v>0</v>
      </c>
      <c r="AH115" s="868"/>
      <c r="AI115" s="868"/>
      <c r="AJ115" s="868"/>
      <c r="AK115" s="868"/>
      <c r="AL115" s="868"/>
      <c r="AM115" s="868">
        <f>UnosNovoZaposl!G521</f>
        <v>0</v>
      </c>
      <c r="AN115" s="868"/>
      <c r="AO115" s="868"/>
      <c r="AP115" s="868"/>
      <c r="AQ115" s="868"/>
      <c r="AR115" s="868"/>
      <c r="AS115" s="868">
        <f t="shared" si="2"/>
        <v>0</v>
      </c>
      <c r="AT115" s="868"/>
      <c r="AU115" s="868"/>
      <c r="AV115" s="868"/>
      <c r="AW115" s="868"/>
      <c r="AX115" s="868"/>
    </row>
    <row r="116" s="687" customFormat="1" ht="15" hidden="1" customHeight="1" spans="1:50">
      <c r="A116" s="745"/>
      <c r="B116" s="754" t="s">
        <v>6382</v>
      </c>
      <c r="C116" s="864">
        <f>UnosNovoZaposl!C522</f>
        <v>0</v>
      </c>
      <c r="D116" s="864"/>
      <c r="E116" s="864"/>
      <c r="F116" s="864"/>
      <c r="G116" s="864"/>
      <c r="H116" s="864"/>
      <c r="I116" s="864"/>
      <c r="J116" s="864"/>
      <c r="K116" s="864"/>
      <c r="L116" s="864"/>
      <c r="M116" s="864"/>
      <c r="N116" s="864">
        <f>UnosNovoZaposl!D522</f>
        <v>0</v>
      </c>
      <c r="O116" s="864"/>
      <c r="P116" s="864"/>
      <c r="Q116" s="864"/>
      <c r="R116" s="864"/>
      <c r="S116" s="864"/>
      <c r="T116" s="864"/>
      <c r="U116" s="868">
        <f>UnosNovoZaposl!E522</f>
        <v>0</v>
      </c>
      <c r="V116" s="868"/>
      <c r="W116" s="868"/>
      <c r="X116" s="868"/>
      <c r="Y116" s="868"/>
      <c r="Z116" s="868"/>
      <c r="AA116" s="868">
        <f>UnosNovoZaposl!B522</f>
        <v>0</v>
      </c>
      <c r="AB116" s="868"/>
      <c r="AC116" s="868"/>
      <c r="AD116" s="868"/>
      <c r="AE116" s="868"/>
      <c r="AF116" s="868"/>
      <c r="AG116" s="868">
        <f>UnosNovoZaposl!F522</f>
        <v>0</v>
      </c>
      <c r="AH116" s="868"/>
      <c r="AI116" s="868"/>
      <c r="AJ116" s="868"/>
      <c r="AK116" s="868"/>
      <c r="AL116" s="868"/>
      <c r="AM116" s="868">
        <f>UnosNovoZaposl!G522</f>
        <v>0</v>
      </c>
      <c r="AN116" s="868"/>
      <c r="AO116" s="868"/>
      <c r="AP116" s="868"/>
      <c r="AQ116" s="868"/>
      <c r="AR116" s="868"/>
      <c r="AS116" s="868">
        <f t="shared" si="2"/>
        <v>0</v>
      </c>
      <c r="AT116" s="868"/>
      <c r="AU116" s="868"/>
      <c r="AV116" s="868"/>
      <c r="AW116" s="868"/>
      <c r="AX116" s="868"/>
    </row>
    <row r="117" s="687" customFormat="1" ht="15" hidden="1" customHeight="1" spans="1:50">
      <c r="A117" s="745"/>
      <c r="B117" s="754" t="s">
        <v>6383</v>
      </c>
      <c r="C117" s="864">
        <f>UnosNovoZaposl!C523</f>
        <v>0</v>
      </c>
      <c r="D117" s="864"/>
      <c r="E117" s="864"/>
      <c r="F117" s="864"/>
      <c r="G117" s="864"/>
      <c r="H117" s="864"/>
      <c r="I117" s="864"/>
      <c r="J117" s="864"/>
      <c r="K117" s="864"/>
      <c r="L117" s="864"/>
      <c r="M117" s="864"/>
      <c r="N117" s="864">
        <f>UnosNovoZaposl!D523</f>
        <v>0</v>
      </c>
      <c r="O117" s="864"/>
      <c r="P117" s="864"/>
      <c r="Q117" s="864"/>
      <c r="R117" s="864"/>
      <c r="S117" s="864"/>
      <c r="T117" s="864"/>
      <c r="U117" s="868">
        <f>UnosNovoZaposl!E523</f>
        <v>0</v>
      </c>
      <c r="V117" s="868"/>
      <c r="W117" s="868"/>
      <c r="X117" s="868"/>
      <c r="Y117" s="868"/>
      <c r="Z117" s="868"/>
      <c r="AA117" s="868">
        <f>UnosNovoZaposl!B523</f>
        <v>0</v>
      </c>
      <c r="AB117" s="868"/>
      <c r="AC117" s="868"/>
      <c r="AD117" s="868"/>
      <c r="AE117" s="868"/>
      <c r="AF117" s="868"/>
      <c r="AG117" s="868">
        <f>UnosNovoZaposl!F523</f>
        <v>0</v>
      </c>
      <c r="AH117" s="868"/>
      <c r="AI117" s="868"/>
      <c r="AJ117" s="868"/>
      <c r="AK117" s="868"/>
      <c r="AL117" s="868"/>
      <c r="AM117" s="868">
        <f>UnosNovoZaposl!G523</f>
        <v>0</v>
      </c>
      <c r="AN117" s="868"/>
      <c r="AO117" s="868"/>
      <c r="AP117" s="868"/>
      <c r="AQ117" s="868"/>
      <c r="AR117" s="868"/>
      <c r="AS117" s="868">
        <f t="shared" si="2"/>
        <v>0</v>
      </c>
      <c r="AT117" s="868"/>
      <c r="AU117" s="868"/>
      <c r="AV117" s="868"/>
      <c r="AW117" s="868"/>
      <c r="AX117" s="868"/>
    </row>
    <row r="118" s="687" customFormat="1" ht="15" hidden="1" customHeight="1" spans="1:50">
      <c r="A118" s="745"/>
      <c r="B118" s="754" t="s">
        <v>6384</v>
      </c>
      <c r="C118" s="864">
        <f>UnosNovoZaposl!C524</f>
        <v>0</v>
      </c>
      <c r="D118" s="864"/>
      <c r="E118" s="864"/>
      <c r="F118" s="864"/>
      <c r="G118" s="864"/>
      <c r="H118" s="864"/>
      <c r="I118" s="864"/>
      <c r="J118" s="864"/>
      <c r="K118" s="864"/>
      <c r="L118" s="864"/>
      <c r="M118" s="864"/>
      <c r="N118" s="864">
        <f>UnosNovoZaposl!D524</f>
        <v>0</v>
      </c>
      <c r="O118" s="864"/>
      <c r="P118" s="864"/>
      <c r="Q118" s="864"/>
      <c r="R118" s="864"/>
      <c r="S118" s="864"/>
      <c r="T118" s="864"/>
      <c r="U118" s="868">
        <f>UnosNovoZaposl!E524</f>
        <v>0</v>
      </c>
      <c r="V118" s="868"/>
      <c r="W118" s="868"/>
      <c r="X118" s="868"/>
      <c r="Y118" s="868"/>
      <c r="Z118" s="868"/>
      <c r="AA118" s="868">
        <f>UnosNovoZaposl!B524</f>
        <v>0</v>
      </c>
      <c r="AB118" s="868"/>
      <c r="AC118" s="868"/>
      <c r="AD118" s="868"/>
      <c r="AE118" s="868"/>
      <c r="AF118" s="868"/>
      <c r="AG118" s="868">
        <f>UnosNovoZaposl!F524</f>
        <v>0</v>
      </c>
      <c r="AH118" s="868"/>
      <c r="AI118" s="868"/>
      <c r="AJ118" s="868"/>
      <c r="AK118" s="868"/>
      <c r="AL118" s="868"/>
      <c r="AM118" s="868">
        <f>UnosNovoZaposl!G524</f>
        <v>0</v>
      </c>
      <c r="AN118" s="868"/>
      <c r="AO118" s="868"/>
      <c r="AP118" s="868"/>
      <c r="AQ118" s="868"/>
      <c r="AR118" s="868"/>
      <c r="AS118" s="868">
        <f t="shared" si="2"/>
        <v>0</v>
      </c>
      <c r="AT118" s="868"/>
      <c r="AU118" s="868"/>
      <c r="AV118" s="868"/>
      <c r="AW118" s="868"/>
      <c r="AX118" s="868"/>
    </row>
    <row r="119" s="687" customFormat="1" ht="15" hidden="1" customHeight="1" spans="1:50">
      <c r="A119" s="745"/>
      <c r="B119" s="754" t="s">
        <v>6385</v>
      </c>
      <c r="C119" s="864">
        <f>UnosNovoZaposl!C525</f>
        <v>0</v>
      </c>
      <c r="D119" s="864"/>
      <c r="E119" s="864"/>
      <c r="F119" s="864"/>
      <c r="G119" s="864"/>
      <c r="H119" s="864"/>
      <c r="I119" s="864"/>
      <c r="J119" s="864"/>
      <c r="K119" s="864"/>
      <c r="L119" s="864"/>
      <c r="M119" s="864"/>
      <c r="N119" s="864">
        <f>UnosNovoZaposl!D525</f>
        <v>0</v>
      </c>
      <c r="O119" s="864"/>
      <c r="P119" s="864"/>
      <c r="Q119" s="864"/>
      <c r="R119" s="864"/>
      <c r="S119" s="864"/>
      <c r="T119" s="864"/>
      <c r="U119" s="868">
        <f>UnosNovoZaposl!E525</f>
        <v>0</v>
      </c>
      <c r="V119" s="868"/>
      <c r="W119" s="868"/>
      <c r="X119" s="868"/>
      <c r="Y119" s="868"/>
      <c r="Z119" s="868"/>
      <c r="AA119" s="868">
        <f>UnosNovoZaposl!B525</f>
        <v>0</v>
      </c>
      <c r="AB119" s="868"/>
      <c r="AC119" s="868"/>
      <c r="AD119" s="868"/>
      <c r="AE119" s="868"/>
      <c r="AF119" s="868"/>
      <c r="AG119" s="868">
        <f>UnosNovoZaposl!F525</f>
        <v>0</v>
      </c>
      <c r="AH119" s="868"/>
      <c r="AI119" s="868"/>
      <c r="AJ119" s="868"/>
      <c r="AK119" s="868"/>
      <c r="AL119" s="868"/>
      <c r="AM119" s="868">
        <f>UnosNovoZaposl!G525</f>
        <v>0</v>
      </c>
      <c r="AN119" s="868"/>
      <c r="AO119" s="868"/>
      <c r="AP119" s="868"/>
      <c r="AQ119" s="868"/>
      <c r="AR119" s="868"/>
      <c r="AS119" s="868">
        <f t="shared" si="2"/>
        <v>0</v>
      </c>
      <c r="AT119" s="868"/>
      <c r="AU119" s="868"/>
      <c r="AV119" s="868"/>
      <c r="AW119" s="868"/>
      <c r="AX119" s="868"/>
    </row>
    <row r="120" s="687" customFormat="1" ht="15" hidden="1" customHeight="1" spans="1:50">
      <c r="A120" s="745"/>
      <c r="B120" s="754" t="s">
        <v>6386</v>
      </c>
      <c r="C120" s="864">
        <f>UnosNovoZaposl!C526</f>
        <v>0</v>
      </c>
      <c r="D120" s="864"/>
      <c r="E120" s="864"/>
      <c r="F120" s="864"/>
      <c r="G120" s="864"/>
      <c r="H120" s="864"/>
      <c r="I120" s="864"/>
      <c r="J120" s="864"/>
      <c r="K120" s="864"/>
      <c r="L120" s="864"/>
      <c r="M120" s="864"/>
      <c r="N120" s="864">
        <f>UnosNovoZaposl!D526</f>
        <v>0</v>
      </c>
      <c r="O120" s="864"/>
      <c r="P120" s="864"/>
      <c r="Q120" s="864"/>
      <c r="R120" s="864"/>
      <c r="S120" s="864"/>
      <c r="T120" s="864"/>
      <c r="U120" s="868">
        <f>UnosNovoZaposl!E526</f>
        <v>0</v>
      </c>
      <c r="V120" s="868"/>
      <c r="W120" s="868"/>
      <c r="X120" s="868"/>
      <c r="Y120" s="868"/>
      <c r="Z120" s="868"/>
      <c r="AA120" s="868">
        <f>UnosNovoZaposl!B526</f>
        <v>0</v>
      </c>
      <c r="AB120" s="868"/>
      <c r="AC120" s="868"/>
      <c r="AD120" s="868"/>
      <c r="AE120" s="868"/>
      <c r="AF120" s="868"/>
      <c r="AG120" s="868">
        <f>UnosNovoZaposl!F526</f>
        <v>0</v>
      </c>
      <c r="AH120" s="868"/>
      <c r="AI120" s="868"/>
      <c r="AJ120" s="868"/>
      <c r="AK120" s="868"/>
      <c r="AL120" s="868"/>
      <c r="AM120" s="868">
        <f>UnosNovoZaposl!G526</f>
        <v>0</v>
      </c>
      <c r="AN120" s="868"/>
      <c r="AO120" s="868"/>
      <c r="AP120" s="868"/>
      <c r="AQ120" s="868"/>
      <c r="AR120" s="868"/>
      <c r="AS120" s="868">
        <f t="shared" si="2"/>
        <v>0</v>
      </c>
      <c r="AT120" s="868"/>
      <c r="AU120" s="868"/>
      <c r="AV120" s="868"/>
      <c r="AW120" s="868"/>
      <c r="AX120" s="868"/>
    </row>
    <row r="121" s="687" customFormat="1" ht="15" hidden="1" customHeight="1" spans="1:50">
      <c r="A121" s="745"/>
      <c r="B121" s="754" t="s">
        <v>6387</v>
      </c>
      <c r="C121" s="864">
        <f>UnosNovoZaposl!C527</f>
        <v>0</v>
      </c>
      <c r="D121" s="864"/>
      <c r="E121" s="864"/>
      <c r="F121" s="864"/>
      <c r="G121" s="864"/>
      <c r="H121" s="864"/>
      <c r="I121" s="864"/>
      <c r="J121" s="864"/>
      <c r="K121" s="864"/>
      <c r="L121" s="864"/>
      <c r="M121" s="864"/>
      <c r="N121" s="864">
        <f>UnosNovoZaposl!D527</f>
        <v>0</v>
      </c>
      <c r="O121" s="864"/>
      <c r="P121" s="864"/>
      <c r="Q121" s="864"/>
      <c r="R121" s="864"/>
      <c r="S121" s="864"/>
      <c r="T121" s="864"/>
      <c r="U121" s="868">
        <f>UnosNovoZaposl!E527</f>
        <v>0</v>
      </c>
      <c r="V121" s="868"/>
      <c r="W121" s="868"/>
      <c r="X121" s="868"/>
      <c r="Y121" s="868"/>
      <c r="Z121" s="868"/>
      <c r="AA121" s="868">
        <f>UnosNovoZaposl!B527</f>
        <v>0</v>
      </c>
      <c r="AB121" s="868"/>
      <c r="AC121" s="868"/>
      <c r="AD121" s="868"/>
      <c r="AE121" s="868"/>
      <c r="AF121" s="868"/>
      <c r="AG121" s="868">
        <f>UnosNovoZaposl!F527</f>
        <v>0</v>
      </c>
      <c r="AH121" s="868"/>
      <c r="AI121" s="868"/>
      <c r="AJ121" s="868"/>
      <c r="AK121" s="868"/>
      <c r="AL121" s="868"/>
      <c r="AM121" s="868">
        <f>UnosNovoZaposl!G527</f>
        <v>0</v>
      </c>
      <c r="AN121" s="868"/>
      <c r="AO121" s="868"/>
      <c r="AP121" s="868"/>
      <c r="AQ121" s="868"/>
      <c r="AR121" s="868"/>
      <c r="AS121" s="868">
        <f t="shared" si="2"/>
        <v>0</v>
      </c>
      <c r="AT121" s="868"/>
      <c r="AU121" s="868"/>
      <c r="AV121" s="868"/>
      <c r="AW121" s="868"/>
      <c r="AX121" s="868"/>
    </row>
    <row r="122" s="687" customFormat="1" ht="15" hidden="1" customHeight="1" spans="1:50">
      <c r="A122" s="745"/>
      <c r="B122" s="754" t="s">
        <v>6388</v>
      </c>
      <c r="C122" s="864">
        <f>UnosNovoZaposl!C528</f>
        <v>0</v>
      </c>
      <c r="D122" s="864"/>
      <c r="E122" s="864"/>
      <c r="F122" s="864"/>
      <c r="G122" s="864"/>
      <c r="H122" s="864"/>
      <c r="I122" s="864"/>
      <c r="J122" s="864"/>
      <c r="K122" s="864"/>
      <c r="L122" s="864"/>
      <c r="M122" s="864"/>
      <c r="N122" s="864">
        <f>UnosNovoZaposl!D528</f>
        <v>0</v>
      </c>
      <c r="O122" s="864"/>
      <c r="P122" s="864"/>
      <c r="Q122" s="864"/>
      <c r="R122" s="864"/>
      <c r="S122" s="864"/>
      <c r="T122" s="864"/>
      <c r="U122" s="868">
        <f>UnosNovoZaposl!E528</f>
        <v>0</v>
      </c>
      <c r="V122" s="868"/>
      <c r="W122" s="868"/>
      <c r="X122" s="868"/>
      <c r="Y122" s="868"/>
      <c r="Z122" s="868"/>
      <c r="AA122" s="868">
        <f>UnosNovoZaposl!B528</f>
        <v>0</v>
      </c>
      <c r="AB122" s="868"/>
      <c r="AC122" s="868"/>
      <c r="AD122" s="868"/>
      <c r="AE122" s="868"/>
      <c r="AF122" s="868"/>
      <c r="AG122" s="868">
        <f>UnosNovoZaposl!F528</f>
        <v>0</v>
      </c>
      <c r="AH122" s="868"/>
      <c r="AI122" s="868"/>
      <c r="AJ122" s="868"/>
      <c r="AK122" s="868"/>
      <c r="AL122" s="868"/>
      <c r="AM122" s="868">
        <f>UnosNovoZaposl!G528</f>
        <v>0</v>
      </c>
      <c r="AN122" s="868"/>
      <c r="AO122" s="868"/>
      <c r="AP122" s="868"/>
      <c r="AQ122" s="868"/>
      <c r="AR122" s="868"/>
      <c r="AS122" s="868">
        <f t="shared" si="2"/>
        <v>0</v>
      </c>
      <c r="AT122" s="868"/>
      <c r="AU122" s="868"/>
      <c r="AV122" s="868"/>
      <c r="AW122" s="868"/>
      <c r="AX122" s="868"/>
    </row>
    <row r="123" s="687" customFormat="1" ht="15" hidden="1" customHeight="1" spans="1:50">
      <c r="A123" s="745"/>
      <c r="B123" s="754" t="s">
        <v>6389</v>
      </c>
      <c r="C123" s="864">
        <f>UnosNovoZaposl!C529</f>
        <v>0</v>
      </c>
      <c r="D123" s="864"/>
      <c r="E123" s="864"/>
      <c r="F123" s="864"/>
      <c r="G123" s="864"/>
      <c r="H123" s="864"/>
      <c r="I123" s="864"/>
      <c r="J123" s="864"/>
      <c r="K123" s="864"/>
      <c r="L123" s="864"/>
      <c r="M123" s="864"/>
      <c r="N123" s="864">
        <f>UnosNovoZaposl!D529</f>
        <v>0</v>
      </c>
      <c r="O123" s="864"/>
      <c r="P123" s="864"/>
      <c r="Q123" s="864"/>
      <c r="R123" s="864"/>
      <c r="S123" s="864"/>
      <c r="T123" s="864"/>
      <c r="U123" s="868">
        <f>UnosNovoZaposl!E529</f>
        <v>0</v>
      </c>
      <c r="V123" s="868"/>
      <c r="W123" s="868"/>
      <c r="X123" s="868"/>
      <c r="Y123" s="868"/>
      <c r="Z123" s="868"/>
      <c r="AA123" s="868">
        <f>UnosNovoZaposl!B529</f>
        <v>0</v>
      </c>
      <c r="AB123" s="868"/>
      <c r="AC123" s="868"/>
      <c r="AD123" s="868"/>
      <c r="AE123" s="868"/>
      <c r="AF123" s="868"/>
      <c r="AG123" s="868">
        <f>UnosNovoZaposl!F529</f>
        <v>0</v>
      </c>
      <c r="AH123" s="868"/>
      <c r="AI123" s="868"/>
      <c r="AJ123" s="868"/>
      <c r="AK123" s="868"/>
      <c r="AL123" s="868"/>
      <c r="AM123" s="868">
        <f>UnosNovoZaposl!G529</f>
        <v>0</v>
      </c>
      <c r="AN123" s="868"/>
      <c r="AO123" s="868"/>
      <c r="AP123" s="868"/>
      <c r="AQ123" s="868"/>
      <c r="AR123" s="868"/>
      <c r="AS123" s="868">
        <f t="shared" si="2"/>
        <v>0</v>
      </c>
      <c r="AT123" s="868"/>
      <c r="AU123" s="868"/>
      <c r="AV123" s="868"/>
      <c r="AW123" s="868"/>
      <c r="AX123" s="868"/>
    </row>
    <row r="124" s="687" customFormat="1" ht="15" hidden="1" customHeight="1" spans="1:50">
      <c r="A124" s="745"/>
      <c r="B124" s="754" t="s">
        <v>6390</v>
      </c>
      <c r="C124" s="864">
        <f>UnosNovoZaposl!C530</f>
        <v>0</v>
      </c>
      <c r="D124" s="864"/>
      <c r="E124" s="864"/>
      <c r="F124" s="864"/>
      <c r="G124" s="864"/>
      <c r="H124" s="864"/>
      <c r="I124" s="864"/>
      <c r="J124" s="864"/>
      <c r="K124" s="864"/>
      <c r="L124" s="864"/>
      <c r="M124" s="864"/>
      <c r="N124" s="864">
        <f>UnosNovoZaposl!D530</f>
        <v>0</v>
      </c>
      <c r="O124" s="864"/>
      <c r="P124" s="864"/>
      <c r="Q124" s="864"/>
      <c r="R124" s="864"/>
      <c r="S124" s="864"/>
      <c r="T124" s="864"/>
      <c r="U124" s="868">
        <f>UnosNovoZaposl!E530</f>
        <v>0</v>
      </c>
      <c r="V124" s="868"/>
      <c r="W124" s="868"/>
      <c r="X124" s="868"/>
      <c r="Y124" s="868"/>
      <c r="Z124" s="868"/>
      <c r="AA124" s="868">
        <f>UnosNovoZaposl!B530</f>
        <v>0</v>
      </c>
      <c r="AB124" s="868"/>
      <c r="AC124" s="868"/>
      <c r="AD124" s="868"/>
      <c r="AE124" s="868"/>
      <c r="AF124" s="868"/>
      <c r="AG124" s="868">
        <f>UnosNovoZaposl!F530</f>
        <v>0</v>
      </c>
      <c r="AH124" s="868"/>
      <c r="AI124" s="868"/>
      <c r="AJ124" s="868"/>
      <c r="AK124" s="868"/>
      <c r="AL124" s="868"/>
      <c r="AM124" s="868">
        <f>UnosNovoZaposl!G530</f>
        <v>0</v>
      </c>
      <c r="AN124" s="868"/>
      <c r="AO124" s="868"/>
      <c r="AP124" s="868"/>
      <c r="AQ124" s="868"/>
      <c r="AR124" s="868"/>
      <c r="AS124" s="868">
        <f t="shared" si="2"/>
        <v>0</v>
      </c>
      <c r="AT124" s="868"/>
      <c r="AU124" s="868"/>
      <c r="AV124" s="868"/>
      <c r="AW124" s="868"/>
      <c r="AX124" s="868"/>
    </row>
    <row r="125" s="687" customFormat="1" ht="15" hidden="1" customHeight="1" spans="1:50">
      <c r="A125" s="745"/>
      <c r="B125" s="754" t="s">
        <v>6391</v>
      </c>
      <c r="C125" s="864">
        <f>UnosNovoZaposl!C531</f>
        <v>0</v>
      </c>
      <c r="D125" s="864"/>
      <c r="E125" s="864"/>
      <c r="F125" s="864"/>
      <c r="G125" s="864"/>
      <c r="H125" s="864"/>
      <c r="I125" s="864"/>
      <c r="J125" s="864"/>
      <c r="K125" s="864"/>
      <c r="L125" s="864"/>
      <c r="M125" s="864"/>
      <c r="N125" s="864">
        <f>UnosNovoZaposl!D531</f>
        <v>0</v>
      </c>
      <c r="O125" s="864"/>
      <c r="P125" s="864"/>
      <c r="Q125" s="864"/>
      <c r="R125" s="864"/>
      <c r="S125" s="864"/>
      <c r="T125" s="864"/>
      <c r="U125" s="868">
        <f>UnosNovoZaposl!E531</f>
        <v>0</v>
      </c>
      <c r="V125" s="868"/>
      <c r="W125" s="868"/>
      <c r="X125" s="868"/>
      <c r="Y125" s="868"/>
      <c r="Z125" s="868"/>
      <c r="AA125" s="868">
        <f>UnosNovoZaposl!B531</f>
        <v>0</v>
      </c>
      <c r="AB125" s="868"/>
      <c r="AC125" s="868"/>
      <c r="AD125" s="868"/>
      <c r="AE125" s="868"/>
      <c r="AF125" s="868"/>
      <c r="AG125" s="868">
        <f>UnosNovoZaposl!F531</f>
        <v>0</v>
      </c>
      <c r="AH125" s="868"/>
      <c r="AI125" s="868"/>
      <c r="AJ125" s="868"/>
      <c r="AK125" s="868"/>
      <c r="AL125" s="868"/>
      <c r="AM125" s="868">
        <f>UnosNovoZaposl!G531</f>
        <v>0</v>
      </c>
      <c r="AN125" s="868"/>
      <c r="AO125" s="868"/>
      <c r="AP125" s="868"/>
      <c r="AQ125" s="868"/>
      <c r="AR125" s="868"/>
      <c r="AS125" s="868">
        <f t="shared" si="2"/>
        <v>0</v>
      </c>
      <c r="AT125" s="868"/>
      <c r="AU125" s="868"/>
      <c r="AV125" s="868"/>
      <c r="AW125" s="868"/>
      <c r="AX125" s="868"/>
    </row>
    <row r="126" s="687" customFormat="1" ht="15" hidden="1" customHeight="1" spans="1:50">
      <c r="A126" s="745"/>
      <c r="B126" s="754" t="s">
        <v>6392</v>
      </c>
      <c r="C126" s="864">
        <f>UnosNovoZaposl!C532</f>
        <v>0</v>
      </c>
      <c r="D126" s="864"/>
      <c r="E126" s="864"/>
      <c r="F126" s="864"/>
      <c r="G126" s="864"/>
      <c r="H126" s="864"/>
      <c r="I126" s="864"/>
      <c r="J126" s="864"/>
      <c r="K126" s="864"/>
      <c r="L126" s="864"/>
      <c r="M126" s="864"/>
      <c r="N126" s="864">
        <f>UnosNovoZaposl!D532</f>
        <v>0</v>
      </c>
      <c r="O126" s="864"/>
      <c r="P126" s="864"/>
      <c r="Q126" s="864"/>
      <c r="R126" s="864"/>
      <c r="S126" s="864"/>
      <c r="T126" s="864"/>
      <c r="U126" s="868">
        <f>UnosNovoZaposl!E532</f>
        <v>0</v>
      </c>
      <c r="V126" s="868"/>
      <c r="W126" s="868"/>
      <c r="X126" s="868"/>
      <c r="Y126" s="868"/>
      <c r="Z126" s="868"/>
      <c r="AA126" s="868">
        <f>UnosNovoZaposl!B532</f>
        <v>0</v>
      </c>
      <c r="AB126" s="868"/>
      <c r="AC126" s="868"/>
      <c r="AD126" s="868"/>
      <c r="AE126" s="868"/>
      <c r="AF126" s="868"/>
      <c r="AG126" s="868">
        <f>UnosNovoZaposl!F532</f>
        <v>0</v>
      </c>
      <c r="AH126" s="868"/>
      <c r="AI126" s="868"/>
      <c r="AJ126" s="868"/>
      <c r="AK126" s="868"/>
      <c r="AL126" s="868"/>
      <c r="AM126" s="868">
        <f>UnosNovoZaposl!G532</f>
        <v>0</v>
      </c>
      <c r="AN126" s="868"/>
      <c r="AO126" s="868"/>
      <c r="AP126" s="868"/>
      <c r="AQ126" s="868"/>
      <c r="AR126" s="868"/>
      <c r="AS126" s="868">
        <f t="shared" si="2"/>
        <v>0</v>
      </c>
      <c r="AT126" s="868"/>
      <c r="AU126" s="868"/>
      <c r="AV126" s="868"/>
      <c r="AW126" s="868"/>
      <c r="AX126" s="868"/>
    </row>
    <row r="127" s="687" customFormat="1" ht="15" hidden="1" customHeight="1" spans="1:50">
      <c r="A127" s="745"/>
      <c r="B127" s="754" t="s">
        <v>6393</v>
      </c>
      <c r="C127" s="864">
        <f>UnosNovoZaposl!C533</f>
        <v>0</v>
      </c>
      <c r="D127" s="864"/>
      <c r="E127" s="864"/>
      <c r="F127" s="864"/>
      <c r="G127" s="864"/>
      <c r="H127" s="864"/>
      <c r="I127" s="864"/>
      <c r="J127" s="864"/>
      <c r="K127" s="864"/>
      <c r="L127" s="864"/>
      <c r="M127" s="864"/>
      <c r="N127" s="864">
        <f>UnosNovoZaposl!D533</f>
        <v>0</v>
      </c>
      <c r="O127" s="864"/>
      <c r="P127" s="864"/>
      <c r="Q127" s="864"/>
      <c r="R127" s="864"/>
      <c r="S127" s="864"/>
      <c r="T127" s="864"/>
      <c r="U127" s="868">
        <f>UnosNovoZaposl!E533</f>
        <v>0</v>
      </c>
      <c r="V127" s="868"/>
      <c r="W127" s="868"/>
      <c r="X127" s="868"/>
      <c r="Y127" s="868"/>
      <c r="Z127" s="868"/>
      <c r="AA127" s="868">
        <f>UnosNovoZaposl!B533</f>
        <v>0</v>
      </c>
      <c r="AB127" s="868"/>
      <c r="AC127" s="868"/>
      <c r="AD127" s="868"/>
      <c r="AE127" s="868"/>
      <c r="AF127" s="868"/>
      <c r="AG127" s="868">
        <f>UnosNovoZaposl!F533</f>
        <v>0</v>
      </c>
      <c r="AH127" s="868"/>
      <c r="AI127" s="868"/>
      <c r="AJ127" s="868"/>
      <c r="AK127" s="868"/>
      <c r="AL127" s="868"/>
      <c r="AM127" s="868">
        <f>UnosNovoZaposl!G533</f>
        <v>0</v>
      </c>
      <c r="AN127" s="868"/>
      <c r="AO127" s="868"/>
      <c r="AP127" s="868"/>
      <c r="AQ127" s="868"/>
      <c r="AR127" s="868"/>
      <c r="AS127" s="868">
        <f t="shared" si="2"/>
        <v>0</v>
      </c>
      <c r="AT127" s="868"/>
      <c r="AU127" s="868"/>
      <c r="AV127" s="868"/>
      <c r="AW127" s="868"/>
      <c r="AX127" s="868"/>
    </row>
    <row r="128" s="687" customFormat="1" ht="15" hidden="1" customHeight="1" spans="1:50">
      <c r="A128" s="745"/>
      <c r="B128" s="754" t="s">
        <v>6394</v>
      </c>
      <c r="C128" s="864">
        <f>UnosNovoZaposl!C534</f>
        <v>0</v>
      </c>
      <c r="D128" s="864"/>
      <c r="E128" s="864"/>
      <c r="F128" s="864"/>
      <c r="G128" s="864"/>
      <c r="H128" s="864"/>
      <c r="I128" s="864"/>
      <c r="J128" s="864"/>
      <c r="K128" s="864"/>
      <c r="L128" s="864"/>
      <c r="M128" s="864"/>
      <c r="N128" s="864">
        <f>UnosNovoZaposl!D534</f>
        <v>0</v>
      </c>
      <c r="O128" s="864"/>
      <c r="P128" s="864"/>
      <c r="Q128" s="864"/>
      <c r="R128" s="864"/>
      <c r="S128" s="864"/>
      <c r="T128" s="864"/>
      <c r="U128" s="868">
        <f>UnosNovoZaposl!E534</f>
        <v>0</v>
      </c>
      <c r="V128" s="868"/>
      <c r="W128" s="868"/>
      <c r="X128" s="868"/>
      <c r="Y128" s="868"/>
      <c r="Z128" s="868"/>
      <c r="AA128" s="868">
        <f>UnosNovoZaposl!B534</f>
        <v>0</v>
      </c>
      <c r="AB128" s="868"/>
      <c r="AC128" s="868"/>
      <c r="AD128" s="868"/>
      <c r="AE128" s="868"/>
      <c r="AF128" s="868"/>
      <c r="AG128" s="868">
        <f>UnosNovoZaposl!F534</f>
        <v>0</v>
      </c>
      <c r="AH128" s="868"/>
      <c r="AI128" s="868"/>
      <c r="AJ128" s="868"/>
      <c r="AK128" s="868"/>
      <c r="AL128" s="868"/>
      <c r="AM128" s="868">
        <f>UnosNovoZaposl!G534</f>
        <v>0</v>
      </c>
      <c r="AN128" s="868"/>
      <c r="AO128" s="868"/>
      <c r="AP128" s="868"/>
      <c r="AQ128" s="868"/>
      <c r="AR128" s="868"/>
      <c r="AS128" s="868">
        <f t="shared" si="2"/>
        <v>0</v>
      </c>
      <c r="AT128" s="868"/>
      <c r="AU128" s="868"/>
      <c r="AV128" s="868"/>
      <c r="AW128" s="868"/>
      <c r="AX128" s="868"/>
    </row>
    <row r="129" s="687" customFormat="1" ht="15" hidden="1" customHeight="1" spans="1:50">
      <c r="A129" s="745"/>
      <c r="B129" s="754" t="s">
        <v>6395</v>
      </c>
      <c r="C129" s="864">
        <f>UnosNovoZaposl!C535</f>
        <v>0</v>
      </c>
      <c r="D129" s="864"/>
      <c r="E129" s="864"/>
      <c r="F129" s="864"/>
      <c r="G129" s="864"/>
      <c r="H129" s="864"/>
      <c r="I129" s="864"/>
      <c r="J129" s="864"/>
      <c r="K129" s="864"/>
      <c r="L129" s="864"/>
      <c r="M129" s="864"/>
      <c r="N129" s="864">
        <f>UnosNovoZaposl!D535</f>
        <v>0</v>
      </c>
      <c r="O129" s="864"/>
      <c r="P129" s="864"/>
      <c r="Q129" s="864"/>
      <c r="R129" s="864"/>
      <c r="S129" s="864"/>
      <c r="T129" s="864"/>
      <c r="U129" s="868">
        <f>UnosNovoZaposl!E535</f>
        <v>0</v>
      </c>
      <c r="V129" s="868"/>
      <c r="W129" s="868"/>
      <c r="X129" s="868"/>
      <c r="Y129" s="868"/>
      <c r="Z129" s="868"/>
      <c r="AA129" s="868">
        <f>UnosNovoZaposl!B535</f>
        <v>0</v>
      </c>
      <c r="AB129" s="868"/>
      <c r="AC129" s="868"/>
      <c r="AD129" s="868"/>
      <c r="AE129" s="868"/>
      <c r="AF129" s="868"/>
      <c r="AG129" s="868">
        <f>UnosNovoZaposl!F535</f>
        <v>0</v>
      </c>
      <c r="AH129" s="868"/>
      <c r="AI129" s="868"/>
      <c r="AJ129" s="868"/>
      <c r="AK129" s="868"/>
      <c r="AL129" s="868"/>
      <c r="AM129" s="868">
        <f>UnosNovoZaposl!G535</f>
        <v>0</v>
      </c>
      <c r="AN129" s="868"/>
      <c r="AO129" s="868"/>
      <c r="AP129" s="868"/>
      <c r="AQ129" s="868"/>
      <c r="AR129" s="868"/>
      <c r="AS129" s="868">
        <f t="shared" si="2"/>
        <v>0</v>
      </c>
      <c r="AT129" s="868"/>
      <c r="AU129" s="868"/>
      <c r="AV129" s="868"/>
      <c r="AW129" s="868"/>
      <c r="AX129" s="868"/>
    </row>
    <row r="130" s="687" customFormat="1" ht="15" hidden="1" customHeight="1" spans="1:50">
      <c r="A130" s="745"/>
      <c r="B130" s="754" t="s">
        <v>6396</v>
      </c>
      <c r="C130" s="864">
        <f>UnosNovoZaposl!C536</f>
        <v>0</v>
      </c>
      <c r="D130" s="864"/>
      <c r="E130" s="864"/>
      <c r="F130" s="864"/>
      <c r="G130" s="864"/>
      <c r="H130" s="864"/>
      <c r="I130" s="864"/>
      <c r="J130" s="864"/>
      <c r="K130" s="864"/>
      <c r="L130" s="864"/>
      <c r="M130" s="864"/>
      <c r="N130" s="864">
        <f>UnosNovoZaposl!D536</f>
        <v>0</v>
      </c>
      <c r="O130" s="864"/>
      <c r="P130" s="864"/>
      <c r="Q130" s="864"/>
      <c r="R130" s="864"/>
      <c r="S130" s="864"/>
      <c r="T130" s="864"/>
      <c r="U130" s="868">
        <f>UnosNovoZaposl!E536</f>
        <v>0</v>
      </c>
      <c r="V130" s="868"/>
      <c r="W130" s="868"/>
      <c r="X130" s="868"/>
      <c r="Y130" s="868"/>
      <c r="Z130" s="868"/>
      <c r="AA130" s="868">
        <f>UnosNovoZaposl!B536</f>
        <v>0</v>
      </c>
      <c r="AB130" s="868"/>
      <c r="AC130" s="868"/>
      <c r="AD130" s="868"/>
      <c r="AE130" s="868"/>
      <c r="AF130" s="868"/>
      <c r="AG130" s="868">
        <f>UnosNovoZaposl!F536</f>
        <v>0</v>
      </c>
      <c r="AH130" s="868"/>
      <c r="AI130" s="868"/>
      <c r="AJ130" s="868"/>
      <c r="AK130" s="868"/>
      <c r="AL130" s="868"/>
      <c r="AM130" s="868">
        <f>UnosNovoZaposl!G536</f>
        <v>0</v>
      </c>
      <c r="AN130" s="868"/>
      <c r="AO130" s="868"/>
      <c r="AP130" s="868"/>
      <c r="AQ130" s="868"/>
      <c r="AR130" s="868"/>
      <c r="AS130" s="868">
        <f t="shared" si="2"/>
        <v>0</v>
      </c>
      <c r="AT130" s="868"/>
      <c r="AU130" s="868"/>
      <c r="AV130" s="868"/>
      <c r="AW130" s="868"/>
      <c r="AX130" s="868"/>
    </row>
    <row r="131" s="687" customFormat="1" ht="15" hidden="1" customHeight="1" spans="1:50">
      <c r="A131" s="745"/>
      <c r="B131" s="754" t="s">
        <v>6397</v>
      </c>
      <c r="C131" s="864">
        <f>UnosNovoZaposl!C537</f>
        <v>0</v>
      </c>
      <c r="D131" s="864"/>
      <c r="E131" s="864"/>
      <c r="F131" s="864"/>
      <c r="G131" s="864"/>
      <c r="H131" s="864"/>
      <c r="I131" s="864"/>
      <c r="J131" s="864"/>
      <c r="K131" s="864"/>
      <c r="L131" s="864"/>
      <c r="M131" s="864"/>
      <c r="N131" s="864">
        <f>UnosNovoZaposl!D537</f>
        <v>0</v>
      </c>
      <c r="O131" s="864"/>
      <c r="P131" s="864"/>
      <c r="Q131" s="864"/>
      <c r="R131" s="864"/>
      <c r="S131" s="864"/>
      <c r="T131" s="864"/>
      <c r="U131" s="868">
        <f>UnosNovoZaposl!E537</f>
        <v>0</v>
      </c>
      <c r="V131" s="868"/>
      <c r="W131" s="868"/>
      <c r="X131" s="868"/>
      <c r="Y131" s="868"/>
      <c r="Z131" s="868"/>
      <c r="AA131" s="868">
        <f>UnosNovoZaposl!B537</f>
        <v>0</v>
      </c>
      <c r="AB131" s="868"/>
      <c r="AC131" s="868"/>
      <c r="AD131" s="868"/>
      <c r="AE131" s="868"/>
      <c r="AF131" s="868"/>
      <c r="AG131" s="868">
        <f>UnosNovoZaposl!F537</f>
        <v>0</v>
      </c>
      <c r="AH131" s="868"/>
      <c r="AI131" s="868"/>
      <c r="AJ131" s="868"/>
      <c r="AK131" s="868"/>
      <c r="AL131" s="868"/>
      <c r="AM131" s="868">
        <f>UnosNovoZaposl!G537</f>
        <v>0</v>
      </c>
      <c r="AN131" s="868"/>
      <c r="AO131" s="868"/>
      <c r="AP131" s="868"/>
      <c r="AQ131" s="868"/>
      <c r="AR131" s="868"/>
      <c r="AS131" s="868">
        <f t="shared" si="2"/>
        <v>0</v>
      </c>
      <c r="AT131" s="868"/>
      <c r="AU131" s="868"/>
      <c r="AV131" s="868"/>
      <c r="AW131" s="868"/>
      <c r="AX131" s="868"/>
    </row>
    <row r="132" s="687" customFormat="1" ht="15" hidden="1" customHeight="1" spans="1:50">
      <c r="A132" s="745"/>
      <c r="B132" s="754" t="s">
        <v>6398</v>
      </c>
      <c r="C132" s="864">
        <f>UnosNovoZaposl!C538</f>
        <v>0</v>
      </c>
      <c r="D132" s="864"/>
      <c r="E132" s="864"/>
      <c r="F132" s="864"/>
      <c r="G132" s="864"/>
      <c r="H132" s="864"/>
      <c r="I132" s="864"/>
      <c r="J132" s="864"/>
      <c r="K132" s="864"/>
      <c r="L132" s="864"/>
      <c r="M132" s="864"/>
      <c r="N132" s="864">
        <f>UnosNovoZaposl!D538</f>
        <v>0</v>
      </c>
      <c r="O132" s="864"/>
      <c r="P132" s="864"/>
      <c r="Q132" s="864"/>
      <c r="R132" s="864"/>
      <c r="S132" s="864"/>
      <c r="T132" s="864"/>
      <c r="U132" s="868">
        <f>UnosNovoZaposl!E538</f>
        <v>0</v>
      </c>
      <c r="V132" s="868"/>
      <c r="W132" s="868"/>
      <c r="X132" s="868"/>
      <c r="Y132" s="868"/>
      <c r="Z132" s="868"/>
      <c r="AA132" s="868">
        <f>UnosNovoZaposl!B538</f>
        <v>0</v>
      </c>
      <c r="AB132" s="868"/>
      <c r="AC132" s="868"/>
      <c r="AD132" s="868"/>
      <c r="AE132" s="868"/>
      <c r="AF132" s="868"/>
      <c r="AG132" s="868">
        <f>UnosNovoZaposl!F538</f>
        <v>0</v>
      </c>
      <c r="AH132" s="868"/>
      <c r="AI132" s="868"/>
      <c r="AJ132" s="868"/>
      <c r="AK132" s="868"/>
      <c r="AL132" s="868"/>
      <c r="AM132" s="868">
        <f>UnosNovoZaposl!G538</f>
        <v>0</v>
      </c>
      <c r="AN132" s="868"/>
      <c r="AO132" s="868"/>
      <c r="AP132" s="868"/>
      <c r="AQ132" s="868"/>
      <c r="AR132" s="868"/>
      <c r="AS132" s="868">
        <f t="shared" si="2"/>
        <v>0</v>
      </c>
      <c r="AT132" s="868"/>
      <c r="AU132" s="868"/>
      <c r="AV132" s="868"/>
      <c r="AW132" s="868"/>
      <c r="AX132" s="868"/>
    </row>
    <row r="133" s="687" customFormat="1" ht="15" hidden="1" customHeight="1" spans="1:50">
      <c r="A133" s="745"/>
      <c r="B133" s="754" t="s">
        <v>6399</v>
      </c>
      <c r="C133" s="864">
        <f>UnosNovoZaposl!C539</f>
        <v>0</v>
      </c>
      <c r="D133" s="864"/>
      <c r="E133" s="864"/>
      <c r="F133" s="864"/>
      <c r="G133" s="864"/>
      <c r="H133" s="864"/>
      <c r="I133" s="864"/>
      <c r="J133" s="864"/>
      <c r="K133" s="864"/>
      <c r="L133" s="864"/>
      <c r="M133" s="864"/>
      <c r="N133" s="864">
        <f>UnosNovoZaposl!D539</f>
        <v>0</v>
      </c>
      <c r="O133" s="864"/>
      <c r="P133" s="864"/>
      <c r="Q133" s="864"/>
      <c r="R133" s="864"/>
      <c r="S133" s="864"/>
      <c r="T133" s="864"/>
      <c r="U133" s="868">
        <f>UnosNovoZaposl!E539</f>
        <v>0</v>
      </c>
      <c r="V133" s="868"/>
      <c r="W133" s="868"/>
      <c r="X133" s="868"/>
      <c r="Y133" s="868"/>
      <c r="Z133" s="868"/>
      <c r="AA133" s="868">
        <f>UnosNovoZaposl!B539</f>
        <v>0</v>
      </c>
      <c r="AB133" s="868"/>
      <c r="AC133" s="868"/>
      <c r="AD133" s="868"/>
      <c r="AE133" s="868"/>
      <c r="AF133" s="868"/>
      <c r="AG133" s="868">
        <f>UnosNovoZaposl!F539</f>
        <v>0</v>
      </c>
      <c r="AH133" s="868"/>
      <c r="AI133" s="868"/>
      <c r="AJ133" s="868"/>
      <c r="AK133" s="868"/>
      <c r="AL133" s="868"/>
      <c r="AM133" s="868">
        <f>UnosNovoZaposl!G539</f>
        <v>0</v>
      </c>
      <c r="AN133" s="868"/>
      <c r="AO133" s="868"/>
      <c r="AP133" s="868"/>
      <c r="AQ133" s="868"/>
      <c r="AR133" s="868"/>
      <c r="AS133" s="868">
        <f t="shared" si="2"/>
        <v>0</v>
      </c>
      <c r="AT133" s="868"/>
      <c r="AU133" s="868"/>
      <c r="AV133" s="868"/>
      <c r="AW133" s="868"/>
      <c r="AX133" s="868"/>
    </row>
    <row r="134" s="687" customFormat="1" ht="15" hidden="1" customHeight="1" spans="1:50">
      <c r="A134" s="745"/>
      <c r="B134" s="754" t="s">
        <v>6400</v>
      </c>
      <c r="C134" s="864">
        <f>UnosNovoZaposl!C540</f>
        <v>0</v>
      </c>
      <c r="D134" s="864"/>
      <c r="E134" s="864"/>
      <c r="F134" s="864"/>
      <c r="G134" s="864"/>
      <c r="H134" s="864"/>
      <c r="I134" s="864"/>
      <c r="J134" s="864"/>
      <c r="K134" s="864"/>
      <c r="L134" s="864"/>
      <c r="M134" s="864"/>
      <c r="N134" s="864">
        <f>UnosNovoZaposl!D540</f>
        <v>0</v>
      </c>
      <c r="O134" s="864"/>
      <c r="P134" s="864"/>
      <c r="Q134" s="864"/>
      <c r="R134" s="864"/>
      <c r="S134" s="864"/>
      <c r="T134" s="864"/>
      <c r="U134" s="868">
        <f>UnosNovoZaposl!E540</f>
        <v>0</v>
      </c>
      <c r="V134" s="868"/>
      <c r="W134" s="868"/>
      <c r="X134" s="868"/>
      <c r="Y134" s="868"/>
      <c r="Z134" s="868"/>
      <c r="AA134" s="868">
        <f>UnosNovoZaposl!B540</f>
        <v>0</v>
      </c>
      <c r="AB134" s="868"/>
      <c r="AC134" s="868"/>
      <c r="AD134" s="868"/>
      <c r="AE134" s="868"/>
      <c r="AF134" s="868"/>
      <c r="AG134" s="868">
        <f>UnosNovoZaposl!F540</f>
        <v>0</v>
      </c>
      <c r="AH134" s="868"/>
      <c r="AI134" s="868"/>
      <c r="AJ134" s="868"/>
      <c r="AK134" s="868"/>
      <c r="AL134" s="868"/>
      <c r="AM134" s="868">
        <f>UnosNovoZaposl!G540</f>
        <v>0</v>
      </c>
      <c r="AN134" s="868"/>
      <c r="AO134" s="868"/>
      <c r="AP134" s="868"/>
      <c r="AQ134" s="868"/>
      <c r="AR134" s="868"/>
      <c r="AS134" s="868">
        <f t="shared" si="2"/>
        <v>0</v>
      </c>
      <c r="AT134" s="868"/>
      <c r="AU134" s="868"/>
      <c r="AV134" s="868"/>
      <c r="AW134" s="868"/>
      <c r="AX134" s="868"/>
    </row>
    <row r="135" s="687" customFormat="1" ht="15" hidden="1" customHeight="1" spans="1:50">
      <c r="A135" s="745"/>
      <c r="B135" s="754" t="s">
        <v>6401</v>
      </c>
      <c r="C135" s="864">
        <f>UnosNovoZaposl!C541</f>
        <v>0</v>
      </c>
      <c r="D135" s="864"/>
      <c r="E135" s="864"/>
      <c r="F135" s="864"/>
      <c r="G135" s="864"/>
      <c r="H135" s="864"/>
      <c r="I135" s="864"/>
      <c r="J135" s="864"/>
      <c r="K135" s="864"/>
      <c r="L135" s="864"/>
      <c r="M135" s="864"/>
      <c r="N135" s="864">
        <f>UnosNovoZaposl!D541</f>
        <v>0</v>
      </c>
      <c r="O135" s="864"/>
      <c r="P135" s="864"/>
      <c r="Q135" s="864"/>
      <c r="R135" s="864"/>
      <c r="S135" s="864"/>
      <c r="T135" s="864"/>
      <c r="U135" s="868">
        <f>UnosNovoZaposl!E541</f>
        <v>0</v>
      </c>
      <c r="V135" s="868"/>
      <c r="W135" s="868"/>
      <c r="X135" s="868"/>
      <c r="Y135" s="868"/>
      <c r="Z135" s="868"/>
      <c r="AA135" s="868">
        <f>UnosNovoZaposl!B541</f>
        <v>0</v>
      </c>
      <c r="AB135" s="868"/>
      <c r="AC135" s="868"/>
      <c r="AD135" s="868"/>
      <c r="AE135" s="868"/>
      <c r="AF135" s="868"/>
      <c r="AG135" s="868">
        <f>UnosNovoZaposl!F541</f>
        <v>0</v>
      </c>
      <c r="AH135" s="868"/>
      <c r="AI135" s="868"/>
      <c r="AJ135" s="868"/>
      <c r="AK135" s="868"/>
      <c r="AL135" s="868"/>
      <c r="AM135" s="868">
        <f>UnosNovoZaposl!G541</f>
        <v>0</v>
      </c>
      <c r="AN135" s="868"/>
      <c r="AO135" s="868"/>
      <c r="AP135" s="868"/>
      <c r="AQ135" s="868"/>
      <c r="AR135" s="868"/>
      <c r="AS135" s="868">
        <f t="shared" si="2"/>
        <v>0</v>
      </c>
      <c r="AT135" s="868"/>
      <c r="AU135" s="868"/>
      <c r="AV135" s="868"/>
      <c r="AW135" s="868"/>
      <c r="AX135" s="868"/>
    </row>
    <row r="136" s="687" customFormat="1" ht="15" hidden="1" customHeight="1" spans="1:50">
      <c r="A136" s="745"/>
      <c r="B136" s="754" t="s">
        <v>6402</v>
      </c>
      <c r="C136" s="864">
        <f>UnosNovoZaposl!C542</f>
        <v>0</v>
      </c>
      <c r="D136" s="864"/>
      <c r="E136" s="864"/>
      <c r="F136" s="864"/>
      <c r="G136" s="864"/>
      <c r="H136" s="864"/>
      <c r="I136" s="864"/>
      <c r="J136" s="864"/>
      <c r="K136" s="864"/>
      <c r="L136" s="864"/>
      <c r="M136" s="864"/>
      <c r="N136" s="864">
        <f>UnosNovoZaposl!D542</f>
        <v>0</v>
      </c>
      <c r="O136" s="864"/>
      <c r="P136" s="864"/>
      <c r="Q136" s="864"/>
      <c r="R136" s="864"/>
      <c r="S136" s="864"/>
      <c r="T136" s="864"/>
      <c r="U136" s="868">
        <f>UnosNovoZaposl!E542</f>
        <v>0</v>
      </c>
      <c r="V136" s="868"/>
      <c r="W136" s="868"/>
      <c r="X136" s="868"/>
      <c r="Y136" s="868"/>
      <c r="Z136" s="868"/>
      <c r="AA136" s="868">
        <f>UnosNovoZaposl!B542</f>
        <v>0</v>
      </c>
      <c r="AB136" s="868"/>
      <c r="AC136" s="868"/>
      <c r="AD136" s="868"/>
      <c r="AE136" s="868"/>
      <c r="AF136" s="868"/>
      <c r="AG136" s="868">
        <f>UnosNovoZaposl!F542</f>
        <v>0</v>
      </c>
      <c r="AH136" s="868"/>
      <c r="AI136" s="868"/>
      <c r="AJ136" s="868"/>
      <c r="AK136" s="868"/>
      <c r="AL136" s="868"/>
      <c r="AM136" s="868">
        <f>UnosNovoZaposl!G542</f>
        <v>0</v>
      </c>
      <c r="AN136" s="868"/>
      <c r="AO136" s="868"/>
      <c r="AP136" s="868"/>
      <c r="AQ136" s="868"/>
      <c r="AR136" s="868"/>
      <c r="AS136" s="868">
        <f t="shared" si="2"/>
        <v>0</v>
      </c>
      <c r="AT136" s="868"/>
      <c r="AU136" s="868"/>
      <c r="AV136" s="868"/>
      <c r="AW136" s="868"/>
      <c r="AX136" s="868"/>
    </row>
    <row r="137" s="687" customFormat="1" ht="15" hidden="1" customHeight="1" spans="1:50">
      <c r="A137" s="745"/>
      <c r="B137" s="754" t="s">
        <v>6403</v>
      </c>
      <c r="C137" s="864">
        <f>UnosNovoZaposl!C543</f>
        <v>0</v>
      </c>
      <c r="D137" s="864"/>
      <c r="E137" s="864"/>
      <c r="F137" s="864"/>
      <c r="G137" s="864"/>
      <c r="H137" s="864"/>
      <c r="I137" s="864"/>
      <c r="J137" s="864"/>
      <c r="K137" s="864"/>
      <c r="L137" s="864"/>
      <c r="M137" s="864"/>
      <c r="N137" s="864">
        <f>UnosNovoZaposl!D543</f>
        <v>0</v>
      </c>
      <c r="O137" s="864"/>
      <c r="P137" s="864"/>
      <c r="Q137" s="864"/>
      <c r="R137" s="864"/>
      <c r="S137" s="864"/>
      <c r="T137" s="864"/>
      <c r="U137" s="868">
        <f>UnosNovoZaposl!E543</f>
        <v>0</v>
      </c>
      <c r="V137" s="868"/>
      <c r="W137" s="868"/>
      <c r="X137" s="868"/>
      <c r="Y137" s="868"/>
      <c r="Z137" s="868"/>
      <c r="AA137" s="868">
        <f>UnosNovoZaposl!B543</f>
        <v>0</v>
      </c>
      <c r="AB137" s="868"/>
      <c r="AC137" s="868"/>
      <c r="AD137" s="868"/>
      <c r="AE137" s="868"/>
      <c r="AF137" s="868"/>
      <c r="AG137" s="868">
        <f>UnosNovoZaposl!F543</f>
        <v>0</v>
      </c>
      <c r="AH137" s="868"/>
      <c r="AI137" s="868"/>
      <c r="AJ137" s="868"/>
      <c r="AK137" s="868"/>
      <c r="AL137" s="868"/>
      <c r="AM137" s="868">
        <f>UnosNovoZaposl!G543</f>
        <v>0</v>
      </c>
      <c r="AN137" s="868"/>
      <c r="AO137" s="868"/>
      <c r="AP137" s="868"/>
      <c r="AQ137" s="868"/>
      <c r="AR137" s="868"/>
      <c r="AS137" s="868">
        <f t="shared" si="2"/>
        <v>0</v>
      </c>
      <c r="AT137" s="868"/>
      <c r="AU137" s="868"/>
      <c r="AV137" s="868"/>
      <c r="AW137" s="868"/>
      <c r="AX137" s="868"/>
    </row>
    <row r="138" s="687" customFormat="1" ht="15" hidden="1" customHeight="1" spans="1:50">
      <c r="A138" s="745"/>
      <c r="B138" s="754" t="s">
        <v>6404</v>
      </c>
      <c r="C138" s="864">
        <f>UnosNovoZaposl!C544</f>
        <v>0</v>
      </c>
      <c r="D138" s="864"/>
      <c r="E138" s="864"/>
      <c r="F138" s="864"/>
      <c r="G138" s="864"/>
      <c r="H138" s="864"/>
      <c r="I138" s="864"/>
      <c r="J138" s="864"/>
      <c r="K138" s="864"/>
      <c r="L138" s="864"/>
      <c r="M138" s="864"/>
      <c r="N138" s="864">
        <f>UnosNovoZaposl!D544</f>
        <v>0</v>
      </c>
      <c r="O138" s="864"/>
      <c r="P138" s="864"/>
      <c r="Q138" s="864"/>
      <c r="R138" s="864"/>
      <c r="S138" s="864"/>
      <c r="T138" s="864"/>
      <c r="U138" s="868">
        <f>UnosNovoZaposl!E544</f>
        <v>0</v>
      </c>
      <c r="V138" s="868"/>
      <c r="W138" s="868"/>
      <c r="X138" s="868"/>
      <c r="Y138" s="868"/>
      <c r="Z138" s="868"/>
      <c r="AA138" s="868">
        <f>UnosNovoZaposl!B544</f>
        <v>0</v>
      </c>
      <c r="AB138" s="868"/>
      <c r="AC138" s="868"/>
      <c r="AD138" s="868"/>
      <c r="AE138" s="868"/>
      <c r="AF138" s="868"/>
      <c r="AG138" s="868">
        <f>UnosNovoZaposl!F544</f>
        <v>0</v>
      </c>
      <c r="AH138" s="868"/>
      <c r="AI138" s="868"/>
      <c r="AJ138" s="868"/>
      <c r="AK138" s="868"/>
      <c r="AL138" s="868"/>
      <c r="AM138" s="868">
        <f>UnosNovoZaposl!G544</f>
        <v>0</v>
      </c>
      <c r="AN138" s="868"/>
      <c r="AO138" s="868"/>
      <c r="AP138" s="868"/>
      <c r="AQ138" s="868"/>
      <c r="AR138" s="868"/>
      <c r="AS138" s="868">
        <f t="shared" si="2"/>
        <v>0</v>
      </c>
      <c r="AT138" s="868"/>
      <c r="AU138" s="868"/>
      <c r="AV138" s="868"/>
      <c r="AW138" s="868"/>
      <c r="AX138" s="868"/>
    </row>
    <row r="139" s="687" customFormat="1" ht="15" hidden="1" customHeight="1" spans="1:50">
      <c r="A139" s="745"/>
      <c r="B139" s="754" t="s">
        <v>6405</v>
      </c>
      <c r="C139" s="864">
        <f>UnosNovoZaposl!C545</f>
        <v>0</v>
      </c>
      <c r="D139" s="864"/>
      <c r="E139" s="864"/>
      <c r="F139" s="864"/>
      <c r="G139" s="864"/>
      <c r="H139" s="864"/>
      <c r="I139" s="864"/>
      <c r="J139" s="864"/>
      <c r="K139" s="864"/>
      <c r="L139" s="864"/>
      <c r="M139" s="864"/>
      <c r="N139" s="864">
        <f>UnosNovoZaposl!D545</f>
        <v>0</v>
      </c>
      <c r="O139" s="864"/>
      <c r="P139" s="864"/>
      <c r="Q139" s="864"/>
      <c r="R139" s="864"/>
      <c r="S139" s="864"/>
      <c r="T139" s="864"/>
      <c r="U139" s="868">
        <f>UnosNovoZaposl!E545</f>
        <v>0</v>
      </c>
      <c r="V139" s="868"/>
      <c r="W139" s="868"/>
      <c r="X139" s="868"/>
      <c r="Y139" s="868"/>
      <c r="Z139" s="868"/>
      <c r="AA139" s="868">
        <f>UnosNovoZaposl!B545</f>
        <v>0</v>
      </c>
      <c r="AB139" s="868"/>
      <c r="AC139" s="868"/>
      <c r="AD139" s="868"/>
      <c r="AE139" s="868"/>
      <c r="AF139" s="868"/>
      <c r="AG139" s="868">
        <f>UnosNovoZaposl!F545</f>
        <v>0</v>
      </c>
      <c r="AH139" s="868"/>
      <c r="AI139" s="868"/>
      <c r="AJ139" s="868"/>
      <c r="AK139" s="868"/>
      <c r="AL139" s="868"/>
      <c r="AM139" s="868">
        <f>UnosNovoZaposl!G545</f>
        <v>0</v>
      </c>
      <c r="AN139" s="868"/>
      <c r="AO139" s="868"/>
      <c r="AP139" s="868"/>
      <c r="AQ139" s="868"/>
      <c r="AR139" s="868"/>
      <c r="AS139" s="868">
        <f t="shared" si="2"/>
        <v>0</v>
      </c>
      <c r="AT139" s="868"/>
      <c r="AU139" s="868"/>
      <c r="AV139" s="868"/>
      <c r="AW139" s="868"/>
      <c r="AX139" s="868"/>
    </row>
    <row r="140" s="687" customFormat="1" ht="15" hidden="1" customHeight="1" spans="1:50">
      <c r="A140" s="745"/>
      <c r="B140" s="754" t="s">
        <v>6406</v>
      </c>
      <c r="C140" s="864">
        <f>UnosNovoZaposl!C546</f>
        <v>0</v>
      </c>
      <c r="D140" s="864"/>
      <c r="E140" s="864"/>
      <c r="F140" s="864"/>
      <c r="G140" s="864"/>
      <c r="H140" s="864"/>
      <c r="I140" s="864"/>
      <c r="J140" s="864"/>
      <c r="K140" s="864"/>
      <c r="L140" s="864"/>
      <c r="M140" s="864"/>
      <c r="N140" s="864">
        <f>UnosNovoZaposl!D546</f>
        <v>0</v>
      </c>
      <c r="O140" s="864"/>
      <c r="P140" s="864"/>
      <c r="Q140" s="864"/>
      <c r="R140" s="864"/>
      <c r="S140" s="864"/>
      <c r="T140" s="864"/>
      <c r="U140" s="868">
        <f>UnosNovoZaposl!E546</f>
        <v>0</v>
      </c>
      <c r="V140" s="868"/>
      <c r="W140" s="868"/>
      <c r="X140" s="868"/>
      <c r="Y140" s="868"/>
      <c r="Z140" s="868"/>
      <c r="AA140" s="868">
        <f>UnosNovoZaposl!B546</f>
        <v>0</v>
      </c>
      <c r="AB140" s="868"/>
      <c r="AC140" s="868"/>
      <c r="AD140" s="868"/>
      <c r="AE140" s="868"/>
      <c r="AF140" s="868"/>
      <c r="AG140" s="868">
        <f>UnosNovoZaposl!F546</f>
        <v>0</v>
      </c>
      <c r="AH140" s="868"/>
      <c r="AI140" s="868"/>
      <c r="AJ140" s="868"/>
      <c r="AK140" s="868"/>
      <c r="AL140" s="868"/>
      <c r="AM140" s="868">
        <f>UnosNovoZaposl!G546</f>
        <v>0</v>
      </c>
      <c r="AN140" s="868"/>
      <c r="AO140" s="868"/>
      <c r="AP140" s="868"/>
      <c r="AQ140" s="868"/>
      <c r="AR140" s="868"/>
      <c r="AS140" s="868">
        <f t="shared" si="2"/>
        <v>0</v>
      </c>
      <c r="AT140" s="868"/>
      <c r="AU140" s="868"/>
      <c r="AV140" s="868"/>
      <c r="AW140" s="868"/>
      <c r="AX140" s="868"/>
    </row>
    <row r="141" s="687" customFormat="1" ht="15" hidden="1" customHeight="1" spans="1:50">
      <c r="A141" s="745"/>
      <c r="B141" s="754" t="s">
        <v>6407</v>
      </c>
      <c r="C141" s="864">
        <f>UnosNovoZaposl!C547</f>
        <v>0</v>
      </c>
      <c r="D141" s="864"/>
      <c r="E141" s="864"/>
      <c r="F141" s="864"/>
      <c r="G141" s="864"/>
      <c r="H141" s="864"/>
      <c r="I141" s="864"/>
      <c r="J141" s="864"/>
      <c r="K141" s="864"/>
      <c r="L141" s="864"/>
      <c r="M141" s="864"/>
      <c r="N141" s="864">
        <f>UnosNovoZaposl!D547</f>
        <v>0</v>
      </c>
      <c r="O141" s="864"/>
      <c r="P141" s="864"/>
      <c r="Q141" s="864"/>
      <c r="R141" s="864"/>
      <c r="S141" s="864"/>
      <c r="T141" s="864"/>
      <c r="U141" s="868">
        <f>UnosNovoZaposl!E547</f>
        <v>0</v>
      </c>
      <c r="V141" s="868"/>
      <c r="W141" s="868"/>
      <c r="X141" s="868"/>
      <c r="Y141" s="868"/>
      <c r="Z141" s="868"/>
      <c r="AA141" s="868">
        <f>UnosNovoZaposl!B547</f>
        <v>0</v>
      </c>
      <c r="AB141" s="868"/>
      <c r="AC141" s="868"/>
      <c r="AD141" s="868"/>
      <c r="AE141" s="868"/>
      <c r="AF141" s="868"/>
      <c r="AG141" s="868">
        <f>UnosNovoZaposl!F547</f>
        <v>0</v>
      </c>
      <c r="AH141" s="868"/>
      <c r="AI141" s="868"/>
      <c r="AJ141" s="868"/>
      <c r="AK141" s="868"/>
      <c r="AL141" s="868"/>
      <c r="AM141" s="868">
        <f>UnosNovoZaposl!G547</f>
        <v>0</v>
      </c>
      <c r="AN141" s="868"/>
      <c r="AO141" s="868"/>
      <c r="AP141" s="868"/>
      <c r="AQ141" s="868"/>
      <c r="AR141" s="868"/>
      <c r="AS141" s="868">
        <f t="shared" si="2"/>
        <v>0</v>
      </c>
      <c r="AT141" s="868"/>
      <c r="AU141" s="868"/>
      <c r="AV141" s="868"/>
      <c r="AW141" s="868"/>
      <c r="AX141" s="868"/>
    </row>
    <row r="142" s="687" customFormat="1" ht="15" hidden="1" customHeight="1" spans="1:50">
      <c r="A142" s="745"/>
      <c r="B142" s="754" t="s">
        <v>6408</v>
      </c>
      <c r="C142" s="864">
        <f>UnosNovoZaposl!C548</f>
        <v>0</v>
      </c>
      <c r="D142" s="864"/>
      <c r="E142" s="864"/>
      <c r="F142" s="864"/>
      <c r="G142" s="864"/>
      <c r="H142" s="864"/>
      <c r="I142" s="864"/>
      <c r="J142" s="864"/>
      <c r="K142" s="864"/>
      <c r="L142" s="864"/>
      <c r="M142" s="864"/>
      <c r="N142" s="864">
        <f>UnosNovoZaposl!D548</f>
        <v>0</v>
      </c>
      <c r="O142" s="864"/>
      <c r="P142" s="864"/>
      <c r="Q142" s="864"/>
      <c r="R142" s="864"/>
      <c r="S142" s="864"/>
      <c r="T142" s="864"/>
      <c r="U142" s="868">
        <f>UnosNovoZaposl!E548</f>
        <v>0</v>
      </c>
      <c r="V142" s="868"/>
      <c r="W142" s="868"/>
      <c r="X142" s="868"/>
      <c r="Y142" s="868"/>
      <c r="Z142" s="868"/>
      <c r="AA142" s="868">
        <f>UnosNovoZaposl!B548</f>
        <v>0</v>
      </c>
      <c r="AB142" s="868"/>
      <c r="AC142" s="868"/>
      <c r="AD142" s="868"/>
      <c r="AE142" s="868"/>
      <c r="AF142" s="868"/>
      <c r="AG142" s="868">
        <f>UnosNovoZaposl!F548</f>
        <v>0</v>
      </c>
      <c r="AH142" s="868"/>
      <c r="AI142" s="868"/>
      <c r="AJ142" s="868"/>
      <c r="AK142" s="868"/>
      <c r="AL142" s="868"/>
      <c r="AM142" s="868">
        <f>UnosNovoZaposl!G548</f>
        <v>0</v>
      </c>
      <c r="AN142" s="868"/>
      <c r="AO142" s="868"/>
      <c r="AP142" s="868"/>
      <c r="AQ142" s="868"/>
      <c r="AR142" s="868"/>
      <c r="AS142" s="868">
        <f t="shared" si="2"/>
        <v>0</v>
      </c>
      <c r="AT142" s="868"/>
      <c r="AU142" s="868"/>
      <c r="AV142" s="868"/>
      <c r="AW142" s="868"/>
      <c r="AX142" s="868"/>
    </row>
    <row r="143" s="687" customFormat="1" ht="15" hidden="1" customHeight="1" spans="1:50">
      <c r="A143" s="745"/>
      <c r="B143" s="754" t="s">
        <v>6409</v>
      </c>
      <c r="C143" s="864">
        <f>UnosNovoZaposl!C549</f>
        <v>0</v>
      </c>
      <c r="D143" s="864"/>
      <c r="E143" s="864"/>
      <c r="F143" s="864"/>
      <c r="G143" s="864"/>
      <c r="H143" s="864"/>
      <c r="I143" s="864"/>
      <c r="J143" s="864"/>
      <c r="K143" s="864"/>
      <c r="L143" s="864"/>
      <c r="M143" s="864"/>
      <c r="N143" s="864">
        <f>UnosNovoZaposl!D549</f>
        <v>0</v>
      </c>
      <c r="O143" s="864"/>
      <c r="P143" s="864"/>
      <c r="Q143" s="864"/>
      <c r="R143" s="864"/>
      <c r="S143" s="864"/>
      <c r="T143" s="864"/>
      <c r="U143" s="868">
        <f>UnosNovoZaposl!E549</f>
        <v>0</v>
      </c>
      <c r="V143" s="868"/>
      <c r="W143" s="868"/>
      <c r="X143" s="868"/>
      <c r="Y143" s="868"/>
      <c r="Z143" s="868"/>
      <c r="AA143" s="868">
        <f>UnosNovoZaposl!B549</f>
        <v>0</v>
      </c>
      <c r="AB143" s="868"/>
      <c r="AC143" s="868"/>
      <c r="AD143" s="868"/>
      <c r="AE143" s="868"/>
      <c r="AF143" s="868"/>
      <c r="AG143" s="868">
        <f>UnosNovoZaposl!F549</f>
        <v>0</v>
      </c>
      <c r="AH143" s="868"/>
      <c r="AI143" s="868"/>
      <c r="AJ143" s="868"/>
      <c r="AK143" s="868"/>
      <c r="AL143" s="868"/>
      <c r="AM143" s="868">
        <f>UnosNovoZaposl!G549</f>
        <v>0</v>
      </c>
      <c r="AN143" s="868"/>
      <c r="AO143" s="868"/>
      <c r="AP143" s="868"/>
      <c r="AQ143" s="868"/>
      <c r="AR143" s="868"/>
      <c r="AS143" s="868">
        <f t="shared" si="2"/>
        <v>0</v>
      </c>
      <c r="AT143" s="868"/>
      <c r="AU143" s="868"/>
      <c r="AV143" s="868"/>
      <c r="AW143" s="868"/>
      <c r="AX143" s="868"/>
    </row>
    <row r="144" s="687" customFormat="1" ht="15" hidden="1" customHeight="1" spans="1:50">
      <c r="A144" s="745"/>
      <c r="B144" s="754" t="s">
        <v>6410</v>
      </c>
      <c r="C144" s="864">
        <f>UnosNovoZaposl!C550</f>
        <v>0</v>
      </c>
      <c r="D144" s="864"/>
      <c r="E144" s="864"/>
      <c r="F144" s="864"/>
      <c r="G144" s="864"/>
      <c r="H144" s="864"/>
      <c r="I144" s="864"/>
      <c r="J144" s="864"/>
      <c r="K144" s="864"/>
      <c r="L144" s="864"/>
      <c r="M144" s="864"/>
      <c r="N144" s="864">
        <f>UnosNovoZaposl!D550</f>
        <v>0</v>
      </c>
      <c r="O144" s="864"/>
      <c r="P144" s="864"/>
      <c r="Q144" s="864"/>
      <c r="R144" s="864"/>
      <c r="S144" s="864"/>
      <c r="T144" s="864"/>
      <c r="U144" s="868">
        <f>UnosNovoZaposl!E550</f>
        <v>0</v>
      </c>
      <c r="V144" s="868"/>
      <c r="W144" s="868"/>
      <c r="X144" s="868"/>
      <c r="Y144" s="868"/>
      <c r="Z144" s="868"/>
      <c r="AA144" s="868">
        <f>UnosNovoZaposl!B550</f>
        <v>0</v>
      </c>
      <c r="AB144" s="868"/>
      <c r="AC144" s="868"/>
      <c r="AD144" s="868"/>
      <c r="AE144" s="868"/>
      <c r="AF144" s="868"/>
      <c r="AG144" s="868">
        <f>UnosNovoZaposl!F550</f>
        <v>0</v>
      </c>
      <c r="AH144" s="868"/>
      <c r="AI144" s="868"/>
      <c r="AJ144" s="868"/>
      <c r="AK144" s="868"/>
      <c r="AL144" s="868"/>
      <c r="AM144" s="868">
        <f>UnosNovoZaposl!G550</f>
        <v>0</v>
      </c>
      <c r="AN144" s="868"/>
      <c r="AO144" s="868"/>
      <c r="AP144" s="868"/>
      <c r="AQ144" s="868"/>
      <c r="AR144" s="868"/>
      <c r="AS144" s="868">
        <f t="shared" si="2"/>
        <v>0</v>
      </c>
      <c r="AT144" s="868"/>
      <c r="AU144" s="868"/>
      <c r="AV144" s="868"/>
      <c r="AW144" s="868"/>
      <c r="AX144" s="868"/>
    </row>
    <row r="145" s="687" customFormat="1" ht="15" hidden="1" customHeight="1" spans="1:50">
      <c r="A145" s="745"/>
      <c r="B145" s="754" t="s">
        <v>6411</v>
      </c>
      <c r="C145" s="864">
        <f>UnosNovoZaposl!C551</f>
        <v>0</v>
      </c>
      <c r="D145" s="864"/>
      <c r="E145" s="864"/>
      <c r="F145" s="864"/>
      <c r="G145" s="864"/>
      <c r="H145" s="864"/>
      <c r="I145" s="864"/>
      <c r="J145" s="864"/>
      <c r="K145" s="864"/>
      <c r="L145" s="864"/>
      <c r="M145" s="864"/>
      <c r="N145" s="864">
        <f>UnosNovoZaposl!D551</f>
        <v>0</v>
      </c>
      <c r="O145" s="864"/>
      <c r="P145" s="864"/>
      <c r="Q145" s="864"/>
      <c r="R145" s="864"/>
      <c r="S145" s="864"/>
      <c r="T145" s="864"/>
      <c r="U145" s="868">
        <f>UnosNovoZaposl!E551</f>
        <v>0</v>
      </c>
      <c r="V145" s="868"/>
      <c r="W145" s="868"/>
      <c r="X145" s="868"/>
      <c r="Y145" s="868"/>
      <c r="Z145" s="868"/>
      <c r="AA145" s="868">
        <f>UnosNovoZaposl!B551</f>
        <v>0</v>
      </c>
      <c r="AB145" s="868"/>
      <c r="AC145" s="868"/>
      <c r="AD145" s="868"/>
      <c r="AE145" s="868"/>
      <c r="AF145" s="868"/>
      <c r="AG145" s="868">
        <f>UnosNovoZaposl!F551</f>
        <v>0</v>
      </c>
      <c r="AH145" s="868"/>
      <c r="AI145" s="868"/>
      <c r="AJ145" s="868"/>
      <c r="AK145" s="868"/>
      <c r="AL145" s="868"/>
      <c r="AM145" s="868">
        <f>UnosNovoZaposl!G551</f>
        <v>0</v>
      </c>
      <c r="AN145" s="868"/>
      <c r="AO145" s="868"/>
      <c r="AP145" s="868"/>
      <c r="AQ145" s="868"/>
      <c r="AR145" s="868"/>
      <c r="AS145" s="868">
        <f t="shared" si="2"/>
        <v>0</v>
      </c>
      <c r="AT145" s="868"/>
      <c r="AU145" s="868"/>
      <c r="AV145" s="868"/>
      <c r="AW145" s="868"/>
      <c r="AX145" s="868"/>
    </row>
    <row r="146" s="687" customFormat="1" ht="15" hidden="1" customHeight="1" spans="1:50">
      <c r="A146" s="745"/>
      <c r="B146" s="754" t="s">
        <v>6412</v>
      </c>
      <c r="C146" s="864">
        <f>UnosNovoZaposl!C552</f>
        <v>0</v>
      </c>
      <c r="D146" s="864"/>
      <c r="E146" s="864"/>
      <c r="F146" s="864"/>
      <c r="G146" s="864"/>
      <c r="H146" s="864"/>
      <c r="I146" s="864"/>
      <c r="J146" s="864"/>
      <c r="K146" s="864"/>
      <c r="L146" s="864"/>
      <c r="M146" s="864"/>
      <c r="N146" s="864">
        <f>UnosNovoZaposl!D552</f>
        <v>0</v>
      </c>
      <c r="O146" s="864"/>
      <c r="P146" s="864"/>
      <c r="Q146" s="864"/>
      <c r="R146" s="864"/>
      <c r="S146" s="864"/>
      <c r="T146" s="864"/>
      <c r="U146" s="868">
        <f>UnosNovoZaposl!E552</f>
        <v>0</v>
      </c>
      <c r="V146" s="868"/>
      <c r="W146" s="868"/>
      <c r="X146" s="868"/>
      <c r="Y146" s="868"/>
      <c r="Z146" s="868"/>
      <c r="AA146" s="868">
        <f>UnosNovoZaposl!B552</f>
        <v>0</v>
      </c>
      <c r="AB146" s="868"/>
      <c r="AC146" s="868"/>
      <c r="AD146" s="868"/>
      <c r="AE146" s="868"/>
      <c r="AF146" s="868"/>
      <c r="AG146" s="868">
        <f>UnosNovoZaposl!F552</f>
        <v>0</v>
      </c>
      <c r="AH146" s="868"/>
      <c r="AI146" s="868"/>
      <c r="AJ146" s="868"/>
      <c r="AK146" s="868"/>
      <c r="AL146" s="868"/>
      <c r="AM146" s="868">
        <f>UnosNovoZaposl!G552</f>
        <v>0</v>
      </c>
      <c r="AN146" s="868"/>
      <c r="AO146" s="868"/>
      <c r="AP146" s="868"/>
      <c r="AQ146" s="868"/>
      <c r="AR146" s="868"/>
      <c r="AS146" s="868">
        <f t="shared" si="2"/>
        <v>0</v>
      </c>
      <c r="AT146" s="868"/>
      <c r="AU146" s="868"/>
      <c r="AV146" s="868"/>
      <c r="AW146" s="868"/>
      <c r="AX146" s="868"/>
    </row>
    <row r="147" s="687" customFormat="1" ht="15" hidden="1" customHeight="1" spans="1:50">
      <c r="A147" s="745"/>
      <c r="B147" s="754" t="s">
        <v>6413</v>
      </c>
      <c r="C147" s="864">
        <f>UnosNovoZaposl!C553</f>
        <v>0</v>
      </c>
      <c r="D147" s="864"/>
      <c r="E147" s="864"/>
      <c r="F147" s="864"/>
      <c r="G147" s="864"/>
      <c r="H147" s="864"/>
      <c r="I147" s="864"/>
      <c r="J147" s="864"/>
      <c r="K147" s="864"/>
      <c r="L147" s="864"/>
      <c r="M147" s="864"/>
      <c r="N147" s="864">
        <f>UnosNovoZaposl!D553</f>
        <v>0</v>
      </c>
      <c r="O147" s="864"/>
      <c r="P147" s="864"/>
      <c r="Q147" s="864"/>
      <c r="R147" s="864"/>
      <c r="S147" s="864"/>
      <c r="T147" s="864"/>
      <c r="U147" s="868">
        <f>UnosNovoZaposl!E553</f>
        <v>0</v>
      </c>
      <c r="V147" s="868"/>
      <c r="W147" s="868"/>
      <c r="X147" s="868"/>
      <c r="Y147" s="868"/>
      <c r="Z147" s="868"/>
      <c r="AA147" s="868">
        <f>UnosNovoZaposl!B553</f>
        <v>0</v>
      </c>
      <c r="AB147" s="868"/>
      <c r="AC147" s="868"/>
      <c r="AD147" s="868"/>
      <c r="AE147" s="868"/>
      <c r="AF147" s="868"/>
      <c r="AG147" s="868">
        <f>UnosNovoZaposl!F553</f>
        <v>0</v>
      </c>
      <c r="AH147" s="868"/>
      <c r="AI147" s="868"/>
      <c r="AJ147" s="868"/>
      <c r="AK147" s="868"/>
      <c r="AL147" s="868"/>
      <c r="AM147" s="868">
        <f>UnosNovoZaposl!G553</f>
        <v>0</v>
      </c>
      <c r="AN147" s="868"/>
      <c r="AO147" s="868"/>
      <c r="AP147" s="868"/>
      <c r="AQ147" s="868"/>
      <c r="AR147" s="868"/>
      <c r="AS147" s="868">
        <f t="shared" si="2"/>
        <v>0</v>
      </c>
      <c r="AT147" s="868"/>
      <c r="AU147" s="868"/>
      <c r="AV147" s="868"/>
      <c r="AW147" s="868"/>
      <c r="AX147" s="868"/>
    </row>
    <row r="148" s="687" customFormat="1" ht="15" hidden="1" customHeight="1" spans="1:50">
      <c r="A148" s="745"/>
      <c r="B148" s="754" t="s">
        <v>6414</v>
      </c>
      <c r="C148" s="864">
        <f>UnosNovoZaposl!C554</f>
        <v>0</v>
      </c>
      <c r="D148" s="864"/>
      <c r="E148" s="864"/>
      <c r="F148" s="864"/>
      <c r="G148" s="864"/>
      <c r="H148" s="864"/>
      <c r="I148" s="864"/>
      <c r="J148" s="864"/>
      <c r="K148" s="864"/>
      <c r="L148" s="864"/>
      <c r="M148" s="864"/>
      <c r="N148" s="864">
        <f>UnosNovoZaposl!D554</f>
        <v>0</v>
      </c>
      <c r="O148" s="864"/>
      <c r="P148" s="864"/>
      <c r="Q148" s="864"/>
      <c r="R148" s="864"/>
      <c r="S148" s="864"/>
      <c r="T148" s="864"/>
      <c r="U148" s="868">
        <f>UnosNovoZaposl!E554</f>
        <v>0</v>
      </c>
      <c r="V148" s="868"/>
      <c r="W148" s="868"/>
      <c r="X148" s="868"/>
      <c r="Y148" s="868"/>
      <c r="Z148" s="868"/>
      <c r="AA148" s="868">
        <f>UnosNovoZaposl!B554</f>
        <v>0</v>
      </c>
      <c r="AB148" s="868"/>
      <c r="AC148" s="868"/>
      <c r="AD148" s="868"/>
      <c r="AE148" s="868"/>
      <c r="AF148" s="868"/>
      <c r="AG148" s="868">
        <f>UnosNovoZaposl!F554</f>
        <v>0</v>
      </c>
      <c r="AH148" s="868"/>
      <c r="AI148" s="868"/>
      <c r="AJ148" s="868"/>
      <c r="AK148" s="868"/>
      <c r="AL148" s="868"/>
      <c r="AM148" s="868">
        <f>UnosNovoZaposl!G554</f>
        <v>0</v>
      </c>
      <c r="AN148" s="868"/>
      <c r="AO148" s="868"/>
      <c r="AP148" s="868"/>
      <c r="AQ148" s="868"/>
      <c r="AR148" s="868"/>
      <c r="AS148" s="868">
        <f t="shared" si="2"/>
        <v>0</v>
      </c>
      <c r="AT148" s="868"/>
      <c r="AU148" s="868"/>
      <c r="AV148" s="868"/>
      <c r="AW148" s="868"/>
      <c r="AX148" s="868"/>
    </row>
    <row r="149" s="687" customFormat="1" ht="15" hidden="1" customHeight="1" spans="1:50">
      <c r="A149" s="745"/>
      <c r="B149" s="754" t="s">
        <v>6415</v>
      </c>
      <c r="C149" s="864">
        <f>UnosNovoZaposl!C555</f>
        <v>0</v>
      </c>
      <c r="D149" s="864"/>
      <c r="E149" s="864"/>
      <c r="F149" s="864"/>
      <c r="G149" s="864"/>
      <c r="H149" s="864"/>
      <c r="I149" s="864"/>
      <c r="J149" s="864"/>
      <c r="K149" s="864"/>
      <c r="L149" s="864"/>
      <c r="M149" s="864"/>
      <c r="N149" s="864">
        <f>UnosNovoZaposl!D555</f>
        <v>0</v>
      </c>
      <c r="O149" s="864"/>
      <c r="P149" s="864"/>
      <c r="Q149" s="864"/>
      <c r="R149" s="864"/>
      <c r="S149" s="864"/>
      <c r="T149" s="864"/>
      <c r="U149" s="868">
        <f>UnosNovoZaposl!E555</f>
        <v>0</v>
      </c>
      <c r="V149" s="868"/>
      <c r="W149" s="868"/>
      <c r="X149" s="868"/>
      <c r="Y149" s="868"/>
      <c r="Z149" s="868"/>
      <c r="AA149" s="868">
        <f>UnosNovoZaposl!B555</f>
        <v>0</v>
      </c>
      <c r="AB149" s="868"/>
      <c r="AC149" s="868"/>
      <c r="AD149" s="868"/>
      <c r="AE149" s="868"/>
      <c r="AF149" s="868"/>
      <c r="AG149" s="868">
        <f>UnosNovoZaposl!F555</f>
        <v>0</v>
      </c>
      <c r="AH149" s="868"/>
      <c r="AI149" s="868"/>
      <c r="AJ149" s="868"/>
      <c r="AK149" s="868"/>
      <c r="AL149" s="868"/>
      <c r="AM149" s="868">
        <f>UnosNovoZaposl!G555</f>
        <v>0</v>
      </c>
      <c r="AN149" s="868"/>
      <c r="AO149" s="868"/>
      <c r="AP149" s="868"/>
      <c r="AQ149" s="868"/>
      <c r="AR149" s="868"/>
      <c r="AS149" s="868">
        <f t="shared" si="2"/>
        <v>0</v>
      </c>
      <c r="AT149" s="868"/>
      <c r="AU149" s="868"/>
      <c r="AV149" s="868"/>
      <c r="AW149" s="868"/>
      <c r="AX149" s="868"/>
    </row>
    <row r="150" s="687" customFormat="1" ht="15" hidden="1" customHeight="1" spans="1:50">
      <c r="A150" s="745"/>
      <c r="B150" s="754" t="s">
        <v>6416</v>
      </c>
      <c r="C150" s="864">
        <f>UnosNovoZaposl!C556</f>
        <v>0</v>
      </c>
      <c r="D150" s="864"/>
      <c r="E150" s="864"/>
      <c r="F150" s="864"/>
      <c r="G150" s="864"/>
      <c r="H150" s="864"/>
      <c r="I150" s="864"/>
      <c r="J150" s="864"/>
      <c r="K150" s="864"/>
      <c r="L150" s="864"/>
      <c r="M150" s="864"/>
      <c r="N150" s="864">
        <f>UnosNovoZaposl!D556</f>
        <v>0</v>
      </c>
      <c r="O150" s="864"/>
      <c r="P150" s="864"/>
      <c r="Q150" s="864"/>
      <c r="R150" s="864"/>
      <c r="S150" s="864"/>
      <c r="T150" s="864"/>
      <c r="U150" s="868">
        <f>UnosNovoZaposl!E556</f>
        <v>0</v>
      </c>
      <c r="V150" s="868"/>
      <c r="W150" s="868"/>
      <c r="X150" s="868"/>
      <c r="Y150" s="868"/>
      <c r="Z150" s="868"/>
      <c r="AA150" s="868">
        <f>UnosNovoZaposl!B556</f>
        <v>0</v>
      </c>
      <c r="AB150" s="868"/>
      <c r="AC150" s="868"/>
      <c r="AD150" s="868"/>
      <c r="AE150" s="868"/>
      <c r="AF150" s="868"/>
      <c r="AG150" s="868">
        <f>UnosNovoZaposl!F556</f>
        <v>0</v>
      </c>
      <c r="AH150" s="868"/>
      <c r="AI150" s="868"/>
      <c r="AJ150" s="868"/>
      <c r="AK150" s="868"/>
      <c r="AL150" s="868"/>
      <c r="AM150" s="868">
        <f>UnosNovoZaposl!G556</f>
        <v>0</v>
      </c>
      <c r="AN150" s="868"/>
      <c r="AO150" s="868"/>
      <c r="AP150" s="868"/>
      <c r="AQ150" s="868"/>
      <c r="AR150" s="868"/>
      <c r="AS150" s="868">
        <f t="shared" si="2"/>
        <v>0</v>
      </c>
      <c r="AT150" s="868"/>
      <c r="AU150" s="868"/>
      <c r="AV150" s="868"/>
      <c r="AW150" s="868"/>
      <c r="AX150" s="868"/>
    </row>
    <row r="151" s="687" customFormat="1" ht="15" hidden="1" customHeight="1" spans="1:50">
      <c r="A151" s="745"/>
      <c r="B151" s="754" t="s">
        <v>6417</v>
      </c>
      <c r="C151" s="864">
        <f>UnosNovoZaposl!C557</f>
        <v>0</v>
      </c>
      <c r="D151" s="864"/>
      <c r="E151" s="864"/>
      <c r="F151" s="864"/>
      <c r="G151" s="864"/>
      <c r="H151" s="864"/>
      <c r="I151" s="864"/>
      <c r="J151" s="864"/>
      <c r="K151" s="864"/>
      <c r="L151" s="864"/>
      <c r="M151" s="864"/>
      <c r="N151" s="864">
        <f>UnosNovoZaposl!D557</f>
        <v>0</v>
      </c>
      <c r="O151" s="864"/>
      <c r="P151" s="864"/>
      <c r="Q151" s="864"/>
      <c r="R151" s="864"/>
      <c r="S151" s="864"/>
      <c r="T151" s="864"/>
      <c r="U151" s="868">
        <f>UnosNovoZaposl!E557</f>
        <v>0</v>
      </c>
      <c r="V151" s="868"/>
      <c r="W151" s="868"/>
      <c r="X151" s="868"/>
      <c r="Y151" s="868"/>
      <c r="Z151" s="868"/>
      <c r="AA151" s="868">
        <f>UnosNovoZaposl!B557</f>
        <v>0</v>
      </c>
      <c r="AB151" s="868"/>
      <c r="AC151" s="868"/>
      <c r="AD151" s="868"/>
      <c r="AE151" s="868"/>
      <c r="AF151" s="868"/>
      <c r="AG151" s="868">
        <f>UnosNovoZaposl!F557</f>
        <v>0</v>
      </c>
      <c r="AH151" s="868"/>
      <c r="AI151" s="868"/>
      <c r="AJ151" s="868"/>
      <c r="AK151" s="868"/>
      <c r="AL151" s="868"/>
      <c r="AM151" s="868">
        <f>UnosNovoZaposl!G557</f>
        <v>0</v>
      </c>
      <c r="AN151" s="868"/>
      <c r="AO151" s="868"/>
      <c r="AP151" s="868"/>
      <c r="AQ151" s="868"/>
      <c r="AR151" s="868"/>
      <c r="AS151" s="868">
        <f t="shared" si="2"/>
        <v>0</v>
      </c>
      <c r="AT151" s="868"/>
      <c r="AU151" s="868"/>
      <c r="AV151" s="868"/>
      <c r="AW151" s="868"/>
      <c r="AX151" s="868"/>
    </row>
    <row r="152" s="687" customFormat="1" ht="15" hidden="1" customHeight="1" spans="1:50">
      <c r="A152" s="745"/>
      <c r="B152" s="754" t="s">
        <v>6418</v>
      </c>
      <c r="C152" s="864">
        <f>UnosNovoZaposl!C558</f>
        <v>0</v>
      </c>
      <c r="D152" s="864"/>
      <c r="E152" s="864"/>
      <c r="F152" s="864"/>
      <c r="G152" s="864"/>
      <c r="H152" s="864"/>
      <c r="I152" s="864"/>
      <c r="J152" s="864"/>
      <c r="K152" s="864"/>
      <c r="L152" s="864"/>
      <c r="M152" s="864"/>
      <c r="N152" s="864">
        <f>UnosNovoZaposl!D558</f>
        <v>0</v>
      </c>
      <c r="O152" s="864"/>
      <c r="P152" s="864"/>
      <c r="Q152" s="864"/>
      <c r="R152" s="864"/>
      <c r="S152" s="864"/>
      <c r="T152" s="864"/>
      <c r="U152" s="868">
        <f>UnosNovoZaposl!E558</f>
        <v>0</v>
      </c>
      <c r="V152" s="868"/>
      <c r="W152" s="868"/>
      <c r="X152" s="868"/>
      <c r="Y152" s="868"/>
      <c r="Z152" s="868"/>
      <c r="AA152" s="868">
        <f>UnosNovoZaposl!B558</f>
        <v>0</v>
      </c>
      <c r="AB152" s="868"/>
      <c r="AC152" s="868"/>
      <c r="AD152" s="868"/>
      <c r="AE152" s="868"/>
      <c r="AF152" s="868"/>
      <c r="AG152" s="868">
        <f>UnosNovoZaposl!F558</f>
        <v>0</v>
      </c>
      <c r="AH152" s="868"/>
      <c r="AI152" s="868"/>
      <c r="AJ152" s="868"/>
      <c r="AK152" s="868"/>
      <c r="AL152" s="868"/>
      <c r="AM152" s="868">
        <f>UnosNovoZaposl!G558</f>
        <v>0</v>
      </c>
      <c r="AN152" s="868"/>
      <c r="AO152" s="868"/>
      <c r="AP152" s="868"/>
      <c r="AQ152" s="868"/>
      <c r="AR152" s="868"/>
      <c r="AS152" s="868">
        <f t="shared" si="2"/>
        <v>0</v>
      </c>
      <c r="AT152" s="868"/>
      <c r="AU152" s="868"/>
      <c r="AV152" s="868"/>
      <c r="AW152" s="868"/>
      <c r="AX152" s="868"/>
    </row>
    <row r="153" s="687" customFormat="1" ht="15" hidden="1" customHeight="1" spans="1:50">
      <c r="A153" s="745"/>
      <c r="B153" s="754" t="s">
        <v>6419</v>
      </c>
      <c r="C153" s="864">
        <f>UnosNovoZaposl!C559</f>
        <v>0</v>
      </c>
      <c r="D153" s="864"/>
      <c r="E153" s="864"/>
      <c r="F153" s="864"/>
      <c r="G153" s="864"/>
      <c r="H153" s="864"/>
      <c r="I153" s="864"/>
      <c r="J153" s="864"/>
      <c r="K153" s="864"/>
      <c r="L153" s="864"/>
      <c r="M153" s="864"/>
      <c r="N153" s="864">
        <f>UnosNovoZaposl!D559</f>
        <v>0</v>
      </c>
      <c r="O153" s="864"/>
      <c r="P153" s="864"/>
      <c r="Q153" s="864"/>
      <c r="R153" s="864"/>
      <c r="S153" s="864"/>
      <c r="T153" s="864"/>
      <c r="U153" s="868">
        <f>UnosNovoZaposl!E559</f>
        <v>0</v>
      </c>
      <c r="V153" s="868"/>
      <c r="W153" s="868"/>
      <c r="X153" s="868"/>
      <c r="Y153" s="868"/>
      <c r="Z153" s="868"/>
      <c r="AA153" s="868">
        <f>UnosNovoZaposl!B559</f>
        <v>0</v>
      </c>
      <c r="AB153" s="868"/>
      <c r="AC153" s="868"/>
      <c r="AD153" s="868"/>
      <c r="AE153" s="868"/>
      <c r="AF153" s="868"/>
      <c r="AG153" s="868">
        <f>UnosNovoZaposl!F559</f>
        <v>0</v>
      </c>
      <c r="AH153" s="868"/>
      <c r="AI153" s="868"/>
      <c r="AJ153" s="868"/>
      <c r="AK153" s="868"/>
      <c r="AL153" s="868"/>
      <c r="AM153" s="868">
        <f>UnosNovoZaposl!G559</f>
        <v>0</v>
      </c>
      <c r="AN153" s="868"/>
      <c r="AO153" s="868"/>
      <c r="AP153" s="868"/>
      <c r="AQ153" s="868"/>
      <c r="AR153" s="868"/>
      <c r="AS153" s="868">
        <f t="shared" si="2"/>
        <v>0</v>
      </c>
      <c r="AT153" s="868"/>
      <c r="AU153" s="868"/>
      <c r="AV153" s="868"/>
      <c r="AW153" s="868"/>
      <c r="AX153" s="868"/>
    </row>
    <row r="154" s="687" customFormat="1" ht="15" hidden="1" customHeight="1" spans="1:50">
      <c r="A154" s="745"/>
      <c r="B154" s="754" t="s">
        <v>6420</v>
      </c>
      <c r="C154" s="864">
        <f>UnosNovoZaposl!C560</f>
        <v>0</v>
      </c>
      <c r="D154" s="864"/>
      <c r="E154" s="864"/>
      <c r="F154" s="864"/>
      <c r="G154" s="864"/>
      <c r="H154" s="864"/>
      <c r="I154" s="864"/>
      <c r="J154" s="864"/>
      <c r="K154" s="864"/>
      <c r="L154" s="864"/>
      <c r="M154" s="864"/>
      <c r="N154" s="864">
        <f>UnosNovoZaposl!D560</f>
        <v>0</v>
      </c>
      <c r="O154" s="864"/>
      <c r="P154" s="864"/>
      <c r="Q154" s="864"/>
      <c r="R154" s="864"/>
      <c r="S154" s="864"/>
      <c r="T154" s="864"/>
      <c r="U154" s="868">
        <f>UnosNovoZaposl!E560</f>
        <v>0</v>
      </c>
      <c r="V154" s="868"/>
      <c r="W154" s="868"/>
      <c r="X154" s="868"/>
      <c r="Y154" s="868"/>
      <c r="Z154" s="868"/>
      <c r="AA154" s="868">
        <f>UnosNovoZaposl!B560</f>
        <v>0</v>
      </c>
      <c r="AB154" s="868"/>
      <c r="AC154" s="868"/>
      <c r="AD154" s="868"/>
      <c r="AE154" s="868"/>
      <c r="AF154" s="868"/>
      <c r="AG154" s="868">
        <f>UnosNovoZaposl!F560</f>
        <v>0</v>
      </c>
      <c r="AH154" s="868"/>
      <c r="AI154" s="868"/>
      <c r="AJ154" s="868"/>
      <c r="AK154" s="868"/>
      <c r="AL154" s="868"/>
      <c r="AM154" s="868">
        <f>UnosNovoZaposl!G560</f>
        <v>0</v>
      </c>
      <c r="AN154" s="868"/>
      <c r="AO154" s="868"/>
      <c r="AP154" s="868"/>
      <c r="AQ154" s="868"/>
      <c r="AR154" s="868"/>
      <c r="AS154" s="868">
        <f t="shared" si="2"/>
        <v>0</v>
      </c>
      <c r="AT154" s="868"/>
      <c r="AU154" s="868"/>
      <c r="AV154" s="868"/>
      <c r="AW154" s="868"/>
      <c r="AX154" s="868"/>
    </row>
    <row r="155" s="687" customFormat="1" ht="15" hidden="1" customHeight="1" spans="1:50">
      <c r="A155" s="745"/>
      <c r="B155" s="754" t="s">
        <v>6421</v>
      </c>
      <c r="C155" s="864">
        <f>UnosNovoZaposl!C561</f>
        <v>0</v>
      </c>
      <c r="D155" s="864"/>
      <c r="E155" s="864"/>
      <c r="F155" s="864"/>
      <c r="G155" s="864"/>
      <c r="H155" s="864"/>
      <c r="I155" s="864"/>
      <c r="J155" s="864"/>
      <c r="K155" s="864"/>
      <c r="L155" s="864"/>
      <c r="M155" s="864"/>
      <c r="N155" s="864">
        <f>UnosNovoZaposl!D561</f>
        <v>0</v>
      </c>
      <c r="O155" s="864"/>
      <c r="P155" s="864"/>
      <c r="Q155" s="864"/>
      <c r="R155" s="864"/>
      <c r="S155" s="864"/>
      <c r="T155" s="864"/>
      <c r="U155" s="868">
        <f>UnosNovoZaposl!E561</f>
        <v>0</v>
      </c>
      <c r="V155" s="868"/>
      <c r="W155" s="868"/>
      <c r="X155" s="868"/>
      <c r="Y155" s="868"/>
      <c r="Z155" s="868"/>
      <c r="AA155" s="868">
        <f>UnosNovoZaposl!B561</f>
        <v>0</v>
      </c>
      <c r="AB155" s="868"/>
      <c r="AC155" s="868"/>
      <c r="AD155" s="868"/>
      <c r="AE155" s="868"/>
      <c r="AF155" s="868"/>
      <c r="AG155" s="868">
        <f>UnosNovoZaposl!F561</f>
        <v>0</v>
      </c>
      <c r="AH155" s="868"/>
      <c r="AI155" s="868"/>
      <c r="AJ155" s="868"/>
      <c r="AK155" s="868"/>
      <c r="AL155" s="868"/>
      <c r="AM155" s="868">
        <f>UnosNovoZaposl!G561</f>
        <v>0</v>
      </c>
      <c r="AN155" s="868"/>
      <c r="AO155" s="868"/>
      <c r="AP155" s="868"/>
      <c r="AQ155" s="868"/>
      <c r="AR155" s="868"/>
      <c r="AS155" s="868">
        <f t="shared" si="2"/>
        <v>0</v>
      </c>
      <c r="AT155" s="868"/>
      <c r="AU155" s="868"/>
      <c r="AV155" s="868"/>
      <c r="AW155" s="868"/>
      <c r="AX155" s="868"/>
    </row>
    <row r="156" s="687" customFormat="1" ht="15" hidden="1" customHeight="1" spans="1:50">
      <c r="A156" s="745"/>
      <c r="B156" s="754" t="s">
        <v>6422</v>
      </c>
      <c r="C156" s="864">
        <f>UnosNovoZaposl!C562</f>
        <v>0</v>
      </c>
      <c r="D156" s="864"/>
      <c r="E156" s="864"/>
      <c r="F156" s="864"/>
      <c r="G156" s="864"/>
      <c r="H156" s="864"/>
      <c r="I156" s="864"/>
      <c r="J156" s="864"/>
      <c r="K156" s="864"/>
      <c r="L156" s="864"/>
      <c r="M156" s="864"/>
      <c r="N156" s="864">
        <f>UnosNovoZaposl!D562</f>
        <v>0</v>
      </c>
      <c r="O156" s="864"/>
      <c r="P156" s="864"/>
      <c r="Q156" s="864"/>
      <c r="R156" s="864"/>
      <c r="S156" s="864"/>
      <c r="T156" s="864"/>
      <c r="U156" s="868">
        <f>UnosNovoZaposl!E562</f>
        <v>0</v>
      </c>
      <c r="V156" s="868"/>
      <c r="W156" s="868"/>
      <c r="X156" s="868"/>
      <c r="Y156" s="868"/>
      <c r="Z156" s="868"/>
      <c r="AA156" s="868">
        <f>UnosNovoZaposl!B562</f>
        <v>0</v>
      </c>
      <c r="AB156" s="868"/>
      <c r="AC156" s="868"/>
      <c r="AD156" s="868"/>
      <c r="AE156" s="868"/>
      <c r="AF156" s="868"/>
      <c r="AG156" s="868">
        <f>UnosNovoZaposl!F562</f>
        <v>0</v>
      </c>
      <c r="AH156" s="868"/>
      <c r="AI156" s="868"/>
      <c r="AJ156" s="868"/>
      <c r="AK156" s="868"/>
      <c r="AL156" s="868"/>
      <c r="AM156" s="868">
        <f>UnosNovoZaposl!G562</f>
        <v>0</v>
      </c>
      <c r="AN156" s="868"/>
      <c r="AO156" s="868"/>
      <c r="AP156" s="868"/>
      <c r="AQ156" s="868"/>
      <c r="AR156" s="868"/>
      <c r="AS156" s="868">
        <f t="shared" si="2"/>
        <v>0</v>
      </c>
      <c r="AT156" s="868"/>
      <c r="AU156" s="868"/>
      <c r="AV156" s="868"/>
      <c r="AW156" s="868"/>
      <c r="AX156" s="868"/>
    </row>
    <row r="157" s="687" customFormat="1" ht="15" hidden="1" customHeight="1" spans="1:50">
      <c r="A157" s="745"/>
      <c r="B157" s="754" t="s">
        <v>6423</v>
      </c>
      <c r="C157" s="864">
        <f>UnosNovoZaposl!C563</f>
        <v>0</v>
      </c>
      <c r="D157" s="864"/>
      <c r="E157" s="864"/>
      <c r="F157" s="864"/>
      <c r="G157" s="864"/>
      <c r="H157" s="864"/>
      <c r="I157" s="864"/>
      <c r="J157" s="864"/>
      <c r="K157" s="864"/>
      <c r="L157" s="864"/>
      <c r="M157" s="864"/>
      <c r="N157" s="864">
        <f>UnosNovoZaposl!D563</f>
        <v>0</v>
      </c>
      <c r="O157" s="864"/>
      <c r="P157" s="864"/>
      <c r="Q157" s="864"/>
      <c r="R157" s="864"/>
      <c r="S157" s="864"/>
      <c r="T157" s="864"/>
      <c r="U157" s="868">
        <f>UnosNovoZaposl!E563</f>
        <v>0</v>
      </c>
      <c r="V157" s="868"/>
      <c r="W157" s="868"/>
      <c r="X157" s="868"/>
      <c r="Y157" s="868"/>
      <c r="Z157" s="868"/>
      <c r="AA157" s="868">
        <f>UnosNovoZaposl!B563</f>
        <v>0</v>
      </c>
      <c r="AB157" s="868"/>
      <c r="AC157" s="868"/>
      <c r="AD157" s="868"/>
      <c r="AE157" s="868"/>
      <c r="AF157" s="868"/>
      <c r="AG157" s="868">
        <f>UnosNovoZaposl!F563</f>
        <v>0</v>
      </c>
      <c r="AH157" s="868"/>
      <c r="AI157" s="868"/>
      <c r="AJ157" s="868"/>
      <c r="AK157" s="868"/>
      <c r="AL157" s="868"/>
      <c r="AM157" s="868">
        <f>UnosNovoZaposl!G563</f>
        <v>0</v>
      </c>
      <c r="AN157" s="868"/>
      <c r="AO157" s="868"/>
      <c r="AP157" s="868"/>
      <c r="AQ157" s="868"/>
      <c r="AR157" s="868"/>
      <c r="AS157" s="868">
        <f t="shared" si="2"/>
        <v>0</v>
      </c>
      <c r="AT157" s="868"/>
      <c r="AU157" s="868"/>
      <c r="AV157" s="868"/>
      <c r="AW157" s="868"/>
      <c r="AX157" s="868"/>
    </row>
    <row r="158" s="687" customFormat="1" ht="15" hidden="1" customHeight="1" spans="1:50">
      <c r="A158" s="745"/>
      <c r="B158" s="754" t="s">
        <v>6424</v>
      </c>
      <c r="C158" s="864">
        <f>UnosNovoZaposl!C564</f>
        <v>0</v>
      </c>
      <c r="D158" s="864"/>
      <c r="E158" s="864"/>
      <c r="F158" s="864"/>
      <c r="G158" s="864"/>
      <c r="H158" s="864"/>
      <c r="I158" s="864"/>
      <c r="J158" s="864"/>
      <c r="K158" s="864"/>
      <c r="L158" s="864"/>
      <c r="M158" s="864"/>
      <c r="N158" s="864">
        <f>UnosNovoZaposl!D564</f>
        <v>0</v>
      </c>
      <c r="O158" s="864"/>
      <c r="P158" s="864"/>
      <c r="Q158" s="864"/>
      <c r="R158" s="864"/>
      <c r="S158" s="864"/>
      <c r="T158" s="864"/>
      <c r="U158" s="868">
        <f>UnosNovoZaposl!E564</f>
        <v>0</v>
      </c>
      <c r="V158" s="868"/>
      <c r="W158" s="868"/>
      <c r="X158" s="868"/>
      <c r="Y158" s="868"/>
      <c r="Z158" s="868"/>
      <c r="AA158" s="868">
        <f>UnosNovoZaposl!B564</f>
        <v>0</v>
      </c>
      <c r="AB158" s="868"/>
      <c r="AC158" s="868"/>
      <c r="AD158" s="868"/>
      <c r="AE158" s="868"/>
      <c r="AF158" s="868"/>
      <c r="AG158" s="868">
        <f>UnosNovoZaposl!F564</f>
        <v>0</v>
      </c>
      <c r="AH158" s="868"/>
      <c r="AI158" s="868"/>
      <c r="AJ158" s="868"/>
      <c r="AK158" s="868"/>
      <c r="AL158" s="868"/>
      <c r="AM158" s="868">
        <f>UnosNovoZaposl!G564</f>
        <v>0</v>
      </c>
      <c r="AN158" s="868"/>
      <c r="AO158" s="868"/>
      <c r="AP158" s="868"/>
      <c r="AQ158" s="868"/>
      <c r="AR158" s="868"/>
      <c r="AS158" s="868">
        <f t="shared" si="2"/>
        <v>0</v>
      </c>
      <c r="AT158" s="868"/>
      <c r="AU158" s="868"/>
      <c r="AV158" s="868"/>
      <c r="AW158" s="868"/>
      <c r="AX158" s="868"/>
    </row>
    <row r="159" s="687" customFormat="1" ht="15" hidden="1" customHeight="1" spans="1:50">
      <c r="A159" s="745"/>
      <c r="B159" s="754" t="s">
        <v>6425</v>
      </c>
      <c r="C159" s="864">
        <f>UnosNovoZaposl!C565</f>
        <v>0</v>
      </c>
      <c r="D159" s="864"/>
      <c r="E159" s="864"/>
      <c r="F159" s="864"/>
      <c r="G159" s="864"/>
      <c r="H159" s="864"/>
      <c r="I159" s="864"/>
      <c r="J159" s="864"/>
      <c r="K159" s="864"/>
      <c r="L159" s="864"/>
      <c r="M159" s="864"/>
      <c r="N159" s="864">
        <f>UnosNovoZaposl!D565</f>
        <v>0</v>
      </c>
      <c r="O159" s="864"/>
      <c r="P159" s="864"/>
      <c r="Q159" s="864"/>
      <c r="R159" s="864"/>
      <c r="S159" s="864"/>
      <c r="T159" s="864"/>
      <c r="U159" s="868">
        <f>UnosNovoZaposl!E565</f>
        <v>0</v>
      </c>
      <c r="V159" s="868"/>
      <c r="W159" s="868"/>
      <c r="X159" s="868"/>
      <c r="Y159" s="868"/>
      <c r="Z159" s="868"/>
      <c r="AA159" s="868">
        <f>UnosNovoZaposl!B565</f>
        <v>0</v>
      </c>
      <c r="AB159" s="868"/>
      <c r="AC159" s="868"/>
      <c r="AD159" s="868"/>
      <c r="AE159" s="868"/>
      <c r="AF159" s="868"/>
      <c r="AG159" s="868">
        <f>UnosNovoZaposl!F565</f>
        <v>0</v>
      </c>
      <c r="AH159" s="868"/>
      <c r="AI159" s="868"/>
      <c r="AJ159" s="868"/>
      <c r="AK159" s="868"/>
      <c r="AL159" s="868"/>
      <c r="AM159" s="868">
        <f>UnosNovoZaposl!G565</f>
        <v>0</v>
      </c>
      <c r="AN159" s="868"/>
      <c r="AO159" s="868"/>
      <c r="AP159" s="868"/>
      <c r="AQ159" s="868"/>
      <c r="AR159" s="868"/>
      <c r="AS159" s="868">
        <f t="shared" si="2"/>
        <v>0</v>
      </c>
      <c r="AT159" s="868"/>
      <c r="AU159" s="868"/>
      <c r="AV159" s="868"/>
      <c r="AW159" s="868"/>
      <c r="AX159" s="868"/>
    </row>
    <row r="160" s="687" customFormat="1" ht="15" hidden="1" customHeight="1" spans="1:50">
      <c r="A160" s="745"/>
      <c r="B160" s="754" t="s">
        <v>6426</v>
      </c>
      <c r="C160" s="864">
        <f>UnosNovoZaposl!C566</f>
        <v>0</v>
      </c>
      <c r="D160" s="864"/>
      <c r="E160" s="864"/>
      <c r="F160" s="864"/>
      <c r="G160" s="864"/>
      <c r="H160" s="864"/>
      <c r="I160" s="864"/>
      <c r="J160" s="864"/>
      <c r="K160" s="864"/>
      <c r="L160" s="864"/>
      <c r="M160" s="864"/>
      <c r="N160" s="864">
        <f>UnosNovoZaposl!D566</f>
        <v>0</v>
      </c>
      <c r="O160" s="864"/>
      <c r="P160" s="864"/>
      <c r="Q160" s="864"/>
      <c r="R160" s="864"/>
      <c r="S160" s="864"/>
      <c r="T160" s="864"/>
      <c r="U160" s="868">
        <f>UnosNovoZaposl!E566</f>
        <v>0</v>
      </c>
      <c r="V160" s="868"/>
      <c r="W160" s="868"/>
      <c r="X160" s="868"/>
      <c r="Y160" s="868"/>
      <c r="Z160" s="868"/>
      <c r="AA160" s="868">
        <f>UnosNovoZaposl!B566</f>
        <v>0</v>
      </c>
      <c r="AB160" s="868"/>
      <c r="AC160" s="868"/>
      <c r="AD160" s="868"/>
      <c r="AE160" s="868"/>
      <c r="AF160" s="868"/>
      <c r="AG160" s="868">
        <f>UnosNovoZaposl!F566</f>
        <v>0</v>
      </c>
      <c r="AH160" s="868"/>
      <c r="AI160" s="868"/>
      <c r="AJ160" s="868"/>
      <c r="AK160" s="868"/>
      <c r="AL160" s="868"/>
      <c r="AM160" s="868">
        <f>UnosNovoZaposl!G566</f>
        <v>0</v>
      </c>
      <c r="AN160" s="868"/>
      <c r="AO160" s="868"/>
      <c r="AP160" s="868"/>
      <c r="AQ160" s="868"/>
      <c r="AR160" s="868"/>
      <c r="AS160" s="868">
        <f t="shared" si="2"/>
        <v>0</v>
      </c>
      <c r="AT160" s="868"/>
      <c r="AU160" s="868"/>
      <c r="AV160" s="868"/>
      <c r="AW160" s="868"/>
      <c r="AX160" s="868"/>
    </row>
    <row r="161" s="687" customFormat="1" ht="15" hidden="1" customHeight="1" spans="1:50">
      <c r="A161" s="745"/>
      <c r="B161" s="754" t="s">
        <v>6427</v>
      </c>
      <c r="C161" s="864">
        <f>UnosNovoZaposl!C567</f>
        <v>0</v>
      </c>
      <c r="D161" s="864"/>
      <c r="E161" s="864"/>
      <c r="F161" s="864"/>
      <c r="G161" s="864"/>
      <c r="H161" s="864"/>
      <c r="I161" s="864"/>
      <c r="J161" s="864"/>
      <c r="K161" s="864"/>
      <c r="L161" s="864"/>
      <c r="M161" s="864"/>
      <c r="N161" s="864">
        <f>UnosNovoZaposl!D567</f>
        <v>0</v>
      </c>
      <c r="O161" s="864"/>
      <c r="P161" s="864"/>
      <c r="Q161" s="864"/>
      <c r="R161" s="864"/>
      <c r="S161" s="864"/>
      <c r="T161" s="864"/>
      <c r="U161" s="868">
        <f>UnosNovoZaposl!E567</f>
        <v>0</v>
      </c>
      <c r="V161" s="868"/>
      <c r="W161" s="868"/>
      <c r="X161" s="868"/>
      <c r="Y161" s="868"/>
      <c r="Z161" s="868"/>
      <c r="AA161" s="868">
        <f>UnosNovoZaposl!B567</f>
        <v>0</v>
      </c>
      <c r="AB161" s="868"/>
      <c r="AC161" s="868"/>
      <c r="AD161" s="868"/>
      <c r="AE161" s="868"/>
      <c r="AF161" s="868"/>
      <c r="AG161" s="868">
        <f>UnosNovoZaposl!F567</f>
        <v>0</v>
      </c>
      <c r="AH161" s="868"/>
      <c r="AI161" s="868"/>
      <c r="AJ161" s="868"/>
      <c r="AK161" s="868"/>
      <c r="AL161" s="868"/>
      <c r="AM161" s="868">
        <f>UnosNovoZaposl!G567</f>
        <v>0</v>
      </c>
      <c r="AN161" s="868"/>
      <c r="AO161" s="868"/>
      <c r="AP161" s="868"/>
      <c r="AQ161" s="868"/>
      <c r="AR161" s="868"/>
      <c r="AS161" s="868">
        <f t="shared" si="2"/>
        <v>0</v>
      </c>
      <c r="AT161" s="868"/>
      <c r="AU161" s="868"/>
      <c r="AV161" s="868"/>
      <c r="AW161" s="868"/>
      <c r="AX161" s="868"/>
    </row>
    <row r="162" s="687" customFormat="1" ht="15" hidden="1" customHeight="1" spans="1:50">
      <c r="A162" s="745"/>
      <c r="B162" s="754" t="s">
        <v>6428</v>
      </c>
      <c r="C162" s="864">
        <f>UnosNovoZaposl!C568</f>
        <v>0</v>
      </c>
      <c r="D162" s="864"/>
      <c r="E162" s="864"/>
      <c r="F162" s="864"/>
      <c r="G162" s="864"/>
      <c r="H162" s="864"/>
      <c r="I162" s="864"/>
      <c r="J162" s="864"/>
      <c r="K162" s="864"/>
      <c r="L162" s="864"/>
      <c r="M162" s="864"/>
      <c r="N162" s="864">
        <f>UnosNovoZaposl!D568</f>
        <v>0</v>
      </c>
      <c r="O162" s="864"/>
      <c r="P162" s="864"/>
      <c r="Q162" s="864"/>
      <c r="R162" s="864"/>
      <c r="S162" s="864"/>
      <c r="T162" s="864"/>
      <c r="U162" s="868">
        <f>UnosNovoZaposl!E568</f>
        <v>0</v>
      </c>
      <c r="V162" s="868"/>
      <c r="W162" s="868"/>
      <c r="X162" s="868"/>
      <c r="Y162" s="868"/>
      <c r="Z162" s="868"/>
      <c r="AA162" s="868">
        <f>UnosNovoZaposl!B568</f>
        <v>0</v>
      </c>
      <c r="AB162" s="868"/>
      <c r="AC162" s="868"/>
      <c r="AD162" s="868"/>
      <c r="AE162" s="868"/>
      <c r="AF162" s="868"/>
      <c r="AG162" s="868">
        <f>UnosNovoZaposl!F568</f>
        <v>0</v>
      </c>
      <c r="AH162" s="868"/>
      <c r="AI162" s="868"/>
      <c r="AJ162" s="868"/>
      <c r="AK162" s="868"/>
      <c r="AL162" s="868"/>
      <c r="AM162" s="868">
        <f>UnosNovoZaposl!G568</f>
        <v>0</v>
      </c>
      <c r="AN162" s="868"/>
      <c r="AO162" s="868"/>
      <c r="AP162" s="868"/>
      <c r="AQ162" s="868"/>
      <c r="AR162" s="868"/>
      <c r="AS162" s="868">
        <f t="shared" si="2"/>
        <v>0</v>
      </c>
      <c r="AT162" s="868"/>
      <c r="AU162" s="868"/>
      <c r="AV162" s="868"/>
      <c r="AW162" s="868"/>
      <c r="AX162" s="868"/>
    </row>
    <row r="163" s="687" customFormat="1" ht="15" hidden="1" customHeight="1" spans="1:50">
      <c r="A163" s="745"/>
      <c r="B163" s="754" t="s">
        <v>6429</v>
      </c>
      <c r="C163" s="864">
        <f>UnosNovoZaposl!C569</f>
        <v>0</v>
      </c>
      <c r="D163" s="864"/>
      <c r="E163" s="864"/>
      <c r="F163" s="864"/>
      <c r="G163" s="864"/>
      <c r="H163" s="864"/>
      <c r="I163" s="864"/>
      <c r="J163" s="864"/>
      <c r="K163" s="864"/>
      <c r="L163" s="864"/>
      <c r="M163" s="864"/>
      <c r="N163" s="864">
        <f>UnosNovoZaposl!D569</f>
        <v>0</v>
      </c>
      <c r="O163" s="864"/>
      <c r="P163" s="864"/>
      <c r="Q163" s="864"/>
      <c r="R163" s="864"/>
      <c r="S163" s="864"/>
      <c r="T163" s="864"/>
      <c r="U163" s="868">
        <f>UnosNovoZaposl!E569</f>
        <v>0</v>
      </c>
      <c r="V163" s="868"/>
      <c r="W163" s="868"/>
      <c r="X163" s="868"/>
      <c r="Y163" s="868"/>
      <c r="Z163" s="868"/>
      <c r="AA163" s="868">
        <f>UnosNovoZaposl!B569</f>
        <v>0</v>
      </c>
      <c r="AB163" s="868"/>
      <c r="AC163" s="868"/>
      <c r="AD163" s="868"/>
      <c r="AE163" s="868"/>
      <c r="AF163" s="868"/>
      <c r="AG163" s="868">
        <f>UnosNovoZaposl!F569</f>
        <v>0</v>
      </c>
      <c r="AH163" s="868"/>
      <c r="AI163" s="868"/>
      <c r="AJ163" s="868"/>
      <c r="AK163" s="868"/>
      <c r="AL163" s="868"/>
      <c r="AM163" s="868">
        <f>UnosNovoZaposl!G569</f>
        <v>0</v>
      </c>
      <c r="AN163" s="868"/>
      <c r="AO163" s="868"/>
      <c r="AP163" s="868"/>
      <c r="AQ163" s="868"/>
      <c r="AR163" s="868"/>
      <c r="AS163" s="868">
        <f t="shared" si="2"/>
        <v>0</v>
      </c>
      <c r="AT163" s="868"/>
      <c r="AU163" s="868"/>
      <c r="AV163" s="868"/>
      <c r="AW163" s="868"/>
      <c r="AX163" s="868"/>
    </row>
    <row r="164" s="687" customFormat="1" ht="15" hidden="1" customHeight="1" spans="1:50">
      <c r="A164" s="745"/>
      <c r="B164" s="754" t="s">
        <v>6430</v>
      </c>
      <c r="C164" s="864">
        <f>UnosNovoZaposl!C570</f>
        <v>0</v>
      </c>
      <c r="D164" s="864"/>
      <c r="E164" s="864"/>
      <c r="F164" s="864"/>
      <c r="G164" s="864"/>
      <c r="H164" s="864"/>
      <c r="I164" s="864"/>
      <c r="J164" s="864"/>
      <c r="K164" s="864"/>
      <c r="L164" s="864"/>
      <c r="M164" s="864"/>
      <c r="N164" s="864">
        <f>UnosNovoZaposl!D570</f>
        <v>0</v>
      </c>
      <c r="O164" s="864"/>
      <c r="P164" s="864"/>
      <c r="Q164" s="864"/>
      <c r="R164" s="864"/>
      <c r="S164" s="864"/>
      <c r="T164" s="864"/>
      <c r="U164" s="868">
        <f>UnosNovoZaposl!E570</f>
        <v>0</v>
      </c>
      <c r="V164" s="868"/>
      <c r="W164" s="868"/>
      <c r="X164" s="868"/>
      <c r="Y164" s="868"/>
      <c r="Z164" s="868"/>
      <c r="AA164" s="868">
        <f>UnosNovoZaposl!B570</f>
        <v>0</v>
      </c>
      <c r="AB164" s="868"/>
      <c r="AC164" s="868"/>
      <c r="AD164" s="868"/>
      <c r="AE164" s="868"/>
      <c r="AF164" s="868"/>
      <c r="AG164" s="868">
        <f>UnosNovoZaposl!F570</f>
        <v>0</v>
      </c>
      <c r="AH164" s="868"/>
      <c r="AI164" s="868"/>
      <c r="AJ164" s="868"/>
      <c r="AK164" s="868"/>
      <c r="AL164" s="868"/>
      <c r="AM164" s="868">
        <f>UnosNovoZaposl!G570</f>
        <v>0</v>
      </c>
      <c r="AN164" s="868"/>
      <c r="AO164" s="868"/>
      <c r="AP164" s="868"/>
      <c r="AQ164" s="868"/>
      <c r="AR164" s="868"/>
      <c r="AS164" s="868">
        <f t="shared" si="2"/>
        <v>0</v>
      </c>
      <c r="AT164" s="868"/>
      <c r="AU164" s="868"/>
      <c r="AV164" s="868"/>
      <c r="AW164" s="868"/>
      <c r="AX164" s="868"/>
    </row>
    <row r="165" s="687" customFormat="1" ht="15" hidden="1" customHeight="1" spans="1:50">
      <c r="A165" s="745"/>
      <c r="B165" s="754" t="s">
        <v>6431</v>
      </c>
      <c r="C165" s="864">
        <f>UnosNovoZaposl!C571</f>
        <v>0</v>
      </c>
      <c r="D165" s="864"/>
      <c r="E165" s="864"/>
      <c r="F165" s="864"/>
      <c r="G165" s="864"/>
      <c r="H165" s="864"/>
      <c r="I165" s="864"/>
      <c r="J165" s="864"/>
      <c r="K165" s="864"/>
      <c r="L165" s="864"/>
      <c r="M165" s="864"/>
      <c r="N165" s="864">
        <f>UnosNovoZaposl!D571</f>
        <v>0</v>
      </c>
      <c r="O165" s="864"/>
      <c r="P165" s="864"/>
      <c r="Q165" s="864"/>
      <c r="R165" s="864"/>
      <c r="S165" s="864"/>
      <c r="T165" s="864"/>
      <c r="U165" s="868">
        <f>UnosNovoZaposl!E571</f>
        <v>0</v>
      </c>
      <c r="V165" s="868"/>
      <c r="W165" s="868"/>
      <c r="X165" s="868"/>
      <c r="Y165" s="868"/>
      <c r="Z165" s="868"/>
      <c r="AA165" s="868">
        <f>UnosNovoZaposl!B571</f>
        <v>0</v>
      </c>
      <c r="AB165" s="868"/>
      <c r="AC165" s="868"/>
      <c r="AD165" s="868"/>
      <c r="AE165" s="868"/>
      <c r="AF165" s="868"/>
      <c r="AG165" s="868">
        <f>UnosNovoZaposl!F571</f>
        <v>0</v>
      </c>
      <c r="AH165" s="868"/>
      <c r="AI165" s="868"/>
      <c r="AJ165" s="868"/>
      <c r="AK165" s="868"/>
      <c r="AL165" s="868"/>
      <c r="AM165" s="868">
        <f>UnosNovoZaposl!G571</f>
        <v>0</v>
      </c>
      <c r="AN165" s="868"/>
      <c r="AO165" s="868"/>
      <c r="AP165" s="868"/>
      <c r="AQ165" s="868"/>
      <c r="AR165" s="868"/>
      <c r="AS165" s="868">
        <f t="shared" si="2"/>
        <v>0</v>
      </c>
      <c r="AT165" s="868"/>
      <c r="AU165" s="868"/>
      <c r="AV165" s="868"/>
      <c r="AW165" s="868"/>
      <c r="AX165" s="868"/>
    </row>
    <row r="166" s="687" customFormat="1" ht="15" hidden="1" customHeight="1" spans="1:50">
      <c r="A166" s="745"/>
      <c r="B166" s="754" t="s">
        <v>6432</v>
      </c>
      <c r="C166" s="864">
        <f>UnosNovoZaposl!C572</f>
        <v>0</v>
      </c>
      <c r="D166" s="864"/>
      <c r="E166" s="864"/>
      <c r="F166" s="864"/>
      <c r="G166" s="864"/>
      <c r="H166" s="864"/>
      <c r="I166" s="864"/>
      <c r="J166" s="864"/>
      <c r="K166" s="864"/>
      <c r="L166" s="864"/>
      <c r="M166" s="864"/>
      <c r="N166" s="864">
        <f>UnosNovoZaposl!D572</f>
        <v>0</v>
      </c>
      <c r="O166" s="864"/>
      <c r="P166" s="864"/>
      <c r="Q166" s="864"/>
      <c r="R166" s="864"/>
      <c r="S166" s="864"/>
      <c r="T166" s="864"/>
      <c r="U166" s="868">
        <f>UnosNovoZaposl!E572</f>
        <v>0</v>
      </c>
      <c r="V166" s="868"/>
      <c r="W166" s="868"/>
      <c r="X166" s="868"/>
      <c r="Y166" s="868"/>
      <c r="Z166" s="868"/>
      <c r="AA166" s="868">
        <f>UnosNovoZaposl!B572</f>
        <v>0</v>
      </c>
      <c r="AB166" s="868"/>
      <c r="AC166" s="868"/>
      <c r="AD166" s="868"/>
      <c r="AE166" s="868"/>
      <c r="AF166" s="868"/>
      <c r="AG166" s="868">
        <f>UnosNovoZaposl!F572</f>
        <v>0</v>
      </c>
      <c r="AH166" s="868"/>
      <c r="AI166" s="868"/>
      <c r="AJ166" s="868"/>
      <c r="AK166" s="868"/>
      <c r="AL166" s="868"/>
      <c r="AM166" s="868">
        <f>UnosNovoZaposl!G572</f>
        <v>0</v>
      </c>
      <c r="AN166" s="868"/>
      <c r="AO166" s="868"/>
      <c r="AP166" s="868"/>
      <c r="AQ166" s="868"/>
      <c r="AR166" s="868"/>
      <c r="AS166" s="868">
        <f t="shared" si="2"/>
        <v>0</v>
      </c>
      <c r="AT166" s="868"/>
      <c r="AU166" s="868"/>
      <c r="AV166" s="868"/>
      <c r="AW166" s="868"/>
      <c r="AX166" s="868"/>
    </row>
    <row r="167" s="687" customFormat="1" ht="15" hidden="1" customHeight="1" spans="1:50">
      <c r="A167" s="745"/>
      <c r="B167" s="754" t="s">
        <v>6433</v>
      </c>
      <c r="C167" s="864">
        <f>UnosNovoZaposl!C573</f>
        <v>0</v>
      </c>
      <c r="D167" s="864"/>
      <c r="E167" s="864"/>
      <c r="F167" s="864"/>
      <c r="G167" s="864"/>
      <c r="H167" s="864"/>
      <c r="I167" s="864"/>
      <c r="J167" s="864"/>
      <c r="K167" s="864"/>
      <c r="L167" s="864"/>
      <c r="M167" s="864"/>
      <c r="N167" s="864">
        <f>UnosNovoZaposl!D573</f>
        <v>0</v>
      </c>
      <c r="O167" s="864"/>
      <c r="P167" s="864"/>
      <c r="Q167" s="864"/>
      <c r="R167" s="864"/>
      <c r="S167" s="864"/>
      <c r="T167" s="864"/>
      <c r="U167" s="868">
        <f>UnosNovoZaposl!E573</f>
        <v>0</v>
      </c>
      <c r="V167" s="868"/>
      <c r="W167" s="868"/>
      <c r="X167" s="868"/>
      <c r="Y167" s="868"/>
      <c r="Z167" s="868"/>
      <c r="AA167" s="868">
        <f>UnosNovoZaposl!B573</f>
        <v>0</v>
      </c>
      <c r="AB167" s="868"/>
      <c r="AC167" s="868"/>
      <c r="AD167" s="868"/>
      <c r="AE167" s="868"/>
      <c r="AF167" s="868"/>
      <c r="AG167" s="868">
        <f>UnosNovoZaposl!F573</f>
        <v>0</v>
      </c>
      <c r="AH167" s="868"/>
      <c r="AI167" s="868"/>
      <c r="AJ167" s="868"/>
      <c r="AK167" s="868"/>
      <c r="AL167" s="868"/>
      <c r="AM167" s="868">
        <f>UnosNovoZaposl!G573</f>
        <v>0</v>
      </c>
      <c r="AN167" s="868"/>
      <c r="AO167" s="868"/>
      <c r="AP167" s="868"/>
      <c r="AQ167" s="868"/>
      <c r="AR167" s="868"/>
      <c r="AS167" s="868">
        <f t="shared" si="2"/>
        <v>0</v>
      </c>
      <c r="AT167" s="868"/>
      <c r="AU167" s="868"/>
      <c r="AV167" s="868"/>
      <c r="AW167" s="868"/>
      <c r="AX167" s="868"/>
    </row>
    <row r="168" s="687" customFormat="1" ht="15" hidden="1" customHeight="1" spans="1:50">
      <c r="A168" s="745"/>
      <c r="B168" s="754" t="s">
        <v>6434</v>
      </c>
      <c r="C168" s="864">
        <f>UnosNovoZaposl!C574</f>
        <v>0</v>
      </c>
      <c r="D168" s="864"/>
      <c r="E168" s="864"/>
      <c r="F168" s="864"/>
      <c r="G168" s="864"/>
      <c r="H168" s="864"/>
      <c r="I168" s="864"/>
      <c r="J168" s="864"/>
      <c r="K168" s="864"/>
      <c r="L168" s="864"/>
      <c r="M168" s="864"/>
      <c r="N168" s="864">
        <f>UnosNovoZaposl!D574</f>
        <v>0</v>
      </c>
      <c r="O168" s="864"/>
      <c r="P168" s="864"/>
      <c r="Q168" s="864"/>
      <c r="R168" s="864"/>
      <c r="S168" s="864"/>
      <c r="T168" s="864"/>
      <c r="U168" s="868">
        <f>UnosNovoZaposl!E574</f>
        <v>0</v>
      </c>
      <c r="V168" s="868"/>
      <c r="W168" s="868"/>
      <c r="X168" s="868"/>
      <c r="Y168" s="868"/>
      <c r="Z168" s="868"/>
      <c r="AA168" s="868">
        <f>UnosNovoZaposl!B574</f>
        <v>0</v>
      </c>
      <c r="AB168" s="868"/>
      <c r="AC168" s="868"/>
      <c r="AD168" s="868"/>
      <c r="AE168" s="868"/>
      <c r="AF168" s="868"/>
      <c r="AG168" s="868">
        <f>UnosNovoZaposl!F574</f>
        <v>0</v>
      </c>
      <c r="AH168" s="868"/>
      <c r="AI168" s="868"/>
      <c r="AJ168" s="868"/>
      <c r="AK168" s="868"/>
      <c r="AL168" s="868"/>
      <c r="AM168" s="868">
        <f>UnosNovoZaposl!G574</f>
        <v>0</v>
      </c>
      <c r="AN168" s="868"/>
      <c r="AO168" s="868"/>
      <c r="AP168" s="868"/>
      <c r="AQ168" s="868"/>
      <c r="AR168" s="868"/>
      <c r="AS168" s="868">
        <f t="shared" si="2"/>
        <v>0</v>
      </c>
      <c r="AT168" s="868"/>
      <c r="AU168" s="868"/>
      <c r="AV168" s="868"/>
      <c r="AW168" s="868"/>
      <c r="AX168" s="868"/>
    </row>
    <row r="169" s="687" customFormat="1" ht="15" hidden="1" customHeight="1" spans="1:50">
      <c r="A169" s="745"/>
      <c r="B169" s="754" t="s">
        <v>6435</v>
      </c>
      <c r="C169" s="864">
        <f>UnosNovoZaposl!C575</f>
        <v>0</v>
      </c>
      <c r="D169" s="864"/>
      <c r="E169" s="864"/>
      <c r="F169" s="864"/>
      <c r="G169" s="864"/>
      <c r="H169" s="864"/>
      <c r="I169" s="864"/>
      <c r="J169" s="864"/>
      <c r="K169" s="864"/>
      <c r="L169" s="864"/>
      <c r="M169" s="864"/>
      <c r="N169" s="864">
        <f>UnosNovoZaposl!D575</f>
        <v>0</v>
      </c>
      <c r="O169" s="864"/>
      <c r="P169" s="864"/>
      <c r="Q169" s="864"/>
      <c r="R169" s="864"/>
      <c r="S169" s="864"/>
      <c r="T169" s="864"/>
      <c r="U169" s="868">
        <f>UnosNovoZaposl!E575</f>
        <v>0</v>
      </c>
      <c r="V169" s="868"/>
      <c r="W169" s="868"/>
      <c r="X169" s="868"/>
      <c r="Y169" s="868"/>
      <c r="Z169" s="868"/>
      <c r="AA169" s="868">
        <f>UnosNovoZaposl!B575</f>
        <v>0</v>
      </c>
      <c r="AB169" s="868"/>
      <c r="AC169" s="868"/>
      <c r="AD169" s="868"/>
      <c r="AE169" s="868"/>
      <c r="AF169" s="868"/>
      <c r="AG169" s="868">
        <f>UnosNovoZaposl!F575</f>
        <v>0</v>
      </c>
      <c r="AH169" s="868"/>
      <c r="AI169" s="868"/>
      <c r="AJ169" s="868"/>
      <c r="AK169" s="868"/>
      <c r="AL169" s="868"/>
      <c r="AM169" s="868">
        <f>UnosNovoZaposl!G575</f>
        <v>0</v>
      </c>
      <c r="AN169" s="868"/>
      <c r="AO169" s="868"/>
      <c r="AP169" s="868"/>
      <c r="AQ169" s="868"/>
      <c r="AR169" s="868"/>
      <c r="AS169" s="868">
        <f t="shared" si="2"/>
        <v>0</v>
      </c>
      <c r="AT169" s="868"/>
      <c r="AU169" s="868"/>
      <c r="AV169" s="868"/>
      <c r="AW169" s="868"/>
      <c r="AX169" s="868"/>
    </row>
    <row r="170" s="687" customFormat="1" ht="15" hidden="1" customHeight="1" spans="1:50">
      <c r="A170" s="745"/>
      <c r="B170" s="754" t="s">
        <v>6436</v>
      </c>
      <c r="C170" s="864">
        <f>UnosNovoZaposl!C576</f>
        <v>0</v>
      </c>
      <c r="D170" s="864"/>
      <c r="E170" s="864"/>
      <c r="F170" s="864"/>
      <c r="G170" s="864"/>
      <c r="H170" s="864"/>
      <c r="I170" s="864"/>
      <c r="J170" s="864"/>
      <c r="K170" s="864"/>
      <c r="L170" s="864"/>
      <c r="M170" s="864"/>
      <c r="N170" s="864">
        <f>UnosNovoZaposl!D576</f>
        <v>0</v>
      </c>
      <c r="O170" s="864"/>
      <c r="P170" s="864"/>
      <c r="Q170" s="864"/>
      <c r="R170" s="864"/>
      <c r="S170" s="864"/>
      <c r="T170" s="864"/>
      <c r="U170" s="868">
        <f>UnosNovoZaposl!E576</f>
        <v>0</v>
      </c>
      <c r="V170" s="868"/>
      <c r="W170" s="868"/>
      <c r="X170" s="868"/>
      <c r="Y170" s="868"/>
      <c r="Z170" s="868"/>
      <c r="AA170" s="868">
        <f>UnosNovoZaposl!B576</f>
        <v>0</v>
      </c>
      <c r="AB170" s="868"/>
      <c r="AC170" s="868"/>
      <c r="AD170" s="868"/>
      <c r="AE170" s="868"/>
      <c r="AF170" s="868"/>
      <c r="AG170" s="868">
        <f>UnosNovoZaposl!F576</f>
        <v>0</v>
      </c>
      <c r="AH170" s="868"/>
      <c r="AI170" s="868"/>
      <c r="AJ170" s="868"/>
      <c r="AK170" s="868"/>
      <c r="AL170" s="868"/>
      <c r="AM170" s="868">
        <f>UnosNovoZaposl!G576</f>
        <v>0</v>
      </c>
      <c r="AN170" s="868"/>
      <c r="AO170" s="868"/>
      <c r="AP170" s="868"/>
      <c r="AQ170" s="868"/>
      <c r="AR170" s="868"/>
      <c r="AS170" s="868">
        <f t="shared" si="2"/>
        <v>0</v>
      </c>
      <c r="AT170" s="868"/>
      <c r="AU170" s="868"/>
      <c r="AV170" s="868"/>
      <c r="AW170" s="868"/>
      <c r="AX170" s="868"/>
    </row>
    <row r="171" s="687" customFormat="1" ht="15" hidden="1" customHeight="1" spans="1:50">
      <c r="A171" s="745"/>
      <c r="B171" s="754" t="s">
        <v>6437</v>
      </c>
      <c r="C171" s="864">
        <f>UnosNovoZaposl!C577</f>
        <v>0</v>
      </c>
      <c r="D171" s="864"/>
      <c r="E171" s="864"/>
      <c r="F171" s="864"/>
      <c r="G171" s="864"/>
      <c r="H171" s="864"/>
      <c r="I171" s="864"/>
      <c r="J171" s="864"/>
      <c r="K171" s="864"/>
      <c r="L171" s="864"/>
      <c r="M171" s="864"/>
      <c r="N171" s="864">
        <f>UnosNovoZaposl!D577</f>
        <v>0</v>
      </c>
      <c r="O171" s="864"/>
      <c r="P171" s="864"/>
      <c r="Q171" s="864"/>
      <c r="R171" s="864"/>
      <c r="S171" s="864"/>
      <c r="T171" s="864"/>
      <c r="U171" s="868">
        <f>UnosNovoZaposl!E577</f>
        <v>0</v>
      </c>
      <c r="V171" s="868"/>
      <c r="W171" s="868"/>
      <c r="X171" s="868"/>
      <c r="Y171" s="868"/>
      <c r="Z171" s="868"/>
      <c r="AA171" s="868">
        <f>UnosNovoZaposl!B577</f>
        <v>0</v>
      </c>
      <c r="AB171" s="868"/>
      <c r="AC171" s="868"/>
      <c r="AD171" s="868"/>
      <c r="AE171" s="868"/>
      <c r="AF171" s="868"/>
      <c r="AG171" s="868">
        <f>UnosNovoZaposl!F577</f>
        <v>0</v>
      </c>
      <c r="AH171" s="868"/>
      <c r="AI171" s="868"/>
      <c r="AJ171" s="868"/>
      <c r="AK171" s="868"/>
      <c r="AL171" s="868"/>
      <c r="AM171" s="868">
        <f>UnosNovoZaposl!G577</f>
        <v>0</v>
      </c>
      <c r="AN171" s="868"/>
      <c r="AO171" s="868"/>
      <c r="AP171" s="868"/>
      <c r="AQ171" s="868"/>
      <c r="AR171" s="868"/>
      <c r="AS171" s="868">
        <f t="shared" si="2"/>
        <v>0</v>
      </c>
      <c r="AT171" s="868"/>
      <c r="AU171" s="868"/>
      <c r="AV171" s="868"/>
      <c r="AW171" s="868"/>
      <c r="AX171" s="868"/>
    </row>
    <row r="172" s="687" customFormat="1" ht="15" hidden="1" customHeight="1" spans="1:50">
      <c r="A172" s="745"/>
      <c r="B172" s="754" t="s">
        <v>6438</v>
      </c>
      <c r="C172" s="864">
        <f>UnosNovoZaposl!C578</f>
        <v>0</v>
      </c>
      <c r="D172" s="864"/>
      <c r="E172" s="864"/>
      <c r="F172" s="864"/>
      <c r="G172" s="864"/>
      <c r="H172" s="864"/>
      <c r="I172" s="864"/>
      <c r="J172" s="864"/>
      <c r="K172" s="864"/>
      <c r="L172" s="864"/>
      <c r="M172" s="864"/>
      <c r="N172" s="864">
        <f>UnosNovoZaposl!D578</f>
        <v>0</v>
      </c>
      <c r="O172" s="864"/>
      <c r="P172" s="864"/>
      <c r="Q172" s="864"/>
      <c r="R172" s="864"/>
      <c r="S172" s="864"/>
      <c r="T172" s="864"/>
      <c r="U172" s="868">
        <f>UnosNovoZaposl!E578</f>
        <v>0</v>
      </c>
      <c r="V172" s="868"/>
      <c r="W172" s="868"/>
      <c r="X172" s="868"/>
      <c r="Y172" s="868"/>
      <c r="Z172" s="868"/>
      <c r="AA172" s="868">
        <f>UnosNovoZaposl!B578</f>
        <v>0</v>
      </c>
      <c r="AB172" s="868"/>
      <c r="AC172" s="868"/>
      <c r="AD172" s="868"/>
      <c r="AE172" s="868"/>
      <c r="AF172" s="868"/>
      <c r="AG172" s="868">
        <f>UnosNovoZaposl!F578</f>
        <v>0</v>
      </c>
      <c r="AH172" s="868"/>
      <c r="AI172" s="868"/>
      <c r="AJ172" s="868"/>
      <c r="AK172" s="868"/>
      <c r="AL172" s="868"/>
      <c r="AM172" s="868">
        <f>UnosNovoZaposl!G578</f>
        <v>0</v>
      </c>
      <c r="AN172" s="868"/>
      <c r="AO172" s="868"/>
      <c r="AP172" s="868"/>
      <c r="AQ172" s="868"/>
      <c r="AR172" s="868"/>
      <c r="AS172" s="868">
        <f t="shared" ref="AS172:AS212" si="3">AG172+AM172</f>
        <v>0</v>
      </c>
      <c r="AT172" s="868"/>
      <c r="AU172" s="868"/>
      <c r="AV172" s="868"/>
      <c r="AW172" s="868"/>
      <c r="AX172" s="868"/>
    </row>
    <row r="173" s="687" customFormat="1" ht="15" hidden="1" customHeight="1" spans="1:50">
      <c r="A173" s="745"/>
      <c r="B173" s="754" t="s">
        <v>6439</v>
      </c>
      <c r="C173" s="864">
        <f>UnosNovoZaposl!C579</f>
        <v>0</v>
      </c>
      <c r="D173" s="864"/>
      <c r="E173" s="864"/>
      <c r="F173" s="864"/>
      <c r="G173" s="864"/>
      <c r="H173" s="864"/>
      <c r="I173" s="864"/>
      <c r="J173" s="864"/>
      <c r="K173" s="864"/>
      <c r="L173" s="864"/>
      <c r="M173" s="864"/>
      <c r="N173" s="864">
        <f>UnosNovoZaposl!D579</f>
        <v>0</v>
      </c>
      <c r="O173" s="864"/>
      <c r="P173" s="864"/>
      <c r="Q173" s="864"/>
      <c r="R173" s="864"/>
      <c r="S173" s="864"/>
      <c r="T173" s="864"/>
      <c r="U173" s="868">
        <f>UnosNovoZaposl!E579</f>
        <v>0</v>
      </c>
      <c r="V173" s="868"/>
      <c r="W173" s="868"/>
      <c r="X173" s="868"/>
      <c r="Y173" s="868"/>
      <c r="Z173" s="868"/>
      <c r="AA173" s="868">
        <f>UnosNovoZaposl!B579</f>
        <v>0</v>
      </c>
      <c r="AB173" s="868"/>
      <c r="AC173" s="868"/>
      <c r="AD173" s="868"/>
      <c r="AE173" s="868"/>
      <c r="AF173" s="868"/>
      <c r="AG173" s="868">
        <f>UnosNovoZaposl!F579</f>
        <v>0</v>
      </c>
      <c r="AH173" s="868"/>
      <c r="AI173" s="868"/>
      <c r="AJ173" s="868"/>
      <c r="AK173" s="868"/>
      <c r="AL173" s="868"/>
      <c r="AM173" s="868">
        <f>UnosNovoZaposl!G579</f>
        <v>0</v>
      </c>
      <c r="AN173" s="868"/>
      <c r="AO173" s="868"/>
      <c r="AP173" s="868"/>
      <c r="AQ173" s="868"/>
      <c r="AR173" s="868"/>
      <c r="AS173" s="868">
        <f t="shared" si="3"/>
        <v>0</v>
      </c>
      <c r="AT173" s="868"/>
      <c r="AU173" s="868"/>
      <c r="AV173" s="868"/>
      <c r="AW173" s="868"/>
      <c r="AX173" s="868"/>
    </row>
    <row r="174" s="687" customFormat="1" ht="15" hidden="1" customHeight="1" spans="1:50">
      <c r="A174" s="745"/>
      <c r="B174" s="754" t="s">
        <v>6440</v>
      </c>
      <c r="C174" s="864">
        <f>UnosNovoZaposl!C580</f>
        <v>0</v>
      </c>
      <c r="D174" s="864"/>
      <c r="E174" s="864"/>
      <c r="F174" s="864"/>
      <c r="G174" s="864"/>
      <c r="H174" s="864"/>
      <c r="I174" s="864"/>
      <c r="J174" s="864"/>
      <c r="K174" s="864"/>
      <c r="L174" s="864"/>
      <c r="M174" s="864"/>
      <c r="N174" s="864">
        <f>UnosNovoZaposl!D580</f>
        <v>0</v>
      </c>
      <c r="O174" s="864"/>
      <c r="P174" s="864"/>
      <c r="Q174" s="864"/>
      <c r="R174" s="864"/>
      <c r="S174" s="864"/>
      <c r="T174" s="864"/>
      <c r="U174" s="868">
        <f>UnosNovoZaposl!E580</f>
        <v>0</v>
      </c>
      <c r="V174" s="868"/>
      <c r="W174" s="868"/>
      <c r="X174" s="868"/>
      <c r="Y174" s="868"/>
      <c r="Z174" s="868"/>
      <c r="AA174" s="868">
        <f>UnosNovoZaposl!B580</f>
        <v>0</v>
      </c>
      <c r="AB174" s="868"/>
      <c r="AC174" s="868"/>
      <c r="AD174" s="868"/>
      <c r="AE174" s="868"/>
      <c r="AF174" s="868"/>
      <c r="AG174" s="868">
        <f>UnosNovoZaposl!F580</f>
        <v>0</v>
      </c>
      <c r="AH174" s="868"/>
      <c r="AI174" s="868"/>
      <c r="AJ174" s="868"/>
      <c r="AK174" s="868"/>
      <c r="AL174" s="868"/>
      <c r="AM174" s="868">
        <f>UnosNovoZaposl!G580</f>
        <v>0</v>
      </c>
      <c r="AN174" s="868"/>
      <c r="AO174" s="868"/>
      <c r="AP174" s="868"/>
      <c r="AQ174" s="868"/>
      <c r="AR174" s="868"/>
      <c r="AS174" s="868">
        <f t="shared" si="3"/>
        <v>0</v>
      </c>
      <c r="AT174" s="868"/>
      <c r="AU174" s="868"/>
      <c r="AV174" s="868"/>
      <c r="AW174" s="868"/>
      <c r="AX174" s="868"/>
    </row>
    <row r="175" s="687" customFormat="1" ht="15" hidden="1" customHeight="1" spans="1:50">
      <c r="A175" s="745"/>
      <c r="B175" s="754" t="s">
        <v>6441</v>
      </c>
      <c r="C175" s="864">
        <f>UnosNovoZaposl!C581</f>
        <v>0</v>
      </c>
      <c r="D175" s="864"/>
      <c r="E175" s="864"/>
      <c r="F175" s="864"/>
      <c r="G175" s="864"/>
      <c r="H175" s="864"/>
      <c r="I175" s="864"/>
      <c r="J175" s="864"/>
      <c r="K175" s="864"/>
      <c r="L175" s="864"/>
      <c r="M175" s="864"/>
      <c r="N175" s="864">
        <f>UnosNovoZaposl!D581</f>
        <v>0</v>
      </c>
      <c r="O175" s="864"/>
      <c r="P175" s="864"/>
      <c r="Q175" s="864"/>
      <c r="R175" s="864"/>
      <c r="S175" s="864"/>
      <c r="T175" s="864"/>
      <c r="U175" s="868">
        <f>UnosNovoZaposl!E581</f>
        <v>0</v>
      </c>
      <c r="V175" s="868"/>
      <c r="W175" s="868"/>
      <c r="X175" s="868"/>
      <c r="Y175" s="868"/>
      <c r="Z175" s="868"/>
      <c r="AA175" s="868">
        <f>UnosNovoZaposl!B581</f>
        <v>0</v>
      </c>
      <c r="AB175" s="868"/>
      <c r="AC175" s="868"/>
      <c r="AD175" s="868"/>
      <c r="AE175" s="868"/>
      <c r="AF175" s="868"/>
      <c r="AG175" s="868">
        <f>UnosNovoZaposl!F581</f>
        <v>0</v>
      </c>
      <c r="AH175" s="868"/>
      <c r="AI175" s="868"/>
      <c r="AJ175" s="868"/>
      <c r="AK175" s="868"/>
      <c r="AL175" s="868"/>
      <c r="AM175" s="868">
        <f>UnosNovoZaposl!G581</f>
        <v>0</v>
      </c>
      <c r="AN175" s="868"/>
      <c r="AO175" s="868"/>
      <c r="AP175" s="868"/>
      <c r="AQ175" s="868"/>
      <c r="AR175" s="868"/>
      <c r="AS175" s="868">
        <f t="shared" si="3"/>
        <v>0</v>
      </c>
      <c r="AT175" s="868"/>
      <c r="AU175" s="868"/>
      <c r="AV175" s="868"/>
      <c r="AW175" s="868"/>
      <c r="AX175" s="868"/>
    </row>
    <row r="176" s="687" customFormat="1" ht="15" hidden="1" customHeight="1" spans="1:50">
      <c r="A176" s="745"/>
      <c r="B176" s="754" t="s">
        <v>6442</v>
      </c>
      <c r="C176" s="864">
        <f>UnosNovoZaposl!C582</f>
        <v>0</v>
      </c>
      <c r="D176" s="864"/>
      <c r="E176" s="864"/>
      <c r="F176" s="864"/>
      <c r="G176" s="864"/>
      <c r="H176" s="864"/>
      <c r="I176" s="864"/>
      <c r="J176" s="864"/>
      <c r="K176" s="864"/>
      <c r="L176" s="864"/>
      <c r="M176" s="864"/>
      <c r="N176" s="864">
        <f>UnosNovoZaposl!D582</f>
        <v>0</v>
      </c>
      <c r="O176" s="864"/>
      <c r="P176" s="864"/>
      <c r="Q176" s="864"/>
      <c r="R176" s="864"/>
      <c r="S176" s="864"/>
      <c r="T176" s="864"/>
      <c r="U176" s="868">
        <f>UnosNovoZaposl!E582</f>
        <v>0</v>
      </c>
      <c r="V176" s="868"/>
      <c r="W176" s="868"/>
      <c r="X176" s="868"/>
      <c r="Y176" s="868"/>
      <c r="Z176" s="868"/>
      <c r="AA176" s="868">
        <f>UnosNovoZaposl!B582</f>
        <v>0</v>
      </c>
      <c r="AB176" s="868"/>
      <c r="AC176" s="868"/>
      <c r="AD176" s="868"/>
      <c r="AE176" s="868"/>
      <c r="AF176" s="868"/>
      <c r="AG176" s="868">
        <f>UnosNovoZaposl!F582</f>
        <v>0</v>
      </c>
      <c r="AH176" s="868"/>
      <c r="AI176" s="868"/>
      <c r="AJ176" s="868"/>
      <c r="AK176" s="868"/>
      <c r="AL176" s="868"/>
      <c r="AM176" s="868">
        <f>UnosNovoZaposl!G582</f>
        <v>0</v>
      </c>
      <c r="AN176" s="868"/>
      <c r="AO176" s="868"/>
      <c r="AP176" s="868"/>
      <c r="AQ176" s="868"/>
      <c r="AR176" s="868"/>
      <c r="AS176" s="868">
        <f t="shared" si="3"/>
        <v>0</v>
      </c>
      <c r="AT176" s="868"/>
      <c r="AU176" s="868"/>
      <c r="AV176" s="868"/>
      <c r="AW176" s="868"/>
      <c r="AX176" s="868"/>
    </row>
    <row r="177" s="687" customFormat="1" ht="15" hidden="1" customHeight="1" spans="1:50">
      <c r="A177" s="745"/>
      <c r="B177" s="754" t="s">
        <v>6443</v>
      </c>
      <c r="C177" s="864">
        <f>UnosNovoZaposl!C583</f>
        <v>0</v>
      </c>
      <c r="D177" s="864"/>
      <c r="E177" s="864"/>
      <c r="F177" s="864"/>
      <c r="G177" s="864"/>
      <c r="H177" s="864"/>
      <c r="I177" s="864"/>
      <c r="J177" s="864"/>
      <c r="K177" s="864"/>
      <c r="L177" s="864"/>
      <c r="M177" s="864"/>
      <c r="N177" s="864">
        <f>UnosNovoZaposl!D583</f>
        <v>0</v>
      </c>
      <c r="O177" s="864"/>
      <c r="P177" s="864"/>
      <c r="Q177" s="864"/>
      <c r="R177" s="864"/>
      <c r="S177" s="864"/>
      <c r="T177" s="864"/>
      <c r="U177" s="868">
        <f>UnosNovoZaposl!E583</f>
        <v>0</v>
      </c>
      <c r="V177" s="868"/>
      <c r="W177" s="868"/>
      <c r="X177" s="868"/>
      <c r="Y177" s="868"/>
      <c r="Z177" s="868"/>
      <c r="AA177" s="868">
        <f>UnosNovoZaposl!B583</f>
        <v>0</v>
      </c>
      <c r="AB177" s="868"/>
      <c r="AC177" s="868"/>
      <c r="AD177" s="868"/>
      <c r="AE177" s="868"/>
      <c r="AF177" s="868"/>
      <c r="AG177" s="868">
        <f>UnosNovoZaposl!F583</f>
        <v>0</v>
      </c>
      <c r="AH177" s="868"/>
      <c r="AI177" s="868"/>
      <c r="AJ177" s="868"/>
      <c r="AK177" s="868"/>
      <c r="AL177" s="868"/>
      <c r="AM177" s="868">
        <f>UnosNovoZaposl!G583</f>
        <v>0</v>
      </c>
      <c r="AN177" s="868"/>
      <c r="AO177" s="868"/>
      <c r="AP177" s="868"/>
      <c r="AQ177" s="868"/>
      <c r="AR177" s="868"/>
      <c r="AS177" s="868">
        <f t="shared" si="3"/>
        <v>0</v>
      </c>
      <c r="AT177" s="868"/>
      <c r="AU177" s="868"/>
      <c r="AV177" s="868"/>
      <c r="AW177" s="868"/>
      <c r="AX177" s="868"/>
    </row>
    <row r="178" s="687" customFormat="1" ht="15" hidden="1" customHeight="1" spans="1:50">
      <c r="A178" s="745"/>
      <c r="B178" s="754" t="s">
        <v>6444</v>
      </c>
      <c r="C178" s="864">
        <f>UnosNovoZaposl!C584</f>
        <v>0</v>
      </c>
      <c r="D178" s="864"/>
      <c r="E178" s="864"/>
      <c r="F178" s="864"/>
      <c r="G178" s="864"/>
      <c r="H178" s="864"/>
      <c r="I178" s="864"/>
      <c r="J178" s="864"/>
      <c r="K178" s="864"/>
      <c r="L178" s="864"/>
      <c r="M178" s="864"/>
      <c r="N178" s="864">
        <f>UnosNovoZaposl!D584</f>
        <v>0</v>
      </c>
      <c r="O178" s="864"/>
      <c r="P178" s="864"/>
      <c r="Q178" s="864"/>
      <c r="R178" s="864"/>
      <c r="S178" s="864"/>
      <c r="T178" s="864"/>
      <c r="U178" s="868">
        <f>UnosNovoZaposl!E584</f>
        <v>0</v>
      </c>
      <c r="V178" s="868"/>
      <c r="W178" s="868"/>
      <c r="X178" s="868"/>
      <c r="Y178" s="868"/>
      <c r="Z178" s="868"/>
      <c r="AA178" s="868">
        <f>UnosNovoZaposl!B584</f>
        <v>0</v>
      </c>
      <c r="AB178" s="868"/>
      <c r="AC178" s="868"/>
      <c r="AD178" s="868"/>
      <c r="AE178" s="868"/>
      <c r="AF178" s="868"/>
      <c r="AG178" s="868">
        <f>UnosNovoZaposl!F584</f>
        <v>0</v>
      </c>
      <c r="AH178" s="868"/>
      <c r="AI178" s="868"/>
      <c r="AJ178" s="868"/>
      <c r="AK178" s="868"/>
      <c r="AL178" s="868"/>
      <c r="AM178" s="868">
        <f>UnosNovoZaposl!G584</f>
        <v>0</v>
      </c>
      <c r="AN178" s="868"/>
      <c r="AO178" s="868"/>
      <c r="AP178" s="868"/>
      <c r="AQ178" s="868"/>
      <c r="AR178" s="868"/>
      <c r="AS178" s="868">
        <f t="shared" si="3"/>
        <v>0</v>
      </c>
      <c r="AT178" s="868"/>
      <c r="AU178" s="868"/>
      <c r="AV178" s="868"/>
      <c r="AW178" s="868"/>
      <c r="AX178" s="868"/>
    </row>
    <row r="179" s="687" customFormat="1" ht="15" hidden="1" customHeight="1" spans="1:50">
      <c r="A179" s="745"/>
      <c r="B179" s="754" t="s">
        <v>6445</v>
      </c>
      <c r="C179" s="864">
        <f>UnosNovoZaposl!C585</f>
        <v>0</v>
      </c>
      <c r="D179" s="864"/>
      <c r="E179" s="864"/>
      <c r="F179" s="864"/>
      <c r="G179" s="864"/>
      <c r="H179" s="864"/>
      <c r="I179" s="864"/>
      <c r="J179" s="864"/>
      <c r="K179" s="864"/>
      <c r="L179" s="864"/>
      <c r="M179" s="864"/>
      <c r="N179" s="864">
        <f>UnosNovoZaposl!D585</f>
        <v>0</v>
      </c>
      <c r="O179" s="864"/>
      <c r="P179" s="864"/>
      <c r="Q179" s="864"/>
      <c r="R179" s="864"/>
      <c r="S179" s="864"/>
      <c r="T179" s="864"/>
      <c r="U179" s="868">
        <f>UnosNovoZaposl!E585</f>
        <v>0</v>
      </c>
      <c r="V179" s="868"/>
      <c r="W179" s="868"/>
      <c r="X179" s="868"/>
      <c r="Y179" s="868"/>
      <c r="Z179" s="868"/>
      <c r="AA179" s="868">
        <f>UnosNovoZaposl!B585</f>
        <v>0</v>
      </c>
      <c r="AB179" s="868"/>
      <c r="AC179" s="868"/>
      <c r="AD179" s="868"/>
      <c r="AE179" s="868"/>
      <c r="AF179" s="868"/>
      <c r="AG179" s="868">
        <f>UnosNovoZaposl!F585</f>
        <v>0</v>
      </c>
      <c r="AH179" s="868"/>
      <c r="AI179" s="868"/>
      <c r="AJ179" s="868"/>
      <c r="AK179" s="868"/>
      <c r="AL179" s="868"/>
      <c r="AM179" s="868">
        <f>UnosNovoZaposl!G585</f>
        <v>0</v>
      </c>
      <c r="AN179" s="868"/>
      <c r="AO179" s="868"/>
      <c r="AP179" s="868"/>
      <c r="AQ179" s="868"/>
      <c r="AR179" s="868"/>
      <c r="AS179" s="868">
        <f t="shared" si="3"/>
        <v>0</v>
      </c>
      <c r="AT179" s="868"/>
      <c r="AU179" s="868"/>
      <c r="AV179" s="868"/>
      <c r="AW179" s="868"/>
      <c r="AX179" s="868"/>
    </row>
    <row r="180" s="687" customFormat="1" ht="15" hidden="1" customHeight="1" spans="1:50">
      <c r="A180" s="745"/>
      <c r="B180" s="754" t="s">
        <v>6446</v>
      </c>
      <c r="C180" s="864">
        <f>UnosNovoZaposl!C586</f>
        <v>0</v>
      </c>
      <c r="D180" s="864"/>
      <c r="E180" s="864"/>
      <c r="F180" s="864"/>
      <c r="G180" s="864"/>
      <c r="H180" s="864"/>
      <c r="I180" s="864"/>
      <c r="J180" s="864"/>
      <c r="K180" s="864"/>
      <c r="L180" s="864"/>
      <c r="M180" s="864"/>
      <c r="N180" s="864">
        <f>UnosNovoZaposl!D586</f>
        <v>0</v>
      </c>
      <c r="O180" s="864"/>
      <c r="P180" s="864"/>
      <c r="Q180" s="864"/>
      <c r="R180" s="864"/>
      <c r="S180" s="864"/>
      <c r="T180" s="864"/>
      <c r="U180" s="868">
        <f>UnosNovoZaposl!E586</f>
        <v>0</v>
      </c>
      <c r="V180" s="868"/>
      <c r="W180" s="868"/>
      <c r="X180" s="868"/>
      <c r="Y180" s="868"/>
      <c r="Z180" s="868"/>
      <c r="AA180" s="868">
        <f>UnosNovoZaposl!B586</f>
        <v>0</v>
      </c>
      <c r="AB180" s="868"/>
      <c r="AC180" s="868"/>
      <c r="AD180" s="868"/>
      <c r="AE180" s="868"/>
      <c r="AF180" s="868"/>
      <c r="AG180" s="868">
        <f>UnosNovoZaposl!F586</f>
        <v>0</v>
      </c>
      <c r="AH180" s="868"/>
      <c r="AI180" s="868"/>
      <c r="AJ180" s="868"/>
      <c r="AK180" s="868"/>
      <c r="AL180" s="868"/>
      <c r="AM180" s="868">
        <f>UnosNovoZaposl!G586</f>
        <v>0</v>
      </c>
      <c r="AN180" s="868"/>
      <c r="AO180" s="868"/>
      <c r="AP180" s="868"/>
      <c r="AQ180" s="868"/>
      <c r="AR180" s="868"/>
      <c r="AS180" s="868">
        <f t="shared" si="3"/>
        <v>0</v>
      </c>
      <c r="AT180" s="868"/>
      <c r="AU180" s="868"/>
      <c r="AV180" s="868"/>
      <c r="AW180" s="868"/>
      <c r="AX180" s="868"/>
    </row>
    <row r="181" s="687" customFormat="1" ht="15" hidden="1" customHeight="1" spans="1:50">
      <c r="A181" s="745"/>
      <c r="B181" s="754" t="s">
        <v>6447</v>
      </c>
      <c r="C181" s="864">
        <f>UnosNovoZaposl!C587</f>
        <v>0</v>
      </c>
      <c r="D181" s="864"/>
      <c r="E181" s="864"/>
      <c r="F181" s="864"/>
      <c r="G181" s="864"/>
      <c r="H181" s="864"/>
      <c r="I181" s="864"/>
      <c r="J181" s="864"/>
      <c r="K181" s="864"/>
      <c r="L181" s="864"/>
      <c r="M181" s="864"/>
      <c r="N181" s="864">
        <f>UnosNovoZaposl!D587</f>
        <v>0</v>
      </c>
      <c r="O181" s="864"/>
      <c r="P181" s="864"/>
      <c r="Q181" s="864"/>
      <c r="R181" s="864"/>
      <c r="S181" s="864"/>
      <c r="T181" s="864"/>
      <c r="U181" s="868">
        <f>UnosNovoZaposl!E587</f>
        <v>0</v>
      </c>
      <c r="V181" s="868"/>
      <c r="W181" s="868"/>
      <c r="X181" s="868"/>
      <c r="Y181" s="868"/>
      <c r="Z181" s="868"/>
      <c r="AA181" s="868">
        <f>UnosNovoZaposl!B587</f>
        <v>0</v>
      </c>
      <c r="AB181" s="868"/>
      <c r="AC181" s="868"/>
      <c r="AD181" s="868"/>
      <c r="AE181" s="868"/>
      <c r="AF181" s="868"/>
      <c r="AG181" s="868">
        <f>UnosNovoZaposl!F587</f>
        <v>0</v>
      </c>
      <c r="AH181" s="868"/>
      <c r="AI181" s="868"/>
      <c r="AJ181" s="868"/>
      <c r="AK181" s="868"/>
      <c r="AL181" s="868"/>
      <c r="AM181" s="868">
        <f>UnosNovoZaposl!G587</f>
        <v>0</v>
      </c>
      <c r="AN181" s="868"/>
      <c r="AO181" s="868"/>
      <c r="AP181" s="868"/>
      <c r="AQ181" s="868"/>
      <c r="AR181" s="868"/>
      <c r="AS181" s="868">
        <f t="shared" si="3"/>
        <v>0</v>
      </c>
      <c r="AT181" s="868"/>
      <c r="AU181" s="868"/>
      <c r="AV181" s="868"/>
      <c r="AW181" s="868"/>
      <c r="AX181" s="868"/>
    </row>
    <row r="182" s="687" customFormat="1" ht="15" hidden="1" customHeight="1" spans="1:50">
      <c r="A182" s="745"/>
      <c r="B182" s="754" t="s">
        <v>6448</v>
      </c>
      <c r="C182" s="864">
        <f>UnosNovoZaposl!C588</f>
        <v>0</v>
      </c>
      <c r="D182" s="864"/>
      <c r="E182" s="864"/>
      <c r="F182" s="864"/>
      <c r="G182" s="864"/>
      <c r="H182" s="864"/>
      <c r="I182" s="864"/>
      <c r="J182" s="864"/>
      <c r="K182" s="864"/>
      <c r="L182" s="864"/>
      <c r="M182" s="864"/>
      <c r="N182" s="864">
        <f>UnosNovoZaposl!D588</f>
        <v>0</v>
      </c>
      <c r="O182" s="864"/>
      <c r="P182" s="864"/>
      <c r="Q182" s="864"/>
      <c r="R182" s="864"/>
      <c r="S182" s="864"/>
      <c r="T182" s="864"/>
      <c r="U182" s="868">
        <f>UnosNovoZaposl!E588</f>
        <v>0</v>
      </c>
      <c r="V182" s="868"/>
      <c r="W182" s="868"/>
      <c r="X182" s="868"/>
      <c r="Y182" s="868"/>
      <c r="Z182" s="868"/>
      <c r="AA182" s="868">
        <f>UnosNovoZaposl!B588</f>
        <v>0</v>
      </c>
      <c r="AB182" s="868"/>
      <c r="AC182" s="868"/>
      <c r="AD182" s="868"/>
      <c r="AE182" s="868"/>
      <c r="AF182" s="868"/>
      <c r="AG182" s="868">
        <f>UnosNovoZaposl!F588</f>
        <v>0</v>
      </c>
      <c r="AH182" s="868"/>
      <c r="AI182" s="868"/>
      <c r="AJ182" s="868"/>
      <c r="AK182" s="868"/>
      <c r="AL182" s="868"/>
      <c r="AM182" s="868">
        <f>UnosNovoZaposl!G588</f>
        <v>0</v>
      </c>
      <c r="AN182" s="868"/>
      <c r="AO182" s="868"/>
      <c r="AP182" s="868"/>
      <c r="AQ182" s="868"/>
      <c r="AR182" s="868"/>
      <c r="AS182" s="868">
        <f t="shared" si="3"/>
        <v>0</v>
      </c>
      <c r="AT182" s="868"/>
      <c r="AU182" s="868"/>
      <c r="AV182" s="868"/>
      <c r="AW182" s="868"/>
      <c r="AX182" s="868"/>
    </row>
    <row r="183" s="687" customFormat="1" ht="15" hidden="1" customHeight="1" spans="1:50">
      <c r="A183" s="745"/>
      <c r="B183" s="754" t="s">
        <v>6449</v>
      </c>
      <c r="C183" s="864">
        <f>UnosNovoZaposl!C589</f>
        <v>0</v>
      </c>
      <c r="D183" s="864"/>
      <c r="E183" s="864"/>
      <c r="F183" s="864"/>
      <c r="G183" s="864"/>
      <c r="H183" s="864"/>
      <c r="I183" s="864"/>
      <c r="J183" s="864"/>
      <c r="K183" s="864"/>
      <c r="L183" s="864"/>
      <c r="M183" s="864"/>
      <c r="N183" s="864">
        <f>UnosNovoZaposl!D589</f>
        <v>0</v>
      </c>
      <c r="O183" s="864"/>
      <c r="P183" s="864"/>
      <c r="Q183" s="864"/>
      <c r="R183" s="864"/>
      <c r="S183" s="864"/>
      <c r="T183" s="864"/>
      <c r="U183" s="868">
        <f>UnosNovoZaposl!E589</f>
        <v>0</v>
      </c>
      <c r="V183" s="868"/>
      <c r="W183" s="868"/>
      <c r="X183" s="868"/>
      <c r="Y183" s="868"/>
      <c r="Z183" s="868"/>
      <c r="AA183" s="868">
        <f>UnosNovoZaposl!B589</f>
        <v>0</v>
      </c>
      <c r="AB183" s="868"/>
      <c r="AC183" s="868"/>
      <c r="AD183" s="868"/>
      <c r="AE183" s="868"/>
      <c r="AF183" s="868"/>
      <c r="AG183" s="868">
        <f>UnosNovoZaposl!F589</f>
        <v>0</v>
      </c>
      <c r="AH183" s="868"/>
      <c r="AI183" s="868"/>
      <c r="AJ183" s="868"/>
      <c r="AK183" s="868"/>
      <c r="AL183" s="868"/>
      <c r="AM183" s="868">
        <f>UnosNovoZaposl!G589</f>
        <v>0</v>
      </c>
      <c r="AN183" s="868"/>
      <c r="AO183" s="868"/>
      <c r="AP183" s="868"/>
      <c r="AQ183" s="868"/>
      <c r="AR183" s="868"/>
      <c r="AS183" s="868">
        <f t="shared" si="3"/>
        <v>0</v>
      </c>
      <c r="AT183" s="868"/>
      <c r="AU183" s="868"/>
      <c r="AV183" s="868"/>
      <c r="AW183" s="868"/>
      <c r="AX183" s="868"/>
    </row>
    <row r="184" s="687" customFormat="1" ht="15" hidden="1" customHeight="1" spans="1:50">
      <c r="A184" s="745"/>
      <c r="B184" s="754" t="s">
        <v>6450</v>
      </c>
      <c r="C184" s="864">
        <f>UnosNovoZaposl!C590</f>
        <v>0</v>
      </c>
      <c r="D184" s="864"/>
      <c r="E184" s="864"/>
      <c r="F184" s="864"/>
      <c r="G184" s="864"/>
      <c r="H184" s="864"/>
      <c r="I184" s="864"/>
      <c r="J184" s="864"/>
      <c r="K184" s="864"/>
      <c r="L184" s="864"/>
      <c r="M184" s="864"/>
      <c r="N184" s="864">
        <f>UnosNovoZaposl!D590</f>
        <v>0</v>
      </c>
      <c r="O184" s="864"/>
      <c r="P184" s="864"/>
      <c r="Q184" s="864"/>
      <c r="R184" s="864"/>
      <c r="S184" s="864"/>
      <c r="T184" s="864"/>
      <c r="U184" s="868">
        <f>UnosNovoZaposl!E590</f>
        <v>0</v>
      </c>
      <c r="V184" s="868"/>
      <c r="W184" s="868"/>
      <c r="X184" s="868"/>
      <c r="Y184" s="868"/>
      <c r="Z184" s="868"/>
      <c r="AA184" s="868">
        <f>UnosNovoZaposl!B590</f>
        <v>0</v>
      </c>
      <c r="AB184" s="868"/>
      <c r="AC184" s="868"/>
      <c r="AD184" s="868"/>
      <c r="AE184" s="868"/>
      <c r="AF184" s="868"/>
      <c r="AG184" s="868">
        <f>UnosNovoZaposl!F590</f>
        <v>0</v>
      </c>
      <c r="AH184" s="868"/>
      <c r="AI184" s="868"/>
      <c r="AJ184" s="868"/>
      <c r="AK184" s="868"/>
      <c r="AL184" s="868"/>
      <c r="AM184" s="868">
        <f>UnosNovoZaposl!G590</f>
        <v>0</v>
      </c>
      <c r="AN184" s="868"/>
      <c r="AO184" s="868"/>
      <c r="AP184" s="868"/>
      <c r="AQ184" s="868"/>
      <c r="AR184" s="868"/>
      <c r="AS184" s="868">
        <f t="shared" si="3"/>
        <v>0</v>
      </c>
      <c r="AT184" s="868"/>
      <c r="AU184" s="868"/>
      <c r="AV184" s="868"/>
      <c r="AW184" s="868"/>
      <c r="AX184" s="868"/>
    </row>
    <row r="185" s="687" customFormat="1" ht="15" hidden="1" customHeight="1" spans="1:50">
      <c r="A185" s="745"/>
      <c r="B185" s="754" t="s">
        <v>6451</v>
      </c>
      <c r="C185" s="864">
        <f>UnosNovoZaposl!C591</f>
        <v>0</v>
      </c>
      <c r="D185" s="864"/>
      <c r="E185" s="864"/>
      <c r="F185" s="864"/>
      <c r="G185" s="864"/>
      <c r="H185" s="864"/>
      <c r="I185" s="864"/>
      <c r="J185" s="864"/>
      <c r="K185" s="864"/>
      <c r="L185" s="864"/>
      <c r="M185" s="864"/>
      <c r="N185" s="864">
        <f>UnosNovoZaposl!D591</f>
        <v>0</v>
      </c>
      <c r="O185" s="864"/>
      <c r="P185" s="864"/>
      <c r="Q185" s="864"/>
      <c r="R185" s="864"/>
      <c r="S185" s="864"/>
      <c r="T185" s="864"/>
      <c r="U185" s="868">
        <f>UnosNovoZaposl!E591</f>
        <v>0</v>
      </c>
      <c r="V185" s="868"/>
      <c r="W185" s="868"/>
      <c r="X185" s="868"/>
      <c r="Y185" s="868"/>
      <c r="Z185" s="868"/>
      <c r="AA185" s="868">
        <f>UnosNovoZaposl!B591</f>
        <v>0</v>
      </c>
      <c r="AB185" s="868"/>
      <c r="AC185" s="868"/>
      <c r="AD185" s="868"/>
      <c r="AE185" s="868"/>
      <c r="AF185" s="868"/>
      <c r="AG185" s="868">
        <f>UnosNovoZaposl!F591</f>
        <v>0</v>
      </c>
      <c r="AH185" s="868"/>
      <c r="AI185" s="868"/>
      <c r="AJ185" s="868"/>
      <c r="AK185" s="868"/>
      <c r="AL185" s="868"/>
      <c r="AM185" s="868">
        <f>UnosNovoZaposl!G591</f>
        <v>0</v>
      </c>
      <c r="AN185" s="868"/>
      <c r="AO185" s="868"/>
      <c r="AP185" s="868"/>
      <c r="AQ185" s="868"/>
      <c r="AR185" s="868"/>
      <c r="AS185" s="868">
        <f t="shared" si="3"/>
        <v>0</v>
      </c>
      <c r="AT185" s="868"/>
      <c r="AU185" s="868"/>
      <c r="AV185" s="868"/>
      <c r="AW185" s="868"/>
      <c r="AX185" s="868"/>
    </row>
    <row r="186" s="687" customFormat="1" ht="15" hidden="1" customHeight="1" spans="1:50">
      <c r="A186" s="745"/>
      <c r="B186" s="754" t="s">
        <v>6452</v>
      </c>
      <c r="C186" s="864">
        <f>UnosNovoZaposl!C592</f>
        <v>0</v>
      </c>
      <c r="D186" s="864"/>
      <c r="E186" s="864"/>
      <c r="F186" s="864"/>
      <c r="G186" s="864"/>
      <c r="H186" s="864"/>
      <c r="I186" s="864"/>
      <c r="J186" s="864"/>
      <c r="K186" s="864"/>
      <c r="L186" s="864"/>
      <c r="M186" s="864"/>
      <c r="N186" s="864">
        <f>UnosNovoZaposl!D592</f>
        <v>0</v>
      </c>
      <c r="O186" s="864"/>
      <c r="P186" s="864"/>
      <c r="Q186" s="864"/>
      <c r="R186" s="864"/>
      <c r="S186" s="864"/>
      <c r="T186" s="864"/>
      <c r="U186" s="868">
        <f>UnosNovoZaposl!E592</f>
        <v>0</v>
      </c>
      <c r="V186" s="868"/>
      <c r="W186" s="868"/>
      <c r="X186" s="868"/>
      <c r="Y186" s="868"/>
      <c r="Z186" s="868"/>
      <c r="AA186" s="868">
        <f>UnosNovoZaposl!B592</f>
        <v>0</v>
      </c>
      <c r="AB186" s="868"/>
      <c r="AC186" s="868"/>
      <c r="AD186" s="868"/>
      <c r="AE186" s="868"/>
      <c r="AF186" s="868"/>
      <c r="AG186" s="868">
        <f>UnosNovoZaposl!F592</f>
        <v>0</v>
      </c>
      <c r="AH186" s="868"/>
      <c r="AI186" s="868"/>
      <c r="AJ186" s="868"/>
      <c r="AK186" s="868"/>
      <c r="AL186" s="868"/>
      <c r="AM186" s="868">
        <f>UnosNovoZaposl!G592</f>
        <v>0</v>
      </c>
      <c r="AN186" s="868"/>
      <c r="AO186" s="868"/>
      <c r="AP186" s="868"/>
      <c r="AQ186" s="868"/>
      <c r="AR186" s="868"/>
      <c r="AS186" s="868">
        <f t="shared" si="3"/>
        <v>0</v>
      </c>
      <c r="AT186" s="868"/>
      <c r="AU186" s="868"/>
      <c r="AV186" s="868"/>
      <c r="AW186" s="868"/>
      <c r="AX186" s="868"/>
    </row>
    <row r="187" s="687" customFormat="1" ht="15" hidden="1" customHeight="1" spans="1:50">
      <c r="A187" s="745"/>
      <c r="B187" s="754" t="s">
        <v>6453</v>
      </c>
      <c r="C187" s="864">
        <f>UnosNovoZaposl!C593</f>
        <v>0</v>
      </c>
      <c r="D187" s="864"/>
      <c r="E187" s="864"/>
      <c r="F187" s="864"/>
      <c r="G187" s="864"/>
      <c r="H187" s="864"/>
      <c r="I187" s="864"/>
      <c r="J187" s="864"/>
      <c r="K187" s="864"/>
      <c r="L187" s="864"/>
      <c r="M187" s="864"/>
      <c r="N187" s="864">
        <f>UnosNovoZaposl!D593</f>
        <v>0</v>
      </c>
      <c r="O187" s="864"/>
      <c r="P187" s="864"/>
      <c r="Q187" s="864"/>
      <c r="R187" s="864"/>
      <c r="S187" s="864"/>
      <c r="T187" s="864"/>
      <c r="U187" s="868">
        <f>UnosNovoZaposl!E593</f>
        <v>0</v>
      </c>
      <c r="V187" s="868"/>
      <c r="W187" s="868"/>
      <c r="X187" s="868"/>
      <c r="Y187" s="868"/>
      <c r="Z187" s="868"/>
      <c r="AA187" s="868">
        <f>UnosNovoZaposl!B593</f>
        <v>0</v>
      </c>
      <c r="AB187" s="868"/>
      <c r="AC187" s="868"/>
      <c r="AD187" s="868"/>
      <c r="AE187" s="868"/>
      <c r="AF187" s="868"/>
      <c r="AG187" s="868">
        <f>UnosNovoZaposl!F593</f>
        <v>0</v>
      </c>
      <c r="AH187" s="868"/>
      <c r="AI187" s="868"/>
      <c r="AJ187" s="868"/>
      <c r="AK187" s="868"/>
      <c r="AL187" s="868"/>
      <c r="AM187" s="868">
        <f>UnosNovoZaposl!G593</f>
        <v>0</v>
      </c>
      <c r="AN187" s="868"/>
      <c r="AO187" s="868"/>
      <c r="AP187" s="868"/>
      <c r="AQ187" s="868"/>
      <c r="AR187" s="868"/>
      <c r="AS187" s="868">
        <f t="shared" si="3"/>
        <v>0</v>
      </c>
      <c r="AT187" s="868"/>
      <c r="AU187" s="868"/>
      <c r="AV187" s="868"/>
      <c r="AW187" s="868"/>
      <c r="AX187" s="868"/>
    </row>
    <row r="188" s="687" customFormat="1" ht="15" hidden="1" customHeight="1" spans="1:50">
      <c r="A188" s="745"/>
      <c r="B188" s="754" t="s">
        <v>6454</v>
      </c>
      <c r="C188" s="864">
        <f>UnosNovoZaposl!C594</f>
        <v>0</v>
      </c>
      <c r="D188" s="864"/>
      <c r="E188" s="864"/>
      <c r="F188" s="864"/>
      <c r="G188" s="864"/>
      <c r="H188" s="864"/>
      <c r="I188" s="864"/>
      <c r="J188" s="864"/>
      <c r="K188" s="864"/>
      <c r="L188" s="864"/>
      <c r="M188" s="864"/>
      <c r="N188" s="864">
        <f>UnosNovoZaposl!D594</f>
        <v>0</v>
      </c>
      <c r="O188" s="864"/>
      <c r="P188" s="864"/>
      <c r="Q188" s="864"/>
      <c r="R188" s="864"/>
      <c r="S188" s="864"/>
      <c r="T188" s="864"/>
      <c r="U188" s="868">
        <f>UnosNovoZaposl!E594</f>
        <v>0</v>
      </c>
      <c r="V188" s="868"/>
      <c r="W188" s="868"/>
      <c r="X188" s="868"/>
      <c r="Y188" s="868"/>
      <c r="Z188" s="868"/>
      <c r="AA188" s="868">
        <f>UnosNovoZaposl!B594</f>
        <v>0</v>
      </c>
      <c r="AB188" s="868"/>
      <c r="AC188" s="868"/>
      <c r="AD188" s="868"/>
      <c r="AE188" s="868"/>
      <c r="AF188" s="868"/>
      <c r="AG188" s="868">
        <f>UnosNovoZaposl!F594</f>
        <v>0</v>
      </c>
      <c r="AH188" s="868"/>
      <c r="AI188" s="868"/>
      <c r="AJ188" s="868"/>
      <c r="AK188" s="868"/>
      <c r="AL188" s="868"/>
      <c r="AM188" s="868">
        <f>UnosNovoZaposl!G594</f>
        <v>0</v>
      </c>
      <c r="AN188" s="868"/>
      <c r="AO188" s="868"/>
      <c r="AP188" s="868"/>
      <c r="AQ188" s="868"/>
      <c r="AR188" s="868"/>
      <c r="AS188" s="868">
        <f t="shared" si="3"/>
        <v>0</v>
      </c>
      <c r="AT188" s="868"/>
      <c r="AU188" s="868"/>
      <c r="AV188" s="868"/>
      <c r="AW188" s="868"/>
      <c r="AX188" s="868"/>
    </row>
    <row r="189" s="687" customFormat="1" ht="15" hidden="1" customHeight="1" spans="1:50">
      <c r="A189" s="745"/>
      <c r="B189" s="754" t="s">
        <v>6455</v>
      </c>
      <c r="C189" s="864">
        <f>UnosNovoZaposl!C595</f>
        <v>0</v>
      </c>
      <c r="D189" s="864"/>
      <c r="E189" s="864"/>
      <c r="F189" s="864"/>
      <c r="G189" s="864"/>
      <c r="H189" s="864"/>
      <c r="I189" s="864"/>
      <c r="J189" s="864"/>
      <c r="K189" s="864"/>
      <c r="L189" s="864"/>
      <c r="M189" s="864"/>
      <c r="N189" s="864">
        <f>UnosNovoZaposl!D595</f>
        <v>0</v>
      </c>
      <c r="O189" s="864"/>
      <c r="P189" s="864"/>
      <c r="Q189" s="864"/>
      <c r="R189" s="864"/>
      <c r="S189" s="864"/>
      <c r="T189" s="864"/>
      <c r="U189" s="868">
        <f>UnosNovoZaposl!E595</f>
        <v>0</v>
      </c>
      <c r="V189" s="868"/>
      <c r="W189" s="868"/>
      <c r="X189" s="868"/>
      <c r="Y189" s="868"/>
      <c r="Z189" s="868"/>
      <c r="AA189" s="868">
        <f>UnosNovoZaposl!B595</f>
        <v>0</v>
      </c>
      <c r="AB189" s="868"/>
      <c r="AC189" s="868"/>
      <c r="AD189" s="868"/>
      <c r="AE189" s="868"/>
      <c r="AF189" s="868"/>
      <c r="AG189" s="868">
        <f>UnosNovoZaposl!F595</f>
        <v>0</v>
      </c>
      <c r="AH189" s="868"/>
      <c r="AI189" s="868"/>
      <c r="AJ189" s="868"/>
      <c r="AK189" s="868"/>
      <c r="AL189" s="868"/>
      <c r="AM189" s="868">
        <f>UnosNovoZaposl!G595</f>
        <v>0</v>
      </c>
      <c r="AN189" s="868"/>
      <c r="AO189" s="868"/>
      <c r="AP189" s="868"/>
      <c r="AQ189" s="868"/>
      <c r="AR189" s="868"/>
      <c r="AS189" s="868">
        <f t="shared" si="3"/>
        <v>0</v>
      </c>
      <c r="AT189" s="868"/>
      <c r="AU189" s="868"/>
      <c r="AV189" s="868"/>
      <c r="AW189" s="868"/>
      <c r="AX189" s="868"/>
    </row>
    <row r="190" s="687" customFormat="1" ht="15" hidden="1" customHeight="1" spans="1:50">
      <c r="A190" s="745"/>
      <c r="B190" s="754" t="s">
        <v>6456</v>
      </c>
      <c r="C190" s="864">
        <f>UnosNovoZaposl!C596</f>
        <v>0</v>
      </c>
      <c r="D190" s="864"/>
      <c r="E190" s="864"/>
      <c r="F190" s="864"/>
      <c r="G190" s="864"/>
      <c r="H190" s="864"/>
      <c r="I190" s="864"/>
      <c r="J190" s="864"/>
      <c r="K190" s="864"/>
      <c r="L190" s="864"/>
      <c r="M190" s="864"/>
      <c r="N190" s="864">
        <f>UnosNovoZaposl!D596</f>
        <v>0</v>
      </c>
      <c r="O190" s="864"/>
      <c r="P190" s="864"/>
      <c r="Q190" s="864"/>
      <c r="R190" s="864"/>
      <c r="S190" s="864"/>
      <c r="T190" s="864"/>
      <c r="U190" s="868">
        <f>UnosNovoZaposl!E596</f>
        <v>0</v>
      </c>
      <c r="V190" s="868"/>
      <c r="W190" s="868"/>
      <c r="X190" s="868"/>
      <c r="Y190" s="868"/>
      <c r="Z190" s="868"/>
      <c r="AA190" s="868">
        <f>UnosNovoZaposl!B596</f>
        <v>0</v>
      </c>
      <c r="AB190" s="868"/>
      <c r="AC190" s="868"/>
      <c r="AD190" s="868"/>
      <c r="AE190" s="868"/>
      <c r="AF190" s="868"/>
      <c r="AG190" s="868">
        <f>UnosNovoZaposl!F596</f>
        <v>0</v>
      </c>
      <c r="AH190" s="868"/>
      <c r="AI190" s="868"/>
      <c r="AJ190" s="868"/>
      <c r="AK190" s="868"/>
      <c r="AL190" s="868"/>
      <c r="AM190" s="868">
        <f>UnosNovoZaposl!G596</f>
        <v>0</v>
      </c>
      <c r="AN190" s="868"/>
      <c r="AO190" s="868"/>
      <c r="AP190" s="868"/>
      <c r="AQ190" s="868"/>
      <c r="AR190" s="868"/>
      <c r="AS190" s="868">
        <f t="shared" si="3"/>
        <v>0</v>
      </c>
      <c r="AT190" s="868"/>
      <c r="AU190" s="868"/>
      <c r="AV190" s="868"/>
      <c r="AW190" s="868"/>
      <c r="AX190" s="868"/>
    </row>
    <row r="191" s="687" customFormat="1" ht="15" hidden="1" customHeight="1" spans="1:50">
      <c r="A191" s="745"/>
      <c r="B191" s="754" t="s">
        <v>6457</v>
      </c>
      <c r="C191" s="864">
        <f>UnosNovoZaposl!C597</f>
        <v>0</v>
      </c>
      <c r="D191" s="864"/>
      <c r="E191" s="864"/>
      <c r="F191" s="864"/>
      <c r="G191" s="864"/>
      <c r="H191" s="864"/>
      <c r="I191" s="864"/>
      <c r="J191" s="864"/>
      <c r="K191" s="864"/>
      <c r="L191" s="864"/>
      <c r="M191" s="864"/>
      <c r="N191" s="864">
        <f>UnosNovoZaposl!D597</f>
        <v>0</v>
      </c>
      <c r="O191" s="864"/>
      <c r="P191" s="864"/>
      <c r="Q191" s="864"/>
      <c r="R191" s="864"/>
      <c r="S191" s="864"/>
      <c r="T191" s="864"/>
      <c r="U191" s="868">
        <f>UnosNovoZaposl!E597</f>
        <v>0</v>
      </c>
      <c r="V191" s="868"/>
      <c r="W191" s="868"/>
      <c r="X191" s="868"/>
      <c r="Y191" s="868"/>
      <c r="Z191" s="868"/>
      <c r="AA191" s="868">
        <f>UnosNovoZaposl!B597</f>
        <v>0</v>
      </c>
      <c r="AB191" s="868"/>
      <c r="AC191" s="868"/>
      <c r="AD191" s="868"/>
      <c r="AE191" s="868"/>
      <c r="AF191" s="868"/>
      <c r="AG191" s="868">
        <f>UnosNovoZaposl!F597</f>
        <v>0</v>
      </c>
      <c r="AH191" s="868"/>
      <c r="AI191" s="868"/>
      <c r="AJ191" s="868"/>
      <c r="AK191" s="868"/>
      <c r="AL191" s="868"/>
      <c r="AM191" s="868">
        <f>UnosNovoZaposl!G597</f>
        <v>0</v>
      </c>
      <c r="AN191" s="868"/>
      <c r="AO191" s="868"/>
      <c r="AP191" s="868"/>
      <c r="AQ191" s="868"/>
      <c r="AR191" s="868"/>
      <c r="AS191" s="868">
        <f t="shared" si="3"/>
        <v>0</v>
      </c>
      <c r="AT191" s="868"/>
      <c r="AU191" s="868"/>
      <c r="AV191" s="868"/>
      <c r="AW191" s="868"/>
      <c r="AX191" s="868"/>
    </row>
    <row r="192" s="687" customFormat="1" ht="15" hidden="1" customHeight="1" spans="1:50">
      <c r="A192" s="745"/>
      <c r="B192" s="754" t="s">
        <v>6458</v>
      </c>
      <c r="C192" s="864">
        <f>UnosNovoZaposl!C598</f>
        <v>0</v>
      </c>
      <c r="D192" s="864"/>
      <c r="E192" s="864"/>
      <c r="F192" s="864"/>
      <c r="G192" s="864"/>
      <c r="H192" s="864"/>
      <c r="I192" s="864"/>
      <c r="J192" s="864"/>
      <c r="K192" s="864"/>
      <c r="L192" s="864"/>
      <c r="M192" s="864"/>
      <c r="N192" s="864">
        <f>UnosNovoZaposl!D598</f>
        <v>0</v>
      </c>
      <c r="O192" s="864"/>
      <c r="P192" s="864"/>
      <c r="Q192" s="864"/>
      <c r="R192" s="864"/>
      <c r="S192" s="864"/>
      <c r="T192" s="864"/>
      <c r="U192" s="868">
        <f>UnosNovoZaposl!E598</f>
        <v>0</v>
      </c>
      <c r="V192" s="868"/>
      <c r="W192" s="868"/>
      <c r="X192" s="868"/>
      <c r="Y192" s="868"/>
      <c r="Z192" s="868"/>
      <c r="AA192" s="868">
        <f>UnosNovoZaposl!B598</f>
        <v>0</v>
      </c>
      <c r="AB192" s="868"/>
      <c r="AC192" s="868"/>
      <c r="AD192" s="868"/>
      <c r="AE192" s="868"/>
      <c r="AF192" s="868"/>
      <c r="AG192" s="868">
        <f>UnosNovoZaposl!F598</f>
        <v>0</v>
      </c>
      <c r="AH192" s="868"/>
      <c r="AI192" s="868"/>
      <c r="AJ192" s="868"/>
      <c r="AK192" s="868"/>
      <c r="AL192" s="868"/>
      <c r="AM192" s="868">
        <f>UnosNovoZaposl!G598</f>
        <v>0</v>
      </c>
      <c r="AN192" s="868"/>
      <c r="AO192" s="868"/>
      <c r="AP192" s="868"/>
      <c r="AQ192" s="868"/>
      <c r="AR192" s="868"/>
      <c r="AS192" s="868">
        <f t="shared" si="3"/>
        <v>0</v>
      </c>
      <c r="AT192" s="868"/>
      <c r="AU192" s="868"/>
      <c r="AV192" s="868"/>
      <c r="AW192" s="868"/>
      <c r="AX192" s="868"/>
    </row>
    <row r="193" s="687" customFormat="1" ht="15" hidden="1" customHeight="1" spans="1:50">
      <c r="A193" s="745"/>
      <c r="B193" s="754" t="s">
        <v>6459</v>
      </c>
      <c r="C193" s="864">
        <f>UnosNovoZaposl!C599</f>
        <v>0</v>
      </c>
      <c r="D193" s="864"/>
      <c r="E193" s="864"/>
      <c r="F193" s="864"/>
      <c r="G193" s="864"/>
      <c r="H193" s="864"/>
      <c r="I193" s="864"/>
      <c r="J193" s="864"/>
      <c r="K193" s="864"/>
      <c r="L193" s="864"/>
      <c r="M193" s="864"/>
      <c r="N193" s="864">
        <f>UnosNovoZaposl!D599</f>
        <v>0</v>
      </c>
      <c r="O193" s="864"/>
      <c r="P193" s="864"/>
      <c r="Q193" s="864"/>
      <c r="R193" s="864"/>
      <c r="S193" s="864"/>
      <c r="T193" s="864"/>
      <c r="U193" s="868">
        <f>UnosNovoZaposl!E599</f>
        <v>0</v>
      </c>
      <c r="V193" s="868"/>
      <c r="W193" s="868"/>
      <c r="X193" s="868"/>
      <c r="Y193" s="868"/>
      <c r="Z193" s="868"/>
      <c r="AA193" s="868">
        <f>UnosNovoZaposl!B599</f>
        <v>0</v>
      </c>
      <c r="AB193" s="868"/>
      <c r="AC193" s="868"/>
      <c r="AD193" s="868"/>
      <c r="AE193" s="868"/>
      <c r="AF193" s="868"/>
      <c r="AG193" s="868">
        <f>UnosNovoZaposl!F599</f>
        <v>0</v>
      </c>
      <c r="AH193" s="868"/>
      <c r="AI193" s="868"/>
      <c r="AJ193" s="868"/>
      <c r="AK193" s="868"/>
      <c r="AL193" s="868"/>
      <c r="AM193" s="868">
        <f>UnosNovoZaposl!G599</f>
        <v>0</v>
      </c>
      <c r="AN193" s="868"/>
      <c r="AO193" s="868"/>
      <c r="AP193" s="868"/>
      <c r="AQ193" s="868"/>
      <c r="AR193" s="868"/>
      <c r="AS193" s="868">
        <f t="shared" si="3"/>
        <v>0</v>
      </c>
      <c r="AT193" s="868"/>
      <c r="AU193" s="868"/>
      <c r="AV193" s="868"/>
      <c r="AW193" s="868"/>
      <c r="AX193" s="868"/>
    </row>
    <row r="194" s="687" customFormat="1" ht="15" hidden="1" customHeight="1" spans="1:50">
      <c r="A194" s="745"/>
      <c r="B194" s="754" t="s">
        <v>6460</v>
      </c>
      <c r="C194" s="864">
        <f>UnosNovoZaposl!C600</f>
        <v>0</v>
      </c>
      <c r="D194" s="864"/>
      <c r="E194" s="864"/>
      <c r="F194" s="864"/>
      <c r="G194" s="864"/>
      <c r="H194" s="864"/>
      <c r="I194" s="864"/>
      <c r="J194" s="864"/>
      <c r="K194" s="864"/>
      <c r="L194" s="864"/>
      <c r="M194" s="864"/>
      <c r="N194" s="864">
        <f>UnosNovoZaposl!D600</f>
        <v>0</v>
      </c>
      <c r="O194" s="864"/>
      <c r="P194" s="864"/>
      <c r="Q194" s="864"/>
      <c r="R194" s="864"/>
      <c r="S194" s="864"/>
      <c r="T194" s="864"/>
      <c r="U194" s="868">
        <f>UnosNovoZaposl!E600</f>
        <v>0</v>
      </c>
      <c r="V194" s="868"/>
      <c r="W194" s="868"/>
      <c r="X194" s="868"/>
      <c r="Y194" s="868"/>
      <c r="Z194" s="868"/>
      <c r="AA194" s="868">
        <f>UnosNovoZaposl!B600</f>
        <v>0</v>
      </c>
      <c r="AB194" s="868"/>
      <c r="AC194" s="868"/>
      <c r="AD194" s="868"/>
      <c r="AE194" s="868"/>
      <c r="AF194" s="868"/>
      <c r="AG194" s="868">
        <f>UnosNovoZaposl!F600</f>
        <v>0</v>
      </c>
      <c r="AH194" s="868"/>
      <c r="AI194" s="868"/>
      <c r="AJ194" s="868"/>
      <c r="AK194" s="868"/>
      <c r="AL194" s="868"/>
      <c r="AM194" s="868">
        <f>UnosNovoZaposl!G600</f>
        <v>0</v>
      </c>
      <c r="AN194" s="868"/>
      <c r="AO194" s="868"/>
      <c r="AP194" s="868"/>
      <c r="AQ194" s="868"/>
      <c r="AR194" s="868"/>
      <c r="AS194" s="868">
        <f t="shared" si="3"/>
        <v>0</v>
      </c>
      <c r="AT194" s="868"/>
      <c r="AU194" s="868"/>
      <c r="AV194" s="868"/>
      <c r="AW194" s="868"/>
      <c r="AX194" s="868"/>
    </row>
    <row r="195" s="687" customFormat="1" ht="15" hidden="1" customHeight="1" spans="1:50">
      <c r="A195" s="745"/>
      <c r="B195" s="754" t="s">
        <v>6461</v>
      </c>
      <c r="C195" s="864">
        <f>UnosNovoZaposl!C601</f>
        <v>0</v>
      </c>
      <c r="D195" s="864"/>
      <c r="E195" s="864"/>
      <c r="F195" s="864"/>
      <c r="G195" s="864"/>
      <c r="H195" s="864"/>
      <c r="I195" s="864"/>
      <c r="J195" s="864"/>
      <c r="K195" s="864"/>
      <c r="L195" s="864"/>
      <c r="M195" s="864"/>
      <c r="N195" s="864">
        <f>UnosNovoZaposl!D601</f>
        <v>0</v>
      </c>
      <c r="O195" s="864"/>
      <c r="P195" s="864"/>
      <c r="Q195" s="864"/>
      <c r="R195" s="864"/>
      <c r="S195" s="864"/>
      <c r="T195" s="864"/>
      <c r="U195" s="868">
        <f>UnosNovoZaposl!E601</f>
        <v>0</v>
      </c>
      <c r="V195" s="868"/>
      <c r="W195" s="868"/>
      <c r="X195" s="868"/>
      <c r="Y195" s="868"/>
      <c r="Z195" s="868"/>
      <c r="AA195" s="868">
        <f>UnosNovoZaposl!B601</f>
        <v>0</v>
      </c>
      <c r="AB195" s="868"/>
      <c r="AC195" s="868"/>
      <c r="AD195" s="868"/>
      <c r="AE195" s="868"/>
      <c r="AF195" s="868"/>
      <c r="AG195" s="868">
        <f>UnosNovoZaposl!F601</f>
        <v>0</v>
      </c>
      <c r="AH195" s="868"/>
      <c r="AI195" s="868"/>
      <c r="AJ195" s="868"/>
      <c r="AK195" s="868"/>
      <c r="AL195" s="868"/>
      <c r="AM195" s="868">
        <f>UnosNovoZaposl!G601</f>
        <v>0</v>
      </c>
      <c r="AN195" s="868"/>
      <c r="AO195" s="868"/>
      <c r="AP195" s="868"/>
      <c r="AQ195" s="868"/>
      <c r="AR195" s="868"/>
      <c r="AS195" s="868">
        <f t="shared" si="3"/>
        <v>0</v>
      </c>
      <c r="AT195" s="868"/>
      <c r="AU195" s="868"/>
      <c r="AV195" s="868"/>
      <c r="AW195" s="868"/>
      <c r="AX195" s="868"/>
    </row>
    <row r="196" s="687" customFormat="1" ht="15" hidden="1" customHeight="1" spans="1:50">
      <c r="A196" s="745"/>
      <c r="B196" s="754" t="s">
        <v>6462</v>
      </c>
      <c r="C196" s="864">
        <f>UnosNovoZaposl!C602</f>
        <v>0</v>
      </c>
      <c r="D196" s="864"/>
      <c r="E196" s="864"/>
      <c r="F196" s="864"/>
      <c r="G196" s="864"/>
      <c r="H196" s="864"/>
      <c r="I196" s="864"/>
      <c r="J196" s="864"/>
      <c r="K196" s="864"/>
      <c r="L196" s="864"/>
      <c r="M196" s="864"/>
      <c r="N196" s="864">
        <f>UnosNovoZaposl!D602</f>
        <v>0</v>
      </c>
      <c r="O196" s="864"/>
      <c r="P196" s="864"/>
      <c r="Q196" s="864"/>
      <c r="R196" s="864"/>
      <c r="S196" s="864"/>
      <c r="T196" s="864"/>
      <c r="U196" s="868">
        <f>UnosNovoZaposl!E602</f>
        <v>0</v>
      </c>
      <c r="V196" s="868"/>
      <c r="W196" s="868"/>
      <c r="X196" s="868"/>
      <c r="Y196" s="868"/>
      <c r="Z196" s="868"/>
      <c r="AA196" s="868">
        <f>UnosNovoZaposl!B602</f>
        <v>0</v>
      </c>
      <c r="AB196" s="868"/>
      <c r="AC196" s="868"/>
      <c r="AD196" s="868"/>
      <c r="AE196" s="868"/>
      <c r="AF196" s="868"/>
      <c r="AG196" s="868">
        <f>UnosNovoZaposl!F602</f>
        <v>0</v>
      </c>
      <c r="AH196" s="868"/>
      <c r="AI196" s="868"/>
      <c r="AJ196" s="868"/>
      <c r="AK196" s="868"/>
      <c r="AL196" s="868"/>
      <c r="AM196" s="868">
        <f>UnosNovoZaposl!G602</f>
        <v>0</v>
      </c>
      <c r="AN196" s="868"/>
      <c r="AO196" s="868"/>
      <c r="AP196" s="868"/>
      <c r="AQ196" s="868"/>
      <c r="AR196" s="868"/>
      <c r="AS196" s="868">
        <f t="shared" si="3"/>
        <v>0</v>
      </c>
      <c r="AT196" s="868"/>
      <c r="AU196" s="868"/>
      <c r="AV196" s="868"/>
      <c r="AW196" s="868"/>
      <c r="AX196" s="868"/>
    </row>
    <row r="197" s="687" customFormat="1" ht="15" hidden="1" customHeight="1" spans="1:50">
      <c r="A197" s="745"/>
      <c r="B197" s="754" t="s">
        <v>6463</v>
      </c>
      <c r="C197" s="864">
        <f>UnosNovoZaposl!C603</f>
        <v>0</v>
      </c>
      <c r="D197" s="864"/>
      <c r="E197" s="864"/>
      <c r="F197" s="864"/>
      <c r="G197" s="864"/>
      <c r="H197" s="864"/>
      <c r="I197" s="864"/>
      <c r="J197" s="864"/>
      <c r="K197" s="864"/>
      <c r="L197" s="864"/>
      <c r="M197" s="864"/>
      <c r="N197" s="864">
        <f>UnosNovoZaposl!D603</f>
        <v>0</v>
      </c>
      <c r="O197" s="864"/>
      <c r="P197" s="864"/>
      <c r="Q197" s="864"/>
      <c r="R197" s="864"/>
      <c r="S197" s="864"/>
      <c r="T197" s="864"/>
      <c r="U197" s="868">
        <f>UnosNovoZaposl!E603</f>
        <v>0</v>
      </c>
      <c r="V197" s="868"/>
      <c r="W197" s="868"/>
      <c r="X197" s="868"/>
      <c r="Y197" s="868"/>
      <c r="Z197" s="868"/>
      <c r="AA197" s="868">
        <f>UnosNovoZaposl!B603</f>
        <v>0</v>
      </c>
      <c r="AB197" s="868"/>
      <c r="AC197" s="868"/>
      <c r="AD197" s="868"/>
      <c r="AE197" s="868"/>
      <c r="AF197" s="868"/>
      <c r="AG197" s="868">
        <f>UnosNovoZaposl!F603</f>
        <v>0</v>
      </c>
      <c r="AH197" s="868"/>
      <c r="AI197" s="868"/>
      <c r="AJ197" s="868"/>
      <c r="AK197" s="868"/>
      <c r="AL197" s="868"/>
      <c r="AM197" s="868">
        <f>UnosNovoZaposl!G603</f>
        <v>0</v>
      </c>
      <c r="AN197" s="868"/>
      <c r="AO197" s="868"/>
      <c r="AP197" s="868"/>
      <c r="AQ197" s="868"/>
      <c r="AR197" s="868"/>
      <c r="AS197" s="868">
        <f t="shared" si="3"/>
        <v>0</v>
      </c>
      <c r="AT197" s="868"/>
      <c r="AU197" s="868"/>
      <c r="AV197" s="868"/>
      <c r="AW197" s="868"/>
      <c r="AX197" s="868"/>
    </row>
    <row r="198" s="687" customFormat="1" ht="15" hidden="1" customHeight="1" spans="1:50">
      <c r="A198" s="745"/>
      <c r="B198" s="754" t="s">
        <v>6464</v>
      </c>
      <c r="C198" s="864">
        <f>UnosNovoZaposl!C604</f>
        <v>0</v>
      </c>
      <c r="D198" s="864"/>
      <c r="E198" s="864"/>
      <c r="F198" s="864"/>
      <c r="G198" s="864"/>
      <c r="H198" s="864"/>
      <c r="I198" s="864"/>
      <c r="J198" s="864"/>
      <c r="K198" s="864"/>
      <c r="L198" s="864"/>
      <c r="M198" s="864"/>
      <c r="N198" s="864">
        <f>UnosNovoZaposl!D604</f>
        <v>0</v>
      </c>
      <c r="O198" s="864"/>
      <c r="P198" s="864"/>
      <c r="Q198" s="864"/>
      <c r="R198" s="864"/>
      <c r="S198" s="864"/>
      <c r="T198" s="864"/>
      <c r="U198" s="868">
        <f>UnosNovoZaposl!E604</f>
        <v>0</v>
      </c>
      <c r="V198" s="868"/>
      <c r="W198" s="868"/>
      <c r="X198" s="868"/>
      <c r="Y198" s="868"/>
      <c r="Z198" s="868"/>
      <c r="AA198" s="868">
        <f>UnosNovoZaposl!B604</f>
        <v>0</v>
      </c>
      <c r="AB198" s="868"/>
      <c r="AC198" s="868"/>
      <c r="AD198" s="868"/>
      <c r="AE198" s="868"/>
      <c r="AF198" s="868"/>
      <c r="AG198" s="868">
        <f>UnosNovoZaposl!F604</f>
        <v>0</v>
      </c>
      <c r="AH198" s="868"/>
      <c r="AI198" s="868"/>
      <c r="AJ198" s="868"/>
      <c r="AK198" s="868"/>
      <c r="AL198" s="868"/>
      <c r="AM198" s="868">
        <f>UnosNovoZaposl!G604</f>
        <v>0</v>
      </c>
      <c r="AN198" s="868"/>
      <c r="AO198" s="868"/>
      <c r="AP198" s="868"/>
      <c r="AQ198" s="868"/>
      <c r="AR198" s="868"/>
      <c r="AS198" s="868">
        <f t="shared" si="3"/>
        <v>0</v>
      </c>
      <c r="AT198" s="868"/>
      <c r="AU198" s="868"/>
      <c r="AV198" s="868"/>
      <c r="AW198" s="868"/>
      <c r="AX198" s="868"/>
    </row>
    <row r="199" s="687" customFormat="1" ht="15" hidden="1" customHeight="1" spans="1:50">
      <c r="A199" s="745"/>
      <c r="B199" s="754" t="s">
        <v>6465</v>
      </c>
      <c r="C199" s="864">
        <f>UnosNovoZaposl!C605</f>
        <v>0</v>
      </c>
      <c r="D199" s="864"/>
      <c r="E199" s="864"/>
      <c r="F199" s="864"/>
      <c r="G199" s="864"/>
      <c r="H199" s="864"/>
      <c r="I199" s="864"/>
      <c r="J199" s="864"/>
      <c r="K199" s="864"/>
      <c r="L199" s="864"/>
      <c r="M199" s="864"/>
      <c r="N199" s="864">
        <f>UnosNovoZaposl!D605</f>
        <v>0</v>
      </c>
      <c r="O199" s="864"/>
      <c r="P199" s="864"/>
      <c r="Q199" s="864"/>
      <c r="R199" s="864"/>
      <c r="S199" s="864"/>
      <c r="T199" s="864"/>
      <c r="U199" s="868">
        <f>UnosNovoZaposl!E605</f>
        <v>0</v>
      </c>
      <c r="V199" s="868"/>
      <c r="W199" s="868"/>
      <c r="X199" s="868"/>
      <c r="Y199" s="868"/>
      <c r="Z199" s="868"/>
      <c r="AA199" s="868">
        <f>UnosNovoZaposl!B605</f>
        <v>0</v>
      </c>
      <c r="AB199" s="868"/>
      <c r="AC199" s="868"/>
      <c r="AD199" s="868"/>
      <c r="AE199" s="868"/>
      <c r="AF199" s="868"/>
      <c r="AG199" s="868">
        <f>UnosNovoZaposl!F605</f>
        <v>0</v>
      </c>
      <c r="AH199" s="868"/>
      <c r="AI199" s="868"/>
      <c r="AJ199" s="868"/>
      <c r="AK199" s="868"/>
      <c r="AL199" s="868"/>
      <c r="AM199" s="868">
        <f>UnosNovoZaposl!G605</f>
        <v>0</v>
      </c>
      <c r="AN199" s="868"/>
      <c r="AO199" s="868"/>
      <c r="AP199" s="868"/>
      <c r="AQ199" s="868"/>
      <c r="AR199" s="868"/>
      <c r="AS199" s="868">
        <f t="shared" si="3"/>
        <v>0</v>
      </c>
      <c r="AT199" s="868"/>
      <c r="AU199" s="868"/>
      <c r="AV199" s="868"/>
      <c r="AW199" s="868"/>
      <c r="AX199" s="868"/>
    </row>
    <row r="200" s="687" customFormat="1" ht="15" hidden="1" customHeight="1" spans="1:50">
      <c r="A200" s="745"/>
      <c r="B200" s="754" t="s">
        <v>6466</v>
      </c>
      <c r="C200" s="864">
        <f>UnosNovoZaposl!C606</f>
        <v>0</v>
      </c>
      <c r="D200" s="864"/>
      <c r="E200" s="864"/>
      <c r="F200" s="864"/>
      <c r="G200" s="864"/>
      <c r="H200" s="864"/>
      <c r="I200" s="864"/>
      <c r="J200" s="864"/>
      <c r="K200" s="864"/>
      <c r="L200" s="864"/>
      <c r="M200" s="864"/>
      <c r="N200" s="864">
        <f>UnosNovoZaposl!D606</f>
        <v>0</v>
      </c>
      <c r="O200" s="864"/>
      <c r="P200" s="864"/>
      <c r="Q200" s="864"/>
      <c r="R200" s="864"/>
      <c r="S200" s="864"/>
      <c r="T200" s="864"/>
      <c r="U200" s="868">
        <f>UnosNovoZaposl!E606</f>
        <v>0</v>
      </c>
      <c r="V200" s="868"/>
      <c r="W200" s="868"/>
      <c r="X200" s="868"/>
      <c r="Y200" s="868"/>
      <c r="Z200" s="868"/>
      <c r="AA200" s="868">
        <f>UnosNovoZaposl!B606</f>
        <v>0</v>
      </c>
      <c r="AB200" s="868"/>
      <c r="AC200" s="868"/>
      <c r="AD200" s="868"/>
      <c r="AE200" s="868"/>
      <c r="AF200" s="868"/>
      <c r="AG200" s="868">
        <f>UnosNovoZaposl!F606</f>
        <v>0</v>
      </c>
      <c r="AH200" s="868"/>
      <c r="AI200" s="868"/>
      <c r="AJ200" s="868"/>
      <c r="AK200" s="868"/>
      <c r="AL200" s="868"/>
      <c r="AM200" s="868">
        <f>UnosNovoZaposl!G606</f>
        <v>0</v>
      </c>
      <c r="AN200" s="868"/>
      <c r="AO200" s="868"/>
      <c r="AP200" s="868"/>
      <c r="AQ200" s="868"/>
      <c r="AR200" s="868"/>
      <c r="AS200" s="868">
        <f t="shared" si="3"/>
        <v>0</v>
      </c>
      <c r="AT200" s="868"/>
      <c r="AU200" s="868"/>
      <c r="AV200" s="868"/>
      <c r="AW200" s="868"/>
      <c r="AX200" s="868"/>
    </row>
    <row r="201" s="687" customFormat="1" ht="15" hidden="1" customHeight="1" spans="1:50">
      <c r="A201" s="745"/>
      <c r="B201" s="754" t="s">
        <v>6467</v>
      </c>
      <c r="C201" s="864">
        <f>UnosNovoZaposl!C607</f>
        <v>0</v>
      </c>
      <c r="D201" s="864"/>
      <c r="E201" s="864"/>
      <c r="F201" s="864"/>
      <c r="G201" s="864"/>
      <c r="H201" s="864"/>
      <c r="I201" s="864"/>
      <c r="J201" s="864"/>
      <c r="K201" s="864"/>
      <c r="L201" s="864"/>
      <c r="M201" s="864"/>
      <c r="N201" s="864">
        <f>UnosNovoZaposl!D607</f>
        <v>0</v>
      </c>
      <c r="O201" s="864"/>
      <c r="P201" s="864"/>
      <c r="Q201" s="864"/>
      <c r="R201" s="864"/>
      <c r="S201" s="864"/>
      <c r="T201" s="864"/>
      <c r="U201" s="868">
        <f>UnosNovoZaposl!E607</f>
        <v>0</v>
      </c>
      <c r="V201" s="868"/>
      <c r="W201" s="868"/>
      <c r="X201" s="868"/>
      <c r="Y201" s="868"/>
      <c r="Z201" s="868"/>
      <c r="AA201" s="868">
        <f>UnosNovoZaposl!B607</f>
        <v>0</v>
      </c>
      <c r="AB201" s="868"/>
      <c r="AC201" s="868"/>
      <c r="AD201" s="868"/>
      <c r="AE201" s="868"/>
      <c r="AF201" s="868"/>
      <c r="AG201" s="868">
        <f>UnosNovoZaposl!F607</f>
        <v>0</v>
      </c>
      <c r="AH201" s="868"/>
      <c r="AI201" s="868"/>
      <c r="AJ201" s="868"/>
      <c r="AK201" s="868"/>
      <c r="AL201" s="868"/>
      <c r="AM201" s="868">
        <f>UnosNovoZaposl!G607</f>
        <v>0</v>
      </c>
      <c r="AN201" s="868"/>
      <c r="AO201" s="868"/>
      <c r="AP201" s="868"/>
      <c r="AQ201" s="868"/>
      <c r="AR201" s="868"/>
      <c r="AS201" s="868">
        <f t="shared" si="3"/>
        <v>0</v>
      </c>
      <c r="AT201" s="868"/>
      <c r="AU201" s="868"/>
      <c r="AV201" s="868"/>
      <c r="AW201" s="868"/>
      <c r="AX201" s="868"/>
    </row>
    <row r="202" s="687" customFormat="1" ht="15" hidden="1" customHeight="1" spans="1:50">
      <c r="A202" s="745"/>
      <c r="B202" s="754" t="s">
        <v>6468</v>
      </c>
      <c r="C202" s="864">
        <f>UnosNovoZaposl!C608</f>
        <v>0</v>
      </c>
      <c r="D202" s="864"/>
      <c r="E202" s="864"/>
      <c r="F202" s="864"/>
      <c r="G202" s="864"/>
      <c r="H202" s="864"/>
      <c r="I202" s="864"/>
      <c r="J202" s="864"/>
      <c r="K202" s="864"/>
      <c r="L202" s="864"/>
      <c r="M202" s="864"/>
      <c r="N202" s="864">
        <f>UnosNovoZaposl!D608</f>
        <v>0</v>
      </c>
      <c r="O202" s="864"/>
      <c r="P202" s="864"/>
      <c r="Q202" s="864"/>
      <c r="R202" s="864"/>
      <c r="S202" s="864"/>
      <c r="T202" s="864"/>
      <c r="U202" s="868">
        <f>UnosNovoZaposl!E608</f>
        <v>0</v>
      </c>
      <c r="V202" s="868"/>
      <c r="W202" s="868"/>
      <c r="X202" s="868"/>
      <c r="Y202" s="868"/>
      <c r="Z202" s="868"/>
      <c r="AA202" s="868">
        <f>UnosNovoZaposl!B608</f>
        <v>0</v>
      </c>
      <c r="AB202" s="868"/>
      <c r="AC202" s="868"/>
      <c r="AD202" s="868"/>
      <c r="AE202" s="868"/>
      <c r="AF202" s="868"/>
      <c r="AG202" s="868">
        <f>UnosNovoZaposl!F608</f>
        <v>0</v>
      </c>
      <c r="AH202" s="868"/>
      <c r="AI202" s="868"/>
      <c r="AJ202" s="868"/>
      <c r="AK202" s="868"/>
      <c r="AL202" s="868"/>
      <c r="AM202" s="868">
        <f>UnosNovoZaposl!G608</f>
        <v>0</v>
      </c>
      <c r="AN202" s="868"/>
      <c r="AO202" s="868"/>
      <c r="AP202" s="868"/>
      <c r="AQ202" s="868"/>
      <c r="AR202" s="868"/>
      <c r="AS202" s="868">
        <f t="shared" si="3"/>
        <v>0</v>
      </c>
      <c r="AT202" s="868"/>
      <c r="AU202" s="868"/>
      <c r="AV202" s="868"/>
      <c r="AW202" s="868"/>
      <c r="AX202" s="868"/>
    </row>
    <row r="203" s="687" customFormat="1" ht="15" hidden="1" customHeight="1" spans="1:50">
      <c r="A203" s="745"/>
      <c r="B203" s="754" t="s">
        <v>6469</v>
      </c>
      <c r="C203" s="864">
        <f>UnosNovoZaposl!C609</f>
        <v>0</v>
      </c>
      <c r="D203" s="864"/>
      <c r="E203" s="864"/>
      <c r="F203" s="864"/>
      <c r="G203" s="864"/>
      <c r="H203" s="864"/>
      <c r="I203" s="864"/>
      <c r="J203" s="864"/>
      <c r="K203" s="864"/>
      <c r="L203" s="864"/>
      <c r="M203" s="864"/>
      <c r="N203" s="864">
        <f>UnosNovoZaposl!D609</f>
        <v>0</v>
      </c>
      <c r="O203" s="864"/>
      <c r="P203" s="864"/>
      <c r="Q203" s="864"/>
      <c r="R203" s="864"/>
      <c r="S203" s="864"/>
      <c r="T203" s="864"/>
      <c r="U203" s="868">
        <f>UnosNovoZaposl!E609</f>
        <v>0</v>
      </c>
      <c r="V203" s="868"/>
      <c r="W203" s="868"/>
      <c r="X203" s="868"/>
      <c r="Y203" s="868"/>
      <c r="Z203" s="868"/>
      <c r="AA203" s="868">
        <f>UnosNovoZaposl!B609</f>
        <v>0</v>
      </c>
      <c r="AB203" s="868"/>
      <c r="AC203" s="868"/>
      <c r="AD203" s="868"/>
      <c r="AE203" s="868"/>
      <c r="AF203" s="868"/>
      <c r="AG203" s="868">
        <f>UnosNovoZaposl!F609</f>
        <v>0</v>
      </c>
      <c r="AH203" s="868"/>
      <c r="AI203" s="868"/>
      <c r="AJ203" s="868"/>
      <c r="AK203" s="868"/>
      <c r="AL203" s="868"/>
      <c r="AM203" s="868">
        <f>UnosNovoZaposl!G609</f>
        <v>0</v>
      </c>
      <c r="AN203" s="868"/>
      <c r="AO203" s="868"/>
      <c r="AP203" s="868"/>
      <c r="AQ203" s="868"/>
      <c r="AR203" s="868"/>
      <c r="AS203" s="868">
        <f t="shared" si="3"/>
        <v>0</v>
      </c>
      <c r="AT203" s="868"/>
      <c r="AU203" s="868"/>
      <c r="AV203" s="868"/>
      <c r="AW203" s="868"/>
      <c r="AX203" s="868"/>
    </row>
    <row r="204" s="687" customFormat="1" ht="15" hidden="1" customHeight="1" spans="1:50">
      <c r="A204" s="745"/>
      <c r="B204" s="754" t="s">
        <v>6470</v>
      </c>
      <c r="C204" s="864">
        <f>UnosNovoZaposl!C610</f>
        <v>0</v>
      </c>
      <c r="D204" s="864"/>
      <c r="E204" s="864"/>
      <c r="F204" s="864"/>
      <c r="G204" s="864"/>
      <c r="H204" s="864"/>
      <c r="I204" s="864"/>
      <c r="J204" s="864"/>
      <c r="K204" s="864"/>
      <c r="L204" s="864"/>
      <c r="M204" s="864"/>
      <c r="N204" s="864">
        <f>UnosNovoZaposl!D610</f>
        <v>0</v>
      </c>
      <c r="O204" s="864"/>
      <c r="P204" s="864"/>
      <c r="Q204" s="864"/>
      <c r="R204" s="864"/>
      <c r="S204" s="864"/>
      <c r="T204" s="864"/>
      <c r="U204" s="868">
        <f>UnosNovoZaposl!E610</f>
        <v>0</v>
      </c>
      <c r="V204" s="868"/>
      <c r="W204" s="868"/>
      <c r="X204" s="868"/>
      <c r="Y204" s="868"/>
      <c r="Z204" s="868"/>
      <c r="AA204" s="868">
        <f>UnosNovoZaposl!B610</f>
        <v>0</v>
      </c>
      <c r="AB204" s="868"/>
      <c r="AC204" s="868"/>
      <c r="AD204" s="868"/>
      <c r="AE204" s="868"/>
      <c r="AF204" s="868"/>
      <c r="AG204" s="868">
        <f>UnosNovoZaposl!F610</f>
        <v>0</v>
      </c>
      <c r="AH204" s="868"/>
      <c r="AI204" s="868"/>
      <c r="AJ204" s="868"/>
      <c r="AK204" s="868"/>
      <c r="AL204" s="868"/>
      <c r="AM204" s="868">
        <f>UnosNovoZaposl!G610</f>
        <v>0</v>
      </c>
      <c r="AN204" s="868"/>
      <c r="AO204" s="868"/>
      <c r="AP204" s="868"/>
      <c r="AQ204" s="868"/>
      <c r="AR204" s="868"/>
      <c r="AS204" s="868">
        <f t="shared" si="3"/>
        <v>0</v>
      </c>
      <c r="AT204" s="868"/>
      <c r="AU204" s="868"/>
      <c r="AV204" s="868"/>
      <c r="AW204" s="868"/>
      <c r="AX204" s="868"/>
    </row>
    <row r="205" s="687" customFormat="1" ht="15" hidden="1" customHeight="1" spans="1:50">
      <c r="A205" s="745"/>
      <c r="B205" s="754" t="s">
        <v>6471</v>
      </c>
      <c r="C205" s="864">
        <f>UnosNovoZaposl!C611</f>
        <v>0</v>
      </c>
      <c r="D205" s="864"/>
      <c r="E205" s="864"/>
      <c r="F205" s="864"/>
      <c r="G205" s="864"/>
      <c r="H205" s="864"/>
      <c r="I205" s="864"/>
      <c r="J205" s="864"/>
      <c r="K205" s="864"/>
      <c r="L205" s="864"/>
      <c r="M205" s="864"/>
      <c r="N205" s="864">
        <f>UnosNovoZaposl!D611</f>
        <v>0</v>
      </c>
      <c r="O205" s="864"/>
      <c r="P205" s="864"/>
      <c r="Q205" s="864"/>
      <c r="R205" s="864"/>
      <c r="S205" s="864"/>
      <c r="T205" s="864"/>
      <c r="U205" s="868">
        <f>UnosNovoZaposl!E611</f>
        <v>0</v>
      </c>
      <c r="V205" s="868"/>
      <c r="W205" s="868"/>
      <c r="X205" s="868"/>
      <c r="Y205" s="868"/>
      <c r="Z205" s="868"/>
      <c r="AA205" s="868">
        <f>UnosNovoZaposl!B611</f>
        <v>0</v>
      </c>
      <c r="AB205" s="868"/>
      <c r="AC205" s="868"/>
      <c r="AD205" s="868"/>
      <c r="AE205" s="868"/>
      <c r="AF205" s="868"/>
      <c r="AG205" s="868">
        <f>UnosNovoZaposl!F611</f>
        <v>0</v>
      </c>
      <c r="AH205" s="868"/>
      <c r="AI205" s="868"/>
      <c r="AJ205" s="868"/>
      <c r="AK205" s="868"/>
      <c r="AL205" s="868"/>
      <c r="AM205" s="868">
        <f>UnosNovoZaposl!G611</f>
        <v>0</v>
      </c>
      <c r="AN205" s="868"/>
      <c r="AO205" s="868"/>
      <c r="AP205" s="868"/>
      <c r="AQ205" s="868"/>
      <c r="AR205" s="868"/>
      <c r="AS205" s="868">
        <f t="shared" si="3"/>
        <v>0</v>
      </c>
      <c r="AT205" s="868"/>
      <c r="AU205" s="868"/>
      <c r="AV205" s="868"/>
      <c r="AW205" s="868"/>
      <c r="AX205" s="868"/>
    </row>
    <row r="206" s="687" customFormat="1" ht="15" hidden="1" customHeight="1" spans="1:50">
      <c r="A206" s="745"/>
      <c r="B206" s="754" t="s">
        <v>6472</v>
      </c>
      <c r="C206" s="864">
        <f>UnosNovoZaposl!C612</f>
        <v>0</v>
      </c>
      <c r="D206" s="864"/>
      <c r="E206" s="864"/>
      <c r="F206" s="864"/>
      <c r="G206" s="864"/>
      <c r="H206" s="864"/>
      <c r="I206" s="864"/>
      <c r="J206" s="864"/>
      <c r="K206" s="864"/>
      <c r="L206" s="864"/>
      <c r="M206" s="864"/>
      <c r="N206" s="864">
        <f>UnosNovoZaposl!D612</f>
        <v>0</v>
      </c>
      <c r="O206" s="864"/>
      <c r="P206" s="864"/>
      <c r="Q206" s="864"/>
      <c r="R206" s="864"/>
      <c r="S206" s="864"/>
      <c r="T206" s="864"/>
      <c r="U206" s="868">
        <f>UnosNovoZaposl!E612</f>
        <v>0</v>
      </c>
      <c r="V206" s="868"/>
      <c r="W206" s="868"/>
      <c r="X206" s="868"/>
      <c r="Y206" s="868"/>
      <c r="Z206" s="868"/>
      <c r="AA206" s="868">
        <f>UnosNovoZaposl!B612</f>
        <v>0</v>
      </c>
      <c r="AB206" s="868"/>
      <c r="AC206" s="868"/>
      <c r="AD206" s="868"/>
      <c r="AE206" s="868"/>
      <c r="AF206" s="868"/>
      <c r="AG206" s="868">
        <f>UnosNovoZaposl!F612</f>
        <v>0</v>
      </c>
      <c r="AH206" s="868"/>
      <c r="AI206" s="868"/>
      <c r="AJ206" s="868"/>
      <c r="AK206" s="868"/>
      <c r="AL206" s="868"/>
      <c r="AM206" s="868">
        <f>UnosNovoZaposl!G612</f>
        <v>0</v>
      </c>
      <c r="AN206" s="868"/>
      <c r="AO206" s="868"/>
      <c r="AP206" s="868"/>
      <c r="AQ206" s="868"/>
      <c r="AR206" s="868"/>
      <c r="AS206" s="868">
        <f t="shared" si="3"/>
        <v>0</v>
      </c>
      <c r="AT206" s="868"/>
      <c r="AU206" s="868"/>
      <c r="AV206" s="868"/>
      <c r="AW206" s="868"/>
      <c r="AX206" s="868"/>
    </row>
    <row r="207" s="687" customFormat="1" ht="15" hidden="1" customHeight="1" spans="1:50">
      <c r="A207" s="745"/>
      <c r="B207" s="754" t="s">
        <v>6473</v>
      </c>
      <c r="C207" s="864">
        <f>UnosNovoZaposl!C613</f>
        <v>0</v>
      </c>
      <c r="D207" s="864"/>
      <c r="E207" s="864"/>
      <c r="F207" s="864"/>
      <c r="G207" s="864"/>
      <c r="H207" s="864"/>
      <c r="I207" s="864"/>
      <c r="J207" s="864"/>
      <c r="K207" s="864"/>
      <c r="L207" s="864"/>
      <c r="M207" s="864"/>
      <c r="N207" s="864">
        <f>UnosNovoZaposl!D613</f>
        <v>0</v>
      </c>
      <c r="O207" s="864"/>
      <c r="P207" s="864"/>
      <c r="Q207" s="864"/>
      <c r="R207" s="864"/>
      <c r="S207" s="864"/>
      <c r="T207" s="864"/>
      <c r="U207" s="868">
        <f>UnosNovoZaposl!E613</f>
        <v>0</v>
      </c>
      <c r="V207" s="868"/>
      <c r="W207" s="868"/>
      <c r="X207" s="868"/>
      <c r="Y207" s="868"/>
      <c r="Z207" s="868"/>
      <c r="AA207" s="868">
        <f>UnosNovoZaposl!B613</f>
        <v>0</v>
      </c>
      <c r="AB207" s="868"/>
      <c r="AC207" s="868"/>
      <c r="AD207" s="868"/>
      <c r="AE207" s="868"/>
      <c r="AF207" s="868"/>
      <c r="AG207" s="868">
        <f>UnosNovoZaposl!F613</f>
        <v>0</v>
      </c>
      <c r="AH207" s="868"/>
      <c r="AI207" s="868"/>
      <c r="AJ207" s="868"/>
      <c r="AK207" s="868"/>
      <c r="AL207" s="868"/>
      <c r="AM207" s="868">
        <f>UnosNovoZaposl!G613</f>
        <v>0</v>
      </c>
      <c r="AN207" s="868"/>
      <c r="AO207" s="868"/>
      <c r="AP207" s="868"/>
      <c r="AQ207" s="868"/>
      <c r="AR207" s="868"/>
      <c r="AS207" s="868">
        <f t="shared" si="3"/>
        <v>0</v>
      </c>
      <c r="AT207" s="868"/>
      <c r="AU207" s="868"/>
      <c r="AV207" s="868"/>
      <c r="AW207" s="868"/>
      <c r="AX207" s="868"/>
    </row>
    <row r="208" s="687" customFormat="1" ht="15" hidden="1" customHeight="1" spans="1:50">
      <c r="A208" s="745"/>
      <c r="B208" s="754" t="s">
        <v>6474</v>
      </c>
      <c r="C208" s="864">
        <f>UnosNovoZaposl!C614</f>
        <v>0</v>
      </c>
      <c r="D208" s="864"/>
      <c r="E208" s="864"/>
      <c r="F208" s="864"/>
      <c r="G208" s="864"/>
      <c r="H208" s="864"/>
      <c r="I208" s="864"/>
      <c r="J208" s="864"/>
      <c r="K208" s="864"/>
      <c r="L208" s="864"/>
      <c r="M208" s="864"/>
      <c r="N208" s="864">
        <f>UnosNovoZaposl!D614</f>
        <v>0</v>
      </c>
      <c r="O208" s="864"/>
      <c r="P208" s="864"/>
      <c r="Q208" s="864"/>
      <c r="R208" s="864"/>
      <c r="S208" s="864"/>
      <c r="T208" s="864"/>
      <c r="U208" s="868">
        <f>UnosNovoZaposl!E614</f>
        <v>0</v>
      </c>
      <c r="V208" s="868"/>
      <c r="W208" s="868"/>
      <c r="X208" s="868"/>
      <c r="Y208" s="868"/>
      <c r="Z208" s="868"/>
      <c r="AA208" s="868">
        <f>UnosNovoZaposl!B614</f>
        <v>0</v>
      </c>
      <c r="AB208" s="868"/>
      <c r="AC208" s="868"/>
      <c r="AD208" s="868"/>
      <c r="AE208" s="868"/>
      <c r="AF208" s="868"/>
      <c r="AG208" s="868">
        <f>UnosNovoZaposl!F614</f>
        <v>0</v>
      </c>
      <c r="AH208" s="868"/>
      <c r="AI208" s="868"/>
      <c r="AJ208" s="868"/>
      <c r="AK208" s="868"/>
      <c r="AL208" s="868"/>
      <c r="AM208" s="868">
        <f>UnosNovoZaposl!G614</f>
        <v>0</v>
      </c>
      <c r="AN208" s="868"/>
      <c r="AO208" s="868"/>
      <c r="AP208" s="868"/>
      <c r="AQ208" s="868"/>
      <c r="AR208" s="868"/>
      <c r="AS208" s="868">
        <f t="shared" si="3"/>
        <v>0</v>
      </c>
      <c r="AT208" s="868"/>
      <c r="AU208" s="868"/>
      <c r="AV208" s="868"/>
      <c r="AW208" s="868"/>
      <c r="AX208" s="868"/>
    </row>
    <row r="209" s="687" customFormat="1" ht="15" hidden="1" customHeight="1" spans="1:50">
      <c r="A209" s="745"/>
      <c r="B209" s="754" t="s">
        <v>6475</v>
      </c>
      <c r="C209" s="864">
        <f>UnosNovoZaposl!C615</f>
        <v>0</v>
      </c>
      <c r="D209" s="864"/>
      <c r="E209" s="864"/>
      <c r="F209" s="864"/>
      <c r="G209" s="864"/>
      <c r="H209" s="864"/>
      <c r="I209" s="864"/>
      <c r="J209" s="864"/>
      <c r="K209" s="864"/>
      <c r="L209" s="864"/>
      <c r="M209" s="864"/>
      <c r="N209" s="864">
        <f>UnosNovoZaposl!D615</f>
        <v>0</v>
      </c>
      <c r="O209" s="864"/>
      <c r="P209" s="864"/>
      <c r="Q209" s="864"/>
      <c r="R209" s="864"/>
      <c r="S209" s="864"/>
      <c r="T209" s="864"/>
      <c r="U209" s="868">
        <f>UnosNovoZaposl!E615</f>
        <v>0</v>
      </c>
      <c r="V209" s="868"/>
      <c r="W209" s="868"/>
      <c r="X209" s="868"/>
      <c r="Y209" s="868"/>
      <c r="Z209" s="868"/>
      <c r="AA209" s="868">
        <f>UnosNovoZaposl!B615</f>
        <v>0</v>
      </c>
      <c r="AB209" s="868"/>
      <c r="AC209" s="868"/>
      <c r="AD209" s="868"/>
      <c r="AE209" s="868"/>
      <c r="AF209" s="868"/>
      <c r="AG209" s="868">
        <f>UnosNovoZaposl!F615</f>
        <v>0</v>
      </c>
      <c r="AH209" s="868"/>
      <c r="AI209" s="868"/>
      <c r="AJ209" s="868"/>
      <c r="AK209" s="868"/>
      <c r="AL209" s="868"/>
      <c r="AM209" s="868">
        <f>UnosNovoZaposl!G615</f>
        <v>0</v>
      </c>
      <c r="AN209" s="868"/>
      <c r="AO209" s="868"/>
      <c r="AP209" s="868"/>
      <c r="AQ209" s="868"/>
      <c r="AR209" s="868"/>
      <c r="AS209" s="868">
        <f t="shared" si="3"/>
        <v>0</v>
      </c>
      <c r="AT209" s="868"/>
      <c r="AU209" s="868"/>
      <c r="AV209" s="868"/>
      <c r="AW209" s="868"/>
      <c r="AX209" s="868"/>
    </row>
    <row r="210" s="687" customFormat="1" ht="15" hidden="1" customHeight="1" spans="1:50">
      <c r="A210" s="745"/>
      <c r="B210" s="754" t="s">
        <v>6476</v>
      </c>
      <c r="C210" s="864">
        <f>UnosNovoZaposl!C616</f>
        <v>0</v>
      </c>
      <c r="D210" s="864"/>
      <c r="E210" s="864"/>
      <c r="F210" s="864"/>
      <c r="G210" s="864"/>
      <c r="H210" s="864"/>
      <c r="I210" s="864"/>
      <c r="J210" s="864"/>
      <c r="K210" s="864"/>
      <c r="L210" s="864"/>
      <c r="M210" s="864"/>
      <c r="N210" s="864">
        <f>UnosNovoZaposl!D616</f>
        <v>0</v>
      </c>
      <c r="O210" s="864"/>
      <c r="P210" s="864"/>
      <c r="Q210" s="864"/>
      <c r="R210" s="864"/>
      <c r="S210" s="864"/>
      <c r="T210" s="864"/>
      <c r="U210" s="868">
        <f>UnosNovoZaposl!E616</f>
        <v>0</v>
      </c>
      <c r="V210" s="868"/>
      <c r="W210" s="868"/>
      <c r="X210" s="868"/>
      <c r="Y210" s="868"/>
      <c r="Z210" s="868"/>
      <c r="AA210" s="868">
        <f>UnosNovoZaposl!B616</f>
        <v>0</v>
      </c>
      <c r="AB210" s="868"/>
      <c r="AC210" s="868"/>
      <c r="AD210" s="868"/>
      <c r="AE210" s="868"/>
      <c r="AF210" s="868"/>
      <c r="AG210" s="868">
        <f>UnosNovoZaposl!F616</f>
        <v>0</v>
      </c>
      <c r="AH210" s="868"/>
      <c r="AI210" s="868"/>
      <c r="AJ210" s="868"/>
      <c r="AK210" s="868"/>
      <c r="AL210" s="868"/>
      <c r="AM210" s="868">
        <f>UnosNovoZaposl!G616</f>
        <v>0</v>
      </c>
      <c r="AN210" s="868"/>
      <c r="AO210" s="868"/>
      <c r="AP210" s="868"/>
      <c r="AQ210" s="868"/>
      <c r="AR210" s="868"/>
      <c r="AS210" s="868">
        <f t="shared" si="3"/>
        <v>0</v>
      </c>
      <c r="AT210" s="868"/>
      <c r="AU210" s="868"/>
      <c r="AV210" s="868"/>
      <c r="AW210" s="868"/>
      <c r="AX210" s="868"/>
    </row>
    <row r="211" s="687" customFormat="1" ht="15" hidden="1" customHeight="1" spans="1:50">
      <c r="A211" s="745"/>
      <c r="B211" s="754" t="s">
        <v>6477</v>
      </c>
      <c r="C211" s="864">
        <f>UnosNovoZaposl!C617</f>
        <v>0</v>
      </c>
      <c r="D211" s="864"/>
      <c r="E211" s="864"/>
      <c r="F211" s="864"/>
      <c r="G211" s="864"/>
      <c r="H211" s="864"/>
      <c r="I211" s="864"/>
      <c r="J211" s="864"/>
      <c r="K211" s="864"/>
      <c r="L211" s="864"/>
      <c r="M211" s="864"/>
      <c r="N211" s="864">
        <f>UnosNovoZaposl!D617</f>
        <v>0</v>
      </c>
      <c r="O211" s="864"/>
      <c r="P211" s="864"/>
      <c r="Q211" s="864"/>
      <c r="R211" s="864"/>
      <c r="S211" s="864"/>
      <c r="T211" s="864"/>
      <c r="U211" s="868">
        <f>UnosNovoZaposl!E617</f>
        <v>0</v>
      </c>
      <c r="V211" s="868"/>
      <c r="W211" s="868"/>
      <c r="X211" s="868"/>
      <c r="Y211" s="868"/>
      <c r="Z211" s="868"/>
      <c r="AA211" s="868">
        <f>UnosNovoZaposl!B617</f>
        <v>0</v>
      </c>
      <c r="AB211" s="868"/>
      <c r="AC211" s="868"/>
      <c r="AD211" s="868"/>
      <c r="AE211" s="868"/>
      <c r="AF211" s="868"/>
      <c r="AG211" s="868">
        <f>UnosNovoZaposl!F617</f>
        <v>0</v>
      </c>
      <c r="AH211" s="868"/>
      <c r="AI211" s="868"/>
      <c r="AJ211" s="868"/>
      <c r="AK211" s="868"/>
      <c r="AL211" s="868"/>
      <c r="AM211" s="868">
        <f>UnosNovoZaposl!G617</f>
        <v>0</v>
      </c>
      <c r="AN211" s="868"/>
      <c r="AO211" s="868"/>
      <c r="AP211" s="868"/>
      <c r="AQ211" s="868"/>
      <c r="AR211" s="868"/>
      <c r="AS211" s="868">
        <f t="shared" si="3"/>
        <v>0</v>
      </c>
      <c r="AT211" s="868"/>
      <c r="AU211" s="868"/>
      <c r="AV211" s="868"/>
      <c r="AW211" s="868"/>
      <c r="AX211" s="868"/>
    </row>
    <row r="212" s="687" customFormat="1" ht="15" hidden="1" customHeight="1" spans="1:50">
      <c r="A212" s="745"/>
      <c r="B212" s="754" t="s">
        <v>6478</v>
      </c>
      <c r="C212" s="864">
        <f>UnosNovoZaposl!C618</f>
        <v>0</v>
      </c>
      <c r="D212" s="864"/>
      <c r="E212" s="864"/>
      <c r="F212" s="864"/>
      <c r="G212" s="864"/>
      <c r="H212" s="864"/>
      <c r="I212" s="864"/>
      <c r="J212" s="864"/>
      <c r="K212" s="864"/>
      <c r="L212" s="864"/>
      <c r="M212" s="864"/>
      <c r="N212" s="864">
        <f>UnosNovoZaposl!D618</f>
        <v>0</v>
      </c>
      <c r="O212" s="864"/>
      <c r="P212" s="864"/>
      <c r="Q212" s="864"/>
      <c r="R212" s="864"/>
      <c r="S212" s="864"/>
      <c r="T212" s="864"/>
      <c r="U212" s="868">
        <f>UnosNovoZaposl!E618</f>
        <v>0</v>
      </c>
      <c r="V212" s="868"/>
      <c r="W212" s="868"/>
      <c r="X212" s="868"/>
      <c r="Y212" s="868"/>
      <c r="Z212" s="868"/>
      <c r="AA212" s="868">
        <f>UnosNovoZaposl!B618</f>
        <v>0</v>
      </c>
      <c r="AB212" s="868"/>
      <c r="AC212" s="868"/>
      <c r="AD212" s="868"/>
      <c r="AE212" s="868"/>
      <c r="AF212" s="868"/>
      <c r="AG212" s="868">
        <f>UnosNovoZaposl!F618</f>
        <v>0</v>
      </c>
      <c r="AH212" s="868"/>
      <c r="AI212" s="868"/>
      <c r="AJ212" s="868"/>
      <c r="AK212" s="868"/>
      <c r="AL212" s="868"/>
      <c r="AM212" s="868">
        <f>UnosNovoZaposl!G618</f>
        <v>0</v>
      </c>
      <c r="AN212" s="868"/>
      <c r="AO212" s="868"/>
      <c r="AP212" s="868"/>
      <c r="AQ212" s="868"/>
      <c r="AR212" s="868"/>
      <c r="AS212" s="868">
        <f t="shared" si="3"/>
        <v>0</v>
      </c>
      <c r="AT212" s="868"/>
      <c r="AU212" s="868"/>
      <c r="AV212" s="868"/>
      <c r="AW212" s="868"/>
      <c r="AX212" s="868"/>
    </row>
    <row r="213" s="687" customFormat="1" ht="15.75" customHeight="1" spans="1:50">
      <c r="A213" s="2991"/>
      <c r="B213" s="754"/>
      <c r="C213" s="2992" t="s">
        <v>4671</v>
      </c>
      <c r="D213" s="869"/>
      <c r="E213" s="869"/>
      <c r="F213" s="869"/>
      <c r="G213" s="869"/>
      <c r="H213" s="869"/>
      <c r="I213" s="869"/>
      <c r="J213" s="869"/>
      <c r="K213" s="869"/>
      <c r="L213" s="869"/>
      <c r="M213" s="869"/>
      <c r="N213" s="869"/>
      <c r="O213" s="869"/>
      <c r="P213" s="869"/>
      <c r="Q213" s="869"/>
      <c r="R213" s="869"/>
      <c r="S213" s="869"/>
      <c r="T213" s="869"/>
      <c r="U213" s="869"/>
      <c r="V213" s="869"/>
      <c r="W213" s="869"/>
      <c r="X213" s="869"/>
      <c r="Y213" s="869"/>
      <c r="Z213" s="869"/>
      <c r="AA213" s="869"/>
      <c r="AB213" s="869"/>
      <c r="AC213" s="869"/>
      <c r="AD213" s="869"/>
      <c r="AE213" s="869"/>
      <c r="AF213" s="870"/>
      <c r="AG213" s="868">
        <f>SUM(AG13:AL212)</f>
        <v>0</v>
      </c>
      <c r="AH213" s="868"/>
      <c r="AI213" s="868"/>
      <c r="AJ213" s="868"/>
      <c r="AK213" s="868"/>
      <c r="AL213" s="868"/>
      <c r="AM213" s="868">
        <f>SUM(AM13:AR212)</f>
        <v>0</v>
      </c>
      <c r="AN213" s="868"/>
      <c r="AO213" s="868"/>
      <c r="AP213" s="868"/>
      <c r="AQ213" s="868"/>
      <c r="AR213" s="868"/>
      <c r="AS213" s="868">
        <f>SUM(AS13:AX212)</f>
        <v>0</v>
      </c>
      <c r="AT213" s="868"/>
      <c r="AU213" s="868"/>
      <c r="AV213" s="868"/>
      <c r="AW213" s="868"/>
      <c r="AX213" s="868"/>
    </row>
    <row r="214" s="687" customFormat="1" ht="6" customHeight="1" spans="1:50">
      <c r="A214" s="745"/>
      <c r="B214" s="2993"/>
      <c r="C214" s="2994"/>
      <c r="D214" s="2994"/>
      <c r="E214" s="2994"/>
      <c r="F214" s="2994"/>
      <c r="G214" s="2994"/>
      <c r="H214" s="2994"/>
      <c r="I214" s="2994"/>
      <c r="J214" s="2994"/>
      <c r="K214" s="2994"/>
      <c r="L214" s="2994"/>
      <c r="M214" s="2994"/>
      <c r="N214" s="2994"/>
      <c r="O214" s="2994"/>
      <c r="P214" s="2994"/>
      <c r="Q214" s="2994"/>
      <c r="R214" s="2994"/>
      <c r="S214" s="2994"/>
      <c r="T214" s="2994"/>
      <c r="U214" s="2994"/>
      <c r="V214" s="2994"/>
      <c r="W214" s="2994"/>
      <c r="X214" s="2994"/>
      <c r="Y214" s="2994"/>
      <c r="Z214" s="2994"/>
      <c r="AA214" s="2994"/>
      <c r="AB214" s="2994"/>
      <c r="AC214" s="2994"/>
      <c r="AD214" s="2994"/>
      <c r="AE214" s="2994"/>
      <c r="AF214" s="2994"/>
      <c r="AG214" s="2995"/>
      <c r="AH214" s="2995"/>
      <c r="AI214" s="2995"/>
      <c r="AJ214" s="2995"/>
      <c r="AK214" s="2995"/>
      <c r="AL214" s="2995"/>
      <c r="AM214" s="2996"/>
      <c r="AN214" s="2996"/>
      <c r="AO214" s="2996"/>
      <c r="AP214" s="2996"/>
      <c r="AQ214" s="2996"/>
      <c r="AR214" s="2996"/>
      <c r="AS214" s="2996"/>
      <c r="AT214" s="2996"/>
      <c r="AU214" s="2996"/>
      <c r="AV214" s="2996"/>
      <c r="AW214" s="2996"/>
      <c r="AX214" s="2997"/>
    </row>
    <row r="215" s="687" customFormat="1" ht="14.25" customHeight="1" spans="1:50">
      <c r="A215" s="745"/>
      <c r="B215" s="2993"/>
      <c r="C215" s="2994"/>
      <c r="D215" s="2994"/>
      <c r="E215" s="2994"/>
      <c r="F215" s="2994"/>
      <c r="G215" s="2994"/>
      <c r="H215" s="2994"/>
      <c r="I215" s="2994"/>
      <c r="J215" s="2994"/>
      <c r="K215" s="2994"/>
      <c r="L215" s="2994"/>
      <c r="M215" s="2994"/>
      <c r="N215" s="2994"/>
      <c r="O215" s="2994"/>
      <c r="P215" s="2994"/>
      <c r="Q215" s="2994"/>
      <c r="R215" s="2994"/>
      <c r="S215" s="2994"/>
      <c r="T215" s="2994"/>
      <c r="U215" s="2994"/>
      <c r="V215" s="2994"/>
      <c r="W215" s="2994"/>
      <c r="X215" s="2994"/>
      <c r="Y215" s="2994"/>
      <c r="Z215" s="2994"/>
      <c r="AA215" s="2998" t="str">
        <f>"Obračunati porez za ranija oslobađanja "&amp;UnosPorBilans!Y18&amp;"%"</f>
        <v>Obračunati porez za ranija oslobađanja 10%</v>
      </c>
      <c r="AB215" s="2998"/>
      <c r="AC215" s="2998"/>
      <c r="AD215" s="2998"/>
      <c r="AE215" s="2998"/>
      <c r="AF215" s="2998"/>
      <c r="AG215" s="2998"/>
      <c r="AH215" s="2998"/>
      <c r="AI215" s="2998"/>
      <c r="AJ215" s="2998"/>
      <c r="AK215" s="2998"/>
      <c r="AL215" s="2998"/>
      <c r="AM215" s="2998"/>
      <c r="AN215" s="2998"/>
      <c r="AO215" s="2998"/>
      <c r="AP215" s="2998"/>
      <c r="AQ215" s="2998"/>
      <c r="AR215" s="2999"/>
      <c r="AS215" s="3000">
        <f>AS213*UnosPorBilans!Y18/100</f>
        <v>0</v>
      </c>
      <c r="AT215" s="3000"/>
      <c r="AU215" s="3000"/>
      <c r="AV215" s="3000"/>
      <c r="AW215" s="3000"/>
      <c r="AX215" s="3000"/>
    </row>
    <row r="216" s="687" customFormat="1" ht="14.25" customHeight="1" spans="1:50">
      <c r="A216" s="745"/>
      <c r="B216" s="2993"/>
      <c r="C216" s="2994"/>
      <c r="D216" s="2994"/>
      <c r="E216" s="2994"/>
      <c r="F216" s="2994"/>
      <c r="G216" s="2994"/>
      <c r="H216" s="2994"/>
      <c r="I216" s="2994"/>
      <c r="J216" s="2994"/>
      <c r="K216" s="2994"/>
      <c r="L216" s="2994"/>
      <c r="M216" s="2994"/>
      <c r="N216" s="2994"/>
      <c r="O216" s="2994"/>
      <c r="P216" s="2994"/>
      <c r="Q216" s="2994"/>
      <c r="R216" s="2994"/>
      <c r="S216" s="2994"/>
      <c r="T216" s="2994"/>
      <c r="U216" s="2994"/>
      <c r="V216" s="2994"/>
      <c r="W216" s="2994"/>
      <c r="AA216" s="2998" t="s">
        <v>6688</v>
      </c>
      <c r="AB216" s="2998"/>
      <c r="AC216" s="2998"/>
      <c r="AD216" s="2998"/>
      <c r="AE216" s="2998"/>
      <c r="AF216" s="2998"/>
      <c r="AG216" s="2998"/>
      <c r="AH216" s="2998"/>
      <c r="AI216" s="2998"/>
      <c r="AJ216" s="2998"/>
      <c r="AK216" s="2998"/>
      <c r="AL216" s="2998"/>
      <c r="AM216" s="2998"/>
      <c r="AN216" s="2998"/>
      <c r="AO216" s="2998"/>
      <c r="AP216" s="2998"/>
      <c r="AQ216" s="2998"/>
      <c r="AR216" s="2999"/>
      <c r="AS216" s="3001">
        <v>365</v>
      </c>
      <c r="AT216" s="3002"/>
      <c r="AU216" s="3002"/>
      <c r="AV216" s="3002"/>
      <c r="AW216" s="3002"/>
      <c r="AX216" s="3003"/>
    </row>
    <row r="217" s="687" customFormat="1" ht="14.25" customHeight="1" spans="1:50">
      <c r="A217" s="745"/>
      <c r="B217" s="2993"/>
      <c r="C217" s="2994"/>
      <c r="D217" s="2994"/>
      <c r="E217" s="2994"/>
      <c r="F217" s="2994"/>
      <c r="G217" s="2994"/>
      <c r="H217" s="2994"/>
      <c r="I217" s="2994"/>
      <c r="J217" s="2994"/>
      <c r="K217" s="2994"/>
      <c r="L217" s="2994"/>
      <c r="M217" s="2994"/>
      <c r="N217" s="2994"/>
      <c r="O217" s="2994"/>
      <c r="P217" s="2994"/>
      <c r="Q217" s="2994"/>
      <c r="R217" s="2994"/>
      <c r="S217" s="2994"/>
      <c r="T217" s="2994"/>
      <c r="U217" s="2994"/>
      <c r="V217" s="2994"/>
      <c r="W217" s="2994"/>
      <c r="X217" s="2994"/>
      <c r="Y217" s="2994"/>
      <c r="Z217" s="2994"/>
      <c r="AA217" s="2998" t="s">
        <v>6486</v>
      </c>
      <c r="AB217" s="2998"/>
      <c r="AC217" s="2998"/>
      <c r="AD217" s="2998"/>
      <c r="AE217" s="2998"/>
      <c r="AF217" s="2998"/>
      <c r="AG217" s="2998"/>
      <c r="AH217" s="2998"/>
      <c r="AI217" s="2998"/>
      <c r="AJ217" s="2998"/>
      <c r="AK217" s="2998"/>
      <c r="AL217" s="2998"/>
      <c r="AM217" s="2998"/>
      <c r="AN217" s="2998"/>
      <c r="AO217" s="2998"/>
      <c r="AP217" s="2998"/>
      <c r="AQ217" s="2998"/>
      <c r="AR217" s="2999"/>
      <c r="AS217" s="3004">
        <v>0.0004</v>
      </c>
      <c r="AT217" s="3005"/>
      <c r="AU217" s="3005"/>
      <c r="AV217" s="3005"/>
      <c r="AW217" s="3005"/>
      <c r="AX217" s="3006"/>
    </row>
    <row r="218" s="687" customFormat="1" ht="14.25" customHeight="1" spans="1:50">
      <c r="A218" s="745"/>
      <c r="B218" s="2993"/>
      <c r="C218" s="2994"/>
      <c r="D218" s="2994"/>
      <c r="E218" s="2994"/>
      <c r="F218" s="2994"/>
      <c r="G218" s="2994"/>
      <c r="H218" s="2994"/>
      <c r="I218" s="2994"/>
      <c r="J218" s="2994"/>
      <c r="K218" s="2994"/>
      <c r="L218" s="2994"/>
      <c r="M218" s="2994"/>
      <c r="N218" s="2994"/>
      <c r="O218" s="2994"/>
      <c r="P218" s="2994"/>
      <c r="Q218" s="2994"/>
      <c r="R218" s="2994"/>
      <c r="S218" s="2994"/>
      <c r="T218" s="2994"/>
      <c r="U218" s="2994"/>
      <c r="V218" s="2994"/>
      <c r="W218" s="2994"/>
      <c r="X218" s="2994"/>
      <c r="Y218" s="2994"/>
      <c r="Z218" s="2994"/>
      <c r="AA218" s="2998" t="s">
        <v>6487</v>
      </c>
      <c r="AB218" s="2998"/>
      <c r="AC218" s="2998"/>
      <c r="AD218" s="2998"/>
      <c r="AE218" s="2998"/>
      <c r="AF218" s="2998"/>
      <c r="AG218" s="2998"/>
      <c r="AH218" s="2998"/>
      <c r="AI218" s="2998"/>
      <c r="AJ218" s="2998"/>
      <c r="AK218" s="2998"/>
      <c r="AL218" s="2998"/>
      <c r="AM218" s="2998"/>
      <c r="AN218" s="2998"/>
      <c r="AO218" s="2998"/>
      <c r="AP218" s="2998"/>
      <c r="AQ218" s="2998"/>
      <c r="AR218" s="2999"/>
      <c r="AS218" s="3007">
        <f>ROUND(AS215*AS217*AS216,0)</f>
        <v>0</v>
      </c>
      <c r="AT218" s="3007"/>
      <c r="AU218" s="3007"/>
      <c r="AV218" s="3007"/>
      <c r="AW218" s="3007"/>
      <c r="AX218" s="3007"/>
    </row>
    <row r="219" s="687" customFormat="1" ht="6" customHeight="1" spans="1:50">
      <c r="A219" s="3008"/>
      <c r="B219" s="2994"/>
      <c r="C219" s="2994"/>
      <c r="D219" s="2994"/>
      <c r="E219" s="2994"/>
      <c r="F219" s="2994"/>
      <c r="G219" s="2994"/>
      <c r="H219" s="2994"/>
      <c r="I219" s="2994"/>
      <c r="J219" s="2994"/>
      <c r="K219" s="2994"/>
      <c r="L219" s="2994"/>
      <c r="M219" s="2994"/>
      <c r="N219" s="2994"/>
      <c r="O219" s="2994"/>
      <c r="P219" s="2994"/>
      <c r="Q219" s="2994"/>
      <c r="R219" s="2994"/>
      <c r="S219" s="2994"/>
      <c r="T219" s="2994"/>
      <c r="U219" s="2994"/>
      <c r="V219" s="2994"/>
      <c r="W219" s="2994"/>
      <c r="X219" s="2994"/>
      <c r="Y219" s="2994"/>
      <c r="Z219" s="2994"/>
      <c r="AA219" s="2994"/>
      <c r="AB219" s="2994"/>
      <c r="AC219" s="2994"/>
      <c r="AD219" s="2994"/>
      <c r="AE219" s="2995"/>
      <c r="AF219" s="2995"/>
      <c r="AG219" s="2995"/>
      <c r="AH219" s="2995"/>
      <c r="AI219" s="2995"/>
      <c r="AJ219" s="2995"/>
      <c r="AK219" s="2996"/>
      <c r="AL219" s="2996"/>
      <c r="AM219" s="2996"/>
      <c r="AN219" s="2996"/>
      <c r="AO219" s="2996"/>
      <c r="AP219" s="2996"/>
      <c r="AQ219" s="2996"/>
      <c r="AR219" s="2996"/>
      <c r="AS219" s="2996"/>
      <c r="AT219" s="2996"/>
      <c r="AX219" s="746"/>
    </row>
    <row r="220" s="689" customFormat="1" ht="12.75" customHeight="1" spans="1:50">
      <c r="A220" s="773"/>
      <c r="B220" s="3009" t="str">
        <f>Text!B11</f>
        <v>Odgovorno lice</v>
      </c>
      <c r="C220" s="3010"/>
      <c r="D220" s="690"/>
      <c r="E220" s="690"/>
      <c r="F220" s="690"/>
      <c r="G220" s="690"/>
      <c r="H220" s="690"/>
      <c r="I220" s="690"/>
      <c r="J220" s="690"/>
      <c r="K220" s="690"/>
      <c r="L220" s="690"/>
      <c r="M220" s="690"/>
      <c r="N220" s="690"/>
      <c r="O220" s="690"/>
      <c r="P220" s="690"/>
      <c r="Q220" s="690"/>
      <c r="R220" s="690"/>
      <c r="S220" s="690"/>
      <c r="T220" s="690"/>
      <c r="U220" s="690"/>
      <c r="V220" s="690"/>
      <c r="W220" s="690"/>
      <c r="X220" s="690"/>
      <c r="Y220" s="690"/>
      <c r="Z220" s="690"/>
      <c r="AA220" s="3009" t="s">
        <v>6551</v>
      </c>
      <c r="AB220" s="3010"/>
      <c r="AC220" s="690"/>
      <c r="AD220" s="690"/>
      <c r="AE220" s="690"/>
      <c r="AF220" s="690"/>
      <c r="AG220" s="690"/>
      <c r="AH220" s="690"/>
      <c r="AI220" s="690"/>
      <c r="AJ220" s="690"/>
      <c r="AK220" s="690"/>
      <c r="AL220" s="690"/>
      <c r="AM220" s="690"/>
      <c r="AN220" s="690"/>
      <c r="AO220" s="690"/>
      <c r="AP220" s="690"/>
      <c r="AQ220" s="690"/>
      <c r="AR220" s="690"/>
      <c r="AS220" s="690"/>
      <c r="AT220" s="690"/>
      <c r="AU220" s="690"/>
      <c r="AV220" s="690"/>
      <c r="AW220" s="690"/>
      <c r="AX220" s="712"/>
    </row>
    <row r="221" s="689" customFormat="1" customHeight="1" spans="1:50">
      <c r="A221" s="773"/>
      <c r="B221" s="3011"/>
      <c r="C221" s="3012"/>
      <c r="M221" s="769"/>
      <c r="N221" s="770" t="str">
        <f>UnosPod!AA22&amp;UnosPod!AB22&amp;"."&amp;UnosPod!AC22&amp;UnosPod!AD22+1&amp;"."&amp;UnosPod!AE22&amp;UnosPod!AF22&amp;UnosPod!AG22&amp;UnosPod!AH22&amp;"."</f>
        <v>28.03.2026.</v>
      </c>
      <c r="O221" s="771"/>
      <c r="P221" s="771"/>
      <c r="Q221" s="771"/>
      <c r="R221" s="772"/>
      <c r="S221" s="3013" t="s">
        <v>2539</v>
      </c>
      <c r="T221" s="2961"/>
      <c r="U221" s="2961"/>
      <c r="V221" s="2961"/>
      <c r="W221" s="2961"/>
      <c r="X221" s="2961"/>
      <c r="Y221" s="2961"/>
      <c r="Z221" s="2962"/>
      <c r="AA221" s="3011"/>
      <c r="AB221" s="3012"/>
      <c r="AK221" s="769"/>
      <c r="AL221" s="770" t="str">
        <f>UnosPod!AA22&amp;UnosPod!AB22&amp;"."&amp;UnosPod!AC22&amp;UnosPod!AD22+1&amp;"."&amp;UnosPod!AE22&amp;UnosPod!AF22&amp;UnosPod!AG22&amp;UnosPod!AH22&amp;"."</f>
        <v>28.03.2026.</v>
      </c>
      <c r="AM221" s="771"/>
      <c r="AN221" s="771"/>
      <c r="AO221" s="771"/>
      <c r="AP221" s="772"/>
      <c r="AQ221" s="3014" t="s">
        <v>6552</v>
      </c>
      <c r="AR221" s="3015"/>
      <c r="AS221" s="3015"/>
      <c r="AT221" s="3015"/>
      <c r="AU221" s="3015"/>
      <c r="AV221" s="3015"/>
      <c r="AW221" s="3015"/>
      <c r="AX221" s="3016"/>
    </row>
    <row r="222" s="689" customFormat="1" ht="15" spans="1:50">
      <c r="A222" s="773"/>
      <c r="B222" s="3011"/>
      <c r="C222" s="3012"/>
      <c r="D222" s="774" t="str">
        <f>Direktor</f>
        <v>Nedim Vilogorac</v>
      </c>
      <c r="E222" s="775"/>
      <c r="F222" s="775"/>
      <c r="G222" s="775"/>
      <c r="H222" s="775"/>
      <c r="I222" s="775"/>
      <c r="J222" s="775"/>
      <c r="K222" s="775"/>
      <c r="L222" s="775"/>
      <c r="M222" s="776"/>
      <c r="N222" s="777"/>
      <c r="O222" s="778"/>
      <c r="P222" s="778"/>
      <c r="Q222" s="778"/>
      <c r="R222" s="779"/>
      <c r="S222" s="3017"/>
      <c r="T222" s="3018"/>
      <c r="U222" s="3018"/>
      <c r="V222" s="3018"/>
      <c r="W222" s="3018"/>
      <c r="X222" s="3018"/>
      <c r="Y222" s="3018"/>
      <c r="Z222" s="3019"/>
      <c r="AA222" s="3011"/>
      <c r="AB222" s="3012"/>
      <c r="AC222" s="2938" t="str">
        <f>Racunovoda</f>
        <v>Elvira Žilić</v>
      </c>
      <c r="AD222" s="775"/>
      <c r="AE222" s="775"/>
      <c r="AF222" s="775"/>
      <c r="AG222" s="775"/>
      <c r="AH222" s="775"/>
      <c r="AI222" s="775"/>
      <c r="AJ222" s="775"/>
      <c r="AK222" s="776"/>
      <c r="AL222" s="777"/>
      <c r="AM222" s="778"/>
      <c r="AN222" s="778"/>
      <c r="AO222" s="778"/>
      <c r="AP222" s="779"/>
      <c r="AQ222" s="3020"/>
      <c r="AR222" s="3021"/>
      <c r="AS222" s="3021"/>
      <c r="AT222" s="3021"/>
      <c r="AU222" s="3021"/>
      <c r="AV222" s="3021"/>
      <c r="AW222" s="3021"/>
      <c r="AX222" s="3022"/>
    </row>
    <row r="223" s="689" customFormat="1" spans="1:50">
      <c r="A223" s="773"/>
      <c r="B223" s="3011"/>
      <c r="C223" s="3012"/>
      <c r="D223" s="783" t="s">
        <v>6548</v>
      </c>
      <c r="E223" s="783"/>
      <c r="F223" s="783"/>
      <c r="G223" s="783"/>
      <c r="H223" s="783"/>
      <c r="I223" s="783"/>
      <c r="J223" s="783"/>
      <c r="K223" s="783"/>
      <c r="L223" s="783"/>
      <c r="M223" s="783"/>
      <c r="N223" s="783" t="s">
        <v>6549</v>
      </c>
      <c r="O223" s="783"/>
      <c r="P223" s="783"/>
      <c r="Q223" s="783"/>
      <c r="R223" s="783"/>
      <c r="S223" s="783" t="s">
        <v>6550</v>
      </c>
      <c r="T223" s="783"/>
      <c r="U223" s="783"/>
      <c r="V223" s="783"/>
      <c r="W223" s="783"/>
      <c r="X223" s="783"/>
      <c r="Y223" s="783"/>
      <c r="Z223" s="783"/>
      <c r="AA223" s="3011"/>
      <c r="AB223" s="3012"/>
      <c r="AC223" s="783" t="s">
        <v>6548</v>
      </c>
      <c r="AD223" s="783"/>
      <c r="AE223" s="783"/>
      <c r="AF223" s="783"/>
      <c r="AG223" s="783"/>
      <c r="AH223" s="783"/>
      <c r="AI223" s="783"/>
      <c r="AJ223" s="783"/>
      <c r="AK223" s="783"/>
      <c r="AL223" s="783" t="s">
        <v>6549</v>
      </c>
      <c r="AM223" s="783"/>
      <c r="AN223" s="783"/>
      <c r="AO223" s="783"/>
      <c r="AP223" s="783"/>
      <c r="AQ223" s="783" t="s">
        <v>6550</v>
      </c>
      <c r="AR223" s="783"/>
      <c r="AS223" s="783"/>
      <c r="AT223" s="783"/>
      <c r="AU223" s="783"/>
      <c r="AV223" s="783"/>
      <c r="AW223" s="783"/>
      <c r="AX223" s="784"/>
    </row>
    <row r="224" s="689" customFormat="1" spans="1:50">
      <c r="A224" s="3023"/>
      <c r="B224" s="3024"/>
      <c r="C224" s="3025"/>
      <c r="D224" s="797"/>
      <c r="E224" s="797"/>
      <c r="F224" s="797"/>
      <c r="G224" s="797"/>
      <c r="H224" s="797"/>
      <c r="I224" s="797"/>
      <c r="J224" s="797"/>
      <c r="K224" s="797"/>
      <c r="L224" s="797"/>
      <c r="M224" s="797"/>
      <c r="N224" s="797"/>
      <c r="O224" s="797"/>
      <c r="P224" s="797"/>
      <c r="Q224" s="797"/>
      <c r="R224" s="797"/>
      <c r="S224" s="797"/>
      <c r="T224" s="797"/>
      <c r="U224" s="797"/>
      <c r="V224" s="797"/>
      <c r="W224" s="797"/>
      <c r="X224" s="797"/>
      <c r="Y224" s="797"/>
      <c r="Z224" s="797"/>
      <c r="AA224" s="3024"/>
      <c r="AB224" s="3025"/>
      <c r="AC224" s="797"/>
      <c r="AD224" s="797"/>
      <c r="AE224" s="797"/>
      <c r="AF224" s="797"/>
      <c r="AG224" s="797"/>
      <c r="AH224" s="797"/>
      <c r="AI224" s="797"/>
      <c r="AJ224" s="797"/>
      <c r="AK224" s="797"/>
      <c r="AL224" s="797"/>
      <c r="AM224" s="797"/>
      <c r="AN224" s="797"/>
      <c r="AO224" s="797"/>
      <c r="AP224" s="797"/>
      <c r="AQ224" s="797"/>
      <c r="AR224" s="797"/>
      <c r="AS224" s="797"/>
      <c r="AT224" s="797"/>
      <c r="AU224" s="797"/>
      <c r="AV224" s="797"/>
      <c r="AW224" s="797"/>
      <c r="AX224" s="798"/>
    </row>
    <row r="225" spans="1:50">
      <c r="A225" s="708"/>
      <c r="B225" s="708"/>
      <c r="C225" s="708"/>
      <c r="D225" s="708"/>
      <c r="E225" s="708"/>
      <c r="F225" s="708"/>
      <c r="G225" s="708"/>
      <c r="H225" s="708"/>
      <c r="I225" s="708"/>
      <c r="J225" s="708"/>
      <c r="K225" s="708"/>
      <c r="L225" s="708"/>
      <c r="M225" s="708"/>
      <c r="N225" s="708"/>
      <c r="O225" s="708"/>
      <c r="P225" s="708"/>
      <c r="Q225" s="708"/>
      <c r="R225" s="708"/>
      <c r="S225" s="708"/>
      <c r="T225" s="708"/>
      <c r="U225" s="708"/>
      <c r="V225" s="708"/>
      <c r="W225" s="708"/>
      <c r="X225" s="708"/>
      <c r="Y225" s="708"/>
      <c r="Z225" s="708"/>
      <c r="AA225" s="708"/>
      <c r="AB225" s="708"/>
      <c r="AC225" s="708"/>
      <c r="AD225" s="708"/>
      <c r="AE225" s="708"/>
      <c r="AF225" s="708"/>
      <c r="AG225" s="708"/>
      <c r="AH225" s="708"/>
      <c r="AI225" s="708"/>
      <c r="AJ225" s="708"/>
      <c r="AK225" s="708"/>
      <c r="AL225" s="708"/>
      <c r="AM225" s="708"/>
      <c r="AN225" s="708"/>
      <c r="AO225" s="708"/>
      <c r="AP225" s="708"/>
      <c r="AQ225" s="708"/>
      <c r="AR225" s="708"/>
      <c r="AS225" s="708"/>
      <c r="AT225" s="708"/>
      <c r="AU225" s="708"/>
      <c r="AV225" s="708"/>
      <c r="AW225" s="708"/>
      <c r="AX225" s="708"/>
    </row>
    <row r="229" customHeight="1"/>
  </sheetData>
  <mergeCells count="1451">
    <mergeCell ref="A1:K1"/>
    <mergeCell ref="R1:AM1"/>
    <mergeCell ref="AN1:AX1"/>
    <mergeCell ref="A2:K2"/>
    <mergeCell ref="A3:K3"/>
    <mergeCell ref="A4:K4"/>
    <mergeCell ref="A5:K5"/>
    <mergeCell ref="A6:K6"/>
    <mergeCell ref="A7:AX7"/>
    <mergeCell ref="A9:M9"/>
    <mergeCell ref="P9:Q9"/>
    <mergeCell ref="R9:S9"/>
    <mergeCell ref="T9:W9"/>
    <mergeCell ref="X9:AC9"/>
    <mergeCell ref="AD9:AE9"/>
    <mergeCell ref="AF9:AG9"/>
    <mergeCell ref="AH9:AK9"/>
    <mergeCell ref="C12:M12"/>
    <mergeCell ref="N12:T12"/>
    <mergeCell ref="U12:Z12"/>
    <mergeCell ref="AA12:AF12"/>
    <mergeCell ref="AG12:AL12"/>
    <mergeCell ref="AM12:AR12"/>
    <mergeCell ref="AS12:AX12"/>
    <mergeCell ref="C13:M13"/>
    <mergeCell ref="N13:T13"/>
    <mergeCell ref="U13:Z13"/>
    <mergeCell ref="AA13:AF13"/>
    <mergeCell ref="AG13:AL13"/>
    <mergeCell ref="AM13:AR13"/>
    <mergeCell ref="AS13:AX13"/>
    <mergeCell ref="C14:M14"/>
    <mergeCell ref="N14:T14"/>
    <mergeCell ref="U14:Z14"/>
    <mergeCell ref="AA14:AF14"/>
    <mergeCell ref="AG14:AL14"/>
    <mergeCell ref="AM14:AR14"/>
    <mergeCell ref="AS14:AX14"/>
    <mergeCell ref="C15:M15"/>
    <mergeCell ref="N15:T15"/>
    <mergeCell ref="U15:Z15"/>
    <mergeCell ref="AA15:AF15"/>
    <mergeCell ref="AG15:AL15"/>
    <mergeCell ref="AM15:AR15"/>
    <mergeCell ref="AS15:AX15"/>
    <mergeCell ref="C16:M16"/>
    <mergeCell ref="N16:T16"/>
    <mergeCell ref="U16:Z16"/>
    <mergeCell ref="AA16:AF16"/>
    <mergeCell ref="AG16:AL16"/>
    <mergeCell ref="AM16:AR16"/>
    <mergeCell ref="AS16:AX16"/>
    <mergeCell ref="C17:M17"/>
    <mergeCell ref="N17:T17"/>
    <mergeCell ref="U17:Z17"/>
    <mergeCell ref="AA17:AF17"/>
    <mergeCell ref="AG17:AL17"/>
    <mergeCell ref="AM17:AR17"/>
    <mergeCell ref="AS17:AX17"/>
    <mergeCell ref="C18:M18"/>
    <mergeCell ref="N18:T18"/>
    <mergeCell ref="U18:Z18"/>
    <mergeCell ref="AA18:AF18"/>
    <mergeCell ref="AG18:AL18"/>
    <mergeCell ref="AM18:AR18"/>
    <mergeCell ref="AS18:AX18"/>
    <mergeCell ref="C19:M19"/>
    <mergeCell ref="N19:T19"/>
    <mergeCell ref="U19:Z19"/>
    <mergeCell ref="AA19:AF19"/>
    <mergeCell ref="AG19:AL19"/>
    <mergeCell ref="AM19:AR19"/>
    <mergeCell ref="AS19:AX19"/>
    <mergeCell ref="C20:M20"/>
    <mergeCell ref="N20:T20"/>
    <mergeCell ref="U20:Z20"/>
    <mergeCell ref="AA20:AF20"/>
    <mergeCell ref="AG20:AL20"/>
    <mergeCell ref="AM20:AR20"/>
    <mergeCell ref="AS20:AX20"/>
    <mergeCell ref="C21:M21"/>
    <mergeCell ref="N21:T21"/>
    <mergeCell ref="U21:Z21"/>
    <mergeCell ref="AA21:AF21"/>
    <mergeCell ref="AG21:AL21"/>
    <mergeCell ref="AM21:AR21"/>
    <mergeCell ref="AS21:AX21"/>
    <mergeCell ref="C22:M22"/>
    <mergeCell ref="N22:T22"/>
    <mergeCell ref="U22:Z22"/>
    <mergeCell ref="AA22:AF22"/>
    <mergeCell ref="AG22:AL22"/>
    <mergeCell ref="AM22:AR22"/>
    <mergeCell ref="AS22:AX22"/>
    <mergeCell ref="C23:M23"/>
    <mergeCell ref="N23:T23"/>
    <mergeCell ref="U23:Z23"/>
    <mergeCell ref="AA23:AF23"/>
    <mergeCell ref="AG23:AL23"/>
    <mergeCell ref="AM23:AR23"/>
    <mergeCell ref="AS23:AX23"/>
    <mergeCell ref="C24:M24"/>
    <mergeCell ref="N24:T24"/>
    <mergeCell ref="U24:Z24"/>
    <mergeCell ref="AA24:AF24"/>
    <mergeCell ref="AG24:AL24"/>
    <mergeCell ref="AM24:AR24"/>
    <mergeCell ref="AS24:AX24"/>
    <mergeCell ref="C25:M25"/>
    <mergeCell ref="N25:T25"/>
    <mergeCell ref="U25:Z25"/>
    <mergeCell ref="AA25:AF25"/>
    <mergeCell ref="AG25:AL25"/>
    <mergeCell ref="AM25:AR25"/>
    <mergeCell ref="AS25:AX25"/>
    <mergeCell ref="C26:M26"/>
    <mergeCell ref="N26:T26"/>
    <mergeCell ref="U26:Z26"/>
    <mergeCell ref="AA26:AF26"/>
    <mergeCell ref="AG26:AL26"/>
    <mergeCell ref="AM26:AR26"/>
    <mergeCell ref="AS26:AX26"/>
    <mergeCell ref="C27:M27"/>
    <mergeCell ref="N27:T27"/>
    <mergeCell ref="U27:Z27"/>
    <mergeCell ref="AA27:AF27"/>
    <mergeCell ref="AG27:AL27"/>
    <mergeCell ref="AM27:AR27"/>
    <mergeCell ref="AS27:AX27"/>
    <mergeCell ref="C28:M28"/>
    <mergeCell ref="N28:T28"/>
    <mergeCell ref="U28:Z28"/>
    <mergeCell ref="AA28:AF28"/>
    <mergeCell ref="AG28:AL28"/>
    <mergeCell ref="AM28:AR28"/>
    <mergeCell ref="AS28:AX28"/>
    <mergeCell ref="C29:M29"/>
    <mergeCell ref="N29:T29"/>
    <mergeCell ref="U29:Z29"/>
    <mergeCell ref="AA29:AF29"/>
    <mergeCell ref="AG29:AL29"/>
    <mergeCell ref="AM29:AR29"/>
    <mergeCell ref="AS29:AX29"/>
    <mergeCell ref="C30:M30"/>
    <mergeCell ref="N30:T30"/>
    <mergeCell ref="U30:Z30"/>
    <mergeCell ref="AA30:AF30"/>
    <mergeCell ref="AG30:AL30"/>
    <mergeCell ref="AM30:AR30"/>
    <mergeCell ref="AS30:AX30"/>
    <mergeCell ref="C31:M31"/>
    <mergeCell ref="N31:T31"/>
    <mergeCell ref="U31:Z31"/>
    <mergeCell ref="AA31:AF31"/>
    <mergeCell ref="AG31:AL31"/>
    <mergeCell ref="AM31:AR31"/>
    <mergeCell ref="AS31:AX31"/>
    <mergeCell ref="C32:M32"/>
    <mergeCell ref="N32:T32"/>
    <mergeCell ref="U32:Z32"/>
    <mergeCell ref="AA32:AF32"/>
    <mergeCell ref="AG32:AL32"/>
    <mergeCell ref="AM32:AR32"/>
    <mergeCell ref="AS32:AX32"/>
    <mergeCell ref="C33:M33"/>
    <mergeCell ref="N33:T33"/>
    <mergeCell ref="U33:Z33"/>
    <mergeCell ref="AA33:AF33"/>
    <mergeCell ref="AG33:AL33"/>
    <mergeCell ref="AM33:AR33"/>
    <mergeCell ref="AS33:AX33"/>
    <mergeCell ref="C34:M34"/>
    <mergeCell ref="N34:T34"/>
    <mergeCell ref="U34:Z34"/>
    <mergeCell ref="AA34:AF34"/>
    <mergeCell ref="AG34:AL34"/>
    <mergeCell ref="AM34:AR34"/>
    <mergeCell ref="AS34:AX34"/>
    <mergeCell ref="C35:M35"/>
    <mergeCell ref="N35:T35"/>
    <mergeCell ref="U35:Z35"/>
    <mergeCell ref="AA35:AF35"/>
    <mergeCell ref="AG35:AL35"/>
    <mergeCell ref="AM35:AR35"/>
    <mergeCell ref="AS35:AX35"/>
    <mergeCell ref="C36:M36"/>
    <mergeCell ref="N36:T36"/>
    <mergeCell ref="U36:Z36"/>
    <mergeCell ref="AA36:AF36"/>
    <mergeCell ref="AG36:AL36"/>
    <mergeCell ref="AM36:AR36"/>
    <mergeCell ref="AS36:AX36"/>
    <mergeCell ref="C37:M37"/>
    <mergeCell ref="N37:T37"/>
    <mergeCell ref="U37:Z37"/>
    <mergeCell ref="AA37:AF37"/>
    <mergeCell ref="AG37:AL37"/>
    <mergeCell ref="AM37:AR37"/>
    <mergeCell ref="AS37:AX37"/>
    <mergeCell ref="C38:M38"/>
    <mergeCell ref="N38:T38"/>
    <mergeCell ref="U38:Z38"/>
    <mergeCell ref="AA38:AF38"/>
    <mergeCell ref="AG38:AL38"/>
    <mergeCell ref="AM38:AR38"/>
    <mergeCell ref="AS38:AX38"/>
    <mergeCell ref="C39:M39"/>
    <mergeCell ref="N39:T39"/>
    <mergeCell ref="U39:Z39"/>
    <mergeCell ref="AA39:AF39"/>
    <mergeCell ref="AG39:AL39"/>
    <mergeCell ref="AM39:AR39"/>
    <mergeCell ref="AS39:AX39"/>
    <mergeCell ref="C40:M40"/>
    <mergeCell ref="N40:T40"/>
    <mergeCell ref="U40:Z40"/>
    <mergeCell ref="AA40:AF40"/>
    <mergeCell ref="AG40:AL40"/>
    <mergeCell ref="AM40:AR40"/>
    <mergeCell ref="AS40:AX40"/>
    <mergeCell ref="C41:M41"/>
    <mergeCell ref="N41:T41"/>
    <mergeCell ref="U41:Z41"/>
    <mergeCell ref="AA41:AF41"/>
    <mergeCell ref="AG41:AL41"/>
    <mergeCell ref="AM41:AR41"/>
    <mergeCell ref="AS41:AX41"/>
    <mergeCell ref="C42:M42"/>
    <mergeCell ref="N42:T42"/>
    <mergeCell ref="U42:Z42"/>
    <mergeCell ref="AA42:AF42"/>
    <mergeCell ref="AG42:AL42"/>
    <mergeCell ref="AM42:AR42"/>
    <mergeCell ref="AS42:AX42"/>
    <mergeCell ref="C43:M43"/>
    <mergeCell ref="N43:T43"/>
    <mergeCell ref="U43:Z43"/>
    <mergeCell ref="AA43:AF43"/>
    <mergeCell ref="AG43:AL43"/>
    <mergeCell ref="AM43:AR43"/>
    <mergeCell ref="AS43:AX43"/>
    <mergeCell ref="C44:M44"/>
    <mergeCell ref="N44:T44"/>
    <mergeCell ref="U44:Z44"/>
    <mergeCell ref="AA44:AF44"/>
    <mergeCell ref="AG44:AL44"/>
    <mergeCell ref="AM44:AR44"/>
    <mergeCell ref="AS44:AX44"/>
    <mergeCell ref="C45:M45"/>
    <mergeCell ref="N45:T45"/>
    <mergeCell ref="U45:Z45"/>
    <mergeCell ref="AA45:AF45"/>
    <mergeCell ref="AG45:AL45"/>
    <mergeCell ref="AM45:AR45"/>
    <mergeCell ref="AS45:AX45"/>
    <mergeCell ref="C46:M46"/>
    <mergeCell ref="N46:T46"/>
    <mergeCell ref="U46:Z46"/>
    <mergeCell ref="AA46:AF46"/>
    <mergeCell ref="AG46:AL46"/>
    <mergeCell ref="AM46:AR46"/>
    <mergeCell ref="AS46:AX46"/>
    <mergeCell ref="C47:M47"/>
    <mergeCell ref="N47:T47"/>
    <mergeCell ref="U47:Z47"/>
    <mergeCell ref="AA47:AF47"/>
    <mergeCell ref="AG47:AL47"/>
    <mergeCell ref="AM47:AR47"/>
    <mergeCell ref="AS47:AX47"/>
    <mergeCell ref="C48:M48"/>
    <mergeCell ref="N48:T48"/>
    <mergeCell ref="U48:Z48"/>
    <mergeCell ref="AA48:AF48"/>
    <mergeCell ref="AG48:AL48"/>
    <mergeCell ref="AM48:AR48"/>
    <mergeCell ref="AS48:AX48"/>
    <mergeCell ref="C49:M49"/>
    <mergeCell ref="N49:T49"/>
    <mergeCell ref="U49:Z49"/>
    <mergeCell ref="AA49:AF49"/>
    <mergeCell ref="AG49:AL49"/>
    <mergeCell ref="AM49:AR49"/>
    <mergeCell ref="AS49:AX49"/>
    <mergeCell ref="C50:M50"/>
    <mergeCell ref="N50:T50"/>
    <mergeCell ref="U50:Z50"/>
    <mergeCell ref="AA50:AF50"/>
    <mergeCell ref="AG50:AL50"/>
    <mergeCell ref="AM50:AR50"/>
    <mergeCell ref="AS50:AX50"/>
    <mergeCell ref="C51:M51"/>
    <mergeCell ref="N51:T51"/>
    <mergeCell ref="U51:Z51"/>
    <mergeCell ref="AA51:AF51"/>
    <mergeCell ref="AG51:AL51"/>
    <mergeCell ref="AM51:AR51"/>
    <mergeCell ref="AS51:AX51"/>
    <mergeCell ref="C52:M52"/>
    <mergeCell ref="N52:T52"/>
    <mergeCell ref="U52:Z52"/>
    <mergeCell ref="AA52:AF52"/>
    <mergeCell ref="AG52:AL52"/>
    <mergeCell ref="AM52:AR52"/>
    <mergeCell ref="AS52:AX52"/>
    <mergeCell ref="C53:M53"/>
    <mergeCell ref="N53:T53"/>
    <mergeCell ref="U53:Z53"/>
    <mergeCell ref="AA53:AF53"/>
    <mergeCell ref="AG53:AL53"/>
    <mergeCell ref="AM53:AR53"/>
    <mergeCell ref="AS53:AX53"/>
    <mergeCell ref="C54:M54"/>
    <mergeCell ref="N54:T54"/>
    <mergeCell ref="U54:Z54"/>
    <mergeCell ref="AA54:AF54"/>
    <mergeCell ref="AG54:AL54"/>
    <mergeCell ref="AM54:AR54"/>
    <mergeCell ref="AS54:AX54"/>
    <mergeCell ref="C55:M55"/>
    <mergeCell ref="N55:T55"/>
    <mergeCell ref="U55:Z55"/>
    <mergeCell ref="AA55:AF55"/>
    <mergeCell ref="AG55:AL55"/>
    <mergeCell ref="AM55:AR55"/>
    <mergeCell ref="AS55:AX55"/>
    <mergeCell ref="C56:M56"/>
    <mergeCell ref="N56:T56"/>
    <mergeCell ref="U56:Z56"/>
    <mergeCell ref="AA56:AF56"/>
    <mergeCell ref="AG56:AL56"/>
    <mergeCell ref="AM56:AR56"/>
    <mergeCell ref="AS56:AX56"/>
    <mergeCell ref="C57:M57"/>
    <mergeCell ref="N57:T57"/>
    <mergeCell ref="U57:Z57"/>
    <mergeCell ref="AA57:AF57"/>
    <mergeCell ref="AG57:AL57"/>
    <mergeCell ref="AM57:AR57"/>
    <mergeCell ref="AS57:AX57"/>
    <mergeCell ref="C58:M58"/>
    <mergeCell ref="N58:T58"/>
    <mergeCell ref="U58:Z58"/>
    <mergeCell ref="AA58:AF58"/>
    <mergeCell ref="AG58:AL58"/>
    <mergeCell ref="AM58:AR58"/>
    <mergeCell ref="AS58:AX58"/>
    <mergeCell ref="C59:M59"/>
    <mergeCell ref="N59:T59"/>
    <mergeCell ref="U59:Z59"/>
    <mergeCell ref="AA59:AF59"/>
    <mergeCell ref="AG59:AL59"/>
    <mergeCell ref="AM59:AR59"/>
    <mergeCell ref="AS59:AX59"/>
    <mergeCell ref="C60:M60"/>
    <mergeCell ref="N60:T60"/>
    <mergeCell ref="U60:Z60"/>
    <mergeCell ref="AA60:AF60"/>
    <mergeCell ref="AG60:AL60"/>
    <mergeCell ref="AM60:AR60"/>
    <mergeCell ref="AS60:AX60"/>
    <mergeCell ref="C61:M61"/>
    <mergeCell ref="N61:T61"/>
    <mergeCell ref="U61:Z61"/>
    <mergeCell ref="AA61:AF61"/>
    <mergeCell ref="AG61:AL61"/>
    <mergeCell ref="AM61:AR61"/>
    <mergeCell ref="AS61:AX61"/>
    <mergeCell ref="C62:M62"/>
    <mergeCell ref="N62:T62"/>
    <mergeCell ref="U62:Z62"/>
    <mergeCell ref="AA62:AF62"/>
    <mergeCell ref="AG62:AL62"/>
    <mergeCell ref="AM62:AR62"/>
    <mergeCell ref="AS62:AX62"/>
    <mergeCell ref="C63:M63"/>
    <mergeCell ref="N63:T63"/>
    <mergeCell ref="U63:Z63"/>
    <mergeCell ref="AA63:AF63"/>
    <mergeCell ref="AG63:AL63"/>
    <mergeCell ref="AM63:AR63"/>
    <mergeCell ref="AS63:AX63"/>
    <mergeCell ref="C64:M64"/>
    <mergeCell ref="N64:T64"/>
    <mergeCell ref="U64:Z64"/>
    <mergeCell ref="AA64:AF64"/>
    <mergeCell ref="AG64:AL64"/>
    <mergeCell ref="AM64:AR64"/>
    <mergeCell ref="AS64:AX64"/>
    <mergeCell ref="C65:M65"/>
    <mergeCell ref="N65:T65"/>
    <mergeCell ref="U65:Z65"/>
    <mergeCell ref="AA65:AF65"/>
    <mergeCell ref="AG65:AL65"/>
    <mergeCell ref="AM65:AR65"/>
    <mergeCell ref="AS65:AX65"/>
    <mergeCell ref="C66:M66"/>
    <mergeCell ref="N66:T66"/>
    <mergeCell ref="U66:Z66"/>
    <mergeCell ref="AA66:AF66"/>
    <mergeCell ref="AG66:AL66"/>
    <mergeCell ref="AM66:AR66"/>
    <mergeCell ref="AS66:AX66"/>
    <mergeCell ref="C67:M67"/>
    <mergeCell ref="N67:T67"/>
    <mergeCell ref="U67:Z67"/>
    <mergeCell ref="AA67:AF67"/>
    <mergeCell ref="AG67:AL67"/>
    <mergeCell ref="AM67:AR67"/>
    <mergeCell ref="AS67:AX67"/>
    <mergeCell ref="C68:M68"/>
    <mergeCell ref="N68:T68"/>
    <mergeCell ref="U68:Z68"/>
    <mergeCell ref="AA68:AF68"/>
    <mergeCell ref="AG68:AL68"/>
    <mergeCell ref="AM68:AR68"/>
    <mergeCell ref="AS68:AX68"/>
    <mergeCell ref="C69:M69"/>
    <mergeCell ref="N69:T69"/>
    <mergeCell ref="U69:Z69"/>
    <mergeCell ref="AA69:AF69"/>
    <mergeCell ref="AG69:AL69"/>
    <mergeCell ref="AM69:AR69"/>
    <mergeCell ref="AS69:AX69"/>
    <mergeCell ref="C70:M70"/>
    <mergeCell ref="N70:T70"/>
    <mergeCell ref="U70:Z70"/>
    <mergeCell ref="AA70:AF70"/>
    <mergeCell ref="AG70:AL70"/>
    <mergeCell ref="AM70:AR70"/>
    <mergeCell ref="AS70:AX70"/>
    <mergeCell ref="C71:M71"/>
    <mergeCell ref="N71:T71"/>
    <mergeCell ref="U71:Z71"/>
    <mergeCell ref="AA71:AF71"/>
    <mergeCell ref="AG71:AL71"/>
    <mergeCell ref="AM71:AR71"/>
    <mergeCell ref="AS71:AX71"/>
    <mergeCell ref="C72:M72"/>
    <mergeCell ref="N72:T72"/>
    <mergeCell ref="U72:Z72"/>
    <mergeCell ref="AA72:AF72"/>
    <mergeCell ref="AG72:AL72"/>
    <mergeCell ref="AM72:AR72"/>
    <mergeCell ref="AS72:AX72"/>
    <mergeCell ref="C73:M73"/>
    <mergeCell ref="N73:T73"/>
    <mergeCell ref="U73:Z73"/>
    <mergeCell ref="AA73:AF73"/>
    <mergeCell ref="AG73:AL73"/>
    <mergeCell ref="AM73:AR73"/>
    <mergeCell ref="AS73:AX73"/>
    <mergeCell ref="C74:M74"/>
    <mergeCell ref="N74:T74"/>
    <mergeCell ref="U74:Z74"/>
    <mergeCell ref="AA74:AF74"/>
    <mergeCell ref="AG74:AL74"/>
    <mergeCell ref="AM74:AR74"/>
    <mergeCell ref="AS74:AX74"/>
    <mergeCell ref="C75:M75"/>
    <mergeCell ref="N75:T75"/>
    <mergeCell ref="U75:Z75"/>
    <mergeCell ref="AA75:AF75"/>
    <mergeCell ref="AG75:AL75"/>
    <mergeCell ref="AM75:AR75"/>
    <mergeCell ref="AS75:AX75"/>
    <mergeCell ref="C76:M76"/>
    <mergeCell ref="N76:T76"/>
    <mergeCell ref="U76:Z76"/>
    <mergeCell ref="AA76:AF76"/>
    <mergeCell ref="AG76:AL76"/>
    <mergeCell ref="AM76:AR76"/>
    <mergeCell ref="AS76:AX76"/>
    <mergeCell ref="C77:M77"/>
    <mergeCell ref="N77:T77"/>
    <mergeCell ref="U77:Z77"/>
    <mergeCell ref="AA77:AF77"/>
    <mergeCell ref="AG77:AL77"/>
    <mergeCell ref="AM77:AR77"/>
    <mergeCell ref="AS77:AX77"/>
    <mergeCell ref="C78:M78"/>
    <mergeCell ref="N78:T78"/>
    <mergeCell ref="U78:Z78"/>
    <mergeCell ref="AA78:AF78"/>
    <mergeCell ref="AG78:AL78"/>
    <mergeCell ref="AM78:AR78"/>
    <mergeCell ref="AS78:AX78"/>
    <mergeCell ref="C79:M79"/>
    <mergeCell ref="N79:T79"/>
    <mergeCell ref="U79:Z79"/>
    <mergeCell ref="AA79:AF79"/>
    <mergeCell ref="AG79:AL79"/>
    <mergeCell ref="AM79:AR79"/>
    <mergeCell ref="AS79:AX79"/>
    <mergeCell ref="C80:M80"/>
    <mergeCell ref="N80:T80"/>
    <mergeCell ref="U80:Z80"/>
    <mergeCell ref="AA80:AF80"/>
    <mergeCell ref="AG80:AL80"/>
    <mergeCell ref="AM80:AR80"/>
    <mergeCell ref="AS80:AX80"/>
    <mergeCell ref="C81:M81"/>
    <mergeCell ref="N81:T81"/>
    <mergeCell ref="U81:Z81"/>
    <mergeCell ref="AA81:AF81"/>
    <mergeCell ref="AG81:AL81"/>
    <mergeCell ref="AM81:AR81"/>
    <mergeCell ref="AS81:AX81"/>
    <mergeCell ref="C82:M82"/>
    <mergeCell ref="N82:T82"/>
    <mergeCell ref="U82:Z82"/>
    <mergeCell ref="AA82:AF82"/>
    <mergeCell ref="AG82:AL82"/>
    <mergeCell ref="AM82:AR82"/>
    <mergeCell ref="AS82:AX82"/>
    <mergeCell ref="C83:M83"/>
    <mergeCell ref="N83:T83"/>
    <mergeCell ref="U83:Z83"/>
    <mergeCell ref="AA83:AF83"/>
    <mergeCell ref="AG83:AL83"/>
    <mergeCell ref="AM83:AR83"/>
    <mergeCell ref="AS83:AX83"/>
    <mergeCell ref="C84:M84"/>
    <mergeCell ref="N84:T84"/>
    <mergeCell ref="U84:Z84"/>
    <mergeCell ref="AA84:AF84"/>
    <mergeCell ref="AG84:AL84"/>
    <mergeCell ref="AM84:AR84"/>
    <mergeCell ref="AS84:AX84"/>
    <mergeCell ref="C85:M85"/>
    <mergeCell ref="N85:T85"/>
    <mergeCell ref="U85:Z85"/>
    <mergeCell ref="AA85:AF85"/>
    <mergeCell ref="AG85:AL85"/>
    <mergeCell ref="AM85:AR85"/>
    <mergeCell ref="AS85:AX85"/>
    <mergeCell ref="C86:M86"/>
    <mergeCell ref="N86:T86"/>
    <mergeCell ref="U86:Z86"/>
    <mergeCell ref="AA86:AF86"/>
    <mergeCell ref="AG86:AL86"/>
    <mergeCell ref="AM86:AR86"/>
    <mergeCell ref="AS86:AX86"/>
    <mergeCell ref="C87:M87"/>
    <mergeCell ref="N87:T87"/>
    <mergeCell ref="U87:Z87"/>
    <mergeCell ref="AA87:AF87"/>
    <mergeCell ref="AG87:AL87"/>
    <mergeCell ref="AM87:AR87"/>
    <mergeCell ref="AS87:AX87"/>
    <mergeCell ref="C88:M88"/>
    <mergeCell ref="N88:T88"/>
    <mergeCell ref="U88:Z88"/>
    <mergeCell ref="AA88:AF88"/>
    <mergeCell ref="AG88:AL88"/>
    <mergeCell ref="AM88:AR88"/>
    <mergeCell ref="AS88:AX88"/>
    <mergeCell ref="C89:M89"/>
    <mergeCell ref="N89:T89"/>
    <mergeCell ref="U89:Z89"/>
    <mergeCell ref="AA89:AF89"/>
    <mergeCell ref="AG89:AL89"/>
    <mergeCell ref="AM89:AR89"/>
    <mergeCell ref="AS89:AX89"/>
    <mergeCell ref="C90:M90"/>
    <mergeCell ref="N90:T90"/>
    <mergeCell ref="U90:Z90"/>
    <mergeCell ref="AA90:AF90"/>
    <mergeCell ref="AG90:AL90"/>
    <mergeCell ref="AM90:AR90"/>
    <mergeCell ref="AS90:AX90"/>
    <mergeCell ref="C91:M91"/>
    <mergeCell ref="N91:T91"/>
    <mergeCell ref="U91:Z91"/>
    <mergeCell ref="AA91:AF91"/>
    <mergeCell ref="AG91:AL91"/>
    <mergeCell ref="AM91:AR91"/>
    <mergeCell ref="AS91:AX91"/>
    <mergeCell ref="C92:M92"/>
    <mergeCell ref="N92:T92"/>
    <mergeCell ref="U92:Z92"/>
    <mergeCell ref="AA92:AF92"/>
    <mergeCell ref="AG92:AL92"/>
    <mergeCell ref="AM92:AR92"/>
    <mergeCell ref="AS92:AX92"/>
    <mergeCell ref="C93:M93"/>
    <mergeCell ref="N93:T93"/>
    <mergeCell ref="U93:Z93"/>
    <mergeCell ref="AA93:AF93"/>
    <mergeCell ref="AG93:AL93"/>
    <mergeCell ref="AM93:AR93"/>
    <mergeCell ref="AS93:AX93"/>
    <mergeCell ref="C94:M94"/>
    <mergeCell ref="N94:T94"/>
    <mergeCell ref="U94:Z94"/>
    <mergeCell ref="AA94:AF94"/>
    <mergeCell ref="AG94:AL94"/>
    <mergeCell ref="AM94:AR94"/>
    <mergeCell ref="AS94:AX94"/>
    <mergeCell ref="C95:M95"/>
    <mergeCell ref="N95:T95"/>
    <mergeCell ref="U95:Z95"/>
    <mergeCell ref="AA95:AF95"/>
    <mergeCell ref="AG95:AL95"/>
    <mergeCell ref="AM95:AR95"/>
    <mergeCell ref="AS95:AX95"/>
    <mergeCell ref="C96:M96"/>
    <mergeCell ref="N96:T96"/>
    <mergeCell ref="U96:Z96"/>
    <mergeCell ref="AA96:AF96"/>
    <mergeCell ref="AG96:AL96"/>
    <mergeCell ref="AM96:AR96"/>
    <mergeCell ref="AS96:AX96"/>
    <mergeCell ref="C97:M97"/>
    <mergeCell ref="N97:T97"/>
    <mergeCell ref="U97:Z97"/>
    <mergeCell ref="AA97:AF97"/>
    <mergeCell ref="AG97:AL97"/>
    <mergeCell ref="AM97:AR97"/>
    <mergeCell ref="AS97:AX97"/>
    <mergeCell ref="C98:M98"/>
    <mergeCell ref="N98:T98"/>
    <mergeCell ref="U98:Z98"/>
    <mergeCell ref="AA98:AF98"/>
    <mergeCell ref="AG98:AL98"/>
    <mergeCell ref="AM98:AR98"/>
    <mergeCell ref="AS98:AX98"/>
    <mergeCell ref="C99:M99"/>
    <mergeCell ref="N99:T99"/>
    <mergeCell ref="U99:Z99"/>
    <mergeCell ref="AA99:AF99"/>
    <mergeCell ref="AG99:AL99"/>
    <mergeCell ref="AM99:AR99"/>
    <mergeCell ref="AS99:AX99"/>
    <mergeCell ref="C100:M100"/>
    <mergeCell ref="N100:T100"/>
    <mergeCell ref="U100:Z100"/>
    <mergeCell ref="AA100:AF100"/>
    <mergeCell ref="AG100:AL100"/>
    <mergeCell ref="AM100:AR100"/>
    <mergeCell ref="AS100:AX100"/>
    <mergeCell ref="C101:M101"/>
    <mergeCell ref="N101:T101"/>
    <mergeCell ref="U101:Z101"/>
    <mergeCell ref="AA101:AF101"/>
    <mergeCell ref="AG101:AL101"/>
    <mergeCell ref="AM101:AR101"/>
    <mergeCell ref="AS101:AX101"/>
    <mergeCell ref="C102:M102"/>
    <mergeCell ref="N102:T102"/>
    <mergeCell ref="U102:Z102"/>
    <mergeCell ref="AA102:AF102"/>
    <mergeCell ref="AG102:AL102"/>
    <mergeCell ref="AM102:AR102"/>
    <mergeCell ref="AS102:AX102"/>
    <mergeCell ref="C103:M103"/>
    <mergeCell ref="N103:T103"/>
    <mergeCell ref="U103:Z103"/>
    <mergeCell ref="AA103:AF103"/>
    <mergeCell ref="AG103:AL103"/>
    <mergeCell ref="AM103:AR103"/>
    <mergeCell ref="AS103:AX103"/>
    <mergeCell ref="C104:M104"/>
    <mergeCell ref="N104:T104"/>
    <mergeCell ref="U104:Z104"/>
    <mergeCell ref="AA104:AF104"/>
    <mergeCell ref="AG104:AL104"/>
    <mergeCell ref="AM104:AR104"/>
    <mergeCell ref="AS104:AX104"/>
    <mergeCell ref="C105:M105"/>
    <mergeCell ref="N105:T105"/>
    <mergeCell ref="U105:Z105"/>
    <mergeCell ref="AA105:AF105"/>
    <mergeCell ref="AG105:AL105"/>
    <mergeCell ref="AM105:AR105"/>
    <mergeCell ref="AS105:AX105"/>
    <mergeCell ref="C106:M106"/>
    <mergeCell ref="N106:T106"/>
    <mergeCell ref="U106:Z106"/>
    <mergeCell ref="AA106:AF106"/>
    <mergeCell ref="AG106:AL106"/>
    <mergeCell ref="AM106:AR106"/>
    <mergeCell ref="AS106:AX106"/>
    <mergeCell ref="C107:M107"/>
    <mergeCell ref="N107:T107"/>
    <mergeCell ref="U107:Z107"/>
    <mergeCell ref="AA107:AF107"/>
    <mergeCell ref="AG107:AL107"/>
    <mergeCell ref="AM107:AR107"/>
    <mergeCell ref="AS107:AX107"/>
    <mergeCell ref="C108:M108"/>
    <mergeCell ref="N108:T108"/>
    <mergeCell ref="U108:Z108"/>
    <mergeCell ref="AA108:AF108"/>
    <mergeCell ref="AG108:AL108"/>
    <mergeCell ref="AM108:AR108"/>
    <mergeCell ref="AS108:AX108"/>
    <mergeCell ref="C109:M109"/>
    <mergeCell ref="N109:T109"/>
    <mergeCell ref="U109:Z109"/>
    <mergeCell ref="AA109:AF109"/>
    <mergeCell ref="AG109:AL109"/>
    <mergeCell ref="AM109:AR109"/>
    <mergeCell ref="AS109:AX109"/>
    <mergeCell ref="C110:M110"/>
    <mergeCell ref="N110:T110"/>
    <mergeCell ref="U110:Z110"/>
    <mergeCell ref="AA110:AF110"/>
    <mergeCell ref="AG110:AL110"/>
    <mergeCell ref="AM110:AR110"/>
    <mergeCell ref="AS110:AX110"/>
    <mergeCell ref="C111:M111"/>
    <mergeCell ref="N111:T111"/>
    <mergeCell ref="U111:Z111"/>
    <mergeCell ref="AA111:AF111"/>
    <mergeCell ref="AG111:AL111"/>
    <mergeCell ref="AM111:AR111"/>
    <mergeCell ref="AS111:AX111"/>
    <mergeCell ref="C112:M112"/>
    <mergeCell ref="N112:T112"/>
    <mergeCell ref="U112:Z112"/>
    <mergeCell ref="AA112:AF112"/>
    <mergeCell ref="AG112:AL112"/>
    <mergeCell ref="AM112:AR112"/>
    <mergeCell ref="AS112:AX112"/>
    <mergeCell ref="C113:M113"/>
    <mergeCell ref="N113:T113"/>
    <mergeCell ref="U113:Z113"/>
    <mergeCell ref="AA113:AF113"/>
    <mergeCell ref="AG113:AL113"/>
    <mergeCell ref="AM113:AR113"/>
    <mergeCell ref="AS113:AX113"/>
    <mergeCell ref="C114:M114"/>
    <mergeCell ref="N114:T114"/>
    <mergeCell ref="U114:Z114"/>
    <mergeCell ref="AA114:AF114"/>
    <mergeCell ref="AG114:AL114"/>
    <mergeCell ref="AM114:AR114"/>
    <mergeCell ref="AS114:AX114"/>
    <mergeCell ref="C115:M115"/>
    <mergeCell ref="N115:T115"/>
    <mergeCell ref="U115:Z115"/>
    <mergeCell ref="AA115:AF115"/>
    <mergeCell ref="AG115:AL115"/>
    <mergeCell ref="AM115:AR115"/>
    <mergeCell ref="AS115:AX115"/>
    <mergeCell ref="C116:M116"/>
    <mergeCell ref="N116:T116"/>
    <mergeCell ref="U116:Z116"/>
    <mergeCell ref="AA116:AF116"/>
    <mergeCell ref="AG116:AL116"/>
    <mergeCell ref="AM116:AR116"/>
    <mergeCell ref="AS116:AX116"/>
    <mergeCell ref="C117:M117"/>
    <mergeCell ref="N117:T117"/>
    <mergeCell ref="U117:Z117"/>
    <mergeCell ref="AA117:AF117"/>
    <mergeCell ref="AG117:AL117"/>
    <mergeCell ref="AM117:AR117"/>
    <mergeCell ref="AS117:AX117"/>
    <mergeCell ref="C118:M118"/>
    <mergeCell ref="N118:T118"/>
    <mergeCell ref="U118:Z118"/>
    <mergeCell ref="AA118:AF118"/>
    <mergeCell ref="AG118:AL118"/>
    <mergeCell ref="AM118:AR118"/>
    <mergeCell ref="AS118:AX118"/>
    <mergeCell ref="C119:M119"/>
    <mergeCell ref="N119:T119"/>
    <mergeCell ref="U119:Z119"/>
    <mergeCell ref="AA119:AF119"/>
    <mergeCell ref="AG119:AL119"/>
    <mergeCell ref="AM119:AR119"/>
    <mergeCell ref="AS119:AX119"/>
    <mergeCell ref="C120:M120"/>
    <mergeCell ref="N120:T120"/>
    <mergeCell ref="U120:Z120"/>
    <mergeCell ref="AA120:AF120"/>
    <mergeCell ref="AG120:AL120"/>
    <mergeCell ref="AM120:AR120"/>
    <mergeCell ref="AS120:AX120"/>
    <mergeCell ref="C121:M121"/>
    <mergeCell ref="N121:T121"/>
    <mergeCell ref="U121:Z121"/>
    <mergeCell ref="AA121:AF121"/>
    <mergeCell ref="AG121:AL121"/>
    <mergeCell ref="AM121:AR121"/>
    <mergeCell ref="AS121:AX121"/>
    <mergeCell ref="C122:M122"/>
    <mergeCell ref="N122:T122"/>
    <mergeCell ref="U122:Z122"/>
    <mergeCell ref="AA122:AF122"/>
    <mergeCell ref="AG122:AL122"/>
    <mergeCell ref="AM122:AR122"/>
    <mergeCell ref="AS122:AX122"/>
    <mergeCell ref="C123:M123"/>
    <mergeCell ref="N123:T123"/>
    <mergeCell ref="U123:Z123"/>
    <mergeCell ref="AA123:AF123"/>
    <mergeCell ref="AG123:AL123"/>
    <mergeCell ref="AM123:AR123"/>
    <mergeCell ref="AS123:AX123"/>
    <mergeCell ref="C124:M124"/>
    <mergeCell ref="N124:T124"/>
    <mergeCell ref="U124:Z124"/>
    <mergeCell ref="AA124:AF124"/>
    <mergeCell ref="AG124:AL124"/>
    <mergeCell ref="AM124:AR124"/>
    <mergeCell ref="AS124:AX124"/>
    <mergeCell ref="C125:M125"/>
    <mergeCell ref="N125:T125"/>
    <mergeCell ref="U125:Z125"/>
    <mergeCell ref="AA125:AF125"/>
    <mergeCell ref="AG125:AL125"/>
    <mergeCell ref="AM125:AR125"/>
    <mergeCell ref="AS125:AX125"/>
    <mergeCell ref="C126:M126"/>
    <mergeCell ref="N126:T126"/>
    <mergeCell ref="U126:Z126"/>
    <mergeCell ref="AA126:AF126"/>
    <mergeCell ref="AG126:AL126"/>
    <mergeCell ref="AM126:AR126"/>
    <mergeCell ref="AS126:AX126"/>
    <mergeCell ref="C127:M127"/>
    <mergeCell ref="N127:T127"/>
    <mergeCell ref="U127:Z127"/>
    <mergeCell ref="AA127:AF127"/>
    <mergeCell ref="AG127:AL127"/>
    <mergeCell ref="AM127:AR127"/>
    <mergeCell ref="AS127:AX127"/>
    <mergeCell ref="C128:M128"/>
    <mergeCell ref="N128:T128"/>
    <mergeCell ref="U128:Z128"/>
    <mergeCell ref="AA128:AF128"/>
    <mergeCell ref="AG128:AL128"/>
    <mergeCell ref="AM128:AR128"/>
    <mergeCell ref="AS128:AX128"/>
    <mergeCell ref="C129:M129"/>
    <mergeCell ref="N129:T129"/>
    <mergeCell ref="U129:Z129"/>
    <mergeCell ref="AA129:AF129"/>
    <mergeCell ref="AG129:AL129"/>
    <mergeCell ref="AM129:AR129"/>
    <mergeCell ref="AS129:AX129"/>
    <mergeCell ref="C130:M130"/>
    <mergeCell ref="N130:T130"/>
    <mergeCell ref="U130:Z130"/>
    <mergeCell ref="AA130:AF130"/>
    <mergeCell ref="AG130:AL130"/>
    <mergeCell ref="AM130:AR130"/>
    <mergeCell ref="AS130:AX130"/>
    <mergeCell ref="C131:M131"/>
    <mergeCell ref="N131:T131"/>
    <mergeCell ref="U131:Z131"/>
    <mergeCell ref="AA131:AF131"/>
    <mergeCell ref="AG131:AL131"/>
    <mergeCell ref="AM131:AR131"/>
    <mergeCell ref="AS131:AX131"/>
    <mergeCell ref="C132:M132"/>
    <mergeCell ref="N132:T132"/>
    <mergeCell ref="U132:Z132"/>
    <mergeCell ref="AA132:AF132"/>
    <mergeCell ref="AG132:AL132"/>
    <mergeCell ref="AM132:AR132"/>
    <mergeCell ref="AS132:AX132"/>
    <mergeCell ref="C133:M133"/>
    <mergeCell ref="N133:T133"/>
    <mergeCell ref="U133:Z133"/>
    <mergeCell ref="AA133:AF133"/>
    <mergeCell ref="AG133:AL133"/>
    <mergeCell ref="AM133:AR133"/>
    <mergeCell ref="AS133:AX133"/>
    <mergeCell ref="C134:M134"/>
    <mergeCell ref="N134:T134"/>
    <mergeCell ref="U134:Z134"/>
    <mergeCell ref="AA134:AF134"/>
    <mergeCell ref="AG134:AL134"/>
    <mergeCell ref="AM134:AR134"/>
    <mergeCell ref="AS134:AX134"/>
    <mergeCell ref="C135:M135"/>
    <mergeCell ref="N135:T135"/>
    <mergeCell ref="U135:Z135"/>
    <mergeCell ref="AA135:AF135"/>
    <mergeCell ref="AG135:AL135"/>
    <mergeCell ref="AM135:AR135"/>
    <mergeCell ref="AS135:AX135"/>
    <mergeCell ref="C136:M136"/>
    <mergeCell ref="N136:T136"/>
    <mergeCell ref="U136:Z136"/>
    <mergeCell ref="AA136:AF136"/>
    <mergeCell ref="AG136:AL136"/>
    <mergeCell ref="AM136:AR136"/>
    <mergeCell ref="AS136:AX136"/>
    <mergeCell ref="C137:M137"/>
    <mergeCell ref="N137:T137"/>
    <mergeCell ref="U137:Z137"/>
    <mergeCell ref="AA137:AF137"/>
    <mergeCell ref="AG137:AL137"/>
    <mergeCell ref="AM137:AR137"/>
    <mergeCell ref="AS137:AX137"/>
    <mergeCell ref="C138:M138"/>
    <mergeCell ref="N138:T138"/>
    <mergeCell ref="U138:Z138"/>
    <mergeCell ref="AA138:AF138"/>
    <mergeCell ref="AG138:AL138"/>
    <mergeCell ref="AM138:AR138"/>
    <mergeCell ref="AS138:AX138"/>
    <mergeCell ref="C139:M139"/>
    <mergeCell ref="N139:T139"/>
    <mergeCell ref="U139:Z139"/>
    <mergeCell ref="AA139:AF139"/>
    <mergeCell ref="AG139:AL139"/>
    <mergeCell ref="AM139:AR139"/>
    <mergeCell ref="AS139:AX139"/>
    <mergeCell ref="C140:M140"/>
    <mergeCell ref="N140:T140"/>
    <mergeCell ref="U140:Z140"/>
    <mergeCell ref="AA140:AF140"/>
    <mergeCell ref="AG140:AL140"/>
    <mergeCell ref="AM140:AR140"/>
    <mergeCell ref="AS140:AX140"/>
    <mergeCell ref="C141:M141"/>
    <mergeCell ref="N141:T141"/>
    <mergeCell ref="U141:Z141"/>
    <mergeCell ref="AA141:AF141"/>
    <mergeCell ref="AG141:AL141"/>
    <mergeCell ref="AM141:AR141"/>
    <mergeCell ref="AS141:AX141"/>
    <mergeCell ref="C142:M142"/>
    <mergeCell ref="N142:T142"/>
    <mergeCell ref="U142:Z142"/>
    <mergeCell ref="AA142:AF142"/>
    <mergeCell ref="AG142:AL142"/>
    <mergeCell ref="AM142:AR142"/>
    <mergeCell ref="AS142:AX142"/>
    <mergeCell ref="C143:M143"/>
    <mergeCell ref="N143:T143"/>
    <mergeCell ref="U143:Z143"/>
    <mergeCell ref="AA143:AF143"/>
    <mergeCell ref="AG143:AL143"/>
    <mergeCell ref="AM143:AR143"/>
    <mergeCell ref="AS143:AX143"/>
    <mergeCell ref="C144:M144"/>
    <mergeCell ref="N144:T144"/>
    <mergeCell ref="U144:Z144"/>
    <mergeCell ref="AA144:AF144"/>
    <mergeCell ref="AG144:AL144"/>
    <mergeCell ref="AM144:AR144"/>
    <mergeCell ref="AS144:AX144"/>
    <mergeCell ref="C145:M145"/>
    <mergeCell ref="N145:T145"/>
    <mergeCell ref="U145:Z145"/>
    <mergeCell ref="AA145:AF145"/>
    <mergeCell ref="AG145:AL145"/>
    <mergeCell ref="AM145:AR145"/>
    <mergeCell ref="AS145:AX145"/>
    <mergeCell ref="C146:M146"/>
    <mergeCell ref="N146:T146"/>
    <mergeCell ref="U146:Z146"/>
    <mergeCell ref="AA146:AF146"/>
    <mergeCell ref="AG146:AL146"/>
    <mergeCell ref="AM146:AR146"/>
    <mergeCell ref="AS146:AX146"/>
    <mergeCell ref="C147:M147"/>
    <mergeCell ref="N147:T147"/>
    <mergeCell ref="U147:Z147"/>
    <mergeCell ref="AA147:AF147"/>
    <mergeCell ref="AG147:AL147"/>
    <mergeCell ref="AM147:AR147"/>
    <mergeCell ref="AS147:AX147"/>
    <mergeCell ref="C148:M148"/>
    <mergeCell ref="N148:T148"/>
    <mergeCell ref="U148:Z148"/>
    <mergeCell ref="AA148:AF148"/>
    <mergeCell ref="AG148:AL148"/>
    <mergeCell ref="AM148:AR148"/>
    <mergeCell ref="AS148:AX148"/>
    <mergeCell ref="C149:M149"/>
    <mergeCell ref="N149:T149"/>
    <mergeCell ref="U149:Z149"/>
    <mergeCell ref="AA149:AF149"/>
    <mergeCell ref="AG149:AL149"/>
    <mergeCell ref="AM149:AR149"/>
    <mergeCell ref="AS149:AX149"/>
    <mergeCell ref="C150:M150"/>
    <mergeCell ref="N150:T150"/>
    <mergeCell ref="U150:Z150"/>
    <mergeCell ref="AA150:AF150"/>
    <mergeCell ref="AG150:AL150"/>
    <mergeCell ref="AM150:AR150"/>
    <mergeCell ref="AS150:AX150"/>
    <mergeCell ref="C151:M151"/>
    <mergeCell ref="N151:T151"/>
    <mergeCell ref="U151:Z151"/>
    <mergeCell ref="AA151:AF151"/>
    <mergeCell ref="AG151:AL151"/>
    <mergeCell ref="AM151:AR151"/>
    <mergeCell ref="AS151:AX151"/>
    <mergeCell ref="C152:M152"/>
    <mergeCell ref="N152:T152"/>
    <mergeCell ref="U152:Z152"/>
    <mergeCell ref="AA152:AF152"/>
    <mergeCell ref="AG152:AL152"/>
    <mergeCell ref="AM152:AR152"/>
    <mergeCell ref="AS152:AX152"/>
    <mergeCell ref="C153:M153"/>
    <mergeCell ref="N153:T153"/>
    <mergeCell ref="U153:Z153"/>
    <mergeCell ref="AA153:AF153"/>
    <mergeCell ref="AG153:AL153"/>
    <mergeCell ref="AM153:AR153"/>
    <mergeCell ref="AS153:AX153"/>
    <mergeCell ref="C154:M154"/>
    <mergeCell ref="N154:T154"/>
    <mergeCell ref="U154:Z154"/>
    <mergeCell ref="AA154:AF154"/>
    <mergeCell ref="AG154:AL154"/>
    <mergeCell ref="AM154:AR154"/>
    <mergeCell ref="AS154:AX154"/>
    <mergeCell ref="C155:M155"/>
    <mergeCell ref="N155:T155"/>
    <mergeCell ref="U155:Z155"/>
    <mergeCell ref="AA155:AF155"/>
    <mergeCell ref="AG155:AL155"/>
    <mergeCell ref="AM155:AR155"/>
    <mergeCell ref="AS155:AX155"/>
    <mergeCell ref="C156:M156"/>
    <mergeCell ref="N156:T156"/>
    <mergeCell ref="U156:Z156"/>
    <mergeCell ref="AA156:AF156"/>
    <mergeCell ref="AG156:AL156"/>
    <mergeCell ref="AM156:AR156"/>
    <mergeCell ref="AS156:AX156"/>
    <mergeCell ref="C157:M157"/>
    <mergeCell ref="N157:T157"/>
    <mergeCell ref="U157:Z157"/>
    <mergeCell ref="AA157:AF157"/>
    <mergeCell ref="AG157:AL157"/>
    <mergeCell ref="AM157:AR157"/>
    <mergeCell ref="AS157:AX157"/>
    <mergeCell ref="C158:M158"/>
    <mergeCell ref="N158:T158"/>
    <mergeCell ref="U158:Z158"/>
    <mergeCell ref="AA158:AF158"/>
    <mergeCell ref="AG158:AL158"/>
    <mergeCell ref="AM158:AR158"/>
    <mergeCell ref="AS158:AX158"/>
    <mergeCell ref="C159:M159"/>
    <mergeCell ref="N159:T159"/>
    <mergeCell ref="U159:Z159"/>
    <mergeCell ref="AA159:AF159"/>
    <mergeCell ref="AG159:AL159"/>
    <mergeCell ref="AM159:AR159"/>
    <mergeCell ref="AS159:AX159"/>
    <mergeCell ref="C160:M160"/>
    <mergeCell ref="N160:T160"/>
    <mergeCell ref="U160:Z160"/>
    <mergeCell ref="AA160:AF160"/>
    <mergeCell ref="AG160:AL160"/>
    <mergeCell ref="AM160:AR160"/>
    <mergeCell ref="AS160:AX160"/>
    <mergeCell ref="C161:M161"/>
    <mergeCell ref="N161:T161"/>
    <mergeCell ref="U161:Z161"/>
    <mergeCell ref="AA161:AF161"/>
    <mergeCell ref="AG161:AL161"/>
    <mergeCell ref="AM161:AR161"/>
    <mergeCell ref="AS161:AX161"/>
    <mergeCell ref="C162:M162"/>
    <mergeCell ref="N162:T162"/>
    <mergeCell ref="U162:Z162"/>
    <mergeCell ref="AA162:AF162"/>
    <mergeCell ref="AG162:AL162"/>
    <mergeCell ref="AM162:AR162"/>
    <mergeCell ref="AS162:AX162"/>
    <mergeCell ref="C163:M163"/>
    <mergeCell ref="N163:T163"/>
    <mergeCell ref="U163:Z163"/>
    <mergeCell ref="AA163:AF163"/>
    <mergeCell ref="AG163:AL163"/>
    <mergeCell ref="AM163:AR163"/>
    <mergeCell ref="AS163:AX163"/>
    <mergeCell ref="C164:M164"/>
    <mergeCell ref="N164:T164"/>
    <mergeCell ref="U164:Z164"/>
    <mergeCell ref="AA164:AF164"/>
    <mergeCell ref="AG164:AL164"/>
    <mergeCell ref="AM164:AR164"/>
    <mergeCell ref="AS164:AX164"/>
    <mergeCell ref="C165:M165"/>
    <mergeCell ref="N165:T165"/>
    <mergeCell ref="U165:Z165"/>
    <mergeCell ref="AA165:AF165"/>
    <mergeCell ref="AG165:AL165"/>
    <mergeCell ref="AM165:AR165"/>
    <mergeCell ref="AS165:AX165"/>
    <mergeCell ref="C166:M166"/>
    <mergeCell ref="N166:T166"/>
    <mergeCell ref="U166:Z166"/>
    <mergeCell ref="AA166:AF166"/>
    <mergeCell ref="AG166:AL166"/>
    <mergeCell ref="AM166:AR166"/>
    <mergeCell ref="AS166:AX166"/>
    <mergeCell ref="C167:M167"/>
    <mergeCell ref="N167:T167"/>
    <mergeCell ref="U167:Z167"/>
    <mergeCell ref="AA167:AF167"/>
    <mergeCell ref="AG167:AL167"/>
    <mergeCell ref="AM167:AR167"/>
    <mergeCell ref="AS167:AX167"/>
    <mergeCell ref="C168:M168"/>
    <mergeCell ref="N168:T168"/>
    <mergeCell ref="U168:Z168"/>
    <mergeCell ref="AA168:AF168"/>
    <mergeCell ref="AG168:AL168"/>
    <mergeCell ref="AM168:AR168"/>
    <mergeCell ref="AS168:AX168"/>
    <mergeCell ref="C169:M169"/>
    <mergeCell ref="N169:T169"/>
    <mergeCell ref="U169:Z169"/>
    <mergeCell ref="AA169:AF169"/>
    <mergeCell ref="AG169:AL169"/>
    <mergeCell ref="AM169:AR169"/>
    <mergeCell ref="AS169:AX169"/>
    <mergeCell ref="C170:M170"/>
    <mergeCell ref="N170:T170"/>
    <mergeCell ref="U170:Z170"/>
    <mergeCell ref="AA170:AF170"/>
    <mergeCell ref="AG170:AL170"/>
    <mergeCell ref="AM170:AR170"/>
    <mergeCell ref="AS170:AX170"/>
    <mergeCell ref="C171:M171"/>
    <mergeCell ref="N171:T171"/>
    <mergeCell ref="U171:Z171"/>
    <mergeCell ref="AA171:AF171"/>
    <mergeCell ref="AG171:AL171"/>
    <mergeCell ref="AM171:AR171"/>
    <mergeCell ref="AS171:AX171"/>
    <mergeCell ref="C172:M172"/>
    <mergeCell ref="N172:T172"/>
    <mergeCell ref="U172:Z172"/>
    <mergeCell ref="AA172:AF172"/>
    <mergeCell ref="AG172:AL172"/>
    <mergeCell ref="AM172:AR172"/>
    <mergeCell ref="AS172:AX172"/>
    <mergeCell ref="C173:M173"/>
    <mergeCell ref="N173:T173"/>
    <mergeCell ref="U173:Z173"/>
    <mergeCell ref="AA173:AF173"/>
    <mergeCell ref="AG173:AL173"/>
    <mergeCell ref="AM173:AR173"/>
    <mergeCell ref="AS173:AX173"/>
    <mergeCell ref="C174:M174"/>
    <mergeCell ref="N174:T174"/>
    <mergeCell ref="U174:Z174"/>
    <mergeCell ref="AA174:AF174"/>
    <mergeCell ref="AG174:AL174"/>
    <mergeCell ref="AM174:AR174"/>
    <mergeCell ref="AS174:AX174"/>
    <mergeCell ref="C175:M175"/>
    <mergeCell ref="N175:T175"/>
    <mergeCell ref="U175:Z175"/>
    <mergeCell ref="AA175:AF175"/>
    <mergeCell ref="AG175:AL175"/>
    <mergeCell ref="AM175:AR175"/>
    <mergeCell ref="AS175:AX175"/>
    <mergeCell ref="C176:M176"/>
    <mergeCell ref="N176:T176"/>
    <mergeCell ref="U176:Z176"/>
    <mergeCell ref="AA176:AF176"/>
    <mergeCell ref="AG176:AL176"/>
    <mergeCell ref="AM176:AR176"/>
    <mergeCell ref="AS176:AX176"/>
    <mergeCell ref="C177:M177"/>
    <mergeCell ref="N177:T177"/>
    <mergeCell ref="U177:Z177"/>
    <mergeCell ref="AA177:AF177"/>
    <mergeCell ref="AG177:AL177"/>
    <mergeCell ref="AM177:AR177"/>
    <mergeCell ref="AS177:AX177"/>
    <mergeCell ref="C178:M178"/>
    <mergeCell ref="N178:T178"/>
    <mergeCell ref="U178:Z178"/>
    <mergeCell ref="AA178:AF178"/>
    <mergeCell ref="AG178:AL178"/>
    <mergeCell ref="AM178:AR178"/>
    <mergeCell ref="AS178:AX178"/>
    <mergeCell ref="C179:M179"/>
    <mergeCell ref="N179:T179"/>
    <mergeCell ref="U179:Z179"/>
    <mergeCell ref="AA179:AF179"/>
    <mergeCell ref="AG179:AL179"/>
    <mergeCell ref="AM179:AR179"/>
    <mergeCell ref="AS179:AX179"/>
    <mergeCell ref="C180:M180"/>
    <mergeCell ref="N180:T180"/>
    <mergeCell ref="U180:Z180"/>
    <mergeCell ref="AA180:AF180"/>
    <mergeCell ref="AG180:AL180"/>
    <mergeCell ref="AM180:AR180"/>
    <mergeCell ref="AS180:AX180"/>
    <mergeCell ref="C181:M181"/>
    <mergeCell ref="N181:T181"/>
    <mergeCell ref="U181:Z181"/>
    <mergeCell ref="AA181:AF181"/>
    <mergeCell ref="AG181:AL181"/>
    <mergeCell ref="AM181:AR181"/>
    <mergeCell ref="AS181:AX181"/>
    <mergeCell ref="C182:M182"/>
    <mergeCell ref="N182:T182"/>
    <mergeCell ref="U182:Z182"/>
    <mergeCell ref="AA182:AF182"/>
    <mergeCell ref="AG182:AL182"/>
    <mergeCell ref="AM182:AR182"/>
    <mergeCell ref="AS182:AX182"/>
    <mergeCell ref="C183:M183"/>
    <mergeCell ref="N183:T183"/>
    <mergeCell ref="U183:Z183"/>
    <mergeCell ref="AA183:AF183"/>
    <mergeCell ref="AG183:AL183"/>
    <mergeCell ref="AM183:AR183"/>
    <mergeCell ref="AS183:AX183"/>
    <mergeCell ref="C184:M184"/>
    <mergeCell ref="N184:T184"/>
    <mergeCell ref="U184:Z184"/>
    <mergeCell ref="AA184:AF184"/>
    <mergeCell ref="AG184:AL184"/>
    <mergeCell ref="AM184:AR184"/>
    <mergeCell ref="AS184:AX184"/>
    <mergeCell ref="C185:M185"/>
    <mergeCell ref="N185:T185"/>
    <mergeCell ref="U185:Z185"/>
    <mergeCell ref="AA185:AF185"/>
    <mergeCell ref="AG185:AL185"/>
    <mergeCell ref="AM185:AR185"/>
    <mergeCell ref="AS185:AX185"/>
    <mergeCell ref="C186:M186"/>
    <mergeCell ref="N186:T186"/>
    <mergeCell ref="U186:Z186"/>
    <mergeCell ref="AA186:AF186"/>
    <mergeCell ref="AG186:AL186"/>
    <mergeCell ref="AM186:AR186"/>
    <mergeCell ref="AS186:AX186"/>
    <mergeCell ref="C187:M187"/>
    <mergeCell ref="N187:T187"/>
    <mergeCell ref="U187:Z187"/>
    <mergeCell ref="AA187:AF187"/>
    <mergeCell ref="AG187:AL187"/>
    <mergeCell ref="AM187:AR187"/>
    <mergeCell ref="AS187:AX187"/>
    <mergeCell ref="C188:M188"/>
    <mergeCell ref="N188:T188"/>
    <mergeCell ref="U188:Z188"/>
    <mergeCell ref="AA188:AF188"/>
    <mergeCell ref="AG188:AL188"/>
    <mergeCell ref="AM188:AR188"/>
    <mergeCell ref="AS188:AX188"/>
    <mergeCell ref="C189:M189"/>
    <mergeCell ref="N189:T189"/>
    <mergeCell ref="U189:Z189"/>
    <mergeCell ref="AA189:AF189"/>
    <mergeCell ref="AG189:AL189"/>
    <mergeCell ref="AM189:AR189"/>
    <mergeCell ref="AS189:AX189"/>
    <mergeCell ref="C190:M190"/>
    <mergeCell ref="N190:T190"/>
    <mergeCell ref="U190:Z190"/>
    <mergeCell ref="AA190:AF190"/>
    <mergeCell ref="AG190:AL190"/>
    <mergeCell ref="AM190:AR190"/>
    <mergeCell ref="AS190:AX190"/>
    <mergeCell ref="C191:M191"/>
    <mergeCell ref="N191:T191"/>
    <mergeCell ref="U191:Z191"/>
    <mergeCell ref="AA191:AF191"/>
    <mergeCell ref="AG191:AL191"/>
    <mergeCell ref="AM191:AR191"/>
    <mergeCell ref="AS191:AX191"/>
    <mergeCell ref="C192:M192"/>
    <mergeCell ref="N192:T192"/>
    <mergeCell ref="U192:Z192"/>
    <mergeCell ref="AA192:AF192"/>
    <mergeCell ref="AG192:AL192"/>
    <mergeCell ref="AM192:AR192"/>
    <mergeCell ref="AS192:AX192"/>
    <mergeCell ref="C193:M193"/>
    <mergeCell ref="N193:T193"/>
    <mergeCell ref="U193:Z193"/>
    <mergeCell ref="AA193:AF193"/>
    <mergeCell ref="AG193:AL193"/>
    <mergeCell ref="AM193:AR193"/>
    <mergeCell ref="AS193:AX193"/>
    <mergeCell ref="C194:M194"/>
    <mergeCell ref="N194:T194"/>
    <mergeCell ref="U194:Z194"/>
    <mergeCell ref="AA194:AF194"/>
    <mergeCell ref="AG194:AL194"/>
    <mergeCell ref="AM194:AR194"/>
    <mergeCell ref="AS194:AX194"/>
    <mergeCell ref="C195:M195"/>
    <mergeCell ref="N195:T195"/>
    <mergeCell ref="U195:Z195"/>
    <mergeCell ref="AA195:AF195"/>
    <mergeCell ref="AG195:AL195"/>
    <mergeCell ref="AM195:AR195"/>
    <mergeCell ref="AS195:AX195"/>
    <mergeCell ref="C196:M196"/>
    <mergeCell ref="N196:T196"/>
    <mergeCell ref="U196:Z196"/>
    <mergeCell ref="AA196:AF196"/>
    <mergeCell ref="AG196:AL196"/>
    <mergeCell ref="AM196:AR196"/>
    <mergeCell ref="AS196:AX196"/>
    <mergeCell ref="C197:M197"/>
    <mergeCell ref="N197:T197"/>
    <mergeCell ref="U197:Z197"/>
    <mergeCell ref="AA197:AF197"/>
    <mergeCell ref="AG197:AL197"/>
    <mergeCell ref="AM197:AR197"/>
    <mergeCell ref="AS197:AX197"/>
    <mergeCell ref="C198:M198"/>
    <mergeCell ref="N198:T198"/>
    <mergeCell ref="U198:Z198"/>
    <mergeCell ref="AA198:AF198"/>
    <mergeCell ref="AG198:AL198"/>
    <mergeCell ref="AM198:AR198"/>
    <mergeCell ref="AS198:AX198"/>
    <mergeCell ref="C199:M199"/>
    <mergeCell ref="N199:T199"/>
    <mergeCell ref="U199:Z199"/>
    <mergeCell ref="AA199:AF199"/>
    <mergeCell ref="AG199:AL199"/>
    <mergeCell ref="AM199:AR199"/>
    <mergeCell ref="AS199:AX199"/>
    <mergeCell ref="C200:M200"/>
    <mergeCell ref="N200:T200"/>
    <mergeCell ref="U200:Z200"/>
    <mergeCell ref="AA200:AF200"/>
    <mergeCell ref="AG200:AL200"/>
    <mergeCell ref="AM200:AR200"/>
    <mergeCell ref="AS200:AX200"/>
    <mergeCell ref="C201:M201"/>
    <mergeCell ref="N201:T201"/>
    <mergeCell ref="U201:Z201"/>
    <mergeCell ref="AA201:AF201"/>
    <mergeCell ref="AG201:AL201"/>
    <mergeCell ref="AM201:AR201"/>
    <mergeCell ref="AS201:AX201"/>
    <mergeCell ref="C202:M202"/>
    <mergeCell ref="N202:T202"/>
    <mergeCell ref="U202:Z202"/>
    <mergeCell ref="AA202:AF202"/>
    <mergeCell ref="AG202:AL202"/>
    <mergeCell ref="AM202:AR202"/>
    <mergeCell ref="AS202:AX202"/>
    <mergeCell ref="C203:M203"/>
    <mergeCell ref="N203:T203"/>
    <mergeCell ref="U203:Z203"/>
    <mergeCell ref="AA203:AF203"/>
    <mergeCell ref="AG203:AL203"/>
    <mergeCell ref="AM203:AR203"/>
    <mergeCell ref="AS203:AX203"/>
    <mergeCell ref="C204:M204"/>
    <mergeCell ref="N204:T204"/>
    <mergeCell ref="U204:Z204"/>
    <mergeCell ref="AA204:AF204"/>
    <mergeCell ref="AG204:AL204"/>
    <mergeCell ref="AM204:AR204"/>
    <mergeCell ref="AS204:AX204"/>
    <mergeCell ref="C205:M205"/>
    <mergeCell ref="N205:T205"/>
    <mergeCell ref="U205:Z205"/>
    <mergeCell ref="AA205:AF205"/>
    <mergeCell ref="AG205:AL205"/>
    <mergeCell ref="AM205:AR205"/>
    <mergeCell ref="AS205:AX205"/>
    <mergeCell ref="C206:M206"/>
    <mergeCell ref="N206:T206"/>
    <mergeCell ref="U206:Z206"/>
    <mergeCell ref="AA206:AF206"/>
    <mergeCell ref="AG206:AL206"/>
    <mergeCell ref="AM206:AR206"/>
    <mergeCell ref="AS206:AX206"/>
    <mergeCell ref="C207:M207"/>
    <mergeCell ref="N207:T207"/>
    <mergeCell ref="U207:Z207"/>
    <mergeCell ref="AA207:AF207"/>
    <mergeCell ref="AG207:AL207"/>
    <mergeCell ref="AM207:AR207"/>
    <mergeCell ref="AS207:AX207"/>
    <mergeCell ref="C208:M208"/>
    <mergeCell ref="N208:T208"/>
    <mergeCell ref="U208:Z208"/>
    <mergeCell ref="AA208:AF208"/>
    <mergeCell ref="AG208:AL208"/>
    <mergeCell ref="AM208:AR208"/>
    <mergeCell ref="AS208:AX208"/>
    <mergeCell ref="C209:M209"/>
    <mergeCell ref="N209:T209"/>
    <mergeCell ref="U209:Z209"/>
    <mergeCell ref="AA209:AF209"/>
    <mergeCell ref="AG209:AL209"/>
    <mergeCell ref="AM209:AR209"/>
    <mergeCell ref="AS209:AX209"/>
    <mergeCell ref="C210:M210"/>
    <mergeCell ref="N210:T210"/>
    <mergeCell ref="U210:Z210"/>
    <mergeCell ref="AA210:AF210"/>
    <mergeCell ref="AG210:AL210"/>
    <mergeCell ref="AM210:AR210"/>
    <mergeCell ref="AS210:AX210"/>
    <mergeCell ref="C211:M211"/>
    <mergeCell ref="N211:T211"/>
    <mergeCell ref="U211:Z211"/>
    <mergeCell ref="AA211:AF211"/>
    <mergeCell ref="AG211:AL211"/>
    <mergeCell ref="AM211:AR211"/>
    <mergeCell ref="AS211:AX211"/>
    <mergeCell ref="C212:M212"/>
    <mergeCell ref="N212:T212"/>
    <mergeCell ref="U212:Z212"/>
    <mergeCell ref="AA212:AF212"/>
    <mergeCell ref="AG212:AL212"/>
    <mergeCell ref="AM212:AR212"/>
    <mergeCell ref="AS212:AX212"/>
    <mergeCell ref="C213:AF213"/>
    <mergeCell ref="AG213:AL213"/>
    <mergeCell ref="AM213:AR213"/>
    <mergeCell ref="AS213:AX213"/>
    <mergeCell ref="AA215:AR215"/>
    <mergeCell ref="AS215:AX215"/>
    <mergeCell ref="AA216:AR216"/>
    <mergeCell ref="AS216:AX216"/>
    <mergeCell ref="AA217:AR217"/>
    <mergeCell ref="AS217:AX217"/>
    <mergeCell ref="AA218:AR218"/>
    <mergeCell ref="AS218:AX218"/>
    <mergeCell ref="S221:Z222"/>
    <mergeCell ref="AQ221:AX222"/>
    <mergeCell ref="D223:M224"/>
    <mergeCell ref="N223:R224"/>
    <mergeCell ref="S223:Z224"/>
    <mergeCell ref="AQ223:AX224"/>
    <mergeCell ref="AC223:AK224"/>
    <mergeCell ref="AL223:AP224"/>
    <mergeCell ref="B220:C224"/>
    <mergeCell ref="AA220:AB224"/>
    <mergeCell ref="N221:R222"/>
    <mergeCell ref="AL221:AP222"/>
    <mergeCell ref="L1:M6"/>
    <mergeCell ref="R3:AM4"/>
    <mergeCell ref="R5:AM6"/>
  </mergeCells>
  <pageMargins left="0.708661417322835" right="0.708661417322835" top="0.354330708661417" bottom="0.354330708661417" header="0.31496062992126" footer="0.31496062992126"/>
  <pageSetup paperSize="9" scale="97"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2">
    <tabColor rgb="FFFFFF00"/>
  </sheetPr>
  <dimension ref="A1:AP824"/>
  <sheetViews>
    <sheetView topLeftCell="AF1" workbookViewId="0">
      <selection activeCell="AP28" sqref="AP28"/>
    </sheetView>
  </sheetViews>
  <sheetFormatPr defaultColWidth="9.28571428571429" defaultRowHeight="15"/>
  <cols>
    <col min="1" max="1" width="22.8571428571429" style="5568" customWidth="1"/>
    <col min="2" max="3" width="14.5714285714286" style="5568" customWidth="1"/>
    <col min="4" max="4" width="22.8571428571429" style="5568" customWidth="1"/>
    <col min="5" max="5" width="12.8571428571429" style="5568" customWidth="1"/>
    <col min="6" max="6" width="32.7142857142857" style="5568" customWidth="1"/>
    <col min="7" max="7" width="13.5714285714286" style="5568" customWidth="1"/>
    <col min="8" max="8" width="7.14285714285714" style="5568" customWidth="1"/>
    <col min="9" max="9" width="16.1428571428571" style="5568" customWidth="1"/>
    <col min="10" max="10" width="203.142857142857" style="5568" customWidth="1"/>
    <col min="11" max="11" width="91.5714285714286" style="5568" customWidth="1"/>
    <col min="12" max="13" width="22.8571428571429" style="5568" customWidth="1"/>
    <col min="14" max="14" width="14.2857142857143" style="5568" customWidth="1"/>
    <col min="15" max="15" width="12.8571428571429" style="5568" customWidth="1"/>
    <col min="16" max="16" width="32.7142857142857" style="5568" customWidth="1"/>
    <col min="17" max="17" width="14.2857142857143" style="5568" customWidth="1"/>
    <col min="18" max="18" width="50.5714285714286" style="5568" customWidth="1"/>
    <col min="19" max="19" width="16.1428571428571" style="5568" customWidth="1"/>
    <col min="20" max="20" width="9.85714285714286" style="5568" customWidth="1"/>
    <col min="21" max="21" width="7.14285714285714" style="5568" customWidth="1"/>
    <col min="22" max="22" width="39.1428571428571" style="5568" customWidth="1"/>
    <col min="23" max="23" width="39.1428571428571" style="5568" hidden="1" customWidth="1"/>
    <col min="24" max="24" width="43.7142857142857" style="5568" customWidth="1"/>
    <col min="25" max="25" width="16" style="5568" customWidth="1"/>
    <col min="26" max="26" width="27.7142857142857" style="5568" hidden="1" customWidth="1"/>
    <col min="27" max="27" width="53" style="5569" customWidth="1"/>
    <col min="28" max="28" width="15.7142857142857" style="5570" customWidth="1"/>
    <col min="29" max="29" width="20.7142857142857" style="5568" customWidth="1"/>
    <col min="30" max="30" width="10.8571428571429" style="5571" customWidth="1"/>
    <col min="31" max="31" width="94.8571428571429" style="5571" customWidth="1"/>
    <col min="32" max="32" width="21" style="5572" customWidth="1"/>
    <col min="33" max="33" width="32.7142857142857" style="5568" customWidth="1"/>
    <col min="34" max="34" width="13.1428571428571" style="5568" customWidth="1"/>
    <col min="35" max="35" width="14.8571428571429" style="5568" customWidth="1"/>
    <col min="36" max="36" width="11.5714285714286" style="5568" customWidth="1"/>
    <col min="37" max="37" width="22.8571428571429" style="5568" customWidth="1"/>
    <col min="38" max="38" width="14.5714285714286" style="5573" customWidth="1"/>
    <col min="39" max="39" width="32.7142857142857" style="5568" customWidth="1"/>
    <col min="40" max="40" width="12.8571428571429" style="5568" customWidth="1"/>
    <col min="41" max="41" width="36" style="5568" customWidth="1"/>
    <col min="42" max="16384" width="9.28571428571429" style="5568"/>
  </cols>
  <sheetData>
    <row r="1" spans="1:42">
      <c r="A1" s="5574" t="s">
        <v>350</v>
      </c>
      <c r="B1" s="5574" t="s">
        <v>351</v>
      </c>
      <c r="C1" s="5574" t="s">
        <v>352</v>
      </c>
      <c r="D1" s="5574" t="str">
        <f t="shared" ref="D1:D64" si="0">A1</f>
        <v>Opština</v>
      </c>
      <c r="E1" s="5574" t="s">
        <v>353</v>
      </c>
      <c r="F1" s="5574" t="s">
        <v>354</v>
      </c>
      <c r="G1" s="5574" t="s">
        <v>355</v>
      </c>
      <c r="H1" s="5574" t="s">
        <v>356</v>
      </c>
      <c r="I1" s="5574" t="s">
        <v>357</v>
      </c>
      <c r="J1" s="5574" t="s">
        <v>358</v>
      </c>
      <c r="K1" s="5574" t="s">
        <v>359</v>
      </c>
      <c r="L1" s="5574" t="s">
        <v>350</v>
      </c>
      <c r="M1" s="5574" t="s">
        <v>360</v>
      </c>
      <c r="N1" s="5574" t="s">
        <v>361</v>
      </c>
      <c r="O1" s="5574" t="s">
        <v>362</v>
      </c>
      <c r="P1" s="5574" t="s">
        <v>354</v>
      </c>
      <c r="Q1" s="5574" t="s">
        <v>363</v>
      </c>
      <c r="R1" s="5574" t="s">
        <v>364</v>
      </c>
      <c r="S1" s="5574" t="s">
        <v>365</v>
      </c>
      <c r="T1" s="5574" t="s">
        <v>366</v>
      </c>
      <c r="U1" s="5574" t="s">
        <v>356</v>
      </c>
      <c r="V1" s="5574" t="s">
        <v>367</v>
      </c>
      <c r="W1" s="5574"/>
      <c r="X1" s="5574" t="s">
        <v>368</v>
      </c>
      <c r="Y1" s="5575" t="s">
        <v>369</v>
      </c>
      <c r="Z1" s="5575"/>
      <c r="AA1" s="5576" t="s">
        <v>370</v>
      </c>
      <c r="AB1" s="5577" t="s">
        <v>371</v>
      </c>
      <c r="AC1" s="5574" t="s">
        <v>372</v>
      </c>
      <c r="AD1" s="5578" t="s">
        <v>373</v>
      </c>
      <c r="AE1" s="5578" t="s">
        <v>374</v>
      </c>
      <c r="AF1" s="5579" t="s">
        <v>375</v>
      </c>
      <c r="AG1" s="5574" t="s">
        <v>354</v>
      </c>
      <c r="AH1" s="5574" t="s">
        <v>376</v>
      </c>
      <c r="AI1" s="5574" t="s">
        <v>377</v>
      </c>
      <c r="AJ1" s="5574" t="s">
        <v>378</v>
      </c>
      <c r="AK1" s="5574" t="s">
        <v>350</v>
      </c>
      <c r="AL1" s="5580" t="s">
        <v>379</v>
      </c>
      <c r="AM1" s="5574" t="s">
        <v>354</v>
      </c>
      <c r="AN1" s="5574" t="s">
        <v>380</v>
      </c>
      <c r="AO1" s="5574" t="s">
        <v>381</v>
      </c>
      <c r="AP1" s="5574" t="s">
        <v>382</v>
      </c>
    </row>
    <row r="2" spans="1:42">
      <c r="A2" s="5568" t="s">
        <v>383</v>
      </c>
      <c r="B2" s="5568" t="s">
        <v>384</v>
      </c>
      <c r="C2" s="5568">
        <v>10014</v>
      </c>
      <c r="D2" s="5568" t="str">
        <f t="shared" si="0"/>
        <v>Banovići</v>
      </c>
      <c r="E2" s="5568">
        <v>75290</v>
      </c>
      <c r="F2" s="5568" t="s">
        <v>385</v>
      </c>
      <c r="G2" s="5568">
        <v>3</v>
      </c>
      <c r="H2" s="5568" t="s">
        <v>386</v>
      </c>
      <c r="I2" s="5568" t="s">
        <v>387</v>
      </c>
      <c r="J2" s="5568" t="s">
        <v>388</v>
      </c>
      <c r="K2" s="5568" t="s">
        <v>389</v>
      </c>
      <c r="L2" s="5568" t="s">
        <v>390</v>
      </c>
      <c r="M2" s="5568" t="s">
        <v>391</v>
      </c>
      <c r="N2" s="5568">
        <v>72286</v>
      </c>
      <c r="O2" s="5568">
        <v>11061</v>
      </c>
      <c r="P2" s="5568" t="s">
        <v>392</v>
      </c>
      <c r="Q2" s="5568" t="s">
        <v>393</v>
      </c>
      <c r="R2" s="5568" t="s">
        <v>394</v>
      </c>
      <c r="S2" s="5568" t="s">
        <v>395</v>
      </c>
      <c r="T2" s="5568" t="s">
        <v>396</v>
      </c>
      <c r="U2" s="5568" t="s">
        <v>386</v>
      </c>
      <c r="V2" s="5568" t="s">
        <v>397</v>
      </c>
      <c r="X2" s="5568" t="s">
        <v>398</v>
      </c>
      <c r="Y2" s="5581" t="s">
        <v>399</v>
      </c>
      <c r="Z2" s="5581"/>
      <c r="AA2" s="5582" t="s">
        <v>400</v>
      </c>
      <c r="AB2" s="5583" t="s">
        <v>301</v>
      </c>
      <c r="AC2" s="5568" t="s">
        <v>401</v>
      </c>
      <c r="AD2" s="5571">
        <v>10</v>
      </c>
      <c r="AE2" s="5571" t="s">
        <v>402</v>
      </c>
      <c r="AF2" s="5584">
        <f>VLOOKUP(F2,AG$2:AH$11,2,FALSE)</f>
        <v>0.0005</v>
      </c>
      <c r="AG2" s="5568" t="s">
        <v>385</v>
      </c>
      <c r="AH2" s="5584">
        <v>0.0005</v>
      </c>
      <c r="AI2" s="5585" t="s">
        <v>403</v>
      </c>
      <c r="AJ2" s="5568">
        <v>80</v>
      </c>
      <c r="AK2" s="5568" t="s">
        <v>383</v>
      </c>
      <c r="AL2" s="5573">
        <v>91</v>
      </c>
      <c r="AM2" s="5568" t="s">
        <v>385</v>
      </c>
      <c r="AN2" s="5568">
        <v>3</v>
      </c>
      <c r="AO2" s="5586" t="s">
        <v>404</v>
      </c>
      <c r="AP2" s="5568">
        <v>1</v>
      </c>
    </row>
    <row r="3" spans="1:42">
      <c r="A3" s="5568" t="s">
        <v>403</v>
      </c>
      <c r="B3" s="5568" t="s">
        <v>405</v>
      </c>
      <c r="C3" s="5568">
        <v>10049</v>
      </c>
      <c r="D3" s="5568" t="str">
        <f t="shared" si="0"/>
        <v>Bihać</v>
      </c>
      <c r="E3" s="5568">
        <v>77000</v>
      </c>
      <c r="F3" s="5568" t="s">
        <v>406</v>
      </c>
      <c r="G3" s="5568">
        <v>1</v>
      </c>
      <c r="H3" s="5568" t="s">
        <v>386</v>
      </c>
      <c r="I3" s="5568" t="s">
        <v>407</v>
      </c>
      <c r="J3" s="5568" t="s">
        <v>408</v>
      </c>
      <c r="K3" s="5568" t="s">
        <v>409</v>
      </c>
      <c r="L3" s="5568" t="s">
        <v>383</v>
      </c>
      <c r="M3" s="5568" t="s">
        <v>383</v>
      </c>
      <c r="N3" s="5568">
        <v>75290</v>
      </c>
      <c r="O3" s="5568">
        <v>10014</v>
      </c>
      <c r="P3" s="5568" t="s">
        <v>385</v>
      </c>
      <c r="Q3" s="5568" t="s">
        <v>410</v>
      </c>
      <c r="R3" s="5568" t="s">
        <v>411</v>
      </c>
      <c r="S3" s="5568" t="s">
        <v>412</v>
      </c>
      <c r="T3" s="5568" t="s">
        <v>413</v>
      </c>
      <c r="U3" s="5568" t="s">
        <v>414</v>
      </c>
      <c r="V3" s="5568" t="s">
        <v>415</v>
      </c>
      <c r="X3" s="5568" t="s">
        <v>416</v>
      </c>
      <c r="Y3" s="5581" t="s">
        <v>417</v>
      </c>
      <c r="Z3" s="5581"/>
      <c r="AA3" s="5582" t="s">
        <v>418</v>
      </c>
      <c r="AB3" s="5583" t="s">
        <v>303</v>
      </c>
      <c r="AC3" s="5568" t="s">
        <v>419</v>
      </c>
      <c r="AD3" s="5571">
        <v>11</v>
      </c>
      <c r="AE3" s="5571" t="s">
        <v>420</v>
      </c>
      <c r="AF3" s="5584">
        <f t="shared" ref="AF3:AF66" si="1">VLOOKUP(F3,AG$2:AH$11,2,FALSE)</f>
        <v>0.0007</v>
      </c>
      <c r="AG3" s="5568" t="s">
        <v>406</v>
      </c>
      <c r="AH3" s="5584">
        <v>0.0007</v>
      </c>
      <c r="AI3" s="5585" t="s">
        <v>421</v>
      </c>
      <c r="AJ3" s="5568">
        <v>81</v>
      </c>
      <c r="AK3" s="5568" t="s">
        <v>403</v>
      </c>
      <c r="AL3" s="5573">
        <v>80</v>
      </c>
      <c r="AM3" s="5568" t="s">
        <v>406</v>
      </c>
      <c r="AN3" s="5568">
        <v>1</v>
      </c>
      <c r="AO3" s="5586" t="s">
        <v>422</v>
      </c>
      <c r="AP3" s="5568">
        <v>2</v>
      </c>
    </row>
    <row r="4" spans="1:42">
      <c r="A4" s="5568" t="s">
        <v>421</v>
      </c>
      <c r="B4" s="5568" t="s">
        <v>423</v>
      </c>
      <c r="C4" s="5568">
        <v>11428</v>
      </c>
      <c r="D4" s="5568" t="str">
        <f t="shared" si="0"/>
        <v>Bosanska Krupa</v>
      </c>
      <c r="E4" s="5568">
        <v>77240</v>
      </c>
      <c r="F4" s="5568" t="s">
        <v>406</v>
      </c>
      <c r="G4" s="5568">
        <v>1</v>
      </c>
      <c r="H4" s="5568" t="s">
        <v>386</v>
      </c>
      <c r="I4" s="5568" t="s">
        <v>424</v>
      </c>
      <c r="J4" s="5568" t="s">
        <v>425</v>
      </c>
      <c r="K4" s="5568" t="s">
        <v>426</v>
      </c>
      <c r="L4" s="5568" t="s">
        <v>427</v>
      </c>
      <c r="M4" s="5568" t="s">
        <v>428</v>
      </c>
      <c r="N4" s="5568">
        <v>72233</v>
      </c>
      <c r="O4" s="5568">
        <v>11207</v>
      </c>
      <c r="P4" s="5568" t="s">
        <v>429</v>
      </c>
      <c r="Q4" s="5568" t="s">
        <v>430</v>
      </c>
      <c r="R4" s="5568" t="s">
        <v>431</v>
      </c>
      <c r="S4" s="5568" t="s">
        <v>432</v>
      </c>
      <c r="X4" s="5568" t="s">
        <v>433</v>
      </c>
      <c r="Y4" s="5581"/>
      <c r="Z4" s="5581"/>
      <c r="AA4" s="5582" t="s">
        <v>434</v>
      </c>
      <c r="AB4" s="5583" t="s">
        <v>305</v>
      </c>
      <c r="AC4" s="5568" t="s">
        <v>435</v>
      </c>
      <c r="AD4" s="5571">
        <v>12</v>
      </c>
      <c r="AE4" s="5571" t="s">
        <v>436</v>
      </c>
      <c r="AF4" s="5584">
        <f t="shared" si="1"/>
        <v>0.0007</v>
      </c>
      <c r="AG4" s="5568" t="s">
        <v>437</v>
      </c>
      <c r="AH4" s="5584">
        <v>0.0007</v>
      </c>
      <c r="AI4" s="5585" t="s">
        <v>438</v>
      </c>
      <c r="AJ4" s="5568">
        <v>83</v>
      </c>
      <c r="AK4" s="5568" t="s">
        <v>421</v>
      </c>
      <c r="AL4" s="5573">
        <v>81</v>
      </c>
      <c r="AM4" s="5568" t="s">
        <v>437</v>
      </c>
      <c r="AN4" s="5568">
        <v>10</v>
      </c>
      <c r="AO4" s="5586" t="s">
        <v>439</v>
      </c>
      <c r="AP4" s="5568">
        <v>3</v>
      </c>
    </row>
    <row r="5" spans="1:42">
      <c r="A5" s="5568" t="s">
        <v>440</v>
      </c>
      <c r="B5" s="5568" t="s">
        <v>441</v>
      </c>
      <c r="C5" s="5568">
        <v>11436</v>
      </c>
      <c r="D5" s="5568" t="str">
        <f t="shared" si="0"/>
        <v>Bosanski Petrovac</v>
      </c>
      <c r="E5" s="5568">
        <v>77250</v>
      </c>
      <c r="F5" s="5568" t="s">
        <v>406</v>
      </c>
      <c r="G5" s="5568">
        <v>1</v>
      </c>
      <c r="H5" s="5568" t="s">
        <v>386</v>
      </c>
      <c r="I5" s="5568" t="s">
        <v>442</v>
      </c>
      <c r="J5" s="5568" t="s">
        <v>443</v>
      </c>
      <c r="K5" s="5568" t="s">
        <v>444</v>
      </c>
      <c r="L5" s="5568" t="s">
        <v>403</v>
      </c>
      <c r="M5" s="5568" t="s">
        <v>403</v>
      </c>
      <c r="N5" s="5568">
        <v>77000</v>
      </c>
      <c r="O5" s="5568">
        <v>10049</v>
      </c>
      <c r="P5" s="5568" t="s">
        <v>406</v>
      </c>
      <c r="Q5" s="5568" t="s">
        <v>445</v>
      </c>
      <c r="R5" s="5568" t="s">
        <v>446</v>
      </c>
      <c r="S5" s="5568" t="s">
        <v>447</v>
      </c>
      <c r="X5" s="5568" t="s">
        <v>448</v>
      </c>
      <c r="Y5" s="5581"/>
      <c r="Z5" s="5581"/>
      <c r="AA5" s="5582" t="s">
        <v>449</v>
      </c>
      <c r="AB5" s="5583" t="s">
        <v>307</v>
      </c>
      <c r="AC5" s="5568" t="s">
        <v>450</v>
      </c>
      <c r="AD5" s="5571">
        <v>13</v>
      </c>
      <c r="AE5" s="5571" t="s">
        <v>451</v>
      </c>
      <c r="AF5" s="5584">
        <f t="shared" si="1"/>
        <v>0.0007</v>
      </c>
      <c r="AG5" s="5568" t="s">
        <v>429</v>
      </c>
      <c r="AH5" s="5584">
        <v>0.0007</v>
      </c>
      <c r="AI5" s="5585" t="s">
        <v>452</v>
      </c>
      <c r="AJ5" s="5568">
        <v>116</v>
      </c>
      <c r="AK5" s="5568" t="s">
        <v>440</v>
      </c>
      <c r="AL5" s="5573">
        <v>82</v>
      </c>
      <c r="AM5" s="5568" t="s">
        <v>429</v>
      </c>
      <c r="AN5" s="5568">
        <v>4</v>
      </c>
      <c r="AO5" s="5587" t="s">
        <v>453</v>
      </c>
      <c r="AP5" s="5568">
        <v>4</v>
      </c>
    </row>
    <row r="6" spans="1:42">
      <c r="A6" s="5568" t="s">
        <v>454</v>
      </c>
      <c r="B6" s="5568" t="s">
        <v>455</v>
      </c>
      <c r="C6" s="5568">
        <v>10146</v>
      </c>
      <c r="D6" s="5568" t="str">
        <f t="shared" si="0"/>
        <v>Bosansko Grahovo</v>
      </c>
      <c r="E6" s="5568">
        <v>80270</v>
      </c>
      <c r="F6" s="5568" t="s">
        <v>437</v>
      </c>
      <c r="G6" s="5568">
        <v>10</v>
      </c>
      <c r="H6" s="5568" t="s">
        <v>386</v>
      </c>
      <c r="I6" s="5568" t="s">
        <v>456</v>
      </c>
      <c r="J6" s="5568" t="s">
        <v>457</v>
      </c>
      <c r="K6" s="5568" t="s">
        <v>458</v>
      </c>
      <c r="L6" s="5568" t="s">
        <v>459</v>
      </c>
      <c r="M6" s="5568" t="s">
        <v>460</v>
      </c>
      <c r="N6" s="5568">
        <v>72256</v>
      </c>
      <c r="O6" s="5568">
        <v>11142</v>
      </c>
      <c r="P6" s="5568" t="s">
        <v>392</v>
      </c>
      <c r="Q6" s="5568" t="s">
        <v>461</v>
      </c>
      <c r="R6" s="5568" t="s">
        <v>462</v>
      </c>
      <c r="S6" s="5568" t="s">
        <v>463</v>
      </c>
      <c r="X6" s="5568" t="s">
        <v>464</v>
      </c>
      <c r="Y6" s="5581"/>
      <c r="AA6" s="5582" t="s">
        <v>465</v>
      </c>
      <c r="AB6" s="5583" t="s">
        <v>309</v>
      </c>
      <c r="AD6" s="5571">
        <v>14</v>
      </c>
      <c r="AE6" s="5571" t="s">
        <v>466</v>
      </c>
      <c r="AF6" s="5584">
        <f t="shared" si="1"/>
        <v>0.0007</v>
      </c>
      <c r="AG6" s="5568" t="s">
        <v>392</v>
      </c>
      <c r="AH6" s="5584">
        <v>0.0004</v>
      </c>
      <c r="AI6" s="5585" t="s">
        <v>467</v>
      </c>
      <c r="AJ6" s="5568">
        <v>92</v>
      </c>
      <c r="AK6" s="5568" t="s">
        <v>454</v>
      </c>
      <c r="AL6" s="5573">
        <v>84</v>
      </c>
      <c r="AM6" s="5568" t="s">
        <v>392</v>
      </c>
      <c r="AN6" s="5568">
        <v>6</v>
      </c>
    </row>
    <row r="7" spans="1:42">
      <c r="A7" s="5568" t="s">
        <v>468</v>
      </c>
      <c r="B7" s="5568" t="s">
        <v>469</v>
      </c>
      <c r="C7" s="5568">
        <v>10189</v>
      </c>
      <c r="D7" s="5568" t="str">
        <f t="shared" si="0"/>
        <v>Breza</v>
      </c>
      <c r="E7" s="5568">
        <v>71370</v>
      </c>
      <c r="F7" s="5568" t="s">
        <v>429</v>
      </c>
      <c r="G7" s="5568">
        <v>4</v>
      </c>
      <c r="H7" s="5568" t="s">
        <v>386</v>
      </c>
      <c r="I7" s="5568" t="s">
        <v>470</v>
      </c>
      <c r="J7" s="5568" t="s">
        <v>471</v>
      </c>
      <c r="K7" s="5568" t="s">
        <v>472</v>
      </c>
      <c r="L7" s="5568" t="s">
        <v>473</v>
      </c>
      <c r="M7" s="5568" t="s">
        <v>474</v>
      </c>
      <c r="N7" s="5568">
        <v>71253</v>
      </c>
      <c r="O7" s="5568">
        <v>10472</v>
      </c>
      <c r="P7" s="5568" t="s">
        <v>392</v>
      </c>
      <c r="Q7" s="5568" t="s">
        <v>475</v>
      </c>
      <c r="R7" s="5568" t="s">
        <v>476</v>
      </c>
      <c r="X7" s="5568" t="s">
        <v>477</v>
      </c>
      <c r="Y7" s="5581"/>
      <c r="AA7" s="5582" t="s">
        <v>478</v>
      </c>
      <c r="AB7" s="5583" t="s">
        <v>311</v>
      </c>
      <c r="AD7" s="5571">
        <v>15</v>
      </c>
      <c r="AE7" s="5571" t="s">
        <v>479</v>
      </c>
      <c r="AF7" s="5584">
        <f t="shared" si="1"/>
        <v>0.0007</v>
      </c>
      <c r="AG7" s="5568" t="s">
        <v>480</v>
      </c>
      <c r="AH7" s="5584" t="s">
        <v>481</v>
      </c>
      <c r="AI7" s="5585" t="s">
        <v>482</v>
      </c>
      <c r="AJ7" s="5568">
        <v>93</v>
      </c>
      <c r="AK7" s="5568" t="s">
        <v>468</v>
      </c>
      <c r="AL7" s="5573">
        <v>104</v>
      </c>
      <c r="AM7" s="5568" t="s">
        <v>480</v>
      </c>
      <c r="AN7" s="5568">
        <v>7</v>
      </c>
    </row>
    <row r="8" spans="1:42">
      <c r="A8" s="5568" t="s">
        <v>483</v>
      </c>
      <c r="B8" s="5568" t="s">
        <v>484</v>
      </c>
      <c r="C8" s="5568">
        <v>10197</v>
      </c>
      <c r="D8" s="5568" t="str">
        <f t="shared" si="0"/>
        <v>Bugojno</v>
      </c>
      <c r="E8" s="5568">
        <v>70230</v>
      </c>
      <c r="F8" s="5568" t="s">
        <v>392</v>
      </c>
      <c r="G8" s="5568">
        <v>6</v>
      </c>
      <c r="H8" s="5568" t="s">
        <v>386</v>
      </c>
      <c r="I8" s="5568" t="s">
        <v>485</v>
      </c>
      <c r="J8" s="5568" t="s">
        <v>486</v>
      </c>
      <c r="K8" s="5568" t="s">
        <v>487</v>
      </c>
      <c r="L8" s="5568" t="s">
        <v>488</v>
      </c>
      <c r="M8" s="5568" t="s">
        <v>489</v>
      </c>
      <c r="N8" s="5568">
        <v>88268</v>
      </c>
      <c r="O8" s="5568">
        <v>10260</v>
      </c>
      <c r="P8" s="5568" t="s">
        <v>480</v>
      </c>
      <c r="Q8" s="5568" t="s">
        <v>490</v>
      </c>
      <c r="R8" s="5568" t="s">
        <v>491</v>
      </c>
      <c r="X8" s="5568" t="s">
        <v>492</v>
      </c>
      <c r="Y8" s="5581"/>
      <c r="AA8" s="5582" t="s">
        <v>493</v>
      </c>
      <c r="AB8" s="5583" t="s">
        <v>313</v>
      </c>
      <c r="AD8" s="5571">
        <v>16</v>
      </c>
      <c r="AE8" s="5571" t="s">
        <v>494</v>
      </c>
      <c r="AF8" s="5584">
        <f t="shared" si="1"/>
        <v>0.0004</v>
      </c>
      <c r="AG8" s="5568" t="s">
        <v>495</v>
      </c>
      <c r="AH8" s="5584">
        <v>0.00015</v>
      </c>
      <c r="AI8" s="5585" t="s">
        <v>496</v>
      </c>
      <c r="AJ8" s="5568">
        <v>135</v>
      </c>
      <c r="AK8" s="5568" t="s">
        <v>483</v>
      </c>
      <c r="AL8" s="5573">
        <v>119</v>
      </c>
      <c r="AM8" s="5568" t="s">
        <v>495</v>
      </c>
      <c r="AN8" s="5568">
        <v>2</v>
      </c>
    </row>
    <row r="9" spans="1:42">
      <c r="A9" s="5568" t="s">
        <v>497</v>
      </c>
      <c r="B9" s="5568" t="s">
        <v>498</v>
      </c>
      <c r="C9" s="5568">
        <v>10219</v>
      </c>
      <c r="D9" s="5568" t="str">
        <f t="shared" si="0"/>
        <v>Busovača</v>
      </c>
      <c r="E9" s="5568">
        <v>72260</v>
      </c>
      <c r="F9" s="5568" t="s">
        <v>392</v>
      </c>
      <c r="G9" s="5568">
        <v>6</v>
      </c>
      <c r="H9" s="5568" t="s">
        <v>386</v>
      </c>
      <c r="I9" s="5568" t="s">
        <v>499</v>
      </c>
      <c r="J9" s="5568" t="s">
        <v>500</v>
      </c>
      <c r="K9" s="5568" t="s">
        <v>501</v>
      </c>
      <c r="L9" s="5568" t="s">
        <v>502</v>
      </c>
      <c r="M9" s="5568" t="s">
        <v>503</v>
      </c>
      <c r="N9" s="5568">
        <v>72248</v>
      </c>
      <c r="O9" s="5568">
        <v>10448</v>
      </c>
      <c r="P9" s="5568" t="s">
        <v>429</v>
      </c>
      <c r="Q9" s="5568" t="s">
        <v>504</v>
      </c>
      <c r="R9" s="5568" t="s">
        <v>505</v>
      </c>
      <c r="X9" s="5568" t="s">
        <v>506</v>
      </c>
      <c r="Y9" s="5581"/>
      <c r="AA9" s="5582" t="s">
        <v>507</v>
      </c>
      <c r="AB9" s="5583" t="s">
        <v>508</v>
      </c>
      <c r="AD9" s="5571">
        <v>17</v>
      </c>
      <c r="AE9" s="5571" t="s">
        <v>509</v>
      </c>
      <c r="AF9" s="5584">
        <f t="shared" si="1"/>
        <v>0.0004</v>
      </c>
      <c r="AG9" s="5568" t="s">
        <v>510</v>
      </c>
      <c r="AH9" s="5584">
        <v>0.0005</v>
      </c>
      <c r="AI9" s="5585" t="s">
        <v>511</v>
      </c>
      <c r="AJ9" s="5568">
        <v>153</v>
      </c>
      <c r="AK9" s="5568" t="s">
        <v>497</v>
      </c>
      <c r="AL9" s="5573">
        <v>120</v>
      </c>
      <c r="AM9" s="5568" t="s">
        <v>510</v>
      </c>
      <c r="AN9" s="5568">
        <v>5</v>
      </c>
    </row>
    <row r="10" spans="1:42">
      <c r="A10" s="5568" t="s">
        <v>512</v>
      </c>
      <c r="B10" s="5568" t="s">
        <v>513</v>
      </c>
      <c r="C10" s="5568">
        <v>11240</v>
      </c>
      <c r="D10" s="5568" t="str">
        <f t="shared" si="0"/>
        <v>Bužim</v>
      </c>
      <c r="E10" s="5568">
        <v>77245</v>
      </c>
      <c r="F10" s="5568" t="s">
        <v>406</v>
      </c>
      <c r="G10" s="5568">
        <v>1</v>
      </c>
      <c r="H10" s="5568" t="s">
        <v>386</v>
      </c>
      <c r="I10" s="5568" t="s">
        <v>514</v>
      </c>
      <c r="J10" s="5568" t="s">
        <v>515</v>
      </c>
      <c r="K10" s="5568" t="s">
        <v>516</v>
      </c>
      <c r="L10" s="5568" t="s">
        <v>496</v>
      </c>
      <c r="M10" s="5568" t="s">
        <v>517</v>
      </c>
      <c r="N10" s="5568">
        <v>88407</v>
      </c>
      <c r="O10" s="5568">
        <v>10529</v>
      </c>
      <c r="P10" s="5568" t="s">
        <v>480</v>
      </c>
      <c r="Q10" s="5568" t="s">
        <v>518</v>
      </c>
      <c r="R10" s="5568" t="s">
        <v>519</v>
      </c>
      <c r="X10" s="5568" t="s">
        <v>520</v>
      </c>
      <c r="Y10" s="5581"/>
      <c r="AA10" s="5582" t="s">
        <v>521</v>
      </c>
      <c r="AB10" s="5583" t="s">
        <v>522</v>
      </c>
      <c r="AD10" s="5571">
        <v>18</v>
      </c>
      <c r="AE10" s="5571" t="s">
        <v>523</v>
      </c>
      <c r="AF10" s="5584">
        <f t="shared" si="1"/>
        <v>0.0007</v>
      </c>
      <c r="AG10" s="5568" t="s">
        <v>524</v>
      </c>
      <c r="AH10" s="5584">
        <v>0.0007</v>
      </c>
      <c r="AI10" s="5585" t="s">
        <v>525</v>
      </c>
      <c r="AJ10" s="5568">
        <v>97</v>
      </c>
      <c r="AK10" s="5568" t="s">
        <v>512</v>
      </c>
      <c r="AL10" s="5573">
        <v>87</v>
      </c>
      <c r="AM10" s="5568" t="s">
        <v>524</v>
      </c>
      <c r="AN10" s="5568">
        <v>8</v>
      </c>
    </row>
    <row r="11" spans="1:42">
      <c r="A11" s="5568" t="s">
        <v>438</v>
      </c>
      <c r="B11" s="5568" t="s">
        <v>526</v>
      </c>
      <c r="C11" s="5568">
        <v>10227</v>
      </c>
      <c r="D11" s="5568" t="str">
        <f t="shared" si="0"/>
        <v>Cazin</v>
      </c>
      <c r="E11" s="5568">
        <v>77220</v>
      </c>
      <c r="F11" s="5568" t="s">
        <v>406</v>
      </c>
      <c r="G11" s="5568">
        <v>1</v>
      </c>
      <c r="H11" s="5568" t="s">
        <v>386</v>
      </c>
      <c r="I11" s="5568" t="s">
        <v>527</v>
      </c>
      <c r="J11" s="5568" t="s">
        <v>528</v>
      </c>
      <c r="K11" s="5568" t="s">
        <v>529</v>
      </c>
      <c r="L11" s="5568" t="s">
        <v>530</v>
      </c>
      <c r="M11" s="5568" t="s">
        <v>531</v>
      </c>
      <c r="N11" s="5568">
        <v>88201</v>
      </c>
      <c r="O11" s="5568">
        <v>11410</v>
      </c>
      <c r="P11" s="5568" t="s">
        <v>480</v>
      </c>
      <c r="Q11" s="5568" t="s">
        <v>532</v>
      </c>
      <c r="R11" s="5568" t="s">
        <v>533</v>
      </c>
      <c r="X11" s="5568" t="s">
        <v>534</v>
      </c>
      <c r="Y11" s="5581"/>
      <c r="AA11" s="5582" t="s">
        <v>535</v>
      </c>
      <c r="AB11" s="5583" t="s">
        <v>536</v>
      </c>
      <c r="AD11" s="5571">
        <v>19</v>
      </c>
      <c r="AE11" s="5571" t="s">
        <v>537</v>
      </c>
      <c r="AF11" s="5584">
        <f t="shared" si="1"/>
        <v>0.0007</v>
      </c>
      <c r="AG11" s="5568" t="s">
        <v>538</v>
      </c>
      <c r="AH11" s="5584">
        <v>0.0007</v>
      </c>
      <c r="AI11" s="5585" t="s">
        <v>539</v>
      </c>
      <c r="AJ11" s="5568">
        <v>142</v>
      </c>
      <c r="AK11" s="5568" t="s">
        <v>438</v>
      </c>
      <c r="AL11" s="5573">
        <v>83</v>
      </c>
      <c r="AM11" s="5568" t="s">
        <v>538</v>
      </c>
      <c r="AN11" s="5568">
        <v>9</v>
      </c>
    </row>
    <row r="12" spans="1:42">
      <c r="A12" s="5568" t="s">
        <v>540</v>
      </c>
      <c r="B12" s="5568" t="s">
        <v>541</v>
      </c>
      <c r="C12" s="5568">
        <v>10243</v>
      </c>
      <c r="D12" s="5568" t="str">
        <f t="shared" si="0"/>
        <v>Čapljina</v>
      </c>
      <c r="E12" s="5568">
        <v>88300</v>
      </c>
      <c r="F12" s="5568" t="s">
        <v>480</v>
      </c>
      <c r="G12" s="5568">
        <v>7</v>
      </c>
      <c r="H12" s="5568" t="s">
        <v>386</v>
      </c>
      <c r="I12" s="5568" t="s">
        <v>542</v>
      </c>
      <c r="J12" s="5568" t="s">
        <v>543</v>
      </c>
      <c r="K12" s="5568" t="s">
        <v>544</v>
      </c>
      <c r="L12" s="5568" t="s">
        <v>488</v>
      </c>
      <c r="M12" s="5568" t="s">
        <v>545</v>
      </c>
      <c r="N12" s="5568">
        <v>88263</v>
      </c>
      <c r="O12" s="5568">
        <v>10260</v>
      </c>
      <c r="P12" s="5568" t="s">
        <v>480</v>
      </c>
      <c r="Q12" s="5568" t="s">
        <v>546</v>
      </c>
      <c r="R12" s="5568" t="s">
        <v>547</v>
      </c>
      <c r="X12" s="5568" t="s">
        <v>548</v>
      </c>
      <c r="Y12" s="5581"/>
      <c r="Z12" s="5581"/>
      <c r="AA12" s="5582" t="s">
        <v>549</v>
      </c>
      <c r="AB12" s="5583" t="s">
        <v>550</v>
      </c>
      <c r="AD12" s="5571">
        <v>20</v>
      </c>
      <c r="AE12" s="5571" t="s">
        <v>551</v>
      </c>
      <c r="AF12" s="5584" t="str">
        <f t="shared" si="1"/>
        <v>-</v>
      </c>
      <c r="AI12" s="5585" t="s">
        <v>530</v>
      </c>
      <c r="AJ12" s="5568">
        <v>133</v>
      </c>
      <c r="AK12" s="5568" t="s">
        <v>540</v>
      </c>
      <c r="AL12" s="5573">
        <v>131</v>
      </c>
    </row>
    <row r="13" spans="1:42">
      <c r="A13" s="5568" t="s">
        <v>552</v>
      </c>
      <c r="B13" s="5568" t="s">
        <v>553</v>
      </c>
      <c r="C13" s="5568">
        <v>11231</v>
      </c>
      <c r="D13" s="5568" t="str">
        <f t="shared" si="0"/>
        <v>Čelić</v>
      </c>
      <c r="E13" s="5568">
        <v>75246</v>
      </c>
      <c r="F13" s="5568" t="s">
        <v>385</v>
      </c>
      <c r="G13" s="5568">
        <v>3</v>
      </c>
      <c r="H13" s="5568" t="s">
        <v>386</v>
      </c>
      <c r="I13" s="5568" t="s">
        <v>554</v>
      </c>
      <c r="J13" s="5568" t="s">
        <v>555</v>
      </c>
      <c r="K13" s="5568" t="s">
        <v>556</v>
      </c>
      <c r="L13" s="5568" t="s">
        <v>557</v>
      </c>
      <c r="M13" s="5568" t="s">
        <v>558</v>
      </c>
      <c r="N13" s="5568">
        <v>71215</v>
      </c>
      <c r="O13" s="5568">
        <v>11550</v>
      </c>
      <c r="P13" s="5568" t="s">
        <v>538</v>
      </c>
      <c r="Q13" s="5568" t="s">
        <v>559</v>
      </c>
      <c r="R13" s="5568" t="s">
        <v>560</v>
      </c>
      <c r="X13" s="5568" t="s">
        <v>561</v>
      </c>
      <c r="Y13" s="5581"/>
      <c r="Z13" s="5581"/>
      <c r="AA13" s="5582" t="s">
        <v>562</v>
      </c>
      <c r="AB13" s="5583" t="s">
        <v>563</v>
      </c>
      <c r="AD13" s="5571">
        <v>21</v>
      </c>
      <c r="AE13" s="5571" t="s">
        <v>564</v>
      </c>
      <c r="AF13" s="5584">
        <f t="shared" si="1"/>
        <v>0.0005</v>
      </c>
      <c r="AI13" s="5585" t="s">
        <v>565</v>
      </c>
      <c r="AJ13" s="5568">
        <v>88</v>
      </c>
      <c r="AK13" s="5568" t="s">
        <v>552</v>
      </c>
      <c r="AL13" s="5573">
        <v>96</v>
      </c>
    </row>
    <row r="14" spans="1:42">
      <c r="A14" s="5568" t="s">
        <v>488</v>
      </c>
      <c r="B14" s="5568" t="s">
        <v>566</v>
      </c>
      <c r="C14" s="5568">
        <v>10260</v>
      </c>
      <c r="D14" s="5568" t="str">
        <f t="shared" si="0"/>
        <v>Čitluk</v>
      </c>
      <c r="E14" s="5568">
        <v>88260</v>
      </c>
      <c r="F14" s="5568" t="s">
        <v>480</v>
      </c>
      <c r="G14" s="5568">
        <v>7</v>
      </c>
      <c r="H14" s="5568" t="s">
        <v>386</v>
      </c>
      <c r="I14" s="5568" t="s">
        <v>567</v>
      </c>
      <c r="J14" s="5568" t="s">
        <v>568</v>
      </c>
      <c r="K14" s="5568" t="s">
        <v>569</v>
      </c>
      <c r="L14" s="5568" t="s">
        <v>565</v>
      </c>
      <c r="M14" s="5568" t="s">
        <v>570</v>
      </c>
      <c r="N14" s="5568">
        <v>76277</v>
      </c>
      <c r="O14" s="5568">
        <v>11533</v>
      </c>
      <c r="P14" s="5568" t="s">
        <v>495</v>
      </c>
      <c r="Q14" s="5568" t="s">
        <v>571</v>
      </c>
      <c r="R14" s="5568" t="s">
        <v>572</v>
      </c>
      <c r="X14" s="5571" t="s">
        <v>573</v>
      </c>
      <c r="Y14" s="5581"/>
      <c r="AA14" s="5582" t="s">
        <v>574</v>
      </c>
      <c r="AB14" s="5583" t="s">
        <v>575</v>
      </c>
      <c r="AD14" s="5571">
        <v>22</v>
      </c>
      <c r="AE14" s="5571" t="s">
        <v>576</v>
      </c>
      <c r="AF14" s="5584" t="str">
        <f t="shared" si="1"/>
        <v>-</v>
      </c>
      <c r="AI14" s="5585" t="s">
        <v>577</v>
      </c>
      <c r="AJ14" s="5568">
        <v>159</v>
      </c>
      <c r="AK14" s="5568" t="s">
        <v>488</v>
      </c>
      <c r="AL14" s="5573">
        <v>132</v>
      </c>
    </row>
    <row r="15" spans="1:42">
      <c r="A15" s="5568" t="s">
        <v>578</v>
      </c>
      <c r="B15" s="5568" t="s">
        <v>579</v>
      </c>
      <c r="C15" s="5568">
        <v>11258</v>
      </c>
      <c r="D15" s="5568" t="str">
        <f t="shared" si="0"/>
        <v>Doboj-Istok</v>
      </c>
      <c r="E15" s="5568">
        <v>74206</v>
      </c>
      <c r="F15" s="5568" t="s">
        <v>385</v>
      </c>
      <c r="G15" s="5568">
        <v>3</v>
      </c>
      <c r="H15" s="5568" t="s">
        <v>386</v>
      </c>
      <c r="I15" s="5568" t="s">
        <v>580</v>
      </c>
      <c r="J15" s="5568" t="s">
        <v>581</v>
      </c>
      <c r="K15" s="5568" t="s">
        <v>582</v>
      </c>
      <c r="L15" s="5568" t="s">
        <v>496</v>
      </c>
      <c r="M15" s="5568" t="s">
        <v>583</v>
      </c>
      <c r="N15" s="5568">
        <v>88405</v>
      </c>
      <c r="O15" s="5568">
        <v>10529</v>
      </c>
      <c r="P15" s="5568" t="s">
        <v>480</v>
      </c>
      <c r="Q15" s="5568" t="s">
        <v>584</v>
      </c>
      <c r="R15" s="5568" t="s">
        <v>585</v>
      </c>
      <c r="X15" s="5571" t="s">
        <v>586</v>
      </c>
      <c r="Y15" s="5581"/>
      <c r="AA15" s="5582" t="s">
        <v>587</v>
      </c>
      <c r="AB15" s="5583" t="s">
        <v>588</v>
      </c>
      <c r="AD15" s="5571">
        <v>23</v>
      </c>
      <c r="AE15" s="5571" t="s">
        <v>589</v>
      </c>
      <c r="AF15" s="5584">
        <f t="shared" si="1"/>
        <v>0.0005</v>
      </c>
      <c r="AI15" s="5585" t="s">
        <v>590</v>
      </c>
      <c r="AJ15" s="5568">
        <v>98</v>
      </c>
      <c r="AK15" s="5568" t="s">
        <v>578</v>
      </c>
      <c r="AL15" s="5573">
        <v>101</v>
      </c>
    </row>
    <row r="16" spans="1:42">
      <c r="A16" s="5568" t="s">
        <v>591</v>
      </c>
      <c r="B16" s="5568" t="s">
        <v>475</v>
      </c>
      <c r="C16" s="5568">
        <v>11266</v>
      </c>
      <c r="D16" s="5568" t="str">
        <f t="shared" si="0"/>
        <v>Doboj-Jug</v>
      </c>
      <c r="E16" s="5568">
        <v>74203</v>
      </c>
      <c r="F16" s="5568" t="s">
        <v>429</v>
      </c>
      <c r="G16" s="5568">
        <v>4</v>
      </c>
      <c r="H16" s="5568" t="s">
        <v>386</v>
      </c>
      <c r="I16" s="5568" t="s">
        <v>592</v>
      </c>
      <c r="J16" s="5568" t="s">
        <v>593</v>
      </c>
      <c r="K16" s="5568" t="s">
        <v>594</v>
      </c>
      <c r="L16" s="5568" t="s">
        <v>595</v>
      </c>
      <c r="M16" s="5568" t="s">
        <v>596</v>
      </c>
      <c r="N16" s="5568">
        <v>88365</v>
      </c>
      <c r="O16" s="5568">
        <v>11606</v>
      </c>
      <c r="P16" s="5568" t="s">
        <v>480</v>
      </c>
      <c r="Q16" s="5568" t="s">
        <v>597</v>
      </c>
      <c r="R16" s="5568" t="s">
        <v>598</v>
      </c>
      <c r="X16" s="5571" t="s">
        <v>599</v>
      </c>
      <c r="Y16" s="5581"/>
      <c r="AA16" s="5582" t="s">
        <v>600</v>
      </c>
      <c r="AB16" s="5583" t="s">
        <v>601</v>
      </c>
      <c r="AD16" s="5571">
        <v>24</v>
      </c>
      <c r="AE16" s="5571" t="s">
        <v>602</v>
      </c>
      <c r="AF16" s="5584">
        <f t="shared" si="1"/>
        <v>0.0007</v>
      </c>
      <c r="AI16" s="5585" t="s">
        <v>595</v>
      </c>
      <c r="AJ16" s="5568">
        <v>139</v>
      </c>
      <c r="AK16" s="5568" t="s">
        <v>591</v>
      </c>
      <c r="AL16" s="5573">
        <v>114</v>
      </c>
    </row>
    <row r="17" spans="1:38">
      <c r="A17" s="5568" t="s">
        <v>603</v>
      </c>
      <c r="B17" s="5568" t="s">
        <v>604</v>
      </c>
      <c r="C17" s="5568">
        <v>11274</v>
      </c>
      <c r="D17" s="5568" t="str">
        <f t="shared" si="0"/>
        <v>Dobretići</v>
      </c>
      <c r="E17" s="5568">
        <v>70210</v>
      </c>
      <c r="F17" s="5568" t="s">
        <v>392</v>
      </c>
      <c r="G17" s="5568">
        <v>6</v>
      </c>
      <c r="H17" s="5568" t="s">
        <v>386</v>
      </c>
      <c r="I17" s="5568" t="s">
        <v>605</v>
      </c>
      <c r="J17" s="5568" t="s">
        <v>606</v>
      </c>
      <c r="K17" s="5568" t="s">
        <v>607</v>
      </c>
      <c r="L17" s="5568" t="s">
        <v>421</v>
      </c>
      <c r="M17" s="5568" t="s">
        <v>421</v>
      </c>
      <c r="N17" s="5568">
        <v>77240</v>
      </c>
      <c r="O17" s="5568">
        <v>11428</v>
      </c>
      <c r="P17" s="5568" t="s">
        <v>406</v>
      </c>
      <c r="Q17" s="5568" t="s">
        <v>608</v>
      </c>
      <c r="R17" s="5568" t="s">
        <v>609</v>
      </c>
      <c r="X17" s="5571" t="s">
        <v>610</v>
      </c>
      <c r="Y17" s="5581"/>
      <c r="Z17" s="5581"/>
      <c r="AA17" s="5582" t="s">
        <v>611</v>
      </c>
      <c r="AB17" s="5583" t="s">
        <v>612</v>
      </c>
      <c r="AD17" s="5571">
        <v>25</v>
      </c>
      <c r="AE17" s="5571" t="s">
        <v>613</v>
      </c>
      <c r="AF17" s="5584">
        <f t="shared" si="1"/>
        <v>0.0004</v>
      </c>
      <c r="AI17" s="5585" t="s">
        <v>614</v>
      </c>
      <c r="AJ17" s="5568">
        <v>140</v>
      </c>
      <c r="AK17" s="5568" t="s">
        <v>603</v>
      </c>
      <c r="AL17" s="5573">
        <v>112</v>
      </c>
    </row>
    <row r="18" spans="1:38">
      <c r="A18" s="5568" t="s">
        <v>615</v>
      </c>
      <c r="B18" s="5568" t="s">
        <v>616</v>
      </c>
      <c r="C18" s="5568">
        <v>11282</v>
      </c>
      <c r="D18" s="5568" t="str">
        <f t="shared" si="0"/>
        <v>Domaljevac-Šamac</v>
      </c>
      <c r="E18" s="5568">
        <v>76233</v>
      </c>
      <c r="F18" s="5568" t="s">
        <v>495</v>
      </c>
      <c r="G18" s="5568">
        <v>2</v>
      </c>
      <c r="H18" s="5568" t="s">
        <v>386</v>
      </c>
      <c r="I18" s="5568" t="s">
        <v>617</v>
      </c>
      <c r="J18" s="5568" t="s">
        <v>618</v>
      </c>
      <c r="K18" s="5568" t="s">
        <v>619</v>
      </c>
      <c r="L18" s="5568" t="s">
        <v>440</v>
      </c>
      <c r="M18" s="5568" t="s">
        <v>440</v>
      </c>
      <c r="N18" s="5568">
        <v>77250</v>
      </c>
      <c r="O18" s="5568">
        <v>11436</v>
      </c>
      <c r="P18" s="5568" t="s">
        <v>406</v>
      </c>
      <c r="Q18" s="5568" t="s">
        <v>620</v>
      </c>
      <c r="R18" s="5568" t="s">
        <v>621</v>
      </c>
      <c r="X18" s="5571" t="s">
        <v>622</v>
      </c>
      <c r="Y18" s="5581"/>
      <c r="Z18" s="5581"/>
      <c r="AA18" s="5582" t="s">
        <v>623</v>
      </c>
      <c r="AB18" s="5583" t="s">
        <v>624</v>
      </c>
      <c r="AD18" s="5571">
        <v>26</v>
      </c>
      <c r="AE18" s="5571" t="s">
        <v>625</v>
      </c>
      <c r="AF18" s="5584">
        <f t="shared" si="1"/>
        <v>0.00015</v>
      </c>
      <c r="AI18" s="5585" t="s">
        <v>626</v>
      </c>
      <c r="AJ18" s="5568">
        <v>99</v>
      </c>
      <c r="AK18" s="5568" t="s">
        <v>615</v>
      </c>
      <c r="AL18" s="5573">
        <v>90</v>
      </c>
    </row>
    <row r="19" spans="1:38">
      <c r="A19" s="5568" t="s">
        <v>627</v>
      </c>
      <c r="B19" s="5568" t="s">
        <v>628</v>
      </c>
      <c r="C19" s="5568">
        <v>10294</v>
      </c>
      <c r="D19" s="5568" t="str">
        <f t="shared" si="0"/>
        <v>Donji Vakuf</v>
      </c>
      <c r="E19" s="5568">
        <v>70220</v>
      </c>
      <c r="F19" s="5568" t="s">
        <v>392</v>
      </c>
      <c r="G19" s="5568">
        <v>6</v>
      </c>
      <c r="H19" s="5568" t="s">
        <v>386</v>
      </c>
      <c r="I19" s="5568" t="s">
        <v>629</v>
      </c>
      <c r="J19" s="5568" t="s">
        <v>630</v>
      </c>
      <c r="K19" s="5568" t="s">
        <v>631</v>
      </c>
      <c r="L19" s="5568" t="s">
        <v>454</v>
      </c>
      <c r="M19" s="5568" t="s">
        <v>454</v>
      </c>
      <c r="N19" s="5568">
        <v>80270</v>
      </c>
      <c r="O19" s="5568">
        <v>10146</v>
      </c>
      <c r="P19" s="5568" t="s">
        <v>437</v>
      </c>
      <c r="Q19" s="5588" t="s">
        <v>632</v>
      </c>
      <c r="R19" s="5568" t="s">
        <v>633</v>
      </c>
      <c r="X19" s="5571" t="s">
        <v>634</v>
      </c>
      <c r="Y19" s="5581"/>
      <c r="Z19" s="5581"/>
      <c r="AA19" s="5582" t="s">
        <v>635</v>
      </c>
      <c r="AB19" s="5583" t="s">
        <v>636</v>
      </c>
      <c r="AD19" s="5571">
        <v>27</v>
      </c>
      <c r="AE19" s="5571" t="s">
        <v>637</v>
      </c>
      <c r="AF19" s="5584">
        <f t="shared" si="1"/>
        <v>0.0004</v>
      </c>
      <c r="AI19" s="5585" t="s">
        <v>638</v>
      </c>
      <c r="AJ19" s="5568">
        <v>110</v>
      </c>
      <c r="AK19" s="5568" t="s">
        <v>627</v>
      </c>
      <c r="AL19" s="5573">
        <v>121</v>
      </c>
    </row>
    <row r="20" spans="1:38">
      <c r="A20" s="5568" t="s">
        <v>639</v>
      </c>
      <c r="B20" s="5568" t="s">
        <v>640</v>
      </c>
      <c r="C20" s="5568">
        <v>11614</v>
      </c>
      <c r="D20" s="5568" t="str">
        <f t="shared" si="0"/>
        <v>Drvar</v>
      </c>
      <c r="E20" s="5568">
        <v>80260</v>
      </c>
      <c r="F20" s="5568" t="s">
        <v>437</v>
      </c>
      <c r="G20" s="5568">
        <v>10</v>
      </c>
      <c r="H20" s="5568" t="s">
        <v>386</v>
      </c>
      <c r="I20" s="5568" t="s">
        <v>641</v>
      </c>
      <c r="J20" s="5568" t="s">
        <v>642</v>
      </c>
      <c r="K20" s="5568" t="s">
        <v>643</v>
      </c>
      <c r="L20" s="5568" t="s">
        <v>403</v>
      </c>
      <c r="M20" s="5568" t="s">
        <v>644</v>
      </c>
      <c r="N20" s="5568">
        <v>77205</v>
      </c>
      <c r="O20" s="5568">
        <v>10049</v>
      </c>
      <c r="P20" s="5568" t="s">
        <v>406</v>
      </c>
      <c r="X20" s="5589" t="s">
        <v>645</v>
      </c>
      <c r="Y20" s="5581"/>
      <c r="Z20" s="5581"/>
      <c r="AA20" s="5582" t="s">
        <v>646</v>
      </c>
      <c r="AB20" s="5583" t="s">
        <v>647</v>
      </c>
      <c r="AD20" s="5571">
        <v>28</v>
      </c>
      <c r="AE20" s="5571" t="s">
        <v>648</v>
      </c>
      <c r="AF20" s="5584">
        <f t="shared" si="1"/>
        <v>0.0007</v>
      </c>
      <c r="AI20" s="5585" t="s">
        <v>649</v>
      </c>
      <c r="AJ20" s="5568">
        <v>111</v>
      </c>
      <c r="AK20" s="5568" t="s">
        <v>639</v>
      </c>
      <c r="AL20" s="5573">
        <v>158</v>
      </c>
    </row>
    <row r="21" spans="1:38">
      <c r="A21" s="5568" t="s">
        <v>650</v>
      </c>
      <c r="B21" s="5568" t="s">
        <v>410</v>
      </c>
      <c r="C21" s="5568">
        <v>11444</v>
      </c>
      <c r="D21" s="5568" t="str">
        <f t="shared" si="0"/>
        <v>Foča</v>
      </c>
      <c r="E21" s="5568">
        <v>73250</v>
      </c>
      <c r="F21" s="5568" t="s">
        <v>510</v>
      </c>
      <c r="G21" s="5568">
        <v>5</v>
      </c>
      <c r="H21" s="5568" t="s">
        <v>386</v>
      </c>
      <c r="I21" s="5568" t="s">
        <v>651</v>
      </c>
      <c r="J21" s="5568" t="s">
        <v>652</v>
      </c>
      <c r="K21" s="5568" t="s">
        <v>653</v>
      </c>
      <c r="L21" s="5568" t="s">
        <v>473</v>
      </c>
      <c r="M21" s="5568" t="s">
        <v>654</v>
      </c>
      <c r="N21" s="5568">
        <v>71255</v>
      </c>
      <c r="O21" s="5568">
        <v>10472</v>
      </c>
      <c r="P21" s="5568" t="s">
        <v>392</v>
      </c>
      <c r="Y21" s="5581"/>
      <c r="Z21" s="5581"/>
      <c r="AA21" s="5582" t="s">
        <v>655</v>
      </c>
      <c r="AB21" s="5583" t="s">
        <v>656</v>
      </c>
      <c r="AD21" s="5571">
        <v>29</v>
      </c>
      <c r="AE21" s="5571" t="s">
        <v>657</v>
      </c>
      <c r="AF21" s="5584">
        <f t="shared" si="1"/>
        <v>0.0005</v>
      </c>
      <c r="AI21" s="5585" t="s">
        <v>658</v>
      </c>
      <c r="AJ21" s="5568">
        <v>112</v>
      </c>
      <c r="AK21" s="5568" t="s">
        <v>650</v>
      </c>
      <c r="AL21" s="5573">
        <v>117</v>
      </c>
    </row>
    <row r="22" spans="1:38">
      <c r="A22" s="5568" t="s">
        <v>659</v>
      </c>
      <c r="B22" s="5568" t="s">
        <v>660</v>
      </c>
      <c r="C22" s="5568">
        <v>10324</v>
      </c>
      <c r="D22" s="5568" t="str">
        <f t="shared" si="0"/>
        <v>Fojnica</v>
      </c>
      <c r="E22" s="5568">
        <v>71270</v>
      </c>
      <c r="F22" s="5568" t="s">
        <v>392</v>
      </c>
      <c r="G22" s="5568">
        <v>6</v>
      </c>
      <c r="H22" s="5568" t="s">
        <v>386</v>
      </c>
      <c r="I22" s="5568" t="s">
        <v>661</v>
      </c>
      <c r="J22" s="5568" t="s">
        <v>662</v>
      </c>
      <c r="K22" s="5568" t="s">
        <v>663</v>
      </c>
      <c r="L22" s="5568" t="s">
        <v>468</v>
      </c>
      <c r="M22" s="5568" t="s">
        <v>468</v>
      </c>
      <c r="N22" s="5568">
        <v>71370</v>
      </c>
      <c r="O22" s="5568">
        <v>10189</v>
      </c>
      <c r="P22" s="5568" t="s">
        <v>429</v>
      </c>
      <c r="Y22" s="5581"/>
      <c r="Z22" s="5581"/>
      <c r="AA22" s="5582" t="s">
        <v>664</v>
      </c>
      <c r="AB22" s="5583" t="s">
        <v>665</v>
      </c>
      <c r="AD22" s="5571">
        <v>30</v>
      </c>
      <c r="AE22" s="5571" t="s">
        <v>666</v>
      </c>
      <c r="AF22" s="5584">
        <f t="shared" si="1"/>
        <v>0.0004</v>
      </c>
      <c r="AI22" s="5585" t="s">
        <v>667</v>
      </c>
      <c r="AJ22" s="5568">
        <v>100</v>
      </c>
      <c r="AK22" s="5568" t="s">
        <v>659</v>
      </c>
      <c r="AL22" s="5573">
        <v>123</v>
      </c>
    </row>
    <row r="23" spans="1:38">
      <c r="A23" s="5568" t="s">
        <v>668</v>
      </c>
      <c r="B23" s="5568" t="s">
        <v>669</v>
      </c>
      <c r="C23" s="5568">
        <v>10359</v>
      </c>
      <c r="D23" s="5568" t="str">
        <f t="shared" si="0"/>
        <v>Glamoč</v>
      </c>
      <c r="E23" s="5568">
        <v>80230</v>
      </c>
      <c r="F23" s="5568" t="s">
        <v>437</v>
      </c>
      <c r="G23" s="5568">
        <v>10</v>
      </c>
      <c r="H23" s="5568" t="s">
        <v>386</v>
      </c>
      <c r="I23" s="5568" t="s">
        <v>670</v>
      </c>
      <c r="J23" s="5568" t="s">
        <v>671</v>
      </c>
      <c r="K23" s="5568" t="s">
        <v>672</v>
      </c>
      <c r="L23" s="5568" t="s">
        <v>578</v>
      </c>
      <c r="M23" s="5568" t="s">
        <v>673</v>
      </c>
      <c r="N23" s="5568">
        <v>74206</v>
      </c>
      <c r="O23" s="5568">
        <v>11258</v>
      </c>
      <c r="P23" s="5568" t="s">
        <v>385</v>
      </c>
      <c r="Y23" s="5581"/>
      <c r="Z23" s="5581"/>
      <c r="AA23" s="5582" t="s">
        <v>674</v>
      </c>
      <c r="AB23" s="5583" t="s">
        <v>675</v>
      </c>
      <c r="AD23" s="5571">
        <v>31</v>
      </c>
      <c r="AE23" s="5571" t="s">
        <v>676</v>
      </c>
      <c r="AF23" s="5584">
        <f t="shared" si="1"/>
        <v>0.0007</v>
      </c>
      <c r="AI23" s="5585"/>
      <c r="AK23" s="5568" t="s">
        <v>668</v>
      </c>
      <c r="AL23" s="5573">
        <v>156</v>
      </c>
    </row>
    <row r="24" spans="1:38">
      <c r="A24" s="5568" t="s">
        <v>452</v>
      </c>
      <c r="B24" s="5568" t="s">
        <v>677</v>
      </c>
      <c r="C24" s="5568">
        <v>11452</v>
      </c>
      <c r="D24" s="5568" t="str">
        <f t="shared" si="0"/>
        <v>Goražde</v>
      </c>
      <c r="E24" s="5568">
        <v>73101</v>
      </c>
      <c r="F24" s="5568" t="s">
        <v>510</v>
      </c>
      <c r="G24" s="5568">
        <v>5</v>
      </c>
      <c r="H24" s="5568" t="s">
        <v>386</v>
      </c>
      <c r="I24" s="5568" t="s">
        <v>678</v>
      </c>
      <c r="J24" s="5568" t="s">
        <v>679</v>
      </c>
      <c r="K24" s="5568" t="s">
        <v>680</v>
      </c>
      <c r="L24" s="5568" t="s">
        <v>502</v>
      </c>
      <c r="M24" s="5568" t="s">
        <v>681</v>
      </c>
      <c r="N24" s="5568">
        <v>72243</v>
      </c>
      <c r="O24" s="5568">
        <v>10448</v>
      </c>
      <c r="P24" s="5568" t="s">
        <v>429</v>
      </c>
      <c r="Y24" s="5581"/>
      <c r="Z24" s="5581"/>
      <c r="AA24" s="5582" t="s">
        <v>682</v>
      </c>
      <c r="AB24" s="5583" t="s">
        <v>683</v>
      </c>
      <c r="AD24" s="5571">
        <v>32</v>
      </c>
      <c r="AE24" s="5571" t="s">
        <v>684</v>
      </c>
      <c r="AF24" s="5584">
        <f t="shared" si="1"/>
        <v>0.0005</v>
      </c>
      <c r="AI24" s="5585"/>
      <c r="AK24" s="5568" t="s">
        <v>452</v>
      </c>
      <c r="AL24" s="5573">
        <v>116</v>
      </c>
    </row>
    <row r="25" spans="1:38">
      <c r="A25" s="5568" t="s">
        <v>685</v>
      </c>
      <c r="B25" s="5568" t="s">
        <v>686</v>
      </c>
      <c r="C25" s="5568">
        <v>10375</v>
      </c>
      <c r="D25" s="5568" t="str">
        <f t="shared" si="0"/>
        <v>Gornji Vakuf-Uskoplje</v>
      </c>
      <c r="E25" s="5568">
        <v>70240</v>
      </c>
      <c r="F25" s="5568" t="s">
        <v>392</v>
      </c>
      <c r="G25" s="5568">
        <v>6</v>
      </c>
      <c r="H25" s="5568" t="s">
        <v>386</v>
      </c>
      <c r="I25" s="5568" t="s">
        <v>687</v>
      </c>
      <c r="J25" s="5568" t="s">
        <v>688</v>
      </c>
      <c r="K25" s="5568" t="s">
        <v>689</v>
      </c>
      <c r="L25" s="5568" t="s">
        <v>690</v>
      </c>
      <c r="M25" s="5568" t="s">
        <v>691</v>
      </c>
      <c r="N25" s="5568">
        <v>88243</v>
      </c>
      <c r="O25" s="5568">
        <v>10731</v>
      </c>
      <c r="P25" s="5568" t="s">
        <v>524</v>
      </c>
      <c r="Y25" s="5581"/>
      <c r="Z25" s="5581"/>
      <c r="AA25" s="5582" t="s">
        <v>692</v>
      </c>
      <c r="AB25" s="5583" t="s">
        <v>693</v>
      </c>
      <c r="AD25" s="5571">
        <v>33</v>
      </c>
      <c r="AE25" s="5571" t="s">
        <v>694</v>
      </c>
      <c r="AF25" s="5584">
        <f t="shared" si="1"/>
        <v>0.0004</v>
      </c>
      <c r="AI25" s="5585"/>
      <c r="AK25" s="5568" t="s">
        <v>685</v>
      </c>
      <c r="AL25" s="5573">
        <v>124</v>
      </c>
    </row>
    <row r="26" spans="1:38">
      <c r="A26" s="5568" t="s">
        <v>467</v>
      </c>
      <c r="B26" s="5568" t="s">
        <v>695</v>
      </c>
      <c r="C26" s="5568">
        <v>11479</v>
      </c>
      <c r="D26" s="5568" t="str">
        <f t="shared" si="0"/>
        <v>Gračanica</v>
      </c>
      <c r="E26" s="5568">
        <v>75320</v>
      </c>
      <c r="F26" s="5568" t="s">
        <v>385</v>
      </c>
      <c r="G26" s="5568">
        <v>3</v>
      </c>
      <c r="H26" s="5568" t="s">
        <v>386</v>
      </c>
      <c r="I26" s="5568" t="s">
        <v>696</v>
      </c>
      <c r="J26" s="5568" t="s">
        <v>697</v>
      </c>
      <c r="K26" s="5568" t="s">
        <v>698</v>
      </c>
      <c r="L26" s="5568" t="s">
        <v>699</v>
      </c>
      <c r="M26" s="5568" t="s">
        <v>700</v>
      </c>
      <c r="N26" s="5568">
        <v>72293</v>
      </c>
      <c r="O26" s="5568">
        <v>10774</v>
      </c>
      <c r="P26" s="5568" t="s">
        <v>392</v>
      </c>
      <c r="Y26" s="5581"/>
      <c r="Z26" s="5581"/>
      <c r="AA26" s="5582" t="s">
        <v>701</v>
      </c>
      <c r="AB26" s="5583" t="s">
        <v>702</v>
      </c>
      <c r="AD26" s="5571">
        <v>34</v>
      </c>
      <c r="AE26" s="5571" t="s">
        <v>703</v>
      </c>
      <c r="AF26" s="5584">
        <f t="shared" si="1"/>
        <v>0.0005</v>
      </c>
      <c r="AI26" s="5585"/>
      <c r="AK26" s="5568" t="s">
        <v>467</v>
      </c>
      <c r="AL26" s="5573">
        <v>92</v>
      </c>
    </row>
    <row r="27" spans="1:38">
      <c r="A27" s="5568" t="s">
        <v>482</v>
      </c>
      <c r="B27" s="5568" t="s">
        <v>704</v>
      </c>
      <c r="C27" s="5568">
        <v>10391</v>
      </c>
      <c r="D27" s="5568" t="str">
        <f t="shared" si="0"/>
        <v>Gradačac</v>
      </c>
      <c r="E27" s="5568">
        <v>76250</v>
      </c>
      <c r="F27" s="5568" t="s">
        <v>385</v>
      </c>
      <c r="G27" s="5568">
        <v>3</v>
      </c>
      <c r="H27" s="5568" t="s">
        <v>386</v>
      </c>
      <c r="I27" s="5568" t="s">
        <v>705</v>
      </c>
      <c r="J27" s="5568" t="s">
        <v>706</v>
      </c>
      <c r="K27" s="5568" t="s">
        <v>707</v>
      </c>
      <c r="L27" s="5568" t="s">
        <v>483</v>
      </c>
      <c r="M27" s="5568" t="s">
        <v>483</v>
      </c>
      <c r="N27" s="5568">
        <v>70230</v>
      </c>
      <c r="O27" s="5568">
        <v>10197</v>
      </c>
      <c r="P27" s="5568" t="s">
        <v>392</v>
      </c>
      <c r="Y27" s="5581"/>
      <c r="Z27" s="5581"/>
      <c r="AA27" s="5582" t="s">
        <v>708</v>
      </c>
      <c r="AB27" s="5583" t="s">
        <v>709</v>
      </c>
      <c r="AD27" s="5571">
        <v>35</v>
      </c>
      <c r="AE27" s="5571" t="s">
        <v>710</v>
      </c>
      <c r="AF27" s="5584">
        <f t="shared" si="1"/>
        <v>0.0005</v>
      </c>
      <c r="AI27" s="5585"/>
      <c r="AK27" s="5568" t="s">
        <v>482</v>
      </c>
      <c r="AL27" s="5573">
        <v>93</v>
      </c>
    </row>
    <row r="28" spans="1:38">
      <c r="A28" s="5568" t="s">
        <v>711</v>
      </c>
      <c r="B28" s="5568" t="s">
        <v>712</v>
      </c>
      <c r="C28" s="5568">
        <v>10405</v>
      </c>
      <c r="D28" s="5568" t="str">
        <f t="shared" si="0"/>
        <v>Grude</v>
      </c>
      <c r="E28" s="5568">
        <v>88340</v>
      </c>
      <c r="F28" s="5568" t="s">
        <v>524</v>
      </c>
      <c r="G28" s="5568">
        <v>8</v>
      </c>
      <c r="H28" s="5568" t="s">
        <v>386</v>
      </c>
      <c r="I28" s="5568" t="s">
        <v>713</v>
      </c>
      <c r="J28" s="5568" t="s">
        <v>714</v>
      </c>
      <c r="K28" s="5568" t="s">
        <v>715</v>
      </c>
      <c r="L28" s="5568" t="s">
        <v>626</v>
      </c>
      <c r="M28" s="5568" t="s">
        <v>716</v>
      </c>
      <c r="N28" s="5568">
        <v>75203</v>
      </c>
      <c r="O28" s="5568">
        <v>11088</v>
      </c>
      <c r="P28" s="5568" t="s">
        <v>385</v>
      </c>
      <c r="Y28" s="5581"/>
      <c r="Z28" s="5581"/>
      <c r="AA28" s="5582" t="s">
        <v>717</v>
      </c>
      <c r="AB28" s="5583" t="s">
        <v>718</v>
      </c>
      <c r="AD28" s="5571">
        <v>36</v>
      </c>
      <c r="AE28" s="5571" t="s">
        <v>645</v>
      </c>
      <c r="AF28" s="5584">
        <f t="shared" si="1"/>
        <v>0.0007</v>
      </c>
      <c r="AK28" s="5568" t="s">
        <v>711</v>
      </c>
      <c r="AL28" s="5573">
        <v>141</v>
      </c>
    </row>
    <row r="29" spans="1:38">
      <c r="A29" s="5568" t="s">
        <v>719</v>
      </c>
      <c r="B29" s="5568" t="s">
        <v>720</v>
      </c>
      <c r="C29" s="5568">
        <v>10847</v>
      </c>
      <c r="D29" s="5568" t="str">
        <f t="shared" si="0"/>
        <v>Hadžići</v>
      </c>
      <c r="E29" s="5568">
        <v>71240</v>
      </c>
      <c r="F29" s="5568" t="s">
        <v>538</v>
      </c>
      <c r="G29" s="5568">
        <v>9</v>
      </c>
      <c r="H29" s="5568" t="s">
        <v>386</v>
      </c>
      <c r="I29" s="5568" t="s">
        <v>721</v>
      </c>
      <c r="J29" s="5568" t="s">
        <v>722</v>
      </c>
      <c r="K29" s="5568" t="s">
        <v>723</v>
      </c>
      <c r="L29" s="5568" t="s">
        <v>530</v>
      </c>
      <c r="M29" s="5568" t="s">
        <v>724</v>
      </c>
      <c r="N29" s="5568">
        <v>88202</v>
      </c>
      <c r="O29" s="5568">
        <v>11410</v>
      </c>
      <c r="P29" s="5568" t="s">
        <v>480</v>
      </c>
      <c r="Y29" s="5581"/>
      <c r="Z29" s="5581"/>
      <c r="AA29" s="5582" t="s">
        <v>725</v>
      </c>
      <c r="AB29" s="5583" t="s">
        <v>726</v>
      </c>
      <c r="AF29" s="5584">
        <f t="shared" si="1"/>
        <v>0.0007</v>
      </c>
      <c r="AK29" s="5568" t="s">
        <v>719</v>
      </c>
      <c r="AL29" s="5573">
        <v>144</v>
      </c>
    </row>
    <row r="30" spans="1:38">
      <c r="A30" s="5568" t="s">
        <v>557</v>
      </c>
      <c r="B30" s="5568" t="s">
        <v>727</v>
      </c>
      <c r="C30" s="5568">
        <v>11550</v>
      </c>
      <c r="D30" s="5568" t="str">
        <f t="shared" si="0"/>
        <v>Ilidža</v>
      </c>
      <c r="E30" s="5568">
        <v>71210</v>
      </c>
      <c r="F30" s="5568" t="s">
        <v>538</v>
      </c>
      <c r="G30" s="5568">
        <v>9</v>
      </c>
      <c r="H30" s="5568" t="s">
        <v>386</v>
      </c>
      <c r="I30" s="5568" t="s">
        <v>728</v>
      </c>
      <c r="J30" s="5568" t="s">
        <v>729</v>
      </c>
      <c r="K30" s="5568" t="s">
        <v>730</v>
      </c>
      <c r="L30" s="5568" t="s">
        <v>595</v>
      </c>
      <c r="M30" s="5568" t="s">
        <v>731</v>
      </c>
      <c r="N30" s="5568">
        <v>88366</v>
      </c>
      <c r="O30" s="5568">
        <v>11606</v>
      </c>
      <c r="P30" s="5568" t="s">
        <v>480</v>
      </c>
      <c r="Y30" s="5581"/>
      <c r="Z30" s="5581"/>
      <c r="AA30" s="5582" t="s">
        <v>732</v>
      </c>
      <c r="AB30" s="5583" t="s">
        <v>733</v>
      </c>
      <c r="AF30" s="5584">
        <f t="shared" si="1"/>
        <v>0.0007</v>
      </c>
      <c r="AK30" s="5568" t="s">
        <v>557</v>
      </c>
      <c r="AL30" s="5573">
        <v>147</v>
      </c>
    </row>
    <row r="31" spans="1:38">
      <c r="A31" s="5568" t="s">
        <v>734</v>
      </c>
      <c r="B31" s="5568" t="s">
        <v>735</v>
      </c>
      <c r="C31" s="5568">
        <v>10863</v>
      </c>
      <c r="D31" s="5568" t="str">
        <f t="shared" si="0"/>
        <v>Ilijaš</v>
      </c>
      <c r="E31" s="5568">
        <v>71380</v>
      </c>
      <c r="F31" s="5568" t="s">
        <v>538</v>
      </c>
      <c r="G31" s="5568">
        <v>9</v>
      </c>
      <c r="H31" s="5568" t="s">
        <v>386</v>
      </c>
      <c r="I31" s="5568" t="s">
        <v>736</v>
      </c>
      <c r="J31" s="5568" t="s">
        <v>737</v>
      </c>
      <c r="K31" s="5568" t="s">
        <v>738</v>
      </c>
      <c r="L31" s="5568" t="s">
        <v>497</v>
      </c>
      <c r="M31" s="5568" t="s">
        <v>497</v>
      </c>
      <c r="N31" s="5568">
        <v>72260</v>
      </c>
      <c r="O31" s="5568">
        <v>10219</v>
      </c>
      <c r="P31" s="5568" t="s">
        <v>392</v>
      </c>
      <c r="Y31" s="5581"/>
      <c r="Z31" s="5581"/>
      <c r="AA31" s="5582" t="s">
        <v>739</v>
      </c>
      <c r="AB31" s="5583" t="s">
        <v>740</v>
      </c>
      <c r="AF31" s="5584">
        <f t="shared" si="1"/>
        <v>0.0007</v>
      </c>
      <c r="AK31" s="5568" t="s">
        <v>734</v>
      </c>
      <c r="AL31" s="5573">
        <v>145</v>
      </c>
    </row>
    <row r="32" spans="1:38">
      <c r="A32" s="5568" t="s">
        <v>741</v>
      </c>
      <c r="B32" s="5568" t="s">
        <v>742</v>
      </c>
      <c r="C32" s="5568">
        <v>10421</v>
      </c>
      <c r="D32" s="5568" t="str">
        <f t="shared" si="0"/>
        <v>Jablanica</v>
      </c>
      <c r="E32" s="5568">
        <v>88420</v>
      </c>
      <c r="F32" s="5568" t="s">
        <v>480</v>
      </c>
      <c r="G32" s="5568">
        <v>7</v>
      </c>
      <c r="H32" s="5568" t="s">
        <v>386</v>
      </c>
      <c r="I32" s="5568" t="s">
        <v>743</v>
      </c>
      <c r="J32" s="5568" t="s">
        <v>744</v>
      </c>
      <c r="K32" s="5568" t="s">
        <v>745</v>
      </c>
      <c r="L32" s="5568" t="s">
        <v>496</v>
      </c>
      <c r="M32" s="5568" t="s">
        <v>746</v>
      </c>
      <c r="N32" s="5568">
        <v>88409</v>
      </c>
      <c r="O32" s="5568">
        <v>10529</v>
      </c>
      <c r="P32" s="5568" t="s">
        <v>480</v>
      </c>
      <c r="Y32" s="5581"/>
      <c r="AA32" s="5582" t="s">
        <v>747</v>
      </c>
      <c r="AB32" s="5583" t="s">
        <v>748</v>
      </c>
      <c r="AF32" s="5584" t="str">
        <f t="shared" si="1"/>
        <v>-</v>
      </c>
      <c r="AK32" s="5568" t="s">
        <v>741</v>
      </c>
      <c r="AL32" s="5573">
        <v>134</v>
      </c>
    </row>
    <row r="33" spans="1:38">
      <c r="A33" s="5568" t="s">
        <v>749</v>
      </c>
      <c r="B33" s="5568" t="s">
        <v>750</v>
      </c>
      <c r="C33" s="5568">
        <v>11487</v>
      </c>
      <c r="D33" s="5568" t="str">
        <f t="shared" si="0"/>
        <v>Jajce</v>
      </c>
      <c r="E33" s="5568">
        <v>70101</v>
      </c>
      <c r="F33" s="5568" t="s">
        <v>392</v>
      </c>
      <c r="G33" s="5568">
        <v>6</v>
      </c>
      <c r="H33" s="5568" t="s">
        <v>386</v>
      </c>
      <c r="I33" s="5568" t="s">
        <v>751</v>
      </c>
      <c r="J33" s="5568" t="s">
        <v>752</v>
      </c>
      <c r="K33" s="5568" t="s">
        <v>753</v>
      </c>
      <c r="L33" s="5568" t="s">
        <v>512</v>
      </c>
      <c r="M33" s="5568" t="s">
        <v>512</v>
      </c>
      <c r="N33" s="5568">
        <v>77245</v>
      </c>
      <c r="O33" s="5568">
        <v>11240</v>
      </c>
      <c r="P33" s="5568" t="s">
        <v>406</v>
      </c>
      <c r="Y33" s="5581"/>
      <c r="AA33" s="5582" t="s">
        <v>754</v>
      </c>
      <c r="AB33" s="5583" t="s">
        <v>755</v>
      </c>
      <c r="AF33" s="5584">
        <f t="shared" si="1"/>
        <v>0.0004</v>
      </c>
      <c r="AK33" s="5568" t="s">
        <v>749</v>
      </c>
      <c r="AL33" s="5573">
        <v>125</v>
      </c>
    </row>
    <row r="34" spans="1:38">
      <c r="A34" s="5568" t="s">
        <v>502</v>
      </c>
      <c r="B34" s="5568" t="s">
        <v>756</v>
      </c>
      <c r="C34" s="5568">
        <v>10448</v>
      </c>
      <c r="D34" s="5568" t="str">
        <f t="shared" si="0"/>
        <v>Kakanj</v>
      </c>
      <c r="E34" s="5568">
        <v>72240</v>
      </c>
      <c r="F34" s="5568" t="s">
        <v>429</v>
      </c>
      <c r="G34" s="5568">
        <v>4</v>
      </c>
      <c r="H34" s="5568" t="s">
        <v>386</v>
      </c>
      <c r="I34" s="5568" t="s">
        <v>757</v>
      </c>
      <c r="J34" s="5568" t="s">
        <v>758</v>
      </c>
      <c r="K34" s="5568" t="s">
        <v>759</v>
      </c>
      <c r="L34" s="5568" t="s">
        <v>760</v>
      </c>
      <c r="M34" s="5568" t="s">
        <v>761</v>
      </c>
      <c r="N34" s="5568">
        <v>71347</v>
      </c>
      <c r="O34" s="5568">
        <v>10715</v>
      </c>
      <c r="P34" s="5568" t="s">
        <v>429</v>
      </c>
      <c r="AA34" s="5582" t="s">
        <v>762</v>
      </c>
      <c r="AB34" s="5583" t="s">
        <v>763</v>
      </c>
      <c r="AF34" s="5584">
        <f t="shared" si="1"/>
        <v>0.0007</v>
      </c>
      <c r="AK34" s="5568" t="s">
        <v>502</v>
      </c>
      <c r="AL34" s="5573">
        <v>105</v>
      </c>
    </row>
    <row r="35" spans="1:38">
      <c r="A35" s="5568" t="s">
        <v>764</v>
      </c>
      <c r="B35" s="5568" t="s">
        <v>765</v>
      </c>
      <c r="C35" s="5568">
        <v>11495</v>
      </c>
      <c r="D35" s="5568" t="str">
        <f t="shared" si="0"/>
        <v>Kalesija</v>
      </c>
      <c r="E35" s="5568">
        <v>75260</v>
      </c>
      <c r="F35" s="5568" t="s">
        <v>385</v>
      </c>
      <c r="G35" s="5568">
        <v>3</v>
      </c>
      <c r="H35" s="5568" t="s">
        <v>386</v>
      </c>
      <c r="I35" s="5568" t="s">
        <v>766</v>
      </c>
      <c r="J35" s="5568" t="s">
        <v>767</v>
      </c>
      <c r="K35" s="5568" t="s">
        <v>768</v>
      </c>
      <c r="L35" s="5568" t="s">
        <v>438</v>
      </c>
      <c r="M35" s="5568" t="s">
        <v>438</v>
      </c>
      <c r="N35" s="5568">
        <v>77220</v>
      </c>
      <c r="O35" s="5568">
        <v>10227</v>
      </c>
      <c r="P35" s="5568" t="s">
        <v>406</v>
      </c>
      <c r="Z35" s="5581"/>
      <c r="AA35" s="5582" t="s">
        <v>769</v>
      </c>
      <c r="AB35" s="5583" t="s">
        <v>770</v>
      </c>
      <c r="AF35" s="5584">
        <f t="shared" si="1"/>
        <v>0.0005</v>
      </c>
      <c r="AK35" s="5568" t="s">
        <v>764</v>
      </c>
      <c r="AL35" s="5573">
        <v>94</v>
      </c>
    </row>
    <row r="36" spans="1:38">
      <c r="A36" s="5568" t="s">
        <v>473</v>
      </c>
      <c r="B36" s="5568" t="s">
        <v>771</v>
      </c>
      <c r="C36" s="5568">
        <v>10472</v>
      </c>
      <c r="D36" s="5568" t="str">
        <f t="shared" si="0"/>
        <v>Kiseljak</v>
      </c>
      <c r="E36" s="5568">
        <v>71250</v>
      </c>
      <c r="F36" s="5568" t="s">
        <v>392</v>
      </c>
      <c r="G36" s="5568">
        <v>6</v>
      </c>
      <c r="H36" s="5568" t="s">
        <v>386</v>
      </c>
      <c r="I36" s="5568" t="s">
        <v>772</v>
      </c>
      <c r="J36" s="5568" t="s">
        <v>773</v>
      </c>
      <c r="K36" s="5568" t="s">
        <v>774</v>
      </c>
      <c r="L36" s="5568" t="s">
        <v>595</v>
      </c>
      <c r="M36" s="5568" t="s">
        <v>775</v>
      </c>
      <c r="N36" s="5568">
        <v>88367</v>
      </c>
      <c r="O36" s="5568">
        <v>11606</v>
      </c>
      <c r="P36" s="5568" t="s">
        <v>480</v>
      </c>
      <c r="Z36" s="5581"/>
      <c r="AA36" s="5582" t="s">
        <v>776</v>
      </c>
      <c r="AB36" s="5583" t="s">
        <v>777</v>
      </c>
      <c r="AF36" s="5584">
        <f t="shared" si="1"/>
        <v>0.0004</v>
      </c>
      <c r="AK36" s="5568" t="s">
        <v>473</v>
      </c>
      <c r="AL36" s="5573">
        <v>126</v>
      </c>
    </row>
    <row r="37" spans="1:38">
      <c r="A37" s="5568" t="s">
        <v>778</v>
      </c>
      <c r="B37" s="5568" t="s">
        <v>779</v>
      </c>
      <c r="C37" s="5568">
        <v>10499</v>
      </c>
      <c r="D37" s="5568" t="str">
        <f t="shared" si="0"/>
        <v>Kladanj</v>
      </c>
      <c r="E37" s="5568">
        <v>75280</v>
      </c>
      <c r="F37" s="5568" t="s">
        <v>385</v>
      </c>
      <c r="G37" s="5568">
        <v>3</v>
      </c>
      <c r="H37" s="5568" t="s">
        <v>386</v>
      </c>
      <c r="I37" s="5568" t="s">
        <v>780</v>
      </c>
      <c r="J37" s="5568" t="s">
        <v>781</v>
      </c>
      <c r="K37" s="5568" t="s">
        <v>782</v>
      </c>
      <c r="L37" s="5568" t="s">
        <v>540</v>
      </c>
      <c r="M37" s="5568" t="s">
        <v>540</v>
      </c>
      <c r="N37" s="5568">
        <v>88300</v>
      </c>
      <c r="O37" s="5568">
        <v>10243</v>
      </c>
      <c r="P37" s="5568" t="s">
        <v>480</v>
      </c>
      <c r="Z37" s="5581"/>
      <c r="AA37" s="5582" t="s">
        <v>783</v>
      </c>
      <c r="AB37" s="5583" t="s">
        <v>784</v>
      </c>
      <c r="AF37" s="5584">
        <f t="shared" si="1"/>
        <v>0.0005</v>
      </c>
      <c r="AK37" s="5568" t="s">
        <v>778</v>
      </c>
      <c r="AL37" s="5573">
        <v>95</v>
      </c>
    </row>
    <row r="38" spans="1:38">
      <c r="A38" s="5568" t="s">
        <v>785</v>
      </c>
      <c r="B38" s="5568" t="s">
        <v>786</v>
      </c>
      <c r="C38" s="5568">
        <v>11509</v>
      </c>
      <c r="D38" s="5568" t="str">
        <f t="shared" si="0"/>
        <v>Ključ</v>
      </c>
      <c r="E38" s="5568">
        <v>79280</v>
      </c>
      <c r="F38" s="5568" t="s">
        <v>406</v>
      </c>
      <c r="G38" s="5568">
        <v>1</v>
      </c>
      <c r="H38" s="5568" t="s">
        <v>386</v>
      </c>
      <c r="I38" s="5568" t="s">
        <v>787</v>
      </c>
      <c r="J38" s="5568" t="s">
        <v>788</v>
      </c>
      <c r="K38" s="5568" t="s">
        <v>789</v>
      </c>
      <c r="L38" s="5568" t="s">
        <v>649</v>
      </c>
      <c r="M38" s="5568" t="s">
        <v>790</v>
      </c>
      <c r="N38" s="5568">
        <v>72224</v>
      </c>
      <c r="O38" s="5568">
        <v>11177</v>
      </c>
      <c r="P38" s="5568" t="s">
        <v>429</v>
      </c>
      <c r="Z38" s="5581"/>
      <c r="AA38" s="5582" t="s">
        <v>791</v>
      </c>
      <c r="AB38" s="5583" t="s">
        <v>792</v>
      </c>
      <c r="AF38" s="5584">
        <f t="shared" si="1"/>
        <v>0.0007</v>
      </c>
      <c r="AK38" s="5568" t="s">
        <v>785</v>
      </c>
      <c r="AL38" s="5573">
        <v>84</v>
      </c>
    </row>
    <row r="39" spans="1:38">
      <c r="A39" s="5568" t="s">
        <v>496</v>
      </c>
      <c r="B39" s="5568" t="s">
        <v>793</v>
      </c>
      <c r="C39" s="5568">
        <v>10529</v>
      </c>
      <c r="D39" s="5568" t="str">
        <f t="shared" si="0"/>
        <v>Konjic</v>
      </c>
      <c r="E39" s="5568">
        <v>88400</v>
      </c>
      <c r="F39" s="5568" t="s">
        <v>480</v>
      </c>
      <c r="G39" s="5568">
        <v>7</v>
      </c>
      <c r="H39" s="5568" t="s">
        <v>386</v>
      </c>
      <c r="I39" s="5568" t="s">
        <v>794</v>
      </c>
      <c r="J39" s="5568" t="s">
        <v>795</v>
      </c>
      <c r="K39" s="5568" t="s">
        <v>796</v>
      </c>
      <c r="L39" s="5568" t="s">
        <v>496</v>
      </c>
      <c r="M39" s="5568" t="s">
        <v>797</v>
      </c>
      <c r="N39" s="5568">
        <v>88404</v>
      </c>
      <c r="O39" s="5568">
        <v>10529</v>
      </c>
      <c r="P39" s="5568" t="s">
        <v>480</v>
      </c>
      <c r="Z39" s="5581"/>
      <c r="AA39" s="5582" t="s">
        <v>798</v>
      </c>
      <c r="AB39" s="5583" t="s">
        <v>799</v>
      </c>
      <c r="AF39" s="5584" t="str">
        <f t="shared" si="1"/>
        <v>-</v>
      </c>
      <c r="AK39" s="5568" t="s">
        <v>496</v>
      </c>
      <c r="AL39" s="5573">
        <v>135</v>
      </c>
    </row>
    <row r="40" spans="1:38">
      <c r="A40" s="5568" t="s">
        <v>800</v>
      </c>
      <c r="B40" s="5568" t="s">
        <v>801</v>
      </c>
      <c r="C40" s="5568">
        <v>10545</v>
      </c>
      <c r="D40" s="5568" t="str">
        <f t="shared" si="0"/>
        <v>Kreševo</v>
      </c>
      <c r="E40" s="5568">
        <v>71260</v>
      </c>
      <c r="F40" s="5568" t="s">
        <v>392</v>
      </c>
      <c r="G40" s="5568">
        <v>6</v>
      </c>
      <c r="H40" s="5568" t="s">
        <v>386</v>
      </c>
      <c r="I40" s="5568" t="s">
        <v>802</v>
      </c>
      <c r="J40" s="5568" t="s">
        <v>803</v>
      </c>
      <c r="K40" s="5568" t="s">
        <v>804</v>
      </c>
      <c r="L40" s="5568" t="s">
        <v>552</v>
      </c>
      <c r="M40" s="5568" t="s">
        <v>552</v>
      </c>
      <c r="N40" s="5568">
        <v>75246</v>
      </c>
      <c r="O40" s="5568">
        <v>11231</v>
      </c>
      <c r="P40" s="5568" t="s">
        <v>385</v>
      </c>
      <c r="Z40" s="5581"/>
      <c r="AB40" s="5583"/>
      <c r="AF40" s="5584">
        <f t="shared" si="1"/>
        <v>0.0004</v>
      </c>
      <c r="AK40" s="5568" t="s">
        <v>800</v>
      </c>
      <c r="AL40" s="5573">
        <v>127</v>
      </c>
    </row>
    <row r="41" spans="1:38">
      <c r="A41" s="5568" t="s">
        <v>805</v>
      </c>
      <c r="B41" s="5568" t="s">
        <v>806</v>
      </c>
      <c r="C41" s="5568">
        <v>11517</v>
      </c>
      <c r="D41" s="5568" t="str">
        <f t="shared" si="0"/>
        <v>Kupres</v>
      </c>
      <c r="E41" s="5568">
        <v>80320</v>
      </c>
      <c r="F41" s="5568" t="s">
        <v>437</v>
      </c>
      <c r="G41" s="5568">
        <v>10</v>
      </c>
      <c r="H41" s="5568" t="s">
        <v>386</v>
      </c>
      <c r="I41" s="5568" t="s">
        <v>807</v>
      </c>
      <c r="J41" s="5568" t="s">
        <v>808</v>
      </c>
      <c r="K41" s="5568" t="s">
        <v>809</v>
      </c>
      <c r="L41" s="5568" t="s">
        <v>488</v>
      </c>
      <c r="M41" s="5568" t="s">
        <v>810</v>
      </c>
      <c r="N41" s="5568">
        <v>88265</v>
      </c>
      <c r="O41" s="5568">
        <v>10260</v>
      </c>
      <c r="P41" s="5568" t="s">
        <v>480</v>
      </c>
      <c r="Z41" s="5581"/>
      <c r="AB41" s="5583"/>
      <c r="AF41" s="5584">
        <f t="shared" si="1"/>
        <v>0.0007</v>
      </c>
      <c r="AK41" s="5568" t="s">
        <v>805</v>
      </c>
      <c r="AL41" s="5573">
        <v>155</v>
      </c>
    </row>
    <row r="42" spans="1:38">
      <c r="A42" s="5568" t="s">
        <v>511</v>
      </c>
      <c r="B42" s="5568" t="s">
        <v>811</v>
      </c>
      <c r="C42" s="5568">
        <v>10588</v>
      </c>
      <c r="D42" s="5568" t="str">
        <f t="shared" si="0"/>
        <v>Livno</v>
      </c>
      <c r="E42" s="5568">
        <v>80101</v>
      </c>
      <c r="F42" s="5568" t="s">
        <v>437</v>
      </c>
      <c r="G42" s="5568">
        <v>10</v>
      </c>
      <c r="H42" s="5568" t="s">
        <v>386</v>
      </c>
      <c r="I42" s="5568" t="s">
        <v>812</v>
      </c>
      <c r="J42" s="5568" t="s">
        <v>813</v>
      </c>
      <c r="K42" s="5568" t="s">
        <v>814</v>
      </c>
      <c r="L42" s="5568" t="s">
        <v>488</v>
      </c>
      <c r="M42" s="5568" t="s">
        <v>488</v>
      </c>
      <c r="N42" s="5568">
        <v>88260</v>
      </c>
      <c r="O42" s="5568">
        <v>10260</v>
      </c>
      <c r="P42" s="5568" t="s">
        <v>480</v>
      </c>
      <c r="Z42" s="5581"/>
      <c r="AB42" s="5583"/>
      <c r="AF42" s="5584">
        <f t="shared" si="1"/>
        <v>0.0007</v>
      </c>
      <c r="AK42" s="5568" t="s">
        <v>511</v>
      </c>
      <c r="AL42" s="5573">
        <v>153</v>
      </c>
    </row>
    <row r="43" spans="1:38">
      <c r="A43" s="5568" t="s">
        <v>525</v>
      </c>
      <c r="B43" s="5568" t="s">
        <v>815</v>
      </c>
      <c r="C43" s="5568">
        <v>10600</v>
      </c>
      <c r="D43" s="5568" t="str">
        <f t="shared" si="0"/>
        <v>Lukavac</v>
      </c>
      <c r="E43" s="5568">
        <v>75300</v>
      </c>
      <c r="F43" s="5568" t="s">
        <v>385</v>
      </c>
      <c r="G43" s="5568">
        <v>3</v>
      </c>
      <c r="H43" s="5568" t="s">
        <v>386</v>
      </c>
      <c r="I43" s="5568" t="s">
        <v>816</v>
      </c>
      <c r="J43" s="5568" t="s">
        <v>817</v>
      </c>
      <c r="K43" s="5568" t="s">
        <v>818</v>
      </c>
      <c r="L43" s="5568" t="s">
        <v>502</v>
      </c>
      <c r="M43" s="5568" t="s">
        <v>819</v>
      </c>
      <c r="N43" s="5568">
        <v>72246</v>
      </c>
      <c r="O43" s="5568">
        <v>10448</v>
      </c>
      <c r="P43" s="5568" t="s">
        <v>429</v>
      </c>
      <c r="Z43" s="5581"/>
      <c r="AB43" s="5583"/>
      <c r="AF43" s="5584">
        <f t="shared" si="1"/>
        <v>0.0005</v>
      </c>
      <c r="AK43" s="5568" t="s">
        <v>525</v>
      </c>
      <c r="AL43" s="5573">
        <v>97</v>
      </c>
    </row>
    <row r="44" spans="1:38">
      <c r="A44" s="5568" t="s">
        <v>539</v>
      </c>
      <c r="B44" s="5568" t="s">
        <v>820</v>
      </c>
      <c r="C44" s="5568">
        <v>10626</v>
      </c>
      <c r="D44" s="5568" t="str">
        <f t="shared" si="0"/>
        <v>Ljubuški</v>
      </c>
      <c r="E44" s="5568">
        <v>88320</v>
      </c>
      <c r="F44" s="5568" t="s">
        <v>524</v>
      </c>
      <c r="G44" s="5568">
        <v>8</v>
      </c>
      <c r="H44" s="5568" t="s">
        <v>386</v>
      </c>
      <c r="I44" s="5568" t="s">
        <v>821</v>
      </c>
      <c r="J44" s="5568" t="s">
        <v>822</v>
      </c>
      <c r="K44" s="5568" t="s">
        <v>823</v>
      </c>
      <c r="L44" s="5568" t="s">
        <v>438</v>
      </c>
      <c r="M44" s="5568" t="s">
        <v>824</v>
      </c>
      <c r="N44" s="5568">
        <v>77226</v>
      </c>
      <c r="O44" s="5568">
        <v>10227</v>
      </c>
      <c r="P44" s="5568" t="s">
        <v>406</v>
      </c>
      <c r="AB44" s="5583"/>
      <c r="AF44" s="5584">
        <f t="shared" si="1"/>
        <v>0.0007</v>
      </c>
      <c r="AK44" s="5568" t="s">
        <v>539</v>
      </c>
      <c r="AL44" s="5573">
        <v>142</v>
      </c>
    </row>
    <row r="45" spans="1:38">
      <c r="A45" s="5568" t="s">
        <v>825</v>
      </c>
      <c r="B45" s="5568" t="s">
        <v>826</v>
      </c>
      <c r="C45" s="5568">
        <v>10634</v>
      </c>
      <c r="D45" s="5568" t="str">
        <f t="shared" si="0"/>
        <v>Maglaj</v>
      </c>
      <c r="E45" s="5568">
        <v>74250</v>
      </c>
      <c r="F45" s="5568" t="s">
        <v>429</v>
      </c>
      <c r="G45" s="5568">
        <v>4</v>
      </c>
      <c r="H45" s="5568" t="s">
        <v>386</v>
      </c>
      <c r="I45" s="5568" t="s">
        <v>827</v>
      </c>
      <c r="J45" s="5568" t="s">
        <v>828</v>
      </c>
      <c r="K45" s="5568" t="s">
        <v>829</v>
      </c>
      <c r="L45" s="5568" t="s">
        <v>830</v>
      </c>
      <c r="M45" s="5568" t="s">
        <v>831</v>
      </c>
      <c r="N45" s="5568">
        <v>71223</v>
      </c>
      <c r="O45" s="5568">
        <v>11592</v>
      </c>
      <c r="P45" s="5568" t="s">
        <v>538</v>
      </c>
      <c r="AB45" s="5583"/>
      <c r="AF45" s="5584">
        <f t="shared" si="1"/>
        <v>0.0007</v>
      </c>
      <c r="AK45" s="5568" t="s">
        <v>825</v>
      </c>
      <c r="AL45" s="5573">
        <v>106</v>
      </c>
    </row>
    <row r="46" spans="1:38">
      <c r="A46" s="5568" t="s">
        <v>530</v>
      </c>
      <c r="B46" s="5568" t="s">
        <v>832</v>
      </c>
      <c r="C46" s="5568">
        <v>11410</v>
      </c>
      <c r="D46" s="5568" t="str">
        <f t="shared" si="0"/>
        <v>Mostar</v>
      </c>
      <c r="E46" s="5568">
        <v>88000</v>
      </c>
      <c r="F46" s="5568" t="s">
        <v>480</v>
      </c>
      <c r="G46" s="5568">
        <v>7</v>
      </c>
      <c r="H46" s="5568" t="s">
        <v>386</v>
      </c>
      <c r="I46" s="5568" t="s">
        <v>833</v>
      </c>
      <c r="J46" s="5568" t="s">
        <v>834</v>
      </c>
      <c r="K46" s="5568" t="s">
        <v>835</v>
      </c>
      <c r="L46" s="5568" t="s">
        <v>749</v>
      </c>
      <c r="M46" s="5568" t="s">
        <v>836</v>
      </c>
      <c r="N46" s="5568">
        <v>70204</v>
      </c>
      <c r="O46" s="5568">
        <v>11487</v>
      </c>
      <c r="P46" s="5568" t="s">
        <v>392</v>
      </c>
      <c r="X46" s="5581"/>
      <c r="AA46" s="5582"/>
      <c r="AB46" s="5583"/>
      <c r="AF46" s="5584" t="str">
        <f t="shared" si="1"/>
        <v>-</v>
      </c>
      <c r="AK46" s="5568" t="s">
        <v>530</v>
      </c>
      <c r="AL46" s="5573">
        <v>133</v>
      </c>
    </row>
    <row r="47" spans="1:38">
      <c r="A47" s="5568" t="s">
        <v>837</v>
      </c>
      <c r="B47" s="5568" t="s">
        <v>838</v>
      </c>
      <c r="C47" s="5568">
        <v>10685</v>
      </c>
      <c r="D47" s="5568" t="str">
        <f t="shared" si="0"/>
        <v>Neum</v>
      </c>
      <c r="E47" s="5568">
        <v>88390</v>
      </c>
      <c r="F47" s="5568" t="s">
        <v>480</v>
      </c>
      <c r="G47" s="5568">
        <v>7</v>
      </c>
      <c r="H47" s="5568" t="s">
        <v>386</v>
      </c>
      <c r="I47" s="5568" t="s">
        <v>839</v>
      </c>
      <c r="J47" s="5568" t="s">
        <v>840</v>
      </c>
      <c r="K47" s="5568" t="s">
        <v>841</v>
      </c>
      <c r="L47" s="5568" t="s">
        <v>591</v>
      </c>
      <c r="M47" s="5568" t="s">
        <v>591</v>
      </c>
      <c r="N47" s="5568">
        <v>74203</v>
      </c>
      <c r="O47" s="5568">
        <v>11266</v>
      </c>
      <c r="P47" s="5568" t="s">
        <v>429</v>
      </c>
      <c r="X47" s="5581"/>
      <c r="AA47" s="5582"/>
      <c r="AB47" s="5583"/>
      <c r="AF47" s="5584" t="str">
        <f t="shared" si="1"/>
        <v>-</v>
      </c>
      <c r="AK47" s="5568" t="s">
        <v>837</v>
      </c>
      <c r="AL47" s="5573">
        <v>136</v>
      </c>
    </row>
    <row r="48" spans="1:38">
      <c r="A48" s="5568" t="s">
        <v>699</v>
      </c>
      <c r="B48" s="5568" t="s">
        <v>842</v>
      </c>
      <c r="C48" s="5568">
        <v>10774</v>
      </c>
      <c r="D48" s="5568" t="str">
        <f t="shared" si="0"/>
        <v>Novi Travnik</v>
      </c>
      <c r="E48" s="5568">
        <v>72290</v>
      </c>
      <c r="F48" s="5568" t="s">
        <v>392</v>
      </c>
      <c r="G48" s="5568">
        <v>6</v>
      </c>
      <c r="H48" s="5568" t="s">
        <v>386</v>
      </c>
      <c r="I48" s="5568" t="s">
        <v>843</v>
      </c>
      <c r="J48" s="5568" t="s">
        <v>844</v>
      </c>
      <c r="K48" s="5568" t="s">
        <v>845</v>
      </c>
      <c r="L48" s="5568" t="s">
        <v>467</v>
      </c>
      <c r="M48" s="5568" t="s">
        <v>846</v>
      </c>
      <c r="N48" s="5568">
        <v>75328</v>
      </c>
      <c r="O48" s="5568">
        <v>11479</v>
      </c>
      <c r="P48" s="5568" t="s">
        <v>385</v>
      </c>
      <c r="X48" s="5581"/>
      <c r="AA48" s="5582"/>
      <c r="AB48" s="5583"/>
      <c r="AF48" s="5584">
        <f t="shared" si="1"/>
        <v>0.0004</v>
      </c>
      <c r="AK48" s="5568" t="s">
        <v>699</v>
      </c>
      <c r="AL48" s="5573">
        <v>128</v>
      </c>
    </row>
    <row r="49" spans="1:38">
      <c r="A49" s="5568" t="s">
        <v>847</v>
      </c>
      <c r="B49" s="5568" t="s">
        <v>848</v>
      </c>
      <c r="C49" s="5568">
        <v>11525</v>
      </c>
      <c r="D49" s="5568" t="str">
        <f t="shared" si="0"/>
        <v>Odžak</v>
      </c>
      <c r="E49" s="5568">
        <v>76290</v>
      </c>
      <c r="F49" s="5568" t="s">
        <v>495</v>
      </c>
      <c r="G49" s="5568">
        <v>2</v>
      </c>
      <c r="H49" s="5568" t="s">
        <v>386</v>
      </c>
      <c r="I49" s="5568" t="s">
        <v>849</v>
      </c>
      <c r="J49" s="5568" t="s">
        <v>850</v>
      </c>
      <c r="K49" s="5568" t="s">
        <v>851</v>
      </c>
      <c r="L49" s="5568" t="s">
        <v>603</v>
      </c>
      <c r="M49" s="5568" t="s">
        <v>603</v>
      </c>
      <c r="N49" s="5568">
        <v>70210</v>
      </c>
      <c r="O49" s="5568">
        <v>11274</v>
      </c>
      <c r="P49" s="5568" t="s">
        <v>392</v>
      </c>
      <c r="X49" s="5581"/>
      <c r="AA49" s="5582"/>
      <c r="AF49" s="5584">
        <f t="shared" si="1"/>
        <v>0.00015</v>
      </c>
      <c r="AK49" s="5568" t="s">
        <v>847</v>
      </c>
      <c r="AL49" s="5573">
        <v>89</v>
      </c>
    </row>
    <row r="50" spans="1:38">
      <c r="A50" s="5568" t="s">
        <v>760</v>
      </c>
      <c r="B50" s="5568" t="s">
        <v>852</v>
      </c>
      <c r="C50" s="5568">
        <v>10715</v>
      </c>
      <c r="D50" s="5568" t="str">
        <f t="shared" si="0"/>
        <v>Olovo</v>
      </c>
      <c r="E50" s="5568">
        <v>71340</v>
      </c>
      <c r="F50" s="5568" t="s">
        <v>429</v>
      </c>
      <c r="G50" s="5568">
        <v>4</v>
      </c>
      <c r="H50" s="5568" t="s">
        <v>386</v>
      </c>
      <c r="I50" s="5568" t="s">
        <v>853</v>
      </c>
      <c r="J50" s="5568" t="s">
        <v>854</v>
      </c>
      <c r="K50" s="5568" t="s">
        <v>855</v>
      </c>
      <c r="L50" s="5568" t="s">
        <v>390</v>
      </c>
      <c r="M50" s="5568" t="s">
        <v>856</v>
      </c>
      <c r="N50" s="5568">
        <v>72278</v>
      </c>
      <c r="O50" s="5568">
        <v>11061</v>
      </c>
      <c r="P50" s="5568" t="s">
        <v>392</v>
      </c>
      <c r="X50" s="5581"/>
      <c r="AA50" s="5582"/>
      <c r="AF50" s="5584">
        <f t="shared" si="1"/>
        <v>0.0007</v>
      </c>
      <c r="AK50" s="5568" t="s">
        <v>760</v>
      </c>
      <c r="AL50" s="5573">
        <v>107</v>
      </c>
    </row>
    <row r="51" spans="1:38">
      <c r="A51" s="5568" t="s">
        <v>565</v>
      </c>
      <c r="B51" s="5568" t="s">
        <v>857</v>
      </c>
      <c r="C51" s="5568">
        <v>11533</v>
      </c>
      <c r="D51" s="5568" t="str">
        <f t="shared" si="0"/>
        <v>Orašje</v>
      </c>
      <c r="E51" s="5568">
        <v>76270</v>
      </c>
      <c r="F51" s="5568" t="s">
        <v>495</v>
      </c>
      <c r="G51" s="5568">
        <v>2</v>
      </c>
      <c r="H51" s="5568" t="s">
        <v>386</v>
      </c>
      <c r="I51" s="5568" t="s">
        <v>858</v>
      </c>
      <c r="J51" s="5568" t="s">
        <v>859</v>
      </c>
      <c r="K51" s="5568" t="s">
        <v>860</v>
      </c>
      <c r="L51" s="5568" t="s">
        <v>861</v>
      </c>
      <c r="M51" s="5568" t="s">
        <v>862</v>
      </c>
      <c r="N51" s="5568">
        <v>88446</v>
      </c>
      <c r="O51" s="5568">
        <v>10766</v>
      </c>
      <c r="P51" s="5568" t="s">
        <v>480</v>
      </c>
      <c r="X51" s="5581"/>
      <c r="AA51" s="5582"/>
      <c r="AF51" s="5584">
        <f t="shared" si="1"/>
        <v>0.00015</v>
      </c>
      <c r="AK51" s="5568" t="s">
        <v>565</v>
      </c>
      <c r="AL51" s="5573">
        <v>88</v>
      </c>
    </row>
    <row r="52" spans="1:38">
      <c r="A52" s="5568" t="s">
        <v>863</v>
      </c>
      <c r="B52" s="5568" t="s">
        <v>864</v>
      </c>
      <c r="C52" s="5568">
        <v>11576</v>
      </c>
      <c r="D52" s="5568" t="str">
        <f t="shared" si="0"/>
        <v>Pale</v>
      </c>
      <c r="E52" s="5568">
        <v>73290</v>
      </c>
      <c r="F52" s="5568" t="s">
        <v>510</v>
      </c>
      <c r="G52" s="5568">
        <v>5</v>
      </c>
      <c r="H52" s="5568" t="s">
        <v>386</v>
      </c>
      <c r="I52" s="5568" t="s">
        <v>865</v>
      </c>
      <c r="J52" s="5568" t="s">
        <v>866</v>
      </c>
      <c r="K52" s="5568" t="s">
        <v>867</v>
      </c>
      <c r="L52" s="5568" t="s">
        <v>615</v>
      </c>
      <c r="M52" s="5568" t="s">
        <v>615</v>
      </c>
      <c r="N52" s="5568">
        <v>76233</v>
      </c>
      <c r="O52" s="5568">
        <v>11282</v>
      </c>
      <c r="P52" s="5568" t="s">
        <v>495</v>
      </c>
      <c r="AA52" s="5582"/>
      <c r="AF52" s="5584">
        <f t="shared" si="1"/>
        <v>0.0005</v>
      </c>
      <c r="AK52" s="5568" t="s">
        <v>863</v>
      </c>
      <c r="AL52" s="5573">
        <v>118</v>
      </c>
    </row>
    <row r="53" spans="1:38">
      <c r="A53" s="5568" t="s">
        <v>690</v>
      </c>
      <c r="B53" s="5568" t="s">
        <v>868</v>
      </c>
      <c r="C53" s="5568">
        <v>10731</v>
      </c>
      <c r="D53" s="5568" t="str">
        <f t="shared" si="0"/>
        <v>Posušje</v>
      </c>
      <c r="E53" s="5568">
        <v>88240</v>
      </c>
      <c r="F53" s="5568" t="s">
        <v>524</v>
      </c>
      <c r="G53" s="5568">
        <v>8</v>
      </c>
      <c r="H53" s="5568" t="s">
        <v>386</v>
      </c>
      <c r="I53" s="5568" t="s">
        <v>869</v>
      </c>
      <c r="J53" s="5568" t="s">
        <v>870</v>
      </c>
      <c r="K53" s="5568" t="s">
        <v>871</v>
      </c>
      <c r="L53" s="5568" t="s">
        <v>540</v>
      </c>
      <c r="M53" s="5568" t="s">
        <v>872</v>
      </c>
      <c r="N53" s="5568">
        <v>88305</v>
      </c>
      <c r="O53" s="5568">
        <v>10243</v>
      </c>
      <c r="P53" s="5568" t="s">
        <v>480</v>
      </c>
      <c r="AA53" s="5582"/>
      <c r="AF53" s="5584">
        <f t="shared" si="1"/>
        <v>0.0007</v>
      </c>
      <c r="AK53" s="5568" t="s">
        <v>690</v>
      </c>
      <c r="AL53" s="5573">
        <v>143</v>
      </c>
    </row>
    <row r="54" spans="1:38">
      <c r="A54" s="5568" t="s">
        <v>861</v>
      </c>
      <c r="B54" s="5568" t="s">
        <v>873</v>
      </c>
      <c r="C54" s="5568">
        <v>10766</v>
      </c>
      <c r="D54" s="5568" t="str">
        <f t="shared" si="0"/>
        <v>Prozor</v>
      </c>
      <c r="E54" s="5568">
        <v>88440</v>
      </c>
      <c r="F54" s="5568" t="s">
        <v>480</v>
      </c>
      <c r="G54" s="5568">
        <v>7</v>
      </c>
      <c r="H54" s="5568" t="s">
        <v>386</v>
      </c>
      <c r="I54" s="5568" t="s">
        <v>874</v>
      </c>
      <c r="J54" s="5568" t="s">
        <v>875</v>
      </c>
      <c r="K54" s="5568" t="s">
        <v>876</v>
      </c>
      <c r="L54" s="5568" t="s">
        <v>565</v>
      </c>
      <c r="M54" s="5568" t="s">
        <v>877</v>
      </c>
      <c r="N54" s="5568">
        <v>76274</v>
      </c>
      <c r="O54" s="5568">
        <v>11533</v>
      </c>
      <c r="P54" s="5568" t="s">
        <v>495</v>
      </c>
      <c r="AA54" s="5582"/>
      <c r="AF54" s="5584" t="str">
        <f t="shared" si="1"/>
        <v>-</v>
      </c>
      <c r="AK54" s="5568" t="s">
        <v>861</v>
      </c>
      <c r="AL54" s="5573">
        <v>137</v>
      </c>
    </row>
    <row r="55" spans="1:38">
      <c r="A55" s="5568" t="s">
        <v>878</v>
      </c>
      <c r="B55" s="5568" t="s">
        <v>879</v>
      </c>
      <c r="C55" s="5568">
        <v>11304</v>
      </c>
      <c r="D55" s="5568" t="str">
        <f t="shared" si="0"/>
        <v>Ravno</v>
      </c>
      <c r="E55" s="5568">
        <v>88370</v>
      </c>
      <c r="F55" s="5568" t="s">
        <v>480</v>
      </c>
      <c r="G55" s="5568">
        <v>7</v>
      </c>
      <c r="H55" s="5568" t="s">
        <v>386</v>
      </c>
      <c r="I55" s="5568" t="s">
        <v>880</v>
      </c>
      <c r="J55" s="5568" t="s">
        <v>881</v>
      </c>
      <c r="K55" s="5568" t="s">
        <v>882</v>
      </c>
      <c r="L55" s="5568" t="s">
        <v>482</v>
      </c>
      <c r="M55" s="5568" t="s">
        <v>883</v>
      </c>
      <c r="N55" s="5568">
        <v>76257</v>
      </c>
      <c r="O55" s="5568">
        <v>10391</v>
      </c>
      <c r="P55" s="5568" t="s">
        <v>385</v>
      </c>
      <c r="AA55" s="5582"/>
      <c r="AF55" s="5584" t="str">
        <f t="shared" si="1"/>
        <v>-</v>
      </c>
      <c r="AK55" s="5568" t="s">
        <v>878</v>
      </c>
      <c r="AL55" s="5573">
        <v>138</v>
      </c>
    </row>
    <row r="56" spans="1:38">
      <c r="A56" s="5568" t="s">
        <v>884</v>
      </c>
      <c r="B56" s="5568" t="s">
        <v>885</v>
      </c>
      <c r="C56" s="5568">
        <v>11541</v>
      </c>
      <c r="D56" s="5568" t="str">
        <f t="shared" si="0"/>
        <v>Sanski Most</v>
      </c>
      <c r="E56" s="5568">
        <v>79260</v>
      </c>
      <c r="F56" s="5568" t="s">
        <v>406</v>
      </c>
      <c r="G56" s="5568">
        <v>1</v>
      </c>
      <c r="H56" s="5568" t="s">
        <v>386</v>
      </c>
      <c r="I56" s="5568" t="s">
        <v>886</v>
      </c>
      <c r="J56" s="5568" t="s">
        <v>887</v>
      </c>
      <c r="K56" s="5568" t="s">
        <v>888</v>
      </c>
      <c r="L56" s="5568" t="s">
        <v>638</v>
      </c>
      <c r="M56" s="5568" t="s">
        <v>889</v>
      </c>
      <c r="N56" s="5568">
        <v>71305</v>
      </c>
      <c r="O56" s="5568">
        <v>11126</v>
      </c>
      <c r="P56" s="5568" t="s">
        <v>429</v>
      </c>
      <c r="AA56" s="5582"/>
      <c r="AF56" s="5584">
        <f t="shared" si="1"/>
        <v>0.0007</v>
      </c>
      <c r="AK56" s="5568" t="s">
        <v>884</v>
      </c>
      <c r="AL56" s="5573">
        <v>85</v>
      </c>
    </row>
    <row r="57" spans="1:38">
      <c r="A57" s="5568" t="s">
        <v>890</v>
      </c>
      <c r="B57" s="5568" t="s">
        <v>891</v>
      </c>
      <c r="C57" s="5568">
        <v>11312</v>
      </c>
      <c r="D57" s="5568" t="str">
        <f t="shared" si="0"/>
        <v>Sapna</v>
      </c>
      <c r="E57" s="5568">
        <v>75411</v>
      </c>
      <c r="F57" s="5568" t="s">
        <v>385</v>
      </c>
      <c r="G57" s="5568">
        <v>3</v>
      </c>
      <c r="H57" s="5568" t="s">
        <v>386</v>
      </c>
      <c r="I57" s="5568" t="s">
        <v>892</v>
      </c>
      <c r="J57" s="5568" t="s">
        <v>893</v>
      </c>
      <c r="K57" s="5568" t="s">
        <v>894</v>
      </c>
      <c r="L57" s="5568" t="s">
        <v>884</v>
      </c>
      <c r="M57" s="5568" t="s">
        <v>895</v>
      </c>
      <c r="N57" s="5568">
        <v>79266</v>
      </c>
      <c r="O57" s="5568">
        <v>11541</v>
      </c>
      <c r="P57" s="5568" t="s">
        <v>406</v>
      </c>
      <c r="AA57" s="5582"/>
      <c r="AF57" s="5584">
        <f t="shared" si="1"/>
        <v>0.0005</v>
      </c>
      <c r="AK57" s="5568" t="s">
        <v>890</v>
      </c>
      <c r="AL57" s="5573">
        <v>102</v>
      </c>
    </row>
    <row r="58" spans="1:38">
      <c r="A58" s="5568" t="s">
        <v>896</v>
      </c>
      <c r="B58" s="5568" t="s">
        <v>897</v>
      </c>
      <c r="C58" s="5568">
        <v>10839</v>
      </c>
      <c r="D58" s="5568" t="str">
        <f t="shared" si="0"/>
        <v>Sarajevo-Centar</v>
      </c>
      <c r="E58" s="5568">
        <v>71000</v>
      </c>
      <c r="F58" s="5568" t="s">
        <v>538</v>
      </c>
      <c r="G58" s="5568">
        <v>9</v>
      </c>
      <c r="H58" s="5568" t="s">
        <v>386</v>
      </c>
      <c r="I58" s="5568" t="s">
        <v>898</v>
      </c>
      <c r="J58" s="5568" t="s">
        <v>899</v>
      </c>
      <c r="K58" s="5568" t="s">
        <v>900</v>
      </c>
      <c r="L58" s="5568" t="s">
        <v>711</v>
      </c>
      <c r="M58" s="5568" t="s">
        <v>901</v>
      </c>
      <c r="N58" s="5568">
        <v>88343</v>
      </c>
      <c r="O58" s="5568">
        <v>10405</v>
      </c>
      <c r="P58" s="5568" t="s">
        <v>524</v>
      </c>
      <c r="AA58" s="5582"/>
      <c r="AF58" s="5584">
        <f t="shared" si="1"/>
        <v>0.0007</v>
      </c>
      <c r="AK58" s="5568" t="s">
        <v>896</v>
      </c>
      <c r="AL58" s="5573">
        <v>146</v>
      </c>
    </row>
    <row r="59" spans="1:38">
      <c r="A59" s="5568" t="s">
        <v>902</v>
      </c>
      <c r="B59" s="5568" t="s">
        <v>903</v>
      </c>
      <c r="C59" s="5568">
        <v>10871</v>
      </c>
      <c r="D59" s="5568" t="str">
        <f t="shared" si="0"/>
        <v>Sarajevo-Novi Grad</v>
      </c>
      <c r="E59" s="5568">
        <v>71000</v>
      </c>
      <c r="F59" s="5568" t="s">
        <v>538</v>
      </c>
      <c r="G59" s="5568">
        <v>9</v>
      </c>
      <c r="H59" s="5568" t="s">
        <v>386</v>
      </c>
      <c r="I59" s="5568" t="s">
        <v>904</v>
      </c>
      <c r="J59" s="5568" t="s">
        <v>905</v>
      </c>
      <c r="K59" s="5568" t="s">
        <v>906</v>
      </c>
      <c r="L59" s="5568" t="s">
        <v>847</v>
      </c>
      <c r="M59" s="5568" t="s">
        <v>907</v>
      </c>
      <c r="N59" s="5568">
        <v>76297</v>
      </c>
      <c r="O59" s="5568">
        <v>11525</v>
      </c>
      <c r="P59" s="5568" t="s">
        <v>495</v>
      </c>
      <c r="AA59" s="5582"/>
      <c r="AF59" s="5584">
        <f t="shared" si="1"/>
        <v>0.0007</v>
      </c>
      <c r="AK59" s="5568" t="s">
        <v>902</v>
      </c>
      <c r="AL59" s="5573">
        <v>150</v>
      </c>
    </row>
    <row r="60" spans="1:38">
      <c r="A60" s="5568" t="s">
        <v>908</v>
      </c>
      <c r="B60" s="5568" t="s">
        <v>909</v>
      </c>
      <c r="C60" s="5568">
        <v>11568</v>
      </c>
      <c r="D60" s="5568" t="str">
        <f t="shared" si="0"/>
        <v>Sarajevo-Novo Sarajevo</v>
      </c>
      <c r="E60" s="5568">
        <v>71000</v>
      </c>
      <c r="F60" s="5568" t="s">
        <v>538</v>
      </c>
      <c r="G60" s="5568">
        <v>9</v>
      </c>
      <c r="H60" s="5568" t="s">
        <v>386</v>
      </c>
      <c r="I60" s="5568" t="s">
        <v>910</v>
      </c>
      <c r="J60" s="5568" t="s">
        <v>911</v>
      </c>
      <c r="K60" s="5568" t="s">
        <v>912</v>
      </c>
      <c r="L60" s="5568" t="s">
        <v>627</v>
      </c>
      <c r="M60" s="5568" t="s">
        <v>627</v>
      </c>
      <c r="N60" s="5568">
        <v>70220</v>
      </c>
      <c r="O60" s="5568">
        <v>10294</v>
      </c>
      <c r="P60" s="5568" t="s">
        <v>392</v>
      </c>
      <c r="AA60" s="5582"/>
      <c r="AF60" s="5584">
        <f t="shared" si="1"/>
        <v>0.0007</v>
      </c>
      <c r="AK60" s="5568" t="s">
        <v>908</v>
      </c>
      <c r="AL60" s="5573">
        <v>148</v>
      </c>
    </row>
    <row r="61" spans="1:38">
      <c r="A61" s="5568" t="s">
        <v>913</v>
      </c>
      <c r="B61" s="5568" t="s">
        <v>914</v>
      </c>
      <c r="C61" s="5568">
        <v>11584</v>
      </c>
      <c r="D61" s="5568" t="str">
        <f t="shared" si="0"/>
        <v>Sarajevo-Stari Grad</v>
      </c>
      <c r="E61" s="5568">
        <v>71000</v>
      </c>
      <c r="F61" s="5568" t="s">
        <v>538</v>
      </c>
      <c r="G61" s="5568">
        <v>9</v>
      </c>
      <c r="H61" s="5568" t="s">
        <v>386</v>
      </c>
      <c r="I61" s="5568" t="s">
        <v>915</v>
      </c>
      <c r="J61" s="5568" t="s">
        <v>916</v>
      </c>
      <c r="K61" s="5568" t="s">
        <v>917</v>
      </c>
      <c r="L61" s="5568" t="s">
        <v>530</v>
      </c>
      <c r="M61" s="5568" t="s">
        <v>918</v>
      </c>
      <c r="N61" s="5568">
        <v>88215</v>
      </c>
      <c r="O61" s="5568">
        <v>11410</v>
      </c>
      <c r="P61" s="5568" t="s">
        <v>480</v>
      </c>
      <c r="AA61" s="5582"/>
      <c r="AF61" s="5584">
        <f t="shared" si="1"/>
        <v>0.0007</v>
      </c>
      <c r="AK61" s="5568" t="s">
        <v>913</v>
      </c>
      <c r="AL61" s="5573">
        <v>151</v>
      </c>
    </row>
    <row r="62" spans="1:38">
      <c r="A62" s="5568" t="s">
        <v>590</v>
      </c>
      <c r="B62" s="5568" t="s">
        <v>919</v>
      </c>
      <c r="C62" s="5568">
        <v>10987</v>
      </c>
      <c r="D62" s="5568" t="str">
        <f t="shared" si="0"/>
        <v>Srebrenik</v>
      </c>
      <c r="E62" s="5568">
        <v>75350</v>
      </c>
      <c r="F62" s="5568" t="s">
        <v>385</v>
      </c>
      <c r="G62" s="5568">
        <v>3</v>
      </c>
      <c r="H62" s="5568" t="s">
        <v>386</v>
      </c>
      <c r="I62" s="5568" t="s">
        <v>920</v>
      </c>
      <c r="J62" s="5568" t="s">
        <v>921</v>
      </c>
      <c r="K62" s="5568" t="s">
        <v>922</v>
      </c>
      <c r="L62" s="5568" t="s">
        <v>711</v>
      </c>
      <c r="M62" s="5568" t="s">
        <v>923</v>
      </c>
      <c r="N62" s="5568">
        <v>88344</v>
      </c>
      <c r="O62" s="5568">
        <v>10405</v>
      </c>
      <c r="P62" s="5568" t="s">
        <v>524</v>
      </c>
      <c r="AA62" s="5582"/>
      <c r="AF62" s="5584">
        <f t="shared" si="1"/>
        <v>0.0005</v>
      </c>
      <c r="AK62" s="5568" t="s">
        <v>590</v>
      </c>
      <c r="AL62" s="5573">
        <v>98</v>
      </c>
    </row>
    <row r="63" spans="1:38">
      <c r="A63" s="5568" t="s">
        <v>595</v>
      </c>
      <c r="B63" s="5568" t="s">
        <v>924</v>
      </c>
      <c r="C63" s="5568">
        <v>11606</v>
      </c>
      <c r="D63" s="5568" t="str">
        <f t="shared" si="0"/>
        <v>Stolac</v>
      </c>
      <c r="E63" s="5568">
        <v>88360</v>
      </c>
      <c r="F63" s="5568" t="s">
        <v>480</v>
      </c>
      <c r="G63" s="5568">
        <v>7</v>
      </c>
      <c r="H63" s="5568" t="s">
        <v>386</v>
      </c>
      <c r="I63" s="5568" t="s">
        <v>925</v>
      </c>
      <c r="J63" s="5568" t="s">
        <v>926</v>
      </c>
      <c r="K63" s="5568" t="s">
        <v>927</v>
      </c>
      <c r="L63" s="5568" t="s">
        <v>639</v>
      </c>
      <c r="M63" s="5568" t="s">
        <v>639</v>
      </c>
      <c r="N63" s="5568">
        <v>80260</v>
      </c>
      <c r="O63" s="5568">
        <v>11614</v>
      </c>
      <c r="P63" s="5568" t="s">
        <v>437</v>
      </c>
      <c r="AA63" s="5582"/>
      <c r="AF63" s="5584" t="str">
        <f t="shared" si="1"/>
        <v>-</v>
      </c>
      <c r="AK63" s="5568" t="s">
        <v>595</v>
      </c>
      <c r="AL63" s="5573">
        <v>139</v>
      </c>
    </row>
    <row r="64" spans="1:38">
      <c r="A64" s="5568" t="s">
        <v>614</v>
      </c>
      <c r="B64" s="5568" t="s">
        <v>928</v>
      </c>
      <c r="C64" s="5568">
        <v>10570</v>
      </c>
      <c r="D64" s="5568" t="str">
        <f t="shared" si="0"/>
        <v>Široki Brijeg</v>
      </c>
      <c r="E64" s="5568">
        <v>88220</v>
      </c>
      <c r="F64" s="5568" t="s">
        <v>524</v>
      </c>
      <c r="G64" s="5568">
        <v>8</v>
      </c>
      <c r="H64" s="5568" t="s">
        <v>386</v>
      </c>
      <c r="I64" s="5568" t="s">
        <v>929</v>
      </c>
      <c r="J64" s="5568" t="s">
        <v>930</v>
      </c>
      <c r="K64" s="5568" t="s">
        <v>931</v>
      </c>
      <c r="L64" s="5568" t="s">
        <v>483</v>
      </c>
      <c r="M64" s="5568" t="s">
        <v>932</v>
      </c>
      <c r="N64" s="5568">
        <v>70237</v>
      </c>
      <c r="O64" s="5568">
        <v>10197</v>
      </c>
      <c r="P64" s="5568" t="s">
        <v>392</v>
      </c>
      <c r="AA64" s="5582"/>
      <c r="AF64" s="5584">
        <f t="shared" si="1"/>
        <v>0.0007</v>
      </c>
      <c r="AK64" s="5568" t="s">
        <v>614</v>
      </c>
      <c r="AL64" s="5573">
        <v>140</v>
      </c>
    </row>
    <row r="65" spans="1:38">
      <c r="A65" s="5568" t="s">
        <v>933</v>
      </c>
      <c r="B65" s="5568" t="s">
        <v>934</v>
      </c>
      <c r="C65" s="5568">
        <v>11339</v>
      </c>
      <c r="D65" s="5568" t="str">
        <f t="shared" ref="D65:D80" si="2">A65</f>
        <v>Teočak</v>
      </c>
      <c r="E65" s="5568">
        <v>75414</v>
      </c>
      <c r="F65" s="5568" t="s">
        <v>385</v>
      </c>
      <c r="G65" s="5568">
        <v>3</v>
      </c>
      <c r="H65" s="5568" t="s">
        <v>386</v>
      </c>
      <c r="I65" s="5568" t="s">
        <v>935</v>
      </c>
      <c r="J65" s="5568" t="s">
        <v>936</v>
      </c>
      <c r="K65" s="5568" t="s">
        <v>937</v>
      </c>
      <c r="L65" s="5568" t="s">
        <v>590</v>
      </c>
      <c r="M65" s="5568" t="s">
        <v>938</v>
      </c>
      <c r="N65" s="5568">
        <v>75358</v>
      </c>
      <c r="O65" s="5568">
        <v>10987</v>
      </c>
      <c r="P65" s="5568" t="s">
        <v>385</v>
      </c>
      <c r="AA65" s="5582"/>
      <c r="AF65" s="5584">
        <f t="shared" si="1"/>
        <v>0.0005</v>
      </c>
      <c r="AK65" s="5568" t="s">
        <v>933</v>
      </c>
      <c r="AL65" s="5573">
        <v>103</v>
      </c>
    </row>
    <row r="66" spans="1:38">
      <c r="A66" s="5568" t="s">
        <v>939</v>
      </c>
      <c r="B66" s="5568" t="s">
        <v>940</v>
      </c>
      <c r="C66" s="5568">
        <v>11045</v>
      </c>
      <c r="D66" s="5568" t="str">
        <f t="shared" si="2"/>
        <v>Tešanj</v>
      </c>
      <c r="E66" s="5568">
        <v>74260</v>
      </c>
      <c r="F66" s="5568" t="s">
        <v>429</v>
      </c>
      <c r="G66" s="5568">
        <v>4</v>
      </c>
      <c r="H66" s="5568" t="s">
        <v>386</v>
      </c>
      <c r="I66" s="5568" t="s">
        <v>941</v>
      </c>
      <c r="J66" s="5568" t="s">
        <v>942</v>
      </c>
      <c r="K66" s="5568" t="s">
        <v>943</v>
      </c>
      <c r="L66" s="5568" t="s">
        <v>525</v>
      </c>
      <c r="M66" s="5568" t="s">
        <v>944</v>
      </c>
      <c r="N66" s="5568">
        <v>75308</v>
      </c>
      <c r="O66" s="5568">
        <v>10600</v>
      </c>
      <c r="P66" s="5568" t="s">
        <v>385</v>
      </c>
      <c r="AA66" s="5582"/>
      <c r="AF66" s="5584">
        <f t="shared" si="1"/>
        <v>0.0007</v>
      </c>
      <c r="AK66" s="5568" t="s">
        <v>939</v>
      </c>
      <c r="AL66" s="5573">
        <v>108</v>
      </c>
    </row>
    <row r="67" spans="1:38">
      <c r="A67" s="5568" t="s">
        <v>945</v>
      </c>
      <c r="B67" s="5568" t="s">
        <v>946</v>
      </c>
      <c r="C67" s="5568">
        <v>10308</v>
      </c>
      <c r="D67" s="5568" t="str">
        <f t="shared" si="2"/>
        <v>Tomislavgrad</v>
      </c>
      <c r="E67" s="5568">
        <v>80240</v>
      </c>
      <c r="F67" s="5568" t="s">
        <v>437</v>
      </c>
      <c r="G67" s="5568">
        <v>10</v>
      </c>
      <c r="H67" s="5568" t="s">
        <v>386</v>
      </c>
      <c r="I67" s="5568" t="s">
        <v>947</v>
      </c>
      <c r="J67" s="5568" t="s">
        <v>948</v>
      </c>
      <c r="K67" s="5568" t="s">
        <v>949</v>
      </c>
      <c r="L67" s="5568" t="s">
        <v>667</v>
      </c>
      <c r="M67" s="5568" t="s">
        <v>950</v>
      </c>
      <c r="N67" s="5568">
        <v>75274</v>
      </c>
      <c r="O67" s="5568">
        <v>11215</v>
      </c>
      <c r="P67" s="5568" t="s">
        <v>385</v>
      </c>
      <c r="AA67" s="5582"/>
      <c r="AF67" s="5584">
        <f t="shared" ref="AF67:AF80" si="3">VLOOKUP(F67,AG$2:AH$11,2,FALSE)</f>
        <v>0.0007</v>
      </c>
      <c r="AK67" s="5568" t="s">
        <v>945</v>
      </c>
      <c r="AL67" s="5573">
        <v>154</v>
      </c>
    </row>
    <row r="68" spans="1:38">
      <c r="A68" s="5568" t="s">
        <v>390</v>
      </c>
      <c r="B68" s="5568" t="s">
        <v>951</v>
      </c>
      <c r="C68" s="5568">
        <v>11061</v>
      </c>
      <c r="D68" s="5568" t="str">
        <f t="shared" si="2"/>
        <v>Travnik</v>
      </c>
      <c r="E68" s="5568">
        <v>72270</v>
      </c>
      <c r="F68" s="5568" t="s">
        <v>392</v>
      </c>
      <c r="G68" s="5568">
        <v>6</v>
      </c>
      <c r="H68" s="5568" t="s">
        <v>386</v>
      </c>
      <c r="I68" s="5568" t="s">
        <v>952</v>
      </c>
      <c r="J68" s="5568" t="s">
        <v>953</v>
      </c>
      <c r="K68" s="5568" t="s">
        <v>954</v>
      </c>
      <c r="L68" s="5568" t="s">
        <v>667</v>
      </c>
      <c r="M68" s="5568" t="s">
        <v>955</v>
      </c>
      <c r="N68" s="5568">
        <v>75273</v>
      </c>
      <c r="O68" s="5568">
        <v>11215</v>
      </c>
      <c r="P68" s="5568" t="s">
        <v>385</v>
      </c>
      <c r="AA68" s="5582"/>
      <c r="AF68" s="5584">
        <f t="shared" si="3"/>
        <v>0.0004</v>
      </c>
      <c r="AK68" s="5568" t="s">
        <v>390</v>
      </c>
      <c r="AL68" s="5573">
        <v>129</v>
      </c>
    </row>
    <row r="69" spans="1:38">
      <c r="A69" s="5568" t="s">
        <v>830</v>
      </c>
      <c r="B69" s="5568" t="s">
        <v>956</v>
      </c>
      <c r="C69" s="5568">
        <v>11592</v>
      </c>
      <c r="D69" s="5568" t="str">
        <f t="shared" si="2"/>
        <v>Trnovo</v>
      </c>
      <c r="E69" s="5568">
        <v>71220</v>
      </c>
      <c r="F69" s="5568" t="s">
        <v>538</v>
      </c>
      <c r="G69" s="5568">
        <v>9</v>
      </c>
      <c r="H69" s="5568" t="s">
        <v>386</v>
      </c>
      <c r="I69" s="5568" t="s">
        <v>957</v>
      </c>
      <c r="J69" s="5568" t="s">
        <v>958</v>
      </c>
      <c r="K69" s="5568" t="s">
        <v>959</v>
      </c>
      <c r="L69" s="5568" t="s">
        <v>614</v>
      </c>
      <c r="M69" s="5568" t="s">
        <v>960</v>
      </c>
      <c r="N69" s="5568">
        <v>88342</v>
      </c>
      <c r="O69" s="5568">
        <v>10570</v>
      </c>
      <c r="P69" s="5568" t="s">
        <v>524</v>
      </c>
      <c r="AA69" s="5582"/>
      <c r="AF69" s="5584">
        <f t="shared" si="3"/>
        <v>0.0007</v>
      </c>
      <c r="AK69" s="5568" t="s">
        <v>830</v>
      </c>
      <c r="AL69" s="5573">
        <v>152</v>
      </c>
    </row>
    <row r="70" spans="1:38">
      <c r="A70" s="5568" t="s">
        <v>626</v>
      </c>
      <c r="B70" s="5568" t="s">
        <v>961</v>
      </c>
      <c r="C70" s="5568">
        <v>11088</v>
      </c>
      <c r="D70" s="5568" t="str">
        <f t="shared" si="2"/>
        <v>Tuzla</v>
      </c>
      <c r="E70" s="5568">
        <v>75000</v>
      </c>
      <c r="F70" s="5568" t="s">
        <v>385</v>
      </c>
      <c r="G70" s="5568">
        <v>3</v>
      </c>
      <c r="H70" s="5568" t="s">
        <v>386</v>
      </c>
      <c r="I70" s="5568" t="s">
        <v>962</v>
      </c>
      <c r="J70" s="5568" t="s">
        <v>963</v>
      </c>
      <c r="K70" s="5568" t="s">
        <v>964</v>
      </c>
      <c r="L70" s="5568" t="s">
        <v>667</v>
      </c>
      <c r="M70" s="5568" t="s">
        <v>965</v>
      </c>
      <c r="N70" s="5568">
        <v>75272</v>
      </c>
      <c r="O70" s="5568">
        <v>11215</v>
      </c>
      <c r="P70" s="5568" t="s">
        <v>385</v>
      </c>
      <c r="AA70" s="5582"/>
      <c r="AF70" s="5584">
        <f t="shared" si="3"/>
        <v>0.0005</v>
      </c>
      <c r="AK70" s="5568" t="s">
        <v>626</v>
      </c>
      <c r="AL70" s="5573">
        <v>99</v>
      </c>
    </row>
    <row r="71" spans="1:38">
      <c r="A71" s="5568" t="s">
        <v>966</v>
      </c>
      <c r="B71" s="5568" t="s">
        <v>967</v>
      </c>
      <c r="C71" s="5568">
        <v>11622</v>
      </c>
      <c r="D71" s="5568" t="str">
        <f t="shared" si="2"/>
        <v>Usora</v>
      </c>
      <c r="E71" s="5568">
        <v>74230</v>
      </c>
      <c r="F71" s="5568" t="s">
        <v>429</v>
      </c>
      <c r="G71" s="5568">
        <v>4</v>
      </c>
      <c r="H71" s="5568" t="s">
        <v>386</v>
      </c>
      <c r="I71" s="5568" t="s">
        <v>968</v>
      </c>
      <c r="J71" s="5568" t="s">
        <v>969</v>
      </c>
      <c r="K71" s="5568" t="s">
        <v>970</v>
      </c>
      <c r="L71" s="5568" t="s">
        <v>884</v>
      </c>
      <c r="M71" s="5568" t="s">
        <v>971</v>
      </c>
      <c r="N71" s="5568">
        <v>79264</v>
      </c>
      <c r="O71" s="5568">
        <v>11541</v>
      </c>
      <c r="P71" s="5568" t="s">
        <v>406</v>
      </c>
      <c r="AA71" s="5582"/>
      <c r="AF71" s="5584">
        <f t="shared" si="3"/>
        <v>0.0007</v>
      </c>
      <c r="AK71" s="5568" t="s">
        <v>966</v>
      </c>
      <c r="AL71" s="5573">
        <v>115</v>
      </c>
    </row>
    <row r="72" spans="1:38">
      <c r="A72" s="5568" t="s">
        <v>972</v>
      </c>
      <c r="B72" s="5568" t="s">
        <v>973</v>
      </c>
      <c r="C72" s="5568">
        <v>11100</v>
      </c>
      <c r="D72" s="5568" t="str">
        <f t="shared" si="2"/>
        <v>Vareš</v>
      </c>
      <c r="E72" s="5568">
        <v>71330</v>
      </c>
      <c r="F72" s="5568" t="s">
        <v>429</v>
      </c>
      <c r="G72" s="5568">
        <v>4</v>
      </c>
      <c r="H72" s="5568" t="s">
        <v>386</v>
      </c>
      <c r="I72" s="5568" t="s">
        <v>974</v>
      </c>
      <c r="J72" s="5568" t="s">
        <v>975</v>
      </c>
      <c r="K72" s="5568" t="s">
        <v>976</v>
      </c>
      <c r="L72" s="5568" t="s">
        <v>659</v>
      </c>
      <c r="M72" s="5568" t="s">
        <v>659</v>
      </c>
      <c r="N72" s="5568">
        <v>71270</v>
      </c>
      <c r="O72" s="5568">
        <v>10324</v>
      </c>
      <c r="P72" s="5568" t="s">
        <v>392</v>
      </c>
      <c r="AA72" s="5582"/>
      <c r="AF72" s="5584">
        <f t="shared" si="3"/>
        <v>0.0007</v>
      </c>
      <c r="AK72" s="5568" t="s">
        <v>972</v>
      </c>
      <c r="AL72" s="5573">
        <v>109</v>
      </c>
    </row>
    <row r="73" spans="1:38">
      <c r="A73" s="5568" t="s">
        <v>977</v>
      </c>
      <c r="B73" s="5568" t="s">
        <v>978</v>
      </c>
      <c r="C73" s="5568">
        <v>11118</v>
      </c>
      <c r="D73" s="5568" t="str">
        <f t="shared" si="2"/>
        <v>Velika Kladuša</v>
      </c>
      <c r="E73" s="5568">
        <v>77230</v>
      </c>
      <c r="F73" s="5568" t="s">
        <v>406</v>
      </c>
      <c r="G73" s="5568">
        <v>1</v>
      </c>
      <c r="H73" s="5568" t="s">
        <v>386</v>
      </c>
      <c r="I73" s="5568" t="s">
        <v>979</v>
      </c>
      <c r="J73" s="5568" t="s">
        <v>980</v>
      </c>
      <c r="K73" s="5568" t="s">
        <v>981</v>
      </c>
      <c r="L73" s="5568" t="s">
        <v>540</v>
      </c>
      <c r="M73" s="5568" t="s">
        <v>982</v>
      </c>
      <c r="N73" s="5568">
        <v>88306</v>
      </c>
      <c r="O73" s="5568">
        <v>10243</v>
      </c>
      <c r="P73" s="5568" t="s">
        <v>480</v>
      </c>
      <c r="AA73" s="5582"/>
      <c r="AF73" s="5584">
        <f t="shared" si="3"/>
        <v>0.0007</v>
      </c>
      <c r="AK73" s="5568" t="s">
        <v>977</v>
      </c>
      <c r="AL73" s="5573">
        <v>86</v>
      </c>
    </row>
    <row r="74" spans="1:38">
      <c r="A74" s="5568" t="s">
        <v>638</v>
      </c>
      <c r="B74" s="5568" t="s">
        <v>983</v>
      </c>
      <c r="C74" s="5568">
        <v>11126</v>
      </c>
      <c r="D74" s="5568" t="str">
        <f t="shared" si="2"/>
        <v>Visoko</v>
      </c>
      <c r="E74" s="5568">
        <v>71300</v>
      </c>
      <c r="F74" s="5568" t="s">
        <v>429</v>
      </c>
      <c r="G74" s="5568">
        <v>4</v>
      </c>
      <c r="H74" s="5568" t="s">
        <v>386</v>
      </c>
      <c r="I74" s="5568" t="s">
        <v>984</v>
      </c>
      <c r="J74" s="5568" t="s">
        <v>985</v>
      </c>
      <c r="K74" s="5568" t="s">
        <v>986</v>
      </c>
      <c r="L74" s="5568" t="s">
        <v>668</v>
      </c>
      <c r="M74" s="5568" t="s">
        <v>668</v>
      </c>
      <c r="N74" s="5568">
        <v>80230</v>
      </c>
      <c r="O74" s="5568">
        <v>10359</v>
      </c>
      <c r="P74" s="5568" t="s">
        <v>437</v>
      </c>
      <c r="AA74" s="5582"/>
      <c r="AF74" s="5584">
        <f t="shared" si="3"/>
        <v>0.0007</v>
      </c>
      <c r="AK74" s="5568" t="s">
        <v>638</v>
      </c>
      <c r="AL74" s="5573">
        <v>110</v>
      </c>
    </row>
    <row r="75" spans="1:38">
      <c r="A75" s="5568" t="s">
        <v>459</v>
      </c>
      <c r="B75" s="5568" t="s">
        <v>987</v>
      </c>
      <c r="C75" s="5568">
        <v>11142</v>
      </c>
      <c r="D75" s="5568" t="str">
        <f t="shared" si="2"/>
        <v>Vitez</v>
      </c>
      <c r="E75" s="5568">
        <v>72250</v>
      </c>
      <c r="F75" s="5568" t="s">
        <v>392</v>
      </c>
      <c r="G75" s="5568">
        <v>6</v>
      </c>
      <c r="H75" s="5568" t="s">
        <v>386</v>
      </c>
      <c r="I75" s="5568" t="s">
        <v>988</v>
      </c>
      <c r="J75" s="5568" t="s">
        <v>989</v>
      </c>
      <c r="K75" s="5568" t="s">
        <v>990</v>
      </c>
      <c r="L75" s="5568" t="s">
        <v>825</v>
      </c>
      <c r="M75" s="5568" t="s">
        <v>991</v>
      </c>
      <c r="N75" s="5568">
        <v>74258</v>
      </c>
      <c r="O75" s="5568">
        <v>10634</v>
      </c>
      <c r="P75" s="5568" t="s">
        <v>429</v>
      </c>
      <c r="AA75" s="5582"/>
      <c r="AF75" s="5584">
        <f t="shared" si="3"/>
        <v>0.0004</v>
      </c>
      <c r="AK75" s="5568" t="s">
        <v>459</v>
      </c>
      <c r="AL75" s="5573">
        <v>130</v>
      </c>
    </row>
    <row r="76" spans="1:38">
      <c r="A76" s="5568" t="s">
        <v>992</v>
      </c>
      <c r="B76" s="5568" t="s">
        <v>993</v>
      </c>
      <c r="C76" s="5568">
        <v>10928</v>
      </c>
      <c r="D76" s="5568" t="str">
        <f t="shared" si="2"/>
        <v>Vogošća</v>
      </c>
      <c r="E76" s="5568">
        <v>71320</v>
      </c>
      <c r="F76" s="5568" t="s">
        <v>538</v>
      </c>
      <c r="G76" s="5568">
        <v>9</v>
      </c>
      <c r="H76" s="5568" t="s">
        <v>386</v>
      </c>
      <c r="I76" s="5568" t="s">
        <v>994</v>
      </c>
      <c r="J76" s="5568" t="s">
        <v>995</v>
      </c>
      <c r="K76" s="5568" t="s">
        <v>996</v>
      </c>
      <c r="L76" s="5568" t="s">
        <v>741</v>
      </c>
      <c r="M76" s="5568" t="s">
        <v>997</v>
      </c>
      <c r="N76" s="5568">
        <v>88422</v>
      </c>
      <c r="O76" s="5568">
        <v>10421</v>
      </c>
      <c r="P76" s="5568" t="s">
        <v>480</v>
      </c>
      <c r="AA76" s="5582"/>
      <c r="AF76" s="5584">
        <f t="shared" si="3"/>
        <v>0.0007</v>
      </c>
      <c r="AK76" s="5568" t="s">
        <v>992</v>
      </c>
      <c r="AL76" s="5573">
        <v>149</v>
      </c>
    </row>
    <row r="77" spans="1:38">
      <c r="A77" s="5568" t="s">
        <v>649</v>
      </c>
      <c r="B77" s="5568" t="s">
        <v>571</v>
      </c>
      <c r="C77" s="5568">
        <v>11177</v>
      </c>
      <c r="D77" s="5568" t="str">
        <f t="shared" si="2"/>
        <v>Zavidovići</v>
      </c>
      <c r="E77" s="5568">
        <v>72220</v>
      </c>
      <c r="F77" s="5568" t="s">
        <v>429</v>
      </c>
      <c r="G77" s="5568">
        <v>4</v>
      </c>
      <c r="H77" s="5568" t="s">
        <v>386</v>
      </c>
      <c r="I77" s="5568" t="s">
        <v>998</v>
      </c>
      <c r="J77" s="5568" t="s">
        <v>999</v>
      </c>
      <c r="K77" s="5568" t="s">
        <v>1000</v>
      </c>
      <c r="L77" s="5568" t="s">
        <v>659</v>
      </c>
      <c r="M77" s="5568" t="s">
        <v>1001</v>
      </c>
      <c r="N77" s="5568">
        <v>71275</v>
      </c>
      <c r="O77" s="5568">
        <v>10324</v>
      </c>
      <c r="P77" s="5568" t="s">
        <v>392</v>
      </c>
      <c r="AA77" s="5582"/>
      <c r="AF77" s="5584">
        <f t="shared" si="3"/>
        <v>0.0007</v>
      </c>
      <c r="AK77" s="5568" t="s">
        <v>649</v>
      </c>
      <c r="AL77" s="5573">
        <v>111</v>
      </c>
    </row>
    <row r="78" spans="1:38">
      <c r="A78" s="5568" t="s">
        <v>658</v>
      </c>
      <c r="B78" s="5568" t="s">
        <v>1002</v>
      </c>
      <c r="C78" s="5568">
        <v>11185</v>
      </c>
      <c r="D78" s="5568" t="str">
        <f t="shared" si="2"/>
        <v>Zenica</v>
      </c>
      <c r="E78" s="5568">
        <v>72000</v>
      </c>
      <c r="F78" s="5568" t="s">
        <v>429</v>
      </c>
      <c r="G78" s="5568">
        <v>4</v>
      </c>
      <c r="H78" s="5568" t="s">
        <v>386</v>
      </c>
      <c r="I78" s="5568" t="s">
        <v>1003</v>
      </c>
      <c r="J78" s="5568" t="s">
        <v>1004</v>
      </c>
      <c r="K78" s="5568" t="s">
        <v>1005</v>
      </c>
      <c r="L78" s="5568" t="s">
        <v>452</v>
      </c>
      <c r="M78" s="5568" t="s">
        <v>452</v>
      </c>
      <c r="N78" s="5568">
        <v>73101</v>
      </c>
      <c r="O78" s="5568">
        <v>11452</v>
      </c>
      <c r="P78" s="5568" t="s">
        <v>510</v>
      </c>
      <c r="AA78" s="5582"/>
      <c r="AF78" s="5584">
        <f t="shared" si="3"/>
        <v>0.0007</v>
      </c>
      <c r="AK78" s="5568" t="s">
        <v>658</v>
      </c>
      <c r="AL78" s="5573">
        <v>112</v>
      </c>
    </row>
    <row r="79" spans="1:38">
      <c r="A79" s="5568" t="s">
        <v>427</v>
      </c>
      <c r="B79" s="5568" t="s">
        <v>1006</v>
      </c>
      <c r="C79" s="5568">
        <v>11207</v>
      </c>
      <c r="D79" s="5568" t="str">
        <f t="shared" si="2"/>
        <v>Žepče</v>
      </c>
      <c r="E79" s="5568">
        <v>72230</v>
      </c>
      <c r="F79" s="5568" t="s">
        <v>429</v>
      </c>
      <c r="G79" s="5568">
        <v>4</v>
      </c>
      <c r="H79" s="5568" t="s">
        <v>386</v>
      </c>
      <c r="I79" s="5568" t="s">
        <v>1007</v>
      </c>
      <c r="J79" s="5568" t="s">
        <v>1008</v>
      </c>
      <c r="K79" s="5568" t="s">
        <v>1009</v>
      </c>
      <c r="L79" s="5568" t="s">
        <v>847</v>
      </c>
      <c r="M79" s="5568" t="s">
        <v>1010</v>
      </c>
      <c r="N79" s="5568">
        <v>76296</v>
      </c>
      <c r="O79" s="5568">
        <v>11525</v>
      </c>
      <c r="P79" s="5568" t="s">
        <v>495</v>
      </c>
      <c r="AA79" s="5582"/>
      <c r="AF79" s="5584">
        <f t="shared" si="3"/>
        <v>0.0007</v>
      </c>
      <c r="AK79" s="5568" t="s">
        <v>427</v>
      </c>
      <c r="AL79" s="5573">
        <v>113</v>
      </c>
    </row>
    <row r="80" spans="1:38">
      <c r="A80" s="5568" t="s">
        <v>667</v>
      </c>
      <c r="B80" s="5568" t="s">
        <v>1011</v>
      </c>
      <c r="C80" s="5568">
        <v>11215</v>
      </c>
      <c r="D80" s="5568" t="str">
        <f t="shared" si="2"/>
        <v>Živinice</v>
      </c>
      <c r="E80" s="5568">
        <v>75270</v>
      </c>
      <c r="F80" s="5568" t="s">
        <v>385</v>
      </c>
      <c r="G80" s="5568">
        <v>3</v>
      </c>
      <c r="H80" s="5568" t="s">
        <v>386</v>
      </c>
      <c r="I80" s="5568" t="s">
        <v>1012</v>
      </c>
      <c r="J80" s="5568" t="s">
        <v>1013</v>
      </c>
      <c r="K80" s="5568" t="s">
        <v>1014</v>
      </c>
      <c r="L80" s="5568" t="s">
        <v>438</v>
      </c>
      <c r="M80" s="5568" t="s">
        <v>1015</v>
      </c>
      <c r="N80" s="5568">
        <v>77222</v>
      </c>
      <c r="O80" s="5568">
        <v>10227</v>
      </c>
      <c r="P80" s="5568" t="s">
        <v>406</v>
      </c>
      <c r="AA80" s="5582"/>
      <c r="AF80" s="5584">
        <f t="shared" si="3"/>
        <v>0.0005</v>
      </c>
      <c r="AK80" s="5568" t="s">
        <v>667</v>
      </c>
      <c r="AL80" s="5573">
        <v>100</v>
      </c>
    </row>
    <row r="81" spans="9:32">
      <c r="I81" s="5568" t="s">
        <v>1016</v>
      </c>
      <c r="J81" s="5568" t="s">
        <v>1017</v>
      </c>
      <c r="K81" s="5568" t="s">
        <v>1018</v>
      </c>
      <c r="L81" s="5568" t="s">
        <v>626</v>
      </c>
      <c r="M81" s="5568" t="s">
        <v>1019</v>
      </c>
      <c r="N81" s="5568">
        <v>75208</v>
      </c>
      <c r="O81" s="5568">
        <v>11088</v>
      </c>
      <c r="P81" s="5568" t="s">
        <v>385</v>
      </c>
      <c r="AA81" s="5582"/>
      <c r="AF81" s="5584"/>
    </row>
    <row r="82" spans="9:32">
      <c r="I82" s="5568" t="s">
        <v>1020</v>
      </c>
      <c r="J82" s="5568" t="s">
        <v>1021</v>
      </c>
      <c r="K82" s="5568" t="s">
        <v>1022</v>
      </c>
      <c r="L82" s="5568" t="s">
        <v>685</v>
      </c>
      <c r="M82" s="5568" t="s">
        <v>685</v>
      </c>
      <c r="N82" s="5568">
        <v>70240</v>
      </c>
      <c r="O82" s="5568">
        <v>10375</v>
      </c>
      <c r="P82" s="5568" t="s">
        <v>392</v>
      </c>
      <c r="AA82" s="5582"/>
      <c r="AF82" s="5584"/>
    </row>
    <row r="83" spans="9:32">
      <c r="I83" s="5568" t="s">
        <v>1023</v>
      </c>
      <c r="J83" s="5568" t="s">
        <v>1024</v>
      </c>
      <c r="K83" s="5568" t="s">
        <v>1025</v>
      </c>
      <c r="L83" s="5568" t="s">
        <v>861</v>
      </c>
      <c r="M83" s="5568" t="s">
        <v>1026</v>
      </c>
      <c r="N83" s="5568">
        <v>88443</v>
      </c>
      <c r="O83" s="5568">
        <v>10766</v>
      </c>
      <c r="P83" s="5568" t="s">
        <v>480</v>
      </c>
      <c r="AA83" s="5582"/>
      <c r="AF83" s="5584"/>
    </row>
    <row r="84" spans="9:32">
      <c r="I84" s="5568" t="s">
        <v>1027</v>
      </c>
      <c r="J84" s="5568" t="s">
        <v>1028</v>
      </c>
      <c r="K84" s="5568" t="s">
        <v>1029</v>
      </c>
      <c r="L84" s="5568" t="s">
        <v>467</v>
      </c>
      <c r="M84" s="5568" t="s">
        <v>467</v>
      </c>
      <c r="N84" s="5568">
        <v>75320</v>
      </c>
      <c r="O84" s="5568">
        <v>11479</v>
      </c>
      <c r="P84" s="5568" t="s">
        <v>385</v>
      </c>
      <c r="AA84" s="5582"/>
      <c r="AF84" s="5584"/>
    </row>
    <row r="85" spans="9:32">
      <c r="I85" s="5568" t="s">
        <v>1030</v>
      </c>
      <c r="J85" s="5568" t="s">
        <v>1031</v>
      </c>
      <c r="K85" s="5568" t="s">
        <v>1032</v>
      </c>
      <c r="L85" s="5568" t="s">
        <v>483</v>
      </c>
      <c r="M85" s="5568" t="s">
        <v>1033</v>
      </c>
      <c r="N85" s="5568">
        <v>70233</v>
      </c>
      <c r="O85" s="5568">
        <v>10197</v>
      </c>
      <c r="P85" s="5568" t="s">
        <v>392</v>
      </c>
      <c r="AA85" s="5582"/>
      <c r="AF85" s="5584"/>
    </row>
    <row r="86" spans="9:32">
      <c r="I86" s="5568" t="s">
        <v>1034</v>
      </c>
      <c r="J86" s="5568" t="s">
        <v>1035</v>
      </c>
      <c r="K86" s="5568" t="s">
        <v>1036</v>
      </c>
      <c r="L86" s="5568" t="s">
        <v>667</v>
      </c>
      <c r="M86" s="5568" t="s">
        <v>1037</v>
      </c>
      <c r="N86" s="5568">
        <v>75276</v>
      </c>
      <c r="O86" s="5568">
        <v>11215</v>
      </c>
      <c r="P86" s="5568" t="s">
        <v>385</v>
      </c>
      <c r="AA86" s="5582"/>
      <c r="AF86" s="5584"/>
    </row>
    <row r="87" spans="9:32">
      <c r="I87" s="5568" t="s">
        <v>1038</v>
      </c>
      <c r="J87" s="5568" t="s">
        <v>1039</v>
      </c>
      <c r="K87" s="5568" t="s">
        <v>1040</v>
      </c>
      <c r="L87" s="5568" t="s">
        <v>837</v>
      </c>
      <c r="M87" s="5568" t="s">
        <v>1041</v>
      </c>
      <c r="N87" s="5568">
        <v>88392</v>
      </c>
      <c r="O87" s="5568">
        <v>10685</v>
      </c>
      <c r="P87" s="5568" t="s">
        <v>480</v>
      </c>
      <c r="AA87" s="5582"/>
      <c r="AF87" s="5584"/>
    </row>
    <row r="88" spans="9:32">
      <c r="I88" s="5568" t="s">
        <v>1042</v>
      </c>
      <c r="J88" s="5568" t="s">
        <v>1043</v>
      </c>
      <c r="K88" s="5568" t="s">
        <v>1044</v>
      </c>
      <c r="L88" s="5568" t="s">
        <v>482</v>
      </c>
      <c r="M88" s="5568" t="s">
        <v>482</v>
      </c>
      <c r="N88" s="5568">
        <v>76250</v>
      </c>
      <c r="O88" s="5568">
        <v>10391</v>
      </c>
      <c r="P88" s="5568" t="s">
        <v>385</v>
      </c>
      <c r="AA88" s="5582"/>
      <c r="AF88" s="5584"/>
    </row>
    <row r="89" spans="9:32">
      <c r="I89" s="5568" t="s">
        <v>1045</v>
      </c>
      <c r="J89" s="5568" t="s">
        <v>1046</v>
      </c>
      <c r="K89" s="5568" t="s">
        <v>1047</v>
      </c>
      <c r="L89" s="5568" t="s">
        <v>615</v>
      </c>
      <c r="M89" s="5568" t="s">
        <v>1048</v>
      </c>
      <c r="N89" s="5568">
        <v>76234</v>
      </c>
      <c r="O89" s="5568">
        <v>11282</v>
      </c>
      <c r="P89" s="5568" t="s">
        <v>495</v>
      </c>
      <c r="AA89" s="5582"/>
      <c r="AF89" s="5584"/>
    </row>
    <row r="90" spans="9:32">
      <c r="I90" s="5568" t="s">
        <v>1049</v>
      </c>
      <c r="J90" s="5568" t="s">
        <v>1050</v>
      </c>
      <c r="K90" s="5568" t="s">
        <v>1051</v>
      </c>
      <c r="L90" s="5568" t="s">
        <v>711</v>
      </c>
      <c r="M90" s="5568" t="s">
        <v>711</v>
      </c>
      <c r="N90" s="5568">
        <v>88340</v>
      </c>
      <c r="O90" s="5568">
        <v>10405</v>
      </c>
      <c r="P90" s="5568" t="s">
        <v>524</v>
      </c>
      <c r="AA90" s="5582"/>
      <c r="AF90" s="5584"/>
    </row>
    <row r="91" spans="9:32">
      <c r="I91" s="5568" t="s">
        <v>1052</v>
      </c>
      <c r="J91" s="5568" t="s">
        <v>1053</v>
      </c>
      <c r="K91" s="5568" t="s">
        <v>1054</v>
      </c>
      <c r="L91" s="5568" t="s">
        <v>511</v>
      </c>
      <c r="M91" s="5568" t="s">
        <v>1055</v>
      </c>
      <c r="N91" s="5568">
        <v>80205</v>
      </c>
      <c r="O91" s="5568">
        <v>10588</v>
      </c>
      <c r="P91" s="5568" t="s">
        <v>437</v>
      </c>
      <c r="AA91" s="5582"/>
      <c r="AF91" s="5584"/>
    </row>
    <row r="92" spans="9:32">
      <c r="I92" s="5568" t="s">
        <v>1056</v>
      </c>
      <c r="J92" s="5568" t="s">
        <v>1057</v>
      </c>
      <c r="K92" s="5568" t="s">
        <v>1058</v>
      </c>
      <c r="L92" s="5568" t="s">
        <v>390</v>
      </c>
      <c r="M92" s="5568" t="s">
        <v>1059</v>
      </c>
      <c r="N92" s="5568">
        <v>72277</v>
      </c>
      <c r="O92" s="5568">
        <v>11061</v>
      </c>
      <c r="P92" s="5568" t="s">
        <v>392</v>
      </c>
      <c r="AA92" s="5582"/>
      <c r="AF92" s="5584"/>
    </row>
    <row r="93" spans="9:32">
      <c r="I93" s="5568" t="s">
        <v>1060</v>
      </c>
      <c r="J93" s="5568" t="s">
        <v>1061</v>
      </c>
      <c r="K93" s="5568" t="s">
        <v>1062</v>
      </c>
      <c r="L93" s="5568" t="s">
        <v>719</v>
      </c>
      <c r="M93" s="5568" t="s">
        <v>719</v>
      </c>
      <c r="N93" s="5568">
        <v>71240</v>
      </c>
      <c r="O93" s="5568">
        <v>10847</v>
      </c>
      <c r="P93" s="5568" t="s">
        <v>538</v>
      </c>
      <c r="AA93" s="5582"/>
      <c r="AF93" s="5584"/>
    </row>
    <row r="94" spans="9:32">
      <c r="I94" s="5568" t="s">
        <v>1063</v>
      </c>
      <c r="J94" s="5568" t="s">
        <v>1064</v>
      </c>
      <c r="K94" s="5568" t="s">
        <v>1065</v>
      </c>
      <c r="L94" s="5568" t="s">
        <v>649</v>
      </c>
      <c r="M94" s="5568" t="s">
        <v>1066</v>
      </c>
      <c r="N94" s="5568">
        <v>72225</v>
      </c>
      <c r="O94" s="5568">
        <v>11177</v>
      </c>
      <c r="P94" s="5568" t="s">
        <v>429</v>
      </c>
      <c r="AA94" s="5582"/>
      <c r="AF94" s="5584"/>
    </row>
    <row r="95" spans="9:32">
      <c r="I95" s="5568" t="s">
        <v>1067</v>
      </c>
      <c r="J95" s="5568" t="s">
        <v>1068</v>
      </c>
      <c r="K95" s="5568" t="s">
        <v>1069</v>
      </c>
      <c r="L95" s="5568" t="s">
        <v>502</v>
      </c>
      <c r="M95" s="5568" t="s">
        <v>1070</v>
      </c>
      <c r="N95" s="5568">
        <v>72245</v>
      </c>
      <c r="O95" s="5568">
        <v>10448</v>
      </c>
      <c r="P95" s="5568" t="s">
        <v>429</v>
      </c>
      <c r="AA95" s="5582"/>
      <c r="AF95" s="5584"/>
    </row>
    <row r="96" spans="9:32">
      <c r="I96" s="5568" t="s">
        <v>1071</v>
      </c>
      <c r="J96" s="5568" t="s">
        <v>1072</v>
      </c>
      <c r="K96" s="5568" t="s">
        <v>1073</v>
      </c>
      <c r="L96" s="5568" t="s">
        <v>390</v>
      </c>
      <c r="M96" s="5568" t="s">
        <v>1074</v>
      </c>
      <c r="N96" s="5568">
        <v>72281</v>
      </c>
      <c r="O96" s="5568">
        <v>11061</v>
      </c>
      <c r="P96" s="5568" t="s">
        <v>392</v>
      </c>
      <c r="AA96" s="5582"/>
      <c r="AF96" s="5584"/>
    </row>
    <row r="97" spans="9:32">
      <c r="I97" s="5568" t="s">
        <v>1075</v>
      </c>
      <c r="J97" s="5568" t="s">
        <v>1076</v>
      </c>
      <c r="K97" s="5568" t="s">
        <v>1077</v>
      </c>
      <c r="L97" s="5568" t="s">
        <v>595</v>
      </c>
      <c r="M97" s="5568" t="s">
        <v>1078</v>
      </c>
      <c r="N97" s="5568">
        <v>88368</v>
      </c>
      <c r="O97" s="5568">
        <v>11606</v>
      </c>
      <c r="P97" s="5568" t="s">
        <v>480</v>
      </c>
      <c r="AA97" s="5582"/>
      <c r="AF97" s="5584"/>
    </row>
    <row r="98" spans="9:32">
      <c r="I98" s="5568" t="s">
        <v>1079</v>
      </c>
      <c r="J98" s="5568" t="s">
        <v>1080</v>
      </c>
      <c r="K98" s="5568" t="s">
        <v>1081</v>
      </c>
      <c r="L98" s="5568" t="s">
        <v>837</v>
      </c>
      <c r="M98" s="5568" t="s">
        <v>1082</v>
      </c>
      <c r="N98" s="5568">
        <v>88395</v>
      </c>
      <c r="O98" s="5568">
        <v>10685</v>
      </c>
      <c r="P98" s="5568" t="s">
        <v>480</v>
      </c>
      <c r="AA98" s="5582"/>
      <c r="AF98" s="5584"/>
    </row>
    <row r="99" spans="9:32">
      <c r="I99" s="5568" t="s">
        <v>1083</v>
      </c>
      <c r="J99" s="5568" t="s">
        <v>1084</v>
      </c>
      <c r="K99" s="5568" t="s">
        <v>1085</v>
      </c>
      <c r="L99" s="5568" t="s">
        <v>626</v>
      </c>
      <c r="M99" s="5568" t="s">
        <v>1086</v>
      </c>
      <c r="N99" s="5568">
        <v>75216</v>
      </c>
      <c r="O99" s="5568">
        <v>11088</v>
      </c>
      <c r="P99" s="5568" t="s">
        <v>385</v>
      </c>
      <c r="AA99" s="5582"/>
      <c r="AF99" s="5584"/>
    </row>
    <row r="100" spans="9:32">
      <c r="I100" s="5568" t="s">
        <v>1087</v>
      </c>
      <c r="J100" s="5568" t="s">
        <v>1088</v>
      </c>
      <c r="K100" s="5568" t="s">
        <v>1089</v>
      </c>
      <c r="L100" s="5568" t="s">
        <v>837</v>
      </c>
      <c r="M100" s="5568" t="s">
        <v>1090</v>
      </c>
      <c r="N100" s="5568">
        <v>88394</v>
      </c>
      <c r="O100" s="5568">
        <v>10685</v>
      </c>
      <c r="P100" s="5568" t="s">
        <v>480</v>
      </c>
      <c r="AA100" s="5582"/>
      <c r="AF100" s="5584"/>
    </row>
    <row r="101" spans="9:32">
      <c r="I101" s="5568" t="s">
        <v>1091</v>
      </c>
      <c r="J101" s="5568" t="s">
        <v>1092</v>
      </c>
      <c r="K101" s="5568" t="s">
        <v>1093</v>
      </c>
      <c r="L101" s="5568" t="s">
        <v>557</v>
      </c>
      <c r="M101" s="5568" t="s">
        <v>557</v>
      </c>
      <c r="N101" s="5568">
        <v>71210</v>
      </c>
      <c r="O101" s="5568">
        <v>11550</v>
      </c>
      <c r="P101" s="5568" t="s">
        <v>538</v>
      </c>
      <c r="AA101" s="5582"/>
      <c r="AF101" s="5584"/>
    </row>
    <row r="102" spans="9:32">
      <c r="I102" s="5568" t="s">
        <v>1094</v>
      </c>
      <c r="J102" s="5568" t="s">
        <v>1095</v>
      </c>
      <c r="K102" s="5568" t="s">
        <v>1096</v>
      </c>
      <c r="L102" s="5568" t="s">
        <v>734</v>
      </c>
      <c r="M102" s="5568" t="s">
        <v>734</v>
      </c>
      <c r="N102" s="5568">
        <v>71380</v>
      </c>
      <c r="O102" s="5568">
        <v>10863</v>
      </c>
      <c r="P102" s="5568" t="s">
        <v>538</v>
      </c>
      <c r="AA102" s="5582"/>
      <c r="AF102" s="5584"/>
    </row>
    <row r="103" spans="9:32">
      <c r="I103" s="5568" t="s">
        <v>1097</v>
      </c>
      <c r="J103" s="5568" t="s">
        <v>1098</v>
      </c>
      <c r="K103" s="5568" t="s">
        <v>1099</v>
      </c>
      <c r="L103" s="5568" t="s">
        <v>452</v>
      </c>
      <c r="M103" s="5568" t="s">
        <v>1100</v>
      </c>
      <c r="N103" s="5568">
        <v>73208</v>
      </c>
      <c r="O103" s="5568">
        <v>11452</v>
      </c>
      <c r="P103" s="5568" t="s">
        <v>510</v>
      </c>
      <c r="AA103" s="5582"/>
      <c r="AF103" s="5584"/>
    </row>
    <row r="104" spans="9:32">
      <c r="I104" s="5568" t="s">
        <v>1101</v>
      </c>
      <c r="J104" s="5568" t="s">
        <v>1102</v>
      </c>
      <c r="K104" s="5568" t="s">
        <v>1103</v>
      </c>
      <c r="L104" s="5568" t="s">
        <v>403</v>
      </c>
      <c r="M104" s="5568" t="s">
        <v>1104</v>
      </c>
      <c r="N104" s="5568">
        <v>77208</v>
      </c>
      <c r="O104" s="5568">
        <v>10049</v>
      </c>
      <c r="P104" s="5568" t="s">
        <v>406</v>
      </c>
      <c r="AA104" s="5582"/>
      <c r="AF104" s="5584"/>
    </row>
    <row r="105" spans="9:32">
      <c r="I105" s="5568" t="s">
        <v>1105</v>
      </c>
      <c r="J105" s="5568" t="s">
        <v>1106</v>
      </c>
      <c r="K105" s="5568" t="s">
        <v>1107</v>
      </c>
      <c r="L105" s="5568" t="s">
        <v>741</v>
      </c>
      <c r="M105" s="5568" t="s">
        <v>741</v>
      </c>
      <c r="N105" s="5568">
        <v>88420</v>
      </c>
      <c r="O105" s="5568">
        <v>10421</v>
      </c>
      <c r="P105" s="5568" t="s">
        <v>480</v>
      </c>
      <c r="AA105" s="5582"/>
      <c r="AF105" s="5584"/>
    </row>
    <row r="106" spans="9:32">
      <c r="I106" s="5568" t="s">
        <v>1108</v>
      </c>
      <c r="J106" s="5568" t="s">
        <v>1109</v>
      </c>
      <c r="K106" s="5568" t="s">
        <v>1110</v>
      </c>
      <c r="L106" s="5568" t="s">
        <v>749</v>
      </c>
      <c r="M106" s="5568" t="s">
        <v>749</v>
      </c>
      <c r="N106" s="5568">
        <v>70101</v>
      </c>
      <c r="O106" s="5568">
        <v>11487</v>
      </c>
      <c r="P106" s="5568" t="s">
        <v>392</v>
      </c>
      <c r="AA106" s="5582"/>
      <c r="AF106" s="5584"/>
    </row>
    <row r="107" spans="9:32">
      <c r="I107" s="5568" t="s">
        <v>1111</v>
      </c>
      <c r="J107" s="5568" t="s">
        <v>1112</v>
      </c>
      <c r="K107" s="5568" t="s">
        <v>1113</v>
      </c>
      <c r="L107" s="5568" t="s">
        <v>658</v>
      </c>
      <c r="M107" s="5568" t="s">
        <v>1114</v>
      </c>
      <c r="N107" s="5568">
        <v>72215</v>
      </c>
      <c r="O107" s="5568">
        <v>11185</v>
      </c>
      <c r="P107" s="5568" t="s">
        <v>429</v>
      </c>
      <c r="AA107" s="5582"/>
      <c r="AF107" s="5584"/>
    </row>
    <row r="108" spans="9:32">
      <c r="I108" s="5568" t="s">
        <v>1115</v>
      </c>
      <c r="J108" s="5568" t="s">
        <v>1116</v>
      </c>
      <c r="K108" s="5568" t="s">
        <v>1117</v>
      </c>
      <c r="L108" s="5568" t="s">
        <v>614</v>
      </c>
      <c r="M108" s="5568" t="s">
        <v>1118</v>
      </c>
      <c r="N108" s="5568">
        <v>88224</v>
      </c>
      <c r="O108" s="5568">
        <v>10570</v>
      </c>
      <c r="P108" s="5568" t="s">
        <v>524</v>
      </c>
      <c r="AA108" s="5582"/>
      <c r="AF108" s="5584"/>
    </row>
    <row r="109" spans="9:32">
      <c r="I109" s="5568" t="s">
        <v>1119</v>
      </c>
      <c r="J109" s="5568" t="s">
        <v>1120</v>
      </c>
      <c r="K109" s="5568" t="s">
        <v>1121</v>
      </c>
      <c r="L109" s="5568" t="s">
        <v>939</v>
      </c>
      <c r="M109" s="5568" t="s">
        <v>1122</v>
      </c>
      <c r="N109" s="5568">
        <v>74264</v>
      </c>
      <c r="O109" s="5568">
        <v>11045</v>
      </c>
      <c r="P109" s="5568" t="s">
        <v>429</v>
      </c>
      <c r="AA109" s="5582"/>
      <c r="AF109" s="5584"/>
    </row>
    <row r="110" spans="9:32">
      <c r="I110" s="5568" t="s">
        <v>1123</v>
      </c>
      <c r="J110" s="5568" t="s">
        <v>1124</v>
      </c>
      <c r="K110" s="5568" t="s">
        <v>1125</v>
      </c>
      <c r="L110" s="5568" t="s">
        <v>421</v>
      </c>
      <c r="M110" s="5568" t="s">
        <v>1126</v>
      </c>
      <c r="N110" s="5568">
        <v>77241</v>
      </c>
      <c r="O110" s="5568">
        <v>11428</v>
      </c>
      <c r="P110" s="5568" t="s">
        <v>406</v>
      </c>
      <c r="AA110" s="5582"/>
      <c r="AF110" s="5584"/>
    </row>
    <row r="111" spans="9:32">
      <c r="I111" s="5568" t="s">
        <v>1127</v>
      </c>
      <c r="J111" s="5568" t="s">
        <v>1128</v>
      </c>
      <c r="K111" s="5568" t="s">
        <v>1129</v>
      </c>
      <c r="L111" s="5568" t="s">
        <v>497</v>
      </c>
      <c r="M111" s="5568" t="s">
        <v>1130</v>
      </c>
      <c r="N111" s="5568">
        <v>72264</v>
      </c>
      <c r="O111" s="5568">
        <v>10219</v>
      </c>
      <c r="P111" s="5568" t="s">
        <v>392</v>
      </c>
      <c r="AA111" s="5582"/>
      <c r="AF111" s="5584"/>
    </row>
    <row r="112" spans="9:32">
      <c r="I112" s="5568" t="s">
        <v>1131</v>
      </c>
      <c r="J112" s="5568" t="s">
        <v>1132</v>
      </c>
      <c r="K112" s="5568" t="s">
        <v>1133</v>
      </c>
      <c r="L112" s="5568" t="s">
        <v>502</v>
      </c>
      <c r="M112" s="5568" t="s">
        <v>502</v>
      </c>
      <c r="N112" s="5568">
        <v>72240</v>
      </c>
      <c r="O112" s="5568">
        <v>10448</v>
      </c>
      <c r="P112" s="5568" t="s">
        <v>429</v>
      </c>
      <c r="AA112" s="5582"/>
      <c r="AF112" s="5584"/>
    </row>
    <row r="113" spans="9:32">
      <c r="I113" s="5568" t="s">
        <v>1134</v>
      </c>
      <c r="J113" s="5568" t="s">
        <v>1135</v>
      </c>
      <c r="L113" s="5568" t="s">
        <v>764</v>
      </c>
      <c r="M113" s="5568" t="s">
        <v>764</v>
      </c>
      <c r="N113" s="5568">
        <v>75260</v>
      </c>
      <c r="O113" s="5568">
        <v>11495</v>
      </c>
      <c r="P113" s="5568" t="s">
        <v>385</v>
      </c>
      <c r="AA113" s="5582"/>
      <c r="AF113" s="5584"/>
    </row>
    <row r="114" spans="9:32">
      <c r="I114" s="5568" t="s">
        <v>1136</v>
      </c>
      <c r="J114" s="5568" t="s">
        <v>1137</v>
      </c>
      <c r="L114" s="5568" t="s">
        <v>403</v>
      </c>
      <c r="M114" s="5568" t="s">
        <v>1138</v>
      </c>
      <c r="N114" s="5568">
        <v>77204</v>
      </c>
      <c r="O114" s="5568">
        <v>10049</v>
      </c>
      <c r="P114" s="5568" t="s">
        <v>406</v>
      </c>
      <c r="AA114" s="5582"/>
      <c r="AF114" s="5584"/>
    </row>
    <row r="115" spans="9:32">
      <c r="I115" s="5568" t="s">
        <v>1139</v>
      </c>
      <c r="J115" s="5568" t="s">
        <v>1140</v>
      </c>
      <c r="L115" s="5568" t="s">
        <v>497</v>
      </c>
      <c r="M115" s="5568" t="s">
        <v>1141</v>
      </c>
      <c r="N115" s="5568">
        <v>72265</v>
      </c>
      <c r="O115" s="5568">
        <v>10219</v>
      </c>
      <c r="P115" s="5568" t="s">
        <v>392</v>
      </c>
      <c r="AA115" s="5582"/>
      <c r="AF115" s="5584"/>
    </row>
    <row r="116" spans="9:32">
      <c r="I116" s="5568" t="s">
        <v>1142</v>
      </c>
      <c r="J116" s="5568" t="s">
        <v>1143</v>
      </c>
      <c r="L116" s="5568" t="s">
        <v>483</v>
      </c>
      <c r="M116" s="5568" t="s">
        <v>1144</v>
      </c>
      <c r="N116" s="5568">
        <v>70235</v>
      </c>
      <c r="O116" s="5568">
        <v>10197</v>
      </c>
      <c r="P116" s="5568" t="s">
        <v>392</v>
      </c>
      <c r="AA116" s="5582"/>
      <c r="AF116" s="5584"/>
    </row>
    <row r="117" spans="9:32">
      <c r="I117" s="5568" t="s">
        <v>1145</v>
      </c>
      <c r="J117" s="5568" t="s">
        <v>1146</v>
      </c>
      <c r="L117" s="5568" t="s">
        <v>390</v>
      </c>
      <c r="M117" s="5568" t="s">
        <v>1147</v>
      </c>
      <c r="N117" s="5568">
        <v>72284</v>
      </c>
      <c r="O117" s="5568">
        <v>11061</v>
      </c>
      <c r="P117" s="5568" t="s">
        <v>392</v>
      </c>
      <c r="AA117" s="5582"/>
      <c r="AF117" s="5584"/>
    </row>
    <row r="118" spans="9:32">
      <c r="I118" s="5568" t="s">
        <v>1148</v>
      </c>
      <c r="J118" s="5568" t="s">
        <v>1149</v>
      </c>
      <c r="L118" s="5568" t="s">
        <v>945</v>
      </c>
      <c r="M118" s="5568" t="s">
        <v>1150</v>
      </c>
      <c r="N118" s="5568">
        <v>80246</v>
      </c>
      <c r="O118" s="5568">
        <v>10308</v>
      </c>
      <c r="P118" s="5568" t="s">
        <v>437</v>
      </c>
      <c r="AA118" s="5582"/>
      <c r="AF118" s="5584"/>
    </row>
    <row r="119" spans="9:32">
      <c r="I119" s="5568" t="s">
        <v>1151</v>
      </c>
      <c r="J119" s="5568" t="s">
        <v>1152</v>
      </c>
      <c r="L119" s="5568" t="s">
        <v>473</v>
      </c>
      <c r="M119" s="5568" t="s">
        <v>473</v>
      </c>
      <c r="N119" s="5568">
        <v>71250</v>
      </c>
      <c r="O119" s="5568">
        <v>10472</v>
      </c>
      <c r="P119" s="5568" t="s">
        <v>392</v>
      </c>
      <c r="AA119" s="5582"/>
      <c r="AF119" s="5584"/>
    </row>
    <row r="120" spans="9:32">
      <c r="I120" s="5568" t="s">
        <v>1153</v>
      </c>
      <c r="J120" s="5568" t="s">
        <v>1154</v>
      </c>
      <c r="L120" s="5568" t="s">
        <v>626</v>
      </c>
      <c r="M120" s="5568" t="s">
        <v>1155</v>
      </c>
      <c r="N120" s="5568">
        <v>75211</v>
      </c>
      <c r="O120" s="5568">
        <v>11088</v>
      </c>
      <c r="P120" s="5568" t="s">
        <v>385</v>
      </c>
      <c r="AA120" s="5582"/>
      <c r="AF120" s="5584"/>
    </row>
    <row r="121" spans="9:32">
      <c r="I121" s="5568" t="s">
        <v>1156</v>
      </c>
      <c r="J121" s="5568" t="s">
        <v>1157</v>
      </c>
      <c r="L121" s="5568" t="s">
        <v>778</v>
      </c>
      <c r="M121" s="5568" t="s">
        <v>778</v>
      </c>
      <c r="N121" s="5568">
        <v>75280</v>
      </c>
      <c r="O121" s="5568">
        <v>10499</v>
      </c>
      <c r="P121" s="5568" t="s">
        <v>385</v>
      </c>
      <c r="AA121" s="5582"/>
      <c r="AF121" s="5584"/>
    </row>
    <row r="122" spans="9:32">
      <c r="I122" s="5568" t="s">
        <v>1158</v>
      </c>
      <c r="J122" s="5568" t="s">
        <v>1159</v>
      </c>
      <c r="L122" s="5568" t="s">
        <v>539</v>
      </c>
      <c r="M122" s="5568" t="s">
        <v>1160</v>
      </c>
      <c r="N122" s="5568">
        <v>88324</v>
      </c>
      <c r="O122" s="5568">
        <v>10626</v>
      </c>
      <c r="P122" s="5568" t="s">
        <v>524</v>
      </c>
      <c r="AA122" s="5582"/>
      <c r="AF122" s="5584"/>
    </row>
    <row r="123" spans="9:32">
      <c r="I123" s="5568" t="s">
        <v>1161</v>
      </c>
      <c r="J123" s="5568" t="s">
        <v>1162</v>
      </c>
      <c r="L123" s="5568" t="s">
        <v>578</v>
      </c>
      <c r="M123" s="5568" t="s">
        <v>1163</v>
      </c>
      <c r="N123" s="5568">
        <v>74207</v>
      </c>
      <c r="O123" s="5568">
        <v>11258</v>
      </c>
      <c r="P123" s="5568" t="s">
        <v>385</v>
      </c>
      <c r="AA123" s="5582"/>
      <c r="AF123" s="5584"/>
    </row>
    <row r="124" spans="9:32">
      <c r="I124" s="5568" t="s">
        <v>1164</v>
      </c>
      <c r="J124" s="5568" t="s">
        <v>1165</v>
      </c>
      <c r="L124" s="5568" t="s">
        <v>785</v>
      </c>
      <c r="M124" s="5568" t="s">
        <v>785</v>
      </c>
      <c r="N124" s="5568">
        <v>79280</v>
      </c>
      <c r="O124" s="5568">
        <v>11509</v>
      </c>
      <c r="P124" s="5568" t="s">
        <v>406</v>
      </c>
      <c r="AA124" s="5582"/>
      <c r="AF124" s="5584"/>
    </row>
    <row r="125" spans="9:32">
      <c r="I125" s="5568" t="s">
        <v>1166</v>
      </c>
      <c r="J125" s="5568" t="s">
        <v>1167</v>
      </c>
      <c r="L125" s="5568" t="s">
        <v>614</v>
      </c>
      <c r="M125" s="5568" t="s">
        <v>1168</v>
      </c>
      <c r="N125" s="5568">
        <v>88226</v>
      </c>
      <c r="O125" s="5568">
        <v>10570</v>
      </c>
      <c r="P125" s="5568" t="s">
        <v>524</v>
      </c>
      <c r="AA125" s="5582"/>
      <c r="AF125" s="5584"/>
    </row>
    <row r="126" spans="9:32">
      <c r="I126" s="5568" t="s">
        <v>1169</v>
      </c>
      <c r="J126" s="5568" t="s">
        <v>1170</v>
      </c>
      <c r="L126" s="5568" t="s">
        <v>945</v>
      </c>
      <c r="M126" s="5568" t="s">
        <v>1171</v>
      </c>
      <c r="N126" s="5568">
        <v>80244</v>
      </c>
      <c r="O126" s="5568">
        <v>10308</v>
      </c>
      <c r="P126" s="5568" t="s">
        <v>437</v>
      </c>
      <c r="AA126" s="5582"/>
      <c r="AF126" s="5584"/>
    </row>
    <row r="127" spans="9:32">
      <c r="I127" s="5568" t="s">
        <v>1172</v>
      </c>
      <c r="J127" s="5568" t="s">
        <v>1173</v>
      </c>
      <c r="L127" s="5568" t="s">
        <v>496</v>
      </c>
      <c r="M127" s="5568" t="s">
        <v>496</v>
      </c>
      <c r="N127" s="5568">
        <v>88400</v>
      </c>
      <c r="O127" s="5568">
        <v>10529</v>
      </c>
      <c r="P127" s="5568" t="s">
        <v>480</v>
      </c>
      <c r="AA127" s="5582"/>
      <c r="AF127" s="5584"/>
    </row>
    <row r="128" spans="9:32">
      <c r="I128" s="5568" t="s">
        <v>1174</v>
      </c>
      <c r="J128" s="5568" t="s">
        <v>1175</v>
      </c>
      <c r="L128" s="5568" t="s">
        <v>512</v>
      </c>
      <c r="M128" s="5568" t="s">
        <v>1176</v>
      </c>
      <c r="N128" s="5568">
        <v>77249</v>
      </c>
      <c r="O128" s="5568">
        <v>11240</v>
      </c>
      <c r="P128" s="5568" t="s">
        <v>406</v>
      </c>
      <c r="AA128" s="5582"/>
      <c r="AF128" s="5584"/>
    </row>
    <row r="129" spans="9:32">
      <c r="I129" s="5568" t="s">
        <v>1177</v>
      </c>
      <c r="J129" s="5568" t="s">
        <v>1178</v>
      </c>
      <c r="L129" s="5568" t="s">
        <v>825</v>
      </c>
      <c r="M129" s="5568" t="s">
        <v>1179</v>
      </c>
      <c r="N129" s="5568">
        <v>74253</v>
      </c>
      <c r="O129" s="5568">
        <v>10634</v>
      </c>
      <c r="P129" s="5568" t="s">
        <v>429</v>
      </c>
      <c r="AA129" s="5582"/>
      <c r="AF129" s="5584"/>
    </row>
    <row r="130" spans="9:32">
      <c r="I130" s="5568" t="s">
        <v>1180</v>
      </c>
      <c r="J130" s="5568" t="s">
        <v>1181</v>
      </c>
      <c r="L130" s="5568" t="s">
        <v>565</v>
      </c>
      <c r="M130" s="5568" t="s">
        <v>1182</v>
      </c>
      <c r="N130" s="5568">
        <v>76276</v>
      </c>
      <c r="O130" s="5568">
        <v>11533</v>
      </c>
      <c r="P130" s="5568" t="s">
        <v>495</v>
      </c>
      <c r="AA130" s="5582"/>
      <c r="AF130" s="5584"/>
    </row>
    <row r="131" spans="9:32">
      <c r="I131" s="5568" t="s">
        <v>1183</v>
      </c>
      <c r="J131" s="5568" t="s">
        <v>1184</v>
      </c>
      <c r="L131" s="5568" t="s">
        <v>649</v>
      </c>
      <c r="M131" s="5568" t="s">
        <v>1185</v>
      </c>
      <c r="N131" s="5568">
        <v>72226</v>
      </c>
      <c r="O131" s="5568">
        <v>11177</v>
      </c>
      <c r="P131" s="5568" t="s">
        <v>429</v>
      </c>
      <c r="AA131" s="5582"/>
      <c r="AF131" s="5584"/>
    </row>
    <row r="132" spans="9:32">
      <c r="I132" s="5568" t="s">
        <v>1186</v>
      </c>
      <c r="J132" s="5568" t="s">
        <v>1187</v>
      </c>
      <c r="L132" s="5568" t="s">
        <v>502</v>
      </c>
      <c r="M132" s="5568" t="s">
        <v>1188</v>
      </c>
      <c r="N132" s="5568">
        <v>72244</v>
      </c>
      <c r="O132" s="5568">
        <v>10448</v>
      </c>
      <c r="P132" s="5568" t="s">
        <v>429</v>
      </c>
      <c r="AA132" s="5582"/>
      <c r="AF132" s="5584"/>
    </row>
    <row r="133" spans="9:32">
      <c r="I133" s="5568" t="s">
        <v>1189</v>
      </c>
      <c r="J133" s="5568" t="s">
        <v>1190</v>
      </c>
      <c r="L133" s="5568" t="s">
        <v>785</v>
      </c>
      <c r="M133" s="5568" t="s">
        <v>1191</v>
      </c>
      <c r="N133" s="5568">
        <v>79284</v>
      </c>
      <c r="O133" s="5568">
        <v>11509</v>
      </c>
      <c r="P133" s="5568" t="s">
        <v>406</v>
      </c>
      <c r="AA133" s="5582"/>
      <c r="AF133" s="5584"/>
    </row>
    <row r="134" spans="9:32">
      <c r="I134" s="5568" t="s">
        <v>1192</v>
      </c>
      <c r="J134" s="5568" t="s">
        <v>1193</v>
      </c>
      <c r="L134" s="5568" t="s">
        <v>800</v>
      </c>
      <c r="M134" s="5568" t="s">
        <v>800</v>
      </c>
      <c r="N134" s="5568">
        <v>71260</v>
      </c>
      <c r="O134" s="5568">
        <v>10545</v>
      </c>
      <c r="P134" s="5568" t="s">
        <v>392</v>
      </c>
      <c r="AA134" s="5582"/>
      <c r="AF134" s="5584"/>
    </row>
    <row r="135" spans="9:32">
      <c r="I135" s="5568" t="s">
        <v>1194</v>
      </c>
      <c r="J135" s="5568" t="s">
        <v>1195</v>
      </c>
      <c r="L135" s="5568" t="s">
        <v>440</v>
      </c>
      <c r="M135" s="5568" t="s">
        <v>1196</v>
      </c>
      <c r="N135" s="5568">
        <v>77253</v>
      </c>
      <c r="O135" s="5568">
        <v>11436</v>
      </c>
      <c r="P135" s="5568" t="s">
        <v>406</v>
      </c>
      <c r="AA135" s="5582"/>
      <c r="AF135" s="5584"/>
    </row>
    <row r="136" spans="9:32">
      <c r="I136" s="5568" t="s">
        <v>1197</v>
      </c>
      <c r="J136" s="5568" t="s">
        <v>1198</v>
      </c>
      <c r="L136" s="5568" t="s">
        <v>530</v>
      </c>
      <c r="M136" s="5568" t="s">
        <v>1199</v>
      </c>
      <c r="N136" s="5568">
        <v>88203</v>
      </c>
      <c r="O136" s="5568">
        <v>11410</v>
      </c>
      <c r="P136" s="5568" t="s">
        <v>480</v>
      </c>
      <c r="AA136" s="5582"/>
      <c r="AF136" s="5584"/>
    </row>
    <row r="137" spans="9:32">
      <c r="I137" s="5568" t="s">
        <v>1200</v>
      </c>
      <c r="J137" s="5568" t="s">
        <v>1201</v>
      </c>
      <c r="L137" s="5568" t="s">
        <v>403</v>
      </c>
      <c r="M137" s="5568" t="s">
        <v>1202</v>
      </c>
      <c r="N137" s="5568">
        <v>77206</v>
      </c>
      <c r="O137" s="5568">
        <v>10049</v>
      </c>
      <c r="P137" s="5568" t="s">
        <v>406</v>
      </c>
      <c r="AA137" s="5582"/>
      <c r="AF137" s="5584"/>
    </row>
    <row r="138" spans="9:32">
      <c r="I138" s="5568" t="s">
        <v>1203</v>
      </c>
      <c r="J138" s="5568" t="s">
        <v>1204</v>
      </c>
      <c r="L138" s="5568" t="s">
        <v>805</v>
      </c>
      <c r="M138" s="5568" t="s">
        <v>805</v>
      </c>
      <c r="N138" s="5568">
        <v>80320</v>
      </c>
      <c r="O138" s="5568">
        <v>11517</v>
      </c>
      <c r="P138" s="5568" t="s">
        <v>437</v>
      </c>
      <c r="AA138" s="5582"/>
      <c r="AF138" s="5584"/>
    </row>
    <row r="139" spans="9:32">
      <c r="I139" s="5568" t="s">
        <v>1205</v>
      </c>
      <c r="J139" s="5568" t="s">
        <v>1206</v>
      </c>
      <c r="L139" s="5568" t="s">
        <v>473</v>
      </c>
      <c r="M139" s="5568" t="s">
        <v>1207</v>
      </c>
      <c r="N139" s="5568">
        <v>71254</v>
      </c>
      <c r="O139" s="5568">
        <v>10472</v>
      </c>
      <c r="P139" s="5568" t="s">
        <v>392</v>
      </c>
      <c r="AA139" s="5582"/>
      <c r="AF139" s="5584"/>
    </row>
    <row r="140" spans="9:32">
      <c r="I140" s="5568" t="s">
        <v>1208</v>
      </c>
      <c r="J140" s="5568" t="s">
        <v>1209</v>
      </c>
      <c r="L140" s="5568" t="s">
        <v>626</v>
      </c>
      <c r="M140" s="5568" t="s">
        <v>1210</v>
      </c>
      <c r="N140" s="5568">
        <v>75213</v>
      </c>
      <c r="O140" s="5568">
        <v>11088</v>
      </c>
      <c r="P140" s="5568" t="s">
        <v>385</v>
      </c>
      <c r="AA140" s="5582"/>
      <c r="AF140" s="5584"/>
    </row>
    <row r="141" spans="9:32">
      <c r="I141" s="5568" t="s">
        <v>1211</v>
      </c>
      <c r="J141" s="5568" t="s">
        <v>1212</v>
      </c>
      <c r="L141" s="5568" t="s">
        <v>511</v>
      </c>
      <c r="M141" s="5568" t="s">
        <v>1213</v>
      </c>
      <c r="N141" s="5568">
        <v>80204</v>
      </c>
      <c r="O141" s="5568">
        <v>10588</v>
      </c>
      <c r="P141" s="5568" t="s">
        <v>437</v>
      </c>
      <c r="AA141" s="5582"/>
      <c r="AF141" s="5584"/>
    </row>
    <row r="142" spans="9:32">
      <c r="I142" s="5568" t="s">
        <v>1214</v>
      </c>
      <c r="J142" s="5568" t="s">
        <v>1215</v>
      </c>
      <c r="L142" s="5568" t="s">
        <v>511</v>
      </c>
      <c r="M142" s="5568" t="s">
        <v>511</v>
      </c>
      <c r="N142" s="5568">
        <v>80101</v>
      </c>
      <c r="O142" s="5568">
        <v>10588</v>
      </c>
      <c r="P142" s="5568" t="s">
        <v>437</v>
      </c>
      <c r="AA142" s="5582"/>
      <c r="AF142" s="5584"/>
    </row>
    <row r="143" spans="9:32">
      <c r="I143" s="5568" t="s">
        <v>1216</v>
      </c>
      <c r="J143" s="5568" t="s">
        <v>1217</v>
      </c>
      <c r="L143" s="5568" t="s">
        <v>525</v>
      </c>
      <c r="M143" s="5568" t="s">
        <v>525</v>
      </c>
      <c r="N143" s="5568">
        <v>75300</v>
      </c>
      <c r="O143" s="5568">
        <v>10600</v>
      </c>
      <c r="P143" s="5568" t="s">
        <v>385</v>
      </c>
      <c r="AA143" s="5582"/>
      <c r="AF143" s="5584"/>
    </row>
    <row r="144" spans="9:32">
      <c r="I144" s="5568" t="s">
        <v>1218</v>
      </c>
      <c r="J144" s="5568" t="s">
        <v>1219</v>
      </c>
      <c r="L144" s="5568" t="s">
        <v>467</v>
      </c>
      <c r="M144" s="5568" t="s">
        <v>1220</v>
      </c>
      <c r="N144" s="5568">
        <v>75327</v>
      </c>
      <c r="O144" s="5568">
        <v>11479</v>
      </c>
      <c r="P144" s="5568" t="s">
        <v>385</v>
      </c>
      <c r="AA144" s="5582"/>
      <c r="AF144" s="5584"/>
    </row>
    <row r="145" spans="9:32">
      <c r="I145" s="5568" t="s">
        <v>1221</v>
      </c>
      <c r="J145" s="5568" t="s">
        <v>1222</v>
      </c>
      <c r="L145" s="5568" t="s">
        <v>511</v>
      </c>
      <c r="M145" s="5568" t="s">
        <v>1223</v>
      </c>
      <c r="N145" s="5568">
        <v>80203</v>
      </c>
      <c r="O145" s="5568">
        <v>10588</v>
      </c>
      <c r="P145" s="5568" t="s">
        <v>437</v>
      </c>
      <c r="AA145" s="5582"/>
      <c r="AF145" s="5584"/>
    </row>
    <row r="146" spans="9:32">
      <c r="I146" s="5568" t="s">
        <v>1224</v>
      </c>
      <c r="J146" s="5568" t="s">
        <v>1225</v>
      </c>
      <c r="L146" s="5568" t="s">
        <v>884</v>
      </c>
      <c r="M146" s="5568" t="s">
        <v>1226</v>
      </c>
      <c r="N146" s="5568">
        <v>79267</v>
      </c>
      <c r="O146" s="5568">
        <v>11541</v>
      </c>
      <c r="P146" s="5568" t="s">
        <v>406</v>
      </c>
      <c r="AA146" s="5582"/>
      <c r="AF146" s="5584"/>
    </row>
    <row r="147" spans="9:32">
      <c r="I147" s="5568" t="s">
        <v>1227</v>
      </c>
      <c r="J147" s="5568" t="s">
        <v>1228</v>
      </c>
      <c r="L147" s="5568" t="s">
        <v>626</v>
      </c>
      <c r="M147" s="5568" t="s">
        <v>1229</v>
      </c>
      <c r="N147" s="5568">
        <v>75214</v>
      </c>
      <c r="O147" s="5568">
        <v>11088</v>
      </c>
      <c r="P147" s="5568" t="s">
        <v>385</v>
      </c>
      <c r="AA147" s="5582"/>
      <c r="AF147" s="5584"/>
    </row>
    <row r="148" spans="9:32">
      <c r="I148" s="5568" t="s">
        <v>1230</v>
      </c>
      <c r="J148" s="5568" t="s">
        <v>1231</v>
      </c>
      <c r="L148" s="5568" t="s">
        <v>539</v>
      </c>
      <c r="M148" s="5568" t="s">
        <v>539</v>
      </c>
      <c r="N148" s="5568">
        <v>88320</v>
      </c>
      <c r="O148" s="5568">
        <v>10626</v>
      </c>
      <c r="P148" s="5568" t="s">
        <v>524</v>
      </c>
      <c r="AA148" s="5582"/>
      <c r="AF148" s="5584"/>
    </row>
    <row r="149" spans="9:32">
      <c r="I149" s="5568" t="s">
        <v>1232</v>
      </c>
      <c r="J149" s="5568" t="s">
        <v>1233</v>
      </c>
      <c r="L149" s="5568" t="s">
        <v>614</v>
      </c>
      <c r="M149" s="5568" t="s">
        <v>1234</v>
      </c>
      <c r="N149" s="5568">
        <v>88223</v>
      </c>
      <c r="O149" s="5568">
        <v>10570</v>
      </c>
      <c r="P149" s="5568" t="s">
        <v>524</v>
      </c>
      <c r="AA149" s="5582"/>
      <c r="AF149" s="5584"/>
    </row>
    <row r="150" spans="9:32">
      <c r="I150" s="5568" t="s">
        <v>1235</v>
      </c>
      <c r="J150" s="5568" t="s">
        <v>1236</v>
      </c>
      <c r="L150" s="5568" t="s">
        <v>825</v>
      </c>
      <c r="M150" s="5568" t="s">
        <v>825</v>
      </c>
      <c r="N150" s="5568">
        <v>74250</v>
      </c>
      <c r="O150" s="5568">
        <v>10634</v>
      </c>
      <c r="P150" s="5568" t="s">
        <v>429</v>
      </c>
      <c r="AA150" s="5582"/>
      <c r="AF150" s="5584"/>
    </row>
    <row r="151" spans="9:32">
      <c r="I151" s="5568" t="s">
        <v>1237</v>
      </c>
      <c r="J151" s="5568" t="s">
        <v>1238</v>
      </c>
      <c r="L151" s="5568" t="s">
        <v>977</v>
      </c>
      <c r="M151" s="5568" t="s">
        <v>1239</v>
      </c>
      <c r="N151" s="5568">
        <v>77235</v>
      </c>
      <c r="O151" s="5568">
        <v>11118</v>
      </c>
      <c r="P151" s="5568" t="s">
        <v>406</v>
      </c>
      <c r="AA151" s="5582"/>
      <c r="AF151" s="5584"/>
    </row>
    <row r="152" spans="9:32">
      <c r="I152" s="5568" t="s">
        <v>1240</v>
      </c>
      <c r="J152" s="5568" t="s">
        <v>1241</v>
      </c>
      <c r="L152" s="5568" t="s">
        <v>467</v>
      </c>
      <c r="M152" s="5568" t="s">
        <v>1242</v>
      </c>
      <c r="N152" s="5568">
        <v>75326</v>
      </c>
      <c r="O152" s="5568">
        <v>11479</v>
      </c>
      <c r="P152" s="5568" t="s">
        <v>385</v>
      </c>
      <c r="AA152" s="5582"/>
      <c r="AF152" s="5584"/>
    </row>
    <row r="153" spans="9:32">
      <c r="I153" s="5568" t="s">
        <v>1243</v>
      </c>
      <c r="J153" s="5568" t="s">
        <v>1244</v>
      </c>
      <c r="L153" s="5568" t="s">
        <v>565</v>
      </c>
      <c r="M153" s="5568" t="s">
        <v>1245</v>
      </c>
      <c r="N153" s="5568">
        <v>76271</v>
      </c>
      <c r="O153" s="5568">
        <v>11533</v>
      </c>
      <c r="P153" s="5568" t="s">
        <v>495</v>
      </c>
      <c r="AA153" s="5582"/>
      <c r="AF153" s="5584"/>
    </row>
    <row r="154" spans="9:32">
      <c r="I154" s="5568" t="s">
        <v>1246</v>
      </c>
      <c r="J154" s="5568" t="s">
        <v>1247</v>
      </c>
      <c r="L154" s="5568" t="s">
        <v>488</v>
      </c>
      <c r="M154" s="5568" t="s">
        <v>1248</v>
      </c>
      <c r="N154" s="5568">
        <v>88266</v>
      </c>
      <c r="O154" s="5568">
        <v>10260</v>
      </c>
      <c r="P154" s="5568" t="s">
        <v>480</v>
      </c>
      <c r="AA154" s="5582"/>
      <c r="AF154" s="5584"/>
    </row>
    <row r="155" spans="9:32">
      <c r="I155" s="5568" t="s">
        <v>1249</v>
      </c>
      <c r="J155" s="5568" t="s">
        <v>1250</v>
      </c>
      <c r="L155" s="5568" t="s">
        <v>390</v>
      </c>
      <c r="M155" s="5568" t="s">
        <v>1251</v>
      </c>
      <c r="N155" s="5568">
        <v>72282</v>
      </c>
      <c r="O155" s="5568">
        <v>11061</v>
      </c>
      <c r="P155" s="5568" t="s">
        <v>392</v>
      </c>
      <c r="AA155" s="5582"/>
      <c r="AF155" s="5584"/>
    </row>
    <row r="156" spans="9:32">
      <c r="I156" s="5568" t="s">
        <v>1252</v>
      </c>
      <c r="J156" s="5568" t="s">
        <v>1253</v>
      </c>
      <c r="L156" s="5568" t="s">
        <v>945</v>
      </c>
      <c r="M156" s="5568" t="s">
        <v>1254</v>
      </c>
      <c r="N156" s="5568">
        <v>80243</v>
      </c>
      <c r="O156" s="5568">
        <v>10308</v>
      </c>
      <c r="P156" s="5568" t="s">
        <v>437</v>
      </c>
      <c r="AA156" s="5582"/>
      <c r="AF156" s="5584"/>
    </row>
    <row r="157" spans="9:32">
      <c r="I157" s="5568" t="s">
        <v>1255</v>
      </c>
      <c r="J157" s="5568" t="s">
        <v>1256</v>
      </c>
      <c r="L157" s="5568" t="s">
        <v>467</v>
      </c>
      <c r="M157" s="5568" t="s">
        <v>1257</v>
      </c>
      <c r="N157" s="5568">
        <v>75329</v>
      </c>
      <c r="O157" s="5568">
        <v>11479</v>
      </c>
      <c r="P157" s="5568" t="s">
        <v>385</v>
      </c>
      <c r="AA157" s="5582"/>
      <c r="AF157" s="5584"/>
    </row>
    <row r="158" spans="9:32">
      <c r="I158" s="5568" t="s">
        <v>1258</v>
      </c>
      <c r="J158" s="5568" t="s">
        <v>1259</v>
      </c>
      <c r="L158" s="5568" t="s">
        <v>530</v>
      </c>
      <c r="M158" s="5568" t="s">
        <v>530</v>
      </c>
      <c r="N158" s="5568">
        <v>88000</v>
      </c>
      <c r="O158" s="5568">
        <v>11410</v>
      </c>
      <c r="P158" s="5568" t="s">
        <v>480</v>
      </c>
      <c r="AA158" s="5582"/>
      <c r="AF158" s="5584"/>
    </row>
    <row r="159" spans="9:32">
      <c r="I159" s="5568" t="s">
        <v>1260</v>
      </c>
      <c r="J159" s="5568" t="s">
        <v>1261</v>
      </c>
      <c r="L159" s="5568" t="s">
        <v>626</v>
      </c>
      <c r="M159" s="5568" t="s">
        <v>1262</v>
      </c>
      <c r="N159" s="5568">
        <v>75212</v>
      </c>
      <c r="O159" s="5568">
        <v>11088</v>
      </c>
      <c r="P159" s="5568" t="s">
        <v>385</v>
      </c>
      <c r="AA159" s="5582"/>
      <c r="AF159" s="5584"/>
    </row>
    <row r="160" spans="9:32">
      <c r="I160" s="5568" t="s">
        <v>1263</v>
      </c>
      <c r="J160" s="5568" t="s">
        <v>1264</v>
      </c>
      <c r="L160" s="5568" t="s">
        <v>452</v>
      </c>
      <c r="M160" s="5568" t="s">
        <v>1265</v>
      </c>
      <c r="N160" s="5568">
        <v>73206</v>
      </c>
      <c r="O160" s="5568">
        <v>11452</v>
      </c>
      <c r="P160" s="5568" t="s">
        <v>510</v>
      </c>
      <c r="AA160" s="5582"/>
      <c r="AF160" s="5584"/>
    </row>
    <row r="161" spans="9:32">
      <c r="I161" s="5568" t="s">
        <v>1266</v>
      </c>
      <c r="J161" s="5568" t="s">
        <v>1267</v>
      </c>
      <c r="L161" s="5568" t="s">
        <v>658</v>
      </c>
      <c r="M161" s="5568" t="s">
        <v>1268</v>
      </c>
      <c r="N161" s="5568">
        <v>72212</v>
      </c>
      <c r="O161" s="5568">
        <v>11185</v>
      </c>
      <c r="P161" s="5568" t="s">
        <v>429</v>
      </c>
      <c r="AA161" s="5582"/>
      <c r="AF161" s="5584"/>
    </row>
    <row r="162" spans="9:32">
      <c r="I162" s="5568" t="s">
        <v>1269</v>
      </c>
      <c r="J162" s="5568" t="s">
        <v>1270</v>
      </c>
      <c r="L162" s="5568" t="s">
        <v>837</v>
      </c>
      <c r="M162" s="5568" t="s">
        <v>837</v>
      </c>
      <c r="N162" s="5568">
        <v>88390</v>
      </c>
      <c r="O162" s="5568">
        <v>10685</v>
      </c>
      <c r="P162" s="5568" t="s">
        <v>480</v>
      </c>
      <c r="AA162" s="5582"/>
      <c r="AF162" s="5584"/>
    </row>
    <row r="163" spans="9:32">
      <c r="I163" s="5568" t="s">
        <v>1271</v>
      </c>
      <c r="J163" s="5568" t="s">
        <v>1272</v>
      </c>
      <c r="L163" s="5568" t="s">
        <v>734</v>
      </c>
      <c r="M163" s="5568" t="s">
        <v>1273</v>
      </c>
      <c r="N163" s="5568">
        <v>71383</v>
      </c>
      <c r="O163" s="5568">
        <v>10863</v>
      </c>
      <c r="P163" s="5568" t="s">
        <v>538</v>
      </c>
      <c r="AA163" s="5582"/>
      <c r="AF163" s="5584"/>
    </row>
    <row r="164" spans="9:32">
      <c r="I164" s="5568" t="s">
        <v>1274</v>
      </c>
      <c r="J164" s="5568" t="s">
        <v>1275</v>
      </c>
      <c r="L164" s="5568" t="s">
        <v>390</v>
      </c>
      <c r="M164" s="5568" t="s">
        <v>1276</v>
      </c>
      <c r="N164" s="5568">
        <v>72276</v>
      </c>
      <c r="O164" s="5568">
        <v>11061</v>
      </c>
      <c r="P164" s="5568" t="s">
        <v>392</v>
      </c>
      <c r="AA164" s="5582"/>
      <c r="AF164" s="5584"/>
    </row>
    <row r="165" spans="9:32">
      <c r="I165" s="5568" t="s">
        <v>1277</v>
      </c>
      <c r="J165" s="5568" t="s">
        <v>1278</v>
      </c>
      <c r="L165" s="5568" t="s">
        <v>825</v>
      </c>
      <c r="M165" s="5568" t="s">
        <v>1279</v>
      </c>
      <c r="N165" s="5568">
        <v>74254</v>
      </c>
      <c r="O165" s="5568">
        <v>10634</v>
      </c>
      <c r="P165" s="5568" t="s">
        <v>429</v>
      </c>
      <c r="AA165" s="5582"/>
      <c r="AF165" s="5584"/>
    </row>
    <row r="166" spans="9:32">
      <c r="I166" s="5568" t="s">
        <v>1280</v>
      </c>
      <c r="J166" s="5568" t="s">
        <v>1281</v>
      </c>
      <c r="L166" s="5568" t="s">
        <v>699</v>
      </c>
      <c r="M166" s="5568" t="s">
        <v>699</v>
      </c>
      <c r="N166" s="5568">
        <v>72290</v>
      </c>
      <c r="O166" s="5568">
        <v>10774</v>
      </c>
      <c r="P166" s="5568" t="s">
        <v>392</v>
      </c>
      <c r="AA166" s="5582"/>
      <c r="AF166" s="5584"/>
    </row>
    <row r="167" spans="9:32">
      <c r="I167" s="5568" t="s">
        <v>1282</v>
      </c>
      <c r="J167" s="5568" t="s">
        <v>1283</v>
      </c>
      <c r="L167" s="5568" t="s">
        <v>627</v>
      </c>
      <c r="M167" s="5568" t="s">
        <v>1284</v>
      </c>
      <c r="N167" s="5568">
        <v>70225</v>
      </c>
      <c r="O167" s="5568">
        <v>10294</v>
      </c>
      <c r="P167" s="5568" t="s">
        <v>392</v>
      </c>
      <c r="AA167" s="5582"/>
      <c r="AF167" s="5584"/>
    </row>
    <row r="168" spans="9:32">
      <c r="I168" s="5568" t="s">
        <v>1285</v>
      </c>
      <c r="J168" s="5568" t="s">
        <v>1286</v>
      </c>
      <c r="L168" s="5568" t="s">
        <v>847</v>
      </c>
      <c r="M168" s="5568" t="s">
        <v>847</v>
      </c>
      <c r="N168" s="5568">
        <v>76290</v>
      </c>
      <c r="O168" s="5568">
        <v>11525</v>
      </c>
      <c r="P168" s="5568" t="s">
        <v>495</v>
      </c>
      <c r="AA168" s="5582"/>
      <c r="AF168" s="5584"/>
    </row>
    <row r="169" spans="9:32">
      <c r="I169" s="5568" t="s">
        <v>1287</v>
      </c>
      <c r="J169" s="5568" t="s">
        <v>1288</v>
      </c>
      <c r="L169" s="5568" t="s">
        <v>760</v>
      </c>
      <c r="M169" s="5568" t="s">
        <v>760</v>
      </c>
      <c r="N169" s="5568">
        <v>71340</v>
      </c>
      <c r="O169" s="5568">
        <v>10715</v>
      </c>
      <c r="P169" s="5568" t="s">
        <v>429</v>
      </c>
      <c r="AA169" s="5582"/>
      <c r="AF169" s="5584"/>
    </row>
    <row r="170" spans="9:32">
      <c r="I170" s="5568" t="s">
        <v>1289</v>
      </c>
      <c r="J170" s="5568" t="s">
        <v>1290</v>
      </c>
      <c r="L170" s="5568" t="s">
        <v>467</v>
      </c>
      <c r="M170" s="5568" t="s">
        <v>1291</v>
      </c>
      <c r="N170" s="5568">
        <v>75323</v>
      </c>
      <c r="O170" s="5568">
        <v>11479</v>
      </c>
      <c r="P170" s="5568" t="s">
        <v>385</v>
      </c>
      <c r="AA170" s="5582"/>
      <c r="AF170" s="5584"/>
    </row>
    <row r="171" spans="9:32">
      <c r="I171" s="5568" t="s">
        <v>1292</v>
      </c>
      <c r="J171" s="5568" t="s">
        <v>1293</v>
      </c>
      <c r="L171" s="5568" t="s">
        <v>565</v>
      </c>
      <c r="M171" s="5568" t="s">
        <v>565</v>
      </c>
      <c r="N171" s="5568">
        <v>76270</v>
      </c>
      <c r="O171" s="5568">
        <v>11533</v>
      </c>
      <c r="P171" s="5568" t="s">
        <v>495</v>
      </c>
      <c r="AA171" s="5582"/>
      <c r="AF171" s="5584"/>
    </row>
    <row r="172" spans="9:32">
      <c r="I172" s="5568" t="s">
        <v>1294</v>
      </c>
      <c r="J172" s="5568" t="s">
        <v>1295</v>
      </c>
      <c r="L172" s="5568" t="s">
        <v>511</v>
      </c>
      <c r="M172" s="5568" t="s">
        <v>1296</v>
      </c>
      <c r="N172" s="5568">
        <v>80206</v>
      </c>
      <c r="O172" s="5568">
        <v>10588</v>
      </c>
      <c r="P172" s="5568" t="s">
        <v>437</v>
      </c>
      <c r="AA172" s="5582"/>
      <c r="AF172" s="5584"/>
    </row>
    <row r="173" spans="9:32">
      <c r="I173" s="5568" t="s">
        <v>1297</v>
      </c>
      <c r="J173" s="5568" t="s">
        <v>1298</v>
      </c>
      <c r="L173" s="5568" t="s">
        <v>438</v>
      </c>
      <c r="M173" s="5568" t="s">
        <v>1299</v>
      </c>
      <c r="N173" s="5568">
        <v>77228</v>
      </c>
      <c r="O173" s="5568">
        <v>10227</v>
      </c>
      <c r="P173" s="5568" t="s">
        <v>406</v>
      </c>
      <c r="AA173" s="5582"/>
      <c r="AF173" s="5584"/>
    </row>
    <row r="174" spans="9:32">
      <c r="I174" s="5568" t="s">
        <v>1300</v>
      </c>
      <c r="J174" s="5568" t="s">
        <v>1301</v>
      </c>
      <c r="L174" s="5568" t="s">
        <v>741</v>
      </c>
      <c r="M174" s="5568" t="s">
        <v>1302</v>
      </c>
      <c r="N174" s="5568">
        <v>88423</v>
      </c>
      <c r="O174" s="5568">
        <v>10421</v>
      </c>
      <c r="P174" s="5568" t="s">
        <v>480</v>
      </c>
      <c r="AA174" s="5582"/>
      <c r="AF174" s="5584"/>
    </row>
    <row r="175" spans="9:32">
      <c r="I175" s="5568" t="s">
        <v>1303</v>
      </c>
      <c r="J175" s="5568" t="s">
        <v>1304</v>
      </c>
      <c r="L175" s="5568" t="s">
        <v>565</v>
      </c>
      <c r="M175" s="5568" t="s">
        <v>1305</v>
      </c>
      <c r="N175" s="5568">
        <v>76279</v>
      </c>
      <c r="O175" s="5568">
        <v>11533</v>
      </c>
      <c r="P175" s="5568" t="s">
        <v>495</v>
      </c>
      <c r="AA175" s="5582"/>
      <c r="AF175" s="5584"/>
    </row>
    <row r="176" spans="9:32">
      <c r="I176" s="5568" t="s">
        <v>1306</v>
      </c>
      <c r="J176" s="5568" t="s">
        <v>1307</v>
      </c>
      <c r="L176" s="5568" t="s">
        <v>421</v>
      </c>
      <c r="M176" s="5568" t="s">
        <v>1308</v>
      </c>
      <c r="N176" s="5568">
        <v>77244</v>
      </c>
      <c r="O176" s="5568">
        <v>11428</v>
      </c>
      <c r="P176" s="5568" t="s">
        <v>406</v>
      </c>
      <c r="AA176" s="5582"/>
      <c r="AF176" s="5584"/>
    </row>
    <row r="177" spans="9:32">
      <c r="I177" s="5568" t="s">
        <v>1309</v>
      </c>
      <c r="J177" s="5568" t="s">
        <v>1310</v>
      </c>
      <c r="L177" s="5568" t="s">
        <v>427</v>
      </c>
      <c r="M177" s="5568" t="s">
        <v>1311</v>
      </c>
      <c r="N177" s="5568">
        <v>72238</v>
      </c>
      <c r="O177" s="5568">
        <v>11207</v>
      </c>
      <c r="P177" s="5568" t="s">
        <v>429</v>
      </c>
      <c r="AA177" s="5582"/>
      <c r="AF177" s="5584"/>
    </row>
    <row r="178" spans="9:32">
      <c r="I178" s="5568" t="s">
        <v>1312</v>
      </c>
      <c r="J178" s="5568" t="s">
        <v>1313</v>
      </c>
      <c r="L178" s="5568" t="s">
        <v>685</v>
      </c>
      <c r="M178" s="5568" t="s">
        <v>1314</v>
      </c>
      <c r="N178" s="5568">
        <v>70243</v>
      </c>
      <c r="O178" s="5568">
        <v>10375</v>
      </c>
      <c r="P178" s="5568" t="s">
        <v>392</v>
      </c>
      <c r="AA178" s="5582"/>
      <c r="AF178" s="5584"/>
    </row>
    <row r="179" spans="9:32">
      <c r="I179" s="5568" t="s">
        <v>1315</v>
      </c>
      <c r="J179" s="5568" t="s">
        <v>1316</v>
      </c>
      <c r="L179" s="5568" t="s">
        <v>863</v>
      </c>
      <c r="M179" s="5568" t="s">
        <v>863</v>
      </c>
      <c r="N179" s="5568">
        <v>73290</v>
      </c>
      <c r="O179" s="5568">
        <v>11576</v>
      </c>
      <c r="P179" s="5568" t="s">
        <v>510</v>
      </c>
      <c r="AA179" s="5582"/>
      <c r="AF179" s="5584"/>
    </row>
    <row r="180" spans="9:32">
      <c r="I180" s="5568" t="s">
        <v>1317</v>
      </c>
      <c r="J180" s="5568" t="s">
        <v>1318</v>
      </c>
      <c r="L180" s="5568" t="s">
        <v>719</v>
      </c>
      <c r="M180" s="5568" t="s">
        <v>1319</v>
      </c>
      <c r="N180" s="5568">
        <v>71243</v>
      </c>
      <c r="O180" s="5568">
        <v>10847</v>
      </c>
      <c r="P180" s="5568" t="s">
        <v>538</v>
      </c>
      <c r="AA180" s="5582"/>
      <c r="AF180" s="5584"/>
    </row>
    <row r="181" spans="9:32">
      <c r="I181" s="5568" t="s">
        <v>1320</v>
      </c>
      <c r="J181" s="5568" t="s">
        <v>1321</v>
      </c>
      <c r="L181" s="5568" t="s">
        <v>438</v>
      </c>
      <c r="M181" s="5568" t="s">
        <v>1322</v>
      </c>
      <c r="N181" s="5568">
        <v>77227</v>
      </c>
      <c r="O181" s="5568">
        <v>10227</v>
      </c>
      <c r="P181" s="5568" t="s">
        <v>406</v>
      </c>
      <c r="AA181" s="5582"/>
      <c r="AF181" s="5584"/>
    </row>
    <row r="182" spans="9:32">
      <c r="I182" s="5568" t="s">
        <v>1323</v>
      </c>
      <c r="J182" s="5568" t="s">
        <v>1324</v>
      </c>
      <c r="L182" s="5568" t="s">
        <v>459</v>
      </c>
      <c r="M182" s="5568" t="s">
        <v>1325</v>
      </c>
      <c r="N182" s="5568">
        <v>72252</v>
      </c>
      <c r="O182" s="5568">
        <v>11142</v>
      </c>
      <c r="P182" s="5568" t="s">
        <v>392</v>
      </c>
      <c r="AA182" s="5582"/>
      <c r="AF182" s="5584"/>
    </row>
    <row r="183" spans="9:32">
      <c r="I183" s="5568" t="s">
        <v>1326</v>
      </c>
      <c r="J183" s="5568" t="s">
        <v>1327</v>
      </c>
      <c r="L183" s="5568" t="s">
        <v>511</v>
      </c>
      <c r="M183" s="5568" t="s">
        <v>1328</v>
      </c>
      <c r="N183" s="5568">
        <v>80209</v>
      </c>
      <c r="O183" s="5568">
        <v>10588</v>
      </c>
      <c r="P183" s="5568" t="s">
        <v>437</v>
      </c>
      <c r="AA183" s="5582"/>
      <c r="AF183" s="5584"/>
    </row>
    <row r="184" spans="9:32">
      <c r="I184" s="5568" t="s">
        <v>1329</v>
      </c>
      <c r="J184" s="5568" t="s">
        <v>1330</v>
      </c>
      <c r="L184" s="5568" t="s">
        <v>734</v>
      </c>
      <c r="M184" s="5568" t="s">
        <v>1331</v>
      </c>
      <c r="N184" s="5568">
        <v>71387</v>
      </c>
      <c r="O184" s="5568">
        <v>10863</v>
      </c>
      <c r="P184" s="5568" t="s">
        <v>538</v>
      </c>
      <c r="AA184" s="5582"/>
      <c r="AF184" s="5584"/>
    </row>
    <row r="185" spans="9:32">
      <c r="I185" s="5568" t="s">
        <v>1332</v>
      </c>
      <c r="J185" s="5568" t="s">
        <v>1333</v>
      </c>
      <c r="L185" s="5568" t="s">
        <v>496</v>
      </c>
      <c r="M185" s="5568" t="s">
        <v>1334</v>
      </c>
      <c r="N185" s="5568">
        <v>88403</v>
      </c>
      <c r="O185" s="5568">
        <v>10529</v>
      </c>
      <c r="P185" s="5568" t="s">
        <v>480</v>
      </c>
      <c r="AA185" s="5582"/>
      <c r="AF185" s="5584"/>
    </row>
    <row r="186" spans="9:32">
      <c r="I186" s="5568" t="s">
        <v>1335</v>
      </c>
      <c r="J186" s="5568" t="s">
        <v>1336</v>
      </c>
      <c r="L186" s="5568" t="s">
        <v>590</v>
      </c>
      <c r="M186" s="5568" t="s">
        <v>1337</v>
      </c>
      <c r="N186" s="5568">
        <v>75355</v>
      </c>
      <c r="O186" s="5568">
        <v>10987</v>
      </c>
      <c r="P186" s="5568" t="s">
        <v>385</v>
      </c>
      <c r="AA186" s="5582"/>
      <c r="AF186" s="5584"/>
    </row>
    <row r="187" spans="9:32">
      <c r="I187" s="5568" t="s">
        <v>1338</v>
      </c>
      <c r="J187" s="5568" t="s">
        <v>1339</v>
      </c>
      <c r="L187" s="5568" t="s">
        <v>530</v>
      </c>
      <c r="M187" s="5568" t="s">
        <v>1340</v>
      </c>
      <c r="N187" s="5568">
        <v>88206</v>
      </c>
      <c r="O187" s="5568">
        <v>11410</v>
      </c>
      <c r="P187" s="5568" t="s">
        <v>480</v>
      </c>
      <c r="AA187" s="5582"/>
      <c r="AF187" s="5584"/>
    </row>
    <row r="188" spans="9:32">
      <c r="I188" s="5568" t="s">
        <v>1341</v>
      </c>
      <c r="J188" s="5568" t="s">
        <v>1342</v>
      </c>
      <c r="L188" s="5568" t="s">
        <v>977</v>
      </c>
      <c r="M188" s="5568" t="s">
        <v>1343</v>
      </c>
      <c r="N188" s="5568">
        <v>77232</v>
      </c>
      <c r="O188" s="5568">
        <v>11118</v>
      </c>
      <c r="P188" s="5568" t="s">
        <v>406</v>
      </c>
      <c r="AA188" s="5582"/>
      <c r="AF188" s="5584"/>
    </row>
    <row r="189" spans="9:32">
      <c r="I189" s="5568" t="s">
        <v>1344</v>
      </c>
      <c r="J189" s="5568" t="s">
        <v>1345</v>
      </c>
      <c r="L189" s="5568" t="s">
        <v>403</v>
      </c>
      <c r="M189" s="5568" t="s">
        <v>1346</v>
      </c>
      <c r="N189" s="5568">
        <v>77209</v>
      </c>
      <c r="O189" s="5568">
        <v>10049</v>
      </c>
      <c r="P189" s="5568" t="s">
        <v>406</v>
      </c>
      <c r="AA189" s="5582"/>
      <c r="AF189" s="5584"/>
    </row>
    <row r="190" spans="9:32">
      <c r="I190" s="5568" t="s">
        <v>1347</v>
      </c>
      <c r="J190" s="5568" t="s">
        <v>1348</v>
      </c>
      <c r="L190" s="5568" t="s">
        <v>525</v>
      </c>
      <c r="M190" s="5568" t="s">
        <v>1349</v>
      </c>
      <c r="N190" s="5568">
        <v>75303</v>
      </c>
      <c r="O190" s="5568">
        <v>10600</v>
      </c>
      <c r="P190" s="5568" t="s">
        <v>385</v>
      </c>
      <c r="AA190" s="5582"/>
      <c r="AF190" s="5584"/>
    </row>
    <row r="191" spans="9:32">
      <c r="I191" s="5568" t="s">
        <v>1350</v>
      </c>
      <c r="J191" s="5568" t="s">
        <v>1351</v>
      </c>
      <c r="L191" s="5568" t="s">
        <v>690</v>
      </c>
      <c r="M191" s="5568" t="s">
        <v>690</v>
      </c>
      <c r="N191" s="5568">
        <v>88240</v>
      </c>
      <c r="O191" s="5568">
        <v>10731</v>
      </c>
      <c r="P191" s="5568" t="s">
        <v>524</v>
      </c>
      <c r="AA191" s="5582"/>
      <c r="AF191" s="5584"/>
    </row>
    <row r="192" spans="9:32">
      <c r="I192" s="5568" t="s">
        <v>1352</v>
      </c>
      <c r="J192" s="5568" t="s">
        <v>1353</v>
      </c>
      <c r="L192" s="5568" t="s">
        <v>530</v>
      </c>
      <c r="M192" s="5568" t="s">
        <v>1354</v>
      </c>
      <c r="N192" s="5568">
        <v>88208</v>
      </c>
      <c r="O192" s="5568">
        <v>11410</v>
      </c>
      <c r="P192" s="5568" t="s">
        <v>480</v>
      </c>
      <c r="AA192" s="5582"/>
      <c r="AF192" s="5584"/>
    </row>
    <row r="193" spans="9:32">
      <c r="I193" s="5568" t="s">
        <v>1355</v>
      </c>
      <c r="J193" s="5568" t="s">
        <v>1356</v>
      </c>
      <c r="L193" s="5568" t="s">
        <v>440</v>
      </c>
      <c r="M193" s="5568" t="s">
        <v>1357</v>
      </c>
      <c r="N193" s="5568">
        <v>78435</v>
      </c>
      <c r="O193" s="5568">
        <v>11436</v>
      </c>
      <c r="P193" s="5568" t="s">
        <v>406</v>
      </c>
      <c r="AA193" s="5582"/>
      <c r="AF193" s="5584"/>
    </row>
    <row r="194" spans="9:32">
      <c r="I194" s="5568" t="s">
        <v>1358</v>
      </c>
      <c r="J194" s="5568" t="s">
        <v>1359</v>
      </c>
      <c r="L194" s="5568" t="s">
        <v>511</v>
      </c>
      <c r="M194" s="5568" t="s">
        <v>1360</v>
      </c>
      <c r="N194" s="5568">
        <v>80202</v>
      </c>
      <c r="O194" s="5568">
        <v>10588</v>
      </c>
      <c r="P194" s="5568" t="s">
        <v>437</v>
      </c>
      <c r="AA194" s="5582"/>
      <c r="AF194" s="5584"/>
    </row>
    <row r="195" spans="9:32">
      <c r="I195" s="5568" t="s">
        <v>1361</v>
      </c>
      <c r="J195" s="5568" t="s">
        <v>1362</v>
      </c>
      <c r="L195" s="5568" t="s">
        <v>945</v>
      </c>
      <c r="M195" s="5568" t="s">
        <v>1363</v>
      </c>
      <c r="N195" s="5568">
        <v>80245</v>
      </c>
      <c r="O195" s="5568">
        <v>10308</v>
      </c>
      <c r="P195" s="5568" t="s">
        <v>437</v>
      </c>
      <c r="AA195" s="5582"/>
      <c r="AF195" s="5584"/>
    </row>
    <row r="196" spans="9:32">
      <c r="I196" s="5568" t="s">
        <v>1364</v>
      </c>
      <c r="J196" s="5568" t="s">
        <v>1365</v>
      </c>
      <c r="L196" s="5568" t="s">
        <v>539</v>
      </c>
      <c r="M196" s="5568" t="s">
        <v>1366</v>
      </c>
      <c r="N196" s="5568">
        <v>88327</v>
      </c>
      <c r="O196" s="5568">
        <v>10626</v>
      </c>
      <c r="P196" s="5568" t="s">
        <v>524</v>
      </c>
      <c r="AA196" s="5582"/>
      <c r="AF196" s="5584"/>
    </row>
    <row r="197" spans="9:32">
      <c r="I197" s="5568" t="s">
        <v>1367</v>
      </c>
      <c r="J197" s="5568" t="s">
        <v>1368</v>
      </c>
      <c r="L197" s="5568" t="s">
        <v>861</v>
      </c>
      <c r="M197" s="5568" t="s">
        <v>861</v>
      </c>
      <c r="N197" s="5568">
        <v>88440</v>
      </c>
      <c r="O197" s="5568">
        <v>10766</v>
      </c>
      <c r="P197" s="5568" t="s">
        <v>480</v>
      </c>
      <c r="AA197" s="5582"/>
      <c r="AF197" s="5584"/>
    </row>
    <row r="198" spans="9:32">
      <c r="I198" s="5568" t="s">
        <v>1369</v>
      </c>
      <c r="J198" s="5568" t="s">
        <v>1370</v>
      </c>
      <c r="L198" s="5568" t="s">
        <v>847</v>
      </c>
      <c r="M198" s="5568" t="s">
        <v>1371</v>
      </c>
      <c r="N198" s="5568">
        <v>76292</v>
      </c>
      <c r="O198" s="5568">
        <v>11525</v>
      </c>
      <c r="P198" s="5568" t="s">
        <v>495</v>
      </c>
      <c r="AA198" s="5582"/>
      <c r="AF198" s="5584"/>
    </row>
    <row r="199" spans="9:32">
      <c r="I199" s="5568" t="s">
        <v>1372</v>
      </c>
      <c r="J199" s="5568" t="s">
        <v>1373</v>
      </c>
      <c r="L199" s="5568" t="s">
        <v>627</v>
      </c>
      <c r="M199" s="5568" t="s">
        <v>1374</v>
      </c>
      <c r="N199" s="5568">
        <v>70223</v>
      </c>
      <c r="O199" s="5568">
        <v>10294</v>
      </c>
      <c r="P199" s="5568" t="s">
        <v>392</v>
      </c>
      <c r="AA199" s="5582"/>
      <c r="AF199" s="5584"/>
    </row>
    <row r="200" spans="9:32">
      <c r="I200" s="5568" t="s">
        <v>1375</v>
      </c>
      <c r="J200" s="5568" t="s">
        <v>1376</v>
      </c>
      <c r="L200" s="5568" t="s">
        <v>972</v>
      </c>
      <c r="M200" s="5568" t="s">
        <v>1377</v>
      </c>
      <c r="N200" s="5568">
        <v>71335</v>
      </c>
      <c r="O200" s="5568">
        <v>11100</v>
      </c>
      <c r="P200" s="5568" t="s">
        <v>429</v>
      </c>
      <c r="AA200" s="5582"/>
      <c r="AF200" s="5584"/>
    </row>
    <row r="201" spans="9:32">
      <c r="I201" s="5568" t="s">
        <v>1378</v>
      </c>
      <c r="J201" s="5568" t="s">
        <v>1379</v>
      </c>
      <c r="L201" s="5568" t="s">
        <v>658</v>
      </c>
      <c r="M201" s="5568" t="s">
        <v>1380</v>
      </c>
      <c r="N201" s="5568">
        <v>72207</v>
      </c>
      <c r="O201" s="5568">
        <v>11185</v>
      </c>
      <c r="P201" s="5568" t="s">
        <v>429</v>
      </c>
      <c r="AA201" s="5582"/>
      <c r="AF201" s="5584"/>
    </row>
    <row r="202" spans="9:32">
      <c r="I202" s="5568" t="s">
        <v>1381</v>
      </c>
      <c r="J202" s="5568" t="s">
        <v>1382</v>
      </c>
      <c r="L202" s="5568" t="s">
        <v>525</v>
      </c>
      <c r="M202" s="5568" t="s">
        <v>1383</v>
      </c>
      <c r="N202" s="5568">
        <v>75305</v>
      </c>
      <c r="O202" s="5568">
        <v>10600</v>
      </c>
      <c r="P202" s="5568" t="s">
        <v>385</v>
      </c>
      <c r="AA202" s="5582"/>
      <c r="AF202" s="5584"/>
    </row>
    <row r="203" spans="9:32">
      <c r="I203" s="5568" t="s">
        <v>1384</v>
      </c>
      <c r="J203" s="5568" t="s">
        <v>1385</v>
      </c>
      <c r="L203" s="5568" t="s">
        <v>539</v>
      </c>
      <c r="M203" s="5568" t="s">
        <v>1386</v>
      </c>
      <c r="N203" s="5568">
        <v>88325</v>
      </c>
      <c r="O203" s="5568">
        <v>10626</v>
      </c>
      <c r="P203" s="5568" t="s">
        <v>524</v>
      </c>
      <c r="AA203" s="5582"/>
      <c r="AF203" s="5584"/>
    </row>
    <row r="204" spans="9:32">
      <c r="I204" s="5568" t="s">
        <v>1387</v>
      </c>
      <c r="J204" s="5568" t="s">
        <v>1388</v>
      </c>
      <c r="L204" s="5568" t="s">
        <v>764</v>
      </c>
      <c r="M204" s="5568" t="s">
        <v>1389</v>
      </c>
      <c r="N204" s="5568">
        <v>75268</v>
      </c>
      <c r="O204" s="5568">
        <v>11495</v>
      </c>
      <c r="P204" s="5568" t="s">
        <v>385</v>
      </c>
      <c r="AA204" s="5582"/>
      <c r="AF204" s="5584"/>
    </row>
    <row r="205" spans="9:32">
      <c r="I205" s="5568" t="s">
        <v>1390</v>
      </c>
      <c r="J205" s="5568" t="s">
        <v>1391</v>
      </c>
      <c r="L205" s="5568" t="s">
        <v>690</v>
      </c>
      <c r="M205" s="5568" t="s">
        <v>1392</v>
      </c>
      <c r="N205" s="5568">
        <v>88245</v>
      </c>
      <c r="O205" s="5568">
        <v>10731</v>
      </c>
      <c r="P205" s="5568" t="s">
        <v>524</v>
      </c>
      <c r="AA205" s="5582"/>
      <c r="AF205" s="5584"/>
    </row>
    <row r="206" spans="9:32">
      <c r="I206" s="5568" t="s">
        <v>1393</v>
      </c>
      <c r="J206" s="5568" t="s">
        <v>1394</v>
      </c>
      <c r="L206" s="5568" t="s">
        <v>557</v>
      </c>
      <c r="M206" s="5568" t="s">
        <v>1395</v>
      </c>
      <c r="N206" s="5568">
        <v>71217</v>
      </c>
      <c r="O206" s="5568">
        <v>11550</v>
      </c>
      <c r="P206" s="5568" t="s">
        <v>538</v>
      </c>
      <c r="AA206" s="5582"/>
      <c r="AF206" s="5584"/>
    </row>
    <row r="207" spans="9:32">
      <c r="I207" s="5568" t="s">
        <v>1396</v>
      </c>
      <c r="J207" s="5568" t="s">
        <v>1397</v>
      </c>
      <c r="L207" s="5568" t="s">
        <v>595</v>
      </c>
      <c r="M207" s="5568" t="s">
        <v>878</v>
      </c>
      <c r="N207" s="5568">
        <v>88370</v>
      </c>
      <c r="O207" s="5568">
        <v>11606</v>
      </c>
      <c r="P207" s="5568" t="s">
        <v>480</v>
      </c>
      <c r="AA207" s="5582"/>
      <c r="AF207" s="5584"/>
    </row>
    <row r="208" spans="9:32">
      <c r="I208" s="5568" t="s">
        <v>1398</v>
      </c>
      <c r="J208" s="5568" t="s">
        <v>1399</v>
      </c>
      <c r="L208" s="5568" t="s">
        <v>403</v>
      </c>
      <c r="M208" s="5568" t="s">
        <v>1400</v>
      </c>
      <c r="N208" s="5568">
        <v>77215</v>
      </c>
      <c r="O208" s="5568">
        <v>10049</v>
      </c>
      <c r="P208" s="5568" t="s">
        <v>406</v>
      </c>
      <c r="AA208" s="5582"/>
      <c r="AF208" s="5584"/>
    </row>
    <row r="209" spans="9:32">
      <c r="I209" s="5568" t="s">
        <v>1401</v>
      </c>
      <c r="J209" s="5568" t="s">
        <v>1402</v>
      </c>
      <c r="L209" s="5568" t="s">
        <v>945</v>
      </c>
      <c r="M209" s="5568" t="s">
        <v>1403</v>
      </c>
      <c r="N209" s="5568">
        <v>80247</v>
      </c>
      <c r="O209" s="5568">
        <v>10308</v>
      </c>
      <c r="P209" s="5568" t="s">
        <v>437</v>
      </c>
      <c r="AA209" s="5582"/>
      <c r="AF209" s="5584"/>
    </row>
    <row r="210" spans="9:32">
      <c r="I210" s="5568" t="s">
        <v>1404</v>
      </c>
      <c r="J210" s="5568" t="s">
        <v>1405</v>
      </c>
      <c r="L210" s="5568" t="s">
        <v>711</v>
      </c>
      <c r="M210" s="5568" t="s">
        <v>1406</v>
      </c>
      <c r="N210" s="5568">
        <v>88347</v>
      </c>
      <c r="O210" s="5568">
        <v>10405</v>
      </c>
      <c r="P210" s="5568" t="s">
        <v>524</v>
      </c>
      <c r="AA210" s="5582"/>
      <c r="AF210" s="5584"/>
    </row>
    <row r="211" spans="9:32">
      <c r="I211" s="5568" t="s">
        <v>1407</v>
      </c>
      <c r="J211" s="5568" t="s">
        <v>1408</v>
      </c>
      <c r="L211" s="5568" t="s">
        <v>785</v>
      </c>
      <c r="M211" s="5568" t="s">
        <v>1409</v>
      </c>
      <c r="N211" s="5568">
        <v>79285</v>
      </c>
      <c r="O211" s="5568">
        <v>11509</v>
      </c>
      <c r="P211" s="5568" t="s">
        <v>406</v>
      </c>
      <c r="AA211" s="5582"/>
      <c r="AF211" s="5584"/>
    </row>
    <row r="212" spans="9:32">
      <c r="I212" s="5568" t="s">
        <v>1410</v>
      </c>
      <c r="J212" s="5568" t="s">
        <v>1411</v>
      </c>
      <c r="L212" s="5568" t="s">
        <v>884</v>
      </c>
      <c r="M212" s="5568" t="s">
        <v>884</v>
      </c>
      <c r="N212" s="5568">
        <v>79260</v>
      </c>
      <c r="O212" s="5568">
        <v>11541</v>
      </c>
      <c r="P212" s="5568" t="s">
        <v>406</v>
      </c>
      <c r="AA212" s="5582"/>
      <c r="AF212" s="5584"/>
    </row>
    <row r="213" spans="9:32">
      <c r="I213" s="5568" t="s">
        <v>1412</v>
      </c>
      <c r="J213" s="5568" t="s">
        <v>1413</v>
      </c>
      <c r="L213" s="5568" t="s">
        <v>890</v>
      </c>
      <c r="M213" s="5568" t="s">
        <v>890</v>
      </c>
      <c r="N213" s="5568">
        <v>75411</v>
      </c>
      <c r="O213" s="5568">
        <v>11312</v>
      </c>
      <c r="P213" s="5568" t="s">
        <v>385</v>
      </c>
      <c r="AA213" s="5582"/>
      <c r="AF213" s="5584"/>
    </row>
    <row r="214" spans="9:32">
      <c r="I214" s="5568" t="s">
        <v>1414</v>
      </c>
      <c r="J214" s="5568" t="s">
        <v>1415</v>
      </c>
      <c r="L214" s="5568" t="s">
        <v>896</v>
      </c>
      <c r="M214" s="5568" t="s">
        <v>896</v>
      </c>
      <c r="N214" s="5568">
        <v>71101</v>
      </c>
      <c r="O214" s="5568">
        <v>10839</v>
      </c>
      <c r="P214" s="5568" t="s">
        <v>538</v>
      </c>
      <c r="AA214" s="5582"/>
      <c r="AF214" s="5584"/>
    </row>
    <row r="215" spans="9:32">
      <c r="I215" s="5568" t="s">
        <v>1416</v>
      </c>
      <c r="J215" s="5568" t="s">
        <v>1417</v>
      </c>
      <c r="L215" s="5568" t="s">
        <v>902</v>
      </c>
      <c r="M215" s="5568" t="s">
        <v>902</v>
      </c>
      <c r="N215" s="5568">
        <v>71160</v>
      </c>
      <c r="O215" s="5568">
        <v>10871</v>
      </c>
      <c r="P215" s="5568" t="s">
        <v>538</v>
      </c>
      <c r="AA215" s="5582"/>
      <c r="AF215" s="5584"/>
    </row>
    <row r="216" spans="9:32">
      <c r="I216" s="5568" t="s">
        <v>1418</v>
      </c>
      <c r="J216" s="5568" t="s">
        <v>1419</v>
      </c>
      <c r="L216" s="5568" t="s">
        <v>908</v>
      </c>
      <c r="M216" s="5568" t="s">
        <v>908</v>
      </c>
      <c r="N216" s="5568">
        <v>71120</v>
      </c>
      <c r="O216" s="5568">
        <v>11568</v>
      </c>
      <c r="P216" s="5568" t="s">
        <v>538</v>
      </c>
      <c r="AA216" s="5582"/>
      <c r="AF216" s="5584"/>
    </row>
    <row r="217" spans="9:32">
      <c r="I217" s="5568" t="s">
        <v>1420</v>
      </c>
      <c r="J217" s="5568" t="s">
        <v>1421</v>
      </c>
      <c r="L217" s="5568" t="s">
        <v>913</v>
      </c>
      <c r="M217" s="5568" t="s">
        <v>913</v>
      </c>
      <c r="N217" s="5568">
        <v>71140</v>
      </c>
      <c r="O217" s="5568">
        <v>11584</v>
      </c>
      <c r="P217" s="5568" t="s">
        <v>538</v>
      </c>
      <c r="AA217" s="5582"/>
      <c r="AF217" s="5584"/>
    </row>
    <row r="218" spans="9:32">
      <c r="I218" s="5568" t="s">
        <v>1422</v>
      </c>
      <c r="J218" s="5568" t="s">
        <v>1423</v>
      </c>
      <c r="L218" s="5568" t="s">
        <v>992</v>
      </c>
      <c r="M218" s="5568" t="s">
        <v>1424</v>
      </c>
      <c r="N218" s="5568">
        <v>71321</v>
      </c>
      <c r="O218" s="5568">
        <v>10928</v>
      </c>
      <c r="P218" s="5568" t="s">
        <v>538</v>
      </c>
      <c r="AA218" s="5582"/>
      <c r="AF218" s="5584"/>
    </row>
    <row r="219" spans="9:32">
      <c r="I219" s="5568" t="s">
        <v>1425</v>
      </c>
      <c r="J219" s="5568" t="s">
        <v>1426</v>
      </c>
      <c r="L219" s="5568" t="s">
        <v>626</v>
      </c>
      <c r="M219" s="5568" t="s">
        <v>1427</v>
      </c>
      <c r="N219" s="5568">
        <v>75207</v>
      </c>
      <c r="O219" s="5568">
        <v>11088</v>
      </c>
      <c r="P219" s="5568" t="s">
        <v>385</v>
      </c>
      <c r="AA219" s="5582"/>
      <c r="AF219" s="5584"/>
    </row>
    <row r="220" spans="9:32">
      <c r="I220" s="5568" t="s">
        <v>1428</v>
      </c>
      <c r="J220" s="5568" t="s">
        <v>1429</v>
      </c>
      <c r="L220" s="5568" t="s">
        <v>590</v>
      </c>
      <c r="M220" s="5568" t="s">
        <v>1430</v>
      </c>
      <c r="N220" s="5568">
        <v>75353</v>
      </c>
      <c r="O220" s="5568">
        <v>10987</v>
      </c>
      <c r="P220" s="5568" t="s">
        <v>385</v>
      </c>
      <c r="AA220" s="5582"/>
      <c r="AF220" s="5584"/>
    </row>
    <row r="221" spans="9:32">
      <c r="I221" s="5568" t="s">
        <v>1431</v>
      </c>
      <c r="J221" s="5568" t="s">
        <v>1432</v>
      </c>
      <c r="L221" s="5568" t="s">
        <v>711</v>
      </c>
      <c r="M221" s="5568" t="s">
        <v>1433</v>
      </c>
      <c r="N221" s="5568">
        <v>88345</v>
      </c>
      <c r="O221" s="5568">
        <v>10405</v>
      </c>
      <c r="P221" s="5568" t="s">
        <v>524</v>
      </c>
      <c r="AA221" s="5582"/>
      <c r="AF221" s="5584"/>
    </row>
    <row r="222" spans="9:32">
      <c r="I222" s="5568" t="s">
        <v>1434</v>
      </c>
      <c r="J222" s="5568" t="s">
        <v>1435</v>
      </c>
      <c r="L222" s="5568" t="s">
        <v>590</v>
      </c>
      <c r="M222" s="5568" t="s">
        <v>590</v>
      </c>
      <c r="N222" s="5568">
        <v>75350</v>
      </c>
      <c r="O222" s="5568">
        <v>10987</v>
      </c>
      <c r="P222" s="5568" t="s">
        <v>385</v>
      </c>
      <c r="AA222" s="5582"/>
      <c r="AF222" s="5584"/>
    </row>
    <row r="223" spans="9:32">
      <c r="I223" s="5568" t="s">
        <v>1436</v>
      </c>
      <c r="J223" s="5568" t="s">
        <v>1437</v>
      </c>
      <c r="L223" s="5568" t="s">
        <v>734</v>
      </c>
      <c r="M223" s="5568" t="s">
        <v>435</v>
      </c>
      <c r="N223" s="5568">
        <v>71385</v>
      </c>
      <c r="O223" s="5568">
        <v>10863</v>
      </c>
      <c r="P223" s="5568" t="s">
        <v>538</v>
      </c>
      <c r="AA223" s="5582"/>
      <c r="AF223" s="5584"/>
    </row>
    <row r="224" spans="9:32">
      <c r="I224" s="5568" t="s">
        <v>1438</v>
      </c>
      <c r="J224" s="5568" t="s">
        <v>1439</v>
      </c>
      <c r="L224" s="5568" t="s">
        <v>884</v>
      </c>
      <c r="M224" s="5568" t="s">
        <v>1440</v>
      </c>
      <c r="N224" s="5568">
        <v>79268</v>
      </c>
      <c r="O224" s="5568">
        <v>11541</v>
      </c>
      <c r="P224" s="5568" t="s">
        <v>406</v>
      </c>
      <c r="AA224" s="5582"/>
      <c r="AF224" s="5584"/>
    </row>
    <row r="225" spans="9:32">
      <c r="I225" s="5568" t="s">
        <v>1441</v>
      </c>
      <c r="J225" s="5568" t="s">
        <v>1442</v>
      </c>
      <c r="L225" s="5568" t="s">
        <v>459</v>
      </c>
      <c r="M225" s="5568" t="s">
        <v>1443</v>
      </c>
      <c r="N225" s="5568">
        <v>72251</v>
      </c>
      <c r="O225" s="5568">
        <v>11142</v>
      </c>
      <c r="P225" s="5568" t="s">
        <v>392</v>
      </c>
      <c r="AA225" s="5582"/>
      <c r="AF225" s="5584"/>
    </row>
    <row r="226" spans="9:32">
      <c r="I226" s="5568" t="s">
        <v>1444</v>
      </c>
      <c r="J226" s="5568" t="s">
        <v>1445</v>
      </c>
      <c r="L226" s="5568" t="s">
        <v>438</v>
      </c>
      <c r="M226" s="5568" t="s">
        <v>1446</v>
      </c>
      <c r="N226" s="5568">
        <v>77224</v>
      </c>
      <c r="O226" s="5568">
        <v>10227</v>
      </c>
      <c r="P226" s="5568" t="s">
        <v>406</v>
      </c>
      <c r="AA226" s="5582"/>
      <c r="AF226" s="5584"/>
    </row>
    <row r="227" spans="9:32">
      <c r="I227" s="5568" t="s">
        <v>1447</v>
      </c>
      <c r="J227" s="5568" t="s">
        <v>1448</v>
      </c>
      <c r="L227" s="5568" t="s">
        <v>467</v>
      </c>
      <c r="M227" s="5568" t="s">
        <v>1449</v>
      </c>
      <c r="N227" s="5568">
        <v>75324</v>
      </c>
      <c r="O227" s="5568">
        <v>11479</v>
      </c>
      <c r="P227" s="5568" t="s">
        <v>385</v>
      </c>
      <c r="AA227" s="5582"/>
      <c r="AF227" s="5584"/>
    </row>
    <row r="228" spans="9:32">
      <c r="I228" s="5568" t="s">
        <v>1450</v>
      </c>
      <c r="J228" s="5568" t="s">
        <v>1451</v>
      </c>
      <c r="L228" s="5568" t="s">
        <v>595</v>
      </c>
      <c r="M228" s="5568" t="s">
        <v>595</v>
      </c>
      <c r="N228" s="5568">
        <v>88360</v>
      </c>
      <c r="O228" s="5568">
        <v>11606</v>
      </c>
      <c r="P228" s="5568" t="s">
        <v>480</v>
      </c>
      <c r="AA228" s="5582"/>
      <c r="AF228" s="5584"/>
    </row>
    <row r="229" spans="9:32">
      <c r="I229" s="5568" t="s">
        <v>1452</v>
      </c>
      <c r="J229" s="5568" t="s">
        <v>1453</v>
      </c>
      <c r="L229" s="5568" t="s">
        <v>658</v>
      </c>
      <c r="M229" s="5568" t="s">
        <v>1454</v>
      </c>
      <c r="N229" s="5568">
        <v>72209</v>
      </c>
      <c r="O229" s="5568">
        <v>11185</v>
      </c>
      <c r="P229" s="5568" t="s">
        <v>429</v>
      </c>
      <c r="AA229" s="5582"/>
      <c r="AF229" s="5584"/>
    </row>
    <row r="230" spans="9:32">
      <c r="I230" s="5568" t="s">
        <v>1455</v>
      </c>
      <c r="J230" s="5568" t="s">
        <v>1456</v>
      </c>
      <c r="L230" s="5568" t="s">
        <v>539</v>
      </c>
      <c r="M230" s="5568" t="s">
        <v>1457</v>
      </c>
      <c r="N230" s="5568">
        <v>88323</v>
      </c>
      <c r="O230" s="5568">
        <v>10626</v>
      </c>
      <c r="P230" s="5568" t="s">
        <v>524</v>
      </c>
      <c r="AA230" s="5582"/>
      <c r="AF230" s="5584"/>
    </row>
    <row r="231" spans="9:32">
      <c r="I231" s="5568" t="s">
        <v>1458</v>
      </c>
      <c r="J231" s="5568" t="s">
        <v>1459</v>
      </c>
      <c r="L231" s="5568" t="s">
        <v>778</v>
      </c>
      <c r="M231" s="5568" t="s">
        <v>1460</v>
      </c>
      <c r="N231" s="5568">
        <v>75283</v>
      </c>
      <c r="O231" s="5568">
        <v>10499</v>
      </c>
      <c r="P231" s="5568" t="s">
        <v>385</v>
      </c>
      <c r="AA231" s="5582"/>
      <c r="AF231" s="5584"/>
    </row>
    <row r="232" spans="9:32">
      <c r="I232" s="5568" t="s">
        <v>1461</v>
      </c>
      <c r="J232" s="5568" t="s">
        <v>1462</v>
      </c>
      <c r="L232" s="5568" t="s">
        <v>667</v>
      </c>
      <c r="M232" s="5568" t="s">
        <v>1463</v>
      </c>
      <c r="N232" s="5568">
        <v>75275</v>
      </c>
      <c r="O232" s="5568">
        <v>11215</v>
      </c>
      <c r="P232" s="5568" t="s">
        <v>385</v>
      </c>
      <c r="AA232" s="5582"/>
      <c r="AF232" s="5584"/>
    </row>
    <row r="233" spans="9:32">
      <c r="I233" s="5568" t="s">
        <v>1464</v>
      </c>
      <c r="J233" s="5568" t="s">
        <v>1465</v>
      </c>
      <c r="L233" s="5568" t="s">
        <v>552</v>
      </c>
      <c r="M233" s="5568" t="s">
        <v>1466</v>
      </c>
      <c r="N233" s="5568">
        <v>75245</v>
      </c>
      <c r="O233" s="5568">
        <v>11231</v>
      </c>
      <c r="P233" s="5568" t="s">
        <v>385</v>
      </c>
      <c r="AA233" s="5582"/>
      <c r="AF233" s="5584"/>
    </row>
    <row r="234" spans="9:32">
      <c r="I234" s="5568" t="s">
        <v>1467</v>
      </c>
      <c r="J234" s="5568" t="s">
        <v>1468</v>
      </c>
      <c r="L234" s="5568" t="s">
        <v>614</v>
      </c>
      <c r="M234" s="5568" t="s">
        <v>614</v>
      </c>
      <c r="N234" s="5568">
        <v>88220</v>
      </c>
      <c r="O234" s="5568">
        <v>10570</v>
      </c>
      <c r="P234" s="5568" t="s">
        <v>524</v>
      </c>
      <c r="AA234" s="5582"/>
      <c r="AF234" s="5584"/>
    </row>
    <row r="235" spans="9:32">
      <c r="I235" s="5568" t="s">
        <v>1469</v>
      </c>
      <c r="J235" s="5568" t="s">
        <v>1470</v>
      </c>
      <c r="L235" s="5568" t="s">
        <v>590</v>
      </c>
      <c r="M235" s="5568" t="s">
        <v>1471</v>
      </c>
      <c r="N235" s="5568">
        <v>75356</v>
      </c>
      <c r="O235" s="5568">
        <v>10987</v>
      </c>
      <c r="P235" s="5568" t="s">
        <v>385</v>
      </c>
      <c r="AA235" s="5582"/>
      <c r="AF235" s="5584"/>
    </row>
    <row r="236" spans="9:32">
      <c r="I236" s="5568" t="s">
        <v>1472</v>
      </c>
      <c r="J236" s="5568" t="s">
        <v>1473</v>
      </c>
      <c r="L236" s="5568" t="s">
        <v>438</v>
      </c>
      <c r="M236" s="5568" t="s">
        <v>1474</v>
      </c>
      <c r="N236" s="5568">
        <v>77223</v>
      </c>
      <c r="O236" s="5568">
        <v>10227</v>
      </c>
      <c r="P236" s="5568" t="s">
        <v>406</v>
      </c>
      <c r="AA236" s="5582"/>
      <c r="AF236" s="5584"/>
    </row>
    <row r="237" spans="9:32">
      <c r="I237" s="5568" t="s">
        <v>1475</v>
      </c>
      <c r="J237" s="5568" t="s">
        <v>1476</v>
      </c>
      <c r="L237" s="5568" t="s">
        <v>945</v>
      </c>
      <c r="M237" s="5568" t="s">
        <v>1477</v>
      </c>
      <c r="N237" s="5568">
        <v>80249</v>
      </c>
      <c r="O237" s="5568">
        <v>10308</v>
      </c>
      <c r="P237" s="5568" t="s">
        <v>437</v>
      </c>
      <c r="AA237" s="5582"/>
      <c r="AF237" s="5584"/>
    </row>
    <row r="238" spans="9:32">
      <c r="I238" s="5568" t="s">
        <v>1478</v>
      </c>
      <c r="J238" s="5568" t="s">
        <v>1479</v>
      </c>
      <c r="L238" s="5568" t="s">
        <v>977</v>
      </c>
      <c r="M238" s="5568" t="s">
        <v>1480</v>
      </c>
      <c r="N238" s="5568">
        <v>77234</v>
      </c>
      <c r="O238" s="5568">
        <v>11118</v>
      </c>
      <c r="P238" s="5568" t="s">
        <v>406</v>
      </c>
      <c r="AA238" s="5582"/>
      <c r="AF238" s="5584"/>
    </row>
    <row r="239" spans="9:32">
      <c r="I239" s="5568" t="s">
        <v>1481</v>
      </c>
      <c r="J239" s="5568" t="s">
        <v>1482</v>
      </c>
      <c r="L239" s="5568" t="s">
        <v>719</v>
      </c>
      <c r="M239" s="5568" t="s">
        <v>1483</v>
      </c>
      <c r="N239" s="5568">
        <v>71244</v>
      </c>
      <c r="O239" s="5568">
        <v>10847</v>
      </c>
      <c r="P239" s="5568" t="s">
        <v>538</v>
      </c>
      <c r="AA239" s="5582"/>
      <c r="AF239" s="5584"/>
    </row>
    <row r="240" spans="9:32">
      <c r="I240" s="5568" t="s">
        <v>1484</v>
      </c>
      <c r="J240" s="5568" t="s">
        <v>1485</v>
      </c>
      <c r="L240" s="5568" t="s">
        <v>933</v>
      </c>
      <c r="M240" s="5568" t="s">
        <v>933</v>
      </c>
      <c r="N240" s="5568">
        <v>75414</v>
      </c>
      <c r="O240" s="5568">
        <v>11339</v>
      </c>
      <c r="P240" s="5568" t="s">
        <v>385</v>
      </c>
      <c r="AA240" s="5582"/>
      <c r="AF240" s="5584"/>
    </row>
    <row r="241" spans="9:32">
      <c r="I241" s="5568" t="s">
        <v>1486</v>
      </c>
      <c r="J241" s="5568" t="s">
        <v>1487</v>
      </c>
      <c r="L241" s="5568" t="s">
        <v>939</v>
      </c>
      <c r="M241" s="5568" t="s">
        <v>939</v>
      </c>
      <c r="N241" s="5568">
        <v>74260</v>
      </c>
      <c r="O241" s="5568">
        <v>11045</v>
      </c>
      <c r="P241" s="5568" t="s">
        <v>429</v>
      </c>
      <c r="AA241" s="5582"/>
      <c r="AF241" s="5584"/>
    </row>
    <row r="242" spans="9:32">
      <c r="I242" s="5568" t="s">
        <v>1488</v>
      </c>
      <c r="J242" s="5568" t="s">
        <v>1489</v>
      </c>
      <c r="L242" s="5568" t="s">
        <v>939</v>
      </c>
      <c r="M242" s="5568" t="s">
        <v>1490</v>
      </c>
      <c r="N242" s="5568">
        <v>74266</v>
      </c>
      <c r="O242" s="5568">
        <v>11045</v>
      </c>
      <c r="P242" s="5568" t="s">
        <v>429</v>
      </c>
      <c r="AA242" s="5582"/>
      <c r="AF242" s="5584"/>
    </row>
    <row r="243" spans="9:32">
      <c r="I243" s="5568" t="s">
        <v>1491</v>
      </c>
      <c r="J243" s="5568" t="s">
        <v>1492</v>
      </c>
      <c r="L243" s="5568" t="s">
        <v>711</v>
      </c>
      <c r="M243" s="5568" t="s">
        <v>1493</v>
      </c>
      <c r="N243" s="5568">
        <v>88348</v>
      </c>
      <c r="O243" s="5568">
        <v>10405</v>
      </c>
      <c r="P243" s="5568" t="s">
        <v>524</v>
      </c>
      <c r="AA243" s="5582"/>
      <c r="AF243" s="5584"/>
    </row>
    <row r="244" spans="9:32">
      <c r="I244" s="5568" t="s">
        <v>1494</v>
      </c>
      <c r="J244" s="5568" t="s">
        <v>1495</v>
      </c>
      <c r="L244" s="5568" t="s">
        <v>590</v>
      </c>
      <c r="M244" s="5568" t="s">
        <v>1496</v>
      </c>
      <c r="N244" s="5568">
        <v>75357</v>
      </c>
      <c r="O244" s="5568">
        <v>10987</v>
      </c>
      <c r="P244" s="5568" t="s">
        <v>385</v>
      </c>
      <c r="AA244" s="5582"/>
      <c r="AF244" s="5584"/>
    </row>
    <row r="245" spans="9:32">
      <c r="I245" s="5568" t="s">
        <v>1497</v>
      </c>
      <c r="J245" s="5568" t="s">
        <v>1498</v>
      </c>
      <c r="L245" s="5568" t="s">
        <v>977</v>
      </c>
      <c r="M245" s="5568" t="s">
        <v>1499</v>
      </c>
      <c r="N245" s="5568">
        <v>77233</v>
      </c>
      <c r="O245" s="5568">
        <v>11118</v>
      </c>
      <c r="P245" s="5568" t="s">
        <v>406</v>
      </c>
      <c r="AA245" s="5582"/>
      <c r="AF245" s="5584"/>
    </row>
    <row r="246" spans="9:32">
      <c r="I246" s="5568" t="s">
        <v>1500</v>
      </c>
      <c r="J246" s="5568" t="s">
        <v>1501</v>
      </c>
      <c r="L246" s="5568" t="s">
        <v>764</v>
      </c>
      <c r="M246" s="5568" t="s">
        <v>1502</v>
      </c>
      <c r="N246" s="5568">
        <v>75265</v>
      </c>
      <c r="O246" s="5568">
        <v>11495</v>
      </c>
      <c r="P246" s="5568" t="s">
        <v>385</v>
      </c>
      <c r="AA246" s="5582"/>
      <c r="AF246" s="5584"/>
    </row>
    <row r="247" spans="9:32">
      <c r="I247" s="5568" t="s">
        <v>1503</v>
      </c>
      <c r="J247" s="5568" t="s">
        <v>1504</v>
      </c>
      <c r="L247" s="5568" t="s">
        <v>565</v>
      </c>
      <c r="M247" s="5568" t="s">
        <v>1505</v>
      </c>
      <c r="N247" s="5568">
        <v>76272</v>
      </c>
      <c r="O247" s="5568">
        <v>11533</v>
      </c>
      <c r="P247" s="5568" t="s">
        <v>495</v>
      </c>
      <c r="AA247" s="5582"/>
      <c r="AF247" s="5584"/>
    </row>
    <row r="248" spans="9:32">
      <c r="I248" s="5568" t="s">
        <v>1506</v>
      </c>
      <c r="J248" s="5568" t="s">
        <v>1507</v>
      </c>
      <c r="L248" s="5568" t="s">
        <v>945</v>
      </c>
      <c r="M248" s="5568" t="s">
        <v>945</v>
      </c>
      <c r="N248" s="5568">
        <v>80240</v>
      </c>
      <c r="O248" s="5568">
        <v>10308</v>
      </c>
      <c r="P248" s="5568" t="s">
        <v>437</v>
      </c>
      <c r="AA248" s="5582"/>
      <c r="AF248" s="5584"/>
    </row>
    <row r="249" spans="9:32">
      <c r="I249" s="5568" t="s">
        <v>1508</v>
      </c>
      <c r="J249" s="5568" t="s">
        <v>1509</v>
      </c>
      <c r="L249" s="5568" t="s">
        <v>627</v>
      </c>
      <c r="M249" s="5568" t="s">
        <v>1510</v>
      </c>
      <c r="N249" s="5568">
        <v>70224</v>
      </c>
      <c r="O249" s="5568">
        <v>10294</v>
      </c>
      <c r="P249" s="5568" t="s">
        <v>392</v>
      </c>
      <c r="AA249" s="5582"/>
      <c r="AF249" s="5584"/>
    </row>
    <row r="250" spans="9:32">
      <c r="I250" s="5568" t="s">
        <v>1511</v>
      </c>
      <c r="J250" s="5568" t="s">
        <v>1512</v>
      </c>
      <c r="L250" s="5568" t="s">
        <v>390</v>
      </c>
      <c r="M250" s="5568" t="s">
        <v>390</v>
      </c>
      <c r="N250" s="5568">
        <v>72270</v>
      </c>
      <c r="O250" s="5568">
        <v>11061</v>
      </c>
      <c r="P250" s="5568" t="s">
        <v>392</v>
      </c>
      <c r="AA250" s="5582"/>
      <c r="AF250" s="5584"/>
    </row>
    <row r="251" spans="9:32">
      <c r="I251" s="5568" t="s">
        <v>1513</v>
      </c>
      <c r="J251" s="5568" t="s">
        <v>1514</v>
      </c>
      <c r="L251" s="5568" t="s">
        <v>595</v>
      </c>
      <c r="M251" s="5568" t="s">
        <v>1515</v>
      </c>
      <c r="N251" s="5568">
        <v>88375</v>
      </c>
      <c r="O251" s="5568">
        <v>11606</v>
      </c>
      <c r="P251" s="5568" t="s">
        <v>480</v>
      </c>
      <c r="AA251" s="5582"/>
      <c r="AF251" s="5584"/>
    </row>
    <row r="252" spans="9:32">
      <c r="I252" s="5568" t="s">
        <v>1516</v>
      </c>
      <c r="J252" s="5568" t="s">
        <v>1517</v>
      </c>
      <c r="L252" s="5568" t="s">
        <v>438</v>
      </c>
      <c r="M252" s="5568" t="s">
        <v>1518</v>
      </c>
      <c r="N252" s="5568">
        <v>77225</v>
      </c>
      <c r="O252" s="5568">
        <v>10227</v>
      </c>
      <c r="P252" s="5568" t="s">
        <v>406</v>
      </c>
      <c r="AA252" s="5582"/>
      <c r="AF252" s="5584"/>
    </row>
    <row r="253" spans="9:32">
      <c r="I253" s="5568" t="s">
        <v>1519</v>
      </c>
      <c r="J253" s="5568" t="s">
        <v>1520</v>
      </c>
      <c r="L253" s="5568" t="s">
        <v>390</v>
      </c>
      <c r="M253" s="5568" t="s">
        <v>1521</v>
      </c>
      <c r="N253" s="5568">
        <v>72283</v>
      </c>
      <c r="O253" s="5568">
        <v>11061</v>
      </c>
      <c r="P253" s="5568" t="s">
        <v>392</v>
      </c>
      <c r="AA253" s="5582"/>
      <c r="AF253" s="5584"/>
    </row>
    <row r="254" spans="9:32">
      <c r="I254" s="5568" t="s">
        <v>1522</v>
      </c>
      <c r="J254" s="5568" t="s">
        <v>1523</v>
      </c>
      <c r="L254" s="5568" t="s">
        <v>525</v>
      </c>
      <c r="M254" s="5568" t="s">
        <v>1524</v>
      </c>
      <c r="N254" s="5568">
        <v>75306</v>
      </c>
      <c r="O254" s="5568">
        <v>10600</v>
      </c>
      <c r="P254" s="5568" t="s">
        <v>385</v>
      </c>
      <c r="AA254" s="5582"/>
      <c r="AF254" s="5584"/>
    </row>
    <row r="255" spans="9:32">
      <c r="I255" s="5568" t="s">
        <v>1525</v>
      </c>
      <c r="J255" s="5568" t="s">
        <v>1526</v>
      </c>
      <c r="L255" s="5568" t="s">
        <v>626</v>
      </c>
      <c r="M255" s="5568" t="s">
        <v>626</v>
      </c>
      <c r="N255" s="5568">
        <v>75000</v>
      </c>
      <c r="O255" s="5568">
        <v>11088</v>
      </c>
      <c r="P255" s="5568" t="s">
        <v>385</v>
      </c>
      <c r="AA255" s="5582"/>
      <c r="AF255" s="5584"/>
    </row>
    <row r="256" spans="9:32">
      <c r="I256" s="5568" t="s">
        <v>1527</v>
      </c>
      <c r="J256" s="5568" t="s">
        <v>1528</v>
      </c>
      <c r="L256" s="5568" t="s">
        <v>966</v>
      </c>
      <c r="M256" s="5568" t="s">
        <v>966</v>
      </c>
      <c r="N256" s="5568">
        <v>74230</v>
      </c>
      <c r="O256" s="5568">
        <v>11622</v>
      </c>
      <c r="P256" s="5568" t="s">
        <v>429</v>
      </c>
      <c r="AA256" s="5582"/>
      <c r="AF256" s="5584"/>
    </row>
    <row r="257" spans="9:32">
      <c r="I257" s="5568" t="s">
        <v>1529</v>
      </c>
      <c r="J257" s="5568" t="s">
        <v>1530</v>
      </c>
      <c r="L257" s="5568" t="s">
        <v>650</v>
      </c>
      <c r="M257" s="5568" t="s">
        <v>1531</v>
      </c>
      <c r="N257" s="5568">
        <v>73250</v>
      </c>
      <c r="O257" s="5568">
        <v>11444</v>
      </c>
      <c r="P257" s="5568" t="s">
        <v>510</v>
      </c>
      <c r="AA257" s="5582"/>
      <c r="AF257" s="5584"/>
    </row>
    <row r="258" spans="9:32">
      <c r="I258" s="5568" t="s">
        <v>1532</v>
      </c>
      <c r="J258" s="5568" t="s">
        <v>1533</v>
      </c>
      <c r="L258" s="5568" t="s">
        <v>861</v>
      </c>
      <c r="M258" s="5568" t="s">
        <v>1534</v>
      </c>
      <c r="N258" s="5568">
        <v>88444</v>
      </c>
      <c r="O258" s="5568">
        <v>10766</v>
      </c>
      <c r="P258" s="5568" t="s">
        <v>480</v>
      </c>
      <c r="AA258" s="5582"/>
      <c r="AF258" s="5584"/>
    </row>
    <row r="259" spans="9:32">
      <c r="I259" s="5568" t="s">
        <v>1535</v>
      </c>
      <c r="J259" s="5568" t="s">
        <v>1536</v>
      </c>
      <c r="L259" s="5568" t="s">
        <v>972</v>
      </c>
      <c r="M259" s="5568" t="s">
        <v>972</v>
      </c>
      <c r="N259" s="5568">
        <v>71330</v>
      </c>
      <c r="O259" s="5568">
        <v>11100</v>
      </c>
      <c r="P259" s="5568" t="s">
        <v>429</v>
      </c>
      <c r="AA259" s="5582"/>
      <c r="AF259" s="5584"/>
    </row>
    <row r="260" spans="9:32">
      <c r="I260" s="5568" t="s">
        <v>1537</v>
      </c>
      <c r="J260" s="5568" t="s">
        <v>1538</v>
      </c>
      <c r="L260" s="5568" t="s">
        <v>972</v>
      </c>
      <c r="M260" s="5568" t="s">
        <v>1539</v>
      </c>
      <c r="N260" s="5568">
        <v>71333</v>
      </c>
      <c r="O260" s="5568">
        <v>11100</v>
      </c>
      <c r="P260" s="5568" t="s">
        <v>429</v>
      </c>
      <c r="AA260" s="5582"/>
      <c r="AF260" s="5584"/>
    </row>
    <row r="261" spans="9:32">
      <c r="I261" s="5568" t="s">
        <v>1540</v>
      </c>
      <c r="J261" s="5568" t="s">
        <v>1541</v>
      </c>
      <c r="L261" s="5568" t="s">
        <v>421</v>
      </c>
      <c r="M261" s="5568" t="s">
        <v>1542</v>
      </c>
      <c r="N261" s="5568">
        <v>77243</v>
      </c>
      <c r="O261" s="5568">
        <v>11428</v>
      </c>
      <c r="P261" s="5568" t="s">
        <v>406</v>
      </c>
      <c r="AA261" s="5582"/>
      <c r="AF261" s="5584"/>
    </row>
    <row r="262" spans="9:32">
      <c r="I262" s="5568" t="s">
        <v>1543</v>
      </c>
      <c r="J262" s="5568" t="s">
        <v>1544</v>
      </c>
      <c r="L262" s="5568" t="s">
        <v>403</v>
      </c>
      <c r="M262" s="5568" t="s">
        <v>1545</v>
      </c>
      <c r="N262" s="5568">
        <v>77207</v>
      </c>
      <c r="O262" s="5568">
        <v>10049</v>
      </c>
      <c r="P262" s="5568" t="s">
        <v>406</v>
      </c>
      <c r="AA262" s="5582"/>
      <c r="AF262" s="5584"/>
    </row>
    <row r="263" spans="9:32">
      <c r="I263" s="5568" t="s">
        <v>1546</v>
      </c>
      <c r="J263" s="5568" t="s">
        <v>1547</v>
      </c>
      <c r="L263" s="5568" t="s">
        <v>977</v>
      </c>
      <c r="M263" s="5568" t="s">
        <v>977</v>
      </c>
      <c r="N263" s="5568">
        <v>77230</v>
      </c>
      <c r="O263" s="5568">
        <v>11118</v>
      </c>
      <c r="P263" s="5568" t="s">
        <v>406</v>
      </c>
      <c r="AA263" s="5582"/>
      <c r="AF263" s="5584"/>
    </row>
    <row r="264" spans="9:32">
      <c r="I264" s="5568" t="s">
        <v>1548</v>
      </c>
      <c r="J264" s="5568" t="s">
        <v>1549</v>
      </c>
      <c r="L264" s="5568" t="s">
        <v>483</v>
      </c>
      <c r="M264" s="5568" t="s">
        <v>1550</v>
      </c>
      <c r="N264" s="5568">
        <v>70234</v>
      </c>
      <c r="O264" s="5568">
        <v>10197</v>
      </c>
      <c r="P264" s="5568" t="s">
        <v>392</v>
      </c>
      <c r="AA264" s="5582"/>
      <c r="AF264" s="5584"/>
    </row>
    <row r="265" spans="9:32">
      <c r="I265" s="5568" t="s">
        <v>1551</v>
      </c>
      <c r="J265" s="5568" t="s">
        <v>1552</v>
      </c>
      <c r="L265" s="5568" t="s">
        <v>511</v>
      </c>
      <c r="M265" s="5568" t="s">
        <v>1553</v>
      </c>
      <c r="N265" s="5568">
        <v>80208</v>
      </c>
      <c r="O265" s="5568">
        <v>10588</v>
      </c>
      <c r="P265" s="5568" t="s">
        <v>437</v>
      </c>
      <c r="AA265" s="5582"/>
      <c r="AF265" s="5584"/>
    </row>
    <row r="266" spans="9:32">
      <c r="I266" s="5568" t="s">
        <v>1554</v>
      </c>
      <c r="J266" s="5568" t="s">
        <v>1555</v>
      </c>
      <c r="L266" s="5568" t="s">
        <v>565</v>
      </c>
      <c r="M266" s="5568" t="s">
        <v>1556</v>
      </c>
      <c r="N266" s="5568">
        <v>76275</v>
      </c>
      <c r="O266" s="5568">
        <v>11533</v>
      </c>
      <c r="P266" s="5568" t="s">
        <v>495</v>
      </c>
      <c r="AA266" s="5582"/>
      <c r="AF266" s="5584"/>
    </row>
    <row r="267" spans="9:32">
      <c r="I267" s="5568" t="s">
        <v>1557</v>
      </c>
      <c r="J267" s="5568" t="s">
        <v>1558</v>
      </c>
      <c r="L267" s="5568" t="s">
        <v>749</v>
      </c>
      <c r="M267" s="5568" t="s">
        <v>1559</v>
      </c>
      <c r="N267" s="5568">
        <v>70202</v>
      </c>
      <c r="O267" s="5568">
        <v>11487</v>
      </c>
      <c r="P267" s="5568" t="s">
        <v>392</v>
      </c>
      <c r="AA267" s="5582"/>
      <c r="AF267" s="5584"/>
    </row>
    <row r="268" spans="9:32">
      <c r="I268" s="5568" t="s">
        <v>1560</v>
      </c>
      <c r="J268" s="5568" t="s">
        <v>1561</v>
      </c>
      <c r="L268" s="5568" t="s">
        <v>690</v>
      </c>
      <c r="M268" s="5568" t="s">
        <v>1562</v>
      </c>
      <c r="N268" s="5568">
        <v>88247</v>
      </c>
      <c r="O268" s="5568">
        <v>10731</v>
      </c>
      <c r="P268" s="5568" t="s">
        <v>524</v>
      </c>
      <c r="AA268" s="5582"/>
      <c r="AF268" s="5584"/>
    </row>
    <row r="269" spans="9:32">
      <c r="I269" s="5568" t="s">
        <v>1563</v>
      </c>
      <c r="J269" s="5568" t="s">
        <v>1564</v>
      </c>
      <c r="L269" s="5568" t="s">
        <v>638</v>
      </c>
      <c r="M269" s="5568" t="s">
        <v>638</v>
      </c>
      <c r="N269" s="5568">
        <v>71300</v>
      </c>
      <c r="O269" s="5568">
        <v>11126</v>
      </c>
      <c r="P269" s="5568" t="s">
        <v>429</v>
      </c>
      <c r="AA269" s="5582"/>
      <c r="AF269" s="5584"/>
    </row>
    <row r="270" spans="9:32">
      <c r="I270" s="5568" t="s">
        <v>1565</v>
      </c>
      <c r="J270" s="5568" t="s">
        <v>1566</v>
      </c>
      <c r="L270" s="5568" t="s">
        <v>540</v>
      </c>
      <c r="M270" s="5568" t="s">
        <v>1567</v>
      </c>
      <c r="N270" s="5568">
        <v>88307</v>
      </c>
      <c r="O270" s="5568">
        <v>10243</v>
      </c>
      <c r="P270" s="5568" t="s">
        <v>480</v>
      </c>
      <c r="AA270" s="5582"/>
      <c r="AF270" s="5584"/>
    </row>
    <row r="271" spans="9:32">
      <c r="I271" s="5568" t="s">
        <v>1568</v>
      </c>
      <c r="J271" s="5568" t="s">
        <v>1569</v>
      </c>
      <c r="L271" s="5568" t="s">
        <v>459</v>
      </c>
      <c r="M271" s="5568" t="s">
        <v>459</v>
      </c>
      <c r="N271" s="5568">
        <v>72250</v>
      </c>
      <c r="O271" s="5568">
        <v>11142</v>
      </c>
      <c r="P271" s="5568" t="s">
        <v>392</v>
      </c>
      <c r="AA271" s="5582"/>
      <c r="AF271" s="5584"/>
    </row>
    <row r="272" spans="9:32">
      <c r="I272" s="5568" t="s">
        <v>1570</v>
      </c>
      <c r="J272" s="5568" t="s">
        <v>1571</v>
      </c>
      <c r="L272" s="5568" t="s">
        <v>539</v>
      </c>
      <c r="M272" s="5568" t="s">
        <v>1572</v>
      </c>
      <c r="N272" s="5568">
        <v>88326</v>
      </c>
      <c r="O272" s="5568">
        <v>10626</v>
      </c>
      <c r="P272" s="5568" t="s">
        <v>524</v>
      </c>
      <c r="AA272" s="5582"/>
      <c r="AF272" s="5584"/>
    </row>
    <row r="273" spans="9:32">
      <c r="I273" s="5568" t="s">
        <v>1573</v>
      </c>
      <c r="J273" s="5568" t="s">
        <v>1574</v>
      </c>
      <c r="L273" s="5568" t="s">
        <v>452</v>
      </c>
      <c r="M273" s="5568" t="s">
        <v>1575</v>
      </c>
      <c r="N273" s="5568">
        <v>73205</v>
      </c>
      <c r="O273" s="5568">
        <v>11452</v>
      </c>
      <c r="P273" s="5568" t="s">
        <v>510</v>
      </c>
      <c r="AA273" s="5582"/>
      <c r="AF273" s="5584"/>
    </row>
    <row r="274" spans="9:32">
      <c r="I274" s="5568" t="s">
        <v>1576</v>
      </c>
      <c r="J274" s="5568" t="s">
        <v>1577</v>
      </c>
      <c r="L274" s="5568" t="s">
        <v>992</v>
      </c>
      <c r="M274" s="5568" t="s">
        <v>992</v>
      </c>
      <c r="N274" s="5568">
        <v>71320</v>
      </c>
      <c r="O274" s="5568">
        <v>10928</v>
      </c>
      <c r="P274" s="5568" t="s">
        <v>538</v>
      </c>
      <c r="AA274" s="5582"/>
      <c r="AF274" s="5584"/>
    </row>
    <row r="275" spans="9:32">
      <c r="I275" s="5568" t="s">
        <v>1578</v>
      </c>
      <c r="J275" s="5568" t="s">
        <v>1579</v>
      </c>
      <c r="L275" s="5568" t="s">
        <v>649</v>
      </c>
      <c r="M275" s="5568" t="s">
        <v>1580</v>
      </c>
      <c r="N275" s="5568">
        <v>72227</v>
      </c>
      <c r="O275" s="5568">
        <v>11177</v>
      </c>
      <c r="P275" s="5568" t="s">
        <v>429</v>
      </c>
      <c r="AA275" s="5582"/>
      <c r="AF275" s="5584"/>
    </row>
    <row r="276" spans="9:32">
      <c r="I276" s="5568" t="s">
        <v>1581</v>
      </c>
      <c r="J276" s="5568" t="s">
        <v>1582</v>
      </c>
      <c r="L276" s="5568" t="s">
        <v>530</v>
      </c>
      <c r="M276" s="5568" t="s">
        <v>1583</v>
      </c>
      <c r="N276" s="5568">
        <v>88113</v>
      </c>
      <c r="O276" s="5568">
        <v>11410</v>
      </c>
      <c r="P276" s="5568" t="s">
        <v>480</v>
      </c>
      <c r="AA276" s="5582"/>
      <c r="AF276" s="5584"/>
    </row>
    <row r="277" spans="9:32">
      <c r="I277" s="5568" t="s">
        <v>1584</v>
      </c>
      <c r="J277" s="5568" t="s">
        <v>1585</v>
      </c>
      <c r="L277" s="5568" t="s">
        <v>884</v>
      </c>
      <c r="M277" s="5568" t="s">
        <v>1586</v>
      </c>
      <c r="N277" s="5568">
        <v>79262</v>
      </c>
      <c r="O277" s="5568">
        <v>11541</v>
      </c>
      <c r="P277" s="5568" t="s">
        <v>406</v>
      </c>
      <c r="AA277" s="5582"/>
      <c r="AF277" s="5584"/>
    </row>
    <row r="278" spans="9:32">
      <c r="I278" s="5568" t="s">
        <v>1587</v>
      </c>
      <c r="J278" s="5568" t="s">
        <v>1588</v>
      </c>
      <c r="L278" s="5568" t="s">
        <v>977</v>
      </c>
      <c r="M278" s="5568" t="s">
        <v>1589</v>
      </c>
      <c r="N278" s="5568">
        <v>77231</v>
      </c>
      <c r="O278" s="5568">
        <v>11118</v>
      </c>
      <c r="P278" s="5568" t="s">
        <v>406</v>
      </c>
      <c r="AA278" s="5582"/>
      <c r="AF278" s="5584"/>
    </row>
    <row r="279" spans="9:32">
      <c r="I279" s="5568" t="s">
        <v>1590</v>
      </c>
      <c r="J279" s="5568" t="s">
        <v>1591</v>
      </c>
      <c r="L279" s="5568" t="s">
        <v>403</v>
      </c>
      <c r="M279" s="5568" t="s">
        <v>1592</v>
      </c>
      <c r="N279" s="5568">
        <v>77203</v>
      </c>
      <c r="O279" s="5568">
        <v>10049</v>
      </c>
      <c r="P279" s="5568" t="s">
        <v>406</v>
      </c>
      <c r="AA279" s="5582"/>
      <c r="AF279" s="5584"/>
    </row>
    <row r="280" spans="9:32">
      <c r="I280" s="5568" t="s">
        <v>1593</v>
      </c>
      <c r="J280" s="5568" t="s">
        <v>1594</v>
      </c>
      <c r="L280" s="5568" t="s">
        <v>482</v>
      </c>
      <c r="M280" s="5568" t="s">
        <v>1595</v>
      </c>
      <c r="N280" s="5568">
        <v>76254</v>
      </c>
      <c r="O280" s="5568">
        <v>10391</v>
      </c>
      <c r="P280" s="5568" t="s">
        <v>385</v>
      </c>
      <c r="AA280" s="5582"/>
      <c r="AF280" s="5584"/>
    </row>
    <row r="281" spans="9:32">
      <c r="I281" s="5568" t="s">
        <v>1596</v>
      </c>
      <c r="J281" s="5568" t="s">
        <v>1597</v>
      </c>
      <c r="L281" s="5568" t="s">
        <v>649</v>
      </c>
      <c r="M281" s="5568" t="s">
        <v>649</v>
      </c>
      <c r="N281" s="5568">
        <v>72220</v>
      </c>
      <c r="O281" s="5568">
        <v>11177</v>
      </c>
      <c r="P281" s="5568" t="s">
        <v>429</v>
      </c>
      <c r="AA281" s="5582"/>
      <c r="AF281" s="5584"/>
    </row>
    <row r="282" spans="9:32">
      <c r="I282" s="5568" t="s">
        <v>1598</v>
      </c>
      <c r="J282" s="5568" t="s">
        <v>1599</v>
      </c>
      <c r="L282" s="5568" t="s">
        <v>977</v>
      </c>
      <c r="M282" s="5568" t="s">
        <v>1600</v>
      </c>
      <c r="N282" s="5568">
        <v>77236</v>
      </c>
      <c r="O282" s="5568">
        <v>11118</v>
      </c>
      <c r="P282" s="5568" t="s">
        <v>406</v>
      </c>
      <c r="AA282" s="5582"/>
      <c r="AF282" s="5584"/>
    </row>
    <row r="283" spans="9:32">
      <c r="I283" s="5568" t="s">
        <v>1601</v>
      </c>
      <c r="J283" s="5568" t="s">
        <v>1602</v>
      </c>
      <c r="L283" s="5568" t="s">
        <v>482</v>
      </c>
      <c r="M283" s="5568" t="s">
        <v>1603</v>
      </c>
      <c r="N283" s="5568">
        <v>76259</v>
      </c>
      <c r="O283" s="5568">
        <v>10391</v>
      </c>
      <c r="P283" s="5568" t="s">
        <v>385</v>
      </c>
      <c r="AA283" s="5582"/>
      <c r="AF283" s="5584"/>
    </row>
    <row r="284" spans="9:32">
      <c r="I284" s="5568" t="s">
        <v>1604</v>
      </c>
      <c r="J284" s="5568" t="s">
        <v>1605</v>
      </c>
      <c r="L284" s="5568" t="s">
        <v>658</v>
      </c>
      <c r="M284" s="5568" t="s">
        <v>658</v>
      </c>
      <c r="N284" s="5568">
        <v>72000</v>
      </c>
      <c r="O284" s="5568">
        <v>11185</v>
      </c>
      <c r="P284" s="5568" t="s">
        <v>429</v>
      </c>
      <c r="AA284" s="5582"/>
      <c r="AF284" s="5584"/>
    </row>
    <row r="285" spans="9:32">
      <c r="I285" s="5568" t="s">
        <v>1606</v>
      </c>
      <c r="J285" s="5568" t="s">
        <v>1607</v>
      </c>
      <c r="L285" s="5568" t="s">
        <v>427</v>
      </c>
      <c r="M285" s="5568" t="s">
        <v>1608</v>
      </c>
      <c r="N285" s="5568">
        <v>72236</v>
      </c>
      <c r="O285" s="5568">
        <v>11207</v>
      </c>
      <c r="P285" s="5568" t="s">
        <v>429</v>
      </c>
      <c r="AA285" s="5582"/>
      <c r="AF285" s="5584"/>
    </row>
    <row r="286" spans="9:32">
      <c r="I286" s="5568" t="s">
        <v>1609</v>
      </c>
      <c r="J286" s="5568" t="s">
        <v>1610</v>
      </c>
      <c r="L286" s="5568" t="s">
        <v>427</v>
      </c>
      <c r="M286" s="5568" t="s">
        <v>427</v>
      </c>
      <c r="N286" s="5568">
        <v>72230</v>
      </c>
      <c r="O286" s="5568">
        <v>11207</v>
      </c>
      <c r="P286" s="5568" t="s">
        <v>429</v>
      </c>
      <c r="AA286" s="5582"/>
      <c r="AF286" s="5584"/>
    </row>
    <row r="287" spans="9:32">
      <c r="I287" s="5568" t="s">
        <v>1611</v>
      </c>
      <c r="J287" s="5568" t="s">
        <v>1612</v>
      </c>
      <c r="L287" s="5568" t="s">
        <v>667</v>
      </c>
      <c r="M287" s="5568" t="s">
        <v>667</v>
      </c>
      <c r="N287" s="5568">
        <v>75270</v>
      </c>
      <c r="O287" s="5568">
        <v>11215</v>
      </c>
      <c r="P287" s="5568" t="s">
        <v>385</v>
      </c>
      <c r="AA287" s="5582"/>
      <c r="AF287" s="5584"/>
    </row>
    <row r="288" spans="9:32">
      <c r="I288" s="5568" t="s">
        <v>1613</v>
      </c>
      <c r="J288" s="5568" t="s">
        <v>1614</v>
      </c>
      <c r="L288" s="5568" t="s">
        <v>468</v>
      </c>
      <c r="M288" s="5568" t="s">
        <v>1615</v>
      </c>
      <c r="N288" s="5568">
        <v>71373</v>
      </c>
      <c r="O288" s="5568">
        <v>10189</v>
      </c>
      <c r="P288" s="5568" t="s">
        <v>429</v>
      </c>
      <c r="AA288" s="5582"/>
      <c r="AF288" s="5584"/>
    </row>
    <row r="289" spans="9:32">
      <c r="I289" s="5568" t="s">
        <v>1616</v>
      </c>
      <c r="J289" s="5568" t="s">
        <v>1617</v>
      </c>
      <c r="AA289" s="5582"/>
      <c r="AF289" s="5584"/>
    </row>
    <row r="290" spans="9:32">
      <c r="I290" s="5568" t="s">
        <v>1618</v>
      </c>
      <c r="J290" s="5568" t="s">
        <v>1619</v>
      </c>
      <c r="AA290" s="5582"/>
      <c r="AF290" s="5584"/>
    </row>
    <row r="291" spans="9:32">
      <c r="I291" s="5568" t="s">
        <v>1620</v>
      </c>
      <c r="J291" s="5568" t="s">
        <v>1621</v>
      </c>
      <c r="AA291" s="5582"/>
      <c r="AF291" s="5584"/>
    </row>
    <row r="292" spans="9:32">
      <c r="I292" s="5568" t="s">
        <v>1622</v>
      </c>
      <c r="J292" s="5568" t="s">
        <v>1623</v>
      </c>
      <c r="AA292" s="5582"/>
      <c r="AF292" s="5584"/>
    </row>
    <row r="293" spans="9:32">
      <c r="I293" s="5568" t="s">
        <v>1624</v>
      </c>
      <c r="J293" s="5568" t="s">
        <v>1625</v>
      </c>
      <c r="AA293" s="5582"/>
      <c r="AF293" s="5584"/>
    </row>
    <row r="294" spans="9:32">
      <c r="I294" s="5568" t="s">
        <v>1626</v>
      </c>
      <c r="J294" s="5568" t="s">
        <v>1627</v>
      </c>
      <c r="AA294" s="5582"/>
      <c r="AF294" s="5584"/>
    </row>
    <row r="295" spans="9:32">
      <c r="I295" s="5568" t="s">
        <v>1628</v>
      </c>
      <c r="J295" s="5568" t="s">
        <v>1629</v>
      </c>
      <c r="AA295" s="5582"/>
      <c r="AF295" s="5584"/>
    </row>
    <row r="296" spans="9:32">
      <c r="I296" s="5568" t="s">
        <v>1630</v>
      </c>
      <c r="J296" s="5568" t="s">
        <v>1631</v>
      </c>
      <c r="AA296" s="5582"/>
      <c r="AF296" s="5584"/>
    </row>
    <row r="297" spans="9:32">
      <c r="I297" s="5568" t="s">
        <v>1632</v>
      </c>
      <c r="J297" s="5568" t="s">
        <v>1633</v>
      </c>
      <c r="AA297" s="5582"/>
      <c r="AF297" s="5584"/>
    </row>
    <row r="298" spans="9:32">
      <c r="I298" s="5568" t="s">
        <v>1634</v>
      </c>
      <c r="J298" s="5568" t="s">
        <v>1635</v>
      </c>
      <c r="AA298" s="5582"/>
      <c r="AF298" s="5584"/>
    </row>
    <row r="299" spans="9:32">
      <c r="I299" s="5568" t="s">
        <v>1636</v>
      </c>
      <c r="J299" s="5568" t="s">
        <v>1637</v>
      </c>
      <c r="AA299" s="5582"/>
      <c r="AF299" s="5584"/>
    </row>
    <row r="300" spans="9:32">
      <c r="I300" s="5568" t="s">
        <v>1638</v>
      </c>
      <c r="J300" s="5568" t="s">
        <v>1639</v>
      </c>
      <c r="AA300" s="5582"/>
      <c r="AF300" s="5584"/>
    </row>
    <row r="301" spans="9:32">
      <c r="I301" s="5568" t="s">
        <v>1640</v>
      </c>
      <c r="J301" s="5568" t="s">
        <v>1641</v>
      </c>
      <c r="AA301" s="5582"/>
      <c r="AF301" s="5584"/>
    </row>
    <row r="302" spans="9:32">
      <c r="I302" s="5568" t="s">
        <v>1642</v>
      </c>
      <c r="J302" s="5568" t="s">
        <v>1643</v>
      </c>
      <c r="AA302" s="5582"/>
      <c r="AF302" s="5584"/>
    </row>
    <row r="303" spans="9:32">
      <c r="I303" s="5568" t="s">
        <v>1644</v>
      </c>
      <c r="J303" s="5568" t="s">
        <v>1645</v>
      </c>
      <c r="AA303" s="5582"/>
      <c r="AF303" s="5584"/>
    </row>
    <row r="304" spans="9:32">
      <c r="I304" s="5568" t="s">
        <v>1646</v>
      </c>
      <c r="J304" s="5568" t="s">
        <v>1647</v>
      </c>
      <c r="AA304" s="5582"/>
      <c r="AF304" s="5584"/>
    </row>
    <row r="305" spans="9:32">
      <c r="I305" s="5568" t="s">
        <v>1648</v>
      </c>
      <c r="J305" s="5568" t="s">
        <v>1649</v>
      </c>
      <c r="AA305" s="5582"/>
      <c r="AF305" s="5584"/>
    </row>
    <row r="306" spans="9:32">
      <c r="I306" s="5568" t="s">
        <v>1650</v>
      </c>
      <c r="J306" s="5568" t="s">
        <v>1651</v>
      </c>
      <c r="AA306" s="5582"/>
      <c r="AF306" s="5584"/>
    </row>
    <row r="307" spans="9:32">
      <c r="I307" s="5568" t="s">
        <v>1652</v>
      </c>
      <c r="J307" s="5568" t="s">
        <v>1653</v>
      </c>
      <c r="AA307" s="5582"/>
      <c r="AF307" s="5584"/>
    </row>
    <row r="308" spans="9:32">
      <c r="I308" s="5568" t="s">
        <v>1654</v>
      </c>
      <c r="J308" s="5568" t="s">
        <v>1655</v>
      </c>
      <c r="AA308" s="5582"/>
      <c r="AF308" s="5584"/>
    </row>
    <row r="309" spans="9:32">
      <c r="I309" s="5568" t="s">
        <v>1656</v>
      </c>
      <c r="J309" s="5568" t="s">
        <v>1657</v>
      </c>
      <c r="AA309" s="5582"/>
      <c r="AF309" s="5584"/>
    </row>
    <row r="310" spans="9:32">
      <c r="I310" s="5568" t="s">
        <v>1658</v>
      </c>
      <c r="J310" s="5568" t="s">
        <v>1659</v>
      </c>
      <c r="AA310" s="5582"/>
      <c r="AF310" s="5584"/>
    </row>
    <row r="311" spans="9:32">
      <c r="I311" s="5568" t="s">
        <v>1660</v>
      </c>
      <c r="J311" s="5568" t="s">
        <v>1661</v>
      </c>
      <c r="AA311" s="5582"/>
      <c r="AF311" s="5584"/>
    </row>
    <row r="312" spans="9:32">
      <c r="I312" s="5568" t="s">
        <v>1662</v>
      </c>
      <c r="J312" s="5568" t="s">
        <v>1663</v>
      </c>
      <c r="AA312" s="5582"/>
      <c r="AF312" s="5584"/>
    </row>
    <row r="313" spans="9:32">
      <c r="I313" s="5568" t="s">
        <v>1664</v>
      </c>
      <c r="J313" s="5568" t="s">
        <v>1665</v>
      </c>
      <c r="AA313" s="5582"/>
    </row>
    <row r="314" spans="9:32">
      <c r="I314" s="5568" t="s">
        <v>1666</v>
      </c>
      <c r="J314" s="5568" t="s">
        <v>1667</v>
      </c>
      <c r="AA314" s="5582"/>
    </row>
    <row r="315" spans="9:32">
      <c r="I315" s="5568" t="s">
        <v>1668</v>
      </c>
      <c r="J315" s="5568" t="s">
        <v>1669</v>
      </c>
      <c r="AA315" s="5582"/>
    </row>
    <row r="316" spans="9:32">
      <c r="I316" s="5568" t="s">
        <v>1670</v>
      </c>
      <c r="J316" s="5568" t="s">
        <v>1671</v>
      </c>
      <c r="AA316" s="5582"/>
    </row>
    <row r="317" spans="9:32">
      <c r="I317" s="5568" t="s">
        <v>1672</v>
      </c>
      <c r="J317" s="5568" t="s">
        <v>1673</v>
      </c>
      <c r="AA317" s="5582"/>
    </row>
    <row r="318" spans="9:32">
      <c r="I318" s="5568" t="s">
        <v>1674</v>
      </c>
      <c r="J318" s="5568" t="s">
        <v>1675</v>
      </c>
      <c r="AA318" s="5582"/>
    </row>
    <row r="319" spans="9:32">
      <c r="I319" s="5568" t="s">
        <v>1676</v>
      </c>
      <c r="J319" s="5568" t="s">
        <v>1677</v>
      </c>
      <c r="AA319" s="5582"/>
    </row>
    <row r="320" spans="9:32">
      <c r="I320" s="5568" t="s">
        <v>1678</v>
      </c>
      <c r="J320" s="5568" t="s">
        <v>1679</v>
      </c>
      <c r="AA320" s="5582"/>
    </row>
    <row r="321" spans="9:27">
      <c r="I321" s="5568" t="s">
        <v>1680</v>
      </c>
      <c r="J321" s="5568" t="s">
        <v>1681</v>
      </c>
      <c r="AA321" s="5582"/>
    </row>
    <row r="322" spans="9:27">
      <c r="I322" s="5568" t="s">
        <v>1682</v>
      </c>
      <c r="J322" s="5568" t="s">
        <v>1683</v>
      </c>
      <c r="AA322" s="5582"/>
    </row>
    <row r="323" spans="9:27">
      <c r="I323" s="5568" t="s">
        <v>1684</v>
      </c>
      <c r="J323" s="5568" t="s">
        <v>1685</v>
      </c>
      <c r="AA323" s="5582"/>
    </row>
    <row r="324" spans="9:27">
      <c r="I324" s="5568" t="s">
        <v>1686</v>
      </c>
      <c r="J324" s="5568" t="s">
        <v>1687</v>
      </c>
      <c r="AA324" s="5582"/>
    </row>
    <row r="325" spans="9:27">
      <c r="I325" s="5568" t="s">
        <v>1688</v>
      </c>
      <c r="J325" s="5568" t="s">
        <v>1689</v>
      </c>
      <c r="AA325" s="5582"/>
    </row>
    <row r="326" spans="9:27">
      <c r="I326" s="5568" t="s">
        <v>1690</v>
      </c>
      <c r="J326" s="5568" t="s">
        <v>1691</v>
      </c>
      <c r="AA326" s="5582"/>
    </row>
    <row r="327" spans="9:27">
      <c r="I327" s="5568" t="s">
        <v>1692</v>
      </c>
      <c r="J327" s="5568" t="s">
        <v>1693</v>
      </c>
      <c r="AA327" s="5582"/>
    </row>
    <row r="328" spans="9:27">
      <c r="I328" s="5568" t="s">
        <v>1694</v>
      </c>
      <c r="J328" s="5568" t="s">
        <v>1695</v>
      </c>
      <c r="AA328" s="5582"/>
    </row>
    <row r="329" spans="9:27">
      <c r="I329" s="5568" t="s">
        <v>1696</v>
      </c>
      <c r="J329" s="5568" t="s">
        <v>1697</v>
      </c>
      <c r="AA329" s="5582"/>
    </row>
    <row r="330" spans="9:27">
      <c r="I330" s="5568" t="s">
        <v>1698</v>
      </c>
      <c r="J330" s="5568" t="s">
        <v>1699</v>
      </c>
      <c r="AA330" s="5582"/>
    </row>
    <row r="331" spans="9:27">
      <c r="I331" s="5568" t="s">
        <v>1700</v>
      </c>
      <c r="J331" s="5568" t="s">
        <v>1701</v>
      </c>
      <c r="AA331" s="5582"/>
    </row>
    <row r="332" spans="9:27">
      <c r="I332" s="5568" t="s">
        <v>1702</v>
      </c>
      <c r="J332" s="5568" t="s">
        <v>1703</v>
      </c>
      <c r="AA332" s="5582"/>
    </row>
    <row r="333" spans="9:27">
      <c r="I333" s="5568" t="s">
        <v>1704</v>
      </c>
      <c r="J333" s="5568" t="s">
        <v>1705</v>
      </c>
      <c r="AA333" s="5582"/>
    </row>
    <row r="334" spans="9:27">
      <c r="I334" s="5568" t="s">
        <v>1706</v>
      </c>
      <c r="J334" s="5568" t="s">
        <v>1707</v>
      </c>
      <c r="AA334" s="5582"/>
    </row>
    <row r="335" spans="9:27">
      <c r="I335" s="5568" t="s">
        <v>1708</v>
      </c>
      <c r="J335" s="5568" t="s">
        <v>1709</v>
      </c>
      <c r="AA335" s="5582"/>
    </row>
    <row r="336" spans="9:27">
      <c r="I336" s="5568" t="s">
        <v>1710</v>
      </c>
      <c r="J336" s="5568" t="s">
        <v>1711</v>
      </c>
      <c r="AA336" s="5582"/>
    </row>
    <row r="337" spans="9:27">
      <c r="I337" s="5568" t="s">
        <v>1712</v>
      </c>
      <c r="J337" s="5568" t="s">
        <v>1713</v>
      </c>
      <c r="AA337" s="5582"/>
    </row>
    <row r="338" spans="9:27">
      <c r="I338" s="5568" t="s">
        <v>1714</v>
      </c>
      <c r="J338" s="5568" t="s">
        <v>1715</v>
      </c>
      <c r="AA338" s="5582"/>
    </row>
    <row r="339" spans="9:27">
      <c r="I339" s="5568" t="s">
        <v>1716</v>
      </c>
      <c r="J339" s="5568" t="s">
        <v>1717</v>
      </c>
      <c r="AA339" s="5582"/>
    </row>
    <row r="340" spans="9:27">
      <c r="I340" s="5568" t="s">
        <v>1718</v>
      </c>
      <c r="J340" s="5568" t="s">
        <v>1719</v>
      </c>
      <c r="AA340" s="5582"/>
    </row>
    <row r="341" spans="9:27">
      <c r="I341" s="5568" t="s">
        <v>1720</v>
      </c>
      <c r="J341" s="5568" t="s">
        <v>1721</v>
      </c>
      <c r="AA341" s="5582"/>
    </row>
    <row r="342" spans="9:27">
      <c r="I342" s="5568" t="s">
        <v>1722</v>
      </c>
      <c r="J342" s="5568" t="s">
        <v>1723</v>
      </c>
      <c r="AA342" s="5582"/>
    </row>
    <row r="343" spans="9:27">
      <c r="I343" s="5568" t="s">
        <v>1724</v>
      </c>
      <c r="J343" s="5568" t="s">
        <v>1725</v>
      </c>
      <c r="AA343" s="5582"/>
    </row>
    <row r="344" spans="9:27">
      <c r="I344" s="5568" t="s">
        <v>1726</v>
      </c>
      <c r="J344" s="5568" t="s">
        <v>1727</v>
      </c>
      <c r="AA344" s="5582"/>
    </row>
    <row r="345" spans="9:27">
      <c r="I345" s="5568" t="s">
        <v>1728</v>
      </c>
      <c r="J345" s="5568" t="s">
        <v>1729</v>
      </c>
      <c r="AA345" s="5582"/>
    </row>
    <row r="346" spans="9:27">
      <c r="I346" s="5568" t="s">
        <v>1730</v>
      </c>
      <c r="J346" s="5568" t="s">
        <v>1731</v>
      </c>
      <c r="AA346" s="5582"/>
    </row>
    <row r="347" spans="9:27">
      <c r="I347" s="5568" t="s">
        <v>1732</v>
      </c>
      <c r="J347" s="5568" t="s">
        <v>1733</v>
      </c>
      <c r="AA347" s="5582"/>
    </row>
    <row r="348" spans="9:27">
      <c r="I348" s="5568" t="s">
        <v>1734</v>
      </c>
      <c r="J348" s="5568" t="s">
        <v>1735</v>
      </c>
      <c r="AA348" s="5582"/>
    </row>
    <row r="349" spans="9:27">
      <c r="I349" s="5568" t="s">
        <v>1736</v>
      </c>
      <c r="J349" s="5568" t="s">
        <v>1737</v>
      </c>
      <c r="AA349" s="5582"/>
    </row>
    <row r="350" spans="9:27">
      <c r="I350" s="5568" t="s">
        <v>1738</v>
      </c>
      <c r="J350" s="5568" t="s">
        <v>1739</v>
      </c>
      <c r="AA350" s="5582"/>
    </row>
    <row r="351" spans="9:27">
      <c r="I351" s="5568" t="s">
        <v>1740</v>
      </c>
      <c r="J351" s="5568" t="s">
        <v>1741</v>
      </c>
      <c r="AA351" s="5582"/>
    </row>
    <row r="352" spans="9:27">
      <c r="I352" s="5568" t="s">
        <v>1742</v>
      </c>
      <c r="J352" s="5568" t="s">
        <v>1743</v>
      </c>
      <c r="AA352" s="5582"/>
    </row>
    <row r="353" spans="9:27">
      <c r="I353" s="5568" t="s">
        <v>1744</v>
      </c>
      <c r="J353" s="5568" t="s">
        <v>1745</v>
      </c>
      <c r="AA353" s="5582"/>
    </row>
    <row r="354" spans="9:27">
      <c r="I354" s="5568" t="s">
        <v>1746</v>
      </c>
      <c r="J354" s="5568" t="s">
        <v>1747</v>
      </c>
      <c r="AA354" s="5582"/>
    </row>
    <row r="355" spans="9:27">
      <c r="I355" s="5568" t="s">
        <v>1748</v>
      </c>
      <c r="J355" s="5568" t="s">
        <v>1749</v>
      </c>
      <c r="AA355" s="5582"/>
    </row>
    <row r="356" spans="9:27">
      <c r="I356" s="5568" t="s">
        <v>1750</v>
      </c>
      <c r="J356" s="5568" t="s">
        <v>1751</v>
      </c>
      <c r="AA356" s="5582"/>
    </row>
    <row r="357" spans="9:27">
      <c r="I357" s="5568" t="s">
        <v>1752</v>
      </c>
      <c r="J357" s="5568" t="s">
        <v>1753</v>
      </c>
      <c r="AA357" s="5582"/>
    </row>
    <row r="358" spans="9:27">
      <c r="I358" s="5568" t="s">
        <v>1754</v>
      </c>
      <c r="J358" s="5568" t="s">
        <v>1755</v>
      </c>
      <c r="AA358" s="5582"/>
    </row>
    <row r="359" spans="9:27">
      <c r="I359" s="5568" t="s">
        <v>1756</v>
      </c>
      <c r="J359" s="5568" t="s">
        <v>1757</v>
      </c>
      <c r="AA359" s="5582"/>
    </row>
    <row r="360" spans="9:27">
      <c r="I360" s="5568" t="s">
        <v>1758</v>
      </c>
      <c r="J360" s="5568" t="s">
        <v>1759</v>
      </c>
      <c r="AA360" s="5582"/>
    </row>
    <row r="361" spans="9:27">
      <c r="I361" s="5568" t="s">
        <v>1760</v>
      </c>
      <c r="J361" s="5568" t="s">
        <v>1761</v>
      </c>
      <c r="AA361" s="5582"/>
    </row>
    <row r="362" spans="9:27">
      <c r="I362" s="5568" t="s">
        <v>1762</v>
      </c>
      <c r="J362" s="5568" t="s">
        <v>1763</v>
      </c>
      <c r="AA362" s="5582"/>
    </row>
    <row r="363" spans="9:27">
      <c r="I363" s="5568" t="s">
        <v>1764</v>
      </c>
      <c r="J363" s="5568" t="s">
        <v>1765</v>
      </c>
      <c r="AA363" s="5582"/>
    </row>
    <row r="364" spans="9:27">
      <c r="I364" s="5568" t="s">
        <v>1766</v>
      </c>
      <c r="J364" s="5568" t="s">
        <v>1767</v>
      </c>
      <c r="AA364" s="5582"/>
    </row>
    <row r="365" spans="9:27">
      <c r="I365" s="5568" t="s">
        <v>1768</v>
      </c>
      <c r="J365" s="5568" t="s">
        <v>1769</v>
      </c>
      <c r="AA365" s="5582"/>
    </row>
    <row r="366" spans="9:27">
      <c r="I366" s="5568" t="s">
        <v>1770</v>
      </c>
      <c r="J366" s="5568" t="s">
        <v>1771</v>
      </c>
      <c r="AA366" s="5582"/>
    </row>
    <row r="367" spans="9:27">
      <c r="I367" s="5568" t="s">
        <v>1772</v>
      </c>
      <c r="J367" s="5568" t="s">
        <v>1773</v>
      </c>
      <c r="AA367" s="5582"/>
    </row>
    <row r="368" spans="9:27">
      <c r="I368" s="5568" t="s">
        <v>1774</v>
      </c>
      <c r="J368" s="5568" t="s">
        <v>1775</v>
      </c>
      <c r="AA368" s="5582"/>
    </row>
    <row r="369" spans="9:27">
      <c r="I369" s="5568" t="s">
        <v>1776</v>
      </c>
      <c r="J369" s="5568" t="s">
        <v>1777</v>
      </c>
      <c r="AA369" s="5582"/>
    </row>
    <row r="370" spans="9:27">
      <c r="I370" s="5568" t="s">
        <v>1778</v>
      </c>
      <c r="J370" s="5568" t="s">
        <v>1779</v>
      </c>
      <c r="AA370" s="5582"/>
    </row>
    <row r="371" ht="42.75" customHeight="1" spans="9:27">
      <c r="I371" s="5568" t="s">
        <v>1780</v>
      </c>
      <c r="J371" s="5568" t="s">
        <v>1781</v>
      </c>
      <c r="AA371" s="5582"/>
    </row>
    <row r="372" spans="9:27">
      <c r="I372" s="5568" t="s">
        <v>1782</v>
      </c>
      <c r="J372" s="5568" t="s">
        <v>1783</v>
      </c>
      <c r="AA372" s="5582"/>
    </row>
    <row r="373" spans="9:27">
      <c r="I373" s="5568" t="s">
        <v>1784</v>
      </c>
      <c r="J373" s="5568" t="s">
        <v>1785</v>
      </c>
      <c r="AA373" s="5582"/>
    </row>
    <row r="374" spans="9:27">
      <c r="I374" s="5568" t="s">
        <v>1786</v>
      </c>
      <c r="J374" s="5568" t="s">
        <v>1787</v>
      </c>
      <c r="AA374" s="5582"/>
    </row>
    <row r="375" spans="9:27">
      <c r="I375" s="5568" t="s">
        <v>1788</v>
      </c>
      <c r="J375" s="5568" t="s">
        <v>1789</v>
      </c>
      <c r="AA375" s="5582"/>
    </row>
    <row r="376" spans="9:27">
      <c r="I376" s="5568" t="s">
        <v>1790</v>
      </c>
      <c r="J376" s="5568" t="s">
        <v>1791</v>
      </c>
      <c r="AA376" s="5582"/>
    </row>
    <row r="377" spans="9:27">
      <c r="I377" s="5568" t="s">
        <v>1792</v>
      </c>
      <c r="J377" s="5568" t="s">
        <v>1793</v>
      </c>
      <c r="AA377" s="5582"/>
    </row>
    <row r="378" spans="9:27">
      <c r="I378" s="5568" t="s">
        <v>1794</v>
      </c>
      <c r="J378" s="5568" t="s">
        <v>1795</v>
      </c>
      <c r="AA378" s="5582"/>
    </row>
    <row r="379" spans="9:27">
      <c r="I379" s="5568" t="s">
        <v>1796</v>
      </c>
      <c r="J379" s="5568" t="s">
        <v>1797</v>
      </c>
      <c r="AA379" s="5582"/>
    </row>
    <row r="380" spans="9:27">
      <c r="I380" s="5568" t="s">
        <v>1798</v>
      </c>
      <c r="J380" s="5568" t="s">
        <v>1799</v>
      </c>
      <c r="AA380" s="5582"/>
    </row>
    <row r="381" spans="9:27">
      <c r="I381" s="5568" t="s">
        <v>1800</v>
      </c>
      <c r="J381" s="5568" t="s">
        <v>1801</v>
      </c>
      <c r="AA381" s="5582"/>
    </row>
    <row r="382" spans="9:27">
      <c r="I382" s="5568" t="s">
        <v>1802</v>
      </c>
      <c r="J382" s="5568" t="s">
        <v>1803</v>
      </c>
      <c r="AA382" s="5582"/>
    </row>
    <row r="383" spans="9:27">
      <c r="I383" s="5568" t="s">
        <v>1804</v>
      </c>
      <c r="J383" s="5568" t="s">
        <v>1805</v>
      </c>
      <c r="AA383" s="5582"/>
    </row>
    <row r="384" spans="9:27">
      <c r="I384" s="5568" t="s">
        <v>1806</v>
      </c>
      <c r="J384" s="5568" t="s">
        <v>1807</v>
      </c>
      <c r="AA384" s="5582"/>
    </row>
    <row r="385" spans="9:27">
      <c r="I385" s="5568" t="s">
        <v>1808</v>
      </c>
      <c r="J385" s="5568" t="s">
        <v>1809</v>
      </c>
      <c r="AA385" s="5582"/>
    </row>
    <row r="386" spans="9:27">
      <c r="I386" s="5568" t="s">
        <v>1810</v>
      </c>
      <c r="J386" s="5568" t="s">
        <v>1811</v>
      </c>
      <c r="AA386" s="5582"/>
    </row>
    <row r="387" spans="9:27">
      <c r="I387" s="5568" t="s">
        <v>1812</v>
      </c>
      <c r="J387" s="5568" t="s">
        <v>1813</v>
      </c>
      <c r="AA387" s="5582"/>
    </row>
    <row r="388" spans="9:27">
      <c r="I388" s="5568" t="s">
        <v>1814</v>
      </c>
      <c r="J388" s="5568" t="s">
        <v>1815</v>
      </c>
      <c r="AA388" s="5582"/>
    </row>
    <row r="389" spans="9:27">
      <c r="I389" s="5568" t="s">
        <v>1816</v>
      </c>
      <c r="J389" s="5568" t="s">
        <v>1817</v>
      </c>
      <c r="AA389" s="5582"/>
    </row>
    <row r="390" spans="9:27">
      <c r="I390" s="5568" t="s">
        <v>1818</v>
      </c>
      <c r="J390" s="5568" t="s">
        <v>1819</v>
      </c>
      <c r="AA390" s="5582"/>
    </row>
    <row r="391" spans="9:27">
      <c r="I391" s="5568" t="s">
        <v>1820</v>
      </c>
      <c r="J391" s="5568" t="s">
        <v>1821</v>
      </c>
      <c r="AA391" s="5582"/>
    </row>
    <row r="392" spans="9:27">
      <c r="I392" s="5568" t="s">
        <v>1822</v>
      </c>
      <c r="J392" s="5568" t="s">
        <v>1823</v>
      </c>
      <c r="AA392" s="5582"/>
    </row>
    <row r="393" spans="9:27">
      <c r="I393" s="5568" t="s">
        <v>1824</v>
      </c>
      <c r="J393" s="5568" t="s">
        <v>1825</v>
      </c>
      <c r="AA393" s="5582"/>
    </row>
    <row r="394" spans="9:27">
      <c r="I394" s="5568" t="s">
        <v>1826</v>
      </c>
      <c r="J394" s="5568" t="s">
        <v>1827</v>
      </c>
      <c r="AA394" s="5582"/>
    </row>
    <row r="395" spans="9:27">
      <c r="I395" s="5568" t="s">
        <v>1828</v>
      </c>
      <c r="J395" s="5568" t="s">
        <v>1829</v>
      </c>
      <c r="AA395" s="5582"/>
    </row>
    <row r="396" spans="9:27">
      <c r="I396" s="5568" t="s">
        <v>1830</v>
      </c>
      <c r="J396" s="5568" t="s">
        <v>1831</v>
      </c>
      <c r="AA396" s="5582"/>
    </row>
    <row r="397" spans="9:27">
      <c r="I397" s="5568" t="s">
        <v>1832</v>
      </c>
      <c r="J397" s="5568" t="s">
        <v>1833</v>
      </c>
      <c r="AA397" s="5582"/>
    </row>
    <row r="398" spans="9:27">
      <c r="I398" s="5568" t="s">
        <v>1834</v>
      </c>
      <c r="J398" s="5568" t="s">
        <v>1835</v>
      </c>
      <c r="AA398" s="5582"/>
    </row>
    <row r="399" spans="9:27">
      <c r="I399" s="5568" t="s">
        <v>1836</v>
      </c>
      <c r="J399" s="5568" t="s">
        <v>1837</v>
      </c>
      <c r="AA399" s="5582"/>
    </row>
    <row r="400" spans="9:27">
      <c r="I400" s="5568" t="s">
        <v>1838</v>
      </c>
      <c r="J400" s="5568" t="s">
        <v>1839</v>
      </c>
      <c r="AA400" s="5582"/>
    </row>
    <row r="401" spans="9:27">
      <c r="I401" s="5568" t="s">
        <v>1840</v>
      </c>
      <c r="J401" s="5568" t="s">
        <v>1841</v>
      </c>
      <c r="AA401" s="5582"/>
    </row>
    <row r="402" spans="9:27">
      <c r="I402" s="5568" t="s">
        <v>1842</v>
      </c>
      <c r="J402" s="5568" t="s">
        <v>1843</v>
      </c>
      <c r="AA402" s="5582"/>
    </row>
    <row r="403" spans="9:27">
      <c r="I403" s="5568" t="s">
        <v>1844</v>
      </c>
      <c r="J403" s="5568" t="s">
        <v>1845</v>
      </c>
      <c r="AA403" s="5582"/>
    </row>
    <row r="404" spans="9:27">
      <c r="I404" s="5568" t="s">
        <v>1846</v>
      </c>
      <c r="J404" s="5568" t="s">
        <v>1847</v>
      </c>
      <c r="AA404" s="5582"/>
    </row>
    <row r="405" spans="9:27">
      <c r="I405" s="5568" t="s">
        <v>1848</v>
      </c>
      <c r="J405" s="5568" t="s">
        <v>1849</v>
      </c>
      <c r="AA405" s="5582"/>
    </row>
    <row r="406" spans="9:27">
      <c r="I406" s="5568" t="s">
        <v>1850</v>
      </c>
      <c r="J406" s="5568" t="s">
        <v>1851</v>
      </c>
      <c r="AA406" s="5582"/>
    </row>
    <row r="407" spans="9:27">
      <c r="I407" s="5568" t="s">
        <v>1852</v>
      </c>
      <c r="J407" s="5568" t="s">
        <v>1853</v>
      </c>
      <c r="AA407" s="5582"/>
    </row>
    <row r="408" spans="9:27">
      <c r="I408" s="5568" t="s">
        <v>1854</v>
      </c>
      <c r="J408" s="5568" t="s">
        <v>1855</v>
      </c>
      <c r="AA408" s="5582"/>
    </row>
    <row r="409" spans="9:27">
      <c r="I409" s="5568" t="s">
        <v>1856</v>
      </c>
      <c r="J409" s="5568" t="s">
        <v>1857</v>
      </c>
      <c r="AA409" s="5582"/>
    </row>
    <row r="410" spans="9:27">
      <c r="I410" s="5568" t="s">
        <v>1858</v>
      </c>
      <c r="J410" s="5568" t="s">
        <v>1859</v>
      </c>
      <c r="AA410" s="5582"/>
    </row>
    <row r="411" spans="9:27">
      <c r="I411" s="5568" t="s">
        <v>1860</v>
      </c>
      <c r="J411" s="5568" t="s">
        <v>1861</v>
      </c>
      <c r="AA411" s="5582"/>
    </row>
    <row r="412" spans="9:27">
      <c r="I412" s="5568" t="s">
        <v>1862</v>
      </c>
      <c r="J412" s="5568" t="s">
        <v>1863</v>
      </c>
      <c r="AA412" s="5582"/>
    </row>
    <row r="413" spans="9:27">
      <c r="I413" s="5568" t="s">
        <v>1864</v>
      </c>
      <c r="J413" s="5568" t="s">
        <v>1865</v>
      </c>
      <c r="AA413" s="5582"/>
    </row>
    <row r="414" spans="9:27">
      <c r="I414" s="5568" t="s">
        <v>1866</v>
      </c>
      <c r="J414" s="5568" t="s">
        <v>1867</v>
      </c>
      <c r="AA414" s="5582"/>
    </row>
    <row r="415" spans="9:27">
      <c r="I415" s="5568" t="s">
        <v>1868</v>
      </c>
      <c r="J415" s="5568" t="s">
        <v>1869</v>
      </c>
      <c r="AA415" s="5582"/>
    </row>
    <row r="416" spans="9:27">
      <c r="I416" s="5568" t="s">
        <v>1870</v>
      </c>
      <c r="J416" s="5568" t="s">
        <v>1871</v>
      </c>
      <c r="AA416" s="5582"/>
    </row>
    <row r="417" spans="9:27">
      <c r="I417" s="5568" t="s">
        <v>1872</v>
      </c>
      <c r="J417" s="5568" t="s">
        <v>1873</v>
      </c>
      <c r="AA417" s="5582"/>
    </row>
    <row r="418" spans="9:27">
      <c r="I418" s="5568" t="s">
        <v>1874</v>
      </c>
      <c r="J418" s="5568" t="s">
        <v>1875</v>
      </c>
      <c r="AA418" s="5582"/>
    </row>
    <row r="419" spans="9:27">
      <c r="I419" s="5568" t="s">
        <v>1876</v>
      </c>
      <c r="J419" s="5568" t="s">
        <v>1877</v>
      </c>
      <c r="AA419" s="5582"/>
    </row>
    <row r="420" spans="9:27">
      <c r="I420" s="5568" t="s">
        <v>1878</v>
      </c>
      <c r="J420" s="5568" t="s">
        <v>1879</v>
      </c>
      <c r="AA420" s="5582"/>
    </row>
    <row r="421" spans="9:27">
      <c r="I421" s="5568" t="s">
        <v>1880</v>
      </c>
      <c r="J421" s="5568" t="s">
        <v>1881</v>
      </c>
      <c r="AA421" s="5582"/>
    </row>
    <row r="422" spans="9:27">
      <c r="I422" s="5568" t="s">
        <v>1882</v>
      </c>
      <c r="J422" s="5568" t="s">
        <v>1883</v>
      </c>
      <c r="AA422" s="5582"/>
    </row>
    <row r="423" spans="9:27">
      <c r="I423" s="5568" t="s">
        <v>1884</v>
      </c>
      <c r="J423" s="5568" t="s">
        <v>1885</v>
      </c>
      <c r="AA423" s="5582"/>
    </row>
    <row r="424" spans="9:27">
      <c r="I424" s="5568" t="s">
        <v>1886</v>
      </c>
      <c r="J424" s="5568" t="s">
        <v>1887</v>
      </c>
      <c r="AA424" s="5582"/>
    </row>
    <row r="425" spans="9:27">
      <c r="I425" s="5568" t="s">
        <v>1888</v>
      </c>
      <c r="J425" s="5568" t="s">
        <v>1889</v>
      </c>
      <c r="AA425" s="5582"/>
    </row>
    <row r="426" spans="9:27">
      <c r="I426" s="5568" t="s">
        <v>1890</v>
      </c>
      <c r="J426" s="5568" t="s">
        <v>1891</v>
      </c>
      <c r="AA426" s="5582"/>
    </row>
    <row r="427" spans="9:27">
      <c r="I427" s="5568" t="s">
        <v>1892</v>
      </c>
      <c r="J427" s="5568" t="s">
        <v>1893</v>
      </c>
      <c r="AA427" s="5582"/>
    </row>
    <row r="428" spans="9:27">
      <c r="I428" s="5568" t="s">
        <v>1894</v>
      </c>
      <c r="J428" s="5568" t="s">
        <v>1895</v>
      </c>
      <c r="AA428" s="5582"/>
    </row>
    <row r="429" spans="9:27">
      <c r="I429" s="5568" t="s">
        <v>1896</v>
      </c>
      <c r="J429" s="5568" t="s">
        <v>1897</v>
      </c>
      <c r="AA429" s="5582"/>
    </row>
    <row r="430" spans="9:27">
      <c r="I430" s="5568" t="s">
        <v>1898</v>
      </c>
      <c r="J430" s="5568" t="s">
        <v>1899</v>
      </c>
      <c r="AA430" s="5582"/>
    </row>
    <row r="431" spans="9:27">
      <c r="I431" s="5568" t="s">
        <v>1900</v>
      </c>
      <c r="J431" s="5568" t="s">
        <v>1901</v>
      </c>
      <c r="AA431" s="5582"/>
    </row>
    <row r="432" spans="9:27">
      <c r="I432" s="5568" t="s">
        <v>1902</v>
      </c>
      <c r="J432" s="5568" t="s">
        <v>1903</v>
      </c>
      <c r="AA432" s="5582"/>
    </row>
    <row r="433" spans="9:27">
      <c r="I433" s="5568" t="s">
        <v>1904</v>
      </c>
      <c r="J433" s="5568" t="s">
        <v>1905</v>
      </c>
      <c r="AA433" s="5582"/>
    </row>
    <row r="434" spans="9:27">
      <c r="I434" s="5568" t="s">
        <v>1906</v>
      </c>
      <c r="J434" s="5568" t="s">
        <v>1907</v>
      </c>
      <c r="AA434" s="5582"/>
    </row>
    <row r="435" spans="9:27">
      <c r="I435" s="5568" t="s">
        <v>1908</v>
      </c>
      <c r="J435" s="5568" t="s">
        <v>1909</v>
      </c>
      <c r="AA435" s="5582"/>
    </row>
    <row r="436" spans="9:27">
      <c r="I436" s="5568" t="s">
        <v>1910</v>
      </c>
      <c r="J436" s="5568" t="s">
        <v>1911</v>
      </c>
      <c r="AA436" s="5582"/>
    </row>
    <row r="437" spans="9:27">
      <c r="I437" s="5568" t="s">
        <v>1912</v>
      </c>
      <c r="J437" s="5568" t="s">
        <v>1913</v>
      </c>
      <c r="AA437" s="5582"/>
    </row>
    <row r="438" spans="9:27">
      <c r="I438" s="5568" t="s">
        <v>1914</v>
      </c>
      <c r="J438" s="5568" t="s">
        <v>1915</v>
      </c>
      <c r="AA438" s="5582"/>
    </row>
    <row r="439" spans="9:27">
      <c r="I439" s="5568" t="s">
        <v>1916</v>
      </c>
      <c r="J439" s="5568" t="s">
        <v>1917</v>
      </c>
      <c r="AA439" s="5582"/>
    </row>
    <row r="440" spans="9:27">
      <c r="I440" s="5568" t="s">
        <v>1918</v>
      </c>
      <c r="J440" s="5568" t="s">
        <v>1919</v>
      </c>
      <c r="AA440" s="5582"/>
    </row>
    <row r="441" spans="9:27">
      <c r="I441" s="5568" t="s">
        <v>1920</v>
      </c>
      <c r="J441" s="5568" t="s">
        <v>1921</v>
      </c>
      <c r="AA441" s="5582"/>
    </row>
    <row r="442" spans="9:27">
      <c r="I442" s="5568" t="s">
        <v>1922</v>
      </c>
      <c r="J442" s="5568" t="s">
        <v>1923</v>
      </c>
      <c r="AA442" s="5582"/>
    </row>
    <row r="443" spans="9:27">
      <c r="I443" s="5568" t="s">
        <v>1924</v>
      </c>
      <c r="J443" s="5568" t="s">
        <v>1925</v>
      </c>
      <c r="AA443" s="5582"/>
    </row>
    <row r="444" spans="9:27">
      <c r="I444" s="5568" t="s">
        <v>1926</v>
      </c>
      <c r="J444" s="5568" t="s">
        <v>1927</v>
      </c>
      <c r="AA444" s="5582"/>
    </row>
    <row r="445" spans="9:27">
      <c r="I445" s="5568" t="s">
        <v>1928</v>
      </c>
      <c r="J445" s="5568" t="s">
        <v>1929</v>
      </c>
      <c r="AA445" s="5582"/>
    </row>
    <row r="446" spans="9:27">
      <c r="I446" s="5568" t="s">
        <v>1930</v>
      </c>
      <c r="J446" s="5568" t="s">
        <v>1931</v>
      </c>
      <c r="AA446" s="5582"/>
    </row>
    <row r="447" spans="9:27">
      <c r="I447" s="5568" t="s">
        <v>1932</v>
      </c>
      <c r="J447" s="5568" t="s">
        <v>1933</v>
      </c>
      <c r="AA447" s="5582"/>
    </row>
    <row r="448" spans="9:27">
      <c r="I448" s="5568" t="s">
        <v>1934</v>
      </c>
      <c r="J448" s="5568" t="s">
        <v>1935</v>
      </c>
      <c r="AA448" s="5582"/>
    </row>
    <row r="449" spans="9:27">
      <c r="I449" s="5568" t="s">
        <v>1936</v>
      </c>
      <c r="J449" s="5568" t="s">
        <v>1937</v>
      </c>
      <c r="AA449" s="5582"/>
    </row>
    <row r="450" spans="9:27">
      <c r="I450" s="5568" t="s">
        <v>1938</v>
      </c>
      <c r="J450" s="5568" t="s">
        <v>1939</v>
      </c>
      <c r="AA450" s="5582"/>
    </row>
    <row r="451" spans="9:27">
      <c r="I451" s="5568" t="s">
        <v>1940</v>
      </c>
      <c r="J451" s="5568" t="s">
        <v>1941</v>
      </c>
      <c r="AA451" s="5582"/>
    </row>
    <row r="452" spans="9:27">
      <c r="I452" s="5568" t="s">
        <v>1942</v>
      </c>
      <c r="J452" s="5568" t="s">
        <v>1943</v>
      </c>
      <c r="AA452" s="5582"/>
    </row>
    <row r="453" spans="9:27">
      <c r="I453" s="5568" t="s">
        <v>1944</v>
      </c>
      <c r="J453" s="5568" t="s">
        <v>1945</v>
      </c>
      <c r="AA453" s="5582"/>
    </row>
    <row r="454" spans="9:27">
      <c r="I454" s="5568" t="s">
        <v>1946</v>
      </c>
      <c r="J454" s="5568" t="s">
        <v>1947</v>
      </c>
      <c r="AA454" s="5582"/>
    </row>
    <row r="455" spans="9:27">
      <c r="I455" s="5568" t="s">
        <v>1948</v>
      </c>
      <c r="J455" s="5568" t="s">
        <v>1949</v>
      </c>
      <c r="AA455" s="5582"/>
    </row>
    <row r="456" spans="9:27">
      <c r="I456" s="5568" t="s">
        <v>1950</v>
      </c>
      <c r="J456" s="5568" t="s">
        <v>1951</v>
      </c>
      <c r="AA456" s="5582"/>
    </row>
    <row r="457" spans="9:27">
      <c r="I457" s="5568" t="s">
        <v>1952</v>
      </c>
      <c r="J457" s="5568" t="s">
        <v>1953</v>
      </c>
      <c r="AA457" s="5582"/>
    </row>
    <row r="458" spans="9:27">
      <c r="I458" s="5568" t="s">
        <v>1954</v>
      </c>
      <c r="J458" s="5568" t="s">
        <v>1955</v>
      </c>
      <c r="AA458" s="5582"/>
    </row>
    <row r="459" spans="9:27">
      <c r="I459" s="5568" t="s">
        <v>1956</v>
      </c>
      <c r="J459" s="5568" t="s">
        <v>1957</v>
      </c>
      <c r="AA459" s="5582"/>
    </row>
    <row r="460" spans="9:27">
      <c r="I460" s="5568" t="s">
        <v>1958</v>
      </c>
      <c r="J460" s="5568" t="s">
        <v>1959</v>
      </c>
      <c r="AA460" s="5582"/>
    </row>
    <row r="461" spans="9:27">
      <c r="I461" s="5568" t="s">
        <v>1960</v>
      </c>
      <c r="J461" s="5568" t="s">
        <v>1961</v>
      </c>
      <c r="AA461" s="5582"/>
    </row>
    <row r="462" spans="9:27">
      <c r="I462" s="5568" t="s">
        <v>1962</v>
      </c>
      <c r="J462" s="5568" t="s">
        <v>1963</v>
      </c>
      <c r="AA462" s="5582"/>
    </row>
    <row r="463" spans="9:27">
      <c r="I463" s="5568" t="s">
        <v>1964</v>
      </c>
      <c r="J463" s="5568" t="s">
        <v>1965</v>
      </c>
      <c r="AA463" s="5582"/>
    </row>
    <row r="464" spans="9:27">
      <c r="I464" s="5568" t="s">
        <v>1966</v>
      </c>
      <c r="J464" s="5568" t="s">
        <v>1967</v>
      </c>
      <c r="AA464" s="5582"/>
    </row>
    <row r="465" spans="9:27">
      <c r="I465" s="5568" t="s">
        <v>1968</v>
      </c>
      <c r="J465" s="5568" t="s">
        <v>1969</v>
      </c>
      <c r="AA465" s="5582"/>
    </row>
    <row r="466" spans="9:27">
      <c r="I466" s="5568" t="s">
        <v>1970</v>
      </c>
      <c r="J466" s="5568" t="s">
        <v>1971</v>
      </c>
      <c r="AA466" s="5582"/>
    </row>
    <row r="467" spans="9:27">
      <c r="I467" s="5568" t="s">
        <v>1972</v>
      </c>
      <c r="J467" s="5568" t="s">
        <v>1973</v>
      </c>
      <c r="AA467" s="5582"/>
    </row>
    <row r="468" spans="9:27">
      <c r="I468" s="5568" t="s">
        <v>1974</v>
      </c>
      <c r="J468" s="5568" t="s">
        <v>1975</v>
      </c>
      <c r="AA468" s="5582"/>
    </row>
    <row r="469" spans="9:27">
      <c r="I469" s="5568" t="s">
        <v>1976</v>
      </c>
      <c r="J469" s="5568" t="s">
        <v>1977</v>
      </c>
      <c r="AA469" s="5582"/>
    </row>
    <row r="470" spans="9:27">
      <c r="I470" s="5568" t="s">
        <v>1978</v>
      </c>
      <c r="J470" s="5568" t="s">
        <v>1979</v>
      </c>
      <c r="AA470" s="5582"/>
    </row>
    <row r="471" spans="9:27">
      <c r="I471" s="5568" t="s">
        <v>1980</v>
      </c>
      <c r="J471" s="5568" t="s">
        <v>1981</v>
      </c>
      <c r="AA471" s="5582"/>
    </row>
    <row r="472" spans="9:27">
      <c r="I472" s="5568" t="s">
        <v>1982</v>
      </c>
      <c r="J472" s="5568" t="s">
        <v>1983</v>
      </c>
      <c r="AA472" s="5582"/>
    </row>
    <row r="473" spans="9:27">
      <c r="I473" s="5568" t="s">
        <v>1984</v>
      </c>
      <c r="J473" s="5568" t="s">
        <v>1985</v>
      </c>
      <c r="AA473" s="5582"/>
    </row>
    <row r="474" spans="9:27">
      <c r="I474" s="5568" t="s">
        <v>1986</v>
      </c>
      <c r="J474" s="5568" t="s">
        <v>1987</v>
      </c>
      <c r="AA474" s="5582"/>
    </row>
    <row r="475" spans="9:27">
      <c r="I475" s="5568" t="s">
        <v>1988</v>
      </c>
      <c r="J475" s="5568" t="s">
        <v>1989</v>
      </c>
      <c r="AA475" s="5582"/>
    </row>
    <row r="476" spans="9:27">
      <c r="I476" s="5568" t="s">
        <v>1990</v>
      </c>
      <c r="J476" s="5568" t="s">
        <v>1991</v>
      </c>
      <c r="AA476" s="5582"/>
    </row>
    <row r="477" spans="9:27">
      <c r="I477" s="5568" t="s">
        <v>1992</v>
      </c>
      <c r="J477" s="5568" t="s">
        <v>1993</v>
      </c>
      <c r="AA477" s="5582"/>
    </row>
    <row r="478" spans="9:27">
      <c r="I478" s="5568" t="s">
        <v>1994</v>
      </c>
      <c r="J478" s="5568" t="s">
        <v>1995</v>
      </c>
      <c r="AA478" s="5582"/>
    </row>
    <row r="479" spans="9:27">
      <c r="I479" s="5568" t="s">
        <v>1996</v>
      </c>
      <c r="J479" s="5568" t="s">
        <v>1997</v>
      </c>
      <c r="AA479" s="5582"/>
    </row>
    <row r="480" spans="9:27">
      <c r="I480" s="5568" t="s">
        <v>1998</v>
      </c>
      <c r="J480" s="5568" t="s">
        <v>1999</v>
      </c>
      <c r="AA480" s="5582"/>
    </row>
    <row r="481" spans="9:27">
      <c r="I481" s="5568" t="s">
        <v>2000</v>
      </c>
      <c r="J481" s="5568" t="s">
        <v>2001</v>
      </c>
      <c r="AA481" s="5582"/>
    </row>
    <row r="482" spans="9:27">
      <c r="I482" s="5568" t="s">
        <v>2002</v>
      </c>
      <c r="J482" s="5568" t="s">
        <v>2003</v>
      </c>
      <c r="AA482" s="5582"/>
    </row>
    <row r="483" spans="9:27">
      <c r="I483" s="5568" t="s">
        <v>2004</v>
      </c>
      <c r="J483" s="5568" t="s">
        <v>2005</v>
      </c>
      <c r="AA483" s="5582"/>
    </row>
    <row r="484" spans="9:27">
      <c r="I484" s="5571" t="s">
        <v>2006</v>
      </c>
      <c r="J484" s="5568" t="s">
        <v>2007</v>
      </c>
      <c r="AA484" s="5582"/>
    </row>
    <row r="485" spans="9:27">
      <c r="I485" s="5571" t="s">
        <v>2008</v>
      </c>
      <c r="J485" s="5568" t="s">
        <v>2009</v>
      </c>
      <c r="AA485" s="5582"/>
    </row>
    <row r="486" spans="9:27">
      <c r="I486" s="5571" t="s">
        <v>2010</v>
      </c>
      <c r="J486" s="5568" t="s">
        <v>2011</v>
      </c>
      <c r="AA486" s="5582"/>
    </row>
    <row r="487" spans="9:27">
      <c r="I487" s="5571" t="s">
        <v>2012</v>
      </c>
      <c r="J487" s="5568" t="s">
        <v>2013</v>
      </c>
      <c r="AA487" s="5582"/>
    </row>
    <row r="488" spans="9:27">
      <c r="I488" s="5571" t="s">
        <v>2014</v>
      </c>
      <c r="J488" s="5568" t="s">
        <v>2015</v>
      </c>
      <c r="AA488" s="5582"/>
    </row>
    <row r="489" spans="9:27">
      <c r="I489" s="5571" t="s">
        <v>2016</v>
      </c>
      <c r="J489" s="5568" t="s">
        <v>2017</v>
      </c>
      <c r="AA489" s="5582"/>
    </row>
    <row r="490" spans="9:27">
      <c r="I490" s="5571" t="s">
        <v>2018</v>
      </c>
      <c r="J490" s="5568" t="s">
        <v>2019</v>
      </c>
      <c r="AA490" s="5582"/>
    </row>
    <row r="491" spans="9:27">
      <c r="I491" s="5568" t="s">
        <v>2020</v>
      </c>
      <c r="J491" s="5568" t="s">
        <v>2021</v>
      </c>
      <c r="AA491" s="5582"/>
    </row>
    <row r="492" spans="9:27">
      <c r="I492" s="5568" t="s">
        <v>2022</v>
      </c>
      <c r="J492" s="5568" t="s">
        <v>2023</v>
      </c>
      <c r="AA492" s="5582"/>
    </row>
    <row r="493" spans="9:27">
      <c r="I493" s="5568" t="s">
        <v>2024</v>
      </c>
      <c r="J493" s="5568" t="s">
        <v>2025</v>
      </c>
      <c r="AA493" s="5582"/>
    </row>
    <row r="494" spans="9:27">
      <c r="I494" s="5568" t="s">
        <v>2026</v>
      </c>
      <c r="J494" s="5568" t="s">
        <v>2027</v>
      </c>
      <c r="AA494" s="5582"/>
    </row>
    <row r="495" spans="9:27">
      <c r="I495" s="5568" t="s">
        <v>2028</v>
      </c>
      <c r="J495" s="5568" t="s">
        <v>2029</v>
      </c>
      <c r="AA495" s="5582"/>
    </row>
    <row r="496" spans="9:27">
      <c r="I496" s="5568" t="s">
        <v>2030</v>
      </c>
      <c r="J496" s="5568" t="s">
        <v>2031</v>
      </c>
      <c r="AA496" s="5582"/>
    </row>
    <row r="497" spans="9:27">
      <c r="I497" s="5568" t="s">
        <v>2032</v>
      </c>
      <c r="J497" s="5568" t="s">
        <v>2033</v>
      </c>
      <c r="AA497" s="5582"/>
    </row>
    <row r="498" spans="9:27">
      <c r="I498" s="5568" t="s">
        <v>2034</v>
      </c>
      <c r="J498" s="5568" t="s">
        <v>2035</v>
      </c>
      <c r="AA498" s="5582"/>
    </row>
    <row r="499" spans="9:27">
      <c r="I499" s="5568" t="s">
        <v>2036</v>
      </c>
      <c r="J499" s="5568" t="s">
        <v>2037</v>
      </c>
      <c r="AA499" s="5582"/>
    </row>
    <row r="500" spans="9:27">
      <c r="I500" s="5568" t="s">
        <v>2038</v>
      </c>
      <c r="J500" s="5568" t="s">
        <v>2039</v>
      </c>
      <c r="AA500" s="5582"/>
    </row>
    <row r="501" spans="9:27">
      <c r="I501" s="5568" t="s">
        <v>2040</v>
      </c>
      <c r="J501" s="5568" t="s">
        <v>2041</v>
      </c>
      <c r="AA501" s="5582"/>
    </row>
    <row r="502" spans="9:27">
      <c r="I502" s="5568" t="s">
        <v>2042</v>
      </c>
      <c r="J502" s="5568" t="s">
        <v>2043</v>
      </c>
      <c r="AA502" s="5582"/>
    </row>
    <row r="503" spans="9:27">
      <c r="I503" s="5568" t="s">
        <v>2044</v>
      </c>
      <c r="J503" s="5568" t="s">
        <v>2045</v>
      </c>
      <c r="AA503" s="5582"/>
    </row>
    <row r="504" spans="9:27">
      <c r="I504" s="5568" t="s">
        <v>2046</v>
      </c>
      <c r="J504" s="5568" t="s">
        <v>2047</v>
      </c>
      <c r="AA504" s="5582"/>
    </row>
    <row r="505" spans="9:27">
      <c r="I505" s="5568" t="s">
        <v>2048</v>
      </c>
      <c r="J505" s="5568" t="s">
        <v>2049</v>
      </c>
      <c r="AA505" s="5582"/>
    </row>
    <row r="506" spans="9:27">
      <c r="I506" s="5568" t="s">
        <v>2050</v>
      </c>
      <c r="J506" s="5568" t="s">
        <v>2051</v>
      </c>
      <c r="AA506" s="5582"/>
    </row>
    <row r="507" spans="9:27">
      <c r="I507" s="5568" t="s">
        <v>2052</v>
      </c>
      <c r="J507" s="5568" t="s">
        <v>2053</v>
      </c>
      <c r="AA507" s="5582"/>
    </row>
    <row r="508" spans="9:27">
      <c r="I508" s="5568" t="s">
        <v>2054</v>
      </c>
      <c r="J508" s="5568" t="s">
        <v>2055</v>
      </c>
      <c r="AA508" s="5582"/>
    </row>
    <row r="509" spans="9:27">
      <c r="I509" s="5568" t="s">
        <v>2056</v>
      </c>
      <c r="J509" s="5568" t="s">
        <v>2057</v>
      </c>
      <c r="AA509" s="5582"/>
    </row>
    <row r="510" spans="9:27">
      <c r="I510" s="5568" t="s">
        <v>2058</v>
      </c>
      <c r="J510" s="5568" t="s">
        <v>2059</v>
      </c>
      <c r="AA510" s="5582"/>
    </row>
    <row r="511" spans="9:27">
      <c r="I511" s="5568" t="s">
        <v>2060</v>
      </c>
      <c r="J511" s="5568" t="s">
        <v>2061</v>
      </c>
      <c r="AA511" s="5582"/>
    </row>
    <row r="512" spans="9:27">
      <c r="I512" s="5568" t="s">
        <v>2062</v>
      </c>
      <c r="J512" s="5568" t="s">
        <v>2063</v>
      </c>
      <c r="AA512" s="5582"/>
    </row>
    <row r="513" spans="9:27">
      <c r="I513" s="5568" t="s">
        <v>2064</v>
      </c>
      <c r="J513" s="5568" t="s">
        <v>2065</v>
      </c>
      <c r="AA513" s="5582"/>
    </row>
    <row r="514" spans="9:27">
      <c r="I514" s="5568" t="s">
        <v>2066</v>
      </c>
      <c r="J514" s="5568" t="s">
        <v>2067</v>
      </c>
      <c r="AA514" s="5582"/>
    </row>
    <row r="515" spans="9:27">
      <c r="I515" s="5568" t="s">
        <v>2068</v>
      </c>
      <c r="J515" s="5568" t="s">
        <v>2069</v>
      </c>
      <c r="AA515" s="5582"/>
    </row>
    <row r="516" spans="9:27">
      <c r="I516" s="5568" t="s">
        <v>2070</v>
      </c>
      <c r="J516" s="5568" t="s">
        <v>2071</v>
      </c>
      <c r="AA516" s="5582"/>
    </row>
    <row r="517" spans="9:27">
      <c r="I517" s="5568" t="s">
        <v>2072</v>
      </c>
      <c r="J517" s="5568" t="s">
        <v>2073</v>
      </c>
      <c r="AA517" s="5582"/>
    </row>
    <row r="518" spans="9:27">
      <c r="I518" s="5568" t="s">
        <v>2074</v>
      </c>
      <c r="J518" s="5568" t="s">
        <v>2075</v>
      </c>
      <c r="AA518" s="5582"/>
    </row>
    <row r="519" spans="9:27">
      <c r="I519" s="5568" t="s">
        <v>2076</v>
      </c>
      <c r="J519" s="5568" t="s">
        <v>2077</v>
      </c>
      <c r="AA519" s="5582"/>
    </row>
    <row r="520" spans="9:27">
      <c r="I520" s="5568" t="s">
        <v>2078</v>
      </c>
      <c r="J520" s="5568" t="s">
        <v>2079</v>
      </c>
      <c r="AA520" s="5582"/>
    </row>
    <row r="521" spans="9:27">
      <c r="I521" s="5568" t="s">
        <v>2080</v>
      </c>
      <c r="J521" s="5568" t="s">
        <v>2081</v>
      </c>
      <c r="AA521" s="5582"/>
    </row>
    <row r="522" spans="9:27">
      <c r="I522" s="5568" t="s">
        <v>2082</v>
      </c>
      <c r="J522" s="5568" t="s">
        <v>2083</v>
      </c>
      <c r="AA522" s="5582"/>
    </row>
    <row r="523" spans="9:27">
      <c r="I523" s="5568" t="s">
        <v>2084</v>
      </c>
      <c r="J523" s="5568" t="s">
        <v>2085</v>
      </c>
      <c r="AA523" s="5582"/>
    </row>
    <row r="524" spans="9:27">
      <c r="I524" s="5568" t="s">
        <v>2086</v>
      </c>
      <c r="J524" s="5568" t="s">
        <v>2087</v>
      </c>
      <c r="AA524" s="5582"/>
    </row>
    <row r="525" spans="9:27">
      <c r="I525" s="5568" t="s">
        <v>2088</v>
      </c>
      <c r="J525" s="5568" t="s">
        <v>2089</v>
      </c>
      <c r="AA525" s="5582"/>
    </row>
    <row r="526" spans="9:27">
      <c r="I526" s="5568" t="s">
        <v>2090</v>
      </c>
      <c r="J526" s="5568" t="s">
        <v>2091</v>
      </c>
      <c r="AA526" s="5582"/>
    </row>
    <row r="527" spans="9:27">
      <c r="I527" s="5568" t="s">
        <v>2092</v>
      </c>
      <c r="J527" s="5568" t="s">
        <v>2093</v>
      </c>
      <c r="AA527" s="5582"/>
    </row>
    <row r="528" spans="9:27">
      <c r="I528" s="5568" t="s">
        <v>2094</v>
      </c>
      <c r="J528" s="5568" t="s">
        <v>2095</v>
      </c>
      <c r="AA528" s="5582"/>
    </row>
    <row r="529" spans="9:27">
      <c r="I529" s="5568" t="s">
        <v>2096</v>
      </c>
      <c r="J529" s="5568" t="s">
        <v>2097</v>
      </c>
      <c r="AA529" s="5582"/>
    </row>
    <row r="530" spans="9:27">
      <c r="I530" s="5568" t="s">
        <v>2098</v>
      </c>
      <c r="J530" s="5568" t="s">
        <v>2099</v>
      </c>
      <c r="AA530" s="5582"/>
    </row>
    <row r="531" spans="9:27">
      <c r="I531" s="5568" t="s">
        <v>2100</v>
      </c>
      <c r="J531" s="5568" t="s">
        <v>2101</v>
      </c>
      <c r="AA531" s="5582"/>
    </row>
    <row r="532" spans="9:27">
      <c r="I532" s="5568" t="s">
        <v>2102</v>
      </c>
      <c r="J532" s="5568" t="s">
        <v>2103</v>
      </c>
      <c r="AA532" s="5582"/>
    </row>
    <row r="533" spans="9:27">
      <c r="I533" s="5568" t="s">
        <v>2104</v>
      </c>
      <c r="J533" s="5568" t="s">
        <v>2105</v>
      </c>
      <c r="AA533" s="5582"/>
    </row>
    <row r="534" spans="9:27">
      <c r="I534" s="5568" t="s">
        <v>2106</v>
      </c>
      <c r="J534" s="5568" t="s">
        <v>2107</v>
      </c>
      <c r="AA534" s="5582"/>
    </row>
    <row r="535" spans="9:27">
      <c r="I535" s="5568" t="s">
        <v>2108</v>
      </c>
      <c r="J535" s="5568" t="s">
        <v>2109</v>
      </c>
      <c r="AA535" s="5582"/>
    </row>
    <row r="536" spans="9:27">
      <c r="I536" s="5568" t="s">
        <v>2110</v>
      </c>
      <c r="J536" s="5568" t="s">
        <v>2111</v>
      </c>
      <c r="AA536" s="5582"/>
    </row>
    <row r="537" spans="9:27">
      <c r="I537" s="5568" t="s">
        <v>2112</v>
      </c>
      <c r="J537" s="5568" t="s">
        <v>2113</v>
      </c>
      <c r="AA537" s="5582"/>
    </row>
    <row r="538" spans="9:27">
      <c r="I538" s="5568" t="s">
        <v>2114</v>
      </c>
      <c r="J538" s="5568" t="s">
        <v>2115</v>
      </c>
      <c r="AA538" s="5582"/>
    </row>
    <row r="539" spans="9:27">
      <c r="I539" s="5568" t="s">
        <v>2116</v>
      </c>
      <c r="J539" s="5568" t="s">
        <v>2117</v>
      </c>
      <c r="AA539" s="5582"/>
    </row>
    <row r="540" spans="9:27">
      <c r="I540" s="5568" t="s">
        <v>2118</v>
      </c>
      <c r="J540" s="5568" t="s">
        <v>2119</v>
      </c>
      <c r="AA540" s="5582"/>
    </row>
    <row r="541" spans="9:27">
      <c r="I541" s="5568" t="s">
        <v>2120</v>
      </c>
      <c r="J541" s="5568" t="s">
        <v>2121</v>
      </c>
      <c r="AA541" s="5582"/>
    </row>
    <row r="542" spans="9:27">
      <c r="I542" s="5568" t="s">
        <v>2122</v>
      </c>
      <c r="J542" s="5568" t="s">
        <v>2123</v>
      </c>
      <c r="AA542" s="5582"/>
    </row>
    <row r="543" spans="9:27">
      <c r="I543" s="5568" t="s">
        <v>2124</v>
      </c>
      <c r="J543" s="5568" t="s">
        <v>2125</v>
      </c>
      <c r="AA543" s="5582"/>
    </row>
    <row r="544" spans="9:27">
      <c r="I544" s="5568" t="s">
        <v>2126</v>
      </c>
      <c r="J544" s="5568" t="s">
        <v>2127</v>
      </c>
      <c r="AA544" s="5582"/>
    </row>
    <row r="545" spans="9:27">
      <c r="I545" s="5568" t="s">
        <v>2128</v>
      </c>
      <c r="J545" s="5568" t="s">
        <v>2129</v>
      </c>
      <c r="AA545" s="5582"/>
    </row>
    <row r="546" spans="9:27">
      <c r="I546" s="5568" t="s">
        <v>2130</v>
      </c>
      <c r="J546" s="5568" t="s">
        <v>2131</v>
      </c>
      <c r="AA546" s="5582"/>
    </row>
    <row r="547" spans="9:27">
      <c r="I547" s="5568" t="s">
        <v>2132</v>
      </c>
      <c r="J547" s="5568" t="s">
        <v>2133</v>
      </c>
      <c r="AA547" s="5582"/>
    </row>
    <row r="548" spans="9:27">
      <c r="I548" s="5568" t="s">
        <v>2134</v>
      </c>
      <c r="J548" s="5568" t="s">
        <v>2135</v>
      </c>
      <c r="AA548" s="5582"/>
    </row>
    <row r="549" spans="9:27">
      <c r="I549" s="5568" t="s">
        <v>2136</v>
      </c>
      <c r="J549" s="5568" t="s">
        <v>2137</v>
      </c>
      <c r="AA549" s="5582"/>
    </row>
    <row r="550" spans="9:27">
      <c r="I550" s="5568" t="s">
        <v>2138</v>
      </c>
      <c r="J550" s="5568" t="s">
        <v>2139</v>
      </c>
      <c r="AA550" s="5582"/>
    </row>
    <row r="551" spans="9:27">
      <c r="I551" s="5568" t="s">
        <v>2140</v>
      </c>
      <c r="J551" s="5568" t="s">
        <v>2141</v>
      </c>
      <c r="AA551" s="5582"/>
    </row>
    <row r="552" spans="9:27">
      <c r="I552" s="5568" t="s">
        <v>2142</v>
      </c>
      <c r="J552" s="5568" t="s">
        <v>2143</v>
      </c>
      <c r="AA552" s="5582"/>
    </row>
    <row r="553" spans="9:27">
      <c r="I553" s="5568" t="s">
        <v>2144</v>
      </c>
      <c r="J553" s="5568" t="s">
        <v>2145</v>
      </c>
      <c r="AA553" s="5582"/>
    </row>
    <row r="554" spans="9:27">
      <c r="I554" s="5568" t="s">
        <v>2146</v>
      </c>
      <c r="J554" s="5568" t="s">
        <v>2147</v>
      </c>
      <c r="AA554" s="5582"/>
    </row>
    <row r="555" spans="9:27">
      <c r="I555" s="5568" t="s">
        <v>2148</v>
      </c>
      <c r="J555" s="5568" t="s">
        <v>2149</v>
      </c>
      <c r="AA555" s="5582"/>
    </row>
    <row r="556" spans="9:27">
      <c r="I556" s="5568" t="s">
        <v>2150</v>
      </c>
      <c r="J556" s="5568" t="s">
        <v>2151</v>
      </c>
      <c r="AA556" s="5582"/>
    </row>
    <row r="557" spans="9:27">
      <c r="I557" s="5568" t="s">
        <v>2152</v>
      </c>
      <c r="J557" s="5568" t="s">
        <v>2153</v>
      </c>
      <c r="AA557" s="5582"/>
    </row>
    <row r="558" spans="9:27">
      <c r="I558" s="5568" t="s">
        <v>2154</v>
      </c>
      <c r="J558" s="5568" t="s">
        <v>2155</v>
      </c>
      <c r="AA558" s="5582"/>
    </row>
    <row r="559" spans="9:27">
      <c r="I559" s="5568" t="s">
        <v>2156</v>
      </c>
      <c r="J559" s="5568" t="s">
        <v>2157</v>
      </c>
      <c r="AA559" s="5582"/>
    </row>
    <row r="560" spans="9:27">
      <c r="I560" s="5568" t="s">
        <v>2158</v>
      </c>
      <c r="J560" s="5568" t="s">
        <v>2159</v>
      </c>
      <c r="AA560" s="5582"/>
    </row>
    <row r="561" spans="9:27">
      <c r="I561" s="5568" t="s">
        <v>2160</v>
      </c>
      <c r="J561" s="5568" t="s">
        <v>2161</v>
      </c>
      <c r="AA561" s="5582"/>
    </row>
    <row r="562" spans="9:27">
      <c r="I562" s="5568" t="s">
        <v>2162</v>
      </c>
      <c r="J562" s="5568" t="s">
        <v>2163</v>
      </c>
      <c r="AA562" s="5582"/>
    </row>
    <row r="563" spans="9:27">
      <c r="I563" s="5568" t="s">
        <v>2164</v>
      </c>
      <c r="J563" s="5568" t="s">
        <v>2165</v>
      </c>
      <c r="AA563" s="5582"/>
    </row>
    <row r="564" spans="9:27">
      <c r="I564" s="5568" t="s">
        <v>2166</v>
      </c>
      <c r="J564" s="5568" t="s">
        <v>2167</v>
      </c>
      <c r="AA564" s="5582"/>
    </row>
    <row r="565" spans="9:27">
      <c r="I565" s="5568" t="s">
        <v>2168</v>
      </c>
      <c r="J565" s="5568" t="s">
        <v>2169</v>
      </c>
      <c r="AA565" s="5582"/>
    </row>
    <row r="566" spans="9:27">
      <c r="I566" s="5568" t="s">
        <v>2170</v>
      </c>
      <c r="J566" s="5568" t="s">
        <v>2171</v>
      </c>
      <c r="AA566" s="5582"/>
    </row>
    <row r="567" spans="9:27">
      <c r="I567" s="5568" t="s">
        <v>2172</v>
      </c>
      <c r="J567" s="5568" t="s">
        <v>2173</v>
      </c>
      <c r="AA567" s="5582"/>
    </row>
    <row r="568" spans="9:27">
      <c r="I568" s="5568" t="s">
        <v>2174</v>
      </c>
      <c r="J568" s="5568" t="s">
        <v>2175</v>
      </c>
      <c r="AA568" s="5582"/>
    </row>
    <row r="569" spans="9:27">
      <c r="I569" s="5568" t="s">
        <v>2176</v>
      </c>
      <c r="J569" s="5568" t="s">
        <v>2177</v>
      </c>
      <c r="AA569" s="5582"/>
    </row>
    <row r="570" spans="9:27">
      <c r="I570" s="5568" t="s">
        <v>2178</v>
      </c>
      <c r="J570" s="5568" t="s">
        <v>2179</v>
      </c>
      <c r="AA570" s="5582"/>
    </row>
    <row r="571" spans="9:27">
      <c r="I571" s="5568" t="s">
        <v>2180</v>
      </c>
      <c r="J571" s="5568" t="s">
        <v>2181</v>
      </c>
      <c r="AA571" s="5582"/>
    </row>
    <row r="572" spans="9:27">
      <c r="I572" s="5568" t="s">
        <v>2182</v>
      </c>
      <c r="J572" s="5568" t="s">
        <v>2183</v>
      </c>
      <c r="AA572" s="5582"/>
    </row>
    <row r="573" spans="9:27">
      <c r="I573" s="5568" t="s">
        <v>2184</v>
      </c>
      <c r="J573" s="5568" t="s">
        <v>2185</v>
      </c>
      <c r="AA573" s="5582"/>
    </row>
    <row r="574" spans="9:27">
      <c r="I574" s="5568" t="s">
        <v>2186</v>
      </c>
      <c r="J574" s="5568" t="s">
        <v>2187</v>
      </c>
      <c r="AA574" s="5582"/>
    </row>
    <row r="575" spans="9:27">
      <c r="I575" s="5568" t="s">
        <v>2188</v>
      </c>
      <c r="J575" s="5568" t="s">
        <v>2189</v>
      </c>
      <c r="AA575" s="5582"/>
    </row>
    <row r="576" spans="9:27">
      <c r="I576" s="5568" t="s">
        <v>2190</v>
      </c>
      <c r="J576" s="5568" t="s">
        <v>2191</v>
      </c>
      <c r="AA576" s="5582"/>
    </row>
    <row r="577" spans="9:27">
      <c r="I577" s="5568" t="s">
        <v>2192</v>
      </c>
      <c r="J577" s="5568" t="s">
        <v>2193</v>
      </c>
      <c r="AA577" s="5582"/>
    </row>
    <row r="578" spans="9:27">
      <c r="I578" s="5568" t="s">
        <v>2194</v>
      </c>
      <c r="J578" s="5568" t="s">
        <v>2195</v>
      </c>
      <c r="AA578" s="5582"/>
    </row>
    <row r="579" spans="9:27">
      <c r="I579" s="5568" t="s">
        <v>2196</v>
      </c>
      <c r="J579" s="5568" t="s">
        <v>2197</v>
      </c>
      <c r="AA579" s="5582"/>
    </row>
    <row r="580" spans="9:27">
      <c r="I580" s="5568" t="s">
        <v>2198</v>
      </c>
      <c r="J580" s="5568" t="s">
        <v>2199</v>
      </c>
      <c r="AA580" s="5582"/>
    </row>
    <row r="581" spans="9:27">
      <c r="I581" s="5568" t="s">
        <v>2200</v>
      </c>
      <c r="J581" s="5568" t="s">
        <v>2201</v>
      </c>
      <c r="AA581" s="5582"/>
    </row>
    <row r="582" spans="9:27">
      <c r="I582" s="5568" t="s">
        <v>2202</v>
      </c>
      <c r="J582" s="5568" t="s">
        <v>2203</v>
      </c>
      <c r="AA582" s="5582"/>
    </row>
    <row r="583" spans="9:27">
      <c r="I583" s="5568" t="s">
        <v>2204</v>
      </c>
      <c r="J583" s="5568" t="s">
        <v>2205</v>
      </c>
      <c r="AA583" s="5582"/>
    </row>
    <row r="584" spans="9:27">
      <c r="I584" s="5568" t="s">
        <v>2206</v>
      </c>
      <c r="J584" s="5568" t="s">
        <v>2207</v>
      </c>
      <c r="AA584" s="5582"/>
    </row>
    <row r="585" spans="9:27">
      <c r="I585" s="5568" t="s">
        <v>2208</v>
      </c>
      <c r="J585" s="5568" t="s">
        <v>2209</v>
      </c>
      <c r="AA585" s="5582"/>
    </row>
    <row r="586" spans="9:27">
      <c r="I586" s="5568" t="s">
        <v>2210</v>
      </c>
      <c r="J586" s="5568" t="s">
        <v>2211</v>
      </c>
      <c r="AA586" s="5582"/>
    </row>
    <row r="587" spans="9:27">
      <c r="I587" s="5568" t="s">
        <v>2212</v>
      </c>
      <c r="J587" s="5568" t="s">
        <v>2213</v>
      </c>
      <c r="AA587" s="5582"/>
    </row>
    <row r="588" spans="9:27">
      <c r="I588" s="5568" t="s">
        <v>2214</v>
      </c>
      <c r="J588" s="5568" t="s">
        <v>2215</v>
      </c>
      <c r="AA588" s="5582"/>
    </row>
    <row r="589" spans="9:27">
      <c r="I589" s="5568" t="s">
        <v>2216</v>
      </c>
      <c r="J589" s="5568" t="s">
        <v>2217</v>
      </c>
      <c r="AA589" s="5582"/>
    </row>
    <row r="590" spans="9:27">
      <c r="I590" s="5568" t="s">
        <v>2218</v>
      </c>
      <c r="J590" s="5568" t="s">
        <v>2219</v>
      </c>
      <c r="AA590" s="5582"/>
    </row>
    <row r="591" spans="9:27">
      <c r="I591" s="5568" t="s">
        <v>2220</v>
      </c>
      <c r="J591" s="5568" t="s">
        <v>2221</v>
      </c>
      <c r="AA591" s="5582"/>
    </row>
    <row r="592" spans="9:27">
      <c r="I592" s="5568" t="s">
        <v>2222</v>
      </c>
      <c r="J592" s="5568" t="s">
        <v>2223</v>
      </c>
      <c r="AA592" s="5582"/>
    </row>
    <row r="593" spans="9:27">
      <c r="I593" s="5568" t="s">
        <v>2224</v>
      </c>
      <c r="J593" s="5568" t="s">
        <v>2225</v>
      </c>
      <c r="AA593" s="5582"/>
    </row>
    <row r="594" spans="9:27">
      <c r="I594" s="5568" t="s">
        <v>2226</v>
      </c>
      <c r="J594" s="5568" t="s">
        <v>2227</v>
      </c>
      <c r="AA594" s="5582"/>
    </row>
    <row r="595" spans="9:27">
      <c r="I595" s="5568" t="s">
        <v>2228</v>
      </c>
      <c r="J595" s="5568" t="s">
        <v>2229</v>
      </c>
      <c r="AA595" s="5582"/>
    </row>
    <row r="596" spans="9:27">
      <c r="I596" s="5568" t="s">
        <v>2230</v>
      </c>
      <c r="J596" s="5568" t="s">
        <v>2231</v>
      </c>
      <c r="AA596" s="5582"/>
    </row>
    <row r="597" spans="9:27">
      <c r="I597" s="5568" t="s">
        <v>2232</v>
      </c>
      <c r="J597" s="5568" t="s">
        <v>2233</v>
      </c>
      <c r="AA597" s="5582"/>
    </row>
    <row r="598" spans="9:27">
      <c r="I598" s="5568" t="s">
        <v>2234</v>
      </c>
      <c r="J598" s="5568" t="s">
        <v>2235</v>
      </c>
      <c r="AA598" s="5582"/>
    </row>
    <row r="599" spans="9:27">
      <c r="I599" s="5568" t="s">
        <v>2236</v>
      </c>
      <c r="J599" s="5568" t="s">
        <v>2237</v>
      </c>
      <c r="AA599" s="5582"/>
    </row>
    <row r="600" spans="9:27">
      <c r="I600" s="5568" t="s">
        <v>2238</v>
      </c>
      <c r="J600" s="5568" t="s">
        <v>2239</v>
      </c>
      <c r="AA600" s="5582"/>
    </row>
    <row r="601" spans="9:27">
      <c r="I601" s="5568" t="s">
        <v>2240</v>
      </c>
      <c r="J601" s="5568" t="s">
        <v>2241</v>
      </c>
      <c r="AA601" s="5582"/>
    </row>
    <row r="602" spans="9:27">
      <c r="I602" s="5568" t="s">
        <v>2242</v>
      </c>
      <c r="J602" s="5568" t="s">
        <v>2243</v>
      </c>
      <c r="AA602" s="5582"/>
    </row>
    <row r="603" spans="9:27">
      <c r="I603" s="5568" t="s">
        <v>2244</v>
      </c>
      <c r="J603" s="5568" t="s">
        <v>2245</v>
      </c>
      <c r="AA603" s="5582"/>
    </row>
    <row r="604" spans="9:27">
      <c r="I604" s="5568" t="s">
        <v>2246</v>
      </c>
      <c r="J604" s="5568" t="s">
        <v>2247</v>
      </c>
      <c r="AA604" s="5582"/>
    </row>
    <row r="605" spans="9:27">
      <c r="I605" s="5568" t="s">
        <v>2248</v>
      </c>
      <c r="J605" s="5568" t="s">
        <v>2249</v>
      </c>
      <c r="AA605" s="5582"/>
    </row>
    <row r="606" spans="9:27">
      <c r="I606" s="5568" t="s">
        <v>2250</v>
      </c>
      <c r="J606" s="5568" t="s">
        <v>2251</v>
      </c>
      <c r="AA606" s="5582"/>
    </row>
    <row r="607" spans="9:27">
      <c r="I607" s="5568" t="s">
        <v>2252</v>
      </c>
      <c r="J607" s="5568" t="s">
        <v>2253</v>
      </c>
      <c r="AA607" s="5582"/>
    </row>
    <row r="608" spans="9:27">
      <c r="I608" s="5568" t="s">
        <v>2254</v>
      </c>
      <c r="J608" s="5568" t="s">
        <v>2255</v>
      </c>
      <c r="AA608" s="5582"/>
    </row>
    <row r="609" spans="9:27">
      <c r="I609" s="5568" t="s">
        <v>2256</v>
      </c>
      <c r="J609" s="5568" t="s">
        <v>2257</v>
      </c>
      <c r="AA609" s="5582"/>
    </row>
    <row r="610" spans="9:27">
      <c r="I610" s="5568" t="s">
        <v>2258</v>
      </c>
      <c r="J610" s="5568" t="s">
        <v>2259</v>
      </c>
      <c r="AA610" s="5582"/>
    </row>
    <row r="611" spans="9:27">
      <c r="I611" s="5568" t="s">
        <v>2260</v>
      </c>
      <c r="J611" s="5568" t="s">
        <v>2261</v>
      </c>
      <c r="AA611" s="5582"/>
    </row>
    <row r="612" spans="9:27">
      <c r="I612" s="5568" t="s">
        <v>2262</v>
      </c>
      <c r="J612" s="5568" t="s">
        <v>2263</v>
      </c>
      <c r="AA612" s="5582"/>
    </row>
    <row r="613" spans="9:27">
      <c r="I613" s="5568" t="s">
        <v>2264</v>
      </c>
      <c r="J613" s="5568" t="s">
        <v>2265</v>
      </c>
      <c r="AA613" s="5582"/>
    </row>
    <row r="614" spans="9:27">
      <c r="I614" s="5568" t="s">
        <v>2266</v>
      </c>
      <c r="J614" s="5568" t="s">
        <v>2267</v>
      </c>
      <c r="AA614" s="5582"/>
    </row>
    <row r="615" spans="9:27">
      <c r="I615" s="5568" t="s">
        <v>2268</v>
      </c>
      <c r="J615" s="5568" t="s">
        <v>2269</v>
      </c>
      <c r="AA615" s="5582"/>
    </row>
    <row r="616" spans="9:27">
      <c r="I616" s="5568" t="s">
        <v>2270</v>
      </c>
      <c r="J616" s="5568" t="s">
        <v>2271</v>
      </c>
      <c r="AA616" s="5582"/>
    </row>
    <row r="617" spans="9:27">
      <c r="AA617" s="5582"/>
    </row>
    <row r="618" spans="9:27">
      <c r="AA618" s="5582"/>
    </row>
    <row r="619" spans="9:27">
      <c r="AA619" s="5582"/>
    </row>
    <row r="620" spans="9:27">
      <c r="AA620" s="5582"/>
    </row>
    <row r="621" spans="9:27">
      <c r="AA621" s="5582"/>
    </row>
    <row r="622" spans="9:27">
      <c r="AA622" s="5582"/>
    </row>
    <row r="623" spans="9:27">
      <c r="AA623" s="5582"/>
    </row>
    <row r="624" spans="9:27">
      <c r="AA624" s="5582"/>
    </row>
    <row r="625" spans="9:27">
      <c r="AA625" s="5582"/>
    </row>
    <row r="626" spans="9:27">
      <c r="AA626" s="5582"/>
    </row>
    <row r="627" spans="9:27">
      <c r="AA627" s="5582"/>
    </row>
    <row r="628" spans="9:27">
      <c r="AA628" s="5582"/>
    </row>
    <row r="629" spans="9:27">
      <c r="AA629" s="5582"/>
    </row>
    <row r="630" spans="9:27">
      <c r="AA630" s="5582"/>
    </row>
    <row r="631" spans="9:27">
      <c r="AA631" s="5582"/>
    </row>
    <row r="632" spans="9:27">
      <c r="AA632" s="5582"/>
    </row>
    <row r="633" spans="9:27">
      <c r="AA633" s="5582"/>
    </row>
    <row r="634" spans="9:27">
      <c r="AA634" s="5582"/>
    </row>
    <row r="635" spans="9:27">
      <c r="AA635" s="5582"/>
    </row>
    <row r="636" spans="9:27">
      <c r="AA636" s="5582"/>
    </row>
    <row r="637" spans="9:27">
      <c r="AA637" s="5582"/>
    </row>
    <row r="638" spans="9:27">
      <c r="AA638" s="5582"/>
    </row>
    <row r="639" spans="9:27">
      <c r="AA639" s="5582"/>
    </row>
    <row r="640" spans="9:27">
      <c r="I640" s="5590"/>
      <c r="AA640" s="5582"/>
    </row>
    <row r="641" spans="9:27">
      <c r="I641" s="5590"/>
      <c r="AA641" s="5582"/>
    </row>
    <row r="642" spans="9:27">
      <c r="I642" s="5590"/>
      <c r="AA642" s="5582"/>
    </row>
    <row r="643" spans="9:27">
      <c r="I643" s="5590"/>
      <c r="AA643" s="5582"/>
    </row>
    <row r="644" spans="9:27">
      <c r="I644" s="5590"/>
      <c r="AA644" s="5582"/>
    </row>
    <row r="645" spans="9:27">
      <c r="I645" s="5590"/>
      <c r="AA645" s="5582"/>
    </row>
    <row r="646" spans="9:27">
      <c r="I646" s="5590"/>
      <c r="AA646" s="5582"/>
    </row>
    <row r="647" spans="9:27">
      <c r="I647" s="5590"/>
      <c r="AA647" s="5582"/>
    </row>
    <row r="648" spans="9:27">
      <c r="AA648" s="5582"/>
    </row>
    <row r="649" spans="9:27">
      <c r="AA649" s="5582"/>
    </row>
    <row r="650" spans="9:27">
      <c r="AA650" s="5582"/>
    </row>
    <row r="651" spans="9:27">
      <c r="AA651" s="5582"/>
    </row>
    <row r="652" spans="9:27">
      <c r="AA652" s="5582"/>
    </row>
    <row r="653" spans="9:27">
      <c r="AA653" s="5582"/>
    </row>
    <row r="654" spans="9:27">
      <c r="AA654" s="5582"/>
    </row>
    <row r="655" spans="9:27">
      <c r="AA655" s="5582"/>
    </row>
    <row r="656" spans="9:27">
      <c r="AA656" s="5582"/>
    </row>
    <row r="657" spans="27:27">
      <c r="AA657" s="5582"/>
    </row>
    <row r="658" spans="27:27">
      <c r="AA658" s="5582"/>
    </row>
    <row r="659" spans="27:27">
      <c r="AA659" s="5582"/>
    </row>
    <row r="660" spans="27:27">
      <c r="AA660" s="5582"/>
    </row>
    <row r="661" spans="27:27">
      <c r="AA661" s="5582"/>
    </row>
    <row r="662" spans="27:27">
      <c r="AA662" s="5582"/>
    </row>
    <row r="663" spans="27:27">
      <c r="AA663" s="5582"/>
    </row>
    <row r="664" spans="27:27">
      <c r="AA664" s="5582"/>
    </row>
    <row r="665" spans="27:27">
      <c r="AA665" s="5582"/>
    </row>
    <row r="666" spans="27:27">
      <c r="AA666" s="5582"/>
    </row>
    <row r="667" spans="27:27">
      <c r="AA667" s="5582"/>
    </row>
    <row r="668" spans="27:27">
      <c r="AA668" s="5582"/>
    </row>
    <row r="669" spans="27:27">
      <c r="AA669" s="5582"/>
    </row>
    <row r="670" spans="27:27">
      <c r="AA670" s="5582"/>
    </row>
    <row r="671" spans="27:27">
      <c r="AA671" s="5582"/>
    </row>
    <row r="672" spans="27:27">
      <c r="AA672" s="5582"/>
    </row>
    <row r="673" spans="27:27">
      <c r="AA673" s="5582"/>
    </row>
    <row r="674" spans="27:27">
      <c r="AA674" s="5582"/>
    </row>
    <row r="675" spans="27:27">
      <c r="AA675" s="5582"/>
    </row>
    <row r="676" spans="27:27">
      <c r="AA676" s="5582"/>
    </row>
    <row r="677" spans="27:27">
      <c r="AA677" s="5582"/>
    </row>
    <row r="678" spans="27:27">
      <c r="AA678" s="5582"/>
    </row>
    <row r="679" spans="27:27">
      <c r="AA679" s="5582"/>
    </row>
    <row r="680" spans="27:27">
      <c r="AA680" s="5582"/>
    </row>
    <row r="681" spans="27:27">
      <c r="AA681" s="5582"/>
    </row>
    <row r="682" spans="27:27">
      <c r="AA682" s="5582"/>
    </row>
    <row r="683" spans="27:27">
      <c r="AA683" s="5582"/>
    </row>
    <row r="684" spans="27:27">
      <c r="AA684" s="5582"/>
    </row>
    <row r="685" spans="27:27">
      <c r="AA685" s="5582"/>
    </row>
    <row r="686" spans="27:27">
      <c r="AA686" s="5582"/>
    </row>
    <row r="687" spans="27:27">
      <c r="AA687" s="5582"/>
    </row>
    <row r="688" spans="27:27">
      <c r="AA688" s="5582"/>
    </row>
    <row r="689" spans="27:27">
      <c r="AA689" s="5582"/>
    </row>
    <row r="690" spans="27:27">
      <c r="AA690" s="5582"/>
    </row>
    <row r="691" spans="27:27">
      <c r="AA691" s="5582"/>
    </row>
    <row r="692" spans="27:27">
      <c r="AA692" s="5582"/>
    </row>
    <row r="693" spans="27:27">
      <c r="AA693" s="5582"/>
    </row>
    <row r="694" spans="27:27">
      <c r="AA694" s="5582"/>
    </row>
    <row r="695" spans="27:27">
      <c r="AA695" s="5582"/>
    </row>
    <row r="696" spans="27:27">
      <c r="AA696" s="5582"/>
    </row>
    <row r="697" spans="27:27">
      <c r="AA697" s="5582"/>
    </row>
    <row r="698" spans="27:27">
      <c r="AA698" s="5582"/>
    </row>
    <row r="699" spans="27:27">
      <c r="AA699" s="5582"/>
    </row>
    <row r="700" spans="27:27">
      <c r="AA700" s="5582"/>
    </row>
    <row r="701" spans="27:27">
      <c r="AA701" s="5582"/>
    </row>
    <row r="702" spans="27:27">
      <c r="AA702" s="5582"/>
    </row>
    <row r="703" spans="27:27">
      <c r="AA703" s="5582"/>
    </row>
    <row r="704" spans="27:27">
      <c r="AA704" s="5582"/>
    </row>
    <row r="705" spans="27:27">
      <c r="AA705" s="5582"/>
    </row>
    <row r="706" spans="27:27">
      <c r="AA706" s="5582"/>
    </row>
    <row r="707" spans="27:27">
      <c r="AA707" s="5582"/>
    </row>
    <row r="708" spans="27:27">
      <c r="AA708" s="5582"/>
    </row>
    <row r="709" spans="27:27">
      <c r="AA709" s="5582"/>
    </row>
    <row r="710" spans="27:27">
      <c r="AA710" s="5582"/>
    </row>
    <row r="711" spans="27:27">
      <c r="AA711" s="5582"/>
    </row>
    <row r="712" spans="27:27">
      <c r="AA712" s="5582"/>
    </row>
    <row r="713" spans="27:27">
      <c r="AA713" s="5582"/>
    </row>
    <row r="714" spans="27:27">
      <c r="AA714" s="5582"/>
    </row>
    <row r="715" spans="27:27">
      <c r="AA715" s="5582"/>
    </row>
    <row r="716" spans="27:27">
      <c r="AA716" s="5582"/>
    </row>
    <row r="717" spans="27:27">
      <c r="AA717" s="5582"/>
    </row>
    <row r="718" spans="27:27">
      <c r="AA718" s="5582"/>
    </row>
    <row r="719" spans="27:27">
      <c r="AA719" s="5582"/>
    </row>
    <row r="720" spans="27:27">
      <c r="AA720" s="5582"/>
    </row>
    <row r="721" spans="27:27">
      <c r="AA721" s="5582"/>
    </row>
    <row r="722" spans="27:27">
      <c r="AA722" s="5582"/>
    </row>
    <row r="723" spans="27:27">
      <c r="AA723" s="5582"/>
    </row>
    <row r="724" spans="27:27">
      <c r="AA724" s="5582"/>
    </row>
    <row r="725" spans="27:27">
      <c r="AA725" s="5582"/>
    </row>
    <row r="726" spans="27:27">
      <c r="AA726" s="5582"/>
    </row>
    <row r="727" spans="27:27">
      <c r="AA727" s="5582"/>
    </row>
    <row r="728" spans="27:27">
      <c r="AA728" s="5582"/>
    </row>
    <row r="729" spans="27:27">
      <c r="AA729" s="5582"/>
    </row>
    <row r="730" spans="27:27">
      <c r="AA730" s="5582"/>
    </row>
    <row r="731" spans="27:27">
      <c r="AA731" s="5582"/>
    </row>
    <row r="732" spans="27:27">
      <c r="AA732" s="5582"/>
    </row>
    <row r="733" spans="27:27">
      <c r="AA733" s="5582"/>
    </row>
    <row r="734" spans="27:27">
      <c r="AA734" s="5582"/>
    </row>
    <row r="735" spans="27:27">
      <c r="AA735" s="5582"/>
    </row>
    <row r="736" spans="27:27">
      <c r="AA736" s="5582"/>
    </row>
    <row r="737" spans="27:27">
      <c r="AA737" s="5582"/>
    </row>
    <row r="738" spans="27:27">
      <c r="AA738" s="5582"/>
    </row>
    <row r="739" spans="27:27">
      <c r="AA739" s="5582"/>
    </row>
    <row r="740" spans="27:27">
      <c r="AA740" s="5582"/>
    </row>
    <row r="741" spans="27:27">
      <c r="AA741" s="5582"/>
    </row>
    <row r="742" spans="27:27">
      <c r="AA742" s="5582"/>
    </row>
    <row r="743" spans="27:27">
      <c r="AA743" s="5582"/>
    </row>
    <row r="744" spans="27:27">
      <c r="AA744" s="5582"/>
    </row>
    <row r="745" spans="27:27">
      <c r="AA745" s="5582"/>
    </row>
    <row r="746" spans="27:27">
      <c r="AA746" s="5582"/>
    </row>
    <row r="747" spans="27:27">
      <c r="AA747" s="5582"/>
    </row>
    <row r="748" spans="27:27">
      <c r="AA748" s="5582"/>
    </row>
    <row r="749" spans="27:27">
      <c r="AA749" s="5582"/>
    </row>
    <row r="750" spans="27:27">
      <c r="AA750" s="5582"/>
    </row>
    <row r="751" spans="27:27">
      <c r="AA751" s="5582"/>
    </row>
    <row r="752" spans="27:27">
      <c r="AA752" s="5582"/>
    </row>
    <row r="753" spans="27:27">
      <c r="AA753" s="5582"/>
    </row>
    <row r="754" spans="27:27">
      <c r="AA754" s="5582"/>
    </row>
    <row r="755" spans="27:27">
      <c r="AA755" s="5582"/>
    </row>
    <row r="756" spans="27:27">
      <c r="AA756" s="5582"/>
    </row>
    <row r="757" spans="27:27">
      <c r="AA757" s="5582"/>
    </row>
    <row r="758" spans="27:27">
      <c r="AA758" s="5582"/>
    </row>
    <row r="759" spans="27:27">
      <c r="AA759" s="5582"/>
    </row>
    <row r="760" spans="27:27">
      <c r="AA760" s="5582"/>
    </row>
    <row r="761" spans="27:27">
      <c r="AA761" s="5582"/>
    </row>
    <row r="762" spans="27:27">
      <c r="AA762" s="5582"/>
    </row>
    <row r="763" spans="27:27">
      <c r="AA763" s="5582"/>
    </row>
    <row r="764" spans="27:27">
      <c r="AA764" s="5582"/>
    </row>
    <row r="765" spans="27:27">
      <c r="AA765" s="5582"/>
    </row>
    <row r="766" spans="27:27">
      <c r="AA766" s="5582"/>
    </row>
    <row r="767" spans="27:27">
      <c r="AA767" s="5582"/>
    </row>
    <row r="768" spans="27:27">
      <c r="AA768" s="5582"/>
    </row>
    <row r="769" spans="27:27">
      <c r="AA769" s="5582"/>
    </row>
    <row r="770" spans="27:27">
      <c r="AA770" s="5582"/>
    </row>
    <row r="771" spans="27:27">
      <c r="AA771" s="5582"/>
    </row>
    <row r="772" spans="27:27">
      <c r="AA772" s="5582"/>
    </row>
    <row r="773" spans="27:27">
      <c r="AA773" s="5582"/>
    </row>
    <row r="774" spans="27:27">
      <c r="AA774" s="5582"/>
    </row>
    <row r="775" spans="27:27">
      <c r="AA775" s="5582"/>
    </row>
    <row r="776" spans="27:27">
      <c r="AA776" s="5582"/>
    </row>
    <row r="777" spans="27:27">
      <c r="AA777" s="5582"/>
    </row>
    <row r="778" spans="27:27">
      <c r="AA778" s="5582"/>
    </row>
    <row r="779" spans="27:27">
      <c r="AA779" s="5582"/>
    </row>
    <row r="780" spans="27:27">
      <c r="AA780" s="5582"/>
    </row>
    <row r="781" spans="27:27">
      <c r="AA781" s="5582"/>
    </row>
    <row r="782" spans="27:27">
      <c r="AA782" s="5582"/>
    </row>
    <row r="783" spans="27:27">
      <c r="AA783" s="5582"/>
    </row>
    <row r="784" spans="27:27">
      <c r="AA784" s="5582"/>
    </row>
    <row r="785" spans="27:27">
      <c r="AA785" s="5582"/>
    </row>
    <row r="786" spans="27:27">
      <c r="AA786" s="5582"/>
    </row>
    <row r="787" spans="27:27">
      <c r="AA787" s="5582"/>
    </row>
    <row r="788" spans="27:27">
      <c r="AA788" s="5582"/>
    </row>
    <row r="789" spans="27:27">
      <c r="AA789" s="5582"/>
    </row>
    <row r="790" spans="27:27">
      <c r="AA790" s="5582"/>
    </row>
    <row r="791" spans="27:27">
      <c r="AA791" s="5582"/>
    </row>
    <row r="792" spans="27:27">
      <c r="AA792" s="5582"/>
    </row>
    <row r="793" spans="27:27">
      <c r="AA793" s="5582"/>
    </row>
    <row r="794" spans="27:27">
      <c r="AA794" s="5582"/>
    </row>
    <row r="795" spans="27:27">
      <c r="AA795" s="5582"/>
    </row>
    <row r="796" spans="27:27">
      <c r="AA796" s="5582"/>
    </row>
    <row r="797" spans="27:27">
      <c r="AA797" s="5582"/>
    </row>
    <row r="798" spans="27:27">
      <c r="AA798" s="5582"/>
    </row>
    <row r="799" spans="27:27">
      <c r="AA799" s="5582"/>
    </row>
    <row r="800" spans="27:27">
      <c r="AA800" s="5582"/>
    </row>
    <row r="801" spans="27:27">
      <c r="AA801" s="5582"/>
    </row>
    <row r="802" spans="27:27">
      <c r="AA802" s="5582"/>
    </row>
    <row r="803" spans="27:27">
      <c r="AA803" s="5582"/>
    </row>
    <row r="804" spans="27:27">
      <c r="AA804" s="5582"/>
    </row>
    <row r="805" spans="27:27">
      <c r="AA805" s="5582"/>
    </row>
    <row r="806" spans="27:27">
      <c r="AA806" s="5582"/>
    </row>
    <row r="807" spans="27:27">
      <c r="AA807" s="5582"/>
    </row>
    <row r="808" spans="27:27">
      <c r="AA808" s="5582"/>
    </row>
    <row r="809" spans="27:27">
      <c r="AA809" s="5582"/>
    </row>
    <row r="810" spans="27:27">
      <c r="AA810" s="5582"/>
    </row>
    <row r="811" spans="27:27">
      <c r="AA811" s="5582"/>
    </row>
    <row r="812" spans="27:27">
      <c r="AA812" s="5582"/>
    </row>
    <row r="813" spans="27:27">
      <c r="AA813" s="5582"/>
    </row>
    <row r="814" spans="27:27">
      <c r="AA814" s="5582"/>
    </row>
    <row r="815" spans="27:27">
      <c r="AA815" s="5582"/>
    </row>
    <row r="816" spans="27:27">
      <c r="AA816" s="5582"/>
    </row>
    <row r="817" spans="27:27">
      <c r="AA817" s="5582"/>
    </row>
    <row r="818" spans="27:27">
      <c r="AA818" s="5582"/>
    </row>
    <row r="819" spans="27:27">
      <c r="AA819" s="5582"/>
    </row>
    <row r="820" spans="27:27">
      <c r="AA820" s="5582"/>
    </row>
    <row r="821" spans="27:27">
      <c r="AA821" s="5582"/>
    </row>
    <row r="822" spans="27:27">
      <c r="AA822" s="5582"/>
    </row>
    <row r="823" spans="27:27">
      <c r="AA823" s="5582"/>
    </row>
    <row r="824" spans="27:27">
      <c r="AA824" s="5582"/>
    </row>
  </sheetData>
  <conditionalFormatting sqref="I2:I616">
    <cfRule type="duplicateValues" dxfId="1" priority="1"/>
    <cfRule type="duplicateValues" dxfId="1" priority="2"/>
  </conditionalFormatting>
  <hyperlinks>
    <hyperlink ref="AI2" r:id="rId1" display="Bihać" tooltip="Sarajevo"/>
    <hyperlink ref="AI3" r:id="rId2" display="Bosanska Krupa" tooltip="Tuzla"/>
    <hyperlink ref="AI4" r:id="rId3" display="Cazin" tooltip="Zenica"/>
    <hyperlink ref="AI5" r:id="rId4" display="Goražde" tooltip="Mostar"/>
    <hyperlink ref="AI6" r:id="rId5" display="Gračanica" tooltip="Srebrenik"/>
    <hyperlink ref="AI7" r:id="rId6" display="Gradačac" tooltip="Bihać"/>
    <hyperlink ref="AI8" r:id="rId7" display="Konjic" tooltip="Travnik"/>
    <hyperlink ref="AI9" r:id="rId8" display="Livno" tooltip="Kiseljak"/>
    <hyperlink ref="AI10" r:id="rId9" display="Lukavac" tooltip="Cazin"/>
    <hyperlink ref="AI11" r:id="rId10" display="Ljubuški" tooltip="Bugojno"/>
    <hyperlink ref="AI12" r:id="rId11" display="Mostar" tooltip="Velika Kladuša"/>
    <hyperlink ref="AI13" r:id="rId12" display="Orašje" tooltip="Visoko"/>
    <hyperlink ref="AI14" r:id="rId13" display="Sarajevo" tooltip="Goražde"/>
    <hyperlink ref="AI15" r:id="rId14" display="Srebrenik" tooltip="Konjic"/>
    <hyperlink ref="AI16" r:id="rId15" display="Stolac" tooltip="Gračanica"/>
    <hyperlink ref="AI17" r:id="rId16" display="Široki Brijeg" tooltip="Gradačac"/>
    <hyperlink ref="AI18" r:id="rId17" display="Tuzla" tooltip="Bosanska Krupa"/>
    <hyperlink ref="AI19" r:id="rId18" display="Visoko" tooltip="Zavidovići"/>
    <hyperlink ref="AI20" r:id="rId19" display="Zavidovići" tooltip="Živinice"/>
    <hyperlink ref="AI21" r:id="rId20" display="Zenica" tooltip="Sanski Most"/>
    <hyperlink ref="AI22" r:id="rId21" display="Živinice" tooltip="Lukavac"/>
  </hyperlink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41">
    <tabColor theme="9" tint="0.399975585192419"/>
    <pageSetUpPr fitToPage="1"/>
  </sheetPr>
  <dimension ref="A1:DY752"/>
  <sheetViews>
    <sheetView showGridLines="0" topLeftCell="A65" workbookViewId="0">
      <selection activeCell="BG68" sqref="BG68"/>
    </sheetView>
  </sheetViews>
  <sheetFormatPr defaultColWidth="2.42857142857143" defaultRowHeight="12"/>
  <cols>
    <col min="1" max="1" width="3" style="690" customWidth="1"/>
    <col min="2" max="2" width="3.14285714285714" style="690" customWidth="1"/>
    <col min="3" max="7" width="2.71428571428571" style="690" customWidth="1"/>
    <col min="8" max="23" width="2.42857142857143" style="690"/>
    <col min="24" max="24" width="2.57142857142857" style="690" customWidth="1"/>
    <col min="25" max="43" width="2.42857142857143" style="690"/>
    <col min="44" max="127" width="1.85714285714286" style="690" customWidth="1"/>
    <col min="128" max="16384" width="2.42857142857143" style="690"/>
  </cols>
  <sheetData>
    <row r="1" ht="12.75" spans="1:42">
      <c r="A1" s="2904" t="s">
        <v>6689</v>
      </c>
      <c r="B1" s="2905"/>
      <c r="C1" s="2905"/>
      <c r="D1" s="2905"/>
      <c r="E1" s="2905"/>
      <c r="F1" s="2905"/>
      <c r="G1" s="2905"/>
      <c r="H1" s="2905"/>
      <c r="I1" s="2905"/>
      <c r="J1" s="2905"/>
      <c r="K1" s="2905"/>
      <c r="L1" s="2905"/>
      <c r="M1" s="2905"/>
      <c r="N1" s="2905"/>
      <c r="O1" s="2905"/>
      <c r="P1" s="2905"/>
      <c r="Q1" s="2905"/>
      <c r="R1" s="2905"/>
      <c r="S1" s="2905"/>
      <c r="T1" s="2905"/>
      <c r="U1" s="2906"/>
      <c r="V1" s="2904" t="s">
        <v>6489</v>
      </c>
      <c r="W1" s="2905"/>
      <c r="X1" s="2905"/>
      <c r="Y1" s="2905"/>
      <c r="Z1" s="2905"/>
      <c r="AA1" s="2905"/>
      <c r="AB1" s="2905"/>
      <c r="AC1" s="2905"/>
      <c r="AD1" s="2905"/>
      <c r="AE1" s="2905"/>
      <c r="AF1" s="2905"/>
      <c r="AG1" s="2905"/>
      <c r="AH1" s="2905"/>
      <c r="AI1" s="2905"/>
      <c r="AJ1" s="2905"/>
      <c r="AK1" s="2905"/>
      <c r="AL1" s="2905"/>
      <c r="AM1" s="2905"/>
      <c r="AN1" s="2905"/>
      <c r="AO1" s="2905"/>
      <c r="AP1" s="2906"/>
    </row>
    <row r="2" ht="12.75" spans="1:42">
      <c r="A2" s="2907" t="s">
        <v>6490</v>
      </c>
      <c r="B2" s="2908"/>
      <c r="C2" s="2908"/>
      <c r="D2" s="2908"/>
      <c r="E2" s="2908"/>
      <c r="F2" s="2908"/>
      <c r="G2" s="2908"/>
      <c r="H2" s="2908"/>
      <c r="I2" s="2908"/>
      <c r="J2" s="2908"/>
      <c r="K2" s="2908"/>
      <c r="L2" s="2908"/>
      <c r="M2" s="2908"/>
      <c r="N2" s="2908"/>
      <c r="O2" s="2908"/>
      <c r="P2" s="2908"/>
      <c r="Q2" s="2908"/>
      <c r="R2" s="2908"/>
      <c r="S2" s="2908"/>
      <c r="T2" s="2908"/>
      <c r="U2" s="2909"/>
      <c r="V2" s="2910"/>
      <c r="W2" s="687"/>
      <c r="X2" s="687"/>
      <c r="Y2" s="687"/>
      <c r="Z2" s="687"/>
      <c r="AA2" s="687"/>
      <c r="AB2" s="687"/>
      <c r="AC2" s="687"/>
      <c r="AD2" s="687"/>
      <c r="AE2" s="687"/>
      <c r="AF2" s="687"/>
      <c r="AG2" s="687"/>
      <c r="AH2" s="687"/>
      <c r="AI2" s="687"/>
      <c r="AJ2" s="687"/>
      <c r="AK2" s="687"/>
      <c r="AL2" s="687"/>
      <c r="AM2" s="687"/>
      <c r="AN2" s="687"/>
      <c r="AO2" s="687"/>
      <c r="AP2" s="746"/>
    </row>
    <row r="3" ht="12.75" spans="1:42">
      <c r="A3" s="2911" t="s">
        <v>6491</v>
      </c>
      <c r="B3" s="2912"/>
      <c r="C3" s="2912"/>
      <c r="D3" s="2912"/>
      <c r="E3" s="2912"/>
      <c r="F3" s="2912"/>
      <c r="G3" s="2912"/>
      <c r="H3" s="2912"/>
      <c r="I3" s="2912"/>
      <c r="J3" s="2912"/>
      <c r="K3" s="2912"/>
      <c r="L3" s="2912"/>
      <c r="M3" s="2912"/>
      <c r="N3" s="2912"/>
      <c r="O3" s="2912"/>
      <c r="P3" s="2912"/>
      <c r="Q3" s="2912"/>
      <c r="R3" s="2912"/>
      <c r="S3" s="2912"/>
      <c r="T3" s="2912"/>
      <c r="U3" s="2913"/>
      <c r="V3" s="2910"/>
      <c r="W3" s="687"/>
      <c r="X3" s="687"/>
      <c r="Y3" s="687"/>
      <c r="Z3" s="687"/>
      <c r="AA3" s="687"/>
      <c r="AB3" s="687"/>
      <c r="AC3" s="687"/>
      <c r="AD3" s="687"/>
      <c r="AE3" s="687"/>
      <c r="AF3" s="687"/>
      <c r="AG3" s="687"/>
      <c r="AH3" s="687"/>
      <c r="AI3" s="687"/>
      <c r="AJ3" s="687"/>
      <c r="AK3" s="687"/>
      <c r="AL3" s="687"/>
      <c r="AM3" s="687"/>
      <c r="AN3" s="687"/>
      <c r="AO3" s="687"/>
      <c r="AP3" s="746"/>
    </row>
    <row r="4" ht="12.75" spans="1:42">
      <c r="A4" s="2911" t="s">
        <v>6492</v>
      </c>
      <c r="B4" s="2912"/>
      <c r="C4" s="2912"/>
      <c r="D4" s="2912"/>
      <c r="E4" s="2912"/>
      <c r="F4" s="2912"/>
      <c r="G4" s="2912"/>
      <c r="H4" s="2912"/>
      <c r="I4" s="2912"/>
      <c r="J4" s="2912"/>
      <c r="K4" s="2912"/>
      <c r="L4" s="2912"/>
      <c r="M4" s="2912"/>
      <c r="N4" s="2912"/>
      <c r="O4" s="2912"/>
      <c r="P4" s="2912"/>
      <c r="Q4" s="2912"/>
      <c r="R4" s="2912"/>
      <c r="S4" s="2912"/>
      <c r="T4" s="2912"/>
      <c r="U4" s="2913"/>
      <c r="V4" s="2910"/>
      <c r="W4" s="687"/>
      <c r="X4" s="687"/>
      <c r="Y4" s="687"/>
      <c r="Z4" s="687"/>
      <c r="AA4" s="687"/>
      <c r="AB4" s="687"/>
      <c r="AC4" s="687"/>
      <c r="AD4" s="687"/>
      <c r="AE4" s="687"/>
      <c r="AF4" s="687"/>
      <c r="AG4" s="687"/>
      <c r="AH4" s="687"/>
      <c r="AI4" s="687"/>
      <c r="AJ4" s="687"/>
      <c r="AK4" s="687"/>
      <c r="AL4" s="687"/>
      <c r="AM4" s="687"/>
      <c r="AN4" s="687"/>
      <c r="AO4" s="687"/>
      <c r="AP4" s="746"/>
    </row>
    <row r="5" ht="12.75" spans="1:42">
      <c r="A5" s="2914" t="s">
        <v>6493</v>
      </c>
      <c r="B5" s="2915"/>
      <c r="C5" s="2915"/>
      <c r="D5" s="2915"/>
      <c r="E5" s="2915"/>
      <c r="F5" s="2915"/>
      <c r="G5" s="2915"/>
      <c r="H5" s="2915"/>
      <c r="I5" s="2915"/>
      <c r="J5" s="2915"/>
      <c r="K5" s="2915"/>
      <c r="L5" s="2915"/>
      <c r="M5" s="2915"/>
      <c r="N5" s="2915"/>
      <c r="O5" s="2915"/>
      <c r="P5" s="2915"/>
      <c r="Q5" s="2915"/>
      <c r="R5" s="2915"/>
      <c r="S5" s="2915"/>
      <c r="T5" s="2915"/>
      <c r="U5" s="2916"/>
      <c r="V5" s="2917"/>
      <c r="W5" s="748"/>
      <c r="X5" s="748"/>
      <c r="Y5" s="748"/>
      <c r="Z5" s="748"/>
      <c r="AA5" s="748"/>
      <c r="AB5" s="748"/>
      <c r="AC5" s="748"/>
      <c r="AD5" s="748"/>
      <c r="AE5" s="748"/>
      <c r="AF5" s="748"/>
      <c r="AG5" s="748"/>
      <c r="AH5" s="748"/>
      <c r="AI5" s="748"/>
      <c r="AJ5" s="748"/>
      <c r="AK5" s="748"/>
      <c r="AL5" s="748"/>
      <c r="AM5" s="748"/>
      <c r="AN5" s="748"/>
      <c r="AO5" s="748"/>
      <c r="AP5" s="749"/>
    </row>
    <row r="6" ht="24" spans="1:42">
      <c r="A6" s="2918" t="s">
        <v>6690</v>
      </c>
      <c r="B6" s="2918"/>
      <c r="C6" s="2918"/>
      <c r="D6" s="2918"/>
      <c r="E6" s="2918"/>
      <c r="F6" s="2918"/>
      <c r="G6" s="2918"/>
      <c r="H6" s="2918"/>
      <c r="I6" s="2918"/>
      <c r="J6" s="2918"/>
      <c r="K6" s="2918"/>
      <c r="L6" s="2918"/>
      <c r="M6" s="2918"/>
      <c r="N6" s="2918"/>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row>
    <row r="7" ht="13.5" spans="1:42">
      <c r="A7" s="733"/>
      <c r="B7" s="733"/>
      <c r="C7" s="733"/>
      <c r="D7" s="733"/>
      <c r="E7" s="733"/>
      <c r="F7" s="733"/>
      <c r="G7" s="733"/>
      <c r="H7" s="733"/>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row>
    <row r="8" ht="15.75" spans="1:42">
      <c r="A8" s="734" t="str">
        <f>"za "&amp;Text!B8</f>
        <v>za period</v>
      </c>
      <c r="B8" s="734"/>
      <c r="C8" s="734"/>
      <c r="D8" s="734"/>
      <c r="E8" s="734"/>
      <c r="F8" s="734"/>
      <c r="G8" s="735"/>
      <c r="H8" s="2919" t="str">
        <f>UnosPod!F6&amp;UnosPod!G6</f>
        <v>01</v>
      </c>
      <c r="I8" s="2919"/>
      <c r="J8" s="2920"/>
      <c r="K8" s="2921" t="str">
        <f>UnosPod!H6&amp;UnosPod!I6</f>
        <v>01</v>
      </c>
      <c r="L8" s="2919"/>
      <c r="M8" s="2920"/>
      <c r="N8" s="2921">
        <f>UnosPod!J6</f>
        <v>2025</v>
      </c>
      <c r="O8" s="2919"/>
      <c r="P8" s="2919"/>
      <c r="Q8" s="2919"/>
      <c r="R8" s="2920"/>
      <c r="S8" s="739" t="s">
        <v>12</v>
      </c>
      <c r="T8" s="740"/>
      <c r="U8" s="740"/>
      <c r="V8" s="740"/>
      <c r="W8" s="740"/>
      <c r="X8" s="740"/>
      <c r="Y8" s="2919" t="str">
        <f>UnosPod!M6&amp;UnosPod!N6</f>
        <v>31</v>
      </c>
      <c r="Z8" s="2919"/>
      <c r="AA8" s="2920"/>
      <c r="AB8" s="2921" t="str">
        <f>UnosPod!O6&amp;UnosPod!P6</f>
        <v>12</v>
      </c>
      <c r="AC8" s="2919"/>
      <c r="AD8" s="2920"/>
      <c r="AE8" s="2921">
        <f>UnosPod!Q6</f>
        <v>2025</v>
      </c>
      <c r="AF8" s="2919"/>
      <c r="AG8" s="2919"/>
      <c r="AH8" s="2919"/>
      <c r="AI8" s="2920"/>
    </row>
    <row r="10" s="799" customFormat="1" ht="15" spans="1:42">
      <c r="A10" s="2922" t="s">
        <v>6691</v>
      </c>
      <c r="B10" s="2923"/>
      <c r="C10" s="2923"/>
      <c r="D10" s="2923"/>
      <c r="E10" s="2923"/>
      <c r="F10" s="2923"/>
      <c r="G10" s="2923"/>
      <c r="H10" s="2923"/>
      <c r="I10" s="2923"/>
      <c r="J10" s="2923"/>
      <c r="K10" s="2923"/>
      <c r="L10" s="2923"/>
      <c r="M10" s="2923"/>
      <c r="N10" s="2923"/>
      <c r="O10" s="2923"/>
      <c r="P10" s="2923"/>
      <c r="Q10" s="2923"/>
      <c r="R10" s="2923"/>
      <c r="S10" s="2923"/>
      <c r="T10" s="2923"/>
      <c r="U10" s="2923"/>
      <c r="V10" s="2923"/>
      <c r="W10" s="2923"/>
      <c r="X10" s="2923"/>
      <c r="Y10" s="2923"/>
      <c r="Z10" s="2923"/>
      <c r="AA10" s="2923"/>
      <c r="AB10" s="2923"/>
      <c r="AC10" s="2923"/>
      <c r="AD10" s="2923"/>
      <c r="AE10" s="2923"/>
      <c r="AF10" s="2923"/>
      <c r="AG10" s="2923"/>
      <c r="AH10" s="2923"/>
      <c r="AI10" s="2923"/>
      <c r="AJ10" s="2923"/>
      <c r="AK10" s="2923"/>
      <c r="AL10" s="2923"/>
      <c r="AM10" s="2923"/>
      <c r="AN10" s="2923"/>
      <c r="AO10" s="2923"/>
      <c r="AP10" s="2924"/>
    </row>
    <row r="11" s="687" customFormat="1" ht="12.75" spans="1:42">
      <c r="A11" s="745"/>
      <c r="B11" s="742" t="s">
        <v>6692</v>
      </c>
      <c r="C11" s="743"/>
      <c r="D11" s="743"/>
      <c r="E11" s="743"/>
      <c r="F11" s="743"/>
      <c r="G11" s="743"/>
      <c r="H11" s="743"/>
      <c r="I11" s="743"/>
      <c r="J11" s="743"/>
      <c r="K11" s="743"/>
      <c r="L11" s="743"/>
      <c r="M11" s="743"/>
      <c r="N11" s="743"/>
      <c r="O11" s="743"/>
      <c r="P11" s="744"/>
      <c r="Q11" s="742" t="s">
        <v>6496</v>
      </c>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4"/>
    </row>
    <row r="12" s="687" customFormat="1" ht="15.75" spans="1:42">
      <c r="A12" s="745"/>
      <c r="B12" s="2925" t="str">
        <f>UnosPod!F8</f>
        <v>LILIUM ASSET MANAGEMENT d.o.o. Sarajevo</v>
      </c>
      <c r="C12" s="2926"/>
      <c r="D12" s="2926"/>
      <c r="E12" s="2926"/>
      <c r="F12" s="2926"/>
      <c r="G12" s="2926"/>
      <c r="H12" s="2926"/>
      <c r="I12" s="2926"/>
      <c r="J12" s="2926"/>
      <c r="K12" s="2926"/>
      <c r="L12" s="2926"/>
      <c r="M12" s="2926"/>
      <c r="N12" s="2926"/>
      <c r="O12" s="2926"/>
      <c r="P12" s="746"/>
      <c r="Q12" s="2927">
        <f>UnosPod!AA8</f>
        <v>4</v>
      </c>
      <c r="R12" s="2928"/>
      <c r="S12" s="2927">
        <f>UnosPod!AB8</f>
        <v>2</v>
      </c>
      <c r="T12" s="2928"/>
      <c r="U12" s="2927">
        <f>UnosPod!AC8</f>
        <v>0</v>
      </c>
      <c r="V12" s="2928"/>
      <c r="W12" s="2927">
        <f>UnosPod!AD8</f>
        <v>1</v>
      </c>
      <c r="X12" s="2928"/>
      <c r="Y12" s="2927">
        <f>UnosPod!AE8</f>
        <v>3</v>
      </c>
      <c r="Z12" s="2928"/>
      <c r="AA12" s="2927">
        <f>UnosPod!AF8</f>
        <v>3</v>
      </c>
      <c r="AB12" s="2928"/>
      <c r="AC12" s="2927">
        <f>UnosPod!AG8</f>
        <v>7</v>
      </c>
      <c r="AD12" s="2928"/>
      <c r="AE12" s="2927">
        <f>UnosPod!AH8</f>
        <v>6</v>
      </c>
      <c r="AF12" s="2928"/>
      <c r="AG12" s="2927">
        <f>UnosPod!AI8</f>
        <v>7</v>
      </c>
      <c r="AH12" s="2928"/>
      <c r="AI12" s="2927">
        <f>UnosPod!AJ8</f>
        <v>0</v>
      </c>
      <c r="AJ12" s="2928"/>
      <c r="AK12" s="2927">
        <f>UnosPod!AK8</f>
        <v>0</v>
      </c>
      <c r="AL12" s="2928"/>
      <c r="AM12" s="2927">
        <f>UnosPod!AL8</f>
        <v>0</v>
      </c>
      <c r="AN12" s="2928"/>
      <c r="AO12" s="2927">
        <f>UnosPod!AM8</f>
        <v>9</v>
      </c>
      <c r="AP12" s="2928"/>
    </row>
    <row r="13" s="687" customFormat="1" ht="12.75" spans="1:42">
      <c r="A13" s="745"/>
      <c r="B13" s="2925"/>
      <c r="C13" s="2926"/>
      <c r="D13" s="2926"/>
      <c r="E13" s="2926"/>
      <c r="F13" s="2926"/>
      <c r="G13" s="2926"/>
      <c r="H13" s="2926"/>
      <c r="I13" s="2926"/>
      <c r="J13" s="2926"/>
      <c r="K13" s="2926"/>
      <c r="L13" s="2926"/>
      <c r="M13" s="2926"/>
      <c r="N13" s="2926"/>
      <c r="O13" s="2926"/>
      <c r="P13" s="746"/>
      <c r="Q13" s="747" t="s">
        <v>6497</v>
      </c>
      <c r="R13" s="748"/>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9"/>
    </row>
    <row r="14" s="687" customFormat="1" ht="12.75" spans="1:42">
      <c r="A14" s="745"/>
      <c r="B14" s="2925"/>
      <c r="C14" s="2926"/>
      <c r="D14" s="2926"/>
      <c r="E14" s="2926"/>
      <c r="F14" s="2926"/>
      <c r="G14" s="2926"/>
      <c r="H14" s="2926"/>
      <c r="I14" s="2926"/>
      <c r="J14" s="2926"/>
      <c r="K14" s="2926"/>
      <c r="L14" s="2926"/>
      <c r="M14" s="2926"/>
      <c r="N14" s="2926"/>
      <c r="O14" s="2926"/>
      <c r="P14" s="746"/>
      <c r="Q14" s="2929" t="s">
        <v>6498</v>
      </c>
      <c r="R14" s="2930"/>
      <c r="S14" s="2930"/>
      <c r="T14" s="2930"/>
      <c r="U14" s="2930"/>
      <c r="V14" s="2930"/>
      <c r="W14" s="2930"/>
      <c r="X14" s="2930"/>
      <c r="Y14" s="2930"/>
      <c r="Z14" s="2930"/>
      <c r="AA14" s="2930"/>
      <c r="AB14" s="2930"/>
      <c r="AC14" s="2930"/>
      <c r="AD14" s="2931"/>
      <c r="AE14" s="2929" t="s">
        <v>6499</v>
      </c>
      <c r="AF14" s="2930"/>
      <c r="AG14" s="2930"/>
      <c r="AH14" s="2931"/>
      <c r="AI14" s="2929" t="s">
        <v>6500</v>
      </c>
      <c r="AJ14" s="2930"/>
      <c r="AK14" s="2930"/>
      <c r="AL14" s="2930"/>
      <c r="AM14" s="2930"/>
      <c r="AN14" s="2930"/>
      <c r="AO14" s="2930"/>
      <c r="AP14" s="2931"/>
    </row>
    <row r="15" s="687" customFormat="1" ht="12.75" spans="1:42">
      <c r="A15" s="745"/>
      <c r="B15" s="2932"/>
      <c r="C15" s="2933"/>
      <c r="D15" s="2933"/>
      <c r="E15" s="2933"/>
      <c r="F15" s="2933"/>
      <c r="G15" s="2933"/>
      <c r="H15" s="2933"/>
      <c r="I15" s="2933"/>
      <c r="J15" s="2933"/>
      <c r="K15" s="2933"/>
      <c r="L15" s="2933"/>
      <c r="M15" s="2933"/>
      <c r="N15" s="2933"/>
      <c r="O15" s="2933"/>
      <c r="P15" s="749"/>
      <c r="Q15" s="2934" t="str">
        <f>UnosPod!F10</f>
        <v>Dženetića čikma br.8</v>
      </c>
      <c r="R15" s="2935"/>
      <c r="S15" s="2935"/>
      <c r="T15" s="2935"/>
      <c r="U15" s="2935"/>
      <c r="V15" s="2935"/>
      <c r="W15" s="2935"/>
      <c r="X15" s="2935"/>
      <c r="Y15" s="2935"/>
      <c r="Z15" s="2935"/>
      <c r="AA15" s="2935"/>
      <c r="AB15" s="2935"/>
      <c r="AC15" s="2935"/>
      <c r="AD15" s="2936"/>
      <c r="AE15" s="2937"/>
      <c r="AF15" s="2938"/>
      <c r="AG15" s="2938"/>
      <c r="AH15" s="2939"/>
      <c r="AI15" s="2940" t="str">
        <f>Baza!I21</f>
        <v>Sarajevo-Stari Grad</v>
      </c>
      <c r="AJ15" s="2935"/>
      <c r="AK15" s="2935"/>
      <c r="AL15" s="2935"/>
      <c r="AM15" s="2935"/>
      <c r="AN15" s="2935"/>
      <c r="AO15" s="2935"/>
      <c r="AP15" s="2936"/>
    </row>
    <row r="16" s="687" customFormat="1" ht="12.75" spans="1:42">
      <c r="A16" s="745"/>
    </row>
    <row r="17" s="799" customFormat="1" ht="19.5" customHeight="1" spans="1:129">
      <c r="A17" s="2941" t="s">
        <v>6693</v>
      </c>
      <c r="B17" s="2942"/>
      <c r="C17" s="2942"/>
      <c r="D17" s="2942"/>
      <c r="E17" s="2942"/>
      <c r="F17" s="2942"/>
      <c r="G17" s="2942"/>
      <c r="H17" s="2942"/>
      <c r="I17" s="2942"/>
      <c r="J17" s="2942"/>
      <c r="K17" s="2942"/>
      <c r="L17" s="2942"/>
      <c r="M17" s="2942"/>
      <c r="N17" s="2942"/>
      <c r="O17" s="2942"/>
      <c r="P17" s="2942"/>
      <c r="Q17" s="2942"/>
      <c r="R17" s="2942"/>
      <c r="S17" s="2942"/>
      <c r="T17" s="2942"/>
      <c r="U17" s="2942"/>
      <c r="V17" s="2942"/>
      <c r="W17" s="2942"/>
      <c r="X17" s="2942"/>
      <c r="Y17" s="2942"/>
      <c r="Z17" s="2942"/>
      <c r="AA17" s="2942"/>
      <c r="AB17" s="2942"/>
      <c r="AC17" s="2942"/>
      <c r="AD17" s="2942"/>
      <c r="AE17" s="2942"/>
      <c r="AF17" s="2942"/>
      <c r="AG17" s="2942"/>
      <c r="AH17" s="2942"/>
      <c r="AI17" s="2942"/>
      <c r="AJ17" s="2942"/>
      <c r="AK17" s="2942"/>
      <c r="AL17" s="2942"/>
      <c r="AM17" s="2942"/>
      <c r="AN17" s="2942"/>
      <c r="AO17" s="2942"/>
      <c r="AP17" s="2943"/>
    </row>
    <row r="18" s="799" customFormat="1" ht="15" customHeight="1" spans="1:129">
      <c r="A18" s="2944" t="s">
        <v>3893</v>
      </c>
      <c r="B18" s="2944"/>
      <c r="C18" s="2944" t="s">
        <v>6694</v>
      </c>
      <c r="D18" s="2944"/>
      <c r="E18" s="2944"/>
      <c r="F18" s="2944"/>
      <c r="G18" s="2944"/>
      <c r="H18" s="2944"/>
      <c r="I18" s="2944"/>
      <c r="J18" s="2944"/>
      <c r="K18" s="2944"/>
      <c r="L18" s="2944"/>
      <c r="M18" s="2944"/>
      <c r="N18" s="2944"/>
      <c r="O18" s="2944"/>
      <c r="P18" s="2944"/>
      <c r="Q18" s="2944"/>
      <c r="R18" s="2944"/>
      <c r="S18" s="2944"/>
      <c r="T18" s="2944"/>
      <c r="U18" s="2944"/>
      <c r="V18" s="2944" t="s">
        <v>6695</v>
      </c>
      <c r="W18" s="2944"/>
      <c r="X18" s="2944"/>
      <c r="Y18" s="2944"/>
      <c r="Z18" s="2944"/>
      <c r="AA18" s="2944"/>
      <c r="AB18" s="2944"/>
      <c r="AC18" s="2944"/>
      <c r="AD18" s="2944"/>
      <c r="AE18" s="2944"/>
      <c r="AF18" s="2944"/>
      <c r="AG18" s="2944" t="s">
        <v>6696</v>
      </c>
      <c r="AH18" s="2944"/>
      <c r="AI18" s="2944"/>
      <c r="AJ18" s="2944"/>
      <c r="AK18" s="2944"/>
      <c r="AL18" s="2944"/>
      <c r="AM18" s="2944"/>
      <c r="AN18" s="2944"/>
      <c r="AO18" s="2944"/>
      <c r="AP18" s="2944"/>
    </row>
    <row r="19" s="799" customFormat="1" ht="15" customHeight="1" spans="1:129">
      <c r="A19" s="2945" t="str">
        <f>UnosPorBilans!B165</f>
        <v>Massimo Holding doo</v>
      </c>
      <c r="B19" s="2945"/>
      <c r="C19" s="2945"/>
      <c r="D19" s="2945"/>
      <c r="E19" s="2945"/>
      <c r="F19" s="2945"/>
      <c r="G19" s="2945"/>
      <c r="H19" s="2945"/>
      <c r="I19" s="2945"/>
      <c r="J19" s="2945"/>
      <c r="K19" s="2945"/>
      <c r="L19" s="2945"/>
      <c r="M19" s="2945"/>
      <c r="N19" s="2945"/>
      <c r="O19" s="2945"/>
      <c r="P19" s="2945"/>
      <c r="Q19" s="2945"/>
      <c r="R19" s="2945"/>
      <c r="S19" s="2945"/>
      <c r="T19" s="2945"/>
      <c r="U19" s="2945"/>
      <c r="V19" s="2945" t="str">
        <f>UnosPorBilans!I165</f>
        <v>4200878200008</v>
      </c>
      <c r="W19" s="2945"/>
      <c r="X19" s="2945"/>
      <c r="Y19" s="2945"/>
      <c r="Z19" s="2945"/>
      <c r="AA19" s="2945"/>
      <c r="AB19" s="2945"/>
      <c r="AC19" s="2945"/>
      <c r="AD19" s="2945"/>
      <c r="AE19" s="2945"/>
      <c r="AF19" s="2945"/>
      <c r="AG19" s="2945" t="str">
        <f>UnosPorBilans!N165</f>
        <v>30.06.2025.</v>
      </c>
      <c r="AH19" s="2945"/>
      <c r="AI19" s="2945"/>
      <c r="AJ19" s="2945"/>
      <c r="AK19" s="2945"/>
      <c r="AL19" s="2945"/>
      <c r="AM19" s="2945"/>
      <c r="AN19" s="2945"/>
      <c r="AO19" s="2945"/>
      <c r="AP19" s="2945"/>
    </row>
    <row r="20" s="799" customFormat="1" ht="15" customHeight="1" spans="1:129">
      <c r="A20" s="2944" t="s">
        <v>6697</v>
      </c>
      <c r="B20" s="2944"/>
      <c r="C20" s="2944"/>
      <c r="D20" s="2944"/>
      <c r="E20" s="2944"/>
      <c r="F20" s="2944"/>
      <c r="G20" s="2944"/>
      <c r="H20" s="2944"/>
      <c r="I20" s="2944"/>
      <c r="J20" s="2944"/>
      <c r="K20" s="2944" t="s">
        <v>6698</v>
      </c>
      <c r="L20" s="2944"/>
      <c r="M20" s="2944"/>
      <c r="N20" s="2944"/>
      <c r="O20" s="2944"/>
      <c r="P20" s="2944"/>
      <c r="Q20" s="2944"/>
      <c r="R20" s="2944"/>
      <c r="S20" s="2944"/>
      <c r="T20" s="2944"/>
      <c r="U20" s="2944"/>
      <c r="V20" s="2944" t="s">
        <v>6699</v>
      </c>
      <c r="W20" s="2944"/>
      <c r="X20" s="2944"/>
      <c r="Y20" s="2944"/>
      <c r="Z20" s="2944"/>
      <c r="AA20" s="2944"/>
      <c r="AB20" s="2944"/>
      <c r="AC20" s="2944"/>
      <c r="AD20" s="2944"/>
      <c r="AE20" s="2944"/>
      <c r="AF20" s="2944"/>
      <c r="AG20" s="2944" t="s">
        <v>6700</v>
      </c>
      <c r="AH20" s="2944"/>
      <c r="AI20" s="2944"/>
      <c r="AJ20" s="2944"/>
      <c r="AK20" s="2944"/>
      <c r="AL20" s="2944"/>
      <c r="AM20" s="2944"/>
      <c r="AN20" s="2944"/>
      <c r="AO20" s="2944"/>
      <c r="AP20" s="2944"/>
    </row>
    <row r="21" s="799" customFormat="1" ht="15" customHeight="1" spans="1:129">
      <c r="A21" s="2946" t="str">
        <f>UnosPorBilans!S165</f>
        <v>100</v>
      </c>
      <c r="B21" s="2946"/>
      <c r="C21" s="2946"/>
      <c r="D21" s="2946"/>
      <c r="E21" s="2946"/>
      <c r="F21" s="2946"/>
      <c r="G21" s="2946"/>
      <c r="H21" s="2946"/>
      <c r="I21" s="2946"/>
      <c r="J21" s="2946"/>
      <c r="K21" s="2946">
        <f>UnosPorBilans!W165</f>
        <v>91307</v>
      </c>
      <c r="L21" s="2946"/>
      <c r="M21" s="2946"/>
      <c r="N21" s="2946"/>
      <c r="O21" s="2946"/>
      <c r="P21" s="2946"/>
      <c r="Q21" s="2946"/>
      <c r="R21" s="2946"/>
      <c r="S21" s="2946"/>
      <c r="T21" s="2946"/>
      <c r="U21" s="2946"/>
      <c r="V21" s="2946">
        <f>UnosPorBilans!AB165</f>
        <v>0</v>
      </c>
      <c r="W21" s="2946"/>
      <c r="X21" s="2946"/>
      <c r="Y21" s="2946"/>
      <c r="Z21" s="2946"/>
      <c r="AA21" s="2946"/>
      <c r="AB21" s="2946"/>
      <c r="AC21" s="2946"/>
      <c r="AD21" s="2946"/>
      <c r="AE21" s="2946"/>
      <c r="AF21" s="2946"/>
      <c r="AG21" s="2946">
        <f>UnosPorBilans!AG165</f>
        <v>91307</v>
      </c>
      <c r="AH21" s="2946"/>
      <c r="AI21" s="2946"/>
      <c r="AJ21" s="2946"/>
      <c r="AK21" s="2946"/>
      <c r="AL21" s="2946"/>
      <c r="AM21" s="2946"/>
      <c r="AN21" s="2946"/>
      <c r="AO21" s="2946"/>
      <c r="AP21" s="2946"/>
    </row>
    <row r="22" s="799" customFormat="1" ht="15" customHeight="1" spans="1:129">
      <c r="A22" s="2947" t="s">
        <v>6701</v>
      </c>
      <c r="B22" s="2947"/>
      <c r="C22" s="2947"/>
      <c r="D22" s="2947"/>
      <c r="E22" s="2947"/>
      <c r="F22" s="2947"/>
      <c r="G22" s="2947"/>
      <c r="H22" s="2947"/>
      <c r="I22" s="2947"/>
      <c r="J22" s="2947"/>
      <c r="K22" s="2947"/>
      <c r="L22" s="2947"/>
      <c r="M22" s="2947"/>
      <c r="N22" s="2947"/>
      <c r="O22" s="2947"/>
      <c r="P22" s="2947"/>
      <c r="Q22" s="2947"/>
      <c r="R22" s="2947"/>
      <c r="S22" s="2947"/>
      <c r="T22" s="2947"/>
      <c r="U22" s="2947"/>
      <c r="V22" s="2947" t="s">
        <v>6702</v>
      </c>
      <c r="W22" s="2947"/>
      <c r="X22" s="2947"/>
      <c r="Y22" s="2947"/>
      <c r="Z22" s="2947"/>
      <c r="AA22" s="2947"/>
      <c r="AB22" s="2947"/>
      <c r="AC22" s="2947"/>
      <c r="AD22" s="2947"/>
      <c r="AE22" s="2947"/>
      <c r="AF22" s="2947"/>
      <c r="AG22" s="2947"/>
      <c r="AH22" s="2947"/>
      <c r="AI22" s="2947"/>
      <c r="AJ22" s="2947"/>
      <c r="AK22" s="2947"/>
      <c r="AL22" s="2947"/>
      <c r="AM22" s="2947"/>
      <c r="AN22" s="2947"/>
      <c r="AO22" s="2947"/>
      <c r="AP22" s="2947"/>
    </row>
    <row r="23" s="799" customFormat="1" ht="15" customHeight="1" spans="1:129">
      <c r="A23" s="2946">
        <f>UnosPorBilans!AL165</f>
        <v>0</v>
      </c>
      <c r="B23" s="2946"/>
      <c r="C23" s="2946"/>
      <c r="D23" s="2946"/>
      <c r="E23" s="2946"/>
      <c r="F23" s="2946"/>
      <c r="G23" s="2946"/>
      <c r="H23" s="2946"/>
      <c r="I23" s="2946"/>
      <c r="J23" s="2946"/>
      <c r="K23" s="2946"/>
      <c r="L23" s="2946"/>
      <c r="M23" s="2946"/>
      <c r="N23" s="2946"/>
      <c r="O23" s="2946"/>
      <c r="P23" s="2946"/>
      <c r="Q23" s="2946"/>
      <c r="R23" s="2946"/>
      <c r="S23" s="2946"/>
      <c r="T23" s="2946"/>
      <c r="U23" s="2946"/>
      <c r="V23" s="2946">
        <f>UnosPorBilans!AS165</f>
        <v>0</v>
      </c>
      <c r="W23" s="2946"/>
      <c r="X23" s="2946"/>
      <c r="Y23" s="2946"/>
      <c r="Z23" s="2946"/>
      <c r="AA23" s="2946"/>
      <c r="AB23" s="2946"/>
      <c r="AC23" s="2946"/>
      <c r="AD23" s="2946"/>
      <c r="AE23" s="2946"/>
      <c r="AF23" s="2946"/>
      <c r="AG23" s="2946"/>
      <c r="AH23" s="2946"/>
      <c r="AI23" s="2946"/>
      <c r="AJ23" s="2946"/>
      <c r="AK23" s="2946"/>
      <c r="AL23" s="2946"/>
      <c r="AM23" s="2946"/>
      <c r="AN23" s="2946"/>
      <c r="AO23" s="2946"/>
      <c r="AP23" s="2946"/>
    </row>
    <row r="24" s="799" customFormat="1" ht="10.5" customHeight="1" spans="1:129">
      <c r="BN24" s="2948"/>
      <c r="BO24" s="2948"/>
      <c r="BP24" s="2948"/>
      <c r="BQ24" s="2948"/>
      <c r="BR24" s="2948"/>
      <c r="BS24" s="2948"/>
      <c r="BT24" s="2948"/>
      <c r="BU24" s="2948"/>
      <c r="BV24" s="2948"/>
      <c r="BW24" s="2948"/>
      <c r="BX24" s="2949"/>
      <c r="BY24" s="2948"/>
      <c r="BZ24" s="2948"/>
      <c r="CA24" s="2948"/>
      <c r="CB24" s="2948"/>
      <c r="CC24" s="2948"/>
      <c r="CD24" s="2948"/>
      <c r="CE24" s="2948"/>
      <c r="CF24" s="2948"/>
      <c r="CG24" s="2948"/>
      <c r="CH24" s="2948"/>
      <c r="CI24" s="2948"/>
      <c r="CJ24" s="2950"/>
      <c r="CK24" s="688"/>
      <c r="CL24" s="688"/>
      <c r="CM24" s="688"/>
      <c r="CN24" s="688"/>
      <c r="CO24" s="688"/>
      <c r="CP24" s="688"/>
      <c r="CQ24" s="688"/>
      <c r="CR24" s="688"/>
      <c r="CS24" s="688"/>
      <c r="CT24" s="688"/>
      <c r="CU24" s="688"/>
      <c r="CV24" s="688"/>
      <c r="CW24" s="688"/>
      <c r="CX24" s="688"/>
      <c r="CY24" s="688"/>
      <c r="CZ24" s="688"/>
      <c r="DA24" s="688"/>
      <c r="DB24" s="688"/>
      <c r="DC24" s="688"/>
      <c r="DD24" s="688"/>
      <c r="DE24" s="2950"/>
      <c r="DF24" s="688"/>
      <c r="DG24" s="688"/>
      <c r="DH24" s="688"/>
      <c r="DI24" s="688"/>
      <c r="DJ24" s="688"/>
      <c r="DK24" s="688"/>
      <c r="DL24" s="688"/>
      <c r="DM24" s="688"/>
      <c r="DN24" s="688"/>
      <c r="DO24" s="688"/>
      <c r="DP24" s="688"/>
      <c r="DQ24" s="688"/>
      <c r="DR24" s="688"/>
      <c r="DS24" s="688"/>
      <c r="DT24" s="688"/>
      <c r="DU24" s="688"/>
      <c r="DV24" s="688"/>
      <c r="DW24" s="688"/>
      <c r="DX24" s="688"/>
      <c r="DY24" s="688"/>
    </row>
    <row r="25" s="799" customFormat="1" ht="14.25" customHeight="1" spans="1:129">
      <c r="A25" s="2944" t="s">
        <v>3896</v>
      </c>
      <c r="B25" s="2944"/>
      <c r="C25" s="2944" t="s">
        <v>6703</v>
      </c>
      <c r="D25" s="2944"/>
      <c r="E25" s="2944"/>
      <c r="F25" s="2944"/>
      <c r="G25" s="2944"/>
      <c r="H25" s="2944"/>
      <c r="I25" s="2944"/>
      <c r="J25" s="2944"/>
      <c r="K25" s="2944"/>
      <c r="L25" s="2944"/>
      <c r="M25" s="2944"/>
      <c r="N25" s="2944"/>
      <c r="O25" s="2944"/>
      <c r="P25" s="2944"/>
      <c r="Q25" s="2944"/>
      <c r="R25" s="2944"/>
      <c r="S25" s="2944"/>
      <c r="T25" s="2944"/>
      <c r="U25" s="2944"/>
      <c r="V25" s="2944" t="s">
        <v>6704</v>
      </c>
      <c r="W25" s="2944"/>
      <c r="X25" s="2944"/>
      <c r="Y25" s="2944"/>
      <c r="Z25" s="2944"/>
      <c r="AA25" s="2944"/>
      <c r="AB25" s="2944"/>
      <c r="AC25" s="2944"/>
      <c r="AD25" s="2944"/>
      <c r="AE25" s="2944"/>
      <c r="AF25" s="2944"/>
      <c r="AG25" s="2944" t="s">
        <v>6696</v>
      </c>
      <c r="AH25" s="2944"/>
      <c r="AI25" s="2944"/>
      <c r="AJ25" s="2944"/>
      <c r="AK25" s="2944"/>
      <c r="AL25" s="2944"/>
      <c r="AM25" s="2944"/>
      <c r="AN25" s="2944"/>
      <c r="AO25" s="2944"/>
      <c r="AP25" s="2944"/>
      <c r="AQ25" s="2950"/>
      <c r="AR25" s="688"/>
      <c r="BN25" s="2948"/>
      <c r="BO25" s="2948"/>
      <c r="BP25" s="2948"/>
      <c r="BQ25" s="2948"/>
      <c r="BR25" s="2948"/>
      <c r="BS25" s="2948"/>
      <c r="BT25" s="2948"/>
      <c r="BU25" s="2948"/>
      <c r="BV25" s="2948"/>
      <c r="BW25" s="2948"/>
      <c r="BX25" s="2949"/>
      <c r="BY25" s="2948"/>
      <c r="BZ25" s="2948"/>
      <c r="CA25" s="2948"/>
      <c r="CB25" s="2948"/>
      <c r="CC25" s="2948"/>
      <c r="CD25" s="2948"/>
      <c r="CE25" s="2948"/>
      <c r="CF25" s="2948"/>
      <c r="CG25" s="2948"/>
      <c r="CH25" s="2948"/>
      <c r="CI25" s="2948"/>
      <c r="CJ25" s="2950"/>
      <c r="CK25" s="688"/>
      <c r="CL25" s="688"/>
      <c r="CM25" s="688"/>
      <c r="CN25" s="688"/>
      <c r="CO25" s="688"/>
      <c r="CP25" s="688"/>
      <c r="CQ25" s="688"/>
      <c r="CR25" s="688"/>
      <c r="CS25" s="688"/>
      <c r="CT25" s="688"/>
      <c r="CU25" s="688"/>
      <c r="CV25" s="688"/>
      <c r="CW25" s="688"/>
      <c r="CX25" s="688"/>
      <c r="CY25" s="688"/>
      <c r="CZ25" s="688"/>
      <c r="DA25" s="688"/>
      <c r="DB25" s="688"/>
      <c r="DC25" s="688"/>
      <c r="DD25" s="688"/>
      <c r="DE25" s="2950"/>
      <c r="DF25" s="688"/>
      <c r="DG25" s="688"/>
      <c r="DH25" s="688"/>
      <c r="DI25" s="688"/>
      <c r="DJ25" s="688"/>
      <c r="DK25" s="688"/>
      <c r="DL25" s="688"/>
      <c r="DM25" s="688"/>
      <c r="DN25" s="688"/>
      <c r="DO25" s="688"/>
      <c r="DP25" s="688"/>
      <c r="DQ25" s="688"/>
      <c r="DR25" s="688"/>
      <c r="DS25" s="688"/>
      <c r="DT25" s="688"/>
      <c r="DU25" s="688"/>
      <c r="DV25" s="688"/>
      <c r="DW25" s="688"/>
      <c r="DX25" s="688"/>
      <c r="DY25" s="688"/>
    </row>
    <row r="26" s="799" customFormat="1" ht="14.25" customHeight="1" spans="1:129">
      <c r="A26" s="2945">
        <f>UnosPorBilans!B166</f>
        <v>0</v>
      </c>
      <c r="B26" s="2945"/>
      <c r="C26" s="2945"/>
      <c r="D26" s="2945"/>
      <c r="E26" s="2945"/>
      <c r="F26" s="2945"/>
      <c r="G26" s="2945"/>
      <c r="H26" s="2945"/>
      <c r="I26" s="2945"/>
      <c r="J26" s="2945"/>
      <c r="K26" s="2945"/>
      <c r="L26" s="2945"/>
      <c r="M26" s="2945"/>
      <c r="N26" s="2945"/>
      <c r="O26" s="2945"/>
      <c r="P26" s="2945"/>
      <c r="Q26" s="2945"/>
      <c r="R26" s="2945"/>
      <c r="S26" s="2945"/>
      <c r="T26" s="2945"/>
      <c r="U26" s="2945"/>
      <c r="V26" s="2945">
        <f>UnosPorBilans!I166</f>
        <v>0</v>
      </c>
      <c r="W26" s="2945"/>
      <c r="X26" s="2945"/>
      <c r="Y26" s="2945"/>
      <c r="Z26" s="2945"/>
      <c r="AA26" s="2945"/>
      <c r="AB26" s="2945"/>
      <c r="AC26" s="2945"/>
      <c r="AD26" s="2945"/>
      <c r="AE26" s="2945"/>
      <c r="AF26" s="2945"/>
      <c r="AG26" s="2945">
        <f>UnosPorBilans!N166</f>
        <v>0</v>
      </c>
      <c r="AH26" s="2945"/>
      <c r="AI26" s="2945"/>
      <c r="AJ26" s="2945"/>
      <c r="AK26" s="2945"/>
      <c r="AL26" s="2945"/>
      <c r="AM26" s="2945"/>
      <c r="AN26" s="2945"/>
      <c r="AO26" s="2945"/>
      <c r="AP26" s="2945"/>
      <c r="AQ26" s="2950"/>
      <c r="AR26" s="688"/>
      <c r="BN26" s="2948"/>
      <c r="BO26" s="2948"/>
      <c r="BP26" s="2948"/>
      <c r="BQ26" s="2948"/>
      <c r="BR26" s="2948"/>
      <c r="BS26" s="2948"/>
      <c r="BT26" s="2948"/>
      <c r="BU26" s="2948"/>
      <c r="BV26" s="2948"/>
      <c r="BW26" s="2948"/>
      <c r="BX26" s="2949"/>
      <c r="BY26" s="2948"/>
      <c r="BZ26" s="2948"/>
      <c r="CA26" s="2948"/>
      <c r="CB26" s="2948"/>
      <c r="CC26" s="2948"/>
      <c r="CD26" s="2948"/>
      <c r="CE26" s="2948"/>
      <c r="CF26" s="2948"/>
      <c r="CG26" s="2948"/>
      <c r="CH26" s="2948"/>
      <c r="CI26" s="2948"/>
      <c r="CJ26" s="2950"/>
      <c r="CK26" s="688"/>
      <c r="CL26" s="688"/>
      <c r="CM26" s="688"/>
      <c r="CN26" s="688"/>
      <c r="CO26" s="688"/>
      <c r="CP26" s="688"/>
      <c r="CQ26" s="688"/>
      <c r="CR26" s="688"/>
      <c r="CS26" s="688"/>
      <c r="CT26" s="688"/>
      <c r="CU26" s="688"/>
      <c r="CV26" s="688"/>
      <c r="CW26" s="688"/>
      <c r="CX26" s="688"/>
      <c r="CY26" s="688"/>
      <c r="CZ26" s="688"/>
      <c r="DA26" s="688"/>
      <c r="DB26" s="688"/>
      <c r="DC26" s="688"/>
      <c r="DD26" s="688"/>
      <c r="DE26" s="2950"/>
      <c r="DF26" s="688"/>
      <c r="DG26" s="688"/>
      <c r="DH26" s="688"/>
      <c r="DI26" s="688"/>
      <c r="DJ26" s="688"/>
      <c r="DK26" s="688"/>
      <c r="DL26" s="688"/>
      <c r="DM26" s="688"/>
      <c r="DN26" s="688"/>
      <c r="DO26" s="688"/>
      <c r="DP26" s="688"/>
      <c r="DQ26" s="688"/>
      <c r="DR26" s="688"/>
      <c r="DS26" s="688"/>
      <c r="DT26" s="688"/>
      <c r="DU26" s="688"/>
      <c r="DV26" s="688"/>
      <c r="DW26" s="688"/>
      <c r="DX26" s="688"/>
      <c r="DY26" s="688"/>
    </row>
    <row r="27" s="799" customFormat="1" ht="14.25" customHeight="1" spans="1:129">
      <c r="A27" s="2944" t="s">
        <v>6705</v>
      </c>
      <c r="B27" s="2944"/>
      <c r="C27" s="2944"/>
      <c r="D27" s="2944"/>
      <c r="E27" s="2944"/>
      <c r="F27" s="2944"/>
      <c r="G27" s="2944"/>
      <c r="H27" s="2944"/>
      <c r="I27" s="2944"/>
      <c r="J27" s="2944"/>
      <c r="K27" s="2944" t="s">
        <v>6698</v>
      </c>
      <c r="L27" s="2944"/>
      <c r="M27" s="2944"/>
      <c r="N27" s="2944"/>
      <c r="O27" s="2944"/>
      <c r="P27" s="2944"/>
      <c r="Q27" s="2944"/>
      <c r="R27" s="2944"/>
      <c r="S27" s="2944"/>
      <c r="T27" s="2944"/>
      <c r="U27" s="2944"/>
      <c r="V27" s="2944" t="s">
        <v>6706</v>
      </c>
      <c r="W27" s="2944"/>
      <c r="X27" s="2944"/>
      <c r="Y27" s="2944"/>
      <c r="Z27" s="2944"/>
      <c r="AA27" s="2944"/>
      <c r="AB27" s="2944"/>
      <c r="AC27" s="2944"/>
      <c r="AD27" s="2944"/>
      <c r="AE27" s="2944"/>
      <c r="AF27" s="2944"/>
      <c r="AG27" s="2944" t="s">
        <v>6707</v>
      </c>
      <c r="AH27" s="2944"/>
      <c r="AI27" s="2944"/>
      <c r="AJ27" s="2944"/>
      <c r="AK27" s="2944"/>
      <c r="AL27" s="2944"/>
      <c r="AM27" s="2944"/>
      <c r="AN27" s="2944"/>
      <c r="AO27" s="2944"/>
      <c r="AP27" s="2944"/>
      <c r="AQ27" s="2950"/>
      <c r="AR27" s="688"/>
      <c r="BN27" s="2948"/>
      <c r="BO27" s="2948"/>
      <c r="BP27" s="2948"/>
      <c r="BQ27" s="2948"/>
      <c r="BR27" s="2948"/>
      <c r="BS27" s="2948"/>
      <c r="BT27" s="2948"/>
      <c r="BU27" s="2948"/>
      <c r="BV27" s="2948"/>
      <c r="BW27" s="2948"/>
      <c r="BX27" s="2949"/>
      <c r="BY27" s="2948"/>
      <c r="BZ27" s="2948"/>
      <c r="CA27" s="2948"/>
      <c r="CB27" s="2948"/>
      <c r="CC27" s="2948"/>
      <c r="CD27" s="2948"/>
      <c r="CE27" s="2948"/>
      <c r="CF27" s="2948"/>
      <c r="CG27" s="2948"/>
      <c r="CH27" s="2948"/>
      <c r="CI27" s="2948"/>
      <c r="CJ27" s="2950"/>
      <c r="CK27" s="688"/>
      <c r="CL27" s="688"/>
      <c r="CM27" s="688"/>
      <c r="CN27" s="688"/>
      <c r="CO27" s="688"/>
      <c r="CP27" s="688"/>
      <c r="CQ27" s="688"/>
      <c r="CR27" s="688"/>
      <c r="CS27" s="688"/>
      <c r="CT27" s="688"/>
      <c r="CU27" s="688"/>
      <c r="CV27" s="688"/>
      <c r="CW27" s="688"/>
      <c r="CX27" s="688"/>
      <c r="CY27" s="688"/>
      <c r="CZ27" s="688"/>
      <c r="DA27" s="688"/>
      <c r="DB27" s="688"/>
      <c r="DC27" s="688"/>
      <c r="DD27" s="688"/>
      <c r="DE27" s="2950"/>
      <c r="DF27" s="688"/>
      <c r="DG27" s="688"/>
      <c r="DH27" s="688"/>
      <c r="DI27" s="688"/>
      <c r="DJ27" s="688"/>
      <c r="DK27" s="688"/>
      <c r="DL27" s="688"/>
      <c r="DM27" s="688"/>
      <c r="DN27" s="688"/>
      <c r="DO27" s="688"/>
      <c r="DP27" s="688"/>
      <c r="DQ27" s="688"/>
      <c r="DR27" s="688"/>
      <c r="DS27" s="688"/>
      <c r="DT27" s="688"/>
      <c r="DU27" s="688"/>
      <c r="DV27" s="688"/>
      <c r="DW27" s="688"/>
      <c r="DX27" s="688"/>
      <c r="DY27" s="688"/>
    </row>
    <row r="28" s="799" customFormat="1" ht="14.25" customHeight="1" spans="1:129">
      <c r="A28" s="2946">
        <f>UnosPorBilans!S166</f>
        <v>0</v>
      </c>
      <c r="B28" s="2946"/>
      <c r="C28" s="2946"/>
      <c r="D28" s="2946"/>
      <c r="E28" s="2946"/>
      <c r="F28" s="2946"/>
      <c r="G28" s="2946"/>
      <c r="H28" s="2946"/>
      <c r="I28" s="2946"/>
      <c r="J28" s="2946"/>
      <c r="K28" s="2946">
        <f>UnosPorBilans!W166</f>
        <v>0</v>
      </c>
      <c r="L28" s="2946"/>
      <c r="M28" s="2946"/>
      <c r="N28" s="2946"/>
      <c r="O28" s="2946"/>
      <c r="P28" s="2946"/>
      <c r="Q28" s="2946"/>
      <c r="R28" s="2946"/>
      <c r="S28" s="2946"/>
      <c r="T28" s="2946"/>
      <c r="U28" s="2946"/>
      <c r="V28" s="2946">
        <f>UnosPorBilans!AB166</f>
        <v>0</v>
      </c>
      <c r="W28" s="2946"/>
      <c r="X28" s="2946"/>
      <c r="Y28" s="2946"/>
      <c r="Z28" s="2946"/>
      <c r="AA28" s="2946"/>
      <c r="AB28" s="2946"/>
      <c r="AC28" s="2946"/>
      <c r="AD28" s="2946"/>
      <c r="AE28" s="2946"/>
      <c r="AF28" s="2946"/>
      <c r="AG28" s="2946">
        <f>UnosPorBilans!AG166</f>
        <v>0</v>
      </c>
      <c r="AH28" s="2946"/>
      <c r="AI28" s="2946"/>
      <c r="AJ28" s="2946"/>
      <c r="AK28" s="2946"/>
      <c r="AL28" s="2946"/>
      <c r="AM28" s="2946"/>
      <c r="AN28" s="2946"/>
      <c r="AO28" s="2946"/>
      <c r="AP28" s="2946"/>
      <c r="CJ28" s="2950"/>
      <c r="CK28" s="688"/>
      <c r="CL28" s="688"/>
      <c r="CM28" s="688"/>
      <c r="CN28" s="688"/>
      <c r="CO28" s="688"/>
      <c r="CP28" s="688"/>
      <c r="CQ28" s="688"/>
      <c r="CR28" s="688"/>
      <c r="CS28" s="688"/>
      <c r="CT28" s="688"/>
      <c r="CU28" s="688"/>
      <c r="CV28" s="688"/>
      <c r="CW28" s="688"/>
      <c r="CX28" s="688"/>
      <c r="CY28" s="688"/>
      <c r="CZ28" s="688"/>
      <c r="DA28" s="688"/>
      <c r="DB28" s="688"/>
      <c r="DC28" s="688"/>
      <c r="DD28" s="688"/>
      <c r="DE28" s="2950"/>
      <c r="DF28" s="688"/>
      <c r="DG28" s="688"/>
      <c r="DH28" s="688"/>
      <c r="DI28" s="688"/>
      <c r="DJ28" s="688"/>
      <c r="DK28" s="688"/>
      <c r="DL28" s="688"/>
      <c r="DM28" s="688"/>
      <c r="DN28" s="688"/>
      <c r="DO28" s="688"/>
      <c r="DP28" s="688"/>
      <c r="DQ28" s="688"/>
      <c r="DR28" s="688"/>
      <c r="DS28" s="688"/>
      <c r="DT28" s="688"/>
      <c r="DU28" s="688"/>
      <c r="DV28" s="688"/>
      <c r="DW28" s="688"/>
      <c r="DX28" s="688"/>
      <c r="DY28" s="688"/>
    </row>
    <row r="29" s="799" customFormat="1" ht="14.25" customHeight="1" spans="1:129">
      <c r="A29" s="2947" t="s">
        <v>6708</v>
      </c>
      <c r="B29" s="2947"/>
      <c r="C29" s="2947"/>
      <c r="D29" s="2947"/>
      <c r="E29" s="2947"/>
      <c r="F29" s="2947"/>
      <c r="G29" s="2947"/>
      <c r="H29" s="2947"/>
      <c r="I29" s="2947"/>
      <c r="J29" s="2947"/>
      <c r="K29" s="2947"/>
      <c r="L29" s="2947"/>
      <c r="M29" s="2947"/>
      <c r="N29" s="2947"/>
      <c r="O29" s="2947"/>
      <c r="P29" s="2947"/>
      <c r="Q29" s="2947"/>
      <c r="R29" s="2947"/>
      <c r="S29" s="2947"/>
      <c r="T29" s="2947"/>
      <c r="U29" s="2947"/>
      <c r="V29" s="2947" t="s">
        <v>6709</v>
      </c>
      <c r="W29" s="2947"/>
      <c r="X29" s="2947"/>
      <c r="Y29" s="2947"/>
      <c r="Z29" s="2947"/>
      <c r="AA29" s="2947"/>
      <c r="AB29" s="2947"/>
      <c r="AC29" s="2947"/>
      <c r="AD29" s="2947"/>
      <c r="AE29" s="2947"/>
      <c r="AF29" s="2947"/>
      <c r="AG29" s="2947"/>
      <c r="AH29" s="2947"/>
      <c r="AI29" s="2947"/>
      <c r="AJ29" s="2947"/>
      <c r="AK29" s="2947"/>
      <c r="AL29" s="2947"/>
      <c r="AM29" s="2947"/>
      <c r="AN29" s="2947"/>
      <c r="AO29" s="2947"/>
      <c r="AP29" s="2947"/>
      <c r="AQ29" s="2950"/>
      <c r="AR29" s="688"/>
      <c r="BN29" s="2948"/>
      <c r="BO29" s="2948"/>
      <c r="BP29" s="2948"/>
      <c r="BQ29" s="2948"/>
      <c r="BR29" s="2948"/>
      <c r="BS29" s="2948"/>
      <c r="BT29" s="2948"/>
      <c r="BU29" s="2948"/>
      <c r="BV29" s="2948"/>
      <c r="BW29" s="2948"/>
      <c r="BX29" s="2949"/>
      <c r="BY29" s="2948"/>
      <c r="BZ29" s="2948"/>
      <c r="CA29" s="2948"/>
      <c r="CB29" s="2948"/>
      <c r="CC29" s="2948"/>
      <c r="CD29" s="2948"/>
      <c r="CE29" s="2948"/>
      <c r="CF29" s="2948"/>
      <c r="CG29" s="2948"/>
      <c r="CH29" s="2948"/>
      <c r="CI29" s="2948"/>
      <c r="CJ29" s="2950"/>
      <c r="CK29" s="688"/>
      <c r="CL29" s="688"/>
      <c r="CM29" s="688"/>
      <c r="CN29" s="688"/>
      <c r="CO29" s="688"/>
      <c r="CP29" s="688"/>
      <c r="CQ29" s="688"/>
      <c r="CR29" s="688"/>
      <c r="CS29" s="688"/>
      <c r="CT29" s="688"/>
      <c r="CU29" s="688"/>
      <c r="CV29" s="688"/>
      <c r="CW29" s="688"/>
      <c r="CX29" s="688"/>
      <c r="CY29" s="688"/>
      <c r="CZ29" s="688"/>
      <c r="DA29" s="688"/>
      <c r="DB29" s="688"/>
      <c r="DC29" s="688"/>
      <c r="DD29" s="688"/>
      <c r="DE29" s="2950"/>
      <c r="DF29" s="688"/>
      <c r="DG29" s="688"/>
      <c r="DH29" s="688"/>
      <c r="DI29" s="688"/>
      <c r="DJ29" s="688"/>
      <c r="DK29" s="688"/>
      <c r="DL29" s="688"/>
      <c r="DM29" s="688"/>
      <c r="DN29" s="688"/>
      <c r="DO29" s="688"/>
      <c r="DP29" s="688"/>
      <c r="DQ29" s="688"/>
      <c r="DR29" s="688"/>
      <c r="DS29" s="688"/>
      <c r="DT29" s="688"/>
      <c r="DU29" s="688"/>
      <c r="DV29" s="688"/>
      <c r="DW29" s="688"/>
      <c r="DX29" s="688"/>
      <c r="DY29" s="688"/>
    </row>
    <row r="30" s="799" customFormat="1" ht="14.25" customHeight="1" spans="1:129">
      <c r="A30" s="2946">
        <f>UnosPorBilans!AL166</f>
        <v>0</v>
      </c>
      <c r="B30" s="2946"/>
      <c r="C30" s="2946"/>
      <c r="D30" s="2946"/>
      <c r="E30" s="2946"/>
      <c r="F30" s="2946"/>
      <c r="G30" s="2946"/>
      <c r="H30" s="2946"/>
      <c r="I30" s="2946"/>
      <c r="J30" s="2946"/>
      <c r="K30" s="2946"/>
      <c r="L30" s="2946"/>
      <c r="M30" s="2946"/>
      <c r="N30" s="2946"/>
      <c r="O30" s="2946"/>
      <c r="P30" s="2946"/>
      <c r="Q30" s="2946"/>
      <c r="R30" s="2946"/>
      <c r="S30" s="2946"/>
      <c r="T30" s="2946"/>
      <c r="U30" s="2946"/>
      <c r="V30" s="2946">
        <f>UnosPorBilans!AS166</f>
        <v>0</v>
      </c>
      <c r="W30" s="2946"/>
      <c r="X30" s="2946"/>
      <c r="Y30" s="2946"/>
      <c r="Z30" s="2946"/>
      <c r="AA30" s="2946"/>
      <c r="AB30" s="2946"/>
      <c r="AC30" s="2946"/>
      <c r="AD30" s="2946"/>
      <c r="AE30" s="2946"/>
      <c r="AF30" s="2946"/>
      <c r="AG30" s="2946"/>
      <c r="AH30" s="2946"/>
      <c r="AI30" s="2946"/>
      <c r="AJ30" s="2946"/>
      <c r="AK30" s="2946"/>
      <c r="AL30" s="2946"/>
      <c r="AM30" s="2946"/>
      <c r="AN30" s="2946"/>
      <c r="AO30" s="2946"/>
      <c r="AP30" s="2946"/>
      <c r="AQ30" s="2950"/>
      <c r="AR30" s="688"/>
      <c r="BN30" s="2948"/>
      <c r="BO30" s="2948"/>
      <c r="BP30" s="2948"/>
      <c r="BQ30" s="2948"/>
      <c r="BR30" s="2948"/>
      <c r="BS30" s="2948"/>
      <c r="BT30" s="2948"/>
      <c r="BU30" s="2948"/>
      <c r="BV30" s="2948"/>
      <c r="BW30" s="2948"/>
      <c r="BX30" s="2949"/>
      <c r="BY30" s="2948"/>
      <c r="BZ30" s="2948"/>
      <c r="CA30" s="2948"/>
      <c r="CB30" s="2948"/>
      <c r="CC30" s="2948"/>
      <c r="CD30" s="2948"/>
      <c r="CE30" s="2948"/>
      <c r="CF30" s="2948"/>
      <c r="CG30" s="2948"/>
      <c r="CH30" s="2948"/>
      <c r="CI30" s="2948"/>
      <c r="CJ30" s="2950"/>
      <c r="CK30" s="688"/>
      <c r="CL30" s="688"/>
      <c r="CM30" s="688"/>
      <c r="CN30" s="688"/>
      <c r="CO30" s="688"/>
      <c r="CP30" s="688"/>
      <c r="CQ30" s="688"/>
      <c r="CR30" s="688"/>
      <c r="CS30" s="688"/>
      <c r="CT30" s="688"/>
      <c r="CU30" s="688"/>
      <c r="CV30" s="688"/>
      <c r="CW30" s="688"/>
      <c r="CX30" s="688"/>
      <c r="CY30" s="688"/>
      <c r="CZ30" s="688"/>
      <c r="DA30" s="688"/>
      <c r="DB30" s="688"/>
      <c r="DC30" s="688"/>
      <c r="DD30" s="688"/>
      <c r="DE30" s="2950"/>
      <c r="DF30" s="688"/>
      <c r="DG30" s="688"/>
      <c r="DH30" s="688"/>
      <c r="DI30" s="688"/>
      <c r="DJ30" s="688"/>
      <c r="DK30" s="688"/>
      <c r="DL30" s="688"/>
      <c r="DM30" s="688"/>
      <c r="DN30" s="688"/>
      <c r="DO30" s="688"/>
      <c r="DP30" s="688"/>
      <c r="DQ30" s="688"/>
      <c r="DR30" s="688"/>
      <c r="DS30" s="688"/>
      <c r="DT30" s="688"/>
      <c r="DU30" s="688"/>
      <c r="DV30" s="688"/>
      <c r="DW30" s="688"/>
      <c r="DX30" s="688"/>
      <c r="DY30" s="688"/>
    </row>
    <row r="31" s="799" customFormat="1" ht="9" customHeight="1" spans="1:129">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BN31" s="2948"/>
      <c r="BO31" s="2948"/>
      <c r="BP31" s="2948"/>
      <c r="BQ31" s="2948"/>
      <c r="BR31" s="2948"/>
      <c r="BS31" s="2948"/>
      <c r="BT31" s="2948"/>
      <c r="BU31" s="2948"/>
      <c r="BV31" s="2948"/>
      <c r="BW31" s="2948"/>
      <c r="BX31" s="2949"/>
      <c r="BY31" s="2948"/>
      <c r="BZ31" s="2948"/>
      <c r="CA31" s="2948"/>
      <c r="CB31" s="2948"/>
      <c r="CC31" s="2948"/>
      <c r="CD31" s="2948"/>
      <c r="CE31" s="2948"/>
      <c r="CF31" s="2948"/>
      <c r="CG31" s="2948"/>
      <c r="CH31" s="2948"/>
      <c r="CI31" s="2948"/>
      <c r="CJ31" s="2950"/>
      <c r="CK31" s="688"/>
      <c r="CL31" s="688"/>
      <c r="CM31" s="688"/>
      <c r="CN31" s="688"/>
      <c r="CO31" s="688"/>
      <c r="CP31" s="688"/>
      <c r="CQ31" s="688"/>
      <c r="CR31" s="688"/>
      <c r="CS31" s="688"/>
      <c r="CT31" s="688"/>
      <c r="CU31" s="688"/>
      <c r="CV31" s="688"/>
      <c r="CW31" s="688"/>
      <c r="CX31" s="688"/>
      <c r="CY31" s="688"/>
      <c r="CZ31" s="688"/>
      <c r="DA31" s="688"/>
      <c r="DB31" s="688"/>
      <c r="DC31" s="688"/>
      <c r="DD31" s="688"/>
      <c r="DE31" s="2950"/>
      <c r="DF31" s="688"/>
      <c r="DG31" s="688"/>
      <c r="DH31" s="688"/>
      <c r="DI31" s="688"/>
      <c r="DJ31" s="688"/>
      <c r="DK31" s="688"/>
      <c r="DL31" s="688"/>
      <c r="DM31" s="688"/>
      <c r="DN31" s="688"/>
      <c r="DO31" s="688"/>
      <c r="DP31" s="688"/>
      <c r="DQ31" s="688"/>
      <c r="DR31" s="688"/>
      <c r="DS31" s="688"/>
      <c r="DT31" s="688"/>
      <c r="DU31" s="688"/>
      <c r="DV31" s="688"/>
      <c r="DW31" s="688"/>
      <c r="DX31" s="688"/>
      <c r="DY31" s="688"/>
    </row>
    <row r="32" s="799" customFormat="1" ht="15" customHeight="1" spans="1:129">
      <c r="A32" s="2944" t="s">
        <v>3898</v>
      </c>
      <c r="B32" s="2944"/>
      <c r="C32" s="2944" t="s">
        <v>6710</v>
      </c>
      <c r="D32" s="2944"/>
      <c r="E32" s="2944"/>
      <c r="F32" s="2944"/>
      <c r="G32" s="2944"/>
      <c r="H32" s="2944"/>
      <c r="I32" s="2944"/>
      <c r="J32" s="2944"/>
      <c r="K32" s="2944"/>
      <c r="L32" s="2944"/>
      <c r="M32" s="2944"/>
      <c r="N32" s="2944"/>
      <c r="O32" s="2944"/>
      <c r="P32" s="2944"/>
      <c r="Q32" s="2944"/>
      <c r="R32" s="2944"/>
      <c r="S32" s="2944"/>
      <c r="T32" s="2944"/>
      <c r="U32" s="2944"/>
      <c r="V32" s="2944" t="s">
        <v>6711</v>
      </c>
      <c r="W32" s="2944"/>
      <c r="X32" s="2944"/>
      <c r="Y32" s="2944"/>
      <c r="Z32" s="2944"/>
      <c r="AA32" s="2944"/>
      <c r="AB32" s="2944"/>
      <c r="AC32" s="2944"/>
      <c r="AD32" s="2944"/>
      <c r="AE32" s="2944"/>
      <c r="AF32" s="2944"/>
      <c r="AG32" s="2944" t="s">
        <v>6712</v>
      </c>
      <c r="AH32" s="2944"/>
      <c r="AI32" s="2944"/>
      <c r="AJ32" s="2944"/>
      <c r="AK32" s="2944"/>
      <c r="AL32" s="2944"/>
      <c r="AM32" s="2944"/>
      <c r="AN32" s="2944"/>
      <c r="AO32" s="2944"/>
      <c r="AP32" s="2944"/>
      <c r="AQ32" s="2950"/>
      <c r="AR32" s="688"/>
      <c r="BN32" s="2948"/>
      <c r="BO32" s="2948"/>
      <c r="BP32" s="2948"/>
      <c r="BQ32" s="2948"/>
      <c r="BR32" s="2948"/>
      <c r="BS32" s="2948"/>
      <c r="BT32" s="2948"/>
      <c r="BU32" s="2948"/>
      <c r="BV32" s="2948"/>
      <c r="BW32" s="2948"/>
      <c r="BX32" s="2949"/>
      <c r="BY32" s="2948"/>
      <c r="BZ32" s="2948"/>
      <c r="CA32" s="2948"/>
      <c r="CB32" s="2948"/>
      <c r="CC32" s="2948"/>
      <c r="CD32" s="2948"/>
      <c r="CE32" s="2948"/>
      <c r="CF32" s="2948"/>
      <c r="CG32" s="2948"/>
      <c r="CH32" s="2948"/>
      <c r="CI32" s="2948"/>
      <c r="CJ32" s="2950"/>
      <c r="CK32" s="688"/>
      <c r="CL32" s="688"/>
      <c r="CM32" s="688"/>
      <c r="CN32" s="688"/>
      <c r="CO32" s="688"/>
      <c r="CP32" s="688"/>
      <c r="CQ32" s="688"/>
      <c r="CR32" s="688"/>
      <c r="CS32" s="688"/>
      <c r="CT32" s="688"/>
      <c r="CU32" s="688"/>
      <c r="CV32" s="688"/>
      <c r="CW32" s="688"/>
      <c r="CX32" s="688"/>
      <c r="CY32" s="688"/>
      <c r="CZ32" s="688"/>
      <c r="DA32" s="688"/>
      <c r="DB32" s="688"/>
      <c r="DC32" s="688"/>
      <c r="DD32" s="688"/>
      <c r="DE32" s="2950"/>
      <c r="DF32" s="688"/>
      <c r="DG32" s="688"/>
      <c r="DH32" s="688"/>
      <c r="DI32" s="688"/>
      <c r="DJ32" s="688"/>
      <c r="DK32" s="688"/>
      <c r="DL32" s="688"/>
      <c r="DM32" s="688"/>
      <c r="DN32" s="688"/>
      <c r="DO32" s="688"/>
      <c r="DP32" s="688"/>
      <c r="DQ32" s="688"/>
      <c r="DR32" s="688"/>
      <c r="DS32" s="688"/>
      <c r="DT32" s="688"/>
      <c r="DU32" s="688"/>
      <c r="DV32" s="688"/>
      <c r="DW32" s="688"/>
      <c r="DX32" s="688"/>
      <c r="DY32" s="688"/>
    </row>
    <row r="33" s="799" customFormat="1" ht="15" customHeight="1" spans="1:129">
      <c r="A33" s="2945">
        <f>UnosPorBilans!B167</f>
        <v>0</v>
      </c>
      <c r="B33" s="2945"/>
      <c r="C33" s="2945"/>
      <c r="D33" s="2945"/>
      <c r="E33" s="2945"/>
      <c r="F33" s="2945"/>
      <c r="G33" s="2945"/>
      <c r="H33" s="2945"/>
      <c r="I33" s="2945"/>
      <c r="J33" s="2945"/>
      <c r="K33" s="2945"/>
      <c r="L33" s="2945"/>
      <c r="M33" s="2945"/>
      <c r="N33" s="2945"/>
      <c r="O33" s="2945"/>
      <c r="P33" s="2945"/>
      <c r="Q33" s="2945"/>
      <c r="R33" s="2945"/>
      <c r="S33" s="2945"/>
      <c r="T33" s="2945"/>
      <c r="U33" s="2945"/>
      <c r="V33" s="2945">
        <f>UnosPorBilans!I167</f>
        <v>0</v>
      </c>
      <c r="W33" s="2945"/>
      <c r="X33" s="2945"/>
      <c r="Y33" s="2945"/>
      <c r="Z33" s="2945"/>
      <c r="AA33" s="2945"/>
      <c r="AB33" s="2945"/>
      <c r="AC33" s="2945"/>
      <c r="AD33" s="2945"/>
      <c r="AE33" s="2945"/>
      <c r="AF33" s="2945"/>
      <c r="AG33" s="2945">
        <f>UnosPorBilans!N167</f>
        <v>0</v>
      </c>
      <c r="AH33" s="2945"/>
      <c r="AI33" s="2945"/>
      <c r="AJ33" s="2945"/>
      <c r="AK33" s="2945"/>
      <c r="AL33" s="2945"/>
      <c r="AM33" s="2945"/>
      <c r="AN33" s="2945"/>
      <c r="AO33" s="2945"/>
      <c r="AP33" s="2945"/>
      <c r="AQ33" s="2950"/>
      <c r="AR33" s="688"/>
      <c r="BN33" s="2948"/>
      <c r="BO33" s="2948"/>
      <c r="BP33" s="2948"/>
      <c r="BQ33" s="2948"/>
      <c r="BR33" s="2948"/>
      <c r="BS33" s="2948"/>
      <c r="BT33" s="2948"/>
      <c r="BU33" s="2948"/>
      <c r="BV33" s="2948"/>
      <c r="BW33" s="2948"/>
      <c r="BX33" s="2949"/>
      <c r="BY33" s="2948"/>
      <c r="BZ33" s="2948"/>
      <c r="CA33" s="2948"/>
      <c r="CB33" s="2948"/>
      <c r="CC33" s="2948"/>
      <c r="CD33" s="2948"/>
      <c r="CE33" s="2948"/>
      <c r="CF33" s="2948"/>
      <c r="CG33" s="2948"/>
      <c r="CH33" s="2948"/>
      <c r="CI33" s="2948"/>
      <c r="CJ33" s="2950"/>
      <c r="CK33" s="688"/>
      <c r="CL33" s="688"/>
      <c r="CM33" s="688"/>
      <c r="CN33" s="688"/>
      <c r="CO33" s="688"/>
      <c r="CP33" s="688"/>
      <c r="CQ33" s="688"/>
      <c r="CR33" s="688"/>
      <c r="CS33" s="688"/>
      <c r="CT33" s="688"/>
      <c r="CU33" s="688"/>
      <c r="CV33" s="688"/>
      <c r="CW33" s="688"/>
      <c r="CX33" s="688"/>
      <c r="CY33" s="688"/>
      <c r="CZ33" s="688"/>
      <c r="DA33" s="688"/>
      <c r="DB33" s="688"/>
      <c r="DC33" s="688"/>
      <c r="DD33" s="688"/>
      <c r="DE33" s="2950"/>
      <c r="DF33" s="688"/>
      <c r="DG33" s="688"/>
      <c r="DH33" s="688"/>
      <c r="DI33" s="688"/>
      <c r="DJ33" s="688"/>
      <c r="DK33" s="688"/>
      <c r="DL33" s="688"/>
      <c r="DM33" s="688"/>
      <c r="DN33" s="688"/>
      <c r="DO33" s="688"/>
      <c r="DP33" s="688"/>
      <c r="DQ33" s="688"/>
      <c r="DR33" s="688"/>
      <c r="DS33" s="688"/>
      <c r="DT33" s="688"/>
      <c r="DU33" s="688"/>
      <c r="DV33" s="688"/>
      <c r="DW33" s="688"/>
      <c r="DX33" s="688"/>
      <c r="DY33" s="688"/>
    </row>
    <row r="34" s="799" customFormat="1" ht="15" customHeight="1" spans="1:129">
      <c r="A34" s="2944" t="s">
        <v>6713</v>
      </c>
      <c r="B34" s="2944"/>
      <c r="C34" s="2944"/>
      <c r="D34" s="2944"/>
      <c r="E34" s="2944"/>
      <c r="F34" s="2944"/>
      <c r="G34" s="2944"/>
      <c r="H34" s="2944"/>
      <c r="I34" s="2944"/>
      <c r="J34" s="2944"/>
      <c r="K34" s="2944" t="s">
        <v>6714</v>
      </c>
      <c r="L34" s="2944"/>
      <c r="M34" s="2944"/>
      <c r="N34" s="2944"/>
      <c r="O34" s="2944"/>
      <c r="P34" s="2944"/>
      <c r="Q34" s="2944"/>
      <c r="R34" s="2944"/>
      <c r="S34" s="2944"/>
      <c r="T34" s="2944"/>
      <c r="U34" s="2944"/>
      <c r="V34" s="2944" t="s">
        <v>6715</v>
      </c>
      <c r="W34" s="2944"/>
      <c r="X34" s="2944"/>
      <c r="Y34" s="2944"/>
      <c r="Z34" s="2944"/>
      <c r="AA34" s="2944"/>
      <c r="AB34" s="2944"/>
      <c r="AC34" s="2944"/>
      <c r="AD34" s="2944"/>
      <c r="AE34" s="2944"/>
      <c r="AF34" s="2944"/>
      <c r="AG34" s="2944" t="s">
        <v>6716</v>
      </c>
      <c r="AH34" s="2944"/>
      <c r="AI34" s="2944"/>
      <c r="AJ34" s="2944"/>
      <c r="AK34" s="2944"/>
      <c r="AL34" s="2944"/>
      <c r="AM34" s="2944"/>
      <c r="AN34" s="2944"/>
      <c r="AO34" s="2944"/>
      <c r="AP34" s="2944"/>
      <c r="AQ34" s="2950"/>
      <c r="AR34" s="688"/>
      <c r="BO34" s="2948"/>
      <c r="BP34" s="2948"/>
      <c r="BQ34" s="2948"/>
      <c r="BR34" s="2948"/>
      <c r="BS34" s="2948"/>
      <c r="BT34" s="2948"/>
      <c r="BU34" s="2948"/>
      <c r="BV34" s="2948"/>
      <c r="BW34" s="2948"/>
      <c r="BX34" s="2949"/>
      <c r="BY34" s="2948"/>
      <c r="BZ34" s="2948"/>
      <c r="CA34" s="2948"/>
      <c r="CB34" s="2948"/>
      <c r="CC34" s="2948"/>
      <c r="CD34" s="2948"/>
      <c r="CE34" s="2948"/>
      <c r="CF34" s="2948"/>
      <c r="CG34" s="2948"/>
      <c r="CH34" s="2948"/>
      <c r="CI34" s="2948"/>
      <c r="CJ34" s="2950"/>
      <c r="CK34" s="688"/>
      <c r="CL34" s="688"/>
      <c r="CM34" s="688"/>
      <c r="CN34" s="688"/>
      <c r="CO34" s="688"/>
      <c r="CP34" s="688"/>
      <c r="CQ34" s="688"/>
      <c r="CR34" s="688"/>
      <c r="CS34" s="688"/>
      <c r="CT34" s="688"/>
      <c r="CU34" s="688"/>
      <c r="CV34" s="688"/>
      <c r="CW34" s="688"/>
      <c r="CX34" s="688"/>
      <c r="CY34" s="688"/>
      <c r="CZ34" s="688"/>
      <c r="DA34" s="688"/>
      <c r="DB34" s="688"/>
      <c r="DC34" s="688"/>
      <c r="DD34" s="688"/>
      <c r="DE34" s="2950"/>
      <c r="DF34" s="688"/>
      <c r="DG34" s="688"/>
      <c r="DH34" s="688"/>
      <c r="DI34" s="688"/>
      <c r="DJ34" s="688"/>
      <c r="DK34" s="688"/>
      <c r="DL34" s="688"/>
      <c r="DM34" s="688"/>
      <c r="DN34" s="688"/>
      <c r="DO34" s="688"/>
      <c r="DP34" s="688"/>
      <c r="DQ34" s="688"/>
      <c r="DR34" s="688"/>
      <c r="DS34" s="688"/>
      <c r="DT34" s="688"/>
      <c r="DU34" s="688"/>
      <c r="DV34" s="688"/>
      <c r="DW34" s="688"/>
      <c r="DX34" s="688"/>
      <c r="DY34" s="688"/>
    </row>
    <row r="35" s="799" customFormat="1" ht="15" customHeight="1" spans="1:129">
      <c r="A35" s="2946">
        <f>UnosPorBilans!S167</f>
        <v>0</v>
      </c>
      <c r="B35" s="2946"/>
      <c r="C35" s="2946"/>
      <c r="D35" s="2946"/>
      <c r="E35" s="2946"/>
      <c r="F35" s="2946"/>
      <c r="G35" s="2946"/>
      <c r="H35" s="2946"/>
      <c r="I35" s="2946"/>
      <c r="J35" s="2946"/>
      <c r="K35" s="2946">
        <f>UnosPorBilans!W167</f>
        <v>0</v>
      </c>
      <c r="L35" s="2946"/>
      <c r="M35" s="2946"/>
      <c r="N35" s="2946"/>
      <c r="O35" s="2946"/>
      <c r="P35" s="2946"/>
      <c r="Q35" s="2946"/>
      <c r="R35" s="2946"/>
      <c r="S35" s="2946"/>
      <c r="T35" s="2946"/>
      <c r="U35" s="2946"/>
      <c r="V35" s="2946">
        <f>UnosPorBilans!AB167</f>
        <v>0</v>
      </c>
      <c r="W35" s="2946"/>
      <c r="X35" s="2946"/>
      <c r="Y35" s="2946"/>
      <c r="Z35" s="2946"/>
      <c r="AA35" s="2946"/>
      <c r="AB35" s="2946"/>
      <c r="AC35" s="2946"/>
      <c r="AD35" s="2946"/>
      <c r="AE35" s="2946"/>
      <c r="AF35" s="2946"/>
      <c r="AG35" s="2946">
        <f>UnosPorBilans!AG167</f>
        <v>0</v>
      </c>
      <c r="AH35" s="2946"/>
      <c r="AI35" s="2946"/>
      <c r="AJ35" s="2946"/>
      <c r="AK35" s="2946"/>
      <c r="AL35" s="2946"/>
      <c r="AM35" s="2946"/>
      <c r="AN35" s="2946"/>
      <c r="AO35" s="2946"/>
      <c r="AP35" s="2946"/>
      <c r="CJ35" s="2950"/>
      <c r="CK35" s="688"/>
      <c r="CL35" s="688"/>
      <c r="CM35" s="688"/>
      <c r="CN35" s="688"/>
      <c r="CO35" s="688"/>
      <c r="CP35" s="688"/>
      <c r="CQ35" s="688"/>
      <c r="CR35" s="688"/>
      <c r="CS35" s="688"/>
      <c r="CT35" s="688"/>
      <c r="CU35" s="688"/>
      <c r="CV35" s="688"/>
      <c r="CW35" s="688"/>
      <c r="CX35" s="688"/>
      <c r="CY35" s="688"/>
      <c r="CZ35" s="688"/>
      <c r="DA35" s="688"/>
      <c r="DB35" s="688"/>
      <c r="DC35" s="688"/>
      <c r="DD35" s="688"/>
      <c r="DE35" s="2950"/>
      <c r="DF35" s="688"/>
      <c r="DG35" s="688"/>
      <c r="DH35" s="688"/>
      <c r="DI35" s="688"/>
      <c r="DJ35" s="688"/>
      <c r="DK35" s="688"/>
      <c r="DL35" s="688"/>
      <c r="DM35" s="688"/>
      <c r="DN35" s="688"/>
      <c r="DO35" s="688"/>
      <c r="DP35" s="688"/>
      <c r="DQ35" s="688"/>
      <c r="DR35" s="688"/>
      <c r="DS35" s="688"/>
      <c r="DT35" s="688"/>
      <c r="DU35" s="688"/>
      <c r="DV35" s="688"/>
      <c r="DW35" s="688"/>
      <c r="DX35" s="688"/>
      <c r="DY35" s="688"/>
    </row>
    <row r="36" s="799" customFormat="1" ht="15" customHeight="1" spans="1:129">
      <c r="A36" s="2947" t="s">
        <v>6717</v>
      </c>
      <c r="B36" s="2947"/>
      <c r="C36" s="2947"/>
      <c r="D36" s="2947"/>
      <c r="E36" s="2947"/>
      <c r="F36" s="2947"/>
      <c r="G36" s="2947"/>
      <c r="H36" s="2947"/>
      <c r="I36" s="2947"/>
      <c r="J36" s="2947"/>
      <c r="K36" s="2947"/>
      <c r="L36" s="2947"/>
      <c r="M36" s="2947"/>
      <c r="N36" s="2947"/>
      <c r="O36" s="2947"/>
      <c r="P36" s="2947"/>
      <c r="Q36" s="2947"/>
      <c r="R36" s="2947"/>
      <c r="S36" s="2947"/>
      <c r="T36" s="2947"/>
      <c r="U36" s="2947"/>
      <c r="V36" s="2947" t="s">
        <v>6718</v>
      </c>
      <c r="W36" s="2947"/>
      <c r="X36" s="2947"/>
      <c r="Y36" s="2947"/>
      <c r="Z36" s="2947"/>
      <c r="AA36" s="2947"/>
      <c r="AB36" s="2947"/>
      <c r="AC36" s="2947"/>
      <c r="AD36" s="2947"/>
      <c r="AE36" s="2947"/>
      <c r="AF36" s="2947"/>
      <c r="AG36" s="2947"/>
      <c r="AH36" s="2947"/>
      <c r="AI36" s="2947"/>
      <c r="AJ36" s="2947"/>
      <c r="AK36" s="2947"/>
      <c r="AL36" s="2947"/>
      <c r="AM36" s="2947"/>
      <c r="AN36" s="2947"/>
      <c r="AO36" s="2947"/>
      <c r="AP36" s="2947"/>
      <c r="AQ36" s="2950"/>
      <c r="AR36" s="688"/>
      <c r="BN36" s="2948"/>
      <c r="BO36" s="2948"/>
      <c r="BP36" s="2948"/>
      <c r="BQ36" s="2948"/>
      <c r="BR36" s="2948"/>
      <c r="BS36" s="2948"/>
      <c r="BT36" s="2948"/>
      <c r="BU36" s="2948"/>
      <c r="BV36" s="2948"/>
      <c r="BW36" s="2948"/>
      <c r="BX36" s="2949"/>
      <c r="BY36" s="2948"/>
      <c r="BZ36" s="2948"/>
      <c r="CA36" s="2948"/>
      <c r="CB36" s="2948"/>
      <c r="CC36" s="2948"/>
      <c r="CD36" s="2948"/>
      <c r="CE36" s="2948"/>
      <c r="CF36" s="2948"/>
      <c r="CG36" s="2948"/>
      <c r="CH36" s="2948"/>
      <c r="CI36" s="2948"/>
      <c r="CJ36" s="2950"/>
      <c r="CK36" s="688"/>
      <c r="CL36" s="688"/>
      <c r="CM36" s="688"/>
      <c r="CN36" s="688"/>
      <c r="CO36" s="688"/>
      <c r="CP36" s="688"/>
      <c r="CQ36" s="688"/>
      <c r="CR36" s="688"/>
      <c r="CS36" s="688"/>
      <c r="CT36" s="688"/>
      <c r="CU36" s="688"/>
      <c r="CV36" s="688"/>
      <c r="CW36" s="688"/>
      <c r="CX36" s="688"/>
      <c r="CY36" s="688"/>
      <c r="CZ36" s="688"/>
      <c r="DA36" s="688"/>
      <c r="DB36" s="688"/>
      <c r="DC36" s="688"/>
      <c r="DD36" s="688"/>
      <c r="DE36" s="2950"/>
      <c r="DF36" s="688"/>
      <c r="DG36" s="688"/>
      <c r="DH36" s="688"/>
      <c r="DI36" s="688"/>
      <c r="DJ36" s="688"/>
      <c r="DK36" s="688"/>
      <c r="DL36" s="688"/>
      <c r="DM36" s="688"/>
      <c r="DN36" s="688"/>
      <c r="DO36" s="688"/>
      <c r="DP36" s="688"/>
      <c r="DQ36" s="688"/>
      <c r="DR36" s="688"/>
      <c r="DS36" s="688"/>
      <c r="DT36" s="688"/>
      <c r="DU36" s="688"/>
      <c r="DV36" s="688"/>
      <c r="DW36" s="688"/>
      <c r="DX36" s="688"/>
      <c r="DY36" s="688"/>
    </row>
    <row r="37" s="799" customFormat="1" ht="15" customHeight="1" spans="1:129">
      <c r="A37" s="2946">
        <f>UnosPorBilans!AL167</f>
        <v>0</v>
      </c>
      <c r="B37" s="2946"/>
      <c r="C37" s="2946"/>
      <c r="D37" s="2946"/>
      <c r="E37" s="2946"/>
      <c r="F37" s="2946"/>
      <c r="G37" s="2946"/>
      <c r="H37" s="2946"/>
      <c r="I37" s="2946"/>
      <c r="J37" s="2946"/>
      <c r="K37" s="2946"/>
      <c r="L37" s="2946"/>
      <c r="M37" s="2946"/>
      <c r="N37" s="2946"/>
      <c r="O37" s="2946"/>
      <c r="P37" s="2946"/>
      <c r="Q37" s="2946"/>
      <c r="R37" s="2946"/>
      <c r="S37" s="2946"/>
      <c r="T37" s="2946"/>
      <c r="U37" s="2946"/>
      <c r="V37" s="2946">
        <f>UnosPorBilans!AS167</f>
        <v>0</v>
      </c>
      <c r="W37" s="2946"/>
      <c r="X37" s="2946"/>
      <c r="Y37" s="2946"/>
      <c r="Z37" s="2946"/>
      <c r="AA37" s="2946"/>
      <c r="AB37" s="2946"/>
      <c r="AC37" s="2946"/>
      <c r="AD37" s="2946"/>
      <c r="AE37" s="2946"/>
      <c r="AF37" s="2946"/>
      <c r="AG37" s="2946"/>
      <c r="AH37" s="2946"/>
      <c r="AI37" s="2946"/>
      <c r="AJ37" s="2946"/>
      <c r="AK37" s="2946"/>
      <c r="AL37" s="2946"/>
      <c r="AM37" s="2946"/>
      <c r="AN37" s="2946"/>
      <c r="AO37" s="2946"/>
      <c r="AP37" s="2946"/>
      <c r="AQ37" s="2950"/>
      <c r="AR37" s="688"/>
      <c r="BN37" s="2948"/>
      <c r="BO37" s="2948"/>
      <c r="BP37" s="2948"/>
      <c r="BQ37" s="2948"/>
      <c r="BR37" s="2948"/>
      <c r="BS37" s="2948"/>
      <c r="BT37" s="2948"/>
      <c r="BU37" s="2948"/>
      <c r="BV37" s="2948"/>
      <c r="BW37" s="2948"/>
      <c r="BX37" s="2949"/>
      <c r="BY37" s="2948"/>
      <c r="BZ37" s="2948"/>
      <c r="CA37" s="2948"/>
      <c r="CB37" s="2948"/>
      <c r="CC37" s="2948"/>
      <c r="CD37" s="2948"/>
      <c r="CE37" s="2948"/>
      <c r="CF37" s="2948"/>
      <c r="CG37" s="2948"/>
      <c r="CH37" s="2948"/>
      <c r="CI37" s="2948"/>
      <c r="CJ37" s="2950"/>
      <c r="CK37" s="688"/>
      <c r="CL37" s="688"/>
      <c r="CM37" s="688"/>
      <c r="CN37" s="688"/>
      <c r="CO37" s="688"/>
      <c r="CP37" s="688"/>
      <c r="CQ37" s="688"/>
      <c r="CR37" s="688"/>
      <c r="CS37" s="688"/>
      <c r="CT37" s="688"/>
      <c r="CU37" s="688"/>
      <c r="CV37" s="688"/>
      <c r="CW37" s="688"/>
      <c r="CX37" s="688"/>
      <c r="CY37" s="688"/>
      <c r="CZ37" s="688"/>
      <c r="DA37" s="688"/>
      <c r="DB37" s="688"/>
      <c r="DC37" s="688"/>
      <c r="DD37" s="688"/>
      <c r="DE37" s="2950"/>
      <c r="DF37" s="688"/>
      <c r="DG37" s="688"/>
      <c r="DH37" s="688"/>
      <c r="DI37" s="688"/>
      <c r="DJ37" s="688"/>
      <c r="DK37" s="688"/>
      <c r="DL37" s="688"/>
      <c r="DM37" s="688"/>
      <c r="DN37" s="688"/>
      <c r="DO37" s="688"/>
      <c r="DP37" s="688"/>
      <c r="DQ37" s="688"/>
      <c r="DR37" s="688"/>
      <c r="DS37" s="688"/>
      <c r="DT37" s="688"/>
      <c r="DU37" s="688"/>
      <c r="DV37" s="688"/>
      <c r="DW37" s="688"/>
      <c r="DX37" s="688"/>
      <c r="DY37" s="688"/>
    </row>
    <row r="38" s="799" customFormat="1" ht="9" customHeight="1" spans="1:129">
      <c r="BN38" s="2948"/>
      <c r="BO38" s="2948"/>
      <c r="BP38" s="2948"/>
      <c r="BQ38" s="2948"/>
      <c r="BR38" s="2948"/>
      <c r="BS38" s="2948"/>
      <c r="BT38" s="2948"/>
      <c r="BU38" s="2948"/>
      <c r="BV38" s="2948"/>
      <c r="BW38" s="2948"/>
      <c r="BX38" s="2949"/>
      <c r="BY38" s="2948"/>
      <c r="BZ38" s="2948"/>
      <c r="CA38" s="2948"/>
      <c r="CB38" s="2948"/>
      <c r="CC38" s="2948"/>
      <c r="CD38" s="2948"/>
      <c r="CE38" s="2948"/>
      <c r="CF38" s="2948"/>
      <c r="CG38" s="2948"/>
      <c r="CH38" s="2948"/>
      <c r="CI38" s="2948"/>
      <c r="CJ38" s="2950"/>
      <c r="CK38" s="688"/>
      <c r="CL38" s="688"/>
      <c r="CM38" s="688"/>
      <c r="CN38" s="688"/>
      <c r="CO38" s="688"/>
      <c r="CP38" s="688"/>
      <c r="CQ38" s="688"/>
      <c r="CR38" s="688"/>
      <c r="CS38" s="688"/>
      <c r="CT38" s="688"/>
      <c r="CU38" s="688"/>
      <c r="CV38" s="688"/>
      <c r="CW38" s="688"/>
      <c r="CX38" s="688"/>
      <c r="CY38" s="688"/>
      <c r="CZ38" s="688"/>
      <c r="DA38" s="688"/>
      <c r="DB38" s="688"/>
      <c r="DC38" s="688"/>
      <c r="DD38" s="688"/>
      <c r="DE38" s="2950"/>
      <c r="DF38" s="688"/>
      <c r="DG38" s="688"/>
      <c r="DH38" s="688"/>
      <c r="DI38" s="688"/>
      <c r="DJ38" s="688"/>
      <c r="DK38" s="688"/>
      <c r="DL38" s="688"/>
      <c r="DM38" s="688"/>
      <c r="DN38" s="688"/>
      <c r="DO38" s="688"/>
      <c r="DP38" s="688"/>
      <c r="DQ38" s="688"/>
      <c r="DR38" s="688"/>
      <c r="DS38" s="688"/>
      <c r="DT38" s="688"/>
      <c r="DU38" s="688"/>
      <c r="DV38" s="688"/>
      <c r="DW38" s="688"/>
      <c r="DX38" s="688"/>
      <c r="DY38" s="688"/>
    </row>
    <row r="39" s="799" customFormat="1" ht="15" customHeight="1" spans="1:129">
      <c r="A39" s="2944" t="s">
        <v>3900</v>
      </c>
      <c r="B39" s="2944"/>
      <c r="C39" s="2944" t="s">
        <v>6719</v>
      </c>
      <c r="D39" s="2944"/>
      <c r="E39" s="2944"/>
      <c r="F39" s="2944"/>
      <c r="G39" s="2944"/>
      <c r="H39" s="2944"/>
      <c r="I39" s="2944"/>
      <c r="J39" s="2944"/>
      <c r="K39" s="2944"/>
      <c r="L39" s="2944"/>
      <c r="M39" s="2944"/>
      <c r="N39" s="2944"/>
      <c r="O39" s="2944"/>
      <c r="P39" s="2944"/>
      <c r="Q39" s="2944"/>
      <c r="R39" s="2944"/>
      <c r="S39" s="2944"/>
      <c r="T39" s="2944"/>
      <c r="U39" s="2944"/>
      <c r="V39" s="2944" t="s">
        <v>6720</v>
      </c>
      <c r="W39" s="2944"/>
      <c r="X39" s="2944"/>
      <c r="Y39" s="2944"/>
      <c r="Z39" s="2944"/>
      <c r="AA39" s="2944"/>
      <c r="AB39" s="2944"/>
      <c r="AC39" s="2944"/>
      <c r="AD39" s="2944"/>
      <c r="AE39" s="2944"/>
      <c r="AF39" s="2944"/>
      <c r="AG39" s="2944" t="s">
        <v>6721</v>
      </c>
      <c r="AH39" s="2944"/>
      <c r="AI39" s="2944"/>
      <c r="AJ39" s="2944"/>
      <c r="AK39" s="2944"/>
      <c r="AL39" s="2944"/>
      <c r="AM39" s="2944"/>
      <c r="AN39" s="2944"/>
      <c r="AO39" s="2944"/>
      <c r="AP39" s="2944"/>
      <c r="AQ39" s="2950"/>
      <c r="AR39" s="688"/>
      <c r="BN39" s="2948"/>
      <c r="BO39" s="2948"/>
      <c r="BP39" s="2948"/>
      <c r="BQ39" s="2948"/>
      <c r="BR39" s="2948"/>
      <c r="BS39" s="2948"/>
      <c r="BT39" s="2948"/>
      <c r="BU39" s="2948"/>
      <c r="BV39" s="2948"/>
      <c r="BW39" s="2948"/>
      <c r="BX39" s="2949"/>
      <c r="BY39" s="2948"/>
      <c r="BZ39" s="2948"/>
      <c r="CA39" s="2948"/>
      <c r="CB39" s="2948"/>
      <c r="CC39" s="2948"/>
      <c r="CD39" s="2948"/>
      <c r="CE39" s="2948"/>
      <c r="CF39" s="2948"/>
      <c r="CG39" s="2948"/>
      <c r="CH39" s="2948"/>
      <c r="CI39" s="2948"/>
      <c r="CJ39" s="2950"/>
      <c r="CK39" s="688"/>
      <c r="CL39" s="688"/>
      <c r="CM39" s="688"/>
      <c r="CN39" s="688"/>
      <c r="CO39" s="688"/>
      <c r="CP39" s="688"/>
      <c r="CQ39" s="688"/>
      <c r="CR39" s="688"/>
      <c r="CS39" s="688"/>
      <c r="CT39" s="688"/>
      <c r="CU39" s="688"/>
      <c r="CV39" s="688"/>
      <c r="CW39" s="688"/>
      <c r="CX39" s="688"/>
      <c r="CY39" s="688"/>
      <c r="CZ39" s="688"/>
      <c r="DA39" s="688"/>
      <c r="DB39" s="688"/>
      <c r="DC39" s="688"/>
      <c r="DD39" s="688"/>
      <c r="DE39" s="2950"/>
      <c r="DF39" s="688"/>
      <c r="DG39" s="688"/>
      <c r="DH39" s="688"/>
      <c r="DI39" s="688"/>
      <c r="DJ39" s="688"/>
      <c r="DK39" s="688"/>
      <c r="DL39" s="688"/>
      <c r="DM39" s="688"/>
      <c r="DN39" s="688"/>
      <c r="DO39" s="688"/>
      <c r="DP39" s="688"/>
      <c r="DQ39" s="688"/>
      <c r="DR39" s="688"/>
      <c r="DS39" s="688"/>
      <c r="DT39" s="688"/>
      <c r="DU39" s="688"/>
      <c r="DV39" s="688"/>
      <c r="DW39" s="688"/>
      <c r="DX39" s="688"/>
      <c r="DY39" s="688"/>
    </row>
    <row r="40" s="799" customFormat="1" ht="15" customHeight="1" spans="1:129">
      <c r="A40" s="2945">
        <f>UnosPorBilans!B168</f>
        <v>0</v>
      </c>
      <c r="B40" s="2945"/>
      <c r="C40" s="2945"/>
      <c r="D40" s="2945"/>
      <c r="E40" s="2945"/>
      <c r="F40" s="2945"/>
      <c r="G40" s="2945"/>
      <c r="H40" s="2945"/>
      <c r="I40" s="2945"/>
      <c r="J40" s="2945"/>
      <c r="K40" s="2945"/>
      <c r="L40" s="2945"/>
      <c r="M40" s="2945"/>
      <c r="N40" s="2945"/>
      <c r="O40" s="2945"/>
      <c r="P40" s="2945"/>
      <c r="Q40" s="2945"/>
      <c r="R40" s="2945"/>
      <c r="S40" s="2945"/>
      <c r="T40" s="2945"/>
      <c r="U40" s="2945"/>
      <c r="V40" s="2945">
        <f>UnosPorBilans!I168</f>
        <v>0</v>
      </c>
      <c r="W40" s="2945"/>
      <c r="X40" s="2945"/>
      <c r="Y40" s="2945"/>
      <c r="Z40" s="2945"/>
      <c r="AA40" s="2945"/>
      <c r="AB40" s="2945"/>
      <c r="AC40" s="2945"/>
      <c r="AD40" s="2945"/>
      <c r="AE40" s="2945"/>
      <c r="AF40" s="2945"/>
      <c r="AG40" s="2945">
        <f>UnosPorBilans!N168</f>
        <v>0</v>
      </c>
      <c r="AH40" s="2945"/>
      <c r="AI40" s="2945"/>
      <c r="AJ40" s="2945"/>
      <c r="AK40" s="2945"/>
      <c r="AL40" s="2945"/>
      <c r="AM40" s="2945"/>
      <c r="AN40" s="2945"/>
      <c r="AO40" s="2945"/>
      <c r="AP40" s="2945"/>
      <c r="AQ40" s="2950"/>
      <c r="AR40" s="688"/>
      <c r="BN40" s="2948"/>
      <c r="BO40" s="2948"/>
      <c r="BP40" s="2948"/>
      <c r="BQ40" s="2948"/>
      <c r="BR40" s="2948"/>
      <c r="BS40" s="2948"/>
      <c r="BT40" s="2948"/>
      <c r="BU40" s="2948"/>
      <c r="BV40" s="2948"/>
      <c r="BW40" s="2948"/>
      <c r="BX40" s="2949"/>
      <c r="BY40" s="2948"/>
      <c r="BZ40" s="2948"/>
      <c r="CA40" s="2948"/>
      <c r="CB40" s="2948"/>
      <c r="CC40" s="2948"/>
      <c r="CD40" s="2948"/>
      <c r="CE40" s="2948"/>
      <c r="CF40" s="2948"/>
      <c r="CG40" s="2948"/>
      <c r="CH40" s="2948"/>
      <c r="CI40" s="2948"/>
      <c r="CJ40" s="2950"/>
      <c r="CK40" s="688"/>
      <c r="CL40" s="688"/>
      <c r="CM40" s="688"/>
      <c r="CN40" s="688"/>
      <c r="CO40" s="688"/>
      <c r="CP40" s="688"/>
      <c r="CQ40" s="688"/>
      <c r="CR40" s="688"/>
      <c r="CS40" s="688"/>
      <c r="CT40" s="688"/>
      <c r="CU40" s="688"/>
      <c r="CV40" s="688"/>
      <c r="CW40" s="688"/>
      <c r="CX40" s="688"/>
      <c r="CY40" s="688"/>
      <c r="CZ40" s="688"/>
      <c r="DA40" s="688"/>
      <c r="DB40" s="688"/>
      <c r="DC40" s="688"/>
      <c r="DD40" s="688"/>
      <c r="DE40" s="2950"/>
      <c r="DF40" s="688"/>
      <c r="DG40" s="688"/>
      <c r="DH40" s="688"/>
      <c r="DI40" s="688"/>
      <c r="DJ40" s="688"/>
      <c r="DK40" s="688"/>
      <c r="DL40" s="688"/>
      <c r="DM40" s="688"/>
      <c r="DN40" s="688"/>
      <c r="DO40" s="688"/>
      <c r="DP40" s="688"/>
      <c r="DQ40" s="688"/>
      <c r="DR40" s="688"/>
      <c r="DS40" s="688"/>
      <c r="DT40" s="688"/>
      <c r="DU40" s="688"/>
      <c r="DV40" s="688"/>
      <c r="DW40" s="688"/>
      <c r="DX40" s="688"/>
      <c r="DY40" s="688"/>
    </row>
    <row r="41" s="799" customFormat="1" ht="15" customHeight="1" spans="1:129">
      <c r="A41" s="2944" t="s">
        <v>6722</v>
      </c>
      <c r="B41" s="2944"/>
      <c r="C41" s="2944"/>
      <c r="D41" s="2944"/>
      <c r="E41" s="2944"/>
      <c r="F41" s="2944"/>
      <c r="G41" s="2944"/>
      <c r="H41" s="2944"/>
      <c r="I41" s="2944"/>
      <c r="J41" s="2944"/>
      <c r="K41" s="2944" t="s">
        <v>6723</v>
      </c>
      <c r="L41" s="2944"/>
      <c r="M41" s="2944"/>
      <c r="N41" s="2944"/>
      <c r="O41" s="2944"/>
      <c r="P41" s="2944"/>
      <c r="Q41" s="2944"/>
      <c r="R41" s="2944"/>
      <c r="S41" s="2944"/>
      <c r="T41" s="2944"/>
      <c r="U41" s="2944"/>
      <c r="V41" s="2944" t="s">
        <v>6724</v>
      </c>
      <c r="W41" s="2944"/>
      <c r="X41" s="2944"/>
      <c r="Y41" s="2944"/>
      <c r="Z41" s="2944"/>
      <c r="AA41" s="2944"/>
      <c r="AB41" s="2944"/>
      <c r="AC41" s="2944"/>
      <c r="AD41" s="2944"/>
      <c r="AE41" s="2944"/>
      <c r="AF41" s="2944"/>
      <c r="AG41" s="2944" t="s">
        <v>6725</v>
      </c>
      <c r="AH41" s="2944"/>
      <c r="AI41" s="2944"/>
      <c r="AJ41" s="2944"/>
      <c r="AK41" s="2944"/>
      <c r="AL41" s="2944"/>
      <c r="AM41" s="2944"/>
      <c r="AN41" s="2944"/>
      <c r="AO41" s="2944"/>
      <c r="AP41" s="2944"/>
      <c r="AQ41" s="2950"/>
      <c r="AR41" s="688"/>
      <c r="BO41" s="2948"/>
      <c r="BP41" s="2948"/>
      <c r="BQ41" s="2948"/>
      <c r="BR41" s="2948"/>
      <c r="BS41" s="2948"/>
      <c r="BT41" s="2948"/>
      <c r="BU41" s="2948"/>
      <c r="BV41" s="2948"/>
      <c r="BW41" s="2948"/>
      <c r="BX41" s="2949"/>
      <c r="BY41" s="2948"/>
      <c r="BZ41" s="2948"/>
      <c r="CA41" s="2948"/>
      <c r="CB41" s="2948"/>
      <c r="CC41" s="2948"/>
      <c r="CD41" s="2948"/>
      <c r="CE41" s="2948"/>
      <c r="CF41" s="2948"/>
      <c r="CG41" s="2948"/>
      <c r="CH41" s="2948"/>
      <c r="CI41" s="2948"/>
      <c r="CJ41" s="2950"/>
      <c r="CK41" s="688"/>
      <c r="CL41" s="688"/>
      <c r="CM41" s="688"/>
      <c r="CN41" s="688"/>
      <c r="CO41" s="688"/>
      <c r="CP41" s="688"/>
      <c r="CQ41" s="688"/>
      <c r="CR41" s="688"/>
      <c r="CS41" s="688"/>
      <c r="CT41" s="688"/>
      <c r="CU41" s="688"/>
      <c r="CV41" s="688"/>
      <c r="CW41" s="688"/>
      <c r="CX41" s="688"/>
      <c r="CY41" s="688"/>
      <c r="CZ41" s="688"/>
      <c r="DA41" s="688"/>
      <c r="DB41" s="688"/>
      <c r="DC41" s="688"/>
      <c r="DD41" s="688"/>
      <c r="DE41" s="2950"/>
      <c r="DF41" s="688"/>
      <c r="DG41" s="688"/>
      <c r="DH41" s="688"/>
      <c r="DI41" s="688"/>
      <c r="DJ41" s="688"/>
      <c r="DK41" s="688"/>
      <c r="DL41" s="688"/>
      <c r="DM41" s="688"/>
      <c r="DN41" s="688"/>
      <c r="DO41" s="688"/>
      <c r="DP41" s="688"/>
      <c r="DQ41" s="688"/>
      <c r="DR41" s="688"/>
      <c r="DS41" s="688"/>
      <c r="DT41" s="688"/>
      <c r="DU41" s="688"/>
      <c r="DV41" s="688"/>
      <c r="DW41" s="688"/>
      <c r="DX41" s="688"/>
      <c r="DY41" s="688"/>
    </row>
    <row r="42" s="799" customFormat="1" ht="15" customHeight="1" spans="1:129">
      <c r="A42" s="2946">
        <f>UnosPorBilans!S168</f>
        <v>0</v>
      </c>
      <c r="B42" s="2946"/>
      <c r="C42" s="2946"/>
      <c r="D42" s="2946"/>
      <c r="E42" s="2946"/>
      <c r="F42" s="2946"/>
      <c r="G42" s="2946"/>
      <c r="H42" s="2946"/>
      <c r="I42" s="2946"/>
      <c r="J42" s="2946"/>
      <c r="K42" s="2946">
        <f>UnosPorBilans!W168</f>
        <v>0</v>
      </c>
      <c r="L42" s="2946"/>
      <c r="M42" s="2946"/>
      <c r="N42" s="2946"/>
      <c r="O42" s="2946"/>
      <c r="P42" s="2946"/>
      <c r="Q42" s="2946"/>
      <c r="R42" s="2946"/>
      <c r="S42" s="2946"/>
      <c r="T42" s="2946"/>
      <c r="U42" s="2946"/>
      <c r="V42" s="2946">
        <f>UnosPorBilans!AB168</f>
        <v>0</v>
      </c>
      <c r="W42" s="2946"/>
      <c r="X42" s="2946"/>
      <c r="Y42" s="2946"/>
      <c r="Z42" s="2946"/>
      <c r="AA42" s="2946"/>
      <c r="AB42" s="2946"/>
      <c r="AC42" s="2946"/>
      <c r="AD42" s="2946"/>
      <c r="AE42" s="2946"/>
      <c r="AF42" s="2946"/>
      <c r="AG42" s="2946">
        <f>UnosPorBilans!AG168</f>
        <v>0</v>
      </c>
      <c r="AH42" s="2946"/>
      <c r="AI42" s="2946"/>
      <c r="AJ42" s="2946"/>
      <c r="AK42" s="2946"/>
      <c r="AL42" s="2946"/>
      <c r="AM42" s="2946"/>
      <c r="AN42" s="2946"/>
      <c r="AO42" s="2946"/>
      <c r="AP42" s="2946"/>
      <c r="CJ42" s="2950"/>
      <c r="CK42" s="688"/>
      <c r="CL42" s="688"/>
      <c r="CM42" s="688"/>
      <c r="CN42" s="688"/>
      <c r="CO42" s="688"/>
      <c r="CP42" s="688"/>
      <c r="CQ42" s="688"/>
      <c r="CR42" s="688"/>
      <c r="CS42" s="688"/>
      <c r="CT42" s="688"/>
      <c r="CU42" s="688"/>
      <c r="CV42" s="688"/>
      <c r="CW42" s="688"/>
      <c r="CX42" s="688"/>
      <c r="CY42" s="688"/>
      <c r="CZ42" s="688"/>
      <c r="DA42" s="688"/>
      <c r="DB42" s="688"/>
      <c r="DC42" s="688"/>
      <c r="DD42" s="688"/>
      <c r="DE42" s="2950"/>
      <c r="DF42" s="688"/>
      <c r="DG42" s="688"/>
      <c r="DH42" s="688"/>
      <c r="DI42" s="688"/>
      <c r="DJ42" s="688"/>
      <c r="DK42" s="688"/>
      <c r="DL42" s="688"/>
      <c r="DM42" s="688"/>
      <c r="DN42" s="688"/>
      <c r="DO42" s="688"/>
      <c r="DP42" s="688"/>
      <c r="DQ42" s="688"/>
      <c r="DR42" s="688"/>
      <c r="DS42" s="688"/>
      <c r="DT42" s="688"/>
      <c r="DU42" s="688"/>
      <c r="DV42" s="688"/>
      <c r="DW42" s="688"/>
      <c r="DX42" s="688"/>
      <c r="DY42" s="688"/>
    </row>
    <row r="43" s="799" customFormat="1" ht="15" customHeight="1" spans="1:129">
      <c r="A43" s="2947" t="s">
        <v>6726</v>
      </c>
      <c r="B43" s="2947"/>
      <c r="C43" s="2947"/>
      <c r="D43" s="2947"/>
      <c r="E43" s="2947"/>
      <c r="F43" s="2947"/>
      <c r="G43" s="2947"/>
      <c r="H43" s="2947"/>
      <c r="I43" s="2947"/>
      <c r="J43" s="2947"/>
      <c r="K43" s="2947"/>
      <c r="L43" s="2947"/>
      <c r="M43" s="2947"/>
      <c r="N43" s="2947"/>
      <c r="O43" s="2947"/>
      <c r="P43" s="2947"/>
      <c r="Q43" s="2947"/>
      <c r="R43" s="2947"/>
      <c r="S43" s="2947"/>
      <c r="T43" s="2947"/>
      <c r="U43" s="2947"/>
      <c r="V43" s="2947" t="s">
        <v>6727</v>
      </c>
      <c r="W43" s="2947"/>
      <c r="X43" s="2947"/>
      <c r="Y43" s="2947"/>
      <c r="Z43" s="2947"/>
      <c r="AA43" s="2947"/>
      <c r="AB43" s="2947"/>
      <c r="AC43" s="2947"/>
      <c r="AD43" s="2947"/>
      <c r="AE43" s="2947"/>
      <c r="AF43" s="2947"/>
      <c r="AG43" s="2947"/>
      <c r="AH43" s="2947"/>
      <c r="AI43" s="2947"/>
      <c r="AJ43" s="2947"/>
      <c r="AK43" s="2947"/>
      <c r="AL43" s="2947"/>
      <c r="AM43" s="2947"/>
      <c r="AN43" s="2947"/>
      <c r="AO43" s="2947"/>
      <c r="AP43" s="2947"/>
      <c r="AQ43" s="2950"/>
      <c r="AR43" s="688"/>
      <c r="BN43" s="2948"/>
      <c r="BO43" s="2948"/>
      <c r="BP43" s="2948"/>
      <c r="BQ43" s="2948"/>
      <c r="BR43" s="2948"/>
      <c r="BS43" s="2948"/>
      <c r="BT43" s="2948"/>
      <c r="BU43" s="2948"/>
      <c r="BV43" s="2948"/>
      <c r="BW43" s="2948"/>
      <c r="BX43" s="2949"/>
      <c r="BY43" s="2948"/>
      <c r="BZ43" s="2948"/>
      <c r="CA43" s="2948"/>
      <c r="CB43" s="2948"/>
      <c r="CC43" s="2948"/>
      <c r="CD43" s="2948"/>
      <c r="CE43" s="2948"/>
      <c r="CF43" s="2948"/>
      <c r="CG43" s="2948"/>
      <c r="CH43" s="2948"/>
      <c r="CI43" s="2948"/>
      <c r="CJ43" s="2950"/>
      <c r="CK43" s="688"/>
      <c r="CL43" s="688"/>
      <c r="CM43" s="688"/>
      <c r="CN43" s="688"/>
      <c r="CO43" s="688"/>
      <c r="CP43" s="688"/>
      <c r="CQ43" s="688"/>
      <c r="CR43" s="688"/>
      <c r="CS43" s="688"/>
      <c r="CT43" s="688"/>
      <c r="CU43" s="688"/>
      <c r="CV43" s="688"/>
      <c r="CW43" s="688"/>
      <c r="CX43" s="688"/>
      <c r="CY43" s="688"/>
      <c r="CZ43" s="688"/>
      <c r="DA43" s="688"/>
      <c r="DB43" s="688"/>
      <c r="DC43" s="688"/>
      <c r="DD43" s="688"/>
      <c r="DE43" s="2950"/>
      <c r="DF43" s="688"/>
      <c r="DG43" s="688"/>
      <c r="DH43" s="688"/>
      <c r="DI43" s="688"/>
      <c r="DJ43" s="688"/>
      <c r="DK43" s="688"/>
      <c r="DL43" s="688"/>
      <c r="DM43" s="688"/>
      <c r="DN43" s="688"/>
      <c r="DO43" s="688"/>
      <c r="DP43" s="688"/>
      <c r="DQ43" s="688"/>
      <c r="DR43" s="688"/>
      <c r="DS43" s="688"/>
      <c r="DT43" s="688"/>
      <c r="DU43" s="688"/>
      <c r="DV43" s="688"/>
      <c r="DW43" s="688"/>
      <c r="DX43" s="688"/>
      <c r="DY43" s="688"/>
    </row>
    <row r="44" s="799" customFormat="1" ht="15" customHeight="1" spans="1:129">
      <c r="A44" s="2946">
        <f>UnosPorBilans!AL168</f>
        <v>0</v>
      </c>
      <c r="B44" s="2946"/>
      <c r="C44" s="2946"/>
      <c r="D44" s="2946"/>
      <c r="E44" s="2946"/>
      <c r="F44" s="2946"/>
      <c r="G44" s="2946"/>
      <c r="H44" s="2946"/>
      <c r="I44" s="2946"/>
      <c r="J44" s="2946"/>
      <c r="K44" s="2946"/>
      <c r="L44" s="2946"/>
      <c r="M44" s="2946"/>
      <c r="N44" s="2946"/>
      <c r="O44" s="2946"/>
      <c r="P44" s="2946"/>
      <c r="Q44" s="2946"/>
      <c r="R44" s="2946"/>
      <c r="S44" s="2946"/>
      <c r="T44" s="2946"/>
      <c r="U44" s="2946"/>
      <c r="V44" s="2946">
        <f>UnosPorBilans!AS168</f>
        <v>0</v>
      </c>
      <c r="W44" s="2946"/>
      <c r="X44" s="2946"/>
      <c r="Y44" s="2946"/>
      <c r="Z44" s="2946"/>
      <c r="AA44" s="2946"/>
      <c r="AB44" s="2946"/>
      <c r="AC44" s="2946"/>
      <c r="AD44" s="2946"/>
      <c r="AE44" s="2946"/>
      <c r="AF44" s="2946"/>
      <c r="AG44" s="2946"/>
      <c r="AH44" s="2946"/>
      <c r="AI44" s="2946"/>
      <c r="AJ44" s="2946"/>
      <c r="AK44" s="2946"/>
      <c r="AL44" s="2946"/>
      <c r="AM44" s="2946"/>
      <c r="AN44" s="2946"/>
      <c r="AO44" s="2946"/>
      <c r="AP44" s="2946"/>
      <c r="AQ44" s="2950"/>
      <c r="AR44" s="688"/>
      <c r="BN44" s="2948"/>
      <c r="BO44" s="2948"/>
      <c r="BP44" s="2948"/>
      <c r="BQ44" s="2948"/>
      <c r="BR44" s="2948"/>
      <c r="BS44" s="2948"/>
      <c r="BT44" s="2948"/>
      <c r="BU44" s="2948"/>
      <c r="BV44" s="2948"/>
      <c r="BW44" s="2948"/>
      <c r="BX44" s="2949"/>
      <c r="BY44" s="2948"/>
      <c r="BZ44" s="2948"/>
      <c r="CA44" s="2948"/>
      <c r="CB44" s="2948"/>
      <c r="CC44" s="2948"/>
      <c r="CD44" s="2948"/>
      <c r="CE44" s="2948"/>
      <c r="CF44" s="2948"/>
      <c r="CG44" s="2948"/>
      <c r="CH44" s="2948"/>
      <c r="CI44" s="2948"/>
      <c r="CJ44" s="2950"/>
      <c r="CK44" s="688"/>
      <c r="CL44" s="688"/>
      <c r="CM44" s="688"/>
      <c r="CN44" s="688"/>
      <c r="CO44" s="688"/>
      <c r="CP44" s="688"/>
      <c r="CQ44" s="688"/>
      <c r="CR44" s="688"/>
      <c r="CS44" s="688"/>
      <c r="CT44" s="688"/>
      <c r="CU44" s="688"/>
      <c r="CV44" s="688"/>
      <c r="CW44" s="688"/>
      <c r="CX44" s="688"/>
      <c r="CY44" s="688"/>
      <c r="CZ44" s="688"/>
      <c r="DA44" s="688"/>
      <c r="DB44" s="688"/>
      <c r="DC44" s="688"/>
      <c r="DD44" s="688"/>
      <c r="DE44" s="2950"/>
      <c r="DF44" s="688"/>
      <c r="DG44" s="688"/>
      <c r="DH44" s="688"/>
      <c r="DI44" s="688"/>
      <c r="DJ44" s="688"/>
      <c r="DK44" s="688"/>
      <c r="DL44" s="688"/>
      <c r="DM44" s="688"/>
      <c r="DN44" s="688"/>
      <c r="DO44" s="688"/>
      <c r="DP44" s="688"/>
      <c r="DQ44" s="688"/>
      <c r="DR44" s="688"/>
      <c r="DS44" s="688"/>
      <c r="DT44" s="688"/>
      <c r="DU44" s="688"/>
      <c r="DV44" s="688"/>
      <c r="DW44" s="688"/>
      <c r="DX44" s="688"/>
      <c r="DY44" s="688"/>
    </row>
    <row r="45" s="799" customFormat="1" ht="9" customHeight="1" spans="1:129">
      <c r="BN45" s="2948"/>
      <c r="BO45" s="2948"/>
      <c r="BP45" s="2948"/>
      <c r="BQ45" s="2948"/>
      <c r="BR45" s="2948"/>
      <c r="BS45" s="2948"/>
      <c r="BT45" s="2948"/>
      <c r="BU45" s="2948"/>
      <c r="BV45" s="2948"/>
      <c r="BW45" s="2948"/>
      <c r="BX45" s="2949"/>
      <c r="BY45" s="2948"/>
      <c r="BZ45" s="2948"/>
      <c r="CA45" s="2948"/>
      <c r="CB45" s="2948"/>
      <c r="CC45" s="2948"/>
      <c r="CD45" s="2948"/>
      <c r="CE45" s="2948"/>
      <c r="CF45" s="2948"/>
      <c r="CG45" s="2948"/>
      <c r="CH45" s="2948"/>
      <c r="CI45" s="2948"/>
      <c r="CJ45" s="2950"/>
      <c r="CK45" s="688"/>
      <c r="CL45" s="688"/>
      <c r="CM45" s="688"/>
      <c r="CN45" s="688"/>
      <c r="CO45" s="688"/>
      <c r="CP45" s="688"/>
      <c r="CQ45" s="688"/>
      <c r="CR45" s="688"/>
      <c r="CS45" s="688"/>
      <c r="CT45" s="688"/>
      <c r="CU45" s="688"/>
      <c r="CV45" s="688"/>
      <c r="CW45" s="688"/>
      <c r="CX45" s="688"/>
      <c r="CY45" s="688"/>
      <c r="CZ45" s="688"/>
      <c r="DA45" s="688"/>
      <c r="DB45" s="688"/>
      <c r="DC45" s="688"/>
      <c r="DD45" s="688"/>
      <c r="DE45" s="2950"/>
      <c r="DF45" s="688"/>
      <c r="DG45" s="688"/>
      <c r="DH45" s="688"/>
      <c r="DI45" s="688"/>
      <c r="DJ45" s="688"/>
      <c r="DK45" s="688"/>
      <c r="DL45" s="688"/>
      <c r="DM45" s="688"/>
      <c r="DN45" s="688"/>
      <c r="DO45" s="688"/>
      <c r="DP45" s="688"/>
      <c r="DQ45" s="688"/>
      <c r="DR45" s="688"/>
      <c r="DS45" s="688"/>
      <c r="DT45" s="688"/>
      <c r="DU45" s="688"/>
      <c r="DV45" s="688"/>
      <c r="DW45" s="688"/>
      <c r="DX45" s="688"/>
      <c r="DY45" s="688"/>
    </row>
    <row r="46" s="799" customFormat="1" ht="15" customHeight="1" spans="1:129">
      <c r="A46" s="2944" t="s">
        <v>4089</v>
      </c>
      <c r="B46" s="2944"/>
      <c r="C46" s="2944" t="s">
        <v>6728</v>
      </c>
      <c r="D46" s="2944"/>
      <c r="E46" s="2944"/>
      <c r="F46" s="2944"/>
      <c r="G46" s="2944"/>
      <c r="H46" s="2944"/>
      <c r="I46" s="2944"/>
      <c r="J46" s="2944"/>
      <c r="K46" s="2944"/>
      <c r="L46" s="2944"/>
      <c r="M46" s="2944"/>
      <c r="N46" s="2944"/>
      <c r="O46" s="2944"/>
      <c r="P46" s="2944"/>
      <c r="Q46" s="2944"/>
      <c r="R46" s="2944"/>
      <c r="S46" s="2944"/>
      <c r="T46" s="2944"/>
      <c r="U46" s="2944"/>
      <c r="V46" s="2944" t="s">
        <v>6729</v>
      </c>
      <c r="W46" s="2944"/>
      <c r="X46" s="2944"/>
      <c r="Y46" s="2944"/>
      <c r="Z46" s="2944"/>
      <c r="AA46" s="2944"/>
      <c r="AB46" s="2944"/>
      <c r="AC46" s="2944"/>
      <c r="AD46" s="2944"/>
      <c r="AE46" s="2944"/>
      <c r="AF46" s="2944"/>
      <c r="AG46" s="2944" t="s">
        <v>6730</v>
      </c>
      <c r="AH46" s="2944"/>
      <c r="AI46" s="2944"/>
      <c r="AJ46" s="2944"/>
      <c r="AK46" s="2944"/>
      <c r="AL46" s="2944"/>
      <c r="AM46" s="2944"/>
      <c r="AN46" s="2944"/>
      <c r="AO46" s="2944"/>
      <c r="AP46" s="2944"/>
      <c r="AQ46" s="2950"/>
      <c r="AR46" s="688"/>
      <c r="BN46" s="2948"/>
      <c r="BO46" s="2948"/>
      <c r="BP46" s="2948"/>
      <c r="BQ46" s="2948"/>
      <c r="BR46" s="2948"/>
      <c r="BS46" s="2948"/>
      <c r="BT46" s="2948"/>
      <c r="BU46" s="2948"/>
      <c r="BV46" s="2948"/>
      <c r="BW46" s="2948"/>
      <c r="BX46" s="2949"/>
      <c r="BY46" s="2948"/>
      <c r="BZ46" s="2948"/>
      <c r="CA46" s="2948"/>
      <c r="CB46" s="2948"/>
      <c r="CC46" s="2948"/>
      <c r="CD46" s="2948"/>
      <c r="CE46" s="2948"/>
      <c r="CF46" s="2948"/>
      <c r="CG46" s="2948"/>
      <c r="CH46" s="2948"/>
      <c r="CI46" s="2948"/>
      <c r="CJ46" s="2950"/>
      <c r="CK46" s="688"/>
      <c r="CL46" s="688"/>
      <c r="CM46" s="688"/>
      <c r="CN46" s="688"/>
      <c r="CO46" s="688"/>
      <c r="CP46" s="688"/>
      <c r="CQ46" s="688"/>
      <c r="CR46" s="688"/>
      <c r="CS46" s="688"/>
      <c r="CT46" s="688"/>
      <c r="CU46" s="688"/>
      <c r="CV46" s="688"/>
      <c r="CW46" s="688"/>
      <c r="CX46" s="688"/>
      <c r="CY46" s="688"/>
      <c r="CZ46" s="688"/>
      <c r="DA46" s="688"/>
      <c r="DB46" s="688"/>
      <c r="DC46" s="688"/>
      <c r="DD46" s="688"/>
      <c r="DE46" s="2950"/>
      <c r="DF46" s="688"/>
      <c r="DG46" s="688"/>
      <c r="DH46" s="688"/>
      <c r="DI46" s="688"/>
      <c r="DJ46" s="688"/>
      <c r="DK46" s="688"/>
      <c r="DL46" s="688"/>
      <c r="DM46" s="688"/>
      <c r="DN46" s="688"/>
      <c r="DO46" s="688"/>
      <c r="DP46" s="688"/>
      <c r="DQ46" s="688"/>
      <c r="DR46" s="688"/>
      <c r="DS46" s="688"/>
      <c r="DT46" s="688"/>
      <c r="DU46" s="688"/>
      <c r="DV46" s="688"/>
      <c r="DW46" s="688"/>
      <c r="DX46" s="688"/>
      <c r="DY46" s="688"/>
    </row>
    <row r="47" s="799" customFormat="1" ht="15" customHeight="1" spans="1:129">
      <c r="A47" s="2945">
        <f>UnosPorBilans!B169</f>
        <v>0</v>
      </c>
      <c r="B47" s="2945"/>
      <c r="C47" s="2945"/>
      <c r="D47" s="2945"/>
      <c r="E47" s="2945"/>
      <c r="F47" s="2945"/>
      <c r="G47" s="2945"/>
      <c r="H47" s="2945"/>
      <c r="I47" s="2945"/>
      <c r="J47" s="2945"/>
      <c r="K47" s="2945"/>
      <c r="L47" s="2945"/>
      <c r="M47" s="2945"/>
      <c r="N47" s="2945"/>
      <c r="O47" s="2945"/>
      <c r="P47" s="2945"/>
      <c r="Q47" s="2945"/>
      <c r="R47" s="2945"/>
      <c r="S47" s="2945"/>
      <c r="T47" s="2945"/>
      <c r="U47" s="2945"/>
      <c r="V47" s="2945">
        <f>UnosPorBilans!I169</f>
        <v>0</v>
      </c>
      <c r="W47" s="2945"/>
      <c r="X47" s="2945"/>
      <c r="Y47" s="2945"/>
      <c r="Z47" s="2945"/>
      <c r="AA47" s="2945"/>
      <c r="AB47" s="2945"/>
      <c r="AC47" s="2945"/>
      <c r="AD47" s="2945"/>
      <c r="AE47" s="2945"/>
      <c r="AF47" s="2945"/>
      <c r="AG47" s="2945">
        <f>UnosPorBilans!N169</f>
        <v>0</v>
      </c>
      <c r="AH47" s="2945"/>
      <c r="AI47" s="2945"/>
      <c r="AJ47" s="2945"/>
      <c r="AK47" s="2945"/>
      <c r="AL47" s="2945"/>
      <c r="AM47" s="2945"/>
      <c r="AN47" s="2945"/>
      <c r="AO47" s="2945"/>
      <c r="AP47" s="2945"/>
      <c r="AQ47" s="2950"/>
      <c r="AR47" s="688"/>
      <c r="BN47" s="2948"/>
      <c r="BO47" s="2948"/>
      <c r="BP47" s="2948"/>
      <c r="BQ47" s="2948"/>
      <c r="BR47" s="2948"/>
      <c r="BS47" s="2948"/>
      <c r="BT47" s="2948"/>
      <c r="BU47" s="2948"/>
      <c r="BV47" s="2948"/>
      <c r="BW47" s="2948"/>
      <c r="BX47" s="2949"/>
      <c r="BY47" s="2948"/>
      <c r="BZ47" s="2948"/>
      <c r="CA47" s="2948"/>
      <c r="CB47" s="2948"/>
      <c r="CC47" s="2948"/>
      <c r="CD47" s="2948"/>
      <c r="CE47" s="2948"/>
      <c r="CF47" s="2948"/>
      <c r="CG47" s="2948"/>
      <c r="CH47" s="2948"/>
      <c r="CI47" s="2948"/>
      <c r="CJ47" s="2950"/>
      <c r="CK47" s="688"/>
      <c r="CL47" s="688"/>
      <c r="CM47" s="688"/>
      <c r="CN47" s="688"/>
      <c r="CO47" s="688"/>
      <c r="CP47" s="688"/>
      <c r="CQ47" s="688"/>
      <c r="CR47" s="688"/>
      <c r="CS47" s="688"/>
      <c r="CT47" s="688"/>
      <c r="CU47" s="688"/>
      <c r="CV47" s="688"/>
      <c r="CW47" s="688"/>
      <c r="CX47" s="688"/>
      <c r="CY47" s="688"/>
      <c r="CZ47" s="688"/>
      <c r="DA47" s="688"/>
      <c r="DB47" s="688"/>
      <c r="DC47" s="688"/>
      <c r="DD47" s="688"/>
      <c r="DE47" s="2950"/>
      <c r="DF47" s="688"/>
      <c r="DG47" s="688"/>
      <c r="DH47" s="688"/>
      <c r="DI47" s="688"/>
      <c r="DJ47" s="688"/>
      <c r="DK47" s="688"/>
      <c r="DL47" s="688"/>
      <c r="DM47" s="688"/>
      <c r="DN47" s="688"/>
      <c r="DO47" s="688"/>
      <c r="DP47" s="688"/>
      <c r="DQ47" s="688"/>
      <c r="DR47" s="688"/>
      <c r="DS47" s="688"/>
      <c r="DT47" s="688"/>
      <c r="DU47" s="688"/>
      <c r="DV47" s="688"/>
      <c r="DW47" s="688"/>
      <c r="DX47" s="688"/>
      <c r="DY47" s="688"/>
    </row>
    <row r="48" s="799" customFormat="1" ht="15" customHeight="1" spans="1:129">
      <c r="A48" s="2944" t="s">
        <v>6731</v>
      </c>
      <c r="B48" s="2944"/>
      <c r="C48" s="2944"/>
      <c r="D48" s="2944"/>
      <c r="E48" s="2944"/>
      <c r="F48" s="2944"/>
      <c r="G48" s="2944"/>
      <c r="H48" s="2944"/>
      <c r="I48" s="2944"/>
      <c r="J48" s="2944"/>
      <c r="K48" s="2944" t="s">
        <v>6732</v>
      </c>
      <c r="L48" s="2944"/>
      <c r="M48" s="2944"/>
      <c r="N48" s="2944"/>
      <c r="O48" s="2944"/>
      <c r="P48" s="2944"/>
      <c r="Q48" s="2944"/>
      <c r="R48" s="2944"/>
      <c r="S48" s="2944"/>
      <c r="T48" s="2944"/>
      <c r="U48" s="2944"/>
      <c r="V48" s="2944" t="s">
        <v>6733</v>
      </c>
      <c r="W48" s="2944"/>
      <c r="X48" s="2944"/>
      <c r="Y48" s="2944"/>
      <c r="Z48" s="2944"/>
      <c r="AA48" s="2944"/>
      <c r="AB48" s="2944"/>
      <c r="AC48" s="2944"/>
      <c r="AD48" s="2944"/>
      <c r="AE48" s="2944"/>
      <c r="AF48" s="2944"/>
      <c r="AG48" s="2944" t="s">
        <v>6734</v>
      </c>
      <c r="AH48" s="2944"/>
      <c r="AI48" s="2944"/>
      <c r="AJ48" s="2944"/>
      <c r="AK48" s="2944"/>
      <c r="AL48" s="2944"/>
      <c r="AM48" s="2944"/>
      <c r="AN48" s="2944"/>
      <c r="AO48" s="2944"/>
      <c r="AP48" s="2944"/>
      <c r="AQ48" s="2950"/>
      <c r="AR48" s="688"/>
      <c r="BN48" s="2948"/>
      <c r="BO48" s="2948"/>
      <c r="BP48" s="2948"/>
      <c r="BQ48" s="2948"/>
      <c r="BR48" s="2948"/>
      <c r="BS48" s="2948"/>
      <c r="BT48" s="2948"/>
      <c r="BU48" s="2948"/>
      <c r="BV48" s="2948"/>
      <c r="BW48" s="2948"/>
      <c r="BX48" s="2949"/>
      <c r="BY48" s="2948"/>
      <c r="BZ48" s="2948"/>
      <c r="CA48" s="2948"/>
      <c r="CB48" s="2948"/>
      <c r="CC48" s="2948"/>
      <c r="CD48" s="2948"/>
      <c r="CE48" s="2948"/>
      <c r="CF48" s="2948"/>
      <c r="CG48" s="2948"/>
      <c r="CH48" s="2948"/>
      <c r="CI48" s="2948"/>
      <c r="CJ48" s="2950"/>
      <c r="CK48" s="688"/>
      <c r="CL48" s="688"/>
      <c r="CM48" s="688"/>
      <c r="CN48" s="688"/>
      <c r="CO48" s="688"/>
      <c r="CP48" s="688"/>
      <c r="CQ48" s="688"/>
      <c r="CR48" s="688"/>
      <c r="CS48" s="688"/>
      <c r="CT48" s="688"/>
      <c r="CU48" s="688"/>
      <c r="CV48" s="688"/>
      <c r="CW48" s="688"/>
      <c r="CX48" s="688"/>
      <c r="CY48" s="688"/>
      <c r="CZ48" s="688"/>
      <c r="DA48" s="688"/>
      <c r="DB48" s="688"/>
      <c r="DC48" s="688"/>
      <c r="DD48" s="688"/>
      <c r="DE48" s="2950"/>
      <c r="DF48" s="688"/>
      <c r="DG48" s="688"/>
      <c r="DH48" s="688"/>
      <c r="DI48" s="688"/>
      <c r="DJ48" s="688"/>
      <c r="DK48" s="688"/>
      <c r="DL48" s="688"/>
      <c r="DM48" s="688"/>
      <c r="DN48" s="688"/>
      <c r="DO48" s="688"/>
      <c r="DP48" s="688"/>
      <c r="DQ48" s="688"/>
      <c r="DR48" s="688"/>
      <c r="DS48" s="688"/>
      <c r="DT48" s="688"/>
      <c r="DU48" s="688"/>
      <c r="DV48" s="688"/>
      <c r="DW48" s="688"/>
      <c r="DX48" s="688"/>
      <c r="DY48" s="688"/>
    </row>
    <row r="49" s="799" customFormat="1" ht="15" customHeight="1" spans="1:129">
      <c r="A49" s="2946">
        <f>UnosPorBilans!S169</f>
        <v>0</v>
      </c>
      <c r="B49" s="2946"/>
      <c r="C49" s="2946"/>
      <c r="D49" s="2946"/>
      <c r="E49" s="2946"/>
      <c r="F49" s="2946"/>
      <c r="G49" s="2946"/>
      <c r="H49" s="2946"/>
      <c r="I49" s="2946"/>
      <c r="J49" s="2946"/>
      <c r="K49" s="2946">
        <f>UnosPorBilans!W169</f>
        <v>0</v>
      </c>
      <c r="L49" s="2946"/>
      <c r="M49" s="2946"/>
      <c r="N49" s="2946"/>
      <c r="O49" s="2946"/>
      <c r="P49" s="2946"/>
      <c r="Q49" s="2946"/>
      <c r="R49" s="2946"/>
      <c r="S49" s="2946"/>
      <c r="T49" s="2946"/>
      <c r="U49" s="2946"/>
      <c r="V49" s="2946">
        <f>UnosPorBilans!AB169</f>
        <v>0</v>
      </c>
      <c r="W49" s="2946"/>
      <c r="X49" s="2946"/>
      <c r="Y49" s="2946"/>
      <c r="Z49" s="2946"/>
      <c r="AA49" s="2946"/>
      <c r="AB49" s="2946"/>
      <c r="AC49" s="2946"/>
      <c r="AD49" s="2946"/>
      <c r="AE49" s="2946"/>
      <c r="AF49" s="2946"/>
      <c r="AG49" s="2946">
        <f>UnosPorBilans!AG169</f>
        <v>0</v>
      </c>
      <c r="AH49" s="2946"/>
      <c r="AI49" s="2946"/>
      <c r="AJ49" s="2946"/>
      <c r="AK49" s="2946"/>
      <c r="AL49" s="2946"/>
      <c r="AM49" s="2946"/>
      <c r="AN49" s="2946"/>
      <c r="AO49" s="2946"/>
      <c r="AP49" s="2946"/>
      <c r="CJ49" s="2950"/>
      <c r="CK49" s="688"/>
      <c r="CL49" s="688"/>
      <c r="CM49" s="688"/>
      <c r="CN49" s="688"/>
      <c r="CO49" s="688"/>
      <c r="CP49" s="688"/>
      <c r="CQ49" s="688"/>
      <c r="CR49" s="688"/>
      <c r="CS49" s="688"/>
      <c r="CT49" s="688"/>
      <c r="CU49" s="688"/>
      <c r="CV49" s="688"/>
      <c r="CW49" s="688"/>
      <c r="CX49" s="688"/>
      <c r="CY49" s="688"/>
      <c r="CZ49" s="688"/>
      <c r="DA49" s="688"/>
      <c r="DB49" s="688"/>
      <c r="DC49" s="688"/>
      <c r="DD49" s="688"/>
      <c r="DE49" s="2950"/>
      <c r="DF49" s="688"/>
      <c r="DG49" s="688"/>
      <c r="DH49" s="688"/>
      <c r="DI49" s="688"/>
      <c r="DJ49" s="688"/>
      <c r="DK49" s="688"/>
      <c r="DL49" s="688"/>
      <c r="DM49" s="688"/>
      <c r="DN49" s="688"/>
      <c r="DO49" s="688"/>
      <c r="DP49" s="688"/>
      <c r="DQ49" s="688"/>
      <c r="DR49" s="688"/>
      <c r="DS49" s="688"/>
      <c r="DT49" s="688"/>
      <c r="DU49" s="688"/>
      <c r="DV49" s="688"/>
      <c r="DW49" s="688"/>
      <c r="DX49" s="688"/>
      <c r="DY49" s="688"/>
    </row>
    <row r="50" s="799" customFormat="1" ht="15" customHeight="1" spans="1:129">
      <c r="A50" s="2947" t="s">
        <v>6735</v>
      </c>
      <c r="B50" s="2947"/>
      <c r="C50" s="2947"/>
      <c r="D50" s="2947"/>
      <c r="E50" s="2947"/>
      <c r="F50" s="2947"/>
      <c r="G50" s="2947"/>
      <c r="H50" s="2947"/>
      <c r="I50" s="2947"/>
      <c r="J50" s="2947"/>
      <c r="K50" s="2947"/>
      <c r="L50" s="2947"/>
      <c r="M50" s="2947"/>
      <c r="N50" s="2947"/>
      <c r="O50" s="2947"/>
      <c r="P50" s="2947"/>
      <c r="Q50" s="2947"/>
      <c r="R50" s="2947"/>
      <c r="S50" s="2947"/>
      <c r="T50" s="2947"/>
      <c r="U50" s="2947"/>
      <c r="V50" s="2947" t="s">
        <v>6736</v>
      </c>
      <c r="W50" s="2947"/>
      <c r="X50" s="2947"/>
      <c r="Y50" s="2947"/>
      <c r="Z50" s="2947"/>
      <c r="AA50" s="2947"/>
      <c r="AB50" s="2947"/>
      <c r="AC50" s="2947"/>
      <c r="AD50" s="2947"/>
      <c r="AE50" s="2947"/>
      <c r="AF50" s="2947"/>
      <c r="AG50" s="2947"/>
      <c r="AH50" s="2947"/>
      <c r="AI50" s="2947"/>
      <c r="AJ50" s="2947"/>
      <c r="AK50" s="2947"/>
      <c r="AL50" s="2947"/>
      <c r="AM50" s="2947"/>
      <c r="AN50" s="2947"/>
      <c r="AO50" s="2947"/>
      <c r="AP50" s="2947"/>
      <c r="AQ50" s="2950"/>
      <c r="AR50" s="688"/>
      <c r="BN50" s="2948"/>
      <c r="BO50" s="2948"/>
      <c r="BP50" s="2948"/>
      <c r="BQ50" s="2948"/>
      <c r="BR50" s="2948"/>
      <c r="BS50" s="2948"/>
      <c r="BT50" s="2948"/>
      <c r="BU50" s="2948"/>
      <c r="BV50" s="2948"/>
      <c r="BW50" s="2948"/>
      <c r="BX50" s="2949"/>
      <c r="BY50" s="2948"/>
      <c r="BZ50" s="2948"/>
      <c r="CA50" s="2948"/>
      <c r="CB50" s="2948"/>
      <c r="CC50" s="2948"/>
      <c r="CD50" s="2948"/>
      <c r="CE50" s="2948"/>
      <c r="CF50" s="2948"/>
      <c r="CG50" s="2948"/>
      <c r="CH50" s="2948"/>
      <c r="CI50" s="2948"/>
      <c r="CJ50" s="2950"/>
      <c r="CK50" s="688"/>
      <c r="CL50" s="688"/>
      <c r="CM50" s="688"/>
      <c r="CN50" s="688"/>
      <c r="CO50" s="688"/>
      <c r="CP50" s="688"/>
      <c r="CQ50" s="688"/>
      <c r="CR50" s="688"/>
      <c r="CS50" s="688"/>
      <c r="CT50" s="688"/>
      <c r="CU50" s="688"/>
      <c r="CV50" s="688"/>
      <c r="CW50" s="688"/>
      <c r="CX50" s="688"/>
      <c r="CY50" s="688"/>
      <c r="CZ50" s="688"/>
      <c r="DA50" s="688"/>
      <c r="DB50" s="688"/>
      <c r="DC50" s="688"/>
      <c r="DD50" s="688"/>
      <c r="DE50" s="2950"/>
      <c r="DF50" s="688"/>
      <c r="DG50" s="688"/>
      <c r="DH50" s="688"/>
      <c r="DI50" s="688"/>
      <c r="DJ50" s="688"/>
      <c r="DK50" s="688"/>
      <c r="DL50" s="688"/>
      <c r="DM50" s="688"/>
      <c r="DN50" s="688"/>
      <c r="DO50" s="688"/>
      <c r="DP50" s="688"/>
      <c r="DQ50" s="688"/>
      <c r="DR50" s="688"/>
      <c r="DS50" s="688"/>
      <c r="DT50" s="688"/>
      <c r="DU50" s="688"/>
      <c r="DV50" s="688"/>
      <c r="DW50" s="688"/>
      <c r="DX50" s="688"/>
      <c r="DY50" s="688"/>
    </row>
    <row r="51" s="799" customFormat="1" ht="15" customHeight="1" spans="1:129">
      <c r="A51" s="2946">
        <f>UnosPorBilans!AL169</f>
        <v>0</v>
      </c>
      <c r="B51" s="2946"/>
      <c r="C51" s="2946"/>
      <c r="D51" s="2946"/>
      <c r="E51" s="2946"/>
      <c r="F51" s="2946"/>
      <c r="G51" s="2946"/>
      <c r="H51" s="2946"/>
      <c r="I51" s="2946"/>
      <c r="J51" s="2946"/>
      <c r="K51" s="2946"/>
      <c r="L51" s="2946"/>
      <c r="M51" s="2946"/>
      <c r="N51" s="2946"/>
      <c r="O51" s="2946"/>
      <c r="P51" s="2946"/>
      <c r="Q51" s="2946"/>
      <c r="R51" s="2946"/>
      <c r="S51" s="2946"/>
      <c r="T51" s="2946"/>
      <c r="U51" s="2946"/>
      <c r="V51" s="2946">
        <f>UnosPorBilans!AS169</f>
        <v>0</v>
      </c>
      <c r="W51" s="2946"/>
      <c r="X51" s="2946"/>
      <c r="Y51" s="2946"/>
      <c r="Z51" s="2946"/>
      <c r="AA51" s="2946"/>
      <c r="AB51" s="2946"/>
      <c r="AC51" s="2946"/>
      <c r="AD51" s="2946"/>
      <c r="AE51" s="2946"/>
      <c r="AF51" s="2946"/>
      <c r="AG51" s="2946"/>
      <c r="AH51" s="2946"/>
      <c r="AI51" s="2946"/>
      <c r="AJ51" s="2946"/>
      <c r="AK51" s="2946"/>
      <c r="AL51" s="2946"/>
      <c r="AM51" s="2946"/>
      <c r="AN51" s="2946"/>
      <c r="AO51" s="2946"/>
      <c r="AP51" s="2946"/>
      <c r="AQ51" s="2950"/>
      <c r="AR51" s="688"/>
      <c r="BN51" s="2948"/>
      <c r="BO51" s="2948"/>
      <c r="BP51" s="2948"/>
      <c r="BQ51" s="2948"/>
      <c r="BR51" s="2948"/>
      <c r="BS51" s="2948"/>
      <c r="BT51" s="2948"/>
      <c r="BU51" s="2948"/>
      <c r="BV51" s="2948"/>
      <c r="BW51" s="2948"/>
      <c r="BX51" s="2949"/>
      <c r="BY51" s="2948"/>
      <c r="BZ51" s="2948"/>
      <c r="CA51" s="2948"/>
      <c r="CB51" s="2948"/>
      <c r="CC51" s="2948"/>
      <c r="CD51" s="2948"/>
      <c r="CE51" s="2948"/>
      <c r="CF51" s="2948"/>
      <c r="CG51" s="2948"/>
      <c r="CH51" s="2948"/>
      <c r="CI51" s="2948"/>
      <c r="CJ51" s="2950"/>
      <c r="CK51" s="688"/>
      <c r="CL51" s="688"/>
      <c r="CM51" s="688"/>
      <c r="CN51" s="688"/>
      <c r="CO51" s="688"/>
      <c r="CP51" s="688"/>
      <c r="CQ51" s="688"/>
      <c r="CR51" s="688"/>
      <c r="CS51" s="688"/>
      <c r="CT51" s="688"/>
      <c r="CU51" s="688"/>
      <c r="CV51" s="688"/>
      <c r="CW51" s="688"/>
      <c r="CX51" s="688"/>
      <c r="CY51" s="688"/>
      <c r="CZ51" s="688"/>
      <c r="DA51" s="688"/>
      <c r="DB51" s="688"/>
      <c r="DC51" s="688"/>
      <c r="DD51" s="688"/>
      <c r="DE51" s="2950"/>
      <c r="DF51" s="688"/>
      <c r="DG51" s="688"/>
      <c r="DH51" s="688"/>
      <c r="DI51" s="688"/>
      <c r="DJ51" s="688"/>
      <c r="DK51" s="688"/>
      <c r="DL51" s="688"/>
      <c r="DM51" s="688"/>
      <c r="DN51" s="688"/>
      <c r="DO51" s="688"/>
      <c r="DP51" s="688"/>
      <c r="DQ51" s="688"/>
      <c r="DR51" s="688"/>
      <c r="DS51" s="688"/>
      <c r="DT51" s="688"/>
      <c r="DU51" s="688"/>
      <c r="DV51" s="688"/>
      <c r="DW51" s="688"/>
      <c r="DX51" s="688"/>
      <c r="DY51" s="688"/>
    </row>
    <row r="52" s="799" customFormat="1" ht="6" customHeight="1" spans="1:129">
      <c r="BN52" s="2948"/>
      <c r="BO52" s="2948"/>
      <c r="BP52" s="2948"/>
      <c r="BQ52" s="2948"/>
      <c r="BR52" s="2948"/>
      <c r="BS52" s="2948"/>
      <c r="BT52" s="2948"/>
      <c r="BU52" s="2948"/>
      <c r="BV52" s="2948"/>
      <c r="BW52" s="2948"/>
      <c r="BX52" s="2949"/>
      <c r="BY52" s="2948"/>
      <c r="BZ52" s="2948"/>
      <c r="CA52" s="2948"/>
      <c r="CB52" s="2948"/>
      <c r="CC52" s="2948"/>
      <c r="CD52" s="2948"/>
      <c r="CE52" s="2948"/>
      <c r="CF52" s="2948"/>
      <c r="CG52" s="2948"/>
      <c r="CH52" s="2948"/>
      <c r="CI52" s="2948"/>
      <c r="CJ52" s="2950"/>
      <c r="CK52" s="688"/>
      <c r="CL52" s="688"/>
      <c r="CM52" s="688"/>
      <c r="CN52" s="688"/>
      <c r="CO52" s="688"/>
      <c r="CP52" s="688"/>
      <c r="CQ52" s="688"/>
      <c r="CR52" s="688"/>
      <c r="CS52" s="688"/>
      <c r="CT52" s="688"/>
      <c r="CU52" s="688"/>
      <c r="CV52" s="688"/>
      <c r="CW52" s="688"/>
      <c r="CX52" s="688"/>
      <c r="CY52" s="688"/>
      <c r="CZ52" s="688"/>
      <c r="DA52" s="688"/>
      <c r="DB52" s="688"/>
      <c r="DC52" s="688"/>
      <c r="DD52" s="688"/>
      <c r="DE52" s="2950"/>
      <c r="DF52" s="688"/>
      <c r="DG52" s="688"/>
      <c r="DH52" s="688"/>
      <c r="DI52" s="688"/>
      <c r="DJ52" s="688"/>
      <c r="DK52" s="688"/>
      <c r="DL52" s="688"/>
      <c r="DM52" s="688"/>
      <c r="DN52" s="688"/>
      <c r="DO52" s="688"/>
      <c r="DP52" s="688"/>
      <c r="DQ52" s="688"/>
      <c r="DR52" s="688"/>
      <c r="DS52" s="688"/>
      <c r="DT52" s="688"/>
      <c r="DU52" s="688"/>
      <c r="DV52" s="688"/>
      <c r="DW52" s="688"/>
      <c r="DX52" s="688"/>
      <c r="DY52" s="688"/>
    </row>
    <row r="53" s="799" customFormat="1" ht="16.5" customHeight="1" spans="1:129">
      <c r="A53" s="2944" t="s">
        <v>4091</v>
      </c>
      <c r="B53" s="2944"/>
      <c r="C53" s="2944" t="s">
        <v>6737</v>
      </c>
      <c r="D53" s="2944"/>
      <c r="E53" s="2944"/>
      <c r="F53" s="2944"/>
      <c r="G53" s="2944"/>
      <c r="H53" s="2944"/>
      <c r="I53" s="2944"/>
      <c r="J53" s="2944"/>
      <c r="K53" s="2944"/>
      <c r="L53" s="2944"/>
      <c r="M53" s="2944"/>
      <c r="N53" s="2944"/>
      <c r="O53" s="2944"/>
      <c r="P53" s="2944"/>
      <c r="Q53" s="2944"/>
      <c r="R53" s="2944"/>
      <c r="S53" s="2944"/>
      <c r="T53" s="2944"/>
      <c r="U53" s="2944"/>
      <c r="V53" s="2944" t="s">
        <v>6738</v>
      </c>
      <c r="W53" s="2944"/>
      <c r="X53" s="2944"/>
      <c r="Y53" s="2944"/>
      <c r="Z53" s="2944"/>
      <c r="AA53" s="2944"/>
      <c r="AB53" s="2944"/>
      <c r="AC53" s="2944"/>
      <c r="AD53" s="2944"/>
      <c r="AE53" s="2944"/>
      <c r="AF53" s="2944"/>
      <c r="AG53" s="2944" t="s">
        <v>6739</v>
      </c>
      <c r="AH53" s="2944"/>
      <c r="AI53" s="2944"/>
      <c r="AJ53" s="2944"/>
      <c r="AK53" s="2944"/>
      <c r="AL53" s="2944"/>
      <c r="AM53" s="2944"/>
      <c r="AN53" s="2944"/>
      <c r="AO53" s="2944"/>
      <c r="AP53" s="2944"/>
      <c r="AQ53" s="2950"/>
      <c r="AR53" s="688"/>
      <c r="BN53" s="2948"/>
      <c r="BO53" s="2948"/>
      <c r="BP53" s="2948"/>
      <c r="BQ53" s="2948"/>
      <c r="BR53" s="2948"/>
      <c r="BS53" s="2948"/>
      <c r="BT53" s="2948"/>
      <c r="BU53" s="2948"/>
      <c r="BV53" s="2948"/>
      <c r="BW53" s="2948"/>
      <c r="BX53" s="2949"/>
      <c r="BY53" s="2948"/>
      <c r="BZ53" s="2948"/>
      <c r="CA53" s="2948"/>
      <c r="CB53" s="2948"/>
      <c r="CC53" s="2948"/>
      <c r="CD53" s="2948"/>
      <c r="CE53" s="2948"/>
      <c r="CF53" s="2948"/>
      <c r="CG53" s="2948"/>
      <c r="CH53" s="2948"/>
      <c r="CI53" s="2948"/>
      <c r="CJ53" s="2950"/>
      <c r="CK53" s="688"/>
      <c r="CL53" s="688"/>
      <c r="CM53" s="688"/>
      <c r="CN53" s="688"/>
      <c r="CO53" s="688"/>
      <c r="CP53" s="688"/>
      <c r="CQ53" s="688"/>
      <c r="CR53" s="688"/>
      <c r="CS53" s="688"/>
      <c r="CT53" s="688"/>
      <c r="CU53" s="688"/>
      <c r="CV53" s="688"/>
      <c r="CW53" s="688"/>
      <c r="CX53" s="688"/>
      <c r="CY53" s="688"/>
      <c r="CZ53" s="688"/>
      <c r="DA53" s="688"/>
      <c r="DB53" s="688"/>
      <c r="DC53" s="688"/>
      <c r="DD53" s="688"/>
      <c r="DE53" s="2950"/>
      <c r="DF53" s="688"/>
      <c r="DG53" s="688"/>
      <c r="DH53" s="688"/>
      <c r="DI53" s="688"/>
      <c r="DJ53" s="688"/>
      <c r="DK53" s="688"/>
      <c r="DL53" s="688"/>
      <c r="DM53" s="688"/>
      <c r="DN53" s="688"/>
      <c r="DO53" s="688"/>
      <c r="DP53" s="688"/>
      <c r="DQ53" s="688"/>
      <c r="DR53" s="688"/>
      <c r="DS53" s="688"/>
      <c r="DT53" s="688"/>
      <c r="DU53" s="688"/>
      <c r="DV53" s="688"/>
      <c r="DW53" s="688"/>
      <c r="DX53" s="688"/>
      <c r="DY53" s="688"/>
    </row>
    <row r="54" customFormat="1" ht="16.5" customHeight="1" spans="1:129">
      <c r="A54" s="2945">
        <f>UnosPorBilans!B170</f>
        <v>0</v>
      </c>
      <c r="B54" s="2945"/>
      <c r="C54" s="2945"/>
      <c r="D54" s="2945"/>
      <c r="E54" s="2945"/>
      <c r="F54" s="2945"/>
      <c r="G54" s="2945"/>
      <c r="H54" s="2945"/>
      <c r="I54" s="2945"/>
      <c r="J54" s="2945"/>
      <c r="K54" s="2945"/>
      <c r="L54" s="2945"/>
      <c r="M54" s="2945"/>
      <c r="N54" s="2945"/>
      <c r="O54" s="2945"/>
      <c r="P54" s="2945"/>
      <c r="Q54" s="2945"/>
      <c r="R54" s="2945"/>
      <c r="S54" s="2945"/>
      <c r="T54" s="2945"/>
      <c r="U54" s="2945"/>
      <c r="V54" s="2945">
        <f>UnosPorBilans!I170</f>
        <v>0</v>
      </c>
      <c r="W54" s="2945"/>
      <c r="X54" s="2945"/>
      <c r="Y54" s="2945"/>
      <c r="Z54" s="2945"/>
      <c r="AA54" s="2945"/>
      <c r="AB54" s="2945"/>
      <c r="AC54" s="2945"/>
      <c r="AD54" s="2945"/>
      <c r="AE54" s="2945"/>
      <c r="AF54" s="2945"/>
      <c r="AG54" s="2945">
        <f>UnosPorBilans!N170</f>
        <v>0</v>
      </c>
      <c r="AH54" s="2945"/>
      <c r="AI54" s="2945"/>
      <c r="AJ54" s="2945"/>
      <c r="AK54" s="2945"/>
      <c r="AL54" s="2945"/>
      <c r="AM54" s="2945"/>
      <c r="AN54" s="2945"/>
      <c r="AO54" s="2945"/>
      <c r="AP54" s="2945"/>
      <c r="AS54" s="690"/>
      <c r="AT54" s="690"/>
      <c r="AU54" s="690"/>
      <c r="AV54" s="690"/>
      <c r="AW54" s="690"/>
      <c r="AX54" s="690"/>
      <c r="AY54" s="690"/>
      <c r="AZ54" s="690"/>
      <c r="BA54" s="690"/>
      <c r="BB54" s="690"/>
      <c r="BC54" s="690"/>
      <c r="BD54" s="690"/>
      <c r="BE54" s="690"/>
      <c r="BF54" s="690"/>
      <c r="BG54" s="690"/>
      <c r="BH54" s="690"/>
      <c r="BI54" s="690"/>
      <c r="BJ54" s="690"/>
      <c r="BK54" s="690"/>
      <c r="BL54" s="690"/>
      <c r="BM54" s="690"/>
    </row>
    <row r="55" s="799" customFormat="1" ht="16.5" customHeight="1" spans="1:129">
      <c r="A55" s="2944" t="s">
        <v>6740</v>
      </c>
      <c r="B55" s="2944"/>
      <c r="C55" s="2944"/>
      <c r="D55" s="2944"/>
      <c r="E55" s="2944"/>
      <c r="F55" s="2944"/>
      <c r="G55" s="2944"/>
      <c r="H55" s="2944"/>
      <c r="I55" s="2944"/>
      <c r="J55" s="2944"/>
      <c r="K55" s="2944" t="s">
        <v>6698</v>
      </c>
      <c r="L55" s="2944"/>
      <c r="M55" s="2944"/>
      <c r="N55" s="2944"/>
      <c r="O55" s="2944"/>
      <c r="P55" s="2944"/>
      <c r="Q55" s="2944"/>
      <c r="R55" s="2944"/>
      <c r="S55" s="2944"/>
      <c r="T55" s="2944"/>
      <c r="U55" s="2944"/>
      <c r="V55" s="2944" t="s">
        <v>6741</v>
      </c>
      <c r="W55" s="2944"/>
      <c r="X55" s="2944"/>
      <c r="Y55" s="2944"/>
      <c r="Z55" s="2944"/>
      <c r="AA55" s="2944"/>
      <c r="AB55" s="2944"/>
      <c r="AC55" s="2944"/>
      <c r="AD55" s="2944"/>
      <c r="AE55" s="2944"/>
      <c r="AF55" s="2944"/>
      <c r="AG55" s="2944" t="s">
        <v>6742</v>
      </c>
      <c r="AH55" s="2944"/>
      <c r="AI55" s="2944"/>
      <c r="AJ55" s="2944"/>
      <c r="AK55" s="2944"/>
      <c r="AL55" s="2944"/>
      <c r="AM55" s="2944"/>
      <c r="AN55" s="2944"/>
      <c r="AO55" s="2944"/>
      <c r="AP55" s="2944"/>
      <c r="AQ55" s="2950"/>
      <c r="AR55" s="688"/>
      <c r="BN55" s="2948"/>
      <c r="BO55" s="2948"/>
      <c r="BP55" s="2948"/>
      <c r="BQ55" s="2948"/>
      <c r="BR55" s="2948"/>
      <c r="BS55" s="2948"/>
      <c r="BT55" s="2948"/>
      <c r="BU55" s="2948"/>
      <c r="BV55" s="2948"/>
      <c r="BW55" s="2948"/>
      <c r="BX55" s="2949"/>
      <c r="BY55" s="2948"/>
      <c r="BZ55" s="2948"/>
      <c r="CA55" s="2948"/>
      <c r="CB55" s="2948"/>
      <c r="CC55" s="2948"/>
      <c r="CD55" s="2948"/>
      <c r="CE55" s="2948"/>
      <c r="CF55" s="2948"/>
      <c r="CG55" s="2948"/>
      <c r="CH55" s="2948"/>
      <c r="CI55" s="2948"/>
      <c r="CJ55" s="2950"/>
      <c r="CK55" s="688"/>
      <c r="CL55" s="688"/>
      <c r="CM55" s="688"/>
      <c r="CN55" s="688"/>
      <c r="CO55" s="688"/>
      <c r="CP55" s="688"/>
      <c r="CQ55" s="688"/>
      <c r="CR55" s="688"/>
      <c r="CS55" s="688"/>
      <c r="CT55" s="688"/>
      <c r="CU55" s="688"/>
      <c r="CV55" s="688"/>
      <c r="CW55" s="688"/>
      <c r="CX55" s="688"/>
      <c r="CY55" s="688"/>
      <c r="CZ55" s="688"/>
      <c r="DA55" s="688"/>
      <c r="DB55" s="688"/>
      <c r="DC55" s="688"/>
      <c r="DD55" s="688"/>
      <c r="DE55" s="2950"/>
      <c r="DF55" s="688"/>
      <c r="DG55" s="688"/>
      <c r="DH55" s="688"/>
      <c r="DI55" s="688"/>
      <c r="DJ55" s="688"/>
      <c r="DK55" s="688"/>
      <c r="DL55" s="688"/>
      <c r="DM55" s="688"/>
      <c r="DN55" s="688"/>
      <c r="DO55" s="688"/>
      <c r="DP55" s="688"/>
      <c r="DQ55" s="688"/>
      <c r="DR55" s="688"/>
      <c r="DS55" s="688"/>
      <c r="DT55" s="688"/>
      <c r="DU55" s="688"/>
      <c r="DV55" s="688"/>
      <c r="DW55" s="688"/>
      <c r="DX55" s="688"/>
      <c r="DY55" s="688"/>
    </row>
    <row r="56" s="799" customFormat="1" ht="16.5" customHeight="1" spans="1:129">
      <c r="A56" s="2946">
        <f>UnosPorBilans!S170</f>
        <v>0</v>
      </c>
      <c r="B56" s="2946"/>
      <c r="C56" s="2946"/>
      <c r="D56" s="2946"/>
      <c r="E56" s="2946"/>
      <c r="F56" s="2946"/>
      <c r="G56" s="2946"/>
      <c r="H56" s="2946"/>
      <c r="I56" s="2946"/>
      <c r="J56" s="2946"/>
      <c r="K56" s="2946">
        <f>UnosPorBilans!W170</f>
        <v>0</v>
      </c>
      <c r="L56" s="2946"/>
      <c r="M56" s="2946"/>
      <c r="N56" s="2946"/>
      <c r="O56" s="2946"/>
      <c r="P56" s="2946"/>
      <c r="Q56" s="2946"/>
      <c r="R56" s="2946"/>
      <c r="S56" s="2946"/>
      <c r="T56" s="2946"/>
      <c r="U56" s="2946"/>
      <c r="V56" s="2946">
        <f>UnosPorBilans!AB170</f>
        <v>0</v>
      </c>
      <c r="W56" s="2946"/>
      <c r="X56" s="2946"/>
      <c r="Y56" s="2946"/>
      <c r="Z56" s="2946"/>
      <c r="AA56" s="2946"/>
      <c r="AB56" s="2946"/>
      <c r="AC56" s="2946"/>
      <c r="AD56" s="2946"/>
      <c r="AE56" s="2946"/>
      <c r="AF56" s="2946"/>
      <c r="AG56" s="2946">
        <f>UnosPorBilans!AG170</f>
        <v>0</v>
      </c>
      <c r="AH56" s="2946"/>
      <c r="AI56" s="2946"/>
      <c r="AJ56" s="2946"/>
      <c r="AK56" s="2946"/>
      <c r="AL56" s="2946"/>
      <c r="AM56" s="2946"/>
      <c r="AN56" s="2946"/>
      <c r="AO56" s="2946"/>
      <c r="AP56" s="2946"/>
      <c r="CJ56" s="2950"/>
      <c r="CK56" s="688"/>
      <c r="CL56" s="688"/>
      <c r="CM56" s="688"/>
      <c r="CN56" s="688"/>
      <c r="CO56" s="688"/>
      <c r="CP56" s="688"/>
      <c r="CQ56" s="688"/>
      <c r="CR56" s="688"/>
      <c r="CS56" s="688"/>
      <c r="CT56" s="688"/>
      <c r="CU56" s="688"/>
      <c r="CV56" s="688"/>
      <c r="CW56" s="688"/>
      <c r="CX56" s="688"/>
      <c r="CY56" s="688"/>
      <c r="CZ56" s="688"/>
      <c r="DA56" s="688"/>
      <c r="DB56" s="688"/>
      <c r="DC56" s="688"/>
      <c r="DD56" s="688"/>
      <c r="DE56" s="2950"/>
      <c r="DF56" s="688"/>
      <c r="DG56" s="688"/>
      <c r="DH56" s="688"/>
      <c r="DI56" s="688"/>
      <c r="DJ56" s="688"/>
      <c r="DK56" s="688"/>
      <c r="DL56" s="688"/>
      <c r="DM56" s="688"/>
      <c r="DN56" s="688"/>
      <c r="DO56" s="688"/>
      <c r="DP56" s="688"/>
      <c r="DQ56" s="688"/>
      <c r="DR56" s="688"/>
      <c r="DS56" s="688"/>
      <c r="DT56" s="688"/>
      <c r="DU56" s="688"/>
      <c r="DV56" s="688"/>
      <c r="DW56" s="688"/>
      <c r="DX56" s="688"/>
      <c r="DY56" s="688"/>
    </row>
    <row r="57" s="799" customFormat="1" ht="16.5" customHeight="1" spans="1:129">
      <c r="A57" s="2947" t="s">
        <v>6743</v>
      </c>
      <c r="B57" s="2947"/>
      <c r="C57" s="2947"/>
      <c r="D57" s="2947"/>
      <c r="E57" s="2947"/>
      <c r="F57" s="2947"/>
      <c r="G57" s="2947"/>
      <c r="H57" s="2947"/>
      <c r="I57" s="2947"/>
      <c r="J57" s="2947"/>
      <c r="K57" s="2947"/>
      <c r="L57" s="2947"/>
      <c r="M57" s="2947"/>
      <c r="N57" s="2947"/>
      <c r="O57" s="2947"/>
      <c r="P57" s="2947"/>
      <c r="Q57" s="2947"/>
      <c r="R57" s="2947"/>
      <c r="S57" s="2947"/>
      <c r="T57" s="2947"/>
      <c r="U57" s="2947"/>
      <c r="V57" s="2947" t="s">
        <v>6744</v>
      </c>
      <c r="W57" s="2947"/>
      <c r="X57" s="2947"/>
      <c r="Y57" s="2947"/>
      <c r="Z57" s="2947"/>
      <c r="AA57" s="2947"/>
      <c r="AB57" s="2947"/>
      <c r="AC57" s="2947"/>
      <c r="AD57" s="2947"/>
      <c r="AE57" s="2947"/>
      <c r="AF57" s="2947"/>
      <c r="AG57" s="2947"/>
      <c r="AH57" s="2947"/>
      <c r="AI57" s="2947"/>
      <c r="AJ57" s="2947"/>
      <c r="AK57" s="2947"/>
      <c r="AL57" s="2947"/>
      <c r="AM57" s="2947"/>
      <c r="AN57" s="2947"/>
      <c r="AO57" s="2947"/>
      <c r="AP57" s="2947"/>
      <c r="AQ57" s="2950"/>
      <c r="AR57" s="688"/>
      <c r="BN57" s="2948"/>
      <c r="BO57" s="2948"/>
      <c r="BP57" s="2948"/>
      <c r="BQ57" s="2948"/>
      <c r="BR57" s="2948"/>
      <c r="BS57" s="2948"/>
      <c r="BT57" s="2948"/>
      <c r="BU57" s="2948"/>
      <c r="BV57" s="2948"/>
      <c r="BW57" s="2948"/>
      <c r="BX57" s="2949"/>
      <c r="BY57" s="2948"/>
      <c r="BZ57" s="2948"/>
      <c r="CA57" s="2948"/>
      <c r="CB57" s="2948"/>
      <c r="CC57" s="2948"/>
      <c r="CD57" s="2948"/>
      <c r="CE57" s="2948"/>
      <c r="CF57" s="2948"/>
      <c r="CG57" s="2948"/>
      <c r="CH57" s="2948"/>
      <c r="CI57" s="2948"/>
      <c r="CJ57" s="2950"/>
      <c r="CK57" s="688"/>
      <c r="CL57" s="688"/>
      <c r="CM57" s="688"/>
      <c r="CN57" s="688"/>
      <c r="CO57" s="688"/>
      <c r="CP57" s="688"/>
      <c r="CQ57" s="688"/>
      <c r="CR57" s="688"/>
      <c r="CS57" s="688"/>
      <c r="CT57" s="688"/>
      <c r="CU57" s="688"/>
      <c r="CV57" s="688"/>
      <c r="CW57" s="688"/>
      <c r="CX57" s="688"/>
      <c r="CY57" s="688"/>
      <c r="CZ57" s="688"/>
      <c r="DA57" s="688"/>
      <c r="DB57" s="688"/>
      <c r="DC57" s="688"/>
      <c r="DD57" s="688"/>
      <c r="DE57" s="2950"/>
      <c r="DF57" s="688"/>
      <c r="DG57" s="688"/>
      <c r="DH57" s="688"/>
      <c r="DI57" s="688"/>
      <c r="DJ57" s="688"/>
      <c r="DK57" s="688"/>
      <c r="DL57" s="688"/>
      <c r="DM57" s="688"/>
      <c r="DN57" s="688"/>
      <c r="DO57" s="688"/>
      <c r="DP57" s="688"/>
      <c r="DQ57" s="688"/>
      <c r="DR57" s="688"/>
      <c r="DS57" s="688"/>
      <c r="DT57" s="688"/>
      <c r="DU57" s="688"/>
      <c r="DV57" s="688"/>
      <c r="DW57" s="688"/>
      <c r="DX57" s="688"/>
      <c r="DY57" s="688"/>
    </row>
    <row r="58" s="799" customFormat="1" ht="16.5" customHeight="1" spans="1:129">
      <c r="A58" s="2946">
        <f>UnosPorBilans!AL170</f>
        <v>0</v>
      </c>
      <c r="B58" s="2946"/>
      <c r="C58" s="2946"/>
      <c r="D58" s="2946"/>
      <c r="E58" s="2946"/>
      <c r="F58" s="2946"/>
      <c r="G58" s="2946"/>
      <c r="H58" s="2946"/>
      <c r="I58" s="2946"/>
      <c r="J58" s="2946"/>
      <c r="K58" s="2946"/>
      <c r="L58" s="2946"/>
      <c r="M58" s="2946"/>
      <c r="N58" s="2946"/>
      <c r="O58" s="2946"/>
      <c r="P58" s="2946"/>
      <c r="Q58" s="2946"/>
      <c r="R58" s="2946"/>
      <c r="S58" s="2946"/>
      <c r="T58" s="2946"/>
      <c r="U58" s="2946"/>
      <c r="V58" s="2946">
        <f>UnosPorBilans!AS170</f>
        <v>0</v>
      </c>
      <c r="W58" s="2946"/>
      <c r="X58" s="2946"/>
      <c r="Y58" s="2946"/>
      <c r="Z58" s="2946"/>
      <c r="AA58" s="2946"/>
      <c r="AB58" s="2946"/>
      <c r="AC58" s="2946"/>
      <c r="AD58" s="2946"/>
      <c r="AE58" s="2946"/>
      <c r="AF58" s="2946"/>
      <c r="AG58" s="2946"/>
      <c r="AH58" s="2946"/>
      <c r="AI58" s="2946"/>
      <c r="AJ58" s="2946"/>
      <c r="AK58" s="2946"/>
      <c r="AL58" s="2946"/>
      <c r="AM58" s="2946"/>
      <c r="AN58" s="2946"/>
      <c r="AO58" s="2946"/>
      <c r="AP58" s="2946"/>
      <c r="AQ58" s="2950"/>
      <c r="AR58" s="688"/>
      <c r="BN58" s="2948"/>
      <c r="BO58" s="2948"/>
      <c r="BP58" s="2948"/>
      <c r="BQ58" s="2948"/>
      <c r="BR58" s="2948"/>
      <c r="BS58" s="2948"/>
      <c r="BT58" s="2948"/>
      <c r="BU58" s="2948"/>
      <c r="BV58" s="2948"/>
      <c r="BW58" s="2948"/>
      <c r="BX58" s="2949"/>
      <c r="BY58" s="2948"/>
      <c r="BZ58" s="2948"/>
      <c r="CA58" s="2948"/>
      <c r="CB58" s="2948"/>
      <c r="CC58" s="2948"/>
      <c r="CD58" s="2948"/>
      <c r="CE58" s="2948"/>
      <c r="CF58" s="2948"/>
      <c r="CG58" s="2948"/>
      <c r="CH58" s="2948"/>
      <c r="CI58" s="2948"/>
      <c r="CJ58" s="2950"/>
      <c r="CK58" s="688"/>
      <c r="CL58" s="688"/>
      <c r="CM58" s="688"/>
      <c r="CN58" s="688"/>
      <c r="CO58" s="688"/>
      <c r="CP58" s="688"/>
      <c r="CQ58" s="688"/>
      <c r="CR58" s="688"/>
      <c r="CS58" s="688"/>
      <c r="CT58" s="688"/>
      <c r="CU58" s="688"/>
      <c r="CV58" s="688"/>
      <c r="CW58" s="688"/>
      <c r="CX58" s="688"/>
      <c r="CY58" s="688"/>
      <c r="CZ58" s="688"/>
      <c r="DA58" s="688"/>
      <c r="DB58" s="688"/>
      <c r="DC58" s="688"/>
      <c r="DD58" s="688"/>
      <c r="DE58" s="2950"/>
      <c r="DF58" s="688"/>
      <c r="DG58" s="688"/>
      <c r="DH58" s="688"/>
      <c r="DI58" s="688"/>
      <c r="DJ58" s="688"/>
      <c r="DK58" s="688"/>
      <c r="DL58" s="688"/>
      <c r="DM58" s="688"/>
      <c r="DN58" s="688"/>
      <c r="DO58" s="688"/>
      <c r="DP58" s="688"/>
      <c r="DQ58" s="688"/>
      <c r="DR58" s="688"/>
      <c r="DS58" s="688"/>
      <c r="DT58" s="688"/>
      <c r="DU58" s="688"/>
      <c r="DV58" s="688"/>
      <c r="DW58" s="688"/>
      <c r="DX58" s="688"/>
      <c r="DY58" s="688"/>
    </row>
    <row r="59" s="799" customFormat="1" customHeight="1" spans="1:129">
      <c r="BN59" s="2948"/>
      <c r="BO59" s="2948"/>
      <c r="BP59" s="2948"/>
      <c r="BQ59" s="2948"/>
      <c r="BR59" s="2948"/>
      <c r="BS59" s="2948"/>
      <c r="BT59" s="2948"/>
      <c r="BU59" s="2948"/>
      <c r="BV59" s="2948"/>
      <c r="BW59" s="2948"/>
      <c r="BX59" s="2949"/>
      <c r="BY59" s="2948"/>
      <c r="BZ59" s="2948"/>
      <c r="CA59" s="2948"/>
      <c r="CB59" s="2948"/>
      <c r="CC59" s="2948"/>
      <c r="CD59" s="2948"/>
      <c r="CE59" s="2948"/>
      <c r="CF59" s="2948"/>
      <c r="CG59" s="2948"/>
      <c r="CH59" s="2948"/>
      <c r="CI59" s="2948"/>
      <c r="CJ59" s="2950"/>
      <c r="CK59" s="688"/>
      <c r="CL59" s="688"/>
      <c r="CM59" s="688"/>
      <c r="CN59" s="688"/>
      <c r="CO59" s="688"/>
      <c r="CP59" s="688"/>
      <c r="CQ59" s="688"/>
      <c r="CR59" s="688"/>
      <c r="CS59" s="688"/>
      <c r="CT59" s="688"/>
      <c r="CU59" s="688"/>
      <c r="CV59" s="688"/>
      <c r="CW59" s="688"/>
      <c r="CX59" s="688"/>
      <c r="CY59" s="688"/>
      <c r="CZ59" s="688"/>
      <c r="DA59" s="688"/>
      <c r="DB59" s="688"/>
      <c r="DC59" s="688"/>
      <c r="DD59" s="688"/>
      <c r="DE59" s="2950"/>
      <c r="DF59" s="688"/>
      <c r="DG59" s="688"/>
      <c r="DH59" s="688"/>
      <c r="DI59" s="688"/>
      <c r="DJ59" s="688"/>
      <c r="DK59" s="688"/>
      <c r="DL59" s="688"/>
      <c r="DM59" s="688"/>
      <c r="DN59" s="688"/>
      <c r="DO59" s="688"/>
      <c r="DP59" s="688"/>
      <c r="DQ59" s="688"/>
      <c r="DR59" s="688"/>
      <c r="DS59" s="688"/>
      <c r="DT59" s="688"/>
      <c r="DU59" s="688"/>
      <c r="DV59" s="688"/>
      <c r="DW59" s="688"/>
      <c r="DX59" s="688"/>
      <c r="DY59" s="688"/>
    </row>
    <row r="60" s="799" customFormat="1" ht="11.25" customHeight="1" spans="1:129">
      <c r="BN60" s="2948"/>
      <c r="BO60" s="2948"/>
      <c r="BP60" s="2948"/>
      <c r="BQ60" s="2948"/>
      <c r="BR60" s="2948"/>
      <c r="BS60" s="2948"/>
      <c r="BT60" s="2948"/>
      <c r="BU60" s="2948"/>
      <c r="BV60" s="2948"/>
      <c r="BW60" s="2948"/>
      <c r="BX60" s="2949"/>
      <c r="BY60" s="2948"/>
      <c r="BZ60" s="2948"/>
      <c r="CA60" s="2948"/>
      <c r="CB60" s="2948"/>
      <c r="CC60" s="2948"/>
      <c r="CD60" s="2948"/>
      <c r="CE60" s="2948"/>
      <c r="CF60" s="2948"/>
      <c r="CG60" s="2948"/>
      <c r="CH60" s="2948"/>
      <c r="CI60" s="2948"/>
      <c r="CJ60" s="2950"/>
      <c r="CK60" s="688"/>
      <c r="CL60" s="688"/>
      <c r="CM60" s="688"/>
      <c r="CN60" s="688"/>
      <c r="CO60" s="688"/>
      <c r="CP60" s="688"/>
      <c r="CQ60" s="688"/>
      <c r="CR60" s="688"/>
      <c r="CS60" s="688"/>
      <c r="CT60" s="688"/>
      <c r="CU60" s="688"/>
      <c r="CV60" s="688"/>
      <c r="CW60" s="688"/>
      <c r="CX60" s="688"/>
      <c r="CY60" s="688"/>
      <c r="CZ60" s="688"/>
      <c r="DA60" s="688"/>
      <c r="DB60" s="688"/>
      <c r="DC60" s="688"/>
      <c r="DD60" s="688"/>
      <c r="DE60" s="2950"/>
      <c r="DF60" s="688"/>
      <c r="DG60" s="688"/>
      <c r="DH60" s="688"/>
      <c r="DI60" s="688"/>
      <c r="DJ60" s="688"/>
      <c r="DK60" s="688"/>
      <c r="DL60" s="688"/>
      <c r="DM60" s="688"/>
      <c r="DN60" s="688"/>
      <c r="DO60" s="688"/>
      <c r="DP60" s="688"/>
      <c r="DQ60" s="688"/>
      <c r="DR60" s="688"/>
      <c r="DS60" s="688"/>
      <c r="DT60" s="688"/>
      <c r="DU60" s="688"/>
      <c r="DV60" s="688"/>
      <c r="DW60" s="688"/>
      <c r="DX60" s="688"/>
      <c r="DY60" s="688"/>
    </row>
    <row r="61" s="799" customFormat="1" ht="16.5" customHeight="1" spans="1:129">
      <c r="BN61" s="2948"/>
      <c r="BO61" s="2948"/>
      <c r="BP61" s="2948"/>
      <c r="BQ61" s="2948"/>
      <c r="BR61" s="2948"/>
      <c r="BS61" s="2948"/>
      <c r="BT61" s="2948"/>
      <c r="BU61" s="2948"/>
      <c r="BV61" s="2948"/>
      <c r="BW61" s="2948"/>
      <c r="BX61" s="2949"/>
      <c r="BY61" s="2948"/>
      <c r="BZ61" s="2948"/>
      <c r="CA61" s="2948"/>
      <c r="CB61" s="2948"/>
      <c r="CC61" s="2948"/>
      <c r="CD61" s="2948"/>
      <c r="CE61" s="2948"/>
      <c r="CF61" s="2948"/>
      <c r="CG61" s="2948"/>
      <c r="CH61" s="2948"/>
      <c r="CI61" s="2948"/>
      <c r="CJ61" s="2950"/>
      <c r="CK61" s="688"/>
      <c r="CL61" s="688"/>
      <c r="CM61" s="688"/>
      <c r="CN61" s="688"/>
      <c r="CO61" s="688"/>
      <c r="CP61" s="688"/>
      <c r="CQ61" s="688"/>
      <c r="CR61" s="688"/>
      <c r="CS61" s="688"/>
      <c r="CT61" s="688"/>
      <c r="CU61" s="688"/>
      <c r="CV61" s="688"/>
      <c r="CW61" s="688"/>
      <c r="CX61" s="688"/>
      <c r="CY61" s="688"/>
      <c r="CZ61" s="688"/>
      <c r="DA61" s="688"/>
      <c r="DB61" s="688"/>
      <c r="DC61" s="688"/>
      <c r="DD61" s="688"/>
      <c r="DE61" s="2950"/>
      <c r="DF61" s="688"/>
      <c r="DG61" s="688"/>
      <c r="DH61" s="688"/>
      <c r="DI61" s="688"/>
      <c r="DJ61" s="688"/>
      <c r="DK61" s="688"/>
      <c r="DL61" s="688"/>
      <c r="DM61" s="688"/>
      <c r="DN61" s="688"/>
      <c r="DO61" s="688"/>
      <c r="DP61" s="688"/>
      <c r="DQ61" s="688"/>
      <c r="DR61" s="688"/>
      <c r="DS61" s="688"/>
      <c r="DT61" s="688"/>
      <c r="DU61" s="688"/>
      <c r="DV61" s="688"/>
      <c r="DW61" s="688"/>
      <c r="DX61" s="688"/>
      <c r="DY61" s="688"/>
    </row>
    <row r="62" s="799" customFormat="1" ht="16.5" customHeight="1" spans="1:129">
      <c r="A62" s="2944" t="s">
        <v>4093</v>
      </c>
      <c r="B62" s="2944"/>
      <c r="C62" s="2944" t="s">
        <v>6745</v>
      </c>
      <c r="D62" s="2944"/>
      <c r="E62" s="2944"/>
      <c r="F62" s="2944"/>
      <c r="G62" s="2944"/>
      <c r="H62" s="2944"/>
      <c r="I62" s="2944"/>
      <c r="J62" s="2944"/>
      <c r="K62" s="2944"/>
      <c r="L62" s="2944"/>
      <c r="M62" s="2944"/>
      <c r="N62" s="2944"/>
      <c r="O62" s="2944"/>
      <c r="P62" s="2944"/>
      <c r="Q62" s="2944"/>
      <c r="R62" s="2944"/>
      <c r="S62" s="2944"/>
      <c r="T62" s="2944"/>
      <c r="U62" s="2944"/>
      <c r="V62" s="2944" t="s">
        <v>6746</v>
      </c>
      <c r="W62" s="2944"/>
      <c r="X62" s="2944"/>
      <c r="Y62" s="2944"/>
      <c r="Z62" s="2944"/>
      <c r="AA62" s="2944"/>
      <c r="AB62" s="2944"/>
      <c r="AC62" s="2944"/>
      <c r="AD62" s="2944"/>
      <c r="AE62" s="2944"/>
      <c r="AF62" s="2944"/>
      <c r="AG62" s="2944" t="s">
        <v>6747</v>
      </c>
      <c r="AH62" s="2944"/>
      <c r="AI62" s="2944"/>
      <c r="AJ62" s="2944"/>
      <c r="AK62" s="2944"/>
      <c r="AL62" s="2944"/>
      <c r="AM62" s="2944"/>
      <c r="AN62" s="2944"/>
      <c r="AO62" s="2944"/>
      <c r="AP62" s="2944"/>
      <c r="AQ62" s="2950"/>
      <c r="AR62" s="688"/>
      <c r="BN62" s="2948"/>
      <c r="BO62" s="2948"/>
      <c r="BP62" s="2948"/>
      <c r="BQ62" s="2948"/>
      <c r="BR62" s="2948"/>
      <c r="BS62" s="2948"/>
      <c r="BT62" s="2948"/>
      <c r="BU62" s="2948"/>
      <c r="BV62" s="2948"/>
      <c r="BW62" s="2948"/>
      <c r="BX62" s="2949"/>
      <c r="BY62" s="2948"/>
      <c r="BZ62" s="2948"/>
      <c r="CA62" s="2948"/>
      <c r="CB62" s="2948"/>
      <c r="CC62" s="2948"/>
      <c r="CD62" s="2948"/>
      <c r="CE62" s="2948"/>
      <c r="CF62" s="2948"/>
      <c r="CG62" s="2948"/>
      <c r="CH62" s="2948"/>
      <c r="CI62" s="2948"/>
      <c r="CJ62" s="2950"/>
      <c r="CK62" s="688"/>
      <c r="CL62" s="688"/>
      <c r="CM62" s="688"/>
      <c r="CN62" s="688"/>
      <c r="CO62" s="688"/>
      <c r="CP62" s="688"/>
      <c r="CQ62" s="688"/>
      <c r="CR62" s="688"/>
      <c r="CS62" s="688"/>
      <c r="CT62" s="688"/>
      <c r="CU62" s="688"/>
      <c r="CV62" s="688"/>
      <c r="CW62" s="688"/>
      <c r="CX62" s="688"/>
      <c r="CY62" s="688"/>
      <c r="CZ62" s="688"/>
      <c r="DA62" s="688"/>
      <c r="DB62" s="688"/>
      <c r="DC62" s="688"/>
      <c r="DD62" s="688"/>
      <c r="DE62" s="2950"/>
      <c r="DF62" s="688"/>
      <c r="DG62" s="688"/>
      <c r="DH62" s="688"/>
      <c r="DI62" s="688"/>
      <c r="DJ62" s="688"/>
      <c r="DK62" s="688"/>
      <c r="DL62" s="688"/>
      <c r="DM62" s="688"/>
      <c r="DN62" s="688"/>
      <c r="DO62" s="688"/>
      <c r="DP62" s="688"/>
      <c r="DQ62" s="688"/>
      <c r="DR62" s="688"/>
      <c r="DS62" s="688"/>
      <c r="DT62" s="688"/>
      <c r="DU62" s="688"/>
      <c r="DV62" s="688"/>
      <c r="DW62" s="688"/>
      <c r="DX62" s="688"/>
      <c r="DY62" s="688"/>
    </row>
    <row r="63" customFormat="1" ht="16.5" customHeight="1" spans="1:129">
      <c r="A63" s="2945">
        <f>UnosPorBilans!B171</f>
        <v>0</v>
      </c>
      <c r="B63" s="2945"/>
      <c r="C63" s="2945"/>
      <c r="D63" s="2945"/>
      <c r="E63" s="2945"/>
      <c r="F63" s="2945"/>
      <c r="G63" s="2945"/>
      <c r="H63" s="2945"/>
      <c r="I63" s="2945"/>
      <c r="J63" s="2945"/>
      <c r="K63" s="2945"/>
      <c r="L63" s="2945"/>
      <c r="M63" s="2945"/>
      <c r="N63" s="2945"/>
      <c r="O63" s="2945"/>
      <c r="P63" s="2945"/>
      <c r="Q63" s="2945"/>
      <c r="R63" s="2945"/>
      <c r="S63" s="2945"/>
      <c r="T63" s="2945"/>
      <c r="U63" s="2945"/>
      <c r="V63" s="2945">
        <f>UnosPorBilans!I171</f>
        <v>0</v>
      </c>
      <c r="W63" s="2945"/>
      <c r="X63" s="2945"/>
      <c r="Y63" s="2945"/>
      <c r="Z63" s="2945"/>
      <c r="AA63" s="2945"/>
      <c r="AB63" s="2945"/>
      <c r="AC63" s="2945"/>
      <c r="AD63" s="2945"/>
      <c r="AE63" s="2945"/>
      <c r="AF63" s="2945"/>
      <c r="AG63" s="2945">
        <f>UnosPorBilans!N171</f>
        <v>0</v>
      </c>
      <c r="AH63" s="2945"/>
      <c r="AI63" s="2945"/>
      <c r="AJ63" s="2945"/>
      <c r="AK63" s="2945"/>
      <c r="AL63" s="2945"/>
      <c r="AM63" s="2945"/>
      <c r="AN63" s="2945"/>
      <c r="AO63" s="2945"/>
      <c r="AP63" s="2945"/>
      <c r="AS63" s="690"/>
      <c r="AT63" s="690"/>
      <c r="AU63" s="690"/>
      <c r="AV63" s="690"/>
      <c r="AW63" s="690"/>
      <c r="AX63" s="690"/>
      <c r="AY63" s="690"/>
      <c r="AZ63" s="690"/>
      <c r="BA63" s="690"/>
      <c r="BB63" s="690"/>
      <c r="BC63" s="690"/>
      <c r="BD63" s="690"/>
      <c r="BE63" s="690"/>
      <c r="BF63" s="690"/>
      <c r="BG63" s="690"/>
      <c r="BH63" s="690"/>
      <c r="BI63" s="690"/>
      <c r="BJ63" s="690"/>
      <c r="BK63" s="690"/>
      <c r="BL63" s="690"/>
      <c r="BM63" s="690"/>
    </row>
    <row r="64" s="799" customFormat="1" ht="16.5" customHeight="1" spans="1:129">
      <c r="A64" s="2944" t="s">
        <v>6748</v>
      </c>
      <c r="B64" s="2944"/>
      <c r="C64" s="2944"/>
      <c r="D64" s="2944"/>
      <c r="E64" s="2944"/>
      <c r="F64" s="2944"/>
      <c r="G64" s="2944"/>
      <c r="H64" s="2944"/>
      <c r="I64" s="2944"/>
      <c r="J64" s="2944"/>
      <c r="K64" s="2944" t="s">
        <v>6749</v>
      </c>
      <c r="L64" s="2944"/>
      <c r="M64" s="2944"/>
      <c r="N64" s="2944"/>
      <c r="O64" s="2944"/>
      <c r="P64" s="2944"/>
      <c r="Q64" s="2944"/>
      <c r="R64" s="2944"/>
      <c r="S64" s="2944"/>
      <c r="T64" s="2944"/>
      <c r="U64" s="2944"/>
      <c r="V64" s="2944" t="s">
        <v>6750</v>
      </c>
      <c r="W64" s="2944"/>
      <c r="X64" s="2944"/>
      <c r="Y64" s="2944"/>
      <c r="Z64" s="2944"/>
      <c r="AA64" s="2944"/>
      <c r="AB64" s="2944"/>
      <c r="AC64" s="2944"/>
      <c r="AD64" s="2944"/>
      <c r="AE64" s="2944"/>
      <c r="AF64" s="2944"/>
      <c r="AG64" s="2944" t="s">
        <v>6751</v>
      </c>
      <c r="AH64" s="2944"/>
      <c r="AI64" s="2944"/>
      <c r="AJ64" s="2944"/>
      <c r="AK64" s="2944"/>
      <c r="AL64" s="2944"/>
      <c r="AM64" s="2944"/>
      <c r="AN64" s="2944"/>
      <c r="AO64" s="2944"/>
      <c r="AP64" s="2944"/>
      <c r="AQ64" s="2950"/>
      <c r="AR64" s="688"/>
      <c r="BO64" s="2948"/>
      <c r="BP64" s="2948"/>
      <c r="BQ64" s="2948"/>
      <c r="BR64" s="2948"/>
      <c r="BS64" s="2948"/>
      <c r="BT64" s="2948"/>
      <c r="BU64" s="2948"/>
      <c r="BV64" s="2948"/>
      <c r="BW64" s="2948"/>
      <c r="BX64" s="2949"/>
      <c r="BY64" s="2948"/>
      <c r="BZ64" s="2948"/>
      <c r="CA64" s="2948"/>
      <c r="CB64" s="2948"/>
      <c r="CC64" s="2948"/>
      <c r="CD64" s="2948"/>
      <c r="CE64" s="2948"/>
      <c r="CF64" s="2948"/>
      <c r="CG64" s="2948"/>
      <c r="CH64" s="2948"/>
      <c r="CI64" s="2948"/>
      <c r="CJ64" s="2950"/>
      <c r="CK64" s="688"/>
      <c r="CL64" s="688"/>
      <c r="CM64" s="688"/>
      <c r="CN64" s="688"/>
      <c r="CO64" s="688"/>
      <c r="CP64" s="688"/>
      <c r="CQ64" s="688"/>
      <c r="CR64" s="688"/>
      <c r="CS64" s="688"/>
      <c r="CT64" s="688"/>
      <c r="CU64" s="688"/>
      <c r="CV64" s="688"/>
      <c r="CW64" s="688"/>
      <c r="CX64" s="688"/>
      <c r="CY64" s="688"/>
      <c r="CZ64" s="688"/>
      <c r="DA64" s="688"/>
      <c r="DB64" s="688"/>
      <c r="DC64" s="688"/>
      <c r="DD64" s="688"/>
      <c r="DE64" s="2950"/>
      <c r="DF64" s="688"/>
      <c r="DG64" s="688"/>
      <c r="DH64" s="688"/>
      <c r="DI64" s="688"/>
      <c r="DJ64" s="688"/>
      <c r="DK64" s="688"/>
      <c r="DL64" s="688"/>
      <c r="DM64" s="688"/>
      <c r="DN64" s="688"/>
      <c r="DO64" s="688"/>
      <c r="DP64" s="688"/>
      <c r="DQ64" s="688"/>
      <c r="DR64" s="688"/>
      <c r="DS64" s="688"/>
      <c r="DT64" s="688"/>
      <c r="DU64" s="688"/>
      <c r="DV64" s="688"/>
      <c r="DW64" s="688"/>
      <c r="DX64" s="688"/>
      <c r="DY64" s="688"/>
    </row>
    <row r="65" s="799" customFormat="1" ht="16.5" customHeight="1" spans="1:129">
      <c r="A65" s="2946">
        <f>UnosPorBilans!S171</f>
        <v>0</v>
      </c>
      <c r="B65" s="2946"/>
      <c r="C65" s="2946"/>
      <c r="D65" s="2946"/>
      <c r="E65" s="2946"/>
      <c r="F65" s="2946"/>
      <c r="G65" s="2946"/>
      <c r="H65" s="2946"/>
      <c r="I65" s="2946"/>
      <c r="J65" s="2946"/>
      <c r="K65" s="2946">
        <f>UnosPorBilans!W171</f>
        <v>0</v>
      </c>
      <c r="L65" s="2946"/>
      <c r="M65" s="2946"/>
      <c r="N65" s="2946"/>
      <c r="O65" s="2946"/>
      <c r="P65" s="2946"/>
      <c r="Q65" s="2946"/>
      <c r="R65" s="2946"/>
      <c r="S65" s="2946"/>
      <c r="T65" s="2946"/>
      <c r="U65" s="2946"/>
      <c r="V65" s="2946">
        <f>UnosPorBilans!AB171</f>
        <v>0</v>
      </c>
      <c r="W65" s="2946"/>
      <c r="X65" s="2946"/>
      <c r="Y65" s="2946"/>
      <c r="Z65" s="2946"/>
      <c r="AA65" s="2946"/>
      <c r="AB65" s="2946"/>
      <c r="AC65" s="2946"/>
      <c r="AD65" s="2946"/>
      <c r="AE65" s="2946"/>
      <c r="AF65" s="2946"/>
      <c r="AG65" s="2946">
        <f>UnosPorBilans!AG171</f>
        <v>0</v>
      </c>
      <c r="AH65" s="2946"/>
      <c r="AI65" s="2946"/>
      <c r="AJ65" s="2946"/>
      <c r="AK65" s="2946"/>
      <c r="AL65" s="2946"/>
      <c r="AM65" s="2946"/>
      <c r="AN65" s="2946"/>
      <c r="AO65" s="2946"/>
      <c r="AP65" s="2946"/>
      <c r="CJ65" s="2950"/>
      <c r="CK65" s="688"/>
      <c r="CL65" s="688"/>
      <c r="CM65" s="688"/>
      <c r="CN65" s="688"/>
      <c r="CO65" s="688"/>
      <c r="CP65" s="688"/>
      <c r="CQ65" s="688"/>
      <c r="CR65" s="688"/>
      <c r="CS65" s="688"/>
      <c r="CT65" s="688"/>
      <c r="CU65" s="688"/>
      <c r="CV65" s="688"/>
      <c r="CW65" s="688"/>
      <c r="CX65" s="688"/>
      <c r="CY65" s="688"/>
      <c r="CZ65" s="688"/>
      <c r="DA65" s="688"/>
      <c r="DB65" s="688"/>
      <c r="DC65" s="688"/>
      <c r="DD65" s="688"/>
      <c r="DE65" s="2950"/>
      <c r="DF65" s="688"/>
      <c r="DG65" s="688"/>
      <c r="DH65" s="688"/>
      <c r="DI65" s="688"/>
      <c r="DJ65" s="688"/>
      <c r="DK65" s="688"/>
      <c r="DL65" s="688"/>
      <c r="DM65" s="688"/>
      <c r="DN65" s="688"/>
      <c r="DO65" s="688"/>
      <c r="DP65" s="688"/>
      <c r="DQ65" s="688"/>
      <c r="DR65" s="688"/>
      <c r="DS65" s="688"/>
      <c r="DT65" s="688"/>
      <c r="DU65" s="688"/>
      <c r="DV65" s="688"/>
      <c r="DW65" s="688"/>
      <c r="DX65" s="688"/>
      <c r="DY65" s="688"/>
    </row>
    <row r="66" s="799" customFormat="1" ht="16.5" customHeight="1" spans="1:129">
      <c r="A66" s="2947" t="s">
        <v>6752</v>
      </c>
      <c r="B66" s="2947"/>
      <c r="C66" s="2947"/>
      <c r="D66" s="2947"/>
      <c r="E66" s="2947"/>
      <c r="F66" s="2947"/>
      <c r="G66" s="2947"/>
      <c r="H66" s="2947"/>
      <c r="I66" s="2947"/>
      <c r="J66" s="2947"/>
      <c r="K66" s="2947"/>
      <c r="L66" s="2947"/>
      <c r="M66" s="2947"/>
      <c r="N66" s="2947"/>
      <c r="O66" s="2947"/>
      <c r="P66" s="2947"/>
      <c r="Q66" s="2947"/>
      <c r="R66" s="2947"/>
      <c r="S66" s="2947"/>
      <c r="T66" s="2947"/>
      <c r="U66" s="2947"/>
      <c r="V66" s="2947" t="s">
        <v>6753</v>
      </c>
      <c r="W66" s="2947"/>
      <c r="X66" s="2947"/>
      <c r="Y66" s="2947"/>
      <c r="Z66" s="2947"/>
      <c r="AA66" s="2947"/>
      <c r="AB66" s="2947"/>
      <c r="AC66" s="2947"/>
      <c r="AD66" s="2947"/>
      <c r="AE66" s="2947"/>
      <c r="AF66" s="2947"/>
      <c r="AG66" s="2947"/>
      <c r="AH66" s="2947"/>
      <c r="AI66" s="2947"/>
      <c r="AJ66" s="2947"/>
      <c r="AK66" s="2947"/>
      <c r="AL66" s="2947"/>
      <c r="AM66" s="2947"/>
      <c r="AN66" s="2947"/>
      <c r="AO66" s="2947"/>
      <c r="AP66" s="2947"/>
      <c r="AQ66" s="2950"/>
      <c r="AR66" s="688"/>
      <c r="BN66" s="2948"/>
      <c r="BO66" s="2948"/>
      <c r="BP66" s="2948"/>
      <c r="BQ66" s="2948"/>
      <c r="BR66" s="2948"/>
      <c r="BS66" s="2948"/>
      <c r="BT66" s="2948"/>
      <c r="BU66" s="2948"/>
      <c r="BV66" s="2948"/>
      <c r="BW66" s="2948"/>
      <c r="BX66" s="2949"/>
      <c r="BY66" s="2948"/>
      <c r="BZ66" s="2948"/>
      <c r="CA66" s="2948"/>
      <c r="CB66" s="2948"/>
      <c r="CC66" s="2948"/>
      <c r="CD66" s="2948"/>
      <c r="CE66" s="2948"/>
      <c r="CF66" s="2948"/>
      <c r="CG66" s="2948"/>
      <c r="CH66" s="2948"/>
      <c r="CI66" s="2948"/>
      <c r="CJ66" s="2950"/>
      <c r="CK66" s="688"/>
      <c r="CL66" s="688"/>
      <c r="CM66" s="688"/>
      <c r="CN66" s="688"/>
      <c r="CO66" s="688"/>
      <c r="CP66" s="688"/>
      <c r="CQ66" s="688"/>
      <c r="CR66" s="688"/>
      <c r="CS66" s="688"/>
      <c r="CT66" s="688"/>
      <c r="CU66" s="688"/>
      <c r="CV66" s="688"/>
      <c r="CW66" s="688"/>
      <c r="CX66" s="688"/>
      <c r="CY66" s="688"/>
      <c r="CZ66" s="688"/>
      <c r="DA66" s="688"/>
      <c r="DB66" s="688"/>
      <c r="DC66" s="688"/>
      <c r="DD66" s="688"/>
      <c r="DE66" s="2950"/>
      <c r="DF66" s="688"/>
      <c r="DG66" s="688"/>
      <c r="DH66" s="688"/>
      <c r="DI66" s="688"/>
      <c r="DJ66" s="688"/>
      <c r="DK66" s="688"/>
      <c r="DL66" s="688"/>
      <c r="DM66" s="688"/>
      <c r="DN66" s="688"/>
      <c r="DO66" s="688"/>
      <c r="DP66" s="688"/>
      <c r="DQ66" s="688"/>
      <c r="DR66" s="688"/>
      <c r="DS66" s="688"/>
      <c r="DT66" s="688"/>
      <c r="DU66" s="688"/>
      <c r="DV66" s="688"/>
      <c r="DW66" s="688"/>
      <c r="DX66" s="688"/>
      <c r="DY66" s="688"/>
    </row>
    <row r="67" s="799" customFormat="1" ht="16.5" customHeight="1" spans="1:129">
      <c r="A67" s="2946">
        <f>UnosPorBilans!AL171</f>
        <v>0</v>
      </c>
      <c r="B67" s="2946"/>
      <c r="C67" s="2946"/>
      <c r="D67" s="2946"/>
      <c r="E67" s="2946"/>
      <c r="F67" s="2946"/>
      <c r="G67" s="2946"/>
      <c r="H67" s="2946"/>
      <c r="I67" s="2946"/>
      <c r="J67" s="2946"/>
      <c r="K67" s="2946"/>
      <c r="L67" s="2946"/>
      <c r="M67" s="2946"/>
      <c r="N67" s="2946"/>
      <c r="O67" s="2946"/>
      <c r="P67" s="2946"/>
      <c r="Q67" s="2946"/>
      <c r="R67" s="2946"/>
      <c r="S67" s="2946"/>
      <c r="T67" s="2946"/>
      <c r="U67" s="2946"/>
      <c r="V67" s="2946">
        <f>UnosPorBilans!AS171</f>
        <v>0</v>
      </c>
      <c r="W67" s="2946"/>
      <c r="X67" s="2946"/>
      <c r="Y67" s="2946"/>
      <c r="Z67" s="2946"/>
      <c r="AA67" s="2946"/>
      <c r="AB67" s="2946"/>
      <c r="AC67" s="2946"/>
      <c r="AD67" s="2946"/>
      <c r="AE67" s="2946"/>
      <c r="AF67" s="2946"/>
      <c r="AG67" s="2946"/>
      <c r="AH67" s="2946"/>
      <c r="AI67" s="2946"/>
      <c r="AJ67" s="2946"/>
      <c r="AK67" s="2946"/>
      <c r="AL67" s="2946"/>
      <c r="AM67" s="2946"/>
      <c r="AN67" s="2946"/>
      <c r="AO67" s="2946"/>
      <c r="AP67" s="2946"/>
      <c r="AQ67" s="2950"/>
      <c r="AR67" s="688"/>
      <c r="BN67" s="2948"/>
      <c r="BO67" s="2948"/>
      <c r="BP67" s="2948"/>
      <c r="BQ67" s="2948"/>
      <c r="BR67" s="2948"/>
      <c r="BS67" s="2948"/>
      <c r="BT67" s="2948"/>
      <c r="BU67" s="2948"/>
      <c r="BV67" s="2948"/>
      <c r="BW67" s="2948"/>
      <c r="BX67" s="2949"/>
      <c r="BY67" s="2948"/>
      <c r="BZ67" s="2948"/>
      <c r="CA67" s="2948"/>
      <c r="CB67" s="2948"/>
      <c r="CC67" s="2948"/>
      <c r="CD67" s="2948"/>
      <c r="CE67" s="2948"/>
      <c r="CF67" s="2948"/>
      <c r="CG67" s="2948"/>
      <c r="CH67" s="2948"/>
      <c r="CI67" s="2948"/>
      <c r="CJ67" s="2950"/>
      <c r="CK67" s="688"/>
      <c r="CL67" s="688"/>
      <c r="CM67" s="688"/>
      <c r="CN67" s="688"/>
      <c r="CO67" s="688"/>
      <c r="CP67" s="688"/>
      <c r="CQ67" s="688"/>
      <c r="CR67" s="688"/>
      <c r="CS67" s="688"/>
      <c r="CT67" s="688"/>
      <c r="CU67" s="688"/>
      <c r="CV67" s="688"/>
      <c r="CW67" s="688"/>
      <c r="CX67" s="688"/>
      <c r="CY67" s="688"/>
      <c r="CZ67" s="688"/>
      <c r="DA67" s="688"/>
      <c r="DB67" s="688"/>
      <c r="DC67" s="688"/>
      <c r="DD67" s="688"/>
      <c r="DE67" s="2950"/>
      <c r="DF67" s="688"/>
      <c r="DG67" s="688"/>
      <c r="DH67" s="688"/>
      <c r="DI67" s="688"/>
      <c r="DJ67" s="688"/>
      <c r="DK67" s="688"/>
      <c r="DL67" s="688"/>
      <c r="DM67" s="688"/>
      <c r="DN67" s="688"/>
      <c r="DO67" s="688"/>
      <c r="DP67" s="688"/>
      <c r="DQ67" s="688"/>
      <c r="DR67" s="688"/>
      <c r="DS67" s="688"/>
      <c r="DT67" s="688"/>
      <c r="DU67" s="688"/>
      <c r="DV67" s="688"/>
      <c r="DW67" s="688"/>
      <c r="DX67" s="688"/>
      <c r="DY67" s="688"/>
    </row>
    <row r="68" s="799" customFormat="1" ht="9" customHeight="1" spans="1:129">
      <c r="BN68" s="2948"/>
      <c r="BO68" s="2948"/>
      <c r="BP68" s="2948"/>
      <c r="BQ68" s="2948"/>
      <c r="BR68" s="2948"/>
      <c r="BS68" s="2948"/>
      <c r="BT68" s="2948"/>
      <c r="BU68" s="2948"/>
      <c r="BV68" s="2948"/>
      <c r="BW68" s="2948"/>
      <c r="BX68" s="2949"/>
      <c r="BY68" s="2948"/>
      <c r="BZ68" s="2948"/>
      <c r="CA68" s="2948"/>
      <c r="CB68" s="2948"/>
      <c r="CC68" s="2948"/>
      <c r="CD68" s="2948"/>
      <c r="CE68" s="2948"/>
      <c r="CF68" s="2948"/>
      <c r="CG68" s="2948"/>
      <c r="CH68" s="2948"/>
      <c r="CI68" s="2948"/>
      <c r="CJ68" s="2950"/>
      <c r="CK68" s="688"/>
      <c r="CL68" s="688"/>
      <c r="CM68" s="688"/>
      <c r="CN68" s="688"/>
      <c r="CO68" s="688"/>
      <c r="CP68" s="688"/>
      <c r="CQ68" s="688"/>
      <c r="CR68" s="688"/>
      <c r="CS68" s="688"/>
      <c r="CT68" s="688"/>
      <c r="CU68" s="688"/>
      <c r="CV68" s="688"/>
      <c r="CW68" s="688"/>
      <c r="CX68" s="688"/>
      <c r="CY68" s="688"/>
      <c r="CZ68" s="688"/>
      <c r="DA68" s="688"/>
      <c r="DB68" s="688"/>
      <c r="DC68" s="688"/>
      <c r="DD68" s="688"/>
      <c r="DE68" s="2950"/>
      <c r="DF68" s="688"/>
      <c r="DG68" s="688"/>
      <c r="DH68" s="688"/>
      <c r="DI68" s="688"/>
      <c r="DJ68" s="688"/>
      <c r="DK68" s="688"/>
      <c r="DL68" s="688"/>
      <c r="DM68" s="688"/>
      <c r="DN68" s="688"/>
      <c r="DO68" s="688"/>
      <c r="DP68" s="688"/>
      <c r="DQ68" s="688"/>
      <c r="DR68" s="688"/>
      <c r="DS68" s="688"/>
      <c r="DT68" s="688"/>
      <c r="DU68" s="688"/>
      <c r="DV68" s="688"/>
      <c r="DW68" s="688"/>
      <c r="DX68" s="688"/>
      <c r="DY68" s="688"/>
    </row>
    <row r="69" s="799" customFormat="1" ht="16.5" customHeight="1" spans="1:129">
      <c r="A69" s="2944" t="s">
        <v>4095</v>
      </c>
      <c r="B69" s="2944"/>
      <c r="C69" s="2944" t="s">
        <v>6754</v>
      </c>
      <c r="D69" s="2944"/>
      <c r="E69" s="2944"/>
      <c r="F69" s="2944"/>
      <c r="G69" s="2944"/>
      <c r="H69" s="2944"/>
      <c r="I69" s="2944"/>
      <c r="J69" s="2944"/>
      <c r="K69" s="2944"/>
      <c r="L69" s="2944"/>
      <c r="M69" s="2944"/>
      <c r="N69" s="2944"/>
      <c r="O69" s="2944"/>
      <c r="P69" s="2944"/>
      <c r="Q69" s="2944"/>
      <c r="R69" s="2944"/>
      <c r="S69" s="2944"/>
      <c r="T69" s="2944"/>
      <c r="U69" s="2944"/>
      <c r="V69" s="2944" t="s">
        <v>6755</v>
      </c>
      <c r="W69" s="2944"/>
      <c r="X69" s="2944"/>
      <c r="Y69" s="2944"/>
      <c r="Z69" s="2944"/>
      <c r="AA69" s="2944"/>
      <c r="AB69" s="2944"/>
      <c r="AC69" s="2944"/>
      <c r="AD69" s="2944"/>
      <c r="AE69" s="2944"/>
      <c r="AF69" s="2944"/>
      <c r="AG69" s="2944" t="s">
        <v>6756</v>
      </c>
      <c r="AH69" s="2944"/>
      <c r="AI69" s="2944"/>
      <c r="AJ69" s="2944"/>
      <c r="AK69" s="2944"/>
      <c r="AL69" s="2944"/>
      <c r="AM69" s="2944"/>
      <c r="AN69" s="2944"/>
      <c r="AO69" s="2944"/>
      <c r="AP69" s="2944"/>
      <c r="AQ69" s="2950"/>
      <c r="AR69" s="688"/>
      <c r="BN69" s="2948"/>
      <c r="BO69" s="2948"/>
      <c r="BP69" s="2948"/>
      <c r="BQ69" s="2948"/>
      <c r="BR69" s="2948"/>
      <c r="BS69" s="2948"/>
      <c r="BT69" s="2948"/>
      <c r="BU69" s="2948"/>
      <c r="BV69" s="2948"/>
      <c r="BW69" s="2948"/>
      <c r="BX69" s="2949"/>
      <c r="BY69" s="2948"/>
      <c r="BZ69" s="2948"/>
      <c r="CA69" s="2948"/>
      <c r="CB69" s="2948"/>
      <c r="CC69" s="2948"/>
      <c r="CD69" s="2948"/>
      <c r="CE69" s="2948"/>
      <c r="CF69" s="2948"/>
      <c r="CG69" s="2948"/>
      <c r="CH69" s="2948"/>
      <c r="CI69" s="2948"/>
      <c r="CJ69" s="2950"/>
      <c r="CK69" s="688"/>
      <c r="CL69" s="688"/>
      <c r="CM69" s="688"/>
      <c r="CN69" s="688"/>
      <c r="CO69" s="688"/>
      <c r="CP69" s="688"/>
      <c r="CQ69" s="688"/>
      <c r="CR69" s="688"/>
      <c r="CS69" s="688"/>
      <c r="CT69" s="688"/>
      <c r="CU69" s="688"/>
      <c r="CV69" s="688"/>
      <c r="CW69" s="688"/>
      <c r="CX69" s="688"/>
      <c r="CY69" s="688"/>
      <c r="CZ69" s="688"/>
      <c r="DA69" s="688"/>
      <c r="DB69" s="688"/>
      <c r="DC69" s="688"/>
      <c r="DD69" s="688"/>
      <c r="DE69" s="2950"/>
      <c r="DF69" s="688"/>
      <c r="DG69" s="688"/>
      <c r="DH69" s="688"/>
      <c r="DI69" s="688"/>
      <c r="DJ69" s="688"/>
      <c r="DK69" s="688"/>
      <c r="DL69" s="688"/>
      <c r="DM69" s="688"/>
      <c r="DN69" s="688"/>
      <c r="DO69" s="688"/>
      <c r="DP69" s="688"/>
      <c r="DQ69" s="688"/>
      <c r="DR69" s="688"/>
      <c r="DS69" s="688"/>
      <c r="DT69" s="688"/>
      <c r="DU69" s="688"/>
      <c r="DV69" s="688"/>
      <c r="DW69" s="688"/>
      <c r="DX69" s="688"/>
      <c r="DY69" s="688"/>
    </row>
    <row r="70" customFormat="1" ht="16.5" customHeight="1" spans="1:129">
      <c r="A70" s="2945">
        <f>UnosPorBilans!B172</f>
        <v>0</v>
      </c>
      <c r="B70" s="2945"/>
      <c r="C70" s="2945"/>
      <c r="D70" s="2945"/>
      <c r="E70" s="2945"/>
      <c r="F70" s="2945"/>
      <c r="G70" s="2945"/>
      <c r="H70" s="2945"/>
      <c r="I70" s="2945"/>
      <c r="J70" s="2945"/>
      <c r="K70" s="2945"/>
      <c r="L70" s="2945"/>
      <c r="M70" s="2945"/>
      <c r="N70" s="2945"/>
      <c r="O70" s="2945"/>
      <c r="P70" s="2945"/>
      <c r="Q70" s="2945"/>
      <c r="R70" s="2945"/>
      <c r="S70" s="2945"/>
      <c r="T70" s="2945"/>
      <c r="U70" s="2945"/>
      <c r="V70" s="2945">
        <f>UnosPorBilans!I172</f>
        <v>0</v>
      </c>
      <c r="W70" s="2945"/>
      <c r="X70" s="2945"/>
      <c r="Y70" s="2945"/>
      <c r="Z70" s="2945"/>
      <c r="AA70" s="2945"/>
      <c r="AB70" s="2945"/>
      <c r="AC70" s="2945"/>
      <c r="AD70" s="2945"/>
      <c r="AE70" s="2945"/>
      <c r="AF70" s="2945"/>
      <c r="AG70" s="2945">
        <f>UnosPorBilans!N172</f>
        <v>0</v>
      </c>
      <c r="AH70" s="2945"/>
      <c r="AI70" s="2945"/>
      <c r="AJ70" s="2945"/>
      <c r="AK70" s="2945"/>
      <c r="AL70" s="2945"/>
      <c r="AM70" s="2945"/>
      <c r="AN70" s="2945"/>
      <c r="AO70" s="2945"/>
      <c r="AP70" s="2945"/>
      <c r="AS70" s="690"/>
      <c r="AT70" s="690"/>
      <c r="AU70" s="690"/>
      <c r="AV70" s="690"/>
      <c r="AW70" s="690"/>
      <c r="AX70" s="690"/>
      <c r="AY70" s="690"/>
      <c r="AZ70" s="690"/>
      <c r="BA70" s="690"/>
      <c r="BB70" s="690"/>
      <c r="BC70" s="690"/>
      <c r="BD70" s="690"/>
      <c r="BE70" s="690"/>
      <c r="BF70" s="690"/>
      <c r="BG70" s="690"/>
      <c r="BH70" s="690"/>
      <c r="BI70" s="690"/>
      <c r="BJ70" s="690"/>
      <c r="BK70" s="690"/>
      <c r="BL70" s="690"/>
      <c r="BM70" s="690"/>
    </row>
    <row r="71" s="799" customFormat="1" ht="16.5" customHeight="1" spans="1:129">
      <c r="A71" s="2944" t="s">
        <v>6757</v>
      </c>
      <c r="B71" s="2944"/>
      <c r="C71" s="2944"/>
      <c r="D71" s="2944"/>
      <c r="E71" s="2944"/>
      <c r="F71" s="2944"/>
      <c r="G71" s="2944"/>
      <c r="H71" s="2944"/>
      <c r="I71" s="2944"/>
      <c r="J71" s="2944"/>
      <c r="K71" s="2944" t="s">
        <v>6758</v>
      </c>
      <c r="L71" s="2944"/>
      <c r="M71" s="2944"/>
      <c r="N71" s="2944"/>
      <c r="O71" s="2944"/>
      <c r="P71" s="2944"/>
      <c r="Q71" s="2944"/>
      <c r="R71" s="2944"/>
      <c r="S71" s="2944"/>
      <c r="T71" s="2944"/>
      <c r="U71" s="2944"/>
      <c r="V71" s="2944" t="s">
        <v>6759</v>
      </c>
      <c r="W71" s="2944"/>
      <c r="X71" s="2944"/>
      <c r="Y71" s="2944"/>
      <c r="Z71" s="2944"/>
      <c r="AA71" s="2944"/>
      <c r="AB71" s="2944"/>
      <c r="AC71" s="2944"/>
      <c r="AD71" s="2944"/>
      <c r="AE71" s="2944"/>
      <c r="AF71" s="2944"/>
      <c r="AG71" s="2944" t="s">
        <v>6760</v>
      </c>
      <c r="AH71" s="2944"/>
      <c r="AI71" s="2944"/>
      <c r="AJ71" s="2944"/>
      <c r="AK71" s="2944"/>
      <c r="AL71" s="2944"/>
      <c r="AM71" s="2944"/>
      <c r="AN71" s="2944"/>
      <c r="AO71" s="2944"/>
      <c r="AP71" s="2944"/>
      <c r="AQ71" s="2950"/>
      <c r="AR71" s="688"/>
      <c r="BO71" s="2948"/>
      <c r="BP71" s="2948"/>
      <c r="BQ71" s="2948"/>
      <c r="BR71" s="2948"/>
      <c r="BS71" s="2948"/>
      <c r="BT71" s="2948"/>
      <c r="BU71" s="2948"/>
      <c r="BV71" s="2948"/>
      <c r="BW71" s="2948"/>
      <c r="BX71" s="2949"/>
      <c r="BY71" s="2948"/>
      <c r="BZ71" s="2948"/>
      <c r="CA71" s="2948"/>
      <c r="CB71" s="2948"/>
      <c r="CC71" s="2948"/>
      <c r="CD71" s="2948"/>
      <c r="CE71" s="2948"/>
      <c r="CF71" s="2948"/>
      <c r="CG71" s="2948"/>
      <c r="CH71" s="2948"/>
      <c r="CI71" s="2948"/>
      <c r="CJ71" s="2950"/>
      <c r="CK71" s="688"/>
      <c r="CL71" s="688"/>
      <c r="CM71" s="688"/>
      <c r="CN71" s="688"/>
      <c r="CO71" s="688"/>
      <c r="CP71" s="688"/>
      <c r="CQ71" s="688"/>
      <c r="CR71" s="688"/>
      <c r="CS71" s="688"/>
      <c r="CT71" s="688"/>
      <c r="CU71" s="688"/>
      <c r="CV71" s="688"/>
      <c r="CW71" s="688"/>
      <c r="CX71" s="688"/>
      <c r="CY71" s="688"/>
      <c r="CZ71" s="688"/>
      <c r="DA71" s="688"/>
      <c r="DB71" s="688"/>
      <c r="DC71" s="688"/>
      <c r="DD71" s="688"/>
      <c r="DE71" s="2950"/>
      <c r="DF71" s="688"/>
      <c r="DG71" s="688"/>
      <c r="DH71" s="688"/>
      <c r="DI71" s="688"/>
      <c r="DJ71" s="688"/>
      <c r="DK71" s="688"/>
      <c r="DL71" s="688"/>
      <c r="DM71" s="688"/>
      <c r="DN71" s="688"/>
      <c r="DO71" s="688"/>
      <c r="DP71" s="688"/>
      <c r="DQ71" s="688"/>
      <c r="DR71" s="688"/>
      <c r="DS71" s="688"/>
      <c r="DT71" s="688"/>
      <c r="DU71" s="688"/>
      <c r="DV71" s="688"/>
      <c r="DW71" s="688"/>
      <c r="DX71" s="688"/>
      <c r="DY71" s="688"/>
    </row>
    <row r="72" s="799" customFormat="1" ht="17.25" customHeight="1" spans="1:129">
      <c r="A72" s="2946">
        <f>UnosPorBilans!S172</f>
        <v>0</v>
      </c>
      <c r="B72" s="2946"/>
      <c r="C72" s="2946"/>
      <c r="D72" s="2946"/>
      <c r="E72" s="2946"/>
      <c r="F72" s="2946"/>
      <c r="G72" s="2946"/>
      <c r="H72" s="2946"/>
      <c r="I72" s="2946"/>
      <c r="J72" s="2946"/>
      <c r="K72" s="2946">
        <f>UnosPorBilans!W172</f>
        <v>0</v>
      </c>
      <c r="L72" s="2946"/>
      <c r="M72" s="2946"/>
      <c r="N72" s="2946"/>
      <c r="O72" s="2946"/>
      <c r="P72" s="2946"/>
      <c r="Q72" s="2946"/>
      <c r="R72" s="2946"/>
      <c r="S72" s="2946"/>
      <c r="T72" s="2946"/>
      <c r="U72" s="2946"/>
      <c r="V72" s="2946">
        <f>UnosPorBilans!AB172</f>
        <v>0</v>
      </c>
      <c r="W72" s="2946"/>
      <c r="X72" s="2946"/>
      <c r="Y72" s="2946"/>
      <c r="Z72" s="2946"/>
      <c r="AA72" s="2946"/>
      <c r="AB72" s="2946"/>
      <c r="AC72" s="2946"/>
      <c r="AD72" s="2946"/>
      <c r="AE72" s="2946"/>
      <c r="AF72" s="2946"/>
      <c r="AG72" s="2946">
        <f>UnosPorBilans!AG172</f>
        <v>0</v>
      </c>
      <c r="AH72" s="2946"/>
      <c r="AI72" s="2946"/>
      <c r="AJ72" s="2946"/>
      <c r="AK72" s="2946"/>
      <c r="AL72" s="2946"/>
      <c r="AM72" s="2946"/>
      <c r="AN72" s="2946"/>
      <c r="AO72" s="2946"/>
      <c r="AP72" s="2946"/>
    </row>
    <row r="73" s="799" customFormat="1" ht="16.5" customHeight="1" spans="1:129">
      <c r="A73" s="2947" t="s">
        <v>6761</v>
      </c>
      <c r="B73" s="2947"/>
      <c r="C73" s="2947"/>
      <c r="D73" s="2947"/>
      <c r="E73" s="2947"/>
      <c r="F73" s="2947"/>
      <c r="G73" s="2947"/>
      <c r="H73" s="2947"/>
      <c r="I73" s="2947"/>
      <c r="J73" s="2947"/>
      <c r="K73" s="2947"/>
      <c r="L73" s="2947"/>
      <c r="M73" s="2947"/>
      <c r="N73" s="2947"/>
      <c r="O73" s="2947"/>
      <c r="P73" s="2947"/>
      <c r="Q73" s="2947"/>
      <c r="R73" s="2947"/>
      <c r="S73" s="2947"/>
      <c r="T73" s="2947"/>
      <c r="U73" s="2947"/>
      <c r="V73" s="2947" t="s">
        <v>6762</v>
      </c>
      <c r="W73" s="2947"/>
      <c r="X73" s="2947"/>
      <c r="Y73" s="2947"/>
      <c r="Z73" s="2947"/>
      <c r="AA73" s="2947"/>
      <c r="AB73" s="2947"/>
      <c r="AC73" s="2947"/>
      <c r="AD73" s="2947"/>
      <c r="AE73" s="2947"/>
      <c r="AF73" s="2947"/>
      <c r="AG73" s="2947"/>
      <c r="AH73" s="2947"/>
      <c r="AI73" s="2947"/>
      <c r="AJ73" s="2947"/>
      <c r="AK73" s="2947"/>
      <c r="AL73" s="2947"/>
      <c r="AM73" s="2947"/>
      <c r="AN73" s="2947"/>
      <c r="AO73" s="2947"/>
      <c r="AP73" s="2947"/>
    </row>
    <row r="74" s="799" customFormat="1" ht="16.5" customHeight="1" spans="1:129">
      <c r="A74" s="2946">
        <f>UnosPorBilans!AL172</f>
        <v>0</v>
      </c>
      <c r="B74" s="2946"/>
      <c r="C74" s="2946"/>
      <c r="D74" s="2946"/>
      <c r="E74" s="2946"/>
      <c r="F74" s="2946"/>
      <c r="G74" s="2946"/>
      <c r="H74" s="2946"/>
      <c r="I74" s="2946"/>
      <c r="J74" s="2946"/>
      <c r="K74" s="2946"/>
      <c r="L74" s="2946"/>
      <c r="M74" s="2946"/>
      <c r="N74" s="2946"/>
      <c r="O74" s="2946"/>
      <c r="P74" s="2946"/>
      <c r="Q74" s="2946"/>
      <c r="R74" s="2946"/>
      <c r="S74" s="2946"/>
      <c r="T74" s="2946"/>
      <c r="U74" s="2946"/>
      <c r="V74" s="2946">
        <f>UnosPorBilans!AS172</f>
        <v>0</v>
      </c>
      <c r="W74" s="2946"/>
      <c r="X74" s="2946"/>
      <c r="Y74" s="2946"/>
      <c r="Z74" s="2946"/>
      <c r="AA74" s="2946"/>
      <c r="AB74" s="2946"/>
      <c r="AC74" s="2946"/>
      <c r="AD74" s="2946"/>
      <c r="AE74" s="2946"/>
      <c r="AF74" s="2946"/>
      <c r="AG74" s="2946"/>
      <c r="AH74" s="2946"/>
      <c r="AI74" s="2946"/>
      <c r="AJ74" s="2946"/>
      <c r="AK74" s="2946"/>
      <c r="AL74" s="2946"/>
      <c r="AM74" s="2946"/>
      <c r="AN74" s="2946"/>
      <c r="AO74" s="2946"/>
      <c r="AP74" s="2946"/>
    </row>
    <row r="75" s="799" customFormat="1" ht="7.5" customHeight="1"/>
    <row r="76" s="799" customFormat="1" ht="12.75" spans="1:129">
      <c r="A76" s="2944" t="s">
        <v>4097</v>
      </c>
      <c r="B76" s="2944"/>
      <c r="C76" s="2944" t="s">
        <v>6763</v>
      </c>
      <c r="D76" s="2944"/>
      <c r="E76" s="2944"/>
      <c r="F76" s="2944"/>
      <c r="G76" s="2944"/>
      <c r="H76" s="2944"/>
      <c r="I76" s="2944"/>
      <c r="J76" s="2944"/>
      <c r="K76" s="2944"/>
      <c r="L76" s="2944"/>
      <c r="M76" s="2944"/>
      <c r="N76" s="2944"/>
      <c r="O76" s="2944"/>
      <c r="P76" s="2944"/>
      <c r="Q76" s="2944"/>
      <c r="R76" s="2944"/>
      <c r="S76" s="2944"/>
      <c r="T76" s="2944"/>
      <c r="U76" s="2944"/>
      <c r="V76" s="2944" t="s">
        <v>6764</v>
      </c>
      <c r="W76" s="2944"/>
      <c r="X76" s="2944"/>
      <c r="Y76" s="2944"/>
      <c r="Z76" s="2944"/>
      <c r="AA76" s="2944"/>
      <c r="AB76" s="2944"/>
      <c r="AC76" s="2944"/>
      <c r="AD76" s="2944"/>
      <c r="AE76" s="2944"/>
      <c r="AF76" s="2944"/>
      <c r="AG76" s="2944" t="s">
        <v>6765</v>
      </c>
      <c r="AH76" s="2944"/>
      <c r="AI76" s="2944"/>
      <c r="AJ76" s="2944"/>
      <c r="AK76" s="2944"/>
      <c r="AL76" s="2944"/>
      <c r="AM76" s="2944"/>
      <c r="AN76" s="2944"/>
      <c r="AO76" s="2944"/>
      <c r="AP76" s="2944"/>
    </row>
    <row r="77" s="799" customFormat="1" ht="12.75" spans="1:129">
      <c r="A77" s="2945">
        <f>UnosPorBilans!B173</f>
        <v>0</v>
      </c>
      <c r="B77" s="2945"/>
      <c r="C77" s="2945"/>
      <c r="D77" s="2945"/>
      <c r="E77" s="2945"/>
      <c r="F77" s="2945"/>
      <c r="G77" s="2945"/>
      <c r="H77" s="2945"/>
      <c r="I77" s="2945"/>
      <c r="J77" s="2945"/>
      <c r="K77" s="2945"/>
      <c r="L77" s="2945"/>
      <c r="M77" s="2945"/>
      <c r="N77" s="2945"/>
      <c r="O77" s="2945"/>
      <c r="P77" s="2945"/>
      <c r="Q77" s="2945"/>
      <c r="R77" s="2945"/>
      <c r="S77" s="2945"/>
      <c r="T77" s="2945"/>
      <c r="U77" s="2945"/>
      <c r="V77" s="2945">
        <f>UnosPorBilans!I173</f>
        <v>0</v>
      </c>
      <c r="W77" s="2945"/>
      <c r="X77" s="2945"/>
      <c r="Y77" s="2945"/>
      <c r="Z77" s="2945"/>
      <c r="AA77" s="2945"/>
      <c r="AB77" s="2945"/>
      <c r="AC77" s="2945"/>
      <c r="AD77" s="2945"/>
      <c r="AE77" s="2945"/>
      <c r="AF77" s="2945"/>
      <c r="AG77" s="2945">
        <f>UnosPorBilans!N173</f>
        <v>0</v>
      </c>
      <c r="AH77" s="2945"/>
      <c r="AI77" s="2945"/>
      <c r="AJ77" s="2945"/>
      <c r="AK77" s="2945"/>
      <c r="AL77" s="2945"/>
      <c r="AM77" s="2945"/>
      <c r="AN77" s="2945"/>
      <c r="AO77" s="2945"/>
      <c r="AP77" s="2945"/>
    </row>
    <row r="78" s="799" customFormat="1" ht="12.75" spans="1:129">
      <c r="A78" s="2944" t="s">
        <v>6766</v>
      </c>
      <c r="B78" s="2944"/>
      <c r="C78" s="2944"/>
      <c r="D78" s="2944"/>
      <c r="E78" s="2944"/>
      <c r="F78" s="2944"/>
      <c r="G78" s="2944"/>
      <c r="H78" s="2944"/>
      <c r="I78" s="2944"/>
      <c r="J78" s="2944"/>
      <c r="K78" s="2944" t="s">
        <v>6767</v>
      </c>
      <c r="L78" s="2944"/>
      <c r="M78" s="2944"/>
      <c r="N78" s="2944"/>
      <c r="O78" s="2944"/>
      <c r="P78" s="2944"/>
      <c r="Q78" s="2944"/>
      <c r="R78" s="2944"/>
      <c r="S78" s="2944"/>
      <c r="T78" s="2944"/>
      <c r="U78" s="2944"/>
      <c r="V78" s="2944" t="s">
        <v>6768</v>
      </c>
      <c r="W78" s="2944"/>
      <c r="X78" s="2944"/>
      <c r="Y78" s="2944"/>
      <c r="Z78" s="2944"/>
      <c r="AA78" s="2944"/>
      <c r="AB78" s="2944"/>
      <c r="AC78" s="2944"/>
      <c r="AD78" s="2944"/>
      <c r="AE78" s="2944"/>
      <c r="AF78" s="2944"/>
      <c r="AG78" s="2944" t="s">
        <v>6769</v>
      </c>
      <c r="AH78" s="2944"/>
      <c r="AI78" s="2944"/>
      <c r="AJ78" s="2944"/>
      <c r="AK78" s="2944"/>
      <c r="AL78" s="2944"/>
      <c r="AM78" s="2944"/>
      <c r="AN78" s="2944"/>
      <c r="AO78" s="2944"/>
      <c r="AP78" s="2944"/>
    </row>
    <row r="79" s="799" customFormat="1" ht="12.75" spans="1:129">
      <c r="A79" s="2946">
        <f>UnosPorBilans!S173</f>
        <v>0</v>
      </c>
      <c r="B79" s="2946"/>
      <c r="C79" s="2946"/>
      <c r="D79" s="2946"/>
      <c r="E79" s="2946"/>
      <c r="F79" s="2946"/>
      <c r="G79" s="2946"/>
      <c r="H79" s="2946"/>
      <c r="I79" s="2946"/>
      <c r="J79" s="2946"/>
      <c r="K79" s="2946">
        <f>UnosPorBilans!W173</f>
        <v>0</v>
      </c>
      <c r="L79" s="2946"/>
      <c r="M79" s="2946"/>
      <c r="N79" s="2946"/>
      <c r="O79" s="2946"/>
      <c r="P79" s="2946"/>
      <c r="Q79" s="2946"/>
      <c r="R79" s="2946"/>
      <c r="S79" s="2946"/>
      <c r="T79" s="2946"/>
      <c r="U79" s="2946"/>
      <c r="V79" s="2946">
        <f>UnosPorBilans!AB173</f>
        <v>0</v>
      </c>
      <c r="W79" s="2946"/>
      <c r="X79" s="2946"/>
      <c r="Y79" s="2946"/>
      <c r="Z79" s="2946"/>
      <c r="AA79" s="2946"/>
      <c r="AB79" s="2946"/>
      <c r="AC79" s="2946"/>
      <c r="AD79" s="2946"/>
      <c r="AE79" s="2946"/>
      <c r="AF79" s="2946"/>
      <c r="AG79" s="2946">
        <f>UnosPorBilans!AG173</f>
        <v>0</v>
      </c>
      <c r="AH79" s="2946"/>
      <c r="AI79" s="2946"/>
      <c r="AJ79" s="2946"/>
      <c r="AK79" s="2946"/>
      <c r="AL79" s="2946"/>
      <c r="AM79" s="2946"/>
      <c r="AN79" s="2946"/>
      <c r="AO79" s="2946"/>
      <c r="AP79" s="2946"/>
    </row>
    <row r="80" s="799" customFormat="1" ht="12.75" spans="1:129">
      <c r="A80" s="2947" t="s">
        <v>6770</v>
      </c>
      <c r="B80" s="2947"/>
      <c r="C80" s="2947"/>
      <c r="D80" s="2947"/>
      <c r="E80" s="2947"/>
      <c r="F80" s="2947"/>
      <c r="G80" s="2947"/>
      <c r="H80" s="2947"/>
      <c r="I80" s="2947"/>
      <c r="J80" s="2947"/>
      <c r="K80" s="2947"/>
      <c r="L80" s="2947"/>
      <c r="M80" s="2947"/>
      <c r="N80" s="2947"/>
      <c r="O80" s="2947"/>
      <c r="P80" s="2947"/>
      <c r="Q80" s="2947"/>
      <c r="R80" s="2947"/>
      <c r="S80" s="2947"/>
      <c r="T80" s="2947"/>
      <c r="U80" s="2947"/>
      <c r="V80" s="2947" t="s">
        <v>6771</v>
      </c>
      <c r="W80" s="2947"/>
      <c r="X80" s="2947"/>
      <c r="Y80" s="2947"/>
      <c r="Z80" s="2947"/>
      <c r="AA80" s="2947"/>
      <c r="AB80" s="2947"/>
      <c r="AC80" s="2947"/>
      <c r="AD80" s="2947"/>
      <c r="AE80" s="2947"/>
      <c r="AF80" s="2947"/>
      <c r="AG80" s="2947"/>
      <c r="AH80" s="2947"/>
      <c r="AI80" s="2947"/>
      <c r="AJ80" s="2947"/>
      <c r="AK80" s="2947"/>
      <c r="AL80" s="2947"/>
      <c r="AM80" s="2947"/>
      <c r="AN80" s="2947"/>
      <c r="AO80" s="2947"/>
      <c r="AP80" s="2947"/>
    </row>
    <row r="81" s="799" customFormat="1" ht="12.75" spans="1:42">
      <c r="A81" s="2946">
        <f>UnosPorBilans!AL173</f>
        <v>0</v>
      </c>
      <c r="B81" s="2946"/>
      <c r="C81" s="2946"/>
      <c r="D81" s="2946"/>
      <c r="E81" s="2946"/>
      <c r="F81" s="2946"/>
      <c r="G81" s="2946"/>
      <c r="H81" s="2946"/>
      <c r="I81" s="2946"/>
      <c r="J81" s="2946"/>
      <c r="K81" s="2946"/>
      <c r="L81" s="2946"/>
      <c r="M81" s="2946"/>
      <c r="N81" s="2946"/>
      <c r="O81" s="2946"/>
      <c r="P81" s="2946"/>
      <c r="Q81" s="2946"/>
      <c r="R81" s="2946"/>
      <c r="S81" s="2946"/>
      <c r="T81" s="2946"/>
      <c r="U81" s="2946"/>
      <c r="V81" s="2946">
        <f>UnosPorBilans!AS173</f>
        <v>0</v>
      </c>
      <c r="W81" s="2946"/>
      <c r="X81" s="2946"/>
      <c r="Y81" s="2946"/>
      <c r="Z81" s="2946"/>
      <c r="AA81" s="2946"/>
      <c r="AB81" s="2946"/>
      <c r="AC81" s="2946"/>
      <c r="AD81" s="2946"/>
      <c r="AE81" s="2946"/>
      <c r="AF81" s="2946"/>
      <c r="AG81" s="2946"/>
      <c r="AH81" s="2946"/>
      <c r="AI81" s="2946"/>
      <c r="AJ81" s="2946"/>
      <c r="AK81" s="2946"/>
      <c r="AL81" s="2946"/>
      <c r="AM81" s="2946"/>
      <c r="AN81" s="2946"/>
      <c r="AO81" s="2946"/>
      <c r="AP81" s="2946"/>
    </row>
    <row r="82" s="799" customFormat="1" ht="12.75"/>
    <row r="83" s="799" customFormat="1" ht="12.75" spans="1:42">
      <c r="A83" s="2944" t="s">
        <v>4099</v>
      </c>
      <c r="B83" s="2944"/>
      <c r="C83" s="2944" t="s">
        <v>6772</v>
      </c>
      <c r="D83" s="2944"/>
      <c r="E83" s="2944"/>
      <c r="F83" s="2944"/>
      <c r="G83" s="2944"/>
      <c r="H83" s="2944"/>
      <c r="I83" s="2944"/>
      <c r="J83" s="2944"/>
      <c r="K83" s="2944"/>
      <c r="L83" s="2944"/>
      <c r="M83" s="2944"/>
      <c r="N83" s="2944"/>
      <c r="O83" s="2944"/>
      <c r="P83" s="2944"/>
      <c r="Q83" s="2944"/>
      <c r="R83" s="2944"/>
      <c r="S83" s="2944"/>
      <c r="T83" s="2944"/>
      <c r="U83" s="2944"/>
      <c r="V83" s="2944" t="s">
        <v>6773</v>
      </c>
      <c r="W83" s="2944"/>
      <c r="X83" s="2944"/>
      <c r="Y83" s="2944"/>
      <c r="Z83" s="2944"/>
      <c r="AA83" s="2944"/>
      <c r="AB83" s="2944"/>
      <c r="AC83" s="2944"/>
      <c r="AD83" s="2944"/>
      <c r="AE83" s="2944"/>
      <c r="AF83" s="2944"/>
      <c r="AG83" s="2944" t="s">
        <v>6774</v>
      </c>
      <c r="AH83" s="2944"/>
      <c r="AI83" s="2944"/>
      <c r="AJ83" s="2944"/>
      <c r="AK83" s="2944"/>
      <c r="AL83" s="2944"/>
      <c r="AM83" s="2944"/>
      <c r="AN83" s="2944"/>
      <c r="AO83" s="2944"/>
      <c r="AP83" s="2944"/>
    </row>
    <row r="84" s="799" customFormat="1" ht="12.75" spans="1:42">
      <c r="A84" s="2945">
        <f>UnosPorBilans!B174</f>
        <v>0</v>
      </c>
      <c r="B84" s="2945"/>
      <c r="C84" s="2945"/>
      <c r="D84" s="2945"/>
      <c r="E84" s="2945"/>
      <c r="F84" s="2945"/>
      <c r="G84" s="2945"/>
      <c r="H84" s="2945"/>
      <c r="I84" s="2945"/>
      <c r="J84" s="2945"/>
      <c r="K84" s="2945"/>
      <c r="L84" s="2945"/>
      <c r="M84" s="2945"/>
      <c r="N84" s="2945"/>
      <c r="O84" s="2945"/>
      <c r="P84" s="2945"/>
      <c r="Q84" s="2945"/>
      <c r="R84" s="2945"/>
      <c r="S84" s="2945"/>
      <c r="T84" s="2945"/>
      <c r="U84" s="2945"/>
      <c r="V84" s="2945">
        <f>UnosPorBilans!I174</f>
        <v>0</v>
      </c>
      <c r="W84" s="2945"/>
      <c r="X84" s="2945"/>
      <c r="Y84" s="2945"/>
      <c r="Z84" s="2945"/>
      <c r="AA84" s="2945"/>
      <c r="AB84" s="2945"/>
      <c r="AC84" s="2945"/>
      <c r="AD84" s="2945"/>
      <c r="AE84" s="2945"/>
      <c r="AF84" s="2945"/>
      <c r="AG84" s="2945">
        <f>UnosPorBilans!N174</f>
        <v>0</v>
      </c>
      <c r="AH84" s="2945"/>
      <c r="AI84" s="2945"/>
      <c r="AJ84" s="2945"/>
      <c r="AK84" s="2945"/>
      <c r="AL84" s="2945"/>
      <c r="AM84" s="2945"/>
      <c r="AN84" s="2945"/>
      <c r="AO84" s="2945"/>
      <c r="AP84" s="2945"/>
    </row>
    <row r="85" s="799" customFormat="1" ht="12.75" spans="1:42">
      <c r="A85" s="2944" t="s">
        <v>6775</v>
      </c>
      <c r="B85" s="2944"/>
      <c r="C85" s="2944"/>
      <c r="D85" s="2944"/>
      <c r="E85" s="2944"/>
      <c r="F85" s="2944"/>
      <c r="G85" s="2944"/>
      <c r="H85" s="2944"/>
      <c r="I85" s="2944"/>
      <c r="J85" s="2944"/>
      <c r="K85" s="2944" t="s">
        <v>6776</v>
      </c>
      <c r="L85" s="2944"/>
      <c r="M85" s="2944"/>
      <c r="N85" s="2944"/>
      <c r="O85" s="2944"/>
      <c r="P85" s="2944"/>
      <c r="Q85" s="2944"/>
      <c r="R85" s="2944"/>
      <c r="S85" s="2944"/>
      <c r="T85" s="2944"/>
      <c r="U85" s="2944"/>
      <c r="V85" s="2944" t="s">
        <v>6777</v>
      </c>
      <c r="W85" s="2944"/>
      <c r="X85" s="2944"/>
      <c r="Y85" s="2944"/>
      <c r="Z85" s="2944"/>
      <c r="AA85" s="2944"/>
      <c r="AB85" s="2944"/>
      <c r="AC85" s="2944"/>
      <c r="AD85" s="2944"/>
      <c r="AE85" s="2944"/>
      <c r="AF85" s="2944"/>
      <c r="AG85" s="2944" t="s">
        <v>6778</v>
      </c>
      <c r="AH85" s="2944"/>
      <c r="AI85" s="2944"/>
      <c r="AJ85" s="2944"/>
      <c r="AK85" s="2944"/>
      <c r="AL85" s="2944"/>
      <c r="AM85" s="2944"/>
      <c r="AN85" s="2944"/>
      <c r="AO85" s="2944"/>
      <c r="AP85" s="2944"/>
    </row>
    <row r="86" s="799" customFormat="1" ht="12.75" spans="1:42">
      <c r="A86" s="2946">
        <f>UnosPorBilans!S174</f>
        <v>0</v>
      </c>
      <c r="B86" s="2946"/>
      <c r="C86" s="2946"/>
      <c r="D86" s="2946"/>
      <c r="E86" s="2946"/>
      <c r="F86" s="2946"/>
      <c r="G86" s="2946"/>
      <c r="H86" s="2946"/>
      <c r="I86" s="2946"/>
      <c r="J86" s="2946"/>
      <c r="K86" s="2946">
        <f>UnosPorBilans!W174</f>
        <v>0</v>
      </c>
      <c r="L86" s="2946"/>
      <c r="M86" s="2946"/>
      <c r="N86" s="2946"/>
      <c r="O86" s="2946"/>
      <c r="P86" s="2946"/>
      <c r="Q86" s="2946"/>
      <c r="R86" s="2946"/>
      <c r="S86" s="2946"/>
      <c r="T86" s="2946"/>
      <c r="U86" s="2946"/>
      <c r="V86" s="2946">
        <f>UnosPorBilans!AB174</f>
        <v>0</v>
      </c>
      <c r="W86" s="2946"/>
      <c r="X86" s="2946"/>
      <c r="Y86" s="2946"/>
      <c r="Z86" s="2946"/>
      <c r="AA86" s="2946"/>
      <c r="AB86" s="2946"/>
      <c r="AC86" s="2946"/>
      <c r="AD86" s="2946"/>
      <c r="AE86" s="2946"/>
      <c r="AF86" s="2946"/>
      <c r="AG86" s="2946">
        <f>UnosPorBilans!AG174</f>
        <v>0</v>
      </c>
      <c r="AH86" s="2946"/>
      <c r="AI86" s="2946"/>
      <c r="AJ86" s="2946"/>
      <c r="AK86" s="2946"/>
      <c r="AL86" s="2946"/>
      <c r="AM86" s="2946"/>
      <c r="AN86" s="2946"/>
      <c r="AO86" s="2946"/>
      <c r="AP86" s="2946"/>
    </row>
    <row r="87" s="799" customFormat="1" ht="12.75" spans="1:42">
      <c r="A87" s="2947" t="s">
        <v>6779</v>
      </c>
      <c r="B87" s="2947"/>
      <c r="C87" s="2947"/>
      <c r="D87" s="2947"/>
      <c r="E87" s="2947"/>
      <c r="F87" s="2947"/>
      <c r="G87" s="2947"/>
      <c r="H87" s="2947"/>
      <c r="I87" s="2947"/>
      <c r="J87" s="2947"/>
      <c r="K87" s="2947"/>
      <c r="L87" s="2947"/>
      <c r="M87" s="2947"/>
      <c r="N87" s="2947"/>
      <c r="O87" s="2947"/>
      <c r="P87" s="2947"/>
      <c r="Q87" s="2947"/>
      <c r="R87" s="2947"/>
      <c r="S87" s="2947"/>
      <c r="T87" s="2947"/>
      <c r="U87" s="2947"/>
      <c r="V87" s="2947" t="s">
        <v>6780</v>
      </c>
      <c r="W87" s="2947"/>
      <c r="X87" s="2947"/>
      <c r="Y87" s="2947"/>
      <c r="Z87" s="2947"/>
      <c r="AA87" s="2947"/>
      <c r="AB87" s="2947"/>
      <c r="AC87" s="2947"/>
      <c r="AD87" s="2947"/>
      <c r="AE87" s="2947"/>
      <c r="AF87" s="2947"/>
      <c r="AG87" s="2947"/>
      <c r="AH87" s="2947"/>
      <c r="AI87" s="2947"/>
      <c r="AJ87" s="2947"/>
      <c r="AK87" s="2947"/>
      <c r="AL87" s="2947"/>
      <c r="AM87" s="2947"/>
      <c r="AN87" s="2947"/>
      <c r="AO87" s="2947"/>
      <c r="AP87" s="2947"/>
    </row>
    <row r="88" s="799" customFormat="1" ht="15" customHeight="1" spans="1:42">
      <c r="A88" s="2946">
        <f>UnosPorBilans!AL174</f>
        <v>0</v>
      </c>
      <c r="B88" s="2946"/>
      <c r="C88" s="2946"/>
      <c r="D88" s="2946"/>
      <c r="E88" s="2946"/>
      <c r="F88" s="2946"/>
      <c r="G88" s="2946"/>
      <c r="H88" s="2946"/>
      <c r="I88" s="2946"/>
      <c r="J88" s="2946"/>
      <c r="K88" s="2946"/>
      <c r="L88" s="2946"/>
      <c r="M88" s="2946"/>
      <c r="N88" s="2946"/>
      <c r="O88" s="2946"/>
      <c r="P88" s="2946"/>
      <c r="Q88" s="2946"/>
      <c r="R88" s="2946"/>
      <c r="S88" s="2946"/>
      <c r="T88" s="2946"/>
      <c r="U88" s="2946"/>
      <c r="V88" s="2946">
        <f>UnosPorBilans!AS174</f>
        <v>0</v>
      </c>
      <c r="W88" s="2946"/>
      <c r="X88" s="2946"/>
      <c r="Y88" s="2946"/>
      <c r="Z88" s="2946"/>
      <c r="AA88" s="2946"/>
      <c r="AB88" s="2946"/>
      <c r="AC88" s="2946"/>
      <c r="AD88" s="2946"/>
      <c r="AE88" s="2946"/>
      <c r="AF88" s="2946"/>
      <c r="AG88" s="2946"/>
      <c r="AH88" s="2946"/>
      <c r="AI88" s="2946"/>
      <c r="AJ88" s="2946"/>
      <c r="AK88" s="2946"/>
      <c r="AL88" s="2946"/>
      <c r="AM88" s="2946"/>
      <c r="AN88" s="2946"/>
      <c r="AO88" s="2946"/>
      <c r="AP88" s="2946"/>
    </row>
    <row r="89" s="799" customFormat="1" ht="8.25" customHeight="1" spans="1:42">
      <c r="A89" s="2951"/>
    </row>
    <row r="90" s="799" customFormat="1" ht="12.75" hidden="1" spans="1:42">
      <c r="A90" s="2944" t="s">
        <v>4189</v>
      </c>
      <c r="B90" s="2944"/>
      <c r="C90" s="2944" t="s">
        <v>6781</v>
      </c>
      <c r="D90" s="2944"/>
      <c r="E90" s="2944"/>
      <c r="F90" s="2944"/>
      <c r="G90" s="2944"/>
      <c r="H90" s="2944"/>
      <c r="I90" s="2944"/>
      <c r="J90" s="2944"/>
      <c r="K90" s="2944"/>
      <c r="L90" s="2944"/>
      <c r="M90" s="2944"/>
      <c r="N90" s="2944"/>
      <c r="O90" s="2944"/>
      <c r="P90" s="2944"/>
      <c r="Q90" s="2944"/>
      <c r="R90" s="2944"/>
      <c r="S90" s="2944"/>
      <c r="T90" s="2944"/>
      <c r="U90" s="2944"/>
      <c r="V90" s="2944" t="s">
        <v>6782</v>
      </c>
      <c r="W90" s="2944"/>
      <c r="X90" s="2944"/>
      <c r="Y90" s="2944"/>
      <c r="Z90" s="2944"/>
      <c r="AA90" s="2944"/>
      <c r="AB90" s="2944"/>
      <c r="AC90" s="2944"/>
      <c r="AD90" s="2944"/>
      <c r="AE90" s="2944"/>
      <c r="AF90" s="2944"/>
      <c r="AG90" s="2944" t="s">
        <v>6783</v>
      </c>
      <c r="AH90" s="2944"/>
      <c r="AI90" s="2944"/>
      <c r="AJ90" s="2944"/>
      <c r="AK90" s="2944"/>
      <c r="AL90" s="2944"/>
      <c r="AM90" s="2944"/>
      <c r="AN90" s="2944"/>
      <c r="AO90" s="2944"/>
      <c r="AP90" s="2944"/>
    </row>
    <row r="91" s="799" customFormat="1" ht="12.75" hidden="1" spans="1:42">
      <c r="A91" s="2945">
        <f>UnosPorBilans!B175</f>
        <v>0</v>
      </c>
      <c r="B91" s="2945"/>
      <c r="C91" s="2945"/>
      <c r="D91" s="2945"/>
      <c r="E91" s="2945"/>
      <c r="F91" s="2945"/>
      <c r="G91" s="2945"/>
      <c r="H91" s="2945"/>
      <c r="I91" s="2945"/>
      <c r="J91" s="2945"/>
      <c r="K91" s="2945"/>
      <c r="L91" s="2945"/>
      <c r="M91" s="2945"/>
      <c r="N91" s="2945"/>
      <c r="O91" s="2945"/>
      <c r="P91" s="2945"/>
      <c r="Q91" s="2945"/>
      <c r="R91" s="2945"/>
      <c r="S91" s="2945"/>
      <c r="T91" s="2945"/>
      <c r="U91" s="2945"/>
      <c r="V91" s="2945">
        <f>UnosPorBilans!I175</f>
        <v>0</v>
      </c>
      <c r="W91" s="2945"/>
      <c r="X91" s="2945"/>
      <c r="Y91" s="2945"/>
      <c r="Z91" s="2945"/>
      <c r="AA91" s="2945"/>
      <c r="AB91" s="2945"/>
      <c r="AC91" s="2945"/>
      <c r="AD91" s="2945"/>
      <c r="AE91" s="2945"/>
      <c r="AF91" s="2945"/>
      <c r="AG91" s="2945">
        <f>UnosPorBilans!N175</f>
        <v>0</v>
      </c>
      <c r="AH91" s="2945"/>
      <c r="AI91" s="2945"/>
      <c r="AJ91" s="2945"/>
      <c r="AK91" s="2945"/>
      <c r="AL91" s="2945"/>
      <c r="AM91" s="2945"/>
      <c r="AN91" s="2945"/>
      <c r="AO91" s="2945"/>
      <c r="AP91" s="2945"/>
    </row>
    <row r="92" s="799" customFormat="1" ht="12.75" hidden="1" spans="1:42">
      <c r="A92" s="2944" t="s">
        <v>6784</v>
      </c>
      <c r="B92" s="2944"/>
      <c r="C92" s="2944"/>
      <c r="D92" s="2944"/>
      <c r="E92" s="2944"/>
      <c r="F92" s="2944"/>
      <c r="G92" s="2944"/>
      <c r="H92" s="2944"/>
      <c r="I92" s="2944"/>
      <c r="J92" s="2944"/>
      <c r="K92" s="2944" t="s">
        <v>6785</v>
      </c>
      <c r="L92" s="2944"/>
      <c r="M92" s="2944"/>
      <c r="N92" s="2944"/>
      <c r="O92" s="2944"/>
      <c r="P92" s="2944"/>
      <c r="Q92" s="2944"/>
      <c r="R92" s="2944"/>
      <c r="S92" s="2944"/>
      <c r="T92" s="2944"/>
      <c r="U92" s="2944"/>
      <c r="V92" s="2944" t="s">
        <v>6786</v>
      </c>
      <c r="W92" s="2944"/>
      <c r="X92" s="2944"/>
      <c r="Y92" s="2944"/>
      <c r="Z92" s="2944"/>
      <c r="AA92" s="2944"/>
      <c r="AB92" s="2944"/>
      <c r="AC92" s="2944"/>
      <c r="AD92" s="2944"/>
      <c r="AE92" s="2944"/>
      <c r="AF92" s="2944"/>
      <c r="AG92" s="2944" t="s">
        <v>6787</v>
      </c>
      <c r="AH92" s="2944"/>
      <c r="AI92" s="2944"/>
      <c r="AJ92" s="2944"/>
      <c r="AK92" s="2944"/>
      <c r="AL92" s="2944"/>
      <c r="AM92" s="2944"/>
      <c r="AN92" s="2944"/>
      <c r="AO92" s="2944"/>
      <c r="AP92" s="2944"/>
    </row>
    <row r="93" s="799" customFormat="1" ht="12.75" hidden="1" spans="1:42">
      <c r="A93" s="2946">
        <f>UnosPorBilans!S175</f>
        <v>0</v>
      </c>
      <c r="B93" s="2946"/>
      <c r="C93" s="2946"/>
      <c r="D93" s="2946"/>
      <c r="E93" s="2946"/>
      <c r="F93" s="2946"/>
      <c r="G93" s="2946"/>
      <c r="H93" s="2946"/>
      <c r="I93" s="2946"/>
      <c r="J93" s="2946"/>
      <c r="K93" s="2946">
        <f>UnosPorBilans!W175</f>
        <v>0</v>
      </c>
      <c r="L93" s="2946"/>
      <c r="M93" s="2946"/>
      <c r="N93" s="2946"/>
      <c r="O93" s="2946"/>
      <c r="P93" s="2946"/>
      <c r="Q93" s="2946"/>
      <c r="R93" s="2946"/>
      <c r="S93" s="2946"/>
      <c r="T93" s="2946"/>
      <c r="U93" s="2946"/>
      <c r="V93" s="2946">
        <f>UnosPorBilans!AB175</f>
        <v>0</v>
      </c>
      <c r="W93" s="2946"/>
      <c r="X93" s="2946"/>
      <c r="Y93" s="2946"/>
      <c r="Z93" s="2946"/>
      <c r="AA93" s="2946"/>
      <c r="AB93" s="2946"/>
      <c r="AC93" s="2946"/>
      <c r="AD93" s="2946"/>
      <c r="AE93" s="2946"/>
      <c r="AF93" s="2946"/>
      <c r="AG93" s="2946">
        <f>UnosPorBilans!AG175</f>
        <v>0</v>
      </c>
      <c r="AH93" s="2946"/>
      <c r="AI93" s="2946"/>
      <c r="AJ93" s="2946"/>
      <c r="AK93" s="2946"/>
      <c r="AL93" s="2946"/>
      <c r="AM93" s="2946"/>
      <c r="AN93" s="2946"/>
      <c r="AO93" s="2946"/>
      <c r="AP93" s="2946"/>
    </row>
    <row r="94" s="799" customFormat="1" ht="12.75" hidden="1" spans="1:42">
      <c r="A94" s="2947" t="s">
        <v>6788</v>
      </c>
      <c r="B94" s="2947"/>
      <c r="C94" s="2947"/>
      <c r="D94" s="2947"/>
      <c r="E94" s="2947"/>
      <c r="F94" s="2947"/>
      <c r="G94" s="2947"/>
      <c r="H94" s="2947"/>
      <c r="I94" s="2947"/>
      <c r="J94" s="2947"/>
      <c r="K94" s="2947"/>
      <c r="L94" s="2947"/>
      <c r="M94" s="2947"/>
      <c r="N94" s="2947"/>
      <c r="O94" s="2947"/>
      <c r="P94" s="2947"/>
      <c r="Q94" s="2947"/>
      <c r="R94" s="2947"/>
      <c r="S94" s="2947"/>
      <c r="T94" s="2947"/>
      <c r="U94" s="2947"/>
      <c r="V94" s="2947" t="s">
        <v>6789</v>
      </c>
      <c r="W94" s="2947"/>
      <c r="X94" s="2947"/>
      <c r="Y94" s="2947"/>
      <c r="Z94" s="2947"/>
      <c r="AA94" s="2947"/>
      <c r="AB94" s="2947"/>
      <c r="AC94" s="2947"/>
      <c r="AD94" s="2947"/>
      <c r="AE94" s="2947"/>
      <c r="AF94" s="2947"/>
      <c r="AG94" s="2947"/>
      <c r="AH94" s="2947"/>
      <c r="AI94" s="2947"/>
      <c r="AJ94" s="2947"/>
      <c r="AK94" s="2947"/>
      <c r="AL94" s="2947"/>
      <c r="AM94" s="2947"/>
      <c r="AN94" s="2947"/>
      <c r="AO94" s="2947"/>
      <c r="AP94" s="2947"/>
    </row>
    <row r="95" s="799" customFormat="1" ht="12.75" hidden="1" spans="1:42">
      <c r="A95" s="2946">
        <f>UnosPorBilans!AL175</f>
        <v>0</v>
      </c>
      <c r="B95" s="2946"/>
      <c r="C95" s="2946"/>
      <c r="D95" s="2946"/>
      <c r="E95" s="2946"/>
      <c r="F95" s="2946"/>
      <c r="G95" s="2946"/>
      <c r="H95" s="2946"/>
      <c r="I95" s="2946"/>
      <c r="J95" s="2946"/>
      <c r="K95" s="2946"/>
      <c r="L95" s="2946"/>
      <c r="M95" s="2946"/>
      <c r="N95" s="2946"/>
      <c r="O95" s="2946"/>
      <c r="P95" s="2946"/>
      <c r="Q95" s="2946"/>
      <c r="R95" s="2946"/>
      <c r="S95" s="2946"/>
      <c r="T95" s="2946"/>
      <c r="U95" s="2946"/>
      <c r="V95" s="2946">
        <f>UnosPorBilans!AS175</f>
        <v>0</v>
      </c>
      <c r="W95" s="2946"/>
      <c r="X95" s="2946"/>
      <c r="Y95" s="2946"/>
      <c r="Z95" s="2946"/>
      <c r="AA95" s="2946"/>
      <c r="AB95" s="2946"/>
      <c r="AC95" s="2946"/>
      <c r="AD95" s="2946"/>
      <c r="AE95" s="2946"/>
      <c r="AF95" s="2946"/>
      <c r="AG95" s="2946"/>
      <c r="AH95" s="2946"/>
      <c r="AI95" s="2946"/>
      <c r="AJ95" s="2946"/>
      <c r="AK95" s="2946"/>
      <c r="AL95" s="2946"/>
      <c r="AM95" s="2946"/>
      <c r="AN95" s="2946"/>
      <c r="AO95" s="2946"/>
      <c r="AP95" s="2946"/>
    </row>
    <row r="96" s="799" customFormat="1" ht="6" hidden="1" customHeight="1"/>
    <row r="97" s="799" customFormat="1" ht="12.75" hidden="1" spans="1:42">
      <c r="A97" s="2944" t="s">
        <v>4191</v>
      </c>
      <c r="B97" s="2944"/>
      <c r="C97" s="2944" t="s">
        <v>6790</v>
      </c>
      <c r="D97" s="2944"/>
      <c r="E97" s="2944"/>
      <c r="F97" s="2944"/>
      <c r="G97" s="2944"/>
      <c r="H97" s="2944"/>
      <c r="I97" s="2944"/>
      <c r="J97" s="2944"/>
      <c r="K97" s="2944"/>
      <c r="L97" s="2944"/>
      <c r="M97" s="2944"/>
      <c r="N97" s="2944"/>
      <c r="O97" s="2944"/>
      <c r="P97" s="2944"/>
      <c r="Q97" s="2944"/>
      <c r="R97" s="2944"/>
      <c r="S97" s="2944"/>
      <c r="T97" s="2944"/>
      <c r="U97" s="2944"/>
      <c r="V97" s="2944" t="s">
        <v>6791</v>
      </c>
      <c r="W97" s="2944"/>
      <c r="X97" s="2944"/>
      <c r="Y97" s="2944"/>
      <c r="Z97" s="2944"/>
      <c r="AA97" s="2944"/>
      <c r="AB97" s="2944"/>
      <c r="AC97" s="2944"/>
      <c r="AD97" s="2944"/>
      <c r="AE97" s="2944"/>
      <c r="AF97" s="2944"/>
      <c r="AG97" s="2944" t="s">
        <v>6792</v>
      </c>
      <c r="AH97" s="2944"/>
      <c r="AI97" s="2944"/>
      <c r="AJ97" s="2944"/>
      <c r="AK97" s="2944"/>
      <c r="AL97" s="2944"/>
      <c r="AM97" s="2944"/>
      <c r="AN97" s="2944"/>
      <c r="AO97" s="2944"/>
      <c r="AP97" s="2944"/>
    </row>
    <row r="98" s="799" customFormat="1" ht="12.75" hidden="1" spans="1:42">
      <c r="A98" s="2945">
        <f>UnosPorBilans!B176</f>
        <v>0</v>
      </c>
      <c r="B98" s="2945"/>
      <c r="C98" s="2945"/>
      <c r="D98" s="2945"/>
      <c r="E98" s="2945"/>
      <c r="F98" s="2945"/>
      <c r="G98" s="2945"/>
      <c r="H98" s="2945"/>
      <c r="I98" s="2945"/>
      <c r="J98" s="2945"/>
      <c r="K98" s="2945"/>
      <c r="L98" s="2945"/>
      <c r="M98" s="2945"/>
      <c r="N98" s="2945"/>
      <c r="O98" s="2945"/>
      <c r="P98" s="2945"/>
      <c r="Q98" s="2945"/>
      <c r="R98" s="2945"/>
      <c r="S98" s="2945"/>
      <c r="T98" s="2945"/>
      <c r="U98" s="2945"/>
      <c r="V98" s="2945">
        <f>UnosPorBilans!I176</f>
        <v>0</v>
      </c>
      <c r="W98" s="2945"/>
      <c r="X98" s="2945"/>
      <c r="Y98" s="2945"/>
      <c r="Z98" s="2945"/>
      <c r="AA98" s="2945"/>
      <c r="AB98" s="2945"/>
      <c r="AC98" s="2945"/>
      <c r="AD98" s="2945"/>
      <c r="AE98" s="2945"/>
      <c r="AF98" s="2945"/>
      <c r="AG98" s="2945">
        <f>UnosPorBilans!N176</f>
        <v>0</v>
      </c>
      <c r="AH98" s="2945"/>
      <c r="AI98" s="2945"/>
      <c r="AJ98" s="2945"/>
      <c r="AK98" s="2945"/>
      <c r="AL98" s="2945"/>
      <c r="AM98" s="2945"/>
      <c r="AN98" s="2945"/>
      <c r="AO98" s="2945"/>
      <c r="AP98" s="2945"/>
    </row>
    <row r="99" s="799" customFormat="1" ht="12.75" hidden="1" spans="1:42">
      <c r="A99" s="2944" t="s">
        <v>6793</v>
      </c>
      <c r="B99" s="2944"/>
      <c r="C99" s="2944"/>
      <c r="D99" s="2944"/>
      <c r="E99" s="2944"/>
      <c r="F99" s="2944"/>
      <c r="G99" s="2944"/>
      <c r="H99" s="2944"/>
      <c r="I99" s="2944"/>
      <c r="J99" s="2944"/>
      <c r="K99" s="2944" t="s">
        <v>6767</v>
      </c>
      <c r="L99" s="2944"/>
      <c r="M99" s="2944"/>
      <c r="N99" s="2944"/>
      <c r="O99" s="2944"/>
      <c r="P99" s="2944"/>
      <c r="Q99" s="2944"/>
      <c r="R99" s="2944"/>
      <c r="S99" s="2944"/>
      <c r="T99" s="2944"/>
      <c r="U99" s="2944"/>
      <c r="V99" s="2944" t="s">
        <v>6794</v>
      </c>
      <c r="W99" s="2944"/>
      <c r="X99" s="2944"/>
      <c r="Y99" s="2944"/>
      <c r="Z99" s="2944"/>
      <c r="AA99" s="2944"/>
      <c r="AB99" s="2944"/>
      <c r="AC99" s="2944"/>
      <c r="AD99" s="2944"/>
      <c r="AE99" s="2944"/>
      <c r="AF99" s="2944"/>
      <c r="AG99" s="2944" t="s">
        <v>6795</v>
      </c>
      <c r="AH99" s="2944"/>
      <c r="AI99" s="2944"/>
      <c r="AJ99" s="2944"/>
      <c r="AK99" s="2944"/>
      <c r="AL99" s="2944"/>
      <c r="AM99" s="2944"/>
      <c r="AN99" s="2944"/>
      <c r="AO99" s="2944"/>
      <c r="AP99" s="2944"/>
    </row>
    <row r="100" s="799" customFormat="1" ht="12.75" hidden="1" spans="1:42">
      <c r="A100" s="2946">
        <f>UnosPorBilans!S176</f>
        <v>0</v>
      </c>
      <c r="B100" s="2946"/>
      <c r="C100" s="2946"/>
      <c r="D100" s="2946"/>
      <c r="E100" s="2946"/>
      <c r="F100" s="2946"/>
      <c r="G100" s="2946"/>
      <c r="H100" s="2946"/>
      <c r="I100" s="2946"/>
      <c r="J100" s="2946"/>
      <c r="K100" s="2946">
        <f>UnosPorBilans!W176</f>
        <v>0</v>
      </c>
      <c r="L100" s="2946"/>
      <c r="M100" s="2946"/>
      <c r="N100" s="2946"/>
      <c r="O100" s="2946"/>
      <c r="P100" s="2946"/>
      <c r="Q100" s="2946"/>
      <c r="R100" s="2946"/>
      <c r="S100" s="2946"/>
      <c r="T100" s="2946"/>
      <c r="U100" s="2946"/>
      <c r="V100" s="2946">
        <f>UnosPorBilans!AB176</f>
        <v>0</v>
      </c>
      <c r="W100" s="2946"/>
      <c r="X100" s="2946"/>
      <c r="Y100" s="2946"/>
      <c r="Z100" s="2946"/>
      <c r="AA100" s="2946"/>
      <c r="AB100" s="2946"/>
      <c r="AC100" s="2946"/>
      <c r="AD100" s="2946"/>
      <c r="AE100" s="2946"/>
      <c r="AF100" s="2946"/>
      <c r="AG100" s="2946">
        <f>UnosPorBilans!AG176</f>
        <v>0</v>
      </c>
      <c r="AH100" s="2946"/>
      <c r="AI100" s="2946"/>
      <c r="AJ100" s="2946"/>
      <c r="AK100" s="2946"/>
      <c r="AL100" s="2946"/>
      <c r="AM100" s="2946"/>
      <c r="AN100" s="2946"/>
      <c r="AO100" s="2946"/>
      <c r="AP100" s="2946"/>
    </row>
    <row r="101" s="799" customFormat="1" hidden="1" customHeight="1" spans="1:42">
      <c r="A101" s="2947" t="s">
        <v>6796</v>
      </c>
      <c r="B101" s="2947"/>
      <c r="C101" s="2947"/>
      <c r="D101" s="2947"/>
      <c r="E101" s="2947"/>
      <c r="F101" s="2947"/>
      <c r="G101" s="2947"/>
      <c r="H101" s="2947"/>
      <c r="I101" s="2947"/>
      <c r="J101" s="2947"/>
      <c r="K101" s="2947"/>
      <c r="L101" s="2947"/>
      <c r="M101" s="2947"/>
      <c r="N101" s="2947"/>
      <c r="O101" s="2947"/>
      <c r="P101" s="2947"/>
      <c r="Q101" s="2947"/>
      <c r="R101" s="2947"/>
      <c r="S101" s="2947"/>
      <c r="T101" s="2947"/>
      <c r="U101" s="2947"/>
      <c r="V101" s="2947" t="s">
        <v>6797</v>
      </c>
      <c r="W101" s="2947"/>
      <c r="X101" s="2947"/>
      <c r="Y101" s="2947"/>
      <c r="Z101" s="2947"/>
      <c r="AA101" s="2947"/>
      <c r="AB101" s="2947"/>
      <c r="AC101" s="2947"/>
      <c r="AD101" s="2947"/>
      <c r="AE101" s="2947"/>
      <c r="AF101" s="2947"/>
      <c r="AG101" s="2947"/>
      <c r="AH101" s="2947"/>
      <c r="AI101" s="2947"/>
      <c r="AJ101" s="2947"/>
      <c r="AK101" s="2947"/>
      <c r="AL101" s="2947"/>
      <c r="AM101" s="2947"/>
      <c r="AN101" s="2947"/>
      <c r="AO101" s="2947"/>
      <c r="AP101" s="2947"/>
    </row>
    <row r="102" s="799" customFormat="1" hidden="1" customHeight="1" spans="1:42">
      <c r="A102" s="2946">
        <f>UnosPorBilans!AL176</f>
        <v>0</v>
      </c>
      <c r="B102" s="2946"/>
      <c r="C102" s="2946"/>
      <c r="D102" s="2946"/>
      <c r="E102" s="2946"/>
      <c r="F102" s="2946"/>
      <c r="G102" s="2946"/>
      <c r="H102" s="2946"/>
      <c r="I102" s="2946"/>
      <c r="J102" s="2946"/>
      <c r="K102" s="2946"/>
      <c r="L102" s="2946"/>
      <c r="M102" s="2946"/>
      <c r="N102" s="2946"/>
      <c r="O102" s="2946"/>
      <c r="P102" s="2946"/>
      <c r="Q102" s="2946"/>
      <c r="R102" s="2946"/>
      <c r="S102" s="2946"/>
      <c r="T102" s="2946"/>
      <c r="U102" s="2946"/>
      <c r="V102" s="2946">
        <f>UnosPorBilans!AS176</f>
        <v>0</v>
      </c>
      <c r="W102" s="2946"/>
      <c r="X102" s="2946"/>
      <c r="Y102" s="2946"/>
      <c r="Z102" s="2946"/>
      <c r="AA102" s="2946"/>
      <c r="AB102" s="2946"/>
      <c r="AC102" s="2946"/>
      <c r="AD102" s="2946"/>
      <c r="AE102" s="2946"/>
      <c r="AF102" s="2946"/>
      <c r="AG102" s="2946"/>
      <c r="AH102" s="2946"/>
      <c r="AI102" s="2946"/>
      <c r="AJ102" s="2946"/>
      <c r="AK102" s="2946"/>
      <c r="AL102" s="2946"/>
      <c r="AM102" s="2946"/>
      <c r="AN102" s="2946"/>
      <c r="AO102" s="2946"/>
      <c r="AP102" s="2946"/>
    </row>
    <row r="103" s="799" customFormat="1" hidden="1" customHeight="1"/>
    <row r="104" s="799" customFormat="1" ht="12.75" hidden="1" spans="1:42">
      <c r="A104" s="2944" t="s">
        <v>4192</v>
      </c>
      <c r="B104" s="2944"/>
      <c r="C104" s="2944" t="s">
        <v>6798</v>
      </c>
      <c r="D104" s="2944"/>
      <c r="E104" s="2944"/>
      <c r="F104" s="2944"/>
      <c r="G104" s="2944"/>
      <c r="H104" s="2944"/>
      <c r="I104" s="2944"/>
      <c r="J104" s="2944"/>
      <c r="K104" s="2944"/>
      <c r="L104" s="2944"/>
      <c r="M104" s="2944"/>
      <c r="N104" s="2944"/>
      <c r="O104" s="2944"/>
      <c r="P104" s="2944"/>
      <c r="Q104" s="2944"/>
      <c r="R104" s="2944"/>
      <c r="S104" s="2944"/>
      <c r="T104" s="2944"/>
      <c r="U104" s="2944"/>
      <c r="V104" s="2944" t="s">
        <v>6799</v>
      </c>
      <c r="W104" s="2944"/>
      <c r="X104" s="2944"/>
      <c r="Y104" s="2944"/>
      <c r="Z104" s="2944"/>
      <c r="AA104" s="2944"/>
      <c r="AB104" s="2944"/>
      <c r="AC104" s="2944"/>
      <c r="AD104" s="2944"/>
      <c r="AE104" s="2944"/>
      <c r="AF104" s="2944"/>
      <c r="AG104" s="2944" t="s">
        <v>6800</v>
      </c>
      <c r="AH104" s="2944"/>
      <c r="AI104" s="2944"/>
      <c r="AJ104" s="2944"/>
      <c r="AK104" s="2944"/>
      <c r="AL104" s="2944"/>
      <c r="AM104" s="2944"/>
      <c r="AN104" s="2944"/>
      <c r="AO104" s="2944"/>
      <c r="AP104" s="2944"/>
    </row>
    <row r="105" s="799" customFormat="1" ht="12.75" hidden="1" spans="1:42">
      <c r="A105" s="2945">
        <f>UnosPorBilans!B177</f>
        <v>0</v>
      </c>
      <c r="B105" s="2945"/>
      <c r="C105" s="2945"/>
      <c r="D105" s="2945"/>
      <c r="E105" s="2945"/>
      <c r="F105" s="2945"/>
      <c r="G105" s="2945"/>
      <c r="H105" s="2945"/>
      <c r="I105" s="2945"/>
      <c r="J105" s="2945"/>
      <c r="K105" s="2945"/>
      <c r="L105" s="2945"/>
      <c r="M105" s="2945"/>
      <c r="N105" s="2945"/>
      <c r="O105" s="2945"/>
      <c r="P105" s="2945"/>
      <c r="Q105" s="2945"/>
      <c r="R105" s="2945"/>
      <c r="S105" s="2945"/>
      <c r="T105" s="2945"/>
      <c r="U105" s="2945"/>
      <c r="V105" s="2945">
        <f>UnosPorBilans!I177</f>
        <v>0</v>
      </c>
      <c r="W105" s="2945"/>
      <c r="X105" s="2945"/>
      <c r="Y105" s="2945"/>
      <c r="Z105" s="2945"/>
      <c r="AA105" s="2945"/>
      <c r="AB105" s="2945"/>
      <c r="AC105" s="2945"/>
      <c r="AD105" s="2945"/>
      <c r="AE105" s="2945"/>
      <c r="AF105" s="2945"/>
      <c r="AG105" s="2945">
        <f>UnosPorBilans!N177</f>
        <v>0</v>
      </c>
      <c r="AH105" s="2945"/>
      <c r="AI105" s="2945"/>
      <c r="AJ105" s="2945"/>
      <c r="AK105" s="2945"/>
      <c r="AL105" s="2945"/>
      <c r="AM105" s="2945"/>
      <c r="AN105" s="2945"/>
      <c r="AO105" s="2945"/>
      <c r="AP105" s="2945"/>
    </row>
    <row r="106" s="799" customFormat="1" ht="12.75" hidden="1" spans="1:42">
      <c r="A106" s="2944" t="s">
        <v>6801</v>
      </c>
      <c r="B106" s="2944"/>
      <c r="C106" s="2944"/>
      <c r="D106" s="2944"/>
      <c r="E106" s="2944"/>
      <c r="F106" s="2944"/>
      <c r="G106" s="2944"/>
      <c r="H106" s="2944"/>
      <c r="I106" s="2944"/>
      <c r="J106" s="2944"/>
      <c r="K106" s="2944" t="s">
        <v>6802</v>
      </c>
      <c r="L106" s="2944"/>
      <c r="M106" s="2944"/>
      <c r="N106" s="2944"/>
      <c r="O106" s="2944"/>
      <c r="P106" s="2944"/>
      <c r="Q106" s="2944"/>
      <c r="R106" s="2944"/>
      <c r="S106" s="2944"/>
      <c r="T106" s="2944"/>
      <c r="U106" s="2944"/>
      <c r="V106" s="2944" t="s">
        <v>6803</v>
      </c>
      <c r="W106" s="2944"/>
      <c r="X106" s="2944"/>
      <c r="Y106" s="2944"/>
      <c r="Z106" s="2944"/>
      <c r="AA106" s="2944"/>
      <c r="AB106" s="2944"/>
      <c r="AC106" s="2944"/>
      <c r="AD106" s="2944"/>
      <c r="AE106" s="2944"/>
      <c r="AF106" s="2944"/>
      <c r="AG106" s="2944" t="s">
        <v>6804</v>
      </c>
      <c r="AH106" s="2944"/>
      <c r="AI106" s="2944"/>
      <c r="AJ106" s="2944"/>
      <c r="AK106" s="2944"/>
      <c r="AL106" s="2944"/>
      <c r="AM106" s="2944"/>
      <c r="AN106" s="2944"/>
      <c r="AO106" s="2944"/>
      <c r="AP106" s="2944"/>
    </row>
    <row r="107" s="799" customFormat="1" ht="12.75" hidden="1" spans="1:42">
      <c r="A107" s="2946">
        <f>UnosPorBilans!S177</f>
        <v>0</v>
      </c>
      <c r="B107" s="2946"/>
      <c r="C107" s="2946"/>
      <c r="D107" s="2946"/>
      <c r="E107" s="2946"/>
      <c r="F107" s="2946"/>
      <c r="G107" s="2946"/>
      <c r="H107" s="2946"/>
      <c r="I107" s="2946"/>
      <c r="J107" s="2946"/>
      <c r="K107" s="2946">
        <f>UnosPorBilans!W177</f>
        <v>0</v>
      </c>
      <c r="L107" s="2946"/>
      <c r="M107" s="2946"/>
      <c r="N107" s="2946"/>
      <c r="O107" s="2946"/>
      <c r="P107" s="2946"/>
      <c r="Q107" s="2946"/>
      <c r="R107" s="2946"/>
      <c r="S107" s="2946"/>
      <c r="T107" s="2946"/>
      <c r="U107" s="2946"/>
      <c r="V107" s="2946">
        <f>UnosPorBilans!AB177</f>
        <v>0</v>
      </c>
      <c r="W107" s="2946"/>
      <c r="X107" s="2946"/>
      <c r="Y107" s="2946"/>
      <c r="Z107" s="2946"/>
      <c r="AA107" s="2946"/>
      <c r="AB107" s="2946"/>
      <c r="AC107" s="2946"/>
      <c r="AD107" s="2946"/>
      <c r="AE107" s="2946"/>
      <c r="AF107" s="2946"/>
      <c r="AG107" s="2946">
        <f>UnosPorBilans!AG177</f>
        <v>0</v>
      </c>
      <c r="AH107" s="2946"/>
      <c r="AI107" s="2946"/>
      <c r="AJ107" s="2946"/>
      <c r="AK107" s="2946"/>
      <c r="AL107" s="2946"/>
      <c r="AM107" s="2946"/>
      <c r="AN107" s="2946"/>
      <c r="AO107" s="2946"/>
      <c r="AP107" s="2946"/>
    </row>
    <row r="108" s="799" customFormat="1" ht="12.75" hidden="1" spans="1:42">
      <c r="A108" s="2947" t="s">
        <v>6805</v>
      </c>
      <c r="B108" s="2947"/>
      <c r="C108" s="2947"/>
      <c r="D108" s="2947"/>
      <c r="E108" s="2947"/>
      <c r="F108" s="2947"/>
      <c r="G108" s="2947"/>
      <c r="H108" s="2947"/>
      <c r="I108" s="2947"/>
      <c r="J108" s="2947"/>
      <c r="K108" s="2947"/>
      <c r="L108" s="2947"/>
      <c r="M108" s="2947"/>
      <c r="N108" s="2947"/>
      <c r="O108" s="2947"/>
      <c r="P108" s="2947"/>
      <c r="Q108" s="2947"/>
      <c r="R108" s="2947"/>
      <c r="S108" s="2947"/>
      <c r="T108" s="2947"/>
      <c r="U108" s="2947"/>
      <c r="V108" s="2947" t="s">
        <v>6806</v>
      </c>
      <c r="W108" s="2947"/>
      <c r="X108" s="2947"/>
      <c r="Y108" s="2947"/>
      <c r="Z108" s="2947"/>
      <c r="AA108" s="2947"/>
      <c r="AB108" s="2947"/>
      <c r="AC108" s="2947"/>
      <c r="AD108" s="2947"/>
      <c r="AE108" s="2947"/>
      <c r="AF108" s="2947"/>
      <c r="AG108" s="2947"/>
      <c r="AH108" s="2947"/>
      <c r="AI108" s="2947"/>
      <c r="AJ108" s="2947"/>
      <c r="AK108" s="2947"/>
      <c r="AL108" s="2947"/>
      <c r="AM108" s="2947"/>
      <c r="AN108" s="2947"/>
      <c r="AO108" s="2947"/>
      <c r="AP108" s="2947"/>
    </row>
    <row r="109" s="799" customFormat="1" ht="12.75" hidden="1" spans="1:42">
      <c r="A109" s="2946">
        <f>UnosPorBilans!AL177</f>
        <v>0</v>
      </c>
      <c r="B109" s="2946"/>
      <c r="C109" s="2946"/>
      <c r="D109" s="2946"/>
      <c r="E109" s="2946"/>
      <c r="F109" s="2946"/>
      <c r="G109" s="2946"/>
      <c r="H109" s="2946"/>
      <c r="I109" s="2946"/>
      <c r="J109" s="2946"/>
      <c r="K109" s="2946"/>
      <c r="L109" s="2946"/>
      <c r="M109" s="2946"/>
      <c r="N109" s="2946"/>
      <c r="O109" s="2946"/>
      <c r="P109" s="2946"/>
      <c r="Q109" s="2946"/>
      <c r="R109" s="2946"/>
      <c r="S109" s="2946"/>
      <c r="T109" s="2946"/>
      <c r="U109" s="2946"/>
      <c r="V109" s="2946">
        <f>UnosPorBilans!AS177</f>
        <v>0</v>
      </c>
      <c r="W109" s="2946"/>
      <c r="X109" s="2946"/>
      <c r="Y109" s="2946"/>
      <c r="Z109" s="2946"/>
      <c r="AA109" s="2946"/>
      <c r="AB109" s="2946"/>
      <c r="AC109" s="2946"/>
      <c r="AD109" s="2946"/>
      <c r="AE109" s="2946"/>
      <c r="AF109" s="2946"/>
      <c r="AG109" s="2946"/>
      <c r="AH109" s="2946"/>
      <c r="AI109" s="2946"/>
      <c r="AJ109" s="2946"/>
      <c r="AK109" s="2946"/>
      <c r="AL109" s="2946"/>
      <c r="AM109" s="2946"/>
      <c r="AN109" s="2946"/>
      <c r="AO109" s="2946"/>
      <c r="AP109" s="2946"/>
    </row>
    <row r="110" s="799" customFormat="1" ht="6.75" hidden="1" customHeight="1"/>
    <row r="111" s="799" customFormat="1" ht="12.75" hidden="1" spans="1:42">
      <c r="A111" s="2944" t="s">
        <v>4193</v>
      </c>
      <c r="B111" s="2944"/>
      <c r="C111" s="2944" t="s">
        <v>6807</v>
      </c>
      <c r="D111" s="2944"/>
      <c r="E111" s="2944"/>
      <c r="F111" s="2944"/>
      <c r="G111" s="2944"/>
      <c r="H111" s="2944"/>
      <c r="I111" s="2944"/>
      <c r="J111" s="2944"/>
      <c r="K111" s="2944"/>
      <c r="L111" s="2944"/>
      <c r="M111" s="2944"/>
      <c r="N111" s="2944"/>
      <c r="O111" s="2944"/>
      <c r="P111" s="2944"/>
      <c r="Q111" s="2944"/>
      <c r="R111" s="2944"/>
      <c r="S111" s="2944"/>
      <c r="T111" s="2944"/>
      <c r="U111" s="2944"/>
      <c r="V111" s="2944" t="s">
        <v>6808</v>
      </c>
      <c r="W111" s="2944"/>
      <c r="X111" s="2944"/>
      <c r="Y111" s="2944"/>
      <c r="Z111" s="2944"/>
      <c r="AA111" s="2944"/>
      <c r="AB111" s="2944"/>
      <c r="AC111" s="2944"/>
      <c r="AD111" s="2944"/>
      <c r="AE111" s="2944"/>
      <c r="AF111" s="2944"/>
      <c r="AG111" s="2944" t="s">
        <v>6809</v>
      </c>
      <c r="AH111" s="2944"/>
      <c r="AI111" s="2944"/>
      <c r="AJ111" s="2944"/>
      <c r="AK111" s="2944"/>
      <c r="AL111" s="2944"/>
      <c r="AM111" s="2944"/>
      <c r="AN111" s="2944"/>
      <c r="AO111" s="2944"/>
      <c r="AP111" s="2944"/>
    </row>
    <row r="112" s="799" customFormat="1" ht="12.75" hidden="1" spans="1:42">
      <c r="A112" s="2945">
        <f>UnosPorBilans!B178</f>
        <v>0</v>
      </c>
      <c r="B112" s="2945"/>
      <c r="C112" s="2945"/>
      <c r="D112" s="2945"/>
      <c r="E112" s="2945"/>
      <c r="F112" s="2945"/>
      <c r="G112" s="2945"/>
      <c r="H112" s="2945"/>
      <c r="I112" s="2945"/>
      <c r="J112" s="2945"/>
      <c r="K112" s="2945"/>
      <c r="L112" s="2945"/>
      <c r="M112" s="2945"/>
      <c r="N112" s="2945"/>
      <c r="O112" s="2945"/>
      <c r="P112" s="2945"/>
      <c r="Q112" s="2945"/>
      <c r="R112" s="2945"/>
      <c r="S112" s="2945"/>
      <c r="T112" s="2945"/>
      <c r="U112" s="2945"/>
      <c r="V112" s="2945">
        <f>UnosPorBilans!I178</f>
        <v>0</v>
      </c>
      <c r="W112" s="2945"/>
      <c r="X112" s="2945"/>
      <c r="Y112" s="2945"/>
      <c r="Z112" s="2945"/>
      <c r="AA112" s="2945"/>
      <c r="AB112" s="2945"/>
      <c r="AC112" s="2945"/>
      <c r="AD112" s="2945"/>
      <c r="AE112" s="2945"/>
      <c r="AF112" s="2945"/>
      <c r="AG112" s="2945">
        <f>UnosPorBilans!N178</f>
        <v>0</v>
      </c>
      <c r="AH112" s="2945"/>
      <c r="AI112" s="2945"/>
      <c r="AJ112" s="2945"/>
      <c r="AK112" s="2945"/>
      <c r="AL112" s="2945"/>
      <c r="AM112" s="2945"/>
      <c r="AN112" s="2945"/>
      <c r="AO112" s="2945"/>
      <c r="AP112" s="2945"/>
    </row>
    <row r="113" s="799" customFormat="1" ht="12.75" hidden="1" spans="1:42">
      <c r="A113" s="2944" t="s">
        <v>6810</v>
      </c>
      <c r="B113" s="2944"/>
      <c r="C113" s="2944"/>
      <c r="D113" s="2944"/>
      <c r="E113" s="2944"/>
      <c r="F113" s="2944"/>
      <c r="G113" s="2944"/>
      <c r="H113" s="2944"/>
      <c r="I113" s="2944"/>
      <c r="J113" s="2944"/>
      <c r="K113" s="2944" t="s">
        <v>6811</v>
      </c>
      <c r="L113" s="2944"/>
      <c r="M113" s="2944"/>
      <c r="N113" s="2944"/>
      <c r="O113" s="2944"/>
      <c r="P113" s="2944"/>
      <c r="Q113" s="2944"/>
      <c r="R113" s="2944"/>
      <c r="S113" s="2944"/>
      <c r="T113" s="2944"/>
      <c r="U113" s="2944"/>
      <c r="V113" s="2944" t="s">
        <v>6812</v>
      </c>
      <c r="W113" s="2944"/>
      <c r="X113" s="2944"/>
      <c r="Y113" s="2944"/>
      <c r="Z113" s="2944"/>
      <c r="AA113" s="2944"/>
      <c r="AB113" s="2944"/>
      <c r="AC113" s="2944"/>
      <c r="AD113" s="2944"/>
      <c r="AE113" s="2944"/>
      <c r="AF113" s="2944"/>
      <c r="AG113" s="2944" t="s">
        <v>6813</v>
      </c>
      <c r="AH113" s="2944"/>
      <c r="AI113" s="2944"/>
      <c r="AJ113" s="2944"/>
      <c r="AK113" s="2944"/>
      <c r="AL113" s="2944"/>
      <c r="AM113" s="2944"/>
      <c r="AN113" s="2944"/>
      <c r="AO113" s="2944"/>
      <c r="AP113" s="2944"/>
    </row>
    <row r="114" s="799" customFormat="1" ht="12.75" hidden="1" spans="1:42">
      <c r="A114" s="2946">
        <f>UnosPorBilans!S178</f>
        <v>0</v>
      </c>
      <c r="B114" s="2946"/>
      <c r="C114" s="2946"/>
      <c r="D114" s="2946"/>
      <c r="E114" s="2946"/>
      <c r="F114" s="2946"/>
      <c r="G114" s="2946"/>
      <c r="H114" s="2946"/>
      <c r="I114" s="2946"/>
      <c r="J114" s="2946"/>
      <c r="K114" s="2946">
        <f>UnosPorBilans!W178</f>
        <v>0</v>
      </c>
      <c r="L114" s="2946"/>
      <c r="M114" s="2946"/>
      <c r="N114" s="2946"/>
      <c r="O114" s="2946"/>
      <c r="P114" s="2946"/>
      <c r="Q114" s="2946"/>
      <c r="R114" s="2946"/>
      <c r="S114" s="2946"/>
      <c r="T114" s="2946"/>
      <c r="U114" s="2946"/>
      <c r="V114" s="2946">
        <f>UnosPorBilans!AB178</f>
        <v>0</v>
      </c>
      <c r="W114" s="2946"/>
      <c r="X114" s="2946"/>
      <c r="Y114" s="2946"/>
      <c r="Z114" s="2946"/>
      <c r="AA114" s="2946"/>
      <c r="AB114" s="2946"/>
      <c r="AC114" s="2946"/>
      <c r="AD114" s="2946"/>
      <c r="AE114" s="2946"/>
      <c r="AF114" s="2946"/>
      <c r="AG114" s="2946">
        <f>UnosPorBilans!AG178</f>
        <v>0</v>
      </c>
      <c r="AH114" s="2946"/>
      <c r="AI114" s="2946"/>
      <c r="AJ114" s="2946"/>
      <c r="AK114" s="2946"/>
      <c r="AL114" s="2946"/>
      <c r="AM114" s="2946"/>
      <c r="AN114" s="2946"/>
      <c r="AO114" s="2946"/>
      <c r="AP114" s="2946"/>
    </row>
    <row r="115" s="799" customFormat="1" ht="12.75" hidden="1" spans="1:42">
      <c r="A115" s="2947" t="s">
        <v>6814</v>
      </c>
      <c r="B115" s="2947"/>
      <c r="C115" s="2947"/>
      <c r="D115" s="2947"/>
      <c r="E115" s="2947"/>
      <c r="F115" s="2947"/>
      <c r="G115" s="2947"/>
      <c r="H115" s="2947"/>
      <c r="I115" s="2947"/>
      <c r="J115" s="2947"/>
      <c r="K115" s="2947"/>
      <c r="L115" s="2947"/>
      <c r="M115" s="2947"/>
      <c r="N115" s="2947"/>
      <c r="O115" s="2947"/>
      <c r="P115" s="2947"/>
      <c r="Q115" s="2947"/>
      <c r="R115" s="2947"/>
      <c r="S115" s="2947"/>
      <c r="T115" s="2947"/>
      <c r="U115" s="2947"/>
      <c r="V115" s="2947" t="s">
        <v>6815</v>
      </c>
      <c r="W115" s="2947"/>
      <c r="X115" s="2947"/>
      <c r="Y115" s="2947"/>
      <c r="Z115" s="2947"/>
      <c r="AA115" s="2947"/>
      <c r="AB115" s="2947"/>
      <c r="AC115" s="2947"/>
      <c r="AD115" s="2947"/>
      <c r="AE115" s="2947"/>
      <c r="AF115" s="2947"/>
      <c r="AG115" s="2947"/>
      <c r="AH115" s="2947"/>
      <c r="AI115" s="2947"/>
      <c r="AJ115" s="2947"/>
      <c r="AK115" s="2947"/>
      <c r="AL115" s="2947"/>
      <c r="AM115" s="2947"/>
      <c r="AN115" s="2947"/>
      <c r="AO115" s="2947"/>
      <c r="AP115" s="2947"/>
    </row>
    <row r="116" s="799" customFormat="1" ht="12.75" hidden="1" spans="1:42">
      <c r="A116" s="2946">
        <f>UnosPorBilans!AL178</f>
        <v>0</v>
      </c>
      <c r="B116" s="2946"/>
      <c r="C116" s="2946"/>
      <c r="D116" s="2946"/>
      <c r="E116" s="2946"/>
      <c r="F116" s="2946"/>
      <c r="G116" s="2946"/>
      <c r="H116" s="2946"/>
      <c r="I116" s="2946"/>
      <c r="J116" s="2946"/>
      <c r="K116" s="2946"/>
      <c r="L116" s="2946"/>
      <c r="M116" s="2946"/>
      <c r="N116" s="2946"/>
      <c r="O116" s="2946"/>
      <c r="P116" s="2946"/>
      <c r="Q116" s="2946"/>
      <c r="R116" s="2946"/>
      <c r="S116" s="2946"/>
      <c r="T116" s="2946"/>
      <c r="U116" s="2946"/>
      <c r="V116" s="2946">
        <f>UnosPorBilans!AS178</f>
        <v>0</v>
      </c>
      <c r="W116" s="2946"/>
      <c r="X116" s="2946"/>
      <c r="Y116" s="2946"/>
      <c r="Z116" s="2946"/>
      <c r="AA116" s="2946"/>
      <c r="AB116" s="2946"/>
      <c r="AC116" s="2946"/>
      <c r="AD116" s="2946"/>
      <c r="AE116" s="2946"/>
      <c r="AF116" s="2946"/>
      <c r="AG116" s="2946"/>
      <c r="AH116" s="2946"/>
      <c r="AI116" s="2946"/>
      <c r="AJ116" s="2946"/>
      <c r="AK116" s="2946"/>
      <c r="AL116" s="2946"/>
      <c r="AM116" s="2946"/>
      <c r="AN116" s="2946"/>
      <c r="AO116" s="2946"/>
      <c r="AP116" s="2946"/>
    </row>
    <row r="117" s="799" customFormat="1" ht="7.5" hidden="1" customHeight="1"/>
    <row r="118" s="799" customFormat="1" ht="13.5" hidden="1" customHeight="1" spans="1:42">
      <c r="A118" s="2944" t="s">
        <v>4194</v>
      </c>
      <c r="B118" s="2944"/>
      <c r="C118" s="2944" t="s">
        <v>6816</v>
      </c>
      <c r="D118" s="2944"/>
      <c r="E118" s="2944"/>
      <c r="F118" s="2944"/>
      <c r="G118" s="2944"/>
      <c r="H118" s="2944"/>
      <c r="I118" s="2944"/>
      <c r="J118" s="2944"/>
      <c r="K118" s="2944"/>
      <c r="L118" s="2944"/>
      <c r="M118" s="2944"/>
      <c r="N118" s="2944"/>
      <c r="O118" s="2944"/>
      <c r="P118" s="2944"/>
      <c r="Q118" s="2944"/>
      <c r="R118" s="2944"/>
      <c r="S118" s="2944"/>
      <c r="T118" s="2944"/>
      <c r="U118" s="2944"/>
      <c r="V118" s="2944" t="s">
        <v>6817</v>
      </c>
      <c r="W118" s="2944"/>
      <c r="X118" s="2944"/>
      <c r="Y118" s="2944"/>
      <c r="Z118" s="2944"/>
      <c r="AA118" s="2944"/>
      <c r="AB118" s="2944"/>
      <c r="AC118" s="2944"/>
      <c r="AD118" s="2944"/>
      <c r="AE118" s="2944"/>
      <c r="AF118" s="2944"/>
      <c r="AG118" s="2944" t="s">
        <v>6818</v>
      </c>
      <c r="AH118" s="2944"/>
      <c r="AI118" s="2944"/>
      <c r="AJ118" s="2944"/>
      <c r="AK118" s="2944"/>
      <c r="AL118" s="2944"/>
      <c r="AM118" s="2944"/>
      <c r="AN118" s="2944"/>
      <c r="AO118" s="2944"/>
      <c r="AP118" s="2944"/>
    </row>
    <row r="119" s="799" customFormat="1" ht="12.75" hidden="1" spans="1:42">
      <c r="A119" s="2945">
        <f>UnosPorBilans!B179</f>
        <v>0</v>
      </c>
      <c r="B119" s="2945"/>
      <c r="C119" s="2945"/>
      <c r="D119" s="2945"/>
      <c r="E119" s="2945"/>
      <c r="F119" s="2945"/>
      <c r="G119" s="2945"/>
      <c r="H119" s="2945"/>
      <c r="I119" s="2945"/>
      <c r="J119" s="2945"/>
      <c r="K119" s="2945"/>
      <c r="L119" s="2945"/>
      <c r="M119" s="2945"/>
      <c r="N119" s="2945"/>
      <c r="O119" s="2945"/>
      <c r="P119" s="2945"/>
      <c r="Q119" s="2945"/>
      <c r="R119" s="2945"/>
      <c r="S119" s="2945"/>
      <c r="T119" s="2945"/>
      <c r="U119" s="2945"/>
      <c r="V119" s="2945">
        <f>UnosPorBilans!I179</f>
        <v>0</v>
      </c>
      <c r="W119" s="2945"/>
      <c r="X119" s="2945"/>
      <c r="Y119" s="2945"/>
      <c r="Z119" s="2945"/>
      <c r="AA119" s="2945"/>
      <c r="AB119" s="2945"/>
      <c r="AC119" s="2945"/>
      <c r="AD119" s="2945"/>
      <c r="AE119" s="2945"/>
      <c r="AF119" s="2945"/>
      <c r="AG119" s="2945">
        <f>UnosPorBilans!N179</f>
        <v>0</v>
      </c>
      <c r="AH119" s="2945"/>
      <c r="AI119" s="2945"/>
      <c r="AJ119" s="2945"/>
      <c r="AK119" s="2945"/>
      <c r="AL119" s="2945"/>
      <c r="AM119" s="2945"/>
      <c r="AN119" s="2945"/>
      <c r="AO119" s="2945"/>
      <c r="AP119" s="2945"/>
    </row>
    <row r="120" s="799" customFormat="1" ht="12.75" hidden="1" spans="1:42">
      <c r="A120" s="2944" t="s">
        <v>6819</v>
      </c>
      <c r="B120" s="2944"/>
      <c r="C120" s="2944"/>
      <c r="D120" s="2944"/>
      <c r="E120" s="2944"/>
      <c r="F120" s="2944"/>
      <c r="G120" s="2944"/>
      <c r="H120" s="2944"/>
      <c r="I120" s="2944"/>
      <c r="J120" s="2944"/>
      <c r="K120" s="2944" t="s">
        <v>6820</v>
      </c>
      <c r="L120" s="2944"/>
      <c r="M120" s="2944"/>
      <c r="N120" s="2944"/>
      <c r="O120" s="2944"/>
      <c r="P120" s="2944"/>
      <c r="Q120" s="2944"/>
      <c r="R120" s="2944"/>
      <c r="S120" s="2944"/>
      <c r="T120" s="2944"/>
      <c r="U120" s="2944"/>
      <c r="V120" s="2944" t="s">
        <v>6821</v>
      </c>
      <c r="W120" s="2944"/>
      <c r="X120" s="2944"/>
      <c r="Y120" s="2944"/>
      <c r="Z120" s="2944"/>
      <c r="AA120" s="2944"/>
      <c r="AB120" s="2944"/>
      <c r="AC120" s="2944"/>
      <c r="AD120" s="2944"/>
      <c r="AE120" s="2944"/>
      <c r="AF120" s="2944"/>
      <c r="AG120" s="2944" t="s">
        <v>6822</v>
      </c>
      <c r="AH120" s="2944"/>
      <c r="AI120" s="2944"/>
      <c r="AJ120" s="2944"/>
      <c r="AK120" s="2944"/>
      <c r="AL120" s="2944"/>
      <c r="AM120" s="2944"/>
      <c r="AN120" s="2944"/>
      <c r="AO120" s="2944"/>
      <c r="AP120" s="2944"/>
    </row>
    <row r="121" s="799" customFormat="1" ht="12.75" hidden="1" spans="1:42">
      <c r="A121" s="2946">
        <f>UnosPorBilans!S179</f>
        <v>0</v>
      </c>
      <c r="B121" s="2946"/>
      <c r="C121" s="2946"/>
      <c r="D121" s="2946"/>
      <c r="E121" s="2946"/>
      <c r="F121" s="2946"/>
      <c r="G121" s="2946"/>
      <c r="H121" s="2946"/>
      <c r="I121" s="2946"/>
      <c r="J121" s="2946"/>
      <c r="K121" s="2946">
        <f>UnosPorBilans!W179</f>
        <v>0</v>
      </c>
      <c r="L121" s="2946"/>
      <c r="M121" s="2946"/>
      <c r="N121" s="2946"/>
      <c r="O121" s="2946"/>
      <c r="P121" s="2946"/>
      <c r="Q121" s="2946"/>
      <c r="R121" s="2946"/>
      <c r="S121" s="2946"/>
      <c r="T121" s="2946"/>
      <c r="U121" s="2946"/>
      <c r="V121" s="2946">
        <f>UnosPorBilans!AB179</f>
        <v>0</v>
      </c>
      <c r="W121" s="2946"/>
      <c r="X121" s="2946"/>
      <c r="Y121" s="2946"/>
      <c r="Z121" s="2946"/>
      <c r="AA121" s="2946"/>
      <c r="AB121" s="2946"/>
      <c r="AC121" s="2946"/>
      <c r="AD121" s="2946"/>
      <c r="AE121" s="2946"/>
      <c r="AF121" s="2946"/>
      <c r="AG121" s="2946">
        <f>UnosPorBilans!AG179</f>
        <v>0</v>
      </c>
      <c r="AH121" s="2946"/>
      <c r="AI121" s="2946"/>
      <c r="AJ121" s="2946"/>
      <c r="AK121" s="2946"/>
      <c r="AL121" s="2946"/>
      <c r="AM121" s="2946"/>
      <c r="AN121" s="2946"/>
      <c r="AO121" s="2946"/>
      <c r="AP121" s="2946"/>
    </row>
    <row r="122" s="799" customFormat="1" ht="12.75" hidden="1" spans="1:42">
      <c r="A122" s="2947" t="s">
        <v>6823</v>
      </c>
      <c r="B122" s="2947"/>
      <c r="C122" s="2947"/>
      <c r="D122" s="2947"/>
      <c r="E122" s="2947"/>
      <c r="F122" s="2947"/>
      <c r="G122" s="2947"/>
      <c r="H122" s="2947"/>
      <c r="I122" s="2947"/>
      <c r="J122" s="2947"/>
      <c r="K122" s="2947"/>
      <c r="L122" s="2947"/>
      <c r="M122" s="2947"/>
      <c r="N122" s="2947"/>
      <c r="O122" s="2947"/>
      <c r="P122" s="2947"/>
      <c r="Q122" s="2947"/>
      <c r="R122" s="2947"/>
      <c r="S122" s="2947"/>
      <c r="T122" s="2947"/>
      <c r="U122" s="2947"/>
      <c r="V122" s="2947" t="s">
        <v>6824</v>
      </c>
      <c r="W122" s="2947"/>
      <c r="X122" s="2947"/>
      <c r="Y122" s="2947"/>
      <c r="Z122" s="2947"/>
      <c r="AA122" s="2947"/>
      <c r="AB122" s="2947"/>
      <c r="AC122" s="2947"/>
      <c r="AD122" s="2947"/>
      <c r="AE122" s="2947"/>
      <c r="AF122" s="2947"/>
      <c r="AG122" s="2947"/>
      <c r="AH122" s="2947"/>
      <c r="AI122" s="2947"/>
      <c r="AJ122" s="2947"/>
      <c r="AK122" s="2947"/>
      <c r="AL122" s="2947"/>
      <c r="AM122" s="2947"/>
      <c r="AN122" s="2947"/>
      <c r="AO122" s="2947"/>
      <c r="AP122" s="2947"/>
    </row>
    <row r="123" s="799" customFormat="1" ht="12.75" hidden="1" spans="1:42">
      <c r="A123" s="2946">
        <f>UnosPorBilans!AL179</f>
        <v>0</v>
      </c>
      <c r="B123" s="2946"/>
      <c r="C123" s="2946"/>
      <c r="D123" s="2946"/>
      <c r="E123" s="2946"/>
      <c r="F123" s="2946"/>
      <c r="G123" s="2946"/>
      <c r="H123" s="2946"/>
      <c r="I123" s="2946"/>
      <c r="J123" s="2946"/>
      <c r="K123" s="2946"/>
      <c r="L123" s="2946"/>
      <c r="M123" s="2946"/>
      <c r="N123" s="2946"/>
      <c r="O123" s="2946"/>
      <c r="P123" s="2946"/>
      <c r="Q123" s="2946"/>
      <c r="R123" s="2946"/>
      <c r="S123" s="2946"/>
      <c r="T123" s="2946"/>
      <c r="U123" s="2946"/>
      <c r="V123" s="2946">
        <f>UnosPorBilans!AS179</f>
        <v>0</v>
      </c>
      <c r="W123" s="2946"/>
      <c r="X123" s="2946"/>
      <c r="Y123" s="2946"/>
      <c r="Z123" s="2946"/>
      <c r="AA123" s="2946"/>
      <c r="AB123" s="2946"/>
      <c r="AC123" s="2946"/>
      <c r="AD123" s="2946"/>
      <c r="AE123" s="2946"/>
      <c r="AF123" s="2946"/>
      <c r="AG123" s="2946"/>
      <c r="AH123" s="2946"/>
      <c r="AI123" s="2946"/>
      <c r="AJ123" s="2946"/>
      <c r="AK123" s="2946"/>
      <c r="AL123" s="2946"/>
      <c r="AM123" s="2946"/>
      <c r="AN123" s="2946"/>
      <c r="AO123" s="2946"/>
      <c r="AP123" s="2946"/>
    </row>
    <row r="124" s="799" customFormat="1" ht="7.5" hidden="1" customHeight="1"/>
    <row r="125" s="799" customFormat="1" ht="14.25" hidden="1" customHeight="1"/>
    <row r="126" s="799" customFormat="1" ht="14.25" hidden="1" customHeight="1"/>
    <row r="127" s="799" customFormat="1" ht="14.25" hidden="1" customHeight="1"/>
    <row r="128" s="799" customFormat="1" ht="12.75" hidden="1" spans="1:42">
      <c r="A128" s="2944" t="s">
        <v>4195</v>
      </c>
      <c r="B128" s="2944"/>
      <c r="C128" s="2944" t="s">
        <v>6825</v>
      </c>
      <c r="D128" s="2944"/>
      <c r="E128" s="2944"/>
      <c r="F128" s="2944"/>
      <c r="G128" s="2944"/>
      <c r="H128" s="2944"/>
      <c r="I128" s="2944"/>
      <c r="J128" s="2944"/>
      <c r="K128" s="2944"/>
      <c r="L128" s="2944"/>
      <c r="M128" s="2944"/>
      <c r="N128" s="2944"/>
      <c r="O128" s="2944"/>
      <c r="P128" s="2944"/>
      <c r="Q128" s="2944"/>
      <c r="R128" s="2944"/>
      <c r="S128" s="2944"/>
      <c r="T128" s="2944"/>
      <c r="U128" s="2944"/>
      <c r="V128" s="2944" t="s">
        <v>6826</v>
      </c>
      <c r="W128" s="2944"/>
      <c r="X128" s="2944"/>
      <c r="Y128" s="2944"/>
      <c r="Z128" s="2944"/>
      <c r="AA128" s="2944"/>
      <c r="AB128" s="2944"/>
      <c r="AC128" s="2944"/>
      <c r="AD128" s="2944"/>
      <c r="AE128" s="2944"/>
      <c r="AF128" s="2944"/>
      <c r="AG128" s="2944" t="s">
        <v>6827</v>
      </c>
      <c r="AH128" s="2944"/>
      <c r="AI128" s="2944"/>
      <c r="AJ128" s="2944"/>
      <c r="AK128" s="2944"/>
      <c r="AL128" s="2944"/>
      <c r="AM128" s="2944"/>
      <c r="AN128" s="2944"/>
      <c r="AO128" s="2944"/>
      <c r="AP128" s="2944"/>
    </row>
    <row r="129" s="799" customFormat="1" ht="12.75" hidden="1" spans="1:42">
      <c r="A129" s="2945">
        <f>UnosPorBilans!B180</f>
        <v>0</v>
      </c>
      <c r="B129" s="2945"/>
      <c r="C129" s="2945"/>
      <c r="D129" s="2945"/>
      <c r="E129" s="2945"/>
      <c r="F129" s="2945"/>
      <c r="G129" s="2945"/>
      <c r="H129" s="2945"/>
      <c r="I129" s="2945"/>
      <c r="J129" s="2945"/>
      <c r="K129" s="2945"/>
      <c r="L129" s="2945"/>
      <c r="M129" s="2945"/>
      <c r="N129" s="2945"/>
      <c r="O129" s="2945"/>
      <c r="P129" s="2945"/>
      <c r="Q129" s="2945"/>
      <c r="R129" s="2945"/>
      <c r="S129" s="2945"/>
      <c r="T129" s="2945"/>
      <c r="U129" s="2945"/>
      <c r="V129" s="2945">
        <f>UnosPorBilans!I180</f>
        <v>0</v>
      </c>
      <c r="W129" s="2945"/>
      <c r="X129" s="2945"/>
      <c r="Y129" s="2945"/>
      <c r="Z129" s="2945"/>
      <c r="AA129" s="2945"/>
      <c r="AB129" s="2945"/>
      <c r="AC129" s="2945"/>
      <c r="AD129" s="2945"/>
      <c r="AE129" s="2945"/>
      <c r="AF129" s="2945"/>
      <c r="AG129" s="2945">
        <f>UnosPorBilans!N180</f>
        <v>0</v>
      </c>
      <c r="AH129" s="2945"/>
      <c r="AI129" s="2945"/>
      <c r="AJ129" s="2945"/>
      <c r="AK129" s="2945"/>
      <c r="AL129" s="2945"/>
      <c r="AM129" s="2945"/>
      <c r="AN129" s="2945"/>
      <c r="AO129" s="2945"/>
      <c r="AP129" s="2945"/>
    </row>
    <row r="130" s="799" customFormat="1" ht="12.75" hidden="1" spans="1:42">
      <c r="A130" s="2944" t="s">
        <v>6828</v>
      </c>
      <c r="B130" s="2944"/>
      <c r="C130" s="2944"/>
      <c r="D130" s="2944"/>
      <c r="E130" s="2944"/>
      <c r="F130" s="2944"/>
      <c r="G130" s="2944"/>
      <c r="H130" s="2944"/>
      <c r="I130" s="2944"/>
      <c r="J130" s="2944"/>
      <c r="K130" s="2944" t="s">
        <v>6767</v>
      </c>
      <c r="L130" s="2944"/>
      <c r="M130" s="2944"/>
      <c r="N130" s="2944"/>
      <c r="O130" s="2944"/>
      <c r="P130" s="2944"/>
      <c r="Q130" s="2944"/>
      <c r="R130" s="2944"/>
      <c r="S130" s="2944"/>
      <c r="T130" s="2944"/>
      <c r="U130" s="2944"/>
      <c r="V130" s="2944" t="s">
        <v>6829</v>
      </c>
      <c r="W130" s="2944"/>
      <c r="X130" s="2944"/>
      <c r="Y130" s="2944"/>
      <c r="Z130" s="2944"/>
      <c r="AA130" s="2944"/>
      <c r="AB130" s="2944"/>
      <c r="AC130" s="2944"/>
      <c r="AD130" s="2944"/>
      <c r="AE130" s="2944"/>
      <c r="AF130" s="2944"/>
      <c r="AG130" s="2944" t="s">
        <v>6830</v>
      </c>
      <c r="AH130" s="2944"/>
      <c r="AI130" s="2944"/>
      <c r="AJ130" s="2944"/>
      <c r="AK130" s="2944"/>
      <c r="AL130" s="2944"/>
      <c r="AM130" s="2944"/>
      <c r="AN130" s="2944"/>
      <c r="AO130" s="2944"/>
      <c r="AP130" s="2944"/>
    </row>
    <row r="131" s="799" customFormat="1" ht="12.75" hidden="1" spans="1:42">
      <c r="A131" s="2946">
        <f>UnosPorBilans!S180</f>
        <v>0</v>
      </c>
      <c r="B131" s="2946"/>
      <c r="C131" s="2946"/>
      <c r="D131" s="2946"/>
      <c r="E131" s="2946"/>
      <c r="F131" s="2946"/>
      <c r="G131" s="2946"/>
      <c r="H131" s="2946"/>
      <c r="I131" s="2946"/>
      <c r="J131" s="2946"/>
      <c r="K131" s="2946">
        <f>UnosPorBilans!W180</f>
        <v>0</v>
      </c>
      <c r="L131" s="2946"/>
      <c r="M131" s="2946"/>
      <c r="N131" s="2946"/>
      <c r="O131" s="2946"/>
      <c r="P131" s="2946"/>
      <c r="Q131" s="2946"/>
      <c r="R131" s="2946"/>
      <c r="S131" s="2946"/>
      <c r="T131" s="2946"/>
      <c r="U131" s="2946"/>
      <c r="V131" s="2946">
        <f>UnosPorBilans!AB180</f>
        <v>0</v>
      </c>
      <c r="W131" s="2946"/>
      <c r="X131" s="2946"/>
      <c r="Y131" s="2946"/>
      <c r="Z131" s="2946"/>
      <c r="AA131" s="2946"/>
      <c r="AB131" s="2946"/>
      <c r="AC131" s="2946"/>
      <c r="AD131" s="2946"/>
      <c r="AE131" s="2946"/>
      <c r="AF131" s="2946"/>
      <c r="AG131" s="2946">
        <f>UnosPorBilans!AG180</f>
        <v>0</v>
      </c>
      <c r="AH131" s="2946"/>
      <c r="AI131" s="2946"/>
      <c r="AJ131" s="2946"/>
      <c r="AK131" s="2946"/>
      <c r="AL131" s="2946"/>
      <c r="AM131" s="2946"/>
      <c r="AN131" s="2946"/>
      <c r="AO131" s="2946"/>
      <c r="AP131" s="2946"/>
    </row>
    <row r="132" s="799" customFormat="1" ht="12.75" hidden="1" spans="1:42">
      <c r="A132" s="2947" t="s">
        <v>6831</v>
      </c>
      <c r="B132" s="2947"/>
      <c r="C132" s="2947"/>
      <c r="D132" s="2947"/>
      <c r="E132" s="2947"/>
      <c r="F132" s="2947"/>
      <c r="G132" s="2947"/>
      <c r="H132" s="2947"/>
      <c r="I132" s="2947"/>
      <c r="J132" s="2947"/>
      <c r="K132" s="2947"/>
      <c r="L132" s="2947"/>
      <c r="M132" s="2947"/>
      <c r="N132" s="2947"/>
      <c r="O132" s="2947"/>
      <c r="P132" s="2947"/>
      <c r="Q132" s="2947"/>
      <c r="R132" s="2947"/>
      <c r="S132" s="2947"/>
      <c r="T132" s="2947"/>
      <c r="U132" s="2947"/>
      <c r="V132" s="2947" t="s">
        <v>6832</v>
      </c>
      <c r="W132" s="2947"/>
      <c r="X132" s="2947"/>
      <c r="Y132" s="2947"/>
      <c r="Z132" s="2947"/>
      <c r="AA132" s="2947"/>
      <c r="AB132" s="2947"/>
      <c r="AC132" s="2947"/>
      <c r="AD132" s="2947"/>
      <c r="AE132" s="2947"/>
      <c r="AF132" s="2947"/>
      <c r="AG132" s="2947"/>
      <c r="AH132" s="2947"/>
      <c r="AI132" s="2947"/>
      <c r="AJ132" s="2947"/>
      <c r="AK132" s="2947"/>
      <c r="AL132" s="2947"/>
      <c r="AM132" s="2947"/>
      <c r="AN132" s="2947"/>
      <c r="AO132" s="2947"/>
      <c r="AP132" s="2947"/>
    </row>
    <row r="133" s="799" customFormat="1" ht="12.75" hidden="1" spans="1:42">
      <c r="A133" s="2946">
        <f>UnosPorBilans!AL180</f>
        <v>0</v>
      </c>
      <c r="B133" s="2946"/>
      <c r="C133" s="2946"/>
      <c r="D133" s="2946"/>
      <c r="E133" s="2946"/>
      <c r="F133" s="2946"/>
      <c r="G133" s="2946"/>
      <c r="H133" s="2946"/>
      <c r="I133" s="2946"/>
      <c r="J133" s="2946"/>
      <c r="K133" s="2946"/>
      <c r="L133" s="2946"/>
      <c r="M133" s="2946"/>
      <c r="N133" s="2946"/>
      <c r="O133" s="2946"/>
      <c r="P133" s="2946"/>
      <c r="Q133" s="2946"/>
      <c r="R133" s="2946"/>
      <c r="S133" s="2946"/>
      <c r="T133" s="2946"/>
      <c r="U133" s="2946"/>
      <c r="V133" s="2946">
        <f>UnosPorBilans!AS180</f>
        <v>0</v>
      </c>
      <c r="W133" s="2946"/>
      <c r="X133" s="2946"/>
      <c r="Y133" s="2946"/>
      <c r="Z133" s="2946"/>
      <c r="AA133" s="2946"/>
      <c r="AB133" s="2946"/>
      <c r="AC133" s="2946"/>
      <c r="AD133" s="2946"/>
      <c r="AE133" s="2946"/>
      <c r="AF133" s="2946"/>
      <c r="AG133" s="2946"/>
      <c r="AH133" s="2946"/>
      <c r="AI133" s="2946"/>
      <c r="AJ133" s="2946"/>
      <c r="AK133" s="2946"/>
      <c r="AL133" s="2946"/>
      <c r="AM133" s="2946"/>
      <c r="AN133" s="2946"/>
      <c r="AO133" s="2946"/>
      <c r="AP133" s="2946"/>
    </row>
    <row r="134" s="799" customFormat="1" ht="7.5" hidden="1" customHeight="1"/>
    <row r="135" s="799" customFormat="1" ht="12.75" hidden="1" spans="1:42">
      <c r="A135" s="2944" t="s">
        <v>4197</v>
      </c>
      <c r="B135" s="2944"/>
      <c r="C135" s="2944" t="s">
        <v>6833</v>
      </c>
      <c r="D135" s="2944"/>
      <c r="E135" s="2944"/>
      <c r="F135" s="2944"/>
      <c r="G135" s="2944"/>
      <c r="H135" s="2944"/>
      <c r="I135" s="2944"/>
      <c r="J135" s="2944"/>
      <c r="K135" s="2944"/>
      <c r="L135" s="2944"/>
      <c r="M135" s="2944"/>
      <c r="N135" s="2944"/>
      <c r="O135" s="2944"/>
      <c r="P135" s="2944"/>
      <c r="Q135" s="2944"/>
      <c r="R135" s="2944"/>
      <c r="S135" s="2944"/>
      <c r="T135" s="2944"/>
      <c r="U135" s="2944"/>
      <c r="V135" s="2944" t="s">
        <v>6834</v>
      </c>
      <c r="W135" s="2944"/>
      <c r="X135" s="2944"/>
      <c r="Y135" s="2944"/>
      <c r="Z135" s="2944"/>
      <c r="AA135" s="2944"/>
      <c r="AB135" s="2944"/>
      <c r="AC135" s="2944"/>
      <c r="AD135" s="2944"/>
      <c r="AE135" s="2944"/>
      <c r="AF135" s="2944"/>
      <c r="AG135" s="2944" t="s">
        <v>6835</v>
      </c>
      <c r="AH135" s="2944"/>
      <c r="AI135" s="2944"/>
      <c r="AJ135" s="2944"/>
      <c r="AK135" s="2944"/>
      <c r="AL135" s="2944"/>
      <c r="AM135" s="2944"/>
      <c r="AN135" s="2944"/>
      <c r="AO135" s="2944"/>
      <c r="AP135" s="2944"/>
    </row>
    <row r="136" s="799" customFormat="1" ht="12.75" hidden="1" spans="1:42">
      <c r="A136" s="2945">
        <f>UnosPorBilans!B181</f>
        <v>0</v>
      </c>
      <c r="B136" s="2945"/>
      <c r="C136" s="2945"/>
      <c r="D136" s="2945"/>
      <c r="E136" s="2945"/>
      <c r="F136" s="2945"/>
      <c r="G136" s="2945"/>
      <c r="H136" s="2945"/>
      <c r="I136" s="2945"/>
      <c r="J136" s="2945"/>
      <c r="K136" s="2945"/>
      <c r="L136" s="2945"/>
      <c r="M136" s="2945"/>
      <c r="N136" s="2945"/>
      <c r="O136" s="2945"/>
      <c r="P136" s="2945"/>
      <c r="Q136" s="2945"/>
      <c r="R136" s="2945"/>
      <c r="S136" s="2945"/>
      <c r="T136" s="2945"/>
      <c r="U136" s="2945"/>
      <c r="V136" s="2945">
        <f>UnosPorBilans!I181</f>
        <v>0</v>
      </c>
      <c r="W136" s="2945"/>
      <c r="X136" s="2945"/>
      <c r="Y136" s="2945"/>
      <c r="Z136" s="2945"/>
      <c r="AA136" s="2945"/>
      <c r="AB136" s="2945"/>
      <c r="AC136" s="2945"/>
      <c r="AD136" s="2945"/>
      <c r="AE136" s="2945"/>
      <c r="AF136" s="2945"/>
      <c r="AG136" s="2945">
        <f>UnosPorBilans!N181</f>
        <v>0</v>
      </c>
      <c r="AH136" s="2945"/>
      <c r="AI136" s="2945"/>
      <c r="AJ136" s="2945"/>
      <c r="AK136" s="2945"/>
      <c r="AL136" s="2945"/>
      <c r="AM136" s="2945"/>
      <c r="AN136" s="2945"/>
      <c r="AO136" s="2945"/>
      <c r="AP136" s="2945"/>
    </row>
    <row r="137" s="799" customFormat="1" ht="12.75" hidden="1" spans="1:42">
      <c r="A137" s="2944" t="s">
        <v>6836</v>
      </c>
      <c r="B137" s="2944"/>
      <c r="C137" s="2944"/>
      <c r="D137" s="2944"/>
      <c r="E137" s="2944"/>
      <c r="F137" s="2944"/>
      <c r="G137" s="2944"/>
      <c r="H137" s="2944"/>
      <c r="I137" s="2944"/>
      <c r="J137" s="2944"/>
      <c r="K137" s="2944" t="s">
        <v>6837</v>
      </c>
      <c r="L137" s="2944"/>
      <c r="M137" s="2944"/>
      <c r="N137" s="2944"/>
      <c r="O137" s="2944"/>
      <c r="P137" s="2944"/>
      <c r="Q137" s="2944"/>
      <c r="R137" s="2944"/>
      <c r="S137" s="2944"/>
      <c r="T137" s="2944"/>
      <c r="U137" s="2944"/>
      <c r="V137" s="2944" t="s">
        <v>6838</v>
      </c>
      <c r="W137" s="2944"/>
      <c r="X137" s="2944"/>
      <c r="Y137" s="2944"/>
      <c r="Z137" s="2944"/>
      <c r="AA137" s="2944"/>
      <c r="AB137" s="2944"/>
      <c r="AC137" s="2944"/>
      <c r="AD137" s="2944"/>
      <c r="AE137" s="2944"/>
      <c r="AF137" s="2944"/>
      <c r="AG137" s="2944" t="s">
        <v>6839</v>
      </c>
      <c r="AH137" s="2944"/>
      <c r="AI137" s="2944"/>
      <c r="AJ137" s="2944"/>
      <c r="AK137" s="2944"/>
      <c r="AL137" s="2944"/>
      <c r="AM137" s="2944"/>
      <c r="AN137" s="2944"/>
      <c r="AO137" s="2944"/>
      <c r="AP137" s="2944"/>
    </row>
    <row r="138" s="799" customFormat="1" ht="12.75" hidden="1" spans="1:42">
      <c r="A138" s="2946">
        <f>UnosPorBilans!S181</f>
        <v>0</v>
      </c>
      <c r="B138" s="2946"/>
      <c r="C138" s="2946"/>
      <c r="D138" s="2946"/>
      <c r="E138" s="2946"/>
      <c r="F138" s="2946"/>
      <c r="G138" s="2946"/>
      <c r="H138" s="2946"/>
      <c r="I138" s="2946"/>
      <c r="J138" s="2946"/>
      <c r="K138" s="2946">
        <f>UnosPorBilans!W181</f>
        <v>0</v>
      </c>
      <c r="L138" s="2946"/>
      <c r="M138" s="2946"/>
      <c r="N138" s="2946"/>
      <c r="O138" s="2946"/>
      <c r="P138" s="2946"/>
      <c r="Q138" s="2946"/>
      <c r="R138" s="2946"/>
      <c r="S138" s="2946"/>
      <c r="T138" s="2946"/>
      <c r="U138" s="2946"/>
      <c r="V138" s="2946">
        <f>UnosPorBilans!AB181</f>
        <v>0</v>
      </c>
      <c r="W138" s="2946"/>
      <c r="X138" s="2946"/>
      <c r="Y138" s="2946"/>
      <c r="Z138" s="2946"/>
      <c r="AA138" s="2946"/>
      <c r="AB138" s="2946"/>
      <c r="AC138" s="2946"/>
      <c r="AD138" s="2946"/>
      <c r="AE138" s="2946"/>
      <c r="AF138" s="2946"/>
      <c r="AG138" s="2946">
        <f>UnosPorBilans!AG181</f>
        <v>0</v>
      </c>
      <c r="AH138" s="2946"/>
      <c r="AI138" s="2946"/>
      <c r="AJ138" s="2946"/>
      <c r="AK138" s="2946"/>
      <c r="AL138" s="2946"/>
      <c r="AM138" s="2946"/>
      <c r="AN138" s="2946"/>
      <c r="AO138" s="2946"/>
      <c r="AP138" s="2946"/>
    </row>
    <row r="139" s="799" customFormat="1" ht="12.75" hidden="1" spans="1:42">
      <c r="A139" s="2947" t="s">
        <v>6840</v>
      </c>
      <c r="B139" s="2947"/>
      <c r="C139" s="2947"/>
      <c r="D139" s="2947"/>
      <c r="E139" s="2947"/>
      <c r="F139" s="2947"/>
      <c r="G139" s="2947"/>
      <c r="H139" s="2947"/>
      <c r="I139" s="2947"/>
      <c r="J139" s="2947"/>
      <c r="K139" s="2947"/>
      <c r="L139" s="2947"/>
      <c r="M139" s="2947"/>
      <c r="N139" s="2947"/>
      <c r="O139" s="2947"/>
      <c r="P139" s="2947"/>
      <c r="Q139" s="2947"/>
      <c r="R139" s="2947"/>
      <c r="S139" s="2947"/>
      <c r="T139" s="2947"/>
      <c r="U139" s="2947"/>
      <c r="V139" s="2947" t="s">
        <v>6841</v>
      </c>
      <c r="W139" s="2947"/>
      <c r="X139" s="2947"/>
      <c r="Y139" s="2947"/>
      <c r="Z139" s="2947"/>
      <c r="AA139" s="2947"/>
      <c r="AB139" s="2947"/>
      <c r="AC139" s="2947"/>
      <c r="AD139" s="2947"/>
      <c r="AE139" s="2947"/>
      <c r="AF139" s="2947"/>
      <c r="AG139" s="2947"/>
      <c r="AH139" s="2947"/>
      <c r="AI139" s="2947"/>
      <c r="AJ139" s="2947"/>
      <c r="AK139" s="2947"/>
      <c r="AL139" s="2947"/>
      <c r="AM139" s="2947"/>
      <c r="AN139" s="2947"/>
      <c r="AO139" s="2947"/>
      <c r="AP139" s="2947"/>
    </row>
    <row r="140" s="799" customFormat="1" ht="12.75" hidden="1" spans="1:42">
      <c r="A140" s="2946">
        <f>UnosPorBilans!AL181</f>
        <v>0</v>
      </c>
      <c r="B140" s="2946"/>
      <c r="C140" s="2946"/>
      <c r="D140" s="2946"/>
      <c r="E140" s="2946"/>
      <c r="F140" s="2946"/>
      <c r="G140" s="2946"/>
      <c r="H140" s="2946"/>
      <c r="I140" s="2946"/>
      <c r="J140" s="2946"/>
      <c r="K140" s="2946"/>
      <c r="L140" s="2946"/>
      <c r="M140" s="2946"/>
      <c r="N140" s="2946"/>
      <c r="O140" s="2946"/>
      <c r="P140" s="2946"/>
      <c r="Q140" s="2946"/>
      <c r="R140" s="2946"/>
      <c r="S140" s="2946"/>
      <c r="T140" s="2946"/>
      <c r="U140" s="2946"/>
      <c r="V140" s="2946">
        <f>UnosPorBilans!AS181</f>
        <v>0</v>
      </c>
      <c r="W140" s="2946"/>
      <c r="X140" s="2946"/>
      <c r="Y140" s="2946"/>
      <c r="Z140" s="2946"/>
      <c r="AA140" s="2946"/>
      <c r="AB140" s="2946"/>
      <c r="AC140" s="2946"/>
      <c r="AD140" s="2946"/>
      <c r="AE140" s="2946"/>
      <c r="AF140" s="2946"/>
      <c r="AG140" s="2946"/>
      <c r="AH140" s="2946"/>
      <c r="AI140" s="2946"/>
      <c r="AJ140" s="2946"/>
      <c r="AK140" s="2946"/>
      <c r="AL140" s="2946"/>
      <c r="AM140" s="2946"/>
      <c r="AN140" s="2946"/>
      <c r="AO140" s="2946"/>
      <c r="AP140" s="2946"/>
    </row>
    <row r="141" s="799" customFormat="1" ht="6.75" hidden="1" customHeight="1"/>
    <row r="142" s="799" customFormat="1" ht="12.75" hidden="1" spans="1:42">
      <c r="A142" s="2944" t="s">
        <v>4199</v>
      </c>
      <c r="B142" s="2944"/>
      <c r="C142" s="2944" t="s">
        <v>6842</v>
      </c>
      <c r="D142" s="2944"/>
      <c r="E142" s="2944"/>
      <c r="F142" s="2944"/>
      <c r="G142" s="2944"/>
      <c r="H142" s="2944"/>
      <c r="I142" s="2944"/>
      <c r="J142" s="2944"/>
      <c r="K142" s="2944"/>
      <c r="L142" s="2944"/>
      <c r="M142" s="2944"/>
      <c r="N142" s="2944"/>
      <c r="O142" s="2944"/>
      <c r="P142" s="2944"/>
      <c r="Q142" s="2944"/>
      <c r="R142" s="2944"/>
      <c r="S142" s="2944"/>
      <c r="T142" s="2944"/>
      <c r="U142" s="2944"/>
      <c r="V142" s="2944" t="s">
        <v>6843</v>
      </c>
      <c r="W142" s="2944"/>
      <c r="X142" s="2944"/>
      <c r="Y142" s="2944"/>
      <c r="Z142" s="2944"/>
      <c r="AA142" s="2944"/>
      <c r="AB142" s="2944"/>
      <c r="AC142" s="2944"/>
      <c r="AD142" s="2944"/>
      <c r="AE142" s="2944"/>
      <c r="AF142" s="2944"/>
      <c r="AG142" s="2944" t="s">
        <v>6844</v>
      </c>
      <c r="AH142" s="2944"/>
      <c r="AI142" s="2944"/>
      <c r="AJ142" s="2944"/>
      <c r="AK142" s="2944"/>
      <c r="AL142" s="2944"/>
      <c r="AM142" s="2944"/>
      <c r="AN142" s="2944"/>
      <c r="AO142" s="2944"/>
      <c r="AP142" s="2944"/>
    </row>
    <row r="143" s="799" customFormat="1" ht="12.75" hidden="1" spans="1:42">
      <c r="A143" s="2945">
        <f>UnosPorBilans!B182</f>
        <v>0</v>
      </c>
      <c r="B143" s="2945"/>
      <c r="C143" s="2945"/>
      <c r="D143" s="2945"/>
      <c r="E143" s="2945"/>
      <c r="F143" s="2945"/>
      <c r="G143" s="2945"/>
      <c r="H143" s="2945"/>
      <c r="I143" s="2945"/>
      <c r="J143" s="2945"/>
      <c r="K143" s="2945"/>
      <c r="L143" s="2945"/>
      <c r="M143" s="2945"/>
      <c r="N143" s="2945"/>
      <c r="O143" s="2945"/>
      <c r="P143" s="2945"/>
      <c r="Q143" s="2945"/>
      <c r="R143" s="2945"/>
      <c r="S143" s="2945"/>
      <c r="T143" s="2945"/>
      <c r="U143" s="2945"/>
      <c r="V143" s="2945">
        <f>UnosPorBilans!I182</f>
        <v>0</v>
      </c>
      <c r="W143" s="2945"/>
      <c r="X143" s="2945"/>
      <c r="Y143" s="2945"/>
      <c r="Z143" s="2945"/>
      <c r="AA143" s="2945"/>
      <c r="AB143" s="2945"/>
      <c r="AC143" s="2945"/>
      <c r="AD143" s="2945"/>
      <c r="AE143" s="2945"/>
      <c r="AF143" s="2945"/>
      <c r="AG143" s="2945">
        <f>UnosPorBilans!N182</f>
        <v>0</v>
      </c>
      <c r="AH143" s="2945"/>
      <c r="AI143" s="2945"/>
      <c r="AJ143" s="2945"/>
      <c r="AK143" s="2945"/>
      <c r="AL143" s="2945"/>
      <c r="AM143" s="2945"/>
      <c r="AN143" s="2945"/>
      <c r="AO143" s="2945"/>
      <c r="AP143" s="2945"/>
    </row>
    <row r="144" s="799" customFormat="1" ht="12.75" hidden="1" spans="1:42">
      <c r="A144" s="2944" t="s">
        <v>6845</v>
      </c>
      <c r="B144" s="2944"/>
      <c r="C144" s="2944"/>
      <c r="D144" s="2944"/>
      <c r="E144" s="2944"/>
      <c r="F144" s="2944"/>
      <c r="G144" s="2944"/>
      <c r="H144" s="2944"/>
      <c r="I144" s="2944"/>
      <c r="J144" s="2944"/>
      <c r="K144" s="2944" t="s">
        <v>6846</v>
      </c>
      <c r="L144" s="2944"/>
      <c r="M144" s="2944"/>
      <c r="N144" s="2944"/>
      <c r="O144" s="2944"/>
      <c r="P144" s="2944"/>
      <c r="Q144" s="2944"/>
      <c r="R144" s="2944"/>
      <c r="S144" s="2944"/>
      <c r="T144" s="2944"/>
      <c r="U144" s="2944"/>
      <c r="V144" s="2944" t="s">
        <v>6847</v>
      </c>
      <c r="W144" s="2944"/>
      <c r="X144" s="2944"/>
      <c r="Y144" s="2944"/>
      <c r="Z144" s="2944"/>
      <c r="AA144" s="2944"/>
      <c r="AB144" s="2944"/>
      <c r="AC144" s="2944"/>
      <c r="AD144" s="2944"/>
      <c r="AE144" s="2944"/>
      <c r="AF144" s="2944"/>
      <c r="AG144" s="2944" t="s">
        <v>6848</v>
      </c>
      <c r="AH144" s="2944"/>
      <c r="AI144" s="2944"/>
      <c r="AJ144" s="2944"/>
      <c r="AK144" s="2944"/>
      <c r="AL144" s="2944"/>
      <c r="AM144" s="2944"/>
      <c r="AN144" s="2944"/>
      <c r="AO144" s="2944"/>
      <c r="AP144" s="2944"/>
    </row>
    <row r="145" s="799" customFormat="1" ht="12.75" hidden="1" spans="1:42">
      <c r="A145" s="2946">
        <f>UnosPorBilans!S182</f>
        <v>0</v>
      </c>
      <c r="B145" s="2946"/>
      <c r="C145" s="2946"/>
      <c r="D145" s="2946"/>
      <c r="E145" s="2946"/>
      <c r="F145" s="2946"/>
      <c r="G145" s="2946"/>
      <c r="H145" s="2946"/>
      <c r="I145" s="2946"/>
      <c r="J145" s="2946"/>
      <c r="K145" s="2946">
        <f>UnosPorBilans!W182</f>
        <v>0</v>
      </c>
      <c r="L145" s="2946"/>
      <c r="M145" s="2946"/>
      <c r="N145" s="2946"/>
      <c r="O145" s="2946"/>
      <c r="P145" s="2946"/>
      <c r="Q145" s="2946"/>
      <c r="R145" s="2946"/>
      <c r="S145" s="2946"/>
      <c r="T145" s="2946"/>
      <c r="U145" s="2946"/>
      <c r="V145" s="2946">
        <f>UnosPorBilans!AB182</f>
        <v>0</v>
      </c>
      <c r="W145" s="2946"/>
      <c r="X145" s="2946"/>
      <c r="Y145" s="2946"/>
      <c r="Z145" s="2946"/>
      <c r="AA145" s="2946"/>
      <c r="AB145" s="2946"/>
      <c r="AC145" s="2946"/>
      <c r="AD145" s="2946"/>
      <c r="AE145" s="2946"/>
      <c r="AF145" s="2946"/>
      <c r="AG145" s="2946">
        <f>UnosPorBilans!AG182</f>
        <v>0</v>
      </c>
      <c r="AH145" s="2946"/>
      <c r="AI145" s="2946"/>
      <c r="AJ145" s="2946"/>
      <c r="AK145" s="2946"/>
      <c r="AL145" s="2946"/>
      <c r="AM145" s="2946"/>
      <c r="AN145" s="2946"/>
      <c r="AO145" s="2946"/>
      <c r="AP145" s="2946"/>
    </row>
    <row r="146" s="799" customFormat="1" ht="12.75" hidden="1" spans="1:42">
      <c r="A146" s="2947" t="s">
        <v>6849</v>
      </c>
      <c r="B146" s="2947"/>
      <c r="C146" s="2947"/>
      <c r="D146" s="2947"/>
      <c r="E146" s="2947"/>
      <c r="F146" s="2947"/>
      <c r="G146" s="2947"/>
      <c r="H146" s="2947"/>
      <c r="I146" s="2947"/>
      <c r="J146" s="2947"/>
      <c r="K146" s="2947"/>
      <c r="L146" s="2947"/>
      <c r="M146" s="2947"/>
      <c r="N146" s="2947"/>
      <c r="O146" s="2947"/>
      <c r="P146" s="2947"/>
      <c r="Q146" s="2947"/>
      <c r="R146" s="2947"/>
      <c r="S146" s="2947"/>
      <c r="T146" s="2947"/>
      <c r="U146" s="2947"/>
      <c r="V146" s="2947" t="s">
        <v>6850</v>
      </c>
      <c r="W146" s="2947"/>
      <c r="X146" s="2947"/>
      <c r="Y146" s="2947"/>
      <c r="Z146" s="2947"/>
      <c r="AA146" s="2947"/>
      <c r="AB146" s="2947"/>
      <c r="AC146" s="2947"/>
      <c r="AD146" s="2947"/>
      <c r="AE146" s="2947"/>
      <c r="AF146" s="2947"/>
      <c r="AG146" s="2947"/>
      <c r="AH146" s="2947"/>
      <c r="AI146" s="2947"/>
      <c r="AJ146" s="2947"/>
      <c r="AK146" s="2947"/>
      <c r="AL146" s="2947"/>
      <c r="AM146" s="2947"/>
      <c r="AN146" s="2947"/>
      <c r="AO146" s="2947"/>
      <c r="AP146" s="2947"/>
    </row>
    <row r="147" s="799" customFormat="1" ht="12.75" hidden="1" spans="1:42">
      <c r="A147" s="2946">
        <f>UnosPorBilans!AL182</f>
        <v>0</v>
      </c>
      <c r="B147" s="2946"/>
      <c r="C147" s="2946"/>
      <c r="D147" s="2946"/>
      <c r="E147" s="2946"/>
      <c r="F147" s="2946"/>
      <c r="G147" s="2946"/>
      <c r="H147" s="2946"/>
      <c r="I147" s="2946"/>
      <c r="J147" s="2946"/>
      <c r="K147" s="2946"/>
      <c r="L147" s="2946"/>
      <c r="M147" s="2946"/>
      <c r="N147" s="2946"/>
      <c r="O147" s="2946"/>
      <c r="P147" s="2946"/>
      <c r="Q147" s="2946"/>
      <c r="R147" s="2946"/>
      <c r="S147" s="2946"/>
      <c r="T147" s="2946"/>
      <c r="U147" s="2946"/>
      <c r="V147" s="2946">
        <f>UnosPorBilans!AS182</f>
        <v>0</v>
      </c>
      <c r="W147" s="2946"/>
      <c r="X147" s="2946"/>
      <c r="Y147" s="2946"/>
      <c r="Z147" s="2946"/>
      <c r="AA147" s="2946"/>
      <c r="AB147" s="2946"/>
      <c r="AC147" s="2946"/>
      <c r="AD147" s="2946"/>
      <c r="AE147" s="2946"/>
      <c r="AF147" s="2946"/>
      <c r="AG147" s="2946"/>
      <c r="AH147" s="2946"/>
      <c r="AI147" s="2946"/>
      <c r="AJ147" s="2946"/>
      <c r="AK147" s="2946"/>
      <c r="AL147" s="2946"/>
      <c r="AM147" s="2946"/>
      <c r="AN147" s="2946"/>
      <c r="AO147" s="2946"/>
      <c r="AP147" s="2946"/>
    </row>
    <row r="148" s="799" customFormat="1" ht="6.75" hidden="1" customHeight="1"/>
    <row r="149" s="799" customFormat="1" ht="12.75" hidden="1" spans="1:42">
      <c r="A149" s="2944" t="s">
        <v>4201</v>
      </c>
      <c r="B149" s="2944"/>
      <c r="C149" s="2944" t="s">
        <v>6851</v>
      </c>
      <c r="D149" s="2944"/>
      <c r="E149" s="2944"/>
      <c r="F149" s="2944"/>
      <c r="G149" s="2944"/>
      <c r="H149" s="2944"/>
      <c r="I149" s="2944"/>
      <c r="J149" s="2944"/>
      <c r="K149" s="2944"/>
      <c r="L149" s="2944"/>
      <c r="M149" s="2944"/>
      <c r="N149" s="2944"/>
      <c r="O149" s="2944"/>
      <c r="P149" s="2944"/>
      <c r="Q149" s="2944"/>
      <c r="R149" s="2944"/>
      <c r="S149" s="2944"/>
      <c r="T149" s="2944"/>
      <c r="U149" s="2944"/>
      <c r="V149" s="2944" t="s">
        <v>6852</v>
      </c>
      <c r="W149" s="2944"/>
      <c r="X149" s="2944"/>
      <c r="Y149" s="2944"/>
      <c r="Z149" s="2944"/>
      <c r="AA149" s="2944"/>
      <c r="AB149" s="2944"/>
      <c r="AC149" s="2944"/>
      <c r="AD149" s="2944"/>
      <c r="AE149" s="2944"/>
      <c r="AF149" s="2944"/>
      <c r="AG149" s="2944" t="s">
        <v>6853</v>
      </c>
      <c r="AH149" s="2944"/>
      <c r="AI149" s="2944"/>
      <c r="AJ149" s="2944"/>
      <c r="AK149" s="2944"/>
      <c r="AL149" s="2944"/>
      <c r="AM149" s="2944"/>
      <c r="AN149" s="2944"/>
      <c r="AO149" s="2944"/>
      <c r="AP149" s="2944"/>
    </row>
    <row r="150" s="799" customFormat="1" ht="12.75" hidden="1" spans="1:42">
      <c r="A150" s="2945">
        <f>UnosPorBilans!B183</f>
        <v>0</v>
      </c>
      <c r="B150" s="2945"/>
      <c r="C150" s="2945"/>
      <c r="D150" s="2945"/>
      <c r="E150" s="2945"/>
      <c r="F150" s="2945"/>
      <c r="G150" s="2945"/>
      <c r="H150" s="2945"/>
      <c r="I150" s="2945"/>
      <c r="J150" s="2945"/>
      <c r="K150" s="2945"/>
      <c r="L150" s="2945"/>
      <c r="M150" s="2945"/>
      <c r="N150" s="2945"/>
      <c r="O150" s="2945"/>
      <c r="P150" s="2945"/>
      <c r="Q150" s="2945"/>
      <c r="R150" s="2945"/>
      <c r="S150" s="2945"/>
      <c r="T150" s="2945"/>
      <c r="U150" s="2945"/>
      <c r="V150" s="2945">
        <f>UnosPorBilans!I183</f>
        <v>0</v>
      </c>
      <c r="W150" s="2945"/>
      <c r="X150" s="2945"/>
      <c r="Y150" s="2945"/>
      <c r="Z150" s="2945"/>
      <c r="AA150" s="2945"/>
      <c r="AB150" s="2945"/>
      <c r="AC150" s="2945"/>
      <c r="AD150" s="2945"/>
      <c r="AE150" s="2945"/>
      <c r="AF150" s="2945"/>
      <c r="AG150" s="2945">
        <f>UnosPorBilans!N183</f>
        <v>0</v>
      </c>
      <c r="AH150" s="2945"/>
      <c r="AI150" s="2945"/>
      <c r="AJ150" s="2945"/>
      <c r="AK150" s="2945"/>
      <c r="AL150" s="2945"/>
      <c r="AM150" s="2945"/>
      <c r="AN150" s="2945"/>
      <c r="AO150" s="2945"/>
      <c r="AP150" s="2945"/>
    </row>
    <row r="151" s="799" customFormat="1" ht="12.75" hidden="1" spans="1:42">
      <c r="A151" s="2944" t="s">
        <v>6854</v>
      </c>
      <c r="B151" s="2944"/>
      <c r="C151" s="2944"/>
      <c r="D151" s="2944"/>
      <c r="E151" s="2944"/>
      <c r="F151" s="2944"/>
      <c r="G151" s="2944"/>
      <c r="H151" s="2944"/>
      <c r="I151" s="2944"/>
      <c r="J151" s="2944"/>
      <c r="K151" s="2944" t="s">
        <v>6855</v>
      </c>
      <c r="L151" s="2944"/>
      <c r="M151" s="2944"/>
      <c r="N151" s="2944"/>
      <c r="O151" s="2944"/>
      <c r="P151" s="2944"/>
      <c r="Q151" s="2944"/>
      <c r="R151" s="2944"/>
      <c r="S151" s="2944"/>
      <c r="T151" s="2944"/>
      <c r="U151" s="2944"/>
      <c r="V151" s="2944" t="s">
        <v>6856</v>
      </c>
      <c r="W151" s="2944"/>
      <c r="X151" s="2944"/>
      <c r="Y151" s="2944"/>
      <c r="Z151" s="2944"/>
      <c r="AA151" s="2944"/>
      <c r="AB151" s="2944"/>
      <c r="AC151" s="2944"/>
      <c r="AD151" s="2944"/>
      <c r="AE151" s="2944"/>
      <c r="AF151" s="2944"/>
      <c r="AG151" s="2944" t="s">
        <v>6857</v>
      </c>
      <c r="AH151" s="2944"/>
      <c r="AI151" s="2944"/>
      <c r="AJ151" s="2944"/>
      <c r="AK151" s="2944"/>
      <c r="AL151" s="2944"/>
      <c r="AM151" s="2944"/>
      <c r="AN151" s="2944"/>
      <c r="AO151" s="2944"/>
      <c r="AP151" s="2944"/>
    </row>
    <row r="152" s="799" customFormat="1" ht="12.75" hidden="1" spans="1:42">
      <c r="A152" s="2946">
        <f>UnosPorBilans!S183</f>
        <v>0</v>
      </c>
      <c r="B152" s="2946"/>
      <c r="C152" s="2946"/>
      <c r="D152" s="2946"/>
      <c r="E152" s="2946"/>
      <c r="F152" s="2946"/>
      <c r="G152" s="2946"/>
      <c r="H152" s="2946"/>
      <c r="I152" s="2946"/>
      <c r="J152" s="2946"/>
      <c r="K152" s="2946">
        <f>UnosPorBilans!W183</f>
        <v>0</v>
      </c>
      <c r="L152" s="2946"/>
      <c r="M152" s="2946"/>
      <c r="N152" s="2946"/>
      <c r="O152" s="2946"/>
      <c r="P152" s="2946"/>
      <c r="Q152" s="2946"/>
      <c r="R152" s="2946"/>
      <c r="S152" s="2946"/>
      <c r="T152" s="2946"/>
      <c r="U152" s="2946"/>
      <c r="V152" s="2946">
        <f>UnosPorBilans!AB183</f>
        <v>0</v>
      </c>
      <c r="W152" s="2946"/>
      <c r="X152" s="2946"/>
      <c r="Y152" s="2946"/>
      <c r="Z152" s="2946"/>
      <c r="AA152" s="2946"/>
      <c r="AB152" s="2946"/>
      <c r="AC152" s="2946"/>
      <c r="AD152" s="2946"/>
      <c r="AE152" s="2946"/>
      <c r="AF152" s="2946"/>
      <c r="AG152" s="2946">
        <f>UnosPorBilans!AG183</f>
        <v>0</v>
      </c>
      <c r="AH152" s="2946"/>
      <c r="AI152" s="2946"/>
      <c r="AJ152" s="2946"/>
      <c r="AK152" s="2946"/>
      <c r="AL152" s="2946"/>
      <c r="AM152" s="2946"/>
      <c r="AN152" s="2946"/>
      <c r="AO152" s="2946"/>
      <c r="AP152" s="2946"/>
    </row>
    <row r="153" s="799" customFormat="1" ht="12.75" hidden="1" spans="1:42">
      <c r="A153" s="2947" t="s">
        <v>6858</v>
      </c>
      <c r="B153" s="2947"/>
      <c r="C153" s="2947"/>
      <c r="D153" s="2947"/>
      <c r="E153" s="2947"/>
      <c r="F153" s="2947"/>
      <c r="G153" s="2947"/>
      <c r="H153" s="2947"/>
      <c r="I153" s="2947"/>
      <c r="J153" s="2947"/>
      <c r="K153" s="2947"/>
      <c r="L153" s="2947"/>
      <c r="M153" s="2947"/>
      <c r="N153" s="2947"/>
      <c r="O153" s="2947"/>
      <c r="P153" s="2947"/>
      <c r="Q153" s="2947"/>
      <c r="R153" s="2947"/>
      <c r="S153" s="2947"/>
      <c r="T153" s="2947"/>
      <c r="U153" s="2947"/>
      <c r="V153" s="2947" t="s">
        <v>6859</v>
      </c>
      <c r="W153" s="2947"/>
      <c r="X153" s="2947"/>
      <c r="Y153" s="2947"/>
      <c r="Z153" s="2947"/>
      <c r="AA153" s="2947"/>
      <c r="AB153" s="2947"/>
      <c r="AC153" s="2947"/>
      <c r="AD153" s="2947"/>
      <c r="AE153" s="2947"/>
      <c r="AF153" s="2947"/>
      <c r="AG153" s="2947"/>
      <c r="AH153" s="2947"/>
      <c r="AI153" s="2947"/>
      <c r="AJ153" s="2947"/>
      <c r="AK153" s="2947"/>
      <c r="AL153" s="2947"/>
      <c r="AM153" s="2947"/>
      <c r="AN153" s="2947"/>
      <c r="AO153" s="2947"/>
      <c r="AP153" s="2947"/>
    </row>
    <row r="154" s="799" customFormat="1" ht="12.75" hidden="1" spans="1:42">
      <c r="A154" s="2946">
        <f>UnosPorBilans!AL183</f>
        <v>0</v>
      </c>
      <c r="B154" s="2946"/>
      <c r="C154" s="2946"/>
      <c r="D154" s="2946"/>
      <c r="E154" s="2946"/>
      <c r="F154" s="2946"/>
      <c r="G154" s="2946"/>
      <c r="H154" s="2946"/>
      <c r="I154" s="2946"/>
      <c r="J154" s="2946"/>
      <c r="K154" s="2946"/>
      <c r="L154" s="2946"/>
      <c r="M154" s="2946"/>
      <c r="N154" s="2946"/>
      <c r="O154" s="2946"/>
      <c r="P154" s="2946"/>
      <c r="Q154" s="2946"/>
      <c r="R154" s="2946"/>
      <c r="S154" s="2946"/>
      <c r="T154" s="2946"/>
      <c r="U154" s="2946"/>
      <c r="V154" s="2946">
        <f>UnosPorBilans!AS183</f>
        <v>0</v>
      </c>
      <c r="W154" s="2946"/>
      <c r="X154" s="2946"/>
      <c r="Y154" s="2946"/>
      <c r="Z154" s="2946"/>
      <c r="AA154" s="2946"/>
      <c r="AB154" s="2946"/>
      <c r="AC154" s="2946"/>
      <c r="AD154" s="2946"/>
      <c r="AE154" s="2946"/>
      <c r="AF154" s="2946"/>
      <c r="AG154" s="2946"/>
      <c r="AH154" s="2946"/>
      <c r="AI154" s="2946"/>
      <c r="AJ154" s="2946"/>
      <c r="AK154" s="2946"/>
      <c r="AL154" s="2946"/>
      <c r="AM154" s="2946"/>
      <c r="AN154" s="2946"/>
      <c r="AO154" s="2946"/>
      <c r="AP154" s="2946"/>
    </row>
    <row r="155" s="799" customFormat="1" ht="7.5" hidden="1" customHeight="1"/>
    <row r="156" s="799" customFormat="1" ht="12.75" hidden="1" spans="1:42">
      <c r="A156" s="2944" t="s">
        <v>4202</v>
      </c>
      <c r="B156" s="2944"/>
      <c r="C156" s="2944" t="s">
        <v>6860</v>
      </c>
      <c r="D156" s="2944"/>
      <c r="E156" s="2944"/>
      <c r="F156" s="2944"/>
      <c r="G156" s="2944"/>
      <c r="H156" s="2944"/>
      <c r="I156" s="2944"/>
      <c r="J156" s="2944"/>
      <c r="K156" s="2944"/>
      <c r="L156" s="2944"/>
      <c r="M156" s="2944"/>
      <c r="N156" s="2944"/>
      <c r="O156" s="2944"/>
      <c r="P156" s="2944"/>
      <c r="Q156" s="2944"/>
      <c r="R156" s="2944"/>
      <c r="S156" s="2944"/>
      <c r="T156" s="2944"/>
      <c r="U156" s="2944"/>
      <c r="V156" s="2944" t="s">
        <v>6861</v>
      </c>
      <c r="W156" s="2944"/>
      <c r="X156" s="2944"/>
      <c r="Y156" s="2944"/>
      <c r="Z156" s="2944"/>
      <c r="AA156" s="2944"/>
      <c r="AB156" s="2944"/>
      <c r="AC156" s="2944"/>
      <c r="AD156" s="2944"/>
      <c r="AE156" s="2944"/>
      <c r="AF156" s="2944"/>
      <c r="AG156" s="2944" t="s">
        <v>6862</v>
      </c>
      <c r="AH156" s="2944"/>
      <c r="AI156" s="2944"/>
      <c r="AJ156" s="2944"/>
      <c r="AK156" s="2944"/>
      <c r="AL156" s="2944"/>
      <c r="AM156" s="2944"/>
      <c r="AN156" s="2944"/>
      <c r="AO156" s="2944"/>
      <c r="AP156" s="2944"/>
    </row>
    <row r="157" s="799" customFormat="1" ht="12.75" hidden="1" spans="1:42">
      <c r="A157" s="2945">
        <f>UnosPorBilans!B184</f>
        <v>0</v>
      </c>
      <c r="B157" s="2945"/>
      <c r="C157" s="2945"/>
      <c r="D157" s="2945"/>
      <c r="E157" s="2945"/>
      <c r="F157" s="2945"/>
      <c r="G157" s="2945"/>
      <c r="H157" s="2945"/>
      <c r="I157" s="2945"/>
      <c r="J157" s="2945"/>
      <c r="K157" s="2945"/>
      <c r="L157" s="2945"/>
      <c r="M157" s="2945"/>
      <c r="N157" s="2945"/>
      <c r="O157" s="2945"/>
      <c r="P157" s="2945"/>
      <c r="Q157" s="2945"/>
      <c r="R157" s="2945"/>
      <c r="S157" s="2945"/>
      <c r="T157" s="2945"/>
      <c r="U157" s="2945"/>
      <c r="V157" s="2945">
        <f>UnosPorBilans!I184</f>
        <v>0</v>
      </c>
      <c r="W157" s="2945"/>
      <c r="X157" s="2945"/>
      <c r="Y157" s="2945"/>
      <c r="Z157" s="2945"/>
      <c r="AA157" s="2945"/>
      <c r="AB157" s="2945"/>
      <c r="AC157" s="2945"/>
      <c r="AD157" s="2945"/>
      <c r="AE157" s="2945"/>
      <c r="AF157" s="2945"/>
      <c r="AG157" s="2945">
        <f>UnosPorBilans!N184</f>
        <v>0</v>
      </c>
      <c r="AH157" s="2945"/>
      <c r="AI157" s="2945"/>
      <c r="AJ157" s="2945"/>
      <c r="AK157" s="2945"/>
      <c r="AL157" s="2945"/>
      <c r="AM157" s="2945"/>
      <c r="AN157" s="2945"/>
      <c r="AO157" s="2945"/>
      <c r="AP157" s="2945"/>
    </row>
    <row r="158" s="799" customFormat="1" ht="12.75" hidden="1" spans="1:42">
      <c r="A158" s="2944" t="s">
        <v>6863</v>
      </c>
      <c r="B158" s="2944"/>
      <c r="C158" s="2944"/>
      <c r="D158" s="2944"/>
      <c r="E158" s="2944"/>
      <c r="F158" s="2944"/>
      <c r="G158" s="2944"/>
      <c r="H158" s="2944"/>
      <c r="I158" s="2944"/>
      <c r="J158" s="2944"/>
      <c r="K158" s="2944" t="s">
        <v>6864</v>
      </c>
      <c r="L158" s="2944"/>
      <c r="M158" s="2944"/>
      <c r="N158" s="2944"/>
      <c r="O158" s="2944"/>
      <c r="P158" s="2944"/>
      <c r="Q158" s="2944"/>
      <c r="R158" s="2944"/>
      <c r="S158" s="2944"/>
      <c r="T158" s="2944"/>
      <c r="U158" s="2944"/>
      <c r="V158" s="2944" t="s">
        <v>6865</v>
      </c>
      <c r="W158" s="2944"/>
      <c r="X158" s="2944"/>
      <c r="Y158" s="2944"/>
      <c r="Z158" s="2944"/>
      <c r="AA158" s="2944"/>
      <c r="AB158" s="2944"/>
      <c r="AC158" s="2944"/>
      <c r="AD158" s="2944"/>
      <c r="AE158" s="2944"/>
      <c r="AF158" s="2944"/>
      <c r="AG158" s="2944" t="s">
        <v>6866</v>
      </c>
      <c r="AH158" s="2944"/>
      <c r="AI158" s="2944"/>
      <c r="AJ158" s="2944"/>
      <c r="AK158" s="2944"/>
      <c r="AL158" s="2944"/>
      <c r="AM158" s="2944"/>
      <c r="AN158" s="2944"/>
      <c r="AO158" s="2944"/>
      <c r="AP158" s="2944"/>
    </row>
    <row r="159" s="799" customFormat="1" ht="12.75" hidden="1" spans="1:42">
      <c r="A159" s="2946">
        <f>UnosPorBilans!S184</f>
        <v>0</v>
      </c>
      <c r="B159" s="2946"/>
      <c r="C159" s="2946"/>
      <c r="D159" s="2946"/>
      <c r="E159" s="2946"/>
      <c r="F159" s="2946"/>
      <c r="G159" s="2946"/>
      <c r="H159" s="2946"/>
      <c r="I159" s="2946"/>
      <c r="J159" s="2946"/>
      <c r="K159" s="2946">
        <f>UnosPorBilans!W184</f>
        <v>0</v>
      </c>
      <c r="L159" s="2946"/>
      <c r="M159" s="2946"/>
      <c r="N159" s="2946"/>
      <c r="O159" s="2946"/>
      <c r="P159" s="2946"/>
      <c r="Q159" s="2946"/>
      <c r="R159" s="2946"/>
      <c r="S159" s="2946"/>
      <c r="T159" s="2946"/>
      <c r="U159" s="2946"/>
      <c r="V159" s="2946">
        <f>UnosPorBilans!AB184</f>
        <v>0</v>
      </c>
      <c r="W159" s="2946"/>
      <c r="X159" s="2946"/>
      <c r="Y159" s="2946"/>
      <c r="Z159" s="2946"/>
      <c r="AA159" s="2946"/>
      <c r="AB159" s="2946"/>
      <c r="AC159" s="2946"/>
      <c r="AD159" s="2946"/>
      <c r="AE159" s="2946"/>
      <c r="AF159" s="2946"/>
      <c r="AG159" s="2946">
        <f>UnosPorBilans!AG184</f>
        <v>0</v>
      </c>
      <c r="AH159" s="2946"/>
      <c r="AI159" s="2946"/>
      <c r="AJ159" s="2946"/>
      <c r="AK159" s="2946"/>
      <c r="AL159" s="2946"/>
      <c r="AM159" s="2946"/>
      <c r="AN159" s="2946"/>
      <c r="AO159" s="2946"/>
      <c r="AP159" s="2946"/>
    </row>
    <row r="160" s="799" customFormat="1" ht="12.75" hidden="1" spans="1:42">
      <c r="A160" s="2947" t="s">
        <v>6867</v>
      </c>
      <c r="B160" s="2947"/>
      <c r="C160" s="2947"/>
      <c r="D160" s="2947"/>
      <c r="E160" s="2947"/>
      <c r="F160" s="2947"/>
      <c r="G160" s="2947"/>
      <c r="H160" s="2947"/>
      <c r="I160" s="2947"/>
      <c r="J160" s="2947"/>
      <c r="K160" s="2947"/>
      <c r="L160" s="2947"/>
      <c r="M160" s="2947"/>
      <c r="N160" s="2947"/>
      <c r="O160" s="2947"/>
      <c r="P160" s="2947"/>
      <c r="Q160" s="2947"/>
      <c r="R160" s="2947"/>
      <c r="S160" s="2947"/>
      <c r="T160" s="2947"/>
      <c r="U160" s="2947"/>
      <c r="V160" s="2947" t="s">
        <v>6868</v>
      </c>
      <c r="W160" s="2947"/>
      <c r="X160" s="2947"/>
      <c r="Y160" s="2947"/>
      <c r="Z160" s="2947"/>
      <c r="AA160" s="2947"/>
      <c r="AB160" s="2947"/>
      <c r="AC160" s="2947"/>
      <c r="AD160" s="2947"/>
      <c r="AE160" s="2947"/>
      <c r="AF160" s="2947"/>
      <c r="AG160" s="2947"/>
      <c r="AH160" s="2947"/>
      <c r="AI160" s="2947"/>
      <c r="AJ160" s="2947"/>
      <c r="AK160" s="2947"/>
      <c r="AL160" s="2947"/>
      <c r="AM160" s="2947"/>
      <c r="AN160" s="2947"/>
      <c r="AO160" s="2947"/>
      <c r="AP160" s="2947"/>
    </row>
    <row r="161" s="799" customFormat="1" ht="12.75" hidden="1" spans="1:42">
      <c r="A161" s="2946">
        <f>UnosPorBilans!AL184</f>
        <v>0</v>
      </c>
      <c r="B161" s="2946"/>
      <c r="C161" s="2946"/>
      <c r="D161" s="2946"/>
      <c r="E161" s="2946"/>
      <c r="F161" s="2946"/>
      <c r="G161" s="2946"/>
      <c r="H161" s="2946"/>
      <c r="I161" s="2946"/>
      <c r="J161" s="2946"/>
      <c r="K161" s="2946"/>
      <c r="L161" s="2946"/>
      <c r="M161" s="2946"/>
      <c r="N161" s="2946"/>
      <c r="O161" s="2946"/>
      <c r="P161" s="2946"/>
      <c r="Q161" s="2946"/>
      <c r="R161" s="2946"/>
      <c r="S161" s="2946"/>
      <c r="T161" s="2946"/>
      <c r="U161" s="2946"/>
      <c r="V161" s="2946">
        <f>UnosPorBilans!AS184</f>
        <v>0</v>
      </c>
      <c r="W161" s="2946"/>
      <c r="X161" s="2946"/>
      <c r="Y161" s="2946"/>
      <c r="Z161" s="2946"/>
      <c r="AA161" s="2946"/>
      <c r="AB161" s="2946"/>
      <c r="AC161" s="2946"/>
      <c r="AD161" s="2946"/>
      <c r="AE161" s="2946"/>
      <c r="AF161" s="2946"/>
      <c r="AG161" s="2946"/>
      <c r="AH161" s="2946"/>
      <c r="AI161" s="2946"/>
      <c r="AJ161" s="2946"/>
      <c r="AK161" s="2946"/>
      <c r="AL161" s="2946"/>
      <c r="AM161" s="2946"/>
      <c r="AN161" s="2946"/>
      <c r="AO161" s="2946"/>
      <c r="AP161" s="2946"/>
    </row>
    <row r="162" s="799" customFormat="1" ht="6.75" hidden="1" customHeight="1"/>
    <row r="163" s="799" customFormat="1" ht="12.75" hidden="1" spans="1:42">
      <c r="A163" s="2944" t="s">
        <v>4203</v>
      </c>
      <c r="B163" s="2944"/>
      <c r="C163" s="2944" t="s">
        <v>6869</v>
      </c>
      <c r="D163" s="2944"/>
      <c r="E163" s="2944"/>
      <c r="F163" s="2944"/>
      <c r="G163" s="2944"/>
      <c r="H163" s="2944"/>
      <c r="I163" s="2944"/>
      <c r="J163" s="2944"/>
      <c r="K163" s="2944"/>
      <c r="L163" s="2944"/>
      <c r="M163" s="2944"/>
      <c r="N163" s="2944"/>
      <c r="O163" s="2944"/>
      <c r="P163" s="2944"/>
      <c r="Q163" s="2944"/>
      <c r="R163" s="2944"/>
      <c r="S163" s="2944"/>
      <c r="T163" s="2944"/>
      <c r="U163" s="2944"/>
      <c r="V163" s="2944" t="s">
        <v>6870</v>
      </c>
      <c r="W163" s="2944"/>
      <c r="X163" s="2944"/>
      <c r="Y163" s="2944"/>
      <c r="Z163" s="2944"/>
      <c r="AA163" s="2944"/>
      <c r="AB163" s="2944"/>
      <c r="AC163" s="2944"/>
      <c r="AD163" s="2944"/>
      <c r="AE163" s="2944"/>
      <c r="AF163" s="2944"/>
      <c r="AG163" s="2944" t="s">
        <v>6871</v>
      </c>
      <c r="AH163" s="2944"/>
      <c r="AI163" s="2944"/>
      <c r="AJ163" s="2944"/>
      <c r="AK163" s="2944"/>
      <c r="AL163" s="2944"/>
      <c r="AM163" s="2944"/>
      <c r="AN163" s="2944"/>
      <c r="AO163" s="2944"/>
      <c r="AP163" s="2944"/>
    </row>
    <row r="164" s="799" customFormat="1" ht="12.75" hidden="1" spans="1:42">
      <c r="A164" s="2945">
        <f>UnosPorBilans!B185</f>
        <v>0</v>
      </c>
      <c r="B164" s="2945"/>
      <c r="C164" s="2945"/>
      <c r="D164" s="2945"/>
      <c r="E164" s="2945"/>
      <c r="F164" s="2945"/>
      <c r="G164" s="2945"/>
      <c r="H164" s="2945"/>
      <c r="I164" s="2945"/>
      <c r="J164" s="2945"/>
      <c r="K164" s="2945"/>
      <c r="L164" s="2945"/>
      <c r="M164" s="2945"/>
      <c r="N164" s="2945"/>
      <c r="O164" s="2945"/>
      <c r="P164" s="2945"/>
      <c r="Q164" s="2945"/>
      <c r="R164" s="2945"/>
      <c r="S164" s="2945"/>
      <c r="T164" s="2945"/>
      <c r="U164" s="2945"/>
      <c r="V164" s="2945">
        <f>UnosPorBilans!I185</f>
        <v>0</v>
      </c>
      <c r="W164" s="2945"/>
      <c r="X164" s="2945"/>
      <c r="Y164" s="2945"/>
      <c r="Z164" s="2945"/>
      <c r="AA164" s="2945"/>
      <c r="AB164" s="2945"/>
      <c r="AC164" s="2945"/>
      <c r="AD164" s="2945"/>
      <c r="AE164" s="2945"/>
      <c r="AF164" s="2945"/>
      <c r="AG164" s="2945">
        <f>UnosPorBilans!N185</f>
        <v>0</v>
      </c>
      <c r="AH164" s="2945"/>
      <c r="AI164" s="2945"/>
      <c r="AJ164" s="2945"/>
      <c r="AK164" s="2945"/>
      <c r="AL164" s="2945"/>
      <c r="AM164" s="2945"/>
      <c r="AN164" s="2945"/>
      <c r="AO164" s="2945"/>
      <c r="AP164" s="2945"/>
    </row>
    <row r="165" s="799" customFormat="1" ht="12.75" hidden="1" spans="1:42">
      <c r="A165" s="2944" t="s">
        <v>6872</v>
      </c>
      <c r="B165" s="2944"/>
      <c r="C165" s="2944"/>
      <c r="D165" s="2944"/>
      <c r="E165" s="2944"/>
      <c r="F165" s="2944"/>
      <c r="G165" s="2944"/>
      <c r="H165" s="2944"/>
      <c r="I165" s="2944"/>
      <c r="J165" s="2944"/>
      <c r="K165" s="2944" t="s">
        <v>6873</v>
      </c>
      <c r="L165" s="2944"/>
      <c r="M165" s="2944"/>
      <c r="N165" s="2944"/>
      <c r="O165" s="2944"/>
      <c r="P165" s="2944"/>
      <c r="Q165" s="2944"/>
      <c r="R165" s="2944"/>
      <c r="S165" s="2944"/>
      <c r="T165" s="2944"/>
      <c r="U165" s="2944"/>
      <c r="V165" s="2944" t="s">
        <v>6874</v>
      </c>
      <c r="W165" s="2944"/>
      <c r="X165" s="2944"/>
      <c r="Y165" s="2944"/>
      <c r="Z165" s="2944"/>
      <c r="AA165" s="2944"/>
      <c r="AB165" s="2944"/>
      <c r="AC165" s="2944"/>
      <c r="AD165" s="2944"/>
      <c r="AE165" s="2944"/>
      <c r="AF165" s="2944"/>
      <c r="AG165" s="2944" t="s">
        <v>6875</v>
      </c>
      <c r="AH165" s="2944"/>
      <c r="AI165" s="2944"/>
      <c r="AJ165" s="2944"/>
      <c r="AK165" s="2944"/>
      <c r="AL165" s="2944"/>
      <c r="AM165" s="2944"/>
      <c r="AN165" s="2944"/>
      <c r="AO165" s="2944"/>
      <c r="AP165" s="2944"/>
    </row>
    <row r="166" s="799" customFormat="1" ht="12.75" hidden="1" spans="1:42">
      <c r="A166" s="2946">
        <f>UnosPorBilans!S185</f>
        <v>0</v>
      </c>
      <c r="B166" s="2946"/>
      <c r="C166" s="2946"/>
      <c r="D166" s="2946"/>
      <c r="E166" s="2946"/>
      <c r="F166" s="2946"/>
      <c r="G166" s="2946"/>
      <c r="H166" s="2946"/>
      <c r="I166" s="2946"/>
      <c r="J166" s="2946"/>
      <c r="K166" s="2946">
        <f>UnosPorBilans!W185</f>
        <v>0</v>
      </c>
      <c r="L166" s="2946"/>
      <c r="M166" s="2946"/>
      <c r="N166" s="2946"/>
      <c r="O166" s="2946"/>
      <c r="P166" s="2946"/>
      <c r="Q166" s="2946"/>
      <c r="R166" s="2946"/>
      <c r="S166" s="2946"/>
      <c r="T166" s="2946"/>
      <c r="U166" s="2946"/>
      <c r="V166" s="2946">
        <f>UnosPorBilans!AB185</f>
        <v>0</v>
      </c>
      <c r="W166" s="2946"/>
      <c r="X166" s="2946"/>
      <c r="Y166" s="2946"/>
      <c r="Z166" s="2946"/>
      <c r="AA166" s="2946"/>
      <c r="AB166" s="2946"/>
      <c r="AC166" s="2946"/>
      <c r="AD166" s="2946"/>
      <c r="AE166" s="2946"/>
      <c r="AF166" s="2946"/>
      <c r="AG166" s="2946">
        <f>UnosPorBilans!AG185</f>
        <v>0</v>
      </c>
      <c r="AH166" s="2946"/>
      <c r="AI166" s="2946"/>
      <c r="AJ166" s="2946"/>
      <c r="AK166" s="2946"/>
      <c r="AL166" s="2946"/>
      <c r="AM166" s="2946"/>
      <c r="AN166" s="2946"/>
      <c r="AO166" s="2946"/>
      <c r="AP166" s="2946"/>
    </row>
    <row r="167" s="799" customFormat="1" ht="12.75" hidden="1" spans="1:42">
      <c r="A167" s="2947" t="s">
        <v>6876</v>
      </c>
      <c r="B167" s="2947"/>
      <c r="C167" s="2947"/>
      <c r="D167" s="2947"/>
      <c r="E167" s="2947"/>
      <c r="F167" s="2947"/>
      <c r="G167" s="2947"/>
      <c r="H167" s="2947"/>
      <c r="I167" s="2947"/>
      <c r="J167" s="2947"/>
      <c r="K167" s="2947"/>
      <c r="L167" s="2947"/>
      <c r="M167" s="2947"/>
      <c r="N167" s="2947"/>
      <c r="O167" s="2947"/>
      <c r="P167" s="2947"/>
      <c r="Q167" s="2947"/>
      <c r="R167" s="2947"/>
      <c r="S167" s="2947"/>
      <c r="T167" s="2947"/>
      <c r="U167" s="2947"/>
      <c r="V167" s="2947" t="s">
        <v>6877</v>
      </c>
      <c r="W167" s="2947"/>
      <c r="X167" s="2947"/>
      <c r="Y167" s="2947"/>
      <c r="Z167" s="2947"/>
      <c r="AA167" s="2947"/>
      <c r="AB167" s="2947"/>
      <c r="AC167" s="2947"/>
      <c r="AD167" s="2947"/>
      <c r="AE167" s="2947"/>
      <c r="AF167" s="2947"/>
      <c r="AG167" s="2947"/>
      <c r="AH167" s="2947"/>
      <c r="AI167" s="2947"/>
      <c r="AJ167" s="2947"/>
      <c r="AK167" s="2947"/>
      <c r="AL167" s="2947"/>
      <c r="AM167" s="2947"/>
      <c r="AN167" s="2947"/>
      <c r="AO167" s="2947"/>
      <c r="AP167" s="2947"/>
    </row>
    <row r="168" s="799" customFormat="1" ht="12.75" hidden="1" spans="1:42">
      <c r="A168" s="2946">
        <f>UnosPorBilans!AL185</f>
        <v>0</v>
      </c>
      <c r="B168" s="2946"/>
      <c r="C168" s="2946"/>
      <c r="D168" s="2946"/>
      <c r="E168" s="2946"/>
      <c r="F168" s="2946"/>
      <c r="G168" s="2946"/>
      <c r="H168" s="2946"/>
      <c r="I168" s="2946"/>
      <c r="J168" s="2946"/>
      <c r="K168" s="2946"/>
      <c r="L168" s="2946"/>
      <c r="M168" s="2946"/>
      <c r="N168" s="2946"/>
      <c r="O168" s="2946"/>
      <c r="P168" s="2946"/>
      <c r="Q168" s="2946"/>
      <c r="R168" s="2946"/>
      <c r="S168" s="2946"/>
      <c r="T168" s="2946"/>
      <c r="U168" s="2946"/>
      <c r="V168" s="2946">
        <f>UnosPorBilans!AS185</f>
        <v>0</v>
      </c>
      <c r="W168" s="2946"/>
      <c r="X168" s="2946"/>
      <c r="Y168" s="2946"/>
      <c r="Z168" s="2946"/>
      <c r="AA168" s="2946"/>
      <c r="AB168" s="2946"/>
      <c r="AC168" s="2946"/>
      <c r="AD168" s="2946"/>
      <c r="AE168" s="2946"/>
      <c r="AF168" s="2946"/>
      <c r="AG168" s="2946"/>
      <c r="AH168" s="2946"/>
      <c r="AI168" s="2946"/>
      <c r="AJ168" s="2946"/>
      <c r="AK168" s="2946"/>
      <c r="AL168" s="2946"/>
      <c r="AM168" s="2946"/>
      <c r="AN168" s="2946"/>
      <c r="AO168" s="2946"/>
      <c r="AP168" s="2946"/>
    </row>
    <row r="169" s="799" customFormat="1" ht="6.75" hidden="1" customHeight="1"/>
    <row r="170" s="799" customFormat="1" ht="12.75" hidden="1" spans="1:42">
      <c r="A170" s="2944" t="s">
        <v>4204</v>
      </c>
      <c r="B170" s="2944"/>
      <c r="C170" s="2944" t="s">
        <v>6878</v>
      </c>
      <c r="D170" s="2944"/>
      <c r="E170" s="2944"/>
      <c r="F170" s="2944"/>
      <c r="G170" s="2944"/>
      <c r="H170" s="2944"/>
      <c r="I170" s="2944"/>
      <c r="J170" s="2944"/>
      <c r="K170" s="2944"/>
      <c r="L170" s="2944"/>
      <c r="M170" s="2944"/>
      <c r="N170" s="2944"/>
      <c r="O170" s="2944"/>
      <c r="P170" s="2944"/>
      <c r="Q170" s="2944"/>
      <c r="R170" s="2944"/>
      <c r="S170" s="2944"/>
      <c r="T170" s="2944"/>
      <c r="U170" s="2944"/>
      <c r="V170" s="2944" t="s">
        <v>6879</v>
      </c>
      <c r="W170" s="2944"/>
      <c r="X170" s="2944"/>
      <c r="Y170" s="2944"/>
      <c r="Z170" s="2944"/>
      <c r="AA170" s="2944"/>
      <c r="AB170" s="2944"/>
      <c r="AC170" s="2944"/>
      <c r="AD170" s="2944"/>
      <c r="AE170" s="2944"/>
      <c r="AF170" s="2944"/>
      <c r="AG170" s="2944" t="s">
        <v>6880</v>
      </c>
      <c r="AH170" s="2944"/>
      <c r="AI170" s="2944"/>
      <c r="AJ170" s="2944"/>
      <c r="AK170" s="2944"/>
      <c r="AL170" s="2944"/>
      <c r="AM170" s="2944"/>
      <c r="AN170" s="2944"/>
      <c r="AO170" s="2944"/>
      <c r="AP170" s="2944"/>
    </row>
    <row r="171" s="799" customFormat="1" ht="12.75" hidden="1" spans="1:42">
      <c r="A171" s="2945">
        <f>UnosPorBilans!B186</f>
        <v>0</v>
      </c>
      <c r="B171" s="2945"/>
      <c r="C171" s="2945"/>
      <c r="D171" s="2945"/>
      <c r="E171" s="2945"/>
      <c r="F171" s="2945"/>
      <c r="G171" s="2945"/>
      <c r="H171" s="2945"/>
      <c r="I171" s="2945"/>
      <c r="J171" s="2945"/>
      <c r="K171" s="2945"/>
      <c r="L171" s="2945"/>
      <c r="M171" s="2945"/>
      <c r="N171" s="2945"/>
      <c r="O171" s="2945"/>
      <c r="P171" s="2945"/>
      <c r="Q171" s="2945"/>
      <c r="R171" s="2945"/>
      <c r="S171" s="2945"/>
      <c r="T171" s="2945"/>
      <c r="U171" s="2945"/>
      <c r="V171" s="2945">
        <f>UnosPorBilans!I186</f>
        <v>0</v>
      </c>
      <c r="W171" s="2945"/>
      <c r="X171" s="2945"/>
      <c r="Y171" s="2945"/>
      <c r="Z171" s="2945"/>
      <c r="AA171" s="2945"/>
      <c r="AB171" s="2945"/>
      <c r="AC171" s="2945"/>
      <c r="AD171" s="2945"/>
      <c r="AE171" s="2945"/>
      <c r="AF171" s="2945"/>
      <c r="AG171" s="2945">
        <f>UnosPorBilans!N186</f>
        <v>0</v>
      </c>
      <c r="AH171" s="2945"/>
      <c r="AI171" s="2945"/>
      <c r="AJ171" s="2945"/>
      <c r="AK171" s="2945"/>
      <c r="AL171" s="2945"/>
      <c r="AM171" s="2945"/>
      <c r="AN171" s="2945"/>
      <c r="AO171" s="2945"/>
      <c r="AP171" s="2945"/>
    </row>
    <row r="172" s="799" customFormat="1" ht="12.75" hidden="1" spans="1:42">
      <c r="A172" s="2944" t="s">
        <v>6881</v>
      </c>
      <c r="B172" s="2944"/>
      <c r="C172" s="2944"/>
      <c r="D172" s="2944"/>
      <c r="E172" s="2944"/>
      <c r="F172" s="2944"/>
      <c r="G172" s="2944"/>
      <c r="H172" s="2944"/>
      <c r="I172" s="2944"/>
      <c r="J172" s="2944"/>
      <c r="K172" s="2944" t="s">
        <v>6882</v>
      </c>
      <c r="L172" s="2944"/>
      <c r="M172" s="2944"/>
      <c r="N172" s="2944"/>
      <c r="O172" s="2944"/>
      <c r="P172" s="2944"/>
      <c r="Q172" s="2944"/>
      <c r="R172" s="2944"/>
      <c r="S172" s="2944"/>
      <c r="T172" s="2944"/>
      <c r="U172" s="2944"/>
      <c r="V172" s="2944" t="s">
        <v>6883</v>
      </c>
      <c r="W172" s="2944"/>
      <c r="X172" s="2944"/>
      <c r="Y172" s="2944"/>
      <c r="Z172" s="2944"/>
      <c r="AA172" s="2944"/>
      <c r="AB172" s="2944"/>
      <c r="AC172" s="2944"/>
      <c r="AD172" s="2944"/>
      <c r="AE172" s="2944"/>
      <c r="AF172" s="2944"/>
      <c r="AG172" s="2944" t="s">
        <v>6884</v>
      </c>
      <c r="AH172" s="2944"/>
      <c r="AI172" s="2944"/>
      <c r="AJ172" s="2944"/>
      <c r="AK172" s="2944"/>
      <c r="AL172" s="2944"/>
      <c r="AM172" s="2944"/>
      <c r="AN172" s="2944"/>
      <c r="AO172" s="2944"/>
      <c r="AP172" s="2944"/>
    </row>
    <row r="173" s="799" customFormat="1" ht="12.75" hidden="1" spans="1:42">
      <c r="A173" s="2946">
        <f>UnosPorBilans!S186</f>
        <v>0</v>
      </c>
      <c r="B173" s="2946"/>
      <c r="C173" s="2946"/>
      <c r="D173" s="2946"/>
      <c r="E173" s="2946"/>
      <c r="F173" s="2946"/>
      <c r="G173" s="2946"/>
      <c r="H173" s="2946"/>
      <c r="I173" s="2946"/>
      <c r="J173" s="2946"/>
      <c r="K173" s="2946">
        <f>UnosPorBilans!W186</f>
        <v>0</v>
      </c>
      <c r="L173" s="2946"/>
      <c r="M173" s="2946"/>
      <c r="N173" s="2946"/>
      <c r="O173" s="2946"/>
      <c r="P173" s="2946"/>
      <c r="Q173" s="2946"/>
      <c r="R173" s="2946"/>
      <c r="S173" s="2946"/>
      <c r="T173" s="2946"/>
      <c r="U173" s="2946"/>
      <c r="V173" s="2946">
        <f>UnosPorBilans!AB186</f>
        <v>0</v>
      </c>
      <c r="W173" s="2946"/>
      <c r="X173" s="2946"/>
      <c r="Y173" s="2946"/>
      <c r="Z173" s="2946"/>
      <c r="AA173" s="2946"/>
      <c r="AB173" s="2946"/>
      <c r="AC173" s="2946"/>
      <c r="AD173" s="2946"/>
      <c r="AE173" s="2946"/>
      <c r="AF173" s="2946"/>
      <c r="AG173" s="2946">
        <f>UnosPorBilans!AG186</f>
        <v>0</v>
      </c>
      <c r="AH173" s="2946"/>
      <c r="AI173" s="2946"/>
      <c r="AJ173" s="2946"/>
      <c r="AK173" s="2946"/>
      <c r="AL173" s="2946"/>
      <c r="AM173" s="2946"/>
      <c r="AN173" s="2946"/>
      <c r="AO173" s="2946"/>
      <c r="AP173" s="2946"/>
    </row>
    <row r="174" s="799" customFormat="1" ht="12.75" hidden="1" spans="1:42">
      <c r="A174" s="2947" t="s">
        <v>6885</v>
      </c>
      <c r="B174" s="2947"/>
      <c r="C174" s="2947"/>
      <c r="D174" s="2947"/>
      <c r="E174" s="2947"/>
      <c r="F174" s="2947"/>
      <c r="G174" s="2947"/>
      <c r="H174" s="2947"/>
      <c r="I174" s="2947"/>
      <c r="J174" s="2947"/>
      <c r="K174" s="2947"/>
      <c r="L174" s="2947"/>
      <c r="M174" s="2947"/>
      <c r="N174" s="2947"/>
      <c r="O174" s="2947"/>
      <c r="P174" s="2947"/>
      <c r="Q174" s="2947"/>
      <c r="R174" s="2947"/>
      <c r="S174" s="2947"/>
      <c r="T174" s="2947"/>
      <c r="U174" s="2947"/>
      <c r="V174" s="2947" t="s">
        <v>6886</v>
      </c>
      <c r="W174" s="2947"/>
      <c r="X174" s="2947"/>
      <c r="Y174" s="2947"/>
      <c r="Z174" s="2947"/>
      <c r="AA174" s="2947"/>
      <c r="AB174" s="2947"/>
      <c r="AC174" s="2947"/>
      <c r="AD174" s="2947"/>
      <c r="AE174" s="2947"/>
      <c r="AF174" s="2947"/>
      <c r="AG174" s="2947"/>
      <c r="AH174" s="2947"/>
      <c r="AI174" s="2947"/>
      <c r="AJ174" s="2947"/>
      <c r="AK174" s="2947"/>
      <c r="AL174" s="2947"/>
      <c r="AM174" s="2947"/>
      <c r="AN174" s="2947"/>
      <c r="AO174" s="2947"/>
      <c r="AP174" s="2947"/>
    </row>
    <row r="175" s="799" customFormat="1" ht="12.75" hidden="1" spans="1:42">
      <c r="A175" s="2946">
        <f>UnosPorBilans!AL186</f>
        <v>0</v>
      </c>
      <c r="B175" s="2946"/>
      <c r="C175" s="2946"/>
      <c r="D175" s="2946"/>
      <c r="E175" s="2946"/>
      <c r="F175" s="2946"/>
      <c r="G175" s="2946"/>
      <c r="H175" s="2946"/>
      <c r="I175" s="2946"/>
      <c r="J175" s="2946"/>
      <c r="K175" s="2946"/>
      <c r="L175" s="2946"/>
      <c r="M175" s="2946"/>
      <c r="N175" s="2946"/>
      <c r="O175" s="2946"/>
      <c r="P175" s="2946"/>
      <c r="Q175" s="2946"/>
      <c r="R175" s="2946"/>
      <c r="S175" s="2946"/>
      <c r="T175" s="2946"/>
      <c r="U175" s="2946"/>
      <c r="V175" s="2946">
        <f>UnosPorBilans!AS186</f>
        <v>0</v>
      </c>
      <c r="W175" s="2946"/>
      <c r="X175" s="2946"/>
      <c r="Y175" s="2946"/>
      <c r="Z175" s="2946"/>
      <c r="AA175" s="2946"/>
      <c r="AB175" s="2946"/>
      <c r="AC175" s="2946"/>
      <c r="AD175" s="2946"/>
      <c r="AE175" s="2946"/>
      <c r="AF175" s="2946"/>
      <c r="AG175" s="2946"/>
      <c r="AH175" s="2946"/>
      <c r="AI175" s="2946"/>
      <c r="AJ175" s="2946"/>
      <c r="AK175" s="2946"/>
      <c r="AL175" s="2946"/>
      <c r="AM175" s="2946"/>
      <c r="AN175" s="2946"/>
      <c r="AO175" s="2946"/>
      <c r="AP175" s="2946"/>
    </row>
    <row r="176" s="799" customFormat="1" ht="7.5" hidden="1" customHeight="1"/>
    <row r="177" s="799" customFormat="1" ht="12.75" hidden="1" spans="1:42">
      <c r="A177" s="2944" t="s">
        <v>4205</v>
      </c>
      <c r="B177" s="2944"/>
      <c r="C177" s="2944" t="s">
        <v>6887</v>
      </c>
      <c r="D177" s="2944"/>
      <c r="E177" s="2944"/>
      <c r="F177" s="2944"/>
      <c r="G177" s="2944"/>
      <c r="H177" s="2944"/>
      <c r="I177" s="2944"/>
      <c r="J177" s="2944"/>
      <c r="K177" s="2944"/>
      <c r="L177" s="2944"/>
      <c r="M177" s="2944"/>
      <c r="N177" s="2944"/>
      <c r="O177" s="2944"/>
      <c r="P177" s="2944"/>
      <c r="Q177" s="2944"/>
      <c r="R177" s="2944"/>
      <c r="S177" s="2944"/>
      <c r="T177" s="2944"/>
      <c r="U177" s="2944"/>
      <c r="V177" s="2944" t="s">
        <v>6888</v>
      </c>
      <c r="W177" s="2944"/>
      <c r="X177" s="2944"/>
      <c r="Y177" s="2944"/>
      <c r="Z177" s="2944"/>
      <c r="AA177" s="2944"/>
      <c r="AB177" s="2944"/>
      <c r="AC177" s="2944"/>
      <c r="AD177" s="2944"/>
      <c r="AE177" s="2944"/>
      <c r="AF177" s="2944"/>
      <c r="AG177" s="2944" t="s">
        <v>6889</v>
      </c>
      <c r="AH177" s="2944"/>
      <c r="AI177" s="2944"/>
      <c r="AJ177" s="2944"/>
      <c r="AK177" s="2944"/>
      <c r="AL177" s="2944"/>
      <c r="AM177" s="2944"/>
      <c r="AN177" s="2944"/>
      <c r="AO177" s="2944"/>
      <c r="AP177" s="2944"/>
    </row>
    <row r="178" s="799" customFormat="1" ht="12.75" hidden="1" spans="1:42">
      <c r="A178" s="2945">
        <f>UnosPorBilans!B187</f>
        <v>0</v>
      </c>
      <c r="B178" s="2945"/>
      <c r="C178" s="2945"/>
      <c r="D178" s="2945"/>
      <c r="E178" s="2945"/>
      <c r="F178" s="2945"/>
      <c r="G178" s="2945"/>
      <c r="H178" s="2945"/>
      <c r="I178" s="2945"/>
      <c r="J178" s="2945"/>
      <c r="K178" s="2945"/>
      <c r="L178" s="2945"/>
      <c r="M178" s="2945"/>
      <c r="N178" s="2945"/>
      <c r="O178" s="2945"/>
      <c r="P178" s="2945"/>
      <c r="Q178" s="2945"/>
      <c r="R178" s="2945"/>
      <c r="S178" s="2945"/>
      <c r="T178" s="2945"/>
      <c r="U178" s="2945"/>
      <c r="V178" s="2945">
        <f>UnosPorBilans!I187</f>
        <v>0</v>
      </c>
      <c r="W178" s="2945"/>
      <c r="X178" s="2945"/>
      <c r="Y178" s="2945"/>
      <c r="Z178" s="2945"/>
      <c r="AA178" s="2945"/>
      <c r="AB178" s="2945"/>
      <c r="AC178" s="2945"/>
      <c r="AD178" s="2945"/>
      <c r="AE178" s="2945"/>
      <c r="AF178" s="2945"/>
      <c r="AG178" s="2945">
        <f>UnosPorBilans!N187</f>
        <v>0</v>
      </c>
      <c r="AH178" s="2945"/>
      <c r="AI178" s="2945"/>
      <c r="AJ178" s="2945"/>
      <c r="AK178" s="2945"/>
      <c r="AL178" s="2945"/>
      <c r="AM178" s="2945"/>
      <c r="AN178" s="2945"/>
      <c r="AO178" s="2945"/>
      <c r="AP178" s="2945"/>
    </row>
    <row r="179" s="799" customFormat="1" ht="12.75" hidden="1" spans="1:42">
      <c r="A179" s="2944" t="s">
        <v>6890</v>
      </c>
      <c r="B179" s="2944"/>
      <c r="C179" s="2944"/>
      <c r="D179" s="2944"/>
      <c r="E179" s="2944"/>
      <c r="F179" s="2944"/>
      <c r="G179" s="2944"/>
      <c r="H179" s="2944"/>
      <c r="I179" s="2944"/>
      <c r="J179" s="2944"/>
      <c r="K179" s="2944" t="s">
        <v>6891</v>
      </c>
      <c r="L179" s="2944"/>
      <c r="M179" s="2944"/>
      <c r="N179" s="2944"/>
      <c r="O179" s="2944"/>
      <c r="P179" s="2944"/>
      <c r="Q179" s="2944"/>
      <c r="R179" s="2944"/>
      <c r="S179" s="2944"/>
      <c r="T179" s="2944"/>
      <c r="U179" s="2944"/>
      <c r="V179" s="2944" t="s">
        <v>6892</v>
      </c>
      <c r="W179" s="2944"/>
      <c r="X179" s="2944"/>
      <c r="Y179" s="2944"/>
      <c r="Z179" s="2944"/>
      <c r="AA179" s="2944"/>
      <c r="AB179" s="2944"/>
      <c r="AC179" s="2944"/>
      <c r="AD179" s="2944"/>
      <c r="AE179" s="2944"/>
      <c r="AF179" s="2944"/>
      <c r="AG179" s="2944" t="s">
        <v>6893</v>
      </c>
      <c r="AH179" s="2944"/>
      <c r="AI179" s="2944"/>
      <c r="AJ179" s="2944"/>
      <c r="AK179" s="2944"/>
      <c r="AL179" s="2944"/>
      <c r="AM179" s="2944"/>
      <c r="AN179" s="2944"/>
      <c r="AO179" s="2944"/>
      <c r="AP179" s="2944"/>
    </row>
    <row r="180" s="799" customFormat="1" ht="12.75" hidden="1" spans="1:42">
      <c r="A180" s="2946">
        <f>UnosPorBilans!S187</f>
        <v>0</v>
      </c>
      <c r="B180" s="2946"/>
      <c r="C180" s="2946"/>
      <c r="D180" s="2946"/>
      <c r="E180" s="2946"/>
      <c r="F180" s="2946"/>
      <c r="G180" s="2946"/>
      <c r="H180" s="2946"/>
      <c r="I180" s="2946"/>
      <c r="J180" s="2946"/>
      <c r="K180" s="2946">
        <f>UnosPorBilans!W187</f>
        <v>0</v>
      </c>
      <c r="L180" s="2946"/>
      <c r="M180" s="2946"/>
      <c r="N180" s="2946"/>
      <c r="O180" s="2946"/>
      <c r="P180" s="2946"/>
      <c r="Q180" s="2946"/>
      <c r="R180" s="2946"/>
      <c r="S180" s="2946"/>
      <c r="T180" s="2946"/>
      <c r="U180" s="2946"/>
      <c r="V180" s="2946">
        <f>UnosPorBilans!AB187</f>
        <v>0</v>
      </c>
      <c r="W180" s="2946"/>
      <c r="X180" s="2946"/>
      <c r="Y180" s="2946"/>
      <c r="Z180" s="2946"/>
      <c r="AA180" s="2946"/>
      <c r="AB180" s="2946"/>
      <c r="AC180" s="2946"/>
      <c r="AD180" s="2946"/>
      <c r="AE180" s="2946"/>
      <c r="AF180" s="2946"/>
      <c r="AG180" s="2946">
        <f>UnosPorBilans!AG187</f>
        <v>0</v>
      </c>
      <c r="AH180" s="2946"/>
      <c r="AI180" s="2946"/>
      <c r="AJ180" s="2946"/>
      <c r="AK180" s="2946"/>
      <c r="AL180" s="2946"/>
      <c r="AM180" s="2946"/>
      <c r="AN180" s="2946"/>
      <c r="AO180" s="2946"/>
      <c r="AP180" s="2946"/>
    </row>
    <row r="181" s="799" customFormat="1" ht="12.75" hidden="1" spans="1:42">
      <c r="A181" s="2947" t="s">
        <v>6894</v>
      </c>
      <c r="B181" s="2947"/>
      <c r="C181" s="2947"/>
      <c r="D181" s="2947"/>
      <c r="E181" s="2947"/>
      <c r="F181" s="2947"/>
      <c r="G181" s="2947"/>
      <c r="H181" s="2947"/>
      <c r="I181" s="2947"/>
      <c r="J181" s="2947"/>
      <c r="K181" s="2947"/>
      <c r="L181" s="2947"/>
      <c r="M181" s="2947"/>
      <c r="N181" s="2947"/>
      <c r="O181" s="2947"/>
      <c r="P181" s="2947"/>
      <c r="Q181" s="2947"/>
      <c r="R181" s="2947"/>
      <c r="S181" s="2947"/>
      <c r="T181" s="2947"/>
      <c r="U181" s="2947"/>
      <c r="V181" s="2947" t="s">
        <v>6895</v>
      </c>
      <c r="W181" s="2947"/>
      <c r="X181" s="2947"/>
      <c r="Y181" s="2947"/>
      <c r="Z181" s="2947"/>
      <c r="AA181" s="2947"/>
      <c r="AB181" s="2947"/>
      <c r="AC181" s="2947"/>
      <c r="AD181" s="2947"/>
      <c r="AE181" s="2947"/>
      <c r="AF181" s="2947"/>
      <c r="AG181" s="2947"/>
      <c r="AH181" s="2947"/>
      <c r="AI181" s="2947"/>
      <c r="AJ181" s="2947"/>
      <c r="AK181" s="2947"/>
      <c r="AL181" s="2947"/>
      <c r="AM181" s="2947"/>
      <c r="AN181" s="2947"/>
      <c r="AO181" s="2947"/>
      <c r="AP181" s="2947"/>
    </row>
    <row r="182" s="799" customFormat="1" ht="12.75" hidden="1" spans="1:42">
      <c r="A182" s="2946">
        <f>UnosPorBilans!AL187</f>
        <v>0</v>
      </c>
      <c r="B182" s="2946"/>
      <c r="C182" s="2946"/>
      <c r="D182" s="2946"/>
      <c r="E182" s="2946"/>
      <c r="F182" s="2946"/>
      <c r="G182" s="2946"/>
      <c r="H182" s="2946"/>
      <c r="I182" s="2946"/>
      <c r="J182" s="2946"/>
      <c r="K182" s="2946"/>
      <c r="L182" s="2946"/>
      <c r="M182" s="2946"/>
      <c r="N182" s="2946"/>
      <c r="O182" s="2946"/>
      <c r="P182" s="2946"/>
      <c r="Q182" s="2946"/>
      <c r="R182" s="2946"/>
      <c r="S182" s="2946"/>
      <c r="T182" s="2946"/>
      <c r="U182" s="2946"/>
      <c r="V182" s="2946">
        <f>UnosPorBilans!AS187</f>
        <v>0</v>
      </c>
      <c r="W182" s="2946"/>
      <c r="X182" s="2946"/>
      <c r="Y182" s="2946"/>
      <c r="Z182" s="2946"/>
      <c r="AA182" s="2946"/>
      <c r="AB182" s="2946"/>
      <c r="AC182" s="2946"/>
      <c r="AD182" s="2946"/>
      <c r="AE182" s="2946"/>
      <c r="AF182" s="2946"/>
      <c r="AG182" s="2946"/>
      <c r="AH182" s="2946"/>
      <c r="AI182" s="2946"/>
      <c r="AJ182" s="2946"/>
      <c r="AK182" s="2946"/>
      <c r="AL182" s="2946"/>
      <c r="AM182" s="2946"/>
      <c r="AN182" s="2946"/>
      <c r="AO182" s="2946"/>
      <c r="AP182" s="2946"/>
    </row>
    <row r="183" s="799" customFormat="1" ht="6.75" hidden="1" customHeight="1"/>
    <row r="184" s="799" customFormat="1" ht="12.75" hidden="1" spans="1:42">
      <c r="A184" s="2944" t="s">
        <v>4206</v>
      </c>
      <c r="B184" s="2944"/>
      <c r="C184" s="2944" t="s">
        <v>6896</v>
      </c>
      <c r="D184" s="2944"/>
      <c r="E184" s="2944"/>
      <c r="F184" s="2944"/>
      <c r="G184" s="2944"/>
      <c r="H184" s="2944"/>
      <c r="I184" s="2944"/>
      <c r="J184" s="2944"/>
      <c r="K184" s="2944"/>
      <c r="L184" s="2944"/>
      <c r="M184" s="2944"/>
      <c r="N184" s="2944"/>
      <c r="O184" s="2944"/>
      <c r="P184" s="2944"/>
      <c r="Q184" s="2944"/>
      <c r="R184" s="2944"/>
      <c r="S184" s="2944"/>
      <c r="T184" s="2944"/>
      <c r="U184" s="2944"/>
      <c r="V184" s="2944" t="s">
        <v>6897</v>
      </c>
      <c r="W184" s="2944"/>
      <c r="X184" s="2944"/>
      <c r="Y184" s="2944"/>
      <c r="Z184" s="2944"/>
      <c r="AA184" s="2944"/>
      <c r="AB184" s="2944"/>
      <c r="AC184" s="2944"/>
      <c r="AD184" s="2944"/>
      <c r="AE184" s="2944"/>
      <c r="AF184" s="2944"/>
      <c r="AG184" s="2944" t="s">
        <v>6898</v>
      </c>
      <c r="AH184" s="2944"/>
      <c r="AI184" s="2944"/>
      <c r="AJ184" s="2944"/>
      <c r="AK184" s="2944"/>
      <c r="AL184" s="2944"/>
      <c r="AM184" s="2944"/>
      <c r="AN184" s="2944"/>
      <c r="AO184" s="2944"/>
      <c r="AP184" s="2944"/>
    </row>
    <row r="185" s="799" customFormat="1" ht="12.75" hidden="1" spans="1:42">
      <c r="A185" s="2945">
        <f>UnosPorBilans!B188</f>
        <v>0</v>
      </c>
      <c r="B185" s="2945"/>
      <c r="C185" s="2945"/>
      <c r="D185" s="2945"/>
      <c r="E185" s="2945"/>
      <c r="F185" s="2945"/>
      <c r="G185" s="2945"/>
      <c r="H185" s="2945"/>
      <c r="I185" s="2945"/>
      <c r="J185" s="2945"/>
      <c r="K185" s="2945"/>
      <c r="L185" s="2945"/>
      <c r="M185" s="2945"/>
      <c r="N185" s="2945"/>
      <c r="O185" s="2945"/>
      <c r="P185" s="2945"/>
      <c r="Q185" s="2945"/>
      <c r="R185" s="2945"/>
      <c r="S185" s="2945"/>
      <c r="T185" s="2945"/>
      <c r="U185" s="2945"/>
      <c r="V185" s="2945">
        <f>UnosPorBilans!I188</f>
        <v>0</v>
      </c>
      <c r="W185" s="2945"/>
      <c r="X185" s="2945"/>
      <c r="Y185" s="2945"/>
      <c r="Z185" s="2945"/>
      <c r="AA185" s="2945"/>
      <c r="AB185" s="2945"/>
      <c r="AC185" s="2945"/>
      <c r="AD185" s="2945"/>
      <c r="AE185" s="2945"/>
      <c r="AF185" s="2945"/>
      <c r="AG185" s="2945">
        <f>UnosPorBilans!N188</f>
        <v>0</v>
      </c>
      <c r="AH185" s="2945"/>
      <c r="AI185" s="2945"/>
      <c r="AJ185" s="2945"/>
      <c r="AK185" s="2945"/>
      <c r="AL185" s="2945"/>
      <c r="AM185" s="2945"/>
      <c r="AN185" s="2945"/>
      <c r="AO185" s="2945"/>
      <c r="AP185" s="2945"/>
    </row>
    <row r="186" s="799" customFormat="1" ht="12.75" hidden="1" spans="1:42">
      <c r="A186" s="2944" t="s">
        <v>6899</v>
      </c>
      <c r="B186" s="2944"/>
      <c r="C186" s="2944"/>
      <c r="D186" s="2944"/>
      <c r="E186" s="2944"/>
      <c r="F186" s="2944"/>
      <c r="G186" s="2944"/>
      <c r="H186" s="2944"/>
      <c r="I186" s="2944"/>
      <c r="J186" s="2944"/>
      <c r="K186" s="2944" t="s">
        <v>6900</v>
      </c>
      <c r="L186" s="2944"/>
      <c r="M186" s="2944"/>
      <c r="N186" s="2944"/>
      <c r="O186" s="2944"/>
      <c r="P186" s="2944"/>
      <c r="Q186" s="2944"/>
      <c r="R186" s="2944"/>
      <c r="S186" s="2944"/>
      <c r="T186" s="2944"/>
      <c r="U186" s="2944"/>
      <c r="V186" s="2944" t="s">
        <v>6901</v>
      </c>
      <c r="W186" s="2944"/>
      <c r="X186" s="2944"/>
      <c r="Y186" s="2944"/>
      <c r="Z186" s="2944"/>
      <c r="AA186" s="2944"/>
      <c r="AB186" s="2944"/>
      <c r="AC186" s="2944"/>
      <c r="AD186" s="2944"/>
      <c r="AE186" s="2944"/>
      <c r="AF186" s="2944"/>
      <c r="AG186" s="2944" t="s">
        <v>6902</v>
      </c>
      <c r="AH186" s="2944"/>
      <c r="AI186" s="2944"/>
      <c r="AJ186" s="2944"/>
      <c r="AK186" s="2944"/>
      <c r="AL186" s="2944"/>
      <c r="AM186" s="2944"/>
      <c r="AN186" s="2944"/>
      <c r="AO186" s="2944"/>
      <c r="AP186" s="2944"/>
    </row>
    <row r="187" s="799" customFormat="1" ht="12.75" hidden="1" spans="1:42">
      <c r="A187" s="2946">
        <f>UnosPorBilans!S188</f>
        <v>0</v>
      </c>
      <c r="B187" s="2946"/>
      <c r="C187" s="2946"/>
      <c r="D187" s="2946"/>
      <c r="E187" s="2946"/>
      <c r="F187" s="2946"/>
      <c r="G187" s="2946"/>
      <c r="H187" s="2946"/>
      <c r="I187" s="2946"/>
      <c r="J187" s="2946"/>
      <c r="K187" s="2946">
        <f>UnosPorBilans!W188</f>
        <v>0</v>
      </c>
      <c r="L187" s="2946"/>
      <c r="M187" s="2946"/>
      <c r="N187" s="2946"/>
      <c r="O187" s="2946"/>
      <c r="P187" s="2946"/>
      <c r="Q187" s="2946"/>
      <c r="R187" s="2946"/>
      <c r="S187" s="2946"/>
      <c r="T187" s="2946"/>
      <c r="U187" s="2946"/>
      <c r="V187" s="2946">
        <f>UnosPorBilans!AB188</f>
        <v>0</v>
      </c>
      <c r="W187" s="2946"/>
      <c r="X187" s="2946"/>
      <c r="Y187" s="2946"/>
      <c r="Z187" s="2946"/>
      <c r="AA187" s="2946"/>
      <c r="AB187" s="2946"/>
      <c r="AC187" s="2946"/>
      <c r="AD187" s="2946"/>
      <c r="AE187" s="2946"/>
      <c r="AF187" s="2946"/>
      <c r="AG187" s="2946">
        <f>UnosPorBilans!AG188</f>
        <v>0</v>
      </c>
      <c r="AH187" s="2946"/>
      <c r="AI187" s="2946"/>
      <c r="AJ187" s="2946"/>
      <c r="AK187" s="2946"/>
      <c r="AL187" s="2946"/>
      <c r="AM187" s="2946"/>
      <c r="AN187" s="2946"/>
      <c r="AO187" s="2946"/>
      <c r="AP187" s="2946"/>
    </row>
    <row r="188" s="799" customFormat="1" ht="12.75" hidden="1" spans="1:42">
      <c r="A188" s="2947" t="s">
        <v>6903</v>
      </c>
      <c r="B188" s="2947"/>
      <c r="C188" s="2947"/>
      <c r="D188" s="2947"/>
      <c r="E188" s="2947"/>
      <c r="F188" s="2947"/>
      <c r="G188" s="2947"/>
      <c r="H188" s="2947"/>
      <c r="I188" s="2947"/>
      <c r="J188" s="2947"/>
      <c r="K188" s="2947"/>
      <c r="L188" s="2947"/>
      <c r="M188" s="2947"/>
      <c r="N188" s="2947"/>
      <c r="O188" s="2947"/>
      <c r="P188" s="2947"/>
      <c r="Q188" s="2947"/>
      <c r="R188" s="2947"/>
      <c r="S188" s="2947"/>
      <c r="T188" s="2947"/>
      <c r="U188" s="2947"/>
      <c r="V188" s="2947" t="s">
        <v>6904</v>
      </c>
      <c r="W188" s="2947"/>
      <c r="X188" s="2947"/>
      <c r="Y188" s="2947"/>
      <c r="Z188" s="2947"/>
      <c r="AA188" s="2947"/>
      <c r="AB188" s="2947"/>
      <c r="AC188" s="2947"/>
      <c r="AD188" s="2947"/>
      <c r="AE188" s="2947"/>
      <c r="AF188" s="2947"/>
      <c r="AG188" s="2947"/>
      <c r="AH188" s="2947"/>
      <c r="AI188" s="2947"/>
      <c r="AJ188" s="2947"/>
      <c r="AK188" s="2947"/>
      <c r="AL188" s="2947"/>
      <c r="AM188" s="2947"/>
      <c r="AN188" s="2947"/>
      <c r="AO188" s="2947"/>
      <c r="AP188" s="2947"/>
    </row>
    <row r="189" s="799" customFormat="1" ht="12.75" hidden="1" spans="1:42">
      <c r="A189" s="2946">
        <f>UnosPorBilans!AL188</f>
        <v>0</v>
      </c>
      <c r="B189" s="2946"/>
      <c r="C189" s="2946"/>
      <c r="D189" s="2946"/>
      <c r="E189" s="2946"/>
      <c r="F189" s="2946"/>
      <c r="G189" s="2946"/>
      <c r="H189" s="2946"/>
      <c r="I189" s="2946"/>
      <c r="J189" s="2946"/>
      <c r="K189" s="2946"/>
      <c r="L189" s="2946"/>
      <c r="M189" s="2946"/>
      <c r="N189" s="2946"/>
      <c r="O189" s="2946"/>
      <c r="P189" s="2946"/>
      <c r="Q189" s="2946"/>
      <c r="R189" s="2946"/>
      <c r="S189" s="2946"/>
      <c r="T189" s="2946"/>
      <c r="U189" s="2946"/>
      <c r="V189" s="2946">
        <f>UnosPorBilans!AS188</f>
        <v>0</v>
      </c>
      <c r="W189" s="2946"/>
      <c r="X189" s="2946"/>
      <c r="Y189" s="2946"/>
      <c r="Z189" s="2946"/>
      <c r="AA189" s="2946"/>
      <c r="AB189" s="2946"/>
      <c r="AC189" s="2946"/>
      <c r="AD189" s="2946"/>
      <c r="AE189" s="2946"/>
      <c r="AF189" s="2946"/>
      <c r="AG189" s="2946"/>
      <c r="AH189" s="2946"/>
      <c r="AI189" s="2946"/>
      <c r="AJ189" s="2946"/>
      <c r="AK189" s="2946"/>
      <c r="AL189" s="2946"/>
      <c r="AM189" s="2946"/>
      <c r="AN189" s="2946"/>
      <c r="AO189" s="2946"/>
      <c r="AP189" s="2946"/>
    </row>
    <row r="190" s="799" customFormat="1" ht="6.75" hidden="1" customHeight="1"/>
    <row r="191" s="799" customFormat="1" ht="12.75" hidden="1" spans="1:42">
      <c r="A191" s="2944" t="s">
        <v>4207</v>
      </c>
      <c r="B191" s="2944"/>
      <c r="C191" s="2944" t="s">
        <v>6905</v>
      </c>
      <c r="D191" s="2944"/>
      <c r="E191" s="2944"/>
      <c r="F191" s="2944"/>
      <c r="G191" s="2944"/>
      <c r="H191" s="2944"/>
      <c r="I191" s="2944"/>
      <c r="J191" s="2944"/>
      <c r="K191" s="2944"/>
      <c r="L191" s="2944"/>
      <c r="M191" s="2944"/>
      <c r="N191" s="2944"/>
      <c r="O191" s="2944"/>
      <c r="P191" s="2944"/>
      <c r="Q191" s="2944"/>
      <c r="R191" s="2944"/>
      <c r="S191" s="2944"/>
      <c r="T191" s="2944"/>
      <c r="U191" s="2944"/>
      <c r="V191" s="2944" t="s">
        <v>6906</v>
      </c>
      <c r="W191" s="2944"/>
      <c r="X191" s="2944"/>
      <c r="Y191" s="2944"/>
      <c r="Z191" s="2944"/>
      <c r="AA191" s="2944"/>
      <c r="AB191" s="2944"/>
      <c r="AC191" s="2944"/>
      <c r="AD191" s="2944"/>
      <c r="AE191" s="2944"/>
      <c r="AF191" s="2944"/>
      <c r="AG191" s="2944" t="s">
        <v>6907</v>
      </c>
      <c r="AH191" s="2944"/>
      <c r="AI191" s="2944"/>
      <c r="AJ191" s="2944"/>
      <c r="AK191" s="2944"/>
      <c r="AL191" s="2944"/>
      <c r="AM191" s="2944"/>
      <c r="AN191" s="2944"/>
      <c r="AO191" s="2944"/>
      <c r="AP191" s="2944"/>
    </row>
    <row r="192" s="799" customFormat="1" ht="12.75" hidden="1" spans="1:42">
      <c r="A192" s="2945">
        <f>UnosPorBilans!B189</f>
        <v>0</v>
      </c>
      <c r="B192" s="2945"/>
      <c r="C192" s="2945"/>
      <c r="D192" s="2945"/>
      <c r="E192" s="2945"/>
      <c r="F192" s="2945"/>
      <c r="G192" s="2945"/>
      <c r="H192" s="2945"/>
      <c r="I192" s="2945"/>
      <c r="J192" s="2945"/>
      <c r="K192" s="2945"/>
      <c r="L192" s="2945"/>
      <c r="M192" s="2945"/>
      <c r="N192" s="2945"/>
      <c r="O192" s="2945"/>
      <c r="P192" s="2945"/>
      <c r="Q192" s="2945"/>
      <c r="R192" s="2945"/>
      <c r="S192" s="2945"/>
      <c r="T192" s="2945"/>
      <c r="U192" s="2945"/>
      <c r="V192" s="2945">
        <f>UnosPorBilans!I189</f>
        <v>0</v>
      </c>
      <c r="W192" s="2945"/>
      <c r="X192" s="2945"/>
      <c r="Y192" s="2945"/>
      <c r="Z192" s="2945"/>
      <c r="AA192" s="2945"/>
      <c r="AB192" s="2945"/>
      <c r="AC192" s="2945"/>
      <c r="AD192" s="2945"/>
      <c r="AE192" s="2945"/>
      <c r="AF192" s="2945"/>
      <c r="AG192" s="2945">
        <f>UnosPorBilans!N189</f>
        <v>0</v>
      </c>
      <c r="AH192" s="2945"/>
      <c r="AI192" s="2945"/>
      <c r="AJ192" s="2945"/>
      <c r="AK192" s="2945"/>
      <c r="AL192" s="2945"/>
      <c r="AM192" s="2945"/>
      <c r="AN192" s="2945"/>
      <c r="AO192" s="2945"/>
      <c r="AP192" s="2945"/>
    </row>
    <row r="193" s="799" customFormat="1" ht="12.75" hidden="1" spans="1:42">
      <c r="A193" s="2944" t="s">
        <v>6908</v>
      </c>
      <c r="B193" s="2944"/>
      <c r="C193" s="2944"/>
      <c r="D193" s="2944"/>
      <c r="E193" s="2944"/>
      <c r="F193" s="2944"/>
      <c r="G193" s="2944"/>
      <c r="H193" s="2944"/>
      <c r="I193" s="2944"/>
      <c r="J193" s="2944"/>
      <c r="K193" s="2944" t="s">
        <v>6767</v>
      </c>
      <c r="L193" s="2944"/>
      <c r="M193" s="2944"/>
      <c r="N193" s="2944"/>
      <c r="O193" s="2944"/>
      <c r="P193" s="2944"/>
      <c r="Q193" s="2944"/>
      <c r="R193" s="2944"/>
      <c r="S193" s="2944"/>
      <c r="T193" s="2944"/>
      <c r="U193" s="2944"/>
      <c r="V193" s="2944" t="s">
        <v>6909</v>
      </c>
      <c r="W193" s="2944"/>
      <c r="X193" s="2944"/>
      <c r="Y193" s="2944"/>
      <c r="Z193" s="2944"/>
      <c r="AA193" s="2944"/>
      <c r="AB193" s="2944"/>
      <c r="AC193" s="2944"/>
      <c r="AD193" s="2944"/>
      <c r="AE193" s="2944"/>
      <c r="AF193" s="2944"/>
      <c r="AG193" s="2944" t="s">
        <v>6910</v>
      </c>
      <c r="AH193" s="2944"/>
      <c r="AI193" s="2944"/>
      <c r="AJ193" s="2944"/>
      <c r="AK193" s="2944"/>
      <c r="AL193" s="2944"/>
      <c r="AM193" s="2944"/>
      <c r="AN193" s="2944"/>
      <c r="AO193" s="2944"/>
      <c r="AP193" s="2944"/>
    </row>
    <row r="194" s="799" customFormat="1" ht="12.75" hidden="1" spans="1:42">
      <c r="A194" s="2946">
        <f>UnosPorBilans!S189</f>
        <v>0</v>
      </c>
      <c r="B194" s="2946"/>
      <c r="C194" s="2946"/>
      <c r="D194" s="2946"/>
      <c r="E194" s="2946"/>
      <c r="F194" s="2946"/>
      <c r="G194" s="2946"/>
      <c r="H194" s="2946"/>
      <c r="I194" s="2946"/>
      <c r="J194" s="2946"/>
      <c r="K194" s="2946">
        <f>UnosPorBilans!W189</f>
        <v>0</v>
      </c>
      <c r="L194" s="2946"/>
      <c r="M194" s="2946"/>
      <c r="N194" s="2946"/>
      <c r="O194" s="2946"/>
      <c r="P194" s="2946"/>
      <c r="Q194" s="2946"/>
      <c r="R194" s="2946"/>
      <c r="S194" s="2946"/>
      <c r="T194" s="2946"/>
      <c r="U194" s="2946"/>
      <c r="V194" s="2946">
        <f>UnosPorBilans!AB189</f>
        <v>0</v>
      </c>
      <c r="W194" s="2946"/>
      <c r="X194" s="2946"/>
      <c r="Y194" s="2946"/>
      <c r="Z194" s="2946"/>
      <c r="AA194" s="2946"/>
      <c r="AB194" s="2946"/>
      <c r="AC194" s="2946"/>
      <c r="AD194" s="2946"/>
      <c r="AE194" s="2946"/>
      <c r="AF194" s="2946"/>
      <c r="AG194" s="2946">
        <f>UnosPorBilans!AG189</f>
        <v>0</v>
      </c>
      <c r="AH194" s="2946"/>
      <c r="AI194" s="2946"/>
      <c r="AJ194" s="2946"/>
      <c r="AK194" s="2946"/>
      <c r="AL194" s="2946"/>
      <c r="AM194" s="2946"/>
      <c r="AN194" s="2946"/>
      <c r="AO194" s="2946"/>
      <c r="AP194" s="2946"/>
    </row>
    <row r="195" s="799" customFormat="1" ht="12.75" hidden="1" spans="1:42">
      <c r="A195" s="2947" t="s">
        <v>6911</v>
      </c>
      <c r="B195" s="2947"/>
      <c r="C195" s="2947"/>
      <c r="D195" s="2947"/>
      <c r="E195" s="2947"/>
      <c r="F195" s="2947"/>
      <c r="G195" s="2947"/>
      <c r="H195" s="2947"/>
      <c r="I195" s="2947"/>
      <c r="J195" s="2947"/>
      <c r="K195" s="2947"/>
      <c r="L195" s="2947"/>
      <c r="M195" s="2947"/>
      <c r="N195" s="2947"/>
      <c r="O195" s="2947"/>
      <c r="P195" s="2947"/>
      <c r="Q195" s="2947"/>
      <c r="R195" s="2947"/>
      <c r="S195" s="2947"/>
      <c r="T195" s="2947"/>
      <c r="U195" s="2947"/>
      <c r="V195" s="2947" t="s">
        <v>6912</v>
      </c>
      <c r="W195" s="2947"/>
      <c r="X195" s="2947"/>
      <c r="Y195" s="2947"/>
      <c r="Z195" s="2947"/>
      <c r="AA195" s="2947"/>
      <c r="AB195" s="2947"/>
      <c r="AC195" s="2947"/>
      <c r="AD195" s="2947"/>
      <c r="AE195" s="2947"/>
      <c r="AF195" s="2947"/>
      <c r="AG195" s="2947"/>
      <c r="AH195" s="2947"/>
      <c r="AI195" s="2947"/>
      <c r="AJ195" s="2947"/>
      <c r="AK195" s="2947"/>
      <c r="AL195" s="2947"/>
      <c r="AM195" s="2947"/>
      <c r="AN195" s="2947"/>
      <c r="AO195" s="2947"/>
      <c r="AP195" s="2947"/>
    </row>
    <row r="196" s="799" customFormat="1" ht="12.75" hidden="1" spans="1:42">
      <c r="A196" s="2946">
        <f>UnosPorBilans!AL189</f>
        <v>0</v>
      </c>
      <c r="B196" s="2946"/>
      <c r="C196" s="2946"/>
      <c r="D196" s="2946"/>
      <c r="E196" s="2946"/>
      <c r="F196" s="2946"/>
      <c r="G196" s="2946"/>
      <c r="H196" s="2946"/>
      <c r="I196" s="2946"/>
      <c r="J196" s="2946"/>
      <c r="K196" s="2946"/>
      <c r="L196" s="2946"/>
      <c r="M196" s="2946"/>
      <c r="N196" s="2946"/>
      <c r="O196" s="2946"/>
      <c r="P196" s="2946"/>
      <c r="Q196" s="2946"/>
      <c r="R196" s="2946"/>
      <c r="S196" s="2946"/>
      <c r="T196" s="2946"/>
      <c r="U196" s="2946"/>
      <c r="V196" s="2946">
        <f>UnosPorBilans!AS189</f>
        <v>0</v>
      </c>
      <c r="W196" s="2946"/>
      <c r="X196" s="2946"/>
      <c r="Y196" s="2946"/>
      <c r="Z196" s="2946"/>
      <c r="AA196" s="2946"/>
      <c r="AB196" s="2946"/>
      <c r="AC196" s="2946"/>
      <c r="AD196" s="2946"/>
      <c r="AE196" s="2946"/>
      <c r="AF196" s="2946"/>
      <c r="AG196" s="2946"/>
      <c r="AH196" s="2946"/>
      <c r="AI196" s="2946"/>
      <c r="AJ196" s="2946"/>
      <c r="AK196" s="2946"/>
      <c r="AL196" s="2946"/>
      <c r="AM196" s="2946"/>
      <c r="AN196" s="2946"/>
      <c r="AO196" s="2946"/>
      <c r="AP196" s="2946"/>
    </row>
    <row r="197" s="799" customFormat="1" ht="6.75" hidden="1" customHeight="1"/>
    <row r="198" s="799" customFormat="1" ht="12.75" hidden="1" customHeight="1"/>
    <row r="199" s="799" customFormat="1" ht="12.75" hidden="1" customHeight="1"/>
    <row r="200" s="799" customFormat="1" ht="12.75" hidden="1" spans="1:42">
      <c r="A200" s="2944" t="s">
        <v>4209</v>
      </c>
      <c r="B200" s="2944"/>
      <c r="C200" s="2944" t="s">
        <v>6913</v>
      </c>
      <c r="D200" s="2944"/>
      <c r="E200" s="2944"/>
      <c r="F200" s="2944"/>
      <c r="G200" s="2944"/>
      <c r="H200" s="2944"/>
      <c r="I200" s="2944"/>
      <c r="J200" s="2944"/>
      <c r="K200" s="2944"/>
      <c r="L200" s="2944"/>
      <c r="M200" s="2944"/>
      <c r="N200" s="2944"/>
      <c r="O200" s="2944"/>
      <c r="P200" s="2944"/>
      <c r="Q200" s="2944"/>
      <c r="R200" s="2944"/>
      <c r="S200" s="2944"/>
      <c r="T200" s="2944"/>
      <c r="U200" s="2944"/>
      <c r="V200" s="2944" t="s">
        <v>6914</v>
      </c>
      <c r="W200" s="2944"/>
      <c r="X200" s="2944"/>
      <c r="Y200" s="2944"/>
      <c r="Z200" s="2944"/>
      <c r="AA200" s="2944"/>
      <c r="AB200" s="2944"/>
      <c r="AC200" s="2944"/>
      <c r="AD200" s="2944"/>
      <c r="AE200" s="2944"/>
      <c r="AF200" s="2944"/>
      <c r="AG200" s="2944" t="s">
        <v>6915</v>
      </c>
      <c r="AH200" s="2944"/>
      <c r="AI200" s="2944"/>
      <c r="AJ200" s="2944"/>
      <c r="AK200" s="2944"/>
      <c r="AL200" s="2944"/>
      <c r="AM200" s="2944"/>
      <c r="AN200" s="2944"/>
      <c r="AO200" s="2944"/>
      <c r="AP200" s="2944"/>
    </row>
    <row r="201" s="799" customFormat="1" ht="12.75" hidden="1" spans="1:42">
      <c r="A201" s="2945">
        <f>UnosPorBilans!B190</f>
        <v>0</v>
      </c>
      <c r="B201" s="2945"/>
      <c r="C201" s="2945"/>
      <c r="D201" s="2945"/>
      <c r="E201" s="2945"/>
      <c r="F201" s="2945"/>
      <c r="G201" s="2945"/>
      <c r="H201" s="2945"/>
      <c r="I201" s="2945"/>
      <c r="J201" s="2945"/>
      <c r="K201" s="2945"/>
      <c r="L201" s="2945"/>
      <c r="M201" s="2945"/>
      <c r="N201" s="2945"/>
      <c r="O201" s="2945"/>
      <c r="P201" s="2945"/>
      <c r="Q201" s="2945"/>
      <c r="R201" s="2945"/>
      <c r="S201" s="2945"/>
      <c r="T201" s="2945"/>
      <c r="U201" s="2945"/>
      <c r="V201" s="2945">
        <f>UnosPorBilans!I190</f>
        <v>0</v>
      </c>
      <c r="W201" s="2945"/>
      <c r="X201" s="2945"/>
      <c r="Y201" s="2945"/>
      <c r="Z201" s="2945"/>
      <c r="AA201" s="2945"/>
      <c r="AB201" s="2945"/>
      <c r="AC201" s="2945"/>
      <c r="AD201" s="2945"/>
      <c r="AE201" s="2945"/>
      <c r="AF201" s="2945"/>
      <c r="AG201" s="2945">
        <f>UnosPorBilans!N190</f>
        <v>0</v>
      </c>
      <c r="AH201" s="2945"/>
      <c r="AI201" s="2945"/>
      <c r="AJ201" s="2945"/>
      <c r="AK201" s="2945"/>
      <c r="AL201" s="2945"/>
      <c r="AM201" s="2945"/>
      <c r="AN201" s="2945"/>
      <c r="AO201" s="2945"/>
      <c r="AP201" s="2945"/>
    </row>
    <row r="202" s="799" customFormat="1" ht="12.75" hidden="1" spans="1:42">
      <c r="A202" s="2944" t="s">
        <v>6916</v>
      </c>
      <c r="B202" s="2944"/>
      <c r="C202" s="2944"/>
      <c r="D202" s="2944"/>
      <c r="E202" s="2944"/>
      <c r="F202" s="2944"/>
      <c r="G202" s="2944"/>
      <c r="H202" s="2944"/>
      <c r="I202" s="2944"/>
      <c r="J202" s="2944"/>
      <c r="K202" s="2944" t="s">
        <v>6917</v>
      </c>
      <c r="L202" s="2944"/>
      <c r="M202" s="2944"/>
      <c r="N202" s="2944"/>
      <c r="O202" s="2944"/>
      <c r="P202" s="2944"/>
      <c r="Q202" s="2944"/>
      <c r="R202" s="2944"/>
      <c r="S202" s="2944"/>
      <c r="T202" s="2944"/>
      <c r="U202" s="2944"/>
      <c r="V202" s="2944" t="s">
        <v>6918</v>
      </c>
      <c r="W202" s="2944"/>
      <c r="X202" s="2944"/>
      <c r="Y202" s="2944"/>
      <c r="Z202" s="2944"/>
      <c r="AA202" s="2944"/>
      <c r="AB202" s="2944"/>
      <c r="AC202" s="2944"/>
      <c r="AD202" s="2944"/>
      <c r="AE202" s="2944"/>
      <c r="AF202" s="2944"/>
      <c r="AG202" s="2944" t="s">
        <v>6919</v>
      </c>
      <c r="AH202" s="2944"/>
      <c r="AI202" s="2944"/>
      <c r="AJ202" s="2944"/>
      <c r="AK202" s="2944"/>
      <c r="AL202" s="2944"/>
      <c r="AM202" s="2944"/>
      <c r="AN202" s="2944"/>
      <c r="AO202" s="2944"/>
      <c r="AP202" s="2944"/>
    </row>
    <row r="203" s="799" customFormat="1" ht="12.75" hidden="1" spans="1:42">
      <c r="A203" s="2946">
        <f>UnosPorBilans!S190</f>
        <v>0</v>
      </c>
      <c r="B203" s="2946"/>
      <c r="C203" s="2946"/>
      <c r="D203" s="2946"/>
      <c r="E203" s="2946"/>
      <c r="F203" s="2946"/>
      <c r="G203" s="2946"/>
      <c r="H203" s="2946"/>
      <c r="I203" s="2946"/>
      <c r="J203" s="2946"/>
      <c r="K203" s="2946">
        <f>UnosPorBilans!W190</f>
        <v>0</v>
      </c>
      <c r="L203" s="2946"/>
      <c r="M203" s="2946"/>
      <c r="N203" s="2946"/>
      <c r="O203" s="2946"/>
      <c r="P203" s="2946"/>
      <c r="Q203" s="2946"/>
      <c r="R203" s="2946"/>
      <c r="S203" s="2946"/>
      <c r="T203" s="2946"/>
      <c r="U203" s="2946"/>
      <c r="V203" s="2946">
        <f>UnosPorBilans!AB190</f>
        <v>0</v>
      </c>
      <c r="W203" s="2946"/>
      <c r="X203" s="2946"/>
      <c r="Y203" s="2946"/>
      <c r="Z203" s="2946"/>
      <c r="AA203" s="2946"/>
      <c r="AB203" s="2946"/>
      <c r="AC203" s="2946"/>
      <c r="AD203" s="2946"/>
      <c r="AE203" s="2946"/>
      <c r="AF203" s="2946"/>
      <c r="AG203" s="2946">
        <f>UnosPorBilans!AG190</f>
        <v>0</v>
      </c>
      <c r="AH203" s="2946"/>
      <c r="AI203" s="2946"/>
      <c r="AJ203" s="2946"/>
      <c r="AK203" s="2946"/>
      <c r="AL203" s="2946"/>
      <c r="AM203" s="2946"/>
      <c r="AN203" s="2946"/>
      <c r="AO203" s="2946"/>
      <c r="AP203" s="2946"/>
    </row>
    <row r="204" s="799" customFormat="1" ht="12.75" hidden="1" spans="1:42">
      <c r="A204" s="2947" t="s">
        <v>6920</v>
      </c>
      <c r="B204" s="2947"/>
      <c r="C204" s="2947"/>
      <c r="D204" s="2947"/>
      <c r="E204" s="2947"/>
      <c r="F204" s="2947"/>
      <c r="G204" s="2947"/>
      <c r="H204" s="2947"/>
      <c r="I204" s="2947"/>
      <c r="J204" s="2947"/>
      <c r="K204" s="2947"/>
      <c r="L204" s="2947"/>
      <c r="M204" s="2947"/>
      <c r="N204" s="2947"/>
      <c r="O204" s="2947"/>
      <c r="P204" s="2947"/>
      <c r="Q204" s="2947"/>
      <c r="R204" s="2947"/>
      <c r="S204" s="2947"/>
      <c r="T204" s="2947"/>
      <c r="U204" s="2947"/>
      <c r="V204" s="2947" t="s">
        <v>6921</v>
      </c>
      <c r="W204" s="2947"/>
      <c r="X204" s="2947"/>
      <c r="Y204" s="2947"/>
      <c r="Z204" s="2947"/>
      <c r="AA204" s="2947"/>
      <c r="AB204" s="2947"/>
      <c r="AC204" s="2947"/>
      <c r="AD204" s="2947"/>
      <c r="AE204" s="2947"/>
      <c r="AF204" s="2947"/>
      <c r="AG204" s="2947"/>
      <c r="AH204" s="2947"/>
      <c r="AI204" s="2947"/>
      <c r="AJ204" s="2947"/>
      <c r="AK204" s="2947"/>
      <c r="AL204" s="2947"/>
      <c r="AM204" s="2947"/>
      <c r="AN204" s="2947"/>
      <c r="AO204" s="2947"/>
      <c r="AP204" s="2947"/>
    </row>
    <row r="205" s="799" customFormat="1" ht="12.75" hidden="1" spans="1:42">
      <c r="A205" s="2946">
        <f>UnosPorBilans!AL190</f>
        <v>0</v>
      </c>
      <c r="B205" s="2946"/>
      <c r="C205" s="2946"/>
      <c r="D205" s="2946"/>
      <c r="E205" s="2946"/>
      <c r="F205" s="2946"/>
      <c r="G205" s="2946"/>
      <c r="H205" s="2946"/>
      <c r="I205" s="2946"/>
      <c r="J205" s="2946"/>
      <c r="K205" s="2946"/>
      <c r="L205" s="2946"/>
      <c r="M205" s="2946"/>
      <c r="N205" s="2946"/>
      <c r="O205" s="2946"/>
      <c r="P205" s="2946"/>
      <c r="Q205" s="2946"/>
      <c r="R205" s="2946"/>
      <c r="S205" s="2946"/>
      <c r="T205" s="2946"/>
      <c r="U205" s="2946"/>
      <c r="V205" s="2946">
        <f>UnosPorBilans!AS190</f>
        <v>0</v>
      </c>
      <c r="W205" s="2946"/>
      <c r="X205" s="2946"/>
      <c r="Y205" s="2946"/>
      <c r="Z205" s="2946"/>
      <c r="AA205" s="2946"/>
      <c r="AB205" s="2946"/>
      <c r="AC205" s="2946"/>
      <c r="AD205" s="2946"/>
      <c r="AE205" s="2946"/>
      <c r="AF205" s="2946"/>
      <c r="AG205" s="2946"/>
      <c r="AH205" s="2946"/>
      <c r="AI205" s="2946"/>
      <c r="AJ205" s="2946"/>
      <c r="AK205" s="2946"/>
      <c r="AL205" s="2946"/>
      <c r="AM205" s="2946"/>
      <c r="AN205" s="2946"/>
      <c r="AO205" s="2946"/>
      <c r="AP205" s="2946"/>
    </row>
    <row r="206" s="799" customFormat="1" ht="6.75" hidden="1" customHeight="1"/>
    <row r="207" s="799" customFormat="1" ht="12.75" hidden="1" spans="1:42">
      <c r="A207" s="2944" t="s">
        <v>4211</v>
      </c>
      <c r="B207" s="2944"/>
      <c r="C207" s="2944" t="s">
        <v>6922</v>
      </c>
      <c r="D207" s="2944"/>
      <c r="E207" s="2944"/>
      <c r="F207" s="2944"/>
      <c r="G207" s="2944"/>
      <c r="H207" s="2944"/>
      <c r="I207" s="2944"/>
      <c r="J207" s="2944"/>
      <c r="K207" s="2944"/>
      <c r="L207" s="2944"/>
      <c r="M207" s="2944"/>
      <c r="N207" s="2944"/>
      <c r="O207" s="2944"/>
      <c r="P207" s="2944"/>
      <c r="Q207" s="2944"/>
      <c r="R207" s="2944"/>
      <c r="S207" s="2944"/>
      <c r="T207" s="2944"/>
      <c r="U207" s="2944"/>
      <c r="V207" s="2944" t="s">
        <v>6923</v>
      </c>
      <c r="W207" s="2944"/>
      <c r="X207" s="2944"/>
      <c r="Y207" s="2944"/>
      <c r="Z207" s="2944"/>
      <c r="AA207" s="2944"/>
      <c r="AB207" s="2944"/>
      <c r="AC207" s="2944"/>
      <c r="AD207" s="2944"/>
      <c r="AE207" s="2944"/>
      <c r="AF207" s="2944"/>
      <c r="AG207" s="2944" t="s">
        <v>6924</v>
      </c>
      <c r="AH207" s="2944"/>
      <c r="AI207" s="2944"/>
      <c r="AJ207" s="2944"/>
      <c r="AK207" s="2944"/>
      <c r="AL207" s="2944"/>
      <c r="AM207" s="2944"/>
      <c r="AN207" s="2944"/>
      <c r="AO207" s="2944"/>
      <c r="AP207" s="2944"/>
    </row>
    <row r="208" s="799" customFormat="1" ht="12.75" hidden="1" spans="1:42">
      <c r="A208" s="2945">
        <f>UnosPorBilans!B191</f>
        <v>0</v>
      </c>
      <c r="B208" s="2945"/>
      <c r="C208" s="2945"/>
      <c r="D208" s="2945"/>
      <c r="E208" s="2945"/>
      <c r="F208" s="2945"/>
      <c r="G208" s="2945"/>
      <c r="H208" s="2945"/>
      <c r="I208" s="2945"/>
      <c r="J208" s="2945"/>
      <c r="K208" s="2945"/>
      <c r="L208" s="2945"/>
      <c r="M208" s="2945"/>
      <c r="N208" s="2945"/>
      <c r="O208" s="2945"/>
      <c r="P208" s="2945"/>
      <c r="Q208" s="2945"/>
      <c r="R208" s="2945"/>
      <c r="S208" s="2945"/>
      <c r="T208" s="2945"/>
      <c r="U208" s="2945"/>
      <c r="V208" s="2945">
        <f>UnosPorBilans!I191</f>
        <v>0</v>
      </c>
      <c r="W208" s="2945"/>
      <c r="X208" s="2945"/>
      <c r="Y208" s="2945"/>
      <c r="Z208" s="2945"/>
      <c r="AA208" s="2945"/>
      <c r="AB208" s="2945"/>
      <c r="AC208" s="2945"/>
      <c r="AD208" s="2945"/>
      <c r="AE208" s="2945"/>
      <c r="AF208" s="2945"/>
      <c r="AG208" s="2945">
        <f>UnosPorBilans!N191</f>
        <v>0</v>
      </c>
      <c r="AH208" s="2945"/>
      <c r="AI208" s="2945"/>
      <c r="AJ208" s="2945"/>
      <c r="AK208" s="2945"/>
      <c r="AL208" s="2945"/>
      <c r="AM208" s="2945"/>
      <c r="AN208" s="2945"/>
      <c r="AO208" s="2945"/>
      <c r="AP208" s="2945"/>
    </row>
    <row r="209" s="799" customFormat="1" ht="12.75" hidden="1" spans="1:126">
      <c r="A209" s="2944" t="s">
        <v>6925</v>
      </c>
      <c r="B209" s="2944"/>
      <c r="C209" s="2944"/>
      <c r="D209" s="2944"/>
      <c r="E209" s="2944"/>
      <c r="F209" s="2944"/>
      <c r="G209" s="2944"/>
      <c r="H209" s="2944"/>
      <c r="I209" s="2944"/>
      <c r="J209" s="2944"/>
      <c r="K209" s="2944" t="s">
        <v>6926</v>
      </c>
      <c r="L209" s="2944"/>
      <c r="M209" s="2944"/>
      <c r="N209" s="2944"/>
      <c r="O209" s="2944"/>
      <c r="P209" s="2944"/>
      <c r="Q209" s="2944"/>
      <c r="R209" s="2944"/>
      <c r="S209" s="2944"/>
      <c r="T209" s="2944"/>
      <c r="U209" s="2944"/>
      <c r="V209" s="2944" t="s">
        <v>6927</v>
      </c>
      <c r="W209" s="2944"/>
      <c r="X209" s="2944"/>
      <c r="Y209" s="2944"/>
      <c r="Z209" s="2944"/>
      <c r="AA209" s="2944"/>
      <c r="AB209" s="2944"/>
      <c r="AC209" s="2944"/>
      <c r="AD209" s="2944"/>
      <c r="AE209" s="2944"/>
      <c r="AF209" s="2944"/>
      <c r="AG209" s="2944" t="s">
        <v>6928</v>
      </c>
      <c r="AH209" s="2944"/>
      <c r="AI209" s="2944"/>
      <c r="AJ209" s="2944"/>
      <c r="AK209" s="2944"/>
      <c r="AL209" s="2944"/>
      <c r="AM209" s="2944"/>
      <c r="AN209" s="2944"/>
      <c r="AO209" s="2944"/>
      <c r="AP209" s="2944"/>
    </row>
    <row r="210" s="799" customFormat="1" ht="12.75" hidden="1" spans="1:126">
      <c r="A210" s="2946">
        <f>UnosPorBilans!S191</f>
        <v>0</v>
      </c>
      <c r="B210" s="2946"/>
      <c r="C210" s="2946"/>
      <c r="D210" s="2946"/>
      <c r="E210" s="2946"/>
      <c r="F210" s="2946"/>
      <c r="G210" s="2946"/>
      <c r="H210" s="2946"/>
      <c r="I210" s="2946"/>
      <c r="J210" s="2946"/>
      <c r="K210" s="2946">
        <f>UnosPorBilans!W191</f>
        <v>0</v>
      </c>
      <c r="L210" s="2946"/>
      <c r="M210" s="2946"/>
      <c r="N210" s="2946"/>
      <c r="O210" s="2946"/>
      <c r="P210" s="2946"/>
      <c r="Q210" s="2946"/>
      <c r="R210" s="2946"/>
      <c r="S210" s="2946"/>
      <c r="T210" s="2946"/>
      <c r="U210" s="2946"/>
      <c r="V210" s="2946">
        <f>UnosPorBilans!AB191</f>
        <v>0</v>
      </c>
      <c r="W210" s="2946"/>
      <c r="X210" s="2946"/>
      <c r="Y210" s="2946"/>
      <c r="Z210" s="2946"/>
      <c r="AA210" s="2946"/>
      <c r="AB210" s="2946"/>
      <c r="AC210" s="2946"/>
      <c r="AD210" s="2946"/>
      <c r="AE210" s="2946"/>
      <c r="AF210" s="2946"/>
      <c r="AG210" s="2946">
        <f>UnosPorBilans!AG191</f>
        <v>0</v>
      </c>
      <c r="AH210" s="2946"/>
      <c r="AI210" s="2946"/>
      <c r="AJ210" s="2946"/>
      <c r="AK210" s="2946"/>
      <c r="AL210" s="2946"/>
      <c r="AM210" s="2946"/>
      <c r="AN210" s="2946"/>
      <c r="AO210" s="2946"/>
      <c r="AP210" s="2946"/>
    </row>
    <row r="211" s="799" customFormat="1" ht="12.75" hidden="1" spans="1:126">
      <c r="A211" s="2947" t="s">
        <v>6929</v>
      </c>
      <c r="B211" s="2947"/>
      <c r="C211" s="2947"/>
      <c r="D211" s="2947"/>
      <c r="E211" s="2947"/>
      <c r="F211" s="2947"/>
      <c r="G211" s="2947"/>
      <c r="H211" s="2947"/>
      <c r="I211" s="2947"/>
      <c r="J211" s="2947"/>
      <c r="K211" s="2947"/>
      <c r="L211" s="2947"/>
      <c r="M211" s="2947"/>
      <c r="N211" s="2947"/>
      <c r="O211" s="2947"/>
      <c r="P211" s="2947"/>
      <c r="Q211" s="2947"/>
      <c r="R211" s="2947"/>
      <c r="S211" s="2947"/>
      <c r="T211" s="2947"/>
      <c r="U211" s="2947"/>
      <c r="V211" s="2947" t="s">
        <v>6930</v>
      </c>
      <c r="W211" s="2947"/>
      <c r="X211" s="2947"/>
      <c r="Y211" s="2947"/>
      <c r="Z211" s="2947"/>
      <c r="AA211" s="2947"/>
      <c r="AB211" s="2947"/>
      <c r="AC211" s="2947"/>
      <c r="AD211" s="2947"/>
      <c r="AE211" s="2947"/>
      <c r="AF211" s="2947"/>
      <c r="AG211" s="2947"/>
      <c r="AH211" s="2947"/>
      <c r="AI211" s="2947"/>
      <c r="AJ211" s="2947"/>
      <c r="AK211" s="2947"/>
      <c r="AL211" s="2947"/>
      <c r="AM211" s="2947"/>
      <c r="AN211" s="2947"/>
      <c r="AO211" s="2947"/>
      <c r="AP211" s="2947"/>
    </row>
    <row r="212" s="799" customFormat="1" ht="12.75" hidden="1" spans="1:126">
      <c r="A212" s="2946">
        <f>UnosPorBilans!AL191</f>
        <v>0</v>
      </c>
      <c r="B212" s="2946"/>
      <c r="C212" s="2946"/>
      <c r="D212" s="2946"/>
      <c r="E212" s="2946"/>
      <c r="F212" s="2946"/>
      <c r="G212" s="2946"/>
      <c r="H212" s="2946"/>
      <c r="I212" s="2946"/>
      <c r="J212" s="2946"/>
      <c r="K212" s="2946"/>
      <c r="L212" s="2946"/>
      <c r="M212" s="2946"/>
      <c r="N212" s="2946"/>
      <c r="O212" s="2946"/>
      <c r="P212" s="2946"/>
      <c r="Q212" s="2946"/>
      <c r="R212" s="2946"/>
      <c r="S212" s="2946"/>
      <c r="T212" s="2946"/>
      <c r="U212" s="2946"/>
      <c r="V212" s="2946">
        <f>UnosPorBilans!AS191</f>
        <v>0</v>
      </c>
      <c r="W212" s="2946"/>
      <c r="X212" s="2946"/>
      <c r="Y212" s="2946"/>
      <c r="Z212" s="2946"/>
      <c r="AA212" s="2946"/>
      <c r="AB212" s="2946"/>
      <c r="AC212" s="2946"/>
      <c r="AD212" s="2946"/>
      <c r="AE212" s="2946"/>
      <c r="AF212" s="2946"/>
      <c r="AG212" s="2946"/>
      <c r="AH212" s="2946"/>
      <c r="AI212" s="2946"/>
      <c r="AJ212" s="2946"/>
      <c r="AK212" s="2946"/>
      <c r="AL212" s="2946"/>
      <c r="AM212" s="2946"/>
      <c r="AN212" s="2946"/>
      <c r="AO212" s="2946"/>
      <c r="AP212" s="2946"/>
    </row>
    <row r="213" s="799" customFormat="1" ht="7.5" hidden="1" customHeight="1"/>
    <row r="214" s="799" customFormat="1" ht="12.75" hidden="1" spans="1:126">
      <c r="A214" s="2944" t="s">
        <v>4213</v>
      </c>
      <c r="B214" s="2944"/>
      <c r="C214" s="2944" t="s">
        <v>6931</v>
      </c>
      <c r="D214" s="2944"/>
      <c r="E214" s="2944"/>
      <c r="F214" s="2944"/>
      <c r="G214" s="2944"/>
      <c r="H214" s="2944"/>
      <c r="I214" s="2944"/>
      <c r="J214" s="2944"/>
      <c r="K214" s="2944"/>
      <c r="L214" s="2944"/>
      <c r="M214" s="2944"/>
      <c r="N214" s="2944"/>
      <c r="O214" s="2944"/>
      <c r="P214" s="2944"/>
      <c r="Q214" s="2944"/>
      <c r="R214" s="2944"/>
      <c r="S214" s="2944"/>
      <c r="T214" s="2944"/>
      <c r="U214" s="2944"/>
      <c r="V214" s="2944" t="s">
        <v>6932</v>
      </c>
      <c r="W214" s="2944"/>
      <c r="X214" s="2944"/>
      <c r="Y214" s="2944"/>
      <c r="Z214" s="2944"/>
      <c r="AA214" s="2944"/>
      <c r="AB214" s="2944"/>
      <c r="AC214" s="2944"/>
      <c r="AD214" s="2944"/>
      <c r="AE214" s="2944"/>
      <c r="AF214" s="2944"/>
      <c r="AG214" s="2944" t="s">
        <v>6933</v>
      </c>
      <c r="AH214" s="2944"/>
      <c r="AI214" s="2944"/>
      <c r="AJ214" s="2944"/>
      <c r="AK214" s="2944"/>
      <c r="AL214" s="2944"/>
      <c r="AM214" s="2944"/>
      <c r="AN214" s="2944"/>
      <c r="AO214" s="2944"/>
      <c r="AP214" s="2944"/>
    </row>
    <row r="215" s="799" customFormat="1" ht="12.75" hidden="1" spans="1:126">
      <c r="A215" s="2945">
        <f>UnosPorBilans!B192</f>
        <v>0</v>
      </c>
      <c r="B215" s="2945"/>
      <c r="C215" s="2945"/>
      <c r="D215" s="2945"/>
      <c r="E215" s="2945"/>
      <c r="F215" s="2945"/>
      <c r="G215" s="2945"/>
      <c r="H215" s="2945"/>
      <c r="I215" s="2945"/>
      <c r="J215" s="2945"/>
      <c r="K215" s="2945"/>
      <c r="L215" s="2945"/>
      <c r="M215" s="2945"/>
      <c r="N215" s="2945"/>
      <c r="O215" s="2945"/>
      <c r="P215" s="2945"/>
      <c r="Q215" s="2945"/>
      <c r="R215" s="2945"/>
      <c r="S215" s="2945"/>
      <c r="T215" s="2945"/>
      <c r="U215" s="2945"/>
      <c r="V215" s="2945">
        <f>UnosPorBilans!I192</f>
        <v>0</v>
      </c>
      <c r="W215" s="2945"/>
      <c r="X215" s="2945"/>
      <c r="Y215" s="2945"/>
      <c r="Z215" s="2945"/>
      <c r="AA215" s="2945"/>
      <c r="AB215" s="2945"/>
      <c r="AC215" s="2945"/>
      <c r="AD215" s="2945"/>
      <c r="AE215" s="2945"/>
      <c r="AF215" s="2945"/>
      <c r="AG215" s="2945">
        <f>UnosPorBilans!N192</f>
        <v>0</v>
      </c>
      <c r="AH215" s="2945"/>
      <c r="AI215" s="2945"/>
      <c r="AJ215" s="2945"/>
      <c r="AK215" s="2945"/>
      <c r="AL215" s="2945"/>
      <c r="AM215" s="2945"/>
      <c r="AN215" s="2945"/>
      <c r="AO215" s="2945"/>
      <c r="AP215" s="2945"/>
    </row>
    <row r="216" s="799" customFormat="1" ht="12.75" hidden="1" spans="1:126">
      <c r="A216" s="2944" t="s">
        <v>6934</v>
      </c>
      <c r="B216" s="2944"/>
      <c r="C216" s="2944"/>
      <c r="D216" s="2944"/>
      <c r="E216" s="2944"/>
      <c r="F216" s="2944"/>
      <c r="G216" s="2944"/>
      <c r="H216" s="2944"/>
      <c r="I216" s="2944"/>
      <c r="J216" s="2944"/>
      <c r="K216" s="2944" t="s">
        <v>6935</v>
      </c>
      <c r="L216" s="2944"/>
      <c r="M216" s="2944"/>
      <c r="N216" s="2944"/>
      <c r="O216" s="2944"/>
      <c r="P216" s="2944"/>
      <c r="Q216" s="2944"/>
      <c r="R216" s="2944"/>
      <c r="S216" s="2944"/>
      <c r="T216" s="2944"/>
      <c r="U216" s="2944"/>
      <c r="V216" s="2944" t="s">
        <v>6936</v>
      </c>
      <c r="W216" s="2944"/>
      <c r="X216" s="2944"/>
      <c r="Y216" s="2944"/>
      <c r="Z216" s="2944"/>
      <c r="AA216" s="2944"/>
      <c r="AB216" s="2944"/>
      <c r="AC216" s="2944"/>
      <c r="AD216" s="2944"/>
      <c r="AE216" s="2944"/>
      <c r="AF216" s="2944"/>
      <c r="AG216" s="2944" t="s">
        <v>6937</v>
      </c>
      <c r="AH216" s="2944"/>
      <c r="AI216" s="2944"/>
      <c r="AJ216" s="2944"/>
      <c r="AK216" s="2944"/>
      <c r="AL216" s="2944"/>
      <c r="AM216" s="2944"/>
      <c r="AN216" s="2944"/>
      <c r="AO216" s="2944"/>
      <c r="AP216" s="2944"/>
    </row>
    <row r="217" s="799" customFormat="1" ht="12.75" hidden="1" spans="1:126">
      <c r="A217" s="2946">
        <f>UnosPorBilans!S192</f>
        <v>0</v>
      </c>
      <c r="B217" s="2946"/>
      <c r="C217" s="2946"/>
      <c r="D217" s="2946"/>
      <c r="E217" s="2946"/>
      <c r="F217" s="2946"/>
      <c r="G217" s="2946"/>
      <c r="H217" s="2946"/>
      <c r="I217" s="2946"/>
      <c r="J217" s="2946"/>
      <c r="K217" s="2946">
        <f>UnosPorBilans!W192</f>
        <v>0</v>
      </c>
      <c r="L217" s="2946"/>
      <c r="M217" s="2946"/>
      <c r="N217" s="2946"/>
      <c r="O217" s="2946"/>
      <c r="P217" s="2946"/>
      <c r="Q217" s="2946"/>
      <c r="R217" s="2946"/>
      <c r="S217" s="2946"/>
      <c r="T217" s="2946"/>
      <c r="U217" s="2946"/>
      <c r="V217" s="2946">
        <f>UnosPorBilans!AB192</f>
        <v>0</v>
      </c>
      <c r="W217" s="2946"/>
      <c r="X217" s="2946"/>
      <c r="Y217" s="2946"/>
      <c r="Z217" s="2946"/>
      <c r="AA217" s="2946"/>
      <c r="AB217" s="2946"/>
      <c r="AC217" s="2946"/>
      <c r="AD217" s="2946"/>
      <c r="AE217" s="2946"/>
      <c r="AF217" s="2946"/>
      <c r="AG217" s="2946">
        <f>UnosPorBilans!AG192</f>
        <v>0</v>
      </c>
      <c r="AH217" s="2946"/>
      <c r="AI217" s="2946"/>
      <c r="AJ217" s="2946"/>
      <c r="AK217" s="2946"/>
      <c r="AL217" s="2946"/>
      <c r="AM217" s="2946"/>
      <c r="AN217" s="2946"/>
      <c r="AO217" s="2946"/>
      <c r="AP217" s="2946"/>
    </row>
    <row r="218" s="799" customFormat="1" ht="12.75" hidden="1" spans="1:126">
      <c r="A218" s="2947" t="s">
        <v>6938</v>
      </c>
      <c r="B218" s="2947"/>
      <c r="C218" s="2947"/>
      <c r="D218" s="2947"/>
      <c r="E218" s="2947"/>
      <c r="F218" s="2947"/>
      <c r="G218" s="2947"/>
      <c r="H218" s="2947"/>
      <c r="I218" s="2947"/>
      <c r="J218" s="2947"/>
      <c r="K218" s="2947"/>
      <c r="L218" s="2947"/>
      <c r="M218" s="2947"/>
      <c r="N218" s="2947"/>
      <c r="O218" s="2947"/>
      <c r="P218" s="2947"/>
      <c r="Q218" s="2947"/>
      <c r="R218" s="2947"/>
      <c r="S218" s="2947"/>
      <c r="T218" s="2947"/>
      <c r="U218" s="2947"/>
      <c r="V218" s="2947" t="s">
        <v>6939</v>
      </c>
      <c r="W218" s="2947"/>
      <c r="X218" s="2947"/>
      <c r="Y218" s="2947"/>
      <c r="Z218" s="2947"/>
      <c r="AA218" s="2947"/>
      <c r="AB218" s="2947"/>
      <c r="AC218" s="2947"/>
      <c r="AD218" s="2947"/>
      <c r="AE218" s="2947"/>
      <c r="AF218" s="2947"/>
      <c r="AG218" s="2947"/>
      <c r="AH218" s="2947"/>
      <c r="AI218" s="2947"/>
      <c r="AJ218" s="2947"/>
      <c r="AK218" s="2947"/>
      <c r="AL218" s="2947"/>
      <c r="AM218" s="2947"/>
      <c r="AN218" s="2947"/>
      <c r="AO218" s="2947"/>
      <c r="AP218" s="2947"/>
    </row>
    <row r="219" s="799" customFormat="1" ht="12.75" hidden="1" spans="1:126">
      <c r="A219" s="2946">
        <f>UnosPorBilans!AL192</f>
        <v>0</v>
      </c>
      <c r="B219" s="2946"/>
      <c r="C219" s="2946"/>
      <c r="D219" s="2946"/>
      <c r="E219" s="2946"/>
      <c r="F219" s="2946"/>
      <c r="G219" s="2946"/>
      <c r="H219" s="2946"/>
      <c r="I219" s="2946"/>
      <c r="J219" s="2946"/>
      <c r="K219" s="2946"/>
      <c r="L219" s="2946"/>
      <c r="M219" s="2946"/>
      <c r="N219" s="2946"/>
      <c r="O219" s="2946"/>
      <c r="P219" s="2946"/>
      <c r="Q219" s="2946"/>
      <c r="R219" s="2946"/>
      <c r="S219" s="2946"/>
      <c r="T219" s="2946"/>
      <c r="U219" s="2946"/>
      <c r="V219" s="2946">
        <f>UnosPorBilans!AS192</f>
        <v>0</v>
      </c>
      <c r="W219" s="2946"/>
      <c r="X219" s="2946"/>
      <c r="Y219" s="2946"/>
      <c r="Z219" s="2946"/>
      <c r="AA219" s="2946"/>
      <c r="AB219" s="2946"/>
      <c r="AC219" s="2946"/>
      <c r="AD219" s="2946"/>
      <c r="AE219" s="2946"/>
      <c r="AF219" s="2946"/>
      <c r="AG219" s="2946"/>
      <c r="AH219" s="2946"/>
      <c r="AI219" s="2946"/>
      <c r="AJ219" s="2946"/>
      <c r="AK219" s="2946"/>
      <c r="AL219" s="2946"/>
      <c r="AM219" s="2946"/>
      <c r="AN219" s="2946"/>
      <c r="AO219" s="2946"/>
      <c r="AP219" s="2946"/>
    </row>
    <row r="220" s="799" customFormat="1" ht="6.75" hidden="1" customHeight="1"/>
    <row r="221" s="799" customFormat="1" ht="14.25" hidden="1" customHeight="1" spans="1:126">
      <c r="A221" s="2952" t="s">
        <v>4214</v>
      </c>
      <c r="B221" s="2952"/>
      <c r="C221" s="2952" t="s">
        <v>6940</v>
      </c>
      <c r="D221" s="2952"/>
      <c r="E221" s="2952"/>
      <c r="F221" s="2952"/>
      <c r="G221" s="2952"/>
      <c r="H221" s="2952"/>
      <c r="I221" s="2952"/>
      <c r="J221" s="2952"/>
      <c r="K221" s="2952"/>
      <c r="L221" s="2952"/>
      <c r="M221" s="2952"/>
      <c r="N221" s="2952"/>
      <c r="O221" s="2952"/>
      <c r="P221" s="2952"/>
      <c r="Q221" s="2952"/>
      <c r="R221" s="2952"/>
      <c r="S221" s="2952"/>
      <c r="T221" s="2952"/>
      <c r="U221" s="2952"/>
      <c r="V221" s="2952" t="s">
        <v>6941</v>
      </c>
      <c r="W221" s="2952"/>
      <c r="X221" s="2952"/>
      <c r="Y221" s="2952"/>
      <c r="Z221" s="2952"/>
      <c r="AA221" s="2952"/>
      <c r="AB221" s="2952"/>
      <c r="AC221" s="2952"/>
      <c r="AD221" s="2952"/>
      <c r="AE221" s="2952"/>
      <c r="AF221" s="2952"/>
      <c r="AG221" s="2952" t="s">
        <v>6942</v>
      </c>
      <c r="AH221" s="2952"/>
      <c r="AI221" s="2952"/>
      <c r="AJ221" s="2952"/>
      <c r="AK221" s="2952"/>
      <c r="AL221" s="2952"/>
      <c r="AM221" s="2952"/>
      <c r="AN221" s="2952"/>
      <c r="AO221" s="2952"/>
      <c r="AP221" s="2952"/>
    </row>
    <row r="222" s="799" customFormat="1" ht="14.25" hidden="1" customHeight="1" spans="1:126">
      <c r="A222" s="2953">
        <f>UnosPorBilans!B193</f>
        <v>0</v>
      </c>
      <c r="B222" s="2953"/>
      <c r="C222" s="2953"/>
      <c r="D222" s="2953"/>
      <c r="E222" s="2953"/>
      <c r="F222" s="2953"/>
      <c r="G222" s="2953"/>
      <c r="H222" s="2953"/>
      <c r="I222" s="2953"/>
      <c r="J222" s="2953"/>
      <c r="K222" s="2953"/>
      <c r="L222" s="2953"/>
      <c r="M222" s="2953"/>
      <c r="N222" s="2953"/>
      <c r="O222" s="2953"/>
      <c r="P222" s="2953"/>
      <c r="Q222" s="2953"/>
      <c r="R222" s="2953"/>
      <c r="S222" s="2953"/>
      <c r="T222" s="2953"/>
      <c r="U222" s="2953"/>
      <c r="V222" s="2953">
        <f>UnosPorBilans!I193</f>
        <v>0</v>
      </c>
      <c r="W222" s="2953"/>
      <c r="X222" s="2953"/>
      <c r="Y222" s="2953"/>
      <c r="Z222" s="2953"/>
      <c r="AA222" s="2953"/>
      <c r="AB222" s="2953"/>
      <c r="AC222" s="2953"/>
      <c r="AD222" s="2953"/>
      <c r="AE222" s="2953"/>
      <c r="AF222" s="2953"/>
      <c r="AG222" s="2953">
        <f>UnosPorBilans!N193</f>
        <v>0</v>
      </c>
      <c r="AH222" s="2953"/>
      <c r="AI222" s="2953"/>
      <c r="AJ222" s="2953"/>
      <c r="AK222" s="2953"/>
      <c r="AL222" s="2953"/>
      <c r="AM222" s="2953"/>
      <c r="AN222" s="2953"/>
      <c r="AO222" s="2953"/>
      <c r="AP222" s="2953"/>
    </row>
    <row r="223" s="799" customFormat="1" ht="14.25" hidden="1" customHeight="1" spans="1:126">
      <c r="A223" s="2952" t="s">
        <v>6943</v>
      </c>
      <c r="B223" s="2952"/>
      <c r="C223" s="2952"/>
      <c r="D223" s="2952"/>
      <c r="E223" s="2952"/>
      <c r="F223" s="2952"/>
      <c r="G223" s="2952"/>
      <c r="H223" s="2952"/>
      <c r="I223" s="2952"/>
      <c r="J223" s="2952"/>
      <c r="K223" s="2952" t="s">
        <v>6944</v>
      </c>
      <c r="L223" s="2952"/>
      <c r="M223" s="2952"/>
      <c r="N223" s="2952"/>
      <c r="O223" s="2952"/>
      <c r="P223" s="2952"/>
      <c r="Q223" s="2952"/>
      <c r="R223" s="2952"/>
      <c r="S223" s="2952"/>
      <c r="T223" s="2952"/>
      <c r="U223" s="2952"/>
      <c r="V223" s="2952" t="s">
        <v>6945</v>
      </c>
      <c r="W223" s="2952"/>
      <c r="X223" s="2952"/>
      <c r="Y223" s="2952"/>
      <c r="Z223" s="2952"/>
      <c r="AA223" s="2952"/>
      <c r="AB223" s="2952"/>
      <c r="AC223" s="2952"/>
      <c r="AD223" s="2952"/>
      <c r="AE223" s="2952"/>
      <c r="AF223" s="2952"/>
      <c r="AG223" s="2952" t="s">
        <v>6946</v>
      </c>
      <c r="AH223" s="2952"/>
      <c r="AI223" s="2952"/>
      <c r="AJ223" s="2952"/>
      <c r="AK223" s="2952"/>
      <c r="AL223" s="2952"/>
      <c r="AM223" s="2952"/>
      <c r="AN223" s="2952"/>
      <c r="AO223" s="2952"/>
      <c r="AP223" s="2952"/>
      <c r="CG223" s="2954"/>
      <c r="CH223" s="2954"/>
      <c r="CI223" s="2954"/>
      <c r="CJ223" s="2954"/>
      <c r="CK223" s="2954"/>
      <c r="CL223" s="2954"/>
      <c r="CM223" s="2954"/>
      <c r="CN223" s="2954"/>
      <c r="CO223" s="2954"/>
      <c r="CP223" s="2954"/>
      <c r="CQ223" s="2954"/>
      <c r="CR223" s="2954"/>
      <c r="CS223" s="2954"/>
      <c r="CT223" s="2954"/>
      <c r="CU223" s="2954"/>
      <c r="CV223" s="2954"/>
      <c r="CW223" s="2954"/>
      <c r="CX223" s="2954"/>
      <c r="CY223" s="2954"/>
      <c r="CZ223" s="2954"/>
      <c r="DA223" s="2954"/>
      <c r="DB223" s="2954"/>
      <c r="DC223" s="2954"/>
      <c r="DD223" s="2954"/>
      <c r="DE223" s="2954"/>
      <c r="DF223" s="2954"/>
      <c r="DG223" s="2954"/>
      <c r="DH223" s="2954"/>
      <c r="DI223" s="2954"/>
      <c r="DJ223" s="2954"/>
      <c r="DK223" s="2954"/>
      <c r="DL223" s="2954"/>
      <c r="DM223" s="2954"/>
      <c r="DN223" s="2954"/>
      <c r="DO223" s="2954"/>
      <c r="DP223" s="2954"/>
      <c r="DQ223" s="2954"/>
      <c r="DR223" s="2954"/>
      <c r="DS223" s="2954"/>
      <c r="DT223" s="2954"/>
      <c r="DU223" s="2954"/>
      <c r="DV223" s="2954"/>
    </row>
    <row r="224" s="799" customFormat="1" ht="14.25" hidden="1" customHeight="1" spans="1:126">
      <c r="A224" s="2953">
        <f>UnosPorBilans!S193</f>
        <v>0</v>
      </c>
      <c r="B224" s="2953"/>
      <c r="C224" s="2953"/>
      <c r="D224" s="2953"/>
      <c r="E224" s="2953"/>
      <c r="F224" s="2953"/>
      <c r="G224" s="2953"/>
      <c r="H224" s="2953"/>
      <c r="I224" s="2953"/>
      <c r="J224" s="2953"/>
      <c r="K224" s="2953">
        <f>UnosPorBilans!W193</f>
        <v>0</v>
      </c>
      <c r="L224" s="2953"/>
      <c r="M224" s="2953"/>
      <c r="N224" s="2953"/>
      <c r="O224" s="2953"/>
      <c r="P224" s="2953"/>
      <c r="Q224" s="2953"/>
      <c r="R224" s="2953"/>
      <c r="S224" s="2953"/>
      <c r="T224" s="2953"/>
      <c r="U224" s="2953"/>
      <c r="V224" s="2953">
        <f>UnosPorBilans!AB193</f>
        <v>0</v>
      </c>
      <c r="W224" s="2953"/>
      <c r="X224" s="2953"/>
      <c r="Y224" s="2953"/>
      <c r="Z224" s="2953"/>
      <c r="AA224" s="2953"/>
      <c r="AB224" s="2953"/>
      <c r="AC224" s="2953"/>
      <c r="AD224" s="2953"/>
      <c r="AE224" s="2953"/>
      <c r="AF224" s="2953"/>
      <c r="AG224" s="2953">
        <f>UnosPorBilans!AG193</f>
        <v>0</v>
      </c>
      <c r="AH224" s="2953"/>
      <c r="AI224" s="2953"/>
      <c r="AJ224" s="2953"/>
      <c r="AK224" s="2953"/>
      <c r="AL224" s="2953"/>
      <c r="AM224" s="2953"/>
      <c r="AN224" s="2953"/>
      <c r="AO224" s="2953"/>
      <c r="AP224" s="2953"/>
      <c r="CG224" s="2954"/>
      <c r="CH224" s="2954"/>
      <c r="CI224" s="2954"/>
      <c r="CJ224" s="2954"/>
      <c r="CK224" s="2954"/>
      <c r="CL224" s="2954"/>
      <c r="CM224" s="2954"/>
      <c r="CN224" s="2954"/>
      <c r="CO224" s="2954"/>
      <c r="CP224" s="2954"/>
      <c r="CQ224" s="2954"/>
      <c r="CR224" s="2954"/>
      <c r="CS224" s="2954"/>
      <c r="CT224" s="2954"/>
      <c r="CU224" s="2954"/>
      <c r="CV224" s="2954"/>
      <c r="CW224" s="2954"/>
      <c r="CX224" s="2954"/>
      <c r="CY224" s="2954"/>
      <c r="CZ224" s="2954"/>
      <c r="DA224" s="2954"/>
      <c r="DB224" s="2954"/>
      <c r="DC224" s="2954"/>
      <c r="DD224" s="2954"/>
      <c r="DE224" s="2954"/>
      <c r="DF224" s="2954"/>
      <c r="DG224" s="2954"/>
      <c r="DH224" s="2954"/>
      <c r="DI224" s="2954"/>
      <c r="DJ224" s="2954"/>
      <c r="DK224" s="2954"/>
      <c r="DL224" s="2954"/>
      <c r="DM224" s="2954"/>
      <c r="DN224" s="2954"/>
      <c r="DO224" s="2954"/>
      <c r="DP224" s="2954"/>
      <c r="DQ224" s="2954"/>
      <c r="DR224" s="2954"/>
      <c r="DS224" s="2954"/>
      <c r="DT224" s="2954"/>
      <c r="DU224" s="2954"/>
      <c r="DV224" s="2954"/>
    </row>
    <row r="225" s="799" customFormat="1" ht="14.25" hidden="1" customHeight="1" spans="1:126">
      <c r="A225" s="2952" t="s">
        <v>6947</v>
      </c>
      <c r="B225" s="2952"/>
      <c r="C225" s="2952"/>
      <c r="D225" s="2952"/>
      <c r="E225" s="2952"/>
      <c r="F225" s="2952"/>
      <c r="G225" s="2952"/>
      <c r="H225" s="2952"/>
      <c r="I225" s="2952"/>
      <c r="J225" s="2952"/>
      <c r="K225" s="2952"/>
      <c r="L225" s="2952"/>
      <c r="M225" s="2952"/>
      <c r="N225" s="2952"/>
      <c r="O225" s="2952"/>
      <c r="P225" s="2952"/>
      <c r="Q225" s="2952"/>
      <c r="R225" s="2952"/>
      <c r="S225" s="2952"/>
      <c r="T225" s="2952"/>
      <c r="U225" s="2952"/>
      <c r="V225" s="2952" t="s">
        <v>6948</v>
      </c>
      <c r="W225" s="2952"/>
      <c r="X225" s="2952"/>
      <c r="Y225" s="2952"/>
      <c r="Z225" s="2952"/>
      <c r="AA225" s="2952"/>
      <c r="AB225" s="2952"/>
      <c r="AC225" s="2952"/>
      <c r="AD225" s="2952"/>
      <c r="AE225" s="2952"/>
      <c r="AF225" s="2952"/>
      <c r="AG225" s="2952"/>
      <c r="AH225" s="2952"/>
      <c r="AI225" s="2952"/>
      <c r="AJ225" s="2952"/>
      <c r="AK225" s="2952"/>
      <c r="AL225" s="2952"/>
      <c r="AM225" s="2952"/>
      <c r="AN225" s="2952"/>
      <c r="AO225" s="2952"/>
      <c r="AP225" s="2952"/>
      <c r="AQ225" s="2954"/>
      <c r="AR225" s="2954"/>
      <c r="AS225" s="2954"/>
      <c r="AT225" s="2954"/>
      <c r="AU225" s="2954"/>
      <c r="AV225" s="2954"/>
      <c r="AW225" s="2954"/>
      <c r="AX225" s="2954"/>
      <c r="AY225" s="2954"/>
      <c r="AZ225" s="2954"/>
      <c r="BA225" s="2954"/>
      <c r="BB225" s="2954"/>
      <c r="BC225" s="2954"/>
      <c r="BD225" s="2954"/>
      <c r="BE225" s="2954"/>
      <c r="BF225" s="2954"/>
      <c r="BG225" s="2954"/>
      <c r="BH225" s="2954"/>
      <c r="BI225" s="2954"/>
      <c r="BJ225" s="2954"/>
      <c r="BK225" s="2954"/>
      <c r="BL225" s="2954"/>
      <c r="BM225" s="2954"/>
      <c r="BN225" s="2954"/>
      <c r="BO225" s="2954"/>
      <c r="BP225" s="2954"/>
      <c r="BQ225" s="2954"/>
      <c r="BR225" s="2954"/>
      <c r="BS225" s="2954"/>
      <c r="BT225" s="2954"/>
      <c r="BU225" s="2954"/>
      <c r="BV225" s="2954"/>
      <c r="BW225" s="2954"/>
      <c r="BX225" s="2954"/>
      <c r="BY225" s="2954"/>
      <c r="BZ225" s="2954"/>
      <c r="CA225" s="2954"/>
      <c r="CB225" s="2954"/>
      <c r="CC225" s="2954"/>
      <c r="CD225" s="2954"/>
      <c r="CE225" s="2954"/>
      <c r="CF225" s="2954"/>
      <c r="CG225" s="2954"/>
      <c r="CH225" s="2954"/>
      <c r="CI225" s="2954"/>
      <c r="CJ225" s="2954"/>
      <c r="CK225" s="2954"/>
      <c r="CL225" s="2954"/>
      <c r="CM225" s="2954"/>
      <c r="CN225" s="2954"/>
      <c r="CO225" s="2954"/>
      <c r="CP225" s="2954"/>
      <c r="CQ225" s="2954"/>
      <c r="CR225" s="2954"/>
      <c r="CS225" s="2954"/>
      <c r="CT225" s="2954"/>
      <c r="CU225" s="2954"/>
      <c r="CV225" s="2954"/>
      <c r="CW225" s="2954"/>
      <c r="CX225" s="2954"/>
      <c r="CY225" s="2954"/>
      <c r="CZ225" s="2954"/>
      <c r="DA225" s="2954"/>
      <c r="DB225" s="2954"/>
      <c r="DC225" s="2954"/>
      <c r="DD225" s="2954"/>
      <c r="DE225" s="2954"/>
      <c r="DF225" s="2954"/>
      <c r="DG225" s="2954"/>
      <c r="DH225" s="2954"/>
      <c r="DI225" s="2954"/>
      <c r="DJ225" s="2954"/>
      <c r="DK225" s="2954"/>
      <c r="DL225" s="2954"/>
      <c r="DM225" s="2954"/>
      <c r="DN225" s="2954"/>
      <c r="DO225" s="2954"/>
      <c r="DP225" s="2954"/>
      <c r="DQ225" s="2954"/>
      <c r="DR225" s="2954"/>
      <c r="DS225" s="2954"/>
      <c r="DT225" s="2954"/>
      <c r="DU225" s="2954"/>
      <c r="DV225" s="2954"/>
    </row>
    <row r="226" s="799" customFormat="1" ht="14.25" hidden="1" customHeight="1" spans="1:126">
      <c r="A226" s="2955">
        <f>UnosPorBilans!AL193</f>
        <v>0</v>
      </c>
      <c r="B226" s="2955"/>
      <c r="C226" s="2955"/>
      <c r="D226" s="2955"/>
      <c r="E226" s="2955"/>
      <c r="F226" s="2955"/>
      <c r="G226" s="2955"/>
      <c r="H226" s="2955"/>
      <c r="I226" s="2955"/>
      <c r="J226" s="2955"/>
      <c r="K226" s="2955"/>
      <c r="L226" s="2955"/>
      <c r="M226" s="2955"/>
      <c r="N226" s="2955"/>
      <c r="O226" s="2955"/>
      <c r="P226" s="2955"/>
      <c r="Q226" s="2955"/>
      <c r="R226" s="2955"/>
      <c r="S226" s="2955"/>
      <c r="T226" s="2955"/>
      <c r="U226" s="2955"/>
      <c r="V226" s="2955">
        <f>UnosPorBilans!AS193</f>
        <v>0</v>
      </c>
      <c r="W226" s="2955"/>
      <c r="X226" s="2955"/>
      <c r="Y226" s="2955"/>
      <c r="Z226" s="2955"/>
      <c r="AA226" s="2955"/>
      <c r="AB226" s="2955"/>
      <c r="AC226" s="2955"/>
      <c r="AD226" s="2955"/>
      <c r="AE226" s="2955"/>
      <c r="AF226" s="2955"/>
      <c r="AG226" s="2955"/>
      <c r="AH226" s="2955"/>
      <c r="AI226" s="2955"/>
      <c r="AJ226" s="2955"/>
      <c r="AK226" s="2955"/>
      <c r="AL226" s="2955"/>
      <c r="AM226" s="2955"/>
      <c r="AN226" s="2955"/>
      <c r="AO226" s="2955"/>
      <c r="AP226" s="2955"/>
      <c r="AQ226" s="2954"/>
      <c r="AR226" s="2954"/>
      <c r="AS226" s="2954"/>
      <c r="AT226" s="2954"/>
      <c r="AU226" s="2954"/>
      <c r="AV226" s="2954"/>
      <c r="AW226" s="2954"/>
      <c r="AX226" s="2954"/>
      <c r="AY226" s="2954"/>
      <c r="AZ226" s="2954"/>
      <c r="BA226" s="2954"/>
      <c r="BB226" s="2954"/>
      <c r="BC226" s="2954"/>
      <c r="BD226" s="2954"/>
      <c r="BE226" s="2954"/>
      <c r="BF226" s="2954"/>
      <c r="BG226" s="2954"/>
      <c r="BH226" s="2954"/>
      <c r="BI226" s="2954"/>
      <c r="BJ226" s="2954"/>
      <c r="BK226" s="2954"/>
      <c r="BL226" s="2954"/>
      <c r="BM226" s="2954"/>
      <c r="BN226" s="2954"/>
      <c r="BO226" s="2954"/>
      <c r="BP226" s="2954"/>
      <c r="BQ226" s="2954"/>
      <c r="BR226" s="2954"/>
      <c r="BS226" s="2954"/>
      <c r="BT226" s="2954"/>
      <c r="BU226" s="2954"/>
      <c r="BV226" s="2954"/>
      <c r="BW226" s="2954"/>
      <c r="BX226" s="2954"/>
      <c r="BY226" s="2954"/>
      <c r="BZ226" s="2954"/>
      <c r="CA226" s="2954"/>
      <c r="CB226" s="2954"/>
      <c r="CC226" s="2954"/>
      <c r="CD226" s="2954"/>
      <c r="CE226" s="2954"/>
      <c r="CF226" s="2954"/>
      <c r="CG226" s="2954"/>
      <c r="CH226" s="2954"/>
      <c r="CI226" s="2954"/>
      <c r="CJ226" s="2954"/>
      <c r="CK226" s="2954"/>
      <c r="CL226" s="2954"/>
      <c r="CM226" s="2954"/>
      <c r="CN226" s="2954"/>
      <c r="CO226" s="2954"/>
      <c r="CP226" s="2954"/>
      <c r="CQ226" s="2954"/>
      <c r="CR226" s="2954"/>
      <c r="CS226" s="2954"/>
      <c r="CT226" s="2954"/>
      <c r="CU226" s="2954"/>
      <c r="CV226" s="2954"/>
      <c r="CW226" s="2954"/>
      <c r="CX226" s="2954"/>
      <c r="CY226" s="2954"/>
      <c r="CZ226" s="2954"/>
      <c r="DA226" s="2954"/>
      <c r="DB226" s="2954"/>
      <c r="DC226" s="2954"/>
      <c r="DD226" s="2954"/>
      <c r="DE226" s="2954"/>
      <c r="DF226" s="2954"/>
      <c r="DG226" s="2954"/>
      <c r="DH226" s="2954"/>
      <c r="DI226" s="2954"/>
      <c r="DJ226" s="2954"/>
      <c r="DK226" s="2954"/>
      <c r="DL226" s="2954"/>
      <c r="DM226" s="2954"/>
      <c r="DN226" s="2954"/>
      <c r="DO226" s="2954"/>
      <c r="DP226" s="2954"/>
      <c r="DQ226" s="2954"/>
      <c r="DR226" s="2954"/>
      <c r="DS226" s="2954"/>
      <c r="DT226" s="2954"/>
      <c r="DU226" s="2954"/>
      <c r="DV226" s="2954"/>
    </row>
    <row r="227" s="799" customFormat="1" ht="14.25" hidden="1" customHeight="1" spans="1:126">
      <c r="A227" s="2954"/>
      <c r="B227" s="2954"/>
      <c r="C227" s="2954"/>
      <c r="D227" s="2954"/>
      <c r="E227" s="2954"/>
      <c r="F227" s="2954"/>
      <c r="G227" s="2954"/>
      <c r="H227" s="2954"/>
      <c r="I227" s="2954"/>
      <c r="J227" s="2954"/>
      <c r="K227" s="2954"/>
      <c r="L227" s="2954"/>
      <c r="M227" s="2954"/>
      <c r="N227" s="2954"/>
      <c r="O227" s="2954"/>
      <c r="P227" s="2954"/>
      <c r="Q227" s="2954"/>
      <c r="R227" s="2954"/>
      <c r="S227" s="2954"/>
      <c r="T227" s="2954"/>
      <c r="U227" s="2954"/>
      <c r="V227" s="2954"/>
      <c r="W227" s="2954"/>
      <c r="X227" s="2954"/>
      <c r="Y227" s="2954"/>
      <c r="Z227" s="2954"/>
      <c r="AA227" s="2954"/>
      <c r="AB227" s="2954"/>
      <c r="AC227" s="2954"/>
      <c r="AD227" s="2954"/>
      <c r="AE227" s="2954"/>
      <c r="AF227" s="2954"/>
      <c r="AG227" s="2954"/>
      <c r="AH227" s="2954"/>
      <c r="AI227" s="2954"/>
      <c r="AJ227" s="2954"/>
      <c r="AK227" s="2954"/>
      <c r="AL227" s="2954"/>
      <c r="AM227" s="2954"/>
      <c r="AN227" s="2954"/>
      <c r="AO227" s="2954"/>
      <c r="AP227" s="2954"/>
      <c r="AQ227" s="2954"/>
      <c r="AR227" s="2954"/>
      <c r="AS227" s="2954"/>
      <c r="AT227" s="2954"/>
      <c r="AU227" s="2954"/>
      <c r="AV227" s="2954"/>
      <c r="AW227" s="2954"/>
      <c r="AX227" s="2954"/>
      <c r="AY227" s="2954"/>
      <c r="AZ227" s="2954"/>
      <c r="BA227" s="2954"/>
      <c r="BB227" s="2954"/>
      <c r="BC227" s="2954"/>
      <c r="BD227" s="2954"/>
      <c r="BE227" s="2954"/>
      <c r="BF227" s="2954"/>
      <c r="BG227" s="2954"/>
      <c r="BH227" s="2954"/>
      <c r="BI227" s="2954"/>
      <c r="BJ227" s="2954"/>
      <c r="BK227" s="2954"/>
      <c r="BL227" s="2954"/>
      <c r="BM227" s="2954"/>
      <c r="BN227" s="2954"/>
      <c r="BO227" s="2954"/>
      <c r="BP227" s="2954"/>
      <c r="BQ227" s="2954"/>
      <c r="BR227" s="2954"/>
      <c r="BS227" s="2954"/>
      <c r="BT227" s="2954"/>
      <c r="BU227" s="2954"/>
      <c r="BV227" s="2954"/>
      <c r="BW227" s="2954"/>
      <c r="BX227" s="2954"/>
      <c r="BY227" s="2954"/>
      <c r="BZ227" s="2954"/>
      <c r="CA227" s="2954"/>
      <c r="CB227" s="2954"/>
      <c r="CC227" s="2954"/>
      <c r="CD227" s="2954"/>
      <c r="CE227" s="2954"/>
      <c r="CF227" s="2954"/>
      <c r="CG227" s="2954"/>
      <c r="CH227" s="2954"/>
      <c r="CI227" s="2954"/>
      <c r="CJ227" s="2954"/>
      <c r="CK227" s="2954"/>
      <c r="CL227" s="2954"/>
      <c r="CM227" s="2954"/>
      <c r="CN227" s="2954"/>
      <c r="CO227" s="2954"/>
      <c r="CP227" s="2954"/>
      <c r="CQ227" s="2954"/>
      <c r="CR227" s="2954"/>
      <c r="CS227" s="2954"/>
      <c r="CT227" s="2954"/>
      <c r="CU227" s="2954"/>
      <c r="CV227" s="2954"/>
      <c r="CW227" s="2954"/>
      <c r="CX227" s="2954"/>
      <c r="CY227" s="2954"/>
      <c r="CZ227" s="2954"/>
      <c r="DA227" s="2954"/>
      <c r="DB227" s="2954"/>
      <c r="DC227" s="2954"/>
      <c r="DD227" s="2954"/>
      <c r="DE227" s="2954"/>
      <c r="DF227" s="2954"/>
      <c r="DG227" s="2954"/>
      <c r="DH227" s="2954"/>
      <c r="DI227" s="2954"/>
      <c r="DJ227" s="2954"/>
      <c r="DK227" s="2954"/>
      <c r="DL227" s="2954"/>
      <c r="DM227" s="2954"/>
      <c r="DN227" s="2954"/>
      <c r="DO227" s="2954"/>
      <c r="DP227" s="2954"/>
      <c r="DQ227" s="2954"/>
      <c r="DR227" s="2954"/>
      <c r="DS227" s="2954"/>
      <c r="DT227" s="2954"/>
      <c r="DU227" s="2954"/>
      <c r="DV227" s="2954"/>
    </row>
    <row r="228" s="799" customFormat="1" ht="14.25" hidden="1" customHeight="1" spans="1:126">
      <c r="A228" s="2952" t="s">
        <v>4214</v>
      </c>
      <c r="B228" s="2952"/>
      <c r="C228" s="2952" t="s">
        <v>6940</v>
      </c>
      <c r="D228" s="2952"/>
      <c r="E228" s="2952"/>
      <c r="F228" s="2952"/>
      <c r="G228" s="2952"/>
      <c r="H228" s="2952"/>
      <c r="I228" s="2952"/>
      <c r="J228" s="2952"/>
      <c r="K228" s="2952"/>
      <c r="L228" s="2952"/>
      <c r="M228" s="2952"/>
      <c r="N228" s="2952"/>
      <c r="O228" s="2952"/>
      <c r="P228" s="2952"/>
      <c r="Q228" s="2952"/>
      <c r="R228" s="2952"/>
      <c r="S228" s="2952"/>
      <c r="T228" s="2952"/>
      <c r="U228" s="2952"/>
      <c r="V228" s="2952" t="s">
        <v>6941</v>
      </c>
      <c r="W228" s="2952"/>
      <c r="X228" s="2952"/>
      <c r="Y228" s="2952"/>
      <c r="Z228" s="2952"/>
      <c r="AA228" s="2952"/>
      <c r="AB228" s="2952"/>
      <c r="AC228" s="2952"/>
      <c r="AD228" s="2952"/>
      <c r="AE228" s="2952"/>
      <c r="AF228" s="2952"/>
      <c r="AG228" s="2952" t="s">
        <v>6942</v>
      </c>
      <c r="AH228" s="2952"/>
      <c r="AI228" s="2952"/>
      <c r="AJ228" s="2952"/>
      <c r="AK228" s="2952"/>
      <c r="AL228" s="2952"/>
      <c r="AM228" s="2952"/>
      <c r="AN228" s="2952"/>
      <c r="AO228" s="2952"/>
      <c r="AP228" s="2952"/>
    </row>
    <row r="229" s="799" customFormat="1" ht="14.25" hidden="1" customHeight="1" spans="1:126">
      <c r="A229" s="2955">
        <f>UnosPorBilans!B194</f>
        <v>0</v>
      </c>
      <c r="B229" s="2955"/>
      <c r="C229" s="2955"/>
      <c r="D229" s="2955"/>
      <c r="E229" s="2955"/>
      <c r="F229" s="2955"/>
      <c r="G229" s="2955"/>
      <c r="H229" s="2955"/>
      <c r="I229" s="2955"/>
      <c r="J229" s="2955"/>
      <c r="K229" s="2955"/>
      <c r="L229" s="2955"/>
      <c r="M229" s="2955"/>
      <c r="N229" s="2955"/>
      <c r="O229" s="2955"/>
      <c r="P229" s="2955"/>
      <c r="Q229" s="2955"/>
      <c r="R229" s="2955"/>
      <c r="S229" s="2955"/>
      <c r="T229" s="2955"/>
      <c r="U229" s="2955"/>
      <c r="V229" s="2955">
        <f>UnosPorBilans!I194</f>
        <v>0</v>
      </c>
      <c r="W229" s="2955"/>
      <c r="X229" s="2955"/>
      <c r="Y229" s="2955"/>
      <c r="Z229" s="2955"/>
      <c r="AA229" s="2955"/>
      <c r="AB229" s="2955"/>
      <c r="AC229" s="2955"/>
      <c r="AD229" s="2955"/>
      <c r="AE229" s="2955"/>
      <c r="AF229" s="2955"/>
      <c r="AG229" s="2955">
        <f>UnosPorBilans!N194</f>
        <v>0</v>
      </c>
      <c r="AH229" s="2955"/>
      <c r="AI229" s="2955"/>
      <c r="AJ229" s="2955"/>
      <c r="AK229" s="2955"/>
      <c r="AL229" s="2955"/>
      <c r="AM229" s="2955"/>
      <c r="AN229" s="2955"/>
      <c r="AO229" s="2955"/>
      <c r="AP229" s="2955"/>
    </row>
    <row r="230" s="799" customFormat="1" ht="14.25" hidden="1" customHeight="1" spans="1:126">
      <c r="A230" s="2952" t="s">
        <v>6943</v>
      </c>
      <c r="B230" s="2952"/>
      <c r="C230" s="2952"/>
      <c r="D230" s="2952"/>
      <c r="E230" s="2952"/>
      <c r="F230" s="2952"/>
      <c r="G230" s="2952"/>
      <c r="H230" s="2952"/>
      <c r="I230" s="2952"/>
      <c r="J230" s="2952"/>
      <c r="K230" s="2952" t="s">
        <v>6944</v>
      </c>
      <c r="L230" s="2952"/>
      <c r="M230" s="2952"/>
      <c r="N230" s="2952"/>
      <c r="O230" s="2952"/>
      <c r="P230" s="2952"/>
      <c r="Q230" s="2952"/>
      <c r="R230" s="2952"/>
      <c r="S230" s="2952"/>
      <c r="T230" s="2952"/>
      <c r="U230" s="2952"/>
      <c r="V230" s="2952" t="s">
        <v>6945</v>
      </c>
      <c r="W230" s="2952"/>
      <c r="X230" s="2952"/>
      <c r="Y230" s="2952"/>
      <c r="Z230" s="2952"/>
      <c r="AA230" s="2952"/>
      <c r="AB230" s="2952"/>
      <c r="AC230" s="2952"/>
      <c r="AD230" s="2952"/>
      <c r="AE230" s="2952"/>
      <c r="AF230" s="2952"/>
      <c r="AG230" s="2952" t="s">
        <v>6946</v>
      </c>
      <c r="AH230" s="2952"/>
      <c r="AI230" s="2952"/>
      <c r="AJ230" s="2952"/>
      <c r="AK230" s="2952"/>
      <c r="AL230" s="2952"/>
      <c r="AM230" s="2952"/>
      <c r="AN230" s="2952"/>
      <c r="AO230" s="2952"/>
      <c r="AP230" s="2952"/>
    </row>
    <row r="231" s="799" customFormat="1" ht="14.25" hidden="1" customHeight="1" spans="1:126">
      <c r="A231" s="2955">
        <f>UnosPorBilans!S194</f>
        <v>0</v>
      </c>
      <c r="B231" s="2955"/>
      <c r="C231" s="2955"/>
      <c r="D231" s="2955"/>
      <c r="E231" s="2955"/>
      <c r="F231" s="2955"/>
      <c r="G231" s="2955"/>
      <c r="H231" s="2955"/>
      <c r="I231" s="2955"/>
      <c r="J231" s="2955"/>
      <c r="K231" s="2955">
        <f>UnosPorBilans!W194</f>
        <v>0</v>
      </c>
      <c r="L231" s="2955"/>
      <c r="M231" s="2955"/>
      <c r="N231" s="2955"/>
      <c r="O231" s="2955"/>
      <c r="P231" s="2955"/>
      <c r="Q231" s="2955"/>
      <c r="R231" s="2955"/>
      <c r="S231" s="2955"/>
      <c r="T231" s="2955"/>
      <c r="U231" s="2955"/>
      <c r="V231" s="2955">
        <f>UnosPorBilans!AB194</f>
        <v>0</v>
      </c>
      <c r="W231" s="2955"/>
      <c r="X231" s="2955"/>
      <c r="Y231" s="2955"/>
      <c r="Z231" s="2955"/>
      <c r="AA231" s="2955"/>
      <c r="AB231" s="2955"/>
      <c r="AC231" s="2955"/>
      <c r="AD231" s="2955"/>
      <c r="AE231" s="2955"/>
      <c r="AF231" s="2955"/>
      <c r="AG231" s="2955">
        <f>UnosPorBilans!AG194</f>
        <v>0</v>
      </c>
      <c r="AH231" s="2955"/>
      <c r="AI231" s="2955"/>
      <c r="AJ231" s="2955"/>
      <c r="AK231" s="2955"/>
      <c r="AL231" s="2955"/>
      <c r="AM231" s="2955"/>
      <c r="AN231" s="2955"/>
      <c r="AO231" s="2955"/>
      <c r="AP231" s="2955"/>
    </row>
    <row r="232" s="799" customFormat="1" ht="14.25" hidden="1" customHeight="1" spans="1:126">
      <c r="A232" s="2952" t="s">
        <v>6947</v>
      </c>
      <c r="B232" s="2952"/>
      <c r="C232" s="2952"/>
      <c r="D232" s="2952"/>
      <c r="E232" s="2952"/>
      <c r="F232" s="2952"/>
      <c r="G232" s="2952"/>
      <c r="H232" s="2952"/>
      <c r="I232" s="2952"/>
      <c r="J232" s="2952"/>
      <c r="K232" s="2952"/>
      <c r="L232" s="2952"/>
      <c r="M232" s="2952"/>
      <c r="N232" s="2952"/>
      <c r="O232" s="2952"/>
      <c r="P232" s="2952"/>
      <c r="Q232" s="2952"/>
      <c r="R232" s="2952"/>
      <c r="S232" s="2952"/>
      <c r="T232" s="2952"/>
      <c r="U232" s="2952"/>
      <c r="V232" s="2952" t="s">
        <v>6948</v>
      </c>
      <c r="W232" s="2952"/>
      <c r="X232" s="2952"/>
      <c r="Y232" s="2952"/>
      <c r="Z232" s="2952"/>
      <c r="AA232" s="2952"/>
      <c r="AB232" s="2952"/>
      <c r="AC232" s="2952"/>
      <c r="AD232" s="2952"/>
      <c r="AE232" s="2952"/>
      <c r="AF232" s="2952"/>
      <c r="AG232" s="2952"/>
      <c r="AH232" s="2952"/>
      <c r="AI232" s="2952"/>
      <c r="AJ232" s="2952"/>
      <c r="AK232" s="2952"/>
      <c r="AL232" s="2952"/>
      <c r="AM232" s="2952"/>
      <c r="AN232" s="2952"/>
      <c r="AO232" s="2952"/>
      <c r="AP232" s="2952"/>
    </row>
    <row r="233" s="799" customFormat="1" ht="14.25" hidden="1" customHeight="1" spans="1:126">
      <c r="A233" s="2955">
        <f>UnosPorBilans!AL194</f>
        <v>0</v>
      </c>
      <c r="B233" s="2955"/>
      <c r="C233" s="2955"/>
      <c r="D233" s="2955"/>
      <c r="E233" s="2955"/>
      <c r="F233" s="2955"/>
      <c r="G233" s="2955"/>
      <c r="H233" s="2955"/>
      <c r="I233" s="2955"/>
      <c r="J233" s="2955"/>
      <c r="K233" s="2955"/>
      <c r="L233" s="2955"/>
      <c r="M233" s="2955"/>
      <c r="N233" s="2955"/>
      <c r="O233" s="2955"/>
      <c r="P233" s="2955"/>
      <c r="Q233" s="2955"/>
      <c r="R233" s="2955"/>
      <c r="S233" s="2955"/>
      <c r="T233" s="2955"/>
      <c r="U233" s="2955"/>
      <c r="V233" s="2955">
        <f>UnosPorBilans!AS194</f>
        <v>0</v>
      </c>
      <c r="W233" s="2955"/>
      <c r="X233" s="2955"/>
      <c r="Y233" s="2955"/>
      <c r="Z233" s="2955"/>
      <c r="AA233" s="2955"/>
      <c r="AB233" s="2955"/>
      <c r="AC233" s="2955"/>
      <c r="AD233" s="2955"/>
      <c r="AE233" s="2955"/>
      <c r="AF233" s="2955"/>
      <c r="AG233" s="2955"/>
      <c r="AH233" s="2955"/>
      <c r="AI233" s="2955"/>
      <c r="AJ233" s="2955"/>
      <c r="AK233" s="2955"/>
      <c r="AL233" s="2955"/>
      <c r="AM233" s="2955"/>
      <c r="AN233" s="2955"/>
      <c r="AO233" s="2955"/>
      <c r="AP233" s="2955"/>
    </row>
    <row r="234" s="799" customFormat="1" ht="14.25" hidden="1" customHeight="1" spans="1:126">
      <c r="A234" s="2954"/>
      <c r="B234" s="2954"/>
      <c r="C234" s="2954"/>
      <c r="D234" s="2954"/>
      <c r="E234" s="2954"/>
      <c r="F234" s="2954"/>
      <c r="G234" s="2954"/>
      <c r="H234" s="2954"/>
      <c r="I234" s="2954"/>
      <c r="J234" s="2954"/>
      <c r="K234" s="2954"/>
      <c r="L234" s="2954"/>
      <c r="M234" s="2954"/>
      <c r="N234" s="2954"/>
      <c r="O234" s="2954"/>
      <c r="P234" s="2954"/>
      <c r="Q234" s="2954"/>
      <c r="R234" s="2954"/>
      <c r="S234" s="2954"/>
      <c r="T234" s="2954"/>
      <c r="U234" s="2954"/>
      <c r="V234" s="2954"/>
      <c r="W234" s="2954"/>
      <c r="X234" s="2954"/>
      <c r="Y234" s="2954"/>
      <c r="Z234" s="2954"/>
      <c r="AA234" s="2954"/>
      <c r="AB234" s="2954"/>
      <c r="AC234" s="2954"/>
      <c r="AD234" s="2954"/>
      <c r="AE234" s="2954"/>
      <c r="AF234" s="2954"/>
      <c r="AG234" s="2954"/>
      <c r="AH234" s="2954"/>
      <c r="AI234" s="2954"/>
      <c r="AJ234" s="2954"/>
      <c r="AK234" s="2954"/>
      <c r="AL234" s="2954"/>
      <c r="AM234" s="2954"/>
      <c r="AN234" s="2954"/>
      <c r="AO234" s="2954"/>
      <c r="AP234" s="2954"/>
      <c r="AQ234" s="2954"/>
      <c r="AR234" s="2954"/>
      <c r="AS234" s="2954"/>
      <c r="AT234" s="2954"/>
      <c r="AU234" s="2954"/>
      <c r="AV234" s="2954"/>
      <c r="AW234" s="2954"/>
      <c r="AX234" s="2954"/>
      <c r="AY234" s="2954"/>
      <c r="AZ234" s="2954"/>
      <c r="BA234" s="2954"/>
      <c r="BB234" s="2954"/>
      <c r="BC234" s="2954"/>
      <c r="BD234" s="2954"/>
      <c r="BE234" s="2954"/>
      <c r="BF234" s="2954"/>
      <c r="BG234" s="2954"/>
      <c r="BH234" s="2954"/>
      <c r="BI234" s="2954"/>
      <c r="BJ234" s="2954"/>
      <c r="BK234" s="2954"/>
      <c r="BL234" s="2954"/>
      <c r="BM234" s="2954"/>
      <c r="BN234" s="2954"/>
      <c r="BO234" s="2954"/>
      <c r="BP234" s="2954"/>
      <c r="BQ234" s="2954"/>
      <c r="BR234" s="2954"/>
      <c r="BS234" s="2954"/>
      <c r="BT234" s="2954"/>
      <c r="BU234" s="2954"/>
      <c r="BV234" s="2954"/>
      <c r="BW234" s="2954"/>
      <c r="BX234" s="2954"/>
      <c r="BY234" s="2954"/>
      <c r="BZ234" s="2954"/>
      <c r="CA234" s="2954"/>
      <c r="CB234" s="2954"/>
      <c r="CC234" s="2954"/>
      <c r="CD234" s="2954"/>
      <c r="CE234" s="2954"/>
      <c r="CF234" s="2954"/>
      <c r="CG234" s="2954"/>
      <c r="CH234" s="2954"/>
      <c r="CI234" s="2954"/>
      <c r="CJ234" s="2954"/>
      <c r="CK234" s="2954"/>
      <c r="CL234" s="2954"/>
      <c r="CM234" s="2954"/>
      <c r="CN234" s="2954"/>
      <c r="CO234" s="2954"/>
      <c r="CP234" s="2954"/>
      <c r="CQ234" s="2954"/>
      <c r="CR234" s="2954"/>
      <c r="CS234" s="2954"/>
      <c r="CT234" s="2954"/>
      <c r="CU234" s="2954"/>
      <c r="CV234" s="2954"/>
      <c r="CW234" s="2954"/>
      <c r="CX234" s="2954"/>
      <c r="CY234" s="2954"/>
      <c r="CZ234" s="2954"/>
      <c r="DA234" s="2954"/>
      <c r="DB234" s="2954"/>
      <c r="DC234" s="2954"/>
      <c r="DD234" s="2954"/>
      <c r="DE234" s="2954"/>
      <c r="DF234" s="2954"/>
      <c r="DG234" s="2954"/>
      <c r="DH234" s="2954"/>
      <c r="DI234" s="2954"/>
      <c r="DJ234" s="2954"/>
      <c r="DK234" s="2954"/>
      <c r="DL234" s="2954"/>
      <c r="DM234" s="2954"/>
      <c r="DN234" s="2954"/>
      <c r="DO234" s="2954"/>
      <c r="DP234" s="2954"/>
      <c r="DQ234" s="2954"/>
      <c r="DR234" s="2954"/>
      <c r="DS234" s="2954"/>
      <c r="DT234" s="2954"/>
      <c r="DU234" s="2954"/>
      <c r="DV234" s="2954"/>
    </row>
    <row r="235" s="799" customFormat="1" ht="14.25" hidden="1" customHeight="1" spans="1:126">
      <c r="A235" s="2952" t="s">
        <v>4214</v>
      </c>
      <c r="B235" s="2952"/>
      <c r="C235" s="2952" t="s">
        <v>6940</v>
      </c>
      <c r="D235" s="2952"/>
      <c r="E235" s="2952"/>
      <c r="F235" s="2952"/>
      <c r="G235" s="2952"/>
      <c r="H235" s="2952"/>
      <c r="I235" s="2952"/>
      <c r="J235" s="2952"/>
      <c r="K235" s="2952"/>
      <c r="L235" s="2952"/>
      <c r="M235" s="2952"/>
      <c r="N235" s="2952"/>
      <c r="O235" s="2952"/>
      <c r="P235" s="2952"/>
      <c r="Q235" s="2952"/>
      <c r="R235" s="2952"/>
      <c r="S235" s="2952"/>
      <c r="T235" s="2952"/>
      <c r="U235" s="2952"/>
      <c r="V235" s="2952" t="s">
        <v>6941</v>
      </c>
      <c r="W235" s="2952"/>
      <c r="X235" s="2952"/>
      <c r="Y235" s="2952"/>
      <c r="Z235" s="2952"/>
      <c r="AA235" s="2952"/>
      <c r="AB235" s="2952"/>
      <c r="AC235" s="2952"/>
      <c r="AD235" s="2952"/>
      <c r="AE235" s="2952"/>
      <c r="AF235" s="2952"/>
      <c r="AG235" s="2952" t="s">
        <v>6942</v>
      </c>
      <c r="AH235" s="2952"/>
      <c r="AI235" s="2952"/>
      <c r="AJ235" s="2952"/>
      <c r="AK235" s="2952"/>
      <c r="AL235" s="2952"/>
      <c r="AM235" s="2952"/>
      <c r="AN235" s="2952"/>
      <c r="AO235" s="2952"/>
      <c r="AP235" s="2952"/>
    </row>
    <row r="236" s="799" customFormat="1" ht="14.25" hidden="1" customHeight="1" spans="1:126">
      <c r="A236" s="2955">
        <f>UnosPorBilans!B195</f>
        <v>0</v>
      </c>
      <c r="B236" s="2955"/>
      <c r="C236" s="2955"/>
      <c r="D236" s="2955"/>
      <c r="E236" s="2955"/>
      <c r="F236" s="2955"/>
      <c r="G236" s="2955"/>
      <c r="H236" s="2955"/>
      <c r="I236" s="2955"/>
      <c r="J236" s="2955"/>
      <c r="K236" s="2955"/>
      <c r="L236" s="2955"/>
      <c r="M236" s="2955"/>
      <c r="N236" s="2955"/>
      <c r="O236" s="2955"/>
      <c r="P236" s="2955"/>
      <c r="Q236" s="2955"/>
      <c r="R236" s="2955"/>
      <c r="S236" s="2955"/>
      <c r="T236" s="2955"/>
      <c r="U236" s="2955"/>
      <c r="V236" s="2955">
        <f>UnosPorBilans!I195</f>
        <v>0</v>
      </c>
      <c r="W236" s="2955"/>
      <c r="X236" s="2955"/>
      <c r="Y236" s="2955"/>
      <c r="Z236" s="2955"/>
      <c r="AA236" s="2955"/>
      <c r="AB236" s="2955"/>
      <c r="AC236" s="2955"/>
      <c r="AD236" s="2955"/>
      <c r="AE236" s="2955"/>
      <c r="AF236" s="2955"/>
      <c r="AG236" s="2955">
        <f>UnosPorBilans!N195</f>
        <v>0</v>
      </c>
      <c r="AH236" s="2955"/>
      <c r="AI236" s="2955"/>
      <c r="AJ236" s="2955"/>
      <c r="AK236" s="2955"/>
      <c r="AL236" s="2955"/>
      <c r="AM236" s="2955"/>
      <c r="AN236" s="2955"/>
      <c r="AO236" s="2955"/>
      <c r="AP236" s="2955"/>
    </row>
    <row r="237" s="799" customFormat="1" ht="14.25" hidden="1" customHeight="1" spans="1:126">
      <c r="A237" s="2952" t="s">
        <v>6943</v>
      </c>
      <c r="B237" s="2952"/>
      <c r="C237" s="2952"/>
      <c r="D237" s="2952"/>
      <c r="E237" s="2952"/>
      <c r="F237" s="2952"/>
      <c r="G237" s="2952"/>
      <c r="H237" s="2952"/>
      <c r="I237" s="2952"/>
      <c r="J237" s="2952"/>
      <c r="K237" s="2952" t="s">
        <v>6944</v>
      </c>
      <c r="L237" s="2952"/>
      <c r="M237" s="2952"/>
      <c r="N237" s="2952"/>
      <c r="O237" s="2952"/>
      <c r="P237" s="2952"/>
      <c r="Q237" s="2952"/>
      <c r="R237" s="2952"/>
      <c r="S237" s="2952"/>
      <c r="T237" s="2952"/>
      <c r="U237" s="2952"/>
      <c r="V237" s="2952" t="s">
        <v>6945</v>
      </c>
      <c r="W237" s="2952"/>
      <c r="X237" s="2952"/>
      <c r="Y237" s="2952"/>
      <c r="Z237" s="2952"/>
      <c r="AA237" s="2952"/>
      <c r="AB237" s="2952"/>
      <c r="AC237" s="2952"/>
      <c r="AD237" s="2952"/>
      <c r="AE237" s="2952"/>
      <c r="AF237" s="2952"/>
      <c r="AG237" s="2952" t="s">
        <v>6946</v>
      </c>
      <c r="AH237" s="2952"/>
      <c r="AI237" s="2952"/>
      <c r="AJ237" s="2952"/>
      <c r="AK237" s="2952"/>
      <c r="AL237" s="2952"/>
      <c r="AM237" s="2952"/>
      <c r="AN237" s="2952"/>
      <c r="AO237" s="2952"/>
      <c r="AP237" s="2952"/>
    </row>
    <row r="238" s="799" customFormat="1" ht="14.25" hidden="1" customHeight="1" spans="1:126">
      <c r="A238" s="2955">
        <f>UnosPorBilans!S195</f>
        <v>0</v>
      </c>
      <c r="B238" s="2955"/>
      <c r="C238" s="2955"/>
      <c r="D238" s="2955"/>
      <c r="E238" s="2955"/>
      <c r="F238" s="2955"/>
      <c r="G238" s="2955"/>
      <c r="H238" s="2955"/>
      <c r="I238" s="2955"/>
      <c r="J238" s="2955"/>
      <c r="K238" s="2955">
        <f>UnosPorBilans!W195</f>
        <v>0</v>
      </c>
      <c r="L238" s="2955"/>
      <c r="M238" s="2955"/>
      <c r="N238" s="2955"/>
      <c r="O238" s="2955"/>
      <c r="P238" s="2955"/>
      <c r="Q238" s="2955"/>
      <c r="R238" s="2955"/>
      <c r="S238" s="2955"/>
      <c r="T238" s="2955"/>
      <c r="U238" s="2955"/>
      <c r="V238" s="2955">
        <f>UnosPorBilans!AB195</f>
        <v>0</v>
      </c>
      <c r="W238" s="2955"/>
      <c r="X238" s="2955"/>
      <c r="Y238" s="2955"/>
      <c r="Z238" s="2955"/>
      <c r="AA238" s="2955"/>
      <c r="AB238" s="2955"/>
      <c r="AC238" s="2955"/>
      <c r="AD238" s="2955"/>
      <c r="AE238" s="2955"/>
      <c r="AF238" s="2955"/>
      <c r="AG238" s="2955">
        <f>UnosPorBilans!AG195</f>
        <v>0</v>
      </c>
      <c r="AH238" s="2955"/>
      <c r="AI238" s="2955"/>
      <c r="AJ238" s="2955"/>
      <c r="AK238" s="2955"/>
      <c r="AL238" s="2955"/>
      <c r="AM238" s="2955"/>
      <c r="AN238" s="2955"/>
      <c r="AO238" s="2955"/>
      <c r="AP238" s="2955"/>
    </row>
    <row r="239" s="799" customFormat="1" ht="14.25" hidden="1" customHeight="1" spans="1:126">
      <c r="A239" s="2952" t="s">
        <v>6947</v>
      </c>
      <c r="B239" s="2952"/>
      <c r="C239" s="2952"/>
      <c r="D239" s="2952"/>
      <c r="E239" s="2952"/>
      <c r="F239" s="2952"/>
      <c r="G239" s="2952"/>
      <c r="H239" s="2952"/>
      <c r="I239" s="2952"/>
      <c r="J239" s="2952"/>
      <c r="K239" s="2952"/>
      <c r="L239" s="2952"/>
      <c r="M239" s="2952"/>
      <c r="N239" s="2952"/>
      <c r="O239" s="2952"/>
      <c r="P239" s="2952"/>
      <c r="Q239" s="2952"/>
      <c r="R239" s="2952"/>
      <c r="S239" s="2952"/>
      <c r="T239" s="2952"/>
      <c r="U239" s="2952"/>
      <c r="V239" s="2952" t="s">
        <v>6948</v>
      </c>
      <c r="W239" s="2952"/>
      <c r="X239" s="2952"/>
      <c r="Y239" s="2952"/>
      <c r="Z239" s="2952"/>
      <c r="AA239" s="2952"/>
      <c r="AB239" s="2952"/>
      <c r="AC239" s="2952"/>
      <c r="AD239" s="2952"/>
      <c r="AE239" s="2952"/>
      <c r="AF239" s="2952"/>
      <c r="AG239" s="2952"/>
      <c r="AH239" s="2952"/>
      <c r="AI239" s="2952"/>
      <c r="AJ239" s="2952"/>
      <c r="AK239" s="2952"/>
      <c r="AL239" s="2952"/>
      <c r="AM239" s="2952"/>
      <c r="AN239" s="2952"/>
      <c r="AO239" s="2952"/>
      <c r="AP239" s="2952"/>
    </row>
    <row r="240" s="799" customFormat="1" ht="14.25" hidden="1" customHeight="1" spans="1:126">
      <c r="A240" s="2955">
        <f>UnosPorBilans!AL195</f>
        <v>0</v>
      </c>
      <c r="B240" s="2955"/>
      <c r="C240" s="2955"/>
      <c r="D240" s="2955"/>
      <c r="E240" s="2955"/>
      <c r="F240" s="2955"/>
      <c r="G240" s="2955"/>
      <c r="H240" s="2955"/>
      <c r="I240" s="2955"/>
      <c r="J240" s="2955"/>
      <c r="K240" s="2955"/>
      <c r="L240" s="2955"/>
      <c r="M240" s="2955"/>
      <c r="N240" s="2955"/>
      <c r="O240" s="2955"/>
      <c r="P240" s="2955"/>
      <c r="Q240" s="2955"/>
      <c r="R240" s="2955"/>
      <c r="S240" s="2955"/>
      <c r="T240" s="2955"/>
      <c r="U240" s="2955"/>
      <c r="V240" s="2955">
        <f>UnosPorBilans!AS195</f>
        <v>0</v>
      </c>
      <c r="W240" s="2955"/>
      <c r="X240" s="2955"/>
      <c r="Y240" s="2955"/>
      <c r="Z240" s="2955"/>
      <c r="AA240" s="2955"/>
      <c r="AB240" s="2955"/>
      <c r="AC240" s="2955"/>
      <c r="AD240" s="2955"/>
      <c r="AE240" s="2955"/>
      <c r="AF240" s="2955"/>
      <c r="AG240" s="2955"/>
      <c r="AH240" s="2955"/>
      <c r="AI240" s="2955"/>
      <c r="AJ240" s="2955"/>
      <c r="AK240" s="2955"/>
      <c r="AL240" s="2955"/>
      <c r="AM240" s="2955"/>
      <c r="AN240" s="2955"/>
      <c r="AO240" s="2955"/>
      <c r="AP240" s="2955"/>
    </row>
    <row r="241" s="799" customFormat="1" ht="14.25" hidden="1" customHeight="1" spans="1:126">
      <c r="A241" s="2954"/>
      <c r="B241" s="2954"/>
      <c r="C241" s="2954"/>
      <c r="D241" s="2954"/>
      <c r="E241" s="2954"/>
      <c r="F241" s="2954"/>
      <c r="G241" s="2954"/>
      <c r="H241" s="2954"/>
      <c r="I241" s="2954"/>
      <c r="J241" s="2954"/>
      <c r="K241" s="2954"/>
      <c r="L241" s="2954"/>
      <c r="M241" s="2954"/>
      <c r="N241" s="2954"/>
      <c r="O241" s="2954"/>
      <c r="P241" s="2954"/>
      <c r="Q241" s="2954"/>
      <c r="R241" s="2954"/>
      <c r="S241" s="2954"/>
      <c r="T241" s="2954"/>
      <c r="U241" s="2954"/>
      <c r="V241" s="2954"/>
      <c r="W241" s="2954"/>
      <c r="X241" s="2954"/>
      <c r="Y241" s="2954"/>
      <c r="Z241" s="2954"/>
      <c r="AA241" s="2954"/>
      <c r="AB241" s="2954"/>
      <c r="AC241" s="2954"/>
      <c r="AD241" s="2954"/>
      <c r="AE241" s="2954"/>
      <c r="AF241" s="2954"/>
      <c r="AG241" s="2954"/>
      <c r="AH241" s="2954"/>
      <c r="AI241" s="2954"/>
      <c r="AJ241" s="2954"/>
      <c r="AK241" s="2954"/>
      <c r="AL241" s="2954"/>
      <c r="AM241" s="2954"/>
      <c r="AN241" s="2954"/>
      <c r="AO241" s="2954"/>
      <c r="AP241" s="2954"/>
      <c r="AQ241" s="2954"/>
      <c r="AR241" s="2954"/>
      <c r="AS241" s="2954"/>
      <c r="AT241" s="2954"/>
      <c r="AU241" s="2954"/>
      <c r="AV241" s="2954"/>
      <c r="AW241" s="2954"/>
      <c r="AX241" s="2954"/>
      <c r="AY241" s="2954"/>
      <c r="AZ241" s="2954"/>
      <c r="BA241" s="2954"/>
      <c r="BB241" s="2954"/>
      <c r="BC241" s="2954"/>
      <c r="BD241" s="2954"/>
      <c r="BE241" s="2954"/>
      <c r="BF241" s="2954"/>
      <c r="BG241" s="2954"/>
      <c r="BH241" s="2954"/>
      <c r="BI241" s="2954"/>
      <c r="BJ241" s="2954"/>
      <c r="BK241" s="2954"/>
      <c r="BL241" s="2954"/>
      <c r="BM241" s="2954"/>
      <c r="BN241" s="2954"/>
      <c r="BO241" s="2954"/>
      <c r="BP241" s="2954"/>
      <c r="BQ241" s="2954"/>
      <c r="BR241" s="2954"/>
      <c r="BS241" s="2954"/>
      <c r="BT241" s="2954"/>
      <c r="BU241" s="2954"/>
      <c r="BV241" s="2954"/>
      <c r="BW241" s="2954"/>
      <c r="BX241" s="2954"/>
      <c r="BY241" s="2954"/>
      <c r="BZ241" s="2954"/>
      <c r="CA241" s="2954"/>
      <c r="CB241" s="2954"/>
      <c r="CC241" s="2954"/>
      <c r="CD241" s="2954"/>
      <c r="CE241" s="2954"/>
      <c r="CF241" s="2954"/>
      <c r="CG241" s="2954"/>
      <c r="CH241" s="2954"/>
      <c r="CI241" s="2954"/>
      <c r="CJ241" s="2954"/>
      <c r="CK241" s="2954"/>
      <c r="CL241" s="2954"/>
      <c r="CM241" s="2954"/>
      <c r="CN241" s="2954"/>
      <c r="CO241" s="2954"/>
      <c r="CP241" s="2954"/>
      <c r="CQ241" s="2954"/>
      <c r="CR241" s="2954"/>
      <c r="CS241" s="2954"/>
      <c r="CT241" s="2954"/>
      <c r="CU241" s="2954"/>
      <c r="CV241" s="2954"/>
      <c r="CW241" s="2954"/>
      <c r="CX241" s="2954"/>
      <c r="CY241" s="2954"/>
      <c r="CZ241" s="2954"/>
      <c r="DA241" s="2954"/>
      <c r="DB241" s="2954"/>
      <c r="DC241" s="2954"/>
      <c r="DD241" s="2954"/>
      <c r="DE241" s="2954"/>
      <c r="DF241" s="2954"/>
      <c r="DG241" s="2954"/>
      <c r="DH241" s="2954"/>
      <c r="DI241" s="2954"/>
      <c r="DJ241" s="2954"/>
      <c r="DK241" s="2954"/>
      <c r="DL241" s="2954"/>
      <c r="DM241" s="2954"/>
      <c r="DN241" s="2954"/>
      <c r="DO241" s="2954"/>
      <c r="DP241" s="2954"/>
      <c r="DQ241" s="2954"/>
      <c r="DR241" s="2954"/>
      <c r="DS241" s="2954"/>
      <c r="DT241" s="2954"/>
      <c r="DU241" s="2954"/>
      <c r="DV241" s="2954"/>
    </row>
    <row r="242" s="799" customFormat="1" ht="14.25" hidden="1" customHeight="1" spans="1:126">
      <c r="A242" s="2952" t="s">
        <v>4214</v>
      </c>
      <c r="B242" s="2952"/>
      <c r="C242" s="2952" t="s">
        <v>6940</v>
      </c>
      <c r="D242" s="2952"/>
      <c r="E242" s="2952"/>
      <c r="F242" s="2952"/>
      <c r="G242" s="2952"/>
      <c r="H242" s="2952"/>
      <c r="I242" s="2952"/>
      <c r="J242" s="2952"/>
      <c r="K242" s="2952"/>
      <c r="L242" s="2952"/>
      <c r="M242" s="2952"/>
      <c r="N242" s="2952"/>
      <c r="O242" s="2952"/>
      <c r="P242" s="2952"/>
      <c r="Q242" s="2952"/>
      <c r="R242" s="2952"/>
      <c r="S242" s="2952"/>
      <c r="T242" s="2952"/>
      <c r="U242" s="2952"/>
      <c r="V242" s="2952" t="s">
        <v>6941</v>
      </c>
      <c r="W242" s="2952"/>
      <c r="X242" s="2952"/>
      <c r="Y242" s="2952"/>
      <c r="Z242" s="2952"/>
      <c r="AA242" s="2952"/>
      <c r="AB242" s="2952"/>
      <c r="AC242" s="2952"/>
      <c r="AD242" s="2952"/>
      <c r="AE242" s="2952"/>
      <c r="AF242" s="2952"/>
      <c r="AG242" s="2952" t="s">
        <v>6942</v>
      </c>
      <c r="AH242" s="2952"/>
      <c r="AI242" s="2952"/>
      <c r="AJ242" s="2952"/>
      <c r="AK242" s="2952"/>
      <c r="AL242" s="2952"/>
      <c r="AM242" s="2952"/>
      <c r="AN242" s="2952"/>
      <c r="AO242" s="2952"/>
      <c r="AP242" s="2952"/>
    </row>
    <row r="243" s="799" customFormat="1" ht="14.25" hidden="1" customHeight="1" spans="1:126">
      <c r="A243" s="2955">
        <f>UnosPorBilans!B196</f>
        <v>0</v>
      </c>
      <c r="B243" s="2955"/>
      <c r="C243" s="2955"/>
      <c r="D243" s="2955"/>
      <c r="E243" s="2955"/>
      <c r="F243" s="2955"/>
      <c r="G243" s="2955"/>
      <c r="H243" s="2955"/>
      <c r="I243" s="2955"/>
      <c r="J243" s="2955"/>
      <c r="K243" s="2955"/>
      <c r="L243" s="2955"/>
      <c r="M243" s="2955"/>
      <c r="N243" s="2955"/>
      <c r="O243" s="2955"/>
      <c r="P243" s="2955"/>
      <c r="Q243" s="2955"/>
      <c r="R243" s="2955"/>
      <c r="S243" s="2955"/>
      <c r="T243" s="2955"/>
      <c r="U243" s="2955"/>
      <c r="V243" s="2955">
        <f>UnosPorBilans!I196</f>
        <v>0</v>
      </c>
      <c r="W243" s="2955"/>
      <c r="X243" s="2955"/>
      <c r="Y243" s="2955"/>
      <c r="Z243" s="2955"/>
      <c r="AA243" s="2955"/>
      <c r="AB243" s="2955"/>
      <c r="AC243" s="2955"/>
      <c r="AD243" s="2955"/>
      <c r="AE243" s="2955"/>
      <c r="AF243" s="2955"/>
      <c r="AG243" s="2955">
        <f>UnosPorBilans!N196</f>
        <v>0</v>
      </c>
      <c r="AH243" s="2955"/>
      <c r="AI243" s="2955"/>
      <c r="AJ243" s="2955"/>
      <c r="AK243" s="2955"/>
      <c r="AL243" s="2955"/>
      <c r="AM243" s="2955"/>
      <c r="AN243" s="2955"/>
      <c r="AO243" s="2955"/>
      <c r="AP243" s="2955"/>
    </row>
    <row r="244" s="799" customFormat="1" ht="14.25" hidden="1" customHeight="1" spans="1:126">
      <c r="A244" s="2952" t="s">
        <v>6943</v>
      </c>
      <c r="B244" s="2952"/>
      <c r="C244" s="2952"/>
      <c r="D244" s="2952"/>
      <c r="E244" s="2952"/>
      <c r="F244" s="2952"/>
      <c r="G244" s="2952"/>
      <c r="H244" s="2952"/>
      <c r="I244" s="2952"/>
      <c r="J244" s="2952"/>
      <c r="K244" s="2952" t="s">
        <v>6944</v>
      </c>
      <c r="L244" s="2952"/>
      <c r="M244" s="2952"/>
      <c r="N244" s="2952"/>
      <c r="O244" s="2952"/>
      <c r="P244" s="2952"/>
      <c r="Q244" s="2952"/>
      <c r="R244" s="2952"/>
      <c r="S244" s="2952"/>
      <c r="T244" s="2952"/>
      <c r="U244" s="2952"/>
      <c r="V244" s="2952" t="s">
        <v>6945</v>
      </c>
      <c r="W244" s="2952"/>
      <c r="X244" s="2952"/>
      <c r="Y244" s="2952"/>
      <c r="Z244" s="2952"/>
      <c r="AA244" s="2952"/>
      <c r="AB244" s="2952"/>
      <c r="AC244" s="2952"/>
      <c r="AD244" s="2952"/>
      <c r="AE244" s="2952"/>
      <c r="AF244" s="2952"/>
      <c r="AG244" s="2952" t="s">
        <v>6946</v>
      </c>
      <c r="AH244" s="2952"/>
      <c r="AI244" s="2952"/>
      <c r="AJ244" s="2952"/>
      <c r="AK244" s="2952"/>
      <c r="AL244" s="2952"/>
      <c r="AM244" s="2952"/>
      <c r="AN244" s="2952"/>
      <c r="AO244" s="2952"/>
      <c r="AP244" s="2952"/>
    </row>
    <row r="245" s="799" customFormat="1" ht="14.25" hidden="1" customHeight="1" spans="1:126">
      <c r="A245" s="2955">
        <f>UnosPorBilans!S196</f>
        <v>0</v>
      </c>
      <c r="B245" s="2955"/>
      <c r="C245" s="2955"/>
      <c r="D245" s="2955"/>
      <c r="E245" s="2955"/>
      <c r="F245" s="2955"/>
      <c r="G245" s="2955"/>
      <c r="H245" s="2955"/>
      <c r="I245" s="2955"/>
      <c r="J245" s="2955"/>
      <c r="K245" s="2955">
        <f>UnosPorBilans!W196</f>
        <v>0</v>
      </c>
      <c r="L245" s="2955"/>
      <c r="M245" s="2955"/>
      <c r="N245" s="2955"/>
      <c r="O245" s="2955"/>
      <c r="P245" s="2955"/>
      <c r="Q245" s="2955"/>
      <c r="R245" s="2955"/>
      <c r="S245" s="2955"/>
      <c r="T245" s="2955"/>
      <c r="U245" s="2955"/>
      <c r="V245" s="2955">
        <f>UnosPorBilans!AB196</f>
        <v>0</v>
      </c>
      <c r="W245" s="2955"/>
      <c r="X245" s="2955"/>
      <c r="Y245" s="2955"/>
      <c r="Z245" s="2955"/>
      <c r="AA245" s="2955"/>
      <c r="AB245" s="2955"/>
      <c r="AC245" s="2955"/>
      <c r="AD245" s="2955"/>
      <c r="AE245" s="2955"/>
      <c r="AF245" s="2955"/>
      <c r="AG245" s="2955">
        <f>UnosPorBilans!AG196</f>
        <v>0</v>
      </c>
      <c r="AH245" s="2955"/>
      <c r="AI245" s="2955"/>
      <c r="AJ245" s="2955"/>
      <c r="AK245" s="2955"/>
      <c r="AL245" s="2955"/>
      <c r="AM245" s="2955"/>
      <c r="AN245" s="2955"/>
      <c r="AO245" s="2955"/>
      <c r="AP245" s="2955"/>
    </row>
    <row r="246" s="799" customFormat="1" ht="14.25" hidden="1" customHeight="1" spans="1:126">
      <c r="A246" s="2952" t="s">
        <v>6947</v>
      </c>
      <c r="B246" s="2952"/>
      <c r="C246" s="2952"/>
      <c r="D246" s="2952"/>
      <c r="E246" s="2952"/>
      <c r="F246" s="2952"/>
      <c r="G246" s="2952"/>
      <c r="H246" s="2952"/>
      <c r="I246" s="2952"/>
      <c r="J246" s="2952"/>
      <c r="K246" s="2952"/>
      <c r="L246" s="2952"/>
      <c r="M246" s="2952"/>
      <c r="N246" s="2952"/>
      <c r="O246" s="2952"/>
      <c r="P246" s="2952"/>
      <c r="Q246" s="2952"/>
      <c r="R246" s="2952"/>
      <c r="S246" s="2952"/>
      <c r="T246" s="2952"/>
      <c r="U246" s="2952"/>
      <c r="V246" s="2952" t="s">
        <v>6948</v>
      </c>
      <c r="W246" s="2952"/>
      <c r="X246" s="2952"/>
      <c r="Y246" s="2952"/>
      <c r="Z246" s="2952"/>
      <c r="AA246" s="2952"/>
      <c r="AB246" s="2952"/>
      <c r="AC246" s="2952"/>
      <c r="AD246" s="2952"/>
      <c r="AE246" s="2952"/>
      <c r="AF246" s="2952"/>
      <c r="AG246" s="2952"/>
      <c r="AH246" s="2952"/>
      <c r="AI246" s="2952"/>
      <c r="AJ246" s="2952"/>
      <c r="AK246" s="2952"/>
      <c r="AL246" s="2952"/>
      <c r="AM246" s="2952"/>
      <c r="AN246" s="2952"/>
      <c r="AO246" s="2952"/>
      <c r="AP246" s="2952"/>
    </row>
    <row r="247" s="799" customFormat="1" ht="14.25" hidden="1" customHeight="1" spans="1:126">
      <c r="A247" s="2955">
        <f>UnosPorBilans!AL196</f>
        <v>0</v>
      </c>
      <c r="B247" s="2955"/>
      <c r="C247" s="2955"/>
      <c r="D247" s="2955"/>
      <c r="E247" s="2955"/>
      <c r="F247" s="2955"/>
      <c r="G247" s="2955"/>
      <c r="H247" s="2955"/>
      <c r="I247" s="2955"/>
      <c r="J247" s="2955"/>
      <c r="K247" s="2955"/>
      <c r="L247" s="2955"/>
      <c r="M247" s="2955"/>
      <c r="N247" s="2955"/>
      <c r="O247" s="2955"/>
      <c r="P247" s="2955"/>
      <c r="Q247" s="2955"/>
      <c r="R247" s="2955"/>
      <c r="S247" s="2955"/>
      <c r="T247" s="2955"/>
      <c r="U247" s="2955"/>
      <c r="V247" s="2955">
        <f>UnosPorBilans!AS196</f>
        <v>0</v>
      </c>
      <c r="W247" s="2955"/>
      <c r="X247" s="2955"/>
      <c r="Y247" s="2955"/>
      <c r="Z247" s="2955"/>
      <c r="AA247" s="2955"/>
      <c r="AB247" s="2955"/>
      <c r="AC247" s="2955"/>
      <c r="AD247" s="2955"/>
      <c r="AE247" s="2955"/>
      <c r="AF247" s="2955"/>
      <c r="AG247" s="2955"/>
      <c r="AH247" s="2955"/>
      <c r="AI247" s="2955"/>
      <c r="AJ247" s="2955"/>
      <c r="AK247" s="2955"/>
      <c r="AL247" s="2955"/>
      <c r="AM247" s="2955"/>
      <c r="AN247" s="2955"/>
      <c r="AO247" s="2955"/>
      <c r="AP247" s="2955"/>
    </row>
    <row r="248" s="799" customFormat="1" ht="14.25" hidden="1" customHeight="1" spans="1:126">
      <c r="A248" s="2954"/>
      <c r="B248" s="2954"/>
      <c r="C248" s="2954"/>
      <c r="D248" s="2954"/>
      <c r="E248" s="2954"/>
      <c r="F248" s="2954"/>
      <c r="G248" s="2954"/>
      <c r="H248" s="2954"/>
      <c r="I248" s="2954"/>
      <c r="J248" s="2954"/>
      <c r="K248" s="2954"/>
      <c r="L248" s="2954"/>
      <c r="M248" s="2954"/>
      <c r="N248" s="2954"/>
      <c r="O248" s="2954"/>
      <c r="P248" s="2954"/>
      <c r="Q248" s="2954"/>
      <c r="R248" s="2954"/>
      <c r="S248" s="2954"/>
      <c r="T248" s="2954"/>
      <c r="U248" s="2954"/>
      <c r="V248" s="2954"/>
      <c r="W248" s="2954"/>
      <c r="X248" s="2954"/>
      <c r="Y248" s="2954"/>
      <c r="Z248" s="2954"/>
      <c r="AA248" s="2954"/>
      <c r="AB248" s="2954"/>
      <c r="AC248" s="2954"/>
      <c r="AD248" s="2954"/>
      <c r="AE248" s="2954"/>
      <c r="AF248" s="2954"/>
      <c r="AG248" s="2954"/>
      <c r="AH248" s="2954"/>
      <c r="AI248" s="2954"/>
      <c r="AJ248" s="2954"/>
      <c r="AK248" s="2954"/>
      <c r="AL248" s="2954"/>
      <c r="AM248" s="2954"/>
      <c r="AN248" s="2954"/>
      <c r="AO248" s="2954"/>
      <c r="AP248" s="2954"/>
      <c r="AQ248" s="2954"/>
      <c r="AR248" s="2954"/>
      <c r="AS248" s="2954"/>
      <c r="AT248" s="2954"/>
      <c r="AU248" s="2954"/>
      <c r="AV248" s="2954"/>
      <c r="AW248" s="2954"/>
      <c r="AX248" s="2954"/>
      <c r="AY248" s="2954"/>
      <c r="AZ248" s="2954"/>
      <c r="BA248" s="2954"/>
      <c r="BB248" s="2954"/>
      <c r="BC248" s="2954"/>
      <c r="BD248" s="2954"/>
      <c r="BE248" s="2954"/>
      <c r="BF248" s="2954"/>
      <c r="BG248" s="2954"/>
      <c r="BH248" s="2954"/>
      <c r="BI248" s="2954"/>
      <c r="BJ248" s="2954"/>
      <c r="BK248" s="2954"/>
      <c r="BL248" s="2954"/>
      <c r="BM248" s="2954"/>
      <c r="BN248" s="2954"/>
      <c r="BO248" s="2954"/>
      <c r="BP248" s="2954"/>
      <c r="BQ248" s="2954"/>
      <c r="BR248" s="2954"/>
      <c r="BS248" s="2954"/>
      <c r="BT248" s="2954"/>
      <c r="BU248" s="2954"/>
      <c r="BV248" s="2954"/>
      <c r="BW248" s="2954"/>
      <c r="BX248" s="2954"/>
      <c r="BY248" s="2954"/>
      <c r="BZ248" s="2954"/>
      <c r="CA248" s="2954"/>
      <c r="CB248" s="2954"/>
      <c r="CC248" s="2954"/>
      <c r="CD248" s="2954"/>
      <c r="CE248" s="2954"/>
      <c r="CF248" s="2954"/>
      <c r="CG248" s="2954"/>
      <c r="CH248" s="2954"/>
      <c r="CI248" s="2954"/>
      <c r="CJ248" s="2954"/>
      <c r="CK248" s="2954"/>
      <c r="CL248" s="2954"/>
      <c r="CM248" s="2954"/>
      <c r="CN248" s="2954"/>
      <c r="CO248" s="2954"/>
      <c r="CP248" s="2954"/>
      <c r="CQ248" s="2954"/>
      <c r="CR248" s="2954"/>
      <c r="CS248" s="2954"/>
      <c r="CT248" s="2954"/>
      <c r="CU248" s="2954"/>
      <c r="CV248" s="2954"/>
      <c r="CW248" s="2954"/>
      <c r="CX248" s="2954"/>
      <c r="CY248" s="2954"/>
      <c r="CZ248" s="2954"/>
      <c r="DA248" s="2954"/>
      <c r="DB248" s="2954"/>
      <c r="DC248" s="2954"/>
      <c r="DD248" s="2954"/>
      <c r="DE248" s="2954"/>
      <c r="DF248" s="2954"/>
      <c r="DG248" s="2954"/>
      <c r="DH248" s="2954"/>
      <c r="DI248" s="2954"/>
      <c r="DJ248" s="2954"/>
      <c r="DK248" s="2954"/>
      <c r="DL248" s="2954"/>
      <c r="DM248" s="2954"/>
      <c r="DN248" s="2954"/>
      <c r="DO248" s="2954"/>
      <c r="DP248" s="2954"/>
      <c r="DQ248" s="2954"/>
      <c r="DR248" s="2954"/>
      <c r="DS248" s="2954"/>
      <c r="DT248" s="2954"/>
      <c r="DU248" s="2954"/>
      <c r="DV248" s="2954"/>
    </row>
    <row r="249" s="799" customFormat="1" ht="14.25" hidden="1" customHeight="1" spans="1:126">
      <c r="A249" s="2952" t="s">
        <v>4214</v>
      </c>
      <c r="B249" s="2952"/>
      <c r="C249" s="2952" t="s">
        <v>6940</v>
      </c>
      <c r="D249" s="2952"/>
      <c r="E249" s="2952"/>
      <c r="F249" s="2952"/>
      <c r="G249" s="2952"/>
      <c r="H249" s="2952"/>
      <c r="I249" s="2952"/>
      <c r="J249" s="2952"/>
      <c r="K249" s="2952"/>
      <c r="L249" s="2952"/>
      <c r="M249" s="2952"/>
      <c r="N249" s="2952"/>
      <c r="O249" s="2952"/>
      <c r="P249" s="2952"/>
      <c r="Q249" s="2952"/>
      <c r="R249" s="2952"/>
      <c r="S249" s="2952"/>
      <c r="T249" s="2952"/>
      <c r="U249" s="2952"/>
      <c r="V249" s="2952" t="s">
        <v>6941</v>
      </c>
      <c r="W249" s="2952"/>
      <c r="X249" s="2952"/>
      <c r="Y249" s="2952"/>
      <c r="Z249" s="2952"/>
      <c r="AA249" s="2952"/>
      <c r="AB249" s="2952"/>
      <c r="AC249" s="2952"/>
      <c r="AD249" s="2952"/>
      <c r="AE249" s="2952"/>
      <c r="AF249" s="2952"/>
      <c r="AG249" s="2952" t="s">
        <v>6942</v>
      </c>
      <c r="AH249" s="2952"/>
      <c r="AI249" s="2952"/>
      <c r="AJ249" s="2952"/>
      <c r="AK249" s="2952"/>
      <c r="AL249" s="2952"/>
      <c r="AM249" s="2952"/>
      <c r="AN249" s="2952"/>
      <c r="AO249" s="2952"/>
      <c r="AP249" s="2952"/>
    </row>
    <row r="250" s="799" customFormat="1" ht="14.25" hidden="1" customHeight="1" spans="1:126">
      <c r="A250" s="2955">
        <f>UnosPorBilans!B197</f>
        <v>0</v>
      </c>
      <c r="B250" s="2955"/>
      <c r="C250" s="2955"/>
      <c r="D250" s="2955"/>
      <c r="E250" s="2955"/>
      <c r="F250" s="2955"/>
      <c r="G250" s="2955"/>
      <c r="H250" s="2955"/>
      <c r="I250" s="2955"/>
      <c r="J250" s="2955"/>
      <c r="K250" s="2955"/>
      <c r="L250" s="2955"/>
      <c r="M250" s="2955"/>
      <c r="N250" s="2955"/>
      <c r="O250" s="2955"/>
      <c r="P250" s="2955"/>
      <c r="Q250" s="2955"/>
      <c r="R250" s="2955"/>
      <c r="S250" s="2955"/>
      <c r="T250" s="2955"/>
      <c r="U250" s="2955"/>
      <c r="V250" s="2955">
        <f>UnosPorBilans!I197</f>
        <v>0</v>
      </c>
      <c r="W250" s="2955"/>
      <c r="X250" s="2955"/>
      <c r="Y250" s="2955"/>
      <c r="Z250" s="2955"/>
      <c r="AA250" s="2955"/>
      <c r="AB250" s="2955"/>
      <c r="AC250" s="2955"/>
      <c r="AD250" s="2955"/>
      <c r="AE250" s="2955"/>
      <c r="AF250" s="2955"/>
      <c r="AG250" s="2955">
        <f>UnosPorBilans!N197</f>
        <v>0</v>
      </c>
      <c r="AH250" s="2955"/>
      <c r="AI250" s="2955"/>
      <c r="AJ250" s="2955"/>
      <c r="AK250" s="2955"/>
      <c r="AL250" s="2955"/>
      <c r="AM250" s="2955"/>
      <c r="AN250" s="2955"/>
      <c r="AO250" s="2955"/>
      <c r="AP250" s="2955"/>
    </row>
    <row r="251" s="799" customFormat="1" ht="14.25" hidden="1" customHeight="1" spans="1:126">
      <c r="A251" s="2952" t="s">
        <v>6943</v>
      </c>
      <c r="B251" s="2952"/>
      <c r="C251" s="2952"/>
      <c r="D251" s="2952"/>
      <c r="E251" s="2952"/>
      <c r="F251" s="2952"/>
      <c r="G251" s="2952"/>
      <c r="H251" s="2952"/>
      <c r="I251" s="2952"/>
      <c r="J251" s="2952"/>
      <c r="K251" s="2952" t="s">
        <v>6944</v>
      </c>
      <c r="L251" s="2952"/>
      <c r="M251" s="2952"/>
      <c r="N251" s="2952"/>
      <c r="O251" s="2952"/>
      <c r="P251" s="2952"/>
      <c r="Q251" s="2952"/>
      <c r="R251" s="2952"/>
      <c r="S251" s="2952"/>
      <c r="T251" s="2952"/>
      <c r="U251" s="2952"/>
      <c r="V251" s="2952" t="s">
        <v>6945</v>
      </c>
      <c r="W251" s="2952"/>
      <c r="X251" s="2952"/>
      <c r="Y251" s="2952"/>
      <c r="Z251" s="2952"/>
      <c r="AA251" s="2952"/>
      <c r="AB251" s="2952"/>
      <c r="AC251" s="2952"/>
      <c r="AD251" s="2952"/>
      <c r="AE251" s="2952"/>
      <c r="AF251" s="2952"/>
      <c r="AG251" s="2952" t="s">
        <v>6946</v>
      </c>
      <c r="AH251" s="2952"/>
      <c r="AI251" s="2952"/>
      <c r="AJ251" s="2952"/>
      <c r="AK251" s="2952"/>
      <c r="AL251" s="2952"/>
      <c r="AM251" s="2952"/>
      <c r="AN251" s="2952"/>
      <c r="AO251" s="2952"/>
      <c r="AP251" s="2952"/>
    </row>
    <row r="252" s="799" customFormat="1" ht="14.25" hidden="1" customHeight="1" spans="1:126">
      <c r="A252" s="2955">
        <f>UnosPorBilans!S197</f>
        <v>0</v>
      </c>
      <c r="B252" s="2955"/>
      <c r="C252" s="2955"/>
      <c r="D252" s="2955"/>
      <c r="E252" s="2955"/>
      <c r="F252" s="2955"/>
      <c r="G252" s="2955"/>
      <c r="H252" s="2955"/>
      <c r="I252" s="2955"/>
      <c r="J252" s="2955"/>
      <c r="K252" s="2955">
        <f>UnosPorBilans!W197</f>
        <v>0</v>
      </c>
      <c r="L252" s="2955"/>
      <c r="M252" s="2955"/>
      <c r="N252" s="2955"/>
      <c r="O252" s="2955"/>
      <c r="P252" s="2955"/>
      <c r="Q252" s="2955"/>
      <c r="R252" s="2955"/>
      <c r="S252" s="2955"/>
      <c r="T252" s="2955"/>
      <c r="U252" s="2955"/>
      <c r="V252" s="2955">
        <f>UnosPorBilans!AB197</f>
        <v>0</v>
      </c>
      <c r="W252" s="2955"/>
      <c r="X252" s="2955"/>
      <c r="Y252" s="2955"/>
      <c r="Z252" s="2955"/>
      <c r="AA252" s="2955"/>
      <c r="AB252" s="2955"/>
      <c r="AC252" s="2955"/>
      <c r="AD252" s="2955"/>
      <c r="AE252" s="2955"/>
      <c r="AF252" s="2955"/>
      <c r="AG252" s="2955">
        <f>UnosPorBilans!AG197</f>
        <v>0</v>
      </c>
      <c r="AH252" s="2955"/>
      <c r="AI252" s="2955"/>
      <c r="AJ252" s="2955"/>
      <c r="AK252" s="2955"/>
      <c r="AL252" s="2955"/>
      <c r="AM252" s="2955"/>
      <c r="AN252" s="2955"/>
      <c r="AO252" s="2955"/>
      <c r="AP252" s="2955"/>
    </row>
    <row r="253" s="799" customFormat="1" ht="14.25" hidden="1" customHeight="1" spans="1:126">
      <c r="A253" s="2952" t="s">
        <v>6947</v>
      </c>
      <c r="B253" s="2952"/>
      <c r="C253" s="2952"/>
      <c r="D253" s="2952"/>
      <c r="E253" s="2952"/>
      <c r="F253" s="2952"/>
      <c r="G253" s="2952"/>
      <c r="H253" s="2952"/>
      <c r="I253" s="2952"/>
      <c r="J253" s="2952"/>
      <c r="K253" s="2952"/>
      <c r="L253" s="2952"/>
      <c r="M253" s="2952"/>
      <c r="N253" s="2952"/>
      <c r="O253" s="2952"/>
      <c r="P253" s="2952"/>
      <c r="Q253" s="2952"/>
      <c r="R253" s="2952"/>
      <c r="S253" s="2952"/>
      <c r="T253" s="2952"/>
      <c r="U253" s="2952"/>
      <c r="V253" s="2952" t="s">
        <v>6948</v>
      </c>
      <c r="W253" s="2952"/>
      <c r="X253" s="2952"/>
      <c r="Y253" s="2952"/>
      <c r="Z253" s="2952"/>
      <c r="AA253" s="2952"/>
      <c r="AB253" s="2952"/>
      <c r="AC253" s="2952"/>
      <c r="AD253" s="2952"/>
      <c r="AE253" s="2952"/>
      <c r="AF253" s="2952"/>
      <c r="AG253" s="2952"/>
      <c r="AH253" s="2952"/>
      <c r="AI253" s="2952"/>
      <c r="AJ253" s="2952"/>
      <c r="AK253" s="2952"/>
      <c r="AL253" s="2952"/>
      <c r="AM253" s="2952"/>
      <c r="AN253" s="2952"/>
      <c r="AO253" s="2952"/>
      <c r="AP253" s="2952"/>
    </row>
    <row r="254" s="799" customFormat="1" ht="14.25" hidden="1" customHeight="1" spans="1:126">
      <c r="A254" s="2955">
        <f>UnosPorBilans!AL197</f>
        <v>0</v>
      </c>
      <c r="B254" s="2955"/>
      <c r="C254" s="2955"/>
      <c r="D254" s="2955"/>
      <c r="E254" s="2955"/>
      <c r="F254" s="2955"/>
      <c r="G254" s="2955"/>
      <c r="H254" s="2955"/>
      <c r="I254" s="2955"/>
      <c r="J254" s="2955"/>
      <c r="K254" s="2955"/>
      <c r="L254" s="2955"/>
      <c r="M254" s="2955"/>
      <c r="N254" s="2955"/>
      <c r="O254" s="2955"/>
      <c r="P254" s="2955"/>
      <c r="Q254" s="2955"/>
      <c r="R254" s="2955"/>
      <c r="S254" s="2955"/>
      <c r="T254" s="2955"/>
      <c r="U254" s="2955"/>
      <c r="V254" s="2955">
        <f>UnosPorBilans!AS197</f>
        <v>0</v>
      </c>
      <c r="W254" s="2955"/>
      <c r="X254" s="2955"/>
      <c r="Y254" s="2955"/>
      <c r="Z254" s="2955"/>
      <c r="AA254" s="2955"/>
      <c r="AB254" s="2955"/>
      <c r="AC254" s="2955"/>
      <c r="AD254" s="2955"/>
      <c r="AE254" s="2955"/>
      <c r="AF254" s="2955"/>
      <c r="AG254" s="2955"/>
      <c r="AH254" s="2955"/>
      <c r="AI254" s="2955"/>
      <c r="AJ254" s="2955"/>
      <c r="AK254" s="2955"/>
      <c r="AL254" s="2955"/>
      <c r="AM254" s="2955"/>
      <c r="AN254" s="2955"/>
      <c r="AO254" s="2955"/>
      <c r="AP254" s="2955"/>
    </row>
    <row r="255" s="799" customFormat="1" ht="14.25" hidden="1" customHeight="1" spans="1:126">
      <c r="A255" s="2954"/>
      <c r="B255" s="2954"/>
      <c r="C255" s="2954"/>
      <c r="D255" s="2954"/>
      <c r="E255" s="2954"/>
      <c r="F255" s="2954"/>
      <c r="G255" s="2954"/>
      <c r="H255" s="2954"/>
      <c r="I255" s="2954"/>
      <c r="J255" s="2954"/>
      <c r="K255" s="2954"/>
      <c r="L255" s="2954"/>
      <c r="M255" s="2954"/>
      <c r="N255" s="2954"/>
      <c r="O255" s="2954"/>
      <c r="P255" s="2954"/>
      <c r="Q255" s="2954"/>
      <c r="R255" s="2954"/>
      <c r="S255" s="2954"/>
      <c r="T255" s="2954"/>
      <c r="U255" s="2954"/>
      <c r="V255" s="2954"/>
      <c r="W255" s="2954"/>
      <c r="X255" s="2954"/>
      <c r="Y255" s="2954"/>
      <c r="Z255" s="2954"/>
      <c r="AA255" s="2954"/>
      <c r="AB255" s="2954"/>
      <c r="AC255" s="2954"/>
      <c r="AD255" s="2954"/>
      <c r="AE255" s="2954"/>
      <c r="AF255" s="2954"/>
      <c r="AG255" s="2954"/>
      <c r="AH255" s="2954"/>
      <c r="AI255" s="2954"/>
      <c r="AJ255" s="2954"/>
      <c r="AK255" s="2954"/>
      <c r="AL255" s="2954"/>
      <c r="AM255" s="2954"/>
      <c r="AN255" s="2954"/>
      <c r="AO255" s="2954"/>
      <c r="AP255" s="2954"/>
      <c r="AQ255" s="2954"/>
      <c r="AR255" s="2954"/>
      <c r="AS255" s="2954"/>
      <c r="AT255" s="2954"/>
      <c r="AU255" s="2954"/>
      <c r="AV255" s="2954"/>
      <c r="AW255" s="2954"/>
      <c r="AX255" s="2954"/>
      <c r="AY255" s="2954"/>
      <c r="AZ255" s="2954"/>
      <c r="BA255" s="2954"/>
      <c r="BB255" s="2954"/>
      <c r="BC255" s="2954"/>
      <c r="BD255" s="2954"/>
      <c r="BE255" s="2954"/>
      <c r="BF255" s="2954"/>
      <c r="BG255" s="2954"/>
      <c r="BH255" s="2954"/>
      <c r="BI255" s="2954"/>
      <c r="BJ255" s="2954"/>
      <c r="BK255" s="2954"/>
      <c r="BL255" s="2954"/>
      <c r="BM255" s="2954"/>
      <c r="BN255" s="2954"/>
      <c r="BO255" s="2954"/>
      <c r="BP255" s="2954"/>
      <c r="BQ255" s="2954"/>
      <c r="BR255" s="2954"/>
      <c r="BS255" s="2954"/>
      <c r="BT255" s="2954"/>
      <c r="BU255" s="2954"/>
      <c r="BV255" s="2954"/>
      <c r="BW255" s="2954"/>
      <c r="BX255" s="2954"/>
      <c r="BY255" s="2954"/>
      <c r="BZ255" s="2954"/>
      <c r="CA255" s="2954"/>
      <c r="CB255" s="2954"/>
      <c r="CC255" s="2954"/>
      <c r="CD255" s="2954"/>
      <c r="CE255" s="2954"/>
      <c r="CF255" s="2954"/>
      <c r="CG255" s="2954"/>
      <c r="CH255" s="2954"/>
      <c r="CI255" s="2954"/>
      <c r="CJ255" s="2954"/>
      <c r="CK255" s="2954"/>
      <c r="CL255" s="2954"/>
      <c r="CM255" s="2954"/>
      <c r="CN255" s="2954"/>
      <c r="CO255" s="2954"/>
      <c r="CP255" s="2954"/>
      <c r="CQ255" s="2954"/>
      <c r="CR255" s="2954"/>
      <c r="CS255" s="2954"/>
      <c r="CT255" s="2954"/>
      <c r="CU255" s="2954"/>
      <c r="CV255" s="2954"/>
      <c r="CW255" s="2954"/>
      <c r="CX255" s="2954"/>
      <c r="CY255" s="2954"/>
      <c r="CZ255" s="2954"/>
      <c r="DA255" s="2954"/>
      <c r="DB255" s="2954"/>
      <c r="DC255" s="2954"/>
      <c r="DD255" s="2954"/>
      <c r="DE255" s="2954"/>
      <c r="DF255" s="2954"/>
      <c r="DG255" s="2954"/>
      <c r="DH255" s="2954"/>
      <c r="DI255" s="2954"/>
      <c r="DJ255" s="2954"/>
      <c r="DK255" s="2954"/>
      <c r="DL255" s="2954"/>
      <c r="DM255" s="2954"/>
      <c r="DN255" s="2954"/>
      <c r="DO255" s="2954"/>
      <c r="DP255" s="2954"/>
      <c r="DQ255" s="2954"/>
      <c r="DR255" s="2954"/>
      <c r="DS255" s="2954"/>
      <c r="DT255" s="2954"/>
      <c r="DU255" s="2954"/>
      <c r="DV255" s="2954"/>
    </row>
    <row r="256" s="799" customFormat="1" ht="14.25" hidden="1" customHeight="1" spans="1:126">
      <c r="A256" s="2952" t="s">
        <v>4214</v>
      </c>
      <c r="B256" s="2952"/>
      <c r="C256" s="2952" t="s">
        <v>6940</v>
      </c>
      <c r="D256" s="2952"/>
      <c r="E256" s="2952"/>
      <c r="F256" s="2952"/>
      <c r="G256" s="2952"/>
      <c r="H256" s="2952"/>
      <c r="I256" s="2952"/>
      <c r="J256" s="2952"/>
      <c r="K256" s="2952"/>
      <c r="L256" s="2952"/>
      <c r="M256" s="2952"/>
      <c r="N256" s="2952"/>
      <c r="O256" s="2952"/>
      <c r="P256" s="2952"/>
      <c r="Q256" s="2952"/>
      <c r="R256" s="2952"/>
      <c r="S256" s="2952"/>
      <c r="T256" s="2952"/>
      <c r="U256" s="2952"/>
      <c r="V256" s="2952" t="s">
        <v>6941</v>
      </c>
      <c r="W256" s="2952"/>
      <c r="X256" s="2952"/>
      <c r="Y256" s="2952"/>
      <c r="Z256" s="2952"/>
      <c r="AA256" s="2952"/>
      <c r="AB256" s="2952"/>
      <c r="AC256" s="2952"/>
      <c r="AD256" s="2952"/>
      <c r="AE256" s="2952"/>
      <c r="AF256" s="2952"/>
      <c r="AG256" s="2952" t="s">
        <v>6942</v>
      </c>
      <c r="AH256" s="2952"/>
      <c r="AI256" s="2952"/>
      <c r="AJ256" s="2952"/>
      <c r="AK256" s="2952"/>
      <c r="AL256" s="2952"/>
      <c r="AM256" s="2952"/>
      <c r="AN256" s="2952"/>
      <c r="AO256" s="2952"/>
      <c r="AP256" s="2952"/>
    </row>
    <row r="257" s="799" customFormat="1" hidden="1" customHeight="1" spans="1:126">
      <c r="A257" s="2955">
        <f>UnosPorBilans!B198</f>
        <v>0</v>
      </c>
      <c r="B257" s="2955"/>
      <c r="C257" s="2955"/>
      <c r="D257" s="2955"/>
      <c r="E257" s="2955"/>
      <c r="F257" s="2955"/>
      <c r="G257" s="2955"/>
      <c r="H257" s="2955"/>
      <c r="I257" s="2955"/>
      <c r="J257" s="2955"/>
      <c r="K257" s="2955"/>
      <c r="L257" s="2955"/>
      <c r="M257" s="2955"/>
      <c r="N257" s="2955"/>
      <c r="O257" s="2955"/>
      <c r="P257" s="2955"/>
      <c r="Q257" s="2955"/>
      <c r="R257" s="2955"/>
      <c r="S257" s="2955"/>
      <c r="T257" s="2955"/>
      <c r="U257" s="2955"/>
      <c r="V257" s="2955">
        <f>UnosPorBilans!I198</f>
        <v>0</v>
      </c>
      <c r="W257" s="2955"/>
      <c r="X257" s="2955"/>
      <c r="Y257" s="2955"/>
      <c r="Z257" s="2955"/>
      <c r="AA257" s="2955"/>
      <c r="AB257" s="2955"/>
      <c r="AC257" s="2955"/>
      <c r="AD257" s="2955"/>
      <c r="AE257" s="2955"/>
      <c r="AF257" s="2955"/>
      <c r="AG257" s="2955">
        <f>UnosPorBilans!N198</f>
        <v>0</v>
      </c>
      <c r="AH257" s="2955"/>
      <c r="AI257" s="2955"/>
      <c r="AJ257" s="2955"/>
      <c r="AK257" s="2955"/>
      <c r="AL257" s="2955"/>
      <c r="AM257" s="2955"/>
      <c r="AN257" s="2955"/>
      <c r="AO257" s="2955"/>
      <c r="AP257" s="2955"/>
    </row>
    <row r="258" s="799" customFormat="1" hidden="1" customHeight="1" spans="1:126">
      <c r="A258" s="2952" t="s">
        <v>6943</v>
      </c>
      <c r="B258" s="2952"/>
      <c r="C258" s="2952"/>
      <c r="D258" s="2952"/>
      <c r="E258" s="2952"/>
      <c r="F258" s="2952"/>
      <c r="G258" s="2952"/>
      <c r="H258" s="2952"/>
      <c r="I258" s="2952"/>
      <c r="J258" s="2952"/>
      <c r="K258" s="2952" t="s">
        <v>6944</v>
      </c>
      <c r="L258" s="2952"/>
      <c r="M258" s="2952"/>
      <c r="N258" s="2952"/>
      <c r="O258" s="2952"/>
      <c r="P258" s="2952"/>
      <c r="Q258" s="2952"/>
      <c r="R258" s="2952"/>
      <c r="S258" s="2952"/>
      <c r="T258" s="2952"/>
      <c r="U258" s="2952"/>
      <c r="V258" s="2952" t="s">
        <v>6945</v>
      </c>
      <c r="W258" s="2952"/>
      <c r="X258" s="2952"/>
      <c r="Y258" s="2952"/>
      <c r="Z258" s="2952"/>
      <c r="AA258" s="2952"/>
      <c r="AB258" s="2952"/>
      <c r="AC258" s="2952"/>
      <c r="AD258" s="2952"/>
      <c r="AE258" s="2952"/>
      <c r="AF258" s="2952"/>
      <c r="AG258" s="2952" t="s">
        <v>6946</v>
      </c>
      <c r="AH258" s="2952"/>
      <c r="AI258" s="2952"/>
      <c r="AJ258" s="2952"/>
      <c r="AK258" s="2952"/>
      <c r="AL258" s="2952"/>
      <c r="AM258" s="2952"/>
      <c r="AN258" s="2952"/>
      <c r="AO258" s="2952"/>
      <c r="AP258" s="2952"/>
    </row>
    <row r="259" s="799" customFormat="1" hidden="1" customHeight="1" spans="1:126">
      <c r="A259" s="2955">
        <f>UnosPorBilans!S198</f>
        <v>0</v>
      </c>
      <c r="B259" s="2955"/>
      <c r="C259" s="2955"/>
      <c r="D259" s="2955"/>
      <c r="E259" s="2955"/>
      <c r="F259" s="2955"/>
      <c r="G259" s="2955"/>
      <c r="H259" s="2955"/>
      <c r="I259" s="2955"/>
      <c r="J259" s="2955"/>
      <c r="K259" s="2955">
        <f>UnosPorBilans!W198</f>
        <v>0</v>
      </c>
      <c r="L259" s="2955"/>
      <c r="M259" s="2955"/>
      <c r="N259" s="2955"/>
      <c r="O259" s="2955"/>
      <c r="P259" s="2955"/>
      <c r="Q259" s="2955"/>
      <c r="R259" s="2955"/>
      <c r="S259" s="2955"/>
      <c r="T259" s="2955"/>
      <c r="U259" s="2955"/>
      <c r="V259" s="2955">
        <f>UnosPorBilans!AB198</f>
        <v>0</v>
      </c>
      <c r="W259" s="2955"/>
      <c r="X259" s="2955"/>
      <c r="Y259" s="2955"/>
      <c r="Z259" s="2955"/>
      <c r="AA259" s="2955"/>
      <c r="AB259" s="2955"/>
      <c r="AC259" s="2955"/>
      <c r="AD259" s="2955"/>
      <c r="AE259" s="2955"/>
      <c r="AF259" s="2955"/>
      <c r="AG259" s="2955">
        <f>UnosPorBilans!AG198</f>
        <v>0</v>
      </c>
      <c r="AH259" s="2955"/>
      <c r="AI259" s="2955"/>
      <c r="AJ259" s="2955"/>
      <c r="AK259" s="2955"/>
      <c r="AL259" s="2955"/>
      <c r="AM259" s="2955"/>
      <c r="AN259" s="2955"/>
      <c r="AO259" s="2955"/>
      <c r="AP259" s="2955"/>
    </row>
    <row r="260" s="799" customFormat="1" hidden="1" customHeight="1" spans="1:126">
      <c r="A260" s="2952" t="s">
        <v>6947</v>
      </c>
      <c r="B260" s="2952"/>
      <c r="C260" s="2952"/>
      <c r="D260" s="2952"/>
      <c r="E260" s="2952"/>
      <c r="F260" s="2952"/>
      <c r="G260" s="2952"/>
      <c r="H260" s="2952"/>
      <c r="I260" s="2952"/>
      <c r="J260" s="2952"/>
      <c r="K260" s="2952"/>
      <c r="L260" s="2952"/>
      <c r="M260" s="2952"/>
      <c r="N260" s="2952"/>
      <c r="O260" s="2952"/>
      <c r="P260" s="2952"/>
      <c r="Q260" s="2952"/>
      <c r="R260" s="2952"/>
      <c r="S260" s="2952"/>
      <c r="T260" s="2952"/>
      <c r="U260" s="2952"/>
      <c r="V260" s="2952" t="s">
        <v>6948</v>
      </c>
      <c r="W260" s="2952"/>
      <c r="X260" s="2952"/>
      <c r="Y260" s="2952"/>
      <c r="Z260" s="2952"/>
      <c r="AA260" s="2952"/>
      <c r="AB260" s="2952"/>
      <c r="AC260" s="2952"/>
      <c r="AD260" s="2952"/>
      <c r="AE260" s="2952"/>
      <c r="AF260" s="2952"/>
      <c r="AG260" s="2952"/>
      <c r="AH260" s="2952"/>
      <c r="AI260" s="2952"/>
      <c r="AJ260" s="2952"/>
      <c r="AK260" s="2952"/>
      <c r="AL260" s="2952"/>
      <c r="AM260" s="2952"/>
      <c r="AN260" s="2952"/>
      <c r="AO260" s="2952"/>
      <c r="AP260" s="2952"/>
    </row>
    <row r="261" s="799" customFormat="1" hidden="1" customHeight="1" spans="1:126">
      <c r="A261" s="2955">
        <f>UnosPorBilans!AL198</f>
        <v>0</v>
      </c>
      <c r="B261" s="2955"/>
      <c r="C261" s="2955"/>
      <c r="D261" s="2955"/>
      <c r="E261" s="2955"/>
      <c r="F261" s="2955"/>
      <c r="G261" s="2955"/>
      <c r="H261" s="2955"/>
      <c r="I261" s="2955"/>
      <c r="J261" s="2955"/>
      <c r="K261" s="2955"/>
      <c r="L261" s="2955"/>
      <c r="M261" s="2955"/>
      <c r="N261" s="2955"/>
      <c r="O261" s="2955"/>
      <c r="P261" s="2955"/>
      <c r="Q261" s="2955"/>
      <c r="R261" s="2955"/>
      <c r="S261" s="2955"/>
      <c r="T261" s="2955"/>
      <c r="U261" s="2955"/>
      <c r="V261" s="2955">
        <f>UnosPorBilans!AS198</f>
        <v>0</v>
      </c>
      <c r="W261" s="2955"/>
      <c r="X261" s="2955"/>
      <c r="Y261" s="2955"/>
      <c r="Z261" s="2955"/>
      <c r="AA261" s="2955"/>
      <c r="AB261" s="2955"/>
      <c r="AC261" s="2955"/>
      <c r="AD261" s="2955"/>
      <c r="AE261" s="2955"/>
      <c r="AF261" s="2955"/>
      <c r="AG261" s="2955"/>
      <c r="AH261" s="2955"/>
      <c r="AI261" s="2955"/>
      <c r="AJ261" s="2955"/>
      <c r="AK261" s="2955"/>
      <c r="AL261" s="2955"/>
      <c r="AM261" s="2955"/>
      <c r="AN261" s="2955"/>
      <c r="AO261" s="2955"/>
      <c r="AP261" s="2955"/>
    </row>
    <row r="262" s="799" customFormat="1" ht="14.25" hidden="1" customHeight="1" spans="1:126">
      <c r="A262" s="2954"/>
      <c r="B262" s="2954"/>
      <c r="C262" s="2954"/>
      <c r="D262" s="2954"/>
      <c r="E262" s="2954"/>
      <c r="F262" s="2954"/>
      <c r="G262" s="2954"/>
      <c r="H262" s="2954"/>
      <c r="I262" s="2954"/>
      <c r="J262" s="2954"/>
      <c r="K262" s="2954"/>
      <c r="L262" s="2954"/>
      <c r="M262" s="2954"/>
      <c r="N262" s="2954"/>
      <c r="O262" s="2954"/>
      <c r="P262" s="2954"/>
      <c r="Q262" s="2954"/>
      <c r="R262" s="2954"/>
      <c r="S262" s="2954"/>
      <c r="T262" s="2954"/>
      <c r="U262" s="2954"/>
      <c r="V262" s="2954"/>
      <c r="W262" s="2954"/>
      <c r="X262" s="2954"/>
      <c r="Y262" s="2954"/>
      <c r="Z262" s="2954"/>
      <c r="AA262" s="2954"/>
      <c r="AB262" s="2954"/>
      <c r="AC262" s="2954"/>
      <c r="AD262" s="2954"/>
      <c r="AE262" s="2954"/>
      <c r="AF262" s="2954"/>
      <c r="AG262" s="2954"/>
      <c r="AH262" s="2954"/>
      <c r="AI262" s="2954"/>
      <c r="AJ262" s="2954"/>
      <c r="AK262" s="2954"/>
      <c r="AL262" s="2954"/>
      <c r="AM262" s="2954"/>
      <c r="AN262" s="2954"/>
      <c r="AO262" s="2954"/>
      <c r="AP262" s="2954"/>
      <c r="AQ262" s="2954"/>
      <c r="AR262" s="2954"/>
      <c r="AS262" s="2954"/>
      <c r="AT262" s="2954"/>
      <c r="AU262" s="2954"/>
      <c r="AV262" s="2954"/>
      <c r="AW262" s="2954"/>
      <c r="AX262" s="2954"/>
      <c r="AY262" s="2954"/>
      <c r="AZ262" s="2954"/>
      <c r="BA262" s="2954"/>
      <c r="BB262" s="2954"/>
      <c r="BC262" s="2954"/>
      <c r="BD262" s="2954"/>
      <c r="BE262" s="2954"/>
      <c r="BF262" s="2954"/>
      <c r="BG262" s="2954"/>
      <c r="BH262" s="2954"/>
      <c r="BI262" s="2954"/>
      <c r="BJ262" s="2954"/>
      <c r="BK262" s="2954"/>
      <c r="BL262" s="2954"/>
      <c r="BM262" s="2954"/>
      <c r="BN262" s="2954"/>
      <c r="BO262" s="2954"/>
      <c r="BP262" s="2954"/>
      <c r="BQ262" s="2954"/>
      <c r="BR262" s="2954"/>
      <c r="BS262" s="2954"/>
      <c r="BT262" s="2954"/>
      <c r="BU262" s="2954"/>
      <c r="BV262" s="2954"/>
      <c r="BW262" s="2954"/>
      <c r="BX262" s="2954"/>
      <c r="BY262" s="2954"/>
      <c r="BZ262" s="2954"/>
      <c r="CA262" s="2954"/>
      <c r="CB262" s="2954"/>
      <c r="CC262" s="2954"/>
      <c r="CD262" s="2954"/>
      <c r="CE262" s="2954"/>
      <c r="CF262" s="2954"/>
      <c r="CG262" s="2954"/>
      <c r="CH262" s="2954"/>
      <c r="CI262" s="2954"/>
      <c r="CJ262" s="2954"/>
      <c r="CK262" s="2954"/>
      <c r="CL262" s="2954"/>
      <c r="CM262" s="2954"/>
      <c r="CN262" s="2954"/>
      <c r="CO262" s="2954"/>
      <c r="CP262" s="2954"/>
      <c r="CQ262" s="2954"/>
      <c r="CR262" s="2954"/>
      <c r="CS262" s="2954"/>
      <c r="CT262" s="2954"/>
      <c r="CU262" s="2954"/>
      <c r="CV262" s="2954"/>
      <c r="CW262" s="2954"/>
      <c r="CX262" s="2954"/>
      <c r="CY262" s="2954"/>
      <c r="CZ262" s="2954"/>
      <c r="DA262" s="2954"/>
      <c r="DB262" s="2954"/>
      <c r="DC262" s="2954"/>
      <c r="DD262" s="2954"/>
      <c r="DE262" s="2954"/>
      <c r="DF262" s="2954"/>
      <c r="DG262" s="2954"/>
      <c r="DH262" s="2954"/>
      <c r="DI262" s="2954"/>
      <c r="DJ262" s="2954"/>
      <c r="DK262" s="2954"/>
      <c r="DL262" s="2954"/>
      <c r="DM262" s="2954"/>
      <c r="DN262" s="2954"/>
      <c r="DO262" s="2954"/>
      <c r="DP262" s="2954"/>
      <c r="DQ262" s="2954"/>
      <c r="DR262" s="2954"/>
      <c r="DS262" s="2954"/>
      <c r="DT262" s="2954"/>
      <c r="DU262" s="2954"/>
      <c r="DV262" s="2954"/>
    </row>
    <row r="263" s="799" customFormat="1" ht="14.25" hidden="1" customHeight="1" spans="1:126">
      <c r="A263" s="2954"/>
      <c r="B263" s="2954"/>
      <c r="C263" s="2954"/>
      <c r="D263" s="2954"/>
      <c r="E263" s="2954"/>
      <c r="F263" s="2954"/>
      <c r="G263" s="2954"/>
      <c r="H263" s="2954"/>
      <c r="I263" s="2954"/>
      <c r="J263" s="2954"/>
      <c r="K263" s="2954"/>
      <c r="L263" s="2954"/>
      <c r="M263" s="2954"/>
      <c r="N263" s="2954"/>
      <c r="O263" s="2954"/>
      <c r="P263" s="2954"/>
      <c r="Q263" s="2954"/>
      <c r="R263" s="2954"/>
      <c r="S263" s="2954"/>
      <c r="T263" s="2954"/>
      <c r="U263" s="2954"/>
      <c r="V263" s="2954"/>
      <c r="W263" s="2954"/>
      <c r="X263" s="2954"/>
      <c r="Y263" s="2954"/>
      <c r="Z263" s="2954"/>
      <c r="AA263" s="2954"/>
      <c r="AB263" s="2954"/>
      <c r="AC263" s="2954"/>
      <c r="AD263" s="2954"/>
      <c r="AE263" s="2954"/>
      <c r="AF263" s="2954"/>
      <c r="AG263" s="2954"/>
      <c r="AH263" s="2954"/>
      <c r="AI263" s="2954"/>
      <c r="AJ263" s="2954"/>
      <c r="AK263" s="2954"/>
      <c r="AL263" s="2954"/>
      <c r="AM263" s="2954"/>
      <c r="AN263" s="2954"/>
      <c r="AO263" s="2954"/>
      <c r="AP263" s="2954"/>
      <c r="AQ263" s="2954"/>
      <c r="AR263" s="2954"/>
      <c r="AS263" s="2954"/>
      <c r="AT263" s="2954"/>
      <c r="AU263" s="2954"/>
      <c r="AV263" s="2954"/>
      <c r="AW263" s="2954"/>
      <c r="AX263" s="2954"/>
      <c r="AY263" s="2954"/>
      <c r="AZ263" s="2954"/>
      <c r="BA263" s="2954"/>
      <c r="BB263" s="2954"/>
      <c r="BC263" s="2954"/>
      <c r="BD263" s="2954"/>
      <c r="BE263" s="2954"/>
      <c r="BF263" s="2954"/>
      <c r="BG263" s="2954"/>
      <c r="BH263" s="2954"/>
      <c r="BI263" s="2954"/>
      <c r="BJ263" s="2954"/>
      <c r="BK263" s="2954"/>
      <c r="BL263" s="2954"/>
      <c r="BM263" s="2954"/>
      <c r="BN263" s="2954"/>
      <c r="BO263" s="2954"/>
      <c r="BP263" s="2954"/>
      <c r="BQ263" s="2954"/>
      <c r="BR263" s="2954"/>
      <c r="BS263" s="2954"/>
      <c r="BT263" s="2954"/>
      <c r="BU263" s="2954"/>
      <c r="BV263" s="2954"/>
      <c r="BW263" s="2954"/>
      <c r="BX263" s="2954"/>
      <c r="BY263" s="2954"/>
      <c r="BZ263" s="2954"/>
      <c r="CA263" s="2954"/>
      <c r="CB263" s="2954"/>
      <c r="CC263" s="2954"/>
      <c r="CD263" s="2954"/>
      <c r="CE263" s="2954"/>
      <c r="CF263" s="2954"/>
      <c r="CG263" s="2954"/>
      <c r="CH263" s="2954"/>
      <c r="CI263" s="2954"/>
      <c r="CJ263" s="2954"/>
      <c r="CK263" s="2954"/>
      <c r="CL263" s="2954"/>
      <c r="CM263" s="2954"/>
      <c r="CN263" s="2954"/>
      <c r="CO263" s="2954"/>
      <c r="CP263" s="2954"/>
      <c r="CQ263" s="2954"/>
      <c r="CR263" s="2954"/>
      <c r="CS263" s="2954"/>
      <c r="CT263" s="2954"/>
      <c r="CU263" s="2954"/>
      <c r="CV263" s="2954"/>
      <c r="CW263" s="2954"/>
      <c r="CX263" s="2954"/>
      <c r="CY263" s="2954"/>
      <c r="CZ263" s="2954"/>
      <c r="DA263" s="2954"/>
      <c r="DB263" s="2954"/>
      <c r="DC263" s="2954"/>
      <c r="DD263" s="2954"/>
      <c r="DE263" s="2954"/>
      <c r="DF263" s="2954"/>
      <c r="DG263" s="2954"/>
      <c r="DH263" s="2954"/>
      <c r="DI263" s="2954"/>
      <c r="DJ263" s="2954"/>
      <c r="DK263" s="2954"/>
      <c r="DL263" s="2954"/>
      <c r="DM263" s="2954"/>
      <c r="DN263" s="2954"/>
      <c r="DO263" s="2954"/>
      <c r="DP263" s="2954"/>
      <c r="DQ263" s="2954"/>
      <c r="DR263" s="2954"/>
      <c r="DS263" s="2954"/>
      <c r="DT263" s="2954"/>
      <c r="DU263" s="2954"/>
      <c r="DV263" s="2954"/>
    </row>
    <row r="264" s="799" customFormat="1" ht="14.25" hidden="1" customHeight="1" spans="1:126">
      <c r="A264" s="2954"/>
      <c r="B264" s="2954"/>
      <c r="C264" s="2954"/>
      <c r="D264" s="2954"/>
      <c r="E264" s="2954"/>
      <c r="F264" s="2954"/>
      <c r="G264" s="2954"/>
      <c r="H264" s="2954"/>
      <c r="I264" s="2954"/>
      <c r="J264" s="2954"/>
      <c r="K264" s="2954"/>
      <c r="L264" s="2954"/>
      <c r="M264" s="2954"/>
      <c r="N264" s="2954"/>
      <c r="O264" s="2954"/>
      <c r="P264" s="2954"/>
      <c r="Q264" s="2954"/>
      <c r="R264" s="2954"/>
      <c r="S264" s="2954"/>
      <c r="T264" s="2954"/>
      <c r="U264" s="2954"/>
      <c r="V264" s="2954"/>
      <c r="W264" s="2954"/>
      <c r="X264" s="2954"/>
      <c r="Y264" s="2954"/>
      <c r="Z264" s="2954"/>
      <c r="AA264" s="2954"/>
      <c r="AB264" s="2954"/>
      <c r="AC264" s="2954"/>
      <c r="AD264" s="2954"/>
      <c r="AE264" s="2954"/>
      <c r="AF264" s="2954"/>
      <c r="AG264" s="2954"/>
      <c r="AH264" s="2954"/>
      <c r="AI264" s="2954"/>
      <c r="AJ264" s="2954"/>
      <c r="AK264" s="2954"/>
      <c r="AL264" s="2954"/>
      <c r="AM264" s="2954"/>
      <c r="AN264" s="2954"/>
      <c r="AO264" s="2954"/>
      <c r="AP264" s="2954"/>
      <c r="AQ264" s="2954"/>
      <c r="AR264" s="2954"/>
      <c r="AS264" s="2954"/>
      <c r="AT264" s="2954"/>
      <c r="AU264" s="2954"/>
      <c r="AV264" s="2954"/>
      <c r="AW264" s="2954"/>
      <c r="AX264" s="2954"/>
      <c r="AY264" s="2954"/>
      <c r="AZ264" s="2954"/>
      <c r="BA264" s="2954"/>
      <c r="BB264" s="2954"/>
      <c r="BC264" s="2954"/>
      <c r="BD264" s="2954"/>
      <c r="BE264" s="2954"/>
      <c r="BF264" s="2954"/>
      <c r="BG264" s="2954"/>
      <c r="BH264" s="2954"/>
      <c r="BI264" s="2954"/>
      <c r="BJ264" s="2954"/>
      <c r="BK264" s="2954"/>
      <c r="BL264" s="2954"/>
      <c r="BM264" s="2954"/>
      <c r="BN264" s="2954"/>
      <c r="BO264" s="2954"/>
      <c r="BP264" s="2954"/>
      <c r="BQ264" s="2954"/>
      <c r="BR264" s="2954"/>
      <c r="BS264" s="2954"/>
      <c r="BT264" s="2954"/>
      <c r="BU264" s="2954"/>
      <c r="BV264" s="2954"/>
      <c r="BW264" s="2954"/>
      <c r="BX264" s="2954"/>
      <c r="BY264" s="2954"/>
      <c r="BZ264" s="2954"/>
      <c r="CA264" s="2954"/>
      <c r="CB264" s="2954"/>
      <c r="CC264" s="2954"/>
      <c r="CD264" s="2954"/>
      <c r="CE264" s="2954"/>
      <c r="CF264" s="2954"/>
      <c r="CG264" s="2954"/>
      <c r="CH264" s="2954"/>
      <c r="CI264" s="2954"/>
      <c r="CJ264" s="2954"/>
      <c r="CK264" s="2954"/>
      <c r="CL264" s="2954"/>
      <c r="CM264" s="2954"/>
      <c r="CN264" s="2954"/>
      <c r="CO264" s="2954"/>
      <c r="CP264" s="2954"/>
      <c r="CQ264" s="2954"/>
      <c r="CR264" s="2954"/>
      <c r="CS264" s="2954"/>
      <c r="CT264" s="2954"/>
      <c r="CU264" s="2954"/>
      <c r="CV264" s="2954"/>
      <c r="CW264" s="2954"/>
      <c r="CX264" s="2954"/>
      <c r="CY264" s="2954"/>
      <c r="CZ264" s="2954"/>
      <c r="DA264" s="2954"/>
      <c r="DB264" s="2954"/>
      <c r="DC264" s="2954"/>
      <c r="DD264" s="2954"/>
      <c r="DE264" s="2954"/>
      <c r="DF264" s="2954"/>
      <c r="DG264" s="2954"/>
      <c r="DH264" s="2954"/>
      <c r="DI264" s="2954"/>
      <c r="DJ264" s="2954"/>
      <c r="DK264" s="2954"/>
      <c r="DL264" s="2954"/>
      <c r="DM264" s="2954"/>
      <c r="DN264" s="2954"/>
      <c r="DO264" s="2954"/>
      <c r="DP264" s="2954"/>
      <c r="DQ264" s="2954"/>
      <c r="DR264" s="2954"/>
      <c r="DS264" s="2954"/>
      <c r="DT264" s="2954"/>
      <c r="DU264" s="2954"/>
      <c r="DV264" s="2954"/>
    </row>
    <row r="265" s="799" customFormat="1" ht="14.25" hidden="1" customHeight="1" spans="1:126">
      <c r="A265" s="2952" t="s">
        <v>4214</v>
      </c>
      <c r="B265" s="2952"/>
      <c r="C265" s="2952" t="s">
        <v>6940</v>
      </c>
      <c r="D265" s="2952"/>
      <c r="E265" s="2952"/>
      <c r="F265" s="2952"/>
      <c r="G265" s="2952"/>
      <c r="H265" s="2952"/>
      <c r="I265" s="2952"/>
      <c r="J265" s="2952"/>
      <c r="K265" s="2952"/>
      <c r="L265" s="2952"/>
      <c r="M265" s="2952"/>
      <c r="N265" s="2952"/>
      <c r="O265" s="2952"/>
      <c r="P265" s="2952"/>
      <c r="Q265" s="2952"/>
      <c r="R265" s="2952"/>
      <c r="S265" s="2952"/>
      <c r="T265" s="2952"/>
      <c r="U265" s="2952"/>
      <c r="V265" s="2952" t="s">
        <v>6941</v>
      </c>
      <c r="W265" s="2952"/>
      <c r="X265" s="2952"/>
      <c r="Y265" s="2952"/>
      <c r="Z265" s="2952"/>
      <c r="AA265" s="2952"/>
      <c r="AB265" s="2952"/>
      <c r="AC265" s="2952"/>
      <c r="AD265" s="2952"/>
      <c r="AE265" s="2952"/>
      <c r="AF265" s="2952"/>
      <c r="AG265" s="2952" t="s">
        <v>6942</v>
      </c>
      <c r="AH265" s="2952"/>
      <c r="AI265" s="2952"/>
      <c r="AJ265" s="2952"/>
      <c r="AK265" s="2952"/>
      <c r="AL265" s="2952"/>
      <c r="AM265" s="2952"/>
      <c r="AN265" s="2952"/>
      <c r="AO265" s="2952"/>
      <c r="AP265" s="2952"/>
    </row>
    <row r="266" s="799" customFormat="1" ht="12.75" hidden="1" customHeight="1" spans="1:126">
      <c r="A266" s="2955">
        <f>UnosPorBilans!B199</f>
        <v>0</v>
      </c>
      <c r="B266" s="2955"/>
      <c r="C266" s="2955"/>
      <c r="D266" s="2955"/>
      <c r="E266" s="2955"/>
      <c r="F266" s="2955"/>
      <c r="G266" s="2955"/>
      <c r="H266" s="2955"/>
      <c r="I266" s="2955"/>
      <c r="J266" s="2955"/>
      <c r="K266" s="2955"/>
      <c r="L266" s="2955"/>
      <c r="M266" s="2955"/>
      <c r="N266" s="2955"/>
      <c r="O266" s="2955"/>
      <c r="P266" s="2955"/>
      <c r="Q266" s="2955"/>
      <c r="R266" s="2955"/>
      <c r="S266" s="2955"/>
      <c r="T266" s="2955"/>
      <c r="U266" s="2955"/>
      <c r="V266" s="2955">
        <f>UnosPorBilans!I199</f>
        <v>0</v>
      </c>
      <c r="W266" s="2955"/>
      <c r="X266" s="2955"/>
      <c r="Y266" s="2955"/>
      <c r="Z266" s="2955"/>
      <c r="AA266" s="2955"/>
      <c r="AB266" s="2955"/>
      <c r="AC266" s="2955"/>
      <c r="AD266" s="2955"/>
      <c r="AE266" s="2955"/>
      <c r="AF266" s="2955"/>
      <c r="AG266" s="2955">
        <f>UnosPorBilans!N199</f>
        <v>0</v>
      </c>
      <c r="AH266" s="2955"/>
      <c r="AI266" s="2955"/>
      <c r="AJ266" s="2955"/>
      <c r="AK266" s="2955"/>
      <c r="AL266" s="2955"/>
      <c r="AM266" s="2955"/>
      <c r="AN266" s="2955"/>
      <c r="AO266" s="2955"/>
      <c r="AP266" s="2955"/>
    </row>
    <row r="267" s="799" customFormat="1" ht="12.75" hidden="1" customHeight="1" spans="1:126">
      <c r="A267" s="2952" t="s">
        <v>6943</v>
      </c>
      <c r="B267" s="2952"/>
      <c r="C267" s="2952"/>
      <c r="D267" s="2952"/>
      <c r="E267" s="2952"/>
      <c r="F267" s="2952"/>
      <c r="G267" s="2952"/>
      <c r="H267" s="2952"/>
      <c r="I267" s="2952"/>
      <c r="J267" s="2952"/>
      <c r="K267" s="2952" t="s">
        <v>6944</v>
      </c>
      <c r="L267" s="2952"/>
      <c r="M267" s="2952"/>
      <c r="N267" s="2952"/>
      <c r="O267" s="2952"/>
      <c r="P267" s="2952"/>
      <c r="Q267" s="2952"/>
      <c r="R267" s="2952"/>
      <c r="S267" s="2952"/>
      <c r="T267" s="2952"/>
      <c r="U267" s="2952"/>
      <c r="V267" s="2952" t="s">
        <v>6945</v>
      </c>
      <c r="W267" s="2952"/>
      <c r="X267" s="2952"/>
      <c r="Y267" s="2952"/>
      <c r="Z267" s="2952"/>
      <c r="AA267" s="2952"/>
      <c r="AB267" s="2952"/>
      <c r="AC267" s="2952"/>
      <c r="AD267" s="2952"/>
      <c r="AE267" s="2952"/>
      <c r="AF267" s="2952"/>
      <c r="AG267" s="2952" t="s">
        <v>6946</v>
      </c>
      <c r="AH267" s="2952"/>
      <c r="AI267" s="2952"/>
      <c r="AJ267" s="2952"/>
      <c r="AK267" s="2952"/>
      <c r="AL267" s="2952"/>
      <c r="AM267" s="2952"/>
      <c r="AN267" s="2952"/>
      <c r="AO267" s="2952"/>
      <c r="AP267" s="2952"/>
    </row>
    <row r="268" s="799" customFormat="1" ht="12.75" hidden="1" customHeight="1" spans="1:126">
      <c r="A268" s="2955">
        <f>UnosPorBilans!S199</f>
        <v>0</v>
      </c>
      <c r="B268" s="2955"/>
      <c r="C268" s="2955"/>
      <c r="D268" s="2955"/>
      <c r="E268" s="2955"/>
      <c r="F268" s="2955"/>
      <c r="G268" s="2955"/>
      <c r="H268" s="2955"/>
      <c r="I268" s="2955"/>
      <c r="J268" s="2955"/>
      <c r="K268" s="2955">
        <f>UnosPorBilans!W199</f>
        <v>0</v>
      </c>
      <c r="L268" s="2955"/>
      <c r="M268" s="2955"/>
      <c r="N268" s="2955"/>
      <c r="O268" s="2955"/>
      <c r="P268" s="2955"/>
      <c r="Q268" s="2955"/>
      <c r="R268" s="2955"/>
      <c r="S268" s="2955"/>
      <c r="T268" s="2955"/>
      <c r="U268" s="2955"/>
      <c r="V268" s="2955">
        <f>UnosPorBilans!AB199</f>
        <v>0</v>
      </c>
      <c r="W268" s="2955"/>
      <c r="X268" s="2955"/>
      <c r="Y268" s="2955"/>
      <c r="Z268" s="2955"/>
      <c r="AA268" s="2955"/>
      <c r="AB268" s="2955"/>
      <c r="AC268" s="2955"/>
      <c r="AD268" s="2955"/>
      <c r="AE268" s="2955"/>
      <c r="AF268" s="2955"/>
      <c r="AG268" s="2955">
        <f>UnosPorBilans!AG199</f>
        <v>0</v>
      </c>
      <c r="AH268" s="2955"/>
      <c r="AI268" s="2955"/>
      <c r="AJ268" s="2955"/>
      <c r="AK268" s="2955"/>
      <c r="AL268" s="2955"/>
      <c r="AM268" s="2955"/>
      <c r="AN268" s="2955"/>
      <c r="AO268" s="2955"/>
      <c r="AP268" s="2955"/>
    </row>
    <row r="269" s="799" customFormat="1" ht="12.75" hidden="1" customHeight="1" spans="1:126">
      <c r="A269" s="2952" t="s">
        <v>6947</v>
      </c>
      <c r="B269" s="2952"/>
      <c r="C269" s="2952"/>
      <c r="D269" s="2952"/>
      <c r="E269" s="2952"/>
      <c r="F269" s="2952"/>
      <c r="G269" s="2952"/>
      <c r="H269" s="2952"/>
      <c r="I269" s="2952"/>
      <c r="J269" s="2952"/>
      <c r="K269" s="2952"/>
      <c r="L269" s="2952"/>
      <c r="M269" s="2952"/>
      <c r="N269" s="2952"/>
      <c r="O269" s="2952"/>
      <c r="P269" s="2952"/>
      <c r="Q269" s="2952"/>
      <c r="R269" s="2952"/>
      <c r="S269" s="2952"/>
      <c r="T269" s="2952"/>
      <c r="U269" s="2952"/>
      <c r="V269" s="2952" t="s">
        <v>6948</v>
      </c>
      <c r="W269" s="2952"/>
      <c r="X269" s="2952"/>
      <c r="Y269" s="2952"/>
      <c r="Z269" s="2952"/>
      <c r="AA269" s="2952"/>
      <c r="AB269" s="2952"/>
      <c r="AC269" s="2952"/>
      <c r="AD269" s="2952"/>
      <c r="AE269" s="2952"/>
      <c r="AF269" s="2952"/>
      <c r="AG269" s="2952"/>
      <c r="AH269" s="2952"/>
      <c r="AI269" s="2952"/>
      <c r="AJ269" s="2952"/>
      <c r="AK269" s="2952"/>
      <c r="AL269" s="2952"/>
      <c r="AM269" s="2952"/>
      <c r="AN269" s="2952"/>
      <c r="AO269" s="2952"/>
      <c r="AP269" s="2952"/>
    </row>
    <row r="270" s="799" customFormat="1" ht="12.75" hidden="1" customHeight="1" spans="1:126">
      <c r="A270" s="2955">
        <f>UnosPorBilans!AL199</f>
        <v>0</v>
      </c>
      <c r="B270" s="2955"/>
      <c r="C270" s="2955"/>
      <c r="D270" s="2955"/>
      <c r="E270" s="2955"/>
      <c r="F270" s="2955"/>
      <c r="G270" s="2955"/>
      <c r="H270" s="2955"/>
      <c r="I270" s="2955"/>
      <c r="J270" s="2955"/>
      <c r="K270" s="2955"/>
      <c r="L270" s="2955"/>
      <c r="M270" s="2955"/>
      <c r="N270" s="2955"/>
      <c r="O270" s="2955"/>
      <c r="P270" s="2955"/>
      <c r="Q270" s="2955"/>
      <c r="R270" s="2955"/>
      <c r="S270" s="2955"/>
      <c r="T270" s="2955"/>
      <c r="U270" s="2955"/>
      <c r="V270" s="2955">
        <f>UnosPorBilans!AS199</f>
        <v>0</v>
      </c>
      <c r="W270" s="2955"/>
      <c r="X270" s="2955"/>
      <c r="Y270" s="2955"/>
      <c r="Z270" s="2955"/>
      <c r="AA270" s="2955"/>
      <c r="AB270" s="2955"/>
      <c r="AC270" s="2955"/>
      <c r="AD270" s="2955"/>
      <c r="AE270" s="2955"/>
      <c r="AF270" s="2955"/>
      <c r="AG270" s="2955"/>
      <c r="AH270" s="2955"/>
      <c r="AI270" s="2955"/>
      <c r="AJ270" s="2955"/>
      <c r="AK270" s="2955"/>
      <c r="AL270" s="2955"/>
      <c r="AM270" s="2955"/>
      <c r="AN270" s="2955"/>
      <c r="AO270" s="2955"/>
      <c r="AP270" s="2955"/>
    </row>
    <row r="271" s="799" customFormat="1" ht="14.25" hidden="1" customHeight="1" spans="1:126">
      <c r="A271" s="2954"/>
      <c r="B271" s="2954"/>
      <c r="C271" s="2954"/>
      <c r="D271" s="2954"/>
      <c r="E271" s="2954"/>
      <c r="F271" s="2954"/>
      <c r="G271" s="2954"/>
      <c r="H271" s="2954"/>
      <c r="I271" s="2954"/>
      <c r="J271" s="2954"/>
      <c r="K271" s="2954"/>
      <c r="L271" s="2954"/>
      <c r="M271" s="2954"/>
      <c r="N271" s="2954"/>
      <c r="O271" s="2954"/>
      <c r="P271" s="2954"/>
      <c r="Q271" s="2954"/>
      <c r="R271" s="2954"/>
      <c r="S271" s="2954"/>
      <c r="T271" s="2954"/>
      <c r="U271" s="2954"/>
      <c r="V271" s="2954"/>
      <c r="W271" s="2954"/>
      <c r="X271" s="2954"/>
      <c r="Y271" s="2954"/>
      <c r="Z271" s="2954"/>
      <c r="AA271" s="2954"/>
      <c r="AB271" s="2954"/>
      <c r="AC271" s="2954"/>
      <c r="AD271" s="2954"/>
      <c r="AE271" s="2954"/>
      <c r="AF271" s="2954"/>
      <c r="AG271" s="2954"/>
      <c r="AH271" s="2954"/>
      <c r="AI271" s="2954"/>
      <c r="AJ271" s="2954"/>
      <c r="AK271" s="2954"/>
      <c r="AL271" s="2954"/>
      <c r="AM271" s="2954"/>
      <c r="AN271" s="2954"/>
      <c r="AO271" s="2954"/>
      <c r="AP271" s="2954"/>
      <c r="AQ271" s="2954"/>
      <c r="AR271" s="2954"/>
      <c r="AS271" s="2954"/>
      <c r="AT271" s="2954"/>
      <c r="AU271" s="2954"/>
      <c r="AV271" s="2954"/>
      <c r="AW271" s="2954"/>
      <c r="AX271" s="2954"/>
      <c r="AY271" s="2954"/>
      <c r="AZ271" s="2954"/>
      <c r="BA271" s="2954"/>
      <c r="BB271" s="2954"/>
      <c r="BC271" s="2954"/>
      <c r="BD271" s="2954"/>
      <c r="BE271" s="2954"/>
      <c r="BF271" s="2954"/>
      <c r="BG271" s="2954"/>
      <c r="BH271" s="2954"/>
      <c r="BI271" s="2954"/>
      <c r="BJ271" s="2954"/>
      <c r="BK271" s="2954"/>
      <c r="BL271" s="2954"/>
      <c r="BM271" s="2954"/>
      <c r="BN271" s="2954"/>
      <c r="BO271" s="2954"/>
      <c r="BP271" s="2954"/>
      <c r="BQ271" s="2954"/>
      <c r="BR271" s="2954"/>
      <c r="BS271" s="2954"/>
      <c r="BT271" s="2954"/>
      <c r="BU271" s="2954"/>
      <c r="BV271" s="2954"/>
      <c r="BW271" s="2954"/>
      <c r="BX271" s="2954"/>
      <c r="BY271" s="2954"/>
      <c r="BZ271" s="2954"/>
      <c r="CA271" s="2954"/>
      <c r="CB271" s="2954"/>
      <c r="CC271" s="2954"/>
      <c r="CD271" s="2954"/>
      <c r="CE271" s="2954"/>
      <c r="CF271" s="2954"/>
      <c r="CG271" s="2954"/>
      <c r="CH271" s="2954"/>
      <c r="CI271" s="2954"/>
      <c r="CJ271" s="2954"/>
      <c r="CK271" s="2954"/>
      <c r="CL271" s="2954"/>
      <c r="CM271" s="2954"/>
      <c r="CN271" s="2954"/>
      <c r="CO271" s="2954"/>
      <c r="CP271" s="2954"/>
      <c r="CQ271" s="2954"/>
      <c r="CR271" s="2954"/>
      <c r="CS271" s="2954"/>
      <c r="CT271" s="2954"/>
      <c r="CU271" s="2954"/>
      <c r="CV271" s="2954"/>
      <c r="CW271" s="2954"/>
      <c r="CX271" s="2954"/>
      <c r="CY271" s="2954"/>
      <c r="CZ271" s="2954"/>
      <c r="DA271" s="2954"/>
      <c r="DB271" s="2954"/>
      <c r="DC271" s="2954"/>
      <c r="DD271" s="2954"/>
      <c r="DE271" s="2954"/>
      <c r="DF271" s="2954"/>
      <c r="DG271" s="2954"/>
      <c r="DH271" s="2954"/>
      <c r="DI271" s="2954"/>
      <c r="DJ271" s="2954"/>
      <c r="DK271" s="2954"/>
      <c r="DL271" s="2954"/>
      <c r="DM271" s="2954"/>
      <c r="DN271" s="2954"/>
      <c r="DO271" s="2954"/>
      <c r="DP271" s="2954"/>
      <c r="DQ271" s="2954"/>
      <c r="DR271" s="2954"/>
      <c r="DS271" s="2954"/>
      <c r="DT271" s="2954"/>
      <c r="DU271" s="2954"/>
      <c r="DV271" s="2954"/>
    </row>
    <row r="272" s="799" customFormat="1" ht="14.25" hidden="1" customHeight="1" spans="1:126">
      <c r="A272" s="2952" t="s">
        <v>4214</v>
      </c>
      <c r="B272" s="2952"/>
      <c r="C272" s="2952" t="s">
        <v>6940</v>
      </c>
      <c r="D272" s="2952"/>
      <c r="E272" s="2952"/>
      <c r="F272" s="2952"/>
      <c r="G272" s="2952"/>
      <c r="H272" s="2952"/>
      <c r="I272" s="2952"/>
      <c r="J272" s="2952"/>
      <c r="K272" s="2952"/>
      <c r="L272" s="2952"/>
      <c r="M272" s="2952"/>
      <c r="N272" s="2952"/>
      <c r="O272" s="2952"/>
      <c r="P272" s="2952"/>
      <c r="Q272" s="2952"/>
      <c r="R272" s="2952"/>
      <c r="S272" s="2952"/>
      <c r="T272" s="2952"/>
      <c r="U272" s="2952"/>
      <c r="V272" s="2952" t="s">
        <v>6941</v>
      </c>
      <c r="W272" s="2952"/>
      <c r="X272" s="2952"/>
      <c r="Y272" s="2952"/>
      <c r="Z272" s="2952"/>
      <c r="AA272" s="2952"/>
      <c r="AB272" s="2952"/>
      <c r="AC272" s="2952"/>
      <c r="AD272" s="2952"/>
      <c r="AE272" s="2952"/>
      <c r="AF272" s="2952"/>
      <c r="AG272" s="2952" t="s">
        <v>6942</v>
      </c>
      <c r="AH272" s="2952"/>
      <c r="AI272" s="2952"/>
      <c r="AJ272" s="2952"/>
      <c r="AK272" s="2952"/>
      <c r="AL272" s="2952"/>
      <c r="AM272" s="2952"/>
      <c r="AN272" s="2952"/>
      <c r="AO272" s="2952"/>
      <c r="AP272" s="2952"/>
    </row>
    <row r="273" s="799" customFormat="1" ht="12.75" hidden="1" customHeight="1" spans="1:126">
      <c r="A273" s="2955">
        <f>UnosPorBilans!B200</f>
        <v>0</v>
      </c>
      <c r="B273" s="2955"/>
      <c r="C273" s="2955"/>
      <c r="D273" s="2955"/>
      <c r="E273" s="2955"/>
      <c r="F273" s="2955"/>
      <c r="G273" s="2955"/>
      <c r="H273" s="2955"/>
      <c r="I273" s="2955"/>
      <c r="J273" s="2955"/>
      <c r="K273" s="2955"/>
      <c r="L273" s="2955"/>
      <c r="M273" s="2955"/>
      <c r="N273" s="2955"/>
      <c r="O273" s="2955"/>
      <c r="P273" s="2955"/>
      <c r="Q273" s="2955"/>
      <c r="R273" s="2955"/>
      <c r="S273" s="2955"/>
      <c r="T273" s="2955"/>
      <c r="U273" s="2955"/>
      <c r="V273" s="2955">
        <f>UnosPorBilans!I200</f>
        <v>0</v>
      </c>
      <c r="W273" s="2955"/>
      <c r="X273" s="2955"/>
      <c r="Y273" s="2955"/>
      <c r="Z273" s="2955"/>
      <c r="AA273" s="2955"/>
      <c r="AB273" s="2955"/>
      <c r="AC273" s="2955"/>
      <c r="AD273" s="2955"/>
      <c r="AE273" s="2955"/>
      <c r="AF273" s="2955"/>
      <c r="AG273" s="2955">
        <f>UnosPorBilans!N200</f>
        <v>0</v>
      </c>
      <c r="AH273" s="2955"/>
      <c r="AI273" s="2955"/>
      <c r="AJ273" s="2955"/>
      <c r="AK273" s="2955"/>
      <c r="AL273" s="2955"/>
      <c r="AM273" s="2955"/>
      <c r="AN273" s="2955"/>
      <c r="AO273" s="2955"/>
      <c r="AP273" s="2955"/>
    </row>
    <row r="274" s="799" customFormat="1" ht="12.75" hidden="1" customHeight="1" spans="1:126">
      <c r="A274" s="2952" t="s">
        <v>6943</v>
      </c>
      <c r="B274" s="2952"/>
      <c r="C274" s="2952"/>
      <c r="D274" s="2952"/>
      <c r="E274" s="2952"/>
      <c r="F274" s="2952"/>
      <c r="G274" s="2952"/>
      <c r="H274" s="2952"/>
      <c r="I274" s="2952"/>
      <c r="J274" s="2952"/>
      <c r="K274" s="2952" t="s">
        <v>6944</v>
      </c>
      <c r="L274" s="2952"/>
      <c r="M274" s="2952"/>
      <c r="N274" s="2952"/>
      <c r="O274" s="2952"/>
      <c r="P274" s="2952"/>
      <c r="Q274" s="2952"/>
      <c r="R274" s="2952"/>
      <c r="S274" s="2952"/>
      <c r="T274" s="2952"/>
      <c r="U274" s="2952"/>
      <c r="V274" s="2952" t="s">
        <v>6945</v>
      </c>
      <c r="W274" s="2952"/>
      <c r="X274" s="2952"/>
      <c r="Y274" s="2952"/>
      <c r="Z274" s="2952"/>
      <c r="AA274" s="2952"/>
      <c r="AB274" s="2952"/>
      <c r="AC274" s="2952"/>
      <c r="AD274" s="2952"/>
      <c r="AE274" s="2952"/>
      <c r="AF274" s="2952"/>
      <c r="AG274" s="2952" t="s">
        <v>6946</v>
      </c>
      <c r="AH274" s="2952"/>
      <c r="AI274" s="2952"/>
      <c r="AJ274" s="2952"/>
      <c r="AK274" s="2952"/>
      <c r="AL274" s="2952"/>
      <c r="AM274" s="2952"/>
      <c r="AN274" s="2952"/>
      <c r="AO274" s="2952"/>
      <c r="AP274" s="2952"/>
    </row>
    <row r="275" s="799" customFormat="1" ht="12.75" hidden="1" customHeight="1" spans="1:126">
      <c r="A275" s="2955">
        <f>UnosPorBilans!S200</f>
        <v>0</v>
      </c>
      <c r="B275" s="2955"/>
      <c r="C275" s="2955"/>
      <c r="D275" s="2955"/>
      <c r="E275" s="2955"/>
      <c r="F275" s="2955"/>
      <c r="G275" s="2955"/>
      <c r="H275" s="2955"/>
      <c r="I275" s="2955"/>
      <c r="J275" s="2955"/>
      <c r="K275" s="2955">
        <f>UnosPorBilans!W200</f>
        <v>0</v>
      </c>
      <c r="L275" s="2955"/>
      <c r="M275" s="2955"/>
      <c r="N275" s="2955"/>
      <c r="O275" s="2955"/>
      <c r="P275" s="2955"/>
      <c r="Q275" s="2955"/>
      <c r="R275" s="2955"/>
      <c r="S275" s="2955"/>
      <c r="T275" s="2955"/>
      <c r="U275" s="2955"/>
      <c r="V275" s="2955">
        <f>UnosPorBilans!AB200</f>
        <v>0</v>
      </c>
      <c r="W275" s="2955"/>
      <c r="X275" s="2955"/>
      <c r="Y275" s="2955"/>
      <c r="Z275" s="2955"/>
      <c r="AA275" s="2955"/>
      <c r="AB275" s="2955"/>
      <c r="AC275" s="2955"/>
      <c r="AD275" s="2955"/>
      <c r="AE275" s="2955"/>
      <c r="AF275" s="2955"/>
      <c r="AG275" s="2955">
        <f>UnosPorBilans!AG200</f>
        <v>0</v>
      </c>
      <c r="AH275" s="2955"/>
      <c r="AI275" s="2955"/>
      <c r="AJ275" s="2955"/>
      <c r="AK275" s="2955"/>
      <c r="AL275" s="2955"/>
      <c r="AM275" s="2955"/>
      <c r="AN275" s="2955"/>
      <c r="AO275" s="2955"/>
      <c r="AP275" s="2955"/>
    </row>
    <row r="276" s="799" customFormat="1" ht="12.75" hidden="1" customHeight="1" spans="1:126">
      <c r="A276" s="2952" t="s">
        <v>6947</v>
      </c>
      <c r="B276" s="2952"/>
      <c r="C276" s="2952"/>
      <c r="D276" s="2952"/>
      <c r="E276" s="2952"/>
      <c r="F276" s="2952"/>
      <c r="G276" s="2952"/>
      <c r="H276" s="2952"/>
      <c r="I276" s="2952"/>
      <c r="J276" s="2952"/>
      <c r="K276" s="2952"/>
      <c r="L276" s="2952"/>
      <c r="M276" s="2952"/>
      <c r="N276" s="2952"/>
      <c r="O276" s="2952"/>
      <c r="P276" s="2952"/>
      <c r="Q276" s="2952"/>
      <c r="R276" s="2952"/>
      <c r="S276" s="2952"/>
      <c r="T276" s="2952"/>
      <c r="U276" s="2952"/>
      <c r="V276" s="2952" t="s">
        <v>6948</v>
      </c>
      <c r="W276" s="2952"/>
      <c r="X276" s="2952"/>
      <c r="Y276" s="2952"/>
      <c r="Z276" s="2952"/>
      <c r="AA276" s="2952"/>
      <c r="AB276" s="2952"/>
      <c r="AC276" s="2952"/>
      <c r="AD276" s="2952"/>
      <c r="AE276" s="2952"/>
      <c r="AF276" s="2952"/>
      <c r="AG276" s="2952"/>
      <c r="AH276" s="2952"/>
      <c r="AI276" s="2952"/>
      <c r="AJ276" s="2952"/>
      <c r="AK276" s="2952"/>
      <c r="AL276" s="2952"/>
      <c r="AM276" s="2952"/>
      <c r="AN276" s="2952"/>
      <c r="AO276" s="2952"/>
      <c r="AP276" s="2952"/>
    </row>
    <row r="277" s="799" customFormat="1" ht="12.75" hidden="1" customHeight="1" spans="1:126">
      <c r="A277" s="2955">
        <f>UnosPorBilans!AL200</f>
        <v>0</v>
      </c>
      <c r="B277" s="2955"/>
      <c r="C277" s="2955"/>
      <c r="D277" s="2955"/>
      <c r="E277" s="2955"/>
      <c r="F277" s="2955"/>
      <c r="G277" s="2955"/>
      <c r="H277" s="2955"/>
      <c r="I277" s="2955"/>
      <c r="J277" s="2955"/>
      <c r="K277" s="2955"/>
      <c r="L277" s="2955"/>
      <c r="M277" s="2955"/>
      <c r="N277" s="2955"/>
      <c r="O277" s="2955"/>
      <c r="P277" s="2955"/>
      <c r="Q277" s="2955"/>
      <c r="R277" s="2955"/>
      <c r="S277" s="2955"/>
      <c r="T277" s="2955"/>
      <c r="U277" s="2955"/>
      <c r="V277" s="2955">
        <f>UnosPorBilans!AS200</f>
        <v>0</v>
      </c>
      <c r="W277" s="2955"/>
      <c r="X277" s="2955"/>
      <c r="Y277" s="2955"/>
      <c r="Z277" s="2955"/>
      <c r="AA277" s="2955"/>
      <c r="AB277" s="2955"/>
      <c r="AC277" s="2955"/>
      <c r="AD277" s="2955"/>
      <c r="AE277" s="2955"/>
      <c r="AF277" s="2955"/>
      <c r="AG277" s="2955"/>
      <c r="AH277" s="2955"/>
      <c r="AI277" s="2955"/>
      <c r="AJ277" s="2955"/>
      <c r="AK277" s="2955"/>
      <c r="AL277" s="2955"/>
      <c r="AM277" s="2955"/>
      <c r="AN277" s="2955"/>
      <c r="AO277" s="2955"/>
      <c r="AP277" s="2955"/>
    </row>
    <row r="278" s="799" customFormat="1" ht="14.25" hidden="1" customHeight="1" spans="1:126">
      <c r="A278" s="2954"/>
      <c r="B278" s="2954"/>
      <c r="C278" s="2954"/>
      <c r="D278" s="2954"/>
      <c r="E278" s="2954"/>
      <c r="F278" s="2954"/>
      <c r="G278" s="2954"/>
      <c r="H278" s="2954"/>
      <c r="I278" s="2954"/>
      <c r="J278" s="2954"/>
      <c r="K278" s="2954"/>
      <c r="L278" s="2954"/>
      <c r="M278" s="2954"/>
      <c r="N278" s="2954"/>
      <c r="O278" s="2954"/>
      <c r="P278" s="2954"/>
      <c r="Q278" s="2954"/>
      <c r="R278" s="2954"/>
      <c r="S278" s="2954"/>
      <c r="T278" s="2954"/>
      <c r="U278" s="2954"/>
      <c r="V278" s="2954"/>
      <c r="W278" s="2954"/>
      <c r="X278" s="2954"/>
      <c r="Y278" s="2954"/>
      <c r="Z278" s="2954"/>
      <c r="AA278" s="2954"/>
      <c r="AB278" s="2954"/>
      <c r="AC278" s="2954"/>
      <c r="AD278" s="2954"/>
      <c r="AE278" s="2954"/>
      <c r="AF278" s="2954"/>
      <c r="AG278" s="2954"/>
      <c r="AH278" s="2954"/>
      <c r="AI278" s="2954"/>
      <c r="AJ278" s="2954"/>
      <c r="AK278" s="2954"/>
      <c r="AL278" s="2954"/>
      <c r="AM278" s="2954"/>
      <c r="AN278" s="2954"/>
      <c r="AO278" s="2954"/>
      <c r="AP278" s="2954"/>
      <c r="AQ278" s="2954"/>
      <c r="AR278" s="2954"/>
      <c r="AS278" s="2954"/>
      <c r="AT278" s="2954"/>
      <c r="AU278" s="2954"/>
      <c r="AV278" s="2954"/>
      <c r="AW278" s="2954"/>
      <c r="AX278" s="2954"/>
      <c r="AY278" s="2954"/>
      <c r="AZ278" s="2954"/>
      <c r="BA278" s="2954"/>
      <c r="BB278" s="2954"/>
      <c r="BC278" s="2954"/>
      <c r="BD278" s="2954"/>
      <c r="BE278" s="2954"/>
      <c r="BF278" s="2954"/>
      <c r="BG278" s="2954"/>
      <c r="BH278" s="2954"/>
      <c r="BI278" s="2954"/>
      <c r="BJ278" s="2954"/>
      <c r="BK278" s="2954"/>
      <c r="BL278" s="2954"/>
      <c r="BM278" s="2954"/>
      <c r="BN278" s="2954"/>
      <c r="BO278" s="2954"/>
      <c r="BP278" s="2954"/>
      <c r="BQ278" s="2954"/>
      <c r="BR278" s="2954"/>
      <c r="BS278" s="2954"/>
      <c r="BT278" s="2954"/>
      <c r="BU278" s="2954"/>
      <c r="BV278" s="2954"/>
      <c r="BW278" s="2954"/>
      <c r="BX278" s="2954"/>
      <c r="BY278" s="2954"/>
      <c r="BZ278" s="2954"/>
      <c r="CA278" s="2954"/>
      <c r="CB278" s="2954"/>
      <c r="CC278" s="2954"/>
      <c r="CD278" s="2954"/>
      <c r="CE278" s="2954"/>
      <c r="CF278" s="2954"/>
      <c r="CG278" s="2954"/>
      <c r="CH278" s="2954"/>
      <c r="CI278" s="2954"/>
      <c r="CJ278" s="2954"/>
      <c r="CK278" s="2954"/>
      <c r="CL278" s="2954"/>
      <c r="CM278" s="2954"/>
      <c r="CN278" s="2954"/>
      <c r="CO278" s="2954"/>
      <c r="CP278" s="2954"/>
      <c r="CQ278" s="2954"/>
      <c r="CR278" s="2954"/>
      <c r="CS278" s="2954"/>
      <c r="CT278" s="2954"/>
      <c r="CU278" s="2954"/>
      <c r="CV278" s="2954"/>
      <c r="CW278" s="2954"/>
      <c r="CX278" s="2954"/>
      <c r="CY278" s="2954"/>
      <c r="CZ278" s="2954"/>
      <c r="DA278" s="2954"/>
      <c r="DB278" s="2954"/>
      <c r="DC278" s="2954"/>
      <c r="DD278" s="2954"/>
      <c r="DE278" s="2954"/>
      <c r="DF278" s="2954"/>
      <c r="DG278" s="2954"/>
      <c r="DH278" s="2954"/>
      <c r="DI278" s="2954"/>
      <c r="DJ278" s="2954"/>
      <c r="DK278" s="2954"/>
      <c r="DL278" s="2954"/>
      <c r="DM278" s="2954"/>
      <c r="DN278" s="2954"/>
      <c r="DO278" s="2954"/>
      <c r="DP278" s="2954"/>
      <c r="DQ278" s="2954"/>
      <c r="DR278" s="2954"/>
      <c r="DS278" s="2954"/>
      <c r="DT278" s="2954"/>
      <c r="DU278" s="2954"/>
      <c r="DV278" s="2954"/>
    </row>
    <row r="279" s="799" customFormat="1" ht="14.25" hidden="1" customHeight="1" spans="1:126">
      <c r="A279" s="2952" t="s">
        <v>4214</v>
      </c>
      <c r="B279" s="2952"/>
      <c r="C279" s="2952" t="s">
        <v>6940</v>
      </c>
      <c r="D279" s="2952"/>
      <c r="E279" s="2952"/>
      <c r="F279" s="2952"/>
      <c r="G279" s="2952"/>
      <c r="H279" s="2952"/>
      <c r="I279" s="2952"/>
      <c r="J279" s="2952"/>
      <c r="K279" s="2952"/>
      <c r="L279" s="2952"/>
      <c r="M279" s="2952"/>
      <c r="N279" s="2952"/>
      <c r="O279" s="2952"/>
      <c r="P279" s="2952"/>
      <c r="Q279" s="2952"/>
      <c r="R279" s="2952"/>
      <c r="S279" s="2952"/>
      <c r="T279" s="2952"/>
      <c r="U279" s="2952"/>
      <c r="V279" s="2952" t="s">
        <v>6941</v>
      </c>
      <c r="W279" s="2952"/>
      <c r="X279" s="2952"/>
      <c r="Y279" s="2952"/>
      <c r="Z279" s="2952"/>
      <c r="AA279" s="2952"/>
      <c r="AB279" s="2952"/>
      <c r="AC279" s="2952"/>
      <c r="AD279" s="2952"/>
      <c r="AE279" s="2952"/>
      <c r="AF279" s="2952"/>
      <c r="AG279" s="2952" t="s">
        <v>6942</v>
      </c>
      <c r="AH279" s="2952"/>
      <c r="AI279" s="2952"/>
      <c r="AJ279" s="2952"/>
      <c r="AK279" s="2952"/>
      <c r="AL279" s="2952"/>
      <c r="AM279" s="2952"/>
      <c r="AN279" s="2952"/>
      <c r="AO279" s="2952"/>
      <c r="AP279" s="2952"/>
    </row>
    <row r="280" s="799" customFormat="1" ht="12.75" hidden="1" customHeight="1" spans="1:126">
      <c r="A280" s="2955">
        <f>UnosPorBilans!B201</f>
        <v>0</v>
      </c>
      <c r="B280" s="2955"/>
      <c r="C280" s="2955"/>
      <c r="D280" s="2955"/>
      <c r="E280" s="2955"/>
      <c r="F280" s="2955"/>
      <c r="G280" s="2955"/>
      <c r="H280" s="2955"/>
      <c r="I280" s="2955"/>
      <c r="J280" s="2955"/>
      <c r="K280" s="2955"/>
      <c r="L280" s="2955"/>
      <c r="M280" s="2955"/>
      <c r="N280" s="2955"/>
      <c r="O280" s="2955"/>
      <c r="P280" s="2955"/>
      <c r="Q280" s="2955"/>
      <c r="R280" s="2955"/>
      <c r="S280" s="2955"/>
      <c r="T280" s="2955"/>
      <c r="U280" s="2955"/>
      <c r="V280" s="2955">
        <f>UnosPorBilans!I201</f>
        <v>0</v>
      </c>
      <c r="W280" s="2955"/>
      <c r="X280" s="2955"/>
      <c r="Y280" s="2955"/>
      <c r="Z280" s="2955"/>
      <c r="AA280" s="2955"/>
      <c r="AB280" s="2955"/>
      <c r="AC280" s="2955"/>
      <c r="AD280" s="2955"/>
      <c r="AE280" s="2955"/>
      <c r="AF280" s="2955"/>
      <c r="AG280" s="2955">
        <f>UnosPorBilans!N201</f>
        <v>0</v>
      </c>
      <c r="AH280" s="2955"/>
      <c r="AI280" s="2955"/>
      <c r="AJ280" s="2955"/>
      <c r="AK280" s="2955"/>
      <c r="AL280" s="2955"/>
      <c r="AM280" s="2955"/>
      <c r="AN280" s="2955"/>
      <c r="AO280" s="2955"/>
      <c r="AP280" s="2955"/>
    </row>
    <row r="281" s="799" customFormat="1" ht="12.75" hidden="1" customHeight="1" spans="1:126">
      <c r="A281" s="2952" t="s">
        <v>6943</v>
      </c>
      <c r="B281" s="2952"/>
      <c r="C281" s="2952"/>
      <c r="D281" s="2952"/>
      <c r="E281" s="2952"/>
      <c r="F281" s="2952"/>
      <c r="G281" s="2952"/>
      <c r="H281" s="2952"/>
      <c r="I281" s="2952"/>
      <c r="J281" s="2952"/>
      <c r="K281" s="2952" t="s">
        <v>6944</v>
      </c>
      <c r="L281" s="2952"/>
      <c r="M281" s="2952"/>
      <c r="N281" s="2952"/>
      <c r="O281" s="2952"/>
      <c r="P281" s="2952"/>
      <c r="Q281" s="2952"/>
      <c r="R281" s="2952"/>
      <c r="S281" s="2952"/>
      <c r="T281" s="2952"/>
      <c r="U281" s="2952"/>
      <c r="V281" s="2952" t="s">
        <v>6945</v>
      </c>
      <c r="W281" s="2952"/>
      <c r="X281" s="2952"/>
      <c r="Y281" s="2952"/>
      <c r="Z281" s="2952"/>
      <c r="AA281" s="2952"/>
      <c r="AB281" s="2952"/>
      <c r="AC281" s="2952"/>
      <c r="AD281" s="2952"/>
      <c r="AE281" s="2952"/>
      <c r="AF281" s="2952"/>
      <c r="AG281" s="2952" t="s">
        <v>6946</v>
      </c>
      <c r="AH281" s="2952"/>
      <c r="AI281" s="2952"/>
      <c r="AJ281" s="2952"/>
      <c r="AK281" s="2952"/>
      <c r="AL281" s="2952"/>
      <c r="AM281" s="2952"/>
      <c r="AN281" s="2952"/>
      <c r="AO281" s="2952"/>
      <c r="AP281" s="2952"/>
    </row>
    <row r="282" s="799" customFormat="1" ht="12.75" hidden="1" customHeight="1" spans="1:126">
      <c r="A282" s="2955">
        <f>UnosPorBilans!S201</f>
        <v>0</v>
      </c>
      <c r="B282" s="2955"/>
      <c r="C282" s="2955"/>
      <c r="D282" s="2955"/>
      <c r="E282" s="2955"/>
      <c r="F282" s="2955"/>
      <c r="G282" s="2955"/>
      <c r="H282" s="2955"/>
      <c r="I282" s="2955"/>
      <c r="J282" s="2955"/>
      <c r="K282" s="2955">
        <f>UnosPorBilans!W201</f>
        <v>0</v>
      </c>
      <c r="L282" s="2955"/>
      <c r="M282" s="2955"/>
      <c r="N282" s="2955"/>
      <c r="O282" s="2955"/>
      <c r="P282" s="2955"/>
      <c r="Q282" s="2955"/>
      <c r="R282" s="2955"/>
      <c r="S282" s="2955"/>
      <c r="T282" s="2955"/>
      <c r="U282" s="2955"/>
      <c r="V282" s="2955">
        <f>UnosPorBilans!AB201</f>
        <v>0</v>
      </c>
      <c r="W282" s="2955"/>
      <c r="X282" s="2955"/>
      <c r="Y282" s="2955"/>
      <c r="Z282" s="2955"/>
      <c r="AA282" s="2955"/>
      <c r="AB282" s="2955"/>
      <c r="AC282" s="2955"/>
      <c r="AD282" s="2955"/>
      <c r="AE282" s="2955"/>
      <c r="AF282" s="2955"/>
      <c r="AG282" s="2955">
        <f>UnosPorBilans!AG201</f>
        <v>0</v>
      </c>
      <c r="AH282" s="2955"/>
      <c r="AI282" s="2955"/>
      <c r="AJ282" s="2955"/>
      <c r="AK282" s="2955"/>
      <c r="AL282" s="2955"/>
      <c r="AM282" s="2955"/>
      <c r="AN282" s="2955"/>
      <c r="AO282" s="2955"/>
      <c r="AP282" s="2955"/>
    </row>
    <row r="283" s="799" customFormat="1" ht="12.75" hidden="1" customHeight="1" spans="1:126">
      <c r="A283" s="2952" t="s">
        <v>6947</v>
      </c>
      <c r="B283" s="2952"/>
      <c r="C283" s="2952"/>
      <c r="D283" s="2952"/>
      <c r="E283" s="2952"/>
      <c r="F283" s="2952"/>
      <c r="G283" s="2952"/>
      <c r="H283" s="2952"/>
      <c r="I283" s="2952"/>
      <c r="J283" s="2952"/>
      <c r="K283" s="2952"/>
      <c r="L283" s="2952"/>
      <c r="M283" s="2952"/>
      <c r="N283" s="2952"/>
      <c r="O283" s="2952"/>
      <c r="P283" s="2952"/>
      <c r="Q283" s="2952"/>
      <c r="R283" s="2952"/>
      <c r="S283" s="2952"/>
      <c r="T283" s="2952"/>
      <c r="U283" s="2952"/>
      <c r="V283" s="2952" t="s">
        <v>6948</v>
      </c>
      <c r="W283" s="2952"/>
      <c r="X283" s="2952"/>
      <c r="Y283" s="2952"/>
      <c r="Z283" s="2952"/>
      <c r="AA283" s="2952"/>
      <c r="AB283" s="2952"/>
      <c r="AC283" s="2952"/>
      <c r="AD283" s="2952"/>
      <c r="AE283" s="2952"/>
      <c r="AF283" s="2952"/>
      <c r="AG283" s="2952"/>
      <c r="AH283" s="2952"/>
      <c r="AI283" s="2952"/>
      <c r="AJ283" s="2952"/>
      <c r="AK283" s="2952"/>
      <c r="AL283" s="2952"/>
      <c r="AM283" s="2952"/>
      <c r="AN283" s="2952"/>
      <c r="AO283" s="2952"/>
      <c r="AP283" s="2952"/>
    </row>
    <row r="284" s="799" customFormat="1" ht="12.75" hidden="1" customHeight="1" spans="1:126">
      <c r="A284" s="2955">
        <f>UnosPorBilans!AL201</f>
        <v>0</v>
      </c>
      <c r="B284" s="2955"/>
      <c r="C284" s="2955"/>
      <c r="D284" s="2955"/>
      <c r="E284" s="2955"/>
      <c r="F284" s="2955"/>
      <c r="G284" s="2955"/>
      <c r="H284" s="2955"/>
      <c r="I284" s="2955"/>
      <c r="J284" s="2955"/>
      <c r="K284" s="2955"/>
      <c r="L284" s="2955"/>
      <c r="M284" s="2955"/>
      <c r="N284" s="2955"/>
      <c r="O284" s="2955"/>
      <c r="P284" s="2955"/>
      <c r="Q284" s="2955"/>
      <c r="R284" s="2955"/>
      <c r="S284" s="2955"/>
      <c r="T284" s="2955"/>
      <c r="U284" s="2955"/>
      <c r="V284" s="2955">
        <f>UnosPorBilans!AS201</f>
        <v>0</v>
      </c>
      <c r="W284" s="2955"/>
      <c r="X284" s="2955"/>
      <c r="Y284" s="2955"/>
      <c r="Z284" s="2955"/>
      <c r="AA284" s="2955"/>
      <c r="AB284" s="2955"/>
      <c r="AC284" s="2955"/>
      <c r="AD284" s="2955"/>
      <c r="AE284" s="2955"/>
      <c r="AF284" s="2955"/>
      <c r="AG284" s="2955"/>
      <c r="AH284" s="2955"/>
      <c r="AI284" s="2955"/>
      <c r="AJ284" s="2955"/>
      <c r="AK284" s="2955"/>
      <c r="AL284" s="2955"/>
      <c r="AM284" s="2955"/>
      <c r="AN284" s="2955"/>
      <c r="AO284" s="2955"/>
      <c r="AP284" s="2955"/>
    </row>
    <row r="285" s="799" customFormat="1" ht="14.25" hidden="1" customHeight="1" spans="1:126">
      <c r="A285" s="2954"/>
      <c r="B285" s="2954"/>
      <c r="C285" s="2954"/>
      <c r="D285" s="2954"/>
      <c r="E285" s="2954"/>
      <c r="F285" s="2954"/>
      <c r="G285" s="2954"/>
      <c r="H285" s="2954"/>
      <c r="I285" s="2954"/>
      <c r="J285" s="2954"/>
      <c r="K285" s="2954"/>
      <c r="L285" s="2954"/>
      <c r="M285" s="2954"/>
      <c r="N285" s="2954"/>
      <c r="O285" s="2954"/>
      <c r="P285" s="2954"/>
      <c r="Q285" s="2954"/>
      <c r="R285" s="2954"/>
      <c r="S285" s="2954"/>
      <c r="T285" s="2954"/>
      <c r="U285" s="2954"/>
      <c r="V285" s="2954"/>
      <c r="W285" s="2954"/>
      <c r="X285" s="2954"/>
      <c r="Y285" s="2954"/>
      <c r="Z285" s="2954"/>
      <c r="AA285" s="2954"/>
      <c r="AB285" s="2954"/>
      <c r="AC285" s="2954"/>
      <c r="AD285" s="2954"/>
      <c r="AE285" s="2954"/>
      <c r="AF285" s="2954"/>
      <c r="AG285" s="2954"/>
      <c r="AH285" s="2954"/>
      <c r="AI285" s="2954"/>
      <c r="AJ285" s="2954"/>
      <c r="AK285" s="2954"/>
      <c r="AL285" s="2954"/>
      <c r="AM285" s="2954"/>
      <c r="AN285" s="2954"/>
      <c r="AO285" s="2954"/>
      <c r="AP285" s="2954"/>
      <c r="AQ285" s="2954"/>
      <c r="AR285" s="2954"/>
      <c r="AS285" s="2954"/>
      <c r="AT285" s="2954"/>
      <c r="AU285" s="2954"/>
      <c r="AV285" s="2954"/>
      <c r="AW285" s="2954"/>
      <c r="AX285" s="2954"/>
      <c r="AY285" s="2954"/>
      <c r="AZ285" s="2954"/>
      <c r="BA285" s="2954"/>
      <c r="BB285" s="2954"/>
      <c r="BC285" s="2954"/>
      <c r="BD285" s="2954"/>
      <c r="BE285" s="2954"/>
      <c r="BF285" s="2954"/>
      <c r="BG285" s="2954"/>
      <c r="BH285" s="2954"/>
      <c r="BI285" s="2954"/>
      <c r="BJ285" s="2954"/>
      <c r="BK285" s="2954"/>
      <c r="BL285" s="2954"/>
      <c r="BM285" s="2954"/>
      <c r="BN285" s="2954"/>
      <c r="BO285" s="2954"/>
      <c r="BP285" s="2954"/>
      <c r="BQ285" s="2954"/>
      <c r="BR285" s="2954"/>
      <c r="BS285" s="2954"/>
      <c r="BT285" s="2954"/>
      <c r="BU285" s="2954"/>
      <c r="BV285" s="2954"/>
      <c r="BW285" s="2954"/>
      <c r="BX285" s="2954"/>
      <c r="BY285" s="2954"/>
      <c r="BZ285" s="2954"/>
      <c r="CA285" s="2954"/>
      <c r="CB285" s="2954"/>
      <c r="CC285" s="2954"/>
      <c r="CD285" s="2954"/>
      <c r="CE285" s="2954"/>
      <c r="CF285" s="2954"/>
      <c r="CG285" s="2954"/>
      <c r="CH285" s="2954"/>
      <c r="CI285" s="2954"/>
      <c r="CJ285" s="2954"/>
      <c r="CK285" s="2954"/>
      <c r="CL285" s="2954"/>
      <c r="CM285" s="2954"/>
      <c r="CN285" s="2954"/>
      <c r="CO285" s="2954"/>
      <c r="CP285" s="2954"/>
      <c r="CQ285" s="2954"/>
      <c r="CR285" s="2954"/>
      <c r="CS285" s="2954"/>
      <c r="CT285" s="2954"/>
      <c r="CU285" s="2954"/>
      <c r="CV285" s="2954"/>
      <c r="CW285" s="2954"/>
      <c r="CX285" s="2954"/>
      <c r="CY285" s="2954"/>
      <c r="CZ285" s="2954"/>
      <c r="DA285" s="2954"/>
      <c r="DB285" s="2954"/>
      <c r="DC285" s="2954"/>
      <c r="DD285" s="2954"/>
      <c r="DE285" s="2954"/>
      <c r="DF285" s="2954"/>
      <c r="DG285" s="2954"/>
      <c r="DH285" s="2954"/>
      <c r="DI285" s="2954"/>
      <c r="DJ285" s="2954"/>
      <c r="DK285" s="2954"/>
      <c r="DL285" s="2954"/>
      <c r="DM285" s="2954"/>
      <c r="DN285" s="2954"/>
      <c r="DO285" s="2954"/>
      <c r="DP285" s="2954"/>
      <c r="DQ285" s="2954"/>
      <c r="DR285" s="2954"/>
      <c r="DS285" s="2954"/>
      <c r="DT285" s="2954"/>
      <c r="DU285" s="2954"/>
      <c r="DV285" s="2954"/>
    </row>
    <row r="286" s="799" customFormat="1" ht="14.25" hidden="1" customHeight="1" spans="1:126">
      <c r="A286" s="2952" t="s">
        <v>4214</v>
      </c>
      <c r="B286" s="2952"/>
      <c r="C286" s="2952" t="s">
        <v>6940</v>
      </c>
      <c r="D286" s="2952"/>
      <c r="E286" s="2952"/>
      <c r="F286" s="2952"/>
      <c r="G286" s="2952"/>
      <c r="H286" s="2952"/>
      <c r="I286" s="2952"/>
      <c r="J286" s="2952"/>
      <c r="K286" s="2952"/>
      <c r="L286" s="2952"/>
      <c r="M286" s="2952"/>
      <c r="N286" s="2952"/>
      <c r="O286" s="2952"/>
      <c r="P286" s="2952"/>
      <c r="Q286" s="2952"/>
      <c r="R286" s="2952"/>
      <c r="S286" s="2952"/>
      <c r="T286" s="2952"/>
      <c r="U286" s="2952"/>
      <c r="V286" s="2952" t="s">
        <v>6941</v>
      </c>
      <c r="W286" s="2952"/>
      <c r="X286" s="2952"/>
      <c r="Y286" s="2952"/>
      <c r="Z286" s="2952"/>
      <c r="AA286" s="2952"/>
      <c r="AB286" s="2952"/>
      <c r="AC286" s="2952"/>
      <c r="AD286" s="2952"/>
      <c r="AE286" s="2952"/>
      <c r="AF286" s="2952"/>
      <c r="AG286" s="2952" t="s">
        <v>6942</v>
      </c>
      <c r="AH286" s="2952"/>
      <c r="AI286" s="2952"/>
      <c r="AJ286" s="2952"/>
      <c r="AK286" s="2952"/>
      <c r="AL286" s="2952"/>
      <c r="AM286" s="2952"/>
      <c r="AN286" s="2952"/>
      <c r="AO286" s="2952"/>
      <c r="AP286" s="2952"/>
    </row>
    <row r="287" s="799" customFormat="1" ht="12.75" hidden="1" customHeight="1" spans="1:126">
      <c r="A287" s="2955">
        <f>UnosPorBilans!B202</f>
        <v>0</v>
      </c>
      <c r="B287" s="2955"/>
      <c r="C287" s="2955"/>
      <c r="D287" s="2955"/>
      <c r="E287" s="2955"/>
      <c r="F287" s="2955"/>
      <c r="G287" s="2955"/>
      <c r="H287" s="2955"/>
      <c r="I287" s="2955"/>
      <c r="J287" s="2955"/>
      <c r="K287" s="2955"/>
      <c r="L287" s="2955"/>
      <c r="M287" s="2955"/>
      <c r="N287" s="2955"/>
      <c r="O287" s="2955"/>
      <c r="P287" s="2955"/>
      <c r="Q287" s="2955"/>
      <c r="R287" s="2955"/>
      <c r="S287" s="2955"/>
      <c r="T287" s="2955"/>
      <c r="U287" s="2955"/>
      <c r="V287" s="2955">
        <f>UnosPorBilans!I202</f>
        <v>0</v>
      </c>
      <c r="W287" s="2955"/>
      <c r="X287" s="2955"/>
      <c r="Y287" s="2955"/>
      <c r="Z287" s="2955"/>
      <c r="AA287" s="2955"/>
      <c r="AB287" s="2955"/>
      <c r="AC287" s="2955"/>
      <c r="AD287" s="2955"/>
      <c r="AE287" s="2955"/>
      <c r="AF287" s="2955"/>
      <c r="AG287" s="2955">
        <f>UnosPorBilans!N202</f>
        <v>0</v>
      </c>
      <c r="AH287" s="2955"/>
      <c r="AI287" s="2955"/>
      <c r="AJ287" s="2955"/>
      <c r="AK287" s="2955"/>
      <c r="AL287" s="2955"/>
      <c r="AM287" s="2955"/>
      <c r="AN287" s="2955"/>
      <c r="AO287" s="2955"/>
      <c r="AP287" s="2955"/>
    </row>
    <row r="288" s="799" customFormat="1" ht="12.75" hidden="1" customHeight="1" spans="1:126">
      <c r="A288" s="2952" t="s">
        <v>6943</v>
      </c>
      <c r="B288" s="2952"/>
      <c r="C288" s="2952"/>
      <c r="D288" s="2952"/>
      <c r="E288" s="2952"/>
      <c r="F288" s="2952"/>
      <c r="G288" s="2952"/>
      <c r="H288" s="2952"/>
      <c r="I288" s="2952"/>
      <c r="J288" s="2952"/>
      <c r="K288" s="2952" t="s">
        <v>6944</v>
      </c>
      <c r="L288" s="2952"/>
      <c r="M288" s="2952"/>
      <c r="N288" s="2952"/>
      <c r="O288" s="2952"/>
      <c r="P288" s="2952"/>
      <c r="Q288" s="2952"/>
      <c r="R288" s="2952"/>
      <c r="S288" s="2952"/>
      <c r="T288" s="2952"/>
      <c r="U288" s="2952"/>
      <c r="V288" s="2952" t="s">
        <v>6945</v>
      </c>
      <c r="W288" s="2952"/>
      <c r="X288" s="2952"/>
      <c r="Y288" s="2952"/>
      <c r="Z288" s="2952"/>
      <c r="AA288" s="2952"/>
      <c r="AB288" s="2952"/>
      <c r="AC288" s="2952"/>
      <c r="AD288" s="2952"/>
      <c r="AE288" s="2952"/>
      <c r="AF288" s="2952"/>
      <c r="AG288" s="2952" t="s">
        <v>6946</v>
      </c>
      <c r="AH288" s="2952"/>
      <c r="AI288" s="2952"/>
      <c r="AJ288" s="2952"/>
      <c r="AK288" s="2952"/>
      <c r="AL288" s="2952"/>
      <c r="AM288" s="2952"/>
      <c r="AN288" s="2952"/>
      <c r="AO288" s="2952"/>
      <c r="AP288" s="2952"/>
    </row>
    <row r="289" s="799" customFormat="1" ht="12.75" hidden="1" customHeight="1" spans="1:126">
      <c r="A289" s="2955">
        <f>UnosPorBilans!S202</f>
        <v>0</v>
      </c>
      <c r="B289" s="2955"/>
      <c r="C289" s="2955"/>
      <c r="D289" s="2955"/>
      <c r="E289" s="2955"/>
      <c r="F289" s="2955"/>
      <c r="G289" s="2955"/>
      <c r="H289" s="2955"/>
      <c r="I289" s="2955"/>
      <c r="J289" s="2955"/>
      <c r="K289" s="2955">
        <f>UnosPorBilans!W202</f>
        <v>0</v>
      </c>
      <c r="L289" s="2955"/>
      <c r="M289" s="2955"/>
      <c r="N289" s="2955"/>
      <c r="O289" s="2955"/>
      <c r="P289" s="2955"/>
      <c r="Q289" s="2955"/>
      <c r="R289" s="2955"/>
      <c r="S289" s="2955"/>
      <c r="T289" s="2955"/>
      <c r="U289" s="2955"/>
      <c r="V289" s="2955">
        <f>UnosPorBilans!AB202</f>
        <v>0</v>
      </c>
      <c r="W289" s="2955"/>
      <c r="X289" s="2955"/>
      <c r="Y289" s="2955"/>
      <c r="Z289" s="2955"/>
      <c r="AA289" s="2955"/>
      <c r="AB289" s="2955"/>
      <c r="AC289" s="2955"/>
      <c r="AD289" s="2955"/>
      <c r="AE289" s="2955"/>
      <c r="AF289" s="2955"/>
      <c r="AG289" s="2955">
        <f>UnosPorBilans!AG202</f>
        <v>0</v>
      </c>
      <c r="AH289" s="2955"/>
      <c r="AI289" s="2955"/>
      <c r="AJ289" s="2955"/>
      <c r="AK289" s="2955"/>
      <c r="AL289" s="2955"/>
      <c r="AM289" s="2955"/>
      <c r="AN289" s="2955"/>
      <c r="AO289" s="2955"/>
      <c r="AP289" s="2955"/>
    </row>
    <row r="290" s="799" customFormat="1" ht="12.75" hidden="1" customHeight="1" spans="1:126">
      <c r="A290" s="2952" t="s">
        <v>6947</v>
      </c>
      <c r="B290" s="2952"/>
      <c r="C290" s="2952"/>
      <c r="D290" s="2952"/>
      <c r="E290" s="2952"/>
      <c r="F290" s="2952"/>
      <c r="G290" s="2952"/>
      <c r="H290" s="2952"/>
      <c r="I290" s="2952"/>
      <c r="J290" s="2952"/>
      <c r="K290" s="2952"/>
      <c r="L290" s="2952"/>
      <c r="M290" s="2952"/>
      <c r="N290" s="2952"/>
      <c r="O290" s="2952"/>
      <c r="P290" s="2952"/>
      <c r="Q290" s="2952"/>
      <c r="R290" s="2952"/>
      <c r="S290" s="2952"/>
      <c r="T290" s="2952"/>
      <c r="U290" s="2952"/>
      <c r="V290" s="2952" t="s">
        <v>6948</v>
      </c>
      <c r="W290" s="2952"/>
      <c r="X290" s="2952"/>
      <c r="Y290" s="2952"/>
      <c r="Z290" s="2952"/>
      <c r="AA290" s="2952"/>
      <c r="AB290" s="2952"/>
      <c r="AC290" s="2952"/>
      <c r="AD290" s="2952"/>
      <c r="AE290" s="2952"/>
      <c r="AF290" s="2952"/>
      <c r="AG290" s="2952"/>
      <c r="AH290" s="2952"/>
      <c r="AI290" s="2952"/>
      <c r="AJ290" s="2952"/>
      <c r="AK290" s="2952"/>
      <c r="AL290" s="2952"/>
      <c r="AM290" s="2952"/>
      <c r="AN290" s="2952"/>
      <c r="AO290" s="2952"/>
      <c r="AP290" s="2952"/>
    </row>
    <row r="291" s="799" customFormat="1" ht="12.75" hidden="1" customHeight="1" spans="1:126">
      <c r="A291" s="2955">
        <f>UnosPorBilans!AL202</f>
        <v>0</v>
      </c>
      <c r="B291" s="2955"/>
      <c r="C291" s="2955"/>
      <c r="D291" s="2955"/>
      <c r="E291" s="2955"/>
      <c r="F291" s="2955"/>
      <c r="G291" s="2955"/>
      <c r="H291" s="2955"/>
      <c r="I291" s="2955"/>
      <c r="J291" s="2955"/>
      <c r="K291" s="2955"/>
      <c r="L291" s="2955"/>
      <c r="M291" s="2955"/>
      <c r="N291" s="2955"/>
      <c r="O291" s="2955"/>
      <c r="P291" s="2955"/>
      <c r="Q291" s="2955"/>
      <c r="R291" s="2955"/>
      <c r="S291" s="2955"/>
      <c r="T291" s="2955"/>
      <c r="U291" s="2955"/>
      <c r="V291" s="2955">
        <f>UnosPorBilans!AS202</f>
        <v>0</v>
      </c>
      <c r="W291" s="2955"/>
      <c r="X291" s="2955"/>
      <c r="Y291" s="2955"/>
      <c r="Z291" s="2955"/>
      <c r="AA291" s="2955"/>
      <c r="AB291" s="2955"/>
      <c r="AC291" s="2955"/>
      <c r="AD291" s="2955"/>
      <c r="AE291" s="2955"/>
      <c r="AF291" s="2955"/>
      <c r="AG291" s="2955"/>
      <c r="AH291" s="2955"/>
      <c r="AI291" s="2955"/>
      <c r="AJ291" s="2955"/>
      <c r="AK291" s="2955"/>
      <c r="AL291" s="2955"/>
      <c r="AM291" s="2955"/>
      <c r="AN291" s="2955"/>
      <c r="AO291" s="2955"/>
      <c r="AP291" s="2955"/>
    </row>
    <row r="292" s="799" customFormat="1" ht="14.25" hidden="1" customHeight="1" spans="1:126">
      <c r="A292" s="2954"/>
      <c r="B292" s="2954"/>
      <c r="C292" s="2954"/>
      <c r="D292" s="2954"/>
      <c r="E292" s="2954"/>
      <c r="F292" s="2954"/>
      <c r="G292" s="2954"/>
      <c r="H292" s="2954"/>
      <c r="I292" s="2954"/>
      <c r="J292" s="2954"/>
      <c r="K292" s="2954"/>
      <c r="L292" s="2954"/>
      <c r="M292" s="2954"/>
      <c r="N292" s="2954"/>
      <c r="O292" s="2954"/>
      <c r="P292" s="2954"/>
      <c r="Q292" s="2954"/>
      <c r="R292" s="2954"/>
      <c r="S292" s="2954"/>
      <c r="T292" s="2954"/>
      <c r="U292" s="2954"/>
      <c r="V292" s="2954"/>
      <c r="W292" s="2954"/>
      <c r="X292" s="2954"/>
      <c r="Y292" s="2954"/>
      <c r="Z292" s="2954"/>
      <c r="AA292" s="2954"/>
      <c r="AB292" s="2954"/>
      <c r="AC292" s="2954"/>
      <c r="AD292" s="2954"/>
      <c r="AE292" s="2954"/>
      <c r="AF292" s="2954"/>
      <c r="AG292" s="2954"/>
      <c r="AH292" s="2954"/>
      <c r="AI292" s="2954"/>
      <c r="AJ292" s="2954"/>
      <c r="AK292" s="2954"/>
      <c r="AL292" s="2954"/>
      <c r="AM292" s="2954"/>
      <c r="AN292" s="2954"/>
      <c r="AO292" s="2954"/>
      <c r="AP292" s="2954"/>
      <c r="AQ292" s="2954"/>
      <c r="AR292" s="2954"/>
      <c r="AS292" s="2954"/>
      <c r="AT292" s="2954"/>
      <c r="AU292" s="2954"/>
      <c r="AV292" s="2954"/>
      <c r="AW292" s="2954"/>
      <c r="AX292" s="2954"/>
      <c r="AY292" s="2954"/>
      <c r="AZ292" s="2954"/>
      <c r="BA292" s="2954"/>
      <c r="BB292" s="2954"/>
      <c r="BC292" s="2954"/>
      <c r="BD292" s="2954"/>
      <c r="BE292" s="2954"/>
      <c r="BF292" s="2954"/>
      <c r="BG292" s="2954"/>
      <c r="BH292" s="2954"/>
      <c r="BI292" s="2954"/>
      <c r="BJ292" s="2954"/>
      <c r="BK292" s="2954"/>
      <c r="BL292" s="2954"/>
      <c r="BM292" s="2954"/>
      <c r="BN292" s="2954"/>
      <c r="BO292" s="2954"/>
      <c r="BP292" s="2954"/>
      <c r="BQ292" s="2954"/>
      <c r="BR292" s="2954"/>
      <c r="BS292" s="2954"/>
      <c r="BT292" s="2954"/>
      <c r="BU292" s="2954"/>
      <c r="BV292" s="2954"/>
      <c r="BW292" s="2954"/>
      <c r="BX292" s="2954"/>
      <c r="BY292" s="2954"/>
      <c r="BZ292" s="2954"/>
      <c r="CA292" s="2954"/>
      <c r="CB292" s="2954"/>
      <c r="CC292" s="2954"/>
      <c r="CD292" s="2954"/>
      <c r="CE292" s="2954"/>
      <c r="CF292" s="2954"/>
      <c r="CG292" s="2954"/>
      <c r="CH292" s="2954"/>
      <c r="CI292" s="2954"/>
      <c r="CJ292" s="2954"/>
      <c r="CK292" s="2954"/>
      <c r="CL292" s="2954"/>
      <c r="CM292" s="2954"/>
      <c r="CN292" s="2954"/>
      <c r="CO292" s="2954"/>
      <c r="CP292" s="2954"/>
      <c r="CQ292" s="2954"/>
      <c r="CR292" s="2954"/>
      <c r="CS292" s="2954"/>
      <c r="CT292" s="2954"/>
      <c r="CU292" s="2954"/>
      <c r="CV292" s="2954"/>
      <c r="CW292" s="2954"/>
      <c r="CX292" s="2954"/>
      <c r="CY292" s="2954"/>
      <c r="CZ292" s="2954"/>
      <c r="DA292" s="2954"/>
      <c r="DB292" s="2954"/>
      <c r="DC292" s="2954"/>
      <c r="DD292" s="2954"/>
      <c r="DE292" s="2954"/>
      <c r="DF292" s="2954"/>
      <c r="DG292" s="2954"/>
      <c r="DH292" s="2954"/>
      <c r="DI292" s="2954"/>
      <c r="DJ292" s="2954"/>
      <c r="DK292" s="2954"/>
      <c r="DL292" s="2954"/>
      <c r="DM292" s="2954"/>
      <c r="DN292" s="2954"/>
      <c r="DO292" s="2954"/>
      <c r="DP292" s="2954"/>
      <c r="DQ292" s="2954"/>
      <c r="DR292" s="2954"/>
      <c r="DS292" s="2954"/>
      <c r="DT292" s="2954"/>
      <c r="DU292" s="2954"/>
      <c r="DV292" s="2954"/>
    </row>
    <row r="293" s="799" customFormat="1" ht="14.25" hidden="1" customHeight="1" spans="1:126">
      <c r="A293" s="2952" t="s">
        <v>4214</v>
      </c>
      <c r="B293" s="2952"/>
      <c r="C293" s="2952" t="s">
        <v>6940</v>
      </c>
      <c r="D293" s="2952"/>
      <c r="E293" s="2952"/>
      <c r="F293" s="2952"/>
      <c r="G293" s="2952"/>
      <c r="H293" s="2952"/>
      <c r="I293" s="2952"/>
      <c r="J293" s="2952"/>
      <c r="K293" s="2952"/>
      <c r="L293" s="2952"/>
      <c r="M293" s="2952"/>
      <c r="N293" s="2952"/>
      <c r="O293" s="2952"/>
      <c r="P293" s="2952"/>
      <c r="Q293" s="2952"/>
      <c r="R293" s="2952"/>
      <c r="S293" s="2952"/>
      <c r="T293" s="2952"/>
      <c r="U293" s="2952"/>
      <c r="V293" s="2952" t="s">
        <v>6941</v>
      </c>
      <c r="W293" s="2952"/>
      <c r="X293" s="2952"/>
      <c r="Y293" s="2952"/>
      <c r="Z293" s="2952"/>
      <c r="AA293" s="2952"/>
      <c r="AB293" s="2952"/>
      <c r="AC293" s="2952"/>
      <c r="AD293" s="2952"/>
      <c r="AE293" s="2952"/>
      <c r="AF293" s="2952"/>
      <c r="AG293" s="2952" t="s">
        <v>6942</v>
      </c>
      <c r="AH293" s="2952"/>
      <c r="AI293" s="2952"/>
      <c r="AJ293" s="2952"/>
      <c r="AK293" s="2952"/>
      <c r="AL293" s="2952"/>
      <c r="AM293" s="2952"/>
      <c r="AN293" s="2952"/>
      <c r="AO293" s="2952"/>
      <c r="AP293" s="2952"/>
    </row>
    <row r="294" s="799" customFormat="1" ht="12.75" hidden="1" customHeight="1" spans="1:126">
      <c r="A294" s="2955">
        <f>UnosPorBilans!B203</f>
        <v>0</v>
      </c>
      <c r="B294" s="2955"/>
      <c r="C294" s="2955"/>
      <c r="D294" s="2955"/>
      <c r="E294" s="2955"/>
      <c r="F294" s="2955"/>
      <c r="G294" s="2955"/>
      <c r="H294" s="2955"/>
      <c r="I294" s="2955"/>
      <c r="J294" s="2955"/>
      <c r="K294" s="2955"/>
      <c r="L294" s="2955"/>
      <c r="M294" s="2955"/>
      <c r="N294" s="2955"/>
      <c r="O294" s="2955"/>
      <c r="P294" s="2955"/>
      <c r="Q294" s="2955"/>
      <c r="R294" s="2955"/>
      <c r="S294" s="2955"/>
      <c r="T294" s="2955"/>
      <c r="U294" s="2955"/>
      <c r="V294" s="2955">
        <f>UnosPorBilans!I203</f>
        <v>0</v>
      </c>
      <c r="W294" s="2955"/>
      <c r="X294" s="2955"/>
      <c r="Y294" s="2955"/>
      <c r="Z294" s="2955"/>
      <c r="AA294" s="2955"/>
      <c r="AB294" s="2955"/>
      <c r="AC294" s="2955"/>
      <c r="AD294" s="2955"/>
      <c r="AE294" s="2955"/>
      <c r="AF294" s="2955"/>
      <c r="AG294" s="2955">
        <f>UnosPorBilans!N203</f>
        <v>0</v>
      </c>
      <c r="AH294" s="2955"/>
      <c r="AI294" s="2955"/>
      <c r="AJ294" s="2955"/>
      <c r="AK294" s="2955"/>
      <c r="AL294" s="2955"/>
      <c r="AM294" s="2955"/>
      <c r="AN294" s="2955"/>
      <c r="AO294" s="2955"/>
      <c r="AP294" s="2955"/>
    </row>
    <row r="295" s="799" customFormat="1" ht="12.75" hidden="1" customHeight="1" spans="1:126">
      <c r="A295" s="2952" t="s">
        <v>6943</v>
      </c>
      <c r="B295" s="2952"/>
      <c r="C295" s="2952"/>
      <c r="D295" s="2952"/>
      <c r="E295" s="2952"/>
      <c r="F295" s="2952"/>
      <c r="G295" s="2952"/>
      <c r="H295" s="2952"/>
      <c r="I295" s="2952"/>
      <c r="J295" s="2952"/>
      <c r="K295" s="2952" t="s">
        <v>6944</v>
      </c>
      <c r="L295" s="2952"/>
      <c r="M295" s="2952"/>
      <c r="N295" s="2952"/>
      <c r="O295" s="2952"/>
      <c r="P295" s="2952"/>
      <c r="Q295" s="2952"/>
      <c r="R295" s="2952"/>
      <c r="S295" s="2952"/>
      <c r="T295" s="2952"/>
      <c r="U295" s="2952"/>
      <c r="V295" s="2952" t="s">
        <v>6945</v>
      </c>
      <c r="W295" s="2952"/>
      <c r="X295" s="2952"/>
      <c r="Y295" s="2952"/>
      <c r="Z295" s="2952"/>
      <c r="AA295" s="2952"/>
      <c r="AB295" s="2952"/>
      <c r="AC295" s="2952"/>
      <c r="AD295" s="2952"/>
      <c r="AE295" s="2952"/>
      <c r="AF295" s="2952"/>
      <c r="AG295" s="2952" t="s">
        <v>6946</v>
      </c>
      <c r="AH295" s="2952"/>
      <c r="AI295" s="2952"/>
      <c r="AJ295" s="2952"/>
      <c r="AK295" s="2952"/>
      <c r="AL295" s="2952"/>
      <c r="AM295" s="2952"/>
      <c r="AN295" s="2952"/>
      <c r="AO295" s="2952"/>
      <c r="AP295" s="2952"/>
    </row>
    <row r="296" s="799" customFormat="1" ht="12.75" hidden="1" customHeight="1" spans="1:126">
      <c r="A296" s="2955">
        <f>UnosPorBilans!S203</f>
        <v>0</v>
      </c>
      <c r="B296" s="2955"/>
      <c r="C296" s="2955"/>
      <c r="D296" s="2955"/>
      <c r="E296" s="2955"/>
      <c r="F296" s="2955"/>
      <c r="G296" s="2955"/>
      <c r="H296" s="2955"/>
      <c r="I296" s="2955"/>
      <c r="J296" s="2955"/>
      <c r="K296" s="2955">
        <f>UnosPorBilans!W203</f>
        <v>0</v>
      </c>
      <c r="L296" s="2955"/>
      <c r="M296" s="2955"/>
      <c r="N296" s="2955"/>
      <c r="O296" s="2955"/>
      <c r="P296" s="2955"/>
      <c r="Q296" s="2955"/>
      <c r="R296" s="2955"/>
      <c r="S296" s="2955"/>
      <c r="T296" s="2955"/>
      <c r="U296" s="2955"/>
      <c r="V296" s="2955">
        <f>UnosPorBilans!AB203</f>
        <v>0</v>
      </c>
      <c r="W296" s="2955"/>
      <c r="X296" s="2955"/>
      <c r="Y296" s="2955"/>
      <c r="Z296" s="2955"/>
      <c r="AA296" s="2955"/>
      <c r="AB296" s="2955"/>
      <c r="AC296" s="2955"/>
      <c r="AD296" s="2955"/>
      <c r="AE296" s="2955"/>
      <c r="AF296" s="2955"/>
      <c r="AG296" s="2955">
        <f>UnosPorBilans!AG203</f>
        <v>0</v>
      </c>
      <c r="AH296" s="2955"/>
      <c r="AI296" s="2955"/>
      <c r="AJ296" s="2955"/>
      <c r="AK296" s="2955"/>
      <c r="AL296" s="2955"/>
      <c r="AM296" s="2955"/>
      <c r="AN296" s="2955"/>
      <c r="AO296" s="2955"/>
      <c r="AP296" s="2955"/>
    </row>
    <row r="297" s="799" customFormat="1" ht="12.75" hidden="1" customHeight="1" spans="1:126">
      <c r="A297" s="2952" t="s">
        <v>6947</v>
      </c>
      <c r="B297" s="2952"/>
      <c r="C297" s="2952"/>
      <c r="D297" s="2952"/>
      <c r="E297" s="2952"/>
      <c r="F297" s="2952"/>
      <c r="G297" s="2952"/>
      <c r="H297" s="2952"/>
      <c r="I297" s="2952"/>
      <c r="J297" s="2952"/>
      <c r="K297" s="2952"/>
      <c r="L297" s="2952"/>
      <c r="M297" s="2952"/>
      <c r="N297" s="2952"/>
      <c r="O297" s="2952"/>
      <c r="P297" s="2952"/>
      <c r="Q297" s="2952"/>
      <c r="R297" s="2952"/>
      <c r="S297" s="2952"/>
      <c r="T297" s="2952"/>
      <c r="U297" s="2952"/>
      <c r="V297" s="2952" t="s">
        <v>6948</v>
      </c>
      <c r="W297" s="2952"/>
      <c r="X297" s="2952"/>
      <c r="Y297" s="2952"/>
      <c r="Z297" s="2952"/>
      <c r="AA297" s="2952"/>
      <c r="AB297" s="2952"/>
      <c r="AC297" s="2952"/>
      <c r="AD297" s="2952"/>
      <c r="AE297" s="2952"/>
      <c r="AF297" s="2952"/>
      <c r="AG297" s="2952"/>
      <c r="AH297" s="2952"/>
      <c r="AI297" s="2952"/>
      <c r="AJ297" s="2952"/>
      <c r="AK297" s="2952"/>
      <c r="AL297" s="2952"/>
      <c r="AM297" s="2952"/>
      <c r="AN297" s="2952"/>
      <c r="AO297" s="2952"/>
      <c r="AP297" s="2952"/>
    </row>
    <row r="298" s="799" customFormat="1" ht="12.75" hidden="1" customHeight="1" spans="1:126">
      <c r="A298" s="2955">
        <f>UnosPorBilans!AL203</f>
        <v>0</v>
      </c>
      <c r="B298" s="2955"/>
      <c r="C298" s="2955"/>
      <c r="D298" s="2955"/>
      <c r="E298" s="2955"/>
      <c r="F298" s="2955"/>
      <c r="G298" s="2955"/>
      <c r="H298" s="2955"/>
      <c r="I298" s="2955"/>
      <c r="J298" s="2955"/>
      <c r="K298" s="2955"/>
      <c r="L298" s="2955"/>
      <c r="M298" s="2955"/>
      <c r="N298" s="2955"/>
      <c r="O298" s="2955"/>
      <c r="P298" s="2955"/>
      <c r="Q298" s="2955"/>
      <c r="R298" s="2955"/>
      <c r="S298" s="2955"/>
      <c r="T298" s="2955"/>
      <c r="U298" s="2955"/>
      <c r="V298" s="2955">
        <f>UnosPorBilans!AS203</f>
        <v>0</v>
      </c>
      <c r="W298" s="2955"/>
      <c r="X298" s="2955"/>
      <c r="Y298" s="2955"/>
      <c r="Z298" s="2955"/>
      <c r="AA298" s="2955"/>
      <c r="AB298" s="2955"/>
      <c r="AC298" s="2955"/>
      <c r="AD298" s="2955"/>
      <c r="AE298" s="2955"/>
      <c r="AF298" s="2955"/>
      <c r="AG298" s="2955"/>
      <c r="AH298" s="2955"/>
      <c r="AI298" s="2955"/>
      <c r="AJ298" s="2955"/>
      <c r="AK298" s="2955"/>
      <c r="AL298" s="2955"/>
      <c r="AM298" s="2955"/>
      <c r="AN298" s="2955"/>
      <c r="AO298" s="2955"/>
      <c r="AP298" s="2955"/>
    </row>
    <row r="299" s="799" customFormat="1" ht="14.25" hidden="1" customHeight="1" spans="1:126">
      <c r="A299" s="2954"/>
      <c r="B299" s="2954"/>
      <c r="C299" s="2954"/>
      <c r="D299" s="2954"/>
      <c r="E299" s="2954"/>
      <c r="F299" s="2954"/>
      <c r="G299" s="2954"/>
      <c r="H299" s="2954"/>
      <c r="I299" s="2954"/>
      <c r="J299" s="2954"/>
      <c r="K299" s="2954"/>
      <c r="L299" s="2954"/>
      <c r="M299" s="2954"/>
      <c r="N299" s="2954"/>
      <c r="O299" s="2954"/>
      <c r="P299" s="2954"/>
      <c r="Q299" s="2954"/>
      <c r="R299" s="2954"/>
      <c r="S299" s="2954"/>
      <c r="T299" s="2954"/>
      <c r="U299" s="2954"/>
      <c r="V299" s="2954"/>
      <c r="W299" s="2954"/>
      <c r="X299" s="2954"/>
      <c r="Y299" s="2954"/>
      <c r="Z299" s="2954"/>
      <c r="AA299" s="2954"/>
      <c r="AB299" s="2954"/>
      <c r="AC299" s="2954"/>
      <c r="AD299" s="2954"/>
      <c r="AE299" s="2954"/>
      <c r="AF299" s="2954"/>
      <c r="AG299" s="2954"/>
      <c r="AH299" s="2954"/>
      <c r="AI299" s="2954"/>
      <c r="AJ299" s="2954"/>
      <c r="AK299" s="2954"/>
      <c r="AL299" s="2954"/>
      <c r="AM299" s="2954"/>
      <c r="AN299" s="2954"/>
      <c r="AO299" s="2954"/>
      <c r="AP299" s="2954"/>
      <c r="AQ299" s="2954"/>
      <c r="AR299" s="2954"/>
      <c r="AS299" s="2954"/>
      <c r="AT299" s="2954"/>
      <c r="AU299" s="2954"/>
      <c r="AV299" s="2954"/>
      <c r="AW299" s="2954"/>
      <c r="AX299" s="2954"/>
      <c r="AY299" s="2954"/>
      <c r="AZ299" s="2954"/>
      <c r="BA299" s="2954"/>
      <c r="BB299" s="2954"/>
      <c r="BC299" s="2954"/>
      <c r="BD299" s="2954"/>
      <c r="BE299" s="2954"/>
      <c r="BF299" s="2954"/>
      <c r="BG299" s="2954"/>
      <c r="BH299" s="2954"/>
      <c r="BI299" s="2954"/>
      <c r="BJ299" s="2954"/>
      <c r="BK299" s="2954"/>
      <c r="BL299" s="2954"/>
      <c r="BM299" s="2954"/>
      <c r="BN299" s="2954"/>
      <c r="BO299" s="2954"/>
      <c r="BP299" s="2954"/>
      <c r="BQ299" s="2954"/>
      <c r="BR299" s="2954"/>
      <c r="BS299" s="2954"/>
      <c r="BT299" s="2954"/>
      <c r="BU299" s="2954"/>
      <c r="BV299" s="2954"/>
      <c r="BW299" s="2954"/>
      <c r="BX299" s="2954"/>
      <c r="BY299" s="2954"/>
      <c r="BZ299" s="2954"/>
      <c r="CA299" s="2954"/>
      <c r="CB299" s="2954"/>
      <c r="CC299" s="2954"/>
      <c r="CD299" s="2954"/>
      <c r="CE299" s="2954"/>
      <c r="CF299" s="2954"/>
      <c r="CG299" s="2954"/>
      <c r="CH299" s="2954"/>
      <c r="CI299" s="2954"/>
      <c r="CJ299" s="2954"/>
      <c r="CK299" s="2954"/>
      <c r="CL299" s="2954"/>
      <c r="CM299" s="2954"/>
      <c r="CN299" s="2954"/>
      <c r="CO299" s="2954"/>
      <c r="CP299" s="2954"/>
      <c r="CQ299" s="2954"/>
      <c r="CR299" s="2954"/>
      <c r="CS299" s="2954"/>
      <c r="CT299" s="2954"/>
      <c r="CU299" s="2954"/>
      <c r="CV299" s="2954"/>
      <c r="CW299" s="2954"/>
      <c r="CX299" s="2954"/>
      <c r="CY299" s="2954"/>
      <c r="CZ299" s="2954"/>
      <c r="DA299" s="2954"/>
      <c r="DB299" s="2954"/>
      <c r="DC299" s="2954"/>
      <c r="DD299" s="2954"/>
      <c r="DE299" s="2954"/>
      <c r="DF299" s="2954"/>
      <c r="DG299" s="2954"/>
      <c r="DH299" s="2954"/>
      <c r="DI299" s="2954"/>
      <c r="DJ299" s="2954"/>
      <c r="DK299" s="2954"/>
      <c r="DL299" s="2954"/>
      <c r="DM299" s="2954"/>
      <c r="DN299" s="2954"/>
      <c r="DO299" s="2954"/>
      <c r="DP299" s="2954"/>
      <c r="DQ299" s="2954"/>
      <c r="DR299" s="2954"/>
      <c r="DS299" s="2954"/>
      <c r="DT299" s="2954"/>
      <c r="DU299" s="2954"/>
      <c r="DV299" s="2954"/>
    </row>
    <row r="300" s="799" customFormat="1" ht="14.25" hidden="1" customHeight="1" spans="1:126">
      <c r="A300" s="2952" t="s">
        <v>4214</v>
      </c>
      <c r="B300" s="2952"/>
      <c r="C300" s="2952" t="s">
        <v>6940</v>
      </c>
      <c r="D300" s="2952"/>
      <c r="E300" s="2952"/>
      <c r="F300" s="2952"/>
      <c r="G300" s="2952"/>
      <c r="H300" s="2952"/>
      <c r="I300" s="2952"/>
      <c r="J300" s="2952"/>
      <c r="K300" s="2952"/>
      <c r="L300" s="2952"/>
      <c r="M300" s="2952"/>
      <c r="N300" s="2952"/>
      <c r="O300" s="2952"/>
      <c r="P300" s="2952"/>
      <c r="Q300" s="2952"/>
      <c r="R300" s="2952"/>
      <c r="S300" s="2952"/>
      <c r="T300" s="2952"/>
      <c r="U300" s="2952"/>
      <c r="V300" s="2952" t="s">
        <v>6941</v>
      </c>
      <c r="W300" s="2952"/>
      <c r="X300" s="2952"/>
      <c r="Y300" s="2952"/>
      <c r="Z300" s="2952"/>
      <c r="AA300" s="2952"/>
      <c r="AB300" s="2952"/>
      <c r="AC300" s="2952"/>
      <c r="AD300" s="2952"/>
      <c r="AE300" s="2952"/>
      <c r="AF300" s="2952"/>
      <c r="AG300" s="2952" t="s">
        <v>6942</v>
      </c>
      <c r="AH300" s="2952"/>
      <c r="AI300" s="2952"/>
      <c r="AJ300" s="2952"/>
      <c r="AK300" s="2952"/>
      <c r="AL300" s="2952"/>
      <c r="AM300" s="2952"/>
      <c r="AN300" s="2952"/>
      <c r="AO300" s="2952"/>
      <c r="AP300" s="2952"/>
    </row>
    <row r="301" s="799" customFormat="1" ht="12.75" hidden="1" customHeight="1" spans="1:126">
      <c r="A301" s="2955">
        <f>UnosPorBilans!B204</f>
        <v>0</v>
      </c>
      <c r="B301" s="2955"/>
      <c r="C301" s="2955"/>
      <c r="D301" s="2955"/>
      <c r="E301" s="2955"/>
      <c r="F301" s="2955"/>
      <c r="G301" s="2955"/>
      <c r="H301" s="2955"/>
      <c r="I301" s="2955"/>
      <c r="J301" s="2955"/>
      <c r="K301" s="2955"/>
      <c r="L301" s="2955"/>
      <c r="M301" s="2955"/>
      <c r="N301" s="2955"/>
      <c r="O301" s="2955"/>
      <c r="P301" s="2955"/>
      <c r="Q301" s="2955"/>
      <c r="R301" s="2955"/>
      <c r="S301" s="2955"/>
      <c r="T301" s="2955"/>
      <c r="U301" s="2955"/>
      <c r="V301" s="2955">
        <f>UnosPorBilans!I204</f>
        <v>0</v>
      </c>
      <c r="W301" s="2955"/>
      <c r="X301" s="2955"/>
      <c r="Y301" s="2955"/>
      <c r="Z301" s="2955"/>
      <c r="AA301" s="2955"/>
      <c r="AB301" s="2955"/>
      <c r="AC301" s="2955"/>
      <c r="AD301" s="2955"/>
      <c r="AE301" s="2955"/>
      <c r="AF301" s="2955"/>
      <c r="AG301" s="2955">
        <f>UnosPorBilans!N204</f>
        <v>0</v>
      </c>
      <c r="AH301" s="2955"/>
      <c r="AI301" s="2955"/>
      <c r="AJ301" s="2955"/>
      <c r="AK301" s="2955"/>
      <c r="AL301" s="2955"/>
      <c r="AM301" s="2955"/>
      <c r="AN301" s="2955"/>
      <c r="AO301" s="2955"/>
      <c r="AP301" s="2955"/>
    </row>
    <row r="302" s="799" customFormat="1" ht="12.75" hidden="1" customHeight="1" spans="1:126">
      <c r="A302" s="2952" t="s">
        <v>6943</v>
      </c>
      <c r="B302" s="2952"/>
      <c r="C302" s="2952"/>
      <c r="D302" s="2952"/>
      <c r="E302" s="2952"/>
      <c r="F302" s="2952"/>
      <c r="G302" s="2952"/>
      <c r="H302" s="2952"/>
      <c r="I302" s="2952"/>
      <c r="J302" s="2952"/>
      <c r="K302" s="2952" t="s">
        <v>6944</v>
      </c>
      <c r="L302" s="2952"/>
      <c r="M302" s="2952"/>
      <c r="N302" s="2952"/>
      <c r="O302" s="2952"/>
      <c r="P302" s="2952"/>
      <c r="Q302" s="2952"/>
      <c r="R302" s="2952"/>
      <c r="S302" s="2952"/>
      <c r="T302" s="2952"/>
      <c r="U302" s="2952"/>
      <c r="V302" s="2952" t="s">
        <v>6945</v>
      </c>
      <c r="W302" s="2952"/>
      <c r="X302" s="2952"/>
      <c r="Y302" s="2952"/>
      <c r="Z302" s="2952"/>
      <c r="AA302" s="2952"/>
      <c r="AB302" s="2952"/>
      <c r="AC302" s="2952"/>
      <c r="AD302" s="2952"/>
      <c r="AE302" s="2952"/>
      <c r="AF302" s="2952"/>
      <c r="AG302" s="2952" t="s">
        <v>6946</v>
      </c>
      <c r="AH302" s="2952"/>
      <c r="AI302" s="2952"/>
      <c r="AJ302" s="2952"/>
      <c r="AK302" s="2952"/>
      <c r="AL302" s="2952"/>
      <c r="AM302" s="2952"/>
      <c r="AN302" s="2952"/>
      <c r="AO302" s="2952"/>
      <c r="AP302" s="2952"/>
    </row>
    <row r="303" s="799" customFormat="1" ht="12.75" hidden="1" customHeight="1" spans="1:126">
      <c r="A303" s="2955">
        <f>UnosPorBilans!S204</f>
        <v>0</v>
      </c>
      <c r="B303" s="2955"/>
      <c r="C303" s="2955"/>
      <c r="D303" s="2955"/>
      <c r="E303" s="2955"/>
      <c r="F303" s="2955"/>
      <c r="G303" s="2955"/>
      <c r="H303" s="2955"/>
      <c r="I303" s="2955"/>
      <c r="J303" s="2955"/>
      <c r="K303" s="2955">
        <f>UnosPorBilans!W204</f>
        <v>0</v>
      </c>
      <c r="L303" s="2955"/>
      <c r="M303" s="2955"/>
      <c r="N303" s="2955"/>
      <c r="O303" s="2955"/>
      <c r="P303" s="2955"/>
      <c r="Q303" s="2955"/>
      <c r="R303" s="2955"/>
      <c r="S303" s="2955"/>
      <c r="T303" s="2955"/>
      <c r="U303" s="2955"/>
      <c r="V303" s="2955">
        <f>UnosPorBilans!AB204</f>
        <v>0</v>
      </c>
      <c r="W303" s="2955"/>
      <c r="X303" s="2955"/>
      <c r="Y303" s="2955"/>
      <c r="Z303" s="2955"/>
      <c r="AA303" s="2955"/>
      <c r="AB303" s="2955"/>
      <c r="AC303" s="2955"/>
      <c r="AD303" s="2955"/>
      <c r="AE303" s="2955"/>
      <c r="AF303" s="2955"/>
      <c r="AG303" s="2955">
        <f>UnosPorBilans!AG204</f>
        <v>0</v>
      </c>
      <c r="AH303" s="2955"/>
      <c r="AI303" s="2955"/>
      <c r="AJ303" s="2955"/>
      <c r="AK303" s="2955"/>
      <c r="AL303" s="2955"/>
      <c r="AM303" s="2955"/>
      <c r="AN303" s="2955"/>
      <c r="AO303" s="2955"/>
      <c r="AP303" s="2955"/>
    </row>
    <row r="304" s="799" customFormat="1" ht="12.75" hidden="1" customHeight="1" spans="1:126">
      <c r="A304" s="2952" t="s">
        <v>6947</v>
      </c>
      <c r="B304" s="2952"/>
      <c r="C304" s="2952"/>
      <c r="D304" s="2952"/>
      <c r="E304" s="2952"/>
      <c r="F304" s="2952"/>
      <c r="G304" s="2952"/>
      <c r="H304" s="2952"/>
      <c r="I304" s="2952"/>
      <c r="J304" s="2952"/>
      <c r="K304" s="2952"/>
      <c r="L304" s="2952"/>
      <c r="M304" s="2952"/>
      <c r="N304" s="2952"/>
      <c r="O304" s="2952"/>
      <c r="P304" s="2952"/>
      <c r="Q304" s="2952"/>
      <c r="R304" s="2952"/>
      <c r="S304" s="2952"/>
      <c r="T304" s="2952"/>
      <c r="U304" s="2952"/>
      <c r="V304" s="2952" t="s">
        <v>6948</v>
      </c>
      <c r="W304" s="2952"/>
      <c r="X304" s="2952"/>
      <c r="Y304" s="2952"/>
      <c r="Z304" s="2952"/>
      <c r="AA304" s="2952"/>
      <c r="AB304" s="2952"/>
      <c r="AC304" s="2952"/>
      <c r="AD304" s="2952"/>
      <c r="AE304" s="2952"/>
      <c r="AF304" s="2952"/>
      <c r="AG304" s="2952"/>
      <c r="AH304" s="2952"/>
      <c r="AI304" s="2952"/>
      <c r="AJ304" s="2952"/>
      <c r="AK304" s="2952"/>
      <c r="AL304" s="2952"/>
      <c r="AM304" s="2952"/>
      <c r="AN304" s="2952"/>
      <c r="AO304" s="2952"/>
      <c r="AP304" s="2952"/>
    </row>
    <row r="305" s="799" customFormat="1" ht="12.75" hidden="1" customHeight="1" spans="1:126">
      <c r="A305" s="2955">
        <f>UnosPorBilans!AL204</f>
        <v>0</v>
      </c>
      <c r="B305" s="2955"/>
      <c r="C305" s="2955"/>
      <c r="D305" s="2955"/>
      <c r="E305" s="2955"/>
      <c r="F305" s="2955"/>
      <c r="G305" s="2955"/>
      <c r="H305" s="2955"/>
      <c r="I305" s="2955"/>
      <c r="J305" s="2955"/>
      <c r="K305" s="2955"/>
      <c r="L305" s="2955"/>
      <c r="M305" s="2955"/>
      <c r="N305" s="2955"/>
      <c r="O305" s="2955"/>
      <c r="P305" s="2955"/>
      <c r="Q305" s="2955"/>
      <c r="R305" s="2955"/>
      <c r="S305" s="2955"/>
      <c r="T305" s="2955"/>
      <c r="U305" s="2955"/>
      <c r="V305" s="2955">
        <f>UnosPorBilans!AS204</f>
        <v>0</v>
      </c>
      <c r="W305" s="2955"/>
      <c r="X305" s="2955"/>
      <c r="Y305" s="2955"/>
      <c r="Z305" s="2955"/>
      <c r="AA305" s="2955"/>
      <c r="AB305" s="2955"/>
      <c r="AC305" s="2955"/>
      <c r="AD305" s="2955"/>
      <c r="AE305" s="2955"/>
      <c r="AF305" s="2955"/>
      <c r="AG305" s="2955"/>
      <c r="AH305" s="2955"/>
      <c r="AI305" s="2955"/>
      <c r="AJ305" s="2955"/>
      <c r="AK305" s="2955"/>
      <c r="AL305" s="2955"/>
      <c r="AM305" s="2955"/>
      <c r="AN305" s="2955"/>
      <c r="AO305" s="2955"/>
      <c r="AP305" s="2955"/>
    </row>
    <row r="306" s="799" customFormat="1" ht="14.25" hidden="1" customHeight="1" spans="1:126">
      <c r="A306" s="2954"/>
      <c r="B306" s="2954"/>
      <c r="C306" s="2954"/>
      <c r="D306" s="2954"/>
      <c r="E306" s="2954"/>
      <c r="F306" s="2954"/>
      <c r="G306" s="2954"/>
      <c r="H306" s="2954"/>
      <c r="I306" s="2954"/>
      <c r="J306" s="2954"/>
      <c r="K306" s="2954"/>
      <c r="L306" s="2954"/>
      <c r="M306" s="2954"/>
      <c r="N306" s="2954"/>
      <c r="O306" s="2954"/>
      <c r="P306" s="2954"/>
      <c r="Q306" s="2954"/>
      <c r="R306" s="2954"/>
      <c r="S306" s="2954"/>
      <c r="T306" s="2954"/>
      <c r="U306" s="2954"/>
      <c r="V306" s="2954"/>
      <c r="W306" s="2954"/>
      <c r="X306" s="2954"/>
      <c r="Y306" s="2954"/>
      <c r="Z306" s="2954"/>
      <c r="AA306" s="2954"/>
      <c r="AB306" s="2954"/>
      <c r="AC306" s="2954"/>
      <c r="AD306" s="2954"/>
      <c r="AE306" s="2954"/>
      <c r="AF306" s="2954"/>
      <c r="AG306" s="2954"/>
      <c r="AH306" s="2954"/>
      <c r="AI306" s="2954"/>
      <c r="AJ306" s="2954"/>
      <c r="AK306" s="2954"/>
      <c r="AL306" s="2954"/>
      <c r="AM306" s="2954"/>
      <c r="AN306" s="2954"/>
      <c r="AO306" s="2954"/>
      <c r="AP306" s="2954"/>
      <c r="AQ306" s="2954"/>
      <c r="AR306" s="2954"/>
      <c r="AS306" s="2954"/>
      <c r="AT306" s="2954"/>
      <c r="AU306" s="2954"/>
      <c r="AV306" s="2954"/>
      <c r="AW306" s="2954"/>
      <c r="AX306" s="2954"/>
      <c r="AY306" s="2954"/>
      <c r="AZ306" s="2954"/>
      <c r="BA306" s="2954"/>
      <c r="BB306" s="2954"/>
      <c r="BC306" s="2954"/>
      <c r="BD306" s="2954"/>
      <c r="BE306" s="2954"/>
      <c r="BF306" s="2954"/>
      <c r="BG306" s="2954"/>
      <c r="BH306" s="2954"/>
      <c r="BI306" s="2954"/>
      <c r="BJ306" s="2954"/>
      <c r="BK306" s="2954"/>
      <c r="BL306" s="2954"/>
      <c r="BM306" s="2954"/>
      <c r="BN306" s="2954"/>
      <c r="BO306" s="2954"/>
      <c r="BP306" s="2954"/>
      <c r="BQ306" s="2954"/>
      <c r="BR306" s="2954"/>
      <c r="BS306" s="2954"/>
      <c r="BT306" s="2954"/>
      <c r="BU306" s="2954"/>
      <c r="BV306" s="2954"/>
      <c r="BW306" s="2954"/>
      <c r="BX306" s="2954"/>
      <c r="BY306" s="2954"/>
      <c r="BZ306" s="2954"/>
      <c r="CA306" s="2954"/>
      <c r="CB306" s="2954"/>
      <c r="CC306" s="2954"/>
      <c r="CD306" s="2954"/>
      <c r="CE306" s="2954"/>
      <c r="CF306" s="2954"/>
      <c r="CG306" s="2954"/>
      <c r="CH306" s="2954"/>
      <c r="CI306" s="2954"/>
      <c r="CJ306" s="2954"/>
      <c r="CK306" s="2954"/>
      <c r="CL306" s="2954"/>
      <c r="CM306" s="2954"/>
      <c r="CN306" s="2954"/>
      <c r="CO306" s="2954"/>
      <c r="CP306" s="2954"/>
      <c r="CQ306" s="2954"/>
      <c r="CR306" s="2954"/>
      <c r="CS306" s="2954"/>
      <c r="CT306" s="2954"/>
      <c r="CU306" s="2954"/>
      <c r="CV306" s="2954"/>
      <c r="CW306" s="2954"/>
      <c r="CX306" s="2954"/>
      <c r="CY306" s="2954"/>
      <c r="CZ306" s="2954"/>
      <c r="DA306" s="2954"/>
      <c r="DB306" s="2954"/>
      <c r="DC306" s="2954"/>
      <c r="DD306" s="2954"/>
      <c r="DE306" s="2954"/>
      <c r="DF306" s="2954"/>
      <c r="DG306" s="2954"/>
      <c r="DH306" s="2954"/>
      <c r="DI306" s="2954"/>
      <c r="DJ306" s="2954"/>
      <c r="DK306" s="2954"/>
      <c r="DL306" s="2954"/>
      <c r="DM306" s="2954"/>
      <c r="DN306" s="2954"/>
      <c r="DO306" s="2954"/>
      <c r="DP306" s="2954"/>
      <c r="DQ306" s="2954"/>
      <c r="DR306" s="2954"/>
      <c r="DS306" s="2954"/>
      <c r="DT306" s="2954"/>
      <c r="DU306" s="2954"/>
      <c r="DV306" s="2954"/>
    </row>
    <row r="307" s="799" customFormat="1" ht="14.25" hidden="1" customHeight="1" spans="1:126">
      <c r="A307" s="2952" t="s">
        <v>4214</v>
      </c>
      <c r="B307" s="2952"/>
      <c r="C307" s="2952" t="s">
        <v>6940</v>
      </c>
      <c r="D307" s="2952"/>
      <c r="E307" s="2952"/>
      <c r="F307" s="2952"/>
      <c r="G307" s="2952"/>
      <c r="H307" s="2952"/>
      <c r="I307" s="2952"/>
      <c r="J307" s="2952"/>
      <c r="K307" s="2952"/>
      <c r="L307" s="2952"/>
      <c r="M307" s="2952"/>
      <c r="N307" s="2952"/>
      <c r="O307" s="2952"/>
      <c r="P307" s="2952"/>
      <c r="Q307" s="2952"/>
      <c r="R307" s="2952"/>
      <c r="S307" s="2952"/>
      <c r="T307" s="2952"/>
      <c r="U307" s="2952"/>
      <c r="V307" s="2952" t="s">
        <v>6941</v>
      </c>
      <c r="W307" s="2952"/>
      <c r="X307" s="2952"/>
      <c r="Y307" s="2952"/>
      <c r="Z307" s="2952"/>
      <c r="AA307" s="2952"/>
      <c r="AB307" s="2952"/>
      <c r="AC307" s="2952"/>
      <c r="AD307" s="2952"/>
      <c r="AE307" s="2952"/>
      <c r="AF307" s="2952"/>
      <c r="AG307" s="2952" t="s">
        <v>6942</v>
      </c>
      <c r="AH307" s="2952"/>
      <c r="AI307" s="2952"/>
      <c r="AJ307" s="2952"/>
      <c r="AK307" s="2952"/>
      <c r="AL307" s="2952"/>
      <c r="AM307" s="2952"/>
      <c r="AN307" s="2952"/>
      <c r="AO307" s="2952"/>
      <c r="AP307" s="2952"/>
    </row>
    <row r="308" s="799" customFormat="1" ht="12.75" hidden="1" customHeight="1" spans="1:126">
      <c r="A308" s="2955">
        <f>UnosPorBilans!B205</f>
        <v>0</v>
      </c>
      <c r="B308" s="2955"/>
      <c r="C308" s="2955"/>
      <c r="D308" s="2955"/>
      <c r="E308" s="2955"/>
      <c r="F308" s="2955"/>
      <c r="G308" s="2955"/>
      <c r="H308" s="2955"/>
      <c r="I308" s="2955"/>
      <c r="J308" s="2955"/>
      <c r="K308" s="2955"/>
      <c r="L308" s="2955"/>
      <c r="M308" s="2955"/>
      <c r="N308" s="2955"/>
      <c r="O308" s="2955"/>
      <c r="P308" s="2955"/>
      <c r="Q308" s="2955"/>
      <c r="R308" s="2955"/>
      <c r="S308" s="2955"/>
      <c r="T308" s="2955"/>
      <c r="U308" s="2955"/>
      <c r="V308" s="2955">
        <f>UnosPorBilans!I205</f>
        <v>0</v>
      </c>
      <c r="W308" s="2955"/>
      <c r="X308" s="2955"/>
      <c r="Y308" s="2955"/>
      <c r="Z308" s="2955"/>
      <c r="AA308" s="2955"/>
      <c r="AB308" s="2955"/>
      <c r="AC308" s="2955"/>
      <c r="AD308" s="2955"/>
      <c r="AE308" s="2955"/>
      <c r="AF308" s="2955"/>
      <c r="AG308" s="2955">
        <f>UnosPorBilans!N205</f>
        <v>0</v>
      </c>
      <c r="AH308" s="2955"/>
      <c r="AI308" s="2955"/>
      <c r="AJ308" s="2955"/>
      <c r="AK308" s="2955"/>
      <c r="AL308" s="2955"/>
      <c r="AM308" s="2955"/>
      <c r="AN308" s="2955"/>
      <c r="AO308" s="2955"/>
      <c r="AP308" s="2955"/>
    </row>
    <row r="309" s="799" customFormat="1" ht="12.75" hidden="1" customHeight="1" spans="1:126">
      <c r="A309" s="2952" t="s">
        <v>6943</v>
      </c>
      <c r="B309" s="2952"/>
      <c r="C309" s="2952"/>
      <c r="D309" s="2952"/>
      <c r="E309" s="2952"/>
      <c r="F309" s="2952"/>
      <c r="G309" s="2952"/>
      <c r="H309" s="2952"/>
      <c r="I309" s="2952"/>
      <c r="J309" s="2952"/>
      <c r="K309" s="2952" t="s">
        <v>6944</v>
      </c>
      <c r="L309" s="2952"/>
      <c r="M309" s="2952"/>
      <c r="N309" s="2952"/>
      <c r="O309" s="2952"/>
      <c r="P309" s="2952"/>
      <c r="Q309" s="2952"/>
      <c r="R309" s="2952"/>
      <c r="S309" s="2952"/>
      <c r="T309" s="2952"/>
      <c r="U309" s="2952"/>
      <c r="V309" s="2952" t="s">
        <v>6945</v>
      </c>
      <c r="W309" s="2952"/>
      <c r="X309" s="2952"/>
      <c r="Y309" s="2952"/>
      <c r="Z309" s="2952"/>
      <c r="AA309" s="2952"/>
      <c r="AB309" s="2952"/>
      <c r="AC309" s="2952"/>
      <c r="AD309" s="2952"/>
      <c r="AE309" s="2952"/>
      <c r="AF309" s="2952"/>
      <c r="AG309" s="2952" t="s">
        <v>6946</v>
      </c>
      <c r="AH309" s="2952"/>
      <c r="AI309" s="2952"/>
      <c r="AJ309" s="2952"/>
      <c r="AK309" s="2952"/>
      <c r="AL309" s="2952"/>
      <c r="AM309" s="2952"/>
      <c r="AN309" s="2952"/>
      <c r="AO309" s="2952"/>
      <c r="AP309" s="2952"/>
    </row>
    <row r="310" s="799" customFormat="1" ht="12.75" hidden="1" customHeight="1" spans="1:126">
      <c r="A310" s="2955">
        <f>UnosPorBilans!S205</f>
        <v>0</v>
      </c>
      <c r="B310" s="2955"/>
      <c r="C310" s="2955"/>
      <c r="D310" s="2955"/>
      <c r="E310" s="2955"/>
      <c r="F310" s="2955"/>
      <c r="G310" s="2955"/>
      <c r="H310" s="2955"/>
      <c r="I310" s="2955"/>
      <c r="J310" s="2955"/>
      <c r="K310" s="2955">
        <f>UnosPorBilans!W205</f>
        <v>0</v>
      </c>
      <c r="L310" s="2955"/>
      <c r="M310" s="2955"/>
      <c r="N310" s="2955"/>
      <c r="O310" s="2955"/>
      <c r="P310" s="2955"/>
      <c r="Q310" s="2955"/>
      <c r="R310" s="2955"/>
      <c r="S310" s="2955"/>
      <c r="T310" s="2955"/>
      <c r="U310" s="2955"/>
      <c r="V310" s="2955">
        <f>UnosPorBilans!AB205</f>
        <v>0</v>
      </c>
      <c r="W310" s="2955"/>
      <c r="X310" s="2955"/>
      <c r="Y310" s="2955"/>
      <c r="Z310" s="2955"/>
      <c r="AA310" s="2955"/>
      <c r="AB310" s="2955"/>
      <c r="AC310" s="2955"/>
      <c r="AD310" s="2955"/>
      <c r="AE310" s="2955"/>
      <c r="AF310" s="2955"/>
      <c r="AG310" s="2955">
        <f>UnosPorBilans!AG205</f>
        <v>0</v>
      </c>
      <c r="AH310" s="2955"/>
      <c r="AI310" s="2955"/>
      <c r="AJ310" s="2955"/>
      <c r="AK310" s="2955"/>
      <c r="AL310" s="2955"/>
      <c r="AM310" s="2955"/>
      <c r="AN310" s="2955"/>
      <c r="AO310" s="2955"/>
      <c r="AP310" s="2955"/>
    </row>
    <row r="311" s="799" customFormat="1" ht="12.75" hidden="1" customHeight="1" spans="1:126">
      <c r="A311" s="2952" t="s">
        <v>6947</v>
      </c>
      <c r="B311" s="2952"/>
      <c r="C311" s="2952"/>
      <c r="D311" s="2952"/>
      <c r="E311" s="2952"/>
      <c r="F311" s="2952"/>
      <c r="G311" s="2952"/>
      <c r="H311" s="2952"/>
      <c r="I311" s="2952"/>
      <c r="J311" s="2952"/>
      <c r="K311" s="2952"/>
      <c r="L311" s="2952"/>
      <c r="M311" s="2952"/>
      <c r="N311" s="2952"/>
      <c r="O311" s="2952"/>
      <c r="P311" s="2952"/>
      <c r="Q311" s="2952"/>
      <c r="R311" s="2952"/>
      <c r="S311" s="2952"/>
      <c r="T311" s="2952"/>
      <c r="U311" s="2952"/>
      <c r="V311" s="2952" t="s">
        <v>6948</v>
      </c>
      <c r="W311" s="2952"/>
      <c r="X311" s="2952"/>
      <c r="Y311" s="2952"/>
      <c r="Z311" s="2952"/>
      <c r="AA311" s="2952"/>
      <c r="AB311" s="2952"/>
      <c r="AC311" s="2952"/>
      <c r="AD311" s="2952"/>
      <c r="AE311" s="2952"/>
      <c r="AF311" s="2952"/>
      <c r="AG311" s="2952"/>
      <c r="AH311" s="2952"/>
      <c r="AI311" s="2952"/>
      <c r="AJ311" s="2952"/>
      <c r="AK311" s="2952"/>
      <c r="AL311" s="2952"/>
      <c r="AM311" s="2952"/>
      <c r="AN311" s="2952"/>
      <c r="AO311" s="2952"/>
      <c r="AP311" s="2952"/>
    </row>
    <row r="312" s="799" customFormat="1" ht="12.75" hidden="1" customHeight="1" spans="1:126">
      <c r="A312" s="2955">
        <f>UnosPorBilans!AL205</f>
        <v>0</v>
      </c>
      <c r="B312" s="2955"/>
      <c r="C312" s="2955"/>
      <c r="D312" s="2955"/>
      <c r="E312" s="2955"/>
      <c r="F312" s="2955"/>
      <c r="G312" s="2955"/>
      <c r="H312" s="2955"/>
      <c r="I312" s="2955"/>
      <c r="J312" s="2955"/>
      <c r="K312" s="2955"/>
      <c r="L312" s="2955"/>
      <c r="M312" s="2955"/>
      <c r="N312" s="2955"/>
      <c r="O312" s="2955"/>
      <c r="P312" s="2955"/>
      <c r="Q312" s="2955"/>
      <c r="R312" s="2955"/>
      <c r="S312" s="2955"/>
      <c r="T312" s="2955"/>
      <c r="U312" s="2955"/>
      <c r="V312" s="2955">
        <f>UnosPorBilans!AS205</f>
        <v>0</v>
      </c>
      <c r="W312" s="2955"/>
      <c r="X312" s="2955"/>
      <c r="Y312" s="2955"/>
      <c r="Z312" s="2955"/>
      <c r="AA312" s="2955"/>
      <c r="AB312" s="2955"/>
      <c r="AC312" s="2955"/>
      <c r="AD312" s="2955"/>
      <c r="AE312" s="2955"/>
      <c r="AF312" s="2955"/>
      <c r="AG312" s="2955"/>
      <c r="AH312" s="2955"/>
      <c r="AI312" s="2955"/>
      <c r="AJ312" s="2955"/>
      <c r="AK312" s="2955"/>
      <c r="AL312" s="2955"/>
      <c r="AM312" s="2955"/>
      <c r="AN312" s="2955"/>
      <c r="AO312" s="2955"/>
      <c r="AP312" s="2955"/>
    </row>
    <row r="313" s="799" customFormat="1" ht="14.25" hidden="1" customHeight="1" spans="1:126">
      <c r="A313" s="2954"/>
      <c r="B313" s="2954"/>
      <c r="C313" s="2954"/>
      <c r="D313" s="2954"/>
      <c r="E313" s="2954"/>
      <c r="F313" s="2954"/>
      <c r="G313" s="2954"/>
      <c r="H313" s="2954"/>
      <c r="I313" s="2954"/>
      <c r="J313" s="2954"/>
      <c r="K313" s="2954"/>
      <c r="L313" s="2954"/>
      <c r="M313" s="2954"/>
      <c r="N313" s="2954"/>
      <c r="O313" s="2954"/>
      <c r="P313" s="2954"/>
      <c r="Q313" s="2954"/>
      <c r="R313" s="2954"/>
      <c r="S313" s="2954"/>
      <c r="T313" s="2954"/>
      <c r="U313" s="2954"/>
      <c r="V313" s="2954"/>
      <c r="W313" s="2954"/>
      <c r="X313" s="2954"/>
      <c r="Y313" s="2954"/>
      <c r="Z313" s="2954"/>
      <c r="AA313" s="2954"/>
      <c r="AB313" s="2954"/>
      <c r="AC313" s="2954"/>
      <c r="AD313" s="2954"/>
      <c r="AE313" s="2954"/>
      <c r="AF313" s="2954"/>
      <c r="AG313" s="2954"/>
      <c r="AH313" s="2954"/>
      <c r="AI313" s="2954"/>
      <c r="AJ313" s="2954"/>
      <c r="AK313" s="2954"/>
      <c r="AL313" s="2954"/>
      <c r="AM313" s="2954"/>
      <c r="AN313" s="2954"/>
      <c r="AO313" s="2954"/>
      <c r="AP313" s="2954"/>
      <c r="AQ313" s="2954"/>
      <c r="AR313" s="2954"/>
      <c r="AS313" s="2954"/>
      <c r="AT313" s="2954"/>
      <c r="AU313" s="2954"/>
      <c r="AV313" s="2954"/>
      <c r="AW313" s="2954"/>
      <c r="AX313" s="2954"/>
      <c r="AY313" s="2954"/>
      <c r="AZ313" s="2954"/>
      <c r="BA313" s="2954"/>
      <c r="BB313" s="2954"/>
      <c r="BC313" s="2954"/>
      <c r="BD313" s="2954"/>
      <c r="BE313" s="2954"/>
      <c r="BF313" s="2954"/>
      <c r="BG313" s="2954"/>
      <c r="BH313" s="2954"/>
      <c r="BI313" s="2954"/>
      <c r="BJ313" s="2954"/>
      <c r="BK313" s="2954"/>
      <c r="BL313" s="2954"/>
      <c r="BM313" s="2954"/>
      <c r="BN313" s="2954"/>
      <c r="BO313" s="2954"/>
      <c r="BP313" s="2954"/>
      <c r="BQ313" s="2954"/>
      <c r="BR313" s="2954"/>
      <c r="BS313" s="2954"/>
      <c r="BT313" s="2954"/>
      <c r="BU313" s="2954"/>
      <c r="BV313" s="2954"/>
      <c r="BW313" s="2954"/>
      <c r="BX313" s="2954"/>
      <c r="BY313" s="2954"/>
      <c r="BZ313" s="2954"/>
      <c r="CA313" s="2954"/>
      <c r="CB313" s="2954"/>
      <c r="CC313" s="2954"/>
      <c r="CD313" s="2954"/>
      <c r="CE313" s="2954"/>
      <c r="CF313" s="2954"/>
      <c r="CG313" s="2954"/>
      <c r="CH313" s="2954"/>
      <c r="CI313" s="2954"/>
      <c r="CJ313" s="2954"/>
      <c r="CK313" s="2954"/>
      <c r="CL313" s="2954"/>
      <c r="CM313" s="2954"/>
      <c r="CN313" s="2954"/>
      <c r="CO313" s="2954"/>
      <c r="CP313" s="2954"/>
      <c r="CQ313" s="2954"/>
      <c r="CR313" s="2954"/>
      <c r="CS313" s="2954"/>
      <c r="CT313" s="2954"/>
      <c r="CU313" s="2954"/>
      <c r="CV313" s="2954"/>
      <c r="CW313" s="2954"/>
      <c r="CX313" s="2954"/>
      <c r="CY313" s="2954"/>
      <c r="CZ313" s="2954"/>
      <c r="DA313" s="2954"/>
      <c r="DB313" s="2954"/>
      <c r="DC313" s="2954"/>
      <c r="DD313" s="2954"/>
      <c r="DE313" s="2954"/>
      <c r="DF313" s="2954"/>
      <c r="DG313" s="2954"/>
      <c r="DH313" s="2954"/>
      <c r="DI313" s="2954"/>
      <c r="DJ313" s="2954"/>
      <c r="DK313" s="2954"/>
      <c r="DL313" s="2954"/>
      <c r="DM313" s="2954"/>
      <c r="DN313" s="2954"/>
      <c r="DO313" s="2954"/>
      <c r="DP313" s="2954"/>
      <c r="DQ313" s="2954"/>
      <c r="DR313" s="2954"/>
      <c r="DS313" s="2954"/>
      <c r="DT313" s="2954"/>
      <c r="DU313" s="2954"/>
      <c r="DV313" s="2954"/>
    </row>
    <row r="314" s="799" customFormat="1" ht="14.25" hidden="1" customHeight="1" spans="1:126">
      <c r="A314" s="2952" t="s">
        <v>4214</v>
      </c>
      <c r="B314" s="2952"/>
      <c r="C314" s="2952" t="s">
        <v>6940</v>
      </c>
      <c r="D314" s="2952"/>
      <c r="E314" s="2952"/>
      <c r="F314" s="2952"/>
      <c r="G314" s="2952"/>
      <c r="H314" s="2952"/>
      <c r="I314" s="2952"/>
      <c r="J314" s="2952"/>
      <c r="K314" s="2952"/>
      <c r="L314" s="2952"/>
      <c r="M314" s="2952"/>
      <c r="N314" s="2952"/>
      <c r="O314" s="2952"/>
      <c r="P314" s="2952"/>
      <c r="Q314" s="2952"/>
      <c r="R314" s="2952"/>
      <c r="S314" s="2952"/>
      <c r="T314" s="2952"/>
      <c r="U314" s="2952"/>
      <c r="V314" s="2952" t="s">
        <v>6941</v>
      </c>
      <c r="W314" s="2952"/>
      <c r="X314" s="2952"/>
      <c r="Y314" s="2952"/>
      <c r="Z314" s="2952"/>
      <c r="AA314" s="2952"/>
      <c r="AB314" s="2952"/>
      <c r="AC314" s="2952"/>
      <c r="AD314" s="2952"/>
      <c r="AE314" s="2952"/>
      <c r="AF314" s="2952"/>
      <c r="AG314" s="2952" t="s">
        <v>6942</v>
      </c>
      <c r="AH314" s="2952"/>
      <c r="AI314" s="2952"/>
      <c r="AJ314" s="2952"/>
      <c r="AK314" s="2952"/>
      <c r="AL314" s="2952"/>
      <c r="AM314" s="2952"/>
      <c r="AN314" s="2952"/>
      <c r="AO314" s="2952"/>
      <c r="AP314" s="2952"/>
    </row>
    <row r="315" s="799" customFormat="1" ht="12.75" hidden="1" customHeight="1" spans="1:126">
      <c r="A315" s="2955">
        <f>UnosPorBilans!B206</f>
        <v>0</v>
      </c>
      <c r="B315" s="2955"/>
      <c r="C315" s="2955"/>
      <c r="D315" s="2955"/>
      <c r="E315" s="2955"/>
      <c r="F315" s="2955"/>
      <c r="G315" s="2955"/>
      <c r="H315" s="2955"/>
      <c r="I315" s="2955"/>
      <c r="J315" s="2955"/>
      <c r="K315" s="2955"/>
      <c r="L315" s="2955"/>
      <c r="M315" s="2955"/>
      <c r="N315" s="2955"/>
      <c r="O315" s="2955"/>
      <c r="P315" s="2955"/>
      <c r="Q315" s="2955"/>
      <c r="R315" s="2955"/>
      <c r="S315" s="2955"/>
      <c r="T315" s="2955"/>
      <c r="U315" s="2955"/>
      <c r="V315" s="2955">
        <f>UnosPorBilans!I206</f>
        <v>0</v>
      </c>
      <c r="W315" s="2955"/>
      <c r="X315" s="2955"/>
      <c r="Y315" s="2955"/>
      <c r="Z315" s="2955"/>
      <c r="AA315" s="2955"/>
      <c r="AB315" s="2955"/>
      <c r="AC315" s="2955"/>
      <c r="AD315" s="2955"/>
      <c r="AE315" s="2955"/>
      <c r="AF315" s="2955"/>
      <c r="AG315" s="2955">
        <f>UnosPorBilans!N206</f>
        <v>0</v>
      </c>
      <c r="AH315" s="2955"/>
      <c r="AI315" s="2955"/>
      <c r="AJ315" s="2955"/>
      <c r="AK315" s="2955"/>
      <c r="AL315" s="2955"/>
      <c r="AM315" s="2955"/>
      <c r="AN315" s="2955"/>
      <c r="AO315" s="2955"/>
      <c r="AP315" s="2955"/>
    </row>
    <row r="316" s="799" customFormat="1" ht="12.75" hidden="1" customHeight="1" spans="1:126">
      <c r="A316" s="2952" t="s">
        <v>6943</v>
      </c>
      <c r="B316" s="2952"/>
      <c r="C316" s="2952"/>
      <c r="D316" s="2952"/>
      <c r="E316" s="2952"/>
      <c r="F316" s="2952"/>
      <c r="G316" s="2952"/>
      <c r="H316" s="2952"/>
      <c r="I316" s="2952"/>
      <c r="J316" s="2952"/>
      <c r="K316" s="2952" t="s">
        <v>6944</v>
      </c>
      <c r="L316" s="2952"/>
      <c r="M316" s="2952"/>
      <c r="N316" s="2952"/>
      <c r="O316" s="2952"/>
      <c r="P316" s="2952"/>
      <c r="Q316" s="2952"/>
      <c r="R316" s="2952"/>
      <c r="S316" s="2952"/>
      <c r="T316" s="2952"/>
      <c r="U316" s="2952"/>
      <c r="V316" s="2952" t="s">
        <v>6945</v>
      </c>
      <c r="W316" s="2952"/>
      <c r="X316" s="2952"/>
      <c r="Y316" s="2952"/>
      <c r="Z316" s="2952"/>
      <c r="AA316" s="2952"/>
      <c r="AB316" s="2952"/>
      <c r="AC316" s="2952"/>
      <c r="AD316" s="2952"/>
      <c r="AE316" s="2952"/>
      <c r="AF316" s="2952"/>
      <c r="AG316" s="2952" t="s">
        <v>6946</v>
      </c>
      <c r="AH316" s="2952"/>
      <c r="AI316" s="2952"/>
      <c r="AJ316" s="2952"/>
      <c r="AK316" s="2952"/>
      <c r="AL316" s="2952"/>
      <c r="AM316" s="2952"/>
      <c r="AN316" s="2952"/>
      <c r="AO316" s="2952"/>
      <c r="AP316" s="2952"/>
    </row>
    <row r="317" s="799" customFormat="1" ht="12.75" hidden="1" customHeight="1" spans="1:126">
      <c r="A317" s="2955">
        <f>UnosPorBilans!S206</f>
        <v>0</v>
      </c>
      <c r="B317" s="2955"/>
      <c r="C317" s="2955"/>
      <c r="D317" s="2955"/>
      <c r="E317" s="2955"/>
      <c r="F317" s="2955"/>
      <c r="G317" s="2955"/>
      <c r="H317" s="2955"/>
      <c r="I317" s="2955"/>
      <c r="J317" s="2955"/>
      <c r="K317" s="2955">
        <f>UnosPorBilans!W206</f>
        <v>0</v>
      </c>
      <c r="L317" s="2955"/>
      <c r="M317" s="2955"/>
      <c r="N317" s="2955"/>
      <c r="O317" s="2955"/>
      <c r="P317" s="2955"/>
      <c r="Q317" s="2955"/>
      <c r="R317" s="2955"/>
      <c r="S317" s="2955"/>
      <c r="T317" s="2955"/>
      <c r="U317" s="2955"/>
      <c r="V317" s="2955">
        <f>UnosPorBilans!AB206</f>
        <v>0</v>
      </c>
      <c r="W317" s="2955"/>
      <c r="X317" s="2955"/>
      <c r="Y317" s="2955"/>
      <c r="Z317" s="2955"/>
      <c r="AA317" s="2955"/>
      <c r="AB317" s="2955"/>
      <c r="AC317" s="2955"/>
      <c r="AD317" s="2955"/>
      <c r="AE317" s="2955"/>
      <c r="AF317" s="2955"/>
      <c r="AG317" s="2955">
        <f>UnosPorBilans!AG206</f>
        <v>0</v>
      </c>
      <c r="AH317" s="2955"/>
      <c r="AI317" s="2955"/>
      <c r="AJ317" s="2955"/>
      <c r="AK317" s="2955"/>
      <c r="AL317" s="2955"/>
      <c r="AM317" s="2955"/>
      <c r="AN317" s="2955"/>
      <c r="AO317" s="2955"/>
      <c r="AP317" s="2955"/>
    </row>
    <row r="318" s="799" customFormat="1" ht="12.75" hidden="1" customHeight="1" spans="1:126">
      <c r="A318" s="2952" t="s">
        <v>6947</v>
      </c>
      <c r="B318" s="2952"/>
      <c r="C318" s="2952"/>
      <c r="D318" s="2952"/>
      <c r="E318" s="2952"/>
      <c r="F318" s="2952"/>
      <c r="G318" s="2952"/>
      <c r="H318" s="2952"/>
      <c r="I318" s="2952"/>
      <c r="J318" s="2952"/>
      <c r="K318" s="2952"/>
      <c r="L318" s="2952"/>
      <c r="M318" s="2952"/>
      <c r="N318" s="2952"/>
      <c r="O318" s="2952"/>
      <c r="P318" s="2952"/>
      <c r="Q318" s="2952"/>
      <c r="R318" s="2952"/>
      <c r="S318" s="2952"/>
      <c r="T318" s="2952"/>
      <c r="U318" s="2952"/>
      <c r="V318" s="2952" t="s">
        <v>6948</v>
      </c>
      <c r="W318" s="2952"/>
      <c r="X318" s="2952"/>
      <c r="Y318" s="2952"/>
      <c r="Z318" s="2952"/>
      <c r="AA318" s="2952"/>
      <c r="AB318" s="2952"/>
      <c r="AC318" s="2952"/>
      <c r="AD318" s="2952"/>
      <c r="AE318" s="2952"/>
      <c r="AF318" s="2952"/>
      <c r="AG318" s="2952"/>
      <c r="AH318" s="2952"/>
      <c r="AI318" s="2952"/>
      <c r="AJ318" s="2952"/>
      <c r="AK318" s="2952"/>
      <c r="AL318" s="2952"/>
      <c r="AM318" s="2952"/>
      <c r="AN318" s="2952"/>
      <c r="AO318" s="2952"/>
      <c r="AP318" s="2952"/>
    </row>
    <row r="319" s="799" customFormat="1" ht="12.75" hidden="1" customHeight="1" spans="1:126">
      <c r="A319" s="2955">
        <f>UnosPorBilans!AL206</f>
        <v>0</v>
      </c>
      <c r="B319" s="2955"/>
      <c r="C319" s="2955"/>
      <c r="D319" s="2955"/>
      <c r="E319" s="2955"/>
      <c r="F319" s="2955"/>
      <c r="G319" s="2955"/>
      <c r="H319" s="2955"/>
      <c r="I319" s="2955"/>
      <c r="J319" s="2955"/>
      <c r="K319" s="2955"/>
      <c r="L319" s="2955"/>
      <c r="M319" s="2955"/>
      <c r="N319" s="2955"/>
      <c r="O319" s="2955"/>
      <c r="P319" s="2955"/>
      <c r="Q319" s="2955"/>
      <c r="R319" s="2955"/>
      <c r="S319" s="2955"/>
      <c r="T319" s="2955"/>
      <c r="U319" s="2955"/>
      <c r="V319" s="2955">
        <f>UnosPorBilans!AS206</f>
        <v>0</v>
      </c>
      <c r="W319" s="2955"/>
      <c r="X319" s="2955"/>
      <c r="Y319" s="2955"/>
      <c r="Z319" s="2955"/>
      <c r="AA319" s="2955"/>
      <c r="AB319" s="2955"/>
      <c r="AC319" s="2955"/>
      <c r="AD319" s="2955"/>
      <c r="AE319" s="2955"/>
      <c r="AF319" s="2955"/>
      <c r="AG319" s="2955"/>
      <c r="AH319" s="2955"/>
      <c r="AI319" s="2955"/>
      <c r="AJ319" s="2955"/>
      <c r="AK319" s="2955"/>
      <c r="AL319" s="2955"/>
      <c r="AM319" s="2955"/>
      <c r="AN319" s="2955"/>
      <c r="AO319" s="2955"/>
      <c r="AP319" s="2955"/>
    </row>
    <row r="320" s="799" customFormat="1" ht="14.25" hidden="1" customHeight="1" spans="1:126">
      <c r="A320" s="2954"/>
      <c r="B320" s="2954"/>
      <c r="C320" s="2954"/>
      <c r="D320" s="2954"/>
      <c r="E320" s="2954"/>
      <c r="F320" s="2954"/>
      <c r="G320" s="2954"/>
      <c r="H320" s="2954"/>
      <c r="I320" s="2954"/>
      <c r="J320" s="2954"/>
      <c r="K320" s="2954"/>
      <c r="L320" s="2954"/>
      <c r="M320" s="2954"/>
      <c r="N320" s="2954"/>
      <c r="O320" s="2954"/>
      <c r="P320" s="2954"/>
      <c r="Q320" s="2954"/>
      <c r="R320" s="2954"/>
      <c r="S320" s="2954"/>
      <c r="T320" s="2954"/>
      <c r="U320" s="2954"/>
      <c r="V320" s="2954"/>
      <c r="W320" s="2954"/>
      <c r="X320" s="2954"/>
      <c r="Y320" s="2954"/>
      <c r="Z320" s="2954"/>
      <c r="AA320" s="2954"/>
      <c r="AB320" s="2954"/>
      <c r="AC320" s="2954"/>
      <c r="AD320" s="2954"/>
      <c r="AE320" s="2954"/>
      <c r="AF320" s="2954"/>
      <c r="AG320" s="2954"/>
      <c r="AH320" s="2954"/>
      <c r="AI320" s="2954"/>
      <c r="AJ320" s="2954"/>
      <c r="AK320" s="2954"/>
      <c r="AL320" s="2954"/>
      <c r="AM320" s="2954"/>
      <c r="AN320" s="2954"/>
      <c r="AO320" s="2954"/>
      <c r="AP320" s="2954"/>
      <c r="AQ320" s="2954"/>
      <c r="AR320" s="2954"/>
      <c r="AS320" s="2954"/>
      <c r="AT320" s="2954"/>
      <c r="AU320" s="2954"/>
      <c r="AV320" s="2954"/>
      <c r="AW320" s="2954"/>
      <c r="AX320" s="2954"/>
      <c r="AY320" s="2954"/>
      <c r="AZ320" s="2954"/>
      <c r="BA320" s="2954"/>
      <c r="BB320" s="2954"/>
      <c r="BC320" s="2954"/>
      <c r="BD320" s="2954"/>
      <c r="BE320" s="2954"/>
      <c r="BF320" s="2954"/>
      <c r="BG320" s="2954"/>
      <c r="BH320" s="2954"/>
      <c r="BI320" s="2954"/>
      <c r="BJ320" s="2954"/>
      <c r="BK320" s="2954"/>
      <c r="BL320" s="2954"/>
      <c r="BM320" s="2954"/>
      <c r="BN320" s="2954"/>
      <c r="BO320" s="2954"/>
      <c r="BP320" s="2954"/>
      <c r="BQ320" s="2954"/>
      <c r="BR320" s="2954"/>
      <c r="BS320" s="2954"/>
      <c r="BT320" s="2954"/>
      <c r="BU320" s="2954"/>
      <c r="BV320" s="2954"/>
      <c r="BW320" s="2954"/>
      <c r="BX320" s="2954"/>
      <c r="BY320" s="2954"/>
      <c r="BZ320" s="2954"/>
      <c r="CA320" s="2954"/>
      <c r="CB320" s="2954"/>
      <c r="CC320" s="2954"/>
      <c r="CD320" s="2954"/>
      <c r="CE320" s="2954"/>
      <c r="CF320" s="2954"/>
      <c r="CG320" s="2954"/>
      <c r="CH320" s="2954"/>
      <c r="CI320" s="2954"/>
      <c r="CJ320" s="2954"/>
      <c r="CK320" s="2954"/>
      <c r="CL320" s="2954"/>
      <c r="CM320" s="2954"/>
      <c r="CN320" s="2954"/>
      <c r="CO320" s="2954"/>
      <c r="CP320" s="2954"/>
      <c r="CQ320" s="2954"/>
      <c r="CR320" s="2954"/>
      <c r="CS320" s="2954"/>
      <c r="CT320" s="2954"/>
      <c r="CU320" s="2954"/>
      <c r="CV320" s="2954"/>
      <c r="CW320" s="2954"/>
      <c r="CX320" s="2954"/>
      <c r="CY320" s="2954"/>
      <c r="CZ320" s="2954"/>
      <c r="DA320" s="2954"/>
      <c r="DB320" s="2954"/>
      <c r="DC320" s="2954"/>
      <c r="DD320" s="2954"/>
      <c r="DE320" s="2954"/>
      <c r="DF320" s="2954"/>
      <c r="DG320" s="2954"/>
      <c r="DH320" s="2954"/>
      <c r="DI320" s="2954"/>
      <c r="DJ320" s="2954"/>
      <c r="DK320" s="2954"/>
      <c r="DL320" s="2954"/>
      <c r="DM320" s="2954"/>
      <c r="DN320" s="2954"/>
      <c r="DO320" s="2954"/>
      <c r="DP320" s="2954"/>
      <c r="DQ320" s="2954"/>
      <c r="DR320" s="2954"/>
      <c r="DS320" s="2954"/>
      <c r="DT320" s="2954"/>
      <c r="DU320" s="2954"/>
      <c r="DV320" s="2954"/>
    </row>
    <row r="321" s="799" customFormat="1" ht="14.25" hidden="1" customHeight="1" spans="1:126">
      <c r="A321" s="2952" t="s">
        <v>4214</v>
      </c>
      <c r="B321" s="2952"/>
      <c r="C321" s="2952" t="s">
        <v>6940</v>
      </c>
      <c r="D321" s="2952"/>
      <c r="E321" s="2952"/>
      <c r="F321" s="2952"/>
      <c r="G321" s="2952"/>
      <c r="H321" s="2952"/>
      <c r="I321" s="2952"/>
      <c r="J321" s="2952"/>
      <c r="K321" s="2952"/>
      <c r="L321" s="2952"/>
      <c r="M321" s="2952"/>
      <c r="N321" s="2952"/>
      <c r="O321" s="2952"/>
      <c r="P321" s="2952"/>
      <c r="Q321" s="2952"/>
      <c r="R321" s="2952"/>
      <c r="S321" s="2952"/>
      <c r="T321" s="2952"/>
      <c r="U321" s="2952"/>
      <c r="V321" s="2952" t="s">
        <v>6941</v>
      </c>
      <c r="W321" s="2952"/>
      <c r="X321" s="2952"/>
      <c r="Y321" s="2952"/>
      <c r="Z321" s="2952"/>
      <c r="AA321" s="2952"/>
      <c r="AB321" s="2952"/>
      <c r="AC321" s="2952"/>
      <c r="AD321" s="2952"/>
      <c r="AE321" s="2952"/>
      <c r="AF321" s="2952"/>
      <c r="AG321" s="2952" t="s">
        <v>6942</v>
      </c>
      <c r="AH321" s="2952"/>
      <c r="AI321" s="2952"/>
      <c r="AJ321" s="2952"/>
      <c r="AK321" s="2952"/>
      <c r="AL321" s="2952"/>
      <c r="AM321" s="2952"/>
      <c r="AN321" s="2952"/>
      <c r="AO321" s="2952"/>
      <c r="AP321" s="2952"/>
    </row>
    <row r="322" s="799" customFormat="1" ht="12.75" hidden="1" customHeight="1" spans="1:126">
      <c r="A322" s="2955">
        <f>UnosPorBilans!B207</f>
        <v>0</v>
      </c>
      <c r="B322" s="2955"/>
      <c r="C322" s="2955"/>
      <c r="D322" s="2955"/>
      <c r="E322" s="2955"/>
      <c r="F322" s="2955"/>
      <c r="G322" s="2955"/>
      <c r="H322" s="2955"/>
      <c r="I322" s="2955"/>
      <c r="J322" s="2955"/>
      <c r="K322" s="2955"/>
      <c r="L322" s="2955"/>
      <c r="M322" s="2955"/>
      <c r="N322" s="2955"/>
      <c r="O322" s="2955"/>
      <c r="P322" s="2955"/>
      <c r="Q322" s="2955"/>
      <c r="R322" s="2955"/>
      <c r="S322" s="2955"/>
      <c r="T322" s="2955"/>
      <c r="U322" s="2955"/>
      <c r="V322" s="2955">
        <f>UnosPorBilans!I207</f>
        <v>0</v>
      </c>
      <c r="W322" s="2955"/>
      <c r="X322" s="2955"/>
      <c r="Y322" s="2955"/>
      <c r="Z322" s="2955"/>
      <c r="AA322" s="2955"/>
      <c r="AB322" s="2955"/>
      <c r="AC322" s="2955"/>
      <c r="AD322" s="2955"/>
      <c r="AE322" s="2955"/>
      <c r="AF322" s="2955"/>
      <c r="AG322" s="2955">
        <f>UnosPorBilans!N207</f>
        <v>0</v>
      </c>
      <c r="AH322" s="2955"/>
      <c r="AI322" s="2955"/>
      <c r="AJ322" s="2955"/>
      <c r="AK322" s="2955"/>
      <c r="AL322" s="2955"/>
      <c r="AM322" s="2955"/>
      <c r="AN322" s="2955"/>
      <c r="AO322" s="2955"/>
      <c r="AP322" s="2955"/>
    </row>
    <row r="323" s="799" customFormat="1" ht="12.75" hidden="1" customHeight="1" spans="1:126">
      <c r="A323" s="2952" t="s">
        <v>6943</v>
      </c>
      <c r="B323" s="2952"/>
      <c r="C323" s="2952"/>
      <c r="D323" s="2952"/>
      <c r="E323" s="2952"/>
      <c r="F323" s="2952"/>
      <c r="G323" s="2952"/>
      <c r="H323" s="2952"/>
      <c r="I323" s="2952"/>
      <c r="J323" s="2952"/>
      <c r="K323" s="2952" t="s">
        <v>6944</v>
      </c>
      <c r="L323" s="2952"/>
      <c r="M323" s="2952"/>
      <c r="N323" s="2952"/>
      <c r="O323" s="2952"/>
      <c r="P323" s="2952"/>
      <c r="Q323" s="2952"/>
      <c r="R323" s="2952"/>
      <c r="S323" s="2952"/>
      <c r="T323" s="2952"/>
      <c r="U323" s="2952"/>
      <c r="V323" s="2952" t="s">
        <v>6945</v>
      </c>
      <c r="W323" s="2952"/>
      <c r="X323" s="2952"/>
      <c r="Y323" s="2952"/>
      <c r="Z323" s="2952"/>
      <c r="AA323" s="2952"/>
      <c r="AB323" s="2952"/>
      <c r="AC323" s="2952"/>
      <c r="AD323" s="2952"/>
      <c r="AE323" s="2952"/>
      <c r="AF323" s="2952"/>
      <c r="AG323" s="2952" t="s">
        <v>6946</v>
      </c>
      <c r="AH323" s="2952"/>
      <c r="AI323" s="2952"/>
      <c r="AJ323" s="2952"/>
      <c r="AK323" s="2952"/>
      <c r="AL323" s="2952"/>
      <c r="AM323" s="2952"/>
      <c r="AN323" s="2952"/>
      <c r="AO323" s="2952"/>
      <c r="AP323" s="2952"/>
    </row>
    <row r="324" s="799" customFormat="1" ht="12.75" hidden="1" customHeight="1" spans="1:126">
      <c r="A324" s="2955">
        <f>UnosPorBilans!S207</f>
        <v>0</v>
      </c>
      <c r="B324" s="2955"/>
      <c r="C324" s="2955"/>
      <c r="D324" s="2955"/>
      <c r="E324" s="2955"/>
      <c r="F324" s="2955"/>
      <c r="G324" s="2955"/>
      <c r="H324" s="2955"/>
      <c r="I324" s="2955"/>
      <c r="J324" s="2955"/>
      <c r="K324" s="2955">
        <f>UnosPorBilans!W207</f>
        <v>0</v>
      </c>
      <c r="L324" s="2955"/>
      <c r="M324" s="2955"/>
      <c r="N324" s="2955"/>
      <c r="O324" s="2955"/>
      <c r="P324" s="2955"/>
      <c r="Q324" s="2955"/>
      <c r="R324" s="2955"/>
      <c r="S324" s="2955"/>
      <c r="T324" s="2955"/>
      <c r="U324" s="2955"/>
      <c r="V324" s="2955">
        <f>UnosPorBilans!AB207</f>
        <v>0</v>
      </c>
      <c r="W324" s="2955"/>
      <c r="X324" s="2955"/>
      <c r="Y324" s="2955"/>
      <c r="Z324" s="2955"/>
      <c r="AA324" s="2955"/>
      <c r="AB324" s="2955"/>
      <c r="AC324" s="2955"/>
      <c r="AD324" s="2955"/>
      <c r="AE324" s="2955"/>
      <c r="AF324" s="2955"/>
      <c r="AG324" s="2955">
        <f>UnosPorBilans!AG207</f>
        <v>0</v>
      </c>
      <c r="AH324" s="2955"/>
      <c r="AI324" s="2955"/>
      <c r="AJ324" s="2955"/>
      <c r="AK324" s="2955"/>
      <c r="AL324" s="2955"/>
      <c r="AM324" s="2955"/>
      <c r="AN324" s="2955"/>
      <c r="AO324" s="2955"/>
      <c r="AP324" s="2955"/>
    </row>
    <row r="325" s="799" customFormat="1" ht="12.75" hidden="1" customHeight="1" spans="1:126">
      <c r="A325" s="2952" t="s">
        <v>6947</v>
      </c>
      <c r="B325" s="2952"/>
      <c r="C325" s="2952"/>
      <c r="D325" s="2952"/>
      <c r="E325" s="2952"/>
      <c r="F325" s="2952"/>
      <c r="G325" s="2952"/>
      <c r="H325" s="2952"/>
      <c r="I325" s="2952"/>
      <c r="J325" s="2952"/>
      <c r="K325" s="2952"/>
      <c r="L325" s="2952"/>
      <c r="M325" s="2952"/>
      <c r="N325" s="2952"/>
      <c r="O325" s="2952"/>
      <c r="P325" s="2952"/>
      <c r="Q325" s="2952"/>
      <c r="R325" s="2952"/>
      <c r="S325" s="2952"/>
      <c r="T325" s="2952"/>
      <c r="U325" s="2952"/>
      <c r="V325" s="2952" t="s">
        <v>6948</v>
      </c>
      <c r="W325" s="2952"/>
      <c r="X325" s="2952"/>
      <c r="Y325" s="2952"/>
      <c r="Z325" s="2952"/>
      <c r="AA325" s="2952"/>
      <c r="AB325" s="2952"/>
      <c r="AC325" s="2952"/>
      <c r="AD325" s="2952"/>
      <c r="AE325" s="2952"/>
      <c r="AF325" s="2952"/>
      <c r="AG325" s="2952"/>
      <c r="AH325" s="2952"/>
      <c r="AI325" s="2952"/>
      <c r="AJ325" s="2952"/>
      <c r="AK325" s="2952"/>
      <c r="AL325" s="2952"/>
      <c r="AM325" s="2952"/>
      <c r="AN325" s="2952"/>
      <c r="AO325" s="2952"/>
      <c r="AP325" s="2952"/>
    </row>
    <row r="326" s="799" customFormat="1" ht="12.75" hidden="1" customHeight="1" spans="1:126">
      <c r="A326" s="2955">
        <f>UnosPorBilans!AL207</f>
        <v>0</v>
      </c>
      <c r="B326" s="2955"/>
      <c r="C326" s="2955"/>
      <c r="D326" s="2955"/>
      <c r="E326" s="2955"/>
      <c r="F326" s="2955"/>
      <c r="G326" s="2955"/>
      <c r="H326" s="2955"/>
      <c r="I326" s="2955"/>
      <c r="J326" s="2955"/>
      <c r="K326" s="2955"/>
      <c r="L326" s="2955"/>
      <c r="M326" s="2955"/>
      <c r="N326" s="2955"/>
      <c r="O326" s="2955"/>
      <c r="P326" s="2955"/>
      <c r="Q326" s="2955"/>
      <c r="R326" s="2955"/>
      <c r="S326" s="2955"/>
      <c r="T326" s="2955"/>
      <c r="U326" s="2955"/>
      <c r="V326" s="2955">
        <f>UnosPorBilans!AS207</f>
        <v>0</v>
      </c>
      <c r="W326" s="2955"/>
      <c r="X326" s="2955"/>
      <c r="Y326" s="2955"/>
      <c r="Z326" s="2955"/>
      <c r="AA326" s="2955"/>
      <c r="AB326" s="2955"/>
      <c r="AC326" s="2955"/>
      <c r="AD326" s="2955"/>
      <c r="AE326" s="2955"/>
      <c r="AF326" s="2955"/>
      <c r="AG326" s="2955"/>
      <c r="AH326" s="2955"/>
      <c r="AI326" s="2955"/>
      <c r="AJ326" s="2955"/>
      <c r="AK326" s="2955"/>
      <c r="AL326" s="2955"/>
      <c r="AM326" s="2955"/>
      <c r="AN326" s="2955"/>
      <c r="AO326" s="2955"/>
      <c r="AP326" s="2955"/>
    </row>
    <row r="327" s="799" customFormat="1" ht="14.25" hidden="1" customHeight="1" spans="1:126">
      <c r="A327" s="2954"/>
      <c r="B327" s="2954"/>
      <c r="C327" s="2954"/>
      <c r="D327" s="2954"/>
      <c r="E327" s="2954"/>
      <c r="F327" s="2954"/>
      <c r="G327" s="2954"/>
      <c r="H327" s="2954"/>
      <c r="I327" s="2954"/>
      <c r="J327" s="2954"/>
      <c r="K327" s="2954"/>
      <c r="L327" s="2954"/>
      <c r="M327" s="2954"/>
      <c r="N327" s="2954"/>
      <c r="O327" s="2954"/>
      <c r="P327" s="2954"/>
      <c r="Q327" s="2954"/>
      <c r="R327" s="2954"/>
      <c r="S327" s="2954"/>
      <c r="T327" s="2954"/>
      <c r="U327" s="2954"/>
      <c r="V327" s="2954"/>
      <c r="W327" s="2954"/>
      <c r="X327" s="2954"/>
      <c r="Y327" s="2954"/>
      <c r="Z327" s="2954"/>
      <c r="AA327" s="2954"/>
      <c r="AB327" s="2954"/>
      <c r="AC327" s="2954"/>
      <c r="AD327" s="2954"/>
      <c r="AE327" s="2954"/>
      <c r="AF327" s="2954"/>
      <c r="AG327" s="2954"/>
      <c r="AH327" s="2954"/>
      <c r="AI327" s="2954"/>
      <c r="AJ327" s="2954"/>
      <c r="AK327" s="2954"/>
      <c r="AL327" s="2954"/>
      <c r="AM327" s="2954"/>
      <c r="AN327" s="2954"/>
      <c r="AO327" s="2954"/>
      <c r="AP327" s="2954"/>
      <c r="AQ327" s="2954"/>
      <c r="AR327" s="2954"/>
      <c r="AS327" s="2954"/>
      <c r="AT327" s="2954"/>
      <c r="AU327" s="2954"/>
      <c r="AV327" s="2954"/>
      <c r="AW327" s="2954"/>
      <c r="AX327" s="2954"/>
      <c r="AY327" s="2954"/>
      <c r="AZ327" s="2954"/>
      <c r="BA327" s="2954"/>
      <c r="BB327" s="2954"/>
      <c r="BC327" s="2954"/>
      <c r="BD327" s="2954"/>
      <c r="BE327" s="2954"/>
      <c r="BF327" s="2954"/>
      <c r="BG327" s="2954"/>
      <c r="BH327" s="2954"/>
      <c r="BI327" s="2954"/>
      <c r="BJ327" s="2954"/>
      <c r="BK327" s="2954"/>
      <c r="BL327" s="2954"/>
      <c r="BM327" s="2954"/>
      <c r="BN327" s="2954"/>
      <c r="BO327" s="2954"/>
      <c r="BP327" s="2954"/>
      <c r="BQ327" s="2954"/>
      <c r="BR327" s="2954"/>
      <c r="BS327" s="2954"/>
      <c r="BT327" s="2954"/>
      <c r="BU327" s="2954"/>
      <c r="BV327" s="2954"/>
      <c r="BW327" s="2954"/>
      <c r="BX327" s="2954"/>
      <c r="BY327" s="2954"/>
      <c r="BZ327" s="2954"/>
      <c r="CA327" s="2954"/>
      <c r="CB327" s="2954"/>
      <c r="CC327" s="2954"/>
      <c r="CD327" s="2954"/>
      <c r="CE327" s="2954"/>
      <c r="CF327" s="2954"/>
      <c r="CG327" s="2954"/>
      <c r="CH327" s="2954"/>
      <c r="CI327" s="2954"/>
      <c r="CJ327" s="2954"/>
      <c r="CK327" s="2954"/>
      <c r="CL327" s="2954"/>
      <c r="CM327" s="2954"/>
      <c r="CN327" s="2954"/>
      <c r="CO327" s="2954"/>
      <c r="CP327" s="2954"/>
      <c r="CQ327" s="2954"/>
      <c r="CR327" s="2954"/>
      <c r="CS327" s="2954"/>
      <c r="CT327" s="2954"/>
      <c r="CU327" s="2954"/>
      <c r="CV327" s="2954"/>
      <c r="CW327" s="2954"/>
      <c r="CX327" s="2954"/>
      <c r="CY327" s="2954"/>
      <c r="CZ327" s="2954"/>
      <c r="DA327" s="2954"/>
      <c r="DB327" s="2954"/>
      <c r="DC327" s="2954"/>
      <c r="DD327" s="2954"/>
      <c r="DE327" s="2954"/>
      <c r="DF327" s="2954"/>
      <c r="DG327" s="2954"/>
      <c r="DH327" s="2954"/>
      <c r="DI327" s="2954"/>
      <c r="DJ327" s="2954"/>
      <c r="DK327" s="2954"/>
      <c r="DL327" s="2954"/>
      <c r="DM327" s="2954"/>
      <c r="DN327" s="2954"/>
      <c r="DO327" s="2954"/>
      <c r="DP327" s="2954"/>
      <c r="DQ327" s="2954"/>
      <c r="DR327" s="2954"/>
      <c r="DS327" s="2954"/>
      <c r="DT327" s="2954"/>
      <c r="DU327" s="2954"/>
      <c r="DV327" s="2954"/>
    </row>
    <row r="328" s="799" customFormat="1" ht="14.25" hidden="1" customHeight="1" spans="1:126">
      <c r="A328" s="2954"/>
      <c r="B328" s="2954"/>
      <c r="C328" s="2954"/>
      <c r="D328" s="2954"/>
      <c r="E328" s="2954"/>
      <c r="F328" s="2954"/>
      <c r="G328" s="2954"/>
      <c r="H328" s="2954"/>
      <c r="I328" s="2954"/>
      <c r="J328" s="2954"/>
      <c r="K328" s="2954"/>
      <c r="L328" s="2954"/>
      <c r="M328" s="2954"/>
      <c r="N328" s="2954"/>
      <c r="O328" s="2954"/>
      <c r="P328" s="2954"/>
      <c r="Q328" s="2954"/>
      <c r="R328" s="2954"/>
      <c r="S328" s="2954"/>
      <c r="T328" s="2954"/>
      <c r="U328" s="2954"/>
      <c r="V328" s="2954"/>
      <c r="W328" s="2954"/>
      <c r="X328" s="2954"/>
      <c r="Y328" s="2954"/>
      <c r="Z328" s="2954"/>
      <c r="AA328" s="2954"/>
      <c r="AB328" s="2954"/>
      <c r="AC328" s="2954"/>
      <c r="AD328" s="2954"/>
      <c r="AE328" s="2954"/>
      <c r="AF328" s="2954"/>
      <c r="AG328" s="2954"/>
      <c r="AH328" s="2954"/>
      <c r="AI328" s="2954"/>
      <c r="AJ328" s="2954"/>
      <c r="AK328" s="2954"/>
      <c r="AL328" s="2954"/>
      <c r="AM328" s="2954"/>
      <c r="AN328" s="2954"/>
      <c r="AO328" s="2954"/>
      <c r="AP328" s="2954"/>
      <c r="AQ328" s="2954"/>
      <c r="AR328" s="2954"/>
      <c r="AS328" s="2954"/>
      <c r="AT328" s="2954"/>
      <c r="AU328" s="2954"/>
      <c r="AV328" s="2954"/>
      <c r="AW328" s="2954"/>
      <c r="AX328" s="2954"/>
      <c r="AY328" s="2954"/>
      <c r="AZ328" s="2954"/>
      <c r="BA328" s="2954"/>
      <c r="BB328" s="2954"/>
      <c r="BC328" s="2954"/>
      <c r="BD328" s="2954"/>
      <c r="BE328" s="2954"/>
      <c r="BF328" s="2954"/>
      <c r="BG328" s="2954"/>
      <c r="BH328" s="2954"/>
      <c r="BI328" s="2954"/>
      <c r="BJ328" s="2954"/>
      <c r="BK328" s="2954"/>
      <c r="BL328" s="2954"/>
      <c r="BM328" s="2954"/>
      <c r="BN328" s="2954"/>
      <c r="BO328" s="2954"/>
      <c r="BP328" s="2954"/>
      <c r="BQ328" s="2954"/>
      <c r="BR328" s="2954"/>
      <c r="BS328" s="2954"/>
      <c r="BT328" s="2954"/>
      <c r="BU328" s="2954"/>
      <c r="BV328" s="2954"/>
      <c r="BW328" s="2954"/>
      <c r="BX328" s="2954"/>
      <c r="BY328" s="2954"/>
      <c r="BZ328" s="2954"/>
      <c r="CA328" s="2954"/>
      <c r="CB328" s="2954"/>
      <c r="CC328" s="2954"/>
      <c r="CD328" s="2954"/>
      <c r="CE328" s="2954"/>
      <c r="CF328" s="2954"/>
      <c r="CG328" s="2954"/>
      <c r="CH328" s="2954"/>
      <c r="CI328" s="2954"/>
      <c r="CJ328" s="2954"/>
      <c r="CK328" s="2954"/>
      <c r="CL328" s="2954"/>
      <c r="CM328" s="2954"/>
      <c r="CN328" s="2954"/>
      <c r="CO328" s="2954"/>
      <c r="CP328" s="2954"/>
      <c r="CQ328" s="2954"/>
      <c r="CR328" s="2954"/>
      <c r="CS328" s="2954"/>
      <c r="CT328" s="2954"/>
      <c r="CU328" s="2954"/>
      <c r="CV328" s="2954"/>
      <c r="CW328" s="2954"/>
      <c r="CX328" s="2954"/>
      <c r="CY328" s="2954"/>
      <c r="CZ328" s="2954"/>
      <c r="DA328" s="2954"/>
      <c r="DB328" s="2954"/>
      <c r="DC328" s="2954"/>
      <c r="DD328" s="2954"/>
      <c r="DE328" s="2954"/>
      <c r="DF328" s="2954"/>
      <c r="DG328" s="2954"/>
      <c r="DH328" s="2954"/>
      <c r="DI328" s="2954"/>
      <c r="DJ328" s="2954"/>
      <c r="DK328" s="2954"/>
      <c r="DL328" s="2954"/>
      <c r="DM328" s="2954"/>
      <c r="DN328" s="2954"/>
      <c r="DO328" s="2954"/>
      <c r="DP328" s="2954"/>
      <c r="DQ328" s="2954"/>
      <c r="DR328" s="2954"/>
      <c r="DS328" s="2954"/>
      <c r="DT328" s="2954"/>
      <c r="DU328" s="2954"/>
      <c r="DV328" s="2954"/>
    </row>
    <row r="329" s="799" customFormat="1" ht="14.25" hidden="1" customHeight="1" spans="1:126">
      <c r="A329" s="2954"/>
      <c r="B329" s="2954"/>
      <c r="C329" s="2954"/>
      <c r="D329" s="2954"/>
      <c r="E329" s="2954"/>
      <c r="F329" s="2954"/>
      <c r="G329" s="2954"/>
      <c r="H329" s="2954"/>
      <c r="I329" s="2954"/>
      <c r="J329" s="2954"/>
      <c r="K329" s="2954"/>
      <c r="L329" s="2954"/>
      <c r="M329" s="2954"/>
      <c r="N329" s="2954"/>
      <c r="O329" s="2954"/>
      <c r="P329" s="2954"/>
      <c r="Q329" s="2954"/>
      <c r="R329" s="2954"/>
      <c r="S329" s="2954"/>
      <c r="T329" s="2954"/>
      <c r="U329" s="2954"/>
      <c r="V329" s="2954"/>
      <c r="W329" s="2954"/>
      <c r="X329" s="2954"/>
      <c r="Y329" s="2954"/>
      <c r="Z329" s="2954"/>
      <c r="AA329" s="2954"/>
      <c r="AB329" s="2954"/>
      <c r="AC329" s="2954"/>
      <c r="AD329" s="2954"/>
      <c r="AE329" s="2954"/>
      <c r="AF329" s="2954"/>
      <c r="AG329" s="2954"/>
      <c r="AH329" s="2954"/>
      <c r="AI329" s="2954"/>
      <c r="AJ329" s="2954"/>
      <c r="AK329" s="2954"/>
      <c r="AL329" s="2954"/>
      <c r="AM329" s="2954"/>
      <c r="AN329" s="2954"/>
      <c r="AO329" s="2954"/>
      <c r="AP329" s="2954"/>
      <c r="AQ329" s="2954"/>
      <c r="AR329" s="2954"/>
      <c r="AS329" s="2954"/>
      <c r="AT329" s="2954"/>
      <c r="AU329" s="2954"/>
      <c r="AV329" s="2954"/>
      <c r="AW329" s="2954"/>
      <c r="AX329" s="2954"/>
      <c r="AY329" s="2954"/>
      <c r="AZ329" s="2954"/>
      <c r="BA329" s="2954"/>
      <c r="BB329" s="2954"/>
      <c r="BC329" s="2954"/>
      <c r="BD329" s="2954"/>
      <c r="BE329" s="2954"/>
      <c r="BF329" s="2954"/>
      <c r="BG329" s="2954"/>
      <c r="BH329" s="2954"/>
      <c r="BI329" s="2954"/>
      <c r="BJ329" s="2954"/>
      <c r="BK329" s="2954"/>
      <c r="BL329" s="2954"/>
      <c r="BM329" s="2954"/>
      <c r="BN329" s="2954"/>
      <c r="BO329" s="2954"/>
      <c r="BP329" s="2954"/>
      <c r="BQ329" s="2954"/>
      <c r="BR329" s="2954"/>
      <c r="BS329" s="2954"/>
      <c r="BT329" s="2954"/>
      <c r="BU329" s="2954"/>
      <c r="BV329" s="2954"/>
      <c r="BW329" s="2954"/>
      <c r="BX329" s="2954"/>
      <c r="BY329" s="2954"/>
      <c r="BZ329" s="2954"/>
      <c r="CA329" s="2954"/>
      <c r="CB329" s="2954"/>
      <c r="CC329" s="2954"/>
      <c r="CD329" s="2954"/>
      <c r="CE329" s="2954"/>
      <c r="CF329" s="2954"/>
      <c r="CG329" s="2954"/>
      <c r="CH329" s="2954"/>
      <c r="CI329" s="2954"/>
      <c r="CJ329" s="2954"/>
      <c r="CK329" s="2954"/>
      <c r="CL329" s="2954"/>
      <c r="CM329" s="2954"/>
      <c r="CN329" s="2954"/>
      <c r="CO329" s="2954"/>
      <c r="CP329" s="2954"/>
      <c r="CQ329" s="2954"/>
      <c r="CR329" s="2954"/>
      <c r="CS329" s="2954"/>
      <c r="CT329" s="2954"/>
      <c r="CU329" s="2954"/>
      <c r="CV329" s="2954"/>
      <c r="CW329" s="2954"/>
      <c r="CX329" s="2954"/>
      <c r="CY329" s="2954"/>
      <c r="CZ329" s="2954"/>
      <c r="DA329" s="2954"/>
      <c r="DB329" s="2954"/>
      <c r="DC329" s="2954"/>
      <c r="DD329" s="2954"/>
      <c r="DE329" s="2954"/>
      <c r="DF329" s="2954"/>
      <c r="DG329" s="2954"/>
      <c r="DH329" s="2954"/>
      <c r="DI329" s="2954"/>
      <c r="DJ329" s="2954"/>
      <c r="DK329" s="2954"/>
      <c r="DL329" s="2954"/>
      <c r="DM329" s="2954"/>
      <c r="DN329" s="2954"/>
      <c r="DO329" s="2954"/>
      <c r="DP329" s="2954"/>
      <c r="DQ329" s="2954"/>
      <c r="DR329" s="2954"/>
      <c r="DS329" s="2954"/>
      <c r="DT329" s="2954"/>
      <c r="DU329" s="2954"/>
      <c r="DV329" s="2954"/>
    </row>
    <row r="330" s="799" customFormat="1" ht="14.25" hidden="1" customHeight="1" spans="1:126">
      <c r="A330" s="2952" t="s">
        <v>4214</v>
      </c>
      <c r="B330" s="2952"/>
      <c r="C330" s="2952" t="s">
        <v>6940</v>
      </c>
      <c r="D330" s="2952"/>
      <c r="E330" s="2952"/>
      <c r="F330" s="2952"/>
      <c r="G330" s="2952"/>
      <c r="H330" s="2952"/>
      <c r="I330" s="2952"/>
      <c r="J330" s="2952"/>
      <c r="K330" s="2952"/>
      <c r="L330" s="2952"/>
      <c r="M330" s="2952"/>
      <c r="N330" s="2952"/>
      <c r="O330" s="2952"/>
      <c r="P330" s="2952"/>
      <c r="Q330" s="2952"/>
      <c r="R330" s="2952"/>
      <c r="S330" s="2952"/>
      <c r="T330" s="2952"/>
      <c r="U330" s="2952"/>
      <c r="V330" s="2952" t="s">
        <v>6941</v>
      </c>
      <c r="W330" s="2952"/>
      <c r="X330" s="2952"/>
      <c r="Y330" s="2952"/>
      <c r="Z330" s="2952"/>
      <c r="AA330" s="2952"/>
      <c r="AB330" s="2952"/>
      <c r="AC330" s="2952"/>
      <c r="AD330" s="2952"/>
      <c r="AE330" s="2952"/>
      <c r="AF330" s="2952"/>
      <c r="AG330" s="2952" t="s">
        <v>6942</v>
      </c>
      <c r="AH330" s="2952"/>
      <c r="AI330" s="2952"/>
      <c r="AJ330" s="2952"/>
      <c r="AK330" s="2952"/>
      <c r="AL330" s="2952"/>
      <c r="AM330" s="2952"/>
      <c r="AN330" s="2952"/>
      <c r="AO330" s="2952"/>
      <c r="AP330" s="2952"/>
    </row>
    <row r="331" s="799" customFormat="1" ht="12.75" hidden="1" customHeight="1" spans="1:126">
      <c r="A331" s="2955">
        <f>UnosPorBilans!B208</f>
        <v>0</v>
      </c>
      <c r="B331" s="2955"/>
      <c r="C331" s="2955"/>
      <c r="D331" s="2955"/>
      <c r="E331" s="2955"/>
      <c r="F331" s="2955"/>
      <c r="G331" s="2955"/>
      <c r="H331" s="2955"/>
      <c r="I331" s="2955"/>
      <c r="J331" s="2955"/>
      <c r="K331" s="2955"/>
      <c r="L331" s="2955"/>
      <c r="M331" s="2955"/>
      <c r="N331" s="2955"/>
      <c r="O331" s="2955"/>
      <c r="P331" s="2955"/>
      <c r="Q331" s="2955"/>
      <c r="R331" s="2955"/>
      <c r="S331" s="2955"/>
      <c r="T331" s="2955"/>
      <c r="U331" s="2955"/>
      <c r="V331" s="2955">
        <f>UnosPorBilans!I208</f>
        <v>0</v>
      </c>
      <c r="W331" s="2955"/>
      <c r="X331" s="2955"/>
      <c r="Y331" s="2955"/>
      <c r="Z331" s="2955"/>
      <c r="AA331" s="2955"/>
      <c r="AB331" s="2955"/>
      <c r="AC331" s="2955"/>
      <c r="AD331" s="2955"/>
      <c r="AE331" s="2955"/>
      <c r="AF331" s="2955"/>
      <c r="AG331" s="2955">
        <f>UnosPorBilans!N208</f>
        <v>0</v>
      </c>
      <c r="AH331" s="2955"/>
      <c r="AI331" s="2955"/>
      <c r="AJ331" s="2955"/>
      <c r="AK331" s="2955"/>
      <c r="AL331" s="2955"/>
      <c r="AM331" s="2955"/>
      <c r="AN331" s="2955"/>
      <c r="AO331" s="2955"/>
      <c r="AP331" s="2955"/>
    </row>
    <row r="332" s="799" customFormat="1" ht="12.75" hidden="1" customHeight="1" spans="1:126">
      <c r="A332" s="2952" t="s">
        <v>6943</v>
      </c>
      <c r="B332" s="2952"/>
      <c r="C332" s="2952"/>
      <c r="D332" s="2952"/>
      <c r="E332" s="2952"/>
      <c r="F332" s="2952"/>
      <c r="G332" s="2952"/>
      <c r="H332" s="2952"/>
      <c r="I332" s="2952"/>
      <c r="J332" s="2952"/>
      <c r="K332" s="2952" t="s">
        <v>6944</v>
      </c>
      <c r="L332" s="2952"/>
      <c r="M332" s="2952"/>
      <c r="N332" s="2952"/>
      <c r="O332" s="2952"/>
      <c r="P332" s="2952"/>
      <c r="Q332" s="2952"/>
      <c r="R332" s="2952"/>
      <c r="S332" s="2952"/>
      <c r="T332" s="2952"/>
      <c r="U332" s="2952"/>
      <c r="V332" s="2952" t="s">
        <v>6945</v>
      </c>
      <c r="W332" s="2952"/>
      <c r="X332" s="2952"/>
      <c r="Y332" s="2952"/>
      <c r="Z332" s="2952"/>
      <c r="AA332" s="2952"/>
      <c r="AB332" s="2952"/>
      <c r="AC332" s="2952"/>
      <c r="AD332" s="2952"/>
      <c r="AE332" s="2952"/>
      <c r="AF332" s="2952"/>
      <c r="AG332" s="2952" t="s">
        <v>6946</v>
      </c>
      <c r="AH332" s="2952"/>
      <c r="AI332" s="2952"/>
      <c r="AJ332" s="2952"/>
      <c r="AK332" s="2952"/>
      <c r="AL332" s="2952"/>
      <c r="AM332" s="2952"/>
      <c r="AN332" s="2952"/>
      <c r="AO332" s="2952"/>
      <c r="AP332" s="2952"/>
    </row>
    <row r="333" s="799" customFormat="1" ht="12.75" hidden="1" customHeight="1" spans="1:126">
      <c r="A333" s="2955">
        <f>UnosPorBilans!S208</f>
        <v>0</v>
      </c>
      <c r="B333" s="2955"/>
      <c r="C333" s="2955"/>
      <c r="D333" s="2955"/>
      <c r="E333" s="2955"/>
      <c r="F333" s="2955"/>
      <c r="G333" s="2955"/>
      <c r="H333" s="2955"/>
      <c r="I333" s="2955"/>
      <c r="J333" s="2955"/>
      <c r="K333" s="2955">
        <f>UnosPorBilans!W208</f>
        <v>0</v>
      </c>
      <c r="L333" s="2955"/>
      <c r="M333" s="2955"/>
      <c r="N333" s="2955"/>
      <c r="O333" s="2955"/>
      <c r="P333" s="2955"/>
      <c r="Q333" s="2955"/>
      <c r="R333" s="2955"/>
      <c r="S333" s="2955"/>
      <c r="T333" s="2955"/>
      <c r="U333" s="2955"/>
      <c r="V333" s="2955">
        <f>UnosPorBilans!AB208</f>
        <v>0</v>
      </c>
      <c r="W333" s="2955"/>
      <c r="X333" s="2955"/>
      <c r="Y333" s="2955"/>
      <c r="Z333" s="2955"/>
      <c r="AA333" s="2955"/>
      <c r="AB333" s="2955"/>
      <c r="AC333" s="2955"/>
      <c r="AD333" s="2955"/>
      <c r="AE333" s="2955"/>
      <c r="AF333" s="2955"/>
      <c r="AG333" s="2955">
        <f>UnosPorBilans!AG208</f>
        <v>0</v>
      </c>
      <c r="AH333" s="2955"/>
      <c r="AI333" s="2955"/>
      <c r="AJ333" s="2955"/>
      <c r="AK333" s="2955"/>
      <c r="AL333" s="2955"/>
      <c r="AM333" s="2955"/>
      <c r="AN333" s="2955"/>
      <c r="AO333" s="2955"/>
      <c r="AP333" s="2955"/>
    </row>
    <row r="334" s="799" customFormat="1" ht="12.75" hidden="1" customHeight="1" spans="1:126">
      <c r="A334" s="2952" t="s">
        <v>6947</v>
      </c>
      <c r="B334" s="2952"/>
      <c r="C334" s="2952"/>
      <c r="D334" s="2952"/>
      <c r="E334" s="2952"/>
      <c r="F334" s="2952"/>
      <c r="G334" s="2952"/>
      <c r="H334" s="2952"/>
      <c r="I334" s="2952"/>
      <c r="J334" s="2952"/>
      <c r="K334" s="2952"/>
      <c r="L334" s="2952"/>
      <c r="M334" s="2952"/>
      <c r="N334" s="2952"/>
      <c r="O334" s="2952"/>
      <c r="P334" s="2952"/>
      <c r="Q334" s="2952"/>
      <c r="R334" s="2952"/>
      <c r="S334" s="2952"/>
      <c r="T334" s="2952"/>
      <c r="U334" s="2952"/>
      <c r="V334" s="2952" t="s">
        <v>6948</v>
      </c>
      <c r="W334" s="2952"/>
      <c r="X334" s="2952"/>
      <c r="Y334" s="2952"/>
      <c r="Z334" s="2952"/>
      <c r="AA334" s="2952"/>
      <c r="AB334" s="2952"/>
      <c r="AC334" s="2952"/>
      <c r="AD334" s="2952"/>
      <c r="AE334" s="2952"/>
      <c r="AF334" s="2952"/>
      <c r="AG334" s="2952"/>
      <c r="AH334" s="2952"/>
      <c r="AI334" s="2952"/>
      <c r="AJ334" s="2952"/>
      <c r="AK334" s="2952"/>
      <c r="AL334" s="2952"/>
      <c r="AM334" s="2952"/>
      <c r="AN334" s="2952"/>
      <c r="AO334" s="2952"/>
      <c r="AP334" s="2952"/>
    </row>
    <row r="335" s="799" customFormat="1" ht="12.75" hidden="1" customHeight="1" spans="1:126">
      <c r="A335" s="2955">
        <f>UnosPorBilans!AL208</f>
        <v>0</v>
      </c>
      <c r="B335" s="2955"/>
      <c r="C335" s="2955"/>
      <c r="D335" s="2955"/>
      <c r="E335" s="2955"/>
      <c r="F335" s="2955"/>
      <c r="G335" s="2955"/>
      <c r="H335" s="2955"/>
      <c r="I335" s="2955"/>
      <c r="J335" s="2955"/>
      <c r="K335" s="2955"/>
      <c r="L335" s="2955"/>
      <c r="M335" s="2955"/>
      <c r="N335" s="2955"/>
      <c r="O335" s="2955"/>
      <c r="P335" s="2955"/>
      <c r="Q335" s="2955"/>
      <c r="R335" s="2955"/>
      <c r="S335" s="2955"/>
      <c r="T335" s="2955"/>
      <c r="U335" s="2955"/>
      <c r="V335" s="2955">
        <f>UnosPorBilans!AS208</f>
        <v>0</v>
      </c>
      <c r="W335" s="2955"/>
      <c r="X335" s="2955"/>
      <c r="Y335" s="2955"/>
      <c r="Z335" s="2955"/>
      <c r="AA335" s="2955"/>
      <c r="AB335" s="2955"/>
      <c r="AC335" s="2955"/>
      <c r="AD335" s="2955"/>
      <c r="AE335" s="2955"/>
      <c r="AF335" s="2955"/>
      <c r="AG335" s="2955"/>
      <c r="AH335" s="2955"/>
      <c r="AI335" s="2955"/>
      <c r="AJ335" s="2955"/>
      <c r="AK335" s="2955"/>
      <c r="AL335" s="2955"/>
      <c r="AM335" s="2955"/>
      <c r="AN335" s="2955"/>
      <c r="AO335" s="2955"/>
      <c r="AP335" s="2955"/>
    </row>
    <row r="336" s="799" customFormat="1" ht="14.25" hidden="1" customHeight="1" spans="1:126">
      <c r="A336" s="2954"/>
      <c r="B336" s="2954"/>
      <c r="C336" s="2954"/>
      <c r="D336" s="2954"/>
      <c r="E336" s="2954"/>
      <c r="F336" s="2954"/>
      <c r="G336" s="2954"/>
      <c r="H336" s="2954"/>
      <c r="I336" s="2954"/>
      <c r="J336" s="2954"/>
      <c r="K336" s="2954"/>
      <c r="L336" s="2954"/>
      <c r="M336" s="2954"/>
      <c r="N336" s="2954"/>
      <c r="O336" s="2954"/>
      <c r="P336" s="2954"/>
      <c r="Q336" s="2954"/>
      <c r="R336" s="2954"/>
      <c r="S336" s="2954"/>
      <c r="T336" s="2954"/>
      <c r="U336" s="2954"/>
      <c r="V336" s="2954"/>
      <c r="W336" s="2954"/>
      <c r="X336" s="2954"/>
      <c r="Y336" s="2954"/>
      <c r="Z336" s="2954"/>
      <c r="AA336" s="2954"/>
      <c r="AB336" s="2954"/>
      <c r="AC336" s="2954"/>
      <c r="AD336" s="2954"/>
      <c r="AE336" s="2954"/>
      <c r="AF336" s="2954"/>
      <c r="AG336" s="2954"/>
      <c r="AH336" s="2954"/>
      <c r="AI336" s="2954"/>
      <c r="AJ336" s="2954"/>
      <c r="AK336" s="2954"/>
      <c r="AL336" s="2954"/>
      <c r="AM336" s="2954"/>
      <c r="AN336" s="2954"/>
      <c r="AO336" s="2954"/>
      <c r="AP336" s="2954"/>
      <c r="AQ336" s="2954"/>
      <c r="AR336" s="2954"/>
      <c r="AS336" s="2954"/>
      <c r="AT336" s="2954"/>
      <c r="AU336" s="2954"/>
      <c r="AV336" s="2954"/>
      <c r="AW336" s="2954"/>
      <c r="AX336" s="2954"/>
      <c r="AY336" s="2954"/>
      <c r="AZ336" s="2954"/>
      <c r="BA336" s="2954"/>
      <c r="BB336" s="2954"/>
      <c r="BC336" s="2954"/>
      <c r="BD336" s="2954"/>
      <c r="BE336" s="2954"/>
      <c r="BF336" s="2954"/>
      <c r="BG336" s="2954"/>
      <c r="BH336" s="2954"/>
      <c r="BI336" s="2954"/>
      <c r="BJ336" s="2954"/>
      <c r="BK336" s="2954"/>
      <c r="BL336" s="2954"/>
      <c r="BM336" s="2954"/>
      <c r="BN336" s="2954"/>
      <c r="BO336" s="2954"/>
      <c r="BP336" s="2954"/>
      <c r="BQ336" s="2954"/>
      <c r="BR336" s="2954"/>
      <c r="BS336" s="2954"/>
      <c r="BT336" s="2954"/>
      <c r="BU336" s="2954"/>
      <c r="BV336" s="2954"/>
      <c r="BW336" s="2954"/>
      <c r="BX336" s="2954"/>
      <c r="BY336" s="2954"/>
      <c r="BZ336" s="2954"/>
      <c r="CA336" s="2954"/>
      <c r="CB336" s="2954"/>
      <c r="CC336" s="2954"/>
      <c r="CD336" s="2954"/>
      <c r="CE336" s="2954"/>
      <c r="CF336" s="2954"/>
      <c r="CG336" s="2954"/>
      <c r="CH336" s="2954"/>
      <c r="CI336" s="2954"/>
      <c r="CJ336" s="2954"/>
      <c r="CK336" s="2954"/>
      <c r="CL336" s="2954"/>
      <c r="CM336" s="2954"/>
      <c r="CN336" s="2954"/>
      <c r="CO336" s="2954"/>
      <c r="CP336" s="2954"/>
      <c r="CQ336" s="2954"/>
      <c r="CR336" s="2954"/>
      <c r="CS336" s="2954"/>
      <c r="CT336" s="2954"/>
      <c r="CU336" s="2954"/>
      <c r="CV336" s="2954"/>
      <c r="CW336" s="2954"/>
      <c r="CX336" s="2954"/>
      <c r="CY336" s="2954"/>
      <c r="CZ336" s="2954"/>
      <c r="DA336" s="2954"/>
      <c r="DB336" s="2954"/>
      <c r="DC336" s="2954"/>
      <c r="DD336" s="2954"/>
      <c r="DE336" s="2954"/>
      <c r="DF336" s="2954"/>
      <c r="DG336" s="2954"/>
      <c r="DH336" s="2954"/>
      <c r="DI336" s="2954"/>
      <c r="DJ336" s="2954"/>
      <c r="DK336" s="2954"/>
      <c r="DL336" s="2954"/>
      <c r="DM336" s="2954"/>
      <c r="DN336" s="2954"/>
      <c r="DO336" s="2954"/>
      <c r="DP336" s="2954"/>
      <c r="DQ336" s="2954"/>
      <c r="DR336" s="2954"/>
      <c r="DS336" s="2954"/>
      <c r="DT336" s="2954"/>
      <c r="DU336" s="2954"/>
      <c r="DV336" s="2954"/>
    </row>
    <row r="337" s="799" customFormat="1" ht="14.25" hidden="1" customHeight="1" spans="1:126">
      <c r="A337" s="2952" t="s">
        <v>4214</v>
      </c>
      <c r="B337" s="2952"/>
      <c r="C337" s="2952" t="s">
        <v>6940</v>
      </c>
      <c r="D337" s="2952"/>
      <c r="E337" s="2952"/>
      <c r="F337" s="2952"/>
      <c r="G337" s="2952"/>
      <c r="H337" s="2952"/>
      <c r="I337" s="2952"/>
      <c r="J337" s="2952"/>
      <c r="K337" s="2952"/>
      <c r="L337" s="2952"/>
      <c r="M337" s="2952"/>
      <c r="N337" s="2952"/>
      <c r="O337" s="2952"/>
      <c r="P337" s="2952"/>
      <c r="Q337" s="2952"/>
      <c r="R337" s="2952"/>
      <c r="S337" s="2952"/>
      <c r="T337" s="2952"/>
      <c r="U337" s="2952"/>
      <c r="V337" s="2952" t="s">
        <v>6941</v>
      </c>
      <c r="W337" s="2952"/>
      <c r="X337" s="2952"/>
      <c r="Y337" s="2952"/>
      <c r="Z337" s="2952"/>
      <c r="AA337" s="2952"/>
      <c r="AB337" s="2952"/>
      <c r="AC337" s="2952"/>
      <c r="AD337" s="2952"/>
      <c r="AE337" s="2952"/>
      <c r="AF337" s="2952"/>
      <c r="AG337" s="2952" t="s">
        <v>6942</v>
      </c>
      <c r="AH337" s="2952"/>
      <c r="AI337" s="2952"/>
      <c r="AJ337" s="2952"/>
      <c r="AK337" s="2952"/>
      <c r="AL337" s="2952"/>
      <c r="AM337" s="2952"/>
      <c r="AN337" s="2952"/>
      <c r="AO337" s="2952"/>
      <c r="AP337" s="2952"/>
    </row>
    <row r="338" s="799" customFormat="1" ht="12.75" hidden="1" customHeight="1" spans="1:126">
      <c r="A338" s="2955">
        <f>UnosPorBilans!B209</f>
        <v>0</v>
      </c>
      <c r="B338" s="2955"/>
      <c r="C338" s="2955"/>
      <c r="D338" s="2955"/>
      <c r="E338" s="2955"/>
      <c r="F338" s="2955"/>
      <c r="G338" s="2955"/>
      <c r="H338" s="2955"/>
      <c r="I338" s="2955"/>
      <c r="J338" s="2955"/>
      <c r="K338" s="2955"/>
      <c r="L338" s="2955"/>
      <c r="M338" s="2955"/>
      <c r="N338" s="2955"/>
      <c r="O338" s="2955"/>
      <c r="P338" s="2955"/>
      <c r="Q338" s="2955"/>
      <c r="R338" s="2955"/>
      <c r="S338" s="2955"/>
      <c r="T338" s="2955"/>
      <c r="U338" s="2955"/>
      <c r="V338" s="2955">
        <f>UnosPorBilans!I209</f>
        <v>0</v>
      </c>
      <c r="W338" s="2955"/>
      <c r="X338" s="2955"/>
      <c r="Y338" s="2955"/>
      <c r="Z338" s="2955"/>
      <c r="AA338" s="2955"/>
      <c r="AB338" s="2955"/>
      <c r="AC338" s="2955"/>
      <c r="AD338" s="2955"/>
      <c r="AE338" s="2955"/>
      <c r="AF338" s="2955"/>
      <c r="AG338" s="2955">
        <f>UnosPorBilans!N209</f>
        <v>0</v>
      </c>
      <c r="AH338" s="2955"/>
      <c r="AI338" s="2955"/>
      <c r="AJ338" s="2955"/>
      <c r="AK338" s="2955"/>
      <c r="AL338" s="2955"/>
      <c r="AM338" s="2955"/>
      <c r="AN338" s="2955"/>
      <c r="AO338" s="2955"/>
      <c r="AP338" s="2955"/>
    </row>
    <row r="339" s="799" customFormat="1" ht="12.75" hidden="1" customHeight="1" spans="1:126">
      <c r="A339" s="2952" t="s">
        <v>6943</v>
      </c>
      <c r="B339" s="2952"/>
      <c r="C339" s="2952"/>
      <c r="D339" s="2952"/>
      <c r="E339" s="2952"/>
      <c r="F339" s="2952"/>
      <c r="G339" s="2952"/>
      <c r="H339" s="2952"/>
      <c r="I339" s="2952"/>
      <c r="J339" s="2952"/>
      <c r="K339" s="2952" t="s">
        <v>6944</v>
      </c>
      <c r="L339" s="2952"/>
      <c r="M339" s="2952"/>
      <c r="N339" s="2952"/>
      <c r="O339" s="2952"/>
      <c r="P339" s="2952"/>
      <c r="Q339" s="2952"/>
      <c r="R339" s="2952"/>
      <c r="S339" s="2952"/>
      <c r="T339" s="2952"/>
      <c r="U339" s="2952"/>
      <c r="V339" s="2952" t="s">
        <v>6945</v>
      </c>
      <c r="W339" s="2952"/>
      <c r="X339" s="2952"/>
      <c r="Y339" s="2952"/>
      <c r="Z339" s="2952"/>
      <c r="AA339" s="2952"/>
      <c r="AB339" s="2952"/>
      <c r="AC339" s="2952"/>
      <c r="AD339" s="2952"/>
      <c r="AE339" s="2952"/>
      <c r="AF339" s="2952"/>
      <c r="AG339" s="2952" t="s">
        <v>6946</v>
      </c>
      <c r="AH339" s="2952"/>
      <c r="AI339" s="2952"/>
      <c r="AJ339" s="2952"/>
      <c r="AK339" s="2952"/>
      <c r="AL339" s="2952"/>
      <c r="AM339" s="2952"/>
      <c r="AN339" s="2952"/>
      <c r="AO339" s="2952"/>
      <c r="AP339" s="2952"/>
    </row>
    <row r="340" s="799" customFormat="1" ht="12.75" hidden="1" customHeight="1" spans="1:126">
      <c r="A340" s="2955">
        <f>UnosPorBilans!S209</f>
        <v>0</v>
      </c>
      <c r="B340" s="2955"/>
      <c r="C340" s="2955"/>
      <c r="D340" s="2955"/>
      <c r="E340" s="2955"/>
      <c r="F340" s="2955"/>
      <c r="G340" s="2955"/>
      <c r="H340" s="2955"/>
      <c r="I340" s="2955"/>
      <c r="J340" s="2955"/>
      <c r="K340" s="2955">
        <f>UnosPorBilans!W209</f>
        <v>0</v>
      </c>
      <c r="L340" s="2955"/>
      <c r="M340" s="2955"/>
      <c r="N340" s="2955"/>
      <c r="O340" s="2955"/>
      <c r="P340" s="2955"/>
      <c r="Q340" s="2955"/>
      <c r="R340" s="2955"/>
      <c r="S340" s="2955"/>
      <c r="T340" s="2955"/>
      <c r="U340" s="2955"/>
      <c r="V340" s="2955">
        <f>UnosPorBilans!AB209</f>
        <v>0</v>
      </c>
      <c r="W340" s="2955"/>
      <c r="X340" s="2955"/>
      <c r="Y340" s="2955"/>
      <c r="Z340" s="2955"/>
      <c r="AA340" s="2955"/>
      <c r="AB340" s="2955"/>
      <c r="AC340" s="2955"/>
      <c r="AD340" s="2955"/>
      <c r="AE340" s="2955"/>
      <c r="AF340" s="2955"/>
      <c r="AG340" s="2955">
        <f>UnosPorBilans!AG209</f>
        <v>0</v>
      </c>
      <c r="AH340" s="2955"/>
      <c r="AI340" s="2955"/>
      <c r="AJ340" s="2955"/>
      <c r="AK340" s="2955"/>
      <c r="AL340" s="2955"/>
      <c r="AM340" s="2955"/>
      <c r="AN340" s="2955"/>
      <c r="AO340" s="2955"/>
      <c r="AP340" s="2955"/>
    </row>
    <row r="341" s="799" customFormat="1" ht="12.75" hidden="1" customHeight="1" spans="1:126">
      <c r="A341" s="2952" t="s">
        <v>6947</v>
      </c>
      <c r="B341" s="2952"/>
      <c r="C341" s="2952"/>
      <c r="D341" s="2952"/>
      <c r="E341" s="2952"/>
      <c r="F341" s="2952"/>
      <c r="G341" s="2952"/>
      <c r="H341" s="2952"/>
      <c r="I341" s="2952"/>
      <c r="J341" s="2952"/>
      <c r="K341" s="2952"/>
      <c r="L341" s="2952"/>
      <c r="M341" s="2952"/>
      <c r="N341" s="2952"/>
      <c r="O341" s="2952"/>
      <c r="P341" s="2952"/>
      <c r="Q341" s="2952"/>
      <c r="R341" s="2952"/>
      <c r="S341" s="2952"/>
      <c r="T341" s="2952"/>
      <c r="U341" s="2952"/>
      <c r="V341" s="2952" t="s">
        <v>6948</v>
      </c>
      <c r="W341" s="2952"/>
      <c r="X341" s="2952"/>
      <c r="Y341" s="2952"/>
      <c r="Z341" s="2952"/>
      <c r="AA341" s="2952"/>
      <c r="AB341" s="2952"/>
      <c r="AC341" s="2952"/>
      <c r="AD341" s="2952"/>
      <c r="AE341" s="2952"/>
      <c r="AF341" s="2952"/>
      <c r="AG341" s="2952"/>
      <c r="AH341" s="2952"/>
      <c r="AI341" s="2952"/>
      <c r="AJ341" s="2952"/>
      <c r="AK341" s="2952"/>
      <c r="AL341" s="2952"/>
      <c r="AM341" s="2952"/>
      <c r="AN341" s="2952"/>
      <c r="AO341" s="2952"/>
      <c r="AP341" s="2952"/>
    </row>
    <row r="342" s="799" customFormat="1" ht="12.75" hidden="1" customHeight="1" spans="1:126">
      <c r="A342" s="2955">
        <f>UnosPorBilans!AL209</f>
        <v>0</v>
      </c>
      <c r="B342" s="2955"/>
      <c r="C342" s="2955"/>
      <c r="D342" s="2955"/>
      <c r="E342" s="2955"/>
      <c r="F342" s="2955"/>
      <c r="G342" s="2955"/>
      <c r="H342" s="2955"/>
      <c r="I342" s="2955"/>
      <c r="J342" s="2955"/>
      <c r="K342" s="2955"/>
      <c r="L342" s="2955"/>
      <c r="M342" s="2955"/>
      <c r="N342" s="2955"/>
      <c r="O342" s="2955"/>
      <c r="P342" s="2955"/>
      <c r="Q342" s="2955"/>
      <c r="R342" s="2955"/>
      <c r="S342" s="2955"/>
      <c r="T342" s="2955"/>
      <c r="U342" s="2955"/>
      <c r="V342" s="2955">
        <f>UnosPorBilans!AS209</f>
        <v>0</v>
      </c>
      <c r="W342" s="2955"/>
      <c r="X342" s="2955"/>
      <c r="Y342" s="2955"/>
      <c r="Z342" s="2955"/>
      <c r="AA342" s="2955"/>
      <c r="AB342" s="2955"/>
      <c r="AC342" s="2955"/>
      <c r="AD342" s="2955"/>
      <c r="AE342" s="2955"/>
      <c r="AF342" s="2955"/>
      <c r="AG342" s="2955"/>
      <c r="AH342" s="2955"/>
      <c r="AI342" s="2955"/>
      <c r="AJ342" s="2955"/>
      <c r="AK342" s="2955"/>
      <c r="AL342" s="2955"/>
      <c r="AM342" s="2955"/>
      <c r="AN342" s="2955"/>
      <c r="AO342" s="2955"/>
      <c r="AP342" s="2955"/>
    </row>
    <row r="343" s="799" customFormat="1" ht="14.25" hidden="1" customHeight="1" spans="1:126">
      <c r="A343" s="2954"/>
      <c r="B343" s="2954"/>
      <c r="C343" s="2954"/>
      <c r="D343" s="2954"/>
      <c r="E343" s="2954"/>
      <c r="F343" s="2954"/>
      <c r="G343" s="2954"/>
      <c r="H343" s="2954"/>
      <c r="I343" s="2954"/>
      <c r="J343" s="2954"/>
      <c r="K343" s="2954"/>
      <c r="L343" s="2954"/>
      <c r="M343" s="2954"/>
      <c r="N343" s="2954"/>
      <c r="O343" s="2954"/>
      <c r="P343" s="2954"/>
      <c r="Q343" s="2954"/>
      <c r="R343" s="2954"/>
      <c r="S343" s="2954"/>
      <c r="T343" s="2954"/>
      <c r="U343" s="2954"/>
      <c r="V343" s="2954"/>
      <c r="W343" s="2954"/>
      <c r="X343" s="2954"/>
      <c r="Y343" s="2954"/>
      <c r="Z343" s="2954"/>
      <c r="AA343" s="2954"/>
      <c r="AB343" s="2954"/>
      <c r="AC343" s="2954"/>
      <c r="AD343" s="2954"/>
      <c r="AE343" s="2954"/>
      <c r="AF343" s="2954"/>
      <c r="AG343" s="2954"/>
      <c r="AH343" s="2954"/>
      <c r="AI343" s="2954"/>
      <c r="AJ343" s="2954"/>
      <c r="AK343" s="2954"/>
      <c r="AL343" s="2954"/>
      <c r="AM343" s="2954"/>
      <c r="AN343" s="2954"/>
      <c r="AO343" s="2954"/>
      <c r="AP343" s="2954"/>
      <c r="AQ343" s="2954"/>
      <c r="AR343" s="2954"/>
      <c r="AS343" s="2954"/>
      <c r="AT343" s="2954"/>
      <c r="AU343" s="2954"/>
      <c r="AV343" s="2954"/>
      <c r="AW343" s="2954"/>
      <c r="AX343" s="2954"/>
      <c r="AY343" s="2954"/>
      <c r="AZ343" s="2954"/>
      <c r="BA343" s="2954"/>
      <c r="BB343" s="2954"/>
      <c r="BC343" s="2954"/>
      <c r="BD343" s="2954"/>
      <c r="BE343" s="2954"/>
      <c r="BF343" s="2954"/>
      <c r="BG343" s="2954"/>
      <c r="BH343" s="2954"/>
      <c r="BI343" s="2954"/>
      <c r="BJ343" s="2954"/>
      <c r="BK343" s="2954"/>
      <c r="BL343" s="2954"/>
      <c r="BM343" s="2954"/>
      <c r="BN343" s="2954"/>
      <c r="BO343" s="2954"/>
      <c r="BP343" s="2954"/>
      <c r="BQ343" s="2954"/>
      <c r="BR343" s="2954"/>
      <c r="BS343" s="2954"/>
      <c r="BT343" s="2954"/>
      <c r="BU343" s="2954"/>
      <c r="BV343" s="2954"/>
      <c r="BW343" s="2954"/>
      <c r="BX343" s="2954"/>
      <c r="BY343" s="2954"/>
      <c r="BZ343" s="2954"/>
      <c r="CA343" s="2954"/>
      <c r="CB343" s="2954"/>
      <c r="CC343" s="2954"/>
      <c r="CD343" s="2954"/>
      <c r="CE343" s="2954"/>
      <c r="CF343" s="2954"/>
      <c r="CG343" s="2954"/>
      <c r="CH343" s="2954"/>
      <c r="CI343" s="2954"/>
      <c r="CJ343" s="2954"/>
      <c r="CK343" s="2954"/>
      <c r="CL343" s="2954"/>
      <c r="CM343" s="2954"/>
      <c r="CN343" s="2954"/>
      <c r="CO343" s="2954"/>
      <c r="CP343" s="2954"/>
      <c r="CQ343" s="2954"/>
      <c r="CR343" s="2954"/>
      <c r="CS343" s="2954"/>
      <c r="CT343" s="2954"/>
      <c r="CU343" s="2954"/>
      <c r="CV343" s="2954"/>
      <c r="CW343" s="2954"/>
      <c r="CX343" s="2954"/>
      <c r="CY343" s="2954"/>
      <c r="CZ343" s="2954"/>
      <c r="DA343" s="2954"/>
      <c r="DB343" s="2954"/>
      <c r="DC343" s="2954"/>
      <c r="DD343" s="2954"/>
      <c r="DE343" s="2954"/>
      <c r="DF343" s="2954"/>
      <c r="DG343" s="2954"/>
      <c r="DH343" s="2954"/>
      <c r="DI343" s="2954"/>
      <c r="DJ343" s="2954"/>
      <c r="DK343" s="2954"/>
      <c r="DL343" s="2954"/>
      <c r="DM343" s="2954"/>
      <c r="DN343" s="2954"/>
      <c r="DO343" s="2954"/>
      <c r="DP343" s="2954"/>
      <c r="DQ343" s="2954"/>
      <c r="DR343" s="2954"/>
      <c r="DS343" s="2954"/>
      <c r="DT343" s="2954"/>
      <c r="DU343" s="2954"/>
      <c r="DV343" s="2954"/>
    </row>
    <row r="344" s="799" customFormat="1" ht="14.25" hidden="1" customHeight="1" spans="1:126">
      <c r="A344" s="2952" t="s">
        <v>4214</v>
      </c>
      <c r="B344" s="2952"/>
      <c r="C344" s="2952" t="s">
        <v>6940</v>
      </c>
      <c r="D344" s="2952"/>
      <c r="E344" s="2952"/>
      <c r="F344" s="2952"/>
      <c r="G344" s="2952"/>
      <c r="H344" s="2952"/>
      <c r="I344" s="2952"/>
      <c r="J344" s="2952"/>
      <c r="K344" s="2952"/>
      <c r="L344" s="2952"/>
      <c r="M344" s="2952"/>
      <c r="N344" s="2952"/>
      <c r="O344" s="2952"/>
      <c r="P344" s="2952"/>
      <c r="Q344" s="2952"/>
      <c r="R344" s="2952"/>
      <c r="S344" s="2952"/>
      <c r="T344" s="2952"/>
      <c r="U344" s="2952"/>
      <c r="V344" s="2952" t="s">
        <v>6941</v>
      </c>
      <c r="W344" s="2952"/>
      <c r="X344" s="2952"/>
      <c r="Y344" s="2952"/>
      <c r="Z344" s="2952"/>
      <c r="AA344" s="2952"/>
      <c r="AB344" s="2952"/>
      <c r="AC344" s="2952"/>
      <c r="AD344" s="2952"/>
      <c r="AE344" s="2952"/>
      <c r="AF344" s="2952"/>
      <c r="AG344" s="2952" t="s">
        <v>6942</v>
      </c>
      <c r="AH344" s="2952"/>
      <c r="AI344" s="2952"/>
      <c r="AJ344" s="2952"/>
      <c r="AK344" s="2952"/>
      <c r="AL344" s="2952"/>
      <c r="AM344" s="2952"/>
      <c r="AN344" s="2952"/>
      <c r="AO344" s="2952"/>
      <c r="AP344" s="2952"/>
    </row>
    <row r="345" s="799" customFormat="1" ht="12.75" hidden="1" customHeight="1" spans="1:126">
      <c r="A345" s="2955">
        <f>UnosPorBilans!B210</f>
        <v>0</v>
      </c>
      <c r="B345" s="2955"/>
      <c r="C345" s="2955"/>
      <c r="D345" s="2955"/>
      <c r="E345" s="2955"/>
      <c r="F345" s="2955"/>
      <c r="G345" s="2955"/>
      <c r="H345" s="2955"/>
      <c r="I345" s="2955"/>
      <c r="J345" s="2955"/>
      <c r="K345" s="2955"/>
      <c r="L345" s="2955"/>
      <c r="M345" s="2955"/>
      <c r="N345" s="2955"/>
      <c r="O345" s="2955"/>
      <c r="P345" s="2955"/>
      <c r="Q345" s="2955"/>
      <c r="R345" s="2955"/>
      <c r="S345" s="2955"/>
      <c r="T345" s="2955"/>
      <c r="U345" s="2955"/>
      <c r="V345" s="2955">
        <f>UnosPorBilans!I210</f>
        <v>0</v>
      </c>
      <c r="W345" s="2955"/>
      <c r="X345" s="2955"/>
      <c r="Y345" s="2955"/>
      <c r="Z345" s="2955"/>
      <c r="AA345" s="2955"/>
      <c r="AB345" s="2955"/>
      <c r="AC345" s="2955"/>
      <c r="AD345" s="2955"/>
      <c r="AE345" s="2955"/>
      <c r="AF345" s="2955"/>
      <c r="AG345" s="2955">
        <f>UnosPorBilans!N210</f>
        <v>0</v>
      </c>
      <c r="AH345" s="2955"/>
      <c r="AI345" s="2955"/>
      <c r="AJ345" s="2955"/>
      <c r="AK345" s="2955"/>
      <c r="AL345" s="2955"/>
      <c r="AM345" s="2955"/>
      <c r="AN345" s="2955"/>
      <c r="AO345" s="2955"/>
      <c r="AP345" s="2955"/>
    </row>
    <row r="346" s="799" customFormat="1" ht="12.75" hidden="1" customHeight="1" spans="1:126">
      <c r="A346" s="2952" t="s">
        <v>6943</v>
      </c>
      <c r="B346" s="2952"/>
      <c r="C346" s="2952"/>
      <c r="D346" s="2952"/>
      <c r="E346" s="2952"/>
      <c r="F346" s="2952"/>
      <c r="G346" s="2952"/>
      <c r="H346" s="2952"/>
      <c r="I346" s="2952"/>
      <c r="J346" s="2952"/>
      <c r="K346" s="2952" t="s">
        <v>6944</v>
      </c>
      <c r="L346" s="2952"/>
      <c r="M346" s="2952"/>
      <c r="N346" s="2952"/>
      <c r="O346" s="2952"/>
      <c r="P346" s="2952"/>
      <c r="Q346" s="2952"/>
      <c r="R346" s="2952"/>
      <c r="S346" s="2952"/>
      <c r="T346" s="2952"/>
      <c r="U346" s="2952"/>
      <c r="V346" s="2952" t="s">
        <v>6945</v>
      </c>
      <c r="W346" s="2952"/>
      <c r="X346" s="2952"/>
      <c r="Y346" s="2952"/>
      <c r="Z346" s="2952"/>
      <c r="AA346" s="2952"/>
      <c r="AB346" s="2952"/>
      <c r="AC346" s="2952"/>
      <c r="AD346" s="2952"/>
      <c r="AE346" s="2952"/>
      <c r="AF346" s="2952"/>
      <c r="AG346" s="2952" t="s">
        <v>6946</v>
      </c>
      <c r="AH346" s="2952"/>
      <c r="AI346" s="2952"/>
      <c r="AJ346" s="2952"/>
      <c r="AK346" s="2952"/>
      <c r="AL346" s="2952"/>
      <c r="AM346" s="2952"/>
      <c r="AN346" s="2952"/>
      <c r="AO346" s="2952"/>
      <c r="AP346" s="2952"/>
    </row>
    <row r="347" s="799" customFormat="1" ht="12.75" hidden="1" customHeight="1" spans="1:126">
      <c r="A347" s="2955">
        <f>UnosPorBilans!S210</f>
        <v>0</v>
      </c>
      <c r="B347" s="2955"/>
      <c r="C347" s="2955"/>
      <c r="D347" s="2955"/>
      <c r="E347" s="2955"/>
      <c r="F347" s="2955"/>
      <c r="G347" s="2955"/>
      <c r="H347" s="2955"/>
      <c r="I347" s="2955"/>
      <c r="J347" s="2955"/>
      <c r="K347" s="2955">
        <f>UnosPorBilans!W210</f>
        <v>0</v>
      </c>
      <c r="L347" s="2955"/>
      <c r="M347" s="2955"/>
      <c r="N347" s="2955"/>
      <c r="O347" s="2955"/>
      <c r="P347" s="2955"/>
      <c r="Q347" s="2955"/>
      <c r="R347" s="2955"/>
      <c r="S347" s="2955"/>
      <c r="T347" s="2955"/>
      <c r="U347" s="2955"/>
      <c r="V347" s="2955">
        <f>UnosPorBilans!AB210</f>
        <v>0</v>
      </c>
      <c r="W347" s="2955"/>
      <c r="X347" s="2955"/>
      <c r="Y347" s="2955"/>
      <c r="Z347" s="2955"/>
      <c r="AA347" s="2955"/>
      <c r="AB347" s="2955"/>
      <c r="AC347" s="2955"/>
      <c r="AD347" s="2955"/>
      <c r="AE347" s="2955"/>
      <c r="AF347" s="2955"/>
      <c r="AG347" s="2955">
        <f>UnosPorBilans!AG210</f>
        <v>0</v>
      </c>
      <c r="AH347" s="2955"/>
      <c r="AI347" s="2955"/>
      <c r="AJ347" s="2955"/>
      <c r="AK347" s="2955"/>
      <c r="AL347" s="2955"/>
      <c r="AM347" s="2955"/>
      <c r="AN347" s="2955"/>
      <c r="AO347" s="2955"/>
      <c r="AP347" s="2955"/>
    </row>
    <row r="348" s="799" customFormat="1" ht="12.75" hidden="1" customHeight="1" spans="1:126">
      <c r="A348" s="2952" t="s">
        <v>6947</v>
      </c>
      <c r="B348" s="2952"/>
      <c r="C348" s="2952"/>
      <c r="D348" s="2952"/>
      <c r="E348" s="2952"/>
      <c r="F348" s="2952"/>
      <c r="G348" s="2952"/>
      <c r="H348" s="2952"/>
      <c r="I348" s="2952"/>
      <c r="J348" s="2952"/>
      <c r="K348" s="2952"/>
      <c r="L348" s="2952"/>
      <c r="M348" s="2952"/>
      <c r="N348" s="2952"/>
      <c r="O348" s="2952"/>
      <c r="P348" s="2952"/>
      <c r="Q348" s="2952"/>
      <c r="R348" s="2952"/>
      <c r="S348" s="2952"/>
      <c r="T348" s="2952"/>
      <c r="U348" s="2952"/>
      <c r="V348" s="2952" t="s">
        <v>6948</v>
      </c>
      <c r="W348" s="2952"/>
      <c r="X348" s="2952"/>
      <c r="Y348" s="2952"/>
      <c r="Z348" s="2952"/>
      <c r="AA348" s="2952"/>
      <c r="AB348" s="2952"/>
      <c r="AC348" s="2952"/>
      <c r="AD348" s="2952"/>
      <c r="AE348" s="2952"/>
      <c r="AF348" s="2952"/>
      <c r="AG348" s="2952"/>
      <c r="AH348" s="2952"/>
      <c r="AI348" s="2952"/>
      <c r="AJ348" s="2952"/>
      <c r="AK348" s="2952"/>
      <c r="AL348" s="2952"/>
      <c r="AM348" s="2952"/>
      <c r="AN348" s="2952"/>
      <c r="AO348" s="2952"/>
      <c r="AP348" s="2952"/>
    </row>
    <row r="349" s="799" customFormat="1" ht="12.75" hidden="1" customHeight="1" spans="1:126">
      <c r="A349" s="2955">
        <f>UnosPorBilans!AL210</f>
        <v>0</v>
      </c>
      <c r="B349" s="2955"/>
      <c r="C349" s="2955"/>
      <c r="D349" s="2955"/>
      <c r="E349" s="2955"/>
      <c r="F349" s="2955"/>
      <c r="G349" s="2955"/>
      <c r="H349" s="2955"/>
      <c r="I349" s="2955"/>
      <c r="J349" s="2955"/>
      <c r="K349" s="2955"/>
      <c r="L349" s="2955"/>
      <c r="M349" s="2955"/>
      <c r="N349" s="2955"/>
      <c r="O349" s="2955"/>
      <c r="P349" s="2955"/>
      <c r="Q349" s="2955"/>
      <c r="R349" s="2955"/>
      <c r="S349" s="2955"/>
      <c r="T349" s="2955"/>
      <c r="U349" s="2955"/>
      <c r="V349" s="2955">
        <f>UnosPorBilans!AS210</f>
        <v>0</v>
      </c>
      <c r="W349" s="2955"/>
      <c r="X349" s="2955"/>
      <c r="Y349" s="2955"/>
      <c r="Z349" s="2955"/>
      <c r="AA349" s="2955"/>
      <c r="AB349" s="2955"/>
      <c r="AC349" s="2955"/>
      <c r="AD349" s="2955"/>
      <c r="AE349" s="2955"/>
      <c r="AF349" s="2955"/>
      <c r="AG349" s="2955"/>
      <c r="AH349" s="2955"/>
      <c r="AI349" s="2955"/>
      <c r="AJ349" s="2955"/>
      <c r="AK349" s="2955"/>
      <c r="AL349" s="2955"/>
      <c r="AM349" s="2955"/>
      <c r="AN349" s="2955"/>
      <c r="AO349" s="2955"/>
      <c r="AP349" s="2955"/>
    </row>
    <row r="350" s="799" customFormat="1" ht="14.25" hidden="1" customHeight="1" spans="1:126">
      <c r="A350" s="2954"/>
      <c r="B350" s="2954"/>
      <c r="C350" s="2954"/>
      <c r="D350" s="2954"/>
      <c r="E350" s="2954"/>
      <c r="F350" s="2954"/>
      <c r="G350" s="2954"/>
      <c r="H350" s="2954"/>
      <c r="I350" s="2954"/>
      <c r="J350" s="2954"/>
      <c r="K350" s="2954"/>
      <c r="L350" s="2954"/>
      <c r="M350" s="2954"/>
      <c r="N350" s="2954"/>
      <c r="O350" s="2954"/>
      <c r="P350" s="2954"/>
      <c r="Q350" s="2954"/>
      <c r="R350" s="2954"/>
      <c r="S350" s="2954"/>
      <c r="T350" s="2954"/>
      <c r="U350" s="2954"/>
      <c r="V350" s="2954"/>
      <c r="W350" s="2954"/>
      <c r="X350" s="2954"/>
      <c r="Y350" s="2954"/>
      <c r="Z350" s="2954"/>
      <c r="AA350" s="2954"/>
      <c r="AB350" s="2954"/>
      <c r="AC350" s="2954"/>
      <c r="AD350" s="2954"/>
      <c r="AE350" s="2954"/>
      <c r="AF350" s="2954"/>
      <c r="AG350" s="2954"/>
      <c r="AH350" s="2954"/>
      <c r="AI350" s="2954"/>
      <c r="AJ350" s="2954"/>
      <c r="AK350" s="2954"/>
      <c r="AL350" s="2954"/>
      <c r="AM350" s="2954"/>
      <c r="AN350" s="2954"/>
      <c r="AO350" s="2954"/>
      <c r="AP350" s="2954"/>
      <c r="AQ350" s="2954"/>
      <c r="AR350" s="2954"/>
      <c r="AS350" s="2954"/>
      <c r="AT350" s="2954"/>
      <c r="AU350" s="2954"/>
      <c r="AV350" s="2954"/>
      <c r="AW350" s="2954"/>
      <c r="AX350" s="2954"/>
      <c r="AY350" s="2954"/>
      <c r="AZ350" s="2954"/>
      <c r="BA350" s="2954"/>
      <c r="BB350" s="2954"/>
      <c r="BC350" s="2954"/>
      <c r="BD350" s="2954"/>
      <c r="BE350" s="2954"/>
      <c r="BF350" s="2954"/>
      <c r="BG350" s="2954"/>
      <c r="BH350" s="2954"/>
      <c r="BI350" s="2954"/>
      <c r="BJ350" s="2954"/>
      <c r="BK350" s="2954"/>
      <c r="BL350" s="2954"/>
      <c r="BM350" s="2954"/>
      <c r="BN350" s="2954"/>
      <c r="BO350" s="2954"/>
      <c r="BP350" s="2954"/>
      <c r="BQ350" s="2954"/>
      <c r="BR350" s="2954"/>
      <c r="BS350" s="2954"/>
      <c r="BT350" s="2954"/>
      <c r="BU350" s="2954"/>
      <c r="BV350" s="2954"/>
      <c r="BW350" s="2954"/>
      <c r="BX350" s="2954"/>
      <c r="BY350" s="2954"/>
      <c r="BZ350" s="2954"/>
      <c r="CA350" s="2954"/>
      <c r="CB350" s="2954"/>
      <c r="CC350" s="2954"/>
      <c r="CD350" s="2954"/>
      <c r="CE350" s="2954"/>
      <c r="CF350" s="2954"/>
      <c r="CG350" s="2954"/>
      <c r="CH350" s="2954"/>
      <c r="CI350" s="2954"/>
      <c r="CJ350" s="2954"/>
      <c r="CK350" s="2954"/>
      <c r="CL350" s="2954"/>
      <c r="CM350" s="2954"/>
      <c r="CN350" s="2954"/>
      <c r="CO350" s="2954"/>
      <c r="CP350" s="2954"/>
      <c r="CQ350" s="2954"/>
      <c r="CR350" s="2954"/>
      <c r="CS350" s="2954"/>
      <c r="CT350" s="2954"/>
      <c r="CU350" s="2954"/>
      <c r="CV350" s="2954"/>
      <c r="CW350" s="2954"/>
      <c r="CX350" s="2954"/>
      <c r="CY350" s="2954"/>
      <c r="CZ350" s="2954"/>
      <c r="DA350" s="2954"/>
      <c r="DB350" s="2954"/>
      <c r="DC350" s="2954"/>
      <c r="DD350" s="2954"/>
      <c r="DE350" s="2954"/>
      <c r="DF350" s="2954"/>
      <c r="DG350" s="2954"/>
      <c r="DH350" s="2954"/>
      <c r="DI350" s="2954"/>
      <c r="DJ350" s="2954"/>
      <c r="DK350" s="2954"/>
      <c r="DL350" s="2954"/>
      <c r="DM350" s="2954"/>
      <c r="DN350" s="2954"/>
      <c r="DO350" s="2954"/>
      <c r="DP350" s="2954"/>
      <c r="DQ350" s="2954"/>
      <c r="DR350" s="2954"/>
      <c r="DS350" s="2954"/>
      <c r="DT350" s="2954"/>
      <c r="DU350" s="2954"/>
      <c r="DV350" s="2954"/>
    </row>
    <row r="351" s="799" customFormat="1" ht="14.25" hidden="1" customHeight="1" spans="1:126">
      <c r="A351" s="2952" t="s">
        <v>4214</v>
      </c>
      <c r="B351" s="2952"/>
      <c r="C351" s="2952" t="s">
        <v>6940</v>
      </c>
      <c r="D351" s="2952"/>
      <c r="E351" s="2952"/>
      <c r="F351" s="2952"/>
      <c r="G351" s="2952"/>
      <c r="H351" s="2952"/>
      <c r="I351" s="2952"/>
      <c r="J351" s="2952"/>
      <c r="K351" s="2952"/>
      <c r="L351" s="2952"/>
      <c r="M351" s="2952"/>
      <c r="N351" s="2952"/>
      <c r="O351" s="2952"/>
      <c r="P351" s="2952"/>
      <c r="Q351" s="2952"/>
      <c r="R351" s="2952"/>
      <c r="S351" s="2952"/>
      <c r="T351" s="2952"/>
      <c r="U351" s="2952"/>
      <c r="V351" s="2952" t="s">
        <v>6941</v>
      </c>
      <c r="W351" s="2952"/>
      <c r="X351" s="2952"/>
      <c r="Y351" s="2952"/>
      <c r="Z351" s="2952"/>
      <c r="AA351" s="2952"/>
      <c r="AB351" s="2952"/>
      <c r="AC351" s="2952"/>
      <c r="AD351" s="2952"/>
      <c r="AE351" s="2952"/>
      <c r="AF351" s="2952"/>
      <c r="AG351" s="2952" t="s">
        <v>6942</v>
      </c>
      <c r="AH351" s="2952"/>
      <c r="AI351" s="2952"/>
      <c r="AJ351" s="2952"/>
      <c r="AK351" s="2952"/>
      <c r="AL351" s="2952"/>
      <c r="AM351" s="2952"/>
      <c r="AN351" s="2952"/>
      <c r="AO351" s="2952"/>
      <c r="AP351" s="2952"/>
    </row>
    <row r="352" s="799" customFormat="1" ht="12.75" hidden="1" customHeight="1" spans="1:126">
      <c r="A352" s="2955">
        <f>UnosPorBilans!B211</f>
        <v>0</v>
      </c>
      <c r="B352" s="2955"/>
      <c r="C352" s="2955"/>
      <c r="D352" s="2955"/>
      <c r="E352" s="2955"/>
      <c r="F352" s="2955"/>
      <c r="G352" s="2955"/>
      <c r="H352" s="2955"/>
      <c r="I352" s="2955"/>
      <c r="J352" s="2955"/>
      <c r="K352" s="2955"/>
      <c r="L352" s="2955"/>
      <c r="M352" s="2955"/>
      <c r="N352" s="2955"/>
      <c r="O352" s="2955"/>
      <c r="P352" s="2955"/>
      <c r="Q352" s="2955"/>
      <c r="R352" s="2955"/>
      <c r="S352" s="2955"/>
      <c r="T352" s="2955"/>
      <c r="U352" s="2955"/>
      <c r="V352" s="2955">
        <f>UnosPorBilans!I211</f>
        <v>0</v>
      </c>
      <c r="W352" s="2955"/>
      <c r="X352" s="2955"/>
      <c r="Y352" s="2955"/>
      <c r="Z352" s="2955"/>
      <c r="AA352" s="2955"/>
      <c r="AB352" s="2955"/>
      <c r="AC352" s="2955"/>
      <c r="AD352" s="2955"/>
      <c r="AE352" s="2955"/>
      <c r="AF352" s="2955"/>
      <c r="AG352" s="2955">
        <f>UnosPorBilans!N211</f>
        <v>0</v>
      </c>
      <c r="AH352" s="2955"/>
      <c r="AI352" s="2955"/>
      <c r="AJ352" s="2955"/>
      <c r="AK352" s="2955"/>
      <c r="AL352" s="2955"/>
      <c r="AM352" s="2955"/>
      <c r="AN352" s="2955"/>
      <c r="AO352" s="2955"/>
      <c r="AP352" s="2955"/>
    </row>
    <row r="353" s="799" customFormat="1" ht="12.75" hidden="1" customHeight="1" spans="1:126">
      <c r="A353" s="2952" t="s">
        <v>6943</v>
      </c>
      <c r="B353" s="2952"/>
      <c r="C353" s="2952"/>
      <c r="D353" s="2952"/>
      <c r="E353" s="2952"/>
      <c r="F353" s="2952"/>
      <c r="G353" s="2952"/>
      <c r="H353" s="2952"/>
      <c r="I353" s="2952"/>
      <c r="J353" s="2952"/>
      <c r="K353" s="2952" t="s">
        <v>6944</v>
      </c>
      <c r="L353" s="2952"/>
      <c r="M353" s="2952"/>
      <c r="N353" s="2952"/>
      <c r="O353" s="2952"/>
      <c r="P353" s="2952"/>
      <c r="Q353" s="2952"/>
      <c r="R353" s="2952"/>
      <c r="S353" s="2952"/>
      <c r="T353" s="2952"/>
      <c r="U353" s="2952"/>
      <c r="V353" s="2952" t="s">
        <v>6945</v>
      </c>
      <c r="W353" s="2952"/>
      <c r="X353" s="2952"/>
      <c r="Y353" s="2952"/>
      <c r="Z353" s="2952"/>
      <c r="AA353" s="2952"/>
      <c r="AB353" s="2952"/>
      <c r="AC353" s="2952"/>
      <c r="AD353" s="2952"/>
      <c r="AE353" s="2952"/>
      <c r="AF353" s="2952"/>
      <c r="AG353" s="2952" t="s">
        <v>6946</v>
      </c>
      <c r="AH353" s="2952"/>
      <c r="AI353" s="2952"/>
      <c r="AJ353" s="2952"/>
      <c r="AK353" s="2952"/>
      <c r="AL353" s="2952"/>
      <c r="AM353" s="2952"/>
      <c r="AN353" s="2952"/>
      <c r="AO353" s="2952"/>
      <c r="AP353" s="2952"/>
    </row>
    <row r="354" s="799" customFormat="1" ht="12.75" hidden="1" customHeight="1" spans="1:126">
      <c r="A354" s="2955">
        <f>UnosPorBilans!S211</f>
        <v>0</v>
      </c>
      <c r="B354" s="2955"/>
      <c r="C354" s="2955"/>
      <c r="D354" s="2955"/>
      <c r="E354" s="2955"/>
      <c r="F354" s="2955"/>
      <c r="G354" s="2955"/>
      <c r="H354" s="2955"/>
      <c r="I354" s="2955"/>
      <c r="J354" s="2955"/>
      <c r="K354" s="2955">
        <f>UnosPorBilans!W211</f>
        <v>0</v>
      </c>
      <c r="L354" s="2955"/>
      <c r="M354" s="2955"/>
      <c r="N354" s="2955"/>
      <c r="O354" s="2955"/>
      <c r="P354" s="2955"/>
      <c r="Q354" s="2955"/>
      <c r="R354" s="2955"/>
      <c r="S354" s="2955"/>
      <c r="T354" s="2955"/>
      <c r="U354" s="2955"/>
      <c r="V354" s="2955">
        <f>UnosPorBilans!AB211</f>
        <v>0</v>
      </c>
      <c r="W354" s="2955"/>
      <c r="X354" s="2955"/>
      <c r="Y354" s="2955"/>
      <c r="Z354" s="2955"/>
      <c r="AA354" s="2955"/>
      <c r="AB354" s="2955"/>
      <c r="AC354" s="2955"/>
      <c r="AD354" s="2955"/>
      <c r="AE354" s="2955"/>
      <c r="AF354" s="2955"/>
      <c r="AG354" s="2955">
        <f>UnosPorBilans!AG211</f>
        <v>0</v>
      </c>
      <c r="AH354" s="2955"/>
      <c r="AI354" s="2955"/>
      <c r="AJ354" s="2955"/>
      <c r="AK354" s="2955"/>
      <c r="AL354" s="2955"/>
      <c r="AM354" s="2955"/>
      <c r="AN354" s="2955"/>
      <c r="AO354" s="2955"/>
      <c r="AP354" s="2955"/>
    </row>
    <row r="355" s="799" customFormat="1" ht="12.75" hidden="1" customHeight="1" spans="1:126">
      <c r="A355" s="2952" t="s">
        <v>6947</v>
      </c>
      <c r="B355" s="2952"/>
      <c r="C355" s="2952"/>
      <c r="D355" s="2952"/>
      <c r="E355" s="2952"/>
      <c r="F355" s="2952"/>
      <c r="G355" s="2952"/>
      <c r="H355" s="2952"/>
      <c r="I355" s="2952"/>
      <c r="J355" s="2952"/>
      <c r="K355" s="2952"/>
      <c r="L355" s="2952"/>
      <c r="M355" s="2952"/>
      <c r="N355" s="2952"/>
      <c r="O355" s="2952"/>
      <c r="P355" s="2952"/>
      <c r="Q355" s="2952"/>
      <c r="R355" s="2952"/>
      <c r="S355" s="2952"/>
      <c r="T355" s="2952"/>
      <c r="U355" s="2952"/>
      <c r="V355" s="2952" t="s">
        <v>6948</v>
      </c>
      <c r="W355" s="2952"/>
      <c r="X355" s="2952"/>
      <c r="Y355" s="2952"/>
      <c r="Z355" s="2952"/>
      <c r="AA355" s="2952"/>
      <c r="AB355" s="2952"/>
      <c r="AC355" s="2952"/>
      <c r="AD355" s="2952"/>
      <c r="AE355" s="2952"/>
      <c r="AF355" s="2952"/>
      <c r="AG355" s="2952"/>
      <c r="AH355" s="2952"/>
      <c r="AI355" s="2952"/>
      <c r="AJ355" s="2952"/>
      <c r="AK355" s="2952"/>
      <c r="AL355" s="2952"/>
      <c r="AM355" s="2952"/>
      <c r="AN355" s="2952"/>
      <c r="AO355" s="2952"/>
      <c r="AP355" s="2952"/>
    </row>
    <row r="356" s="799" customFormat="1" ht="12.75" hidden="1" customHeight="1" spans="1:126">
      <c r="A356" s="2955">
        <f>UnosPorBilans!AL211</f>
        <v>0</v>
      </c>
      <c r="B356" s="2955"/>
      <c r="C356" s="2955"/>
      <c r="D356" s="2955"/>
      <c r="E356" s="2955"/>
      <c r="F356" s="2955"/>
      <c r="G356" s="2955"/>
      <c r="H356" s="2955"/>
      <c r="I356" s="2955"/>
      <c r="J356" s="2955"/>
      <c r="K356" s="2955"/>
      <c r="L356" s="2955"/>
      <c r="M356" s="2955"/>
      <c r="N356" s="2955"/>
      <c r="O356" s="2955"/>
      <c r="P356" s="2955"/>
      <c r="Q356" s="2955"/>
      <c r="R356" s="2955"/>
      <c r="S356" s="2955"/>
      <c r="T356" s="2955"/>
      <c r="U356" s="2955"/>
      <c r="V356" s="2955">
        <f>UnosPorBilans!AS211</f>
        <v>0</v>
      </c>
      <c r="W356" s="2955"/>
      <c r="X356" s="2955"/>
      <c r="Y356" s="2955"/>
      <c r="Z356" s="2955"/>
      <c r="AA356" s="2955"/>
      <c r="AB356" s="2955"/>
      <c r="AC356" s="2955"/>
      <c r="AD356" s="2955"/>
      <c r="AE356" s="2955"/>
      <c r="AF356" s="2955"/>
      <c r="AG356" s="2955"/>
      <c r="AH356" s="2955"/>
      <c r="AI356" s="2955"/>
      <c r="AJ356" s="2955"/>
      <c r="AK356" s="2955"/>
      <c r="AL356" s="2955"/>
      <c r="AM356" s="2955"/>
      <c r="AN356" s="2955"/>
      <c r="AO356" s="2955"/>
      <c r="AP356" s="2955"/>
    </row>
    <row r="357" s="799" customFormat="1" ht="14.25" hidden="1" customHeight="1" spans="1:126">
      <c r="A357" s="2954"/>
      <c r="B357" s="2954"/>
      <c r="C357" s="2954"/>
      <c r="D357" s="2954"/>
      <c r="E357" s="2954"/>
      <c r="F357" s="2954"/>
      <c r="G357" s="2954"/>
      <c r="H357" s="2954"/>
      <c r="I357" s="2954"/>
      <c r="J357" s="2954"/>
      <c r="K357" s="2954"/>
      <c r="L357" s="2954"/>
      <c r="M357" s="2954"/>
      <c r="N357" s="2954"/>
      <c r="O357" s="2954"/>
      <c r="P357" s="2954"/>
      <c r="Q357" s="2954"/>
      <c r="R357" s="2954"/>
      <c r="S357" s="2954"/>
      <c r="T357" s="2954"/>
      <c r="U357" s="2954"/>
      <c r="V357" s="2954"/>
      <c r="W357" s="2954"/>
      <c r="X357" s="2954"/>
      <c r="Y357" s="2954"/>
      <c r="Z357" s="2954"/>
      <c r="AA357" s="2954"/>
      <c r="AB357" s="2954"/>
      <c r="AC357" s="2954"/>
      <c r="AD357" s="2954"/>
      <c r="AE357" s="2954"/>
      <c r="AF357" s="2954"/>
      <c r="AG357" s="2954"/>
      <c r="AH357" s="2954"/>
      <c r="AI357" s="2954"/>
      <c r="AJ357" s="2954"/>
      <c r="AK357" s="2954"/>
      <c r="AL357" s="2954"/>
      <c r="AM357" s="2954"/>
      <c r="AN357" s="2954"/>
      <c r="AO357" s="2954"/>
      <c r="AP357" s="2954"/>
      <c r="AQ357" s="2954"/>
      <c r="AR357" s="2954"/>
      <c r="AS357" s="2954"/>
      <c r="AT357" s="2954"/>
      <c r="AU357" s="2954"/>
      <c r="AV357" s="2954"/>
      <c r="AW357" s="2954"/>
      <c r="AX357" s="2954"/>
      <c r="AY357" s="2954"/>
      <c r="AZ357" s="2954"/>
      <c r="BA357" s="2954"/>
      <c r="BB357" s="2954"/>
      <c r="BC357" s="2954"/>
      <c r="BD357" s="2954"/>
      <c r="BE357" s="2954"/>
      <c r="BF357" s="2954"/>
      <c r="BG357" s="2954"/>
      <c r="BH357" s="2954"/>
      <c r="BI357" s="2954"/>
      <c r="BJ357" s="2954"/>
      <c r="BK357" s="2954"/>
      <c r="BL357" s="2954"/>
      <c r="BM357" s="2954"/>
      <c r="BN357" s="2954"/>
      <c r="BO357" s="2954"/>
      <c r="BP357" s="2954"/>
      <c r="BQ357" s="2954"/>
      <c r="BR357" s="2954"/>
      <c r="BS357" s="2954"/>
      <c r="BT357" s="2954"/>
      <c r="BU357" s="2954"/>
      <c r="BV357" s="2954"/>
      <c r="BW357" s="2954"/>
      <c r="BX357" s="2954"/>
      <c r="BY357" s="2954"/>
      <c r="BZ357" s="2954"/>
      <c r="CA357" s="2954"/>
      <c r="CB357" s="2954"/>
      <c r="CC357" s="2954"/>
      <c r="CD357" s="2954"/>
      <c r="CE357" s="2954"/>
      <c r="CF357" s="2954"/>
      <c r="CG357" s="2954"/>
      <c r="CH357" s="2954"/>
      <c r="CI357" s="2954"/>
      <c r="CJ357" s="2954"/>
      <c r="CK357" s="2954"/>
      <c r="CL357" s="2954"/>
      <c r="CM357" s="2954"/>
      <c r="CN357" s="2954"/>
      <c r="CO357" s="2954"/>
      <c r="CP357" s="2954"/>
      <c r="CQ357" s="2954"/>
      <c r="CR357" s="2954"/>
      <c r="CS357" s="2954"/>
      <c r="CT357" s="2954"/>
      <c r="CU357" s="2954"/>
      <c r="CV357" s="2954"/>
      <c r="CW357" s="2954"/>
      <c r="CX357" s="2954"/>
      <c r="CY357" s="2954"/>
      <c r="CZ357" s="2954"/>
      <c r="DA357" s="2954"/>
      <c r="DB357" s="2954"/>
      <c r="DC357" s="2954"/>
      <c r="DD357" s="2954"/>
      <c r="DE357" s="2954"/>
      <c r="DF357" s="2954"/>
      <c r="DG357" s="2954"/>
      <c r="DH357" s="2954"/>
      <c r="DI357" s="2954"/>
      <c r="DJ357" s="2954"/>
      <c r="DK357" s="2954"/>
      <c r="DL357" s="2954"/>
      <c r="DM357" s="2954"/>
      <c r="DN357" s="2954"/>
      <c r="DO357" s="2954"/>
      <c r="DP357" s="2954"/>
      <c r="DQ357" s="2954"/>
      <c r="DR357" s="2954"/>
      <c r="DS357" s="2954"/>
      <c r="DT357" s="2954"/>
      <c r="DU357" s="2954"/>
      <c r="DV357" s="2954"/>
    </row>
    <row r="358" s="799" customFormat="1" ht="14.25" hidden="1" customHeight="1" spans="1:126">
      <c r="A358" s="2952" t="s">
        <v>4214</v>
      </c>
      <c r="B358" s="2952"/>
      <c r="C358" s="2952" t="s">
        <v>6940</v>
      </c>
      <c r="D358" s="2952"/>
      <c r="E358" s="2952"/>
      <c r="F358" s="2952"/>
      <c r="G358" s="2952"/>
      <c r="H358" s="2952"/>
      <c r="I358" s="2952"/>
      <c r="J358" s="2952"/>
      <c r="K358" s="2952"/>
      <c r="L358" s="2952"/>
      <c r="M358" s="2952"/>
      <c r="N358" s="2952"/>
      <c r="O358" s="2952"/>
      <c r="P358" s="2952"/>
      <c r="Q358" s="2952"/>
      <c r="R358" s="2952"/>
      <c r="S358" s="2952"/>
      <c r="T358" s="2952"/>
      <c r="U358" s="2952"/>
      <c r="V358" s="2952" t="s">
        <v>6941</v>
      </c>
      <c r="W358" s="2952"/>
      <c r="X358" s="2952"/>
      <c r="Y358" s="2952"/>
      <c r="Z358" s="2952"/>
      <c r="AA358" s="2952"/>
      <c r="AB358" s="2952"/>
      <c r="AC358" s="2952"/>
      <c r="AD358" s="2952"/>
      <c r="AE358" s="2952"/>
      <c r="AF358" s="2952"/>
      <c r="AG358" s="2952" t="s">
        <v>6942</v>
      </c>
      <c r="AH358" s="2952"/>
      <c r="AI358" s="2952"/>
      <c r="AJ358" s="2952"/>
      <c r="AK358" s="2952"/>
      <c r="AL358" s="2952"/>
      <c r="AM358" s="2952"/>
      <c r="AN358" s="2952"/>
      <c r="AO358" s="2952"/>
      <c r="AP358" s="2952"/>
    </row>
    <row r="359" s="799" customFormat="1" ht="12.75" hidden="1" customHeight="1" spans="1:126">
      <c r="A359" s="2955">
        <f>UnosPorBilans!B212</f>
        <v>0</v>
      </c>
      <c r="B359" s="2955"/>
      <c r="C359" s="2955"/>
      <c r="D359" s="2955"/>
      <c r="E359" s="2955"/>
      <c r="F359" s="2955"/>
      <c r="G359" s="2955"/>
      <c r="H359" s="2955"/>
      <c r="I359" s="2955"/>
      <c r="J359" s="2955"/>
      <c r="K359" s="2955"/>
      <c r="L359" s="2955"/>
      <c r="M359" s="2955"/>
      <c r="N359" s="2955"/>
      <c r="O359" s="2955"/>
      <c r="P359" s="2955"/>
      <c r="Q359" s="2955"/>
      <c r="R359" s="2955"/>
      <c r="S359" s="2955"/>
      <c r="T359" s="2955"/>
      <c r="U359" s="2955"/>
      <c r="V359" s="2955">
        <f>UnosPorBilans!I212</f>
        <v>0</v>
      </c>
      <c r="W359" s="2955"/>
      <c r="X359" s="2955"/>
      <c r="Y359" s="2955"/>
      <c r="Z359" s="2955"/>
      <c r="AA359" s="2955"/>
      <c r="AB359" s="2955"/>
      <c r="AC359" s="2955"/>
      <c r="AD359" s="2955"/>
      <c r="AE359" s="2955"/>
      <c r="AF359" s="2955"/>
      <c r="AG359" s="2955">
        <f>UnosPorBilans!N212</f>
        <v>0</v>
      </c>
      <c r="AH359" s="2955"/>
      <c r="AI359" s="2955"/>
      <c r="AJ359" s="2955"/>
      <c r="AK359" s="2955"/>
      <c r="AL359" s="2955"/>
      <c r="AM359" s="2955"/>
      <c r="AN359" s="2955"/>
      <c r="AO359" s="2955"/>
      <c r="AP359" s="2955"/>
    </row>
    <row r="360" s="799" customFormat="1" ht="12.75" hidden="1" customHeight="1" spans="1:126">
      <c r="A360" s="2952" t="s">
        <v>6943</v>
      </c>
      <c r="B360" s="2952"/>
      <c r="C360" s="2952"/>
      <c r="D360" s="2952"/>
      <c r="E360" s="2952"/>
      <c r="F360" s="2952"/>
      <c r="G360" s="2952"/>
      <c r="H360" s="2952"/>
      <c r="I360" s="2952"/>
      <c r="J360" s="2952"/>
      <c r="K360" s="2952" t="s">
        <v>6944</v>
      </c>
      <c r="L360" s="2952"/>
      <c r="M360" s="2952"/>
      <c r="N360" s="2952"/>
      <c r="O360" s="2952"/>
      <c r="P360" s="2952"/>
      <c r="Q360" s="2952"/>
      <c r="R360" s="2952"/>
      <c r="S360" s="2952"/>
      <c r="T360" s="2952"/>
      <c r="U360" s="2952"/>
      <c r="V360" s="2952" t="s">
        <v>6945</v>
      </c>
      <c r="W360" s="2952"/>
      <c r="X360" s="2952"/>
      <c r="Y360" s="2952"/>
      <c r="Z360" s="2952"/>
      <c r="AA360" s="2952"/>
      <c r="AB360" s="2952"/>
      <c r="AC360" s="2952"/>
      <c r="AD360" s="2952"/>
      <c r="AE360" s="2952"/>
      <c r="AF360" s="2952"/>
      <c r="AG360" s="2952" t="s">
        <v>6946</v>
      </c>
      <c r="AH360" s="2952"/>
      <c r="AI360" s="2952"/>
      <c r="AJ360" s="2952"/>
      <c r="AK360" s="2952"/>
      <c r="AL360" s="2952"/>
      <c r="AM360" s="2952"/>
      <c r="AN360" s="2952"/>
      <c r="AO360" s="2952"/>
      <c r="AP360" s="2952"/>
    </row>
    <row r="361" s="799" customFormat="1" ht="12.75" hidden="1" customHeight="1" spans="1:126">
      <c r="A361" s="2955">
        <f>UnosPorBilans!S212</f>
        <v>0</v>
      </c>
      <c r="B361" s="2955"/>
      <c r="C361" s="2955"/>
      <c r="D361" s="2955"/>
      <c r="E361" s="2955"/>
      <c r="F361" s="2955"/>
      <c r="G361" s="2955"/>
      <c r="H361" s="2955"/>
      <c r="I361" s="2955"/>
      <c r="J361" s="2955"/>
      <c r="K361" s="2955">
        <f>UnosPorBilans!W212</f>
        <v>0</v>
      </c>
      <c r="L361" s="2955"/>
      <c r="M361" s="2955"/>
      <c r="N361" s="2955"/>
      <c r="O361" s="2955"/>
      <c r="P361" s="2955"/>
      <c r="Q361" s="2955"/>
      <c r="R361" s="2955"/>
      <c r="S361" s="2955"/>
      <c r="T361" s="2955"/>
      <c r="U361" s="2955"/>
      <c r="V361" s="2955">
        <f>UnosPorBilans!AB212</f>
        <v>0</v>
      </c>
      <c r="W361" s="2955"/>
      <c r="X361" s="2955"/>
      <c r="Y361" s="2955"/>
      <c r="Z361" s="2955"/>
      <c r="AA361" s="2955"/>
      <c r="AB361" s="2955"/>
      <c r="AC361" s="2955"/>
      <c r="AD361" s="2955"/>
      <c r="AE361" s="2955"/>
      <c r="AF361" s="2955"/>
      <c r="AG361" s="2955">
        <f>UnosPorBilans!AG212</f>
        <v>0</v>
      </c>
      <c r="AH361" s="2955"/>
      <c r="AI361" s="2955"/>
      <c r="AJ361" s="2955"/>
      <c r="AK361" s="2955"/>
      <c r="AL361" s="2955"/>
      <c r="AM361" s="2955"/>
      <c r="AN361" s="2955"/>
      <c r="AO361" s="2955"/>
      <c r="AP361" s="2955"/>
    </row>
    <row r="362" s="799" customFormat="1" ht="12.75" hidden="1" customHeight="1" spans="1:126">
      <c r="A362" s="2952" t="s">
        <v>6947</v>
      </c>
      <c r="B362" s="2952"/>
      <c r="C362" s="2952"/>
      <c r="D362" s="2952"/>
      <c r="E362" s="2952"/>
      <c r="F362" s="2952"/>
      <c r="G362" s="2952"/>
      <c r="H362" s="2952"/>
      <c r="I362" s="2952"/>
      <c r="J362" s="2952"/>
      <c r="K362" s="2952"/>
      <c r="L362" s="2952"/>
      <c r="M362" s="2952"/>
      <c r="N362" s="2952"/>
      <c r="O362" s="2952"/>
      <c r="P362" s="2952"/>
      <c r="Q362" s="2952"/>
      <c r="R362" s="2952"/>
      <c r="S362" s="2952"/>
      <c r="T362" s="2952"/>
      <c r="U362" s="2952"/>
      <c r="V362" s="2952" t="s">
        <v>6948</v>
      </c>
      <c r="W362" s="2952"/>
      <c r="X362" s="2952"/>
      <c r="Y362" s="2952"/>
      <c r="Z362" s="2952"/>
      <c r="AA362" s="2952"/>
      <c r="AB362" s="2952"/>
      <c r="AC362" s="2952"/>
      <c r="AD362" s="2952"/>
      <c r="AE362" s="2952"/>
      <c r="AF362" s="2952"/>
      <c r="AG362" s="2952"/>
      <c r="AH362" s="2952"/>
      <c r="AI362" s="2952"/>
      <c r="AJ362" s="2952"/>
      <c r="AK362" s="2952"/>
      <c r="AL362" s="2952"/>
      <c r="AM362" s="2952"/>
      <c r="AN362" s="2952"/>
      <c r="AO362" s="2952"/>
      <c r="AP362" s="2952"/>
    </row>
    <row r="363" s="799" customFormat="1" ht="12.75" hidden="1" customHeight="1" spans="1:126">
      <c r="A363" s="2955">
        <f>UnosPorBilans!AL212</f>
        <v>0</v>
      </c>
      <c r="B363" s="2955"/>
      <c r="C363" s="2955"/>
      <c r="D363" s="2955"/>
      <c r="E363" s="2955"/>
      <c r="F363" s="2955"/>
      <c r="G363" s="2955"/>
      <c r="H363" s="2955"/>
      <c r="I363" s="2955"/>
      <c r="J363" s="2955"/>
      <c r="K363" s="2955"/>
      <c r="L363" s="2955"/>
      <c r="M363" s="2955"/>
      <c r="N363" s="2955"/>
      <c r="O363" s="2955"/>
      <c r="P363" s="2955"/>
      <c r="Q363" s="2955"/>
      <c r="R363" s="2955"/>
      <c r="S363" s="2955"/>
      <c r="T363" s="2955"/>
      <c r="U363" s="2955"/>
      <c r="V363" s="2955">
        <f>UnosPorBilans!AS212</f>
        <v>0</v>
      </c>
      <c r="W363" s="2955"/>
      <c r="X363" s="2955"/>
      <c r="Y363" s="2955"/>
      <c r="Z363" s="2955"/>
      <c r="AA363" s="2955"/>
      <c r="AB363" s="2955"/>
      <c r="AC363" s="2955"/>
      <c r="AD363" s="2955"/>
      <c r="AE363" s="2955"/>
      <c r="AF363" s="2955"/>
      <c r="AG363" s="2955"/>
      <c r="AH363" s="2955"/>
      <c r="AI363" s="2955"/>
      <c r="AJ363" s="2955"/>
      <c r="AK363" s="2955"/>
      <c r="AL363" s="2955"/>
      <c r="AM363" s="2955"/>
      <c r="AN363" s="2955"/>
      <c r="AO363" s="2955"/>
      <c r="AP363" s="2955"/>
    </row>
    <row r="364" s="799" customFormat="1" ht="14.25" hidden="1" customHeight="1" spans="1:126">
      <c r="A364" s="2954"/>
      <c r="B364" s="2954"/>
      <c r="C364" s="2954"/>
      <c r="D364" s="2954"/>
      <c r="E364" s="2954"/>
      <c r="F364" s="2954"/>
      <c r="G364" s="2954"/>
      <c r="H364" s="2954"/>
      <c r="I364" s="2954"/>
      <c r="J364" s="2954"/>
      <c r="K364" s="2954"/>
      <c r="L364" s="2954"/>
      <c r="M364" s="2954"/>
      <c r="N364" s="2954"/>
      <c r="O364" s="2954"/>
      <c r="P364" s="2954"/>
      <c r="Q364" s="2954"/>
      <c r="R364" s="2954"/>
      <c r="S364" s="2954"/>
      <c r="T364" s="2954"/>
      <c r="U364" s="2954"/>
      <c r="V364" s="2954"/>
      <c r="W364" s="2954"/>
      <c r="X364" s="2954"/>
      <c r="Y364" s="2954"/>
      <c r="Z364" s="2954"/>
      <c r="AA364" s="2954"/>
      <c r="AB364" s="2954"/>
      <c r="AC364" s="2954"/>
      <c r="AD364" s="2954"/>
      <c r="AE364" s="2954"/>
      <c r="AF364" s="2954"/>
      <c r="AG364" s="2954"/>
      <c r="AH364" s="2954"/>
      <c r="AI364" s="2954"/>
      <c r="AJ364" s="2954"/>
      <c r="AK364" s="2954"/>
      <c r="AL364" s="2954"/>
      <c r="AM364" s="2954"/>
      <c r="AN364" s="2954"/>
      <c r="AO364" s="2954"/>
      <c r="AP364" s="2954"/>
      <c r="AQ364" s="2954"/>
      <c r="AR364" s="2954"/>
      <c r="AS364" s="2954"/>
      <c r="AT364" s="2954"/>
      <c r="AU364" s="2954"/>
      <c r="AV364" s="2954"/>
      <c r="AW364" s="2954"/>
      <c r="AX364" s="2954"/>
      <c r="AY364" s="2954"/>
      <c r="AZ364" s="2954"/>
      <c r="BA364" s="2954"/>
      <c r="BB364" s="2954"/>
      <c r="BC364" s="2954"/>
      <c r="BD364" s="2954"/>
      <c r="BE364" s="2954"/>
      <c r="BF364" s="2954"/>
      <c r="BG364" s="2954"/>
      <c r="BH364" s="2954"/>
      <c r="BI364" s="2954"/>
      <c r="BJ364" s="2954"/>
      <c r="BK364" s="2954"/>
      <c r="BL364" s="2954"/>
      <c r="BM364" s="2954"/>
      <c r="BN364" s="2954"/>
      <c r="BO364" s="2954"/>
      <c r="BP364" s="2954"/>
      <c r="BQ364" s="2954"/>
      <c r="BR364" s="2954"/>
      <c r="BS364" s="2954"/>
      <c r="BT364" s="2954"/>
      <c r="BU364" s="2954"/>
      <c r="BV364" s="2954"/>
      <c r="BW364" s="2954"/>
      <c r="BX364" s="2954"/>
      <c r="BY364" s="2954"/>
      <c r="BZ364" s="2954"/>
      <c r="CA364" s="2954"/>
      <c r="CB364" s="2954"/>
      <c r="CC364" s="2954"/>
      <c r="CD364" s="2954"/>
      <c r="CE364" s="2954"/>
      <c r="CF364" s="2954"/>
      <c r="CG364" s="2954"/>
      <c r="CH364" s="2954"/>
      <c r="CI364" s="2954"/>
      <c r="CJ364" s="2954"/>
      <c r="CK364" s="2954"/>
      <c r="CL364" s="2954"/>
      <c r="CM364" s="2954"/>
      <c r="CN364" s="2954"/>
      <c r="CO364" s="2954"/>
      <c r="CP364" s="2954"/>
      <c r="CQ364" s="2954"/>
      <c r="CR364" s="2954"/>
      <c r="CS364" s="2954"/>
      <c r="CT364" s="2954"/>
      <c r="CU364" s="2954"/>
      <c r="CV364" s="2954"/>
      <c r="CW364" s="2954"/>
      <c r="CX364" s="2954"/>
      <c r="CY364" s="2954"/>
      <c r="CZ364" s="2954"/>
      <c r="DA364" s="2954"/>
      <c r="DB364" s="2954"/>
      <c r="DC364" s="2954"/>
      <c r="DD364" s="2954"/>
      <c r="DE364" s="2954"/>
      <c r="DF364" s="2954"/>
      <c r="DG364" s="2954"/>
      <c r="DH364" s="2954"/>
      <c r="DI364" s="2954"/>
      <c r="DJ364" s="2954"/>
      <c r="DK364" s="2954"/>
      <c r="DL364" s="2954"/>
      <c r="DM364" s="2954"/>
      <c r="DN364" s="2954"/>
      <c r="DO364" s="2954"/>
      <c r="DP364" s="2954"/>
      <c r="DQ364" s="2954"/>
      <c r="DR364" s="2954"/>
      <c r="DS364" s="2954"/>
      <c r="DT364" s="2954"/>
      <c r="DU364" s="2954"/>
      <c r="DV364" s="2954"/>
    </row>
    <row r="365" s="799" customFormat="1" ht="14.25" hidden="1" customHeight="1" spans="1:126">
      <c r="A365" s="2952" t="s">
        <v>4214</v>
      </c>
      <c r="B365" s="2952"/>
      <c r="C365" s="2952" t="s">
        <v>6940</v>
      </c>
      <c r="D365" s="2952"/>
      <c r="E365" s="2952"/>
      <c r="F365" s="2952"/>
      <c r="G365" s="2952"/>
      <c r="H365" s="2952"/>
      <c r="I365" s="2952"/>
      <c r="J365" s="2952"/>
      <c r="K365" s="2952"/>
      <c r="L365" s="2952"/>
      <c r="M365" s="2952"/>
      <c r="N365" s="2952"/>
      <c r="O365" s="2952"/>
      <c r="P365" s="2952"/>
      <c r="Q365" s="2952"/>
      <c r="R365" s="2952"/>
      <c r="S365" s="2952"/>
      <c r="T365" s="2952"/>
      <c r="U365" s="2952"/>
      <c r="V365" s="2952" t="s">
        <v>6941</v>
      </c>
      <c r="W365" s="2952"/>
      <c r="X365" s="2952"/>
      <c r="Y365" s="2952"/>
      <c r="Z365" s="2952"/>
      <c r="AA365" s="2952"/>
      <c r="AB365" s="2952"/>
      <c r="AC365" s="2952"/>
      <c r="AD365" s="2952"/>
      <c r="AE365" s="2952"/>
      <c r="AF365" s="2952"/>
      <c r="AG365" s="2952" t="s">
        <v>6942</v>
      </c>
      <c r="AH365" s="2952"/>
      <c r="AI365" s="2952"/>
      <c r="AJ365" s="2952"/>
      <c r="AK365" s="2952"/>
      <c r="AL365" s="2952"/>
      <c r="AM365" s="2952"/>
      <c r="AN365" s="2952"/>
      <c r="AO365" s="2952"/>
      <c r="AP365" s="2952"/>
    </row>
    <row r="366" s="799" customFormat="1" ht="12.75" hidden="1" customHeight="1" spans="1:126">
      <c r="A366" s="2955">
        <f>UnosPorBilans!B213</f>
        <v>0</v>
      </c>
      <c r="B366" s="2955"/>
      <c r="C366" s="2955"/>
      <c r="D366" s="2955"/>
      <c r="E366" s="2955"/>
      <c r="F366" s="2955"/>
      <c r="G366" s="2955"/>
      <c r="H366" s="2955"/>
      <c r="I366" s="2955"/>
      <c r="J366" s="2955"/>
      <c r="K366" s="2955"/>
      <c r="L366" s="2955"/>
      <c r="M366" s="2955"/>
      <c r="N366" s="2955"/>
      <c r="O366" s="2955"/>
      <c r="P366" s="2955"/>
      <c r="Q366" s="2955"/>
      <c r="R366" s="2955"/>
      <c r="S366" s="2955"/>
      <c r="T366" s="2955"/>
      <c r="U366" s="2955"/>
      <c r="V366" s="2955">
        <f>UnosPorBilans!I213</f>
        <v>0</v>
      </c>
      <c r="W366" s="2955"/>
      <c r="X366" s="2955"/>
      <c r="Y366" s="2955"/>
      <c r="Z366" s="2955"/>
      <c r="AA366" s="2955"/>
      <c r="AB366" s="2955"/>
      <c r="AC366" s="2955"/>
      <c r="AD366" s="2955"/>
      <c r="AE366" s="2955"/>
      <c r="AF366" s="2955"/>
      <c r="AG366" s="2955">
        <f>UnosPorBilans!N213</f>
        <v>0</v>
      </c>
      <c r="AH366" s="2955"/>
      <c r="AI366" s="2955"/>
      <c r="AJ366" s="2955"/>
      <c r="AK366" s="2955"/>
      <c r="AL366" s="2955"/>
      <c r="AM366" s="2955"/>
      <c r="AN366" s="2955"/>
      <c r="AO366" s="2955"/>
      <c r="AP366" s="2955"/>
    </row>
    <row r="367" s="799" customFormat="1" ht="12.75" hidden="1" customHeight="1" spans="1:126">
      <c r="A367" s="2952" t="s">
        <v>6943</v>
      </c>
      <c r="B367" s="2952"/>
      <c r="C367" s="2952"/>
      <c r="D367" s="2952"/>
      <c r="E367" s="2952"/>
      <c r="F367" s="2952"/>
      <c r="G367" s="2952"/>
      <c r="H367" s="2952"/>
      <c r="I367" s="2952"/>
      <c r="J367" s="2952"/>
      <c r="K367" s="2952" t="s">
        <v>6944</v>
      </c>
      <c r="L367" s="2952"/>
      <c r="M367" s="2952"/>
      <c r="N367" s="2952"/>
      <c r="O367" s="2952"/>
      <c r="P367" s="2952"/>
      <c r="Q367" s="2952"/>
      <c r="R367" s="2952"/>
      <c r="S367" s="2952"/>
      <c r="T367" s="2952"/>
      <c r="U367" s="2952"/>
      <c r="V367" s="2952" t="s">
        <v>6945</v>
      </c>
      <c r="W367" s="2952"/>
      <c r="X367" s="2952"/>
      <c r="Y367" s="2952"/>
      <c r="Z367" s="2952"/>
      <c r="AA367" s="2952"/>
      <c r="AB367" s="2952"/>
      <c r="AC367" s="2952"/>
      <c r="AD367" s="2952"/>
      <c r="AE367" s="2952"/>
      <c r="AF367" s="2952"/>
      <c r="AG367" s="2952" t="s">
        <v>6946</v>
      </c>
      <c r="AH367" s="2952"/>
      <c r="AI367" s="2952"/>
      <c r="AJ367" s="2952"/>
      <c r="AK367" s="2952"/>
      <c r="AL367" s="2952"/>
      <c r="AM367" s="2952"/>
      <c r="AN367" s="2952"/>
      <c r="AO367" s="2952"/>
      <c r="AP367" s="2952"/>
    </row>
    <row r="368" s="799" customFormat="1" ht="12.75" hidden="1" customHeight="1" spans="1:126">
      <c r="A368" s="2955">
        <f>UnosPorBilans!S213</f>
        <v>0</v>
      </c>
      <c r="B368" s="2955"/>
      <c r="C368" s="2955"/>
      <c r="D368" s="2955"/>
      <c r="E368" s="2955"/>
      <c r="F368" s="2955"/>
      <c r="G368" s="2955"/>
      <c r="H368" s="2955"/>
      <c r="I368" s="2955"/>
      <c r="J368" s="2955"/>
      <c r="K368" s="2955">
        <f>UnosPorBilans!W213</f>
        <v>0</v>
      </c>
      <c r="L368" s="2955"/>
      <c r="M368" s="2955"/>
      <c r="N368" s="2955"/>
      <c r="O368" s="2955"/>
      <c r="P368" s="2955"/>
      <c r="Q368" s="2955"/>
      <c r="R368" s="2955"/>
      <c r="S368" s="2955"/>
      <c r="T368" s="2955"/>
      <c r="U368" s="2955"/>
      <c r="V368" s="2955">
        <f>UnosPorBilans!AB213</f>
        <v>0</v>
      </c>
      <c r="W368" s="2955"/>
      <c r="X368" s="2955"/>
      <c r="Y368" s="2955"/>
      <c r="Z368" s="2955"/>
      <c r="AA368" s="2955"/>
      <c r="AB368" s="2955"/>
      <c r="AC368" s="2955"/>
      <c r="AD368" s="2955"/>
      <c r="AE368" s="2955"/>
      <c r="AF368" s="2955"/>
      <c r="AG368" s="2955">
        <f>UnosPorBilans!AG213</f>
        <v>0</v>
      </c>
      <c r="AH368" s="2955"/>
      <c r="AI368" s="2955"/>
      <c r="AJ368" s="2955"/>
      <c r="AK368" s="2955"/>
      <c r="AL368" s="2955"/>
      <c r="AM368" s="2955"/>
      <c r="AN368" s="2955"/>
      <c r="AO368" s="2955"/>
      <c r="AP368" s="2955"/>
    </row>
    <row r="369" s="799" customFormat="1" ht="12.75" hidden="1" customHeight="1" spans="1:126">
      <c r="A369" s="2952" t="s">
        <v>6947</v>
      </c>
      <c r="B369" s="2952"/>
      <c r="C369" s="2952"/>
      <c r="D369" s="2952"/>
      <c r="E369" s="2952"/>
      <c r="F369" s="2952"/>
      <c r="G369" s="2952"/>
      <c r="H369" s="2952"/>
      <c r="I369" s="2952"/>
      <c r="J369" s="2952"/>
      <c r="K369" s="2952"/>
      <c r="L369" s="2952"/>
      <c r="M369" s="2952"/>
      <c r="N369" s="2952"/>
      <c r="O369" s="2952"/>
      <c r="P369" s="2952"/>
      <c r="Q369" s="2952"/>
      <c r="R369" s="2952"/>
      <c r="S369" s="2952"/>
      <c r="T369" s="2952"/>
      <c r="U369" s="2952"/>
      <c r="V369" s="2952" t="s">
        <v>6948</v>
      </c>
      <c r="W369" s="2952"/>
      <c r="X369" s="2952"/>
      <c r="Y369" s="2952"/>
      <c r="Z369" s="2952"/>
      <c r="AA369" s="2952"/>
      <c r="AB369" s="2952"/>
      <c r="AC369" s="2952"/>
      <c r="AD369" s="2952"/>
      <c r="AE369" s="2952"/>
      <c r="AF369" s="2952"/>
      <c r="AG369" s="2952"/>
      <c r="AH369" s="2952"/>
      <c r="AI369" s="2952"/>
      <c r="AJ369" s="2952"/>
      <c r="AK369" s="2952"/>
      <c r="AL369" s="2952"/>
      <c r="AM369" s="2952"/>
      <c r="AN369" s="2952"/>
      <c r="AO369" s="2952"/>
      <c r="AP369" s="2952"/>
    </row>
    <row r="370" s="799" customFormat="1" ht="12.75" hidden="1" customHeight="1" spans="1:126">
      <c r="A370" s="2955">
        <f>UnosPorBilans!AL213</f>
        <v>0</v>
      </c>
      <c r="B370" s="2955"/>
      <c r="C370" s="2955"/>
      <c r="D370" s="2955"/>
      <c r="E370" s="2955"/>
      <c r="F370" s="2955"/>
      <c r="G370" s="2955"/>
      <c r="H370" s="2955"/>
      <c r="I370" s="2955"/>
      <c r="J370" s="2955"/>
      <c r="K370" s="2955"/>
      <c r="L370" s="2955"/>
      <c r="M370" s="2955"/>
      <c r="N370" s="2955"/>
      <c r="O370" s="2955"/>
      <c r="P370" s="2955"/>
      <c r="Q370" s="2955"/>
      <c r="R370" s="2955"/>
      <c r="S370" s="2955"/>
      <c r="T370" s="2955"/>
      <c r="U370" s="2955"/>
      <c r="V370" s="2955">
        <f>UnosPorBilans!AS213</f>
        <v>0</v>
      </c>
      <c r="W370" s="2955"/>
      <c r="X370" s="2955"/>
      <c r="Y370" s="2955"/>
      <c r="Z370" s="2955"/>
      <c r="AA370" s="2955"/>
      <c r="AB370" s="2955"/>
      <c r="AC370" s="2955"/>
      <c r="AD370" s="2955"/>
      <c r="AE370" s="2955"/>
      <c r="AF370" s="2955"/>
      <c r="AG370" s="2955"/>
      <c r="AH370" s="2955"/>
      <c r="AI370" s="2955"/>
      <c r="AJ370" s="2955"/>
      <c r="AK370" s="2955"/>
      <c r="AL370" s="2955"/>
      <c r="AM370" s="2955"/>
      <c r="AN370" s="2955"/>
      <c r="AO370" s="2955"/>
      <c r="AP370" s="2955"/>
    </row>
    <row r="371" s="799" customFormat="1" ht="14.25" hidden="1" customHeight="1" spans="1:126">
      <c r="A371" s="2954"/>
      <c r="B371" s="2954"/>
      <c r="C371" s="2954"/>
      <c r="D371" s="2954"/>
      <c r="E371" s="2954"/>
      <c r="F371" s="2954"/>
      <c r="G371" s="2954"/>
      <c r="H371" s="2954"/>
      <c r="I371" s="2954"/>
      <c r="J371" s="2954"/>
      <c r="K371" s="2954"/>
      <c r="L371" s="2954"/>
      <c r="M371" s="2954"/>
      <c r="N371" s="2954"/>
      <c r="O371" s="2954"/>
      <c r="P371" s="2954"/>
      <c r="Q371" s="2954"/>
      <c r="R371" s="2954"/>
      <c r="S371" s="2954"/>
      <c r="T371" s="2954"/>
      <c r="U371" s="2954"/>
      <c r="V371" s="2954"/>
      <c r="W371" s="2954"/>
      <c r="X371" s="2954"/>
      <c r="Y371" s="2954"/>
      <c r="Z371" s="2954"/>
      <c r="AA371" s="2954"/>
      <c r="AB371" s="2954"/>
      <c r="AC371" s="2954"/>
      <c r="AD371" s="2954"/>
      <c r="AE371" s="2954"/>
      <c r="AF371" s="2954"/>
      <c r="AG371" s="2954"/>
      <c r="AH371" s="2954"/>
      <c r="AI371" s="2954"/>
      <c r="AJ371" s="2954"/>
      <c r="AK371" s="2954"/>
      <c r="AL371" s="2954"/>
      <c r="AM371" s="2954"/>
      <c r="AN371" s="2954"/>
      <c r="AO371" s="2954"/>
      <c r="AP371" s="2954"/>
      <c r="AQ371" s="2954"/>
      <c r="AR371" s="2954"/>
      <c r="AS371" s="2954"/>
      <c r="AT371" s="2954"/>
      <c r="AU371" s="2954"/>
      <c r="AV371" s="2954"/>
      <c r="AW371" s="2954"/>
      <c r="AX371" s="2954"/>
      <c r="AY371" s="2954"/>
      <c r="AZ371" s="2954"/>
      <c r="BA371" s="2954"/>
      <c r="BB371" s="2954"/>
      <c r="BC371" s="2954"/>
      <c r="BD371" s="2954"/>
      <c r="BE371" s="2954"/>
      <c r="BF371" s="2954"/>
      <c r="BG371" s="2954"/>
      <c r="BH371" s="2954"/>
      <c r="BI371" s="2954"/>
      <c r="BJ371" s="2954"/>
      <c r="BK371" s="2954"/>
      <c r="BL371" s="2954"/>
      <c r="BM371" s="2954"/>
      <c r="BN371" s="2954"/>
      <c r="BO371" s="2954"/>
      <c r="BP371" s="2954"/>
      <c r="BQ371" s="2954"/>
      <c r="BR371" s="2954"/>
      <c r="BS371" s="2954"/>
      <c r="BT371" s="2954"/>
      <c r="BU371" s="2954"/>
      <c r="BV371" s="2954"/>
      <c r="BW371" s="2954"/>
      <c r="BX371" s="2954"/>
      <c r="BY371" s="2954"/>
      <c r="BZ371" s="2954"/>
      <c r="CA371" s="2954"/>
      <c r="CB371" s="2954"/>
      <c r="CC371" s="2954"/>
      <c r="CD371" s="2954"/>
      <c r="CE371" s="2954"/>
      <c r="CF371" s="2954"/>
      <c r="CG371" s="2954"/>
      <c r="CH371" s="2954"/>
      <c r="CI371" s="2954"/>
      <c r="CJ371" s="2954"/>
      <c r="CK371" s="2954"/>
      <c r="CL371" s="2954"/>
      <c r="CM371" s="2954"/>
      <c r="CN371" s="2954"/>
      <c r="CO371" s="2954"/>
      <c r="CP371" s="2954"/>
      <c r="CQ371" s="2954"/>
      <c r="CR371" s="2954"/>
      <c r="CS371" s="2954"/>
      <c r="CT371" s="2954"/>
      <c r="CU371" s="2954"/>
      <c r="CV371" s="2954"/>
      <c r="CW371" s="2954"/>
      <c r="CX371" s="2954"/>
      <c r="CY371" s="2954"/>
      <c r="CZ371" s="2954"/>
      <c r="DA371" s="2954"/>
      <c r="DB371" s="2954"/>
      <c r="DC371" s="2954"/>
      <c r="DD371" s="2954"/>
      <c r="DE371" s="2954"/>
      <c r="DF371" s="2954"/>
      <c r="DG371" s="2954"/>
      <c r="DH371" s="2954"/>
      <c r="DI371" s="2954"/>
      <c r="DJ371" s="2954"/>
      <c r="DK371" s="2954"/>
      <c r="DL371" s="2954"/>
      <c r="DM371" s="2954"/>
      <c r="DN371" s="2954"/>
      <c r="DO371" s="2954"/>
      <c r="DP371" s="2954"/>
      <c r="DQ371" s="2954"/>
      <c r="DR371" s="2954"/>
      <c r="DS371" s="2954"/>
      <c r="DT371" s="2954"/>
      <c r="DU371" s="2954"/>
      <c r="DV371" s="2954"/>
    </row>
    <row r="372" s="799" customFormat="1" ht="14.25" hidden="1" customHeight="1" spans="1:126">
      <c r="A372" s="2952" t="s">
        <v>4214</v>
      </c>
      <c r="B372" s="2952"/>
      <c r="C372" s="2952" t="s">
        <v>6940</v>
      </c>
      <c r="D372" s="2952"/>
      <c r="E372" s="2952"/>
      <c r="F372" s="2952"/>
      <c r="G372" s="2952"/>
      <c r="H372" s="2952"/>
      <c r="I372" s="2952"/>
      <c r="J372" s="2952"/>
      <c r="K372" s="2952"/>
      <c r="L372" s="2952"/>
      <c r="M372" s="2952"/>
      <c r="N372" s="2952"/>
      <c r="O372" s="2952"/>
      <c r="P372" s="2952"/>
      <c r="Q372" s="2952"/>
      <c r="R372" s="2952"/>
      <c r="S372" s="2952"/>
      <c r="T372" s="2952"/>
      <c r="U372" s="2952"/>
      <c r="V372" s="2952" t="s">
        <v>6941</v>
      </c>
      <c r="W372" s="2952"/>
      <c r="X372" s="2952"/>
      <c r="Y372" s="2952"/>
      <c r="Z372" s="2952"/>
      <c r="AA372" s="2952"/>
      <c r="AB372" s="2952"/>
      <c r="AC372" s="2952"/>
      <c r="AD372" s="2952"/>
      <c r="AE372" s="2952"/>
      <c r="AF372" s="2952"/>
      <c r="AG372" s="2952" t="s">
        <v>6942</v>
      </c>
      <c r="AH372" s="2952"/>
      <c r="AI372" s="2952"/>
      <c r="AJ372" s="2952"/>
      <c r="AK372" s="2952"/>
      <c r="AL372" s="2952"/>
      <c r="AM372" s="2952"/>
      <c r="AN372" s="2952"/>
      <c r="AO372" s="2952"/>
      <c r="AP372" s="2952"/>
    </row>
    <row r="373" s="799" customFormat="1" ht="12.75" hidden="1" customHeight="1" spans="1:126">
      <c r="A373" s="2955">
        <f>UnosPorBilans!B214</f>
        <v>0</v>
      </c>
      <c r="B373" s="2955"/>
      <c r="C373" s="2955"/>
      <c r="D373" s="2955"/>
      <c r="E373" s="2955"/>
      <c r="F373" s="2955"/>
      <c r="G373" s="2955"/>
      <c r="H373" s="2955"/>
      <c r="I373" s="2955"/>
      <c r="J373" s="2955"/>
      <c r="K373" s="2955"/>
      <c r="L373" s="2955"/>
      <c r="M373" s="2955"/>
      <c r="N373" s="2955"/>
      <c r="O373" s="2955"/>
      <c r="P373" s="2955"/>
      <c r="Q373" s="2955"/>
      <c r="R373" s="2955"/>
      <c r="S373" s="2955"/>
      <c r="T373" s="2955"/>
      <c r="U373" s="2955"/>
      <c r="V373" s="2955">
        <f>UnosPorBilans!I214</f>
        <v>0</v>
      </c>
      <c r="W373" s="2955"/>
      <c r="X373" s="2955"/>
      <c r="Y373" s="2955"/>
      <c r="Z373" s="2955"/>
      <c r="AA373" s="2955"/>
      <c r="AB373" s="2955"/>
      <c r="AC373" s="2955"/>
      <c r="AD373" s="2955"/>
      <c r="AE373" s="2955"/>
      <c r="AF373" s="2955"/>
      <c r="AG373" s="2955">
        <f>UnosPorBilans!N214</f>
        <v>0</v>
      </c>
      <c r="AH373" s="2955"/>
      <c r="AI373" s="2955"/>
      <c r="AJ373" s="2955"/>
      <c r="AK373" s="2955"/>
      <c r="AL373" s="2955"/>
      <c r="AM373" s="2955"/>
      <c r="AN373" s="2955"/>
      <c r="AO373" s="2955"/>
      <c r="AP373" s="2955"/>
    </row>
    <row r="374" s="799" customFormat="1" ht="12.75" hidden="1" customHeight="1" spans="1:126">
      <c r="A374" s="2952" t="s">
        <v>6943</v>
      </c>
      <c r="B374" s="2952"/>
      <c r="C374" s="2952"/>
      <c r="D374" s="2952"/>
      <c r="E374" s="2952"/>
      <c r="F374" s="2952"/>
      <c r="G374" s="2952"/>
      <c r="H374" s="2952"/>
      <c r="I374" s="2952"/>
      <c r="J374" s="2952"/>
      <c r="K374" s="2952" t="s">
        <v>6944</v>
      </c>
      <c r="L374" s="2952"/>
      <c r="M374" s="2952"/>
      <c r="N374" s="2952"/>
      <c r="O374" s="2952"/>
      <c r="P374" s="2952"/>
      <c r="Q374" s="2952"/>
      <c r="R374" s="2952"/>
      <c r="S374" s="2952"/>
      <c r="T374" s="2952"/>
      <c r="U374" s="2952"/>
      <c r="V374" s="2952" t="s">
        <v>6945</v>
      </c>
      <c r="W374" s="2952"/>
      <c r="X374" s="2952"/>
      <c r="Y374" s="2952"/>
      <c r="Z374" s="2952"/>
      <c r="AA374" s="2952"/>
      <c r="AB374" s="2952"/>
      <c r="AC374" s="2952"/>
      <c r="AD374" s="2952"/>
      <c r="AE374" s="2952"/>
      <c r="AF374" s="2952"/>
      <c r="AG374" s="2952" t="s">
        <v>6946</v>
      </c>
      <c r="AH374" s="2952"/>
      <c r="AI374" s="2952"/>
      <c r="AJ374" s="2952"/>
      <c r="AK374" s="2952"/>
      <c r="AL374" s="2952"/>
      <c r="AM374" s="2952"/>
      <c r="AN374" s="2952"/>
      <c r="AO374" s="2952"/>
      <c r="AP374" s="2952"/>
    </row>
    <row r="375" s="799" customFormat="1" ht="12.75" hidden="1" customHeight="1" spans="1:126">
      <c r="A375" s="2955">
        <f>UnosPorBilans!S214</f>
        <v>0</v>
      </c>
      <c r="B375" s="2955"/>
      <c r="C375" s="2955"/>
      <c r="D375" s="2955"/>
      <c r="E375" s="2955"/>
      <c r="F375" s="2955"/>
      <c r="G375" s="2955"/>
      <c r="H375" s="2955"/>
      <c r="I375" s="2955"/>
      <c r="J375" s="2955"/>
      <c r="K375" s="2955">
        <f>UnosPorBilans!W214</f>
        <v>0</v>
      </c>
      <c r="L375" s="2955"/>
      <c r="M375" s="2955"/>
      <c r="N375" s="2955"/>
      <c r="O375" s="2955"/>
      <c r="P375" s="2955"/>
      <c r="Q375" s="2955"/>
      <c r="R375" s="2955"/>
      <c r="S375" s="2955"/>
      <c r="T375" s="2955"/>
      <c r="U375" s="2955"/>
      <c r="V375" s="2955">
        <f>UnosPorBilans!AB214</f>
        <v>0</v>
      </c>
      <c r="W375" s="2955"/>
      <c r="X375" s="2955"/>
      <c r="Y375" s="2955"/>
      <c r="Z375" s="2955"/>
      <c r="AA375" s="2955"/>
      <c r="AB375" s="2955"/>
      <c r="AC375" s="2955"/>
      <c r="AD375" s="2955"/>
      <c r="AE375" s="2955"/>
      <c r="AF375" s="2955"/>
      <c r="AG375" s="2955">
        <f>UnosPorBilans!AG214</f>
        <v>0</v>
      </c>
      <c r="AH375" s="2955"/>
      <c r="AI375" s="2955"/>
      <c r="AJ375" s="2955"/>
      <c r="AK375" s="2955"/>
      <c r="AL375" s="2955"/>
      <c r="AM375" s="2955"/>
      <c r="AN375" s="2955"/>
      <c r="AO375" s="2955"/>
      <c r="AP375" s="2955"/>
    </row>
    <row r="376" s="799" customFormat="1" ht="12.75" hidden="1" customHeight="1" spans="1:126">
      <c r="A376" s="2952" t="s">
        <v>6947</v>
      </c>
      <c r="B376" s="2952"/>
      <c r="C376" s="2952"/>
      <c r="D376" s="2952"/>
      <c r="E376" s="2952"/>
      <c r="F376" s="2952"/>
      <c r="G376" s="2952"/>
      <c r="H376" s="2952"/>
      <c r="I376" s="2952"/>
      <c r="J376" s="2952"/>
      <c r="K376" s="2952"/>
      <c r="L376" s="2952"/>
      <c r="M376" s="2952"/>
      <c r="N376" s="2952"/>
      <c r="O376" s="2952"/>
      <c r="P376" s="2952"/>
      <c r="Q376" s="2952"/>
      <c r="R376" s="2952"/>
      <c r="S376" s="2952"/>
      <c r="T376" s="2952"/>
      <c r="U376" s="2952"/>
      <c r="V376" s="2952" t="s">
        <v>6948</v>
      </c>
      <c r="W376" s="2952"/>
      <c r="X376" s="2952"/>
      <c r="Y376" s="2952"/>
      <c r="Z376" s="2952"/>
      <c r="AA376" s="2952"/>
      <c r="AB376" s="2952"/>
      <c r="AC376" s="2952"/>
      <c r="AD376" s="2952"/>
      <c r="AE376" s="2952"/>
      <c r="AF376" s="2952"/>
      <c r="AG376" s="2952"/>
      <c r="AH376" s="2952"/>
      <c r="AI376" s="2952"/>
      <c r="AJ376" s="2952"/>
      <c r="AK376" s="2952"/>
      <c r="AL376" s="2952"/>
      <c r="AM376" s="2952"/>
      <c r="AN376" s="2952"/>
      <c r="AO376" s="2952"/>
      <c r="AP376" s="2952"/>
    </row>
    <row r="377" s="799" customFormat="1" ht="12.75" hidden="1" customHeight="1" spans="1:126">
      <c r="A377" s="2955">
        <f>UnosPorBilans!AL214</f>
        <v>0</v>
      </c>
      <c r="B377" s="2955"/>
      <c r="C377" s="2955"/>
      <c r="D377" s="2955"/>
      <c r="E377" s="2955"/>
      <c r="F377" s="2955"/>
      <c r="G377" s="2955"/>
      <c r="H377" s="2955"/>
      <c r="I377" s="2955"/>
      <c r="J377" s="2955"/>
      <c r="K377" s="2955"/>
      <c r="L377" s="2955"/>
      <c r="M377" s="2955"/>
      <c r="N377" s="2955"/>
      <c r="O377" s="2955"/>
      <c r="P377" s="2955"/>
      <c r="Q377" s="2955"/>
      <c r="R377" s="2955"/>
      <c r="S377" s="2955"/>
      <c r="T377" s="2955"/>
      <c r="U377" s="2955"/>
      <c r="V377" s="2955">
        <f>UnosPorBilans!AS214</f>
        <v>0</v>
      </c>
      <c r="W377" s="2955"/>
      <c r="X377" s="2955"/>
      <c r="Y377" s="2955"/>
      <c r="Z377" s="2955"/>
      <c r="AA377" s="2955"/>
      <c r="AB377" s="2955"/>
      <c r="AC377" s="2955"/>
      <c r="AD377" s="2955"/>
      <c r="AE377" s="2955"/>
      <c r="AF377" s="2955"/>
      <c r="AG377" s="2955"/>
      <c r="AH377" s="2955"/>
      <c r="AI377" s="2955"/>
      <c r="AJ377" s="2955"/>
      <c r="AK377" s="2955"/>
      <c r="AL377" s="2955"/>
      <c r="AM377" s="2955"/>
      <c r="AN377" s="2955"/>
      <c r="AO377" s="2955"/>
      <c r="AP377" s="2955"/>
    </row>
    <row r="378" s="799" customFormat="1" ht="14.25" hidden="1" customHeight="1" spans="1:126">
      <c r="A378" s="2954"/>
      <c r="B378" s="2954"/>
      <c r="C378" s="2954"/>
      <c r="D378" s="2954"/>
      <c r="E378" s="2954"/>
      <c r="F378" s="2954"/>
      <c r="G378" s="2954"/>
      <c r="H378" s="2954"/>
      <c r="I378" s="2954"/>
      <c r="J378" s="2954"/>
      <c r="K378" s="2954"/>
      <c r="L378" s="2954"/>
      <c r="M378" s="2954"/>
      <c r="N378" s="2954"/>
      <c r="O378" s="2954"/>
      <c r="P378" s="2954"/>
      <c r="Q378" s="2954"/>
      <c r="R378" s="2954"/>
      <c r="S378" s="2954"/>
      <c r="T378" s="2954"/>
      <c r="U378" s="2954"/>
      <c r="V378" s="2954"/>
      <c r="W378" s="2954"/>
      <c r="X378" s="2954"/>
      <c r="Y378" s="2954"/>
      <c r="Z378" s="2954"/>
      <c r="AA378" s="2954"/>
      <c r="AB378" s="2954"/>
      <c r="AC378" s="2954"/>
      <c r="AD378" s="2954"/>
      <c r="AE378" s="2954"/>
      <c r="AF378" s="2954"/>
      <c r="AG378" s="2954"/>
      <c r="AH378" s="2954"/>
      <c r="AI378" s="2954"/>
      <c r="AJ378" s="2954"/>
      <c r="AK378" s="2954"/>
      <c r="AL378" s="2954"/>
      <c r="AM378" s="2954"/>
      <c r="AN378" s="2954"/>
      <c r="AO378" s="2954"/>
      <c r="AP378" s="2954"/>
      <c r="AQ378" s="2954"/>
      <c r="AR378" s="2954"/>
      <c r="AS378" s="2954"/>
      <c r="AT378" s="2954"/>
      <c r="AU378" s="2954"/>
      <c r="AV378" s="2954"/>
      <c r="AW378" s="2954"/>
      <c r="AX378" s="2954"/>
      <c r="AY378" s="2954"/>
      <c r="AZ378" s="2954"/>
      <c r="BA378" s="2954"/>
      <c r="BB378" s="2954"/>
      <c r="BC378" s="2954"/>
      <c r="BD378" s="2954"/>
      <c r="BE378" s="2954"/>
      <c r="BF378" s="2954"/>
      <c r="BG378" s="2954"/>
      <c r="BH378" s="2954"/>
      <c r="BI378" s="2954"/>
      <c r="BJ378" s="2954"/>
      <c r="BK378" s="2954"/>
      <c r="BL378" s="2954"/>
      <c r="BM378" s="2954"/>
      <c r="BN378" s="2954"/>
      <c r="BO378" s="2954"/>
      <c r="BP378" s="2954"/>
      <c r="BQ378" s="2954"/>
      <c r="BR378" s="2954"/>
      <c r="BS378" s="2954"/>
      <c r="BT378" s="2954"/>
      <c r="BU378" s="2954"/>
      <c r="BV378" s="2954"/>
      <c r="BW378" s="2954"/>
      <c r="BX378" s="2954"/>
      <c r="BY378" s="2954"/>
      <c r="BZ378" s="2954"/>
      <c r="CA378" s="2954"/>
      <c r="CB378" s="2954"/>
      <c r="CC378" s="2954"/>
      <c r="CD378" s="2954"/>
      <c r="CE378" s="2954"/>
      <c r="CF378" s="2954"/>
      <c r="CG378" s="2954"/>
      <c r="CH378" s="2954"/>
      <c r="CI378" s="2954"/>
      <c r="CJ378" s="2954"/>
      <c r="CK378" s="2954"/>
      <c r="CL378" s="2954"/>
      <c r="CM378" s="2954"/>
      <c r="CN378" s="2954"/>
      <c r="CO378" s="2954"/>
      <c r="CP378" s="2954"/>
      <c r="CQ378" s="2954"/>
      <c r="CR378" s="2954"/>
      <c r="CS378" s="2954"/>
      <c r="CT378" s="2954"/>
      <c r="CU378" s="2954"/>
      <c r="CV378" s="2954"/>
      <c r="CW378" s="2954"/>
      <c r="CX378" s="2954"/>
      <c r="CY378" s="2954"/>
      <c r="CZ378" s="2954"/>
      <c r="DA378" s="2954"/>
      <c r="DB378" s="2954"/>
      <c r="DC378" s="2954"/>
      <c r="DD378" s="2954"/>
      <c r="DE378" s="2954"/>
      <c r="DF378" s="2954"/>
      <c r="DG378" s="2954"/>
      <c r="DH378" s="2954"/>
      <c r="DI378" s="2954"/>
      <c r="DJ378" s="2954"/>
      <c r="DK378" s="2954"/>
      <c r="DL378" s="2954"/>
      <c r="DM378" s="2954"/>
      <c r="DN378" s="2954"/>
      <c r="DO378" s="2954"/>
      <c r="DP378" s="2954"/>
      <c r="DQ378" s="2954"/>
      <c r="DR378" s="2954"/>
      <c r="DS378" s="2954"/>
      <c r="DT378" s="2954"/>
      <c r="DU378" s="2954"/>
      <c r="DV378" s="2954"/>
    </row>
    <row r="379" s="799" customFormat="1" ht="14.25" hidden="1" customHeight="1" spans="1:126">
      <c r="A379" s="2952" t="s">
        <v>4214</v>
      </c>
      <c r="B379" s="2952"/>
      <c r="C379" s="2952" t="s">
        <v>6940</v>
      </c>
      <c r="D379" s="2952"/>
      <c r="E379" s="2952"/>
      <c r="F379" s="2952"/>
      <c r="G379" s="2952"/>
      <c r="H379" s="2952"/>
      <c r="I379" s="2952"/>
      <c r="J379" s="2952"/>
      <c r="K379" s="2952"/>
      <c r="L379" s="2952"/>
      <c r="M379" s="2952"/>
      <c r="N379" s="2952"/>
      <c r="O379" s="2952"/>
      <c r="P379" s="2952"/>
      <c r="Q379" s="2952"/>
      <c r="R379" s="2952"/>
      <c r="S379" s="2952"/>
      <c r="T379" s="2952"/>
      <c r="U379" s="2952"/>
      <c r="V379" s="2952" t="s">
        <v>6941</v>
      </c>
      <c r="W379" s="2952"/>
      <c r="X379" s="2952"/>
      <c r="Y379" s="2952"/>
      <c r="Z379" s="2952"/>
      <c r="AA379" s="2952"/>
      <c r="AB379" s="2952"/>
      <c r="AC379" s="2952"/>
      <c r="AD379" s="2952"/>
      <c r="AE379" s="2952"/>
      <c r="AF379" s="2952"/>
      <c r="AG379" s="2952" t="s">
        <v>6942</v>
      </c>
      <c r="AH379" s="2952"/>
      <c r="AI379" s="2952"/>
      <c r="AJ379" s="2952"/>
      <c r="AK379" s="2952"/>
      <c r="AL379" s="2952"/>
      <c r="AM379" s="2952"/>
      <c r="AN379" s="2952"/>
      <c r="AO379" s="2952"/>
      <c r="AP379" s="2952"/>
    </row>
    <row r="380" s="799" customFormat="1" ht="12.75" hidden="1" customHeight="1" spans="1:126">
      <c r="A380" s="2955">
        <f>UnosPorBilans!B215</f>
        <v>0</v>
      </c>
      <c r="B380" s="2955"/>
      <c r="C380" s="2955"/>
      <c r="D380" s="2955"/>
      <c r="E380" s="2955"/>
      <c r="F380" s="2955"/>
      <c r="G380" s="2955"/>
      <c r="H380" s="2955"/>
      <c r="I380" s="2955"/>
      <c r="J380" s="2955"/>
      <c r="K380" s="2955"/>
      <c r="L380" s="2955"/>
      <c r="M380" s="2955"/>
      <c r="N380" s="2955"/>
      <c r="O380" s="2955"/>
      <c r="P380" s="2955"/>
      <c r="Q380" s="2955"/>
      <c r="R380" s="2955"/>
      <c r="S380" s="2955"/>
      <c r="T380" s="2955"/>
      <c r="U380" s="2955"/>
      <c r="V380" s="2955">
        <f>UnosPorBilans!I215</f>
        <v>0</v>
      </c>
      <c r="W380" s="2955"/>
      <c r="X380" s="2955"/>
      <c r="Y380" s="2955"/>
      <c r="Z380" s="2955"/>
      <c r="AA380" s="2955"/>
      <c r="AB380" s="2955"/>
      <c r="AC380" s="2955"/>
      <c r="AD380" s="2955"/>
      <c r="AE380" s="2955"/>
      <c r="AF380" s="2955"/>
      <c r="AG380" s="2955">
        <f>UnosPorBilans!N215</f>
        <v>0</v>
      </c>
      <c r="AH380" s="2955"/>
      <c r="AI380" s="2955"/>
      <c r="AJ380" s="2955"/>
      <c r="AK380" s="2955"/>
      <c r="AL380" s="2955"/>
      <c r="AM380" s="2955"/>
      <c r="AN380" s="2955"/>
      <c r="AO380" s="2955"/>
      <c r="AP380" s="2955"/>
    </row>
    <row r="381" s="799" customFormat="1" ht="12.75" hidden="1" customHeight="1" spans="1:126">
      <c r="A381" s="2952" t="s">
        <v>6943</v>
      </c>
      <c r="B381" s="2952"/>
      <c r="C381" s="2952"/>
      <c r="D381" s="2952"/>
      <c r="E381" s="2952"/>
      <c r="F381" s="2952"/>
      <c r="G381" s="2952"/>
      <c r="H381" s="2952"/>
      <c r="I381" s="2952"/>
      <c r="J381" s="2952"/>
      <c r="K381" s="2952" t="s">
        <v>6944</v>
      </c>
      <c r="L381" s="2952"/>
      <c r="M381" s="2952"/>
      <c r="N381" s="2952"/>
      <c r="O381" s="2952"/>
      <c r="P381" s="2952"/>
      <c r="Q381" s="2952"/>
      <c r="R381" s="2952"/>
      <c r="S381" s="2952"/>
      <c r="T381" s="2952"/>
      <c r="U381" s="2952"/>
      <c r="V381" s="2952" t="s">
        <v>6945</v>
      </c>
      <c r="W381" s="2952"/>
      <c r="X381" s="2952"/>
      <c r="Y381" s="2952"/>
      <c r="Z381" s="2952"/>
      <c r="AA381" s="2952"/>
      <c r="AB381" s="2952"/>
      <c r="AC381" s="2952"/>
      <c r="AD381" s="2952"/>
      <c r="AE381" s="2952"/>
      <c r="AF381" s="2952"/>
      <c r="AG381" s="2952" t="s">
        <v>6946</v>
      </c>
      <c r="AH381" s="2952"/>
      <c r="AI381" s="2952"/>
      <c r="AJ381" s="2952"/>
      <c r="AK381" s="2952"/>
      <c r="AL381" s="2952"/>
      <c r="AM381" s="2952"/>
      <c r="AN381" s="2952"/>
      <c r="AO381" s="2952"/>
      <c r="AP381" s="2952"/>
    </row>
    <row r="382" s="799" customFormat="1" ht="12.75" hidden="1" customHeight="1" spans="1:126">
      <c r="A382" s="2955">
        <f>UnosPorBilans!S215</f>
        <v>0</v>
      </c>
      <c r="B382" s="2955"/>
      <c r="C382" s="2955"/>
      <c r="D382" s="2955"/>
      <c r="E382" s="2955"/>
      <c r="F382" s="2955"/>
      <c r="G382" s="2955"/>
      <c r="H382" s="2955"/>
      <c r="I382" s="2955"/>
      <c r="J382" s="2955"/>
      <c r="K382" s="2955">
        <f>UnosPorBilans!W215</f>
        <v>0</v>
      </c>
      <c r="L382" s="2955"/>
      <c r="M382" s="2955"/>
      <c r="N382" s="2955"/>
      <c r="O382" s="2955"/>
      <c r="P382" s="2955"/>
      <c r="Q382" s="2955"/>
      <c r="R382" s="2955"/>
      <c r="S382" s="2955"/>
      <c r="T382" s="2955"/>
      <c r="U382" s="2955"/>
      <c r="V382" s="2955">
        <f>UnosPorBilans!AB215</f>
        <v>0</v>
      </c>
      <c r="W382" s="2955"/>
      <c r="X382" s="2955"/>
      <c r="Y382" s="2955"/>
      <c r="Z382" s="2955"/>
      <c r="AA382" s="2955"/>
      <c r="AB382" s="2955"/>
      <c r="AC382" s="2955"/>
      <c r="AD382" s="2955"/>
      <c r="AE382" s="2955"/>
      <c r="AF382" s="2955"/>
      <c r="AG382" s="2955">
        <f>UnosPorBilans!AG215</f>
        <v>0</v>
      </c>
      <c r="AH382" s="2955"/>
      <c r="AI382" s="2955"/>
      <c r="AJ382" s="2955"/>
      <c r="AK382" s="2955"/>
      <c r="AL382" s="2955"/>
      <c r="AM382" s="2955"/>
      <c r="AN382" s="2955"/>
      <c r="AO382" s="2955"/>
      <c r="AP382" s="2955"/>
    </row>
    <row r="383" s="799" customFormat="1" ht="12.75" hidden="1" customHeight="1" spans="1:126">
      <c r="A383" s="2952" t="s">
        <v>6947</v>
      </c>
      <c r="B383" s="2952"/>
      <c r="C383" s="2952"/>
      <c r="D383" s="2952"/>
      <c r="E383" s="2952"/>
      <c r="F383" s="2952"/>
      <c r="G383" s="2952"/>
      <c r="H383" s="2952"/>
      <c r="I383" s="2952"/>
      <c r="J383" s="2952"/>
      <c r="K383" s="2952"/>
      <c r="L383" s="2952"/>
      <c r="M383" s="2952"/>
      <c r="N383" s="2952"/>
      <c r="O383" s="2952"/>
      <c r="P383" s="2952"/>
      <c r="Q383" s="2952"/>
      <c r="R383" s="2952"/>
      <c r="S383" s="2952"/>
      <c r="T383" s="2952"/>
      <c r="U383" s="2952"/>
      <c r="V383" s="2952" t="s">
        <v>6948</v>
      </c>
      <c r="W383" s="2952"/>
      <c r="X383" s="2952"/>
      <c r="Y383" s="2952"/>
      <c r="Z383" s="2952"/>
      <c r="AA383" s="2952"/>
      <c r="AB383" s="2952"/>
      <c r="AC383" s="2952"/>
      <c r="AD383" s="2952"/>
      <c r="AE383" s="2952"/>
      <c r="AF383" s="2952"/>
      <c r="AG383" s="2952"/>
      <c r="AH383" s="2952"/>
      <c r="AI383" s="2952"/>
      <c r="AJ383" s="2952"/>
      <c r="AK383" s="2952"/>
      <c r="AL383" s="2952"/>
      <c r="AM383" s="2952"/>
      <c r="AN383" s="2952"/>
      <c r="AO383" s="2952"/>
      <c r="AP383" s="2952"/>
    </row>
    <row r="384" s="799" customFormat="1" ht="12.75" hidden="1" customHeight="1" spans="1:126">
      <c r="A384" s="2955">
        <f>UnosPorBilans!AL215</f>
        <v>0</v>
      </c>
      <c r="B384" s="2955"/>
      <c r="C384" s="2955"/>
      <c r="D384" s="2955"/>
      <c r="E384" s="2955"/>
      <c r="F384" s="2955"/>
      <c r="G384" s="2955"/>
      <c r="H384" s="2955"/>
      <c r="I384" s="2955"/>
      <c r="J384" s="2955"/>
      <c r="K384" s="2955"/>
      <c r="L384" s="2955"/>
      <c r="M384" s="2955"/>
      <c r="N384" s="2955"/>
      <c r="O384" s="2955"/>
      <c r="P384" s="2955"/>
      <c r="Q384" s="2955"/>
      <c r="R384" s="2955"/>
      <c r="S384" s="2955"/>
      <c r="T384" s="2955"/>
      <c r="U384" s="2955"/>
      <c r="V384" s="2955">
        <f>UnosPorBilans!AS215</f>
        <v>0</v>
      </c>
      <c r="W384" s="2955"/>
      <c r="X384" s="2955"/>
      <c r="Y384" s="2955"/>
      <c r="Z384" s="2955"/>
      <c r="AA384" s="2955"/>
      <c r="AB384" s="2955"/>
      <c r="AC384" s="2955"/>
      <c r="AD384" s="2955"/>
      <c r="AE384" s="2955"/>
      <c r="AF384" s="2955"/>
      <c r="AG384" s="2955"/>
      <c r="AH384" s="2955"/>
      <c r="AI384" s="2955"/>
      <c r="AJ384" s="2955"/>
      <c r="AK384" s="2955"/>
      <c r="AL384" s="2955"/>
      <c r="AM384" s="2955"/>
      <c r="AN384" s="2955"/>
      <c r="AO384" s="2955"/>
      <c r="AP384" s="2955"/>
    </row>
    <row r="385" s="799" customFormat="1" ht="14.25" hidden="1" customHeight="1" spans="1:126">
      <c r="A385" s="2954"/>
      <c r="B385" s="2954"/>
      <c r="C385" s="2954"/>
      <c r="D385" s="2954"/>
      <c r="E385" s="2954"/>
      <c r="F385" s="2954"/>
      <c r="G385" s="2954"/>
      <c r="H385" s="2954"/>
      <c r="I385" s="2954"/>
      <c r="J385" s="2954"/>
      <c r="K385" s="2954"/>
      <c r="L385" s="2954"/>
      <c r="M385" s="2954"/>
      <c r="N385" s="2954"/>
      <c r="O385" s="2954"/>
      <c r="P385" s="2954"/>
      <c r="Q385" s="2954"/>
      <c r="R385" s="2954"/>
      <c r="S385" s="2954"/>
      <c r="T385" s="2954"/>
      <c r="U385" s="2954"/>
      <c r="V385" s="2954"/>
      <c r="W385" s="2954"/>
      <c r="X385" s="2954"/>
      <c r="Y385" s="2954"/>
      <c r="Z385" s="2954"/>
      <c r="AA385" s="2954"/>
      <c r="AB385" s="2954"/>
      <c r="AC385" s="2954"/>
      <c r="AD385" s="2954"/>
      <c r="AE385" s="2954"/>
      <c r="AF385" s="2954"/>
      <c r="AG385" s="2954"/>
      <c r="AH385" s="2954"/>
      <c r="AI385" s="2954"/>
      <c r="AJ385" s="2954"/>
      <c r="AK385" s="2954"/>
      <c r="AL385" s="2954"/>
      <c r="AM385" s="2954"/>
      <c r="AN385" s="2954"/>
      <c r="AO385" s="2954"/>
      <c r="AP385" s="2954"/>
      <c r="AQ385" s="2954"/>
      <c r="AR385" s="2954"/>
      <c r="AS385" s="2954"/>
      <c r="AT385" s="2954"/>
      <c r="AU385" s="2954"/>
      <c r="AV385" s="2954"/>
      <c r="AW385" s="2954"/>
      <c r="AX385" s="2954"/>
      <c r="AY385" s="2954"/>
      <c r="AZ385" s="2954"/>
      <c r="BA385" s="2954"/>
      <c r="BB385" s="2954"/>
      <c r="BC385" s="2954"/>
      <c r="BD385" s="2954"/>
      <c r="BE385" s="2954"/>
      <c r="BF385" s="2954"/>
      <c r="BG385" s="2954"/>
      <c r="BH385" s="2954"/>
      <c r="BI385" s="2954"/>
      <c r="BJ385" s="2954"/>
      <c r="BK385" s="2954"/>
      <c r="BL385" s="2954"/>
      <c r="BM385" s="2954"/>
      <c r="BN385" s="2954"/>
      <c r="BO385" s="2954"/>
      <c r="BP385" s="2954"/>
      <c r="BQ385" s="2954"/>
      <c r="BR385" s="2954"/>
      <c r="BS385" s="2954"/>
      <c r="BT385" s="2954"/>
      <c r="BU385" s="2954"/>
      <c r="BV385" s="2954"/>
      <c r="BW385" s="2954"/>
      <c r="BX385" s="2954"/>
      <c r="BY385" s="2954"/>
      <c r="BZ385" s="2954"/>
      <c r="CA385" s="2954"/>
      <c r="CB385" s="2954"/>
      <c r="CC385" s="2954"/>
      <c r="CD385" s="2954"/>
      <c r="CE385" s="2954"/>
      <c r="CF385" s="2954"/>
      <c r="CG385" s="2954"/>
      <c r="CH385" s="2954"/>
      <c r="CI385" s="2954"/>
      <c r="CJ385" s="2954"/>
      <c r="CK385" s="2954"/>
      <c r="CL385" s="2954"/>
      <c r="CM385" s="2954"/>
      <c r="CN385" s="2954"/>
      <c r="CO385" s="2954"/>
      <c r="CP385" s="2954"/>
      <c r="CQ385" s="2954"/>
      <c r="CR385" s="2954"/>
      <c r="CS385" s="2954"/>
      <c r="CT385" s="2954"/>
      <c r="CU385" s="2954"/>
      <c r="CV385" s="2954"/>
      <c r="CW385" s="2954"/>
      <c r="CX385" s="2954"/>
      <c r="CY385" s="2954"/>
      <c r="CZ385" s="2954"/>
      <c r="DA385" s="2954"/>
      <c r="DB385" s="2954"/>
      <c r="DC385" s="2954"/>
      <c r="DD385" s="2954"/>
      <c r="DE385" s="2954"/>
      <c r="DF385" s="2954"/>
      <c r="DG385" s="2954"/>
      <c r="DH385" s="2954"/>
      <c r="DI385" s="2954"/>
      <c r="DJ385" s="2954"/>
      <c r="DK385" s="2954"/>
      <c r="DL385" s="2954"/>
      <c r="DM385" s="2954"/>
      <c r="DN385" s="2954"/>
      <c r="DO385" s="2954"/>
      <c r="DP385" s="2954"/>
      <c r="DQ385" s="2954"/>
      <c r="DR385" s="2954"/>
      <c r="DS385" s="2954"/>
      <c r="DT385" s="2954"/>
      <c r="DU385" s="2954"/>
      <c r="DV385" s="2954"/>
    </row>
    <row r="386" s="799" customFormat="1" ht="14.25" hidden="1" customHeight="1" spans="1:126">
      <c r="A386" s="2952" t="s">
        <v>4214</v>
      </c>
      <c r="B386" s="2952"/>
      <c r="C386" s="2952" t="s">
        <v>6940</v>
      </c>
      <c r="D386" s="2952"/>
      <c r="E386" s="2952"/>
      <c r="F386" s="2952"/>
      <c r="G386" s="2952"/>
      <c r="H386" s="2952"/>
      <c r="I386" s="2952"/>
      <c r="J386" s="2952"/>
      <c r="K386" s="2952"/>
      <c r="L386" s="2952"/>
      <c r="M386" s="2952"/>
      <c r="N386" s="2952"/>
      <c r="O386" s="2952"/>
      <c r="P386" s="2952"/>
      <c r="Q386" s="2952"/>
      <c r="R386" s="2952"/>
      <c r="S386" s="2952"/>
      <c r="T386" s="2952"/>
      <c r="U386" s="2952"/>
      <c r="V386" s="2952" t="s">
        <v>6941</v>
      </c>
      <c r="W386" s="2952"/>
      <c r="X386" s="2952"/>
      <c r="Y386" s="2952"/>
      <c r="Z386" s="2952"/>
      <c r="AA386" s="2952"/>
      <c r="AB386" s="2952"/>
      <c r="AC386" s="2952"/>
      <c r="AD386" s="2952"/>
      <c r="AE386" s="2952"/>
      <c r="AF386" s="2952"/>
      <c r="AG386" s="2952" t="s">
        <v>6942</v>
      </c>
      <c r="AH386" s="2952"/>
      <c r="AI386" s="2952"/>
      <c r="AJ386" s="2952"/>
      <c r="AK386" s="2952"/>
      <c r="AL386" s="2952"/>
      <c r="AM386" s="2952"/>
      <c r="AN386" s="2952"/>
      <c r="AO386" s="2952"/>
      <c r="AP386" s="2952"/>
    </row>
    <row r="387" s="799" customFormat="1" ht="12.75" hidden="1" customHeight="1" spans="1:126">
      <c r="A387" s="2955">
        <f>UnosPorBilans!B216</f>
        <v>0</v>
      </c>
      <c r="B387" s="2955"/>
      <c r="C387" s="2955"/>
      <c r="D387" s="2955"/>
      <c r="E387" s="2955"/>
      <c r="F387" s="2955"/>
      <c r="G387" s="2955"/>
      <c r="H387" s="2955"/>
      <c r="I387" s="2955"/>
      <c r="J387" s="2955"/>
      <c r="K387" s="2955"/>
      <c r="L387" s="2955"/>
      <c r="M387" s="2955"/>
      <c r="N387" s="2955"/>
      <c r="O387" s="2955"/>
      <c r="P387" s="2955"/>
      <c r="Q387" s="2955"/>
      <c r="R387" s="2955"/>
      <c r="S387" s="2955"/>
      <c r="T387" s="2955"/>
      <c r="U387" s="2955"/>
      <c r="V387" s="2955">
        <f>UnosPorBilans!I216</f>
        <v>0</v>
      </c>
      <c r="W387" s="2955"/>
      <c r="X387" s="2955"/>
      <c r="Y387" s="2955"/>
      <c r="Z387" s="2955"/>
      <c r="AA387" s="2955"/>
      <c r="AB387" s="2955"/>
      <c r="AC387" s="2955"/>
      <c r="AD387" s="2955"/>
      <c r="AE387" s="2955"/>
      <c r="AF387" s="2955"/>
      <c r="AG387" s="2955">
        <f>UnosPorBilans!N216</f>
        <v>0</v>
      </c>
      <c r="AH387" s="2955"/>
      <c r="AI387" s="2955"/>
      <c r="AJ387" s="2955"/>
      <c r="AK387" s="2955"/>
      <c r="AL387" s="2955"/>
      <c r="AM387" s="2955"/>
      <c r="AN387" s="2955"/>
      <c r="AO387" s="2955"/>
      <c r="AP387" s="2955"/>
    </row>
    <row r="388" s="799" customFormat="1" ht="12.75" hidden="1" customHeight="1" spans="1:126">
      <c r="A388" s="2952" t="s">
        <v>6943</v>
      </c>
      <c r="B388" s="2952"/>
      <c r="C388" s="2952"/>
      <c r="D388" s="2952"/>
      <c r="E388" s="2952"/>
      <c r="F388" s="2952"/>
      <c r="G388" s="2952"/>
      <c r="H388" s="2952"/>
      <c r="I388" s="2952"/>
      <c r="J388" s="2952"/>
      <c r="K388" s="2952" t="s">
        <v>6944</v>
      </c>
      <c r="L388" s="2952"/>
      <c r="M388" s="2952"/>
      <c r="N388" s="2952"/>
      <c r="O388" s="2952"/>
      <c r="P388" s="2952"/>
      <c r="Q388" s="2952"/>
      <c r="R388" s="2952"/>
      <c r="S388" s="2952"/>
      <c r="T388" s="2952"/>
      <c r="U388" s="2952"/>
      <c r="V388" s="2952" t="s">
        <v>6945</v>
      </c>
      <c r="W388" s="2952"/>
      <c r="X388" s="2952"/>
      <c r="Y388" s="2952"/>
      <c r="Z388" s="2952"/>
      <c r="AA388" s="2952"/>
      <c r="AB388" s="2952"/>
      <c r="AC388" s="2952"/>
      <c r="AD388" s="2952"/>
      <c r="AE388" s="2952"/>
      <c r="AF388" s="2952"/>
      <c r="AG388" s="2952" t="s">
        <v>6946</v>
      </c>
      <c r="AH388" s="2952"/>
      <c r="AI388" s="2952"/>
      <c r="AJ388" s="2952"/>
      <c r="AK388" s="2952"/>
      <c r="AL388" s="2952"/>
      <c r="AM388" s="2952"/>
      <c r="AN388" s="2952"/>
      <c r="AO388" s="2952"/>
      <c r="AP388" s="2952"/>
    </row>
    <row r="389" s="799" customFormat="1" ht="12.75" hidden="1" customHeight="1" spans="1:126">
      <c r="A389" s="2955">
        <f>UnosPorBilans!S216</f>
        <v>0</v>
      </c>
      <c r="B389" s="2955"/>
      <c r="C389" s="2955"/>
      <c r="D389" s="2955"/>
      <c r="E389" s="2955"/>
      <c r="F389" s="2955"/>
      <c r="G389" s="2955"/>
      <c r="H389" s="2955"/>
      <c r="I389" s="2955"/>
      <c r="J389" s="2955"/>
      <c r="K389" s="2955">
        <f>UnosPorBilans!W216</f>
        <v>0</v>
      </c>
      <c r="L389" s="2955"/>
      <c r="M389" s="2955"/>
      <c r="N389" s="2955"/>
      <c r="O389" s="2955"/>
      <c r="P389" s="2955"/>
      <c r="Q389" s="2955"/>
      <c r="R389" s="2955"/>
      <c r="S389" s="2955"/>
      <c r="T389" s="2955"/>
      <c r="U389" s="2955"/>
      <c r="V389" s="2955">
        <f>UnosPorBilans!AB216</f>
        <v>0</v>
      </c>
      <c r="W389" s="2955"/>
      <c r="X389" s="2955"/>
      <c r="Y389" s="2955"/>
      <c r="Z389" s="2955"/>
      <c r="AA389" s="2955"/>
      <c r="AB389" s="2955"/>
      <c r="AC389" s="2955"/>
      <c r="AD389" s="2955"/>
      <c r="AE389" s="2955"/>
      <c r="AF389" s="2955"/>
      <c r="AG389" s="2955">
        <f>UnosPorBilans!AG216</f>
        <v>0</v>
      </c>
      <c r="AH389" s="2955"/>
      <c r="AI389" s="2955"/>
      <c r="AJ389" s="2955"/>
      <c r="AK389" s="2955"/>
      <c r="AL389" s="2955"/>
      <c r="AM389" s="2955"/>
      <c r="AN389" s="2955"/>
      <c r="AO389" s="2955"/>
      <c r="AP389" s="2955"/>
    </row>
    <row r="390" s="799" customFormat="1" ht="12.75" hidden="1" customHeight="1" spans="1:126">
      <c r="A390" s="2952" t="s">
        <v>6947</v>
      </c>
      <c r="B390" s="2952"/>
      <c r="C390" s="2952"/>
      <c r="D390" s="2952"/>
      <c r="E390" s="2952"/>
      <c r="F390" s="2952"/>
      <c r="G390" s="2952"/>
      <c r="H390" s="2952"/>
      <c r="I390" s="2952"/>
      <c r="J390" s="2952"/>
      <c r="K390" s="2952"/>
      <c r="L390" s="2952"/>
      <c r="M390" s="2952"/>
      <c r="N390" s="2952"/>
      <c r="O390" s="2952"/>
      <c r="P390" s="2952"/>
      <c r="Q390" s="2952"/>
      <c r="R390" s="2952"/>
      <c r="S390" s="2952"/>
      <c r="T390" s="2952"/>
      <c r="U390" s="2952"/>
      <c r="V390" s="2952" t="s">
        <v>6948</v>
      </c>
      <c r="W390" s="2952"/>
      <c r="X390" s="2952"/>
      <c r="Y390" s="2952"/>
      <c r="Z390" s="2952"/>
      <c r="AA390" s="2952"/>
      <c r="AB390" s="2952"/>
      <c r="AC390" s="2952"/>
      <c r="AD390" s="2952"/>
      <c r="AE390" s="2952"/>
      <c r="AF390" s="2952"/>
      <c r="AG390" s="2952"/>
      <c r="AH390" s="2952"/>
      <c r="AI390" s="2952"/>
      <c r="AJ390" s="2952"/>
      <c r="AK390" s="2952"/>
      <c r="AL390" s="2952"/>
      <c r="AM390" s="2952"/>
      <c r="AN390" s="2952"/>
      <c r="AO390" s="2952"/>
      <c r="AP390" s="2952"/>
    </row>
    <row r="391" s="799" customFormat="1" ht="12.75" hidden="1" customHeight="1" spans="1:126">
      <c r="A391" s="2955">
        <f>UnosPorBilans!AL216</f>
        <v>0</v>
      </c>
      <c r="B391" s="2955"/>
      <c r="C391" s="2955"/>
      <c r="D391" s="2955"/>
      <c r="E391" s="2955"/>
      <c r="F391" s="2955"/>
      <c r="G391" s="2955"/>
      <c r="H391" s="2955"/>
      <c r="I391" s="2955"/>
      <c r="J391" s="2955"/>
      <c r="K391" s="2955"/>
      <c r="L391" s="2955"/>
      <c r="M391" s="2955"/>
      <c r="N391" s="2955"/>
      <c r="O391" s="2955"/>
      <c r="P391" s="2955"/>
      <c r="Q391" s="2955"/>
      <c r="R391" s="2955"/>
      <c r="S391" s="2955"/>
      <c r="T391" s="2955"/>
      <c r="U391" s="2955"/>
      <c r="V391" s="2955">
        <f>UnosPorBilans!AS216</f>
        <v>0</v>
      </c>
      <c r="W391" s="2955"/>
      <c r="X391" s="2955"/>
      <c r="Y391" s="2955"/>
      <c r="Z391" s="2955"/>
      <c r="AA391" s="2955"/>
      <c r="AB391" s="2955"/>
      <c r="AC391" s="2955"/>
      <c r="AD391" s="2955"/>
      <c r="AE391" s="2955"/>
      <c r="AF391" s="2955"/>
      <c r="AG391" s="2955"/>
      <c r="AH391" s="2955"/>
      <c r="AI391" s="2955"/>
      <c r="AJ391" s="2955"/>
      <c r="AK391" s="2955"/>
      <c r="AL391" s="2955"/>
      <c r="AM391" s="2955"/>
      <c r="AN391" s="2955"/>
      <c r="AO391" s="2955"/>
      <c r="AP391" s="2955"/>
    </row>
    <row r="392" s="799" customFormat="1" ht="14.25" hidden="1" customHeight="1" spans="1:126">
      <c r="A392" s="2954"/>
      <c r="B392" s="2954"/>
      <c r="C392" s="2954"/>
      <c r="D392" s="2954"/>
      <c r="E392" s="2954"/>
      <c r="F392" s="2954"/>
      <c r="G392" s="2954"/>
      <c r="H392" s="2954"/>
      <c r="I392" s="2954"/>
      <c r="J392" s="2954"/>
      <c r="K392" s="2954"/>
      <c r="L392" s="2954"/>
      <c r="M392" s="2954"/>
      <c r="N392" s="2954"/>
      <c r="O392" s="2954"/>
      <c r="P392" s="2954"/>
      <c r="Q392" s="2954"/>
      <c r="R392" s="2954"/>
      <c r="S392" s="2954"/>
      <c r="T392" s="2954"/>
      <c r="U392" s="2954"/>
      <c r="V392" s="2954"/>
      <c r="W392" s="2954"/>
      <c r="X392" s="2954"/>
      <c r="Y392" s="2954"/>
      <c r="Z392" s="2954"/>
      <c r="AA392" s="2954"/>
      <c r="AB392" s="2954"/>
      <c r="AC392" s="2954"/>
      <c r="AD392" s="2954"/>
      <c r="AE392" s="2954"/>
      <c r="AF392" s="2954"/>
      <c r="AG392" s="2954"/>
      <c r="AH392" s="2954"/>
      <c r="AI392" s="2954"/>
      <c r="AJ392" s="2954"/>
      <c r="AK392" s="2954"/>
      <c r="AL392" s="2954"/>
      <c r="AM392" s="2954"/>
      <c r="AN392" s="2954"/>
      <c r="AO392" s="2954"/>
      <c r="AP392" s="2954"/>
      <c r="AQ392" s="2954"/>
      <c r="AR392" s="2954"/>
      <c r="AS392" s="2954"/>
      <c r="AT392" s="2954"/>
      <c r="AU392" s="2954"/>
      <c r="AV392" s="2954"/>
      <c r="AW392" s="2954"/>
      <c r="AX392" s="2954"/>
      <c r="AY392" s="2954"/>
      <c r="AZ392" s="2954"/>
      <c r="BA392" s="2954"/>
      <c r="BB392" s="2954"/>
      <c r="BC392" s="2954"/>
      <c r="BD392" s="2954"/>
      <c r="BE392" s="2954"/>
      <c r="BF392" s="2954"/>
      <c r="BG392" s="2954"/>
      <c r="BH392" s="2954"/>
      <c r="BI392" s="2954"/>
      <c r="BJ392" s="2954"/>
      <c r="BK392" s="2954"/>
      <c r="BL392" s="2954"/>
      <c r="BM392" s="2954"/>
      <c r="BN392" s="2954"/>
      <c r="BO392" s="2954"/>
      <c r="BP392" s="2954"/>
      <c r="BQ392" s="2954"/>
      <c r="BR392" s="2954"/>
      <c r="BS392" s="2954"/>
      <c r="BT392" s="2954"/>
      <c r="BU392" s="2954"/>
      <c r="BV392" s="2954"/>
      <c r="BW392" s="2954"/>
      <c r="BX392" s="2954"/>
      <c r="BY392" s="2954"/>
      <c r="BZ392" s="2954"/>
      <c r="CA392" s="2954"/>
      <c r="CB392" s="2954"/>
      <c r="CC392" s="2954"/>
      <c r="CD392" s="2954"/>
      <c r="CE392" s="2954"/>
      <c r="CF392" s="2954"/>
      <c r="CG392" s="2954"/>
      <c r="CH392" s="2954"/>
      <c r="CI392" s="2954"/>
      <c r="CJ392" s="2954"/>
      <c r="CK392" s="2954"/>
      <c r="CL392" s="2954"/>
      <c r="CM392" s="2954"/>
      <c r="CN392" s="2954"/>
      <c r="CO392" s="2954"/>
      <c r="CP392" s="2954"/>
      <c r="CQ392" s="2954"/>
      <c r="CR392" s="2954"/>
      <c r="CS392" s="2954"/>
      <c r="CT392" s="2954"/>
      <c r="CU392" s="2954"/>
      <c r="CV392" s="2954"/>
      <c r="CW392" s="2954"/>
      <c r="CX392" s="2954"/>
      <c r="CY392" s="2954"/>
      <c r="CZ392" s="2954"/>
      <c r="DA392" s="2954"/>
      <c r="DB392" s="2954"/>
      <c r="DC392" s="2954"/>
      <c r="DD392" s="2954"/>
      <c r="DE392" s="2954"/>
      <c r="DF392" s="2954"/>
      <c r="DG392" s="2954"/>
      <c r="DH392" s="2954"/>
      <c r="DI392" s="2954"/>
      <c r="DJ392" s="2954"/>
      <c r="DK392" s="2954"/>
      <c r="DL392" s="2954"/>
      <c r="DM392" s="2954"/>
      <c r="DN392" s="2954"/>
      <c r="DO392" s="2954"/>
      <c r="DP392" s="2954"/>
      <c r="DQ392" s="2954"/>
      <c r="DR392" s="2954"/>
      <c r="DS392" s="2954"/>
      <c r="DT392" s="2954"/>
      <c r="DU392" s="2954"/>
      <c r="DV392" s="2954"/>
    </row>
    <row r="393" s="799" customFormat="1" ht="14.25" hidden="1" customHeight="1" spans="1:126">
      <c r="A393" s="2954"/>
      <c r="B393" s="2954"/>
      <c r="C393" s="2954"/>
      <c r="D393" s="2954"/>
      <c r="E393" s="2954"/>
      <c r="F393" s="2954"/>
      <c r="G393" s="2954"/>
      <c r="H393" s="2954"/>
      <c r="I393" s="2954"/>
      <c r="J393" s="2954"/>
      <c r="K393" s="2954"/>
      <c r="L393" s="2954"/>
      <c r="M393" s="2954"/>
      <c r="N393" s="2954"/>
      <c r="O393" s="2954"/>
      <c r="P393" s="2954"/>
      <c r="Q393" s="2954"/>
      <c r="R393" s="2954"/>
      <c r="S393" s="2954"/>
      <c r="T393" s="2954"/>
      <c r="U393" s="2954"/>
      <c r="V393" s="2954"/>
      <c r="W393" s="2954"/>
      <c r="X393" s="2954"/>
      <c r="Y393" s="2954"/>
      <c r="Z393" s="2954"/>
      <c r="AA393" s="2954"/>
      <c r="AB393" s="2954"/>
      <c r="AC393" s="2954"/>
      <c r="AD393" s="2954"/>
      <c r="AE393" s="2954"/>
      <c r="AF393" s="2954"/>
      <c r="AG393" s="2954"/>
      <c r="AH393" s="2954"/>
      <c r="AI393" s="2954"/>
      <c r="AJ393" s="2954"/>
      <c r="AK393" s="2954"/>
      <c r="AL393" s="2954"/>
      <c r="AM393" s="2954"/>
      <c r="AN393" s="2954"/>
      <c r="AO393" s="2954"/>
      <c r="AP393" s="2954"/>
      <c r="AQ393" s="2954"/>
      <c r="AR393" s="2954"/>
      <c r="AS393" s="2954"/>
      <c r="AT393" s="2954"/>
      <c r="AU393" s="2954"/>
      <c r="AV393" s="2954"/>
      <c r="AW393" s="2954"/>
      <c r="AX393" s="2954"/>
      <c r="AY393" s="2954"/>
      <c r="AZ393" s="2954"/>
      <c r="BA393" s="2954"/>
      <c r="BB393" s="2954"/>
      <c r="BC393" s="2954"/>
      <c r="BD393" s="2954"/>
      <c r="BE393" s="2954"/>
      <c r="BF393" s="2954"/>
      <c r="BG393" s="2954"/>
      <c r="BH393" s="2954"/>
      <c r="BI393" s="2954"/>
      <c r="BJ393" s="2954"/>
      <c r="BK393" s="2954"/>
      <c r="BL393" s="2954"/>
      <c r="BM393" s="2954"/>
      <c r="BN393" s="2954"/>
      <c r="BO393" s="2954"/>
      <c r="BP393" s="2954"/>
      <c r="BQ393" s="2954"/>
      <c r="BR393" s="2954"/>
      <c r="BS393" s="2954"/>
      <c r="BT393" s="2954"/>
      <c r="BU393" s="2954"/>
      <c r="BV393" s="2954"/>
      <c r="BW393" s="2954"/>
      <c r="BX393" s="2954"/>
      <c r="BY393" s="2954"/>
      <c r="BZ393" s="2954"/>
      <c r="CA393" s="2954"/>
      <c r="CB393" s="2954"/>
      <c r="CC393" s="2954"/>
      <c r="CD393" s="2954"/>
      <c r="CE393" s="2954"/>
      <c r="CF393" s="2954"/>
      <c r="CG393" s="2954"/>
      <c r="CH393" s="2954"/>
      <c r="CI393" s="2954"/>
      <c r="CJ393" s="2954"/>
      <c r="CK393" s="2954"/>
      <c r="CL393" s="2954"/>
      <c r="CM393" s="2954"/>
      <c r="CN393" s="2954"/>
      <c r="CO393" s="2954"/>
      <c r="CP393" s="2954"/>
      <c r="CQ393" s="2954"/>
      <c r="CR393" s="2954"/>
      <c r="CS393" s="2954"/>
      <c r="CT393" s="2954"/>
      <c r="CU393" s="2954"/>
      <c r="CV393" s="2954"/>
      <c r="CW393" s="2954"/>
      <c r="CX393" s="2954"/>
      <c r="CY393" s="2954"/>
      <c r="CZ393" s="2954"/>
      <c r="DA393" s="2954"/>
      <c r="DB393" s="2954"/>
      <c r="DC393" s="2954"/>
      <c r="DD393" s="2954"/>
      <c r="DE393" s="2954"/>
      <c r="DF393" s="2954"/>
      <c r="DG393" s="2954"/>
      <c r="DH393" s="2954"/>
      <c r="DI393" s="2954"/>
      <c r="DJ393" s="2954"/>
      <c r="DK393" s="2954"/>
      <c r="DL393" s="2954"/>
      <c r="DM393" s="2954"/>
      <c r="DN393" s="2954"/>
      <c r="DO393" s="2954"/>
      <c r="DP393" s="2954"/>
      <c r="DQ393" s="2954"/>
      <c r="DR393" s="2954"/>
      <c r="DS393" s="2954"/>
      <c r="DT393" s="2954"/>
      <c r="DU393" s="2954"/>
      <c r="DV393" s="2954"/>
    </row>
    <row r="394" s="799" customFormat="1" ht="14.25" hidden="1" customHeight="1" spans="1:126">
      <c r="A394" s="2954"/>
      <c r="B394" s="2954"/>
      <c r="C394" s="2954"/>
      <c r="D394" s="2954"/>
      <c r="E394" s="2954"/>
      <c r="F394" s="2954"/>
      <c r="G394" s="2954"/>
      <c r="H394" s="2954"/>
      <c r="I394" s="2954"/>
      <c r="J394" s="2954"/>
      <c r="K394" s="2954"/>
      <c r="L394" s="2954"/>
      <c r="M394" s="2954"/>
      <c r="N394" s="2954"/>
      <c r="O394" s="2954"/>
      <c r="P394" s="2954"/>
      <c r="Q394" s="2954"/>
      <c r="R394" s="2954"/>
      <c r="S394" s="2954"/>
      <c r="T394" s="2954"/>
      <c r="U394" s="2954"/>
      <c r="V394" s="2954"/>
      <c r="W394" s="2954"/>
      <c r="X394" s="2954"/>
      <c r="Y394" s="2954"/>
      <c r="Z394" s="2954"/>
      <c r="AA394" s="2954"/>
      <c r="AB394" s="2954"/>
      <c r="AC394" s="2954"/>
      <c r="AD394" s="2954"/>
      <c r="AE394" s="2954"/>
      <c r="AF394" s="2954"/>
      <c r="AG394" s="2954"/>
      <c r="AH394" s="2954"/>
      <c r="AI394" s="2954"/>
      <c r="AJ394" s="2954"/>
      <c r="AK394" s="2954"/>
      <c r="AL394" s="2954"/>
      <c r="AM394" s="2954"/>
      <c r="AN394" s="2954"/>
      <c r="AO394" s="2954"/>
      <c r="AP394" s="2954"/>
      <c r="AQ394" s="2954"/>
      <c r="AR394" s="2954"/>
      <c r="AS394" s="2954"/>
      <c r="AT394" s="2954"/>
      <c r="AU394" s="2954"/>
      <c r="AV394" s="2954"/>
      <c r="AW394" s="2954"/>
      <c r="AX394" s="2954"/>
      <c r="AY394" s="2954"/>
      <c r="AZ394" s="2954"/>
      <c r="BA394" s="2954"/>
      <c r="BB394" s="2954"/>
      <c r="BC394" s="2954"/>
      <c r="BD394" s="2954"/>
      <c r="BE394" s="2954"/>
      <c r="BF394" s="2954"/>
      <c r="BG394" s="2954"/>
      <c r="BH394" s="2954"/>
      <c r="BI394" s="2954"/>
      <c r="BJ394" s="2954"/>
      <c r="BK394" s="2954"/>
      <c r="BL394" s="2954"/>
      <c r="BM394" s="2954"/>
      <c r="BN394" s="2954"/>
      <c r="BO394" s="2954"/>
      <c r="BP394" s="2954"/>
      <c r="BQ394" s="2954"/>
      <c r="BR394" s="2954"/>
      <c r="BS394" s="2954"/>
      <c r="BT394" s="2954"/>
      <c r="BU394" s="2954"/>
      <c r="BV394" s="2954"/>
      <c r="BW394" s="2954"/>
      <c r="BX394" s="2954"/>
      <c r="BY394" s="2954"/>
      <c r="BZ394" s="2954"/>
      <c r="CA394" s="2954"/>
      <c r="CB394" s="2954"/>
      <c r="CC394" s="2954"/>
      <c r="CD394" s="2954"/>
      <c r="CE394" s="2954"/>
      <c r="CF394" s="2954"/>
      <c r="CG394" s="2954"/>
      <c r="CH394" s="2954"/>
      <c r="CI394" s="2954"/>
      <c r="CJ394" s="2954"/>
      <c r="CK394" s="2954"/>
      <c r="CL394" s="2954"/>
      <c r="CM394" s="2954"/>
      <c r="CN394" s="2954"/>
      <c r="CO394" s="2954"/>
      <c r="CP394" s="2954"/>
      <c r="CQ394" s="2954"/>
      <c r="CR394" s="2954"/>
      <c r="CS394" s="2954"/>
      <c r="CT394" s="2954"/>
      <c r="CU394" s="2954"/>
      <c r="CV394" s="2954"/>
      <c r="CW394" s="2954"/>
      <c r="CX394" s="2954"/>
      <c r="CY394" s="2954"/>
      <c r="CZ394" s="2954"/>
      <c r="DA394" s="2954"/>
      <c r="DB394" s="2954"/>
      <c r="DC394" s="2954"/>
      <c r="DD394" s="2954"/>
      <c r="DE394" s="2954"/>
      <c r="DF394" s="2954"/>
      <c r="DG394" s="2954"/>
      <c r="DH394" s="2954"/>
      <c r="DI394" s="2954"/>
      <c r="DJ394" s="2954"/>
      <c r="DK394" s="2954"/>
      <c r="DL394" s="2954"/>
      <c r="DM394" s="2954"/>
      <c r="DN394" s="2954"/>
      <c r="DO394" s="2954"/>
      <c r="DP394" s="2954"/>
      <c r="DQ394" s="2954"/>
      <c r="DR394" s="2954"/>
      <c r="DS394" s="2954"/>
      <c r="DT394" s="2954"/>
      <c r="DU394" s="2954"/>
      <c r="DV394" s="2954"/>
    </row>
    <row r="395" s="799" customFormat="1" ht="14.25" hidden="1" customHeight="1" spans="1:126">
      <c r="A395" s="2952" t="s">
        <v>4214</v>
      </c>
      <c r="B395" s="2952"/>
      <c r="C395" s="2952" t="s">
        <v>6940</v>
      </c>
      <c r="D395" s="2952"/>
      <c r="E395" s="2952"/>
      <c r="F395" s="2952"/>
      <c r="G395" s="2952"/>
      <c r="H395" s="2952"/>
      <c r="I395" s="2952"/>
      <c r="J395" s="2952"/>
      <c r="K395" s="2952"/>
      <c r="L395" s="2952"/>
      <c r="M395" s="2952"/>
      <c r="N395" s="2952"/>
      <c r="O395" s="2952"/>
      <c r="P395" s="2952"/>
      <c r="Q395" s="2952"/>
      <c r="R395" s="2952"/>
      <c r="S395" s="2952"/>
      <c r="T395" s="2952"/>
      <c r="U395" s="2952"/>
      <c r="V395" s="2952" t="s">
        <v>6941</v>
      </c>
      <c r="W395" s="2952"/>
      <c r="X395" s="2952"/>
      <c r="Y395" s="2952"/>
      <c r="Z395" s="2952"/>
      <c r="AA395" s="2952"/>
      <c r="AB395" s="2952"/>
      <c r="AC395" s="2952"/>
      <c r="AD395" s="2952"/>
      <c r="AE395" s="2952"/>
      <c r="AF395" s="2952"/>
      <c r="AG395" s="2952" t="s">
        <v>6942</v>
      </c>
      <c r="AH395" s="2952"/>
      <c r="AI395" s="2952"/>
      <c r="AJ395" s="2952"/>
      <c r="AK395" s="2952"/>
      <c r="AL395" s="2952"/>
      <c r="AM395" s="2952"/>
      <c r="AN395" s="2952"/>
      <c r="AO395" s="2952"/>
      <c r="AP395" s="2952"/>
    </row>
    <row r="396" s="799" customFormat="1" ht="12.75" hidden="1" customHeight="1" spans="1:126">
      <c r="A396" s="2955">
        <f>UnosPorBilans!B217</f>
        <v>0</v>
      </c>
      <c r="B396" s="2955"/>
      <c r="C396" s="2955"/>
      <c r="D396" s="2955"/>
      <c r="E396" s="2955"/>
      <c r="F396" s="2955"/>
      <c r="G396" s="2955"/>
      <c r="H396" s="2955"/>
      <c r="I396" s="2955"/>
      <c r="J396" s="2955"/>
      <c r="K396" s="2955"/>
      <c r="L396" s="2955"/>
      <c r="M396" s="2955"/>
      <c r="N396" s="2955"/>
      <c r="O396" s="2955"/>
      <c r="P396" s="2955"/>
      <c r="Q396" s="2955"/>
      <c r="R396" s="2955"/>
      <c r="S396" s="2955"/>
      <c r="T396" s="2955"/>
      <c r="U396" s="2955"/>
      <c r="V396" s="2955">
        <f>UnosPorBilans!I217</f>
        <v>0</v>
      </c>
      <c r="W396" s="2955"/>
      <c r="X396" s="2955"/>
      <c r="Y396" s="2955"/>
      <c r="Z396" s="2955"/>
      <c r="AA396" s="2955"/>
      <c r="AB396" s="2955"/>
      <c r="AC396" s="2955"/>
      <c r="AD396" s="2955"/>
      <c r="AE396" s="2955"/>
      <c r="AF396" s="2955"/>
      <c r="AG396" s="2955">
        <f>UnosPorBilans!N217</f>
        <v>0</v>
      </c>
      <c r="AH396" s="2955"/>
      <c r="AI396" s="2955"/>
      <c r="AJ396" s="2955"/>
      <c r="AK396" s="2955"/>
      <c r="AL396" s="2955"/>
      <c r="AM396" s="2955"/>
      <c r="AN396" s="2955"/>
      <c r="AO396" s="2955"/>
      <c r="AP396" s="2955"/>
    </row>
    <row r="397" s="799" customFormat="1" ht="12.75" hidden="1" customHeight="1" spans="1:126">
      <c r="A397" s="2952" t="s">
        <v>6943</v>
      </c>
      <c r="B397" s="2952"/>
      <c r="C397" s="2952"/>
      <c r="D397" s="2952"/>
      <c r="E397" s="2952"/>
      <c r="F397" s="2952"/>
      <c r="G397" s="2952"/>
      <c r="H397" s="2952"/>
      <c r="I397" s="2952"/>
      <c r="J397" s="2952"/>
      <c r="K397" s="2952" t="s">
        <v>6944</v>
      </c>
      <c r="L397" s="2952"/>
      <c r="M397" s="2952"/>
      <c r="N397" s="2952"/>
      <c r="O397" s="2952"/>
      <c r="P397" s="2952"/>
      <c r="Q397" s="2952"/>
      <c r="R397" s="2952"/>
      <c r="S397" s="2952"/>
      <c r="T397" s="2952"/>
      <c r="U397" s="2952"/>
      <c r="V397" s="2952" t="s">
        <v>6945</v>
      </c>
      <c r="W397" s="2952"/>
      <c r="X397" s="2952"/>
      <c r="Y397" s="2952"/>
      <c r="Z397" s="2952"/>
      <c r="AA397" s="2952"/>
      <c r="AB397" s="2952"/>
      <c r="AC397" s="2952"/>
      <c r="AD397" s="2952"/>
      <c r="AE397" s="2952"/>
      <c r="AF397" s="2952"/>
      <c r="AG397" s="2952" t="s">
        <v>6946</v>
      </c>
      <c r="AH397" s="2952"/>
      <c r="AI397" s="2952"/>
      <c r="AJ397" s="2952"/>
      <c r="AK397" s="2952"/>
      <c r="AL397" s="2952"/>
      <c r="AM397" s="2952"/>
      <c r="AN397" s="2952"/>
      <c r="AO397" s="2952"/>
      <c r="AP397" s="2952"/>
    </row>
    <row r="398" s="799" customFormat="1" ht="12.75" hidden="1" customHeight="1" spans="1:126">
      <c r="A398" s="2955">
        <f>UnosPorBilans!S217</f>
        <v>0</v>
      </c>
      <c r="B398" s="2955"/>
      <c r="C398" s="2955"/>
      <c r="D398" s="2955"/>
      <c r="E398" s="2955"/>
      <c r="F398" s="2955"/>
      <c r="G398" s="2955"/>
      <c r="H398" s="2955"/>
      <c r="I398" s="2955"/>
      <c r="J398" s="2955"/>
      <c r="K398" s="2955">
        <f>UnosPorBilans!W217</f>
        <v>0</v>
      </c>
      <c r="L398" s="2955"/>
      <c r="M398" s="2955"/>
      <c r="N398" s="2955"/>
      <c r="O398" s="2955"/>
      <c r="P398" s="2955"/>
      <c r="Q398" s="2955"/>
      <c r="R398" s="2955"/>
      <c r="S398" s="2955"/>
      <c r="T398" s="2955"/>
      <c r="U398" s="2955"/>
      <c r="V398" s="2955">
        <f>UnosPorBilans!AB217</f>
        <v>0</v>
      </c>
      <c r="W398" s="2955"/>
      <c r="X398" s="2955"/>
      <c r="Y398" s="2955"/>
      <c r="Z398" s="2955"/>
      <c r="AA398" s="2955"/>
      <c r="AB398" s="2955"/>
      <c r="AC398" s="2955"/>
      <c r="AD398" s="2955"/>
      <c r="AE398" s="2955"/>
      <c r="AF398" s="2955"/>
      <c r="AG398" s="2955">
        <f>UnosPorBilans!AG217</f>
        <v>0</v>
      </c>
      <c r="AH398" s="2955"/>
      <c r="AI398" s="2955"/>
      <c r="AJ398" s="2955"/>
      <c r="AK398" s="2955"/>
      <c r="AL398" s="2955"/>
      <c r="AM398" s="2955"/>
      <c r="AN398" s="2955"/>
      <c r="AO398" s="2955"/>
      <c r="AP398" s="2955"/>
    </row>
    <row r="399" s="799" customFormat="1" ht="12.75" hidden="1" customHeight="1" spans="1:126">
      <c r="A399" s="2952" t="s">
        <v>6947</v>
      </c>
      <c r="B399" s="2952"/>
      <c r="C399" s="2952"/>
      <c r="D399" s="2952"/>
      <c r="E399" s="2952"/>
      <c r="F399" s="2952"/>
      <c r="G399" s="2952"/>
      <c r="H399" s="2952"/>
      <c r="I399" s="2952"/>
      <c r="J399" s="2952"/>
      <c r="K399" s="2952"/>
      <c r="L399" s="2952"/>
      <c r="M399" s="2952"/>
      <c r="N399" s="2952"/>
      <c r="O399" s="2952"/>
      <c r="P399" s="2952"/>
      <c r="Q399" s="2952"/>
      <c r="R399" s="2952"/>
      <c r="S399" s="2952"/>
      <c r="T399" s="2952"/>
      <c r="U399" s="2952"/>
      <c r="V399" s="2952" t="s">
        <v>6948</v>
      </c>
      <c r="W399" s="2952"/>
      <c r="X399" s="2952"/>
      <c r="Y399" s="2952"/>
      <c r="Z399" s="2952"/>
      <c r="AA399" s="2952"/>
      <c r="AB399" s="2952"/>
      <c r="AC399" s="2952"/>
      <c r="AD399" s="2952"/>
      <c r="AE399" s="2952"/>
      <c r="AF399" s="2952"/>
      <c r="AG399" s="2952"/>
      <c r="AH399" s="2952"/>
      <c r="AI399" s="2952"/>
      <c r="AJ399" s="2952"/>
      <c r="AK399" s="2952"/>
      <c r="AL399" s="2952"/>
      <c r="AM399" s="2952"/>
      <c r="AN399" s="2952"/>
      <c r="AO399" s="2952"/>
      <c r="AP399" s="2952"/>
    </row>
    <row r="400" s="799" customFormat="1" ht="12.75" hidden="1" customHeight="1" spans="1:126">
      <c r="A400" s="2955">
        <f>UnosPorBilans!AL217</f>
        <v>0</v>
      </c>
      <c r="B400" s="2955"/>
      <c r="C400" s="2955"/>
      <c r="D400" s="2955"/>
      <c r="E400" s="2955"/>
      <c r="F400" s="2955"/>
      <c r="G400" s="2955"/>
      <c r="H400" s="2955"/>
      <c r="I400" s="2955"/>
      <c r="J400" s="2955"/>
      <c r="K400" s="2955"/>
      <c r="L400" s="2955"/>
      <c r="M400" s="2955"/>
      <c r="N400" s="2955"/>
      <c r="O400" s="2955"/>
      <c r="P400" s="2955"/>
      <c r="Q400" s="2955"/>
      <c r="R400" s="2955"/>
      <c r="S400" s="2955"/>
      <c r="T400" s="2955"/>
      <c r="U400" s="2955"/>
      <c r="V400" s="2955">
        <f>UnosPorBilans!AS217</f>
        <v>0</v>
      </c>
      <c r="W400" s="2955"/>
      <c r="X400" s="2955"/>
      <c r="Y400" s="2955"/>
      <c r="Z400" s="2955"/>
      <c r="AA400" s="2955"/>
      <c r="AB400" s="2955"/>
      <c r="AC400" s="2955"/>
      <c r="AD400" s="2955"/>
      <c r="AE400" s="2955"/>
      <c r="AF400" s="2955"/>
      <c r="AG400" s="2955"/>
      <c r="AH400" s="2955"/>
      <c r="AI400" s="2955"/>
      <c r="AJ400" s="2955"/>
      <c r="AK400" s="2955"/>
      <c r="AL400" s="2955"/>
      <c r="AM400" s="2955"/>
      <c r="AN400" s="2955"/>
      <c r="AO400" s="2955"/>
      <c r="AP400" s="2955"/>
    </row>
    <row r="401" s="799" customFormat="1" ht="14.25" hidden="1" customHeight="1" spans="1:126">
      <c r="A401" s="2954"/>
      <c r="B401" s="2954"/>
      <c r="C401" s="2954"/>
      <c r="D401" s="2954"/>
      <c r="E401" s="2954"/>
      <c r="F401" s="2954"/>
      <c r="G401" s="2954"/>
      <c r="H401" s="2954"/>
      <c r="I401" s="2954"/>
      <c r="J401" s="2954"/>
      <c r="K401" s="2954"/>
      <c r="L401" s="2954"/>
      <c r="M401" s="2954"/>
      <c r="N401" s="2954"/>
      <c r="O401" s="2954"/>
      <c r="P401" s="2954"/>
      <c r="Q401" s="2954"/>
      <c r="R401" s="2954"/>
      <c r="S401" s="2954"/>
      <c r="T401" s="2954"/>
      <c r="U401" s="2954"/>
      <c r="V401" s="2954"/>
      <c r="W401" s="2954"/>
      <c r="X401" s="2954"/>
      <c r="Y401" s="2954"/>
      <c r="Z401" s="2954"/>
      <c r="AA401" s="2954"/>
      <c r="AB401" s="2954"/>
      <c r="AC401" s="2954"/>
      <c r="AD401" s="2954"/>
      <c r="AE401" s="2954"/>
      <c r="AF401" s="2954"/>
      <c r="AG401" s="2954"/>
      <c r="AH401" s="2954"/>
      <c r="AI401" s="2954"/>
      <c r="AJ401" s="2954"/>
      <c r="AK401" s="2954"/>
      <c r="AL401" s="2954"/>
      <c r="AM401" s="2954"/>
      <c r="AN401" s="2954"/>
      <c r="AO401" s="2954"/>
      <c r="AP401" s="2954"/>
      <c r="AQ401" s="2954"/>
      <c r="AR401" s="2954"/>
      <c r="AS401" s="2954"/>
      <c r="AT401" s="2954"/>
      <c r="AU401" s="2954"/>
      <c r="AV401" s="2954"/>
      <c r="AW401" s="2954"/>
      <c r="AX401" s="2954"/>
      <c r="AY401" s="2954"/>
      <c r="AZ401" s="2954"/>
      <c r="BA401" s="2954"/>
      <c r="BB401" s="2954"/>
      <c r="BC401" s="2954"/>
      <c r="BD401" s="2954"/>
      <c r="BE401" s="2954"/>
      <c r="BF401" s="2954"/>
      <c r="BG401" s="2954"/>
      <c r="BH401" s="2954"/>
      <c r="BI401" s="2954"/>
      <c r="BJ401" s="2954"/>
      <c r="BK401" s="2954"/>
      <c r="BL401" s="2954"/>
      <c r="BM401" s="2954"/>
      <c r="BN401" s="2954"/>
      <c r="BO401" s="2954"/>
      <c r="BP401" s="2954"/>
      <c r="BQ401" s="2954"/>
      <c r="BR401" s="2954"/>
      <c r="BS401" s="2954"/>
      <c r="BT401" s="2954"/>
      <c r="BU401" s="2954"/>
      <c r="BV401" s="2954"/>
      <c r="BW401" s="2954"/>
      <c r="BX401" s="2954"/>
      <c r="BY401" s="2954"/>
      <c r="BZ401" s="2954"/>
      <c r="CA401" s="2954"/>
      <c r="CB401" s="2954"/>
      <c r="CC401" s="2954"/>
      <c r="CD401" s="2954"/>
      <c r="CE401" s="2954"/>
      <c r="CF401" s="2954"/>
      <c r="CG401" s="2954"/>
      <c r="CH401" s="2954"/>
      <c r="CI401" s="2954"/>
      <c r="CJ401" s="2954"/>
      <c r="CK401" s="2954"/>
      <c r="CL401" s="2954"/>
      <c r="CM401" s="2954"/>
      <c r="CN401" s="2954"/>
      <c r="CO401" s="2954"/>
      <c r="CP401" s="2954"/>
      <c r="CQ401" s="2954"/>
      <c r="CR401" s="2954"/>
      <c r="CS401" s="2954"/>
      <c r="CT401" s="2954"/>
      <c r="CU401" s="2954"/>
      <c r="CV401" s="2954"/>
      <c r="CW401" s="2954"/>
      <c r="CX401" s="2954"/>
      <c r="CY401" s="2954"/>
      <c r="CZ401" s="2954"/>
      <c r="DA401" s="2954"/>
      <c r="DB401" s="2954"/>
      <c r="DC401" s="2954"/>
      <c r="DD401" s="2954"/>
      <c r="DE401" s="2954"/>
      <c r="DF401" s="2954"/>
      <c r="DG401" s="2954"/>
      <c r="DH401" s="2954"/>
      <c r="DI401" s="2954"/>
      <c r="DJ401" s="2954"/>
      <c r="DK401" s="2954"/>
      <c r="DL401" s="2954"/>
      <c r="DM401" s="2954"/>
      <c r="DN401" s="2954"/>
      <c r="DO401" s="2954"/>
      <c r="DP401" s="2954"/>
      <c r="DQ401" s="2954"/>
      <c r="DR401" s="2954"/>
      <c r="DS401" s="2954"/>
      <c r="DT401" s="2954"/>
      <c r="DU401" s="2954"/>
      <c r="DV401" s="2954"/>
    </row>
    <row r="402" s="799" customFormat="1" ht="14.25" hidden="1" customHeight="1" spans="1:126">
      <c r="A402" s="2952" t="s">
        <v>4214</v>
      </c>
      <c r="B402" s="2952"/>
      <c r="C402" s="2952" t="s">
        <v>6940</v>
      </c>
      <c r="D402" s="2952"/>
      <c r="E402" s="2952"/>
      <c r="F402" s="2952"/>
      <c r="G402" s="2952"/>
      <c r="H402" s="2952"/>
      <c r="I402" s="2952"/>
      <c r="J402" s="2952"/>
      <c r="K402" s="2952"/>
      <c r="L402" s="2952"/>
      <c r="M402" s="2952"/>
      <c r="N402" s="2952"/>
      <c r="O402" s="2952"/>
      <c r="P402" s="2952"/>
      <c r="Q402" s="2952"/>
      <c r="R402" s="2952"/>
      <c r="S402" s="2952"/>
      <c r="T402" s="2952"/>
      <c r="U402" s="2952"/>
      <c r="V402" s="2952" t="s">
        <v>6941</v>
      </c>
      <c r="W402" s="2952"/>
      <c r="X402" s="2952"/>
      <c r="Y402" s="2952"/>
      <c r="Z402" s="2952"/>
      <c r="AA402" s="2952"/>
      <c r="AB402" s="2952"/>
      <c r="AC402" s="2952"/>
      <c r="AD402" s="2952"/>
      <c r="AE402" s="2952"/>
      <c r="AF402" s="2952"/>
      <c r="AG402" s="2952" t="s">
        <v>6942</v>
      </c>
      <c r="AH402" s="2952"/>
      <c r="AI402" s="2952"/>
      <c r="AJ402" s="2952"/>
      <c r="AK402" s="2952"/>
      <c r="AL402" s="2952"/>
      <c r="AM402" s="2952"/>
      <c r="AN402" s="2952"/>
      <c r="AO402" s="2952"/>
      <c r="AP402" s="2952"/>
    </row>
    <row r="403" s="799" customFormat="1" ht="12.75" hidden="1" customHeight="1" spans="1:126">
      <c r="A403" s="2955">
        <f>UnosPorBilans!B218</f>
        <v>0</v>
      </c>
      <c r="B403" s="2955"/>
      <c r="C403" s="2955"/>
      <c r="D403" s="2955"/>
      <c r="E403" s="2955"/>
      <c r="F403" s="2955"/>
      <c r="G403" s="2955"/>
      <c r="H403" s="2955"/>
      <c r="I403" s="2955"/>
      <c r="J403" s="2955"/>
      <c r="K403" s="2955"/>
      <c r="L403" s="2955"/>
      <c r="M403" s="2955"/>
      <c r="N403" s="2955"/>
      <c r="O403" s="2955"/>
      <c r="P403" s="2955"/>
      <c r="Q403" s="2955"/>
      <c r="R403" s="2955"/>
      <c r="S403" s="2955"/>
      <c r="T403" s="2955"/>
      <c r="U403" s="2955"/>
      <c r="V403" s="2955">
        <f>UnosPorBilans!I218</f>
        <v>0</v>
      </c>
      <c r="W403" s="2955"/>
      <c r="X403" s="2955"/>
      <c r="Y403" s="2955"/>
      <c r="Z403" s="2955"/>
      <c r="AA403" s="2955"/>
      <c r="AB403" s="2955"/>
      <c r="AC403" s="2955"/>
      <c r="AD403" s="2955"/>
      <c r="AE403" s="2955"/>
      <c r="AF403" s="2955"/>
      <c r="AG403" s="2955">
        <f>UnosPorBilans!N218</f>
        <v>0</v>
      </c>
      <c r="AH403" s="2955"/>
      <c r="AI403" s="2955"/>
      <c r="AJ403" s="2955"/>
      <c r="AK403" s="2955"/>
      <c r="AL403" s="2955"/>
      <c r="AM403" s="2955"/>
      <c r="AN403" s="2955"/>
      <c r="AO403" s="2955"/>
      <c r="AP403" s="2955"/>
    </row>
    <row r="404" s="799" customFormat="1" ht="12.75" hidden="1" customHeight="1" spans="1:126">
      <c r="A404" s="2952" t="s">
        <v>6943</v>
      </c>
      <c r="B404" s="2952"/>
      <c r="C404" s="2952"/>
      <c r="D404" s="2952"/>
      <c r="E404" s="2952"/>
      <c r="F404" s="2952"/>
      <c r="G404" s="2952"/>
      <c r="H404" s="2952"/>
      <c r="I404" s="2952"/>
      <c r="J404" s="2952"/>
      <c r="K404" s="2952" t="s">
        <v>6944</v>
      </c>
      <c r="L404" s="2952"/>
      <c r="M404" s="2952"/>
      <c r="N404" s="2952"/>
      <c r="O404" s="2952"/>
      <c r="P404" s="2952"/>
      <c r="Q404" s="2952"/>
      <c r="R404" s="2952"/>
      <c r="S404" s="2952"/>
      <c r="T404" s="2952"/>
      <c r="U404" s="2952"/>
      <c r="V404" s="2952" t="s">
        <v>6945</v>
      </c>
      <c r="W404" s="2952"/>
      <c r="X404" s="2952"/>
      <c r="Y404" s="2952"/>
      <c r="Z404" s="2952"/>
      <c r="AA404" s="2952"/>
      <c r="AB404" s="2952"/>
      <c r="AC404" s="2952"/>
      <c r="AD404" s="2952"/>
      <c r="AE404" s="2952"/>
      <c r="AF404" s="2952"/>
      <c r="AG404" s="2952" t="s">
        <v>6946</v>
      </c>
      <c r="AH404" s="2952"/>
      <c r="AI404" s="2952"/>
      <c r="AJ404" s="2952"/>
      <c r="AK404" s="2952"/>
      <c r="AL404" s="2952"/>
      <c r="AM404" s="2952"/>
      <c r="AN404" s="2952"/>
      <c r="AO404" s="2952"/>
      <c r="AP404" s="2952"/>
    </row>
    <row r="405" s="799" customFormat="1" ht="12.75" hidden="1" customHeight="1" spans="1:126">
      <c r="A405" s="2955">
        <f>UnosPorBilans!S218</f>
        <v>0</v>
      </c>
      <c r="B405" s="2955"/>
      <c r="C405" s="2955"/>
      <c r="D405" s="2955"/>
      <c r="E405" s="2955"/>
      <c r="F405" s="2955"/>
      <c r="G405" s="2955"/>
      <c r="H405" s="2955"/>
      <c r="I405" s="2955"/>
      <c r="J405" s="2955"/>
      <c r="K405" s="2955">
        <f>UnosPorBilans!W218</f>
        <v>0</v>
      </c>
      <c r="L405" s="2955"/>
      <c r="M405" s="2955"/>
      <c r="N405" s="2955"/>
      <c r="O405" s="2955"/>
      <c r="P405" s="2955"/>
      <c r="Q405" s="2955"/>
      <c r="R405" s="2955"/>
      <c r="S405" s="2955"/>
      <c r="T405" s="2955"/>
      <c r="U405" s="2955"/>
      <c r="V405" s="2955">
        <f>UnosPorBilans!AB218</f>
        <v>0</v>
      </c>
      <c r="W405" s="2955"/>
      <c r="X405" s="2955"/>
      <c r="Y405" s="2955"/>
      <c r="Z405" s="2955"/>
      <c r="AA405" s="2955"/>
      <c r="AB405" s="2955"/>
      <c r="AC405" s="2955"/>
      <c r="AD405" s="2955"/>
      <c r="AE405" s="2955"/>
      <c r="AF405" s="2955"/>
      <c r="AG405" s="2955">
        <f>UnosPorBilans!AG218</f>
        <v>0</v>
      </c>
      <c r="AH405" s="2955"/>
      <c r="AI405" s="2955"/>
      <c r="AJ405" s="2955"/>
      <c r="AK405" s="2955"/>
      <c r="AL405" s="2955"/>
      <c r="AM405" s="2955"/>
      <c r="AN405" s="2955"/>
      <c r="AO405" s="2955"/>
      <c r="AP405" s="2955"/>
    </row>
    <row r="406" s="799" customFormat="1" ht="12.75" hidden="1" customHeight="1" spans="1:126">
      <c r="A406" s="2952" t="s">
        <v>6947</v>
      </c>
      <c r="B406" s="2952"/>
      <c r="C406" s="2952"/>
      <c r="D406" s="2952"/>
      <c r="E406" s="2952"/>
      <c r="F406" s="2952"/>
      <c r="G406" s="2952"/>
      <c r="H406" s="2952"/>
      <c r="I406" s="2952"/>
      <c r="J406" s="2952"/>
      <c r="K406" s="2952"/>
      <c r="L406" s="2952"/>
      <c r="M406" s="2952"/>
      <c r="N406" s="2952"/>
      <c r="O406" s="2952"/>
      <c r="P406" s="2952"/>
      <c r="Q406" s="2952"/>
      <c r="R406" s="2952"/>
      <c r="S406" s="2952"/>
      <c r="T406" s="2952"/>
      <c r="U406" s="2952"/>
      <c r="V406" s="2952" t="s">
        <v>6948</v>
      </c>
      <c r="W406" s="2952"/>
      <c r="X406" s="2952"/>
      <c r="Y406" s="2952"/>
      <c r="Z406" s="2952"/>
      <c r="AA406" s="2952"/>
      <c r="AB406" s="2952"/>
      <c r="AC406" s="2952"/>
      <c r="AD406" s="2952"/>
      <c r="AE406" s="2952"/>
      <c r="AF406" s="2952"/>
      <c r="AG406" s="2952"/>
      <c r="AH406" s="2952"/>
      <c r="AI406" s="2952"/>
      <c r="AJ406" s="2952"/>
      <c r="AK406" s="2952"/>
      <c r="AL406" s="2952"/>
      <c r="AM406" s="2952"/>
      <c r="AN406" s="2952"/>
      <c r="AO406" s="2952"/>
      <c r="AP406" s="2952"/>
    </row>
    <row r="407" s="799" customFormat="1" ht="12.75" hidden="1" customHeight="1" spans="1:126">
      <c r="A407" s="2955">
        <f>UnosPorBilans!AL218</f>
        <v>0</v>
      </c>
      <c r="B407" s="2955"/>
      <c r="C407" s="2955"/>
      <c r="D407" s="2955"/>
      <c r="E407" s="2955"/>
      <c r="F407" s="2955"/>
      <c r="G407" s="2955"/>
      <c r="H407" s="2955"/>
      <c r="I407" s="2955"/>
      <c r="J407" s="2955"/>
      <c r="K407" s="2955"/>
      <c r="L407" s="2955"/>
      <c r="M407" s="2955"/>
      <c r="N407" s="2955"/>
      <c r="O407" s="2955"/>
      <c r="P407" s="2955"/>
      <c r="Q407" s="2955"/>
      <c r="R407" s="2955"/>
      <c r="S407" s="2955"/>
      <c r="T407" s="2955"/>
      <c r="U407" s="2955"/>
      <c r="V407" s="2955">
        <f>UnosPorBilans!AS218</f>
        <v>0</v>
      </c>
      <c r="W407" s="2955"/>
      <c r="X407" s="2955"/>
      <c r="Y407" s="2955"/>
      <c r="Z407" s="2955"/>
      <c r="AA407" s="2955"/>
      <c r="AB407" s="2955"/>
      <c r="AC407" s="2955"/>
      <c r="AD407" s="2955"/>
      <c r="AE407" s="2955"/>
      <c r="AF407" s="2955"/>
      <c r="AG407" s="2955"/>
      <c r="AH407" s="2955"/>
      <c r="AI407" s="2955"/>
      <c r="AJ407" s="2955"/>
      <c r="AK407" s="2955"/>
      <c r="AL407" s="2955"/>
      <c r="AM407" s="2955"/>
      <c r="AN407" s="2955"/>
      <c r="AO407" s="2955"/>
      <c r="AP407" s="2955"/>
    </row>
    <row r="408" s="799" customFormat="1" ht="14.25" hidden="1" customHeight="1" spans="1:126">
      <c r="A408" s="2954"/>
      <c r="B408" s="2954"/>
      <c r="C408" s="2954"/>
      <c r="D408" s="2954"/>
      <c r="E408" s="2954"/>
      <c r="F408" s="2954"/>
      <c r="G408" s="2954"/>
      <c r="H408" s="2954"/>
      <c r="I408" s="2954"/>
      <c r="J408" s="2954"/>
      <c r="K408" s="2954"/>
      <c r="L408" s="2954"/>
      <c r="M408" s="2954"/>
      <c r="N408" s="2954"/>
      <c r="O408" s="2954"/>
      <c r="P408" s="2954"/>
      <c r="Q408" s="2954"/>
      <c r="R408" s="2954"/>
      <c r="S408" s="2954"/>
      <c r="T408" s="2954"/>
      <c r="U408" s="2954"/>
      <c r="V408" s="2954"/>
      <c r="W408" s="2954"/>
      <c r="X408" s="2954"/>
      <c r="Y408" s="2954"/>
      <c r="Z408" s="2954"/>
      <c r="AA408" s="2954"/>
      <c r="AB408" s="2954"/>
      <c r="AC408" s="2954"/>
      <c r="AD408" s="2954"/>
      <c r="AE408" s="2954"/>
      <c r="AF408" s="2954"/>
      <c r="AG408" s="2954"/>
      <c r="AH408" s="2954"/>
      <c r="AI408" s="2954"/>
      <c r="AJ408" s="2954"/>
      <c r="AK408" s="2954"/>
      <c r="AL408" s="2954"/>
      <c r="AM408" s="2954"/>
      <c r="AN408" s="2954"/>
      <c r="AO408" s="2954"/>
      <c r="AP408" s="2954"/>
      <c r="AQ408" s="2954"/>
      <c r="AR408" s="2954"/>
      <c r="AS408" s="2954"/>
      <c r="AT408" s="2954"/>
      <c r="AU408" s="2954"/>
      <c r="AV408" s="2954"/>
      <c r="AW408" s="2954"/>
      <c r="AX408" s="2954"/>
      <c r="AY408" s="2954"/>
      <c r="AZ408" s="2954"/>
      <c r="BA408" s="2954"/>
      <c r="BB408" s="2954"/>
      <c r="BC408" s="2954"/>
      <c r="BD408" s="2954"/>
      <c r="BE408" s="2954"/>
      <c r="BF408" s="2954"/>
      <c r="BG408" s="2954"/>
      <c r="BH408" s="2954"/>
      <c r="BI408" s="2954"/>
      <c r="BJ408" s="2954"/>
      <c r="BK408" s="2954"/>
      <c r="BL408" s="2954"/>
      <c r="BM408" s="2954"/>
      <c r="BN408" s="2954"/>
      <c r="BO408" s="2954"/>
      <c r="BP408" s="2954"/>
      <c r="BQ408" s="2954"/>
      <c r="BR408" s="2954"/>
      <c r="BS408" s="2954"/>
      <c r="BT408" s="2954"/>
      <c r="BU408" s="2954"/>
      <c r="BV408" s="2954"/>
      <c r="BW408" s="2954"/>
      <c r="BX408" s="2954"/>
      <c r="BY408" s="2954"/>
      <c r="BZ408" s="2954"/>
      <c r="CA408" s="2954"/>
      <c r="CB408" s="2954"/>
      <c r="CC408" s="2954"/>
      <c r="CD408" s="2954"/>
      <c r="CE408" s="2954"/>
      <c r="CF408" s="2954"/>
      <c r="CG408" s="2954"/>
      <c r="CH408" s="2954"/>
      <c r="CI408" s="2954"/>
      <c r="CJ408" s="2954"/>
      <c r="CK408" s="2954"/>
      <c r="CL408" s="2954"/>
      <c r="CM408" s="2954"/>
      <c r="CN408" s="2954"/>
      <c r="CO408" s="2954"/>
      <c r="CP408" s="2954"/>
      <c r="CQ408" s="2954"/>
      <c r="CR408" s="2954"/>
      <c r="CS408" s="2954"/>
      <c r="CT408" s="2954"/>
      <c r="CU408" s="2954"/>
      <c r="CV408" s="2954"/>
      <c r="CW408" s="2954"/>
      <c r="CX408" s="2954"/>
      <c r="CY408" s="2954"/>
      <c r="CZ408" s="2954"/>
      <c r="DA408" s="2954"/>
      <c r="DB408" s="2954"/>
      <c r="DC408" s="2954"/>
      <c r="DD408" s="2954"/>
      <c r="DE408" s="2954"/>
      <c r="DF408" s="2954"/>
      <c r="DG408" s="2954"/>
      <c r="DH408" s="2954"/>
      <c r="DI408" s="2954"/>
      <c r="DJ408" s="2954"/>
      <c r="DK408" s="2954"/>
      <c r="DL408" s="2954"/>
      <c r="DM408" s="2954"/>
      <c r="DN408" s="2954"/>
      <c r="DO408" s="2954"/>
      <c r="DP408" s="2954"/>
      <c r="DQ408" s="2954"/>
      <c r="DR408" s="2954"/>
      <c r="DS408" s="2954"/>
      <c r="DT408" s="2954"/>
      <c r="DU408" s="2954"/>
      <c r="DV408" s="2954"/>
    </row>
    <row r="409" s="799" customFormat="1" ht="14.25" hidden="1" customHeight="1" spans="1:126">
      <c r="A409" s="2952" t="s">
        <v>4214</v>
      </c>
      <c r="B409" s="2952"/>
      <c r="C409" s="2952" t="s">
        <v>6940</v>
      </c>
      <c r="D409" s="2952"/>
      <c r="E409" s="2952"/>
      <c r="F409" s="2952"/>
      <c r="G409" s="2952"/>
      <c r="H409" s="2952"/>
      <c r="I409" s="2952"/>
      <c r="J409" s="2952"/>
      <c r="K409" s="2952"/>
      <c r="L409" s="2952"/>
      <c r="M409" s="2952"/>
      <c r="N409" s="2952"/>
      <c r="O409" s="2952"/>
      <c r="P409" s="2952"/>
      <c r="Q409" s="2952"/>
      <c r="R409" s="2952"/>
      <c r="S409" s="2952"/>
      <c r="T409" s="2952"/>
      <c r="U409" s="2952"/>
      <c r="V409" s="2952" t="s">
        <v>6941</v>
      </c>
      <c r="W409" s="2952"/>
      <c r="X409" s="2952"/>
      <c r="Y409" s="2952"/>
      <c r="Z409" s="2952"/>
      <c r="AA409" s="2952"/>
      <c r="AB409" s="2952"/>
      <c r="AC409" s="2952"/>
      <c r="AD409" s="2952"/>
      <c r="AE409" s="2952"/>
      <c r="AF409" s="2952"/>
      <c r="AG409" s="2952" t="s">
        <v>6942</v>
      </c>
      <c r="AH409" s="2952"/>
      <c r="AI409" s="2952"/>
      <c r="AJ409" s="2952"/>
      <c r="AK409" s="2952"/>
      <c r="AL409" s="2952"/>
      <c r="AM409" s="2952"/>
      <c r="AN409" s="2952"/>
      <c r="AO409" s="2952"/>
      <c r="AP409" s="2952"/>
    </row>
    <row r="410" s="799" customFormat="1" ht="12.75" hidden="1" customHeight="1" spans="1:126">
      <c r="A410" s="2955">
        <f>UnosPorBilans!B219</f>
        <v>0</v>
      </c>
      <c r="B410" s="2955"/>
      <c r="C410" s="2955"/>
      <c r="D410" s="2955"/>
      <c r="E410" s="2955"/>
      <c r="F410" s="2955"/>
      <c r="G410" s="2955"/>
      <c r="H410" s="2955"/>
      <c r="I410" s="2955"/>
      <c r="J410" s="2955"/>
      <c r="K410" s="2955"/>
      <c r="L410" s="2955"/>
      <c r="M410" s="2955"/>
      <c r="N410" s="2955"/>
      <c r="O410" s="2955"/>
      <c r="P410" s="2955"/>
      <c r="Q410" s="2955"/>
      <c r="R410" s="2955"/>
      <c r="S410" s="2955"/>
      <c r="T410" s="2955"/>
      <c r="U410" s="2955"/>
      <c r="V410" s="2955">
        <f>UnosPorBilans!I219</f>
        <v>0</v>
      </c>
      <c r="W410" s="2955"/>
      <c r="X410" s="2955"/>
      <c r="Y410" s="2955"/>
      <c r="Z410" s="2955"/>
      <c r="AA410" s="2955"/>
      <c r="AB410" s="2955"/>
      <c r="AC410" s="2955"/>
      <c r="AD410" s="2955"/>
      <c r="AE410" s="2955"/>
      <c r="AF410" s="2955"/>
      <c r="AG410" s="2955">
        <f>UnosPorBilans!N219</f>
        <v>0</v>
      </c>
      <c r="AH410" s="2955"/>
      <c r="AI410" s="2955"/>
      <c r="AJ410" s="2955"/>
      <c r="AK410" s="2955"/>
      <c r="AL410" s="2955"/>
      <c r="AM410" s="2955"/>
      <c r="AN410" s="2955"/>
      <c r="AO410" s="2955"/>
      <c r="AP410" s="2955"/>
    </row>
    <row r="411" s="799" customFormat="1" ht="12.75" hidden="1" customHeight="1" spans="1:126">
      <c r="A411" s="2952" t="s">
        <v>6943</v>
      </c>
      <c r="B411" s="2952"/>
      <c r="C411" s="2952"/>
      <c r="D411" s="2952"/>
      <c r="E411" s="2952"/>
      <c r="F411" s="2952"/>
      <c r="G411" s="2952"/>
      <c r="H411" s="2952"/>
      <c r="I411" s="2952"/>
      <c r="J411" s="2952"/>
      <c r="K411" s="2952" t="s">
        <v>6944</v>
      </c>
      <c r="L411" s="2952"/>
      <c r="M411" s="2952"/>
      <c r="N411" s="2952"/>
      <c r="O411" s="2952"/>
      <c r="P411" s="2952"/>
      <c r="Q411" s="2952"/>
      <c r="R411" s="2952"/>
      <c r="S411" s="2952"/>
      <c r="T411" s="2952"/>
      <c r="U411" s="2952"/>
      <c r="V411" s="2952" t="s">
        <v>6945</v>
      </c>
      <c r="W411" s="2952"/>
      <c r="X411" s="2952"/>
      <c r="Y411" s="2952"/>
      <c r="Z411" s="2952"/>
      <c r="AA411" s="2952"/>
      <c r="AB411" s="2952"/>
      <c r="AC411" s="2952"/>
      <c r="AD411" s="2952"/>
      <c r="AE411" s="2952"/>
      <c r="AF411" s="2952"/>
      <c r="AG411" s="2952" t="s">
        <v>6946</v>
      </c>
      <c r="AH411" s="2952"/>
      <c r="AI411" s="2952"/>
      <c r="AJ411" s="2952"/>
      <c r="AK411" s="2952"/>
      <c r="AL411" s="2952"/>
      <c r="AM411" s="2952"/>
      <c r="AN411" s="2952"/>
      <c r="AO411" s="2952"/>
      <c r="AP411" s="2952"/>
    </row>
    <row r="412" s="799" customFormat="1" ht="12.75" hidden="1" customHeight="1" spans="1:126">
      <c r="A412" s="2955">
        <f>UnosPorBilans!S219</f>
        <v>0</v>
      </c>
      <c r="B412" s="2955"/>
      <c r="C412" s="2955"/>
      <c r="D412" s="2955"/>
      <c r="E412" s="2955"/>
      <c r="F412" s="2955"/>
      <c r="G412" s="2955"/>
      <c r="H412" s="2955"/>
      <c r="I412" s="2955"/>
      <c r="J412" s="2955"/>
      <c r="K412" s="2955">
        <f>UnosPorBilans!W219</f>
        <v>0</v>
      </c>
      <c r="L412" s="2955"/>
      <c r="M412" s="2955"/>
      <c r="N412" s="2955"/>
      <c r="O412" s="2955"/>
      <c r="P412" s="2955"/>
      <c r="Q412" s="2955"/>
      <c r="R412" s="2955"/>
      <c r="S412" s="2955"/>
      <c r="T412" s="2955"/>
      <c r="U412" s="2955"/>
      <c r="V412" s="2955">
        <f>UnosPorBilans!AB219</f>
        <v>0</v>
      </c>
      <c r="W412" s="2955"/>
      <c r="X412" s="2955"/>
      <c r="Y412" s="2955"/>
      <c r="Z412" s="2955"/>
      <c r="AA412" s="2955"/>
      <c r="AB412" s="2955"/>
      <c r="AC412" s="2955"/>
      <c r="AD412" s="2955"/>
      <c r="AE412" s="2955"/>
      <c r="AF412" s="2955"/>
      <c r="AG412" s="2955">
        <f>UnosPorBilans!AG219</f>
        <v>0</v>
      </c>
      <c r="AH412" s="2955"/>
      <c r="AI412" s="2955"/>
      <c r="AJ412" s="2955"/>
      <c r="AK412" s="2955"/>
      <c r="AL412" s="2955"/>
      <c r="AM412" s="2955"/>
      <c r="AN412" s="2955"/>
      <c r="AO412" s="2955"/>
      <c r="AP412" s="2955"/>
    </row>
    <row r="413" s="799" customFormat="1" ht="12.75" hidden="1" customHeight="1" spans="1:126">
      <c r="A413" s="2952" t="s">
        <v>6947</v>
      </c>
      <c r="B413" s="2952"/>
      <c r="C413" s="2952"/>
      <c r="D413" s="2952"/>
      <c r="E413" s="2952"/>
      <c r="F413" s="2952"/>
      <c r="G413" s="2952"/>
      <c r="H413" s="2952"/>
      <c r="I413" s="2952"/>
      <c r="J413" s="2952"/>
      <c r="K413" s="2952"/>
      <c r="L413" s="2952"/>
      <c r="M413" s="2952"/>
      <c r="N413" s="2952"/>
      <c r="O413" s="2952"/>
      <c r="P413" s="2952"/>
      <c r="Q413" s="2952"/>
      <c r="R413" s="2952"/>
      <c r="S413" s="2952"/>
      <c r="T413" s="2952"/>
      <c r="U413" s="2952"/>
      <c r="V413" s="2952" t="s">
        <v>6948</v>
      </c>
      <c r="W413" s="2952"/>
      <c r="X413" s="2952"/>
      <c r="Y413" s="2952"/>
      <c r="Z413" s="2952"/>
      <c r="AA413" s="2952"/>
      <c r="AB413" s="2952"/>
      <c r="AC413" s="2952"/>
      <c r="AD413" s="2952"/>
      <c r="AE413" s="2952"/>
      <c r="AF413" s="2952"/>
      <c r="AG413" s="2952"/>
      <c r="AH413" s="2952"/>
      <c r="AI413" s="2952"/>
      <c r="AJ413" s="2952"/>
      <c r="AK413" s="2952"/>
      <c r="AL413" s="2952"/>
      <c r="AM413" s="2952"/>
      <c r="AN413" s="2952"/>
      <c r="AO413" s="2952"/>
      <c r="AP413" s="2952"/>
    </row>
    <row r="414" s="799" customFormat="1" ht="12.75" hidden="1" customHeight="1" spans="1:126">
      <c r="A414" s="2955">
        <f>UnosPorBilans!AL219</f>
        <v>0</v>
      </c>
      <c r="B414" s="2955"/>
      <c r="C414" s="2955"/>
      <c r="D414" s="2955"/>
      <c r="E414" s="2955"/>
      <c r="F414" s="2955"/>
      <c r="G414" s="2955"/>
      <c r="H414" s="2955"/>
      <c r="I414" s="2955"/>
      <c r="J414" s="2955"/>
      <c r="K414" s="2955"/>
      <c r="L414" s="2955"/>
      <c r="M414" s="2955"/>
      <c r="N414" s="2955"/>
      <c r="O414" s="2955"/>
      <c r="P414" s="2955"/>
      <c r="Q414" s="2955"/>
      <c r="R414" s="2955"/>
      <c r="S414" s="2955"/>
      <c r="T414" s="2955"/>
      <c r="U414" s="2955"/>
      <c r="V414" s="2955">
        <f>UnosPorBilans!AS219</f>
        <v>0</v>
      </c>
      <c r="W414" s="2955"/>
      <c r="X414" s="2955"/>
      <c r="Y414" s="2955"/>
      <c r="Z414" s="2955"/>
      <c r="AA414" s="2955"/>
      <c r="AB414" s="2955"/>
      <c r="AC414" s="2955"/>
      <c r="AD414" s="2955"/>
      <c r="AE414" s="2955"/>
      <c r="AF414" s="2955"/>
      <c r="AG414" s="2955"/>
      <c r="AH414" s="2955"/>
      <c r="AI414" s="2955"/>
      <c r="AJ414" s="2955"/>
      <c r="AK414" s="2955"/>
      <c r="AL414" s="2955"/>
      <c r="AM414" s="2955"/>
      <c r="AN414" s="2955"/>
      <c r="AO414" s="2955"/>
      <c r="AP414" s="2955"/>
    </row>
    <row r="415" s="799" customFormat="1" ht="14.25" hidden="1" customHeight="1" spans="1:126">
      <c r="A415" s="2954"/>
      <c r="B415" s="2954"/>
      <c r="C415" s="2954"/>
      <c r="D415" s="2954"/>
      <c r="E415" s="2954"/>
      <c r="F415" s="2954"/>
      <c r="G415" s="2954"/>
      <c r="H415" s="2954"/>
      <c r="I415" s="2954"/>
      <c r="J415" s="2954"/>
      <c r="K415" s="2954"/>
      <c r="L415" s="2954"/>
      <c r="M415" s="2954"/>
      <c r="N415" s="2954"/>
      <c r="O415" s="2954"/>
      <c r="P415" s="2954"/>
      <c r="Q415" s="2954"/>
      <c r="R415" s="2954"/>
      <c r="S415" s="2954"/>
      <c r="T415" s="2954"/>
      <c r="U415" s="2954"/>
      <c r="V415" s="2954"/>
      <c r="W415" s="2954"/>
      <c r="X415" s="2954"/>
      <c r="Y415" s="2954"/>
      <c r="Z415" s="2954"/>
      <c r="AA415" s="2954"/>
      <c r="AB415" s="2954"/>
      <c r="AC415" s="2954"/>
      <c r="AD415" s="2954"/>
      <c r="AE415" s="2954"/>
      <c r="AF415" s="2954"/>
      <c r="AG415" s="2954"/>
      <c r="AH415" s="2954"/>
      <c r="AI415" s="2954"/>
      <c r="AJ415" s="2954"/>
      <c r="AK415" s="2954"/>
      <c r="AL415" s="2954"/>
      <c r="AM415" s="2954"/>
      <c r="AN415" s="2954"/>
      <c r="AO415" s="2954"/>
      <c r="AP415" s="2954"/>
      <c r="AQ415" s="2954"/>
      <c r="AR415" s="2954"/>
      <c r="AS415" s="2954"/>
      <c r="AT415" s="2954"/>
      <c r="AU415" s="2954"/>
      <c r="AV415" s="2954"/>
      <c r="AW415" s="2954"/>
      <c r="AX415" s="2954"/>
      <c r="AY415" s="2954"/>
      <c r="AZ415" s="2954"/>
      <c r="BA415" s="2954"/>
      <c r="BB415" s="2954"/>
      <c r="BC415" s="2954"/>
      <c r="BD415" s="2954"/>
      <c r="BE415" s="2954"/>
      <c r="BF415" s="2954"/>
      <c r="BG415" s="2954"/>
      <c r="BH415" s="2954"/>
      <c r="BI415" s="2954"/>
      <c r="BJ415" s="2954"/>
      <c r="BK415" s="2954"/>
      <c r="BL415" s="2954"/>
      <c r="BM415" s="2954"/>
      <c r="BN415" s="2954"/>
      <c r="BO415" s="2954"/>
      <c r="BP415" s="2954"/>
      <c r="BQ415" s="2954"/>
      <c r="BR415" s="2954"/>
      <c r="BS415" s="2954"/>
      <c r="BT415" s="2954"/>
      <c r="BU415" s="2954"/>
      <c r="BV415" s="2954"/>
      <c r="BW415" s="2954"/>
      <c r="BX415" s="2954"/>
      <c r="BY415" s="2954"/>
      <c r="BZ415" s="2954"/>
      <c r="CA415" s="2954"/>
      <c r="CB415" s="2954"/>
      <c r="CC415" s="2954"/>
      <c r="CD415" s="2954"/>
      <c r="CE415" s="2954"/>
      <c r="CF415" s="2954"/>
      <c r="CG415" s="2954"/>
      <c r="CH415" s="2954"/>
      <c r="CI415" s="2954"/>
      <c r="CJ415" s="2954"/>
      <c r="CK415" s="2954"/>
      <c r="CL415" s="2954"/>
      <c r="CM415" s="2954"/>
      <c r="CN415" s="2954"/>
      <c r="CO415" s="2954"/>
      <c r="CP415" s="2954"/>
      <c r="CQ415" s="2954"/>
      <c r="CR415" s="2954"/>
      <c r="CS415" s="2954"/>
      <c r="CT415" s="2954"/>
      <c r="CU415" s="2954"/>
      <c r="CV415" s="2954"/>
      <c r="CW415" s="2954"/>
      <c r="CX415" s="2954"/>
      <c r="CY415" s="2954"/>
      <c r="CZ415" s="2954"/>
      <c r="DA415" s="2954"/>
      <c r="DB415" s="2954"/>
      <c r="DC415" s="2954"/>
      <c r="DD415" s="2954"/>
      <c r="DE415" s="2954"/>
      <c r="DF415" s="2954"/>
      <c r="DG415" s="2954"/>
      <c r="DH415" s="2954"/>
      <c r="DI415" s="2954"/>
      <c r="DJ415" s="2954"/>
      <c r="DK415" s="2954"/>
      <c r="DL415" s="2954"/>
      <c r="DM415" s="2954"/>
      <c r="DN415" s="2954"/>
      <c r="DO415" s="2954"/>
      <c r="DP415" s="2954"/>
      <c r="DQ415" s="2954"/>
      <c r="DR415" s="2954"/>
      <c r="DS415" s="2954"/>
      <c r="DT415" s="2954"/>
      <c r="DU415" s="2954"/>
      <c r="DV415" s="2954"/>
    </row>
    <row r="416" s="799" customFormat="1" ht="14.25" hidden="1" customHeight="1" spans="1:126">
      <c r="A416" s="2952" t="s">
        <v>4214</v>
      </c>
      <c r="B416" s="2952"/>
      <c r="C416" s="2952" t="s">
        <v>6940</v>
      </c>
      <c r="D416" s="2952"/>
      <c r="E416" s="2952"/>
      <c r="F416" s="2952"/>
      <c r="G416" s="2952"/>
      <c r="H416" s="2952"/>
      <c r="I416" s="2952"/>
      <c r="J416" s="2952"/>
      <c r="K416" s="2952"/>
      <c r="L416" s="2952"/>
      <c r="M416" s="2952"/>
      <c r="N416" s="2952"/>
      <c r="O416" s="2952"/>
      <c r="P416" s="2952"/>
      <c r="Q416" s="2952"/>
      <c r="R416" s="2952"/>
      <c r="S416" s="2952"/>
      <c r="T416" s="2952"/>
      <c r="U416" s="2952"/>
      <c r="V416" s="2952" t="s">
        <v>6941</v>
      </c>
      <c r="W416" s="2952"/>
      <c r="X416" s="2952"/>
      <c r="Y416" s="2952"/>
      <c r="Z416" s="2952"/>
      <c r="AA416" s="2952"/>
      <c r="AB416" s="2952"/>
      <c r="AC416" s="2952"/>
      <c r="AD416" s="2952"/>
      <c r="AE416" s="2952"/>
      <c r="AF416" s="2952"/>
      <c r="AG416" s="2952" t="s">
        <v>6942</v>
      </c>
      <c r="AH416" s="2952"/>
      <c r="AI416" s="2952"/>
      <c r="AJ416" s="2952"/>
      <c r="AK416" s="2952"/>
      <c r="AL416" s="2952"/>
      <c r="AM416" s="2952"/>
      <c r="AN416" s="2952"/>
      <c r="AO416" s="2952"/>
      <c r="AP416" s="2952"/>
    </row>
    <row r="417" s="799" customFormat="1" ht="12.75" hidden="1" customHeight="1" spans="1:126">
      <c r="A417" s="2955">
        <f>UnosPorBilans!B220</f>
        <v>0</v>
      </c>
      <c r="B417" s="2955"/>
      <c r="C417" s="2955"/>
      <c r="D417" s="2955"/>
      <c r="E417" s="2955"/>
      <c r="F417" s="2955"/>
      <c r="G417" s="2955"/>
      <c r="H417" s="2955"/>
      <c r="I417" s="2955"/>
      <c r="J417" s="2955"/>
      <c r="K417" s="2955"/>
      <c r="L417" s="2955"/>
      <c r="M417" s="2955"/>
      <c r="N417" s="2955"/>
      <c r="O417" s="2955"/>
      <c r="P417" s="2955"/>
      <c r="Q417" s="2955"/>
      <c r="R417" s="2955"/>
      <c r="S417" s="2955"/>
      <c r="T417" s="2955"/>
      <c r="U417" s="2955"/>
      <c r="V417" s="2955">
        <f>UnosPorBilans!I220</f>
        <v>0</v>
      </c>
      <c r="W417" s="2955"/>
      <c r="X417" s="2955"/>
      <c r="Y417" s="2955"/>
      <c r="Z417" s="2955"/>
      <c r="AA417" s="2955"/>
      <c r="AB417" s="2955"/>
      <c r="AC417" s="2955"/>
      <c r="AD417" s="2955"/>
      <c r="AE417" s="2955"/>
      <c r="AF417" s="2955"/>
      <c r="AG417" s="2955">
        <f>UnosPorBilans!N220</f>
        <v>0</v>
      </c>
      <c r="AH417" s="2955"/>
      <c r="AI417" s="2955"/>
      <c r="AJ417" s="2955"/>
      <c r="AK417" s="2955"/>
      <c r="AL417" s="2955"/>
      <c r="AM417" s="2955"/>
      <c r="AN417" s="2955"/>
      <c r="AO417" s="2955"/>
      <c r="AP417" s="2955"/>
    </row>
    <row r="418" s="799" customFormat="1" ht="12.75" hidden="1" customHeight="1" spans="1:126">
      <c r="A418" s="2952" t="s">
        <v>6943</v>
      </c>
      <c r="B418" s="2952"/>
      <c r="C418" s="2952"/>
      <c r="D418" s="2952"/>
      <c r="E418" s="2952"/>
      <c r="F418" s="2952"/>
      <c r="G418" s="2952"/>
      <c r="H418" s="2952"/>
      <c r="I418" s="2952"/>
      <c r="J418" s="2952"/>
      <c r="K418" s="2952" t="s">
        <v>6944</v>
      </c>
      <c r="L418" s="2952"/>
      <c r="M418" s="2952"/>
      <c r="N418" s="2952"/>
      <c r="O418" s="2952"/>
      <c r="P418" s="2952"/>
      <c r="Q418" s="2952"/>
      <c r="R418" s="2952"/>
      <c r="S418" s="2952"/>
      <c r="T418" s="2952"/>
      <c r="U418" s="2952"/>
      <c r="V418" s="2952" t="s">
        <v>6945</v>
      </c>
      <c r="W418" s="2952"/>
      <c r="X418" s="2952"/>
      <c r="Y418" s="2952"/>
      <c r="Z418" s="2952"/>
      <c r="AA418" s="2952"/>
      <c r="AB418" s="2952"/>
      <c r="AC418" s="2952"/>
      <c r="AD418" s="2952"/>
      <c r="AE418" s="2952"/>
      <c r="AF418" s="2952"/>
      <c r="AG418" s="2952" t="s">
        <v>6946</v>
      </c>
      <c r="AH418" s="2952"/>
      <c r="AI418" s="2952"/>
      <c r="AJ418" s="2952"/>
      <c r="AK418" s="2952"/>
      <c r="AL418" s="2952"/>
      <c r="AM418" s="2952"/>
      <c r="AN418" s="2952"/>
      <c r="AO418" s="2952"/>
      <c r="AP418" s="2952"/>
    </row>
    <row r="419" s="799" customFormat="1" ht="12.75" hidden="1" customHeight="1" spans="1:126">
      <c r="A419" s="2955">
        <f>UnosPorBilans!S220</f>
        <v>0</v>
      </c>
      <c r="B419" s="2955"/>
      <c r="C419" s="2955"/>
      <c r="D419" s="2955"/>
      <c r="E419" s="2955"/>
      <c r="F419" s="2955"/>
      <c r="G419" s="2955"/>
      <c r="H419" s="2955"/>
      <c r="I419" s="2955"/>
      <c r="J419" s="2955"/>
      <c r="K419" s="2955">
        <f>UnosPorBilans!W220</f>
        <v>0</v>
      </c>
      <c r="L419" s="2955"/>
      <c r="M419" s="2955"/>
      <c r="N419" s="2955"/>
      <c r="O419" s="2955"/>
      <c r="P419" s="2955"/>
      <c r="Q419" s="2955"/>
      <c r="R419" s="2955"/>
      <c r="S419" s="2955"/>
      <c r="T419" s="2955"/>
      <c r="U419" s="2955"/>
      <c r="V419" s="2955">
        <f>UnosPorBilans!AB220</f>
        <v>0</v>
      </c>
      <c r="W419" s="2955"/>
      <c r="X419" s="2955"/>
      <c r="Y419" s="2955"/>
      <c r="Z419" s="2955"/>
      <c r="AA419" s="2955"/>
      <c r="AB419" s="2955"/>
      <c r="AC419" s="2955"/>
      <c r="AD419" s="2955"/>
      <c r="AE419" s="2955"/>
      <c r="AF419" s="2955"/>
      <c r="AG419" s="2955">
        <f>UnosPorBilans!AG220</f>
        <v>0</v>
      </c>
      <c r="AH419" s="2955"/>
      <c r="AI419" s="2955"/>
      <c r="AJ419" s="2955"/>
      <c r="AK419" s="2955"/>
      <c r="AL419" s="2955"/>
      <c r="AM419" s="2955"/>
      <c r="AN419" s="2955"/>
      <c r="AO419" s="2955"/>
      <c r="AP419" s="2955"/>
    </row>
    <row r="420" s="799" customFormat="1" ht="12.75" hidden="1" customHeight="1" spans="1:126">
      <c r="A420" s="2952" t="s">
        <v>6947</v>
      </c>
      <c r="B420" s="2952"/>
      <c r="C420" s="2952"/>
      <c r="D420" s="2952"/>
      <c r="E420" s="2952"/>
      <c r="F420" s="2952"/>
      <c r="G420" s="2952"/>
      <c r="H420" s="2952"/>
      <c r="I420" s="2952"/>
      <c r="J420" s="2952"/>
      <c r="K420" s="2952"/>
      <c r="L420" s="2952"/>
      <c r="M420" s="2952"/>
      <c r="N420" s="2952"/>
      <c r="O420" s="2952"/>
      <c r="P420" s="2952"/>
      <c r="Q420" s="2952"/>
      <c r="R420" s="2952"/>
      <c r="S420" s="2952"/>
      <c r="T420" s="2952"/>
      <c r="U420" s="2952"/>
      <c r="V420" s="2952" t="s">
        <v>6948</v>
      </c>
      <c r="W420" s="2952"/>
      <c r="X420" s="2952"/>
      <c r="Y420" s="2952"/>
      <c r="Z420" s="2952"/>
      <c r="AA420" s="2952"/>
      <c r="AB420" s="2952"/>
      <c r="AC420" s="2952"/>
      <c r="AD420" s="2952"/>
      <c r="AE420" s="2952"/>
      <c r="AF420" s="2952"/>
      <c r="AG420" s="2952"/>
      <c r="AH420" s="2952"/>
      <c r="AI420" s="2952"/>
      <c r="AJ420" s="2952"/>
      <c r="AK420" s="2952"/>
      <c r="AL420" s="2952"/>
      <c r="AM420" s="2952"/>
      <c r="AN420" s="2952"/>
      <c r="AO420" s="2952"/>
      <c r="AP420" s="2952"/>
    </row>
    <row r="421" s="799" customFormat="1" ht="12.75" hidden="1" customHeight="1" spans="1:126">
      <c r="A421" s="2955">
        <f>UnosPorBilans!AL220</f>
        <v>0</v>
      </c>
      <c r="B421" s="2955"/>
      <c r="C421" s="2955"/>
      <c r="D421" s="2955"/>
      <c r="E421" s="2955"/>
      <c r="F421" s="2955"/>
      <c r="G421" s="2955"/>
      <c r="H421" s="2955"/>
      <c r="I421" s="2955"/>
      <c r="J421" s="2955"/>
      <c r="K421" s="2955"/>
      <c r="L421" s="2955"/>
      <c r="M421" s="2955"/>
      <c r="N421" s="2955"/>
      <c r="O421" s="2955"/>
      <c r="P421" s="2955"/>
      <c r="Q421" s="2955"/>
      <c r="R421" s="2955"/>
      <c r="S421" s="2955"/>
      <c r="T421" s="2955"/>
      <c r="U421" s="2955"/>
      <c r="V421" s="2955">
        <f>UnosPorBilans!AS220</f>
        <v>0</v>
      </c>
      <c r="W421" s="2955"/>
      <c r="X421" s="2955"/>
      <c r="Y421" s="2955"/>
      <c r="Z421" s="2955"/>
      <c r="AA421" s="2955"/>
      <c r="AB421" s="2955"/>
      <c r="AC421" s="2955"/>
      <c r="AD421" s="2955"/>
      <c r="AE421" s="2955"/>
      <c r="AF421" s="2955"/>
      <c r="AG421" s="2955"/>
      <c r="AH421" s="2955"/>
      <c r="AI421" s="2955"/>
      <c r="AJ421" s="2955"/>
      <c r="AK421" s="2955"/>
      <c r="AL421" s="2955"/>
      <c r="AM421" s="2955"/>
      <c r="AN421" s="2955"/>
      <c r="AO421" s="2955"/>
      <c r="AP421" s="2955"/>
    </row>
    <row r="422" s="799" customFormat="1" ht="14.25" hidden="1" customHeight="1" spans="1:126">
      <c r="A422" s="2954"/>
      <c r="B422" s="2954"/>
      <c r="C422" s="2954"/>
      <c r="D422" s="2954"/>
      <c r="E422" s="2954"/>
      <c r="F422" s="2954"/>
      <c r="G422" s="2954"/>
      <c r="H422" s="2954"/>
      <c r="I422" s="2954"/>
      <c r="J422" s="2954"/>
      <c r="K422" s="2954"/>
      <c r="L422" s="2954"/>
      <c r="M422" s="2954"/>
      <c r="N422" s="2954"/>
      <c r="O422" s="2954"/>
      <c r="P422" s="2954"/>
      <c r="Q422" s="2954"/>
      <c r="R422" s="2954"/>
      <c r="S422" s="2954"/>
      <c r="T422" s="2954"/>
      <c r="U422" s="2954"/>
      <c r="V422" s="2954"/>
      <c r="W422" s="2954"/>
      <c r="X422" s="2954"/>
      <c r="Y422" s="2954"/>
      <c r="Z422" s="2954"/>
      <c r="AA422" s="2954"/>
      <c r="AB422" s="2954"/>
      <c r="AC422" s="2954"/>
      <c r="AD422" s="2954"/>
      <c r="AE422" s="2954"/>
      <c r="AF422" s="2954"/>
      <c r="AG422" s="2954"/>
      <c r="AH422" s="2954"/>
      <c r="AI422" s="2954"/>
      <c r="AJ422" s="2954"/>
      <c r="AK422" s="2954"/>
      <c r="AL422" s="2954"/>
      <c r="AM422" s="2954"/>
      <c r="AN422" s="2954"/>
      <c r="AO422" s="2954"/>
      <c r="AP422" s="2954"/>
      <c r="AQ422" s="2954"/>
      <c r="AR422" s="2954"/>
      <c r="AS422" s="2954"/>
      <c r="AT422" s="2954"/>
      <c r="AU422" s="2954"/>
      <c r="AV422" s="2954"/>
      <c r="AW422" s="2954"/>
      <c r="AX422" s="2954"/>
      <c r="AY422" s="2954"/>
      <c r="AZ422" s="2954"/>
      <c r="BA422" s="2954"/>
      <c r="BB422" s="2954"/>
      <c r="BC422" s="2954"/>
      <c r="BD422" s="2954"/>
      <c r="BE422" s="2954"/>
      <c r="BF422" s="2954"/>
      <c r="BG422" s="2954"/>
      <c r="BH422" s="2954"/>
      <c r="BI422" s="2954"/>
      <c r="BJ422" s="2954"/>
      <c r="BK422" s="2954"/>
      <c r="BL422" s="2954"/>
      <c r="BM422" s="2954"/>
      <c r="BN422" s="2954"/>
      <c r="BO422" s="2954"/>
      <c r="BP422" s="2954"/>
      <c r="BQ422" s="2954"/>
      <c r="BR422" s="2954"/>
      <c r="BS422" s="2954"/>
      <c r="BT422" s="2954"/>
      <c r="BU422" s="2954"/>
      <c r="BV422" s="2954"/>
      <c r="BW422" s="2954"/>
      <c r="BX422" s="2954"/>
      <c r="BY422" s="2954"/>
      <c r="BZ422" s="2954"/>
      <c r="CA422" s="2954"/>
      <c r="CB422" s="2954"/>
      <c r="CC422" s="2954"/>
      <c r="CD422" s="2954"/>
      <c r="CE422" s="2954"/>
      <c r="CF422" s="2954"/>
      <c r="CG422" s="2954"/>
      <c r="CH422" s="2954"/>
      <c r="CI422" s="2954"/>
      <c r="CJ422" s="2954"/>
      <c r="CK422" s="2954"/>
      <c r="CL422" s="2954"/>
      <c r="CM422" s="2954"/>
      <c r="CN422" s="2954"/>
      <c r="CO422" s="2954"/>
      <c r="CP422" s="2954"/>
      <c r="CQ422" s="2954"/>
      <c r="CR422" s="2954"/>
      <c r="CS422" s="2954"/>
      <c r="CT422" s="2954"/>
      <c r="CU422" s="2954"/>
      <c r="CV422" s="2954"/>
      <c r="CW422" s="2954"/>
      <c r="CX422" s="2954"/>
      <c r="CY422" s="2954"/>
      <c r="CZ422" s="2954"/>
      <c r="DA422" s="2954"/>
      <c r="DB422" s="2954"/>
      <c r="DC422" s="2954"/>
      <c r="DD422" s="2954"/>
      <c r="DE422" s="2954"/>
      <c r="DF422" s="2954"/>
      <c r="DG422" s="2954"/>
      <c r="DH422" s="2954"/>
      <c r="DI422" s="2954"/>
      <c r="DJ422" s="2954"/>
      <c r="DK422" s="2954"/>
      <c r="DL422" s="2954"/>
      <c r="DM422" s="2954"/>
      <c r="DN422" s="2954"/>
      <c r="DO422" s="2954"/>
      <c r="DP422" s="2954"/>
      <c r="DQ422" s="2954"/>
      <c r="DR422" s="2954"/>
      <c r="DS422" s="2954"/>
      <c r="DT422" s="2954"/>
      <c r="DU422" s="2954"/>
      <c r="DV422" s="2954"/>
    </row>
    <row r="423" s="799" customFormat="1" ht="14.25" hidden="1" customHeight="1" spans="1:126">
      <c r="A423" s="2952" t="s">
        <v>4214</v>
      </c>
      <c r="B423" s="2952"/>
      <c r="C423" s="2952" t="s">
        <v>6940</v>
      </c>
      <c r="D423" s="2952"/>
      <c r="E423" s="2952"/>
      <c r="F423" s="2952"/>
      <c r="G423" s="2952"/>
      <c r="H423" s="2952"/>
      <c r="I423" s="2952"/>
      <c r="J423" s="2952"/>
      <c r="K423" s="2952"/>
      <c r="L423" s="2952"/>
      <c r="M423" s="2952"/>
      <c r="N423" s="2952"/>
      <c r="O423" s="2952"/>
      <c r="P423" s="2952"/>
      <c r="Q423" s="2952"/>
      <c r="R423" s="2952"/>
      <c r="S423" s="2952"/>
      <c r="T423" s="2952"/>
      <c r="U423" s="2952"/>
      <c r="V423" s="2952" t="s">
        <v>6941</v>
      </c>
      <c r="W423" s="2952"/>
      <c r="X423" s="2952"/>
      <c r="Y423" s="2952"/>
      <c r="Z423" s="2952"/>
      <c r="AA423" s="2952"/>
      <c r="AB423" s="2952"/>
      <c r="AC423" s="2952"/>
      <c r="AD423" s="2952"/>
      <c r="AE423" s="2952"/>
      <c r="AF423" s="2952"/>
      <c r="AG423" s="2952" t="s">
        <v>6942</v>
      </c>
      <c r="AH423" s="2952"/>
      <c r="AI423" s="2952"/>
      <c r="AJ423" s="2952"/>
      <c r="AK423" s="2952"/>
      <c r="AL423" s="2952"/>
      <c r="AM423" s="2952"/>
      <c r="AN423" s="2952"/>
      <c r="AO423" s="2952"/>
      <c r="AP423" s="2952"/>
    </row>
    <row r="424" s="799" customFormat="1" ht="12.75" hidden="1" customHeight="1" spans="1:126">
      <c r="A424" s="2955">
        <f>UnosPorBilans!B221</f>
        <v>0</v>
      </c>
      <c r="B424" s="2955"/>
      <c r="C424" s="2955"/>
      <c r="D424" s="2955"/>
      <c r="E424" s="2955"/>
      <c r="F424" s="2955"/>
      <c r="G424" s="2955"/>
      <c r="H424" s="2955"/>
      <c r="I424" s="2955"/>
      <c r="J424" s="2955"/>
      <c r="K424" s="2955"/>
      <c r="L424" s="2955"/>
      <c r="M424" s="2955"/>
      <c r="N424" s="2955"/>
      <c r="O424" s="2955"/>
      <c r="P424" s="2955"/>
      <c r="Q424" s="2955"/>
      <c r="R424" s="2955"/>
      <c r="S424" s="2955"/>
      <c r="T424" s="2955"/>
      <c r="U424" s="2955"/>
      <c r="V424" s="2955">
        <f>UnosPorBilans!I221</f>
        <v>0</v>
      </c>
      <c r="W424" s="2955"/>
      <c r="X424" s="2955"/>
      <c r="Y424" s="2955"/>
      <c r="Z424" s="2955"/>
      <c r="AA424" s="2955"/>
      <c r="AB424" s="2955"/>
      <c r="AC424" s="2955"/>
      <c r="AD424" s="2955"/>
      <c r="AE424" s="2955"/>
      <c r="AF424" s="2955"/>
      <c r="AG424" s="2955">
        <f>UnosPorBilans!N221</f>
        <v>0</v>
      </c>
      <c r="AH424" s="2955"/>
      <c r="AI424" s="2955"/>
      <c r="AJ424" s="2955"/>
      <c r="AK424" s="2955"/>
      <c r="AL424" s="2955"/>
      <c r="AM424" s="2955"/>
      <c r="AN424" s="2955"/>
      <c r="AO424" s="2955"/>
      <c r="AP424" s="2955"/>
    </row>
    <row r="425" s="799" customFormat="1" ht="12.75" hidden="1" customHeight="1" spans="1:126">
      <c r="A425" s="2952" t="s">
        <v>6943</v>
      </c>
      <c r="B425" s="2952"/>
      <c r="C425" s="2952"/>
      <c r="D425" s="2952"/>
      <c r="E425" s="2952"/>
      <c r="F425" s="2952"/>
      <c r="G425" s="2952"/>
      <c r="H425" s="2952"/>
      <c r="I425" s="2952"/>
      <c r="J425" s="2952"/>
      <c r="K425" s="2952" t="s">
        <v>6944</v>
      </c>
      <c r="L425" s="2952"/>
      <c r="M425" s="2952"/>
      <c r="N425" s="2952"/>
      <c r="O425" s="2952"/>
      <c r="P425" s="2952"/>
      <c r="Q425" s="2952"/>
      <c r="R425" s="2952"/>
      <c r="S425" s="2952"/>
      <c r="T425" s="2952"/>
      <c r="U425" s="2952"/>
      <c r="V425" s="2952" t="s">
        <v>6945</v>
      </c>
      <c r="W425" s="2952"/>
      <c r="X425" s="2952"/>
      <c r="Y425" s="2952"/>
      <c r="Z425" s="2952"/>
      <c r="AA425" s="2952"/>
      <c r="AB425" s="2952"/>
      <c r="AC425" s="2952"/>
      <c r="AD425" s="2952"/>
      <c r="AE425" s="2952"/>
      <c r="AF425" s="2952"/>
      <c r="AG425" s="2952" t="s">
        <v>6946</v>
      </c>
      <c r="AH425" s="2952"/>
      <c r="AI425" s="2952"/>
      <c r="AJ425" s="2952"/>
      <c r="AK425" s="2952"/>
      <c r="AL425" s="2952"/>
      <c r="AM425" s="2952"/>
      <c r="AN425" s="2952"/>
      <c r="AO425" s="2952"/>
      <c r="AP425" s="2952"/>
    </row>
    <row r="426" s="799" customFormat="1" ht="12.75" hidden="1" customHeight="1" spans="1:126">
      <c r="A426" s="2955">
        <f>UnosPorBilans!S221</f>
        <v>0</v>
      </c>
      <c r="B426" s="2955"/>
      <c r="C426" s="2955"/>
      <c r="D426" s="2955"/>
      <c r="E426" s="2955"/>
      <c r="F426" s="2955"/>
      <c r="G426" s="2955"/>
      <c r="H426" s="2955"/>
      <c r="I426" s="2955"/>
      <c r="J426" s="2955"/>
      <c r="K426" s="2955">
        <f>UnosPorBilans!W221</f>
        <v>0</v>
      </c>
      <c r="L426" s="2955"/>
      <c r="M426" s="2955"/>
      <c r="N426" s="2955"/>
      <c r="O426" s="2955"/>
      <c r="P426" s="2955"/>
      <c r="Q426" s="2955"/>
      <c r="R426" s="2955"/>
      <c r="S426" s="2955"/>
      <c r="T426" s="2955"/>
      <c r="U426" s="2955"/>
      <c r="V426" s="2955">
        <f>UnosPorBilans!AB221</f>
        <v>0</v>
      </c>
      <c r="W426" s="2955"/>
      <c r="X426" s="2955"/>
      <c r="Y426" s="2955"/>
      <c r="Z426" s="2955"/>
      <c r="AA426" s="2955"/>
      <c r="AB426" s="2955"/>
      <c r="AC426" s="2955"/>
      <c r="AD426" s="2955"/>
      <c r="AE426" s="2955"/>
      <c r="AF426" s="2955"/>
      <c r="AG426" s="2955">
        <f>UnosPorBilans!AG221</f>
        <v>0</v>
      </c>
      <c r="AH426" s="2955"/>
      <c r="AI426" s="2955"/>
      <c r="AJ426" s="2955"/>
      <c r="AK426" s="2955"/>
      <c r="AL426" s="2955"/>
      <c r="AM426" s="2955"/>
      <c r="AN426" s="2955"/>
      <c r="AO426" s="2955"/>
      <c r="AP426" s="2955"/>
    </row>
    <row r="427" s="799" customFormat="1" ht="12.75" hidden="1" customHeight="1" spans="1:126">
      <c r="A427" s="2952" t="s">
        <v>6947</v>
      </c>
      <c r="B427" s="2952"/>
      <c r="C427" s="2952"/>
      <c r="D427" s="2952"/>
      <c r="E427" s="2952"/>
      <c r="F427" s="2952"/>
      <c r="G427" s="2952"/>
      <c r="H427" s="2952"/>
      <c r="I427" s="2952"/>
      <c r="J427" s="2952"/>
      <c r="K427" s="2952"/>
      <c r="L427" s="2952"/>
      <c r="M427" s="2952"/>
      <c r="N427" s="2952"/>
      <c r="O427" s="2952"/>
      <c r="P427" s="2952"/>
      <c r="Q427" s="2952"/>
      <c r="R427" s="2952"/>
      <c r="S427" s="2952"/>
      <c r="T427" s="2952"/>
      <c r="U427" s="2952"/>
      <c r="V427" s="2952" t="s">
        <v>6948</v>
      </c>
      <c r="W427" s="2952"/>
      <c r="X427" s="2952"/>
      <c r="Y427" s="2952"/>
      <c r="Z427" s="2952"/>
      <c r="AA427" s="2952"/>
      <c r="AB427" s="2952"/>
      <c r="AC427" s="2952"/>
      <c r="AD427" s="2952"/>
      <c r="AE427" s="2952"/>
      <c r="AF427" s="2952"/>
      <c r="AG427" s="2952"/>
      <c r="AH427" s="2952"/>
      <c r="AI427" s="2952"/>
      <c r="AJ427" s="2952"/>
      <c r="AK427" s="2952"/>
      <c r="AL427" s="2952"/>
      <c r="AM427" s="2952"/>
      <c r="AN427" s="2952"/>
      <c r="AO427" s="2952"/>
      <c r="AP427" s="2952"/>
    </row>
    <row r="428" s="799" customFormat="1" ht="12.75" hidden="1" customHeight="1" spans="1:126">
      <c r="A428" s="2955">
        <f>UnosPorBilans!AL221</f>
        <v>0</v>
      </c>
      <c r="B428" s="2955"/>
      <c r="C428" s="2955"/>
      <c r="D428" s="2955"/>
      <c r="E428" s="2955"/>
      <c r="F428" s="2955"/>
      <c r="G428" s="2955"/>
      <c r="H428" s="2955"/>
      <c r="I428" s="2955"/>
      <c r="J428" s="2955"/>
      <c r="K428" s="2955"/>
      <c r="L428" s="2955"/>
      <c r="M428" s="2955"/>
      <c r="N428" s="2955"/>
      <c r="O428" s="2955"/>
      <c r="P428" s="2955"/>
      <c r="Q428" s="2955"/>
      <c r="R428" s="2955"/>
      <c r="S428" s="2955"/>
      <c r="T428" s="2955"/>
      <c r="U428" s="2955"/>
      <c r="V428" s="2955">
        <f>UnosPorBilans!AS221</f>
        <v>0</v>
      </c>
      <c r="W428" s="2955"/>
      <c r="X428" s="2955"/>
      <c r="Y428" s="2955"/>
      <c r="Z428" s="2955"/>
      <c r="AA428" s="2955"/>
      <c r="AB428" s="2955"/>
      <c r="AC428" s="2955"/>
      <c r="AD428" s="2955"/>
      <c r="AE428" s="2955"/>
      <c r="AF428" s="2955"/>
      <c r="AG428" s="2955"/>
      <c r="AH428" s="2955"/>
      <c r="AI428" s="2955"/>
      <c r="AJ428" s="2955"/>
      <c r="AK428" s="2955"/>
      <c r="AL428" s="2955"/>
      <c r="AM428" s="2955"/>
      <c r="AN428" s="2955"/>
      <c r="AO428" s="2955"/>
      <c r="AP428" s="2955"/>
    </row>
    <row r="429" s="799" customFormat="1" ht="14.25" hidden="1" customHeight="1" spans="1:126">
      <c r="A429" s="2954"/>
      <c r="B429" s="2954"/>
      <c r="C429" s="2954"/>
      <c r="D429" s="2954"/>
      <c r="E429" s="2954"/>
      <c r="F429" s="2954"/>
      <c r="G429" s="2954"/>
      <c r="H429" s="2954"/>
      <c r="I429" s="2954"/>
      <c r="J429" s="2954"/>
      <c r="K429" s="2954"/>
      <c r="L429" s="2954"/>
      <c r="M429" s="2954"/>
      <c r="N429" s="2954"/>
      <c r="O429" s="2954"/>
      <c r="P429" s="2954"/>
      <c r="Q429" s="2954"/>
      <c r="R429" s="2954"/>
      <c r="S429" s="2954"/>
      <c r="T429" s="2954"/>
      <c r="U429" s="2954"/>
      <c r="V429" s="2954"/>
      <c r="W429" s="2954"/>
      <c r="X429" s="2954"/>
      <c r="Y429" s="2954"/>
      <c r="Z429" s="2954"/>
      <c r="AA429" s="2954"/>
      <c r="AB429" s="2954"/>
      <c r="AC429" s="2954"/>
      <c r="AD429" s="2954"/>
      <c r="AE429" s="2954"/>
      <c r="AF429" s="2954"/>
      <c r="AG429" s="2954"/>
      <c r="AH429" s="2954"/>
      <c r="AI429" s="2954"/>
      <c r="AJ429" s="2954"/>
      <c r="AK429" s="2954"/>
      <c r="AL429" s="2954"/>
      <c r="AM429" s="2954"/>
      <c r="AN429" s="2954"/>
      <c r="AO429" s="2954"/>
      <c r="AP429" s="2954"/>
      <c r="AQ429" s="2954"/>
      <c r="AR429" s="2954"/>
      <c r="AS429" s="2954"/>
      <c r="AT429" s="2954"/>
      <c r="AU429" s="2954"/>
      <c r="AV429" s="2954"/>
      <c r="AW429" s="2954"/>
      <c r="AX429" s="2954"/>
      <c r="AY429" s="2954"/>
      <c r="AZ429" s="2954"/>
      <c r="BA429" s="2954"/>
      <c r="BB429" s="2954"/>
      <c r="BC429" s="2954"/>
      <c r="BD429" s="2954"/>
      <c r="BE429" s="2954"/>
      <c r="BF429" s="2954"/>
      <c r="BG429" s="2954"/>
      <c r="BH429" s="2954"/>
      <c r="BI429" s="2954"/>
      <c r="BJ429" s="2954"/>
      <c r="BK429" s="2954"/>
      <c r="BL429" s="2954"/>
      <c r="BM429" s="2954"/>
      <c r="BN429" s="2954"/>
      <c r="BO429" s="2954"/>
      <c r="BP429" s="2954"/>
      <c r="BQ429" s="2954"/>
      <c r="BR429" s="2954"/>
      <c r="BS429" s="2954"/>
      <c r="BT429" s="2954"/>
      <c r="BU429" s="2954"/>
      <c r="BV429" s="2954"/>
      <c r="BW429" s="2954"/>
      <c r="BX429" s="2954"/>
      <c r="BY429" s="2954"/>
      <c r="BZ429" s="2954"/>
      <c r="CA429" s="2954"/>
      <c r="CB429" s="2954"/>
      <c r="CC429" s="2954"/>
      <c r="CD429" s="2954"/>
      <c r="CE429" s="2954"/>
      <c r="CF429" s="2954"/>
      <c r="CG429" s="2954"/>
      <c r="CH429" s="2954"/>
      <c r="CI429" s="2954"/>
      <c r="CJ429" s="2954"/>
      <c r="CK429" s="2954"/>
      <c r="CL429" s="2954"/>
      <c r="CM429" s="2954"/>
      <c r="CN429" s="2954"/>
      <c r="CO429" s="2954"/>
      <c r="CP429" s="2954"/>
      <c r="CQ429" s="2954"/>
      <c r="CR429" s="2954"/>
      <c r="CS429" s="2954"/>
      <c r="CT429" s="2954"/>
      <c r="CU429" s="2954"/>
      <c r="CV429" s="2954"/>
      <c r="CW429" s="2954"/>
      <c r="CX429" s="2954"/>
      <c r="CY429" s="2954"/>
      <c r="CZ429" s="2954"/>
      <c r="DA429" s="2954"/>
      <c r="DB429" s="2954"/>
      <c r="DC429" s="2954"/>
      <c r="DD429" s="2954"/>
      <c r="DE429" s="2954"/>
      <c r="DF429" s="2954"/>
      <c r="DG429" s="2954"/>
      <c r="DH429" s="2954"/>
      <c r="DI429" s="2954"/>
      <c r="DJ429" s="2954"/>
      <c r="DK429" s="2954"/>
      <c r="DL429" s="2954"/>
      <c r="DM429" s="2954"/>
      <c r="DN429" s="2954"/>
      <c r="DO429" s="2954"/>
      <c r="DP429" s="2954"/>
      <c r="DQ429" s="2954"/>
      <c r="DR429" s="2954"/>
      <c r="DS429" s="2954"/>
      <c r="DT429" s="2954"/>
      <c r="DU429" s="2954"/>
      <c r="DV429" s="2954"/>
    </row>
    <row r="430" s="799" customFormat="1" ht="14.25" hidden="1" customHeight="1" spans="1:126">
      <c r="A430" s="2952" t="s">
        <v>4214</v>
      </c>
      <c r="B430" s="2952"/>
      <c r="C430" s="2952" t="s">
        <v>6940</v>
      </c>
      <c r="D430" s="2952"/>
      <c r="E430" s="2952"/>
      <c r="F430" s="2952"/>
      <c r="G430" s="2952"/>
      <c r="H430" s="2952"/>
      <c r="I430" s="2952"/>
      <c r="J430" s="2952"/>
      <c r="K430" s="2952"/>
      <c r="L430" s="2952"/>
      <c r="M430" s="2952"/>
      <c r="N430" s="2952"/>
      <c r="O430" s="2952"/>
      <c r="P430" s="2952"/>
      <c r="Q430" s="2952"/>
      <c r="R430" s="2952"/>
      <c r="S430" s="2952"/>
      <c r="T430" s="2952"/>
      <c r="U430" s="2952"/>
      <c r="V430" s="2952" t="s">
        <v>6941</v>
      </c>
      <c r="W430" s="2952"/>
      <c r="X430" s="2952"/>
      <c r="Y430" s="2952"/>
      <c r="Z430" s="2952"/>
      <c r="AA430" s="2952"/>
      <c r="AB430" s="2952"/>
      <c r="AC430" s="2952"/>
      <c r="AD430" s="2952"/>
      <c r="AE430" s="2952"/>
      <c r="AF430" s="2952"/>
      <c r="AG430" s="2952" t="s">
        <v>6942</v>
      </c>
      <c r="AH430" s="2952"/>
      <c r="AI430" s="2952"/>
      <c r="AJ430" s="2952"/>
      <c r="AK430" s="2952"/>
      <c r="AL430" s="2952"/>
      <c r="AM430" s="2952"/>
      <c r="AN430" s="2952"/>
      <c r="AO430" s="2952"/>
      <c r="AP430" s="2952"/>
    </row>
    <row r="431" s="799" customFormat="1" ht="12.75" hidden="1" customHeight="1" spans="1:126">
      <c r="A431" s="2955">
        <f>UnosPorBilans!B222</f>
        <v>0</v>
      </c>
      <c r="B431" s="2955"/>
      <c r="C431" s="2955"/>
      <c r="D431" s="2955"/>
      <c r="E431" s="2955"/>
      <c r="F431" s="2955"/>
      <c r="G431" s="2955"/>
      <c r="H431" s="2955"/>
      <c r="I431" s="2955"/>
      <c r="J431" s="2955"/>
      <c r="K431" s="2955"/>
      <c r="L431" s="2955"/>
      <c r="M431" s="2955"/>
      <c r="N431" s="2955"/>
      <c r="O431" s="2955"/>
      <c r="P431" s="2955"/>
      <c r="Q431" s="2955"/>
      <c r="R431" s="2955"/>
      <c r="S431" s="2955"/>
      <c r="T431" s="2955"/>
      <c r="U431" s="2955"/>
      <c r="V431" s="2955">
        <f>UnosPorBilans!I222</f>
        <v>0</v>
      </c>
      <c r="W431" s="2955"/>
      <c r="X431" s="2955"/>
      <c r="Y431" s="2955"/>
      <c r="Z431" s="2955"/>
      <c r="AA431" s="2955"/>
      <c r="AB431" s="2955"/>
      <c r="AC431" s="2955"/>
      <c r="AD431" s="2955"/>
      <c r="AE431" s="2955"/>
      <c r="AF431" s="2955"/>
      <c r="AG431" s="2955">
        <f>UnosPorBilans!N222</f>
        <v>0</v>
      </c>
      <c r="AH431" s="2955"/>
      <c r="AI431" s="2955"/>
      <c r="AJ431" s="2955"/>
      <c r="AK431" s="2955"/>
      <c r="AL431" s="2955"/>
      <c r="AM431" s="2955"/>
      <c r="AN431" s="2955"/>
      <c r="AO431" s="2955"/>
      <c r="AP431" s="2955"/>
    </row>
    <row r="432" s="799" customFormat="1" ht="12.75" hidden="1" customHeight="1" spans="1:126">
      <c r="A432" s="2952" t="s">
        <v>6943</v>
      </c>
      <c r="B432" s="2952"/>
      <c r="C432" s="2952"/>
      <c r="D432" s="2952"/>
      <c r="E432" s="2952"/>
      <c r="F432" s="2952"/>
      <c r="G432" s="2952"/>
      <c r="H432" s="2952"/>
      <c r="I432" s="2952"/>
      <c r="J432" s="2952"/>
      <c r="K432" s="2952" t="s">
        <v>6944</v>
      </c>
      <c r="L432" s="2952"/>
      <c r="M432" s="2952"/>
      <c r="N432" s="2952"/>
      <c r="O432" s="2952"/>
      <c r="P432" s="2952"/>
      <c r="Q432" s="2952"/>
      <c r="R432" s="2952"/>
      <c r="S432" s="2952"/>
      <c r="T432" s="2952"/>
      <c r="U432" s="2952"/>
      <c r="V432" s="2952" t="s">
        <v>6945</v>
      </c>
      <c r="W432" s="2952"/>
      <c r="X432" s="2952"/>
      <c r="Y432" s="2952"/>
      <c r="Z432" s="2952"/>
      <c r="AA432" s="2952"/>
      <c r="AB432" s="2952"/>
      <c r="AC432" s="2952"/>
      <c r="AD432" s="2952"/>
      <c r="AE432" s="2952"/>
      <c r="AF432" s="2952"/>
      <c r="AG432" s="2952" t="s">
        <v>6946</v>
      </c>
      <c r="AH432" s="2952"/>
      <c r="AI432" s="2952"/>
      <c r="AJ432" s="2952"/>
      <c r="AK432" s="2952"/>
      <c r="AL432" s="2952"/>
      <c r="AM432" s="2952"/>
      <c r="AN432" s="2952"/>
      <c r="AO432" s="2952"/>
      <c r="AP432" s="2952"/>
    </row>
    <row r="433" s="799" customFormat="1" ht="12.75" hidden="1" customHeight="1" spans="1:126">
      <c r="A433" s="2955">
        <f>UnosPorBilans!S222</f>
        <v>0</v>
      </c>
      <c r="B433" s="2955"/>
      <c r="C433" s="2955"/>
      <c r="D433" s="2955"/>
      <c r="E433" s="2955"/>
      <c r="F433" s="2955"/>
      <c r="G433" s="2955"/>
      <c r="H433" s="2955"/>
      <c r="I433" s="2955"/>
      <c r="J433" s="2955"/>
      <c r="K433" s="2955">
        <f>UnosPorBilans!W222</f>
        <v>0</v>
      </c>
      <c r="L433" s="2955"/>
      <c r="M433" s="2955"/>
      <c r="N433" s="2955"/>
      <c r="O433" s="2955"/>
      <c r="P433" s="2955"/>
      <c r="Q433" s="2955"/>
      <c r="R433" s="2955"/>
      <c r="S433" s="2955"/>
      <c r="T433" s="2955"/>
      <c r="U433" s="2955"/>
      <c r="V433" s="2955">
        <f>UnosPorBilans!AB222</f>
        <v>0</v>
      </c>
      <c r="W433" s="2955"/>
      <c r="X433" s="2955"/>
      <c r="Y433" s="2955"/>
      <c r="Z433" s="2955"/>
      <c r="AA433" s="2955"/>
      <c r="AB433" s="2955"/>
      <c r="AC433" s="2955"/>
      <c r="AD433" s="2955"/>
      <c r="AE433" s="2955"/>
      <c r="AF433" s="2955"/>
      <c r="AG433" s="2955">
        <f>UnosPorBilans!AG222</f>
        <v>0</v>
      </c>
      <c r="AH433" s="2955"/>
      <c r="AI433" s="2955"/>
      <c r="AJ433" s="2955"/>
      <c r="AK433" s="2955"/>
      <c r="AL433" s="2955"/>
      <c r="AM433" s="2955"/>
      <c r="AN433" s="2955"/>
      <c r="AO433" s="2955"/>
      <c r="AP433" s="2955"/>
    </row>
    <row r="434" s="799" customFormat="1" ht="12.75" hidden="1" customHeight="1" spans="1:126">
      <c r="A434" s="2952" t="s">
        <v>6947</v>
      </c>
      <c r="B434" s="2952"/>
      <c r="C434" s="2952"/>
      <c r="D434" s="2952"/>
      <c r="E434" s="2952"/>
      <c r="F434" s="2952"/>
      <c r="G434" s="2952"/>
      <c r="H434" s="2952"/>
      <c r="I434" s="2952"/>
      <c r="J434" s="2952"/>
      <c r="K434" s="2952"/>
      <c r="L434" s="2952"/>
      <c r="M434" s="2952"/>
      <c r="N434" s="2952"/>
      <c r="O434" s="2952"/>
      <c r="P434" s="2952"/>
      <c r="Q434" s="2952"/>
      <c r="R434" s="2952"/>
      <c r="S434" s="2952"/>
      <c r="T434" s="2952"/>
      <c r="U434" s="2952"/>
      <c r="V434" s="2952" t="s">
        <v>6948</v>
      </c>
      <c r="W434" s="2952"/>
      <c r="X434" s="2952"/>
      <c r="Y434" s="2952"/>
      <c r="Z434" s="2952"/>
      <c r="AA434" s="2952"/>
      <c r="AB434" s="2952"/>
      <c r="AC434" s="2952"/>
      <c r="AD434" s="2952"/>
      <c r="AE434" s="2952"/>
      <c r="AF434" s="2952"/>
      <c r="AG434" s="2952"/>
      <c r="AH434" s="2952"/>
      <c r="AI434" s="2952"/>
      <c r="AJ434" s="2952"/>
      <c r="AK434" s="2952"/>
      <c r="AL434" s="2952"/>
      <c r="AM434" s="2952"/>
      <c r="AN434" s="2952"/>
      <c r="AO434" s="2952"/>
      <c r="AP434" s="2952"/>
    </row>
    <row r="435" s="799" customFormat="1" ht="12.75" hidden="1" customHeight="1" spans="1:126">
      <c r="A435" s="2955">
        <f>UnosPorBilans!AL222</f>
        <v>0</v>
      </c>
      <c r="B435" s="2955"/>
      <c r="C435" s="2955"/>
      <c r="D435" s="2955"/>
      <c r="E435" s="2955"/>
      <c r="F435" s="2955"/>
      <c r="G435" s="2955"/>
      <c r="H435" s="2955"/>
      <c r="I435" s="2955"/>
      <c r="J435" s="2955"/>
      <c r="K435" s="2955"/>
      <c r="L435" s="2955"/>
      <c r="M435" s="2955"/>
      <c r="N435" s="2955"/>
      <c r="O435" s="2955"/>
      <c r="P435" s="2955"/>
      <c r="Q435" s="2955"/>
      <c r="R435" s="2955"/>
      <c r="S435" s="2955"/>
      <c r="T435" s="2955"/>
      <c r="U435" s="2955"/>
      <c r="V435" s="2955">
        <f>UnosPorBilans!AS222</f>
        <v>0</v>
      </c>
      <c r="W435" s="2955"/>
      <c r="X435" s="2955"/>
      <c r="Y435" s="2955"/>
      <c r="Z435" s="2955"/>
      <c r="AA435" s="2955"/>
      <c r="AB435" s="2955"/>
      <c r="AC435" s="2955"/>
      <c r="AD435" s="2955"/>
      <c r="AE435" s="2955"/>
      <c r="AF435" s="2955"/>
      <c r="AG435" s="2955"/>
      <c r="AH435" s="2955"/>
      <c r="AI435" s="2955"/>
      <c r="AJ435" s="2955"/>
      <c r="AK435" s="2955"/>
      <c r="AL435" s="2955"/>
      <c r="AM435" s="2955"/>
      <c r="AN435" s="2955"/>
      <c r="AO435" s="2955"/>
      <c r="AP435" s="2955"/>
    </row>
    <row r="436" s="799" customFormat="1" ht="14.25" hidden="1" customHeight="1" spans="1:126">
      <c r="A436" s="2954"/>
      <c r="B436" s="2954"/>
      <c r="C436" s="2954"/>
      <c r="D436" s="2954"/>
      <c r="E436" s="2954"/>
      <c r="F436" s="2954"/>
      <c r="G436" s="2954"/>
      <c r="H436" s="2954"/>
      <c r="I436" s="2954"/>
      <c r="J436" s="2954"/>
      <c r="K436" s="2954"/>
      <c r="L436" s="2954"/>
      <c r="M436" s="2954"/>
      <c r="N436" s="2954"/>
      <c r="O436" s="2954"/>
      <c r="P436" s="2954"/>
      <c r="Q436" s="2954"/>
      <c r="R436" s="2954"/>
      <c r="S436" s="2954"/>
      <c r="T436" s="2954"/>
      <c r="U436" s="2954"/>
      <c r="V436" s="2954"/>
      <c r="W436" s="2954"/>
      <c r="X436" s="2954"/>
      <c r="Y436" s="2954"/>
      <c r="Z436" s="2954"/>
      <c r="AA436" s="2954"/>
      <c r="AB436" s="2954"/>
      <c r="AC436" s="2954"/>
      <c r="AD436" s="2954"/>
      <c r="AE436" s="2954"/>
      <c r="AF436" s="2954"/>
      <c r="AG436" s="2954"/>
      <c r="AH436" s="2954"/>
      <c r="AI436" s="2954"/>
      <c r="AJ436" s="2954"/>
      <c r="AK436" s="2954"/>
      <c r="AL436" s="2954"/>
      <c r="AM436" s="2954"/>
      <c r="AN436" s="2954"/>
      <c r="AO436" s="2954"/>
      <c r="AP436" s="2954"/>
      <c r="AQ436" s="2954"/>
      <c r="AR436" s="2954"/>
      <c r="AS436" s="2954"/>
      <c r="AT436" s="2954"/>
      <c r="AU436" s="2954"/>
      <c r="AV436" s="2954"/>
      <c r="AW436" s="2954"/>
      <c r="AX436" s="2954"/>
      <c r="AY436" s="2954"/>
      <c r="AZ436" s="2954"/>
      <c r="BA436" s="2954"/>
      <c r="BB436" s="2954"/>
      <c r="BC436" s="2954"/>
      <c r="BD436" s="2954"/>
      <c r="BE436" s="2954"/>
      <c r="BF436" s="2954"/>
      <c r="BG436" s="2954"/>
      <c r="BH436" s="2954"/>
      <c r="BI436" s="2954"/>
      <c r="BJ436" s="2954"/>
      <c r="BK436" s="2954"/>
      <c r="BL436" s="2954"/>
      <c r="BM436" s="2954"/>
      <c r="BN436" s="2954"/>
      <c r="BO436" s="2954"/>
      <c r="BP436" s="2954"/>
      <c r="BQ436" s="2954"/>
      <c r="BR436" s="2954"/>
      <c r="BS436" s="2954"/>
      <c r="BT436" s="2954"/>
      <c r="BU436" s="2954"/>
      <c r="BV436" s="2954"/>
      <c r="BW436" s="2954"/>
      <c r="BX436" s="2954"/>
      <c r="BY436" s="2954"/>
      <c r="BZ436" s="2954"/>
      <c r="CA436" s="2954"/>
      <c r="CB436" s="2954"/>
      <c r="CC436" s="2954"/>
      <c r="CD436" s="2954"/>
      <c r="CE436" s="2954"/>
      <c r="CF436" s="2954"/>
      <c r="CG436" s="2954"/>
      <c r="CH436" s="2954"/>
      <c r="CI436" s="2954"/>
      <c r="CJ436" s="2954"/>
      <c r="CK436" s="2954"/>
      <c r="CL436" s="2954"/>
      <c r="CM436" s="2954"/>
      <c r="CN436" s="2954"/>
      <c r="CO436" s="2954"/>
      <c r="CP436" s="2954"/>
      <c r="CQ436" s="2954"/>
      <c r="CR436" s="2954"/>
      <c r="CS436" s="2954"/>
      <c r="CT436" s="2954"/>
      <c r="CU436" s="2954"/>
      <c r="CV436" s="2954"/>
      <c r="CW436" s="2954"/>
      <c r="CX436" s="2954"/>
      <c r="CY436" s="2954"/>
      <c r="CZ436" s="2954"/>
      <c r="DA436" s="2954"/>
      <c r="DB436" s="2954"/>
      <c r="DC436" s="2954"/>
      <c r="DD436" s="2954"/>
      <c r="DE436" s="2954"/>
      <c r="DF436" s="2954"/>
      <c r="DG436" s="2954"/>
      <c r="DH436" s="2954"/>
      <c r="DI436" s="2954"/>
      <c r="DJ436" s="2954"/>
      <c r="DK436" s="2954"/>
      <c r="DL436" s="2954"/>
      <c r="DM436" s="2954"/>
      <c r="DN436" s="2954"/>
      <c r="DO436" s="2954"/>
      <c r="DP436" s="2954"/>
      <c r="DQ436" s="2954"/>
      <c r="DR436" s="2954"/>
      <c r="DS436" s="2954"/>
      <c r="DT436" s="2954"/>
      <c r="DU436" s="2954"/>
      <c r="DV436" s="2954"/>
    </row>
    <row r="437" s="799" customFormat="1" ht="14.25" hidden="1" customHeight="1" spans="1:126">
      <c r="A437" s="2952" t="s">
        <v>4214</v>
      </c>
      <c r="B437" s="2952"/>
      <c r="C437" s="2952" t="s">
        <v>6940</v>
      </c>
      <c r="D437" s="2952"/>
      <c r="E437" s="2952"/>
      <c r="F437" s="2952"/>
      <c r="G437" s="2952"/>
      <c r="H437" s="2952"/>
      <c r="I437" s="2952"/>
      <c r="J437" s="2952"/>
      <c r="K437" s="2952"/>
      <c r="L437" s="2952"/>
      <c r="M437" s="2952"/>
      <c r="N437" s="2952"/>
      <c r="O437" s="2952"/>
      <c r="P437" s="2952"/>
      <c r="Q437" s="2952"/>
      <c r="R437" s="2952"/>
      <c r="S437" s="2952"/>
      <c r="T437" s="2952"/>
      <c r="U437" s="2952"/>
      <c r="V437" s="2952" t="s">
        <v>6941</v>
      </c>
      <c r="W437" s="2952"/>
      <c r="X437" s="2952"/>
      <c r="Y437" s="2952"/>
      <c r="Z437" s="2952"/>
      <c r="AA437" s="2952"/>
      <c r="AB437" s="2952"/>
      <c r="AC437" s="2952"/>
      <c r="AD437" s="2952"/>
      <c r="AE437" s="2952"/>
      <c r="AF437" s="2952"/>
      <c r="AG437" s="2952" t="s">
        <v>6942</v>
      </c>
      <c r="AH437" s="2952"/>
      <c r="AI437" s="2952"/>
      <c r="AJ437" s="2952"/>
      <c r="AK437" s="2952"/>
      <c r="AL437" s="2952"/>
      <c r="AM437" s="2952"/>
      <c r="AN437" s="2952"/>
      <c r="AO437" s="2952"/>
      <c r="AP437" s="2952"/>
    </row>
    <row r="438" s="799" customFormat="1" ht="12.75" hidden="1" customHeight="1" spans="1:126">
      <c r="A438" s="2955">
        <f>UnosPorBilans!B223</f>
        <v>0</v>
      </c>
      <c r="B438" s="2955"/>
      <c r="C438" s="2955"/>
      <c r="D438" s="2955"/>
      <c r="E438" s="2955"/>
      <c r="F438" s="2955"/>
      <c r="G438" s="2955"/>
      <c r="H438" s="2955"/>
      <c r="I438" s="2955"/>
      <c r="J438" s="2955"/>
      <c r="K438" s="2955"/>
      <c r="L438" s="2955"/>
      <c r="M438" s="2955"/>
      <c r="N438" s="2955"/>
      <c r="O438" s="2955"/>
      <c r="P438" s="2955"/>
      <c r="Q438" s="2955"/>
      <c r="R438" s="2955"/>
      <c r="S438" s="2955"/>
      <c r="T438" s="2955"/>
      <c r="U438" s="2955"/>
      <c r="V438" s="2955">
        <f>UnosPorBilans!I223</f>
        <v>0</v>
      </c>
      <c r="W438" s="2955"/>
      <c r="X438" s="2955"/>
      <c r="Y438" s="2955"/>
      <c r="Z438" s="2955"/>
      <c r="AA438" s="2955"/>
      <c r="AB438" s="2955"/>
      <c r="AC438" s="2955"/>
      <c r="AD438" s="2955"/>
      <c r="AE438" s="2955"/>
      <c r="AF438" s="2955"/>
      <c r="AG438" s="2955">
        <f>UnosPorBilans!N223</f>
        <v>0</v>
      </c>
      <c r="AH438" s="2955"/>
      <c r="AI438" s="2955"/>
      <c r="AJ438" s="2955"/>
      <c r="AK438" s="2955"/>
      <c r="AL438" s="2955"/>
      <c r="AM438" s="2955"/>
      <c r="AN438" s="2955"/>
      <c r="AO438" s="2955"/>
      <c r="AP438" s="2955"/>
    </row>
    <row r="439" s="799" customFormat="1" ht="12.75" hidden="1" customHeight="1" spans="1:126">
      <c r="A439" s="2952" t="s">
        <v>6943</v>
      </c>
      <c r="B439" s="2952"/>
      <c r="C439" s="2952"/>
      <c r="D439" s="2952"/>
      <c r="E439" s="2952"/>
      <c r="F439" s="2952"/>
      <c r="G439" s="2952"/>
      <c r="H439" s="2952"/>
      <c r="I439" s="2952"/>
      <c r="J439" s="2952"/>
      <c r="K439" s="2952" t="s">
        <v>6944</v>
      </c>
      <c r="L439" s="2952"/>
      <c r="M439" s="2952"/>
      <c r="N439" s="2952"/>
      <c r="O439" s="2952"/>
      <c r="P439" s="2952"/>
      <c r="Q439" s="2952"/>
      <c r="R439" s="2952"/>
      <c r="S439" s="2952"/>
      <c r="T439" s="2952"/>
      <c r="U439" s="2952"/>
      <c r="V439" s="2952" t="s">
        <v>6945</v>
      </c>
      <c r="W439" s="2952"/>
      <c r="X439" s="2952"/>
      <c r="Y439" s="2952"/>
      <c r="Z439" s="2952"/>
      <c r="AA439" s="2952"/>
      <c r="AB439" s="2952"/>
      <c r="AC439" s="2952"/>
      <c r="AD439" s="2952"/>
      <c r="AE439" s="2952"/>
      <c r="AF439" s="2952"/>
      <c r="AG439" s="2952" t="s">
        <v>6946</v>
      </c>
      <c r="AH439" s="2952"/>
      <c r="AI439" s="2952"/>
      <c r="AJ439" s="2952"/>
      <c r="AK439" s="2952"/>
      <c r="AL439" s="2952"/>
      <c r="AM439" s="2952"/>
      <c r="AN439" s="2952"/>
      <c r="AO439" s="2952"/>
      <c r="AP439" s="2952"/>
    </row>
    <row r="440" s="799" customFormat="1" ht="12.75" hidden="1" customHeight="1" spans="1:126">
      <c r="A440" s="2955">
        <f>UnosPorBilans!S223</f>
        <v>0</v>
      </c>
      <c r="B440" s="2955"/>
      <c r="C440" s="2955"/>
      <c r="D440" s="2955"/>
      <c r="E440" s="2955"/>
      <c r="F440" s="2955"/>
      <c r="G440" s="2955"/>
      <c r="H440" s="2955"/>
      <c r="I440" s="2955"/>
      <c r="J440" s="2955"/>
      <c r="K440" s="2955">
        <f>UnosPorBilans!W223</f>
        <v>0</v>
      </c>
      <c r="L440" s="2955"/>
      <c r="M440" s="2955"/>
      <c r="N440" s="2955"/>
      <c r="O440" s="2955"/>
      <c r="P440" s="2955"/>
      <c r="Q440" s="2955"/>
      <c r="R440" s="2955"/>
      <c r="S440" s="2955"/>
      <c r="T440" s="2955"/>
      <c r="U440" s="2955"/>
      <c r="V440" s="2955">
        <f>UnosPorBilans!AB223</f>
        <v>0</v>
      </c>
      <c r="W440" s="2955"/>
      <c r="X440" s="2955"/>
      <c r="Y440" s="2955"/>
      <c r="Z440" s="2955"/>
      <c r="AA440" s="2955"/>
      <c r="AB440" s="2955"/>
      <c r="AC440" s="2955"/>
      <c r="AD440" s="2955"/>
      <c r="AE440" s="2955"/>
      <c r="AF440" s="2955"/>
      <c r="AG440" s="2955">
        <f>UnosPorBilans!AG223</f>
        <v>0</v>
      </c>
      <c r="AH440" s="2955"/>
      <c r="AI440" s="2955"/>
      <c r="AJ440" s="2955"/>
      <c r="AK440" s="2955"/>
      <c r="AL440" s="2955"/>
      <c r="AM440" s="2955"/>
      <c r="AN440" s="2955"/>
      <c r="AO440" s="2955"/>
      <c r="AP440" s="2955"/>
    </row>
    <row r="441" s="799" customFormat="1" ht="12.75" hidden="1" customHeight="1" spans="1:126">
      <c r="A441" s="2952" t="s">
        <v>6947</v>
      </c>
      <c r="B441" s="2952"/>
      <c r="C441" s="2952"/>
      <c r="D441" s="2952"/>
      <c r="E441" s="2952"/>
      <c r="F441" s="2952"/>
      <c r="G441" s="2952"/>
      <c r="H441" s="2952"/>
      <c r="I441" s="2952"/>
      <c r="J441" s="2952"/>
      <c r="K441" s="2952"/>
      <c r="L441" s="2952"/>
      <c r="M441" s="2952"/>
      <c r="N441" s="2952"/>
      <c r="O441" s="2952"/>
      <c r="P441" s="2952"/>
      <c r="Q441" s="2952"/>
      <c r="R441" s="2952"/>
      <c r="S441" s="2952"/>
      <c r="T441" s="2952"/>
      <c r="U441" s="2952"/>
      <c r="V441" s="2952" t="s">
        <v>6948</v>
      </c>
      <c r="W441" s="2952"/>
      <c r="X441" s="2952"/>
      <c r="Y441" s="2952"/>
      <c r="Z441" s="2952"/>
      <c r="AA441" s="2952"/>
      <c r="AB441" s="2952"/>
      <c r="AC441" s="2952"/>
      <c r="AD441" s="2952"/>
      <c r="AE441" s="2952"/>
      <c r="AF441" s="2952"/>
      <c r="AG441" s="2952"/>
      <c r="AH441" s="2952"/>
      <c r="AI441" s="2952"/>
      <c r="AJ441" s="2952"/>
      <c r="AK441" s="2952"/>
      <c r="AL441" s="2952"/>
      <c r="AM441" s="2952"/>
      <c r="AN441" s="2952"/>
      <c r="AO441" s="2952"/>
      <c r="AP441" s="2952"/>
    </row>
    <row r="442" s="799" customFormat="1" ht="12.75" hidden="1" customHeight="1" spans="1:126">
      <c r="A442" s="2955">
        <f>UnosPorBilans!AL223</f>
        <v>0</v>
      </c>
      <c r="B442" s="2955"/>
      <c r="C442" s="2955"/>
      <c r="D442" s="2955"/>
      <c r="E442" s="2955"/>
      <c r="F442" s="2955"/>
      <c r="G442" s="2955"/>
      <c r="H442" s="2955"/>
      <c r="I442" s="2955"/>
      <c r="J442" s="2955"/>
      <c r="K442" s="2955"/>
      <c r="L442" s="2955"/>
      <c r="M442" s="2955"/>
      <c r="N442" s="2955"/>
      <c r="O442" s="2955"/>
      <c r="P442" s="2955"/>
      <c r="Q442" s="2955"/>
      <c r="R442" s="2955"/>
      <c r="S442" s="2955"/>
      <c r="T442" s="2955"/>
      <c r="U442" s="2955"/>
      <c r="V442" s="2955">
        <f>UnosPorBilans!AS223</f>
        <v>0</v>
      </c>
      <c r="W442" s="2955"/>
      <c r="X442" s="2955"/>
      <c r="Y442" s="2955"/>
      <c r="Z442" s="2955"/>
      <c r="AA442" s="2955"/>
      <c r="AB442" s="2955"/>
      <c r="AC442" s="2955"/>
      <c r="AD442" s="2955"/>
      <c r="AE442" s="2955"/>
      <c r="AF442" s="2955"/>
      <c r="AG442" s="2955"/>
      <c r="AH442" s="2955"/>
      <c r="AI442" s="2955"/>
      <c r="AJ442" s="2955"/>
      <c r="AK442" s="2955"/>
      <c r="AL442" s="2955"/>
      <c r="AM442" s="2955"/>
      <c r="AN442" s="2955"/>
      <c r="AO442" s="2955"/>
      <c r="AP442" s="2955"/>
    </row>
    <row r="443" s="799" customFormat="1" ht="14.25" hidden="1" customHeight="1" spans="1:126">
      <c r="A443" s="2954"/>
      <c r="B443" s="2954"/>
      <c r="C443" s="2954"/>
      <c r="D443" s="2954"/>
      <c r="E443" s="2954"/>
      <c r="F443" s="2954"/>
      <c r="G443" s="2954"/>
      <c r="H443" s="2954"/>
      <c r="I443" s="2954"/>
      <c r="J443" s="2954"/>
      <c r="K443" s="2954"/>
      <c r="L443" s="2954"/>
      <c r="M443" s="2954"/>
      <c r="N443" s="2954"/>
      <c r="O443" s="2954"/>
      <c r="P443" s="2954"/>
      <c r="Q443" s="2954"/>
      <c r="R443" s="2954"/>
      <c r="S443" s="2954"/>
      <c r="T443" s="2954"/>
      <c r="U443" s="2954"/>
      <c r="V443" s="2954"/>
      <c r="W443" s="2954"/>
      <c r="X443" s="2954"/>
      <c r="Y443" s="2954"/>
      <c r="Z443" s="2954"/>
      <c r="AA443" s="2954"/>
      <c r="AB443" s="2954"/>
      <c r="AC443" s="2954"/>
      <c r="AD443" s="2954"/>
      <c r="AE443" s="2954"/>
      <c r="AF443" s="2954"/>
      <c r="AG443" s="2954"/>
      <c r="AH443" s="2954"/>
      <c r="AI443" s="2954"/>
      <c r="AJ443" s="2954"/>
      <c r="AK443" s="2954"/>
      <c r="AL443" s="2954"/>
      <c r="AM443" s="2954"/>
      <c r="AN443" s="2954"/>
      <c r="AO443" s="2954"/>
      <c r="AP443" s="2954"/>
      <c r="AQ443" s="2954"/>
      <c r="AR443" s="2954"/>
      <c r="AS443" s="2954"/>
      <c r="AT443" s="2954"/>
      <c r="AU443" s="2954"/>
      <c r="AV443" s="2954"/>
      <c r="AW443" s="2954"/>
      <c r="AX443" s="2954"/>
      <c r="AY443" s="2954"/>
      <c r="AZ443" s="2954"/>
      <c r="BA443" s="2954"/>
      <c r="BB443" s="2954"/>
      <c r="BC443" s="2954"/>
      <c r="BD443" s="2954"/>
      <c r="BE443" s="2954"/>
      <c r="BF443" s="2954"/>
      <c r="BG443" s="2954"/>
      <c r="BH443" s="2954"/>
      <c r="BI443" s="2954"/>
      <c r="BJ443" s="2954"/>
      <c r="BK443" s="2954"/>
      <c r="BL443" s="2954"/>
      <c r="BM443" s="2954"/>
      <c r="BN443" s="2954"/>
      <c r="BO443" s="2954"/>
      <c r="BP443" s="2954"/>
      <c r="BQ443" s="2954"/>
      <c r="BR443" s="2954"/>
      <c r="BS443" s="2954"/>
      <c r="BT443" s="2954"/>
      <c r="BU443" s="2954"/>
      <c r="BV443" s="2954"/>
      <c r="BW443" s="2954"/>
      <c r="BX443" s="2954"/>
      <c r="BY443" s="2954"/>
      <c r="BZ443" s="2954"/>
      <c r="CA443" s="2954"/>
      <c r="CB443" s="2954"/>
      <c r="CC443" s="2954"/>
      <c r="CD443" s="2954"/>
      <c r="CE443" s="2954"/>
      <c r="CF443" s="2954"/>
      <c r="CG443" s="2954"/>
      <c r="CH443" s="2954"/>
      <c r="CI443" s="2954"/>
      <c r="CJ443" s="2954"/>
      <c r="CK443" s="2954"/>
      <c r="CL443" s="2954"/>
      <c r="CM443" s="2954"/>
      <c r="CN443" s="2954"/>
      <c r="CO443" s="2954"/>
      <c r="CP443" s="2954"/>
      <c r="CQ443" s="2954"/>
      <c r="CR443" s="2954"/>
      <c r="CS443" s="2954"/>
      <c r="CT443" s="2954"/>
      <c r="CU443" s="2954"/>
      <c r="CV443" s="2954"/>
      <c r="CW443" s="2954"/>
      <c r="CX443" s="2954"/>
      <c r="CY443" s="2954"/>
      <c r="CZ443" s="2954"/>
      <c r="DA443" s="2954"/>
      <c r="DB443" s="2954"/>
      <c r="DC443" s="2954"/>
      <c r="DD443" s="2954"/>
      <c r="DE443" s="2954"/>
      <c r="DF443" s="2954"/>
      <c r="DG443" s="2954"/>
      <c r="DH443" s="2954"/>
      <c r="DI443" s="2954"/>
      <c r="DJ443" s="2954"/>
      <c r="DK443" s="2954"/>
      <c r="DL443" s="2954"/>
      <c r="DM443" s="2954"/>
      <c r="DN443" s="2954"/>
      <c r="DO443" s="2954"/>
      <c r="DP443" s="2954"/>
      <c r="DQ443" s="2954"/>
      <c r="DR443" s="2954"/>
      <c r="DS443" s="2954"/>
      <c r="DT443" s="2954"/>
      <c r="DU443" s="2954"/>
      <c r="DV443" s="2954"/>
    </row>
    <row r="444" s="799" customFormat="1" ht="14.25" hidden="1" customHeight="1" spans="1:126">
      <c r="A444" s="2952" t="s">
        <v>4214</v>
      </c>
      <c r="B444" s="2952"/>
      <c r="C444" s="2952" t="s">
        <v>6940</v>
      </c>
      <c r="D444" s="2952"/>
      <c r="E444" s="2952"/>
      <c r="F444" s="2952"/>
      <c r="G444" s="2952"/>
      <c r="H444" s="2952"/>
      <c r="I444" s="2952"/>
      <c r="J444" s="2952"/>
      <c r="K444" s="2952"/>
      <c r="L444" s="2952"/>
      <c r="M444" s="2952"/>
      <c r="N444" s="2952"/>
      <c r="O444" s="2952"/>
      <c r="P444" s="2952"/>
      <c r="Q444" s="2952"/>
      <c r="R444" s="2952"/>
      <c r="S444" s="2952"/>
      <c r="T444" s="2952"/>
      <c r="U444" s="2952"/>
      <c r="V444" s="2952" t="s">
        <v>6941</v>
      </c>
      <c r="W444" s="2952"/>
      <c r="X444" s="2952"/>
      <c r="Y444" s="2952"/>
      <c r="Z444" s="2952"/>
      <c r="AA444" s="2952"/>
      <c r="AB444" s="2952"/>
      <c r="AC444" s="2952"/>
      <c r="AD444" s="2952"/>
      <c r="AE444" s="2952"/>
      <c r="AF444" s="2952"/>
      <c r="AG444" s="2952" t="s">
        <v>6942</v>
      </c>
      <c r="AH444" s="2952"/>
      <c r="AI444" s="2952"/>
      <c r="AJ444" s="2952"/>
      <c r="AK444" s="2952"/>
      <c r="AL444" s="2952"/>
      <c r="AM444" s="2952"/>
      <c r="AN444" s="2952"/>
      <c r="AO444" s="2952"/>
      <c r="AP444" s="2952"/>
    </row>
    <row r="445" s="799" customFormat="1" ht="12.75" hidden="1" customHeight="1" spans="1:126">
      <c r="A445" s="2955">
        <f>UnosPorBilans!B224</f>
        <v>0</v>
      </c>
      <c r="B445" s="2955"/>
      <c r="C445" s="2955"/>
      <c r="D445" s="2955"/>
      <c r="E445" s="2955"/>
      <c r="F445" s="2955"/>
      <c r="G445" s="2955"/>
      <c r="H445" s="2955"/>
      <c r="I445" s="2955"/>
      <c r="J445" s="2955"/>
      <c r="K445" s="2955"/>
      <c r="L445" s="2955"/>
      <c r="M445" s="2955"/>
      <c r="N445" s="2955"/>
      <c r="O445" s="2955"/>
      <c r="P445" s="2955"/>
      <c r="Q445" s="2955"/>
      <c r="R445" s="2955"/>
      <c r="S445" s="2955"/>
      <c r="T445" s="2955"/>
      <c r="U445" s="2955"/>
      <c r="V445" s="2955">
        <f>UnosPorBilans!I224</f>
        <v>0</v>
      </c>
      <c r="W445" s="2955"/>
      <c r="X445" s="2955"/>
      <c r="Y445" s="2955"/>
      <c r="Z445" s="2955"/>
      <c r="AA445" s="2955"/>
      <c r="AB445" s="2955"/>
      <c r="AC445" s="2955"/>
      <c r="AD445" s="2955"/>
      <c r="AE445" s="2955"/>
      <c r="AF445" s="2955"/>
      <c r="AG445" s="2955">
        <f>UnosPorBilans!N224</f>
        <v>0</v>
      </c>
      <c r="AH445" s="2955"/>
      <c r="AI445" s="2955"/>
      <c r="AJ445" s="2955"/>
      <c r="AK445" s="2955"/>
      <c r="AL445" s="2955"/>
      <c r="AM445" s="2955"/>
      <c r="AN445" s="2955"/>
      <c r="AO445" s="2955"/>
      <c r="AP445" s="2955"/>
    </row>
    <row r="446" s="799" customFormat="1" ht="12.75" hidden="1" customHeight="1" spans="1:126">
      <c r="A446" s="2952" t="s">
        <v>6943</v>
      </c>
      <c r="B446" s="2952"/>
      <c r="C446" s="2952"/>
      <c r="D446" s="2952"/>
      <c r="E446" s="2952"/>
      <c r="F446" s="2952"/>
      <c r="G446" s="2952"/>
      <c r="H446" s="2952"/>
      <c r="I446" s="2952"/>
      <c r="J446" s="2952"/>
      <c r="K446" s="2952" t="s">
        <v>6944</v>
      </c>
      <c r="L446" s="2952"/>
      <c r="M446" s="2952"/>
      <c r="N446" s="2952"/>
      <c r="O446" s="2952"/>
      <c r="P446" s="2952"/>
      <c r="Q446" s="2952"/>
      <c r="R446" s="2952"/>
      <c r="S446" s="2952"/>
      <c r="T446" s="2952"/>
      <c r="U446" s="2952"/>
      <c r="V446" s="2952" t="s">
        <v>6945</v>
      </c>
      <c r="W446" s="2952"/>
      <c r="X446" s="2952"/>
      <c r="Y446" s="2952"/>
      <c r="Z446" s="2952"/>
      <c r="AA446" s="2952"/>
      <c r="AB446" s="2952"/>
      <c r="AC446" s="2952"/>
      <c r="AD446" s="2952"/>
      <c r="AE446" s="2952"/>
      <c r="AF446" s="2952"/>
      <c r="AG446" s="2952" t="s">
        <v>6946</v>
      </c>
      <c r="AH446" s="2952"/>
      <c r="AI446" s="2952"/>
      <c r="AJ446" s="2952"/>
      <c r="AK446" s="2952"/>
      <c r="AL446" s="2952"/>
      <c r="AM446" s="2952"/>
      <c r="AN446" s="2952"/>
      <c r="AO446" s="2952"/>
      <c r="AP446" s="2952"/>
    </row>
    <row r="447" s="799" customFormat="1" ht="12.75" hidden="1" customHeight="1" spans="1:126">
      <c r="A447" s="2955">
        <f>UnosPorBilans!S224</f>
        <v>0</v>
      </c>
      <c r="B447" s="2955"/>
      <c r="C447" s="2955"/>
      <c r="D447" s="2955"/>
      <c r="E447" s="2955"/>
      <c r="F447" s="2955"/>
      <c r="G447" s="2955"/>
      <c r="H447" s="2955"/>
      <c r="I447" s="2955"/>
      <c r="J447" s="2955"/>
      <c r="K447" s="2955">
        <f>UnosPorBilans!W224</f>
        <v>0</v>
      </c>
      <c r="L447" s="2955"/>
      <c r="M447" s="2955"/>
      <c r="N447" s="2955"/>
      <c r="O447" s="2955"/>
      <c r="P447" s="2955"/>
      <c r="Q447" s="2955"/>
      <c r="R447" s="2955"/>
      <c r="S447" s="2955"/>
      <c r="T447" s="2955"/>
      <c r="U447" s="2955"/>
      <c r="V447" s="2955">
        <f>UnosPorBilans!AB224</f>
        <v>0</v>
      </c>
      <c r="W447" s="2955"/>
      <c r="X447" s="2955"/>
      <c r="Y447" s="2955"/>
      <c r="Z447" s="2955"/>
      <c r="AA447" s="2955"/>
      <c r="AB447" s="2955"/>
      <c r="AC447" s="2955"/>
      <c r="AD447" s="2955"/>
      <c r="AE447" s="2955"/>
      <c r="AF447" s="2955"/>
      <c r="AG447" s="2955">
        <f>UnosPorBilans!AG224</f>
        <v>0</v>
      </c>
      <c r="AH447" s="2955"/>
      <c r="AI447" s="2955"/>
      <c r="AJ447" s="2955"/>
      <c r="AK447" s="2955"/>
      <c r="AL447" s="2955"/>
      <c r="AM447" s="2955"/>
      <c r="AN447" s="2955"/>
      <c r="AO447" s="2955"/>
      <c r="AP447" s="2955"/>
    </row>
    <row r="448" s="799" customFormat="1" ht="12.75" hidden="1" customHeight="1" spans="1:126">
      <c r="A448" s="2952" t="s">
        <v>6947</v>
      </c>
      <c r="B448" s="2952"/>
      <c r="C448" s="2952"/>
      <c r="D448" s="2952"/>
      <c r="E448" s="2952"/>
      <c r="F448" s="2952"/>
      <c r="G448" s="2952"/>
      <c r="H448" s="2952"/>
      <c r="I448" s="2952"/>
      <c r="J448" s="2952"/>
      <c r="K448" s="2952"/>
      <c r="L448" s="2952"/>
      <c r="M448" s="2952"/>
      <c r="N448" s="2952"/>
      <c r="O448" s="2952"/>
      <c r="P448" s="2952"/>
      <c r="Q448" s="2952"/>
      <c r="R448" s="2952"/>
      <c r="S448" s="2952"/>
      <c r="T448" s="2952"/>
      <c r="U448" s="2952"/>
      <c r="V448" s="2952" t="s">
        <v>6948</v>
      </c>
      <c r="W448" s="2952"/>
      <c r="X448" s="2952"/>
      <c r="Y448" s="2952"/>
      <c r="Z448" s="2952"/>
      <c r="AA448" s="2952"/>
      <c r="AB448" s="2952"/>
      <c r="AC448" s="2952"/>
      <c r="AD448" s="2952"/>
      <c r="AE448" s="2952"/>
      <c r="AF448" s="2952"/>
      <c r="AG448" s="2952"/>
      <c r="AH448" s="2952"/>
      <c r="AI448" s="2952"/>
      <c r="AJ448" s="2952"/>
      <c r="AK448" s="2952"/>
      <c r="AL448" s="2952"/>
      <c r="AM448" s="2952"/>
      <c r="AN448" s="2952"/>
      <c r="AO448" s="2952"/>
      <c r="AP448" s="2952"/>
    </row>
    <row r="449" s="799" customFormat="1" ht="12.75" hidden="1" customHeight="1" spans="1:126">
      <c r="A449" s="2955">
        <f>UnosPorBilans!AL224</f>
        <v>0</v>
      </c>
      <c r="B449" s="2955"/>
      <c r="C449" s="2955"/>
      <c r="D449" s="2955"/>
      <c r="E449" s="2955"/>
      <c r="F449" s="2955"/>
      <c r="G449" s="2955"/>
      <c r="H449" s="2955"/>
      <c r="I449" s="2955"/>
      <c r="J449" s="2955"/>
      <c r="K449" s="2955"/>
      <c r="L449" s="2955"/>
      <c r="M449" s="2955"/>
      <c r="N449" s="2955"/>
      <c r="O449" s="2955"/>
      <c r="P449" s="2955"/>
      <c r="Q449" s="2955"/>
      <c r="R449" s="2955"/>
      <c r="S449" s="2955"/>
      <c r="T449" s="2955"/>
      <c r="U449" s="2955"/>
      <c r="V449" s="2955">
        <f>UnosPorBilans!AS224</f>
        <v>0</v>
      </c>
      <c r="W449" s="2955"/>
      <c r="X449" s="2955"/>
      <c r="Y449" s="2955"/>
      <c r="Z449" s="2955"/>
      <c r="AA449" s="2955"/>
      <c r="AB449" s="2955"/>
      <c r="AC449" s="2955"/>
      <c r="AD449" s="2955"/>
      <c r="AE449" s="2955"/>
      <c r="AF449" s="2955"/>
      <c r="AG449" s="2955"/>
      <c r="AH449" s="2955"/>
      <c r="AI449" s="2955"/>
      <c r="AJ449" s="2955"/>
      <c r="AK449" s="2955"/>
      <c r="AL449" s="2955"/>
      <c r="AM449" s="2955"/>
      <c r="AN449" s="2955"/>
      <c r="AO449" s="2955"/>
      <c r="AP449" s="2955"/>
    </row>
    <row r="450" s="799" customFormat="1" ht="14.25" hidden="1" customHeight="1" spans="1:126">
      <c r="A450" s="2954"/>
      <c r="B450" s="2954"/>
      <c r="C450" s="2954"/>
      <c r="D450" s="2954"/>
      <c r="E450" s="2954"/>
      <c r="F450" s="2954"/>
      <c r="G450" s="2954"/>
      <c r="H450" s="2954"/>
      <c r="I450" s="2954"/>
      <c r="J450" s="2954"/>
      <c r="K450" s="2954"/>
      <c r="L450" s="2954"/>
      <c r="M450" s="2954"/>
      <c r="N450" s="2954"/>
      <c r="O450" s="2954"/>
      <c r="P450" s="2954"/>
      <c r="Q450" s="2954"/>
      <c r="R450" s="2954"/>
      <c r="S450" s="2954"/>
      <c r="T450" s="2954"/>
      <c r="U450" s="2954"/>
      <c r="V450" s="2954"/>
      <c r="W450" s="2954"/>
      <c r="X450" s="2954"/>
      <c r="Y450" s="2954"/>
      <c r="Z450" s="2954"/>
      <c r="AA450" s="2954"/>
      <c r="AB450" s="2954"/>
      <c r="AC450" s="2954"/>
      <c r="AD450" s="2954"/>
      <c r="AE450" s="2954"/>
      <c r="AF450" s="2954"/>
      <c r="AG450" s="2954"/>
      <c r="AH450" s="2954"/>
      <c r="AI450" s="2954"/>
      <c r="AJ450" s="2954"/>
      <c r="AK450" s="2954"/>
      <c r="AL450" s="2954"/>
      <c r="AM450" s="2954"/>
      <c r="AN450" s="2954"/>
      <c r="AO450" s="2954"/>
      <c r="AP450" s="2954"/>
      <c r="AQ450" s="2954"/>
      <c r="AR450" s="2954"/>
      <c r="AS450" s="2954"/>
      <c r="AT450" s="2954"/>
      <c r="AU450" s="2954"/>
      <c r="AV450" s="2954"/>
      <c r="AW450" s="2954"/>
      <c r="AX450" s="2954"/>
      <c r="AY450" s="2954"/>
      <c r="AZ450" s="2954"/>
      <c r="BA450" s="2954"/>
      <c r="BB450" s="2954"/>
      <c r="BC450" s="2954"/>
      <c r="BD450" s="2954"/>
      <c r="BE450" s="2954"/>
      <c r="BF450" s="2954"/>
      <c r="BG450" s="2954"/>
      <c r="BH450" s="2954"/>
      <c r="BI450" s="2954"/>
      <c r="BJ450" s="2954"/>
      <c r="BK450" s="2954"/>
      <c r="BL450" s="2954"/>
      <c r="BM450" s="2954"/>
      <c r="BN450" s="2954"/>
      <c r="BO450" s="2954"/>
      <c r="BP450" s="2954"/>
      <c r="BQ450" s="2954"/>
      <c r="BR450" s="2954"/>
      <c r="BS450" s="2954"/>
      <c r="BT450" s="2954"/>
      <c r="BU450" s="2954"/>
      <c r="BV450" s="2954"/>
      <c r="BW450" s="2954"/>
      <c r="BX450" s="2954"/>
      <c r="BY450" s="2954"/>
      <c r="BZ450" s="2954"/>
      <c r="CA450" s="2954"/>
      <c r="CB450" s="2954"/>
      <c r="CC450" s="2954"/>
      <c r="CD450" s="2954"/>
      <c r="CE450" s="2954"/>
      <c r="CF450" s="2954"/>
      <c r="CG450" s="2954"/>
      <c r="CH450" s="2954"/>
      <c r="CI450" s="2954"/>
      <c r="CJ450" s="2954"/>
      <c r="CK450" s="2954"/>
      <c r="CL450" s="2954"/>
      <c r="CM450" s="2954"/>
      <c r="CN450" s="2954"/>
      <c r="CO450" s="2954"/>
      <c r="CP450" s="2954"/>
      <c r="CQ450" s="2954"/>
      <c r="CR450" s="2954"/>
      <c r="CS450" s="2954"/>
      <c r="CT450" s="2954"/>
      <c r="CU450" s="2954"/>
      <c r="CV450" s="2954"/>
      <c r="CW450" s="2954"/>
      <c r="CX450" s="2954"/>
      <c r="CY450" s="2954"/>
      <c r="CZ450" s="2954"/>
      <c r="DA450" s="2954"/>
      <c r="DB450" s="2954"/>
      <c r="DC450" s="2954"/>
      <c r="DD450" s="2954"/>
      <c r="DE450" s="2954"/>
      <c r="DF450" s="2954"/>
      <c r="DG450" s="2954"/>
      <c r="DH450" s="2954"/>
      <c r="DI450" s="2954"/>
      <c r="DJ450" s="2954"/>
      <c r="DK450" s="2954"/>
      <c r="DL450" s="2954"/>
      <c r="DM450" s="2954"/>
      <c r="DN450" s="2954"/>
      <c r="DO450" s="2954"/>
      <c r="DP450" s="2954"/>
      <c r="DQ450" s="2954"/>
      <c r="DR450" s="2954"/>
      <c r="DS450" s="2954"/>
      <c r="DT450" s="2954"/>
      <c r="DU450" s="2954"/>
      <c r="DV450" s="2954"/>
    </row>
    <row r="451" s="799" customFormat="1" ht="14.25" hidden="1" customHeight="1" spans="1:126">
      <c r="A451" s="2952" t="s">
        <v>4214</v>
      </c>
      <c r="B451" s="2952"/>
      <c r="C451" s="2952" t="s">
        <v>6940</v>
      </c>
      <c r="D451" s="2952"/>
      <c r="E451" s="2952"/>
      <c r="F451" s="2952"/>
      <c r="G451" s="2952"/>
      <c r="H451" s="2952"/>
      <c r="I451" s="2952"/>
      <c r="J451" s="2952"/>
      <c r="K451" s="2952"/>
      <c r="L451" s="2952"/>
      <c r="M451" s="2952"/>
      <c r="N451" s="2952"/>
      <c r="O451" s="2952"/>
      <c r="P451" s="2952"/>
      <c r="Q451" s="2952"/>
      <c r="R451" s="2952"/>
      <c r="S451" s="2952"/>
      <c r="T451" s="2952"/>
      <c r="U451" s="2952"/>
      <c r="V451" s="2952" t="s">
        <v>6941</v>
      </c>
      <c r="W451" s="2952"/>
      <c r="X451" s="2952"/>
      <c r="Y451" s="2952"/>
      <c r="Z451" s="2952"/>
      <c r="AA451" s="2952"/>
      <c r="AB451" s="2952"/>
      <c r="AC451" s="2952"/>
      <c r="AD451" s="2952"/>
      <c r="AE451" s="2952"/>
      <c r="AF451" s="2952"/>
      <c r="AG451" s="2952" t="s">
        <v>6942</v>
      </c>
      <c r="AH451" s="2952"/>
      <c r="AI451" s="2952"/>
      <c r="AJ451" s="2952"/>
      <c r="AK451" s="2952"/>
      <c r="AL451" s="2952"/>
      <c r="AM451" s="2952"/>
      <c r="AN451" s="2952"/>
      <c r="AO451" s="2952"/>
      <c r="AP451" s="2952"/>
    </row>
    <row r="452" s="799" customFormat="1" ht="12.75" hidden="1" customHeight="1" spans="1:126">
      <c r="A452" s="2955">
        <f>UnosPorBilans!B225</f>
        <v>0</v>
      </c>
      <c r="B452" s="2955"/>
      <c r="C452" s="2955"/>
      <c r="D452" s="2955"/>
      <c r="E452" s="2955"/>
      <c r="F452" s="2955"/>
      <c r="G452" s="2955"/>
      <c r="H452" s="2955"/>
      <c r="I452" s="2955"/>
      <c r="J452" s="2955"/>
      <c r="K452" s="2955"/>
      <c r="L452" s="2955"/>
      <c r="M452" s="2955"/>
      <c r="N452" s="2955"/>
      <c r="O452" s="2955"/>
      <c r="P452" s="2955"/>
      <c r="Q452" s="2955"/>
      <c r="R452" s="2955"/>
      <c r="S452" s="2955"/>
      <c r="T452" s="2955"/>
      <c r="U452" s="2955"/>
      <c r="V452" s="2955">
        <f>UnosPorBilans!I225</f>
        <v>0</v>
      </c>
      <c r="W452" s="2955"/>
      <c r="X452" s="2955"/>
      <c r="Y452" s="2955"/>
      <c r="Z452" s="2955"/>
      <c r="AA452" s="2955"/>
      <c r="AB452" s="2955"/>
      <c r="AC452" s="2955"/>
      <c r="AD452" s="2955"/>
      <c r="AE452" s="2955"/>
      <c r="AF452" s="2955"/>
      <c r="AG452" s="2955">
        <f>UnosPorBilans!N225</f>
        <v>0</v>
      </c>
      <c r="AH452" s="2955"/>
      <c r="AI452" s="2955"/>
      <c r="AJ452" s="2955"/>
      <c r="AK452" s="2955"/>
      <c r="AL452" s="2955"/>
      <c r="AM452" s="2955"/>
      <c r="AN452" s="2955"/>
      <c r="AO452" s="2955"/>
      <c r="AP452" s="2955"/>
    </row>
    <row r="453" s="799" customFormat="1" ht="12.75" hidden="1" customHeight="1" spans="1:126">
      <c r="A453" s="2952" t="s">
        <v>6943</v>
      </c>
      <c r="B453" s="2952"/>
      <c r="C453" s="2952"/>
      <c r="D453" s="2952"/>
      <c r="E453" s="2952"/>
      <c r="F453" s="2952"/>
      <c r="G453" s="2952"/>
      <c r="H453" s="2952"/>
      <c r="I453" s="2952"/>
      <c r="J453" s="2952"/>
      <c r="K453" s="2952" t="s">
        <v>6944</v>
      </c>
      <c r="L453" s="2952"/>
      <c r="M453" s="2952"/>
      <c r="N453" s="2952"/>
      <c r="O453" s="2952"/>
      <c r="P453" s="2952"/>
      <c r="Q453" s="2952"/>
      <c r="R453" s="2952"/>
      <c r="S453" s="2952"/>
      <c r="T453" s="2952"/>
      <c r="U453" s="2952"/>
      <c r="V453" s="2952" t="s">
        <v>6945</v>
      </c>
      <c r="W453" s="2952"/>
      <c r="X453" s="2952"/>
      <c r="Y453" s="2952"/>
      <c r="Z453" s="2952"/>
      <c r="AA453" s="2952"/>
      <c r="AB453" s="2952"/>
      <c r="AC453" s="2952"/>
      <c r="AD453" s="2952"/>
      <c r="AE453" s="2952"/>
      <c r="AF453" s="2952"/>
      <c r="AG453" s="2952" t="s">
        <v>6946</v>
      </c>
      <c r="AH453" s="2952"/>
      <c r="AI453" s="2952"/>
      <c r="AJ453" s="2952"/>
      <c r="AK453" s="2952"/>
      <c r="AL453" s="2952"/>
      <c r="AM453" s="2952"/>
      <c r="AN453" s="2952"/>
      <c r="AO453" s="2952"/>
      <c r="AP453" s="2952"/>
    </row>
    <row r="454" s="799" customFormat="1" ht="12.75" hidden="1" customHeight="1" spans="1:126">
      <c r="A454" s="2955">
        <f>UnosPorBilans!S225</f>
        <v>0</v>
      </c>
      <c r="B454" s="2955"/>
      <c r="C454" s="2955"/>
      <c r="D454" s="2955"/>
      <c r="E454" s="2955"/>
      <c r="F454" s="2955"/>
      <c r="G454" s="2955"/>
      <c r="H454" s="2955"/>
      <c r="I454" s="2955"/>
      <c r="J454" s="2955"/>
      <c r="K454" s="2955">
        <f>UnosPorBilans!W225</f>
        <v>0</v>
      </c>
      <c r="L454" s="2955"/>
      <c r="M454" s="2955"/>
      <c r="N454" s="2955"/>
      <c r="O454" s="2955"/>
      <c r="P454" s="2955"/>
      <c r="Q454" s="2955"/>
      <c r="R454" s="2955"/>
      <c r="S454" s="2955"/>
      <c r="T454" s="2955"/>
      <c r="U454" s="2955"/>
      <c r="V454" s="2955">
        <f>UnosPorBilans!AB225</f>
        <v>0</v>
      </c>
      <c r="W454" s="2955"/>
      <c r="X454" s="2955"/>
      <c r="Y454" s="2955"/>
      <c r="Z454" s="2955"/>
      <c r="AA454" s="2955"/>
      <c r="AB454" s="2955"/>
      <c r="AC454" s="2955"/>
      <c r="AD454" s="2955"/>
      <c r="AE454" s="2955"/>
      <c r="AF454" s="2955"/>
      <c r="AG454" s="2955">
        <f>UnosPorBilans!AG225</f>
        <v>0</v>
      </c>
      <c r="AH454" s="2955"/>
      <c r="AI454" s="2955"/>
      <c r="AJ454" s="2955"/>
      <c r="AK454" s="2955"/>
      <c r="AL454" s="2955"/>
      <c r="AM454" s="2955"/>
      <c r="AN454" s="2955"/>
      <c r="AO454" s="2955"/>
      <c r="AP454" s="2955"/>
    </row>
    <row r="455" s="799" customFormat="1" ht="12.75" hidden="1" customHeight="1" spans="1:126">
      <c r="A455" s="2952" t="s">
        <v>6947</v>
      </c>
      <c r="B455" s="2952"/>
      <c r="C455" s="2952"/>
      <c r="D455" s="2952"/>
      <c r="E455" s="2952"/>
      <c r="F455" s="2952"/>
      <c r="G455" s="2952"/>
      <c r="H455" s="2952"/>
      <c r="I455" s="2952"/>
      <c r="J455" s="2952"/>
      <c r="K455" s="2952"/>
      <c r="L455" s="2952"/>
      <c r="M455" s="2952"/>
      <c r="N455" s="2952"/>
      <c r="O455" s="2952"/>
      <c r="P455" s="2952"/>
      <c r="Q455" s="2952"/>
      <c r="R455" s="2952"/>
      <c r="S455" s="2952"/>
      <c r="T455" s="2952"/>
      <c r="U455" s="2952"/>
      <c r="V455" s="2952" t="s">
        <v>6948</v>
      </c>
      <c r="W455" s="2952"/>
      <c r="X455" s="2952"/>
      <c r="Y455" s="2952"/>
      <c r="Z455" s="2952"/>
      <c r="AA455" s="2952"/>
      <c r="AB455" s="2952"/>
      <c r="AC455" s="2952"/>
      <c r="AD455" s="2952"/>
      <c r="AE455" s="2952"/>
      <c r="AF455" s="2952"/>
      <c r="AG455" s="2952"/>
      <c r="AH455" s="2952"/>
      <c r="AI455" s="2952"/>
      <c r="AJ455" s="2952"/>
      <c r="AK455" s="2952"/>
      <c r="AL455" s="2952"/>
      <c r="AM455" s="2952"/>
      <c r="AN455" s="2952"/>
      <c r="AO455" s="2952"/>
      <c r="AP455" s="2952"/>
    </row>
    <row r="456" s="799" customFormat="1" ht="12.75" hidden="1" customHeight="1" spans="1:126">
      <c r="A456" s="2955">
        <f>UnosPorBilans!AL225</f>
        <v>0</v>
      </c>
      <c r="B456" s="2955"/>
      <c r="C456" s="2955"/>
      <c r="D456" s="2955"/>
      <c r="E456" s="2955"/>
      <c r="F456" s="2955"/>
      <c r="G456" s="2955"/>
      <c r="H456" s="2955"/>
      <c r="I456" s="2955"/>
      <c r="J456" s="2955"/>
      <c r="K456" s="2955"/>
      <c r="L456" s="2955"/>
      <c r="M456" s="2955"/>
      <c r="N456" s="2955"/>
      <c r="O456" s="2955"/>
      <c r="P456" s="2955"/>
      <c r="Q456" s="2955"/>
      <c r="R456" s="2955"/>
      <c r="S456" s="2955"/>
      <c r="T456" s="2955"/>
      <c r="U456" s="2955"/>
      <c r="V456" s="2955">
        <f>UnosPorBilans!AS225</f>
        <v>0</v>
      </c>
      <c r="W456" s="2955"/>
      <c r="X456" s="2955"/>
      <c r="Y456" s="2955"/>
      <c r="Z456" s="2955"/>
      <c r="AA456" s="2955"/>
      <c r="AB456" s="2955"/>
      <c r="AC456" s="2955"/>
      <c r="AD456" s="2955"/>
      <c r="AE456" s="2955"/>
      <c r="AF456" s="2955"/>
      <c r="AG456" s="2955"/>
      <c r="AH456" s="2955"/>
      <c r="AI456" s="2955"/>
      <c r="AJ456" s="2955"/>
      <c r="AK456" s="2955"/>
      <c r="AL456" s="2955"/>
      <c r="AM456" s="2955"/>
      <c r="AN456" s="2955"/>
      <c r="AO456" s="2955"/>
      <c r="AP456" s="2955"/>
    </row>
    <row r="457" s="799" customFormat="1" ht="14.25" hidden="1" customHeight="1" spans="1:126">
      <c r="A457" s="2954"/>
      <c r="B457" s="2954"/>
      <c r="C457" s="2954"/>
      <c r="D457" s="2954"/>
      <c r="E457" s="2954"/>
      <c r="F457" s="2954"/>
      <c r="G457" s="2954"/>
      <c r="H457" s="2954"/>
      <c r="I457" s="2954"/>
      <c r="J457" s="2954"/>
      <c r="K457" s="2954"/>
      <c r="L457" s="2954"/>
      <c r="M457" s="2954"/>
      <c r="N457" s="2954"/>
      <c r="O457" s="2954"/>
      <c r="P457" s="2954"/>
      <c r="Q457" s="2954"/>
      <c r="R457" s="2954"/>
      <c r="S457" s="2954"/>
      <c r="T457" s="2954"/>
      <c r="U457" s="2954"/>
      <c r="V457" s="2954"/>
      <c r="W457" s="2954"/>
      <c r="X457" s="2954"/>
      <c r="Y457" s="2954"/>
      <c r="Z457" s="2954"/>
      <c r="AA457" s="2954"/>
      <c r="AB457" s="2954"/>
      <c r="AC457" s="2954"/>
      <c r="AD457" s="2954"/>
      <c r="AE457" s="2954"/>
      <c r="AF457" s="2954"/>
      <c r="AG457" s="2954"/>
      <c r="AH457" s="2954"/>
      <c r="AI457" s="2954"/>
      <c r="AJ457" s="2954"/>
      <c r="AK457" s="2954"/>
      <c r="AL457" s="2954"/>
      <c r="AM457" s="2954"/>
      <c r="AN457" s="2954"/>
      <c r="AO457" s="2954"/>
      <c r="AP457" s="2954"/>
      <c r="AQ457" s="2954"/>
      <c r="AR457" s="2954"/>
      <c r="AS457" s="2954"/>
      <c r="AT457" s="2954"/>
      <c r="AU457" s="2954"/>
      <c r="AV457" s="2954"/>
      <c r="AW457" s="2954"/>
      <c r="AX457" s="2954"/>
      <c r="AY457" s="2954"/>
      <c r="AZ457" s="2954"/>
      <c r="BA457" s="2954"/>
      <c r="BB457" s="2954"/>
      <c r="BC457" s="2954"/>
      <c r="BD457" s="2954"/>
      <c r="BE457" s="2954"/>
      <c r="BF457" s="2954"/>
      <c r="BG457" s="2954"/>
      <c r="BH457" s="2954"/>
      <c r="BI457" s="2954"/>
      <c r="BJ457" s="2954"/>
      <c r="BK457" s="2954"/>
      <c r="BL457" s="2954"/>
      <c r="BM457" s="2954"/>
      <c r="BN457" s="2954"/>
      <c r="BO457" s="2954"/>
      <c r="BP457" s="2954"/>
      <c r="BQ457" s="2954"/>
      <c r="BR457" s="2954"/>
      <c r="BS457" s="2954"/>
      <c r="BT457" s="2954"/>
      <c r="BU457" s="2954"/>
      <c r="BV457" s="2954"/>
      <c r="BW457" s="2954"/>
      <c r="BX457" s="2954"/>
      <c r="BY457" s="2954"/>
      <c r="BZ457" s="2954"/>
      <c r="CA457" s="2954"/>
      <c r="CB457" s="2954"/>
      <c r="CC457" s="2954"/>
      <c r="CD457" s="2954"/>
      <c r="CE457" s="2954"/>
      <c r="CF457" s="2954"/>
      <c r="CG457" s="2954"/>
      <c r="CH457" s="2954"/>
      <c r="CI457" s="2954"/>
      <c r="CJ457" s="2954"/>
      <c r="CK457" s="2954"/>
      <c r="CL457" s="2954"/>
      <c r="CM457" s="2954"/>
      <c r="CN457" s="2954"/>
      <c r="CO457" s="2954"/>
      <c r="CP457" s="2954"/>
      <c r="CQ457" s="2954"/>
      <c r="CR457" s="2954"/>
      <c r="CS457" s="2954"/>
      <c r="CT457" s="2954"/>
      <c r="CU457" s="2954"/>
      <c r="CV457" s="2954"/>
      <c r="CW457" s="2954"/>
      <c r="CX457" s="2954"/>
      <c r="CY457" s="2954"/>
      <c r="CZ457" s="2954"/>
      <c r="DA457" s="2954"/>
      <c r="DB457" s="2954"/>
      <c r="DC457" s="2954"/>
      <c r="DD457" s="2954"/>
      <c r="DE457" s="2954"/>
      <c r="DF457" s="2954"/>
      <c r="DG457" s="2954"/>
      <c r="DH457" s="2954"/>
      <c r="DI457" s="2954"/>
      <c r="DJ457" s="2954"/>
      <c r="DK457" s="2954"/>
      <c r="DL457" s="2954"/>
      <c r="DM457" s="2954"/>
      <c r="DN457" s="2954"/>
      <c r="DO457" s="2954"/>
      <c r="DP457" s="2954"/>
      <c r="DQ457" s="2954"/>
      <c r="DR457" s="2954"/>
      <c r="DS457" s="2954"/>
      <c r="DT457" s="2954"/>
      <c r="DU457" s="2954"/>
      <c r="DV457" s="2954"/>
    </row>
    <row r="458" s="799" customFormat="1" ht="14.25" hidden="1" customHeight="1" spans="1:126">
      <c r="A458" s="2954"/>
      <c r="B458" s="2954"/>
      <c r="C458" s="2954"/>
      <c r="D458" s="2954"/>
      <c r="E458" s="2954"/>
      <c r="F458" s="2954"/>
      <c r="G458" s="2954"/>
      <c r="H458" s="2954"/>
      <c r="I458" s="2954"/>
      <c r="J458" s="2954"/>
      <c r="K458" s="2954"/>
      <c r="L458" s="2954"/>
      <c r="M458" s="2954"/>
      <c r="N458" s="2954"/>
      <c r="O458" s="2954"/>
      <c r="P458" s="2954"/>
      <c r="Q458" s="2954"/>
      <c r="R458" s="2954"/>
      <c r="S458" s="2954"/>
      <c r="T458" s="2954"/>
      <c r="U458" s="2954"/>
      <c r="V458" s="2954"/>
      <c r="W458" s="2954"/>
      <c r="X458" s="2954"/>
      <c r="Y458" s="2954"/>
      <c r="Z458" s="2954"/>
      <c r="AA458" s="2954"/>
      <c r="AB458" s="2954"/>
      <c r="AC458" s="2954"/>
      <c r="AD458" s="2954"/>
      <c r="AE458" s="2954"/>
      <c r="AF458" s="2954"/>
      <c r="AG458" s="2954"/>
      <c r="AH458" s="2954"/>
      <c r="AI458" s="2954"/>
      <c r="AJ458" s="2954"/>
      <c r="AK458" s="2954"/>
      <c r="AL458" s="2954"/>
      <c r="AM458" s="2954"/>
      <c r="AN458" s="2954"/>
      <c r="AO458" s="2954"/>
      <c r="AP458" s="2954"/>
      <c r="AQ458" s="2954"/>
      <c r="AR458" s="2954"/>
      <c r="AS458" s="2954"/>
      <c r="AT458" s="2954"/>
      <c r="AU458" s="2954"/>
      <c r="AV458" s="2954"/>
      <c r="AW458" s="2954"/>
      <c r="AX458" s="2954"/>
      <c r="AY458" s="2954"/>
      <c r="AZ458" s="2954"/>
      <c r="BA458" s="2954"/>
      <c r="BB458" s="2954"/>
      <c r="BC458" s="2954"/>
      <c r="BD458" s="2954"/>
      <c r="BE458" s="2954"/>
      <c r="BF458" s="2954"/>
      <c r="BG458" s="2954"/>
      <c r="BH458" s="2954"/>
      <c r="BI458" s="2954"/>
      <c r="BJ458" s="2954"/>
      <c r="BK458" s="2954"/>
      <c r="BL458" s="2954"/>
      <c r="BM458" s="2954"/>
      <c r="BN458" s="2954"/>
      <c r="BO458" s="2954"/>
      <c r="BP458" s="2954"/>
      <c r="BQ458" s="2954"/>
      <c r="BR458" s="2954"/>
      <c r="BS458" s="2954"/>
      <c r="BT458" s="2954"/>
      <c r="BU458" s="2954"/>
      <c r="BV458" s="2954"/>
      <c r="BW458" s="2954"/>
      <c r="BX458" s="2954"/>
      <c r="BY458" s="2954"/>
      <c r="BZ458" s="2954"/>
      <c r="CA458" s="2954"/>
      <c r="CB458" s="2954"/>
      <c r="CC458" s="2954"/>
      <c r="CD458" s="2954"/>
      <c r="CE458" s="2954"/>
      <c r="CF458" s="2954"/>
      <c r="CG458" s="2954"/>
      <c r="CH458" s="2954"/>
      <c r="CI458" s="2954"/>
      <c r="CJ458" s="2954"/>
      <c r="CK458" s="2954"/>
      <c r="CL458" s="2954"/>
      <c r="CM458" s="2954"/>
      <c r="CN458" s="2954"/>
      <c r="CO458" s="2954"/>
      <c r="CP458" s="2954"/>
      <c r="CQ458" s="2954"/>
      <c r="CR458" s="2954"/>
      <c r="CS458" s="2954"/>
      <c r="CT458" s="2954"/>
      <c r="CU458" s="2954"/>
      <c r="CV458" s="2954"/>
      <c r="CW458" s="2954"/>
      <c r="CX458" s="2954"/>
      <c r="CY458" s="2954"/>
      <c r="CZ458" s="2954"/>
      <c r="DA458" s="2954"/>
      <c r="DB458" s="2954"/>
      <c r="DC458" s="2954"/>
      <c r="DD458" s="2954"/>
      <c r="DE458" s="2954"/>
      <c r="DF458" s="2954"/>
      <c r="DG458" s="2954"/>
      <c r="DH458" s="2954"/>
      <c r="DI458" s="2954"/>
      <c r="DJ458" s="2954"/>
      <c r="DK458" s="2954"/>
      <c r="DL458" s="2954"/>
      <c r="DM458" s="2954"/>
      <c r="DN458" s="2954"/>
      <c r="DO458" s="2954"/>
      <c r="DP458" s="2954"/>
      <c r="DQ458" s="2954"/>
      <c r="DR458" s="2954"/>
      <c r="DS458" s="2954"/>
      <c r="DT458" s="2954"/>
      <c r="DU458" s="2954"/>
      <c r="DV458" s="2954"/>
    </row>
    <row r="459" s="799" customFormat="1" ht="14.25" hidden="1" customHeight="1" spans="1:126">
      <c r="A459" s="2954"/>
      <c r="B459" s="2954"/>
      <c r="C459" s="2954"/>
      <c r="D459" s="2954"/>
      <c r="E459" s="2954"/>
      <c r="F459" s="2954"/>
      <c r="G459" s="2954"/>
      <c r="H459" s="2954"/>
      <c r="I459" s="2954"/>
      <c r="J459" s="2954"/>
      <c r="K459" s="2954"/>
      <c r="L459" s="2954"/>
      <c r="M459" s="2954"/>
      <c r="N459" s="2954"/>
      <c r="O459" s="2954"/>
      <c r="P459" s="2954"/>
      <c r="Q459" s="2954"/>
      <c r="R459" s="2954"/>
      <c r="S459" s="2954"/>
      <c r="T459" s="2954"/>
      <c r="U459" s="2954"/>
      <c r="V459" s="2954"/>
      <c r="W459" s="2954"/>
      <c r="X459" s="2954"/>
      <c r="Y459" s="2954"/>
      <c r="Z459" s="2954"/>
      <c r="AA459" s="2954"/>
      <c r="AB459" s="2954"/>
      <c r="AC459" s="2954"/>
      <c r="AD459" s="2954"/>
      <c r="AE459" s="2954"/>
      <c r="AF459" s="2954"/>
      <c r="AG459" s="2954"/>
      <c r="AH459" s="2954"/>
      <c r="AI459" s="2954"/>
      <c r="AJ459" s="2954"/>
      <c r="AK459" s="2954"/>
      <c r="AL459" s="2954"/>
      <c r="AM459" s="2954"/>
      <c r="AN459" s="2954"/>
      <c r="AO459" s="2954"/>
      <c r="AP459" s="2954"/>
      <c r="AQ459" s="2954"/>
      <c r="AR459" s="2954"/>
      <c r="AS459" s="2954"/>
      <c r="AT459" s="2954"/>
      <c r="AU459" s="2954"/>
      <c r="AV459" s="2954"/>
      <c r="AW459" s="2954"/>
      <c r="AX459" s="2954"/>
      <c r="AY459" s="2954"/>
      <c r="AZ459" s="2954"/>
      <c r="BA459" s="2954"/>
      <c r="BB459" s="2954"/>
      <c r="BC459" s="2954"/>
      <c r="BD459" s="2954"/>
      <c r="BE459" s="2954"/>
      <c r="BF459" s="2954"/>
      <c r="BG459" s="2954"/>
      <c r="BH459" s="2954"/>
      <c r="BI459" s="2954"/>
      <c r="BJ459" s="2954"/>
      <c r="BK459" s="2954"/>
      <c r="BL459" s="2954"/>
      <c r="BM459" s="2954"/>
      <c r="BN459" s="2954"/>
      <c r="BO459" s="2954"/>
      <c r="BP459" s="2954"/>
      <c r="BQ459" s="2954"/>
      <c r="BR459" s="2954"/>
      <c r="BS459" s="2954"/>
      <c r="BT459" s="2954"/>
      <c r="BU459" s="2954"/>
      <c r="BV459" s="2954"/>
      <c r="BW459" s="2954"/>
      <c r="BX459" s="2954"/>
      <c r="BY459" s="2954"/>
      <c r="BZ459" s="2954"/>
      <c r="CA459" s="2954"/>
      <c r="CB459" s="2954"/>
      <c r="CC459" s="2954"/>
      <c r="CD459" s="2954"/>
      <c r="CE459" s="2954"/>
      <c r="CF459" s="2954"/>
      <c r="CG459" s="2954"/>
      <c r="CH459" s="2954"/>
      <c r="CI459" s="2954"/>
      <c r="CJ459" s="2954"/>
      <c r="CK459" s="2954"/>
      <c r="CL459" s="2954"/>
      <c r="CM459" s="2954"/>
      <c r="CN459" s="2954"/>
      <c r="CO459" s="2954"/>
      <c r="CP459" s="2954"/>
      <c r="CQ459" s="2954"/>
      <c r="CR459" s="2954"/>
      <c r="CS459" s="2954"/>
      <c r="CT459" s="2954"/>
      <c r="CU459" s="2954"/>
      <c r="CV459" s="2954"/>
      <c r="CW459" s="2954"/>
      <c r="CX459" s="2954"/>
      <c r="CY459" s="2954"/>
      <c r="CZ459" s="2954"/>
      <c r="DA459" s="2954"/>
      <c r="DB459" s="2954"/>
      <c r="DC459" s="2954"/>
      <c r="DD459" s="2954"/>
      <c r="DE459" s="2954"/>
      <c r="DF459" s="2954"/>
      <c r="DG459" s="2954"/>
      <c r="DH459" s="2954"/>
      <c r="DI459" s="2954"/>
      <c r="DJ459" s="2954"/>
      <c r="DK459" s="2954"/>
      <c r="DL459" s="2954"/>
      <c r="DM459" s="2954"/>
      <c r="DN459" s="2954"/>
      <c r="DO459" s="2954"/>
      <c r="DP459" s="2954"/>
      <c r="DQ459" s="2954"/>
      <c r="DR459" s="2954"/>
      <c r="DS459" s="2954"/>
      <c r="DT459" s="2954"/>
      <c r="DU459" s="2954"/>
      <c r="DV459" s="2954"/>
    </row>
    <row r="460" s="799" customFormat="1" ht="14.25" hidden="1" customHeight="1" spans="1:126">
      <c r="A460" s="2952" t="s">
        <v>4214</v>
      </c>
      <c r="B460" s="2952"/>
      <c r="C460" s="2952" t="s">
        <v>6940</v>
      </c>
      <c r="D460" s="2952"/>
      <c r="E460" s="2952"/>
      <c r="F460" s="2952"/>
      <c r="G460" s="2952"/>
      <c r="H460" s="2952"/>
      <c r="I460" s="2952"/>
      <c r="J460" s="2952"/>
      <c r="K460" s="2952"/>
      <c r="L460" s="2952"/>
      <c r="M460" s="2952"/>
      <c r="N460" s="2952"/>
      <c r="O460" s="2952"/>
      <c r="P460" s="2952"/>
      <c r="Q460" s="2952"/>
      <c r="R460" s="2952"/>
      <c r="S460" s="2952"/>
      <c r="T460" s="2952"/>
      <c r="U460" s="2952"/>
      <c r="V460" s="2952" t="s">
        <v>6941</v>
      </c>
      <c r="W460" s="2952"/>
      <c r="X460" s="2952"/>
      <c r="Y460" s="2952"/>
      <c r="Z460" s="2952"/>
      <c r="AA460" s="2952"/>
      <c r="AB460" s="2952"/>
      <c r="AC460" s="2952"/>
      <c r="AD460" s="2952"/>
      <c r="AE460" s="2952"/>
      <c r="AF460" s="2952"/>
      <c r="AG460" s="2952" t="s">
        <v>6942</v>
      </c>
      <c r="AH460" s="2952"/>
      <c r="AI460" s="2952"/>
      <c r="AJ460" s="2952"/>
      <c r="AK460" s="2952"/>
      <c r="AL460" s="2952"/>
      <c r="AM460" s="2952"/>
      <c r="AN460" s="2952"/>
      <c r="AO460" s="2952"/>
      <c r="AP460" s="2952"/>
    </row>
    <row r="461" s="799" customFormat="1" ht="12.75" hidden="1" customHeight="1" spans="1:126">
      <c r="A461" s="2955">
        <f>UnosPorBilans!B226</f>
        <v>0</v>
      </c>
      <c r="B461" s="2955"/>
      <c r="C461" s="2955"/>
      <c r="D461" s="2955"/>
      <c r="E461" s="2955"/>
      <c r="F461" s="2955"/>
      <c r="G461" s="2955"/>
      <c r="H461" s="2955"/>
      <c r="I461" s="2955"/>
      <c r="J461" s="2955"/>
      <c r="K461" s="2955"/>
      <c r="L461" s="2955"/>
      <c r="M461" s="2955"/>
      <c r="N461" s="2955"/>
      <c r="O461" s="2955"/>
      <c r="P461" s="2955"/>
      <c r="Q461" s="2955"/>
      <c r="R461" s="2955"/>
      <c r="S461" s="2955"/>
      <c r="T461" s="2955"/>
      <c r="U461" s="2955"/>
      <c r="V461" s="2955">
        <f>UnosPorBilans!I226</f>
        <v>0</v>
      </c>
      <c r="W461" s="2955"/>
      <c r="X461" s="2955"/>
      <c r="Y461" s="2955"/>
      <c r="Z461" s="2955"/>
      <c r="AA461" s="2955"/>
      <c r="AB461" s="2955"/>
      <c r="AC461" s="2955"/>
      <c r="AD461" s="2955"/>
      <c r="AE461" s="2955"/>
      <c r="AF461" s="2955"/>
      <c r="AG461" s="2955">
        <f>UnosPorBilans!N226</f>
        <v>0</v>
      </c>
      <c r="AH461" s="2955"/>
      <c r="AI461" s="2955"/>
      <c r="AJ461" s="2955"/>
      <c r="AK461" s="2955"/>
      <c r="AL461" s="2955"/>
      <c r="AM461" s="2955"/>
      <c r="AN461" s="2955"/>
      <c r="AO461" s="2955"/>
      <c r="AP461" s="2955"/>
    </row>
    <row r="462" s="799" customFormat="1" ht="12.75" hidden="1" customHeight="1" spans="1:126">
      <c r="A462" s="2952" t="s">
        <v>6943</v>
      </c>
      <c r="B462" s="2952"/>
      <c r="C462" s="2952"/>
      <c r="D462" s="2952"/>
      <c r="E462" s="2952"/>
      <c r="F462" s="2952"/>
      <c r="G462" s="2952"/>
      <c r="H462" s="2952"/>
      <c r="I462" s="2952"/>
      <c r="J462" s="2952"/>
      <c r="K462" s="2952" t="s">
        <v>6944</v>
      </c>
      <c r="L462" s="2952"/>
      <c r="M462" s="2952"/>
      <c r="N462" s="2952"/>
      <c r="O462" s="2952"/>
      <c r="P462" s="2952"/>
      <c r="Q462" s="2952"/>
      <c r="R462" s="2952"/>
      <c r="S462" s="2952"/>
      <c r="T462" s="2952"/>
      <c r="U462" s="2952"/>
      <c r="V462" s="2952" t="s">
        <v>6945</v>
      </c>
      <c r="W462" s="2952"/>
      <c r="X462" s="2952"/>
      <c r="Y462" s="2952"/>
      <c r="Z462" s="2952"/>
      <c r="AA462" s="2952"/>
      <c r="AB462" s="2952"/>
      <c r="AC462" s="2952"/>
      <c r="AD462" s="2952"/>
      <c r="AE462" s="2952"/>
      <c r="AF462" s="2952"/>
      <c r="AG462" s="2952" t="s">
        <v>6946</v>
      </c>
      <c r="AH462" s="2952"/>
      <c r="AI462" s="2952"/>
      <c r="AJ462" s="2952"/>
      <c r="AK462" s="2952"/>
      <c r="AL462" s="2952"/>
      <c r="AM462" s="2952"/>
      <c r="AN462" s="2952"/>
      <c r="AO462" s="2952"/>
      <c r="AP462" s="2952"/>
    </row>
    <row r="463" s="799" customFormat="1" ht="12.75" hidden="1" customHeight="1" spans="1:126">
      <c r="A463" s="2955">
        <f>UnosPorBilans!S226</f>
        <v>0</v>
      </c>
      <c r="B463" s="2955"/>
      <c r="C463" s="2955"/>
      <c r="D463" s="2955"/>
      <c r="E463" s="2955"/>
      <c r="F463" s="2955"/>
      <c r="G463" s="2955"/>
      <c r="H463" s="2955"/>
      <c r="I463" s="2955"/>
      <c r="J463" s="2955"/>
      <c r="K463" s="2955">
        <f>UnosPorBilans!W226</f>
        <v>0</v>
      </c>
      <c r="L463" s="2955"/>
      <c r="M463" s="2955"/>
      <c r="N463" s="2955"/>
      <c r="O463" s="2955"/>
      <c r="P463" s="2955"/>
      <c r="Q463" s="2955"/>
      <c r="R463" s="2955"/>
      <c r="S463" s="2955"/>
      <c r="T463" s="2955"/>
      <c r="U463" s="2955"/>
      <c r="V463" s="2955">
        <f>UnosPorBilans!AB226</f>
        <v>0</v>
      </c>
      <c r="W463" s="2955"/>
      <c r="X463" s="2955"/>
      <c r="Y463" s="2955"/>
      <c r="Z463" s="2955"/>
      <c r="AA463" s="2955"/>
      <c r="AB463" s="2955"/>
      <c r="AC463" s="2955"/>
      <c r="AD463" s="2955"/>
      <c r="AE463" s="2955"/>
      <c r="AF463" s="2955"/>
      <c r="AG463" s="2955">
        <f>UnosPorBilans!AG226</f>
        <v>0</v>
      </c>
      <c r="AH463" s="2955"/>
      <c r="AI463" s="2955"/>
      <c r="AJ463" s="2955"/>
      <c r="AK463" s="2955"/>
      <c r="AL463" s="2955"/>
      <c r="AM463" s="2955"/>
      <c r="AN463" s="2955"/>
      <c r="AO463" s="2955"/>
      <c r="AP463" s="2955"/>
    </row>
    <row r="464" s="799" customFormat="1" ht="12.75" hidden="1" customHeight="1" spans="1:126">
      <c r="A464" s="2952" t="s">
        <v>6947</v>
      </c>
      <c r="B464" s="2952"/>
      <c r="C464" s="2952"/>
      <c r="D464" s="2952"/>
      <c r="E464" s="2952"/>
      <c r="F464" s="2952"/>
      <c r="G464" s="2952"/>
      <c r="H464" s="2952"/>
      <c r="I464" s="2952"/>
      <c r="J464" s="2952"/>
      <c r="K464" s="2952"/>
      <c r="L464" s="2952"/>
      <c r="M464" s="2952"/>
      <c r="N464" s="2952"/>
      <c r="O464" s="2952"/>
      <c r="P464" s="2952"/>
      <c r="Q464" s="2952"/>
      <c r="R464" s="2952"/>
      <c r="S464" s="2952"/>
      <c r="T464" s="2952"/>
      <c r="U464" s="2952"/>
      <c r="V464" s="2952" t="s">
        <v>6948</v>
      </c>
      <c r="W464" s="2952"/>
      <c r="X464" s="2952"/>
      <c r="Y464" s="2952"/>
      <c r="Z464" s="2952"/>
      <c r="AA464" s="2952"/>
      <c r="AB464" s="2952"/>
      <c r="AC464" s="2952"/>
      <c r="AD464" s="2952"/>
      <c r="AE464" s="2952"/>
      <c r="AF464" s="2952"/>
      <c r="AG464" s="2952"/>
      <c r="AH464" s="2952"/>
      <c r="AI464" s="2952"/>
      <c r="AJ464" s="2952"/>
      <c r="AK464" s="2952"/>
      <c r="AL464" s="2952"/>
      <c r="AM464" s="2952"/>
      <c r="AN464" s="2952"/>
      <c r="AO464" s="2952"/>
      <c r="AP464" s="2952"/>
    </row>
    <row r="465" s="799" customFormat="1" ht="12.75" hidden="1" customHeight="1" spans="1:126">
      <c r="A465" s="2955">
        <f>UnosPorBilans!AL226</f>
        <v>0</v>
      </c>
      <c r="B465" s="2955"/>
      <c r="C465" s="2955"/>
      <c r="D465" s="2955"/>
      <c r="E465" s="2955"/>
      <c r="F465" s="2955"/>
      <c r="G465" s="2955"/>
      <c r="H465" s="2955"/>
      <c r="I465" s="2955"/>
      <c r="J465" s="2955"/>
      <c r="K465" s="2955"/>
      <c r="L465" s="2955"/>
      <c r="M465" s="2955"/>
      <c r="N465" s="2955"/>
      <c r="O465" s="2955"/>
      <c r="P465" s="2955"/>
      <c r="Q465" s="2955"/>
      <c r="R465" s="2955"/>
      <c r="S465" s="2955"/>
      <c r="T465" s="2955"/>
      <c r="U465" s="2955"/>
      <c r="V465" s="2955">
        <f>UnosPorBilans!AS226</f>
        <v>0</v>
      </c>
      <c r="W465" s="2955"/>
      <c r="X465" s="2955"/>
      <c r="Y465" s="2955"/>
      <c r="Z465" s="2955"/>
      <c r="AA465" s="2955"/>
      <c r="AB465" s="2955"/>
      <c r="AC465" s="2955"/>
      <c r="AD465" s="2955"/>
      <c r="AE465" s="2955"/>
      <c r="AF465" s="2955"/>
      <c r="AG465" s="2955"/>
      <c r="AH465" s="2955"/>
      <c r="AI465" s="2955"/>
      <c r="AJ465" s="2955"/>
      <c r="AK465" s="2955"/>
      <c r="AL465" s="2955"/>
      <c r="AM465" s="2955"/>
      <c r="AN465" s="2955"/>
      <c r="AO465" s="2955"/>
      <c r="AP465" s="2955"/>
    </row>
    <row r="466" s="799" customFormat="1" ht="14.25" hidden="1" customHeight="1" spans="1:126">
      <c r="A466" s="2954"/>
      <c r="B466" s="2954"/>
      <c r="C466" s="2954"/>
      <c r="D466" s="2954"/>
      <c r="E466" s="2954"/>
      <c r="F466" s="2954"/>
      <c r="G466" s="2954"/>
      <c r="H466" s="2954"/>
      <c r="I466" s="2954"/>
      <c r="J466" s="2954"/>
      <c r="K466" s="2954"/>
      <c r="L466" s="2954"/>
      <c r="M466" s="2954"/>
      <c r="N466" s="2954"/>
      <c r="O466" s="2954"/>
      <c r="P466" s="2954"/>
      <c r="Q466" s="2954"/>
      <c r="R466" s="2954"/>
      <c r="S466" s="2954"/>
      <c r="T466" s="2954"/>
      <c r="U466" s="2954"/>
      <c r="V466" s="2954"/>
      <c r="W466" s="2954"/>
      <c r="X466" s="2954"/>
      <c r="Y466" s="2954"/>
      <c r="Z466" s="2954"/>
      <c r="AA466" s="2954"/>
      <c r="AB466" s="2954"/>
      <c r="AC466" s="2954"/>
      <c r="AD466" s="2954"/>
      <c r="AE466" s="2954"/>
      <c r="AF466" s="2954"/>
      <c r="AG466" s="2954"/>
      <c r="AH466" s="2954"/>
      <c r="AI466" s="2954"/>
      <c r="AJ466" s="2954"/>
      <c r="AK466" s="2954"/>
      <c r="AL466" s="2954"/>
      <c r="AM466" s="2954"/>
      <c r="AN466" s="2954"/>
      <c r="AO466" s="2954"/>
      <c r="AP466" s="2954"/>
      <c r="AQ466" s="2954"/>
      <c r="AR466" s="2954"/>
      <c r="AS466" s="2954"/>
      <c r="AT466" s="2954"/>
      <c r="AU466" s="2954"/>
      <c r="AV466" s="2954"/>
      <c r="AW466" s="2954"/>
      <c r="AX466" s="2954"/>
      <c r="AY466" s="2954"/>
      <c r="AZ466" s="2954"/>
      <c r="BA466" s="2954"/>
      <c r="BB466" s="2954"/>
      <c r="BC466" s="2954"/>
      <c r="BD466" s="2954"/>
      <c r="BE466" s="2954"/>
      <c r="BF466" s="2954"/>
      <c r="BG466" s="2954"/>
      <c r="BH466" s="2954"/>
      <c r="BI466" s="2954"/>
      <c r="BJ466" s="2954"/>
      <c r="BK466" s="2954"/>
      <c r="BL466" s="2954"/>
      <c r="BM466" s="2954"/>
      <c r="BN466" s="2954"/>
      <c r="BO466" s="2954"/>
      <c r="BP466" s="2954"/>
      <c r="BQ466" s="2954"/>
      <c r="BR466" s="2954"/>
      <c r="BS466" s="2954"/>
      <c r="BT466" s="2954"/>
      <c r="BU466" s="2954"/>
      <c r="BV466" s="2954"/>
      <c r="BW466" s="2954"/>
      <c r="BX466" s="2954"/>
      <c r="BY466" s="2954"/>
      <c r="BZ466" s="2954"/>
      <c r="CA466" s="2954"/>
      <c r="CB466" s="2954"/>
      <c r="CC466" s="2954"/>
      <c r="CD466" s="2954"/>
      <c r="CE466" s="2954"/>
      <c r="CF466" s="2954"/>
      <c r="CG466" s="2954"/>
      <c r="CH466" s="2954"/>
      <c r="CI466" s="2954"/>
      <c r="CJ466" s="2954"/>
      <c r="CK466" s="2954"/>
      <c r="CL466" s="2954"/>
      <c r="CM466" s="2954"/>
      <c r="CN466" s="2954"/>
      <c r="CO466" s="2954"/>
      <c r="CP466" s="2954"/>
      <c r="CQ466" s="2954"/>
      <c r="CR466" s="2954"/>
      <c r="CS466" s="2954"/>
      <c r="CT466" s="2954"/>
      <c r="CU466" s="2954"/>
      <c r="CV466" s="2954"/>
      <c r="CW466" s="2954"/>
      <c r="CX466" s="2954"/>
      <c r="CY466" s="2954"/>
      <c r="CZ466" s="2954"/>
      <c r="DA466" s="2954"/>
      <c r="DB466" s="2954"/>
      <c r="DC466" s="2954"/>
      <c r="DD466" s="2954"/>
      <c r="DE466" s="2954"/>
      <c r="DF466" s="2954"/>
      <c r="DG466" s="2954"/>
      <c r="DH466" s="2954"/>
      <c r="DI466" s="2954"/>
      <c r="DJ466" s="2954"/>
      <c r="DK466" s="2954"/>
      <c r="DL466" s="2954"/>
      <c r="DM466" s="2954"/>
      <c r="DN466" s="2954"/>
      <c r="DO466" s="2954"/>
      <c r="DP466" s="2954"/>
      <c r="DQ466" s="2954"/>
      <c r="DR466" s="2954"/>
      <c r="DS466" s="2954"/>
      <c r="DT466" s="2954"/>
      <c r="DU466" s="2954"/>
      <c r="DV466" s="2954"/>
    </row>
    <row r="467" s="799" customFormat="1" ht="14.25" hidden="1" customHeight="1" spans="1:126">
      <c r="A467" s="2952" t="s">
        <v>4214</v>
      </c>
      <c r="B467" s="2952"/>
      <c r="C467" s="2952" t="s">
        <v>6940</v>
      </c>
      <c r="D467" s="2952"/>
      <c r="E467" s="2952"/>
      <c r="F467" s="2952"/>
      <c r="G467" s="2952"/>
      <c r="H467" s="2952"/>
      <c r="I467" s="2952"/>
      <c r="J467" s="2952"/>
      <c r="K467" s="2952"/>
      <c r="L467" s="2952"/>
      <c r="M467" s="2952"/>
      <c r="N467" s="2952"/>
      <c r="O467" s="2952"/>
      <c r="P467" s="2952"/>
      <c r="Q467" s="2952"/>
      <c r="R467" s="2952"/>
      <c r="S467" s="2952"/>
      <c r="T467" s="2952"/>
      <c r="U467" s="2952"/>
      <c r="V467" s="2952" t="s">
        <v>6941</v>
      </c>
      <c r="W467" s="2952"/>
      <c r="X467" s="2952"/>
      <c r="Y467" s="2952"/>
      <c r="Z467" s="2952"/>
      <c r="AA467" s="2952"/>
      <c r="AB467" s="2952"/>
      <c r="AC467" s="2952"/>
      <c r="AD467" s="2952"/>
      <c r="AE467" s="2952"/>
      <c r="AF467" s="2952"/>
      <c r="AG467" s="2952" t="s">
        <v>6942</v>
      </c>
      <c r="AH467" s="2952"/>
      <c r="AI467" s="2952"/>
      <c r="AJ467" s="2952"/>
      <c r="AK467" s="2952"/>
      <c r="AL467" s="2952"/>
      <c r="AM467" s="2952"/>
      <c r="AN467" s="2952"/>
      <c r="AO467" s="2952"/>
      <c r="AP467" s="2952"/>
    </row>
    <row r="468" s="799" customFormat="1" ht="12.75" hidden="1" customHeight="1" spans="1:126">
      <c r="A468" s="2955">
        <f>UnosPorBilans!B227</f>
        <v>0</v>
      </c>
      <c r="B468" s="2955"/>
      <c r="C468" s="2955"/>
      <c r="D468" s="2955"/>
      <c r="E468" s="2955"/>
      <c r="F468" s="2955"/>
      <c r="G468" s="2955"/>
      <c r="H468" s="2955"/>
      <c r="I468" s="2955"/>
      <c r="J468" s="2955"/>
      <c r="K468" s="2955"/>
      <c r="L468" s="2955"/>
      <c r="M468" s="2955"/>
      <c r="N468" s="2955"/>
      <c r="O468" s="2955"/>
      <c r="P468" s="2955"/>
      <c r="Q468" s="2955"/>
      <c r="R468" s="2955"/>
      <c r="S468" s="2955"/>
      <c r="T468" s="2955"/>
      <c r="U468" s="2955"/>
      <c r="V468" s="2955">
        <f>UnosPorBilans!I227</f>
        <v>0</v>
      </c>
      <c r="W468" s="2955"/>
      <c r="X468" s="2955"/>
      <c r="Y468" s="2955"/>
      <c r="Z468" s="2955"/>
      <c r="AA468" s="2955"/>
      <c r="AB468" s="2955"/>
      <c r="AC468" s="2955"/>
      <c r="AD468" s="2955"/>
      <c r="AE468" s="2955"/>
      <c r="AF468" s="2955"/>
      <c r="AG468" s="2955">
        <f>UnosPorBilans!N227</f>
        <v>0</v>
      </c>
      <c r="AH468" s="2955"/>
      <c r="AI468" s="2955"/>
      <c r="AJ468" s="2955"/>
      <c r="AK468" s="2955"/>
      <c r="AL468" s="2955"/>
      <c r="AM468" s="2955"/>
      <c r="AN468" s="2955"/>
      <c r="AO468" s="2955"/>
      <c r="AP468" s="2955"/>
    </row>
    <row r="469" s="799" customFormat="1" ht="12.75" hidden="1" customHeight="1" spans="1:126">
      <c r="A469" s="2952" t="s">
        <v>6943</v>
      </c>
      <c r="B469" s="2952"/>
      <c r="C469" s="2952"/>
      <c r="D469" s="2952"/>
      <c r="E469" s="2952"/>
      <c r="F469" s="2952"/>
      <c r="G469" s="2952"/>
      <c r="H469" s="2952"/>
      <c r="I469" s="2952"/>
      <c r="J469" s="2952"/>
      <c r="K469" s="2952" t="s">
        <v>6944</v>
      </c>
      <c r="L469" s="2952"/>
      <c r="M469" s="2952"/>
      <c r="N469" s="2952"/>
      <c r="O469" s="2952"/>
      <c r="P469" s="2952"/>
      <c r="Q469" s="2952"/>
      <c r="R469" s="2952"/>
      <c r="S469" s="2952"/>
      <c r="T469" s="2952"/>
      <c r="U469" s="2952"/>
      <c r="V469" s="2952" t="s">
        <v>6945</v>
      </c>
      <c r="W469" s="2952"/>
      <c r="X469" s="2952"/>
      <c r="Y469" s="2952"/>
      <c r="Z469" s="2952"/>
      <c r="AA469" s="2952"/>
      <c r="AB469" s="2952"/>
      <c r="AC469" s="2952"/>
      <c r="AD469" s="2952"/>
      <c r="AE469" s="2952"/>
      <c r="AF469" s="2952"/>
      <c r="AG469" s="2952" t="s">
        <v>6946</v>
      </c>
      <c r="AH469" s="2952"/>
      <c r="AI469" s="2952"/>
      <c r="AJ469" s="2952"/>
      <c r="AK469" s="2952"/>
      <c r="AL469" s="2952"/>
      <c r="AM469" s="2952"/>
      <c r="AN469" s="2952"/>
      <c r="AO469" s="2952"/>
      <c r="AP469" s="2952"/>
    </row>
    <row r="470" s="799" customFormat="1" ht="12.75" hidden="1" customHeight="1" spans="1:126">
      <c r="A470" s="2955">
        <f>UnosPorBilans!S227</f>
        <v>0</v>
      </c>
      <c r="B470" s="2955"/>
      <c r="C470" s="2955"/>
      <c r="D470" s="2955"/>
      <c r="E470" s="2955"/>
      <c r="F470" s="2955"/>
      <c r="G470" s="2955"/>
      <c r="H470" s="2955"/>
      <c r="I470" s="2955"/>
      <c r="J470" s="2955"/>
      <c r="K470" s="2955">
        <f>UnosPorBilans!W227</f>
        <v>0</v>
      </c>
      <c r="L470" s="2955"/>
      <c r="M470" s="2955"/>
      <c r="N470" s="2955"/>
      <c r="O470" s="2955"/>
      <c r="P470" s="2955"/>
      <c r="Q470" s="2955"/>
      <c r="R470" s="2955"/>
      <c r="S470" s="2955"/>
      <c r="T470" s="2955"/>
      <c r="U470" s="2955"/>
      <c r="V470" s="2955">
        <f>UnosPorBilans!AB227</f>
        <v>0</v>
      </c>
      <c r="W470" s="2955"/>
      <c r="X470" s="2955"/>
      <c r="Y470" s="2955"/>
      <c r="Z470" s="2955"/>
      <c r="AA470" s="2955"/>
      <c r="AB470" s="2955"/>
      <c r="AC470" s="2955"/>
      <c r="AD470" s="2955"/>
      <c r="AE470" s="2955"/>
      <c r="AF470" s="2955"/>
      <c r="AG470" s="2955">
        <f>UnosPorBilans!AG227</f>
        <v>0</v>
      </c>
      <c r="AH470" s="2955"/>
      <c r="AI470" s="2955"/>
      <c r="AJ470" s="2955"/>
      <c r="AK470" s="2955"/>
      <c r="AL470" s="2955"/>
      <c r="AM470" s="2955"/>
      <c r="AN470" s="2955"/>
      <c r="AO470" s="2955"/>
      <c r="AP470" s="2955"/>
    </row>
    <row r="471" s="799" customFormat="1" ht="12.75" hidden="1" customHeight="1" spans="1:126">
      <c r="A471" s="2952" t="s">
        <v>6947</v>
      </c>
      <c r="B471" s="2952"/>
      <c r="C471" s="2952"/>
      <c r="D471" s="2952"/>
      <c r="E471" s="2952"/>
      <c r="F471" s="2952"/>
      <c r="G471" s="2952"/>
      <c r="H471" s="2952"/>
      <c r="I471" s="2952"/>
      <c r="J471" s="2952"/>
      <c r="K471" s="2952"/>
      <c r="L471" s="2952"/>
      <c r="M471" s="2952"/>
      <c r="N471" s="2952"/>
      <c r="O471" s="2952"/>
      <c r="P471" s="2952"/>
      <c r="Q471" s="2952"/>
      <c r="R471" s="2952"/>
      <c r="S471" s="2952"/>
      <c r="T471" s="2952"/>
      <c r="U471" s="2952"/>
      <c r="V471" s="2952" t="s">
        <v>6948</v>
      </c>
      <c r="W471" s="2952"/>
      <c r="X471" s="2952"/>
      <c r="Y471" s="2952"/>
      <c r="Z471" s="2952"/>
      <c r="AA471" s="2952"/>
      <c r="AB471" s="2952"/>
      <c r="AC471" s="2952"/>
      <c r="AD471" s="2952"/>
      <c r="AE471" s="2952"/>
      <c r="AF471" s="2952"/>
      <c r="AG471" s="2952"/>
      <c r="AH471" s="2952"/>
      <c r="AI471" s="2952"/>
      <c r="AJ471" s="2952"/>
      <c r="AK471" s="2952"/>
      <c r="AL471" s="2952"/>
      <c r="AM471" s="2952"/>
      <c r="AN471" s="2952"/>
      <c r="AO471" s="2952"/>
      <c r="AP471" s="2952"/>
    </row>
    <row r="472" s="799" customFormat="1" ht="12.75" hidden="1" customHeight="1" spans="1:126">
      <c r="A472" s="2955">
        <f>UnosPorBilans!AL227</f>
        <v>0</v>
      </c>
      <c r="B472" s="2955"/>
      <c r="C472" s="2955"/>
      <c r="D472" s="2955"/>
      <c r="E472" s="2955"/>
      <c r="F472" s="2955"/>
      <c r="G472" s="2955"/>
      <c r="H472" s="2955"/>
      <c r="I472" s="2955"/>
      <c r="J472" s="2955"/>
      <c r="K472" s="2955"/>
      <c r="L472" s="2955"/>
      <c r="M472" s="2955"/>
      <c r="N472" s="2955"/>
      <c r="O472" s="2955"/>
      <c r="P472" s="2955"/>
      <c r="Q472" s="2955"/>
      <c r="R472" s="2955"/>
      <c r="S472" s="2955"/>
      <c r="T472" s="2955"/>
      <c r="U472" s="2955"/>
      <c r="V472" s="2955">
        <f>UnosPorBilans!AS227</f>
        <v>0</v>
      </c>
      <c r="W472" s="2955"/>
      <c r="X472" s="2955"/>
      <c r="Y472" s="2955"/>
      <c r="Z472" s="2955"/>
      <c r="AA472" s="2955"/>
      <c r="AB472" s="2955"/>
      <c r="AC472" s="2955"/>
      <c r="AD472" s="2955"/>
      <c r="AE472" s="2955"/>
      <c r="AF472" s="2955"/>
      <c r="AG472" s="2955"/>
      <c r="AH472" s="2955"/>
      <c r="AI472" s="2955"/>
      <c r="AJ472" s="2955"/>
      <c r="AK472" s="2955"/>
      <c r="AL472" s="2955"/>
      <c r="AM472" s="2955"/>
      <c r="AN472" s="2955"/>
      <c r="AO472" s="2955"/>
      <c r="AP472" s="2955"/>
    </row>
    <row r="473" s="799" customFormat="1" ht="14.25" hidden="1" customHeight="1" spans="1:126">
      <c r="A473" s="2954"/>
      <c r="B473" s="2954"/>
      <c r="C473" s="2954"/>
      <c r="D473" s="2954"/>
      <c r="E473" s="2954"/>
      <c r="F473" s="2954"/>
      <c r="G473" s="2954"/>
      <c r="H473" s="2954"/>
      <c r="I473" s="2954"/>
      <c r="J473" s="2954"/>
      <c r="K473" s="2954"/>
      <c r="L473" s="2954"/>
      <c r="M473" s="2954"/>
      <c r="N473" s="2954"/>
      <c r="O473" s="2954"/>
      <c r="P473" s="2954"/>
      <c r="Q473" s="2954"/>
      <c r="R473" s="2954"/>
      <c r="S473" s="2954"/>
      <c r="T473" s="2954"/>
      <c r="U473" s="2954"/>
      <c r="V473" s="2954"/>
      <c r="W473" s="2954"/>
      <c r="X473" s="2954"/>
      <c r="Y473" s="2954"/>
      <c r="Z473" s="2954"/>
      <c r="AA473" s="2954"/>
      <c r="AB473" s="2954"/>
      <c r="AC473" s="2954"/>
      <c r="AD473" s="2954"/>
      <c r="AE473" s="2954"/>
      <c r="AF473" s="2954"/>
      <c r="AG473" s="2954"/>
      <c r="AH473" s="2954"/>
      <c r="AI473" s="2954"/>
      <c r="AJ473" s="2954"/>
      <c r="AK473" s="2954"/>
      <c r="AL473" s="2954"/>
      <c r="AM473" s="2954"/>
      <c r="AN473" s="2954"/>
      <c r="AO473" s="2954"/>
      <c r="AP473" s="2954"/>
      <c r="AQ473" s="2954"/>
      <c r="AR473" s="2954"/>
      <c r="AS473" s="2954"/>
      <c r="AT473" s="2954"/>
      <c r="AU473" s="2954"/>
      <c r="AV473" s="2954"/>
      <c r="AW473" s="2954"/>
      <c r="AX473" s="2954"/>
      <c r="AY473" s="2954"/>
      <c r="AZ473" s="2954"/>
      <c r="BA473" s="2954"/>
      <c r="BB473" s="2954"/>
      <c r="BC473" s="2954"/>
      <c r="BD473" s="2954"/>
      <c r="BE473" s="2954"/>
      <c r="BF473" s="2954"/>
      <c r="BG473" s="2954"/>
      <c r="BH473" s="2954"/>
      <c r="BI473" s="2954"/>
      <c r="BJ473" s="2954"/>
      <c r="BK473" s="2954"/>
      <c r="BL473" s="2954"/>
      <c r="BM473" s="2954"/>
      <c r="BN473" s="2954"/>
      <c r="BO473" s="2954"/>
      <c r="BP473" s="2954"/>
      <c r="BQ473" s="2954"/>
      <c r="BR473" s="2954"/>
      <c r="BS473" s="2954"/>
      <c r="BT473" s="2954"/>
      <c r="BU473" s="2954"/>
      <c r="BV473" s="2954"/>
      <c r="BW473" s="2954"/>
      <c r="BX473" s="2954"/>
      <c r="BY473" s="2954"/>
      <c r="BZ473" s="2954"/>
      <c r="CA473" s="2954"/>
      <c r="CB473" s="2954"/>
      <c r="CC473" s="2954"/>
      <c r="CD473" s="2954"/>
      <c r="CE473" s="2954"/>
      <c r="CF473" s="2954"/>
      <c r="CG473" s="2954"/>
      <c r="CH473" s="2954"/>
      <c r="CI473" s="2954"/>
      <c r="CJ473" s="2954"/>
      <c r="CK473" s="2954"/>
      <c r="CL473" s="2954"/>
      <c r="CM473" s="2954"/>
      <c r="CN473" s="2954"/>
      <c r="CO473" s="2954"/>
      <c r="CP473" s="2954"/>
      <c r="CQ473" s="2954"/>
      <c r="CR473" s="2954"/>
      <c r="CS473" s="2954"/>
      <c r="CT473" s="2954"/>
      <c r="CU473" s="2954"/>
      <c r="CV473" s="2954"/>
      <c r="CW473" s="2954"/>
      <c r="CX473" s="2954"/>
      <c r="CY473" s="2954"/>
      <c r="CZ473" s="2954"/>
      <c r="DA473" s="2954"/>
      <c r="DB473" s="2954"/>
      <c r="DC473" s="2954"/>
      <c r="DD473" s="2954"/>
      <c r="DE473" s="2954"/>
      <c r="DF473" s="2954"/>
      <c r="DG473" s="2954"/>
      <c r="DH473" s="2954"/>
      <c r="DI473" s="2954"/>
      <c r="DJ473" s="2954"/>
      <c r="DK473" s="2954"/>
      <c r="DL473" s="2954"/>
      <c r="DM473" s="2954"/>
      <c r="DN473" s="2954"/>
      <c r="DO473" s="2954"/>
      <c r="DP473" s="2954"/>
      <c r="DQ473" s="2954"/>
      <c r="DR473" s="2954"/>
      <c r="DS473" s="2954"/>
      <c r="DT473" s="2954"/>
      <c r="DU473" s="2954"/>
      <c r="DV473" s="2954"/>
    </row>
    <row r="474" s="799" customFormat="1" ht="14.25" hidden="1" customHeight="1" spans="1:126">
      <c r="A474" s="2952" t="s">
        <v>4214</v>
      </c>
      <c r="B474" s="2952"/>
      <c r="C474" s="2952" t="s">
        <v>6940</v>
      </c>
      <c r="D474" s="2952"/>
      <c r="E474" s="2952"/>
      <c r="F474" s="2952"/>
      <c r="G474" s="2952"/>
      <c r="H474" s="2952"/>
      <c r="I474" s="2952"/>
      <c r="J474" s="2952"/>
      <c r="K474" s="2952"/>
      <c r="L474" s="2952"/>
      <c r="M474" s="2952"/>
      <c r="N474" s="2952"/>
      <c r="O474" s="2952"/>
      <c r="P474" s="2952"/>
      <c r="Q474" s="2952"/>
      <c r="R474" s="2952"/>
      <c r="S474" s="2952"/>
      <c r="T474" s="2952"/>
      <c r="U474" s="2952"/>
      <c r="V474" s="2952" t="s">
        <v>6941</v>
      </c>
      <c r="W474" s="2952"/>
      <c r="X474" s="2952"/>
      <c r="Y474" s="2952"/>
      <c r="Z474" s="2952"/>
      <c r="AA474" s="2952"/>
      <c r="AB474" s="2952"/>
      <c r="AC474" s="2952"/>
      <c r="AD474" s="2952"/>
      <c r="AE474" s="2952"/>
      <c r="AF474" s="2952"/>
      <c r="AG474" s="2952" t="s">
        <v>6942</v>
      </c>
      <c r="AH474" s="2952"/>
      <c r="AI474" s="2952"/>
      <c r="AJ474" s="2952"/>
      <c r="AK474" s="2952"/>
      <c r="AL474" s="2952"/>
      <c r="AM474" s="2952"/>
      <c r="AN474" s="2952"/>
      <c r="AO474" s="2952"/>
      <c r="AP474" s="2952"/>
    </row>
    <row r="475" s="799" customFormat="1" ht="12.75" hidden="1" customHeight="1" spans="1:126">
      <c r="A475" s="2955">
        <f>UnosPorBilans!B228</f>
        <v>0</v>
      </c>
      <c r="B475" s="2955"/>
      <c r="C475" s="2955"/>
      <c r="D475" s="2955"/>
      <c r="E475" s="2955"/>
      <c r="F475" s="2955"/>
      <c r="G475" s="2955"/>
      <c r="H475" s="2955"/>
      <c r="I475" s="2955"/>
      <c r="J475" s="2955"/>
      <c r="K475" s="2955"/>
      <c r="L475" s="2955"/>
      <c r="M475" s="2955"/>
      <c r="N475" s="2955"/>
      <c r="O475" s="2955"/>
      <c r="P475" s="2955"/>
      <c r="Q475" s="2955"/>
      <c r="R475" s="2955"/>
      <c r="S475" s="2955"/>
      <c r="T475" s="2955"/>
      <c r="U475" s="2955"/>
      <c r="V475" s="2955">
        <f>UnosPorBilans!I228</f>
        <v>0</v>
      </c>
      <c r="W475" s="2955"/>
      <c r="X475" s="2955"/>
      <c r="Y475" s="2955"/>
      <c r="Z475" s="2955"/>
      <c r="AA475" s="2955"/>
      <c r="AB475" s="2955"/>
      <c r="AC475" s="2955"/>
      <c r="AD475" s="2955"/>
      <c r="AE475" s="2955"/>
      <c r="AF475" s="2955"/>
      <c r="AG475" s="2955">
        <f>UnosPorBilans!N228</f>
        <v>0</v>
      </c>
      <c r="AH475" s="2955"/>
      <c r="AI475" s="2955"/>
      <c r="AJ475" s="2955"/>
      <c r="AK475" s="2955"/>
      <c r="AL475" s="2955"/>
      <c r="AM475" s="2955"/>
      <c r="AN475" s="2955"/>
      <c r="AO475" s="2955"/>
      <c r="AP475" s="2955"/>
    </row>
    <row r="476" s="799" customFormat="1" ht="12.75" hidden="1" customHeight="1" spans="1:126">
      <c r="A476" s="2952" t="s">
        <v>6943</v>
      </c>
      <c r="B476" s="2952"/>
      <c r="C476" s="2952"/>
      <c r="D476" s="2952"/>
      <c r="E476" s="2952"/>
      <c r="F476" s="2952"/>
      <c r="G476" s="2952"/>
      <c r="H476" s="2952"/>
      <c r="I476" s="2952"/>
      <c r="J476" s="2952"/>
      <c r="K476" s="2952" t="s">
        <v>6944</v>
      </c>
      <c r="L476" s="2952"/>
      <c r="M476" s="2952"/>
      <c r="N476" s="2952"/>
      <c r="O476" s="2952"/>
      <c r="P476" s="2952"/>
      <c r="Q476" s="2952"/>
      <c r="R476" s="2952"/>
      <c r="S476" s="2952"/>
      <c r="T476" s="2952"/>
      <c r="U476" s="2952"/>
      <c r="V476" s="2952" t="s">
        <v>6945</v>
      </c>
      <c r="W476" s="2952"/>
      <c r="X476" s="2952"/>
      <c r="Y476" s="2952"/>
      <c r="Z476" s="2952"/>
      <c r="AA476" s="2952"/>
      <c r="AB476" s="2952"/>
      <c r="AC476" s="2952"/>
      <c r="AD476" s="2952"/>
      <c r="AE476" s="2952"/>
      <c r="AF476" s="2952"/>
      <c r="AG476" s="2952" t="s">
        <v>6946</v>
      </c>
      <c r="AH476" s="2952"/>
      <c r="AI476" s="2952"/>
      <c r="AJ476" s="2952"/>
      <c r="AK476" s="2952"/>
      <c r="AL476" s="2952"/>
      <c r="AM476" s="2952"/>
      <c r="AN476" s="2952"/>
      <c r="AO476" s="2952"/>
      <c r="AP476" s="2952"/>
    </row>
    <row r="477" s="799" customFormat="1" ht="12.75" hidden="1" customHeight="1" spans="1:126">
      <c r="A477" s="2955">
        <f>UnosPorBilans!S228</f>
        <v>0</v>
      </c>
      <c r="B477" s="2955"/>
      <c r="C477" s="2955"/>
      <c r="D477" s="2955"/>
      <c r="E477" s="2955"/>
      <c r="F477" s="2955"/>
      <c r="G477" s="2955"/>
      <c r="H477" s="2955"/>
      <c r="I477" s="2955"/>
      <c r="J477" s="2955"/>
      <c r="K477" s="2955">
        <f>UnosPorBilans!W228</f>
        <v>0</v>
      </c>
      <c r="L477" s="2955"/>
      <c r="M477" s="2955"/>
      <c r="N477" s="2955"/>
      <c r="O477" s="2955"/>
      <c r="P477" s="2955"/>
      <c r="Q477" s="2955"/>
      <c r="R477" s="2955"/>
      <c r="S477" s="2955"/>
      <c r="T477" s="2955"/>
      <c r="U477" s="2955"/>
      <c r="V477" s="2955">
        <f>UnosPorBilans!AB228</f>
        <v>0</v>
      </c>
      <c r="W477" s="2955"/>
      <c r="X477" s="2955"/>
      <c r="Y477" s="2955"/>
      <c r="Z477" s="2955"/>
      <c r="AA477" s="2955"/>
      <c r="AB477" s="2955"/>
      <c r="AC477" s="2955"/>
      <c r="AD477" s="2955"/>
      <c r="AE477" s="2955"/>
      <c r="AF477" s="2955"/>
      <c r="AG477" s="2955">
        <f>UnosPorBilans!AG228</f>
        <v>0</v>
      </c>
      <c r="AH477" s="2955"/>
      <c r="AI477" s="2955"/>
      <c r="AJ477" s="2955"/>
      <c r="AK477" s="2955"/>
      <c r="AL477" s="2955"/>
      <c r="AM477" s="2955"/>
      <c r="AN477" s="2955"/>
      <c r="AO477" s="2955"/>
      <c r="AP477" s="2955"/>
    </row>
    <row r="478" s="799" customFormat="1" ht="12.75" hidden="1" customHeight="1" spans="1:126">
      <c r="A478" s="2952" t="s">
        <v>6947</v>
      </c>
      <c r="B478" s="2952"/>
      <c r="C478" s="2952"/>
      <c r="D478" s="2952"/>
      <c r="E478" s="2952"/>
      <c r="F478" s="2952"/>
      <c r="G478" s="2952"/>
      <c r="H478" s="2952"/>
      <c r="I478" s="2952"/>
      <c r="J478" s="2952"/>
      <c r="K478" s="2952"/>
      <c r="L478" s="2952"/>
      <c r="M478" s="2952"/>
      <c r="N478" s="2952"/>
      <c r="O478" s="2952"/>
      <c r="P478" s="2952"/>
      <c r="Q478" s="2952"/>
      <c r="R478" s="2952"/>
      <c r="S478" s="2952"/>
      <c r="T478" s="2952"/>
      <c r="U478" s="2952"/>
      <c r="V478" s="2952" t="s">
        <v>6948</v>
      </c>
      <c r="W478" s="2952"/>
      <c r="X478" s="2952"/>
      <c r="Y478" s="2952"/>
      <c r="Z478" s="2952"/>
      <c r="AA478" s="2952"/>
      <c r="AB478" s="2952"/>
      <c r="AC478" s="2952"/>
      <c r="AD478" s="2952"/>
      <c r="AE478" s="2952"/>
      <c r="AF478" s="2952"/>
      <c r="AG478" s="2952"/>
      <c r="AH478" s="2952"/>
      <c r="AI478" s="2952"/>
      <c r="AJ478" s="2952"/>
      <c r="AK478" s="2952"/>
      <c r="AL478" s="2952"/>
      <c r="AM478" s="2952"/>
      <c r="AN478" s="2952"/>
      <c r="AO478" s="2952"/>
      <c r="AP478" s="2952"/>
    </row>
    <row r="479" s="799" customFormat="1" ht="12.75" hidden="1" customHeight="1" spans="1:126">
      <c r="A479" s="2955">
        <f>UnosPorBilans!AL228</f>
        <v>0</v>
      </c>
      <c r="B479" s="2955"/>
      <c r="C479" s="2955"/>
      <c r="D479" s="2955"/>
      <c r="E479" s="2955"/>
      <c r="F479" s="2955"/>
      <c r="G479" s="2955"/>
      <c r="H479" s="2955"/>
      <c r="I479" s="2955"/>
      <c r="J479" s="2955"/>
      <c r="K479" s="2955"/>
      <c r="L479" s="2955"/>
      <c r="M479" s="2955"/>
      <c r="N479" s="2955"/>
      <c r="O479" s="2955"/>
      <c r="P479" s="2955"/>
      <c r="Q479" s="2955"/>
      <c r="R479" s="2955"/>
      <c r="S479" s="2955"/>
      <c r="T479" s="2955"/>
      <c r="U479" s="2955"/>
      <c r="V479" s="2955">
        <f>UnosPorBilans!AS228</f>
        <v>0</v>
      </c>
      <c r="W479" s="2955"/>
      <c r="X479" s="2955"/>
      <c r="Y479" s="2955"/>
      <c r="Z479" s="2955"/>
      <c r="AA479" s="2955"/>
      <c r="AB479" s="2955"/>
      <c r="AC479" s="2955"/>
      <c r="AD479" s="2955"/>
      <c r="AE479" s="2955"/>
      <c r="AF479" s="2955"/>
      <c r="AG479" s="2955"/>
      <c r="AH479" s="2955"/>
      <c r="AI479" s="2955"/>
      <c r="AJ479" s="2955"/>
      <c r="AK479" s="2955"/>
      <c r="AL479" s="2955"/>
      <c r="AM479" s="2955"/>
      <c r="AN479" s="2955"/>
      <c r="AO479" s="2955"/>
      <c r="AP479" s="2955"/>
    </row>
    <row r="480" s="799" customFormat="1" ht="14.25" hidden="1" customHeight="1" spans="1:126">
      <c r="A480" s="2954"/>
      <c r="B480" s="2954"/>
      <c r="C480" s="2954"/>
      <c r="D480" s="2954"/>
      <c r="E480" s="2954"/>
      <c r="F480" s="2954"/>
      <c r="G480" s="2954"/>
      <c r="H480" s="2954"/>
      <c r="I480" s="2954"/>
      <c r="J480" s="2954"/>
      <c r="K480" s="2954"/>
      <c r="L480" s="2954"/>
      <c r="M480" s="2954"/>
      <c r="N480" s="2954"/>
      <c r="O480" s="2954"/>
      <c r="P480" s="2954"/>
      <c r="Q480" s="2954"/>
      <c r="R480" s="2954"/>
      <c r="S480" s="2954"/>
      <c r="T480" s="2954"/>
      <c r="U480" s="2954"/>
      <c r="V480" s="2954"/>
      <c r="W480" s="2954"/>
      <c r="X480" s="2954"/>
      <c r="Y480" s="2954"/>
      <c r="Z480" s="2954"/>
      <c r="AA480" s="2954"/>
      <c r="AB480" s="2954"/>
      <c r="AC480" s="2954"/>
      <c r="AD480" s="2954"/>
      <c r="AE480" s="2954"/>
      <c r="AF480" s="2954"/>
      <c r="AG480" s="2954"/>
      <c r="AH480" s="2954"/>
      <c r="AI480" s="2954"/>
      <c r="AJ480" s="2954"/>
      <c r="AK480" s="2954"/>
      <c r="AL480" s="2954"/>
      <c r="AM480" s="2954"/>
      <c r="AN480" s="2954"/>
      <c r="AO480" s="2954"/>
      <c r="AP480" s="2954"/>
      <c r="AQ480" s="2954"/>
      <c r="AR480" s="2954"/>
      <c r="AS480" s="2954"/>
      <c r="AT480" s="2954"/>
      <c r="AU480" s="2954"/>
      <c r="AV480" s="2954"/>
      <c r="AW480" s="2954"/>
      <c r="AX480" s="2954"/>
      <c r="AY480" s="2954"/>
      <c r="AZ480" s="2954"/>
      <c r="BA480" s="2954"/>
      <c r="BB480" s="2954"/>
      <c r="BC480" s="2954"/>
      <c r="BD480" s="2954"/>
      <c r="BE480" s="2954"/>
      <c r="BF480" s="2954"/>
      <c r="BG480" s="2954"/>
      <c r="BH480" s="2954"/>
      <c r="BI480" s="2954"/>
      <c r="BJ480" s="2954"/>
      <c r="BK480" s="2954"/>
      <c r="BL480" s="2954"/>
      <c r="BM480" s="2954"/>
      <c r="BN480" s="2954"/>
      <c r="BO480" s="2954"/>
      <c r="BP480" s="2954"/>
      <c r="BQ480" s="2954"/>
      <c r="BR480" s="2954"/>
      <c r="BS480" s="2954"/>
      <c r="BT480" s="2954"/>
      <c r="BU480" s="2954"/>
      <c r="BV480" s="2954"/>
      <c r="BW480" s="2954"/>
      <c r="BX480" s="2954"/>
      <c r="BY480" s="2954"/>
      <c r="BZ480" s="2954"/>
      <c r="CA480" s="2954"/>
      <c r="CB480" s="2954"/>
      <c r="CC480" s="2954"/>
      <c r="CD480" s="2954"/>
      <c r="CE480" s="2954"/>
      <c r="CF480" s="2954"/>
      <c r="CG480" s="2954"/>
      <c r="CH480" s="2954"/>
      <c r="CI480" s="2954"/>
      <c r="CJ480" s="2954"/>
      <c r="CK480" s="2954"/>
      <c r="CL480" s="2954"/>
      <c r="CM480" s="2954"/>
      <c r="CN480" s="2954"/>
      <c r="CO480" s="2954"/>
      <c r="CP480" s="2954"/>
      <c r="CQ480" s="2954"/>
      <c r="CR480" s="2954"/>
      <c r="CS480" s="2954"/>
      <c r="CT480" s="2954"/>
      <c r="CU480" s="2954"/>
      <c r="CV480" s="2954"/>
      <c r="CW480" s="2954"/>
      <c r="CX480" s="2954"/>
      <c r="CY480" s="2954"/>
      <c r="CZ480" s="2954"/>
      <c r="DA480" s="2954"/>
      <c r="DB480" s="2954"/>
      <c r="DC480" s="2954"/>
      <c r="DD480" s="2954"/>
      <c r="DE480" s="2954"/>
      <c r="DF480" s="2954"/>
      <c r="DG480" s="2954"/>
      <c r="DH480" s="2954"/>
      <c r="DI480" s="2954"/>
      <c r="DJ480" s="2954"/>
      <c r="DK480" s="2954"/>
      <c r="DL480" s="2954"/>
      <c r="DM480" s="2954"/>
      <c r="DN480" s="2954"/>
      <c r="DO480" s="2954"/>
      <c r="DP480" s="2954"/>
      <c r="DQ480" s="2954"/>
      <c r="DR480" s="2954"/>
      <c r="DS480" s="2954"/>
      <c r="DT480" s="2954"/>
      <c r="DU480" s="2954"/>
      <c r="DV480" s="2954"/>
    </row>
    <row r="481" s="799" customFormat="1" ht="14.25" hidden="1" customHeight="1" spans="1:126">
      <c r="A481" s="2952" t="s">
        <v>4214</v>
      </c>
      <c r="B481" s="2952"/>
      <c r="C481" s="2952" t="s">
        <v>6940</v>
      </c>
      <c r="D481" s="2952"/>
      <c r="E481" s="2952"/>
      <c r="F481" s="2952"/>
      <c r="G481" s="2952"/>
      <c r="H481" s="2952"/>
      <c r="I481" s="2952"/>
      <c r="J481" s="2952"/>
      <c r="K481" s="2952"/>
      <c r="L481" s="2952"/>
      <c r="M481" s="2952"/>
      <c r="N481" s="2952"/>
      <c r="O481" s="2952"/>
      <c r="P481" s="2952"/>
      <c r="Q481" s="2952"/>
      <c r="R481" s="2952"/>
      <c r="S481" s="2952"/>
      <c r="T481" s="2952"/>
      <c r="U481" s="2952"/>
      <c r="V481" s="2952" t="s">
        <v>6941</v>
      </c>
      <c r="W481" s="2952"/>
      <c r="X481" s="2952"/>
      <c r="Y481" s="2952"/>
      <c r="Z481" s="2952"/>
      <c r="AA481" s="2952"/>
      <c r="AB481" s="2952"/>
      <c r="AC481" s="2952"/>
      <c r="AD481" s="2952"/>
      <c r="AE481" s="2952"/>
      <c r="AF481" s="2952"/>
      <c r="AG481" s="2952" t="s">
        <v>6942</v>
      </c>
      <c r="AH481" s="2952"/>
      <c r="AI481" s="2952"/>
      <c r="AJ481" s="2952"/>
      <c r="AK481" s="2952"/>
      <c r="AL481" s="2952"/>
      <c r="AM481" s="2952"/>
      <c r="AN481" s="2952"/>
      <c r="AO481" s="2952"/>
      <c r="AP481" s="2952"/>
    </row>
    <row r="482" s="799" customFormat="1" ht="12.75" hidden="1" customHeight="1" spans="1:126">
      <c r="A482" s="2955">
        <f>UnosPorBilans!B229</f>
        <v>0</v>
      </c>
      <c r="B482" s="2955"/>
      <c r="C482" s="2955"/>
      <c r="D482" s="2955"/>
      <c r="E482" s="2955"/>
      <c r="F482" s="2955"/>
      <c r="G482" s="2955"/>
      <c r="H482" s="2955"/>
      <c r="I482" s="2955"/>
      <c r="J482" s="2955"/>
      <c r="K482" s="2955"/>
      <c r="L482" s="2955"/>
      <c r="M482" s="2955"/>
      <c r="N482" s="2955"/>
      <c r="O482" s="2955"/>
      <c r="P482" s="2955"/>
      <c r="Q482" s="2955"/>
      <c r="R482" s="2955"/>
      <c r="S482" s="2955"/>
      <c r="T482" s="2955"/>
      <c r="U482" s="2955"/>
      <c r="V482" s="2955">
        <f>UnosPorBilans!I229</f>
        <v>0</v>
      </c>
      <c r="W482" s="2955"/>
      <c r="X482" s="2955"/>
      <c r="Y482" s="2955"/>
      <c r="Z482" s="2955"/>
      <c r="AA482" s="2955"/>
      <c r="AB482" s="2955"/>
      <c r="AC482" s="2955"/>
      <c r="AD482" s="2955"/>
      <c r="AE482" s="2955"/>
      <c r="AF482" s="2955"/>
      <c r="AG482" s="2955">
        <f>UnosPorBilans!N229</f>
        <v>0</v>
      </c>
      <c r="AH482" s="2955"/>
      <c r="AI482" s="2955"/>
      <c r="AJ482" s="2955"/>
      <c r="AK482" s="2955"/>
      <c r="AL482" s="2955"/>
      <c r="AM482" s="2955"/>
      <c r="AN482" s="2955"/>
      <c r="AO482" s="2955"/>
      <c r="AP482" s="2955"/>
    </row>
    <row r="483" s="799" customFormat="1" ht="12.75" hidden="1" customHeight="1" spans="1:126">
      <c r="A483" s="2952" t="s">
        <v>6943</v>
      </c>
      <c r="B483" s="2952"/>
      <c r="C483" s="2952"/>
      <c r="D483" s="2952"/>
      <c r="E483" s="2952"/>
      <c r="F483" s="2952"/>
      <c r="G483" s="2952"/>
      <c r="H483" s="2952"/>
      <c r="I483" s="2952"/>
      <c r="J483" s="2952"/>
      <c r="K483" s="2952" t="s">
        <v>6944</v>
      </c>
      <c r="L483" s="2952"/>
      <c r="M483" s="2952"/>
      <c r="N483" s="2952"/>
      <c r="O483" s="2952"/>
      <c r="P483" s="2952"/>
      <c r="Q483" s="2952"/>
      <c r="R483" s="2952"/>
      <c r="S483" s="2952"/>
      <c r="T483" s="2952"/>
      <c r="U483" s="2952"/>
      <c r="V483" s="2952" t="s">
        <v>6945</v>
      </c>
      <c r="W483" s="2952"/>
      <c r="X483" s="2952"/>
      <c r="Y483" s="2952"/>
      <c r="Z483" s="2952"/>
      <c r="AA483" s="2952"/>
      <c r="AB483" s="2952"/>
      <c r="AC483" s="2952"/>
      <c r="AD483" s="2952"/>
      <c r="AE483" s="2952"/>
      <c r="AF483" s="2952"/>
      <c r="AG483" s="2952" t="s">
        <v>6946</v>
      </c>
      <c r="AH483" s="2952"/>
      <c r="AI483" s="2952"/>
      <c r="AJ483" s="2952"/>
      <c r="AK483" s="2952"/>
      <c r="AL483" s="2952"/>
      <c r="AM483" s="2952"/>
      <c r="AN483" s="2952"/>
      <c r="AO483" s="2952"/>
      <c r="AP483" s="2952"/>
    </row>
    <row r="484" s="799" customFormat="1" ht="12.75" hidden="1" customHeight="1" spans="1:126">
      <c r="A484" s="2955">
        <f>UnosPorBilans!S229</f>
        <v>0</v>
      </c>
      <c r="B484" s="2955"/>
      <c r="C484" s="2955"/>
      <c r="D484" s="2955"/>
      <c r="E484" s="2955"/>
      <c r="F484" s="2955"/>
      <c r="G484" s="2955"/>
      <c r="H484" s="2955"/>
      <c r="I484" s="2955"/>
      <c r="J484" s="2955"/>
      <c r="K484" s="2955">
        <f>UnosPorBilans!W229</f>
        <v>0</v>
      </c>
      <c r="L484" s="2955"/>
      <c r="M484" s="2955"/>
      <c r="N484" s="2955"/>
      <c r="O484" s="2955"/>
      <c r="P484" s="2955"/>
      <c r="Q484" s="2955"/>
      <c r="R484" s="2955"/>
      <c r="S484" s="2955"/>
      <c r="T484" s="2955"/>
      <c r="U484" s="2955"/>
      <c r="V484" s="2955">
        <f>UnosPorBilans!AB229</f>
        <v>0</v>
      </c>
      <c r="W484" s="2955"/>
      <c r="X484" s="2955"/>
      <c r="Y484" s="2955"/>
      <c r="Z484" s="2955"/>
      <c r="AA484" s="2955"/>
      <c r="AB484" s="2955"/>
      <c r="AC484" s="2955"/>
      <c r="AD484" s="2955"/>
      <c r="AE484" s="2955"/>
      <c r="AF484" s="2955"/>
      <c r="AG484" s="2955">
        <f>UnosPorBilans!AG229</f>
        <v>0</v>
      </c>
      <c r="AH484" s="2955"/>
      <c r="AI484" s="2955"/>
      <c r="AJ484" s="2955"/>
      <c r="AK484" s="2955"/>
      <c r="AL484" s="2955"/>
      <c r="AM484" s="2955"/>
      <c r="AN484" s="2955"/>
      <c r="AO484" s="2955"/>
      <c r="AP484" s="2955"/>
    </row>
    <row r="485" s="799" customFormat="1" ht="12.75" hidden="1" customHeight="1" spans="1:126">
      <c r="A485" s="2952" t="s">
        <v>6947</v>
      </c>
      <c r="B485" s="2952"/>
      <c r="C485" s="2952"/>
      <c r="D485" s="2952"/>
      <c r="E485" s="2952"/>
      <c r="F485" s="2952"/>
      <c r="G485" s="2952"/>
      <c r="H485" s="2952"/>
      <c r="I485" s="2952"/>
      <c r="J485" s="2952"/>
      <c r="K485" s="2952"/>
      <c r="L485" s="2952"/>
      <c r="M485" s="2952"/>
      <c r="N485" s="2952"/>
      <c r="O485" s="2952"/>
      <c r="P485" s="2952"/>
      <c r="Q485" s="2952"/>
      <c r="R485" s="2952"/>
      <c r="S485" s="2952"/>
      <c r="T485" s="2952"/>
      <c r="U485" s="2952"/>
      <c r="V485" s="2952" t="s">
        <v>6948</v>
      </c>
      <c r="W485" s="2952"/>
      <c r="X485" s="2952"/>
      <c r="Y485" s="2952"/>
      <c r="Z485" s="2952"/>
      <c r="AA485" s="2952"/>
      <c r="AB485" s="2952"/>
      <c r="AC485" s="2952"/>
      <c r="AD485" s="2952"/>
      <c r="AE485" s="2952"/>
      <c r="AF485" s="2952"/>
      <c r="AG485" s="2952"/>
      <c r="AH485" s="2952"/>
      <c r="AI485" s="2952"/>
      <c r="AJ485" s="2952"/>
      <c r="AK485" s="2952"/>
      <c r="AL485" s="2952"/>
      <c r="AM485" s="2952"/>
      <c r="AN485" s="2952"/>
      <c r="AO485" s="2952"/>
      <c r="AP485" s="2952"/>
    </row>
    <row r="486" s="799" customFormat="1" ht="12.75" hidden="1" customHeight="1" spans="1:126">
      <c r="A486" s="2955">
        <f>UnosPorBilans!AL229</f>
        <v>0</v>
      </c>
      <c r="B486" s="2955"/>
      <c r="C486" s="2955"/>
      <c r="D486" s="2955"/>
      <c r="E486" s="2955"/>
      <c r="F486" s="2955"/>
      <c r="G486" s="2955"/>
      <c r="H486" s="2955"/>
      <c r="I486" s="2955"/>
      <c r="J486" s="2955"/>
      <c r="K486" s="2955"/>
      <c r="L486" s="2955"/>
      <c r="M486" s="2955"/>
      <c r="N486" s="2955"/>
      <c r="O486" s="2955"/>
      <c r="P486" s="2955"/>
      <c r="Q486" s="2955"/>
      <c r="R486" s="2955"/>
      <c r="S486" s="2955"/>
      <c r="T486" s="2955"/>
      <c r="U486" s="2955"/>
      <c r="V486" s="2955">
        <f>UnosPorBilans!AS229</f>
        <v>0</v>
      </c>
      <c r="W486" s="2955"/>
      <c r="X486" s="2955"/>
      <c r="Y486" s="2955"/>
      <c r="Z486" s="2955"/>
      <c r="AA486" s="2955"/>
      <c r="AB486" s="2955"/>
      <c r="AC486" s="2955"/>
      <c r="AD486" s="2955"/>
      <c r="AE486" s="2955"/>
      <c r="AF486" s="2955"/>
      <c r="AG486" s="2955"/>
      <c r="AH486" s="2955"/>
      <c r="AI486" s="2955"/>
      <c r="AJ486" s="2955"/>
      <c r="AK486" s="2955"/>
      <c r="AL486" s="2955"/>
      <c r="AM486" s="2955"/>
      <c r="AN486" s="2955"/>
      <c r="AO486" s="2955"/>
      <c r="AP486" s="2955"/>
    </row>
    <row r="487" s="799" customFormat="1" ht="14.25" hidden="1" customHeight="1" spans="1:126">
      <c r="A487" s="2954"/>
      <c r="B487" s="2954"/>
      <c r="C487" s="2954"/>
      <c r="D487" s="2954"/>
      <c r="E487" s="2954"/>
      <c r="F487" s="2954"/>
      <c r="G487" s="2954"/>
      <c r="H487" s="2954"/>
      <c r="I487" s="2954"/>
      <c r="J487" s="2954"/>
      <c r="K487" s="2954"/>
      <c r="L487" s="2954"/>
      <c r="M487" s="2954"/>
      <c r="N487" s="2954"/>
      <c r="O487" s="2954"/>
      <c r="P487" s="2954"/>
      <c r="Q487" s="2954"/>
      <c r="R487" s="2954"/>
      <c r="S487" s="2954"/>
      <c r="T487" s="2954"/>
      <c r="U487" s="2954"/>
      <c r="V487" s="2954"/>
      <c r="W487" s="2954"/>
      <c r="X487" s="2954"/>
      <c r="Y487" s="2954"/>
      <c r="Z487" s="2954"/>
      <c r="AA487" s="2954"/>
      <c r="AB487" s="2954"/>
      <c r="AC487" s="2954"/>
      <c r="AD487" s="2954"/>
      <c r="AE487" s="2954"/>
      <c r="AF487" s="2954"/>
      <c r="AG487" s="2954"/>
      <c r="AH487" s="2954"/>
      <c r="AI487" s="2954"/>
      <c r="AJ487" s="2954"/>
      <c r="AK487" s="2954"/>
      <c r="AL487" s="2954"/>
      <c r="AM487" s="2954"/>
      <c r="AN487" s="2954"/>
      <c r="AO487" s="2954"/>
      <c r="AP487" s="2954"/>
      <c r="AQ487" s="2954"/>
      <c r="AR487" s="2954"/>
      <c r="AS487" s="2954"/>
      <c r="AT487" s="2954"/>
      <c r="AU487" s="2954"/>
      <c r="AV487" s="2954"/>
      <c r="AW487" s="2954"/>
      <c r="AX487" s="2954"/>
      <c r="AY487" s="2954"/>
      <c r="AZ487" s="2954"/>
      <c r="BA487" s="2954"/>
      <c r="BB487" s="2954"/>
      <c r="BC487" s="2954"/>
      <c r="BD487" s="2954"/>
      <c r="BE487" s="2954"/>
      <c r="BF487" s="2954"/>
      <c r="BG487" s="2954"/>
      <c r="BH487" s="2954"/>
      <c r="BI487" s="2954"/>
      <c r="BJ487" s="2954"/>
      <c r="BK487" s="2954"/>
      <c r="BL487" s="2954"/>
      <c r="BM487" s="2954"/>
      <c r="BN487" s="2954"/>
      <c r="BO487" s="2954"/>
      <c r="BP487" s="2954"/>
      <c r="BQ487" s="2954"/>
      <c r="BR487" s="2954"/>
      <c r="BS487" s="2954"/>
      <c r="BT487" s="2954"/>
      <c r="BU487" s="2954"/>
      <c r="BV487" s="2954"/>
      <c r="BW487" s="2954"/>
      <c r="BX487" s="2954"/>
      <c r="BY487" s="2954"/>
      <c r="BZ487" s="2954"/>
      <c r="CA487" s="2954"/>
      <c r="CB487" s="2954"/>
      <c r="CC487" s="2954"/>
      <c r="CD487" s="2954"/>
      <c r="CE487" s="2954"/>
      <c r="CF487" s="2954"/>
      <c r="CG487" s="2954"/>
      <c r="CH487" s="2954"/>
      <c r="CI487" s="2954"/>
      <c r="CJ487" s="2954"/>
      <c r="CK487" s="2954"/>
      <c r="CL487" s="2954"/>
      <c r="CM487" s="2954"/>
      <c r="CN487" s="2954"/>
      <c r="CO487" s="2954"/>
      <c r="CP487" s="2954"/>
      <c r="CQ487" s="2954"/>
      <c r="CR487" s="2954"/>
      <c r="CS487" s="2954"/>
      <c r="CT487" s="2954"/>
      <c r="CU487" s="2954"/>
      <c r="CV487" s="2954"/>
      <c r="CW487" s="2954"/>
      <c r="CX487" s="2954"/>
      <c r="CY487" s="2954"/>
      <c r="CZ487" s="2954"/>
      <c r="DA487" s="2954"/>
      <c r="DB487" s="2954"/>
      <c r="DC487" s="2954"/>
      <c r="DD487" s="2954"/>
      <c r="DE487" s="2954"/>
      <c r="DF487" s="2954"/>
      <c r="DG487" s="2954"/>
      <c r="DH487" s="2954"/>
      <c r="DI487" s="2954"/>
      <c r="DJ487" s="2954"/>
      <c r="DK487" s="2954"/>
      <c r="DL487" s="2954"/>
      <c r="DM487" s="2954"/>
      <c r="DN487" s="2954"/>
      <c r="DO487" s="2954"/>
      <c r="DP487" s="2954"/>
      <c r="DQ487" s="2954"/>
      <c r="DR487" s="2954"/>
      <c r="DS487" s="2954"/>
      <c r="DT487" s="2954"/>
      <c r="DU487" s="2954"/>
      <c r="DV487" s="2954"/>
    </row>
    <row r="488" s="799" customFormat="1" ht="14.25" hidden="1" customHeight="1" spans="1:126">
      <c r="A488" s="2952" t="s">
        <v>4214</v>
      </c>
      <c r="B488" s="2952"/>
      <c r="C488" s="2952" t="s">
        <v>6940</v>
      </c>
      <c r="D488" s="2952"/>
      <c r="E488" s="2952"/>
      <c r="F488" s="2952"/>
      <c r="G488" s="2952"/>
      <c r="H488" s="2952"/>
      <c r="I488" s="2952"/>
      <c r="J488" s="2952"/>
      <c r="K488" s="2952"/>
      <c r="L488" s="2952"/>
      <c r="M488" s="2952"/>
      <c r="N488" s="2952"/>
      <c r="O488" s="2952"/>
      <c r="P488" s="2952"/>
      <c r="Q488" s="2952"/>
      <c r="R488" s="2952"/>
      <c r="S488" s="2952"/>
      <c r="T488" s="2952"/>
      <c r="U488" s="2952"/>
      <c r="V488" s="2952" t="s">
        <v>6941</v>
      </c>
      <c r="W488" s="2952"/>
      <c r="X488" s="2952"/>
      <c r="Y488" s="2952"/>
      <c r="Z488" s="2952"/>
      <c r="AA488" s="2952"/>
      <c r="AB488" s="2952"/>
      <c r="AC488" s="2952"/>
      <c r="AD488" s="2952"/>
      <c r="AE488" s="2952"/>
      <c r="AF488" s="2952"/>
      <c r="AG488" s="2952" t="s">
        <v>6942</v>
      </c>
      <c r="AH488" s="2952"/>
      <c r="AI488" s="2952"/>
      <c r="AJ488" s="2952"/>
      <c r="AK488" s="2952"/>
      <c r="AL488" s="2952"/>
      <c r="AM488" s="2952"/>
      <c r="AN488" s="2952"/>
      <c r="AO488" s="2952"/>
      <c r="AP488" s="2952"/>
    </row>
    <row r="489" s="799" customFormat="1" ht="12.75" hidden="1" customHeight="1" spans="1:126">
      <c r="A489" s="2955">
        <f>UnosPorBilans!B230</f>
        <v>0</v>
      </c>
      <c r="B489" s="2955"/>
      <c r="C489" s="2955"/>
      <c r="D489" s="2955"/>
      <c r="E489" s="2955"/>
      <c r="F489" s="2955"/>
      <c r="G489" s="2955"/>
      <c r="H489" s="2955"/>
      <c r="I489" s="2955"/>
      <c r="J489" s="2955"/>
      <c r="K489" s="2955"/>
      <c r="L489" s="2955"/>
      <c r="M489" s="2955"/>
      <c r="N489" s="2955"/>
      <c r="O489" s="2955"/>
      <c r="P489" s="2955"/>
      <c r="Q489" s="2955"/>
      <c r="R489" s="2955"/>
      <c r="S489" s="2955"/>
      <c r="T489" s="2955"/>
      <c r="U489" s="2955"/>
      <c r="V489" s="2955">
        <f>UnosPorBilans!I230</f>
        <v>0</v>
      </c>
      <c r="W489" s="2955"/>
      <c r="X489" s="2955"/>
      <c r="Y489" s="2955"/>
      <c r="Z489" s="2955"/>
      <c r="AA489" s="2955"/>
      <c r="AB489" s="2955"/>
      <c r="AC489" s="2955"/>
      <c r="AD489" s="2955"/>
      <c r="AE489" s="2955"/>
      <c r="AF489" s="2955"/>
      <c r="AG489" s="2955">
        <f>UnosPorBilans!N230</f>
        <v>0</v>
      </c>
      <c r="AH489" s="2955"/>
      <c r="AI489" s="2955"/>
      <c r="AJ489" s="2955"/>
      <c r="AK489" s="2955"/>
      <c r="AL489" s="2955"/>
      <c r="AM489" s="2955"/>
      <c r="AN489" s="2955"/>
      <c r="AO489" s="2955"/>
      <c r="AP489" s="2955"/>
    </row>
    <row r="490" s="799" customFormat="1" ht="12.75" hidden="1" customHeight="1" spans="1:126">
      <c r="A490" s="2952" t="s">
        <v>6943</v>
      </c>
      <c r="B490" s="2952"/>
      <c r="C490" s="2952"/>
      <c r="D490" s="2952"/>
      <c r="E490" s="2952"/>
      <c r="F490" s="2952"/>
      <c r="G490" s="2952"/>
      <c r="H490" s="2952"/>
      <c r="I490" s="2952"/>
      <c r="J490" s="2952"/>
      <c r="K490" s="2952" t="s">
        <v>6944</v>
      </c>
      <c r="L490" s="2952"/>
      <c r="M490" s="2952"/>
      <c r="N490" s="2952"/>
      <c r="O490" s="2952"/>
      <c r="P490" s="2952"/>
      <c r="Q490" s="2952"/>
      <c r="R490" s="2952"/>
      <c r="S490" s="2952"/>
      <c r="T490" s="2952"/>
      <c r="U490" s="2952"/>
      <c r="V490" s="2952" t="s">
        <v>6945</v>
      </c>
      <c r="W490" s="2952"/>
      <c r="X490" s="2952"/>
      <c r="Y490" s="2952"/>
      <c r="Z490" s="2952"/>
      <c r="AA490" s="2952"/>
      <c r="AB490" s="2952"/>
      <c r="AC490" s="2952"/>
      <c r="AD490" s="2952"/>
      <c r="AE490" s="2952"/>
      <c r="AF490" s="2952"/>
      <c r="AG490" s="2952" t="s">
        <v>6946</v>
      </c>
      <c r="AH490" s="2952"/>
      <c r="AI490" s="2952"/>
      <c r="AJ490" s="2952"/>
      <c r="AK490" s="2952"/>
      <c r="AL490" s="2952"/>
      <c r="AM490" s="2952"/>
      <c r="AN490" s="2952"/>
      <c r="AO490" s="2952"/>
      <c r="AP490" s="2952"/>
    </row>
    <row r="491" s="799" customFormat="1" ht="12.75" hidden="1" customHeight="1" spans="1:126">
      <c r="A491" s="2955">
        <f>UnosPorBilans!S230</f>
        <v>0</v>
      </c>
      <c r="B491" s="2955"/>
      <c r="C491" s="2955"/>
      <c r="D491" s="2955"/>
      <c r="E491" s="2955"/>
      <c r="F491" s="2955"/>
      <c r="G491" s="2955"/>
      <c r="H491" s="2955"/>
      <c r="I491" s="2955"/>
      <c r="J491" s="2955"/>
      <c r="K491" s="2955">
        <f>UnosPorBilans!W230</f>
        <v>0</v>
      </c>
      <c r="L491" s="2955"/>
      <c r="M491" s="2955"/>
      <c r="N491" s="2955"/>
      <c r="O491" s="2955"/>
      <c r="P491" s="2955"/>
      <c r="Q491" s="2955"/>
      <c r="R491" s="2955"/>
      <c r="S491" s="2955"/>
      <c r="T491" s="2955"/>
      <c r="U491" s="2955"/>
      <c r="V491" s="2955">
        <f>UnosPorBilans!AB230</f>
        <v>0</v>
      </c>
      <c r="W491" s="2955"/>
      <c r="X491" s="2955"/>
      <c r="Y491" s="2955"/>
      <c r="Z491" s="2955"/>
      <c r="AA491" s="2955"/>
      <c r="AB491" s="2955"/>
      <c r="AC491" s="2955"/>
      <c r="AD491" s="2955"/>
      <c r="AE491" s="2955"/>
      <c r="AF491" s="2955"/>
      <c r="AG491" s="2955">
        <f>UnosPorBilans!AG230</f>
        <v>0</v>
      </c>
      <c r="AH491" s="2955"/>
      <c r="AI491" s="2955"/>
      <c r="AJ491" s="2955"/>
      <c r="AK491" s="2955"/>
      <c r="AL491" s="2955"/>
      <c r="AM491" s="2955"/>
      <c r="AN491" s="2955"/>
      <c r="AO491" s="2955"/>
      <c r="AP491" s="2955"/>
    </row>
    <row r="492" s="799" customFormat="1" ht="12.75" hidden="1" customHeight="1" spans="1:126">
      <c r="A492" s="2952" t="s">
        <v>6947</v>
      </c>
      <c r="B492" s="2952"/>
      <c r="C492" s="2952"/>
      <c r="D492" s="2952"/>
      <c r="E492" s="2952"/>
      <c r="F492" s="2952"/>
      <c r="G492" s="2952"/>
      <c r="H492" s="2952"/>
      <c r="I492" s="2952"/>
      <c r="J492" s="2952"/>
      <c r="K492" s="2952"/>
      <c r="L492" s="2952"/>
      <c r="M492" s="2952"/>
      <c r="N492" s="2952"/>
      <c r="O492" s="2952"/>
      <c r="P492" s="2952"/>
      <c r="Q492" s="2952"/>
      <c r="R492" s="2952"/>
      <c r="S492" s="2952"/>
      <c r="T492" s="2952"/>
      <c r="U492" s="2952"/>
      <c r="V492" s="2952" t="s">
        <v>6948</v>
      </c>
      <c r="W492" s="2952"/>
      <c r="X492" s="2952"/>
      <c r="Y492" s="2952"/>
      <c r="Z492" s="2952"/>
      <c r="AA492" s="2952"/>
      <c r="AB492" s="2952"/>
      <c r="AC492" s="2952"/>
      <c r="AD492" s="2952"/>
      <c r="AE492" s="2952"/>
      <c r="AF492" s="2952"/>
      <c r="AG492" s="2952"/>
      <c r="AH492" s="2952"/>
      <c r="AI492" s="2952"/>
      <c r="AJ492" s="2952"/>
      <c r="AK492" s="2952"/>
      <c r="AL492" s="2952"/>
      <c r="AM492" s="2952"/>
      <c r="AN492" s="2952"/>
      <c r="AO492" s="2952"/>
      <c r="AP492" s="2952"/>
    </row>
    <row r="493" s="799" customFormat="1" ht="12.75" hidden="1" customHeight="1" spans="1:126">
      <c r="A493" s="2955">
        <f>UnosPorBilans!AL230</f>
        <v>0</v>
      </c>
      <c r="B493" s="2955"/>
      <c r="C493" s="2955"/>
      <c r="D493" s="2955"/>
      <c r="E493" s="2955"/>
      <c r="F493" s="2955"/>
      <c r="G493" s="2955"/>
      <c r="H493" s="2955"/>
      <c r="I493" s="2955"/>
      <c r="J493" s="2955"/>
      <c r="K493" s="2955"/>
      <c r="L493" s="2955"/>
      <c r="M493" s="2955"/>
      <c r="N493" s="2955"/>
      <c r="O493" s="2955"/>
      <c r="P493" s="2955"/>
      <c r="Q493" s="2955"/>
      <c r="R493" s="2955"/>
      <c r="S493" s="2955"/>
      <c r="T493" s="2955"/>
      <c r="U493" s="2955"/>
      <c r="V493" s="2955">
        <f>UnosPorBilans!AS230</f>
        <v>0</v>
      </c>
      <c r="W493" s="2955"/>
      <c r="X493" s="2955"/>
      <c r="Y493" s="2955"/>
      <c r="Z493" s="2955"/>
      <c r="AA493" s="2955"/>
      <c r="AB493" s="2955"/>
      <c r="AC493" s="2955"/>
      <c r="AD493" s="2955"/>
      <c r="AE493" s="2955"/>
      <c r="AF493" s="2955"/>
      <c r="AG493" s="2955"/>
      <c r="AH493" s="2955"/>
      <c r="AI493" s="2955"/>
      <c r="AJ493" s="2955"/>
      <c r="AK493" s="2955"/>
      <c r="AL493" s="2955"/>
      <c r="AM493" s="2955"/>
      <c r="AN493" s="2955"/>
      <c r="AO493" s="2955"/>
      <c r="AP493" s="2955"/>
    </row>
    <row r="494" s="799" customFormat="1" ht="14.25" hidden="1" customHeight="1" spans="1:126">
      <c r="A494" s="2954"/>
      <c r="B494" s="2954"/>
      <c r="C494" s="2954"/>
      <c r="D494" s="2954"/>
      <c r="E494" s="2954"/>
      <c r="F494" s="2954"/>
      <c r="G494" s="2954"/>
      <c r="H494" s="2954"/>
      <c r="I494" s="2954"/>
      <c r="J494" s="2954"/>
      <c r="K494" s="2954"/>
      <c r="L494" s="2954"/>
      <c r="M494" s="2954"/>
      <c r="N494" s="2954"/>
      <c r="O494" s="2954"/>
      <c r="P494" s="2954"/>
      <c r="Q494" s="2954"/>
      <c r="R494" s="2954"/>
      <c r="S494" s="2954"/>
      <c r="T494" s="2954"/>
      <c r="U494" s="2954"/>
      <c r="V494" s="2954"/>
      <c r="W494" s="2954"/>
      <c r="X494" s="2954"/>
      <c r="Y494" s="2954"/>
      <c r="Z494" s="2954"/>
      <c r="AA494" s="2954"/>
      <c r="AB494" s="2954"/>
      <c r="AC494" s="2954"/>
      <c r="AD494" s="2954"/>
      <c r="AE494" s="2954"/>
      <c r="AF494" s="2954"/>
      <c r="AG494" s="2954"/>
      <c r="AH494" s="2954"/>
      <c r="AI494" s="2954"/>
      <c r="AJ494" s="2954"/>
      <c r="AK494" s="2954"/>
      <c r="AL494" s="2954"/>
      <c r="AM494" s="2954"/>
      <c r="AN494" s="2954"/>
      <c r="AO494" s="2954"/>
      <c r="AP494" s="2954"/>
      <c r="AQ494" s="2954"/>
      <c r="AR494" s="2954"/>
      <c r="AS494" s="2954"/>
      <c r="AT494" s="2954"/>
      <c r="AU494" s="2954"/>
      <c r="AV494" s="2954"/>
      <c r="AW494" s="2954"/>
      <c r="AX494" s="2954"/>
      <c r="AY494" s="2954"/>
      <c r="AZ494" s="2954"/>
      <c r="BA494" s="2954"/>
      <c r="BB494" s="2954"/>
      <c r="BC494" s="2954"/>
      <c r="BD494" s="2954"/>
      <c r="BE494" s="2954"/>
      <c r="BF494" s="2954"/>
      <c r="BG494" s="2954"/>
      <c r="BH494" s="2954"/>
      <c r="BI494" s="2954"/>
      <c r="BJ494" s="2954"/>
      <c r="BK494" s="2954"/>
      <c r="BL494" s="2954"/>
      <c r="BM494" s="2954"/>
      <c r="BN494" s="2954"/>
      <c r="BO494" s="2954"/>
      <c r="BP494" s="2954"/>
      <c r="BQ494" s="2954"/>
      <c r="BR494" s="2954"/>
      <c r="BS494" s="2954"/>
      <c r="BT494" s="2954"/>
      <c r="BU494" s="2954"/>
      <c r="BV494" s="2954"/>
      <c r="BW494" s="2954"/>
      <c r="BX494" s="2954"/>
      <c r="BY494" s="2954"/>
      <c r="BZ494" s="2954"/>
      <c r="CA494" s="2954"/>
      <c r="CB494" s="2954"/>
      <c r="CC494" s="2954"/>
      <c r="CD494" s="2954"/>
      <c r="CE494" s="2954"/>
      <c r="CF494" s="2954"/>
      <c r="CG494" s="2954"/>
      <c r="CH494" s="2954"/>
      <c r="CI494" s="2954"/>
      <c r="CJ494" s="2954"/>
      <c r="CK494" s="2954"/>
      <c r="CL494" s="2954"/>
      <c r="CM494" s="2954"/>
      <c r="CN494" s="2954"/>
      <c r="CO494" s="2954"/>
      <c r="CP494" s="2954"/>
      <c r="CQ494" s="2954"/>
      <c r="CR494" s="2954"/>
      <c r="CS494" s="2954"/>
      <c r="CT494" s="2954"/>
      <c r="CU494" s="2954"/>
      <c r="CV494" s="2954"/>
      <c r="CW494" s="2954"/>
      <c r="CX494" s="2954"/>
      <c r="CY494" s="2954"/>
      <c r="CZ494" s="2954"/>
      <c r="DA494" s="2954"/>
      <c r="DB494" s="2954"/>
      <c r="DC494" s="2954"/>
      <c r="DD494" s="2954"/>
      <c r="DE494" s="2954"/>
      <c r="DF494" s="2954"/>
      <c r="DG494" s="2954"/>
      <c r="DH494" s="2954"/>
      <c r="DI494" s="2954"/>
      <c r="DJ494" s="2954"/>
      <c r="DK494" s="2954"/>
      <c r="DL494" s="2954"/>
      <c r="DM494" s="2954"/>
      <c r="DN494" s="2954"/>
      <c r="DO494" s="2954"/>
      <c r="DP494" s="2954"/>
      <c r="DQ494" s="2954"/>
      <c r="DR494" s="2954"/>
      <c r="DS494" s="2954"/>
      <c r="DT494" s="2954"/>
      <c r="DU494" s="2954"/>
      <c r="DV494" s="2954"/>
    </row>
    <row r="495" s="799" customFormat="1" ht="14.25" hidden="1" customHeight="1" spans="1:126">
      <c r="A495" s="2952" t="s">
        <v>4214</v>
      </c>
      <c r="B495" s="2952"/>
      <c r="C495" s="2952" t="s">
        <v>6940</v>
      </c>
      <c r="D495" s="2952"/>
      <c r="E495" s="2952"/>
      <c r="F495" s="2952"/>
      <c r="G495" s="2952"/>
      <c r="H495" s="2952"/>
      <c r="I495" s="2952"/>
      <c r="J495" s="2952"/>
      <c r="K495" s="2952"/>
      <c r="L495" s="2952"/>
      <c r="M495" s="2952"/>
      <c r="N495" s="2952"/>
      <c r="O495" s="2952"/>
      <c r="P495" s="2952"/>
      <c r="Q495" s="2952"/>
      <c r="R495" s="2952"/>
      <c r="S495" s="2952"/>
      <c r="T495" s="2952"/>
      <c r="U495" s="2952"/>
      <c r="V495" s="2952" t="s">
        <v>6941</v>
      </c>
      <c r="W495" s="2952"/>
      <c r="X495" s="2952"/>
      <c r="Y495" s="2952"/>
      <c r="Z495" s="2952"/>
      <c r="AA495" s="2952"/>
      <c r="AB495" s="2952"/>
      <c r="AC495" s="2952"/>
      <c r="AD495" s="2952"/>
      <c r="AE495" s="2952"/>
      <c r="AF495" s="2952"/>
      <c r="AG495" s="2952" t="s">
        <v>6942</v>
      </c>
      <c r="AH495" s="2952"/>
      <c r="AI495" s="2952"/>
      <c r="AJ495" s="2952"/>
      <c r="AK495" s="2952"/>
      <c r="AL495" s="2952"/>
      <c r="AM495" s="2952"/>
      <c r="AN495" s="2952"/>
      <c r="AO495" s="2952"/>
      <c r="AP495" s="2952"/>
    </row>
    <row r="496" s="799" customFormat="1" ht="12.75" hidden="1" customHeight="1" spans="1:126">
      <c r="A496" s="2955">
        <f>UnosPorBilans!B231</f>
        <v>0</v>
      </c>
      <c r="B496" s="2955"/>
      <c r="C496" s="2955"/>
      <c r="D496" s="2955"/>
      <c r="E496" s="2955"/>
      <c r="F496" s="2955"/>
      <c r="G496" s="2955"/>
      <c r="H496" s="2955"/>
      <c r="I496" s="2955"/>
      <c r="J496" s="2955"/>
      <c r="K496" s="2955"/>
      <c r="L496" s="2955"/>
      <c r="M496" s="2955"/>
      <c r="N496" s="2955"/>
      <c r="O496" s="2955"/>
      <c r="P496" s="2955"/>
      <c r="Q496" s="2955"/>
      <c r="R496" s="2955"/>
      <c r="S496" s="2955"/>
      <c r="T496" s="2955"/>
      <c r="U496" s="2955"/>
      <c r="V496" s="2955">
        <f>UnosPorBilans!I231</f>
        <v>0</v>
      </c>
      <c r="W496" s="2955"/>
      <c r="X496" s="2955"/>
      <c r="Y496" s="2955"/>
      <c r="Z496" s="2955"/>
      <c r="AA496" s="2955"/>
      <c r="AB496" s="2955"/>
      <c r="AC496" s="2955"/>
      <c r="AD496" s="2955"/>
      <c r="AE496" s="2955"/>
      <c r="AF496" s="2955"/>
      <c r="AG496" s="2955">
        <f>UnosPorBilans!N231</f>
        <v>0</v>
      </c>
      <c r="AH496" s="2955"/>
      <c r="AI496" s="2955"/>
      <c r="AJ496" s="2955"/>
      <c r="AK496" s="2955"/>
      <c r="AL496" s="2955"/>
      <c r="AM496" s="2955"/>
      <c r="AN496" s="2955"/>
      <c r="AO496" s="2955"/>
      <c r="AP496" s="2955"/>
    </row>
    <row r="497" s="799" customFormat="1" ht="12.75" hidden="1" customHeight="1" spans="1:126">
      <c r="A497" s="2952" t="s">
        <v>6943</v>
      </c>
      <c r="B497" s="2952"/>
      <c r="C497" s="2952"/>
      <c r="D497" s="2952"/>
      <c r="E497" s="2952"/>
      <c r="F497" s="2952"/>
      <c r="G497" s="2952"/>
      <c r="H497" s="2952"/>
      <c r="I497" s="2952"/>
      <c r="J497" s="2952"/>
      <c r="K497" s="2952" t="s">
        <v>6944</v>
      </c>
      <c r="L497" s="2952"/>
      <c r="M497" s="2952"/>
      <c r="N497" s="2952"/>
      <c r="O497" s="2952"/>
      <c r="P497" s="2952"/>
      <c r="Q497" s="2952"/>
      <c r="R497" s="2952"/>
      <c r="S497" s="2952"/>
      <c r="T497" s="2952"/>
      <c r="U497" s="2952"/>
      <c r="V497" s="2952" t="s">
        <v>6945</v>
      </c>
      <c r="W497" s="2952"/>
      <c r="X497" s="2952"/>
      <c r="Y497" s="2952"/>
      <c r="Z497" s="2952"/>
      <c r="AA497" s="2952"/>
      <c r="AB497" s="2952"/>
      <c r="AC497" s="2952"/>
      <c r="AD497" s="2952"/>
      <c r="AE497" s="2952"/>
      <c r="AF497" s="2952"/>
      <c r="AG497" s="2952" t="s">
        <v>6946</v>
      </c>
      <c r="AH497" s="2952"/>
      <c r="AI497" s="2952"/>
      <c r="AJ497" s="2952"/>
      <c r="AK497" s="2952"/>
      <c r="AL497" s="2952"/>
      <c r="AM497" s="2952"/>
      <c r="AN497" s="2952"/>
      <c r="AO497" s="2952"/>
      <c r="AP497" s="2952"/>
    </row>
    <row r="498" s="799" customFormat="1" ht="12.75" hidden="1" customHeight="1" spans="1:126">
      <c r="A498" s="2955">
        <f>UnosPorBilans!S231</f>
        <v>0</v>
      </c>
      <c r="B498" s="2955"/>
      <c r="C498" s="2955"/>
      <c r="D498" s="2955"/>
      <c r="E498" s="2955"/>
      <c r="F498" s="2955"/>
      <c r="G498" s="2955"/>
      <c r="H498" s="2955"/>
      <c r="I498" s="2955"/>
      <c r="J498" s="2955"/>
      <c r="K498" s="2955">
        <f>UnosPorBilans!W231</f>
        <v>0</v>
      </c>
      <c r="L498" s="2955"/>
      <c r="M498" s="2955"/>
      <c r="N498" s="2955"/>
      <c r="O498" s="2955"/>
      <c r="P498" s="2955"/>
      <c r="Q498" s="2955"/>
      <c r="R498" s="2955"/>
      <c r="S498" s="2955"/>
      <c r="T498" s="2955"/>
      <c r="U498" s="2955"/>
      <c r="V498" s="2955">
        <f>UnosPorBilans!AB231</f>
        <v>0</v>
      </c>
      <c r="W498" s="2955"/>
      <c r="X498" s="2955"/>
      <c r="Y498" s="2955"/>
      <c r="Z498" s="2955"/>
      <c r="AA498" s="2955"/>
      <c r="AB498" s="2955"/>
      <c r="AC498" s="2955"/>
      <c r="AD498" s="2955"/>
      <c r="AE498" s="2955"/>
      <c r="AF498" s="2955"/>
      <c r="AG498" s="2955">
        <f>UnosPorBilans!AG231</f>
        <v>0</v>
      </c>
      <c r="AH498" s="2955"/>
      <c r="AI498" s="2955"/>
      <c r="AJ498" s="2955"/>
      <c r="AK498" s="2955"/>
      <c r="AL498" s="2955"/>
      <c r="AM498" s="2955"/>
      <c r="AN498" s="2955"/>
      <c r="AO498" s="2955"/>
      <c r="AP498" s="2955"/>
    </row>
    <row r="499" s="799" customFormat="1" ht="12.75" hidden="1" customHeight="1" spans="1:126">
      <c r="A499" s="2952" t="s">
        <v>6947</v>
      </c>
      <c r="B499" s="2952"/>
      <c r="C499" s="2952"/>
      <c r="D499" s="2952"/>
      <c r="E499" s="2952"/>
      <c r="F499" s="2952"/>
      <c r="G499" s="2952"/>
      <c r="H499" s="2952"/>
      <c r="I499" s="2952"/>
      <c r="J499" s="2952"/>
      <c r="K499" s="2952"/>
      <c r="L499" s="2952"/>
      <c r="M499" s="2952"/>
      <c r="N499" s="2952"/>
      <c r="O499" s="2952"/>
      <c r="P499" s="2952"/>
      <c r="Q499" s="2952"/>
      <c r="R499" s="2952"/>
      <c r="S499" s="2952"/>
      <c r="T499" s="2952"/>
      <c r="U499" s="2952"/>
      <c r="V499" s="2952" t="s">
        <v>6948</v>
      </c>
      <c r="W499" s="2952"/>
      <c r="X499" s="2952"/>
      <c r="Y499" s="2952"/>
      <c r="Z499" s="2952"/>
      <c r="AA499" s="2952"/>
      <c r="AB499" s="2952"/>
      <c r="AC499" s="2952"/>
      <c r="AD499" s="2952"/>
      <c r="AE499" s="2952"/>
      <c r="AF499" s="2952"/>
      <c r="AG499" s="2952"/>
      <c r="AH499" s="2952"/>
      <c r="AI499" s="2952"/>
      <c r="AJ499" s="2952"/>
      <c r="AK499" s="2952"/>
      <c r="AL499" s="2952"/>
      <c r="AM499" s="2952"/>
      <c r="AN499" s="2952"/>
      <c r="AO499" s="2952"/>
      <c r="AP499" s="2952"/>
    </row>
    <row r="500" s="799" customFormat="1" ht="12.75" hidden="1" customHeight="1" spans="1:126">
      <c r="A500" s="2955">
        <f>UnosPorBilans!AL231</f>
        <v>0</v>
      </c>
      <c r="B500" s="2955"/>
      <c r="C500" s="2955"/>
      <c r="D500" s="2955"/>
      <c r="E500" s="2955"/>
      <c r="F500" s="2955"/>
      <c r="G500" s="2955"/>
      <c r="H500" s="2955"/>
      <c r="I500" s="2955"/>
      <c r="J500" s="2955"/>
      <c r="K500" s="2955"/>
      <c r="L500" s="2955"/>
      <c r="M500" s="2955"/>
      <c r="N500" s="2955"/>
      <c r="O500" s="2955"/>
      <c r="P500" s="2955"/>
      <c r="Q500" s="2955"/>
      <c r="R500" s="2955"/>
      <c r="S500" s="2955"/>
      <c r="T500" s="2955"/>
      <c r="U500" s="2955"/>
      <c r="V500" s="2955">
        <f>UnosPorBilans!AS231</f>
        <v>0</v>
      </c>
      <c r="W500" s="2955"/>
      <c r="X500" s="2955"/>
      <c r="Y500" s="2955"/>
      <c r="Z500" s="2955"/>
      <c r="AA500" s="2955"/>
      <c r="AB500" s="2955"/>
      <c r="AC500" s="2955"/>
      <c r="AD500" s="2955"/>
      <c r="AE500" s="2955"/>
      <c r="AF500" s="2955"/>
      <c r="AG500" s="2955"/>
      <c r="AH500" s="2955"/>
      <c r="AI500" s="2955"/>
      <c r="AJ500" s="2955"/>
      <c r="AK500" s="2955"/>
      <c r="AL500" s="2955"/>
      <c r="AM500" s="2955"/>
      <c r="AN500" s="2955"/>
      <c r="AO500" s="2955"/>
      <c r="AP500" s="2955"/>
    </row>
    <row r="501" s="799" customFormat="1" ht="14.25" hidden="1" customHeight="1" spans="1:126">
      <c r="A501" s="2954"/>
      <c r="B501" s="2954"/>
      <c r="C501" s="2954"/>
      <c r="D501" s="2954"/>
      <c r="E501" s="2954"/>
      <c r="F501" s="2954"/>
      <c r="G501" s="2954"/>
      <c r="H501" s="2954"/>
      <c r="I501" s="2954"/>
      <c r="J501" s="2954"/>
      <c r="K501" s="2954"/>
      <c r="L501" s="2954"/>
      <c r="M501" s="2954"/>
      <c r="N501" s="2954"/>
      <c r="O501" s="2954"/>
      <c r="P501" s="2954"/>
      <c r="Q501" s="2954"/>
      <c r="R501" s="2954"/>
      <c r="S501" s="2954"/>
      <c r="T501" s="2954"/>
      <c r="U501" s="2954"/>
      <c r="V501" s="2954"/>
      <c r="W501" s="2954"/>
      <c r="X501" s="2954"/>
      <c r="Y501" s="2954"/>
      <c r="Z501" s="2954"/>
      <c r="AA501" s="2954"/>
      <c r="AB501" s="2954"/>
      <c r="AC501" s="2954"/>
      <c r="AD501" s="2954"/>
      <c r="AE501" s="2954"/>
      <c r="AF501" s="2954"/>
      <c r="AG501" s="2954"/>
      <c r="AH501" s="2954"/>
      <c r="AI501" s="2954"/>
      <c r="AJ501" s="2954"/>
      <c r="AK501" s="2954"/>
      <c r="AL501" s="2954"/>
      <c r="AM501" s="2954"/>
      <c r="AN501" s="2954"/>
      <c r="AO501" s="2954"/>
      <c r="AP501" s="2954"/>
      <c r="AQ501" s="2954"/>
      <c r="AR501" s="2954"/>
      <c r="AS501" s="2954"/>
      <c r="AT501" s="2954"/>
      <c r="AU501" s="2954"/>
      <c r="AV501" s="2954"/>
      <c r="AW501" s="2954"/>
      <c r="AX501" s="2954"/>
      <c r="AY501" s="2954"/>
      <c r="AZ501" s="2954"/>
      <c r="BA501" s="2954"/>
      <c r="BB501" s="2954"/>
      <c r="BC501" s="2954"/>
      <c r="BD501" s="2954"/>
      <c r="BE501" s="2954"/>
      <c r="BF501" s="2954"/>
      <c r="BG501" s="2954"/>
      <c r="BH501" s="2954"/>
      <c r="BI501" s="2954"/>
      <c r="BJ501" s="2954"/>
      <c r="BK501" s="2954"/>
      <c r="BL501" s="2954"/>
      <c r="BM501" s="2954"/>
      <c r="BN501" s="2954"/>
      <c r="BO501" s="2954"/>
      <c r="BP501" s="2954"/>
      <c r="BQ501" s="2954"/>
      <c r="BR501" s="2954"/>
      <c r="BS501" s="2954"/>
      <c r="BT501" s="2954"/>
      <c r="BU501" s="2954"/>
      <c r="BV501" s="2954"/>
      <c r="BW501" s="2954"/>
      <c r="BX501" s="2954"/>
      <c r="BY501" s="2954"/>
      <c r="BZ501" s="2954"/>
      <c r="CA501" s="2954"/>
      <c r="CB501" s="2954"/>
      <c r="CC501" s="2954"/>
      <c r="CD501" s="2954"/>
      <c r="CE501" s="2954"/>
      <c r="CF501" s="2954"/>
      <c r="CG501" s="2954"/>
      <c r="CH501" s="2954"/>
      <c r="CI501" s="2954"/>
      <c r="CJ501" s="2954"/>
      <c r="CK501" s="2954"/>
      <c r="CL501" s="2954"/>
      <c r="CM501" s="2954"/>
      <c r="CN501" s="2954"/>
      <c r="CO501" s="2954"/>
      <c r="CP501" s="2954"/>
      <c r="CQ501" s="2954"/>
      <c r="CR501" s="2954"/>
      <c r="CS501" s="2954"/>
      <c r="CT501" s="2954"/>
      <c r="CU501" s="2954"/>
      <c r="CV501" s="2954"/>
      <c r="CW501" s="2954"/>
      <c r="CX501" s="2954"/>
      <c r="CY501" s="2954"/>
      <c r="CZ501" s="2954"/>
      <c r="DA501" s="2954"/>
      <c r="DB501" s="2954"/>
      <c r="DC501" s="2954"/>
      <c r="DD501" s="2954"/>
      <c r="DE501" s="2954"/>
      <c r="DF501" s="2954"/>
      <c r="DG501" s="2954"/>
      <c r="DH501" s="2954"/>
      <c r="DI501" s="2954"/>
      <c r="DJ501" s="2954"/>
      <c r="DK501" s="2954"/>
      <c r="DL501" s="2954"/>
      <c r="DM501" s="2954"/>
      <c r="DN501" s="2954"/>
      <c r="DO501" s="2954"/>
      <c r="DP501" s="2954"/>
      <c r="DQ501" s="2954"/>
      <c r="DR501" s="2954"/>
      <c r="DS501" s="2954"/>
      <c r="DT501" s="2954"/>
      <c r="DU501" s="2954"/>
      <c r="DV501" s="2954"/>
    </row>
    <row r="502" s="799" customFormat="1" ht="14.25" hidden="1" customHeight="1" spans="1:126">
      <c r="A502" s="2952" t="s">
        <v>4214</v>
      </c>
      <c r="B502" s="2952"/>
      <c r="C502" s="2952" t="s">
        <v>6940</v>
      </c>
      <c r="D502" s="2952"/>
      <c r="E502" s="2952"/>
      <c r="F502" s="2952"/>
      <c r="G502" s="2952"/>
      <c r="H502" s="2952"/>
      <c r="I502" s="2952"/>
      <c r="J502" s="2952"/>
      <c r="K502" s="2952"/>
      <c r="L502" s="2952"/>
      <c r="M502" s="2952"/>
      <c r="N502" s="2952"/>
      <c r="O502" s="2952"/>
      <c r="P502" s="2952"/>
      <c r="Q502" s="2952"/>
      <c r="R502" s="2952"/>
      <c r="S502" s="2952"/>
      <c r="T502" s="2952"/>
      <c r="U502" s="2952"/>
      <c r="V502" s="2952" t="s">
        <v>6941</v>
      </c>
      <c r="W502" s="2952"/>
      <c r="X502" s="2952"/>
      <c r="Y502" s="2952"/>
      <c r="Z502" s="2952"/>
      <c r="AA502" s="2952"/>
      <c r="AB502" s="2952"/>
      <c r="AC502" s="2952"/>
      <c r="AD502" s="2952"/>
      <c r="AE502" s="2952"/>
      <c r="AF502" s="2952"/>
      <c r="AG502" s="2952" t="s">
        <v>6942</v>
      </c>
      <c r="AH502" s="2952"/>
      <c r="AI502" s="2952"/>
      <c r="AJ502" s="2952"/>
      <c r="AK502" s="2952"/>
      <c r="AL502" s="2952"/>
      <c r="AM502" s="2952"/>
      <c r="AN502" s="2952"/>
      <c r="AO502" s="2952"/>
      <c r="AP502" s="2952"/>
    </row>
    <row r="503" s="799" customFormat="1" ht="12.75" hidden="1" customHeight="1" spans="1:126">
      <c r="A503" s="2955">
        <f>UnosPorBilans!B232</f>
        <v>0</v>
      </c>
      <c r="B503" s="2955"/>
      <c r="C503" s="2955"/>
      <c r="D503" s="2955"/>
      <c r="E503" s="2955"/>
      <c r="F503" s="2955"/>
      <c r="G503" s="2955"/>
      <c r="H503" s="2955"/>
      <c r="I503" s="2955"/>
      <c r="J503" s="2955"/>
      <c r="K503" s="2955"/>
      <c r="L503" s="2955"/>
      <c r="M503" s="2955"/>
      <c r="N503" s="2955"/>
      <c r="O503" s="2955"/>
      <c r="P503" s="2955"/>
      <c r="Q503" s="2955"/>
      <c r="R503" s="2955"/>
      <c r="S503" s="2955"/>
      <c r="T503" s="2955"/>
      <c r="U503" s="2955"/>
      <c r="V503" s="2955">
        <f>UnosPorBilans!I232</f>
        <v>0</v>
      </c>
      <c r="W503" s="2955"/>
      <c r="X503" s="2955"/>
      <c r="Y503" s="2955"/>
      <c r="Z503" s="2955"/>
      <c r="AA503" s="2955"/>
      <c r="AB503" s="2955"/>
      <c r="AC503" s="2955"/>
      <c r="AD503" s="2955"/>
      <c r="AE503" s="2955"/>
      <c r="AF503" s="2955"/>
      <c r="AG503" s="2955">
        <f>UnosPorBilans!N232</f>
        <v>0</v>
      </c>
      <c r="AH503" s="2955"/>
      <c r="AI503" s="2955"/>
      <c r="AJ503" s="2955"/>
      <c r="AK503" s="2955"/>
      <c r="AL503" s="2955"/>
      <c r="AM503" s="2955"/>
      <c r="AN503" s="2955"/>
      <c r="AO503" s="2955"/>
      <c r="AP503" s="2955"/>
    </row>
    <row r="504" s="799" customFormat="1" ht="12.75" hidden="1" customHeight="1" spans="1:126">
      <c r="A504" s="2952" t="s">
        <v>6943</v>
      </c>
      <c r="B504" s="2952"/>
      <c r="C504" s="2952"/>
      <c r="D504" s="2952"/>
      <c r="E504" s="2952"/>
      <c r="F504" s="2952"/>
      <c r="G504" s="2952"/>
      <c r="H504" s="2952"/>
      <c r="I504" s="2952"/>
      <c r="J504" s="2952"/>
      <c r="K504" s="2952" t="s">
        <v>6944</v>
      </c>
      <c r="L504" s="2952"/>
      <c r="M504" s="2952"/>
      <c r="N504" s="2952"/>
      <c r="O504" s="2952"/>
      <c r="P504" s="2952"/>
      <c r="Q504" s="2952"/>
      <c r="R504" s="2952"/>
      <c r="S504" s="2952"/>
      <c r="T504" s="2952"/>
      <c r="U504" s="2952"/>
      <c r="V504" s="2952" t="s">
        <v>6945</v>
      </c>
      <c r="W504" s="2952"/>
      <c r="X504" s="2952"/>
      <c r="Y504" s="2952"/>
      <c r="Z504" s="2952"/>
      <c r="AA504" s="2952"/>
      <c r="AB504" s="2952"/>
      <c r="AC504" s="2952"/>
      <c r="AD504" s="2952"/>
      <c r="AE504" s="2952"/>
      <c r="AF504" s="2952"/>
      <c r="AG504" s="2952" t="s">
        <v>6946</v>
      </c>
      <c r="AH504" s="2952"/>
      <c r="AI504" s="2952"/>
      <c r="AJ504" s="2952"/>
      <c r="AK504" s="2952"/>
      <c r="AL504" s="2952"/>
      <c r="AM504" s="2952"/>
      <c r="AN504" s="2952"/>
      <c r="AO504" s="2952"/>
      <c r="AP504" s="2952"/>
    </row>
    <row r="505" s="799" customFormat="1" ht="12.75" hidden="1" customHeight="1" spans="1:126">
      <c r="A505" s="2955">
        <f>UnosPorBilans!S232</f>
        <v>0</v>
      </c>
      <c r="B505" s="2955"/>
      <c r="C505" s="2955"/>
      <c r="D505" s="2955"/>
      <c r="E505" s="2955"/>
      <c r="F505" s="2955"/>
      <c r="G505" s="2955"/>
      <c r="H505" s="2955"/>
      <c r="I505" s="2955"/>
      <c r="J505" s="2955"/>
      <c r="K505" s="2955">
        <f>UnosPorBilans!W232</f>
        <v>0</v>
      </c>
      <c r="L505" s="2955"/>
      <c r="M505" s="2955"/>
      <c r="N505" s="2955"/>
      <c r="O505" s="2955"/>
      <c r="P505" s="2955"/>
      <c r="Q505" s="2955"/>
      <c r="R505" s="2955"/>
      <c r="S505" s="2955"/>
      <c r="T505" s="2955"/>
      <c r="U505" s="2955"/>
      <c r="V505" s="2955">
        <f>UnosPorBilans!AB232</f>
        <v>0</v>
      </c>
      <c r="W505" s="2955"/>
      <c r="X505" s="2955"/>
      <c r="Y505" s="2955"/>
      <c r="Z505" s="2955"/>
      <c r="AA505" s="2955"/>
      <c r="AB505" s="2955"/>
      <c r="AC505" s="2955"/>
      <c r="AD505" s="2955"/>
      <c r="AE505" s="2955"/>
      <c r="AF505" s="2955"/>
      <c r="AG505" s="2955">
        <f>UnosPorBilans!AG232</f>
        <v>0</v>
      </c>
      <c r="AH505" s="2955"/>
      <c r="AI505" s="2955"/>
      <c r="AJ505" s="2955"/>
      <c r="AK505" s="2955"/>
      <c r="AL505" s="2955"/>
      <c r="AM505" s="2955"/>
      <c r="AN505" s="2955"/>
      <c r="AO505" s="2955"/>
      <c r="AP505" s="2955"/>
    </row>
    <row r="506" s="799" customFormat="1" ht="12.75" hidden="1" customHeight="1" spans="1:126">
      <c r="A506" s="2952" t="s">
        <v>6947</v>
      </c>
      <c r="B506" s="2952"/>
      <c r="C506" s="2952"/>
      <c r="D506" s="2952"/>
      <c r="E506" s="2952"/>
      <c r="F506" s="2952"/>
      <c r="G506" s="2952"/>
      <c r="H506" s="2952"/>
      <c r="I506" s="2952"/>
      <c r="J506" s="2952"/>
      <c r="K506" s="2952"/>
      <c r="L506" s="2952"/>
      <c r="M506" s="2952"/>
      <c r="N506" s="2952"/>
      <c r="O506" s="2952"/>
      <c r="P506" s="2952"/>
      <c r="Q506" s="2952"/>
      <c r="R506" s="2952"/>
      <c r="S506" s="2952"/>
      <c r="T506" s="2952"/>
      <c r="U506" s="2952"/>
      <c r="V506" s="2952" t="s">
        <v>6948</v>
      </c>
      <c r="W506" s="2952"/>
      <c r="X506" s="2952"/>
      <c r="Y506" s="2952"/>
      <c r="Z506" s="2952"/>
      <c r="AA506" s="2952"/>
      <c r="AB506" s="2952"/>
      <c r="AC506" s="2952"/>
      <c r="AD506" s="2952"/>
      <c r="AE506" s="2952"/>
      <c r="AF506" s="2952"/>
      <c r="AG506" s="2952"/>
      <c r="AH506" s="2952"/>
      <c r="AI506" s="2952"/>
      <c r="AJ506" s="2952"/>
      <c r="AK506" s="2952"/>
      <c r="AL506" s="2952"/>
      <c r="AM506" s="2952"/>
      <c r="AN506" s="2952"/>
      <c r="AO506" s="2952"/>
      <c r="AP506" s="2952"/>
    </row>
    <row r="507" s="799" customFormat="1" ht="12.75" hidden="1" customHeight="1" spans="1:126">
      <c r="A507" s="2955">
        <f>UnosPorBilans!AL232</f>
        <v>0</v>
      </c>
      <c r="B507" s="2955"/>
      <c r="C507" s="2955"/>
      <c r="D507" s="2955"/>
      <c r="E507" s="2955"/>
      <c r="F507" s="2955"/>
      <c r="G507" s="2955"/>
      <c r="H507" s="2955"/>
      <c r="I507" s="2955"/>
      <c r="J507" s="2955"/>
      <c r="K507" s="2955"/>
      <c r="L507" s="2955"/>
      <c r="M507" s="2955"/>
      <c r="N507" s="2955"/>
      <c r="O507" s="2955"/>
      <c r="P507" s="2955"/>
      <c r="Q507" s="2955"/>
      <c r="R507" s="2955"/>
      <c r="S507" s="2955"/>
      <c r="T507" s="2955"/>
      <c r="U507" s="2955"/>
      <c r="V507" s="2955">
        <f>UnosPorBilans!AS232</f>
        <v>0</v>
      </c>
      <c r="W507" s="2955"/>
      <c r="X507" s="2955"/>
      <c r="Y507" s="2955"/>
      <c r="Z507" s="2955"/>
      <c r="AA507" s="2955"/>
      <c r="AB507" s="2955"/>
      <c r="AC507" s="2955"/>
      <c r="AD507" s="2955"/>
      <c r="AE507" s="2955"/>
      <c r="AF507" s="2955"/>
      <c r="AG507" s="2955"/>
      <c r="AH507" s="2955"/>
      <c r="AI507" s="2955"/>
      <c r="AJ507" s="2955"/>
      <c r="AK507" s="2955"/>
      <c r="AL507" s="2955"/>
      <c r="AM507" s="2955"/>
      <c r="AN507" s="2955"/>
      <c r="AO507" s="2955"/>
      <c r="AP507" s="2955"/>
    </row>
    <row r="508" s="799" customFormat="1" ht="14.25" hidden="1" customHeight="1" spans="1:126">
      <c r="A508" s="2954"/>
      <c r="B508" s="2954"/>
      <c r="C508" s="2954"/>
      <c r="D508" s="2954"/>
      <c r="E508" s="2954"/>
      <c r="F508" s="2954"/>
      <c r="G508" s="2954"/>
      <c r="H508" s="2954"/>
      <c r="I508" s="2954"/>
      <c r="J508" s="2954"/>
      <c r="K508" s="2954"/>
      <c r="L508" s="2954"/>
      <c r="M508" s="2954"/>
      <c r="N508" s="2954"/>
      <c r="O508" s="2954"/>
      <c r="P508" s="2954"/>
      <c r="Q508" s="2954"/>
      <c r="R508" s="2954"/>
      <c r="S508" s="2954"/>
      <c r="T508" s="2954"/>
      <c r="U508" s="2954"/>
      <c r="V508" s="2954"/>
      <c r="W508" s="2954"/>
      <c r="X508" s="2954"/>
      <c r="Y508" s="2954"/>
      <c r="Z508" s="2954"/>
      <c r="AA508" s="2954"/>
      <c r="AB508" s="2954"/>
      <c r="AC508" s="2954"/>
      <c r="AD508" s="2954"/>
      <c r="AE508" s="2954"/>
      <c r="AF508" s="2954"/>
      <c r="AG508" s="2954"/>
      <c r="AH508" s="2954"/>
      <c r="AI508" s="2954"/>
      <c r="AJ508" s="2954"/>
      <c r="AK508" s="2954"/>
      <c r="AL508" s="2954"/>
      <c r="AM508" s="2954"/>
      <c r="AN508" s="2954"/>
      <c r="AO508" s="2954"/>
      <c r="AP508" s="2954"/>
      <c r="AQ508" s="2954"/>
      <c r="AR508" s="2954"/>
      <c r="AS508" s="2954"/>
      <c r="AT508" s="2954"/>
      <c r="AU508" s="2954"/>
      <c r="AV508" s="2954"/>
      <c r="AW508" s="2954"/>
      <c r="AX508" s="2954"/>
      <c r="AY508" s="2954"/>
      <c r="AZ508" s="2954"/>
      <c r="BA508" s="2954"/>
      <c r="BB508" s="2954"/>
      <c r="BC508" s="2954"/>
      <c r="BD508" s="2954"/>
      <c r="BE508" s="2954"/>
      <c r="BF508" s="2954"/>
      <c r="BG508" s="2954"/>
      <c r="BH508" s="2954"/>
      <c r="BI508" s="2954"/>
      <c r="BJ508" s="2954"/>
      <c r="BK508" s="2954"/>
      <c r="BL508" s="2954"/>
      <c r="BM508" s="2954"/>
      <c r="BN508" s="2954"/>
      <c r="BO508" s="2954"/>
      <c r="BP508" s="2954"/>
      <c r="BQ508" s="2954"/>
      <c r="BR508" s="2954"/>
      <c r="BS508" s="2954"/>
      <c r="BT508" s="2954"/>
      <c r="BU508" s="2954"/>
      <c r="BV508" s="2954"/>
      <c r="BW508" s="2954"/>
      <c r="BX508" s="2954"/>
      <c r="BY508" s="2954"/>
      <c r="BZ508" s="2954"/>
      <c r="CA508" s="2954"/>
      <c r="CB508" s="2954"/>
      <c r="CC508" s="2954"/>
      <c r="CD508" s="2954"/>
      <c r="CE508" s="2954"/>
      <c r="CF508" s="2954"/>
      <c r="CG508" s="2954"/>
      <c r="CH508" s="2954"/>
      <c r="CI508" s="2954"/>
      <c r="CJ508" s="2954"/>
      <c r="CK508" s="2954"/>
      <c r="CL508" s="2954"/>
      <c r="CM508" s="2954"/>
      <c r="CN508" s="2954"/>
      <c r="CO508" s="2954"/>
      <c r="CP508" s="2954"/>
      <c r="CQ508" s="2954"/>
      <c r="CR508" s="2954"/>
      <c r="CS508" s="2954"/>
      <c r="CT508" s="2954"/>
      <c r="CU508" s="2954"/>
      <c r="CV508" s="2954"/>
      <c r="CW508" s="2954"/>
      <c r="CX508" s="2954"/>
      <c r="CY508" s="2954"/>
      <c r="CZ508" s="2954"/>
      <c r="DA508" s="2954"/>
      <c r="DB508" s="2954"/>
      <c r="DC508" s="2954"/>
      <c r="DD508" s="2954"/>
      <c r="DE508" s="2954"/>
      <c r="DF508" s="2954"/>
      <c r="DG508" s="2954"/>
      <c r="DH508" s="2954"/>
      <c r="DI508" s="2954"/>
      <c r="DJ508" s="2954"/>
      <c r="DK508" s="2954"/>
      <c r="DL508" s="2954"/>
      <c r="DM508" s="2954"/>
      <c r="DN508" s="2954"/>
      <c r="DO508" s="2954"/>
      <c r="DP508" s="2954"/>
      <c r="DQ508" s="2954"/>
      <c r="DR508" s="2954"/>
      <c r="DS508" s="2954"/>
      <c r="DT508" s="2954"/>
      <c r="DU508" s="2954"/>
      <c r="DV508" s="2954"/>
    </row>
    <row r="509" s="799" customFormat="1" ht="14.25" hidden="1" customHeight="1" spans="1:126">
      <c r="A509" s="2952" t="s">
        <v>4214</v>
      </c>
      <c r="B509" s="2952"/>
      <c r="C509" s="2952" t="s">
        <v>6940</v>
      </c>
      <c r="D509" s="2952"/>
      <c r="E509" s="2952"/>
      <c r="F509" s="2952"/>
      <c r="G509" s="2952"/>
      <c r="H509" s="2952"/>
      <c r="I509" s="2952"/>
      <c r="J509" s="2952"/>
      <c r="K509" s="2952"/>
      <c r="L509" s="2952"/>
      <c r="M509" s="2952"/>
      <c r="N509" s="2952"/>
      <c r="O509" s="2952"/>
      <c r="P509" s="2952"/>
      <c r="Q509" s="2952"/>
      <c r="R509" s="2952"/>
      <c r="S509" s="2952"/>
      <c r="T509" s="2952"/>
      <c r="U509" s="2952"/>
      <c r="V509" s="2952" t="s">
        <v>6941</v>
      </c>
      <c r="W509" s="2952"/>
      <c r="X509" s="2952"/>
      <c r="Y509" s="2952"/>
      <c r="Z509" s="2952"/>
      <c r="AA509" s="2952"/>
      <c r="AB509" s="2952"/>
      <c r="AC509" s="2952"/>
      <c r="AD509" s="2952"/>
      <c r="AE509" s="2952"/>
      <c r="AF509" s="2952"/>
      <c r="AG509" s="2952" t="s">
        <v>6942</v>
      </c>
      <c r="AH509" s="2952"/>
      <c r="AI509" s="2952"/>
      <c r="AJ509" s="2952"/>
      <c r="AK509" s="2952"/>
      <c r="AL509" s="2952"/>
      <c r="AM509" s="2952"/>
      <c r="AN509" s="2952"/>
      <c r="AO509" s="2952"/>
      <c r="AP509" s="2952"/>
    </row>
    <row r="510" s="799" customFormat="1" ht="12.75" hidden="1" customHeight="1" spans="1:126">
      <c r="A510" s="2955">
        <f>UnosPorBilans!B233</f>
        <v>0</v>
      </c>
      <c r="B510" s="2955"/>
      <c r="C510" s="2955"/>
      <c r="D510" s="2955"/>
      <c r="E510" s="2955"/>
      <c r="F510" s="2955"/>
      <c r="G510" s="2955"/>
      <c r="H510" s="2955"/>
      <c r="I510" s="2955"/>
      <c r="J510" s="2955"/>
      <c r="K510" s="2955"/>
      <c r="L510" s="2955"/>
      <c r="M510" s="2955"/>
      <c r="N510" s="2955"/>
      <c r="O510" s="2955"/>
      <c r="P510" s="2955"/>
      <c r="Q510" s="2955"/>
      <c r="R510" s="2955"/>
      <c r="S510" s="2955"/>
      <c r="T510" s="2955"/>
      <c r="U510" s="2955"/>
      <c r="V510" s="2955">
        <f>UnosPorBilans!I233</f>
        <v>0</v>
      </c>
      <c r="W510" s="2955"/>
      <c r="X510" s="2955"/>
      <c r="Y510" s="2955"/>
      <c r="Z510" s="2955"/>
      <c r="AA510" s="2955"/>
      <c r="AB510" s="2955"/>
      <c r="AC510" s="2955"/>
      <c r="AD510" s="2955"/>
      <c r="AE510" s="2955"/>
      <c r="AF510" s="2955"/>
      <c r="AG510" s="2955">
        <f>UnosPorBilans!N233</f>
        <v>0</v>
      </c>
      <c r="AH510" s="2955"/>
      <c r="AI510" s="2955"/>
      <c r="AJ510" s="2955"/>
      <c r="AK510" s="2955"/>
      <c r="AL510" s="2955"/>
      <c r="AM510" s="2955"/>
      <c r="AN510" s="2955"/>
      <c r="AO510" s="2955"/>
      <c r="AP510" s="2955"/>
    </row>
    <row r="511" s="799" customFormat="1" ht="12.75" hidden="1" customHeight="1" spans="1:126">
      <c r="A511" s="2952" t="s">
        <v>6943</v>
      </c>
      <c r="B511" s="2952"/>
      <c r="C511" s="2952"/>
      <c r="D511" s="2952"/>
      <c r="E511" s="2952"/>
      <c r="F511" s="2952"/>
      <c r="G511" s="2952"/>
      <c r="H511" s="2952"/>
      <c r="I511" s="2952"/>
      <c r="J511" s="2952"/>
      <c r="K511" s="2952" t="s">
        <v>6944</v>
      </c>
      <c r="L511" s="2952"/>
      <c r="M511" s="2952"/>
      <c r="N511" s="2952"/>
      <c r="O511" s="2952"/>
      <c r="P511" s="2952"/>
      <c r="Q511" s="2952"/>
      <c r="R511" s="2952"/>
      <c r="S511" s="2952"/>
      <c r="T511" s="2952"/>
      <c r="U511" s="2952"/>
      <c r="V511" s="2952" t="s">
        <v>6945</v>
      </c>
      <c r="W511" s="2952"/>
      <c r="X511" s="2952"/>
      <c r="Y511" s="2952"/>
      <c r="Z511" s="2952"/>
      <c r="AA511" s="2952"/>
      <c r="AB511" s="2952"/>
      <c r="AC511" s="2952"/>
      <c r="AD511" s="2952"/>
      <c r="AE511" s="2952"/>
      <c r="AF511" s="2952"/>
      <c r="AG511" s="2952" t="s">
        <v>6946</v>
      </c>
      <c r="AH511" s="2952"/>
      <c r="AI511" s="2952"/>
      <c r="AJ511" s="2952"/>
      <c r="AK511" s="2952"/>
      <c r="AL511" s="2952"/>
      <c r="AM511" s="2952"/>
      <c r="AN511" s="2952"/>
      <c r="AO511" s="2952"/>
      <c r="AP511" s="2952"/>
    </row>
    <row r="512" s="799" customFormat="1" ht="12.75" hidden="1" customHeight="1" spans="1:126">
      <c r="A512" s="2955">
        <f>UnosPorBilans!S233</f>
        <v>0</v>
      </c>
      <c r="B512" s="2955"/>
      <c r="C512" s="2955"/>
      <c r="D512" s="2955"/>
      <c r="E512" s="2955"/>
      <c r="F512" s="2955"/>
      <c r="G512" s="2955"/>
      <c r="H512" s="2955"/>
      <c r="I512" s="2955"/>
      <c r="J512" s="2955"/>
      <c r="K512" s="2955">
        <f>UnosPorBilans!W233</f>
        <v>0</v>
      </c>
      <c r="L512" s="2955"/>
      <c r="M512" s="2955"/>
      <c r="N512" s="2955"/>
      <c r="O512" s="2955"/>
      <c r="P512" s="2955"/>
      <c r="Q512" s="2955"/>
      <c r="R512" s="2955"/>
      <c r="S512" s="2955"/>
      <c r="T512" s="2955"/>
      <c r="U512" s="2955"/>
      <c r="V512" s="2955">
        <f>UnosPorBilans!AB233</f>
        <v>0</v>
      </c>
      <c r="W512" s="2955"/>
      <c r="X512" s="2955"/>
      <c r="Y512" s="2955"/>
      <c r="Z512" s="2955"/>
      <c r="AA512" s="2955"/>
      <c r="AB512" s="2955"/>
      <c r="AC512" s="2955"/>
      <c r="AD512" s="2955"/>
      <c r="AE512" s="2955"/>
      <c r="AF512" s="2955"/>
      <c r="AG512" s="2955">
        <f>UnosPorBilans!AG233</f>
        <v>0</v>
      </c>
      <c r="AH512" s="2955"/>
      <c r="AI512" s="2955"/>
      <c r="AJ512" s="2955"/>
      <c r="AK512" s="2955"/>
      <c r="AL512" s="2955"/>
      <c r="AM512" s="2955"/>
      <c r="AN512" s="2955"/>
      <c r="AO512" s="2955"/>
      <c r="AP512" s="2955"/>
    </row>
    <row r="513" s="799" customFormat="1" ht="12.75" hidden="1" customHeight="1" spans="1:126">
      <c r="A513" s="2952" t="s">
        <v>6947</v>
      </c>
      <c r="B513" s="2952"/>
      <c r="C513" s="2952"/>
      <c r="D513" s="2952"/>
      <c r="E513" s="2952"/>
      <c r="F513" s="2952"/>
      <c r="G513" s="2952"/>
      <c r="H513" s="2952"/>
      <c r="I513" s="2952"/>
      <c r="J513" s="2952"/>
      <c r="K513" s="2952"/>
      <c r="L513" s="2952"/>
      <c r="M513" s="2952"/>
      <c r="N513" s="2952"/>
      <c r="O513" s="2952"/>
      <c r="P513" s="2952"/>
      <c r="Q513" s="2952"/>
      <c r="R513" s="2952"/>
      <c r="S513" s="2952"/>
      <c r="T513" s="2952"/>
      <c r="U513" s="2952"/>
      <c r="V513" s="2952" t="s">
        <v>6948</v>
      </c>
      <c r="W513" s="2952"/>
      <c r="X513" s="2952"/>
      <c r="Y513" s="2952"/>
      <c r="Z513" s="2952"/>
      <c r="AA513" s="2952"/>
      <c r="AB513" s="2952"/>
      <c r="AC513" s="2952"/>
      <c r="AD513" s="2952"/>
      <c r="AE513" s="2952"/>
      <c r="AF513" s="2952"/>
      <c r="AG513" s="2952"/>
      <c r="AH513" s="2952"/>
      <c r="AI513" s="2952"/>
      <c r="AJ513" s="2952"/>
      <c r="AK513" s="2952"/>
      <c r="AL513" s="2952"/>
      <c r="AM513" s="2952"/>
      <c r="AN513" s="2952"/>
      <c r="AO513" s="2952"/>
      <c r="AP513" s="2952"/>
    </row>
    <row r="514" s="799" customFormat="1" ht="12.75" hidden="1" customHeight="1" spans="1:126">
      <c r="A514" s="2955">
        <f>UnosPorBilans!AL233</f>
        <v>0</v>
      </c>
      <c r="B514" s="2955"/>
      <c r="C514" s="2955"/>
      <c r="D514" s="2955"/>
      <c r="E514" s="2955"/>
      <c r="F514" s="2955"/>
      <c r="G514" s="2955"/>
      <c r="H514" s="2955"/>
      <c r="I514" s="2955"/>
      <c r="J514" s="2955"/>
      <c r="K514" s="2955"/>
      <c r="L514" s="2955"/>
      <c r="M514" s="2955"/>
      <c r="N514" s="2955"/>
      <c r="O514" s="2955"/>
      <c r="P514" s="2955"/>
      <c r="Q514" s="2955"/>
      <c r="R514" s="2955"/>
      <c r="S514" s="2955"/>
      <c r="T514" s="2955"/>
      <c r="U514" s="2955"/>
      <c r="V514" s="2955">
        <f>UnosPorBilans!AS233</f>
        <v>0</v>
      </c>
      <c r="W514" s="2955"/>
      <c r="X514" s="2955"/>
      <c r="Y514" s="2955"/>
      <c r="Z514" s="2955"/>
      <c r="AA514" s="2955"/>
      <c r="AB514" s="2955"/>
      <c r="AC514" s="2955"/>
      <c r="AD514" s="2955"/>
      <c r="AE514" s="2955"/>
      <c r="AF514" s="2955"/>
      <c r="AG514" s="2955"/>
      <c r="AH514" s="2955"/>
      <c r="AI514" s="2955"/>
      <c r="AJ514" s="2955"/>
      <c r="AK514" s="2955"/>
      <c r="AL514" s="2955"/>
      <c r="AM514" s="2955"/>
      <c r="AN514" s="2955"/>
      <c r="AO514" s="2955"/>
      <c r="AP514" s="2955"/>
    </row>
    <row r="515" s="799" customFormat="1" ht="14.25" hidden="1" customHeight="1" spans="1:126">
      <c r="A515" s="2954"/>
      <c r="B515" s="2954"/>
      <c r="C515" s="2954"/>
      <c r="D515" s="2954"/>
      <c r="E515" s="2954"/>
      <c r="F515" s="2954"/>
      <c r="G515" s="2954"/>
      <c r="H515" s="2954"/>
      <c r="I515" s="2954"/>
      <c r="J515" s="2954"/>
      <c r="K515" s="2954"/>
      <c r="L515" s="2954"/>
      <c r="M515" s="2954"/>
      <c r="N515" s="2954"/>
      <c r="O515" s="2954"/>
      <c r="P515" s="2954"/>
      <c r="Q515" s="2954"/>
      <c r="R515" s="2954"/>
      <c r="S515" s="2954"/>
      <c r="T515" s="2954"/>
      <c r="U515" s="2954"/>
      <c r="V515" s="2954"/>
      <c r="W515" s="2954"/>
      <c r="X515" s="2954"/>
      <c r="Y515" s="2954"/>
      <c r="Z515" s="2954"/>
      <c r="AA515" s="2954"/>
      <c r="AB515" s="2954"/>
      <c r="AC515" s="2954"/>
      <c r="AD515" s="2954"/>
      <c r="AE515" s="2954"/>
      <c r="AF515" s="2954"/>
      <c r="AG515" s="2954"/>
      <c r="AH515" s="2954"/>
      <c r="AI515" s="2954"/>
      <c r="AJ515" s="2954"/>
      <c r="AK515" s="2954"/>
      <c r="AL515" s="2954"/>
      <c r="AM515" s="2954"/>
      <c r="AN515" s="2954"/>
      <c r="AO515" s="2954"/>
      <c r="AP515" s="2954"/>
      <c r="AQ515" s="2954"/>
      <c r="AR515" s="2954"/>
      <c r="AS515" s="2954"/>
      <c r="AT515" s="2954"/>
      <c r="AU515" s="2954"/>
      <c r="AV515" s="2954"/>
      <c r="AW515" s="2954"/>
      <c r="AX515" s="2954"/>
      <c r="AY515" s="2954"/>
      <c r="AZ515" s="2954"/>
      <c r="BA515" s="2954"/>
      <c r="BB515" s="2954"/>
      <c r="BC515" s="2954"/>
      <c r="BD515" s="2954"/>
      <c r="BE515" s="2954"/>
      <c r="BF515" s="2954"/>
      <c r="BG515" s="2954"/>
      <c r="BH515" s="2954"/>
      <c r="BI515" s="2954"/>
      <c r="BJ515" s="2954"/>
      <c r="BK515" s="2954"/>
      <c r="BL515" s="2954"/>
      <c r="BM515" s="2954"/>
      <c r="BN515" s="2954"/>
      <c r="BO515" s="2954"/>
      <c r="BP515" s="2954"/>
      <c r="BQ515" s="2954"/>
      <c r="BR515" s="2954"/>
      <c r="BS515" s="2954"/>
      <c r="BT515" s="2954"/>
      <c r="BU515" s="2954"/>
      <c r="BV515" s="2954"/>
      <c r="BW515" s="2954"/>
      <c r="BX515" s="2954"/>
      <c r="BY515" s="2954"/>
      <c r="BZ515" s="2954"/>
      <c r="CA515" s="2954"/>
      <c r="CB515" s="2954"/>
      <c r="CC515" s="2954"/>
      <c r="CD515" s="2954"/>
      <c r="CE515" s="2954"/>
      <c r="CF515" s="2954"/>
      <c r="CG515" s="2954"/>
      <c r="CH515" s="2954"/>
      <c r="CI515" s="2954"/>
      <c r="CJ515" s="2954"/>
      <c r="CK515" s="2954"/>
      <c r="CL515" s="2954"/>
      <c r="CM515" s="2954"/>
      <c r="CN515" s="2954"/>
      <c r="CO515" s="2954"/>
      <c r="CP515" s="2954"/>
      <c r="CQ515" s="2954"/>
      <c r="CR515" s="2954"/>
      <c r="CS515" s="2954"/>
      <c r="CT515" s="2954"/>
      <c r="CU515" s="2954"/>
      <c r="CV515" s="2954"/>
      <c r="CW515" s="2954"/>
      <c r="CX515" s="2954"/>
      <c r="CY515" s="2954"/>
      <c r="CZ515" s="2954"/>
      <c r="DA515" s="2954"/>
      <c r="DB515" s="2954"/>
      <c r="DC515" s="2954"/>
      <c r="DD515" s="2954"/>
      <c r="DE515" s="2954"/>
      <c r="DF515" s="2954"/>
      <c r="DG515" s="2954"/>
      <c r="DH515" s="2954"/>
      <c r="DI515" s="2954"/>
      <c r="DJ515" s="2954"/>
      <c r="DK515" s="2954"/>
      <c r="DL515" s="2954"/>
      <c r="DM515" s="2954"/>
      <c r="DN515" s="2954"/>
      <c r="DO515" s="2954"/>
      <c r="DP515" s="2954"/>
      <c r="DQ515" s="2954"/>
      <c r="DR515" s="2954"/>
      <c r="DS515" s="2954"/>
      <c r="DT515" s="2954"/>
      <c r="DU515" s="2954"/>
      <c r="DV515" s="2954"/>
    </row>
    <row r="516" s="799" customFormat="1" ht="14.25" hidden="1" customHeight="1" spans="1:126">
      <c r="A516" s="2952" t="s">
        <v>4214</v>
      </c>
      <c r="B516" s="2952"/>
      <c r="C516" s="2952" t="s">
        <v>6940</v>
      </c>
      <c r="D516" s="2952"/>
      <c r="E516" s="2952"/>
      <c r="F516" s="2952"/>
      <c r="G516" s="2952"/>
      <c r="H516" s="2952"/>
      <c r="I516" s="2952"/>
      <c r="J516" s="2952"/>
      <c r="K516" s="2952"/>
      <c r="L516" s="2952"/>
      <c r="M516" s="2952"/>
      <c r="N516" s="2952"/>
      <c r="O516" s="2952"/>
      <c r="P516" s="2952"/>
      <c r="Q516" s="2952"/>
      <c r="R516" s="2952"/>
      <c r="S516" s="2952"/>
      <c r="T516" s="2952"/>
      <c r="U516" s="2952"/>
      <c r="V516" s="2952" t="s">
        <v>6941</v>
      </c>
      <c r="W516" s="2952"/>
      <c r="X516" s="2952"/>
      <c r="Y516" s="2952"/>
      <c r="Z516" s="2952"/>
      <c r="AA516" s="2952"/>
      <c r="AB516" s="2952"/>
      <c r="AC516" s="2952"/>
      <c r="AD516" s="2952"/>
      <c r="AE516" s="2952"/>
      <c r="AF516" s="2952"/>
      <c r="AG516" s="2952" t="s">
        <v>6942</v>
      </c>
      <c r="AH516" s="2952"/>
      <c r="AI516" s="2952"/>
      <c r="AJ516" s="2952"/>
      <c r="AK516" s="2952"/>
      <c r="AL516" s="2952"/>
      <c r="AM516" s="2952"/>
      <c r="AN516" s="2952"/>
      <c r="AO516" s="2952"/>
      <c r="AP516" s="2952"/>
    </row>
    <row r="517" s="799" customFormat="1" ht="12.75" hidden="1" customHeight="1" spans="1:126">
      <c r="A517" s="2955">
        <f>UnosPorBilans!B234</f>
        <v>0</v>
      </c>
      <c r="B517" s="2955"/>
      <c r="C517" s="2955"/>
      <c r="D517" s="2955"/>
      <c r="E517" s="2955"/>
      <c r="F517" s="2955"/>
      <c r="G517" s="2955"/>
      <c r="H517" s="2955"/>
      <c r="I517" s="2955"/>
      <c r="J517" s="2955"/>
      <c r="K517" s="2955"/>
      <c r="L517" s="2955"/>
      <c r="M517" s="2955"/>
      <c r="N517" s="2955"/>
      <c r="O517" s="2955"/>
      <c r="P517" s="2955"/>
      <c r="Q517" s="2955"/>
      <c r="R517" s="2955"/>
      <c r="S517" s="2955"/>
      <c r="T517" s="2955"/>
      <c r="U517" s="2955"/>
      <c r="V517" s="2955">
        <f>UnosPorBilans!I234</f>
        <v>0</v>
      </c>
      <c r="W517" s="2955"/>
      <c r="X517" s="2955"/>
      <c r="Y517" s="2955"/>
      <c r="Z517" s="2955"/>
      <c r="AA517" s="2955"/>
      <c r="AB517" s="2955"/>
      <c r="AC517" s="2955"/>
      <c r="AD517" s="2955"/>
      <c r="AE517" s="2955"/>
      <c r="AF517" s="2955"/>
      <c r="AG517" s="2955">
        <f>UnosPorBilans!N234</f>
        <v>0</v>
      </c>
      <c r="AH517" s="2955"/>
      <c r="AI517" s="2955"/>
      <c r="AJ517" s="2955"/>
      <c r="AK517" s="2955"/>
      <c r="AL517" s="2955"/>
      <c r="AM517" s="2955"/>
      <c r="AN517" s="2955"/>
      <c r="AO517" s="2955"/>
      <c r="AP517" s="2955"/>
    </row>
    <row r="518" s="799" customFormat="1" ht="12.75" hidden="1" customHeight="1" spans="1:126">
      <c r="A518" s="2952" t="s">
        <v>6943</v>
      </c>
      <c r="B518" s="2952"/>
      <c r="C518" s="2952"/>
      <c r="D518" s="2952"/>
      <c r="E518" s="2952"/>
      <c r="F518" s="2952"/>
      <c r="G518" s="2952"/>
      <c r="H518" s="2952"/>
      <c r="I518" s="2952"/>
      <c r="J518" s="2952"/>
      <c r="K518" s="2952" t="s">
        <v>6944</v>
      </c>
      <c r="L518" s="2952"/>
      <c r="M518" s="2952"/>
      <c r="N518" s="2952"/>
      <c r="O518" s="2952"/>
      <c r="P518" s="2952"/>
      <c r="Q518" s="2952"/>
      <c r="R518" s="2952"/>
      <c r="S518" s="2952"/>
      <c r="T518" s="2952"/>
      <c r="U518" s="2952"/>
      <c r="V518" s="2952" t="s">
        <v>6945</v>
      </c>
      <c r="W518" s="2952"/>
      <c r="X518" s="2952"/>
      <c r="Y518" s="2952"/>
      <c r="Z518" s="2952"/>
      <c r="AA518" s="2952"/>
      <c r="AB518" s="2952"/>
      <c r="AC518" s="2952"/>
      <c r="AD518" s="2952"/>
      <c r="AE518" s="2952"/>
      <c r="AF518" s="2952"/>
      <c r="AG518" s="2952" t="s">
        <v>6946</v>
      </c>
      <c r="AH518" s="2952"/>
      <c r="AI518" s="2952"/>
      <c r="AJ518" s="2952"/>
      <c r="AK518" s="2952"/>
      <c r="AL518" s="2952"/>
      <c r="AM518" s="2952"/>
      <c r="AN518" s="2952"/>
      <c r="AO518" s="2952"/>
      <c r="AP518" s="2952"/>
    </row>
    <row r="519" s="799" customFormat="1" ht="12.75" hidden="1" customHeight="1" spans="1:126">
      <c r="A519" s="2955">
        <f>UnosPorBilans!S234</f>
        <v>0</v>
      </c>
      <c r="B519" s="2955"/>
      <c r="C519" s="2955"/>
      <c r="D519" s="2955"/>
      <c r="E519" s="2955"/>
      <c r="F519" s="2955"/>
      <c r="G519" s="2955"/>
      <c r="H519" s="2955"/>
      <c r="I519" s="2955"/>
      <c r="J519" s="2955"/>
      <c r="K519" s="2955">
        <f>UnosPorBilans!W234</f>
        <v>0</v>
      </c>
      <c r="L519" s="2955"/>
      <c r="M519" s="2955"/>
      <c r="N519" s="2955"/>
      <c r="O519" s="2955"/>
      <c r="P519" s="2955"/>
      <c r="Q519" s="2955"/>
      <c r="R519" s="2955"/>
      <c r="S519" s="2955"/>
      <c r="T519" s="2955"/>
      <c r="U519" s="2955"/>
      <c r="V519" s="2955">
        <f>UnosPorBilans!AB234</f>
        <v>0</v>
      </c>
      <c r="W519" s="2955"/>
      <c r="X519" s="2955"/>
      <c r="Y519" s="2955"/>
      <c r="Z519" s="2955"/>
      <c r="AA519" s="2955"/>
      <c r="AB519" s="2955"/>
      <c r="AC519" s="2955"/>
      <c r="AD519" s="2955"/>
      <c r="AE519" s="2955"/>
      <c r="AF519" s="2955"/>
      <c r="AG519" s="2955">
        <f>UnosPorBilans!AG234</f>
        <v>0</v>
      </c>
      <c r="AH519" s="2955"/>
      <c r="AI519" s="2955"/>
      <c r="AJ519" s="2955"/>
      <c r="AK519" s="2955"/>
      <c r="AL519" s="2955"/>
      <c r="AM519" s="2955"/>
      <c r="AN519" s="2955"/>
      <c r="AO519" s="2955"/>
      <c r="AP519" s="2955"/>
    </row>
    <row r="520" s="799" customFormat="1" ht="12.75" hidden="1" customHeight="1" spans="1:126">
      <c r="A520" s="2952" t="s">
        <v>6947</v>
      </c>
      <c r="B520" s="2952"/>
      <c r="C520" s="2952"/>
      <c r="D520" s="2952"/>
      <c r="E520" s="2952"/>
      <c r="F520" s="2952"/>
      <c r="G520" s="2952"/>
      <c r="H520" s="2952"/>
      <c r="I520" s="2952"/>
      <c r="J520" s="2952"/>
      <c r="K520" s="2952"/>
      <c r="L520" s="2952"/>
      <c r="M520" s="2952"/>
      <c r="N520" s="2952"/>
      <c r="O520" s="2952"/>
      <c r="P520" s="2952"/>
      <c r="Q520" s="2952"/>
      <c r="R520" s="2952"/>
      <c r="S520" s="2952"/>
      <c r="T520" s="2952"/>
      <c r="U520" s="2952"/>
      <c r="V520" s="2952" t="s">
        <v>6948</v>
      </c>
      <c r="W520" s="2952"/>
      <c r="X520" s="2952"/>
      <c r="Y520" s="2952"/>
      <c r="Z520" s="2952"/>
      <c r="AA520" s="2952"/>
      <c r="AB520" s="2952"/>
      <c r="AC520" s="2952"/>
      <c r="AD520" s="2952"/>
      <c r="AE520" s="2952"/>
      <c r="AF520" s="2952"/>
      <c r="AG520" s="2952"/>
      <c r="AH520" s="2952"/>
      <c r="AI520" s="2952"/>
      <c r="AJ520" s="2952"/>
      <c r="AK520" s="2952"/>
      <c r="AL520" s="2952"/>
      <c r="AM520" s="2952"/>
      <c r="AN520" s="2952"/>
      <c r="AO520" s="2952"/>
      <c r="AP520" s="2952"/>
    </row>
    <row r="521" s="799" customFormat="1" ht="12.75" hidden="1" customHeight="1" spans="1:126">
      <c r="A521" s="2955">
        <f>UnosPorBilans!AL234</f>
        <v>0</v>
      </c>
      <c r="B521" s="2955"/>
      <c r="C521" s="2955"/>
      <c r="D521" s="2955"/>
      <c r="E521" s="2955"/>
      <c r="F521" s="2955"/>
      <c r="G521" s="2955"/>
      <c r="H521" s="2955"/>
      <c r="I521" s="2955"/>
      <c r="J521" s="2955"/>
      <c r="K521" s="2955"/>
      <c r="L521" s="2955"/>
      <c r="M521" s="2955"/>
      <c r="N521" s="2955"/>
      <c r="O521" s="2955"/>
      <c r="P521" s="2955"/>
      <c r="Q521" s="2955"/>
      <c r="R521" s="2955"/>
      <c r="S521" s="2955"/>
      <c r="T521" s="2955"/>
      <c r="U521" s="2955"/>
      <c r="V521" s="2955">
        <f>UnosPorBilans!AS234</f>
        <v>0</v>
      </c>
      <c r="W521" s="2955"/>
      <c r="X521" s="2955"/>
      <c r="Y521" s="2955"/>
      <c r="Z521" s="2955"/>
      <c r="AA521" s="2955"/>
      <c r="AB521" s="2955"/>
      <c r="AC521" s="2955"/>
      <c r="AD521" s="2955"/>
      <c r="AE521" s="2955"/>
      <c r="AF521" s="2955"/>
      <c r="AG521" s="2955"/>
      <c r="AH521" s="2955"/>
      <c r="AI521" s="2955"/>
      <c r="AJ521" s="2955"/>
      <c r="AK521" s="2955"/>
      <c r="AL521" s="2955"/>
      <c r="AM521" s="2955"/>
      <c r="AN521" s="2955"/>
      <c r="AO521" s="2955"/>
      <c r="AP521" s="2955"/>
    </row>
    <row r="522" s="799" customFormat="1" ht="14.25" hidden="1" customHeight="1" spans="1:126">
      <c r="A522" s="2954"/>
      <c r="B522" s="2954"/>
      <c r="C522" s="2954"/>
      <c r="D522" s="2954"/>
      <c r="E522" s="2954"/>
      <c r="F522" s="2954"/>
      <c r="G522" s="2954"/>
      <c r="H522" s="2954"/>
      <c r="I522" s="2954"/>
      <c r="J522" s="2954"/>
      <c r="K522" s="2954"/>
      <c r="L522" s="2954"/>
      <c r="M522" s="2954"/>
      <c r="N522" s="2954"/>
      <c r="O522" s="2954"/>
      <c r="P522" s="2954"/>
      <c r="Q522" s="2954"/>
      <c r="R522" s="2954"/>
      <c r="S522" s="2954"/>
      <c r="T522" s="2954"/>
      <c r="U522" s="2954"/>
      <c r="V522" s="2954"/>
      <c r="W522" s="2954"/>
      <c r="X522" s="2954"/>
      <c r="Y522" s="2954"/>
      <c r="Z522" s="2954"/>
      <c r="AA522" s="2954"/>
      <c r="AB522" s="2954"/>
      <c r="AC522" s="2954"/>
      <c r="AD522" s="2954"/>
      <c r="AE522" s="2954"/>
      <c r="AF522" s="2954"/>
      <c r="AG522" s="2954"/>
      <c r="AH522" s="2954"/>
      <c r="AI522" s="2954"/>
      <c r="AJ522" s="2954"/>
      <c r="AK522" s="2954"/>
      <c r="AL522" s="2954"/>
      <c r="AM522" s="2954"/>
      <c r="AN522" s="2954"/>
      <c r="AO522" s="2954"/>
      <c r="AP522" s="2954"/>
      <c r="AQ522" s="2954"/>
      <c r="AR522" s="2954"/>
      <c r="AS522" s="2954"/>
      <c r="AT522" s="2954"/>
      <c r="AU522" s="2954"/>
      <c r="AV522" s="2954"/>
      <c r="AW522" s="2954"/>
      <c r="AX522" s="2954"/>
      <c r="AY522" s="2954"/>
      <c r="AZ522" s="2954"/>
      <c r="BA522" s="2954"/>
      <c r="BB522" s="2954"/>
      <c r="BC522" s="2954"/>
      <c r="BD522" s="2954"/>
      <c r="BE522" s="2954"/>
      <c r="BF522" s="2954"/>
      <c r="BG522" s="2954"/>
      <c r="BH522" s="2954"/>
      <c r="BI522" s="2954"/>
      <c r="BJ522" s="2954"/>
      <c r="BK522" s="2954"/>
      <c r="BL522" s="2954"/>
      <c r="BM522" s="2954"/>
      <c r="BN522" s="2954"/>
      <c r="BO522" s="2954"/>
      <c r="BP522" s="2954"/>
      <c r="BQ522" s="2954"/>
      <c r="BR522" s="2954"/>
      <c r="BS522" s="2954"/>
      <c r="BT522" s="2954"/>
      <c r="BU522" s="2954"/>
      <c r="BV522" s="2954"/>
      <c r="BW522" s="2954"/>
      <c r="BX522" s="2954"/>
      <c r="BY522" s="2954"/>
      <c r="BZ522" s="2954"/>
      <c r="CA522" s="2954"/>
      <c r="CB522" s="2954"/>
      <c r="CC522" s="2954"/>
      <c r="CD522" s="2954"/>
      <c r="CE522" s="2954"/>
      <c r="CF522" s="2954"/>
      <c r="CG522" s="2954"/>
      <c r="CH522" s="2954"/>
      <c r="CI522" s="2954"/>
      <c r="CJ522" s="2954"/>
      <c r="CK522" s="2954"/>
      <c r="CL522" s="2954"/>
      <c r="CM522" s="2954"/>
      <c r="CN522" s="2954"/>
      <c r="CO522" s="2954"/>
      <c r="CP522" s="2954"/>
      <c r="CQ522" s="2954"/>
      <c r="CR522" s="2954"/>
      <c r="CS522" s="2954"/>
      <c r="CT522" s="2954"/>
      <c r="CU522" s="2954"/>
      <c r="CV522" s="2954"/>
      <c r="CW522" s="2954"/>
      <c r="CX522" s="2954"/>
      <c r="CY522" s="2954"/>
      <c r="CZ522" s="2954"/>
      <c r="DA522" s="2954"/>
      <c r="DB522" s="2954"/>
      <c r="DC522" s="2954"/>
      <c r="DD522" s="2954"/>
      <c r="DE522" s="2954"/>
      <c r="DF522" s="2954"/>
      <c r="DG522" s="2954"/>
      <c r="DH522" s="2954"/>
      <c r="DI522" s="2954"/>
      <c r="DJ522" s="2954"/>
      <c r="DK522" s="2954"/>
      <c r="DL522" s="2954"/>
      <c r="DM522" s="2954"/>
      <c r="DN522" s="2954"/>
      <c r="DO522" s="2954"/>
      <c r="DP522" s="2954"/>
      <c r="DQ522" s="2954"/>
      <c r="DR522" s="2954"/>
      <c r="DS522" s="2954"/>
      <c r="DT522" s="2954"/>
      <c r="DU522" s="2954"/>
      <c r="DV522" s="2954"/>
    </row>
    <row r="523" s="799" customFormat="1" ht="14.25" hidden="1" customHeight="1" spans="1:126">
      <c r="A523" s="2954"/>
      <c r="B523" s="2954"/>
      <c r="C523" s="2954"/>
      <c r="D523" s="2954"/>
      <c r="E523" s="2954"/>
      <c r="F523" s="2954"/>
      <c r="G523" s="2954"/>
      <c r="H523" s="2954"/>
      <c r="I523" s="2954"/>
      <c r="J523" s="2954"/>
      <c r="K523" s="2954"/>
      <c r="L523" s="2954"/>
      <c r="M523" s="2954"/>
      <c r="N523" s="2954"/>
      <c r="O523" s="2954"/>
      <c r="P523" s="2954"/>
      <c r="Q523" s="2954"/>
      <c r="R523" s="2954"/>
      <c r="S523" s="2954"/>
      <c r="T523" s="2954"/>
      <c r="U523" s="2954"/>
      <c r="V523" s="2954"/>
      <c r="W523" s="2954"/>
      <c r="X523" s="2954"/>
      <c r="Y523" s="2954"/>
      <c r="Z523" s="2954"/>
      <c r="AA523" s="2954"/>
      <c r="AB523" s="2954"/>
      <c r="AC523" s="2954"/>
      <c r="AD523" s="2954"/>
      <c r="AE523" s="2954"/>
      <c r="AF523" s="2954"/>
      <c r="AG523" s="2954"/>
      <c r="AH523" s="2954"/>
      <c r="AI523" s="2954"/>
      <c r="AJ523" s="2954"/>
      <c r="AK523" s="2954"/>
      <c r="AL523" s="2954"/>
      <c r="AM523" s="2954"/>
      <c r="AN523" s="2954"/>
      <c r="AO523" s="2954"/>
      <c r="AP523" s="2954"/>
      <c r="AQ523" s="2954"/>
      <c r="AR523" s="2954"/>
      <c r="AS523" s="2954"/>
      <c r="AT523" s="2954"/>
      <c r="AU523" s="2954"/>
      <c r="AV523" s="2954"/>
      <c r="AW523" s="2954"/>
      <c r="AX523" s="2954"/>
      <c r="AY523" s="2954"/>
      <c r="AZ523" s="2954"/>
      <c r="BA523" s="2954"/>
      <c r="BB523" s="2954"/>
      <c r="BC523" s="2954"/>
      <c r="BD523" s="2954"/>
      <c r="BE523" s="2954"/>
      <c r="BF523" s="2954"/>
      <c r="BG523" s="2954"/>
      <c r="BH523" s="2954"/>
      <c r="BI523" s="2954"/>
      <c r="BJ523" s="2954"/>
      <c r="BK523" s="2954"/>
      <c r="BL523" s="2954"/>
      <c r="BM523" s="2954"/>
      <c r="BN523" s="2954"/>
      <c r="BO523" s="2954"/>
      <c r="BP523" s="2954"/>
      <c r="BQ523" s="2954"/>
      <c r="BR523" s="2954"/>
      <c r="BS523" s="2954"/>
      <c r="BT523" s="2954"/>
      <c r="BU523" s="2954"/>
      <c r="BV523" s="2954"/>
      <c r="BW523" s="2954"/>
      <c r="BX523" s="2954"/>
      <c r="BY523" s="2954"/>
      <c r="BZ523" s="2954"/>
      <c r="CA523" s="2954"/>
      <c r="CB523" s="2954"/>
      <c r="CC523" s="2954"/>
      <c r="CD523" s="2954"/>
      <c r="CE523" s="2954"/>
      <c r="CF523" s="2954"/>
      <c r="CG523" s="2954"/>
      <c r="CH523" s="2954"/>
      <c r="CI523" s="2954"/>
      <c r="CJ523" s="2954"/>
      <c r="CK523" s="2954"/>
      <c r="CL523" s="2954"/>
      <c r="CM523" s="2954"/>
      <c r="CN523" s="2954"/>
      <c r="CO523" s="2954"/>
      <c r="CP523" s="2954"/>
      <c r="CQ523" s="2954"/>
      <c r="CR523" s="2954"/>
      <c r="CS523" s="2954"/>
      <c r="CT523" s="2954"/>
      <c r="CU523" s="2954"/>
      <c r="CV523" s="2954"/>
      <c r="CW523" s="2954"/>
      <c r="CX523" s="2954"/>
      <c r="CY523" s="2954"/>
      <c r="CZ523" s="2954"/>
      <c r="DA523" s="2954"/>
      <c r="DB523" s="2954"/>
      <c r="DC523" s="2954"/>
      <c r="DD523" s="2954"/>
      <c r="DE523" s="2954"/>
      <c r="DF523" s="2954"/>
      <c r="DG523" s="2954"/>
      <c r="DH523" s="2954"/>
      <c r="DI523" s="2954"/>
      <c r="DJ523" s="2954"/>
      <c r="DK523" s="2954"/>
      <c r="DL523" s="2954"/>
      <c r="DM523" s="2954"/>
      <c r="DN523" s="2954"/>
      <c r="DO523" s="2954"/>
      <c r="DP523" s="2954"/>
      <c r="DQ523" s="2954"/>
      <c r="DR523" s="2954"/>
      <c r="DS523" s="2954"/>
      <c r="DT523" s="2954"/>
      <c r="DU523" s="2954"/>
      <c r="DV523" s="2954"/>
    </row>
    <row r="524" s="799" customFormat="1" ht="14.25" hidden="1" customHeight="1" spans="1:126">
      <c r="A524" s="2954"/>
      <c r="B524" s="2954"/>
      <c r="C524" s="2954"/>
      <c r="D524" s="2954"/>
      <c r="E524" s="2954"/>
      <c r="F524" s="2954"/>
      <c r="G524" s="2954"/>
      <c r="H524" s="2954"/>
      <c r="I524" s="2954"/>
      <c r="J524" s="2954"/>
      <c r="K524" s="2954"/>
      <c r="L524" s="2954"/>
      <c r="M524" s="2954"/>
      <c r="N524" s="2954"/>
      <c r="O524" s="2954"/>
      <c r="P524" s="2954"/>
      <c r="Q524" s="2954"/>
      <c r="R524" s="2954"/>
      <c r="S524" s="2954"/>
      <c r="T524" s="2954"/>
      <c r="U524" s="2954"/>
      <c r="V524" s="2954"/>
      <c r="W524" s="2954"/>
      <c r="X524" s="2954"/>
      <c r="Y524" s="2954"/>
      <c r="Z524" s="2954"/>
      <c r="AA524" s="2954"/>
      <c r="AB524" s="2954"/>
      <c r="AC524" s="2954"/>
      <c r="AD524" s="2954"/>
      <c r="AE524" s="2954"/>
      <c r="AF524" s="2954"/>
      <c r="AG524" s="2954"/>
      <c r="AH524" s="2954"/>
      <c r="AI524" s="2954"/>
      <c r="AJ524" s="2954"/>
      <c r="AK524" s="2954"/>
      <c r="AL524" s="2954"/>
      <c r="AM524" s="2954"/>
      <c r="AN524" s="2954"/>
      <c r="AO524" s="2954"/>
      <c r="AP524" s="2954"/>
      <c r="AQ524" s="2954"/>
      <c r="AR524" s="2954"/>
      <c r="AS524" s="2954"/>
      <c r="AT524" s="2954"/>
      <c r="AU524" s="2954"/>
      <c r="AV524" s="2954"/>
      <c r="AW524" s="2954"/>
      <c r="AX524" s="2954"/>
      <c r="AY524" s="2954"/>
      <c r="AZ524" s="2954"/>
      <c r="BA524" s="2954"/>
      <c r="BB524" s="2954"/>
      <c r="BC524" s="2954"/>
      <c r="BD524" s="2954"/>
      <c r="BE524" s="2954"/>
      <c r="BF524" s="2954"/>
      <c r="BG524" s="2954"/>
      <c r="BH524" s="2954"/>
      <c r="BI524" s="2954"/>
      <c r="BJ524" s="2954"/>
      <c r="BK524" s="2954"/>
      <c r="BL524" s="2954"/>
      <c r="BM524" s="2954"/>
      <c r="BN524" s="2954"/>
      <c r="BO524" s="2954"/>
      <c r="BP524" s="2954"/>
      <c r="BQ524" s="2954"/>
      <c r="BR524" s="2954"/>
      <c r="BS524" s="2954"/>
      <c r="BT524" s="2954"/>
      <c r="BU524" s="2954"/>
      <c r="BV524" s="2954"/>
      <c r="BW524" s="2954"/>
      <c r="BX524" s="2954"/>
      <c r="BY524" s="2954"/>
      <c r="BZ524" s="2954"/>
      <c r="CA524" s="2954"/>
      <c r="CB524" s="2954"/>
      <c r="CC524" s="2954"/>
      <c r="CD524" s="2954"/>
      <c r="CE524" s="2954"/>
      <c r="CF524" s="2954"/>
      <c r="CG524" s="2954"/>
      <c r="CH524" s="2954"/>
      <c r="CI524" s="2954"/>
      <c r="CJ524" s="2954"/>
      <c r="CK524" s="2954"/>
      <c r="CL524" s="2954"/>
      <c r="CM524" s="2954"/>
      <c r="CN524" s="2954"/>
      <c r="CO524" s="2954"/>
      <c r="CP524" s="2954"/>
      <c r="CQ524" s="2954"/>
      <c r="CR524" s="2954"/>
      <c r="CS524" s="2954"/>
      <c r="CT524" s="2954"/>
      <c r="CU524" s="2954"/>
      <c r="CV524" s="2954"/>
      <c r="CW524" s="2954"/>
      <c r="CX524" s="2954"/>
      <c r="CY524" s="2954"/>
      <c r="CZ524" s="2954"/>
      <c r="DA524" s="2954"/>
      <c r="DB524" s="2954"/>
      <c r="DC524" s="2954"/>
      <c r="DD524" s="2954"/>
      <c r="DE524" s="2954"/>
      <c r="DF524" s="2954"/>
      <c r="DG524" s="2954"/>
      <c r="DH524" s="2954"/>
      <c r="DI524" s="2954"/>
      <c r="DJ524" s="2954"/>
      <c r="DK524" s="2954"/>
      <c r="DL524" s="2954"/>
      <c r="DM524" s="2954"/>
      <c r="DN524" s="2954"/>
      <c r="DO524" s="2954"/>
      <c r="DP524" s="2954"/>
      <c r="DQ524" s="2954"/>
      <c r="DR524" s="2954"/>
      <c r="DS524" s="2954"/>
      <c r="DT524" s="2954"/>
      <c r="DU524" s="2954"/>
      <c r="DV524" s="2954"/>
    </row>
    <row r="525" s="799" customFormat="1" ht="14.25" hidden="1" customHeight="1" spans="1:126">
      <c r="A525" s="2952" t="s">
        <v>4214</v>
      </c>
      <c r="B525" s="2952"/>
      <c r="C525" s="2952" t="s">
        <v>6940</v>
      </c>
      <c r="D525" s="2952"/>
      <c r="E525" s="2952"/>
      <c r="F525" s="2952"/>
      <c r="G525" s="2952"/>
      <c r="H525" s="2952"/>
      <c r="I525" s="2952"/>
      <c r="J525" s="2952"/>
      <c r="K525" s="2952"/>
      <c r="L525" s="2952"/>
      <c r="M525" s="2952"/>
      <c r="N525" s="2952"/>
      <c r="O525" s="2952"/>
      <c r="P525" s="2952"/>
      <c r="Q525" s="2952"/>
      <c r="R525" s="2952"/>
      <c r="S525" s="2952"/>
      <c r="T525" s="2952"/>
      <c r="U525" s="2952"/>
      <c r="V525" s="2952" t="s">
        <v>6941</v>
      </c>
      <c r="W525" s="2952"/>
      <c r="X525" s="2952"/>
      <c r="Y525" s="2952"/>
      <c r="Z525" s="2952"/>
      <c r="AA525" s="2952"/>
      <c r="AB525" s="2952"/>
      <c r="AC525" s="2952"/>
      <c r="AD525" s="2952"/>
      <c r="AE525" s="2952"/>
      <c r="AF525" s="2952"/>
      <c r="AG525" s="2952" t="s">
        <v>6942</v>
      </c>
      <c r="AH525" s="2952"/>
      <c r="AI525" s="2952"/>
      <c r="AJ525" s="2952"/>
      <c r="AK525" s="2952"/>
      <c r="AL525" s="2952"/>
      <c r="AM525" s="2952"/>
      <c r="AN525" s="2952"/>
      <c r="AO525" s="2952"/>
      <c r="AP525" s="2952"/>
    </row>
    <row r="526" s="799" customFormat="1" ht="12.75" hidden="1" customHeight="1" spans="1:126">
      <c r="A526" s="2955">
        <f>UnosPorBilans!B235</f>
        <v>0</v>
      </c>
      <c r="B526" s="2955"/>
      <c r="C526" s="2955"/>
      <c r="D526" s="2955"/>
      <c r="E526" s="2955"/>
      <c r="F526" s="2955"/>
      <c r="G526" s="2955"/>
      <c r="H526" s="2955"/>
      <c r="I526" s="2955"/>
      <c r="J526" s="2955"/>
      <c r="K526" s="2955"/>
      <c r="L526" s="2955"/>
      <c r="M526" s="2955"/>
      <c r="N526" s="2955"/>
      <c r="O526" s="2955"/>
      <c r="P526" s="2955"/>
      <c r="Q526" s="2955"/>
      <c r="R526" s="2955"/>
      <c r="S526" s="2955"/>
      <c r="T526" s="2955"/>
      <c r="U526" s="2955"/>
      <c r="V526" s="2955">
        <f>UnosPorBilans!I235</f>
        <v>0</v>
      </c>
      <c r="W526" s="2955"/>
      <c r="X526" s="2955"/>
      <c r="Y526" s="2955"/>
      <c r="Z526" s="2955"/>
      <c r="AA526" s="2955"/>
      <c r="AB526" s="2955"/>
      <c r="AC526" s="2955"/>
      <c r="AD526" s="2955"/>
      <c r="AE526" s="2955"/>
      <c r="AF526" s="2955"/>
      <c r="AG526" s="2955">
        <f>UnosPorBilans!N235</f>
        <v>0</v>
      </c>
      <c r="AH526" s="2955"/>
      <c r="AI526" s="2955"/>
      <c r="AJ526" s="2955"/>
      <c r="AK526" s="2955"/>
      <c r="AL526" s="2955"/>
      <c r="AM526" s="2955"/>
      <c r="AN526" s="2955"/>
      <c r="AO526" s="2955"/>
      <c r="AP526" s="2955"/>
    </row>
    <row r="527" s="799" customFormat="1" ht="12.75" hidden="1" customHeight="1" spans="1:126">
      <c r="A527" s="2952" t="s">
        <v>6943</v>
      </c>
      <c r="B527" s="2952"/>
      <c r="C527" s="2952"/>
      <c r="D527" s="2952"/>
      <c r="E527" s="2952"/>
      <c r="F527" s="2952"/>
      <c r="G527" s="2952"/>
      <c r="H527" s="2952"/>
      <c r="I527" s="2952"/>
      <c r="J527" s="2952"/>
      <c r="K527" s="2952" t="s">
        <v>6944</v>
      </c>
      <c r="L527" s="2952"/>
      <c r="M527" s="2952"/>
      <c r="N527" s="2952"/>
      <c r="O527" s="2952"/>
      <c r="P527" s="2952"/>
      <c r="Q527" s="2952"/>
      <c r="R527" s="2952"/>
      <c r="S527" s="2952"/>
      <c r="T527" s="2952"/>
      <c r="U527" s="2952"/>
      <c r="V527" s="2952" t="s">
        <v>6945</v>
      </c>
      <c r="W527" s="2952"/>
      <c r="X527" s="2952"/>
      <c r="Y527" s="2952"/>
      <c r="Z527" s="2952"/>
      <c r="AA527" s="2952"/>
      <c r="AB527" s="2952"/>
      <c r="AC527" s="2952"/>
      <c r="AD527" s="2952"/>
      <c r="AE527" s="2952"/>
      <c r="AF527" s="2952"/>
      <c r="AG527" s="2952" t="s">
        <v>6946</v>
      </c>
      <c r="AH527" s="2952"/>
      <c r="AI527" s="2952"/>
      <c r="AJ527" s="2952"/>
      <c r="AK527" s="2952"/>
      <c r="AL527" s="2952"/>
      <c r="AM527" s="2952"/>
      <c r="AN527" s="2952"/>
      <c r="AO527" s="2952"/>
      <c r="AP527" s="2952"/>
    </row>
    <row r="528" s="799" customFormat="1" ht="12.75" hidden="1" customHeight="1" spans="1:126">
      <c r="A528" s="2955">
        <f>UnosPorBilans!S235</f>
        <v>0</v>
      </c>
      <c r="B528" s="2955"/>
      <c r="C528" s="2955"/>
      <c r="D528" s="2955"/>
      <c r="E528" s="2955"/>
      <c r="F528" s="2955"/>
      <c r="G528" s="2955"/>
      <c r="H528" s="2955"/>
      <c r="I528" s="2955"/>
      <c r="J528" s="2955"/>
      <c r="K528" s="2955">
        <f>UnosPorBilans!W235</f>
        <v>0</v>
      </c>
      <c r="L528" s="2955"/>
      <c r="M528" s="2955"/>
      <c r="N528" s="2955"/>
      <c r="O528" s="2955"/>
      <c r="P528" s="2955"/>
      <c r="Q528" s="2955"/>
      <c r="R528" s="2955"/>
      <c r="S528" s="2955"/>
      <c r="T528" s="2955"/>
      <c r="U528" s="2955"/>
      <c r="V528" s="2955">
        <f>UnosPorBilans!AB235</f>
        <v>0</v>
      </c>
      <c r="W528" s="2955"/>
      <c r="X528" s="2955"/>
      <c r="Y528" s="2955"/>
      <c r="Z528" s="2955"/>
      <c r="AA528" s="2955"/>
      <c r="AB528" s="2955"/>
      <c r="AC528" s="2955"/>
      <c r="AD528" s="2955"/>
      <c r="AE528" s="2955"/>
      <c r="AF528" s="2955"/>
      <c r="AG528" s="2955">
        <f>UnosPorBilans!AG235</f>
        <v>0</v>
      </c>
      <c r="AH528" s="2955"/>
      <c r="AI528" s="2955"/>
      <c r="AJ528" s="2955"/>
      <c r="AK528" s="2955"/>
      <c r="AL528" s="2955"/>
      <c r="AM528" s="2955"/>
      <c r="AN528" s="2955"/>
      <c r="AO528" s="2955"/>
      <c r="AP528" s="2955"/>
    </row>
    <row r="529" s="799" customFormat="1" ht="12.75" hidden="1" customHeight="1" spans="1:126">
      <c r="A529" s="2952" t="s">
        <v>6947</v>
      </c>
      <c r="B529" s="2952"/>
      <c r="C529" s="2952"/>
      <c r="D529" s="2952"/>
      <c r="E529" s="2952"/>
      <c r="F529" s="2952"/>
      <c r="G529" s="2952"/>
      <c r="H529" s="2952"/>
      <c r="I529" s="2952"/>
      <c r="J529" s="2952"/>
      <c r="K529" s="2952"/>
      <c r="L529" s="2952"/>
      <c r="M529" s="2952"/>
      <c r="N529" s="2952"/>
      <c r="O529" s="2952"/>
      <c r="P529" s="2952"/>
      <c r="Q529" s="2952"/>
      <c r="R529" s="2952"/>
      <c r="S529" s="2952"/>
      <c r="T529" s="2952"/>
      <c r="U529" s="2952"/>
      <c r="V529" s="2952" t="s">
        <v>6948</v>
      </c>
      <c r="W529" s="2952"/>
      <c r="X529" s="2952"/>
      <c r="Y529" s="2952"/>
      <c r="Z529" s="2952"/>
      <c r="AA529" s="2952"/>
      <c r="AB529" s="2952"/>
      <c r="AC529" s="2952"/>
      <c r="AD529" s="2952"/>
      <c r="AE529" s="2952"/>
      <c r="AF529" s="2952"/>
      <c r="AG529" s="2952"/>
      <c r="AH529" s="2952"/>
      <c r="AI529" s="2952"/>
      <c r="AJ529" s="2952"/>
      <c r="AK529" s="2952"/>
      <c r="AL529" s="2952"/>
      <c r="AM529" s="2952"/>
      <c r="AN529" s="2952"/>
      <c r="AO529" s="2952"/>
      <c r="AP529" s="2952"/>
    </row>
    <row r="530" s="799" customFormat="1" ht="12.75" hidden="1" customHeight="1" spans="1:126">
      <c r="A530" s="2955">
        <f>UnosPorBilans!AL235</f>
        <v>0</v>
      </c>
      <c r="B530" s="2955"/>
      <c r="C530" s="2955"/>
      <c r="D530" s="2955"/>
      <c r="E530" s="2955"/>
      <c r="F530" s="2955"/>
      <c r="G530" s="2955"/>
      <c r="H530" s="2955"/>
      <c r="I530" s="2955"/>
      <c r="J530" s="2955"/>
      <c r="K530" s="2955"/>
      <c r="L530" s="2955"/>
      <c r="M530" s="2955"/>
      <c r="N530" s="2955"/>
      <c r="O530" s="2955"/>
      <c r="P530" s="2955"/>
      <c r="Q530" s="2955"/>
      <c r="R530" s="2955"/>
      <c r="S530" s="2955"/>
      <c r="T530" s="2955"/>
      <c r="U530" s="2955"/>
      <c r="V530" s="2955">
        <f>UnosPorBilans!AS235</f>
        <v>0</v>
      </c>
      <c r="W530" s="2955"/>
      <c r="X530" s="2955"/>
      <c r="Y530" s="2955"/>
      <c r="Z530" s="2955"/>
      <c r="AA530" s="2955"/>
      <c r="AB530" s="2955"/>
      <c r="AC530" s="2955"/>
      <c r="AD530" s="2955"/>
      <c r="AE530" s="2955"/>
      <c r="AF530" s="2955"/>
      <c r="AG530" s="2955"/>
      <c r="AH530" s="2955"/>
      <c r="AI530" s="2955"/>
      <c r="AJ530" s="2955"/>
      <c r="AK530" s="2955"/>
      <c r="AL530" s="2955"/>
      <c r="AM530" s="2955"/>
      <c r="AN530" s="2955"/>
      <c r="AO530" s="2955"/>
      <c r="AP530" s="2955"/>
    </row>
    <row r="531" s="799" customFormat="1" ht="14.25" hidden="1" customHeight="1" spans="1:126">
      <c r="A531" s="2954"/>
      <c r="B531" s="2954"/>
      <c r="C531" s="2954"/>
      <c r="D531" s="2954"/>
      <c r="E531" s="2954"/>
      <c r="F531" s="2954"/>
      <c r="G531" s="2954"/>
      <c r="H531" s="2954"/>
      <c r="I531" s="2954"/>
      <c r="J531" s="2954"/>
      <c r="K531" s="2954"/>
      <c r="L531" s="2954"/>
      <c r="M531" s="2954"/>
      <c r="N531" s="2954"/>
      <c r="O531" s="2954"/>
      <c r="P531" s="2954"/>
      <c r="Q531" s="2954"/>
      <c r="R531" s="2954"/>
      <c r="S531" s="2954"/>
      <c r="T531" s="2954"/>
      <c r="U531" s="2954"/>
      <c r="V531" s="2954"/>
      <c r="W531" s="2954"/>
      <c r="X531" s="2954"/>
      <c r="Y531" s="2954"/>
      <c r="Z531" s="2954"/>
      <c r="AA531" s="2954"/>
      <c r="AB531" s="2954"/>
      <c r="AC531" s="2954"/>
      <c r="AD531" s="2954"/>
      <c r="AE531" s="2954"/>
      <c r="AF531" s="2954"/>
      <c r="AG531" s="2954"/>
      <c r="AH531" s="2954"/>
      <c r="AI531" s="2954"/>
      <c r="AJ531" s="2954"/>
      <c r="AK531" s="2954"/>
      <c r="AL531" s="2954"/>
      <c r="AM531" s="2954"/>
      <c r="AN531" s="2954"/>
      <c r="AO531" s="2954"/>
      <c r="AP531" s="2954"/>
      <c r="AQ531" s="2954"/>
      <c r="AR531" s="2954"/>
      <c r="AS531" s="2954"/>
      <c r="AT531" s="2954"/>
      <c r="AU531" s="2954"/>
      <c r="AV531" s="2954"/>
      <c r="AW531" s="2954"/>
      <c r="AX531" s="2954"/>
      <c r="AY531" s="2954"/>
      <c r="AZ531" s="2954"/>
      <c r="BA531" s="2954"/>
      <c r="BB531" s="2954"/>
      <c r="BC531" s="2954"/>
      <c r="BD531" s="2954"/>
      <c r="BE531" s="2954"/>
      <c r="BF531" s="2954"/>
      <c r="BG531" s="2954"/>
      <c r="BH531" s="2954"/>
      <c r="BI531" s="2954"/>
      <c r="BJ531" s="2954"/>
      <c r="BK531" s="2954"/>
      <c r="BL531" s="2954"/>
      <c r="BM531" s="2954"/>
      <c r="BN531" s="2954"/>
      <c r="BO531" s="2954"/>
      <c r="BP531" s="2954"/>
      <c r="BQ531" s="2954"/>
      <c r="BR531" s="2954"/>
      <c r="BS531" s="2954"/>
      <c r="BT531" s="2954"/>
      <c r="BU531" s="2954"/>
      <c r="BV531" s="2954"/>
      <c r="BW531" s="2954"/>
      <c r="BX531" s="2954"/>
      <c r="BY531" s="2954"/>
      <c r="BZ531" s="2954"/>
      <c r="CA531" s="2954"/>
      <c r="CB531" s="2954"/>
      <c r="CC531" s="2954"/>
      <c r="CD531" s="2954"/>
      <c r="CE531" s="2954"/>
      <c r="CF531" s="2954"/>
      <c r="CG531" s="2954"/>
      <c r="CH531" s="2954"/>
      <c r="CI531" s="2954"/>
      <c r="CJ531" s="2954"/>
      <c r="CK531" s="2954"/>
      <c r="CL531" s="2954"/>
      <c r="CM531" s="2954"/>
      <c r="CN531" s="2954"/>
      <c r="CO531" s="2954"/>
      <c r="CP531" s="2954"/>
      <c r="CQ531" s="2954"/>
      <c r="CR531" s="2954"/>
      <c r="CS531" s="2954"/>
      <c r="CT531" s="2954"/>
      <c r="CU531" s="2954"/>
      <c r="CV531" s="2954"/>
      <c r="CW531" s="2954"/>
      <c r="CX531" s="2954"/>
      <c r="CY531" s="2954"/>
      <c r="CZ531" s="2954"/>
      <c r="DA531" s="2954"/>
      <c r="DB531" s="2954"/>
      <c r="DC531" s="2954"/>
      <c r="DD531" s="2954"/>
      <c r="DE531" s="2954"/>
      <c r="DF531" s="2954"/>
      <c r="DG531" s="2954"/>
      <c r="DH531" s="2954"/>
      <c r="DI531" s="2954"/>
      <c r="DJ531" s="2954"/>
      <c r="DK531" s="2954"/>
      <c r="DL531" s="2954"/>
      <c r="DM531" s="2954"/>
      <c r="DN531" s="2954"/>
      <c r="DO531" s="2954"/>
      <c r="DP531" s="2954"/>
      <c r="DQ531" s="2954"/>
      <c r="DR531" s="2954"/>
      <c r="DS531" s="2954"/>
      <c r="DT531" s="2954"/>
      <c r="DU531" s="2954"/>
      <c r="DV531" s="2954"/>
    </row>
    <row r="532" s="799" customFormat="1" ht="14.25" hidden="1" customHeight="1" spans="1:126">
      <c r="A532" s="2952" t="s">
        <v>4214</v>
      </c>
      <c r="B532" s="2952"/>
      <c r="C532" s="2952" t="s">
        <v>6940</v>
      </c>
      <c r="D532" s="2952"/>
      <c r="E532" s="2952"/>
      <c r="F532" s="2952"/>
      <c r="G532" s="2952"/>
      <c r="H532" s="2952"/>
      <c r="I532" s="2952"/>
      <c r="J532" s="2952"/>
      <c r="K532" s="2952"/>
      <c r="L532" s="2952"/>
      <c r="M532" s="2952"/>
      <c r="N532" s="2952"/>
      <c r="O532" s="2952"/>
      <c r="P532" s="2952"/>
      <c r="Q532" s="2952"/>
      <c r="R532" s="2952"/>
      <c r="S532" s="2952"/>
      <c r="T532" s="2952"/>
      <c r="U532" s="2952"/>
      <c r="V532" s="2952" t="s">
        <v>6941</v>
      </c>
      <c r="W532" s="2952"/>
      <c r="X532" s="2952"/>
      <c r="Y532" s="2952"/>
      <c r="Z532" s="2952"/>
      <c r="AA532" s="2952"/>
      <c r="AB532" s="2952"/>
      <c r="AC532" s="2952"/>
      <c r="AD532" s="2952"/>
      <c r="AE532" s="2952"/>
      <c r="AF532" s="2952"/>
      <c r="AG532" s="2952" t="s">
        <v>6942</v>
      </c>
      <c r="AH532" s="2952"/>
      <c r="AI532" s="2952"/>
      <c r="AJ532" s="2952"/>
      <c r="AK532" s="2952"/>
      <c r="AL532" s="2952"/>
      <c r="AM532" s="2952"/>
      <c r="AN532" s="2952"/>
      <c r="AO532" s="2952"/>
      <c r="AP532" s="2952"/>
    </row>
    <row r="533" s="799" customFormat="1" ht="12.75" hidden="1" customHeight="1" spans="1:126">
      <c r="A533" s="2955">
        <f>UnosPorBilans!B236</f>
        <v>0</v>
      </c>
      <c r="B533" s="2955"/>
      <c r="C533" s="2955"/>
      <c r="D533" s="2955"/>
      <c r="E533" s="2955"/>
      <c r="F533" s="2955"/>
      <c r="G533" s="2955"/>
      <c r="H533" s="2955"/>
      <c r="I533" s="2955"/>
      <c r="J533" s="2955"/>
      <c r="K533" s="2955"/>
      <c r="L533" s="2955"/>
      <c r="M533" s="2955"/>
      <c r="N533" s="2955"/>
      <c r="O533" s="2955"/>
      <c r="P533" s="2955"/>
      <c r="Q533" s="2955"/>
      <c r="R533" s="2955"/>
      <c r="S533" s="2955"/>
      <c r="T533" s="2955"/>
      <c r="U533" s="2955"/>
      <c r="V533" s="2955">
        <f>UnosPorBilans!I236</f>
        <v>0</v>
      </c>
      <c r="W533" s="2955"/>
      <c r="X533" s="2955"/>
      <c r="Y533" s="2955"/>
      <c r="Z533" s="2955"/>
      <c r="AA533" s="2955"/>
      <c r="AB533" s="2955"/>
      <c r="AC533" s="2955"/>
      <c r="AD533" s="2955"/>
      <c r="AE533" s="2955"/>
      <c r="AF533" s="2955"/>
      <c r="AG533" s="2955">
        <f>UnosPorBilans!N236</f>
        <v>0</v>
      </c>
      <c r="AH533" s="2955"/>
      <c r="AI533" s="2955"/>
      <c r="AJ533" s="2955"/>
      <c r="AK533" s="2955"/>
      <c r="AL533" s="2955"/>
      <c r="AM533" s="2955"/>
      <c r="AN533" s="2955"/>
      <c r="AO533" s="2955"/>
      <c r="AP533" s="2955"/>
    </row>
    <row r="534" s="799" customFormat="1" ht="12.75" hidden="1" customHeight="1" spans="1:126">
      <c r="A534" s="2952" t="s">
        <v>6943</v>
      </c>
      <c r="B534" s="2952"/>
      <c r="C534" s="2952"/>
      <c r="D534" s="2952"/>
      <c r="E534" s="2952"/>
      <c r="F534" s="2952"/>
      <c r="G534" s="2952"/>
      <c r="H534" s="2952"/>
      <c r="I534" s="2952"/>
      <c r="J534" s="2952"/>
      <c r="K534" s="2952" t="s">
        <v>6944</v>
      </c>
      <c r="L534" s="2952"/>
      <c r="M534" s="2952"/>
      <c r="N534" s="2952"/>
      <c r="O534" s="2952"/>
      <c r="P534" s="2952"/>
      <c r="Q534" s="2952"/>
      <c r="R534" s="2952"/>
      <c r="S534" s="2952"/>
      <c r="T534" s="2952"/>
      <c r="U534" s="2952"/>
      <c r="V534" s="2952" t="s">
        <v>6945</v>
      </c>
      <c r="W534" s="2952"/>
      <c r="X534" s="2952"/>
      <c r="Y534" s="2952"/>
      <c r="Z534" s="2952"/>
      <c r="AA534" s="2952"/>
      <c r="AB534" s="2952"/>
      <c r="AC534" s="2952"/>
      <c r="AD534" s="2952"/>
      <c r="AE534" s="2952"/>
      <c r="AF534" s="2952"/>
      <c r="AG534" s="2952" t="s">
        <v>6946</v>
      </c>
      <c r="AH534" s="2952"/>
      <c r="AI534" s="2952"/>
      <c r="AJ534" s="2952"/>
      <c r="AK534" s="2952"/>
      <c r="AL534" s="2952"/>
      <c r="AM534" s="2952"/>
      <c r="AN534" s="2952"/>
      <c r="AO534" s="2952"/>
      <c r="AP534" s="2952"/>
    </row>
    <row r="535" s="799" customFormat="1" ht="12.75" hidden="1" customHeight="1" spans="1:126">
      <c r="A535" s="2955">
        <f>UnosPorBilans!S236</f>
        <v>0</v>
      </c>
      <c r="B535" s="2955"/>
      <c r="C535" s="2955"/>
      <c r="D535" s="2955"/>
      <c r="E535" s="2955"/>
      <c r="F535" s="2955"/>
      <c r="G535" s="2955"/>
      <c r="H535" s="2955"/>
      <c r="I535" s="2955"/>
      <c r="J535" s="2955"/>
      <c r="K535" s="2955">
        <f>UnosPorBilans!W236</f>
        <v>0</v>
      </c>
      <c r="L535" s="2955"/>
      <c r="M535" s="2955"/>
      <c r="N535" s="2955"/>
      <c r="O535" s="2955"/>
      <c r="P535" s="2955"/>
      <c r="Q535" s="2955"/>
      <c r="R535" s="2955"/>
      <c r="S535" s="2955"/>
      <c r="T535" s="2955"/>
      <c r="U535" s="2955"/>
      <c r="V535" s="2955">
        <f>UnosPorBilans!AB236</f>
        <v>0</v>
      </c>
      <c r="W535" s="2955"/>
      <c r="X535" s="2955"/>
      <c r="Y535" s="2955"/>
      <c r="Z535" s="2955"/>
      <c r="AA535" s="2955"/>
      <c r="AB535" s="2955"/>
      <c r="AC535" s="2955"/>
      <c r="AD535" s="2955"/>
      <c r="AE535" s="2955"/>
      <c r="AF535" s="2955"/>
      <c r="AG535" s="2955">
        <f>UnosPorBilans!AG236</f>
        <v>0</v>
      </c>
      <c r="AH535" s="2955"/>
      <c r="AI535" s="2955"/>
      <c r="AJ535" s="2955"/>
      <c r="AK535" s="2955"/>
      <c r="AL535" s="2955"/>
      <c r="AM535" s="2955"/>
      <c r="AN535" s="2955"/>
      <c r="AO535" s="2955"/>
      <c r="AP535" s="2955"/>
    </row>
    <row r="536" s="799" customFormat="1" ht="12.75" hidden="1" customHeight="1" spans="1:126">
      <c r="A536" s="2952" t="s">
        <v>6947</v>
      </c>
      <c r="B536" s="2952"/>
      <c r="C536" s="2952"/>
      <c r="D536" s="2952"/>
      <c r="E536" s="2952"/>
      <c r="F536" s="2952"/>
      <c r="G536" s="2952"/>
      <c r="H536" s="2952"/>
      <c r="I536" s="2952"/>
      <c r="J536" s="2952"/>
      <c r="K536" s="2952"/>
      <c r="L536" s="2952"/>
      <c r="M536" s="2952"/>
      <c r="N536" s="2952"/>
      <c r="O536" s="2952"/>
      <c r="P536" s="2952"/>
      <c r="Q536" s="2952"/>
      <c r="R536" s="2952"/>
      <c r="S536" s="2952"/>
      <c r="T536" s="2952"/>
      <c r="U536" s="2952"/>
      <c r="V536" s="2952" t="s">
        <v>6948</v>
      </c>
      <c r="W536" s="2952"/>
      <c r="X536" s="2952"/>
      <c r="Y536" s="2952"/>
      <c r="Z536" s="2952"/>
      <c r="AA536" s="2952"/>
      <c r="AB536" s="2952"/>
      <c r="AC536" s="2952"/>
      <c r="AD536" s="2952"/>
      <c r="AE536" s="2952"/>
      <c r="AF536" s="2952"/>
      <c r="AG536" s="2952"/>
      <c r="AH536" s="2952"/>
      <c r="AI536" s="2952"/>
      <c r="AJ536" s="2952"/>
      <c r="AK536" s="2952"/>
      <c r="AL536" s="2952"/>
      <c r="AM536" s="2952"/>
      <c r="AN536" s="2952"/>
      <c r="AO536" s="2952"/>
      <c r="AP536" s="2952"/>
    </row>
    <row r="537" s="799" customFormat="1" ht="12.75" hidden="1" customHeight="1" spans="1:126">
      <c r="A537" s="2955">
        <f>UnosPorBilans!AL236</f>
        <v>0</v>
      </c>
      <c r="B537" s="2955"/>
      <c r="C537" s="2955"/>
      <c r="D537" s="2955"/>
      <c r="E537" s="2955"/>
      <c r="F537" s="2955"/>
      <c r="G537" s="2955"/>
      <c r="H537" s="2955"/>
      <c r="I537" s="2955"/>
      <c r="J537" s="2955"/>
      <c r="K537" s="2955"/>
      <c r="L537" s="2955"/>
      <c r="M537" s="2955"/>
      <c r="N537" s="2955"/>
      <c r="O537" s="2955"/>
      <c r="P537" s="2955"/>
      <c r="Q537" s="2955"/>
      <c r="R537" s="2955"/>
      <c r="S537" s="2955"/>
      <c r="T537" s="2955"/>
      <c r="U537" s="2955"/>
      <c r="V537" s="2955">
        <f>UnosPorBilans!AS236</f>
        <v>0</v>
      </c>
      <c r="W537" s="2955"/>
      <c r="X537" s="2955"/>
      <c r="Y537" s="2955"/>
      <c r="Z537" s="2955"/>
      <c r="AA537" s="2955"/>
      <c r="AB537" s="2955"/>
      <c r="AC537" s="2955"/>
      <c r="AD537" s="2955"/>
      <c r="AE537" s="2955"/>
      <c r="AF537" s="2955"/>
      <c r="AG537" s="2955"/>
      <c r="AH537" s="2955"/>
      <c r="AI537" s="2955"/>
      <c r="AJ537" s="2955"/>
      <c r="AK537" s="2955"/>
      <c r="AL537" s="2955"/>
      <c r="AM537" s="2955"/>
      <c r="AN537" s="2955"/>
      <c r="AO537" s="2955"/>
      <c r="AP537" s="2955"/>
    </row>
    <row r="538" s="799" customFormat="1" ht="14.25" hidden="1" customHeight="1" spans="1:126">
      <c r="A538" s="2954"/>
      <c r="B538" s="2954"/>
      <c r="C538" s="2954"/>
      <c r="D538" s="2954"/>
      <c r="E538" s="2954"/>
      <c r="F538" s="2954"/>
      <c r="G538" s="2954"/>
      <c r="H538" s="2954"/>
      <c r="I538" s="2954"/>
      <c r="J538" s="2954"/>
      <c r="K538" s="2954"/>
      <c r="L538" s="2954"/>
      <c r="M538" s="2954"/>
      <c r="N538" s="2954"/>
      <c r="O538" s="2954"/>
      <c r="P538" s="2954"/>
      <c r="Q538" s="2954"/>
      <c r="R538" s="2954"/>
      <c r="S538" s="2954"/>
      <c r="T538" s="2954"/>
      <c r="U538" s="2954"/>
      <c r="V538" s="2954"/>
      <c r="W538" s="2954"/>
      <c r="X538" s="2954"/>
      <c r="Y538" s="2954"/>
      <c r="Z538" s="2954"/>
      <c r="AA538" s="2954"/>
      <c r="AB538" s="2954"/>
      <c r="AC538" s="2954"/>
      <c r="AD538" s="2954"/>
      <c r="AE538" s="2954"/>
      <c r="AF538" s="2954"/>
      <c r="AG538" s="2954"/>
      <c r="AH538" s="2954"/>
      <c r="AI538" s="2954"/>
      <c r="AJ538" s="2954"/>
      <c r="AK538" s="2954"/>
      <c r="AL538" s="2954"/>
      <c r="AM538" s="2954"/>
      <c r="AN538" s="2954"/>
      <c r="AO538" s="2954"/>
      <c r="AP538" s="2954"/>
      <c r="AQ538" s="2954"/>
      <c r="AR538" s="2954"/>
      <c r="AS538" s="2954"/>
      <c r="AT538" s="2954"/>
      <c r="AU538" s="2954"/>
      <c r="AV538" s="2954"/>
      <c r="AW538" s="2954"/>
      <c r="AX538" s="2954"/>
      <c r="AY538" s="2954"/>
      <c r="AZ538" s="2954"/>
      <c r="BA538" s="2954"/>
      <c r="BB538" s="2954"/>
      <c r="BC538" s="2954"/>
      <c r="BD538" s="2954"/>
      <c r="BE538" s="2954"/>
      <c r="BF538" s="2954"/>
      <c r="BG538" s="2954"/>
      <c r="BH538" s="2954"/>
      <c r="BI538" s="2954"/>
      <c r="BJ538" s="2954"/>
      <c r="BK538" s="2954"/>
      <c r="BL538" s="2954"/>
      <c r="BM538" s="2954"/>
      <c r="BN538" s="2954"/>
      <c r="BO538" s="2954"/>
      <c r="BP538" s="2954"/>
      <c r="BQ538" s="2954"/>
      <c r="BR538" s="2954"/>
      <c r="BS538" s="2954"/>
      <c r="BT538" s="2954"/>
      <c r="BU538" s="2954"/>
      <c r="BV538" s="2954"/>
      <c r="BW538" s="2954"/>
      <c r="BX538" s="2954"/>
      <c r="BY538" s="2954"/>
      <c r="BZ538" s="2954"/>
      <c r="CA538" s="2954"/>
      <c r="CB538" s="2954"/>
      <c r="CC538" s="2954"/>
      <c r="CD538" s="2954"/>
      <c r="CE538" s="2954"/>
      <c r="CF538" s="2954"/>
      <c r="CG538" s="2954"/>
      <c r="CH538" s="2954"/>
      <c r="CI538" s="2954"/>
      <c r="CJ538" s="2954"/>
      <c r="CK538" s="2954"/>
      <c r="CL538" s="2954"/>
      <c r="CM538" s="2954"/>
      <c r="CN538" s="2954"/>
      <c r="CO538" s="2954"/>
      <c r="CP538" s="2954"/>
      <c r="CQ538" s="2954"/>
      <c r="CR538" s="2954"/>
      <c r="CS538" s="2954"/>
      <c r="CT538" s="2954"/>
      <c r="CU538" s="2954"/>
      <c r="CV538" s="2954"/>
      <c r="CW538" s="2954"/>
      <c r="CX538" s="2954"/>
      <c r="CY538" s="2954"/>
      <c r="CZ538" s="2954"/>
      <c r="DA538" s="2954"/>
      <c r="DB538" s="2954"/>
      <c r="DC538" s="2954"/>
      <c r="DD538" s="2954"/>
      <c r="DE538" s="2954"/>
      <c r="DF538" s="2954"/>
      <c r="DG538" s="2954"/>
      <c r="DH538" s="2954"/>
      <c r="DI538" s="2954"/>
      <c r="DJ538" s="2954"/>
      <c r="DK538" s="2954"/>
      <c r="DL538" s="2954"/>
      <c r="DM538" s="2954"/>
      <c r="DN538" s="2954"/>
      <c r="DO538" s="2954"/>
      <c r="DP538" s="2954"/>
      <c r="DQ538" s="2954"/>
      <c r="DR538" s="2954"/>
      <c r="DS538" s="2954"/>
      <c r="DT538" s="2954"/>
      <c r="DU538" s="2954"/>
      <c r="DV538" s="2954"/>
    </row>
    <row r="539" s="799" customFormat="1" ht="14.25" hidden="1" customHeight="1" spans="1:126">
      <c r="A539" s="2952" t="s">
        <v>4214</v>
      </c>
      <c r="B539" s="2952"/>
      <c r="C539" s="2952" t="s">
        <v>6940</v>
      </c>
      <c r="D539" s="2952"/>
      <c r="E539" s="2952"/>
      <c r="F539" s="2952"/>
      <c r="G539" s="2952"/>
      <c r="H539" s="2952"/>
      <c r="I539" s="2952"/>
      <c r="J539" s="2952"/>
      <c r="K539" s="2952"/>
      <c r="L539" s="2952"/>
      <c r="M539" s="2952"/>
      <c r="N539" s="2952"/>
      <c r="O539" s="2952"/>
      <c r="P539" s="2952"/>
      <c r="Q539" s="2952"/>
      <c r="R539" s="2952"/>
      <c r="S539" s="2952"/>
      <c r="T539" s="2952"/>
      <c r="U539" s="2952"/>
      <c r="V539" s="2952" t="s">
        <v>6941</v>
      </c>
      <c r="W539" s="2952"/>
      <c r="X539" s="2952"/>
      <c r="Y539" s="2952"/>
      <c r="Z539" s="2952"/>
      <c r="AA539" s="2952"/>
      <c r="AB539" s="2952"/>
      <c r="AC539" s="2952"/>
      <c r="AD539" s="2952"/>
      <c r="AE539" s="2952"/>
      <c r="AF539" s="2952"/>
      <c r="AG539" s="2952" t="s">
        <v>6942</v>
      </c>
      <c r="AH539" s="2952"/>
      <c r="AI539" s="2952"/>
      <c r="AJ539" s="2952"/>
      <c r="AK539" s="2952"/>
      <c r="AL539" s="2952"/>
      <c r="AM539" s="2952"/>
      <c r="AN539" s="2952"/>
      <c r="AO539" s="2952"/>
      <c r="AP539" s="2952"/>
    </row>
    <row r="540" s="799" customFormat="1" ht="12.75" hidden="1" customHeight="1" spans="1:126">
      <c r="A540" s="2955">
        <f>UnosPorBilans!B237</f>
        <v>0</v>
      </c>
      <c r="B540" s="2955"/>
      <c r="C540" s="2955"/>
      <c r="D540" s="2955"/>
      <c r="E540" s="2955"/>
      <c r="F540" s="2955"/>
      <c r="G540" s="2955"/>
      <c r="H540" s="2955"/>
      <c r="I540" s="2955"/>
      <c r="J540" s="2955"/>
      <c r="K540" s="2955"/>
      <c r="L540" s="2955"/>
      <c r="M540" s="2955"/>
      <c r="N540" s="2955"/>
      <c r="O540" s="2955"/>
      <c r="P540" s="2955"/>
      <c r="Q540" s="2955"/>
      <c r="R540" s="2955"/>
      <c r="S540" s="2955"/>
      <c r="T540" s="2955"/>
      <c r="U540" s="2955"/>
      <c r="V540" s="2955">
        <f>UnosPorBilans!I237</f>
        <v>0</v>
      </c>
      <c r="W540" s="2955"/>
      <c r="X540" s="2955"/>
      <c r="Y540" s="2955"/>
      <c r="Z540" s="2955"/>
      <c r="AA540" s="2955"/>
      <c r="AB540" s="2955"/>
      <c r="AC540" s="2955"/>
      <c r="AD540" s="2955"/>
      <c r="AE540" s="2955"/>
      <c r="AF540" s="2955"/>
      <c r="AG540" s="2955">
        <f>UnosPorBilans!N237</f>
        <v>0</v>
      </c>
      <c r="AH540" s="2955"/>
      <c r="AI540" s="2955"/>
      <c r="AJ540" s="2955"/>
      <c r="AK540" s="2955"/>
      <c r="AL540" s="2955"/>
      <c r="AM540" s="2955"/>
      <c r="AN540" s="2955"/>
      <c r="AO540" s="2955"/>
      <c r="AP540" s="2955"/>
    </row>
    <row r="541" s="799" customFormat="1" ht="12.75" hidden="1" customHeight="1" spans="1:126">
      <c r="A541" s="2952" t="s">
        <v>6943</v>
      </c>
      <c r="B541" s="2952"/>
      <c r="C541" s="2952"/>
      <c r="D541" s="2952"/>
      <c r="E541" s="2952"/>
      <c r="F541" s="2952"/>
      <c r="G541" s="2952"/>
      <c r="H541" s="2952"/>
      <c r="I541" s="2952"/>
      <c r="J541" s="2952"/>
      <c r="K541" s="2952" t="s">
        <v>6944</v>
      </c>
      <c r="L541" s="2952"/>
      <c r="M541" s="2952"/>
      <c r="N541" s="2952"/>
      <c r="O541" s="2952"/>
      <c r="P541" s="2952"/>
      <c r="Q541" s="2952"/>
      <c r="R541" s="2952"/>
      <c r="S541" s="2952"/>
      <c r="T541" s="2952"/>
      <c r="U541" s="2952"/>
      <c r="V541" s="2952" t="s">
        <v>6945</v>
      </c>
      <c r="W541" s="2952"/>
      <c r="X541" s="2952"/>
      <c r="Y541" s="2952"/>
      <c r="Z541" s="2952"/>
      <c r="AA541" s="2952"/>
      <c r="AB541" s="2952"/>
      <c r="AC541" s="2952"/>
      <c r="AD541" s="2952"/>
      <c r="AE541" s="2952"/>
      <c r="AF541" s="2952"/>
      <c r="AG541" s="2952" t="s">
        <v>6946</v>
      </c>
      <c r="AH541" s="2952"/>
      <c r="AI541" s="2952"/>
      <c r="AJ541" s="2952"/>
      <c r="AK541" s="2952"/>
      <c r="AL541" s="2952"/>
      <c r="AM541" s="2952"/>
      <c r="AN541" s="2952"/>
      <c r="AO541" s="2952"/>
      <c r="AP541" s="2952"/>
    </row>
    <row r="542" s="799" customFormat="1" ht="12.75" hidden="1" customHeight="1" spans="1:126">
      <c r="A542" s="2955">
        <f>UnosPorBilans!S237</f>
        <v>0</v>
      </c>
      <c r="B542" s="2955"/>
      <c r="C542" s="2955"/>
      <c r="D542" s="2955"/>
      <c r="E542" s="2955"/>
      <c r="F542" s="2955"/>
      <c r="G542" s="2955"/>
      <c r="H542" s="2955"/>
      <c r="I542" s="2955"/>
      <c r="J542" s="2955"/>
      <c r="K542" s="2955">
        <f>UnosPorBilans!W237</f>
        <v>0</v>
      </c>
      <c r="L542" s="2955"/>
      <c r="M542" s="2955"/>
      <c r="N542" s="2955"/>
      <c r="O542" s="2955"/>
      <c r="P542" s="2955"/>
      <c r="Q542" s="2955"/>
      <c r="R542" s="2955"/>
      <c r="S542" s="2955"/>
      <c r="T542" s="2955"/>
      <c r="U542" s="2955"/>
      <c r="V542" s="2955">
        <f>UnosPorBilans!AB237</f>
        <v>0</v>
      </c>
      <c r="W542" s="2955"/>
      <c r="X542" s="2955"/>
      <c r="Y542" s="2955"/>
      <c r="Z542" s="2955"/>
      <c r="AA542" s="2955"/>
      <c r="AB542" s="2955"/>
      <c r="AC542" s="2955"/>
      <c r="AD542" s="2955"/>
      <c r="AE542" s="2955"/>
      <c r="AF542" s="2955"/>
      <c r="AG542" s="2955">
        <f>UnosPorBilans!AG237</f>
        <v>0</v>
      </c>
      <c r="AH542" s="2955"/>
      <c r="AI542" s="2955"/>
      <c r="AJ542" s="2955"/>
      <c r="AK542" s="2955"/>
      <c r="AL542" s="2955"/>
      <c r="AM542" s="2955"/>
      <c r="AN542" s="2955"/>
      <c r="AO542" s="2955"/>
      <c r="AP542" s="2955"/>
    </row>
    <row r="543" s="799" customFormat="1" ht="12.75" hidden="1" customHeight="1" spans="1:126">
      <c r="A543" s="2952" t="s">
        <v>6947</v>
      </c>
      <c r="B543" s="2952"/>
      <c r="C543" s="2952"/>
      <c r="D543" s="2952"/>
      <c r="E543" s="2952"/>
      <c r="F543" s="2952"/>
      <c r="G543" s="2952"/>
      <c r="H543" s="2952"/>
      <c r="I543" s="2952"/>
      <c r="J543" s="2952"/>
      <c r="K543" s="2952"/>
      <c r="L543" s="2952"/>
      <c r="M543" s="2952"/>
      <c r="N543" s="2952"/>
      <c r="O543" s="2952"/>
      <c r="P543" s="2952"/>
      <c r="Q543" s="2952"/>
      <c r="R543" s="2952"/>
      <c r="S543" s="2952"/>
      <c r="T543" s="2952"/>
      <c r="U543" s="2952"/>
      <c r="V543" s="2952" t="s">
        <v>6948</v>
      </c>
      <c r="W543" s="2952"/>
      <c r="X543" s="2952"/>
      <c r="Y543" s="2952"/>
      <c r="Z543" s="2952"/>
      <c r="AA543" s="2952"/>
      <c r="AB543" s="2952"/>
      <c r="AC543" s="2952"/>
      <c r="AD543" s="2952"/>
      <c r="AE543" s="2952"/>
      <c r="AF543" s="2952"/>
      <c r="AG543" s="2952"/>
      <c r="AH543" s="2952"/>
      <c r="AI543" s="2952"/>
      <c r="AJ543" s="2952"/>
      <c r="AK543" s="2952"/>
      <c r="AL543" s="2952"/>
      <c r="AM543" s="2952"/>
      <c r="AN543" s="2952"/>
      <c r="AO543" s="2952"/>
      <c r="AP543" s="2952"/>
    </row>
    <row r="544" s="799" customFormat="1" ht="12.75" hidden="1" customHeight="1" spans="1:126">
      <c r="A544" s="2955">
        <f>UnosPorBilans!AL237</f>
        <v>0</v>
      </c>
      <c r="B544" s="2955"/>
      <c r="C544" s="2955"/>
      <c r="D544" s="2955"/>
      <c r="E544" s="2955"/>
      <c r="F544" s="2955"/>
      <c r="G544" s="2955"/>
      <c r="H544" s="2955"/>
      <c r="I544" s="2955"/>
      <c r="J544" s="2955"/>
      <c r="K544" s="2955"/>
      <c r="L544" s="2955"/>
      <c r="M544" s="2955"/>
      <c r="N544" s="2955"/>
      <c r="O544" s="2955"/>
      <c r="P544" s="2955"/>
      <c r="Q544" s="2955"/>
      <c r="R544" s="2955"/>
      <c r="S544" s="2955"/>
      <c r="T544" s="2955"/>
      <c r="U544" s="2955"/>
      <c r="V544" s="2955">
        <f>UnosPorBilans!AS237</f>
        <v>0</v>
      </c>
      <c r="W544" s="2955"/>
      <c r="X544" s="2955"/>
      <c r="Y544" s="2955"/>
      <c r="Z544" s="2955"/>
      <c r="AA544" s="2955"/>
      <c r="AB544" s="2955"/>
      <c r="AC544" s="2955"/>
      <c r="AD544" s="2955"/>
      <c r="AE544" s="2955"/>
      <c r="AF544" s="2955"/>
      <c r="AG544" s="2955"/>
      <c r="AH544" s="2955"/>
      <c r="AI544" s="2955"/>
      <c r="AJ544" s="2955"/>
      <c r="AK544" s="2955"/>
      <c r="AL544" s="2955"/>
      <c r="AM544" s="2955"/>
      <c r="AN544" s="2955"/>
      <c r="AO544" s="2955"/>
      <c r="AP544" s="2955"/>
    </row>
    <row r="545" s="799" customFormat="1" ht="14.25" hidden="1" customHeight="1" spans="1:126">
      <c r="A545" s="2954"/>
      <c r="B545" s="2954"/>
      <c r="C545" s="2954"/>
      <c r="D545" s="2954"/>
      <c r="E545" s="2954"/>
      <c r="F545" s="2954"/>
      <c r="G545" s="2954"/>
      <c r="H545" s="2954"/>
      <c r="I545" s="2954"/>
      <c r="J545" s="2954"/>
      <c r="K545" s="2954"/>
      <c r="L545" s="2954"/>
      <c r="M545" s="2954"/>
      <c r="N545" s="2954"/>
      <c r="O545" s="2954"/>
      <c r="P545" s="2954"/>
      <c r="Q545" s="2954"/>
      <c r="R545" s="2954"/>
      <c r="S545" s="2954"/>
      <c r="T545" s="2954"/>
      <c r="U545" s="2954"/>
      <c r="V545" s="2954"/>
      <c r="W545" s="2954"/>
      <c r="X545" s="2954"/>
      <c r="Y545" s="2954"/>
      <c r="Z545" s="2954"/>
      <c r="AA545" s="2954"/>
      <c r="AB545" s="2954"/>
      <c r="AC545" s="2954"/>
      <c r="AD545" s="2954"/>
      <c r="AE545" s="2954"/>
      <c r="AF545" s="2954"/>
      <c r="AG545" s="2954"/>
      <c r="AH545" s="2954"/>
      <c r="AI545" s="2954"/>
      <c r="AJ545" s="2954"/>
      <c r="AK545" s="2954"/>
      <c r="AL545" s="2954"/>
      <c r="AM545" s="2954"/>
      <c r="AN545" s="2954"/>
      <c r="AO545" s="2954"/>
      <c r="AP545" s="2954"/>
      <c r="AQ545" s="2954"/>
      <c r="AR545" s="2954"/>
      <c r="AS545" s="2954"/>
      <c r="AT545" s="2954"/>
      <c r="AU545" s="2954"/>
      <c r="AV545" s="2954"/>
      <c r="AW545" s="2954"/>
      <c r="AX545" s="2954"/>
      <c r="AY545" s="2954"/>
      <c r="AZ545" s="2954"/>
      <c r="BA545" s="2954"/>
      <c r="BB545" s="2954"/>
      <c r="BC545" s="2954"/>
      <c r="BD545" s="2954"/>
      <c r="BE545" s="2954"/>
      <c r="BF545" s="2954"/>
      <c r="BG545" s="2954"/>
      <c r="BH545" s="2954"/>
      <c r="BI545" s="2954"/>
      <c r="BJ545" s="2954"/>
      <c r="BK545" s="2954"/>
      <c r="BL545" s="2954"/>
      <c r="BM545" s="2954"/>
      <c r="BN545" s="2954"/>
      <c r="BO545" s="2954"/>
      <c r="BP545" s="2954"/>
      <c r="BQ545" s="2954"/>
      <c r="BR545" s="2954"/>
      <c r="BS545" s="2954"/>
      <c r="BT545" s="2954"/>
      <c r="BU545" s="2954"/>
      <c r="BV545" s="2954"/>
      <c r="BW545" s="2954"/>
      <c r="BX545" s="2954"/>
      <c r="BY545" s="2954"/>
      <c r="BZ545" s="2954"/>
      <c r="CA545" s="2954"/>
      <c r="CB545" s="2954"/>
      <c r="CC545" s="2954"/>
      <c r="CD545" s="2954"/>
      <c r="CE545" s="2954"/>
      <c r="CF545" s="2954"/>
      <c r="CG545" s="2954"/>
      <c r="CH545" s="2954"/>
      <c r="CI545" s="2954"/>
      <c r="CJ545" s="2954"/>
      <c r="CK545" s="2954"/>
      <c r="CL545" s="2954"/>
      <c r="CM545" s="2954"/>
      <c r="CN545" s="2954"/>
      <c r="CO545" s="2954"/>
      <c r="CP545" s="2954"/>
      <c r="CQ545" s="2954"/>
      <c r="CR545" s="2954"/>
      <c r="CS545" s="2954"/>
      <c r="CT545" s="2954"/>
      <c r="CU545" s="2954"/>
      <c r="CV545" s="2954"/>
      <c r="CW545" s="2954"/>
      <c r="CX545" s="2954"/>
      <c r="CY545" s="2954"/>
      <c r="CZ545" s="2954"/>
      <c r="DA545" s="2954"/>
      <c r="DB545" s="2954"/>
      <c r="DC545" s="2954"/>
      <c r="DD545" s="2954"/>
      <c r="DE545" s="2954"/>
      <c r="DF545" s="2954"/>
      <c r="DG545" s="2954"/>
      <c r="DH545" s="2954"/>
      <c r="DI545" s="2954"/>
      <c r="DJ545" s="2954"/>
      <c r="DK545" s="2954"/>
      <c r="DL545" s="2954"/>
      <c r="DM545" s="2954"/>
      <c r="DN545" s="2954"/>
      <c r="DO545" s="2954"/>
      <c r="DP545" s="2954"/>
      <c r="DQ545" s="2954"/>
      <c r="DR545" s="2954"/>
      <c r="DS545" s="2954"/>
      <c r="DT545" s="2954"/>
      <c r="DU545" s="2954"/>
      <c r="DV545" s="2954"/>
    </row>
    <row r="546" s="799" customFormat="1" ht="14.25" hidden="1" customHeight="1" spans="1:126">
      <c r="A546" s="2952" t="s">
        <v>4214</v>
      </c>
      <c r="B546" s="2952"/>
      <c r="C546" s="2952" t="s">
        <v>6940</v>
      </c>
      <c r="D546" s="2952"/>
      <c r="E546" s="2952"/>
      <c r="F546" s="2952"/>
      <c r="G546" s="2952"/>
      <c r="H546" s="2952"/>
      <c r="I546" s="2952"/>
      <c r="J546" s="2952"/>
      <c r="K546" s="2952"/>
      <c r="L546" s="2952"/>
      <c r="M546" s="2952"/>
      <c r="N546" s="2952"/>
      <c r="O546" s="2952"/>
      <c r="P546" s="2952"/>
      <c r="Q546" s="2952"/>
      <c r="R546" s="2952"/>
      <c r="S546" s="2952"/>
      <c r="T546" s="2952"/>
      <c r="U546" s="2952"/>
      <c r="V546" s="2952" t="s">
        <v>6941</v>
      </c>
      <c r="W546" s="2952"/>
      <c r="X546" s="2952"/>
      <c r="Y546" s="2952"/>
      <c r="Z546" s="2952"/>
      <c r="AA546" s="2952"/>
      <c r="AB546" s="2952"/>
      <c r="AC546" s="2952"/>
      <c r="AD546" s="2952"/>
      <c r="AE546" s="2952"/>
      <c r="AF546" s="2952"/>
      <c r="AG546" s="2952" t="s">
        <v>6942</v>
      </c>
      <c r="AH546" s="2952"/>
      <c r="AI546" s="2952"/>
      <c r="AJ546" s="2952"/>
      <c r="AK546" s="2952"/>
      <c r="AL546" s="2952"/>
      <c r="AM546" s="2952"/>
      <c r="AN546" s="2952"/>
      <c r="AO546" s="2952"/>
      <c r="AP546" s="2952"/>
    </row>
    <row r="547" s="799" customFormat="1" ht="12.75" hidden="1" customHeight="1" spans="1:126">
      <c r="A547" s="2955">
        <f>UnosPorBilans!B238</f>
        <v>0</v>
      </c>
      <c r="B547" s="2955"/>
      <c r="C547" s="2955"/>
      <c r="D547" s="2955"/>
      <c r="E547" s="2955"/>
      <c r="F547" s="2955"/>
      <c r="G547" s="2955"/>
      <c r="H547" s="2955"/>
      <c r="I547" s="2955"/>
      <c r="J547" s="2955"/>
      <c r="K547" s="2955"/>
      <c r="L547" s="2955"/>
      <c r="M547" s="2955"/>
      <c r="N547" s="2955"/>
      <c r="O547" s="2955"/>
      <c r="P547" s="2955"/>
      <c r="Q547" s="2955"/>
      <c r="R547" s="2955"/>
      <c r="S547" s="2955"/>
      <c r="T547" s="2955"/>
      <c r="U547" s="2955"/>
      <c r="V547" s="2955">
        <f>UnosPorBilans!I238</f>
        <v>0</v>
      </c>
      <c r="W547" s="2955"/>
      <c r="X547" s="2955"/>
      <c r="Y547" s="2955"/>
      <c r="Z547" s="2955"/>
      <c r="AA547" s="2955"/>
      <c r="AB547" s="2955"/>
      <c r="AC547" s="2955"/>
      <c r="AD547" s="2955"/>
      <c r="AE547" s="2955"/>
      <c r="AF547" s="2955"/>
      <c r="AG547" s="2955">
        <f>UnosPorBilans!N238</f>
        <v>0</v>
      </c>
      <c r="AH547" s="2955"/>
      <c r="AI547" s="2955"/>
      <c r="AJ547" s="2955"/>
      <c r="AK547" s="2955"/>
      <c r="AL547" s="2955"/>
      <c r="AM547" s="2955"/>
      <c r="AN547" s="2955"/>
      <c r="AO547" s="2955"/>
      <c r="AP547" s="2955"/>
    </row>
    <row r="548" s="799" customFormat="1" ht="12.75" hidden="1" customHeight="1" spans="1:126">
      <c r="A548" s="2952" t="s">
        <v>6943</v>
      </c>
      <c r="B548" s="2952"/>
      <c r="C548" s="2952"/>
      <c r="D548" s="2952"/>
      <c r="E548" s="2952"/>
      <c r="F548" s="2952"/>
      <c r="G548" s="2952"/>
      <c r="H548" s="2952"/>
      <c r="I548" s="2952"/>
      <c r="J548" s="2952"/>
      <c r="K548" s="2952" t="s">
        <v>6944</v>
      </c>
      <c r="L548" s="2952"/>
      <c r="M548" s="2952"/>
      <c r="N548" s="2952"/>
      <c r="O548" s="2952"/>
      <c r="P548" s="2952"/>
      <c r="Q548" s="2952"/>
      <c r="R548" s="2952"/>
      <c r="S548" s="2952"/>
      <c r="T548" s="2952"/>
      <c r="U548" s="2952"/>
      <c r="V548" s="2952" t="s">
        <v>6945</v>
      </c>
      <c r="W548" s="2952"/>
      <c r="X548" s="2952"/>
      <c r="Y548" s="2952"/>
      <c r="Z548" s="2952"/>
      <c r="AA548" s="2952"/>
      <c r="AB548" s="2952"/>
      <c r="AC548" s="2952"/>
      <c r="AD548" s="2952"/>
      <c r="AE548" s="2952"/>
      <c r="AF548" s="2952"/>
      <c r="AG548" s="2952" t="s">
        <v>6946</v>
      </c>
      <c r="AH548" s="2952"/>
      <c r="AI548" s="2952"/>
      <c r="AJ548" s="2952"/>
      <c r="AK548" s="2952"/>
      <c r="AL548" s="2952"/>
      <c r="AM548" s="2952"/>
      <c r="AN548" s="2952"/>
      <c r="AO548" s="2952"/>
      <c r="AP548" s="2952"/>
    </row>
    <row r="549" s="799" customFormat="1" ht="12.75" hidden="1" customHeight="1" spans="1:126">
      <c r="A549" s="2955">
        <f>UnosPorBilans!S238</f>
        <v>0</v>
      </c>
      <c r="B549" s="2955"/>
      <c r="C549" s="2955"/>
      <c r="D549" s="2955"/>
      <c r="E549" s="2955"/>
      <c r="F549" s="2955"/>
      <c r="G549" s="2955"/>
      <c r="H549" s="2955"/>
      <c r="I549" s="2955"/>
      <c r="J549" s="2955"/>
      <c r="K549" s="2955">
        <f>UnosPorBilans!W238</f>
        <v>0</v>
      </c>
      <c r="L549" s="2955"/>
      <c r="M549" s="2955"/>
      <c r="N549" s="2955"/>
      <c r="O549" s="2955"/>
      <c r="P549" s="2955"/>
      <c r="Q549" s="2955"/>
      <c r="R549" s="2955"/>
      <c r="S549" s="2955"/>
      <c r="T549" s="2955"/>
      <c r="U549" s="2955"/>
      <c r="V549" s="2955">
        <f>UnosPorBilans!AB238</f>
        <v>0</v>
      </c>
      <c r="W549" s="2955"/>
      <c r="X549" s="2955"/>
      <c r="Y549" s="2955"/>
      <c r="Z549" s="2955"/>
      <c r="AA549" s="2955"/>
      <c r="AB549" s="2955"/>
      <c r="AC549" s="2955"/>
      <c r="AD549" s="2955"/>
      <c r="AE549" s="2955"/>
      <c r="AF549" s="2955"/>
      <c r="AG549" s="2955">
        <f>UnosPorBilans!AG238</f>
        <v>0</v>
      </c>
      <c r="AH549" s="2955"/>
      <c r="AI549" s="2955"/>
      <c r="AJ549" s="2955"/>
      <c r="AK549" s="2955"/>
      <c r="AL549" s="2955"/>
      <c r="AM549" s="2955"/>
      <c r="AN549" s="2955"/>
      <c r="AO549" s="2955"/>
      <c r="AP549" s="2955"/>
    </row>
    <row r="550" s="799" customFormat="1" ht="12.75" hidden="1" customHeight="1" spans="1:126">
      <c r="A550" s="2952" t="s">
        <v>6947</v>
      </c>
      <c r="B550" s="2952"/>
      <c r="C550" s="2952"/>
      <c r="D550" s="2952"/>
      <c r="E550" s="2952"/>
      <c r="F550" s="2952"/>
      <c r="G550" s="2952"/>
      <c r="H550" s="2952"/>
      <c r="I550" s="2952"/>
      <c r="J550" s="2952"/>
      <c r="K550" s="2952"/>
      <c r="L550" s="2952"/>
      <c r="M550" s="2952"/>
      <c r="N550" s="2952"/>
      <c r="O550" s="2952"/>
      <c r="P550" s="2952"/>
      <c r="Q550" s="2952"/>
      <c r="R550" s="2952"/>
      <c r="S550" s="2952"/>
      <c r="T550" s="2952"/>
      <c r="U550" s="2952"/>
      <c r="V550" s="2952" t="s">
        <v>6948</v>
      </c>
      <c r="W550" s="2952"/>
      <c r="X550" s="2952"/>
      <c r="Y550" s="2952"/>
      <c r="Z550" s="2952"/>
      <c r="AA550" s="2952"/>
      <c r="AB550" s="2952"/>
      <c r="AC550" s="2952"/>
      <c r="AD550" s="2952"/>
      <c r="AE550" s="2952"/>
      <c r="AF550" s="2952"/>
      <c r="AG550" s="2952"/>
      <c r="AH550" s="2952"/>
      <c r="AI550" s="2952"/>
      <c r="AJ550" s="2952"/>
      <c r="AK550" s="2952"/>
      <c r="AL550" s="2952"/>
      <c r="AM550" s="2952"/>
      <c r="AN550" s="2952"/>
      <c r="AO550" s="2952"/>
      <c r="AP550" s="2952"/>
    </row>
    <row r="551" s="799" customFormat="1" ht="12.75" hidden="1" customHeight="1" spans="1:126">
      <c r="A551" s="2955">
        <f>UnosPorBilans!AL238</f>
        <v>0</v>
      </c>
      <c r="B551" s="2955"/>
      <c r="C551" s="2955"/>
      <c r="D551" s="2955"/>
      <c r="E551" s="2955"/>
      <c r="F551" s="2955"/>
      <c r="G551" s="2955"/>
      <c r="H551" s="2955"/>
      <c r="I551" s="2955"/>
      <c r="J551" s="2955"/>
      <c r="K551" s="2955"/>
      <c r="L551" s="2955"/>
      <c r="M551" s="2955"/>
      <c r="N551" s="2955"/>
      <c r="O551" s="2955"/>
      <c r="P551" s="2955"/>
      <c r="Q551" s="2955"/>
      <c r="R551" s="2955"/>
      <c r="S551" s="2955"/>
      <c r="T551" s="2955"/>
      <c r="U551" s="2955"/>
      <c r="V551" s="2955">
        <f>UnosPorBilans!AS238</f>
        <v>0</v>
      </c>
      <c r="W551" s="2955"/>
      <c r="X551" s="2955"/>
      <c r="Y551" s="2955"/>
      <c r="Z551" s="2955"/>
      <c r="AA551" s="2955"/>
      <c r="AB551" s="2955"/>
      <c r="AC551" s="2955"/>
      <c r="AD551" s="2955"/>
      <c r="AE551" s="2955"/>
      <c r="AF551" s="2955"/>
      <c r="AG551" s="2955"/>
      <c r="AH551" s="2955"/>
      <c r="AI551" s="2955"/>
      <c r="AJ551" s="2955"/>
      <c r="AK551" s="2955"/>
      <c r="AL551" s="2955"/>
      <c r="AM551" s="2955"/>
      <c r="AN551" s="2955"/>
      <c r="AO551" s="2955"/>
      <c r="AP551" s="2955"/>
    </row>
    <row r="552" s="799" customFormat="1" ht="14.25" hidden="1" customHeight="1" spans="1:126">
      <c r="A552" s="2954"/>
      <c r="B552" s="2954"/>
      <c r="C552" s="2954"/>
      <c r="D552" s="2954"/>
      <c r="E552" s="2954"/>
      <c r="F552" s="2954"/>
      <c r="G552" s="2954"/>
      <c r="H552" s="2954"/>
      <c r="I552" s="2954"/>
      <c r="J552" s="2954"/>
      <c r="K552" s="2954"/>
      <c r="L552" s="2954"/>
      <c r="M552" s="2954"/>
      <c r="N552" s="2954"/>
      <c r="O552" s="2954"/>
      <c r="P552" s="2954"/>
      <c r="Q552" s="2954"/>
      <c r="R552" s="2954"/>
      <c r="S552" s="2954"/>
      <c r="T552" s="2954"/>
      <c r="U552" s="2954"/>
      <c r="V552" s="2954"/>
      <c r="W552" s="2954"/>
      <c r="X552" s="2954"/>
      <c r="Y552" s="2954"/>
      <c r="Z552" s="2954"/>
      <c r="AA552" s="2954"/>
      <c r="AB552" s="2954"/>
      <c r="AC552" s="2954"/>
      <c r="AD552" s="2954"/>
      <c r="AE552" s="2954"/>
      <c r="AF552" s="2954"/>
      <c r="AG552" s="2954"/>
      <c r="AH552" s="2954"/>
      <c r="AI552" s="2954"/>
      <c r="AJ552" s="2954"/>
      <c r="AK552" s="2954"/>
      <c r="AL552" s="2954"/>
      <c r="AM552" s="2954"/>
      <c r="AN552" s="2954"/>
      <c r="AO552" s="2954"/>
      <c r="AP552" s="2954"/>
      <c r="AQ552" s="2954"/>
      <c r="AR552" s="2954"/>
      <c r="AS552" s="2954"/>
      <c r="AT552" s="2954"/>
      <c r="AU552" s="2954"/>
      <c r="AV552" s="2954"/>
      <c r="AW552" s="2954"/>
      <c r="AX552" s="2954"/>
      <c r="AY552" s="2954"/>
      <c r="AZ552" s="2954"/>
      <c r="BA552" s="2954"/>
      <c r="BB552" s="2954"/>
      <c r="BC552" s="2954"/>
      <c r="BD552" s="2954"/>
      <c r="BE552" s="2954"/>
      <c r="BF552" s="2954"/>
      <c r="BG552" s="2954"/>
      <c r="BH552" s="2954"/>
      <c r="BI552" s="2954"/>
      <c r="BJ552" s="2954"/>
      <c r="BK552" s="2954"/>
      <c r="BL552" s="2954"/>
      <c r="BM552" s="2954"/>
      <c r="BN552" s="2954"/>
      <c r="BO552" s="2954"/>
      <c r="BP552" s="2954"/>
      <c r="BQ552" s="2954"/>
      <c r="BR552" s="2954"/>
      <c r="BS552" s="2954"/>
      <c r="BT552" s="2954"/>
      <c r="BU552" s="2954"/>
      <c r="BV552" s="2954"/>
      <c r="BW552" s="2954"/>
      <c r="BX552" s="2954"/>
      <c r="BY552" s="2954"/>
      <c r="BZ552" s="2954"/>
      <c r="CA552" s="2954"/>
      <c r="CB552" s="2954"/>
      <c r="CC552" s="2954"/>
      <c r="CD552" s="2954"/>
      <c r="CE552" s="2954"/>
      <c r="CF552" s="2954"/>
      <c r="CG552" s="2954"/>
      <c r="CH552" s="2954"/>
      <c r="CI552" s="2954"/>
      <c r="CJ552" s="2954"/>
      <c r="CK552" s="2954"/>
      <c r="CL552" s="2954"/>
      <c r="CM552" s="2954"/>
      <c r="CN552" s="2954"/>
      <c r="CO552" s="2954"/>
      <c r="CP552" s="2954"/>
      <c r="CQ552" s="2954"/>
      <c r="CR552" s="2954"/>
      <c r="CS552" s="2954"/>
      <c r="CT552" s="2954"/>
      <c r="CU552" s="2954"/>
      <c r="CV552" s="2954"/>
      <c r="CW552" s="2954"/>
      <c r="CX552" s="2954"/>
      <c r="CY552" s="2954"/>
      <c r="CZ552" s="2954"/>
      <c r="DA552" s="2954"/>
      <c r="DB552" s="2954"/>
      <c r="DC552" s="2954"/>
      <c r="DD552" s="2954"/>
      <c r="DE552" s="2954"/>
      <c r="DF552" s="2954"/>
      <c r="DG552" s="2954"/>
      <c r="DH552" s="2954"/>
      <c r="DI552" s="2954"/>
      <c r="DJ552" s="2954"/>
      <c r="DK552" s="2954"/>
      <c r="DL552" s="2954"/>
      <c r="DM552" s="2954"/>
      <c r="DN552" s="2954"/>
      <c r="DO552" s="2954"/>
      <c r="DP552" s="2954"/>
      <c r="DQ552" s="2954"/>
      <c r="DR552" s="2954"/>
      <c r="DS552" s="2954"/>
      <c r="DT552" s="2954"/>
      <c r="DU552" s="2954"/>
      <c r="DV552" s="2954"/>
    </row>
    <row r="553" s="799" customFormat="1" ht="14.25" hidden="1" customHeight="1" spans="1:126">
      <c r="A553" s="2952" t="s">
        <v>4214</v>
      </c>
      <c r="B553" s="2952"/>
      <c r="C553" s="2952" t="s">
        <v>6940</v>
      </c>
      <c r="D553" s="2952"/>
      <c r="E553" s="2952"/>
      <c r="F553" s="2952"/>
      <c r="G553" s="2952"/>
      <c r="H553" s="2952"/>
      <c r="I553" s="2952"/>
      <c r="J553" s="2952"/>
      <c r="K553" s="2952"/>
      <c r="L553" s="2952"/>
      <c r="M553" s="2952"/>
      <c r="N553" s="2952"/>
      <c r="O553" s="2952"/>
      <c r="P553" s="2952"/>
      <c r="Q553" s="2952"/>
      <c r="R553" s="2952"/>
      <c r="S553" s="2952"/>
      <c r="T553" s="2952"/>
      <c r="U553" s="2952"/>
      <c r="V553" s="2952" t="s">
        <v>6941</v>
      </c>
      <c r="W553" s="2952"/>
      <c r="X553" s="2952"/>
      <c r="Y553" s="2952"/>
      <c r="Z553" s="2952"/>
      <c r="AA553" s="2952"/>
      <c r="AB553" s="2952"/>
      <c r="AC553" s="2952"/>
      <c r="AD553" s="2952"/>
      <c r="AE553" s="2952"/>
      <c r="AF553" s="2952"/>
      <c r="AG553" s="2952" t="s">
        <v>6942</v>
      </c>
      <c r="AH553" s="2952"/>
      <c r="AI553" s="2952"/>
      <c r="AJ553" s="2952"/>
      <c r="AK553" s="2952"/>
      <c r="AL553" s="2952"/>
      <c r="AM553" s="2952"/>
      <c r="AN553" s="2952"/>
      <c r="AO553" s="2952"/>
      <c r="AP553" s="2952"/>
    </row>
    <row r="554" s="799" customFormat="1" ht="12.75" hidden="1" customHeight="1" spans="1:126">
      <c r="A554" s="2955">
        <f>UnosPorBilans!B239</f>
        <v>0</v>
      </c>
      <c r="B554" s="2955"/>
      <c r="C554" s="2955"/>
      <c r="D554" s="2955"/>
      <c r="E554" s="2955"/>
      <c r="F554" s="2955"/>
      <c r="G554" s="2955"/>
      <c r="H554" s="2955"/>
      <c r="I554" s="2955"/>
      <c r="J554" s="2955"/>
      <c r="K554" s="2955"/>
      <c r="L554" s="2955"/>
      <c r="M554" s="2955"/>
      <c r="N554" s="2955"/>
      <c r="O554" s="2955"/>
      <c r="P554" s="2955"/>
      <c r="Q554" s="2955"/>
      <c r="R554" s="2955"/>
      <c r="S554" s="2955"/>
      <c r="T554" s="2955"/>
      <c r="U554" s="2955"/>
      <c r="V554" s="2955">
        <f>UnosPorBilans!I239</f>
        <v>0</v>
      </c>
      <c r="W554" s="2955"/>
      <c r="X554" s="2955"/>
      <c r="Y554" s="2955"/>
      <c r="Z554" s="2955"/>
      <c r="AA554" s="2955"/>
      <c r="AB554" s="2955"/>
      <c r="AC554" s="2955"/>
      <c r="AD554" s="2955"/>
      <c r="AE554" s="2955"/>
      <c r="AF554" s="2955"/>
      <c r="AG554" s="2955">
        <f>UnosPorBilans!N239</f>
        <v>0</v>
      </c>
      <c r="AH554" s="2955"/>
      <c r="AI554" s="2955"/>
      <c r="AJ554" s="2955"/>
      <c r="AK554" s="2955"/>
      <c r="AL554" s="2955"/>
      <c r="AM554" s="2955"/>
      <c r="AN554" s="2955"/>
      <c r="AO554" s="2955"/>
      <c r="AP554" s="2955"/>
    </row>
    <row r="555" s="799" customFormat="1" ht="12.75" hidden="1" customHeight="1" spans="1:126">
      <c r="A555" s="2952" t="s">
        <v>6943</v>
      </c>
      <c r="B555" s="2952"/>
      <c r="C555" s="2952"/>
      <c r="D555" s="2952"/>
      <c r="E555" s="2952"/>
      <c r="F555" s="2952"/>
      <c r="G555" s="2952"/>
      <c r="H555" s="2952"/>
      <c r="I555" s="2952"/>
      <c r="J555" s="2952"/>
      <c r="K555" s="2952" t="s">
        <v>6944</v>
      </c>
      <c r="L555" s="2952"/>
      <c r="M555" s="2952"/>
      <c r="N555" s="2952"/>
      <c r="O555" s="2952"/>
      <c r="P555" s="2952"/>
      <c r="Q555" s="2952"/>
      <c r="R555" s="2952"/>
      <c r="S555" s="2952"/>
      <c r="T555" s="2952"/>
      <c r="U555" s="2952"/>
      <c r="V555" s="2952" t="s">
        <v>6945</v>
      </c>
      <c r="W555" s="2952"/>
      <c r="X555" s="2952"/>
      <c r="Y555" s="2952"/>
      <c r="Z555" s="2952"/>
      <c r="AA555" s="2952"/>
      <c r="AB555" s="2952"/>
      <c r="AC555" s="2952"/>
      <c r="AD555" s="2952"/>
      <c r="AE555" s="2952"/>
      <c r="AF555" s="2952"/>
      <c r="AG555" s="2952" t="s">
        <v>6946</v>
      </c>
      <c r="AH555" s="2952"/>
      <c r="AI555" s="2952"/>
      <c r="AJ555" s="2952"/>
      <c r="AK555" s="2952"/>
      <c r="AL555" s="2952"/>
      <c r="AM555" s="2952"/>
      <c r="AN555" s="2952"/>
      <c r="AO555" s="2952"/>
      <c r="AP555" s="2952"/>
    </row>
    <row r="556" s="799" customFormat="1" ht="12.75" hidden="1" customHeight="1" spans="1:126">
      <c r="A556" s="2955">
        <f>UnosPorBilans!S239</f>
        <v>0</v>
      </c>
      <c r="B556" s="2955"/>
      <c r="C556" s="2955"/>
      <c r="D556" s="2955"/>
      <c r="E556" s="2955"/>
      <c r="F556" s="2955"/>
      <c r="G556" s="2955"/>
      <c r="H556" s="2955"/>
      <c r="I556" s="2955"/>
      <c r="J556" s="2955"/>
      <c r="K556" s="2955">
        <f>UnosPorBilans!W239</f>
        <v>0</v>
      </c>
      <c r="L556" s="2955"/>
      <c r="M556" s="2955"/>
      <c r="N556" s="2955"/>
      <c r="O556" s="2955"/>
      <c r="P556" s="2955"/>
      <c r="Q556" s="2955"/>
      <c r="R556" s="2955"/>
      <c r="S556" s="2955"/>
      <c r="T556" s="2955"/>
      <c r="U556" s="2955"/>
      <c r="V556" s="2955">
        <f>UnosPorBilans!AB239</f>
        <v>0</v>
      </c>
      <c r="W556" s="2955"/>
      <c r="X556" s="2955"/>
      <c r="Y556" s="2955"/>
      <c r="Z556" s="2955"/>
      <c r="AA556" s="2955"/>
      <c r="AB556" s="2955"/>
      <c r="AC556" s="2955"/>
      <c r="AD556" s="2955"/>
      <c r="AE556" s="2955"/>
      <c r="AF556" s="2955"/>
      <c r="AG556" s="2955">
        <f>UnosPorBilans!AG239</f>
        <v>0</v>
      </c>
      <c r="AH556" s="2955"/>
      <c r="AI556" s="2955"/>
      <c r="AJ556" s="2955"/>
      <c r="AK556" s="2955"/>
      <c r="AL556" s="2955"/>
      <c r="AM556" s="2955"/>
      <c r="AN556" s="2955"/>
      <c r="AO556" s="2955"/>
      <c r="AP556" s="2955"/>
    </row>
    <row r="557" s="799" customFormat="1" ht="12.75" hidden="1" customHeight="1" spans="1:126">
      <c r="A557" s="2952" t="s">
        <v>6947</v>
      </c>
      <c r="B557" s="2952"/>
      <c r="C557" s="2952"/>
      <c r="D557" s="2952"/>
      <c r="E557" s="2952"/>
      <c r="F557" s="2952"/>
      <c r="G557" s="2952"/>
      <c r="H557" s="2952"/>
      <c r="I557" s="2952"/>
      <c r="J557" s="2952"/>
      <c r="K557" s="2952"/>
      <c r="L557" s="2952"/>
      <c r="M557" s="2952"/>
      <c r="N557" s="2952"/>
      <c r="O557" s="2952"/>
      <c r="P557" s="2952"/>
      <c r="Q557" s="2952"/>
      <c r="R557" s="2952"/>
      <c r="S557" s="2952"/>
      <c r="T557" s="2952"/>
      <c r="U557" s="2952"/>
      <c r="V557" s="2952" t="s">
        <v>6948</v>
      </c>
      <c r="W557" s="2952"/>
      <c r="X557" s="2952"/>
      <c r="Y557" s="2952"/>
      <c r="Z557" s="2952"/>
      <c r="AA557" s="2952"/>
      <c r="AB557" s="2952"/>
      <c r="AC557" s="2952"/>
      <c r="AD557" s="2952"/>
      <c r="AE557" s="2952"/>
      <c r="AF557" s="2952"/>
      <c r="AG557" s="2952"/>
      <c r="AH557" s="2952"/>
      <c r="AI557" s="2952"/>
      <c r="AJ557" s="2952"/>
      <c r="AK557" s="2952"/>
      <c r="AL557" s="2952"/>
      <c r="AM557" s="2952"/>
      <c r="AN557" s="2952"/>
      <c r="AO557" s="2952"/>
      <c r="AP557" s="2952"/>
    </row>
    <row r="558" s="799" customFormat="1" ht="12.75" hidden="1" customHeight="1" spans="1:126">
      <c r="A558" s="2955">
        <f>UnosPorBilans!AL239</f>
        <v>0</v>
      </c>
      <c r="B558" s="2955"/>
      <c r="C558" s="2955"/>
      <c r="D558" s="2955"/>
      <c r="E558" s="2955"/>
      <c r="F558" s="2955"/>
      <c r="G558" s="2955"/>
      <c r="H558" s="2955"/>
      <c r="I558" s="2955"/>
      <c r="J558" s="2955"/>
      <c r="K558" s="2955"/>
      <c r="L558" s="2955"/>
      <c r="M558" s="2955"/>
      <c r="N558" s="2955"/>
      <c r="O558" s="2955"/>
      <c r="P558" s="2955"/>
      <c r="Q558" s="2955"/>
      <c r="R558" s="2955"/>
      <c r="S558" s="2955"/>
      <c r="T558" s="2955"/>
      <c r="U558" s="2955"/>
      <c r="V558" s="2955">
        <f>UnosPorBilans!AS239</f>
        <v>0</v>
      </c>
      <c r="W558" s="2955"/>
      <c r="X558" s="2955"/>
      <c r="Y558" s="2955"/>
      <c r="Z558" s="2955"/>
      <c r="AA558" s="2955"/>
      <c r="AB558" s="2955"/>
      <c r="AC558" s="2955"/>
      <c r="AD558" s="2955"/>
      <c r="AE558" s="2955"/>
      <c r="AF558" s="2955"/>
      <c r="AG558" s="2955"/>
      <c r="AH558" s="2955"/>
      <c r="AI558" s="2955"/>
      <c r="AJ558" s="2955"/>
      <c r="AK558" s="2955"/>
      <c r="AL558" s="2955"/>
      <c r="AM558" s="2955"/>
      <c r="AN558" s="2955"/>
      <c r="AO558" s="2955"/>
      <c r="AP558" s="2955"/>
    </row>
    <row r="559" s="799" customFormat="1" ht="14.25" hidden="1" customHeight="1" spans="1:126">
      <c r="A559" s="2954"/>
      <c r="B559" s="2954"/>
      <c r="C559" s="2954"/>
      <c r="D559" s="2954"/>
      <c r="E559" s="2954"/>
      <c r="F559" s="2954"/>
      <c r="G559" s="2954"/>
      <c r="H559" s="2954"/>
      <c r="I559" s="2954"/>
      <c r="J559" s="2954"/>
      <c r="K559" s="2954"/>
      <c r="L559" s="2954"/>
      <c r="M559" s="2954"/>
      <c r="N559" s="2954"/>
      <c r="O559" s="2954"/>
      <c r="P559" s="2954"/>
      <c r="Q559" s="2954"/>
      <c r="R559" s="2954"/>
      <c r="S559" s="2954"/>
      <c r="T559" s="2954"/>
      <c r="U559" s="2954"/>
      <c r="V559" s="2954"/>
      <c r="W559" s="2954"/>
      <c r="X559" s="2954"/>
      <c r="Y559" s="2954"/>
      <c r="Z559" s="2954"/>
      <c r="AA559" s="2954"/>
      <c r="AB559" s="2954"/>
      <c r="AC559" s="2954"/>
      <c r="AD559" s="2954"/>
      <c r="AE559" s="2954"/>
      <c r="AF559" s="2954"/>
      <c r="AG559" s="2954"/>
      <c r="AH559" s="2954"/>
      <c r="AI559" s="2954"/>
      <c r="AJ559" s="2954"/>
      <c r="AK559" s="2954"/>
      <c r="AL559" s="2954"/>
      <c r="AM559" s="2954"/>
      <c r="AN559" s="2954"/>
      <c r="AO559" s="2954"/>
      <c r="AP559" s="2954"/>
      <c r="AQ559" s="2954"/>
      <c r="AR559" s="2954"/>
      <c r="AS559" s="2954"/>
      <c r="AT559" s="2954"/>
      <c r="AU559" s="2954"/>
      <c r="AV559" s="2954"/>
      <c r="AW559" s="2954"/>
      <c r="AX559" s="2954"/>
      <c r="AY559" s="2954"/>
      <c r="AZ559" s="2954"/>
      <c r="BA559" s="2954"/>
      <c r="BB559" s="2954"/>
      <c r="BC559" s="2954"/>
      <c r="BD559" s="2954"/>
      <c r="BE559" s="2954"/>
      <c r="BF559" s="2954"/>
      <c r="BG559" s="2954"/>
      <c r="BH559" s="2954"/>
      <c r="BI559" s="2954"/>
      <c r="BJ559" s="2954"/>
      <c r="BK559" s="2954"/>
      <c r="BL559" s="2954"/>
      <c r="BM559" s="2954"/>
      <c r="BN559" s="2954"/>
      <c r="BO559" s="2954"/>
      <c r="BP559" s="2954"/>
      <c r="BQ559" s="2954"/>
      <c r="BR559" s="2954"/>
      <c r="BS559" s="2954"/>
      <c r="BT559" s="2954"/>
      <c r="BU559" s="2954"/>
      <c r="BV559" s="2954"/>
      <c r="BW559" s="2954"/>
      <c r="BX559" s="2954"/>
      <c r="BY559" s="2954"/>
      <c r="BZ559" s="2954"/>
      <c r="CA559" s="2954"/>
      <c r="CB559" s="2954"/>
      <c r="CC559" s="2954"/>
      <c r="CD559" s="2954"/>
      <c r="CE559" s="2954"/>
      <c r="CF559" s="2954"/>
      <c r="CG559" s="2954"/>
      <c r="CH559" s="2954"/>
      <c r="CI559" s="2954"/>
      <c r="CJ559" s="2954"/>
      <c r="CK559" s="2954"/>
      <c r="CL559" s="2954"/>
      <c r="CM559" s="2954"/>
      <c r="CN559" s="2954"/>
      <c r="CO559" s="2954"/>
      <c r="CP559" s="2954"/>
      <c r="CQ559" s="2954"/>
      <c r="CR559" s="2954"/>
      <c r="CS559" s="2954"/>
      <c r="CT559" s="2954"/>
      <c r="CU559" s="2954"/>
      <c r="CV559" s="2954"/>
      <c r="CW559" s="2954"/>
      <c r="CX559" s="2954"/>
      <c r="CY559" s="2954"/>
      <c r="CZ559" s="2954"/>
      <c r="DA559" s="2954"/>
      <c r="DB559" s="2954"/>
      <c r="DC559" s="2954"/>
      <c r="DD559" s="2954"/>
      <c r="DE559" s="2954"/>
      <c r="DF559" s="2954"/>
      <c r="DG559" s="2954"/>
      <c r="DH559" s="2954"/>
      <c r="DI559" s="2954"/>
      <c r="DJ559" s="2954"/>
      <c r="DK559" s="2954"/>
      <c r="DL559" s="2954"/>
      <c r="DM559" s="2954"/>
      <c r="DN559" s="2954"/>
      <c r="DO559" s="2954"/>
      <c r="DP559" s="2954"/>
      <c r="DQ559" s="2954"/>
      <c r="DR559" s="2954"/>
      <c r="DS559" s="2954"/>
      <c r="DT559" s="2954"/>
      <c r="DU559" s="2954"/>
      <c r="DV559" s="2954"/>
    </row>
    <row r="560" s="799" customFormat="1" ht="14.25" hidden="1" customHeight="1" spans="1:126">
      <c r="A560" s="2952" t="s">
        <v>4214</v>
      </c>
      <c r="B560" s="2952"/>
      <c r="C560" s="2952" t="s">
        <v>6940</v>
      </c>
      <c r="D560" s="2952"/>
      <c r="E560" s="2952"/>
      <c r="F560" s="2952"/>
      <c r="G560" s="2952"/>
      <c r="H560" s="2952"/>
      <c r="I560" s="2952"/>
      <c r="J560" s="2952"/>
      <c r="K560" s="2952"/>
      <c r="L560" s="2952"/>
      <c r="M560" s="2952"/>
      <c r="N560" s="2952"/>
      <c r="O560" s="2952"/>
      <c r="P560" s="2952"/>
      <c r="Q560" s="2952"/>
      <c r="R560" s="2952"/>
      <c r="S560" s="2952"/>
      <c r="T560" s="2952"/>
      <c r="U560" s="2952"/>
      <c r="V560" s="2952" t="s">
        <v>6941</v>
      </c>
      <c r="W560" s="2952"/>
      <c r="X560" s="2952"/>
      <c r="Y560" s="2952"/>
      <c r="Z560" s="2952"/>
      <c r="AA560" s="2952"/>
      <c r="AB560" s="2952"/>
      <c r="AC560" s="2952"/>
      <c r="AD560" s="2952"/>
      <c r="AE560" s="2952"/>
      <c r="AF560" s="2952"/>
      <c r="AG560" s="2952" t="s">
        <v>6942</v>
      </c>
      <c r="AH560" s="2952"/>
      <c r="AI560" s="2952"/>
      <c r="AJ560" s="2952"/>
      <c r="AK560" s="2952"/>
      <c r="AL560" s="2952"/>
      <c r="AM560" s="2952"/>
      <c r="AN560" s="2952"/>
      <c r="AO560" s="2952"/>
      <c r="AP560" s="2952"/>
    </row>
    <row r="561" s="799" customFormat="1" ht="12.75" hidden="1" customHeight="1" spans="1:126">
      <c r="A561" s="2955">
        <f>UnosPorBilans!B240</f>
        <v>0</v>
      </c>
      <c r="B561" s="2955"/>
      <c r="C561" s="2955"/>
      <c r="D561" s="2955"/>
      <c r="E561" s="2955"/>
      <c r="F561" s="2955"/>
      <c r="G561" s="2955"/>
      <c r="H561" s="2955"/>
      <c r="I561" s="2955"/>
      <c r="J561" s="2955"/>
      <c r="K561" s="2955"/>
      <c r="L561" s="2955"/>
      <c r="M561" s="2955"/>
      <c r="N561" s="2955"/>
      <c r="O561" s="2955"/>
      <c r="P561" s="2955"/>
      <c r="Q561" s="2955"/>
      <c r="R561" s="2955"/>
      <c r="S561" s="2955"/>
      <c r="T561" s="2955"/>
      <c r="U561" s="2955"/>
      <c r="V561" s="2955">
        <f>UnosPorBilans!I240</f>
        <v>0</v>
      </c>
      <c r="W561" s="2955"/>
      <c r="X561" s="2955"/>
      <c r="Y561" s="2955"/>
      <c r="Z561" s="2955"/>
      <c r="AA561" s="2955"/>
      <c r="AB561" s="2955"/>
      <c r="AC561" s="2955"/>
      <c r="AD561" s="2955"/>
      <c r="AE561" s="2955"/>
      <c r="AF561" s="2955"/>
      <c r="AG561" s="2955">
        <f>UnosPorBilans!N240</f>
        <v>0</v>
      </c>
      <c r="AH561" s="2955"/>
      <c r="AI561" s="2955"/>
      <c r="AJ561" s="2955"/>
      <c r="AK561" s="2955"/>
      <c r="AL561" s="2955"/>
      <c r="AM561" s="2955"/>
      <c r="AN561" s="2955"/>
      <c r="AO561" s="2955"/>
      <c r="AP561" s="2955"/>
    </row>
    <row r="562" s="799" customFormat="1" ht="12.75" hidden="1" customHeight="1" spans="1:126">
      <c r="A562" s="2952" t="s">
        <v>6943</v>
      </c>
      <c r="B562" s="2952"/>
      <c r="C562" s="2952"/>
      <c r="D562" s="2952"/>
      <c r="E562" s="2952"/>
      <c r="F562" s="2952"/>
      <c r="G562" s="2952"/>
      <c r="H562" s="2952"/>
      <c r="I562" s="2952"/>
      <c r="J562" s="2952"/>
      <c r="K562" s="2952" t="s">
        <v>6944</v>
      </c>
      <c r="L562" s="2952"/>
      <c r="M562" s="2952"/>
      <c r="N562" s="2952"/>
      <c r="O562" s="2952"/>
      <c r="P562" s="2952"/>
      <c r="Q562" s="2952"/>
      <c r="R562" s="2952"/>
      <c r="S562" s="2952"/>
      <c r="T562" s="2952"/>
      <c r="U562" s="2952"/>
      <c r="V562" s="2952" t="s">
        <v>6945</v>
      </c>
      <c r="W562" s="2952"/>
      <c r="X562" s="2952"/>
      <c r="Y562" s="2952"/>
      <c r="Z562" s="2952"/>
      <c r="AA562" s="2952"/>
      <c r="AB562" s="2952"/>
      <c r="AC562" s="2952"/>
      <c r="AD562" s="2952"/>
      <c r="AE562" s="2952"/>
      <c r="AF562" s="2952"/>
      <c r="AG562" s="2952" t="s">
        <v>6946</v>
      </c>
      <c r="AH562" s="2952"/>
      <c r="AI562" s="2952"/>
      <c r="AJ562" s="2952"/>
      <c r="AK562" s="2952"/>
      <c r="AL562" s="2952"/>
      <c r="AM562" s="2952"/>
      <c r="AN562" s="2952"/>
      <c r="AO562" s="2952"/>
      <c r="AP562" s="2952"/>
    </row>
    <row r="563" s="799" customFormat="1" ht="12.75" hidden="1" customHeight="1" spans="1:126">
      <c r="A563" s="2955">
        <f>UnosPorBilans!S240</f>
        <v>0</v>
      </c>
      <c r="B563" s="2955"/>
      <c r="C563" s="2955"/>
      <c r="D563" s="2955"/>
      <c r="E563" s="2955"/>
      <c r="F563" s="2955"/>
      <c r="G563" s="2955"/>
      <c r="H563" s="2955"/>
      <c r="I563" s="2955"/>
      <c r="J563" s="2955"/>
      <c r="K563" s="2955">
        <f>UnosPorBilans!W240</f>
        <v>0</v>
      </c>
      <c r="L563" s="2955"/>
      <c r="M563" s="2955"/>
      <c r="N563" s="2955"/>
      <c r="O563" s="2955"/>
      <c r="P563" s="2955"/>
      <c r="Q563" s="2955"/>
      <c r="R563" s="2955"/>
      <c r="S563" s="2955"/>
      <c r="T563" s="2955"/>
      <c r="U563" s="2955"/>
      <c r="V563" s="2955">
        <f>UnosPorBilans!AB240</f>
        <v>0</v>
      </c>
      <c r="W563" s="2955"/>
      <c r="X563" s="2955"/>
      <c r="Y563" s="2955"/>
      <c r="Z563" s="2955"/>
      <c r="AA563" s="2955"/>
      <c r="AB563" s="2955"/>
      <c r="AC563" s="2955"/>
      <c r="AD563" s="2955"/>
      <c r="AE563" s="2955"/>
      <c r="AF563" s="2955"/>
      <c r="AG563" s="2955">
        <f>UnosPorBilans!AG240</f>
        <v>0</v>
      </c>
      <c r="AH563" s="2955"/>
      <c r="AI563" s="2955"/>
      <c r="AJ563" s="2955"/>
      <c r="AK563" s="2955"/>
      <c r="AL563" s="2955"/>
      <c r="AM563" s="2955"/>
      <c r="AN563" s="2955"/>
      <c r="AO563" s="2955"/>
      <c r="AP563" s="2955"/>
    </row>
    <row r="564" s="799" customFormat="1" ht="12.75" hidden="1" customHeight="1" spans="1:126">
      <c r="A564" s="2952" t="s">
        <v>6947</v>
      </c>
      <c r="B564" s="2952"/>
      <c r="C564" s="2952"/>
      <c r="D564" s="2952"/>
      <c r="E564" s="2952"/>
      <c r="F564" s="2952"/>
      <c r="G564" s="2952"/>
      <c r="H564" s="2952"/>
      <c r="I564" s="2952"/>
      <c r="J564" s="2952"/>
      <c r="K564" s="2952"/>
      <c r="L564" s="2952"/>
      <c r="M564" s="2952"/>
      <c r="N564" s="2952"/>
      <c r="O564" s="2952"/>
      <c r="P564" s="2952"/>
      <c r="Q564" s="2952"/>
      <c r="R564" s="2952"/>
      <c r="S564" s="2952"/>
      <c r="T564" s="2952"/>
      <c r="U564" s="2952"/>
      <c r="V564" s="2952" t="s">
        <v>6948</v>
      </c>
      <c r="W564" s="2952"/>
      <c r="X564" s="2952"/>
      <c r="Y564" s="2952"/>
      <c r="Z564" s="2952"/>
      <c r="AA564" s="2952"/>
      <c r="AB564" s="2952"/>
      <c r="AC564" s="2952"/>
      <c r="AD564" s="2952"/>
      <c r="AE564" s="2952"/>
      <c r="AF564" s="2952"/>
      <c r="AG564" s="2952"/>
      <c r="AH564" s="2952"/>
      <c r="AI564" s="2952"/>
      <c r="AJ564" s="2952"/>
      <c r="AK564" s="2952"/>
      <c r="AL564" s="2952"/>
      <c r="AM564" s="2952"/>
      <c r="AN564" s="2952"/>
      <c r="AO564" s="2952"/>
      <c r="AP564" s="2952"/>
    </row>
    <row r="565" s="799" customFormat="1" ht="12.75" hidden="1" customHeight="1" spans="1:126">
      <c r="A565" s="2955">
        <f>UnosPorBilans!AL240</f>
        <v>0</v>
      </c>
      <c r="B565" s="2955"/>
      <c r="C565" s="2955"/>
      <c r="D565" s="2955"/>
      <c r="E565" s="2955"/>
      <c r="F565" s="2955"/>
      <c r="G565" s="2955"/>
      <c r="H565" s="2955"/>
      <c r="I565" s="2955"/>
      <c r="J565" s="2955"/>
      <c r="K565" s="2955"/>
      <c r="L565" s="2955"/>
      <c r="M565" s="2955"/>
      <c r="N565" s="2955"/>
      <c r="O565" s="2955"/>
      <c r="P565" s="2955"/>
      <c r="Q565" s="2955"/>
      <c r="R565" s="2955"/>
      <c r="S565" s="2955"/>
      <c r="T565" s="2955"/>
      <c r="U565" s="2955"/>
      <c r="V565" s="2955">
        <f>UnosPorBilans!AS240</f>
        <v>0</v>
      </c>
      <c r="W565" s="2955"/>
      <c r="X565" s="2955"/>
      <c r="Y565" s="2955"/>
      <c r="Z565" s="2955"/>
      <c r="AA565" s="2955"/>
      <c r="AB565" s="2955"/>
      <c r="AC565" s="2955"/>
      <c r="AD565" s="2955"/>
      <c r="AE565" s="2955"/>
      <c r="AF565" s="2955"/>
      <c r="AG565" s="2955"/>
      <c r="AH565" s="2955"/>
      <c r="AI565" s="2955"/>
      <c r="AJ565" s="2955"/>
      <c r="AK565" s="2955"/>
      <c r="AL565" s="2955"/>
      <c r="AM565" s="2955"/>
      <c r="AN565" s="2955"/>
      <c r="AO565" s="2955"/>
      <c r="AP565" s="2955"/>
    </row>
    <row r="566" s="799" customFormat="1" ht="14.25" hidden="1" customHeight="1" spans="1:126">
      <c r="A566" s="2954"/>
      <c r="B566" s="2954"/>
      <c r="C566" s="2954"/>
      <c r="D566" s="2954"/>
      <c r="E566" s="2954"/>
      <c r="F566" s="2954"/>
      <c r="G566" s="2954"/>
      <c r="H566" s="2954"/>
      <c r="I566" s="2954"/>
      <c r="J566" s="2954"/>
      <c r="K566" s="2954"/>
      <c r="L566" s="2954"/>
      <c r="M566" s="2954"/>
      <c r="N566" s="2954"/>
      <c r="O566" s="2954"/>
      <c r="P566" s="2954"/>
      <c r="Q566" s="2954"/>
      <c r="R566" s="2954"/>
      <c r="S566" s="2954"/>
      <c r="T566" s="2954"/>
      <c r="U566" s="2954"/>
      <c r="V566" s="2954"/>
      <c r="W566" s="2954"/>
      <c r="X566" s="2954"/>
      <c r="Y566" s="2954"/>
      <c r="Z566" s="2954"/>
      <c r="AA566" s="2954"/>
      <c r="AB566" s="2954"/>
      <c r="AC566" s="2954"/>
      <c r="AD566" s="2954"/>
      <c r="AE566" s="2954"/>
      <c r="AF566" s="2954"/>
      <c r="AG566" s="2954"/>
      <c r="AH566" s="2954"/>
      <c r="AI566" s="2954"/>
      <c r="AJ566" s="2954"/>
      <c r="AK566" s="2954"/>
      <c r="AL566" s="2954"/>
      <c r="AM566" s="2954"/>
      <c r="AN566" s="2954"/>
      <c r="AO566" s="2954"/>
      <c r="AP566" s="2954"/>
      <c r="AQ566" s="2954"/>
      <c r="AR566" s="2954"/>
      <c r="AS566" s="2954"/>
      <c r="AT566" s="2954"/>
      <c r="AU566" s="2954"/>
      <c r="AV566" s="2954"/>
      <c r="AW566" s="2954"/>
      <c r="AX566" s="2954"/>
      <c r="AY566" s="2954"/>
      <c r="AZ566" s="2954"/>
      <c r="BA566" s="2954"/>
      <c r="BB566" s="2954"/>
      <c r="BC566" s="2954"/>
      <c r="BD566" s="2954"/>
      <c r="BE566" s="2954"/>
      <c r="BF566" s="2954"/>
      <c r="BG566" s="2954"/>
      <c r="BH566" s="2954"/>
      <c r="BI566" s="2954"/>
      <c r="BJ566" s="2954"/>
      <c r="BK566" s="2954"/>
      <c r="BL566" s="2954"/>
      <c r="BM566" s="2954"/>
      <c r="BN566" s="2954"/>
      <c r="BO566" s="2954"/>
      <c r="BP566" s="2954"/>
      <c r="BQ566" s="2954"/>
      <c r="BR566" s="2954"/>
      <c r="BS566" s="2954"/>
      <c r="BT566" s="2954"/>
      <c r="BU566" s="2954"/>
      <c r="BV566" s="2954"/>
      <c r="BW566" s="2954"/>
      <c r="BX566" s="2954"/>
      <c r="BY566" s="2954"/>
      <c r="BZ566" s="2954"/>
      <c r="CA566" s="2954"/>
      <c r="CB566" s="2954"/>
      <c r="CC566" s="2954"/>
      <c r="CD566" s="2954"/>
      <c r="CE566" s="2954"/>
      <c r="CF566" s="2954"/>
      <c r="CG566" s="2954"/>
      <c r="CH566" s="2954"/>
      <c r="CI566" s="2954"/>
      <c r="CJ566" s="2954"/>
      <c r="CK566" s="2954"/>
      <c r="CL566" s="2954"/>
      <c r="CM566" s="2954"/>
      <c r="CN566" s="2954"/>
      <c r="CO566" s="2954"/>
      <c r="CP566" s="2954"/>
      <c r="CQ566" s="2954"/>
      <c r="CR566" s="2954"/>
      <c r="CS566" s="2954"/>
      <c r="CT566" s="2954"/>
      <c r="CU566" s="2954"/>
      <c r="CV566" s="2954"/>
      <c r="CW566" s="2954"/>
      <c r="CX566" s="2954"/>
      <c r="CY566" s="2954"/>
      <c r="CZ566" s="2954"/>
      <c r="DA566" s="2954"/>
      <c r="DB566" s="2954"/>
      <c r="DC566" s="2954"/>
      <c r="DD566" s="2954"/>
      <c r="DE566" s="2954"/>
      <c r="DF566" s="2954"/>
      <c r="DG566" s="2954"/>
      <c r="DH566" s="2954"/>
      <c r="DI566" s="2954"/>
      <c r="DJ566" s="2954"/>
      <c r="DK566" s="2954"/>
      <c r="DL566" s="2954"/>
      <c r="DM566" s="2954"/>
      <c r="DN566" s="2954"/>
      <c r="DO566" s="2954"/>
      <c r="DP566" s="2954"/>
      <c r="DQ566" s="2954"/>
      <c r="DR566" s="2954"/>
      <c r="DS566" s="2954"/>
      <c r="DT566" s="2954"/>
      <c r="DU566" s="2954"/>
      <c r="DV566" s="2954"/>
    </row>
    <row r="567" s="799" customFormat="1" ht="14.25" hidden="1" customHeight="1" spans="1:126">
      <c r="A567" s="2952" t="s">
        <v>4214</v>
      </c>
      <c r="B567" s="2952"/>
      <c r="C567" s="2952" t="s">
        <v>6940</v>
      </c>
      <c r="D567" s="2952"/>
      <c r="E567" s="2952"/>
      <c r="F567" s="2952"/>
      <c r="G567" s="2952"/>
      <c r="H567" s="2952"/>
      <c r="I567" s="2952"/>
      <c r="J567" s="2952"/>
      <c r="K567" s="2952"/>
      <c r="L567" s="2952"/>
      <c r="M567" s="2952"/>
      <c r="N567" s="2952"/>
      <c r="O567" s="2952"/>
      <c r="P567" s="2952"/>
      <c r="Q567" s="2952"/>
      <c r="R567" s="2952"/>
      <c r="S567" s="2952"/>
      <c r="T567" s="2952"/>
      <c r="U567" s="2952"/>
      <c r="V567" s="2952" t="s">
        <v>6941</v>
      </c>
      <c r="W567" s="2952"/>
      <c r="X567" s="2952"/>
      <c r="Y567" s="2952"/>
      <c r="Z567" s="2952"/>
      <c r="AA567" s="2952"/>
      <c r="AB567" s="2952"/>
      <c r="AC567" s="2952"/>
      <c r="AD567" s="2952"/>
      <c r="AE567" s="2952"/>
      <c r="AF567" s="2952"/>
      <c r="AG567" s="2952" t="s">
        <v>6942</v>
      </c>
      <c r="AH567" s="2952"/>
      <c r="AI567" s="2952"/>
      <c r="AJ567" s="2952"/>
      <c r="AK567" s="2952"/>
      <c r="AL567" s="2952"/>
      <c r="AM567" s="2952"/>
      <c r="AN567" s="2952"/>
      <c r="AO567" s="2952"/>
      <c r="AP567" s="2952"/>
    </row>
    <row r="568" s="799" customFormat="1" ht="12.75" hidden="1" customHeight="1" spans="1:126">
      <c r="A568" s="2955">
        <f>UnosPorBilans!B241</f>
        <v>0</v>
      </c>
      <c r="B568" s="2955"/>
      <c r="C568" s="2955"/>
      <c r="D568" s="2955"/>
      <c r="E568" s="2955"/>
      <c r="F568" s="2955"/>
      <c r="G568" s="2955"/>
      <c r="H568" s="2955"/>
      <c r="I568" s="2955"/>
      <c r="J568" s="2955"/>
      <c r="K568" s="2955"/>
      <c r="L568" s="2955"/>
      <c r="M568" s="2955"/>
      <c r="N568" s="2955"/>
      <c r="O568" s="2955"/>
      <c r="P568" s="2955"/>
      <c r="Q568" s="2955"/>
      <c r="R568" s="2955"/>
      <c r="S568" s="2955"/>
      <c r="T568" s="2955"/>
      <c r="U568" s="2955"/>
      <c r="V568" s="2955">
        <f>UnosPorBilans!I241</f>
        <v>0</v>
      </c>
      <c r="W568" s="2955"/>
      <c r="X568" s="2955"/>
      <c r="Y568" s="2955"/>
      <c r="Z568" s="2955"/>
      <c r="AA568" s="2955"/>
      <c r="AB568" s="2955"/>
      <c r="AC568" s="2955"/>
      <c r="AD568" s="2955"/>
      <c r="AE568" s="2955"/>
      <c r="AF568" s="2955"/>
      <c r="AG568" s="2955">
        <f>UnosPorBilans!N241</f>
        <v>0</v>
      </c>
      <c r="AH568" s="2955"/>
      <c r="AI568" s="2955"/>
      <c r="AJ568" s="2955"/>
      <c r="AK568" s="2955"/>
      <c r="AL568" s="2955"/>
      <c r="AM568" s="2955"/>
      <c r="AN568" s="2955"/>
      <c r="AO568" s="2955"/>
      <c r="AP568" s="2955"/>
    </row>
    <row r="569" s="799" customFormat="1" ht="12.75" hidden="1" customHeight="1" spans="1:126">
      <c r="A569" s="2952" t="s">
        <v>6943</v>
      </c>
      <c r="B569" s="2952"/>
      <c r="C569" s="2952"/>
      <c r="D569" s="2952"/>
      <c r="E569" s="2952"/>
      <c r="F569" s="2952"/>
      <c r="G569" s="2952"/>
      <c r="H569" s="2952"/>
      <c r="I569" s="2952"/>
      <c r="J569" s="2952"/>
      <c r="K569" s="2952" t="s">
        <v>6944</v>
      </c>
      <c r="L569" s="2952"/>
      <c r="M569" s="2952"/>
      <c r="N569" s="2952"/>
      <c r="O569" s="2952"/>
      <c r="P569" s="2952"/>
      <c r="Q569" s="2952"/>
      <c r="R569" s="2952"/>
      <c r="S569" s="2952"/>
      <c r="T569" s="2952"/>
      <c r="U569" s="2952"/>
      <c r="V569" s="2952" t="s">
        <v>6945</v>
      </c>
      <c r="W569" s="2952"/>
      <c r="X569" s="2952"/>
      <c r="Y569" s="2952"/>
      <c r="Z569" s="2952"/>
      <c r="AA569" s="2952"/>
      <c r="AB569" s="2952"/>
      <c r="AC569" s="2952"/>
      <c r="AD569" s="2952"/>
      <c r="AE569" s="2952"/>
      <c r="AF569" s="2952"/>
      <c r="AG569" s="2952" t="s">
        <v>6946</v>
      </c>
      <c r="AH569" s="2952"/>
      <c r="AI569" s="2952"/>
      <c r="AJ569" s="2952"/>
      <c r="AK569" s="2952"/>
      <c r="AL569" s="2952"/>
      <c r="AM569" s="2952"/>
      <c r="AN569" s="2952"/>
      <c r="AO569" s="2952"/>
      <c r="AP569" s="2952"/>
    </row>
    <row r="570" s="799" customFormat="1" ht="12.75" hidden="1" customHeight="1" spans="1:126">
      <c r="A570" s="2955">
        <f>UnosPorBilans!S241</f>
        <v>0</v>
      </c>
      <c r="B570" s="2955"/>
      <c r="C570" s="2955"/>
      <c r="D570" s="2955"/>
      <c r="E570" s="2955"/>
      <c r="F570" s="2955"/>
      <c r="G570" s="2955"/>
      <c r="H570" s="2955"/>
      <c r="I570" s="2955"/>
      <c r="J570" s="2955"/>
      <c r="K570" s="2955">
        <f>UnosPorBilans!W241</f>
        <v>0</v>
      </c>
      <c r="L570" s="2955"/>
      <c r="M570" s="2955"/>
      <c r="N570" s="2955"/>
      <c r="O570" s="2955"/>
      <c r="P570" s="2955"/>
      <c r="Q570" s="2955"/>
      <c r="R570" s="2955"/>
      <c r="S570" s="2955"/>
      <c r="T570" s="2955"/>
      <c r="U570" s="2955"/>
      <c r="V570" s="2955">
        <f>UnosPorBilans!AB241</f>
        <v>0</v>
      </c>
      <c r="W570" s="2955"/>
      <c r="X570" s="2955"/>
      <c r="Y570" s="2955"/>
      <c r="Z570" s="2955"/>
      <c r="AA570" s="2955"/>
      <c r="AB570" s="2955"/>
      <c r="AC570" s="2955"/>
      <c r="AD570" s="2955"/>
      <c r="AE570" s="2955"/>
      <c r="AF570" s="2955"/>
      <c r="AG570" s="2955">
        <f>UnosPorBilans!AG241</f>
        <v>0</v>
      </c>
      <c r="AH570" s="2955"/>
      <c r="AI570" s="2955"/>
      <c r="AJ570" s="2955"/>
      <c r="AK570" s="2955"/>
      <c r="AL570" s="2955"/>
      <c r="AM570" s="2955"/>
      <c r="AN570" s="2955"/>
      <c r="AO570" s="2955"/>
      <c r="AP570" s="2955"/>
    </row>
    <row r="571" s="799" customFormat="1" ht="12.75" hidden="1" customHeight="1" spans="1:126">
      <c r="A571" s="2952" t="s">
        <v>6947</v>
      </c>
      <c r="B571" s="2952"/>
      <c r="C571" s="2952"/>
      <c r="D571" s="2952"/>
      <c r="E571" s="2952"/>
      <c r="F571" s="2952"/>
      <c r="G571" s="2952"/>
      <c r="H571" s="2952"/>
      <c r="I571" s="2952"/>
      <c r="J571" s="2952"/>
      <c r="K571" s="2952"/>
      <c r="L571" s="2952"/>
      <c r="M571" s="2952"/>
      <c r="N571" s="2952"/>
      <c r="O571" s="2952"/>
      <c r="P571" s="2952"/>
      <c r="Q571" s="2952"/>
      <c r="R571" s="2952"/>
      <c r="S571" s="2952"/>
      <c r="T571" s="2952"/>
      <c r="U571" s="2952"/>
      <c r="V571" s="2952" t="s">
        <v>6948</v>
      </c>
      <c r="W571" s="2952"/>
      <c r="X571" s="2952"/>
      <c r="Y571" s="2952"/>
      <c r="Z571" s="2952"/>
      <c r="AA571" s="2952"/>
      <c r="AB571" s="2952"/>
      <c r="AC571" s="2952"/>
      <c r="AD571" s="2952"/>
      <c r="AE571" s="2952"/>
      <c r="AF571" s="2952"/>
      <c r="AG571" s="2952"/>
      <c r="AH571" s="2952"/>
      <c r="AI571" s="2952"/>
      <c r="AJ571" s="2952"/>
      <c r="AK571" s="2952"/>
      <c r="AL571" s="2952"/>
      <c r="AM571" s="2952"/>
      <c r="AN571" s="2952"/>
      <c r="AO571" s="2952"/>
      <c r="AP571" s="2952"/>
    </row>
    <row r="572" s="799" customFormat="1" ht="12.75" hidden="1" customHeight="1" spans="1:126">
      <c r="A572" s="2955">
        <f>UnosPorBilans!AL241</f>
        <v>0</v>
      </c>
      <c r="B572" s="2955"/>
      <c r="C572" s="2955"/>
      <c r="D572" s="2955"/>
      <c r="E572" s="2955"/>
      <c r="F572" s="2955"/>
      <c r="G572" s="2955"/>
      <c r="H572" s="2955"/>
      <c r="I572" s="2955"/>
      <c r="J572" s="2955"/>
      <c r="K572" s="2955"/>
      <c r="L572" s="2955"/>
      <c r="M572" s="2955"/>
      <c r="N572" s="2955"/>
      <c r="O572" s="2955"/>
      <c r="P572" s="2955"/>
      <c r="Q572" s="2955"/>
      <c r="R572" s="2955"/>
      <c r="S572" s="2955"/>
      <c r="T572" s="2955"/>
      <c r="U572" s="2955"/>
      <c r="V572" s="2955">
        <f>UnosPorBilans!AS241</f>
        <v>0</v>
      </c>
      <c r="W572" s="2955"/>
      <c r="X572" s="2955"/>
      <c r="Y572" s="2955"/>
      <c r="Z572" s="2955"/>
      <c r="AA572" s="2955"/>
      <c r="AB572" s="2955"/>
      <c r="AC572" s="2955"/>
      <c r="AD572" s="2955"/>
      <c r="AE572" s="2955"/>
      <c r="AF572" s="2955"/>
      <c r="AG572" s="2955"/>
      <c r="AH572" s="2955"/>
      <c r="AI572" s="2955"/>
      <c r="AJ572" s="2955"/>
      <c r="AK572" s="2955"/>
      <c r="AL572" s="2955"/>
      <c r="AM572" s="2955"/>
      <c r="AN572" s="2955"/>
      <c r="AO572" s="2955"/>
      <c r="AP572" s="2955"/>
    </row>
    <row r="573" s="799" customFormat="1" ht="14.25" hidden="1" customHeight="1" spans="1:126">
      <c r="A573" s="2954"/>
      <c r="B573" s="2954"/>
      <c r="C573" s="2954"/>
      <c r="D573" s="2954"/>
      <c r="E573" s="2954"/>
      <c r="F573" s="2954"/>
      <c r="G573" s="2954"/>
      <c r="H573" s="2954"/>
      <c r="I573" s="2954"/>
      <c r="J573" s="2954"/>
      <c r="K573" s="2954"/>
      <c r="L573" s="2954"/>
      <c r="M573" s="2954"/>
      <c r="N573" s="2954"/>
      <c r="O573" s="2954"/>
      <c r="P573" s="2954"/>
      <c r="Q573" s="2954"/>
      <c r="R573" s="2954"/>
      <c r="S573" s="2954"/>
      <c r="T573" s="2954"/>
      <c r="U573" s="2954"/>
      <c r="V573" s="2954"/>
      <c r="W573" s="2954"/>
      <c r="X573" s="2954"/>
      <c r="Y573" s="2954"/>
      <c r="Z573" s="2954"/>
      <c r="AA573" s="2954"/>
      <c r="AB573" s="2954"/>
      <c r="AC573" s="2954"/>
      <c r="AD573" s="2954"/>
      <c r="AE573" s="2954"/>
      <c r="AF573" s="2954"/>
      <c r="AG573" s="2954"/>
      <c r="AH573" s="2954"/>
      <c r="AI573" s="2954"/>
      <c r="AJ573" s="2954"/>
      <c r="AK573" s="2954"/>
      <c r="AL573" s="2954"/>
      <c r="AM573" s="2954"/>
      <c r="AN573" s="2954"/>
      <c r="AO573" s="2954"/>
      <c r="AP573" s="2954"/>
      <c r="AQ573" s="2954"/>
      <c r="AR573" s="2954"/>
      <c r="AS573" s="2954"/>
      <c r="AT573" s="2954"/>
      <c r="AU573" s="2954"/>
      <c r="AV573" s="2954"/>
      <c r="AW573" s="2954"/>
      <c r="AX573" s="2954"/>
      <c r="AY573" s="2954"/>
      <c r="AZ573" s="2954"/>
      <c r="BA573" s="2954"/>
      <c r="BB573" s="2954"/>
      <c r="BC573" s="2954"/>
      <c r="BD573" s="2954"/>
      <c r="BE573" s="2954"/>
      <c r="BF573" s="2954"/>
      <c r="BG573" s="2954"/>
      <c r="BH573" s="2954"/>
      <c r="BI573" s="2954"/>
      <c r="BJ573" s="2954"/>
      <c r="BK573" s="2954"/>
      <c r="BL573" s="2954"/>
      <c r="BM573" s="2954"/>
      <c r="BN573" s="2954"/>
      <c r="BO573" s="2954"/>
      <c r="BP573" s="2954"/>
      <c r="BQ573" s="2954"/>
      <c r="BR573" s="2954"/>
      <c r="BS573" s="2954"/>
      <c r="BT573" s="2954"/>
      <c r="BU573" s="2954"/>
      <c r="BV573" s="2954"/>
      <c r="BW573" s="2954"/>
      <c r="BX573" s="2954"/>
      <c r="BY573" s="2954"/>
      <c r="BZ573" s="2954"/>
      <c r="CA573" s="2954"/>
      <c r="CB573" s="2954"/>
      <c r="CC573" s="2954"/>
      <c r="CD573" s="2954"/>
      <c r="CE573" s="2954"/>
      <c r="CF573" s="2954"/>
      <c r="CG573" s="2954"/>
      <c r="CH573" s="2954"/>
      <c r="CI573" s="2954"/>
      <c r="CJ573" s="2954"/>
      <c r="CK573" s="2954"/>
      <c r="CL573" s="2954"/>
      <c r="CM573" s="2954"/>
      <c r="CN573" s="2954"/>
      <c r="CO573" s="2954"/>
      <c r="CP573" s="2954"/>
      <c r="CQ573" s="2954"/>
      <c r="CR573" s="2954"/>
      <c r="CS573" s="2954"/>
      <c r="CT573" s="2954"/>
      <c r="CU573" s="2954"/>
      <c r="CV573" s="2954"/>
      <c r="CW573" s="2954"/>
      <c r="CX573" s="2954"/>
      <c r="CY573" s="2954"/>
      <c r="CZ573" s="2954"/>
      <c r="DA573" s="2954"/>
      <c r="DB573" s="2954"/>
      <c r="DC573" s="2954"/>
      <c r="DD573" s="2954"/>
      <c r="DE573" s="2954"/>
      <c r="DF573" s="2954"/>
      <c r="DG573" s="2954"/>
      <c r="DH573" s="2954"/>
      <c r="DI573" s="2954"/>
      <c r="DJ573" s="2954"/>
      <c r="DK573" s="2954"/>
      <c r="DL573" s="2954"/>
      <c r="DM573" s="2954"/>
      <c r="DN573" s="2954"/>
      <c r="DO573" s="2954"/>
      <c r="DP573" s="2954"/>
      <c r="DQ573" s="2954"/>
      <c r="DR573" s="2954"/>
      <c r="DS573" s="2954"/>
      <c r="DT573" s="2954"/>
      <c r="DU573" s="2954"/>
      <c r="DV573" s="2954"/>
    </row>
    <row r="574" s="799" customFormat="1" ht="14.25" hidden="1" customHeight="1" spans="1:126">
      <c r="A574" s="2952" t="s">
        <v>4214</v>
      </c>
      <c r="B574" s="2952"/>
      <c r="C574" s="2952" t="s">
        <v>6940</v>
      </c>
      <c r="D574" s="2952"/>
      <c r="E574" s="2952"/>
      <c r="F574" s="2952"/>
      <c r="G574" s="2952"/>
      <c r="H574" s="2952"/>
      <c r="I574" s="2952"/>
      <c r="J574" s="2952"/>
      <c r="K574" s="2952"/>
      <c r="L574" s="2952"/>
      <c r="M574" s="2952"/>
      <c r="N574" s="2952"/>
      <c r="O574" s="2952"/>
      <c r="P574" s="2952"/>
      <c r="Q574" s="2952"/>
      <c r="R574" s="2952"/>
      <c r="S574" s="2952"/>
      <c r="T574" s="2952"/>
      <c r="U574" s="2952"/>
      <c r="V574" s="2952" t="s">
        <v>6941</v>
      </c>
      <c r="W574" s="2952"/>
      <c r="X574" s="2952"/>
      <c r="Y574" s="2952"/>
      <c r="Z574" s="2952"/>
      <c r="AA574" s="2952"/>
      <c r="AB574" s="2952"/>
      <c r="AC574" s="2952"/>
      <c r="AD574" s="2952"/>
      <c r="AE574" s="2952"/>
      <c r="AF574" s="2952"/>
      <c r="AG574" s="2952" t="s">
        <v>6942</v>
      </c>
      <c r="AH574" s="2952"/>
      <c r="AI574" s="2952"/>
      <c r="AJ574" s="2952"/>
      <c r="AK574" s="2952"/>
      <c r="AL574" s="2952"/>
      <c r="AM574" s="2952"/>
      <c r="AN574" s="2952"/>
      <c r="AO574" s="2952"/>
      <c r="AP574" s="2952"/>
    </row>
    <row r="575" s="799" customFormat="1" ht="12.75" hidden="1" customHeight="1" spans="1:126">
      <c r="A575" s="2955">
        <f>UnosPorBilans!B242</f>
        <v>0</v>
      </c>
      <c r="B575" s="2955"/>
      <c r="C575" s="2955"/>
      <c r="D575" s="2955"/>
      <c r="E575" s="2955"/>
      <c r="F575" s="2955"/>
      <c r="G575" s="2955"/>
      <c r="H575" s="2955"/>
      <c r="I575" s="2955"/>
      <c r="J575" s="2955"/>
      <c r="K575" s="2955"/>
      <c r="L575" s="2955"/>
      <c r="M575" s="2955"/>
      <c r="N575" s="2955"/>
      <c r="O575" s="2955"/>
      <c r="P575" s="2955"/>
      <c r="Q575" s="2955"/>
      <c r="R575" s="2955"/>
      <c r="S575" s="2955"/>
      <c r="T575" s="2955"/>
      <c r="U575" s="2955"/>
      <c r="V575" s="2955">
        <f>UnosPorBilans!I242</f>
        <v>0</v>
      </c>
      <c r="W575" s="2955"/>
      <c r="X575" s="2955"/>
      <c r="Y575" s="2955"/>
      <c r="Z575" s="2955"/>
      <c r="AA575" s="2955"/>
      <c r="AB575" s="2955"/>
      <c r="AC575" s="2955"/>
      <c r="AD575" s="2955"/>
      <c r="AE575" s="2955"/>
      <c r="AF575" s="2955"/>
      <c r="AG575" s="2955">
        <f>UnosPorBilans!N242</f>
        <v>0</v>
      </c>
      <c r="AH575" s="2955"/>
      <c r="AI575" s="2955"/>
      <c r="AJ575" s="2955"/>
      <c r="AK575" s="2955"/>
      <c r="AL575" s="2955"/>
      <c r="AM575" s="2955"/>
      <c r="AN575" s="2955"/>
      <c r="AO575" s="2955"/>
      <c r="AP575" s="2955"/>
    </row>
    <row r="576" s="799" customFormat="1" ht="12.75" hidden="1" customHeight="1" spans="1:126">
      <c r="A576" s="2952" t="s">
        <v>6943</v>
      </c>
      <c r="B576" s="2952"/>
      <c r="C576" s="2952"/>
      <c r="D576" s="2952"/>
      <c r="E576" s="2952"/>
      <c r="F576" s="2952"/>
      <c r="G576" s="2952"/>
      <c r="H576" s="2952"/>
      <c r="I576" s="2952"/>
      <c r="J576" s="2952"/>
      <c r="K576" s="2952" t="s">
        <v>6944</v>
      </c>
      <c r="L576" s="2952"/>
      <c r="M576" s="2952"/>
      <c r="N576" s="2952"/>
      <c r="O576" s="2952"/>
      <c r="P576" s="2952"/>
      <c r="Q576" s="2952"/>
      <c r="R576" s="2952"/>
      <c r="S576" s="2952"/>
      <c r="T576" s="2952"/>
      <c r="U576" s="2952"/>
      <c r="V576" s="2952" t="s">
        <v>6945</v>
      </c>
      <c r="W576" s="2952"/>
      <c r="X576" s="2952"/>
      <c r="Y576" s="2952"/>
      <c r="Z576" s="2952"/>
      <c r="AA576" s="2952"/>
      <c r="AB576" s="2952"/>
      <c r="AC576" s="2952"/>
      <c r="AD576" s="2952"/>
      <c r="AE576" s="2952"/>
      <c r="AF576" s="2952"/>
      <c r="AG576" s="2952" t="s">
        <v>6946</v>
      </c>
      <c r="AH576" s="2952"/>
      <c r="AI576" s="2952"/>
      <c r="AJ576" s="2952"/>
      <c r="AK576" s="2952"/>
      <c r="AL576" s="2952"/>
      <c r="AM576" s="2952"/>
      <c r="AN576" s="2952"/>
      <c r="AO576" s="2952"/>
      <c r="AP576" s="2952"/>
    </row>
    <row r="577" s="799" customFormat="1" ht="12.75" hidden="1" customHeight="1" spans="1:126">
      <c r="A577" s="2955">
        <f>UnosPorBilans!S242</f>
        <v>0</v>
      </c>
      <c r="B577" s="2955"/>
      <c r="C577" s="2955"/>
      <c r="D577" s="2955"/>
      <c r="E577" s="2955"/>
      <c r="F577" s="2955"/>
      <c r="G577" s="2955"/>
      <c r="H577" s="2955"/>
      <c r="I577" s="2955"/>
      <c r="J577" s="2955"/>
      <c r="K577" s="2955">
        <f>UnosPorBilans!W242</f>
        <v>0</v>
      </c>
      <c r="L577" s="2955"/>
      <c r="M577" s="2955"/>
      <c r="N577" s="2955"/>
      <c r="O577" s="2955"/>
      <c r="P577" s="2955"/>
      <c r="Q577" s="2955"/>
      <c r="R577" s="2955"/>
      <c r="S577" s="2955"/>
      <c r="T577" s="2955"/>
      <c r="U577" s="2955"/>
      <c r="V577" s="2955">
        <f>UnosPorBilans!AB242</f>
        <v>0</v>
      </c>
      <c r="W577" s="2955"/>
      <c r="X577" s="2955"/>
      <c r="Y577" s="2955"/>
      <c r="Z577" s="2955"/>
      <c r="AA577" s="2955"/>
      <c r="AB577" s="2955"/>
      <c r="AC577" s="2955"/>
      <c r="AD577" s="2955"/>
      <c r="AE577" s="2955"/>
      <c r="AF577" s="2955"/>
      <c r="AG577" s="2955">
        <f>UnosPorBilans!AG242</f>
        <v>0</v>
      </c>
      <c r="AH577" s="2955"/>
      <c r="AI577" s="2955"/>
      <c r="AJ577" s="2955"/>
      <c r="AK577" s="2955"/>
      <c r="AL577" s="2955"/>
      <c r="AM577" s="2955"/>
      <c r="AN577" s="2955"/>
      <c r="AO577" s="2955"/>
      <c r="AP577" s="2955"/>
    </row>
    <row r="578" s="799" customFormat="1" ht="12.75" hidden="1" customHeight="1" spans="1:126">
      <c r="A578" s="2952" t="s">
        <v>6947</v>
      </c>
      <c r="B578" s="2952"/>
      <c r="C578" s="2952"/>
      <c r="D578" s="2952"/>
      <c r="E578" s="2952"/>
      <c r="F578" s="2952"/>
      <c r="G578" s="2952"/>
      <c r="H578" s="2952"/>
      <c r="I578" s="2952"/>
      <c r="J578" s="2952"/>
      <c r="K578" s="2952"/>
      <c r="L578" s="2952"/>
      <c r="M578" s="2952"/>
      <c r="N578" s="2952"/>
      <c r="O578" s="2952"/>
      <c r="P578" s="2952"/>
      <c r="Q578" s="2952"/>
      <c r="R578" s="2952"/>
      <c r="S578" s="2952"/>
      <c r="T578" s="2952"/>
      <c r="U578" s="2952"/>
      <c r="V578" s="2952" t="s">
        <v>6948</v>
      </c>
      <c r="W578" s="2952"/>
      <c r="X578" s="2952"/>
      <c r="Y578" s="2952"/>
      <c r="Z578" s="2952"/>
      <c r="AA578" s="2952"/>
      <c r="AB578" s="2952"/>
      <c r="AC578" s="2952"/>
      <c r="AD578" s="2952"/>
      <c r="AE578" s="2952"/>
      <c r="AF578" s="2952"/>
      <c r="AG578" s="2952"/>
      <c r="AH578" s="2952"/>
      <c r="AI578" s="2952"/>
      <c r="AJ578" s="2952"/>
      <c r="AK578" s="2952"/>
      <c r="AL578" s="2952"/>
      <c r="AM578" s="2952"/>
      <c r="AN578" s="2952"/>
      <c r="AO578" s="2952"/>
      <c r="AP578" s="2952"/>
    </row>
    <row r="579" s="799" customFormat="1" ht="12.75" hidden="1" customHeight="1" spans="1:126">
      <c r="A579" s="2955">
        <f>UnosPorBilans!AL242</f>
        <v>0</v>
      </c>
      <c r="B579" s="2955"/>
      <c r="C579" s="2955"/>
      <c r="D579" s="2955"/>
      <c r="E579" s="2955"/>
      <c r="F579" s="2955"/>
      <c r="G579" s="2955"/>
      <c r="H579" s="2955"/>
      <c r="I579" s="2955"/>
      <c r="J579" s="2955"/>
      <c r="K579" s="2955"/>
      <c r="L579" s="2955"/>
      <c r="M579" s="2955"/>
      <c r="N579" s="2955"/>
      <c r="O579" s="2955"/>
      <c r="P579" s="2955"/>
      <c r="Q579" s="2955"/>
      <c r="R579" s="2955"/>
      <c r="S579" s="2955"/>
      <c r="T579" s="2955"/>
      <c r="U579" s="2955"/>
      <c r="V579" s="2955">
        <f>UnosPorBilans!AS242</f>
        <v>0</v>
      </c>
      <c r="W579" s="2955"/>
      <c r="X579" s="2955"/>
      <c r="Y579" s="2955"/>
      <c r="Z579" s="2955"/>
      <c r="AA579" s="2955"/>
      <c r="AB579" s="2955"/>
      <c r="AC579" s="2955"/>
      <c r="AD579" s="2955"/>
      <c r="AE579" s="2955"/>
      <c r="AF579" s="2955"/>
      <c r="AG579" s="2955"/>
      <c r="AH579" s="2955"/>
      <c r="AI579" s="2955"/>
      <c r="AJ579" s="2955"/>
      <c r="AK579" s="2955"/>
      <c r="AL579" s="2955"/>
      <c r="AM579" s="2955"/>
      <c r="AN579" s="2955"/>
      <c r="AO579" s="2955"/>
      <c r="AP579" s="2955"/>
    </row>
    <row r="580" s="799" customFormat="1" ht="14.25" hidden="1" customHeight="1" spans="1:126">
      <c r="A580" s="2954"/>
      <c r="B580" s="2954"/>
      <c r="C580" s="2954"/>
      <c r="D580" s="2954"/>
      <c r="E580" s="2954"/>
      <c r="F580" s="2954"/>
      <c r="G580" s="2954"/>
      <c r="H580" s="2954"/>
      <c r="I580" s="2954"/>
      <c r="J580" s="2954"/>
      <c r="K580" s="2954"/>
      <c r="L580" s="2954"/>
      <c r="M580" s="2954"/>
      <c r="N580" s="2954"/>
      <c r="O580" s="2954"/>
      <c r="P580" s="2954"/>
      <c r="Q580" s="2954"/>
      <c r="R580" s="2954"/>
      <c r="S580" s="2954"/>
      <c r="T580" s="2954"/>
      <c r="U580" s="2954"/>
      <c r="V580" s="2954"/>
      <c r="W580" s="2954"/>
      <c r="X580" s="2954"/>
      <c r="Y580" s="2954"/>
      <c r="Z580" s="2954"/>
      <c r="AA580" s="2954"/>
      <c r="AB580" s="2954"/>
      <c r="AC580" s="2954"/>
      <c r="AD580" s="2954"/>
      <c r="AE580" s="2954"/>
      <c r="AF580" s="2954"/>
      <c r="AG580" s="2954"/>
      <c r="AH580" s="2954"/>
      <c r="AI580" s="2954"/>
      <c r="AJ580" s="2954"/>
      <c r="AK580" s="2954"/>
      <c r="AL580" s="2954"/>
      <c r="AM580" s="2954"/>
      <c r="AN580" s="2954"/>
      <c r="AO580" s="2954"/>
      <c r="AP580" s="2954"/>
      <c r="AQ580" s="2954"/>
      <c r="AR580" s="2954"/>
      <c r="AS580" s="2954"/>
      <c r="AT580" s="2954"/>
      <c r="AU580" s="2954"/>
      <c r="AV580" s="2954"/>
      <c r="AW580" s="2954"/>
      <c r="AX580" s="2954"/>
      <c r="AY580" s="2954"/>
      <c r="AZ580" s="2954"/>
      <c r="BA580" s="2954"/>
      <c r="BB580" s="2954"/>
      <c r="BC580" s="2954"/>
      <c r="BD580" s="2954"/>
      <c r="BE580" s="2954"/>
      <c r="BF580" s="2954"/>
      <c r="BG580" s="2954"/>
      <c r="BH580" s="2954"/>
      <c r="BI580" s="2954"/>
      <c r="BJ580" s="2954"/>
      <c r="BK580" s="2954"/>
      <c r="BL580" s="2954"/>
      <c r="BM580" s="2954"/>
      <c r="BN580" s="2954"/>
      <c r="BO580" s="2954"/>
      <c r="BP580" s="2954"/>
      <c r="BQ580" s="2954"/>
      <c r="BR580" s="2954"/>
      <c r="BS580" s="2954"/>
      <c r="BT580" s="2954"/>
      <c r="BU580" s="2954"/>
      <c r="BV580" s="2954"/>
      <c r="BW580" s="2954"/>
      <c r="BX580" s="2954"/>
      <c r="BY580" s="2954"/>
      <c r="BZ580" s="2954"/>
      <c r="CA580" s="2954"/>
      <c r="CB580" s="2954"/>
      <c r="CC580" s="2954"/>
      <c r="CD580" s="2954"/>
      <c r="CE580" s="2954"/>
      <c r="CF580" s="2954"/>
      <c r="CG580" s="2954"/>
      <c r="CH580" s="2954"/>
      <c r="CI580" s="2954"/>
      <c r="CJ580" s="2954"/>
      <c r="CK580" s="2954"/>
      <c r="CL580" s="2954"/>
      <c r="CM580" s="2954"/>
      <c r="CN580" s="2954"/>
      <c r="CO580" s="2954"/>
      <c r="CP580" s="2954"/>
      <c r="CQ580" s="2954"/>
      <c r="CR580" s="2954"/>
      <c r="CS580" s="2954"/>
      <c r="CT580" s="2954"/>
      <c r="CU580" s="2954"/>
      <c r="CV580" s="2954"/>
      <c r="CW580" s="2954"/>
      <c r="CX580" s="2954"/>
      <c r="CY580" s="2954"/>
      <c r="CZ580" s="2954"/>
      <c r="DA580" s="2954"/>
      <c r="DB580" s="2954"/>
      <c r="DC580" s="2954"/>
      <c r="DD580" s="2954"/>
      <c r="DE580" s="2954"/>
      <c r="DF580" s="2954"/>
      <c r="DG580" s="2954"/>
      <c r="DH580" s="2954"/>
      <c r="DI580" s="2954"/>
      <c r="DJ580" s="2954"/>
      <c r="DK580" s="2954"/>
      <c r="DL580" s="2954"/>
      <c r="DM580" s="2954"/>
      <c r="DN580" s="2954"/>
      <c r="DO580" s="2954"/>
      <c r="DP580" s="2954"/>
      <c r="DQ580" s="2954"/>
      <c r="DR580" s="2954"/>
      <c r="DS580" s="2954"/>
      <c r="DT580" s="2954"/>
      <c r="DU580" s="2954"/>
      <c r="DV580" s="2954"/>
    </row>
    <row r="581" s="799" customFormat="1" ht="14.25" hidden="1" customHeight="1" spans="1:126">
      <c r="A581" s="2952" t="s">
        <v>4214</v>
      </c>
      <c r="B581" s="2952"/>
      <c r="C581" s="2952" t="s">
        <v>6940</v>
      </c>
      <c r="D581" s="2952"/>
      <c r="E581" s="2952"/>
      <c r="F581" s="2952"/>
      <c r="G581" s="2952"/>
      <c r="H581" s="2952"/>
      <c r="I581" s="2952"/>
      <c r="J581" s="2952"/>
      <c r="K581" s="2952"/>
      <c r="L581" s="2952"/>
      <c r="M581" s="2952"/>
      <c r="N581" s="2952"/>
      <c r="O581" s="2952"/>
      <c r="P581" s="2952"/>
      <c r="Q581" s="2952"/>
      <c r="R581" s="2952"/>
      <c r="S581" s="2952"/>
      <c r="T581" s="2952"/>
      <c r="U581" s="2952"/>
      <c r="V581" s="2952" t="s">
        <v>6941</v>
      </c>
      <c r="W581" s="2952"/>
      <c r="X581" s="2952"/>
      <c r="Y581" s="2952"/>
      <c r="Z581" s="2952"/>
      <c r="AA581" s="2952"/>
      <c r="AB581" s="2952"/>
      <c r="AC581" s="2952"/>
      <c r="AD581" s="2952"/>
      <c r="AE581" s="2952"/>
      <c r="AF581" s="2952"/>
      <c r="AG581" s="2952" t="s">
        <v>6942</v>
      </c>
      <c r="AH581" s="2952"/>
      <c r="AI581" s="2952"/>
      <c r="AJ581" s="2952"/>
      <c r="AK581" s="2952"/>
      <c r="AL581" s="2952"/>
      <c r="AM581" s="2952"/>
      <c r="AN581" s="2952"/>
      <c r="AO581" s="2952"/>
      <c r="AP581" s="2952"/>
    </row>
    <row r="582" s="799" customFormat="1" ht="12.75" hidden="1" customHeight="1" spans="1:126">
      <c r="A582" s="2955">
        <f>UnosPorBilans!B243</f>
        <v>0</v>
      </c>
      <c r="B582" s="2955"/>
      <c r="C582" s="2955"/>
      <c r="D582" s="2955"/>
      <c r="E582" s="2955"/>
      <c r="F582" s="2955"/>
      <c r="G582" s="2955"/>
      <c r="H582" s="2955"/>
      <c r="I582" s="2955"/>
      <c r="J582" s="2955"/>
      <c r="K582" s="2955"/>
      <c r="L582" s="2955"/>
      <c r="M582" s="2955"/>
      <c r="N582" s="2955"/>
      <c r="O582" s="2955"/>
      <c r="P582" s="2955"/>
      <c r="Q582" s="2955"/>
      <c r="R582" s="2955"/>
      <c r="S582" s="2955"/>
      <c r="T582" s="2955"/>
      <c r="U582" s="2955"/>
      <c r="V582" s="2955">
        <f>UnosPorBilans!I243</f>
        <v>0</v>
      </c>
      <c r="W582" s="2955"/>
      <c r="X582" s="2955"/>
      <c r="Y582" s="2955"/>
      <c r="Z582" s="2955"/>
      <c r="AA582" s="2955"/>
      <c r="AB582" s="2955"/>
      <c r="AC582" s="2955"/>
      <c r="AD582" s="2955"/>
      <c r="AE582" s="2955"/>
      <c r="AF582" s="2955"/>
      <c r="AG582" s="2955">
        <f>UnosPorBilans!N243</f>
        <v>0</v>
      </c>
      <c r="AH582" s="2955"/>
      <c r="AI582" s="2955"/>
      <c r="AJ582" s="2955"/>
      <c r="AK582" s="2955"/>
      <c r="AL582" s="2955"/>
      <c r="AM582" s="2955"/>
      <c r="AN582" s="2955"/>
      <c r="AO582" s="2955"/>
      <c r="AP582" s="2955"/>
    </row>
    <row r="583" s="799" customFormat="1" ht="12.75" hidden="1" customHeight="1" spans="1:126">
      <c r="A583" s="2952" t="s">
        <v>6943</v>
      </c>
      <c r="B583" s="2952"/>
      <c r="C583" s="2952"/>
      <c r="D583" s="2952"/>
      <c r="E583" s="2952"/>
      <c r="F583" s="2952"/>
      <c r="G583" s="2952"/>
      <c r="H583" s="2952"/>
      <c r="I583" s="2952"/>
      <c r="J583" s="2952"/>
      <c r="K583" s="2952" t="s">
        <v>6944</v>
      </c>
      <c r="L583" s="2952"/>
      <c r="M583" s="2952"/>
      <c r="N583" s="2952"/>
      <c r="O583" s="2952"/>
      <c r="P583" s="2952"/>
      <c r="Q583" s="2952"/>
      <c r="R583" s="2952"/>
      <c r="S583" s="2952"/>
      <c r="T583" s="2952"/>
      <c r="U583" s="2952"/>
      <c r="V583" s="2952" t="s">
        <v>6945</v>
      </c>
      <c r="W583" s="2952"/>
      <c r="X583" s="2952"/>
      <c r="Y583" s="2952"/>
      <c r="Z583" s="2952"/>
      <c r="AA583" s="2952"/>
      <c r="AB583" s="2952"/>
      <c r="AC583" s="2952"/>
      <c r="AD583" s="2952"/>
      <c r="AE583" s="2952"/>
      <c r="AF583" s="2952"/>
      <c r="AG583" s="2952" t="s">
        <v>6946</v>
      </c>
      <c r="AH583" s="2952"/>
      <c r="AI583" s="2952"/>
      <c r="AJ583" s="2952"/>
      <c r="AK583" s="2952"/>
      <c r="AL583" s="2952"/>
      <c r="AM583" s="2952"/>
      <c r="AN583" s="2952"/>
      <c r="AO583" s="2952"/>
      <c r="AP583" s="2952"/>
    </row>
    <row r="584" s="799" customFormat="1" ht="12.75" hidden="1" customHeight="1" spans="1:126">
      <c r="A584" s="2955">
        <f>UnosPorBilans!S243</f>
        <v>0</v>
      </c>
      <c r="B584" s="2955"/>
      <c r="C584" s="2955"/>
      <c r="D584" s="2955"/>
      <c r="E584" s="2955"/>
      <c r="F584" s="2955"/>
      <c r="G584" s="2955"/>
      <c r="H584" s="2955"/>
      <c r="I584" s="2955"/>
      <c r="J584" s="2955"/>
      <c r="K584" s="2955">
        <f>UnosPorBilans!W243</f>
        <v>0</v>
      </c>
      <c r="L584" s="2955"/>
      <c r="M584" s="2955"/>
      <c r="N584" s="2955"/>
      <c r="O584" s="2955"/>
      <c r="P584" s="2955"/>
      <c r="Q584" s="2955"/>
      <c r="R584" s="2955"/>
      <c r="S584" s="2955"/>
      <c r="T584" s="2955"/>
      <c r="U584" s="2955"/>
      <c r="V584" s="2955">
        <f>UnosPorBilans!AB243</f>
        <v>0</v>
      </c>
      <c r="W584" s="2955"/>
      <c r="X584" s="2955"/>
      <c r="Y584" s="2955"/>
      <c r="Z584" s="2955"/>
      <c r="AA584" s="2955"/>
      <c r="AB584" s="2955"/>
      <c r="AC584" s="2955"/>
      <c r="AD584" s="2955"/>
      <c r="AE584" s="2955"/>
      <c r="AF584" s="2955"/>
      <c r="AG584" s="2955">
        <f>UnosPorBilans!AG243</f>
        <v>0</v>
      </c>
      <c r="AH584" s="2955"/>
      <c r="AI584" s="2955"/>
      <c r="AJ584" s="2955"/>
      <c r="AK584" s="2955"/>
      <c r="AL584" s="2955"/>
      <c r="AM584" s="2955"/>
      <c r="AN584" s="2955"/>
      <c r="AO584" s="2955"/>
      <c r="AP584" s="2955"/>
    </row>
    <row r="585" s="799" customFormat="1" ht="12.75" hidden="1" customHeight="1" spans="1:126">
      <c r="A585" s="2952" t="s">
        <v>6947</v>
      </c>
      <c r="B585" s="2952"/>
      <c r="C585" s="2952"/>
      <c r="D585" s="2952"/>
      <c r="E585" s="2952"/>
      <c r="F585" s="2952"/>
      <c r="G585" s="2952"/>
      <c r="H585" s="2952"/>
      <c r="I585" s="2952"/>
      <c r="J585" s="2952"/>
      <c r="K585" s="2952"/>
      <c r="L585" s="2952"/>
      <c r="M585" s="2952"/>
      <c r="N585" s="2952"/>
      <c r="O585" s="2952"/>
      <c r="P585" s="2952"/>
      <c r="Q585" s="2952"/>
      <c r="R585" s="2952"/>
      <c r="S585" s="2952"/>
      <c r="T585" s="2952"/>
      <c r="U585" s="2952"/>
      <c r="V585" s="2952" t="s">
        <v>6948</v>
      </c>
      <c r="W585" s="2952"/>
      <c r="X585" s="2952"/>
      <c r="Y585" s="2952"/>
      <c r="Z585" s="2952"/>
      <c r="AA585" s="2952"/>
      <c r="AB585" s="2952"/>
      <c r="AC585" s="2952"/>
      <c r="AD585" s="2952"/>
      <c r="AE585" s="2952"/>
      <c r="AF585" s="2952"/>
      <c r="AG585" s="2952"/>
      <c r="AH585" s="2952"/>
      <c r="AI585" s="2952"/>
      <c r="AJ585" s="2952"/>
      <c r="AK585" s="2952"/>
      <c r="AL585" s="2952"/>
      <c r="AM585" s="2952"/>
      <c r="AN585" s="2952"/>
      <c r="AO585" s="2952"/>
      <c r="AP585" s="2952"/>
    </row>
    <row r="586" s="799" customFormat="1" ht="12.75" hidden="1" customHeight="1" spans="1:126">
      <c r="A586" s="2955">
        <f>UnosPorBilans!AL243</f>
        <v>0</v>
      </c>
      <c r="B586" s="2955"/>
      <c r="C586" s="2955"/>
      <c r="D586" s="2955"/>
      <c r="E586" s="2955"/>
      <c r="F586" s="2955"/>
      <c r="G586" s="2955"/>
      <c r="H586" s="2955"/>
      <c r="I586" s="2955"/>
      <c r="J586" s="2955"/>
      <c r="K586" s="2955"/>
      <c r="L586" s="2955"/>
      <c r="M586" s="2955"/>
      <c r="N586" s="2955"/>
      <c r="O586" s="2955"/>
      <c r="P586" s="2955"/>
      <c r="Q586" s="2955"/>
      <c r="R586" s="2955"/>
      <c r="S586" s="2955"/>
      <c r="T586" s="2955"/>
      <c r="U586" s="2955"/>
      <c r="V586" s="2955">
        <f>UnosPorBilans!AS243</f>
        <v>0</v>
      </c>
      <c r="W586" s="2955"/>
      <c r="X586" s="2955"/>
      <c r="Y586" s="2955"/>
      <c r="Z586" s="2955"/>
      <c r="AA586" s="2955"/>
      <c r="AB586" s="2955"/>
      <c r="AC586" s="2955"/>
      <c r="AD586" s="2955"/>
      <c r="AE586" s="2955"/>
      <c r="AF586" s="2955"/>
      <c r="AG586" s="2955"/>
      <c r="AH586" s="2955"/>
      <c r="AI586" s="2955"/>
      <c r="AJ586" s="2955"/>
      <c r="AK586" s="2955"/>
      <c r="AL586" s="2955"/>
      <c r="AM586" s="2955"/>
      <c r="AN586" s="2955"/>
      <c r="AO586" s="2955"/>
      <c r="AP586" s="2955"/>
    </row>
    <row r="587" s="799" customFormat="1" ht="14.25" hidden="1" customHeight="1" spans="1:126">
      <c r="A587" s="2954"/>
      <c r="B587" s="2954"/>
      <c r="C587" s="2954"/>
      <c r="D587" s="2954"/>
      <c r="E587" s="2954"/>
      <c r="F587" s="2954"/>
      <c r="G587" s="2954"/>
      <c r="H587" s="2954"/>
      <c r="I587" s="2954"/>
      <c r="J587" s="2954"/>
      <c r="K587" s="2954"/>
      <c r="L587" s="2954"/>
      <c r="M587" s="2954"/>
      <c r="N587" s="2954"/>
      <c r="O587" s="2954"/>
      <c r="P587" s="2954"/>
      <c r="Q587" s="2954"/>
      <c r="R587" s="2954"/>
      <c r="S587" s="2954"/>
      <c r="T587" s="2954"/>
      <c r="U587" s="2954"/>
      <c r="V587" s="2954"/>
      <c r="W587" s="2954"/>
      <c r="X587" s="2954"/>
      <c r="Y587" s="2954"/>
      <c r="Z587" s="2954"/>
      <c r="AA587" s="2954"/>
      <c r="AB587" s="2954"/>
      <c r="AC587" s="2954"/>
      <c r="AD587" s="2954"/>
      <c r="AE587" s="2954"/>
      <c r="AF587" s="2954"/>
      <c r="AG587" s="2954"/>
      <c r="AH587" s="2954"/>
      <c r="AI587" s="2954"/>
      <c r="AJ587" s="2954"/>
      <c r="AK587" s="2954"/>
      <c r="AL587" s="2954"/>
      <c r="AM587" s="2954"/>
      <c r="AN587" s="2954"/>
      <c r="AO587" s="2954"/>
      <c r="AP587" s="2954"/>
      <c r="AQ587" s="2954"/>
      <c r="AR587" s="2954"/>
      <c r="AS587" s="2954"/>
      <c r="AT587" s="2954"/>
      <c r="AU587" s="2954"/>
      <c r="AV587" s="2954"/>
      <c r="AW587" s="2954"/>
      <c r="AX587" s="2954"/>
      <c r="AY587" s="2954"/>
      <c r="AZ587" s="2954"/>
      <c r="BA587" s="2954"/>
      <c r="BB587" s="2954"/>
      <c r="BC587" s="2954"/>
      <c r="BD587" s="2954"/>
      <c r="BE587" s="2954"/>
      <c r="BF587" s="2954"/>
      <c r="BG587" s="2954"/>
      <c r="BH587" s="2954"/>
      <c r="BI587" s="2954"/>
      <c r="BJ587" s="2954"/>
      <c r="BK587" s="2954"/>
      <c r="BL587" s="2954"/>
      <c r="BM587" s="2954"/>
      <c r="BN587" s="2954"/>
      <c r="BO587" s="2954"/>
      <c r="BP587" s="2954"/>
      <c r="BQ587" s="2954"/>
      <c r="BR587" s="2954"/>
      <c r="BS587" s="2954"/>
      <c r="BT587" s="2954"/>
      <c r="BU587" s="2954"/>
      <c r="BV587" s="2954"/>
      <c r="BW587" s="2954"/>
      <c r="BX587" s="2954"/>
      <c r="BY587" s="2954"/>
      <c r="BZ587" s="2954"/>
      <c r="CA587" s="2954"/>
      <c r="CB587" s="2954"/>
      <c r="CC587" s="2954"/>
      <c r="CD587" s="2954"/>
      <c r="CE587" s="2954"/>
      <c r="CF587" s="2954"/>
      <c r="CG587" s="2954"/>
      <c r="CH587" s="2954"/>
      <c r="CI587" s="2954"/>
      <c r="CJ587" s="2954"/>
      <c r="CK587" s="2954"/>
      <c r="CL587" s="2954"/>
      <c r="CM587" s="2954"/>
      <c r="CN587" s="2954"/>
      <c r="CO587" s="2954"/>
      <c r="CP587" s="2954"/>
      <c r="CQ587" s="2954"/>
      <c r="CR587" s="2954"/>
      <c r="CS587" s="2954"/>
      <c r="CT587" s="2954"/>
      <c r="CU587" s="2954"/>
      <c r="CV587" s="2954"/>
      <c r="CW587" s="2954"/>
      <c r="CX587" s="2954"/>
      <c r="CY587" s="2954"/>
      <c r="CZ587" s="2954"/>
      <c r="DA587" s="2954"/>
      <c r="DB587" s="2954"/>
      <c r="DC587" s="2954"/>
      <c r="DD587" s="2954"/>
      <c r="DE587" s="2954"/>
      <c r="DF587" s="2954"/>
      <c r="DG587" s="2954"/>
      <c r="DH587" s="2954"/>
      <c r="DI587" s="2954"/>
      <c r="DJ587" s="2954"/>
      <c r="DK587" s="2954"/>
      <c r="DL587" s="2954"/>
      <c r="DM587" s="2954"/>
      <c r="DN587" s="2954"/>
      <c r="DO587" s="2954"/>
      <c r="DP587" s="2954"/>
      <c r="DQ587" s="2954"/>
      <c r="DR587" s="2954"/>
      <c r="DS587" s="2954"/>
      <c r="DT587" s="2954"/>
      <c r="DU587" s="2954"/>
      <c r="DV587" s="2954"/>
    </row>
    <row r="588" s="799" customFormat="1" ht="14.25" hidden="1" customHeight="1" spans="1:126">
      <c r="A588" s="2954"/>
      <c r="B588" s="2954"/>
      <c r="C588" s="2954"/>
      <c r="D588" s="2954"/>
      <c r="E588" s="2954"/>
      <c r="F588" s="2954"/>
      <c r="G588" s="2954"/>
      <c r="H588" s="2954"/>
      <c r="I588" s="2954"/>
      <c r="J588" s="2954"/>
      <c r="K588" s="2954"/>
      <c r="L588" s="2954"/>
      <c r="M588" s="2954"/>
      <c r="N588" s="2954"/>
      <c r="O588" s="2954"/>
      <c r="P588" s="2954"/>
      <c r="Q588" s="2954"/>
      <c r="R588" s="2954"/>
      <c r="S588" s="2954"/>
      <c r="T588" s="2954"/>
      <c r="U588" s="2954"/>
      <c r="V588" s="2954"/>
      <c r="W588" s="2954"/>
      <c r="X588" s="2954"/>
      <c r="Y588" s="2954"/>
      <c r="Z588" s="2954"/>
      <c r="AA588" s="2954"/>
      <c r="AB588" s="2954"/>
      <c r="AC588" s="2954"/>
      <c r="AD588" s="2954"/>
      <c r="AE588" s="2954"/>
      <c r="AF588" s="2954"/>
      <c r="AG588" s="2954"/>
      <c r="AH588" s="2954"/>
      <c r="AI588" s="2954"/>
      <c r="AJ588" s="2954"/>
      <c r="AK588" s="2954"/>
      <c r="AL588" s="2954"/>
      <c r="AM588" s="2954"/>
      <c r="AN588" s="2954"/>
      <c r="AO588" s="2954"/>
      <c r="AP588" s="2954"/>
      <c r="AQ588" s="2954"/>
      <c r="AR588" s="2954"/>
      <c r="AS588" s="2954"/>
      <c r="AT588" s="2954"/>
      <c r="AU588" s="2954"/>
      <c r="AV588" s="2954"/>
      <c r="AW588" s="2954"/>
      <c r="AX588" s="2954"/>
      <c r="AY588" s="2954"/>
      <c r="AZ588" s="2954"/>
      <c r="BA588" s="2954"/>
      <c r="BB588" s="2954"/>
      <c r="BC588" s="2954"/>
      <c r="BD588" s="2954"/>
      <c r="BE588" s="2954"/>
      <c r="BF588" s="2954"/>
      <c r="BG588" s="2954"/>
      <c r="BH588" s="2954"/>
      <c r="BI588" s="2954"/>
      <c r="BJ588" s="2954"/>
      <c r="BK588" s="2954"/>
      <c r="BL588" s="2954"/>
      <c r="BM588" s="2954"/>
      <c r="BN588" s="2954"/>
      <c r="BO588" s="2954"/>
      <c r="BP588" s="2954"/>
      <c r="BQ588" s="2954"/>
      <c r="BR588" s="2954"/>
      <c r="BS588" s="2954"/>
      <c r="BT588" s="2954"/>
      <c r="BU588" s="2954"/>
      <c r="BV588" s="2954"/>
      <c r="BW588" s="2954"/>
      <c r="BX588" s="2954"/>
      <c r="BY588" s="2954"/>
      <c r="BZ588" s="2954"/>
      <c r="CA588" s="2954"/>
      <c r="CB588" s="2954"/>
      <c r="CC588" s="2954"/>
      <c r="CD588" s="2954"/>
      <c r="CE588" s="2954"/>
      <c r="CF588" s="2954"/>
      <c r="CG588" s="2954"/>
      <c r="CH588" s="2954"/>
      <c r="CI588" s="2954"/>
      <c r="CJ588" s="2954"/>
      <c r="CK588" s="2954"/>
      <c r="CL588" s="2954"/>
      <c r="CM588" s="2954"/>
      <c r="CN588" s="2954"/>
      <c r="CO588" s="2954"/>
      <c r="CP588" s="2954"/>
      <c r="CQ588" s="2954"/>
      <c r="CR588" s="2954"/>
      <c r="CS588" s="2954"/>
      <c r="CT588" s="2954"/>
      <c r="CU588" s="2954"/>
      <c r="CV588" s="2954"/>
      <c r="CW588" s="2954"/>
      <c r="CX588" s="2954"/>
      <c r="CY588" s="2954"/>
      <c r="CZ588" s="2954"/>
      <c r="DA588" s="2954"/>
      <c r="DB588" s="2954"/>
      <c r="DC588" s="2954"/>
      <c r="DD588" s="2954"/>
      <c r="DE588" s="2954"/>
      <c r="DF588" s="2954"/>
      <c r="DG588" s="2954"/>
      <c r="DH588" s="2954"/>
      <c r="DI588" s="2954"/>
      <c r="DJ588" s="2954"/>
      <c r="DK588" s="2954"/>
      <c r="DL588" s="2954"/>
      <c r="DM588" s="2954"/>
      <c r="DN588" s="2954"/>
      <c r="DO588" s="2954"/>
      <c r="DP588" s="2954"/>
      <c r="DQ588" s="2954"/>
      <c r="DR588" s="2954"/>
      <c r="DS588" s="2954"/>
      <c r="DT588" s="2954"/>
      <c r="DU588" s="2954"/>
      <c r="DV588" s="2954"/>
    </row>
    <row r="589" s="799" customFormat="1" ht="14.25" hidden="1" customHeight="1" spans="1:126">
      <c r="A589" s="2954"/>
      <c r="B589" s="2954"/>
      <c r="C589" s="2954"/>
      <c r="D589" s="2954"/>
      <c r="E589" s="2954"/>
      <c r="F589" s="2954"/>
      <c r="G589" s="2954"/>
      <c r="H589" s="2954"/>
      <c r="I589" s="2954"/>
      <c r="J589" s="2954"/>
      <c r="K589" s="2954"/>
      <c r="L589" s="2954"/>
      <c r="M589" s="2954"/>
      <c r="N589" s="2954"/>
      <c r="O589" s="2954"/>
      <c r="P589" s="2954"/>
      <c r="Q589" s="2954"/>
      <c r="R589" s="2954"/>
      <c r="S589" s="2954"/>
      <c r="T589" s="2954"/>
      <c r="U589" s="2954"/>
      <c r="V589" s="2954"/>
      <c r="W589" s="2954"/>
      <c r="X589" s="2954"/>
      <c r="Y589" s="2954"/>
      <c r="Z589" s="2954"/>
      <c r="AA589" s="2954"/>
      <c r="AB589" s="2954"/>
      <c r="AC589" s="2954"/>
      <c r="AD589" s="2954"/>
      <c r="AE589" s="2954"/>
      <c r="AF589" s="2954"/>
      <c r="AG589" s="2954"/>
      <c r="AH589" s="2954"/>
      <c r="AI589" s="2954"/>
      <c r="AJ589" s="2954"/>
      <c r="AK589" s="2954"/>
      <c r="AL589" s="2954"/>
      <c r="AM589" s="2954"/>
      <c r="AN589" s="2954"/>
      <c r="AO589" s="2954"/>
      <c r="AP589" s="2954"/>
      <c r="AQ589" s="2954"/>
      <c r="AR589" s="2954"/>
      <c r="AS589" s="2954"/>
      <c r="AT589" s="2954"/>
      <c r="AU589" s="2954"/>
      <c r="AV589" s="2954"/>
      <c r="AW589" s="2954"/>
      <c r="AX589" s="2954"/>
      <c r="AY589" s="2954"/>
      <c r="AZ589" s="2954"/>
      <c r="BA589" s="2954"/>
      <c r="BB589" s="2954"/>
      <c r="BC589" s="2954"/>
      <c r="BD589" s="2954"/>
      <c r="BE589" s="2954"/>
      <c r="BF589" s="2954"/>
      <c r="BG589" s="2954"/>
      <c r="BH589" s="2954"/>
      <c r="BI589" s="2954"/>
      <c r="BJ589" s="2954"/>
      <c r="BK589" s="2954"/>
      <c r="BL589" s="2954"/>
      <c r="BM589" s="2954"/>
      <c r="BN589" s="2954"/>
      <c r="BO589" s="2954"/>
      <c r="BP589" s="2954"/>
      <c r="BQ589" s="2954"/>
      <c r="BR589" s="2954"/>
      <c r="BS589" s="2954"/>
      <c r="BT589" s="2954"/>
      <c r="BU589" s="2954"/>
      <c r="BV589" s="2954"/>
      <c r="BW589" s="2954"/>
      <c r="BX589" s="2954"/>
      <c r="BY589" s="2954"/>
      <c r="BZ589" s="2954"/>
      <c r="CA589" s="2954"/>
      <c r="CB589" s="2954"/>
      <c r="CC589" s="2954"/>
      <c r="CD589" s="2954"/>
      <c r="CE589" s="2954"/>
      <c r="CF589" s="2954"/>
      <c r="CG589" s="2954"/>
      <c r="CH589" s="2954"/>
      <c r="CI589" s="2954"/>
      <c r="CJ589" s="2954"/>
      <c r="CK589" s="2954"/>
      <c r="CL589" s="2954"/>
      <c r="CM589" s="2954"/>
      <c r="CN589" s="2954"/>
      <c r="CO589" s="2954"/>
      <c r="CP589" s="2954"/>
      <c r="CQ589" s="2954"/>
      <c r="CR589" s="2954"/>
      <c r="CS589" s="2954"/>
      <c r="CT589" s="2954"/>
      <c r="CU589" s="2954"/>
      <c r="CV589" s="2954"/>
      <c r="CW589" s="2954"/>
      <c r="CX589" s="2954"/>
      <c r="CY589" s="2954"/>
      <c r="CZ589" s="2954"/>
      <c r="DA589" s="2954"/>
      <c r="DB589" s="2954"/>
      <c r="DC589" s="2954"/>
      <c r="DD589" s="2954"/>
      <c r="DE589" s="2954"/>
      <c r="DF589" s="2954"/>
      <c r="DG589" s="2954"/>
      <c r="DH589" s="2954"/>
      <c r="DI589" s="2954"/>
      <c r="DJ589" s="2954"/>
      <c r="DK589" s="2954"/>
      <c r="DL589" s="2954"/>
      <c r="DM589" s="2954"/>
      <c r="DN589" s="2954"/>
      <c r="DO589" s="2954"/>
      <c r="DP589" s="2954"/>
      <c r="DQ589" s="2954"/>
      <c r="DR589" s="2954"/>
      <c r="DS589" s="2954"/>
      <c r="DT589" s="2954"/>
      <c r="DU589" s="2954"/>
      <c r="DV589" s="2954"/>
    </row>
    <row r="590" s="799" customFormat="1" ht="14.25" hidden="1" customHeight="1" spans="1:126">
      <c r="A590" s="2952" t="s">
        <v>4214</v>
      </c>
      <c r="B590" s="2952"/>
      <c r="C590" s="2952" t="s">
        <v>6940</v>
      </c>
      <c r="D590" s="2952"/>
      <c r="E590" s="2952"/>
      <c r="F590" s="2952"/>
      <c r="G590" s="2952"/>
      <c r="H590" s="2952"/>
      <c r="I590" s="2952"/>
      <c r="J590" s="2952"/>
      <c r="K590" s="2952"/>
      <c r="L590" s="2952"/>
      <c r="M590" s="2952"/>
      <c r="N590" s="2952"/>
      <c r="O590" s="2952"/>
      <c r="P590" s="2952"/>
      <c r="Q590" s="2952"/>
      <c r="R590" s="2952"/>
      <c r="S590" s="2952"/>
      <c r="T590" s="2952"/>
      <c r="U590" s="2952"/>
      <c r="V590" s="2952" t="s">
        <v>6941</v>
      </c>
      <c r="W590" s="2952"/>
      <c r="X590" s="2952"/>
      <c r="Y590" s="2952"/>
      <c r="Z590" s="2952"/>
      <c r="AA590" s="2952"/>
      <c r="AB590" s="2952"/>
      <c r="AC590" s="2952"/>
      <c r="AD590" s="2952"/>
      <c r="AE590" s="2952"/>
      <c r="AF590" s="2952"/>
      <c r="AG590" s="2952" t="s">
        <v>6942</v>
      </c>
      <c r="AH590" s="2952"/>
      <c r="AI590" s="2952"/>
      <c r="AJ590" s="2952"/>
      <c r="AK590" s="2952"/>
      <c r="AL590" s="2952"/>
      <c r="AM590" s="2952"/>
      <c r="AN590" s="2952"/>
      <c r="AO590" s="2952"/>
      <c r="AP590" s="2952"/>
    </row>
    <row r="591" s="799" customFormat="1" ht="12.75" hidden="1" customHeight="1" spans="1:126">
      <c r="A591" s="2955">
        <f>UnosPorBilans!B244</f>
        <v>0</v>
      </c>
      <c r="B591" s="2955"/>
      <c r="C591" s="2955"/>
      <c r="D591" s="2955"/>
      <c r="E591" s="2955"/>
      <c r="F591" s="2955"/>
      <c r="G591" s="2955"/>
      <c r="H591" s="2955"/>
      <c r="I591" s="2955"/>
      <c r="J591" s="2955"/>
      <c r="K591" s="2955"/>
      <c r="L591" s="2955"/>
      <c r="M591" s="2955"/>
      <c r="N591" s="2955"/>
      <c r="O591" s="2955"/>
      <c r="P591" s="2955"/>
      <c r="Q591" s="2955"/>
      <c r="R591" s="2955"/>
      <c r="S591" s="2955"/>
      <c r="T591" s="2955"/>
      <c r="U591" s="2955"/>
      <c r="V591" s="2955">
        <f>UnosPorBilans!I244</f>
        <v>0</v>
      </c>
      <c r="W591" s="2955"/>
      <c r="X591" s="2955"/>
      <c r="Y591" s="2955"/>
      <c r="Z591" s="2955"/>
      <c r="AA591" s="2955"/>
      <c r="AB591" s="2955"/>
      <c r="AC591" s="2955"/>
      <c r="AD591" s="2955"/>
      <c r="AE591" s="2955"/>
      <c r="AF591" s="2955"/>
      <c r="AG591" s="2955">
        <f>UnosPorBilans!N244</f>
        <v>0</v>
      </c>
      <c r="AH591" s="2955"/>
      <c r="AI591" s="2955"/>
      <c r="AJ591" s="2955"/>
      <c r="AK591" s="2955"/>
      <c r="AL591" s="2955"/>
      <c r="AM591" s="2955"/>
      <c r="AN591" s="2955"/>
      <c r="AO591" s="2955"/>
      <c r="AP591" s="2955"/>
    </row>
    <row r="592" s="799" customFormat="1" ht="12.75" hidden="1" customHeight="1" spans="1:126">
      <c r="A592" s="2952" t="s">
        <v>6943</v>
      </c>
      <c r="B592" s="2952"/>
      <c r="C592" s="2952"/>
      <c r="D592" s="2952"/>
      <c r="E592" s="2952"/>
      <c r="F592" s="2952"/>
      <c r="G592" s="2952"/>
      <c r="H592" s="2952"/>
      <c r="I592" s="2952"/>
      <c r="J592" s="2952"/>
      <c r="K592" s="2952" t="s">
        <v>6944</v>
      </c>
      <c r="L592" s="2952"/>
      <c r="M592" s="2952"/>
      <c r="N592" s="2952"/>
      <c r="O592" s="2952"/>
      <c r="P592" s="2952"/>
      <c r="Q592" s="2952"/>
      <c r="R592" s="2952"/>
      <c r="S592" s="2952"/>
      <c r="T592" s="2952"/>
      <c r="U592" s="2952"/>
      <c r="V592" s="2952" t="s">
        <v>6945</v>
      </c>
      <c r="W592" s="2952"/>
      <c r="X592" s="2952"/>
      <c r="Y592" s="2952"/>
      <c r="Z592" s="2952"/>
      <c r="AA592" s="2952"/>
      <c r="AB592" s="2952"/>
      <c r="AC592" s="2952"/>
      <c r="AD592" s="2952"/>
      <c r="AE592" s="2952"/>
      <c r="AF592" s="2952"/>
      <c r="AG592" s="2952" t="s">
        <v>6946</v>
      </c>
      <c r="AH592" s="2952"/>
      <c r="AI592" s="2952"/>
      <c r="AJ592" s="2952"/>
      <c r="AK592" s="2952"/>
      <c r="AL592" s="2952"/>
      <c r="AM592" s="2952"/>
      <c r="AN592" s="2952"/>
      <c r="AO592" s="2952"/>
      <c r="AP592" s="2952"/>
    </row>
    <row r="593" s="799" customFormat="1" ht="12.75" hidden="1" customHeight="1" spans="1:126">
      <c r="A593" s="2955">
        <f>UnosPorBilans!S244</f>
        <v>0</v>
      </c>
      <c r="B593" s="2955"/>
      <c r="C593" s="2955"/>
      <c r="D593" s="2955"/>
      <c r="E593" s="2955"/>
      <c r="F593" s="2955"/>
      <c r="G593" s="2955"/>
      <c r="H593" s="2955"/>
      <c r="I593" s="2955"/>
      <c r="J593" s="2955"/>
      <c r="K593" s="2955">
        <f>UnosPorBilans!W244</f>
        <v>0</v>
      </c>
      <c r="L593" s="2955"/>
      <c r="M593" s="2955"/>
      <c r="N593" s="2955"/>
      <c r="O593" s="2955"/>
      <c r="P593" s="2955"/>
      <c r="Q593" s="2955"/>
      <c r="R593" s="2955"/>
      <c r="S593" s="2955"/>
      <c r="T593" s="2955"/>
      <c r="U593" s="2955"/>
      <c r="V593" s="2955">
        <f>UnosPorBilans!AB244</f>
        <v>0</v>
      </c>
      <c r="W593" s="2955"/>
      <c r="X593" s="2955"/>
      <c r="Y593" s="2955"/>
      <c r="Z593" s="2955"/>
      <c r="AA593" s="2955"/>
      <c r="AB593" s="2955"/>
      <c r="AC593" s="2955"/>
      <c r="AD593" s="2955"/>
      <c r="AE593" s="2955"/>
      <c r="AF593" s="2955"/>
      <c r="AG593" s="2955">
        <f>UnosPorBilans!AG244</f>
        <v>0</v>
      </c>
      <c r="AH593" s="2955"/>
      <c r="AI593" s="2955"/>
      <c r="AJ593" s="2955"/>
      <c r="AK593" s="2955"/>
      <c r="AL593" s="2955"/>
      <c r="AM593" s="2955"/>
      <c r="AN593" s="2955"/>
      <c r="AO593" s="2955"/>
      <c r="AP593" s="2955"/>
    </row>
    <row r="594" s="799" customFormat="1" ht="12.75" hidden="1" customHeight="1" spans="1:126">
      <c r="A594" s="2952" t="s">
        <v>6947</v>
      </c>
      <c r="B594" s="2952"/>
      <c r="C594" s="2952"/>
      <c r="D594" s="2952"/>
      <c r="E594" s="2952"/>
      <c r="F594" s="2952"/>
      <c r="G594" s="2952"/>
      <c r="H594" s="2952"/>
      <c r="I594" s="2952"/>
      <c r="J594" s="2952"/>
      <c r="K594" s="2952"/>
      <c r="L594" s="2952"/>
      <c r="M594" s="2952"/>
      <c r="N594" s="2952"/>
      <c r="O594" s="2952"/>
      <c r="P594" s="2952"/>
      <c r="Q594" s="2952"/>
      <c r="R594" s="2952"/>
      <c r="S594" s="2952"/>
      <c r="T594" s="2952"/>
      <c r="U594" s="2952"/>
      <c r="V594" s="2952" t="s">
        <v>6948</v>
      </c>
      <c r="W594" s="2952"/>
      <c r="X594" s="2952"/>
      <c r="Y594" s="2952"/>
      <c r="Z594" s="2952"/>
      <c r="AA594" s="2952"/>
      <c r="AB594" s="2952"/>
      <c r="AC594" s="2952"/>
      <c r="AD594" s="2952"/>
      <c r="AE594" s="2952"/>
      <c r="AF594" s="2952"/>
      <c r="AG594" s="2952"/>
      <c r="AH594" s="2952"/>
      <c r="AI594" s="2952"/>
      <c r="AJ594" s="2952"/>
      <c r="AK594" s="2952"/>
      <c r="AL594" s="2952"/>
      <c r="AM594" s="2952"/>
      <c r="AN594" s="2952"/>
      <c r="AO594" s="2952"/>
      <c r="AP594" s="2952"/>
    </row>
    <row r="595" s="799" customFormat="1" ht="12.75" hidden="1" customHeight="1" spans="1:126">
      <c r="A595" s="2955">
        <f>UnosPorBilans!AL244</f>
        <v>0</v>
      </c>
      <c r="B595" s="2955"/>
      <c r="C595" s="2955"/>
      <c r="D595" s="2955"/>
      <c r="E595" s="2955"/>
      <c r="F595" s="2955"/>
      <c r="G595" s="2955"/>
      <c r="H595" s="2955"/>
      <c r="I595" s="2955"/>
      <c r="J595" s="2955"/>
      <c r="K595" s="2955"/>
      <c r="L595" s="2955"/>
      <c r="M595" s="2955"/>
      <c r="N595" s="2955"/>
      <c r="O595" s="2955"/>
      <c r="P595" s="2955"/>
      <c r="Q595" s="2955"/>
      <c r="R595" s="2955"/>
      <c r="S595" s="2955"/>
      <c r="T595" s="2955"/>
      <c r="U595" s="2955"/>
      <c r="V595" s="2955">
        <f>UnosPorBilans!AS244</f>
        <v>0</v>
      </c>
      <c r="W595" s="2955"/>
      <c r="X595" s="2955"/>
      <c r="Y595" s="2955"/>
      <c r="Z595" s="2955"/>
      <c r="AA595" s="2955"/>
      <c r="AB595" s="2955"/>
      <c r="AC595" s="2955"/>
      <c r="AD595" s="2955"/>
      <c r="AE595" s="2955"/>
      <c r="AF595" s="2955"/>
      <c r="AG595" s="2955"/>
      <c r="AH595" s="2955"/>
      <c r="AI595" s="2955"/>
      <c r="AJ595" s="2955"/>
      <c r="AK595" s="2955"/>
      <c r="AL595" s="2955"/>
      <c r="AM595" s="2955"/>
      <c r="AN595" s="2955"/>
      <c r="AO595" s="2955"/>
      <c r="AP595" s="2955"/>
    </row>
    <row r="596" s="799" customFormat="1" ht="14.25" hidden="1" customHeight="1" spans="1:126">
      <c r="A596" s="2954"/>
      <c r="B596" s="2954"/>
      <c r="C596" s="2954"/>
      <c r="D596" s="2954"/>
      <c r="E596" s="2954"/>
      <c r="F596" s="2954"/>
      <c r="G596" s="2954"/>
      <c r="H596" s="2954"/>
      <c r="I596" s="2954"/>
      <c r="J596" s="2954"/>
      <c r="K596" s="2954"/>
      <c r="L596" s="2954"/>
      <c r="M596" s="2954"/>
      <c r="N596" s="2954"/>
      <c r="O596" s="2954"/>
      <c r="P596" s="2954"/>
      <c r="Q596" s="2954"/>
      <c r="R596" s="2954"/>
      <c r="S596" s="2954"/>
      <c r="T596" s="2954"/>
      <c r="U596" s="2954"/>
      <c r="V596" s="2954"/>
      <c r="W596" s="2954"/>
      <c r="X596" s="2954"/>
      <c r="Y596" s="2954"/>
      <c r="Z596" s="2954"/>
      <c r="AA596" s="2954"/>
      <c r="AB596" s="2954"/>
      <c r="AC596" s="2954"/>
      <c r="AD596" s="2954"/>
      <c r="AE596" s="2954"/>
      <c r="AF596" s="2954"/>
      <c r="AG596" s="2954"/>
      <c r="AH596" s="2954"/>
      <c r="AI596" s="2954"/>
      <c r="AJ596" s="2954"/>
      <c r="AK596" s="2954"/>
      <c r="AL596" s="2954"/>
      <c r="AM596" s="2954"/>
      <c r="AN596" s="2954"/>
      <c r="AO596" s="2954"/>
      <c r="AP596" s="2954"/>
      <c r="AQ596" s="2954"/>
      <c r="AR596" s="2954"/>
      <c r="AS596" s="2954"/>
      <c r="AT596" s="2954"/>
      <c r="AU596" s="2954"/>
      <c r="AV596" s="2954"/>
      <c r="AW596" s="2954"/>
      <c r="AX596" s="2954"/>
      <c r="AY596" s="2954"/>
      <c r="AZ596" s="2954"/>
      <c r="BA596" s="2954"/>
      <c r="BB596" s="2954"/>
      <c r="BC596" s="2954"/>
      <c r="BD596" s="2954"/>
      <c r="BE596" s="2954"/>
      <c r="BF596" s="2954"/>
      <c r="BG596" s="2954"/>
      <c r="BH596" s="2954"/>
      <c r="BI596" s="2954"/>
      <c r="BJ596" s="2954"/>
      <c r="BK596" s="2954"/>
      <c r="BL596" s="2954"/>
      <c r="BM596" s="2954"/>
      <c r="BN596" s="2954"/>
      <c r="BO596" s="2954"/>
      <c r="BP596" s="2954"/>
      <c r="BQ596" s="2954"/>
      <c r="BR596" s="2954"/>
      <c r="BS596" s="2954"/>
      <c r="BT596" s="2954"/>
      <c r="BU596" s="2954"/>
      <c r="BV596" s="2954"/>
      <c r="BW596" s="2954"/>
      <c r="BX596" s="2954"/>
      <c r="BY596" s="2954"/>
      <c r="BZ596" s="2954"/>
      <c r="CA596" s="2954"/>
      <c r="CB596" s="2954"/>
      <c r="CC596" s="2954"/>
      <c r="CD596" s="2954"/>
      <c r="CE596" s="2954"/>
      <c r="CF596" s="2954"/>
      <c r="CG596" s="2954"/>
      <c r="CH596" s="2954"/>
      <c r="CI596" s="2954"/>
      <c r="CJ596" s="2954"/>
      <c r="CK596" s="2954"/>
      <c r="CL596" s="2954"/>
      <c r="CM596" s="2954"/>
      <c r="CN596" s="2954"/>
      <c r="CO596" s="2954"/>
      <c r="CP596" s="2954"/>
      <c r="CQ596" s="2954"/>
      <c r="CR596" s="2954"/>
      <c r="CS596" s="2954"/>
      <c r="CT596" s="2954"/>
      <c r="CU596" s="2954"/>
      <c r="CV596" s="2954"/>
      <c r="CW596" s="2954"/>
      <c r="CX596" s="2954"/>
      <c r="CY596" s="2954"/>
      <c r="CZ596" s="2954"/>
      <c r="DA596" s="2954"/>
      <c r="DB596" s="2954"/>
      <c r="DC596" s="2954"/>
      <c r="DD596" s="2954"/>
      <c r="DE596" s="2954"/>
      <c r="DF596" s="2954"/>
      <c r="DG596" s="2954"/>
      <c r="DH596" s="2954"/>
      <c r="DI596" s="2954"/>
      <c r="DJ596" s="2954"/>
      <c r="DK596" s="2954"/>
      <c r="DL596" s="2954"/>
      <c r="DM596" s="2954"/>
      <c r="DN596" s="2954"/>
      <c r="DO596" s="2954"/>
      <c r="DP596" s="2954"/>
      <c r="DQ596" s="2954"/>
      <c r="DR596" s="2954"/>
      <c r="DS596" s="2954"/>
      <c r="DT596" s="2954"/>
      <c r="DU596" s="2954"/>
      <c r="DV596" s="2954"/>
    </row>
    <row r="597" s="799" customFormat="1" ht="14.25" hidden="1" customHeight="1" spans="1:126">
      <c r="A597" s="2952" t="s">
        <v>4214</v>
      </c>
      <c r="B597" s="2952"/>
      <c r="C597" s="2952" t="s">
        <v>6940</v>
      </c>
      <c r="D597" s="2952"/>
      <c r="E597" s="2952"/>
      <c r="F597" s="2952"/>
      <c r="G597" s="2952"/>
      <c r="H597" s="2952"/>
      <c r="I597" s="2952"/>
      <c r="J597" s="2952"/>
      <c r="K597" s="2952"/>
      <c r="L597" s="2952"/>
      <c r="M597" s="2952"/>
      <c r="N597" s="2952"/>
      <c r="O597" s="2952"/>
      <c r="P597" s="2952"/>
      <c r="Q597" s="2952"/>
      <c r="R597" s="2952"/>
      <c r="S597" s="2952"/>
      <c r="T597" s="2952"/>
      <c r="U597" s="2952"/>
      <c r="V597" s="2952" t="s">
        <v>6941</v>
      </c>
      <c r="W597" s="2952"/>
      <c r="X597" s="2952"/>
      <c r="Y597" s="2952"/>
      <c r="Z597" s="2952"/>
      <c r="AA597" s="2952"/>
      <c r="AB597" s="2952"/>
      <c r="AC597" s="2952"/>
      <c r="AD597" s="2952"/>
      <c r="AE597" s="2952"/>
      <c r="AF597" s="2952"/>
      <c r="AG597" s="2952" t="s">
        <v>6942</v>
      </c>
      <c r="AH597" s="2952"/>
      <c r="AI597" s="2952"/>
      <c r="AJ597" s="2952"/>
      <c r="AK597" s="2952"/>
      <c r="AL597" s="2952"/>
      <c r="AM597" s="2952"/>
      <c r="AN597" s="2952"/>
      <c r="AO597" s="2952"/>
      <c r="AP597" s="2952"/>
    </row>
    <row r="598" s="799" customFormat="1" ht="12.75" hidden="1" customHeight="1" spans="1:126">
      <c r="A598" s="2955">
        <f>UnosPorBilans!B245</f>
        <v>0</v>
      </c>
      <c r="B598" s="2955"/>
      <c r="C598" s="2955"/>
      <c r="D598" s="2955"/>
      <c r="E598" s="2955"/>
      <c r="F598" s="2955"/>
      <c r="G598" s="2955"/>
      <c r="H598" s="2955"/>
      <c r="I598" s="2955"/>
      <c r="J598" s="2955"/>
      <c r="K598" s="2955"/>
      <c r="L598" s="2955"/>
      <c r="M598" s="2955"/>
      <c r="N598" s="2955"/>
      <c r="O598" s="2955"/>
      <c r="P598" s="2955"/>
      <c r="Q598" s="2955"/>
      <c r="R598" s="2955"/>
      <c r="S598" s="2955"/>
      <c r="T598" s="2955"/>
      <c r="U598" s="2955"/>
      <c r="V598" s="2955">
        <f>UnosPorBilans!I245</f>
        <v>0</v>
      </c>
      <c r="W598" s="2955"/>
      <c r="X598" s="2955"/>
      <c r="Y598" s="2955"/>
      <c r="Z598" s="2955"/>
      <c r="AA598" s="2955"/>
      <c r="AB598" s="2955"/>
      <c r="AC598" s="2955"/>
      <c r="AD598" s="2955"/>
      <c r="AE598" s="2955"/>
      <c r="AF598" s="2955"/>
      <c r="AG598" s="2955">
        <f>UnosPorBilans!N245</f>
        <v>0</v>
      </c>
      <c r="AH598" s="2955"/>
      <c r="AI598" s="2955"/>
      <c r="AJ598" s="2955"/>
      <c r="AK598" s="2955"/>
      <c r="AL598" s="2955"/>
      <c r="AM598" s="2955"/>
      <c r="AN598" s="2955"/>
      <c r="AO598" s="2955"/>
      <c r="AP598" s="2955"/>
    </row>
    <row r="599" s="799" customFormat="1" ht="12.75" hidden="1" customHeight="1" spans="1:126">
      <c r="A599" s="2952" t="s">
        <v>6943</v>
      </c>
      <c r="B599" s="2952"/>
      <c r="C599" s="2952"/>
      <c r="D599" s="2952"/>
      <c r="E599" s="2952"/>
      <c r="F599" s="2952"/>
      <c r="G599" s="2952"/>
      <c r="H599" s="2952"/>
      <c r="I599" s="2952"/>
      <c r="J599" s="2952"/>
      <c r="K599" s="2952" t="s">
        <v>6944</v>
      </c>
      <c r="L599" s="2952"/>
      <c r="M599" s="2952"/>
      <c r="N599" s="2952"/>
      <c r="O599" s="2952"/>
      <c r="P599" s="2952"/>
      <c r="Q599" s="2952"/>
      <c r="R599" s="2952"/>
      <c r="S599" s="2952"/>
      <c r="T599" s="2952"/>
      <c r="U599" s="2952"/>
      <c r="V599" s="2952" t="s">
        <v>6945</v>
      </c>
      <c r="W599" s="2952"/>
      <c r="X599" s="2952"/>
      <c r="Y599" s="2952"/>
      <c r="Z599" s="2952"/>
      <c r="AA599" s="2952"/>
      <c r="AB599" s="2952"/>
      <c r="AC599" s="2952"/>
      <c r="AD599" s="2952"/>
      <c r="AE599" s="2952"/>
      <c r="AF599" s="2952"/>
      <c r="AG599" s="2952" t="s">
        <v>6946</v>
      </c>
      <c r="AH599" s="2952"/>
      <c r="AI599" s="2952"/>
      <c r="AJ599" s="2952"/>
      <c r="AK599" s="2952"/>
      <c r="AL599" s="2952"/>
      <c r="AM599" s="2952"/>
      <c r="AN599" s="2952"/>
      <c r="AO599" s="2952"/>
      <c r="AP599" s="2952"/>
    </row>
    <row r="600" s="799" customFormat="1" ht="12.75" hidden="1" customHeight="1" spans="1:126">
      <c r="A600" s="2955">
        <f>UnosPorBilans!S245</f>
        <v>0</v>
      </c>
      <c r="B600" s="2955"/>
      <c r="C600" s="2955"/>
      <c r="D600" s="2955"/>
      <c r="E600" s="2955"/>
      <c r="F600" s="2955"/>
      <c r="G600" s="2955"/>
      <c r="H600" s="2955"/>
      <c r="I600" s="2955"/>
      <c r="J600" s="2955"/>
      <c r="K600" s="2955">
        <f>UnosPorBilans!W245</f>
        <v>0</v>
      </c>
      <c r="L600" s="2955"/>
      <c r="M600" s="2955"/>
      <c r="N600" s="2955"/>
      <c r="O600" s="2955"/>
      <c r="P600" s="2955"/>
      <c r="Q600" s="2955"/>
      <c r="R600" s="2955"/>
      <c r="S600" s="2955"/>
      <c r="T600" s="2955"/>
      <c r="U600" s="2955"/>
      <c r="V600" s="2955">
        <f>UnosPorBilans!AB245</f>
        <v>0</v>
      </c>
      <c r="W600" s="2955"/>
      <c r="X600" s="2955"/>
      <c r="Y600" s="2955"/>
      <c r="Z600" s="2955"/>
      <c r="AA600" s="2955"/>
      <c r="AB600" s="2955"/>
      <c r="AC600" s="2955"/>
      <c r="AD600" s="2955"/>
      <c r="AE600" s="2955"/>
      <c r="AF600" s="2955"/>
      <c r="AG600" s="2955">
        <f>UnosPorBilans!AG245</f>
        <v>0</v>
      </c>
      <c r="AH600" s="2955"/>
      <c r="AI600" s="2955"/>
      <c r="AJ600" s="2955"/>
      <c r="AK600" s="2955"/>
      <c r="AL600" s="2955"/>
      <c r="AM600" s="2955"/>
      <c r="AN600" s="2955"/>
      <c r="AO600" s="2955"/>
      <c r="AP600" s="2955"/>
    </row>
    <row r="601" s="799" customFormat="1" ht="12.75" hidden="1" customHeight="1" spans="1:126">
      <c r="A601" s="2952" t="s">
        <v>6947</v>
      </c>
      <c r="B601" s="2952"/>
      <c r="C601" s="2952"/>
      <c r="D601" s="2952"/>
      <c r="E601" s="2952"/>
      <c r="F601" s="2952"/>
      <c r="G601" s="2952"/>
      <c r="H601" s="2952"/>
      <c r="I601" s="2952"/>
      <c r="J601" s="2952"/>
      <c r="K601" s="2952"/>
      <c r="L601" s="2952"/>
      <c r="M601" s="2952"/>
      <c r="N601" s="2952"/>
      <c r="O601" s="2952"/>
      <c r="P601" s="2952"/>
      <c r="Q601" s="2952"/>
      <c r="R601" s="2952"/>
      <c r="S601" s="2952"/>
      <c r="T601" s="2952"/>
      <c r="U601" s="2952"/>
      <c r="V601" s="2952" t="s">
        <v>6948</v>
      </c>
      <c r="W601" s="2952"/>
      <c r="X601" s="2952"/>
      <c r="Y601" s="2952"/>
      <c r="Z601" s="2952"/>
      <c r="AA601" s="2952"/>
      <c r="AB601" s="2952"/>
      <c r="AC601" s="2952"/>
      <c r="AD601" s="2952"/>
      <c r="AE601" s="2952"/>
      <c r="AF601" s="2952"/>
      <c r="AG601" s="2952"/>
      <c r="AH601" s="2952"/>
      <c r="AI601" s="2952"/>
      <c r="AJ601" s="2952"/>
      <c r="AK601" s="2952"/>
      <c r="AL601" s="2952"/>
      <c r="AM601" s="2952"/>
      <c r="AN601" s="2952"/>
      <c r="AO601" s="2952"/>
      <c r="AP601" s="2952"/>
    </row>
    <row r="602" s="799" customFormat="1" ht="12.75" hidden="1" customHeight="1" spans="1:126">
      <c r="A602" s="2955">
        <f>UnosPorBilans!AL245</f>
        <v>0</v>
      </c>
      <c r="B602" s="2955"/>
      <c r="C602" s="2955"/>
      <c r="D602" s="2955"/>
      <c r="E602" s="2955"/>
      <c r="F602" s="2955"/>
      <c r="G602" s="2955"/>
      <c r="H602" s="2955"/>
      <c r="I602" s="2955"/>
      <c r="J602" s="2955"/>
      <c r="K602" s="2955"/>
      <c r="L602" s="2955"/>
      <c r="M602" s="2955"/>
      <c r="N602" s="2955"/>
      <c r="O602" s="2955"/>
      <c r="P602" s="2955"/>
      <c r="Q602" s="2955"/>
      <c r="R602" s="2955"/>
      <c r="S602" s="2955"/>
      <c r="T602" s="2955"/>
      <c r="U602" s="2955"/>
      <c r="V602" s="2955">
        <f>UnosPorBilans!AS245</f>
        <v>0</v>
      </c>
      <c r="W602" s="2955"/>
      <c r="X602" s="2955"/>
      <c r="Y602" s="2955"/>
      <c r="Z602" s="2955"/>
      <c r="AA602" s="2955"/>
      <c r="AB602" s="2955"/>
      <c r="AC602" s="2955"/>
      <c r="AD602" s="2955"/>
      <c r="AE602" s="2955"/>
      <c r="AF602" s="2955"/>
      <c r="AG602" s="2955"/>
      <c r="AH602" s="2955"/>
      <c r="AI602" s="2955"/>
      <c r="AJ602" s="2955"/>
      <c r="AK602" s="2955"/>
      <c r="AL602" s="2955"/>
      <c r="AM602" s="2955"/>
      <c r="AN602" s="2955"/>
      <c r="AO602" s="2955"/>
      <c r="AP602" s="2955"/>
    </row>
    <row r="603" s="799" customFormat="1" ht="14.25" hidden="1" customHeight="1" spans="1:126">
      <c r="A603" s="2954"/>
      <c r="B603" s="2954"/>
      <c r="C603" s="2954"/>
      <c r="D603" s="2954"/>
      <c r="E603" s="2954"/>
      <c r="F603" s="2954"/>
      <c r="G603" s="2954"/>
      <c r="H603" s="2954"/>
      <c r="I603" s="2954"/>
      <c r="J603" s="2954"/>
      <c r="K603" s="2954"/>
      <c r="L603" s="2954"/>
      <c r="M603" s="2954"/>
      <c r="N603" s="2954"/>
      <c r="O603" s="2954"/>
      <c r="P603" s="2954"/>
      <c r="Q603" s="2954"/>
      <c r="R603" s="2954"/>
      <c r="S603" s="2954"/>
      <c r="T603" s="2954"/>
      <c r="U603" s="2954"/>
      <c r="V603" s="2954"/>
      <c r="W603" s="2954"/>
      <c r="X603" s="2954"/>
      <c r="Y603" s="2954"/>
      <c r="Z603" s="2954"/>
      <c r="AA603" s="2954"/>
      <c r="AB603" s="2954"/>
      <c r="AC603" s="2954"/>
      <c r="AD603" s="2954"/>
      <c r="AE603" s="2954"/>
      <c r="AF603" s="2954"/>
      <c r="AG603" s="2954"/>
      <c r="AH603" s="2954"/>
      <c r="AI603" s="2954"/>
      <c r="AJ603" s="2954"/>
      <c r="AK603" s="2954"/>
      <c r="AL603" s="2954"/>
      <c r="AM603" s="2954"/>
      <c r="AN603" s="2954"/>
      <c r="AO603" s="2954"/>
      <c r="AP603" s="2954"/>
      <c r="AQ603" s="2954"/>
      <c r="AR603" s="2954"/>
      <c r="AS603" s="2954"/>
      <c r="AT603" s="2954"/>
      <c r="AU603" s="2954"/>
      <c r="AV603" s="2954"/>
      <c r="AW603" s="2954"/>
      <c r="AX603" s="2954"/>
      <c r="AY603" s="2954"/>
      <c r="AZ603" s="2954"/>
      <c r="BA603" s="2954"/>
      <c r="BB603" s="2954"/>
      <c r="BC603" s="2954"/>
      <c r="BD603" s="2954"/>
      <c r="BE603" s="2954"/>
      <c r="BF603" s="2954"/>
      <c r="BG603" s="2954"/>
      <c r="BH603" s="2954"/>
      <c r="BI603" s="2954"/>
      <c r="BJ603" s="2954"/>
      <c r="BK603" s="2954"/>
      <c r="BL603" s="2954"/>
      <c r="BM603" s="2954"/>
      <c r="BN603" s="2954"/>
      <c r="BO603" s="2954"/>
      <c r="BP603" s="2954"/>
      <c r="BQ603" s="2954"/>
      <c r="BR603" s="2954"/>
      <c r="BS603" s="2954"/>
      <c r="BT603" s="2954"/>
      <c r="BU603" s="2954"/>
      <c r="BV603" s="2954"/>
      <c r="BW603" s="2954"/>
      <c r="BX603" s="2954"/>
      <c r="BY603" s="2954"/>
      <c r="BZ603" s="2954"/>
      <c r="CA603" s="2954"/>
      <c r="CB603" s="2954"/>
      <c r="CC603" s="2954"/>
      <c r="CD603" s="2954"/>
      <c r="CE603" s="2954"/>
      <c r="CF603" s="2954"/>
      <c r="CG603" s="2954"/>
      <c r="CH603" s="2954"/>
      <c r="CI603" s="2954"/>
      <c r="CJ603" s="2954"/>
      <c r="CK603" s="2954"/>
      <c r="CL603" s="2954"/>
      <c r="CM603" s="2954"/>
      <c r="CN603" s="2954"/>
      <c r="CO603" s="2954"/>
      <c r="CP603" s="2954"/>
      <c r="CQ603" s="2954"/>
      <c r="CR603" s="2954"/>
      <c r="CS603" s="2954"/>
      <c r="CT603" s="2954"/>
      <c r="CU603" s="2954"/>
      <c r="CV603" s="2954"/>
      <c r="CW603" s="2954"/>
      <c r="CX603" s="2954"/>
      <c r="CY603" s="2954"/>
      <c r="CZ603" s="2954"/>
      <c r="DA603" s="2954"/>
      <c r="DB603" s="2954"/>
      <c r="DC603" s="2954"/>
      <c r="DD603" s="2954"/>
      <c r="DE603" s="2954"/>
      <c r="DF603" s="2954"/>
      <c r="DG603" s="2954"/>
      <c r="DH603" s="2954"/>
      <c r="DI603" s="2954"/>
      <c r="DJ603" s="2954"/>
      <c r="DK603" s="2954"/>
      <c r="DL603" s="2954"/>
      <c r="DM603" s="2954"/>
      <c r="DN603" s="2954"/>
      <c r="DO603" s="2954"/>
      <c r="DP603" s="2954"/>
      <c r="DQ603" s="2954"/>
      <c r="DR603" s="2954"/>
      <c r="DS603" s="2954"/>
      <c r="DT603" s="2954"/>
      <c r="DU603" s="2954"/>
      <c r="DV603" s="2954"/>
    </row>
    <row r="604" s="799" customFormat="1" ht="14.25" hidden="1" customHeight="1" spans="1:126">
      <c r="A604" s="2952" t="s">
        <v>4214</v>
      </c>
      <c r="B604" s="2952"/>
      <c r="C604" s="2952" t="s">
        <v>6940</v>
      </c>
      <c r="D604" s="2952"/>
      <c r="E604" s="2952"/>
      <c r="F604" s="2952"/>
      <c r="G604" s="2952"/>
      <c r="H604" s="2952"/>
      <c r="I604" s="2952"/>
      <c r="J604" s="2952"/>
      <c r="K604" s="2952"/>
      <c r="L604" s="2952"/>
      <c r="M604" s="2952"/>
      <c r="N604" s="2952"/>
      <c r="O604" s="2952"/>
      <c r="P604" s="2952"/>
      <c r="Q604" s="2952"/>
      <c r="R604" s="2952"/>
      <c r="S604" s="2952"/>
      <c r="T604" s="2952"/>
      <c r="U604" s="2952"/>
      <c r="V604" s="2952" t="s">
        <v>6941</v>
      </c>
      <c r="W604" s="2952"/>
      <c r="X604" s="2952"/>
      <c r="Y604" s="2952"/>
      <c r="Z604" s="2952"/>
      <c r="AA604" s="2952"/>
      <c r="AB604" s="2952"/>
      <c r="AC604" s="2952"/>
      <c r="AD604" s="2952"/>
      <c r="AE604" s="2952"/>
      <c r="AF604" s="2952"/>
      <c r="AG604" s="2952" t="s">
        <v>6942</v>
      </c>
      <c r="AH604" s="2952"/>
      <c r="AI604" s="2952"/>
      <c r="AJ604" s="2952"/>
      <c r="AK604" s="2952"/>
      <c r="AL604" s="2952"/>
      <c r="AM604" s="2952"/>
      <c r="AN604" s="2952"/>
      <c r="AO604" s="2952"/>
      <c r="AP604" s="2952"/>
    </row>
    <row r="605" s="799" customFormat="1" ht="12.75" hidden="1" customHeight="1" spans="1:126">
      <c r="A605" s="2955">
        <f>UnosPorBilans!B246</f>
        <v>0</v>
      </c>
      <c r="B605" s="2955"/>
      <c r="C605" s="2955"/>
      <c r="D605" s="2955"/>
      <c r="E605" s="2955"/>
      <c r="F605" s="2955"/>
      <c r="G605" s="2955"/>
      <c r="H605" s="2955"/>
      <c r="I605" s="2955"/>
      <c r="J605" s="2955"/>
      <c r="K605" s="2955"/>
      <c r="L605" s="2955"/>
      <c r="M605" s="2955"/>
      <c r="N605" s="2955"/>
      <c r="O605" s="2955"/>
      <c r="P605" s="2955"/>
      <c r="Q605" s="2955"/>
      <c r="R605" s="2955"/>
      <c r="S605" s="2955"/>
      <c r="T605" s="2955"/>
      <c r="U605" s="2955"/>
      <c r="V605" s="2955">
        <f>UnosPorBilans!I246</f>
        <v>0</v>
      </c>
      <c r="W605" s="2955"/>
      <c r="X605" s="2955"/>
      <c r="Y605" s="2955"/>
      <c r="Z605" s="2955"/>
      <c r="AA605" s="2955"/>
      <c r="AB605" s="2955"/>
      <c r="AC605" s="2955"/>
      <c r="AD605" s="2955"/>
      <c r="AE605" s="2955"/>
      <c r="AF605" s="2955"/>
      <c r="AG605" s="2955">
        <f>UnosPorBilans!N246</f>
        <v>0</v>
      </c>
      <c r="AH605" s="2955"/>
      <c r="AI605" s="2955"/>
      <c r="AJ605" s="2955"/>
      <c r="AK605" s="2955"/>
      <c r="AL605" s="2955"/>
      <c r="AM605" s="2955"/>
      <c r="AN605" s="2955"/>
      <c r="AO605" s="2955"/>
      <c r="AP605" s="2955"/>
    </row>
    <row r="606" s="799" customFormat="1" ht="12.75" hidden="1" customHeight="1" spans="1:126">
      <c r="A606" s="2952" t="s">
        <v>6943</v>
      </c>
      <c r="B606" s="2952"/>
      <c r="C606" s="2952"/>
      <c r="D606" s="2952"/>
      <c r="E606" s="2952"/>
      <c r="F606" s="2952"/>
      <c r="G606" s="2952"/>
      <c r="H606" s="2952"/>
      <c r="I606" s="2952"/>
      <c r="J606" s="2952"/>
      <c r="K606" s="2952" t="s">
        <v>6944</v>
      </c>
      <c r="L606" s="2952"/>
      <c r="M606" s="2952"/>
      <c r="N606" s="2952"/>
      <c r="O606" s="2952"/>
      <c r="P606" s="2952"/>
      <c r="Q606" s="2952"/>
      <c r="R606" s="2952"/>
      <c r="S606" s="2952"/>
      <c r="T606" s="2952"/>
      <c r="U606" s="2952"/>
      <c r="V606" s="2952" t="s">
        <v>6945</v>
      </c>
      <c r="W606" s="2952"/>
      <c r="X606" s="2952"/>
      <c r="Y606" s="2952"/>
      <c r="Z606" s="2952"/>
      <c r="AA606" s="2952"/>
      <c r="AB606" s="2952"/>
      <c r="AC606" s="2952"/>
      <c r="AD606" s="2952"/>
      <c r="AE606" s="2952"/>
      <c r="AF606" s="2952"/>
      <c r="AG606" s="2952" t="s">
        <v>6946</v>
      </c>
      <c r="AH606" s="2952"/>
      <c r="AI606" s="2952"/>
      <c r="AJ606" s="2952"/>
      <c r="AK606" s="2952"/>
      <c r="AL606" s="2952"/>
      <c r="AM606" s="2952"/>
      <c r="AN606" s="2952"/>
      <c r="AO606" s="2952"/>
      <c r="AP606" s="2952"/>
    </row>
    <row r="607" s="799" customFormat="1" ht="12.75" hidden="1" customHeight="1" spans="1:126">
      <c r="A607" s="2955">
        <f>UnosPorBilans!S246</f>
        <v>0</v>
      </c>
      <c r="B607" s="2955"/>
      <c r="C607" s="2955"/>
      <c r="D607" s="2955"/>
      <c r="E607" s="2955"/>
      <c r="F607" s="2955"/>
      <c r="G607" s="2955"/>
      <c r="H607" s="2955"/>
      <c r="I607" s="2955"/>
      <c r="J607" s="2955"/>
      <c r="K607" s="2955">
        <f>UnosPorBilans!W246</f>
        <v>0</v>
      </c>
      <c r="L607" s="2955"/>
      <c r="M607" s="2955"/>
      <c r="N607" s="2955"/>
      <c r="O607" s="2955"/>
      <c r="P607" s="2955"/>
      <c r="Q607" s="2955"/>
      <c r="R607" s="2955"/>
      <c r="S607" s="2955"/>
      <c r="T607" s="2955"/>
      <c r="U607" s="2955"/>
      <c r="V607" s="2955">
        <f>UnosPorBilans!AB246</f>
        <v>0</v>
      </c>
      <c r="W607" s="2955"/>
      <c r="X607" s="2955"/>
      <c r="Y607" s="2955"/>
      <c r="Z607" s="2955"/>
      <c r="AA607" s="2955"/>
      <c r="AB607" s="2955"/>
      <c r="AC607" s="2955"/>
      <c r="AD607" s="2955"/>
      <c r="AE607" s="2955"/>
      <c r="AF607" s="2955"/>
      <c r="AG607" s="2955">
        <f>UnosPorBilans!AG246</f>
        <v>0</v>
      </c>
      <c r="AH607" s="2955"/>
      <c r="AI607" s="2955"/>
      <c r="AJ607" s="2955"/>
      <c r="AK607" s="2955"/>
      <c r="AL607" s="2955"/>
      <c r="AM607" s="2955"/>
      <c r="AN607" s="2955"/>
      <c r="AO607" s="2955"/>
      <c r="AP607" s="2955"/>
    </row>
    <row r="608" s="799" customFormat="1" ht="12.75" hidden="1" customHeight="1" spans="1:126">
      <c r="A608" s="2952" t="s">
        <v>6947</v>
      </c>
      <c r="B608" s="2952"/>
      <c r="C608" s="2952"/>
      <c r="D608" s="2952"/>
      <c r="E608" s="2952"/>
      <c r="F608" s="2952"/>
      <c r="G608" s="2952"/>
      <c r="H608" s="2952"/>
      <c r="I608" s="2952"/>
      <c r="J608" s="2952"/>
      <c r="K608" s="2952"/>
      <c r="L608" s="2952"/>
      <c r="M608" s="2952"/>
      <c r="N608" s="2952"/>
      <c r="O608" s="2952"/>
      <c r="P608" s="2952"/>
      <c r="Q608" s="2952"/>
      <c r="R608" s="2952"/>
      <c r="S608" s="2952"/>
      <c r="T608" s="2952"/>
      <c r="U608" s="2952"/>
      <c r="V608" s="2952" t="s">
        <v>6948</v>
      </c>
      <c r="W608" s="2952"/>
      <c r="X608" s="2952"/>
      <c r="Y608" s="2952"/>
      <c r="Z608" s="2952"/>
      <c r="AA608" s="2952"/>
      <c r="AB608" s="2952"/>
      <c r="AC608" s="2952"/>
      <c r="AD608" s="2952"/>
      <c r="AE608" s="2952"/>
      <c r="AF608" s="2952"/>
      <c r="AG608" s="2952"/>
      <c r="AH608" s="2952"/>
      <c r="AI608" s="2952"/>
      <c r="AJ608" s="2952"/>
      <c r="AK608" s="2952"/>
      <c r="AL608" s="2952"/>
      <c r="AM608" s="2952"/>
      <c r="AN608" s="2952"/>
      <c r="AO608" s="2952"/>
      <c r="AP608" s="2952"/>
    </row>
    <row r="609" s="799" customFormat="1" ht="12.75" hidden="1" customHeight="1" spans="1:126">
      <c r="A609" s="2955">
        <f>UnosPorBilans!AL246</f>
        <v>0</v>
      </c>
      <c r="B609" s="2955"/>
      <c r="C609" s="2955"/>
      <c r="D609" s="2955"/>
      <c r="E609" s="2955"/>
      <c r="F609" s="2955"/>
      <c r="G609" s="2955"/>
      <c r="H609" s="2955"/>
      <c r="I609" s="2955"/>
      <c r="J609" s="2955"/>
      <c r="K609" s="2955"/>
      <c r="L609" s="2955"/>
      <c r="M609" s="2955"/>
      <c r="N609" s="2955"/>
      <c r="O609" s="2955"/>
      <c r="P609" s="2955"/>
      <c r="Q609" s="2955"/>
      <c r="R609" s="2955"/>
      <c r="S609" s="2955"/>
      <c r="T609" s="2955"/>
      <c r="U609" s="2955"/>
      <c r="V609" s="2955">
        <f>UnosPorBilans!AS246</f>
        <v>0</v>
      </c>
      <c r="W609" s="2955"/>
      <c r="X609" s="2955"/>
      <c r="Y609" s="2955"/>
      <c r="Z609" s="2955"/>
      <c r="AA609" s="2955"/>
      <c r="AB609" s="2955"/>
      <c r="AC609" s="2955"/>
      <c r="AD609" s="2955"/>
      <c r="AE609" s="2955"/>
      <c r="AF609" s="2955"/>
      <c r="AG609" s="2955"/>
      <c r="AH609" s="2955"/>
      <c r="AI609" s="2955"/>
      <c r="AJ609" s="2955"/>
      <c r="AK609" s="2955"/>
      <c r="AL609" s="2955"/>
      <c r="AM609" s="2955"/>
      <c r="AN609" s="2955"/>
      <c r="AO609" s="2955"/>
      <c r="AP609" s="2955"/>
    </row>
    <row r="610" s="799" customFormat="1" ht="14.25" hidden="1" customHeight="1" spans="1:126">
      <c r="A610" s="2954"/>
      <c r="B610" s="2954"/>
      <c r="C610" s="2954"/>
      <c r="D610" s="2954"/>
      <c r="E610" s="2954"/>
      <c r="F610" s="2954"/>
      <c r="G610" s="2954"/>
      <c r="H610" s="2954"/>
      <c r="I610" s="2954"/>
      <c r="J610" s="2954"/>
      <c r="K610" s="2954"/>
      <c r="L610" s="2954"/>
      <c r="M610" s="2954"/>
      <c r="N610" s="2954"/>
      <c r="O610" s="2954"/>
      <c r="P610" s="2954"/>
      <c r="Q610" s="2954"/>
      <c r="R610" s="2954"/>
      <c r="S610" s="2954"/>
      <c r="T610" s="2954"/>
      <c r="U610" s="2954"/>
      <c r="V610" s="2954"/>
      <c r="W610" s="2954"/>
      <c r="X610" s="2954"/>
      <c r="Y610" s="2954"/>
      <c r="Z610" s="2954"/>
      <c r="AA610" s="2954"/>
      <c r="AB610" s="2954"/>
      <c r="AC610" s="2954"/>
      <c r="AD610" s="2954"/>
      <c r="AE610" s="2954"/>
      <c r="AF610" s="2954"/>
      <c r="AG610" s="2954"/>
      <c r="AH610" s="2954"/>
      <c r="AI610" s="2954"/>
      <c r="AJ610" s="2954"/>
      <c r="AK610" s="2954"/>
      <c r="AL610" s="2954"/>
      <c r="AM610" s="2954"/>
      <c r="AN610" s="2954"/>
      <c r="AO610" s="2954"/>
      <c r="AP610" s="2954"/>
      <c r="AQ610" s="2954"/>
      <c r="AR610" s="2954"/>
      <c r="AS610" s="2954"/>
      <c r="AT610" s="2954"/>
      <c r="AU610" s="2954"/>
      <c r="AV610" s="2954"/>
      <c r="AW610" s="2954"/>
      <c r="AX610" s="2954"/>
      <c r="AY610" s="2954"/>
      <c r="AZ610" s="2954"/>
      <c r="BA610" s="2954"/>
      <c r="BB610" s="2954"/>
      <c r="BC610" s="2954"/>
      <c r="BD610" s="2954"/>
      <c r="BE610" s="2954"/>
      <c r="BF610" s="2954"/>
      <c r="BG610" s="2954"/>
      <c r="BH610" s="2954"/>
      <c r="BI610" s="2954"/>
      <c r="BJ610" s="2954"/>
      <c r="BK610" s="2954"/>
      <c r="BL610" s="2954"/>
      <c r="BM610" s="2954"/>
      <c r="BN610" s="2954"/>
      <c r="BO610" s="2954"/>
      <c r="BP610" s="2954"/>
      <c r="BQ610" s="2954"/>
      <c r="BR610" s="2954"/>
      <c r="BS610" s="2954"/>
      <c r="BT610" s="2954"/>
      <c r="BU610" s="2954"/>
      <c r="BV610" s="2954"/>
      <c r="BW610" s="2954"/>
      <c r="BX610" s="2954"/>
      <c r="BY610" s="2954"/>
      <c r="BZ610" s="2954"/>
      <c r="CA610" s="2954"/>
      <c r="CB610" s="2954"/>
      <c r="CC610" s="2954"/>
      <c r="CD610" s="2954"/>
      <c r="CE610" s="2954"/>
      <c r="CF610" s="2954"/>
      <c r="CG610" s="2954"/>
      <c r="CH610" s="2954"/>
      <c r="CI610" s="2954"/>
      <c r="CJ610" s="2954"/>
      <c r="CK610" s="2954"/>
      <c r="CL610" s="2954"/>
      <c r="CM610" s="2954"/>
      <c r="CN610" s="2954"/>
      <c r="CO610" s="2954"/>
      <c r="CP610" s="2954"/>
      <c r="CQ610" s="2954"/>
      <c r="CR610" s="2954"/>
      <c r="CS610" s="2954"/>
      <c r="CT610" s="2954"/>
      <c r="CU610" s="2954"/>
      <c r="CV610" s="2954"/>
      <c r="CW610" s="2954"/>
      <c r="CX610" s="2954"/>
      <c r="CY610" s="2954"/>
      <c r="CZ610" s="2954"/>
      <c r="DA610" s="2954"/>
      <c r="DB610" s="2954"/>
      <c r="DC610" s="2954"/>
      <c r="DD610" s="2954"/>
      <c r="DE610" s="2954"/>
      <c r="DF610" s="2954"/>
      <c r="DG610" s="2954"/>
      <c r="DH610" s="2954"/>
      <c r="DI610" s="2954"/>
      <c r="DJ610" s="2954"/>
      <c r="DK610" s="2954"/>
      <c r="DL610" s="2954"/>
      <c r="DM610" s="2954"/>
      <c r="DN610" s="2954"/>
      <c r="DO610" s="2954"/>
      <c r="DP610" s="2954"/>
      <c r="DQ610" s="2954"/>
      <c r="DR610" s="2954"/>
      <c r="DS610" s="2954"/>
      <c r="DT610" s="2954"/>
      <c r="DU610" s="2954"/>
      <c r="DV610" s="2954"/>
    </row>
    <row r="611" s="799" customFormat="1" ht="14.25" hidden="1" customHeight="1" spans="1:126">
      <c r="A611" s="2952" t="s">
        <v>4214</v>
      </c>
      <c r="B611" s="2952"/>
      <c r="C611" s="2952" t="s">
        <v>6940</v>
      </c>
      <c r="D611" s="2952"/>
      <c r="E611" s="2952"/>
      <c r="F611" s="2952"/>
      <c r="G611" s="2952"/>
      <c r="H611" s="2952"/>
      <c r="I611" s="2952"/>
      <c r="J611" s="2952"/>
      <c r="K611" s="2952"/>
      <c r="L611" s="2952"/>
      <c r="M611" s="2952"/>
      <c r="N611" s="2952"/>
      <c r="O611" s="2952"/>
      <c r="P611" s="2952"/>
      <c r="Q611" s="2952"/>
      <c r="R611" s="2952"/>
      <c r="S611" s="2952"/>
      <c r="T611" s="2952"/>
      <c r="U611" s="2952"/>
      <c r="V611" s="2952" t="s">
        <v>6941</v>
      </c>
      <c r="W611" s="2952"/>
      <c r="X611" s="2952"/>
      <c r="Y611" s="2952"/>
      <c r="Z611" s="2952"/>
      <c r="AA611" s="2952"/>
      <c r="AB611" s="2952"/>
      <c r="AC611" s="2952"/>
      <c r="AD611" s="2952"/>
      <c r="AE611" s="2952"/>
      <c r="AF611" s="2952"/>
      <c r="AG611" s="2952" t="s">
        <v>6942</v>
      </c>
      <c r="AH611" s="2952"/>
      <c r="AI611" s="2952"/>
      <c r="AJ611" s="2952"/>
      <c r="AK611" s="2952"/>
      <c r="AL611" s="2952"/>
      <c r="AM611" s="2952"/>
      <c r="AN611" s="2952"/>
      <c r="AO611" s="2952"/>
      <c r="AP611" s="2952"/>
    </row>
    <row r="612" s="799" customFormat="1" ht="12.75" hidden="1" customHeight="1" spans="1:126">
      <c r="A612" s="2955">
        <f>UnosPorBilans!B247</f>
        <v>0</v>
      </c>
      <c r="B612" s="2955"/>
      <c r="C612" s="2955"/>
      <c r="D612" s="2955"/>
      <c r="E612" s="2955"/>
      <c r="F612" s="2955"/>
      <c r="G612" s="2955"/>
      <c r="H612" s="2955"/>
      <c r="I612" s="2955"/>
      <c r="J612" s="2955"/>
      <c r="K612" s="2955"/>
      <c r="L612" s="2955"/>
      <c r="M612" s="2955"/>
      <c r="N612" s="2955"/>
      <c r="O612" s="2955"/>
      <c r="P612" s="2955"/>
      <c r="Q612" s="2955"/>
      <c r="R612" s="2955"/>
      <c r="S612" s="2955"/>
      <c r="T612" s="2955"/>
      <c r="U612" s="2955"/>
      <c r="V612" s="2955">
        <f>UnosPorBilans!I247</f>
        <v>0</v>
      </c>
      <c r="W612" s="2955"/>
      <c r="X612" s="2955"/>
      <c r="Y612" s="2955"/>
      <c r="Z612" s="2955"/>
      <c r="AA612" s="2955"/>
      <c r="AB612" s="2955"/>
      <c r="AC612" s="2955"/>
      <c r="AD612" s="2955"/>
      <c r="AE612" s="2955"/>
      <c r="AF612" s="2955"/>
      <c r="AG612" s="2955">
        <f>UnosPorBilans!N247</f>
        <v>0</v>
      </c>
      <c r="AH612" s="2955"/>
      <c r="AI612" s="2955"/>
      <c r="AJ612" s="2955"/>
      <c r="AK612" s="2955"/>
      <c r="AL612" s="2955"/>
      <c r="AM612" s="2955"/>
      <c r="AN612" s="2955"/>
      <c r="AO612" s="2955"/>
      <c r="AP612" s="2955"/>
    </row>
    <row r="613" s="799" customFormat="1" ht="12.75" hidden="1" customHeight="1" spans="1:126">
      <c r="A613" s="2952" t="s">
        <v>6943</v>
      </c>
      <c r="B613" s="2952"/>
      <c r="C613" s="2952"/>
      <c r="D613" s="2952"/>
      <c r="E613" s="2952"/>
      <c r="F613" s="2952"/>
      <c r="G613" s="2952"/>
      <c r="H613" s="2952"/>
      <c r="I613" s="2952"/>
      <c r="J613" s="2952"/>
      <c r="K613" s="2952" t="s">
        <v>6944</v>
      </c>
      <c r="L613" s="2952"/>
      <c r="M613" s="2952"/>
      <c r="N613" s="2952"/>
      <c r="O613" s="2952"/>
      <c r="P613" s="2952"/>
      <c r="Q613" s="2952"/>
      <c r="R613" s="2952"/>
      <c r="S613" s="2952"/>
      <c r="T613" s="2952"/>
      <c r="U613" s="2952"/>
      <c r="V613" s="2952" t="s">
        <v>6945</v>
      </c>
      <c r="W613" s="2952"/>
      <c r="X613" s="2952"/>
      <c r="Y613" s="2952"/>
      <c r="Z613" s="2952"/>
      <c r="AA613" s="2952"/>
      <c r="AB613" s="2952"/>
      <c r="AC613" s="2952"/>
      <c r="AD613" s="2952"/>
      <c r="AE613" s="2952"/>
      <c r="AF613" s="2952"/>
      <c r="AG613" s="2952" t="s">
        <v>6946</v>
      </c>
      <c r="AH613" s="2952"/>
      <c r="AI613" s="2952"/>
      <c r="AJ613" s="2952"/>
      <c r="AK613" s="2952"/>
      <c r="AL613" s="2952"/>
      <c r="AM613" s="2952"/>
      <c r="AN613" s="2952"/>
      <c r="AO613" s="2952"/>
      <c r="AP613" s="2952"/>
    </row>
    <row r="614" s="799" customFormat="1" ht="12.75" hidden="1" customHeight="1" spans="1:126">
      <c r="A614" s="2955">
        <f>UnosPorBilans!S247</f>
        <v>0</v>
      </c>
      <c r="B614" s="2955"/>
      <c r="C614" s="2955"/>
      <c r="D614" s="2955"/>
      <c r="E614" s="2955"/>
      <c r="F614" s="2955"/>
      <c r="G614" s="2955"/>
      <c r="H614" s="2955"/>
      <c r="I614" s="2955"/>
      <c r="J614" s="2955"/>
      <c r="K614" s="2955">
        <f>UnosPorBilans!W247</f>
        <v>0</v>
      </c>
      <c r="L614" s="2955"/>
      <c r="M614" s="2955"/>
      <c r="N614" s="2955"/>
      <c r="O614" s="2955"/>
      <c r="P614" s="2955"/>
      <c r="Q614" s="2955"/>
      <c r="R614" s="2955"/>
      <c r="S614" s="2955"/>
      <c r="T614" s="2955"/>
      <c r="U614" s="2955"/>
      <c r="V614" s="2955">
        <f>UnosPorBilans!AB247</f>
        <v>0</v>
      </c>
      <c r="W614" s="2955"/>
      <c r="X614" s="2955"/>
      <c r="Y614" s="2955"/>
      <c r="Z614" s="2955"/>
      <c r="AA614" s="2955"/>
      <c r="AB614" s="2955"/>
      <c r="AC614" s="2955"/>
      <c r="AD614" s="2955"/>
      <c r="AE614" s="2955"/>
      <c r="AF614" s="2955"/>
      <c r="AG614" s="2955">
        <f>UnosPorBilans!AG247</f>
        <v>0</v>
      </c>
      <c r="AH614" s="2955"/>
      <c r="AI614" s="2955"/>
      <c r="AJ614" s="2955"/>
      <c r="AK614" s="2955"/>
      <c r="AL614" s="2955"/>
      <c r="AM614" s="2955"/>
      <c r="AN614" s="2955"/>
      <c r="AO614" s="2955"/>
      <c r="AP614" s="2955"/>
    </row>
    <row r="615" s="799" customFormat="1" ht="12.75" hidden="1" customHeight="1" spans="1:126">
      <c r="A615" s="2952" t="s">
        <v>6947</v>
      </c>
      <c r="B615" s="2952"/>
      <c r="C615" s="2952"/>
      <c r="D615" s="2952"/>
      <c r="E615" s="2952"/>
      <c r="F615" s="2952"/>
      <c r="G615" s="2952"/>
      <c r="H615" s="2952"/>
      <c r="I615" s="2952"/>
      <c r="J615" s="2952"/>
      <c r="K615" s="2952"/>
      <c r="L615" s="2952"/>
      <c r="M615" s="2952"/>
      <c r="N615" s="2952"/>
      <c r="O615" s="2952"/>
      <c r="P615" s="2952"/>
      <c r="Q615" s="2952"/>
      <c r="R615" s="2952"/>
      <c r="S615" s="2952"/>
      <c r="T615" s="2952"/>
      <c r="U615" s="2952"/>
      <c r="V615" s="2952" t="s">
        <v>6948</v>
      </c>
      <c r="W615" s="2952"/>
      <c r="X615" s="2952"/>
      <c r="Y615" s="2952"/>
      <c r="Z615" s="2952"/>
      <c r="AA615" s="2952"/>
      <c r="AB615" s="2952"/>
      <c r="AC615" s="2952"/>
      <c r="AD615" s="2952"/>
      <c r="AE615" s="2952"/>
      <c r="AF615" s="2952"/>
      <c r="AG615" s="2952"/>
      <c r="AH615" s="2952"/>
      <c r="AI615" s="2952"/>
      <c r="AJ615" s="2952"/>
      <c r="AK615" s="2952"/>
      <c r="AL615" s="2952"/>
      <c r="AM615" s="2952"/>
      <c r="AN615" s="2952"/>
      <c r="AO615" s="2952"/>
      <c r="AP615" s="2952"/>
    </row>
    <row r="616" s="799" customFormat="1" ht="12.75" hidden="1" customHeight="1" spans="1:126">
      <c r="A616" s="2955">
        <f>UnosPorBilans!AL247</f>
        <v>0</v>
      </c>
      <c r="B616" s="2955"/>
      <c r="C616" s="2955"/>
      <c r="D616" s="2955"/>
      <c r="E616" s="2955"/>
      <c r="F616" s="2955"/>
      <c r="G616" s="2955"/>
      <c r="H616" s="2955"/>
      <c r="I616" s="2955"/>
      <c r="J616" s="2955"/>
      <c r="K616" s="2955"/>
      <c r="L616" s="2955"/>
      <c r="M616" s="2955"/>
      <c r="N616" s="2955"/>
      <c r="O616" s="2955"/>
      <c r="P616" s="2955"/>
      <c r="Q616" s="2955"/>
      <c r="R616" s="2955"/>
      <c r="S616" s="2955"/>
      <c r="T616" s="2955"/>
      <c r="U616" s="2955"/>
      <c r="V616" s="2955">
        <f>UnosPorBilans!AS247</f>
        <v>0</v>
      </c>
      <c r="W616" s="2955"/>
      <c r="X616" s="2955"/>
      <c r="Y616" s="2955"/>
      <c r="Z616" s="2955"/>
      <c r="AA616" s="2955"/>
      <c r="AB616" s="2955"/>
      <c r="AC616" s="2955"/>
      <c r="AD616" s="2955"/>
      <c r="AE616" s="2955"/>
      <c r="AF616" s="2955"/>
      <c r="AG616" s="2955"/>
      <c r="AH616" s="2955"/>
      <c r="AI616" s="2955"/>
      <c r="AJ616" s="2955"/>
      <c r="AK616" s="2955"/>
      <c r="AL616" s="2955"/>
      <c r="AM616" s="2955"/>
      <c r="AN616" s="2955"/>
      <c r="AO616" s="2955"/>
      <c r="AP616" s="2955"/>
    </row>
    <row r="617" s="799" customFormat="1" ht="14.25" hidden="1" customHeight="1" spans="1:126">
      <c r="A617" s="2954"/>
      <c r="B617" s="2954"/>
      <c r="C617" s="2954"/>
      <c r="D617" s="2954"/>
      <c r="E617" s="2954"/>
      <c r="F617" s="2954"/>
      <c r="G617" s="2954"/>
      <c r="H617" s="2954"/>
      <c r="I617" s="2954"/>
      <c r="J617" s="2954"/>
      <c r="K617" s="2954"/>
      <c r="L617" s="2954"/>
      <c r="M617" s="2954"/>
      <c r="N617" s="2954"/>
      <c r="O617" s="2954"/>
      <c r="P617" s="2954"/>
      <c r="Q617" s="2954"/>
      <c r="R617" s="2954"/>
      <c r="S617" s="2954"/>
      <c r="T617" s="2954"/>
      <c r="U617" s="2954"/>
      <c r="V617" s="2954"/>
      <c r="W617" s="2954"/>
      <c r="X617" s="2954"/>
      <c r="Y617" s="2954"/>
      <c r="Z617" s="2954"/>
      <c r="AA617" s="2954"/>
      <c r="AB617" s="2954"/>
      <c r="AC617" s="2954"/>
      <c r="AD617" s="2954"/>
      <c r="AE617" s="2954"/>
      <c r="AF617" s="2954"/>
      <c r="AG617" s="2954"/>
      <c r="AH617" s="2954"/>
      <c r="AI617" s="2954"/>
      <c r="AJ617" s="2954"/>
      <c r="AK617" s="2954"/>
      <c r="AL617" s="2954"/>
      <c r="AM617" s="2954"/>
      <c r="AN617" s="2954"/>
      <c r="AO617" s="2954"/>
      <c r="AP617" s="2954"/>
      <c r="AQ617" s="2954"/>
      <c r="AR617" s="2954"/>
      <c r="AS617" s="2954"/>
      <c r="AT617" s="2954"/>
      <c r="AU617" s="2954"/>
      <c r="AV617" s="2954"/>
      <c r="AW617" s="2954"/>
      <c r="AX617" s="2954"/>
      <c r="AY617" s="2954"/>
      <c r="AZ617" s="2954"/>
      <c r="BA617" s="2954"/>
      <c r="BB617" s="2954"/>
      <c r="BC617" s="2954"/>
      <c r="BD617" s="2954"/>
      <c r="BE617" s="2954"/>
      <c r="BF617" s="2954"/>
      <c r="BG617" s="2954"/>
      <c r="BH617" s="2954"/>
      <c r="BI617" s="2954"/>
      <c r="BJ617" s="2954"/>
      <c r="BK617" s="2954"/>
      <c r="BL617" s="2954"/>
      <c r="BM617" s="2954"/>
      <c r="BN617" s="2954"/>
      <c r="BO617" s="2954"/>
      <c r="BP617" s="2954"/>
      <c r="BQ617" s="2954"/>
      <c r="BR617" s="2954"/>
      <c r="BS617" s="2954"/>
      <c r="BT617" s="2954"/>
      <c r="BU617" s="2954"/>
      <c r="BV617" s="2954"/>
      <c r="BW617" s="2954"/>
      <c r="BX617" s="2954"/>
      <c r="BY617" s="2954"/>
      <c r="BZ617" s="2954"/>
      <c r="CA617" s="2954"/>
      <c r="CB617" s="2954"/>
      <c r="CC617" s="2954"/>
      <c r="CD617" s="2954"/>
      <c r="CE617" s="2954"/>
      <c r="CF617" s="2954"/>
      <c r="CG617" s="2954"/>
      <c r="CH617" s="2954"/>
      <c r="CI617" s="2954"/>
      <c r="CJ617" s="2954"/>
      <c r="CK617" s="2954"/>
      <c r="CL617" s="2954"/>
      <c r="CM617" s="2954"/>
      <c r="CN617" s="2954"/>
      <c r="CO617" s="2954"/>
      <c r="CP617" s="2954"/>
      <c r="CQ617" s="2954"/>
      <c r="CR617" s="2954"/>
      <c r="CS617" s="2954"/>
      <c r="CT617" s="2954"/>
      <c r="CU617" s="2954"/>
      <c r="CV617" s="2954"/>
      <c r="CW617" s="2954"/>
      <c r="CX617" s="2954"/>
      <c r="CY617" s="2954"/>
      <c r="CZ617" s="2954"/>
      <c r="DA617" s="2954"/>
      <c r="DB617" s="2954"/>
      <c r="DC617" s="2954"/>
      <c r="DD617" s="2954"/>
      <c r="DE617" s="2954"/>
      <c r="DF617" s="2954"/>
      <c r="DG617" s="2954"/>
      <c r="DH617" s="2954"/>
      <c r="DI617" s="2954"/>
      <c r="DJ617" s="2954"/>
      <c r="DK617" s="2954"/>
      <c r="DL617" s="2954"/>
      <c r="DM617" s="2954"/>
      <c r="DN617" s="2954"/>
      <c r="DO617" s="2954"/>
      <c r="DP617" s="2954"/>
      <c r="DQ617" s="2954"/>
      <c r="DR617" s="2954"/>
      <c r="DS617" s="2954"/>
      <c r="DT617" s="2954"/>
      <c r="DU617" s="2954"/>
      <c r="DV617" s="2954"/>
    </row>
    <row r="618" s="799" customFormat="1" ht="14.25" hidden="1" customHeight="1" spans="1:126">
      <c r="A618" s="2952" t="s">
        <v>4214</v>
      </c>
      <c r="B618" s="2952"/>
      <c r="C618" s="2952" t="s">
        <v>6940</v>
      </c>
      <c r="D618" s="2952"/>
      <c r="E618" s="2952"/>
      <c r="F618" s="2952"/>
      <c r="G618" s="2952"/>
      <c r="H618" s="2952"/>
      <c r="I618" s="2952"/>
      <c r="J618" s="2952"/>
      <c r="K618" s="2952"/>
      <c r="L618" s="2952"/>
      <c r="M618" s="2952"/>
      <c r="N618" s="2952"/>
      <c r="O618" s="2952"/>
      <c r="P618" s="2952"/>
      <c r="Q618" s="2952"/>
      <c r="R618" s="2952"/>
      <c r="S618" s="2952"/>
      <c r="T618" s="2952"/>
      <c r="U618" s="2952"/>
      <c r="V618" s="2952" t="s">
        <v>6941</v>
      </c>
      <c r="W618" s="2952"/>
      <c r="X618" s="2952"/>
      <c r="Y618" s="2952"/>
      <c r="Z618" s="2952"/>
      <c r="AA618" s="2952"/>
      <c r="AB618" s="2952"/>
      <c r="AC618" s="2952"/>
      <c r="AD618" s="2952"/>
      <c r="AE618" s="2952"/>
      <c r="AF618" s="2952"/>
      <c r="AG618" s="2952" t="s">
        <v>6942</v>
      </c>
      <c r="AH618" s="2952"/>
      <c r="AI618" s="2952"/>
      <c r="AJ618" s="2952"/>
      <c r="AK618" s="2952"/>
      <c r="AL618" s="2952"/>
      <c r="AM618" s="2952"/>
      <c r="AN618" s="2952"/>
      <c r="AO618" s="2952"/>
      <c r="AP618" s="2952"/>
    </row>
    <row r="619" s="799" customFormat="1" ht="12.75" hidden="1" customHeight="1" spans="1:126">
      <c r="A619" s="2955">
        <f>UnosPorBilans!B248</f>
        <v>0</v>
      </c>
      <c r="B619" s="2955"/>
      <c r="C619" s="2955"/>
      <c r="D619" s="2955"/>
      <c r="E619" s="2955"/>
      <c r="F619" s="2955"/>
      <c r="G619" s="2955"/>
      <c r="H619" s="2955"/>
      <c r="I619" s="2955"/>
      <c r="J619" s="2955"/>
      <c r="K619" s="2955"/>
      <c r="L619" s="2955"/>
      <c r="M619" s="2955"/>
      <c r="N619" s="2955"/>
      <c r="O619" s="2955"/>
      <c r="P619" s="2955"/>
      <c r="Q619" s="2955"/>
      <c r="R619" s="2955"/>
      <c r="S619" s="2955"/>
      <c r="T619" s="2955"/>
      <c r="U619" s="2955"/>
      <c r="V619" s="2955">
        <f>UnosPorBilans!I248</f>
        <v>0</v>
      </c>
      <c r="W619" s="2955"/>
      <c r="X619" s="2955"/>
      <c r="Y619" s="2955"/>
      <c r="Z619" s="2955"/>
      <c r="AA619" s="2955"/>
      <c r="AB619" s="2955"/>
      <c r="AC619" s="2955"/>
      <c r="AD619" s="2955"/>
      <c r="AE619" s="2955"/>
      <c r="AF619" s="2955"/>
      <c r="AG619" s="2955">
        <f>UnosPorBilans!N248</f>
        <v>0</v>
      </c>
      <c r="AH619" s="2955"/>
      <c r="AI619" s="2955"/>
      <c r="AJ619" s="2955"/>
      <c r="AK619" s="2955"/>
      <c r="AL619" s="2955"/>
      <c r="AM619" s="2955"/>
      <c r="AN619" s="2955"/>
      <c r="AO619" s="2955"/>
      <c r="AP619" s="2955"/>
    </row>
    <row r="620" s="799" customFormat="1" ht="12.75" hidden="1" customHeight="1" spans="1:126">
      <c r="A620" s="2952" t="s">
        <v>6943</v>
      </c>
      <c r="B620" s="2952"/>
      <c r="C620" s="2952"/>
      <c r="D620" s="2952"/>
      <c r="E620" s="2952"/>
      <c r="F620" s="2952"/>
      <c r="G620" s="2952"/>
      <c r="H620" s="2952"/>
      <c r="I620" s="2952"/>
      <c r="J620" s="2952"/>
      <c r="K620" s="2952" t="s">
        <v>6944</v>
      </c>
      <c r="L620" s="2952"/>
      <c r="M620" s="2952"/>
      <c r="N620" s="2952"/>
      <c r="O620" s="2952"/>
      <c r="P620" s="2952"/>
      <c r="Q620" s="2952"/>
      <c r="R620" s="2952"/>
      <c r="S620" s="2952"/>
      <c r="T620" s="2952"/>
      <c r="U620" s="2952"/>
      <c r="V620" s="2952" t="s">
        <v>6945</v>
      </c>
      <c r="W620" s="2952"/>
      <c r="X620" s="2952"/>
      <c r="Y620" s="2952"/>
      <c r="Z620" s="2952"/>
      <c r="AA620" s="2952"/>
      <c r="AB620" s="2952"/>
      <c r="AC620" s="2952"/>
      <c r="AD620" s="2952"/>
      <c r="AE620" s="2952"/>
      <c r="AF620" s="2952"/>
      <c r="AG620" s="2952" t="s">
        <v>6946</v>
      </c>
      <c r="AH620" s="2952"/>
      <c r="AI620" s="2952"/>
      <c r="AJ620" s="2952"/>
      <c r="AK620" s="2952"/>
      <c r="AL620" s="2952"/>
      <c r="AM620" s="2952"/>
      <c r="AN620" s="2952"/>
      <c r="AO620" s="2952"/>
      <c r="AP620" s="2952"/>
    </row>
    <row r="621" s="799" customFormat="1" ht="12.75" hidden="1" customHeight="1" spans="1:126">
      <c r="A621" s="2955">
        <f>UnosPorBilans!S248</f>
        <v>0</v>
      </c>
      <c r="B621" s="2955"/>
      <c r="C621" s="2955"/>
      <c r="D621" s="2955"/>
      <c r="E621" s="2955"/>
      <c r="F621" s="2955"/>
      <c r="G621" s="2955"/>
      <c r="H621" s="2955"/>
      <c r="I621" s="2955"/>
      <c r="J621" s="2955"/>
      <c r="K621" s="2955">
        <f>UnosPorBilans!W248</f>
        <v>0</v>
      </c>
      <c r="L621" s="2955"/>
      <c r="M621" s="2955"/>
      <c r="N621" s="2955"/>
      <c r="O621" s="2955"/>
      <c r="P621" s="2955"/>
      <c r="Q621" s="2955"/>
      <c r="R621" s="2955"/>
      <c r="S621" s="2955"/>
      <c r="T621" s="2955"/>
      <c r="U621" s="2955"/>
      <c r="V621" s="2955">
        <f>UnosPorBilans!AB248</f>
        <v>0</v>
      </c>
      <c r="W621" s="2955"/>
      <c r="X621" s="2955"/>
      <c r="Y621" s="2955"/>
      <c r="Z621" s="2955"/>
      <c r="AA621" s="2955"/>
      <c r="AB621" s="2955"/>
      <c r="AC621" s="2955"/>
      <c r="AD621" s="2955"/>
      <c r="AE621" s="2955"/>
      <c r="AF621" s="2955"/>
      <c r="AG621" s="2955">
        <f>UnosPorBilans!AG248</f>
        <v>0</v>
      </c>
      <c r="AH621" s="2955"/>
      <c r="AI621" s="2955"/>
      <c r="AJ621" s="2955"/>
      <c r="AK621" s="2955"/>
      <c r="AL621" s="2955"/>
      <c r="AM621" s="2955"/>
      <c r="AN621" s="2955"/>
      <c r="AO621" s="2955"/>
      <c r="AP621" s="2955"/>
    </row>
    <row r="622" s="799" customFormat="1" ht="12.75" hidden="1" customHeight="1" spans="1:126">
      <c r="A622" s="2952" t="s">
        <v>6947</v>
      </c>
      <c r="B622" s="2952"/>
      <c r="C622" s="2952"/>
      <c r="D622" s="2952"/>
      <c r="E622" s="2952"/>
      <c r="F622" s="2952"/>
      <c r="G622" s="2952"/>
      <c r="H622" s="2952"/>
      <c r="I622" s="2952"/>
      <c r="J622" s="2952"/>
      <c r="K622" s="2952"/>
      <c r="L622" s="2952"/>
      <c r="M622" s="2952"/>
      <c r="N622" s="2952"/>
      <c r="O622" s="2952"/>
      <c r="P622" s="2952"/>
      <c r="Q622" s="2952"/>
      <c r="R622" s="2952"/>
      <c r="S622" s="2952"/>
      <c r="T622" s="2952"/>
      <c r="U622" s="2952"/>
      <c r="V622" s="2952" t="s">
        <v>6948</v>
      </c>
      <c r="W622" s="2952"/>
      <c r="X622" s="2952"/>
      <c r="Y622" s="2952"/>
      <c r="Z622" s="2952"/>
      <c r="AA622" s="2952"/>
      <c r="AB622" s="2952"/>
      <c r="AC622" s="2952"/>
      <c r="AD622" s="2952"/>
      <c r="AE622" s="2952"/>
      <c r="AF622" s="2952"/>
      <c r="AG622" s="2952"/>
      <c r="AH622" s="2952"/>
      <c r="AI622" s="2952"/>
      <c r="AJ622" s="2952"/>
      <c r="AK622" s="2952"/>
      <c r="AL622" s="2952"/>
      <c r="AM622" s="2952"/>
      <c r="AN622" s="2952"/>
      <c r="AO622" s="2952"/>
      <c r="AP622" s="2952"/>
    </row>
    <row r="623" s="799" customFormat="1" ht="12.75" hidden="1" customHeight="1" spans="1:126">
      <c r="A623" s="2955">
        <f>UnosPorBilans!AL248</f>
        <v>0</v>
      </c>
      <c r="B623" s="2955"/>
      <c r="C623" s="2955"/>
      <c r="D623" s="2955"/>
      <c r="E623" s="2955"/>
      <c r="F623" s="2955"/>
      <c r="G623" s="2955"/>
      <c r="H623" s="2955"/>
      <c r="I623" s="2955"/>
      <c r="J623" s="2955"/>
      <c r="K623" s="2955"/>
      <c r="L623" s="2955"/>
      <c r="M623" s="2955"/>
      <c r="N623" s="2955"/>
      <c r="O623" s="2955"/>
      <c r="P623" s="2955"/>
      <c r="Q623" s="2955"/>
      <c r="R623" s="2955"/>
      <c r="S623" s="2955"/>
      <c r="T623" s="2955"/>
      <c r="U623" s="2955"/>
      <c r="V623" s="2955">
        <f>UnosPorBilans!AS248</f>
        <v>0</v>
      </c>
      <c r="W623" s="2955"/>
      <c r="X623" s="2955"/>
      <c r="Y623" s="2955"/>
      <c r="Z623" s="2955"/>
      <c r="AA623" s="2955"/>
      <c r="AB623" s="2955"/>
      <c r="AC623" s="2955"/>
      <c r="AD623" s="2955"/>
      <c r="AE623" s="2955"/>
      <c r="AF623" s="2955"/>
      <c r="AG623" s="2955"/>
      <c r="AH623" s="2955"/>
      <c r="AI623" s="2955"/>
      <c r="AJ623" s="2955"/>
      <c r="AK623" s="2955"/>
      <c r="AL623" s="2955"/>
      <c r="AM623" s="2955"/>
      <c r="AN623" s="2955"/>
      <c r="AO623" s="2955"/>
      <c r="AP623" s="2955"/>
    </row>
    <row r="624" s="799" customFormat="1" ht="14.25" hidden="1" customHeight="1" spans="1:126">
      <c r="A624" s="2954"/>
      <c r="B624" s="2954"/>
      <c r="C624" s="2954"/>
      <c r="D624" s="2954"/>
      <c r="E624" s="2954"/>
      <c r="F624" s="2954"/>
      <c r="G624" s="2954"/>
      <c r="H624" s="2954"/>
      <c r="I624" s="2954"/>
      <c r="J624" s="2954"/>
      <c r="K624" s="2954"/>
      <c r="L624" s="2954"/>
      <c r="M624" s="2954"/>
      <c r="N624" s="2954"/>
      <c r="O624" s="2954"/>
      <c r="P624" s="2954"/>
      <c r="Q624" s="2954"/>
      <c r="R624" s="2954"/>
      <c r="S624" s="2954"/>
      <c r="T624" s="2954"/>
      <c r="U624" s="2954"/>
      <c r="V624" s="2954"/>
      <c r="W624" s="2954"/>
      <c r="X624" s="2954"/>
      <c r="Y624" s="2954"/>
      <c r="Z624" s="2954"/>
      <c r="AA624" s="2954"/>
      <c r="AB624" s="2954"/>
      <c r="AC624" s="2954"/>
      <c r="AD624" s="2954"/>
      <c r="AE624" s="2954"/>
      <c r="AF624" s="2954"/>
      <c r="AG624" s="2954"/>
      <c r="AH624" s="2954"/>
      <c r="AI624" s="2954"/>
      <c r="AJ624" s="2954"/>
      <c r="AK624" s="2954"/>
      <c r="AL624" s="2954"/>
      <c r="AM624" s="2954"/>
      <c r="AN624" s="2954"/>
      <c r="AO624" s="2954"/>
      <c r="AP624" s="2954"/>
      <c r="AQ624" s="2954"/>
      <c r="AR624" s="2954"/>
      <c r="AS624" s="2954"/>
      <c r="AT624" s="2954"/>
      <c r="AU624" s="2954"/>
      <c r="AV624" s="2954"/>
      <c r="AW624" s="2954"/>
      <c r="AX624" s="2954"/>
      <c r="AY624" s="2954"/>
      <c r="AZ624" s="2954"/>
      <c r="BA624" s="2954"/>
      <c r="BB624" s="2954"/>
      <c r="BC624" s="2954"/>
      <c r="BD624" s="2954"/>
      <c r="BE624" s="2954"/>
      <c r="BF624" s="2954"/>
      <c r="BG624" s="2954"/>
      <c r="BH624" s="2954"/>
      <c r="BI624" s="2954"/>
      <c r="BJ624" s="2954"/>
      <c r="BK624" s="2954"/>
      <c r="BL624" s="2954"/>
      <c r="BM624" s="2954"/>
      <c r="BN624" s="2954"/>
      <c r="BO624" s="2954"/>
      <c r="BP624" s="2954"/>
      <c r="BQ624" s="2954"/>
      <c r="BR624" s="2954"/>
      <c r="BS624" s="2954"/>
      <c r="BT624" s="2954"/>
      <c r="BU624" s="2954"/>
      <c r="BV624" s="2954"/>
      <c r="BW624" s="2954"/>
      <c r="BX624" s="2954"/>
      <c r="BY624" s="2954"/>
      <c r="BZ624" s="2954"/>
      <c r="CA624" s="2954"/>
      <c r="CB624" s="2954"/>
      <c r="CC624" s="2954"/>
      <c r="CD624" s="2954"/>
      <c r="CE624" s="2954"/>
      <c r="CF624" s="2954"/>
      <c r="CG624" s="2954"/>
      <c r="CH624" s="2954"/>
      <c r="CI624" s="2954"/>
      <c r="CJ624" s="2954"/>
      <c r="CK624" s="2954"/>
      <c r="CL624" s="2954"/>
      <c r="CM624" s="2954"/>
      <c r="CN624" s="2954"/>
      <c r="CO624" s="2954"/>
      <c r="CP624" s="2954"/>
      <c r="CQ624" s="2954"/>
      <c r="CR624" s="2954"/>
      <c r="CS624" s="2954"/>
      <c r="CT624" s="2954"/>
      <c r="CU624" s="2954"/>
      <c r="CV624" s="2954"/>
      <c r="CW624" s="2954"/>
      <c r="CX624" s="2954"/>
      <c r="CY624" s="2954"/>
      <c r="CZ624" s="2954"/>
      <c r="DA624" s="2954"/>
      <c r="DB624" s="2954"/>
      <c r="DC624" s="2954"/>
      <c r="DD624" s="2954"/>
      <c r="DE624" s="2954"/>
      <c r="DF624" s="2954"/>
      <c r="DG624" s="2954"/>
      <c r="DH624" s="2954"/>
      <c r="DI624" s="2954"/>
      <c r="DJ624" s="2954"/>
      <c r="DK624" s="2954"/>
      <c r="DL624" s="2954"/>
      <c r="DM624" s="2954"/>
      <c r="DN624" s="2954"/>
      <c r="DO624" s="2954"/>
      <c r="DP624" s="2954"/>
      <c r="DQ624" s="2954"/>
      <c r="DR624" s="2954"/>
      <c r="DS624" s="2954"/>
      <c r="DT624" s="2954"/>
      <c r="DU624" s="2954"/>
      <c r="DV624" s="2954"/>
    </row>
    <row r="625" s="799" customFormat="1" ht="14.25" hidden="1" customHeight="1" spans="1:126">
      <c r="A625" s="2952" t="s">
        <v>4214</v>
      </c>
      <c r="B625" s="2952"/>
      <c r="C625" s="2952" t="s">
        <v>6940</v>
      </c>
      <c r="D625" s="2952"/>
      <c r="E625" s="2952"/>
      <c r="F625" s="2952"/>
      <c r="G625" s="2952"/>
      <c r="H625" s="2952"/>
      <c r="I625" s="2952"/>
      <c r="J625" s="2952"/>
      <c r="K625" s="2952"/>
      <c r="L625" s="2952"/>
      <c r="M625" s="2952"/>
      <c r="N625" s="2952"/>
      <c r="O625" s="2952"/>
      <c r="P625" s="2952"/>
      <c r="Q625" s="2952"/>
      <c r="R625" s="2952"/>
      <c r="S625" s="2952"/>
      <c r="T625" s="2952"/>
      <c r="U625" s="2952"/>
      <c r="V625" s="2952" t="s">
        <v>6941</v>
      </c>
      <c r="W625" s="2952"/>
      <c r="X625" s="2952"/>
      <c r="Y625" s="2952"/>
      <c r="Z625" s="2952"/>
      <c r="AA625" s="2952"/>
      <c r="AB625" s="2952"/>
      <c r="AC625" s="2952"/>
      <c r="AD625" s="2952"/>
      <c r="AE625" s="2952"/>
      <c r="AF625" s="2952"/>
      <c r="AG625" s="2952" t="s">
        <v>6942</v>
      </c>
      <c r="AH625" s="2952"/>
      <c r="AI625" s="2952"/>
      <c r="AJ625" s="2952"/>
      <c r="AK625" s="2952"/>
      <c r="AL625" s="2952"/>
      <c r="AM625" s="2952"/>
      <c r="AN625" s="2952"/>
      <c r="AO625" s="2952"/>
      <c r="AP625" s="2952"/>
    </row>
    <row r="626" s="799" customFormat="1" ht="12.75" hidden="1" customHeight="1" spans="1:126">
      <c r="A626" s="2955">
        <f>UnosPorBilans!B249</f>
        <v>0</v>
      </c>
      <c r="B626" s="2955"/>
      <c r="C626" s="2955"/>
      <c r="D626" s="2955"/>
      <c r="E626" s="2955"/>
      <c r="F626" s="2955"/>
      <c r="G626" s="2955"/>
      <c r="H626" s="2955"/>
      <c r="I626" s="2955"/>
      <c r="J626" s="2955"/>
      <c r="K626" s="2955"/>
      <c r="L626" s="2955"/>
      <c r="M626" s="2955"/>
      <c r="N626" s="2955"/>
      <c r="O626" s="2955"/>
      <c r="P626" s="2955"/>
      <c r="Q626" s="2955"/>
      <c r="R626" s="2955"/>
      <c r="S626" s="2955"/>
      <c r="T626" s="2955"/>
      <c r="U626" s="2955"/>
      <c r="V626" s="2955">
        <f>UnosPorBilans!I249</f>
        <v>0</v>
      </c>
      <c r="W626" s="2955"/>
      <c r="X626" s="2955"/>
      <c r="Y626" s="2955"/>
      <c r="Z626" s="2955"/>
      <c r="AA626" s="2955"/>
      <c r="AB626" s="2955"/>
      <c r="AC626" s="2955"/>
      <c r="AD626" s="2955"/>
      <c r="AE626" s="2955"/>
      <c r="AF626" s="2955"/>
      <c r="AG626" s="2955">
        <f>UnosPorBilans!N249</f>
        <v>0</v>
      </c>
      <c r="AH626" s="2955"/>
      <c r="AI626" s="2955"/>
      <c r="AJ626" s="2955"/>
      <c r="AK626" s="2955"/>
      <c r="AL626" s="2955"/>
      <c r="AM626" s="2955"/>
      <c r="AN626" s="2955"/>
      <c r="AO626" s="2955"/>
      <c r="AP626" s="2955"/>
    </row>
    <row r="627" s="799" customFormat="1" ht="12.75" hidden="1" customHeight="1" spans="1:126">
      <c r="A627" s="2952" t="s">
        <v>6943</v>
      </c>
      <c r="B627" s="2952"/>
      <c r="C627" s="2952"/>
      <c r="D627" s="2952"/>
      <c r="E627" s="2952"/>
      <c r="F627" s="2952"/>
      <c r="G627" s="2952"/>
      <c r="H627" s="2952"/>
      <c r="I627" s="2952"/>
      <c r="J627" s="2952"/>
      <c r="K627" s="2952" t="s">
        <v>6944</v>
      </c>
      <c r="L627" s="2952"/>
      <c r="M627" s="2952"/>
      <c r="N627" s="2952"/>
      <c r="O627" s="2952"/>
      <c r="P627" s="2952"/>
      <c r="Q627" s="2952"/>
      <c r="R627" s="2952"/>
      <c r="S627" s="2952"/>
      <c r="T627" s="2952"/>
      <c r="U627" s="2952"/>
      <c r="V627" s="2952" t="s">
        <v>6945</v>
      </c>
      <c r="W627" s="2952"/>
      <c r="X627" s="2952"/>
      <c r="Y627" s="2952"/>
      <c r="Z627" s="2952"/>
      <c r="AA627" s="2952"/>
      <c r="AB627" s="2952"/>
      <c r="AC627" s="2952"/>
      <c r="AD627" s="2952"/>
      <c r="AE627" s="2952"/>
      <c r="AF627" s="2952"/>
      <c r="AG627" s="2952" t="s">
        <v>6946</v>
      </c>
      <c r="AH627" s="2952"/>
      <c r="AI627" s="2952"/>
      <c r="AJ627" s="2952"/>
      <c r="AK627" s="2952"/>
      <c r="AL627" s="2952"/>
      <c r="AM627" s="2952"/>
      <c r="AN627" s="2952"/>
      <c r="AO627" s="2952"/>
      <c r="AP627" s="2952"/>
    </row>
    <row r="628" s="799" customFormat="1" ht="12.75" hidden="1" customHeight="1" spans="1:126">
      <c r="A628" s="2955">
        <f>UnosPorBilans!S249</f>
        <v>0</v>
      </c>
      <c r="B628" s="2955"/>
      <c r="C628" s="2955"/>
      <c r="D628" s="2955"/>
      <c r="E628" s="2955"/>
      <c r="F628" s="2955"/>
      <c r="G628" s="2955"/>
      <c r="H628" s="2955"/>
      <c r="I628" s="2955"/>
      <c r="J628" s="2955"/>
      <c r="K628" s="2955">
        <f>UnosPorBilans!W249</f>
        <v>0</v>
      </c>
      <c r="L628" s="2955"/>
      <c r="M628" s="2955"/>
      <c r="N628" s="2955"/>
      <c r="O628" s="2955"/>
      <c r="P628" s="2955"/>
      <c r="Q628" s="2955"/>
      <c r="R628" s="2955"/>
      <c r="S628" s="2955"/>
      <c r="T628" s="2955"/>
      <c r="U628" s="2955"/>
      <c r="V628" s="2955">
        <f>UnosPorBilans!AB249</f>
        <v>0</v>
      </c>
      <c r="W628" s="2955"/>
      <c r="X628" s="2955"/>
      <c r="Y628" s="2955"/>
      <c r="Z628" s="2955"/>
      <c r="AA628" s="2955"/>
      <c r="AB628" s="2955"/>
      <c r="AC628" s="2955"/>
      <c r="AD628" s="2955"/>
      <c r="AE628" s="2955"/>
      <c r="AF628" s="2955"/>
      <c r="AG628" s="2955">
        <f>UnosPorBilans!AG249</f>
        <v>0</v>
      </c>
      <c r="AH628" s="2955"/>
      <c r="AI628" s="2955"/>
      <c r="AJ628" s="2955"/>
      <c r="AK628" s="2955"/>
      <c r="AL628" s="2955"/>
      <c r="AM628" s="2955"/>
      <c r="AN628" s="2955"/>
      <c r="AO628" s="2955"/>
      <c r="AP628" s="2955"/>
    </row>
    <row r="629" s="799" customFormat="1" ht="12.75" hidden="1" customHeight="1" spans="1:126">
      <c r="A629" s="2952" t="s">
        <v>6947</v>
      </c>
      <c r="B629" s="2952"/>
      <c r="C629" s="2952"/>
      <c r="D629" s="2952"/>
      <c r="E629" s="2952"/>
      <c r="F629" s="2952"/>
      <c r="G629" s="2952"/>
      <c r="H629" s="2952"/>
      <c r="I629" s="2952"/>
      <c r="J629" s="2952"/>
      <c r="K629" s="2952"/>
      <c r="L629" s="2952"/>
      <c r="M629" s="2952"/>
      <c r="N629" s="2952"/>
      <c r="O629" s="2952"/>
      <c r="P629" s="2952"/>
      <c r="Q629" s="2952"/>
      <c r="R629" s="2952"/>
      <c r="S629" s="2952"/>
      <c r="T629" s="2952"/>
      <c r="U629" s="2952"/>
      <c r="V629" s="2952" t="s">
        <v>6948</v>
      </c>
      <c r="W629" s="2952"/>
      <c r="X629" s="2952"/>
      <c r="Y629" s="2952"/>
      <c r="Z629" s="2952"/>
      <c r="AA629" s="2952"/>
      <c r="AB629" s="2952"/>
      <c r="AC629" s="2952"/>
      <c r="AD629" s="2952"/>
      <c r="AE629" s="2952"/>
      <c r="AF629" s="2952"/>
      <c r="AG629" s="2952"/>
      <c r="AH629" s="2952"/>
      <c r="AI629" s="2952"/>
      <c r="AJ629" s="2952"/>
      <c r="AK629" s="2952"/>
      <c r="AL629" s="2952"/>
      <c r="AM629" s="2952"/>
      <c r="AN629" s="2952"/>
      <c r="AO629" s="2952"/>
      <c r="AP629" s="2952"/>
    </row>
    <row r="630" s="799" customFormat="1" ht="12.75" hidden="1" customHeight="1" spans="1:126">
      <c r="A630" s="2955">
        <f>UnosPorBilans!AL249</f>
        <v>0</v>
      </c>
      <c r="B630" s="2955"/>
      <c r="C630" s="2955"/>
      <c r="D630" s="2955"/>
      <c r="E630" s="2955"/>
      <c r="F630" s="2955"/>
      <c r="G630" s="2955"/>
      <c r="H630" s="2955"/>
      <c r="I630" s="2955"/>
      <c r="J630" s="2955"/>
      <c r="K630" s="2955"/>
      <c r="L630" s="2955"/>
      <c r="M630" s="2955"/>
      <c r="N630" s="2955"/>
      <c r="O630" s="2955"/>
      <c r="P630" s="2955"/>
      <c r="Q630" s="2955"/>
      <c r="R630" s="2955"/>
      <c r="S630" s="2955"/>
      <c r="T630" s="2955"/>
      <c r="U630" s="2955"/>
      <c r="V630" s="2955">
        <f>UnosPorBilans!AS249</f>
        <v>0</v>
      </c>
      <c r="W630" s="2955"/>
      <c r="X630" s="2955"/>
      <c r="Y630" s="2955"/>
      <c r="Z630" s="2955"/>
      <c r="AA630" s="2955"/>
      <c r="AB630" s="2955"/>
      <c r="AC630" s="2955"/>
      <c r="AD630" s="2955"/>
      <c r="AE630" s="2955"/>
      <c r="AF630" s="2955"/>
      <c r="AG630" s="2955"/>
      <c r="AH630" s="2955"/>
      <c r="AI630" s="2955"/>
      <c r="AJ630" s="2955"/>
      <c r="AK630" s="2955"/>
      <c r="AL630" s="2955"/>
      <c r="AM630" s="2955"/>
      <c r="AN630" s="2955"/>
      <c r="AO630" s="2955"/>
      <c r="AP630" s="2955"/>
    </row>
    <row r="631" s="799" customFormat="1" ht="14.25" hidden="1" customHeight="1" spans="1:126">
      <c r="A631" s="2954"/>
      <c r="B631" s="2954"/>
      <c r="C631" s="2954"/>
      <c r="D631" s="2954"/>
      <c r="E631" s="2954"/>
      <c r="F631" s="2954"/>
      <c r="G631" s="2954"/>
      <c r="H631" s="2954"/>
      <c r="I631" s="2954"/>
      <c r="J631" s="2954"/>
      <c r="K631" s="2954"/>
      <c r="L631" s="2954"/>
      <c r="M631" s="2954"/>
      <c r="N631" s="2954"/>
      <c r="O631" s="2954"/>
      <c r="P631" s="2954"/>
      <c r="Q631" s="2954"/>
      <c r="R631" s="2954"/>
      <c r="S631" s="2954"/>
      <c r="T631" s="2954"/>
      <c r="U631" s="2954"/>
      <c r="V631" s="2954"/>
      <c r="W631" s="2954"/>
      <c r="X631" s="2954"/>
      <c r="Y631" s="2954"/>
      <c r="Z631" s="2954"/>
      <c r="AA631" s="2954"/>
      <c r="AB631" s="2954"/>
      <c r="AC631" s="2954"/>
      <c r="AD631" s="2954"/>
      <c r="AE631" s="2954"/>
      <c r="AF631" s="2954"/>
      <c r="AG631" s="2954"/>
      <c r="AH631" s="2954"/>
      <c r="AI631" s="2954"/>
      <c r="AJ631" s="2954"/>
      <c r="AK631" s="2954"/>
      <c r="AL631" s="2954"/>
      <c r="AM631" s="2954"/>
      <c r="AN631" s="2954"/>
      <c r="AO631" s="2954"/>
      <c r="AP631" s="2954"/>
      <c r="AQ631" s="2954"/>
      <c r="AR631" s="2954"/>
      <c r="AS631" s="2954"/>
      <c r="AT631" s="2954"/>
      <c r="AU631" s="2954"/>
      <c r="AV631" s="2954"/>
      <c r="AW631" s="2954"/>
      <c r="AX631" s="2954"/>
      <c r="AY631" s="2954"/>
      <c r="AZ631" s="2954"/>
      <c r="BA631" s="2954"/>
      <c r="BB631" s="2954"/>
      <c r="BC631" s="2954"/>
      <c r="BD631" s="2954"/>
      <c r="BE631" s="2954"/>
      <c r="BF631" s="2954"/>
      <c r="BG631" s="2954"/>
      <c r="BH631" s="2954"/>
      <c r="BI631" s="2954"/>
      <c r="BJ631" s="2954"/>
      <c r="BK631" s="2954"/>
      <c r="BL631" s="2954"/>
      <c r="BM631" s="2954"/>
      <c r="BN631" s="2954"/>
      <c r="BO631" s="2954"/>
      <c r="BP631" s="2954"/>
      <c r="BQ631" s="2954"/>
      <c r="BR631" s="2954"/>
      <c r="BS631" s="2954"/>
      <c r="BT631" s="2954"/>
      <c r="BU631" s="2954"/>
      <c r="BV631" s="2954"/>
      <c r="BW631" s="2954"/>
      <c r="BX631" s="2954"/>
      <c r="BY631" s="2954"/>
      <c r="BZ631" s="2954"/>
      <c r="CA631" s="2954"/>
      <c r="CB631" s="2954"/>
      <c r="CC631" s="2954"/>
      <c r="CD631" s="2954"/>
      <c r="CE631" s="2954"/>
      <c r="CF631" s="2954"/>
      <c r="CG631" s="2954"/>
      <c r="CH631" s="2954"/>
      <c r="CI631" s="2954"/>
      <c r="CJ631" s="2954"/>
      <c r="CK631" s="2954"/>
      <c r="CL631" s="2954"/>
      <c r="CM631" s="2954"/>
      <c r="CN631" s="2954"/>
      <c r="CO631" s="2954"/>
      <c r="CP631" s="2954"/>
      <c r="CQ631" s="2954"/>
      <c r="CR631" s="2954"/>
      <c r="CS631" s="2954"/>
      <c r="CT631" s="2954"/>
      <c r="CU631" s="2954"/>
      <c r="CV631" s="2954"/>
      <c r="CW631" s="2954"/>
      <c r="CX631" s="2954"/>
      <c r="CY631" s="2954"/>
      <c r="CZ631" s="2954"/>
      <c r="DA631" s="2954"/>
      <c r="DB631" s="2954"/>
      <c r="DC631" s="2954"/>
      <c r="DD631" s="2954"/>
      <c r="DE631" s="2954"/>
      <c r="DF631" s="2954"/>
      <c r="DG631" s="2954"/>
      <c r="DH631" s="2954"/>
      <c r="DI631" s="2954"/>
      <c r="DJ631" s="2954"/>
      <c r="DK631" s="2954"/>
      <c r="DL631" s="2954"/>
      <c r="DM631" s="2954"/>
      <c r="DN631" s="2954"/>
      <c r="DO631" s="2954"/>
      <c r="DP631" s="2954"/>
      <c r="DQ631" s="2954"/>
      <c r="DR631" s="2954"/>
      <c r="DS631" s="2954"/>
      <c r="DT631" s="2954"/>
      <c r="DU631" s="2954"/>
      <c r="DV631" s="2954"/>
    </row>
    <row r="632" s="799" customFormat="1" ht="14.25" hidden="1" customHeight="1" spans="1:126">
      <c r="A632" s="2952" t="s">
        <v>4214</v>
      </c>
      <c r="B632" s="2952"/>
      <c r="C632" s="2952" t="s">
        <v>6940</v>
      </c>
      <c r="D632" s="2952"/>
      <c r="E632" s="2952"/>
      <c r="F632" s="2952"/>
      <c r="G632" s="2952"/>
      <c r="H632" s="2952"/>
      <c r="I632" s="2952"/>
      <c r="J632" s="2952"/>
      <c r="K632" s="2952"/>
      <c r="L632" s="2952"/>
      <c r="M632" s="2952"/>
      <c r="N632" s="2952"/>
      <c r="O632" s="2952"/>
      <c r="P632" s="2952"/>
      <c r="Q632" s="2952"/>
      <c r="R632" s="2952"/>
      <c r="S632" s="2952"/>
      <c r="T632" s="2952"/>
      <c r="U632" s="2952"/>
      <c r="V632" s="2952" t="s">
        <v>6941</v>
      </c>
      <c r="W632" s="2952"/>
      <c r="X632" s="2952"/>
      <c r="Y632" s="2952"/>
      <c r="Z632" s="2952"/>
      <c r="AA632" s="2952"/>
      <c r="AB632" s="2952"/>
      <c r="AC632" s="2952"/>
      <c r="AD632" s="2952"/>
      <c r="AE632" s="2952"/>
      <c r="AF632" s="2952"/>
      <c r="AG632" s="2952" t="s">
        <v>6942</v>
      </c>
      <c r="AH632" s="2952"/>
      <c r="AI632" s="2952"/>
      <c r="AJ632" s="2952"/>
      <c r="AK632" s="2952"/>
      <c r="AL632" s="2952"/>
      <c r="AM632" s="2952"/>
      <c r="AN632" s="2952"/>
      <c r="AO632" s="2952"/>
      <c r="AP632" s="2952"/>
    </row>
    <row r="633" s="799" customFormat="1" ht="12.75" hidden="1" customHeight="1" spans="1:126">
      <c r="A633" s="2955">
        <f>UnosPorBilans!B250</f>
        <v>0</v>
      </c>
      <c r="B633" s="2955"/>
      <c r="C633" s="2955"/>
      <c r="D633" s="2955"/>
      <c r="E633" s="2955"/>
      <c r="F633" s="2955"/>
      <c r="G633" s="2955"/>
      <c r="H633" s="2955"/>
      <c r="I633" s="2955"/>
      <c r="J633" s="2955"/>
      <c r="K633" s="2955"/>
      <c r="L633" s="2955"/>
      <c r="M633" s="2955"/>
      <c r="N633" s="2955"/>
      <c r="O633" s="2955"/>
      <c r="P633" s="2955"/>
      <c r="Q633" s="2955"/>
      <c r="R633" s="2955"/>
      <c r="S633" s="2955"/>
      <c r="T633" s="2955"/>
      <c r="U633" s="2955"/>
      <c r="V633" s="2955">
        <f>UnosPorBilans!I250</f>
        <v>0</v>
      </c>
      <c r="W633" s="2955"/>
      <c r="X633" s="2955"/>
      <c r="Y633" s="2955"/>
      <c r="Z633" s="2955"/>
      <c r="AA633" s="2955"/>
      <c r="AB633" s="2955"/>
      <c r="AC633" s="2955"/>
      <c r="AD633" s="2955"/>
      <c r="AE633" s="2955"/>
      <c r="AF633" s="2955"/>
      <c r="AG633" s="2955">
        <f>UnosPorBilans!N250</f>
        <v>0</v>
      </c>
      <c r="AH633" s="2955"/>
      <c r="AI633" s="2955"/>
      <c r="AJ633" s="2955"/>
      <c r="AK633" s="2955"/>
      <c r="AL633" s="2955"/>
      <c r="AM633" s="2955"/>
      <c r="AN633" s="2955"/>
      <c r="AO633" s="2955"/>
      <c r="AP633" s="2955"/>
    </row>
    <row r="634" s="799" customFormat="1" ht="12.75" hidden="1" customHeight="1" spans="1:126">
      <c r="A634" s="2952" t="s">
        <v>6943</v>
      </c>
      <c r="B634" s="2952"/>
      <c r="C634" s="2952"/>
      <c r="D634" s="2952"/>
      <c r="E634" s="2952"/>
      <c r="F634" s="2952"/>
      <c r="G634" s="2952"/>
      <c r="H634" s="2952"/>
      <c r="I634" s="2952"/>
      <c r="J634" s="2952"/>
      <c r="K634" s="2952" t="s">
        <v>6944</v>
      </c>
      <c r="L634" s="2952"/>
      <c r="M634" s="2952"/>
      <c r="N634" s="2952"/>
      <c r="O634" s="2952"/>
      <c r="P634" s="2952"/>
      <c r="Q634" s="2952"/>
      <c r="R634" s="2952"/>
      <c r="S634" s="2952"/>
      <c r="T634" s="2952"/>
      <c r="U634" s="2952"/>
      <c r="V634" s="2952" t="s">
        <v>6945</v>
      </c>
      <c r="W634" s="2952"/>
      <c r="X634" s="2952"/>
      <c r="Y634" s="2952"/>
      <c r="Z634" s="2952"/>
      <c r="AA634" s="2952"/>
      <c r="AB634" s="2952"/>
      <c r="AC634" s="2952"/>
      <c r="AD634" s="2952"/>
      <c r="AE634" s="2952"/>
      <c r="AF634" s="2952"/>
      <c r="AG634" s="2952" t="s">
        <v>6946</v>
      </c>
      <c r="AH634" s="2952"/>
      <c r="AI634" s="2952"/>
      <c r="AJ634" s="2952"/>
      <c r="AK634" s="2952"/>
      <c r="AL634" s="2952"/>
      <c r="AM634" s="2952"/>
      <c r="AN634" s="2952"/>
      <c r="AO634" s="2952"/>
      <c r="AP634" s="2952"/>
    </row>
    <row r="635" s="799" customFormat="1" ht="12.75" hidden="1" customHeight="1" spans="1:126">
      <c r="A635" s="2955">
        <f>UnosPorBilans!S250</f>
        <v>0</v>
      </c>
      <c r="B635" s="2955"/>
      <c r="C635" s="2955"/>
      <c r="D635" s="2955"/>
      <c r="E635" s="2955"/>
      <c r="F635" s="2955"/>
      <c r="G635" s="2955"/>
      <c r="H635" s="2955"/>
      <c r="I635" s="2955"/>
      <c r="J635" s="2955"/>
      <c r="K635" s="2955">
        <f>UnosPorBilans!W250</f>
        <v>0</v>
      </c>
      <c r="L635" s="2955"/>
      <c r="M635" s="2955"/>
      <c r="N635" s="2955"/>
      <c r="O635" s="2955"/>
      <c r="P635" s="2955"/>
      <c r="Q635" s="2955"/>
      <c r="R635" s="2955"/>
      <c r="S635" s="2955"/>
      <c r="T635" s="2955"/>
      <c r="U635" s="2955"/>
      <c r="V635" s="2955">
        <f>UnosPorBilans!AB250</f>
        <v>0</v>
      </c>
      <c r="W635" s="2955"/>
      <c r="X635" s="2955"/>
      <c r="Y635" s="2955"/>
      <c r="Z635" s="2955"/>
      <c r="AA635" s="2955"/>
      <c r="AB635" s="2955"/>
      <c r="AC635" s="2955"/>
      <c r="AD635" s="2955"/>
      <c r="AE635" s="2955"/>
      <c r="AF635" s="2955"/>
      <c r="AG635" s="2955">
        <f>UnosPorBilans!AG250</f>
        <v>0</v>
      </c>
      <c r="AH635" s="2955"/>
      <c r="AI635" s="2955"/>
      <c r="AJ635" s="2955"/>
      <c r="AK635" s="2955"/>
      <c r="AL635" s="2955"/>
      <c r="AM635" s="2955"/>
      <c r="AN635" s="2955"/>
      <c r="AO635" s="2955"/>
      <c r="AP635" s="2955"/>
    </row>
    <row r="636" s="799" customFormat="1" ht="12.75" hidden="1" customHeight="1" spans="1:126">
      <c r="A636" s="2952" t="s">
        <v>6947</v>
      </c>
      <c r="B636" s="2952"/>
      <c r="C636" s="2952"/>
      <c r="D636" s="2952"/>
      <c r="E636" s="2952"/>
      <c r="F636" s="2952"/>
      <c r="G636" s="2952"/>
      <c r="H636" s="2952"/>
      <c r="I636" s="2952"/>
      <c r="J636" s="2952"/>
      <c r="K636" s="2952"/>
      <c r="L636" s="2952"/>
      <c r="M636" s="2952"/>
      <c r="N636" s="2952"/>
      <c r="O636" s="2952"/>
      <c r="P636" s="2952"/>
      <c r="Q636" s="2952"/>
      <c r="R636" s="2952"/>
      <c r="S636" s="2952"/>
      <c r="T636" s="2952"/>
      <c r="U636" s="2952"/>
      <c r="V636" s="2952" t="s">
        <v>6948</v>
      </c>
      <c r="W636" s="2952"/>
      <c r="X636" s="2952"/>
      <c r="Y636" s="2952"/>
      <c r="Z636" s="2952"/>
      <c r="AA636" s="2952"/>
      <c r="AB636" s="2952"/>
      <c r="AC636" s="2952"/>
      <c r="AD636" s="2952"/>
      <c r="AE636" s="2952"/>
      <c r="AF636" s="2952"/>
      <c r="AG636" s="2952"/>
      <c r="AH636" s="2952"/>
      <c r="AI636" s="2952"/>
      <c r="AJ636" s="2952"/>
      <c r="AK636" s="2952"/>
      <c r="AL636" s="2952"/>
      <c r="AM636" s="2952"/>
      <c r="AN636" s="2952"/>
      <c r="AO636" s="2952"/>
      <c r="AP636" s="2952"/>
    </row>
    <row r="637" s="799" customFormat="1" ht="12.75" hidden="1" customHeight="1" spans="1:126">
      <c r="A637" s="2955">
        <f>UnosPorBilans!AL250</f>
        <v>0</v>
      </c>
      <c r="B637" s="2955"/>
      <c r="C637" s="2955"/>
      <c r="D637" s="2955"/>
      <c r="E637" s="2955"/>
      <c r="F637" s="2955"/>
      <c r="G637" s="2955"/>
      <c r="H637" s="2955"/>
      <c r="I637" s="2955"/>
      <c r="J637" s="2955"/>
      <c r="K637" s="2955"/>
      <c r="L637" s="2955"/>
      <c r="M637" s="2955"/>
      <c r="N637" s="2955"/>
      <c r="O637" s="2955"/>
      <c r="P637" s="2955"/>
      <c r="Q637" s="2955"/>
      <c r="R637" s="2955"/>
      <c r="S637" s="2955"/>
      <c r="T637" s="2955"/>
      <c r="U637" s="2955"/>
      <c r="V637" s="2955">
        <f>UnosPorBilans!AS250</f>
        <v>0</v>
      </c>
      <c r="W637" s="2955"/>
      <c r="X637" s="2955"/>
      <c r="Y637" s="2955"/>
      <c r="Z637" s="2955"/>
      <c r="AA637" s="2955"/>
      <c r="AB637" s="2955"/>
      <c r="AC637" s="2955"/>
      <c r="AD637" s="2955"/>
      <c r="AE637" s="2955"/>
      <c r="AF637" s="2955"/>
      <c r="AG637" s="2955"/>
      <c r="AH637" s="2955"/>
      <c r="AI637" s="2955"/>
      <c r="AJ637" s="2955"/>
      <c r="AK637" s="2955"/>
      <c r="AL637" s="2955"/>
      <c r="AM637" s="2955"/>
      <c r="AN637" s="2955"/>
      <c r="AO637" s="2955"/>
      <c r="AP637" s="2955"/>
    </row>
    <row r="638" s="799" customFormat="1" ht="14.25" hidden="1" customHeight="1" spans="1:126">
      <c r="A638" s="2954"/>
      <c r="B638" s="2954"/>
      <c r="C638" s="2954"/>
      <c r="D638" s="2954"/>
      <c r="E638" s="2954"/>
      <c r="F638" s="2954"/>
      <c r="G638" s="2954"/>
      <c r="H638" s="2954"/>
      <c r="I638" s="2954"/>
      <c r="J638" s="2954"/>
      <c r="K638" s="2954"/>
      <c r="L638" s="2954"/>
      <c r="M638" s="2954"/>
      <c r="N638" s="2954"/>
      <c r="O638" s="2954"/>
      <c r="P638" s="2954"/>
      <c r="Q638" s="2954"/>
      <c r="R638" s="2954"/>
      <c r="S638" s="2954"/>
      <c r="T638" s="2954"/>
      <c r="U638" s="2954"/>
      <c r="V638" s="2954"/>
      <c r="W638" s="2954"/>
      <c r="X638" s="2954"/>
      <c r="Y638" s="2954"/>
      <c r="Z638" s="2954"/>
      <c r="AA638" s="2954"/>
      <c r="AB638" s="2954"/>
      <c r="AC638" s="2954"/>
      <c r="AD638" s="2954"/>
      <c r="AE638" s="2954"/>
      <c r="AF638" s="2954"/>
      <c r="AG638" s="2954"/>
      <c r="AH638" s="2954"/>
      <c r="AI638" s="2954"/>
      <c r="AJ638" s="2954"/>
      <c r="AK638" s="2954"/>
      <c r="AL638" s="2954"/>
      <c r="AM638" s="2954"/>
      <c r="AN638" s="2954"/>
      <c r="AO638" s="2954"/>
      <c r="AP638" s="2954"/>
      <c r="AQ638" s="2954"/>
      <c r="AR638" s="2954"/>
      <c r="AS638" s="2954"/>
      <c r="AT638" s="2954"/>
      <c r="AU638" s="2954"/>
      <c r="AV638" s="2954"/>
      <c r="AW638" s="2954"/>
      <c r="AX638" s="2954"/>
      <c r="AY638" s="2954"/>
      <c r="AZ638" s="2954"/>
      <c r="BA638" s="2954"/>
      <c r="BB638" s="2954"/>
      <c r="BC638" s="2954"/>
      <c r="BD638" s="2954"/>
      <c r="BE638" s="2954"/>
      <c r="BF638" s="2954"/>
      <c r="BG638" s="2954"/>
      <c r="BH638" s="2954"/>
      <c r="BI638" s="2954"/>
      <c r="BJ638" s="2954"/>
      <c r="BK638" s="2954"/>
      <c r="BL638" s="2954"/>
      <c r="BM638" s="2954"/>
      <c r="BN638" s="2954"/>
      <c r="BO638" s="2954"/>
      <c r="BP638" s="2954"/>
      <c r="BQ638" s="2954"/>
      <c r="BR638" s="2954"/>
      <c r="BS638" s="2954"/>
      <c r="BT638" s="2954"/>
      <c r="BU638" s="2954"/>
      <c r="BV638" s="2954"/>
      <c r="BW638" s="2954"/>
      <c r="BX638" s="2954"/>
      <c r="BY638" s="2954"/>
      <c r="BZ638" s="2954"/>
      <c r="CA638" s="2954"/>
      <c r="CB638" s="2954"/>
      <c r="CC638" s="2954"/>
      <c r="CD638" s="2954"/>
      <c r="CE638" s="2954"/>
      <c r="CF638" s="2954"/>
      <c r="CG638" s="2954"/>
      <c r="CH638" s="2954"/>
      <c r="CI638" s="2954"/>
      <c r="CJ638" s="2954"/>
      <c r="CK638" s="2954"/>
      <c r="CL638" s="2954"/>
      <c r="CM638" s="2954"/>
      <c r="CN638" s="2954"/>
      <c r="CO638" s="2954"/>
      <c r="CP638" s="2954"/>
      <c r="CQ638" s="2954"/>
      <c r="CR638" s="2954"/>
      <c r="CS638" s="2954"/>
      <c r="CT638" s="2954"/>
      <c r="CU638" s="2954"/>
      <c r="CV638" s="2954"/>
      <c r="CW638" s="2954"/>
      <c r="CX638" s="2954"/>
      <c r="CY638" s="2954"/>
      <c r="CZ638" s="2954"/>
      <c r="DA638" s="2954"/>
      <c r="DB638" s="2954"/>
      <c r="DC638" s="2954"/>
      <c r="DD638" s="2954"/>
      <c r="DE638" s="2954"/>
      <c r="DF638" s="2954"/>
      <c r="DG638" s="2954"/>
      <c r="DH638" s="2954"/>
      <c r="DI638" s="2954"/>
      <c r="DJ638" s="2954"/>
      <c r="DK638" s="2954"/>
      <c r="DL638" s="2954"/>
      <c r="DM638" s="2954"/>
      <c r="DN638" s="2954"/>
      <c r="DO638" s="2954"/>
      <c r="DP638" s="2954"/>
      <c r="DQ638" s="2954"/>
      <c r="DR638" s="2954"/>
      <c r="DS638" s="2954"/>
      <c r="DT638" s="2954"/>
      <c r="DU638" s="2954"/>
      <c r="DV638" s="2954"/>
    </row>
    <row r="639" s="799" customFormat="1" ht="14.25" hidden="1" customHeight="1" spans="1:126">
      <c r="A639" s="2952" t="s">
        <v>4214</v>
      </c>
      <c r="B639" s="2952"/>
      <c r="C639" s="2952" t="s">
        <v>6940</v>
      </c>
      <c r="D639" s="2952"/>
      <c r="E639" s="2952"/>
      <c r="F639" s="2952"/>
      <c r="G639" s="2952"/>
      <c r="H639" s="2952"/>
      <c r="I639" s="2952"/>
      <c r="J639" s="2952"/>
      <c r="K639" s="2952"/>
      <c r="L639" s="2952"/>
      <c r="M639" s="2952"/>
      <c r="N639" s="2952"/>
      <c r="O639" s="2952"/>
      <c r="P639" s="2952"/>
      <c r="Q639" s="2952"/>
      <c r="R639" s="2952"/>
      <c r="S639" s="2952"/>
      <c r="T639" s="2952"/>
      <c r="U639" s="2952"/>
      <c r="V639" s="2952" t="s">
        <v>6941</v>
      </c>
      <c r="W639" s="2952"/>
      <c r="X639" s="2952"/>
      <c r="Y639" s="2952"/>
      <c r="Z639" s="2952"/>
      <c r="AA639" s="2952"/>
      <c r="AB639" s="2952"/>
      <c r="AC639" s="2952"/>
      <c r="AD639" s="2952"/>
      <c r="AE639" s="2952"/>
      <c r="AF639" s="2952"/>
      <c r="AG639" s="2952" t="s">
        <v>6942</v>
      </c>
      <c r="AH639" s="2952"/>
      <c r="AI639" s="2952"/>
      <c r="AJ639" s="2952"/>
      <c r="AK639" s="2952"/>
      <c r="AL639" s="2952"/>
      <c r="AM639" s="2952"/>
      <c r="AN639" s="2952"/>
      <c r="AO639" s="2952"/>
      <c r="AP639" s="2952"/>
    </row>
    <row r="640" s="799" customFormat="1" ht="12.75" hidden="1" customHeight="1" spans="1:126">
      <c r="A640" s="2955">
        <f>UnosPorBilans!B251</f>
        <v>0</v>
      </c>
      <c r="B640" s="2955"/>
      <c r="C640" s="2955"/>
      <c r="D640" s="2955"/>
      <c r="E640" s="2955"/>
      <c r="F640" s="2955"/>
      <c r="G640" s="2955"/>
      <c r="H640" s="2955"/>
      <c r="I640" s="2955"/>
      <c r="J640" s="2955"/>
      <c r="K640" s="2955"/>
      <c r="L640" s="2955"/>
      <c r="M640" s="2955"/>
      <c r="N640" s="2955"/>
      <c r="O640" s="2955"/>
      <c r="P640" s="2955"/>
      <c r="Q640" s="2955"/>
      <c r="R640" s="2955"/>
      <c r="S640" s="2955"/>
      <c r="T640" s="2955"/>
      <c r="U640" s="2955"/>
      <c r="V640" s="2955">
        <f>UnosPorBilans!I251</f>
        <v>0</v>
      </c>
      <c r="W640" s="2955"/>
      <c r="X640" s="2955"/>
      <c r="Y640" s="2955"/>
      <c r="Z640" s="2955"/>
      <c r="AA640" s="2955"/>
      <c r="AB640" s="2955"/>
      <c r="AC640" s="2955"/>
      <c r="AD640" s="2955"/>
      <c r="AE640" s="2955"/>
      <c r="AF640" s="2955"/>
      <c r="AG640" s="2955">
        <f>UnosPorBilans!N251</f>
        <v>0</v>
      </c>
      <c r="AH640" s="2955"/>
      <c r="AI640" s="2955"/>
      <c r="AJ640" s="2955"/>
      <c r="AK640" s="2955"/>
      <c r="AL640" s="2955"/>
      <c r="AM640" s="2955"/>
      <c r="AN640" s="2955"/>
      <c r="AO640" s="2955"/>
      <c r="AP640" s="2955"/>
    </row>
    <row r="641" s="799" customFormat="1" ht="12.75" hidden="1" customHeight="1" spans="1:126">
      <c r="A641" s="2952" t="s">
        <v>6943</v>
      </c>
      <c r="B641" s="2952"/>
      <c r="C641" s="2952"/>
      <c r="D641" s="2952"/>
      <c r="E641" s="2952"/>
      <c r="F641" s="2952"/>
      <c r="G641" s="2952"/>
      <c r="H641" s="2952"/>
      <c r="I641" s="2952"/>
      <c r="J641" s="2952"/>
      <c r="K641" s="2952" t="s">
        <v>6944</v>
      </c>
      <c r="L641" s="2952"/>
      <c r="M641" s="2952"/>
      <c r="N641" s="2952"/>
      <c r="O641" s="2952"/>
      <c r="P641" s="2952"/>
      <c r="Q641" s="2952"/>
      <c r="R641" s="2952"/>
      <c r="S641" s="2952"/>
      <c r="T641" s="2952"/>
      <c r="U641" s="2952"/>
      <c r="V641" s="2952" t="s">
        <v>6945</v>
      </c>
      <c r="W641" s="2952"/>
      <c r="X641" s="2952"/>
      <c r="Y641" s="2952"/>
      <c r="Z641" s="2952"/>
      <c r="AA641" s="2952"/>
      <c r="AB641" s="2952"/>
      <c r="AC641" s="2952"/>
      <c r="AD641" s="2952"/>
      <c r="AE641" s="2952"/>
      <c r="AF641" s="2952"/>
      <c r="AG641" s="2952" t="s">
        <v>6946</v>
      </c>
      <c r="AH641" s="2952"/>
      <c r="AI641" s="2952"/>
      <c r="AJ641" s="2952"/>
      <c r="AK641" s="2952"/>
      <c r="AL641" s="2952"/>
      <c r="AM641" s="2952"/>
      <c r="AN641" s="2952"/>
      <c r="AO641" s="2952"/>
      <c r="AP641" s="2952"/>
    </row>
    <row r="642" s="799" customFormat="1" ht="12.75" hidden="1" customHeight="1" spans="1:126">
      <c r="A642" s="2955">
        <f>UnosPorBilans!S251</f>
        <v>0</v>
      </c>
      <c r="B642" s="2955"/>
      <c r="C642" s="2955"/>
      <c r="D642" s="2955"/>
      <c r="E642" s="2955"/>
      <c r="F642" s="2955"/>
      <c r="G642" s="2955"/>
      <c r="H642" s="2955"/>
      <c r="I642" s="2955"/>
      <c r="J642" s="2955"/>
      <c r="K642" s="2955">
        <f>UnosPorBilans!W251</f>
        <v>0</v>
      </c>
      <c r="L642" s="2955"/>
      <c r="M642" s="2955"/>
      <c r="N642" s="2955"/>
      <c r="O642" s="2955"/>
      <c r="P642" s="2955"/>
      <c r="Q642" s="2955"/>
      <c r="R642" s="2955"/>
      <c r="S642" s="2955"/>
      <c r="T642" s="2955"/>
      <c r="U642" s="2955"/>
      <c r="V642" s="2955">
        <f>UnosPorBilans!AB251</f>
        <v>0</v>
      </c>
      <c r="W642" s="2955"/>
      <c r="X642" s="2955"/>
      <c r="Y642" s="2955"/>
      <c r="Z642" s="2955"/>
      <c r="AA642" s="2955"/>
      <c r="AB642" s="2955"/>
      <c r="AC642" s="2955"/>
      <c r="AD642" s="2955"/>
      <c r="AE642" s="2955"/>
      <c r="AF642" s="2955"/>
      <c r="AG642" s="2955">
        <f>UnosPorBilans!AG251</f>
        <v>0</v>
      </c>
      <c r="AH642" s="2955"/>
      <c r="AI642" s="2955"/>
      <c r="AJ642" s="2955"/>
      <c r="AK642" s="2955"/>
      <c r="AL642" s="2955"/>
      <c r="AM642" s="2955"/>
      <c r="AN642" s="2955"/>
      <c r="AO642" s="2955"/>
      <c r="AP642" s="2955"/>
    </row>
    <row r="643" s="799" customFormat="1" ht="12.75" hidden="1" customHeight="1" spans="1:126">
      <c r="A643" s="2952" t="s">
        <v>6947</v>
      </c>
      <c r="B643" s="2952"/>
      <c r="C643" s="2952"/>
      <c r="D643" s="2952"/>
      <c r="E643" s="2952"/>
      <c r="F643" s="2952"/>
      <c r="G643" s="2952"/>
      <c r="H643" s="2952"/>
      <c r="I643" s="2952"/>
      <c r="J643" s="2952"/>
      <c r="K643" s="2952"/>
      <c r="L643" s="2952"/>
      <c r="M643" s="2952"/>
      <c r="N643" s="2952"/>
      <c r="O643" s="2952"/>
      <c r="P643" s="2952"/>
      <c r="Q643" s="2952"/>
      <c r="R643" s="2952"/>
      <c r="S643" s="2952"/>
      <c r="T643" s="2952"/>
      <c r="U643" s="2952"/>
      <c r="V643" s="2952" t="s">
        <v>6948</v>
      </c>
      <c r="W643" s="2952"/>
      <c r="X643" s="2952"/>
      <c r="Y643" s="2952"/>
      <c r="Z643" s="2952"/>
      <c r="AA643" s="2952"/>
      <c r="AB643" s="2952"/>
      <c r="AC643" s="2952"/>
      <c r="AD643" s="2952"/>
      <c r="AE643" s="2952"/>
      <c r="AF643" s="2952"/>
      <c r="AG643" s="2952"/>
      <c r="AH643" s="2952"/>
      <c r="AI643" s="2952"/>
      <c r="AJ643" s="2952"/>
      <c r="AK643" s="2952"/>
      <c r="AL643" s="2952"/>
      <c r="AM643" s="2952"/>
      <c r="AN643" s="2952"/>
      <c r="AO643" s="2952"/>
      <c r="AP643" s="2952"/>
    </row>
    <row r="644" s="799" customFormat="1" ht="12.75" hidden="1" customHeight="1" spans="1:126">
      <c r="A644" s="2955">
        <f>UnosPorBilans!AL251</f>
        <v>0</v>
      </c>
      <c r="B644" s="2955"/>
      <c r="C644" s="2955"/>
      <c r="D644" s="2955"/>
      <c r="E644" s="2955"/>
      <c r="F644" s="2955"/>
      <c r="G644" s="2955"/>
      <c r="H644" s="2955"/>
      <c r="I644" s="2955"/>
      <c r="J644" s="2955"/>
      <c r="K644" s="2955"/>
      <c r="L644" s="2955"/>
      <c r="M644" s="2955"/>
      <c r="N644" s="2955"/>
      <c r="O644" s="2955"/>
      <c r="P644" s="2955"/>
      <c r="Q644" s="2955"/>
      <c r="R644" s="2955"/>
      <c r="S644" s="2955"/>
      <c r="T644" s="2955"/>
      <c r="U644" s="2955"/>
      <c r="V644" s="2955">
        <f>UnosPorBilans!AS251</f>
        <v>0</v>
      </c>
      <c r="W644" s="2955"/>
      <c r="X644" s="2955"/>
      <c r="Y644" s="2955"/>
      <c r="Z644" s="2955"/>
      <c r="AA644" s="2955"/>
      <c r="AB644" s="2955"/>
      <c r="AC644" s="2955"/>
      <c r="AD644" s="2955"/>
      <c r="AE644" s="2955"/>
      <c r="AF644" s="2955"/>
      <c r="AG644" s="2955"/>
      <c r="AH644" s="2955"/>
      <c r="AI644" s="2955"/>
      <c r="AJ644" s="2955"/>
      <c r="AK644" s="2955"/>
      <c r="AL644" s="2955"/>
      <c r="AM644" s="2955"/>
      <c r="AN644" s="2955"/>
      <c r="AO644" s="2955"/>
      <c r="AP644" s="2955"/>
    </row>
    <row r="645" s="799" customFormat="1" ht="14.25" hidden="1" customHeight="1" spans="1:126">
      <c r="A645" s="2954"/>
      <c r="B645" s="2954"/>
      <c r="C645" s="2954"/>
      <c r="D645" s="2954"/>
      <c r="E645" s="2954"/>
      <c r="F645" s="2954"/>
      <c r="G645" s="2954"/>
      <c r="H645" s="2954"/>
      <c r="I645" s="2954"/>
      <c r="J645" s="2954"/>
      <c r="K645" s="2954"/>
      <c r="L645" s="2954"/>
      <c r="M645" s="2954"/>
      <c r="N645" s="2954"/>
      <c r="O645" s="2954"/>
      <c r="P645" s="2954"/>
      <c r="Q645" s="2954"/>
      <c r="R645" s="2954"/>
      <c r="S645" s="2954"/>
      <c r="T645" s="2954"/>
      <c r="U645" s="2954"/>
      <c r="V645" s="2954"/>
      <c r="W645" s="2954"/>
      <c r="X645" s="2954"/>
      <c r="Y645" s="2954"/>
      <c r="Z645" s="2954"/>
      <c r="AA645" s="2954"/>
      <c r="AB645" s="2954"/>
      <c r="AC645" s="2954"/>
      <c r="AD645" s="2954"/>
      <c r="AE645" s="2954"/>
      <c r="AF645" s="2954"/>
      <c r="AG645" s="2954"/>
      <c r="AH645" s="2954"/>
      <c r="AI645" s="2954"/>
      <c r="AJ645" s="2954"/>
      <c r="AK645" s="2954"/>
      <c r="AL645" s="2954"/>
      <c r="AM645" s="2954"/>
      <c r="AN645" s="2954"/>
      <c r="AO645" s="2954"/>
      <c r="AP645" s="2954"/>
      <c r="AQ645" s="2954"/>
      <c r="AR645" s="2954"/>
      <c r="AS645" s="2954"/>
      <c r="AT645" s="2954"/>
      <c r="AU645" s="2954"/>
      <c r="AV645" s="2954"/>
      <c r="AW645" s="2954"/>
      <c r="AX645" s="2954"/>
      <c r="AY645" s="2954"/>
      <c r="AZ645" s="2954"/>
      <c r="BA645" s="2954"/>
      <c r="BB645" s="2954"/>
      <c r="BC645" s="2954"/>
      <c r="BD645" s="2954"/>
      <c r="BE645" s="2954"/>
      <c r="BF645" s="2954"/>
      <c r="BG645" s="2954"/>
      <c r="BH645" s="2954"/>
      <c r="BI645" s="2954"/>
      <c r="BJ645" s="2954"/>
      <c r="BK645" s="2954"/>
      <c r="BL645" s="2954"/>
      <c r="BM645" s="2954"/>
      <c r="BN645" s="2954"/>
      <c r="BO645" s="2954"/>
      <c r="BP645" s="2954"/>
      <c r="BQ645" s="2954"/>
      <c r="BR645" s="2954"/>
      <c r="BS645" s="2954"/>
      <c r="BT645" s="2954"/>
      <c r="BU645" s="2954"/>
      <c r="BV645" s="2954"/>
      <c r="BW645" s="2954"/>
      <c r="BX645" s="2954"/>
      <c r="BY645" s="2954"/>
      <c r="BZ645" s="2954"/>
      <c r="CA645" s="2954"/>
      <c r="CB645" s="2954"/>
      <c r="CC645" s="2954"/>
      <c r="CD645" s="2954"/>
      <c r="CE645" s="2954"/>
      <c r="CF645" s="2954"/>
      <c r="CG645" s="2954"/>
      <c r="CH645" s="2954"/>
      <c r="CI645" s="2954"/>
      <c r="CJ645" s="2954"/>
      <c r="CK645" s="2954"/>
      <c r="CL645" s="2954"/>
      <c r="CM645" s="2954"/>
      <c r="CN645" s="2954"/>
      <c r="CO645" s="2954"/>
      <c r="CP645" s="2954"/>
      <c r="CQ645" s="2954"/>
      <c r="CR645" s="2954"/>
      <c r="CS645" s="2954"/>
      <c r="CT645" s="2954"/>
      <c r="CU645" s="2954"/>
      <c r="CV645" s="2954"/>
      <c r="CW645" s="2954"/>
      <c r="CX645" s="2954"/>
      <c r="CY645" s="2954"/>
      <c r="CZ645" s="2954"/>
      <c r="DA645" s="2954"/>
      <c r="DB645" s="2954"/>
      <c r="DC645" s="2954"/>
      <c r="DD645" s="2954"/>
      <c r="DE645" s="2954"/>
      <c r="DF645" s="2954"/>
      <c r="DG645" s="2954"/>
      <c r="DH645" s="2954"/>
      <c r="DI645" s="2954"/>
      <c r="DJ645" s="2954"/>
      <c r="DK645" s="2954"/>
      <c r="DL645" s="2954"/>
      <c r="DM645" s="2954"/>
      <c r="DN645" s="2954"/>
      <c r="DO645" s="2954"/>
      <c r="DP645" s="2954"/>
      <c r="DQ645" s="2954"/>
      <c r="DR645" s="2954"/>
      <c r="DS645" s="2954"/>
      <c r="DT645" s="2954"/>
      <c r="DU645" s="2954"/>
      <c r="DV645" s="2954"/>
    </row>
    <row r="646" s="799" customFormat="1" ht="14.25" hidden="1" customHeight="1" spans="1:126">
      <c r="A646" s="2952" t="s">
        <v>4214</v>
      </c>
      <c r="B646" s="2952"/>
      <c r="C646" s="2952" t="s">
        <v>6940</v>
      </c>
      <c r="D646" s="2952"/>
      <c r="E646" s="2952"/>
      <c r="F646" s="2952"/>
      <c r="G646" s="2952"/>
      <c r="H646" s="2952"/>
      <c r="I646" s="2952"/>
      <c r="J646" s="2952"/>
      <c r="K646" s="2952"/>
      <c r="L646" s="2952"/>
      <c r="M646" s="2952"/>
      <c r="N646" s="2952"/>
      <c r="O646" s="2952"/>
      <c r="P646" s="2952"/>
      <c r="Q646" s="2952"/>
      <c r="R646" s="2952"/>
      <c r="S646" s="2952"/>
      <c r="T646" s="2952"/>
      <c r="U646" s="2952"/>
      <c r="V646" s="2952" t="s">
        <v>6941</v>
      </c>
      <c r="W646" s="2952"/>
      <c r="X646" s="2952"/>
      <c r="Y646" s="2952"/>
      <c r="Z646" s="2952"/>
      <c r="AA646" s="2952"/>
      <c r="AB646" s="2952"/>
      <c r="AC646" s="2952"/>
      <c r="AD646" s="2952"/>
      <c r="AE646" s="2952"/>
      <c r="AF646" s="2952"/>
      <c r="AG646" s="2952" t="s">
        <v>6942</v>
      </c>
      <c r="AH646" s="2952"/>
      <c r="AI646" s="2952"/>
      <c r="AJ646" s="2952"/>
      <c r="AK646" s="2952"/>
      <c r="AL646" s="2952"/>
      <c r="AM646" s="2952"/>
      <c r="AN646" s="2952"/>
      <c r="AO646" s="2952"/>
      <c r="AP646" s="2952"/>
    </row>
    <row r="647" s="799" customFormat="1" ht="12.75" hidden="1" customHeight="1" spans="1:126">
      <c r="A647" s="2955">
        <f>UnosPorBilans!B252</f>
        <v>0</v>
      </c>
      <c r="B647" s="2955"/>
      <c r="C647" s="2955"/>
      <c r="D647" s="2955"/>
      <c r="E647" s="2955"/>
      <c r="F647" s="2955"/>
      <c r="G647" s="2955"/>
      <c r="H647" s="2955"/>
      <c r="I647" s="2955"/>
      <c r="J647" s="2955"/>
      <c r="K647" s="2955"/>
      <c r="L647" s="2955"/>
      <c r="M647" s="2955"/>
      <c r="N647" s="2955"/>
      <c r="O647" s="2955"/>
      <c r="P647" s="2955"/>
      <c r="Q647" s="2955"/>
      <c r="R647" s="2955"/>
      <c r="S647" s="2955"/>
      <c r="T647" s="2955"/>
      <c r="U647" s="2955"/>
      <c r="V647" s="2955">
        <f>UnosPorBilans!I252</f>
        <v>0</v>
      </c>
      <c r="W647" s="2955"/>
      <c r="X647" s="2955"/>
      <c r="Y647" s="2955"/>
      <c r="Z647" s="2955"/>
      <c r="AA647" s="2955"/>
      <c r="AB647" s="2955"/>
      <c r="AC647" s="2955"/>
      <c r="AD647" s="2955"/>
      <c r="AE647" s="2955"/>
      <c r="AF647" s="2955"/>
      <c r="AG647" s="2955">
        <f>UnosPorBilans!N252</f>
        <v>0</v>
      </c>
      <c r="AH647" s="2955"/>
      <c r="AI647" s="2955"/>
      <c r="AJ647" s="2955"/>
      <c r="AK647" s="2955"/>
      <c r="AL647" s="2955"/>
      <c r="AM647" s="2955"/>
      <c r="AN647" s="2955"/>
      <c r="AO647" s="2955"/>
      <c r="AP647" s="2955"/>
    </row>
    <row r="648" s="799" customFormat="1" ht="12.75" hidden="1" customHeight="1" spans="1:126">
      <c r="A648" s="2952" t="s">
        <v>6943</v>
      </c>
      <c r="B648" s="2952"/>
      <c r="C648" s="2952"/>
      <c r="D648" s="2952"/>
      <c r="E648" s="2952"/>
      <c r="F648" s="2952"/>
      <c r="G648" s="2952"/>
      <c r="H648" s="2952"/>
      <c r="I648" s="2952"/>
      <c r="J648" s="2952"/>
      <c r="K648" s="2952" t="s">
        <v>6944</v>
      </c>
      <c r="L648" s="2952"/>
      <c r="M648" s="2952"/>
      <c r="N648" s="2952"/>
      <c r="O648" s="2952"/>
      <c r="P648" s="2952"/>
      <c r="Q648" s="2952"/>
      <c r="R648" s="2952"/>
      <c r="S648" s="2952"/>
      <c r="T648" s="2952"/>
      <c r="U648" s="2952"/>
      <c r="V648" s="2952" t="s">
        <v>6945</v>
      </c>
      <c r="W648" s="2952"/>
      <c r="X648" s="2952"/>
      <c r="Y648" s="2952"/>
      <c r="Z648" s="2952"/>
      <c r="AA648" s="2952"/>
      <c r="AB648" s="2952"/>
      <c r="AC648" s="2952"/>
      <c r="AD648" s="2952"/>
      <c r="AE648" s="2952"/>
      <c r="AF648" s="2952"/>
      <c r="AG648" s="2952" t="s">
        <v>6946</v>
      </c>
      <c r="AH648" s="2952"/>
      <c r="AI648" s="2952"/>
      <c r="AJ648" s="2952"/>
      <c r="AK648" s="2952"/>
      <c r="AL648" s="2952"/>
      <c r="AM648" s="2952"/>
      <c r="AN648" s="2952"/>
      <c r="AO648" s="2952"/>
      <c r="AP648" s="2952"/>
    </row>
    <row r="649" s="799" customFormat="1" ht="12.75" hidden="1" customHeight="1" spans="1:126">
      <c r="A649" s="2955">
        <f>UnosPorBilans!S252</f>
        <v>0</v>
      </c>
      <c r="B649" s="2955"/>
      <c r="C649" s="2955"/>
      <c r="D649" s="2955"/>
      <c r="E649" s="2955"/>
      <c r="F649" s="2955"/>
      <c r="G649" s="2955"/>
      <c r="H649" s="2955"/>
      <c r="I649" s="2955"/>
      <c r="J649" s="2955"/>
      <c r="K649" s="2955">
        <f>UnosPorBilans!W252</f>
        <v>0</v>
      </c>
      <c r="L649" s="2955"/>
      <c r="M649" s="2955"/>
      <c r="N649" s="2955"/>
      <c r="O649" s="2955"/>
      <c r="P649" s="2955"/>
      <c r="Q649" s="2955"/>
      <c r="R649" s="2955"/>
      <c r="S649" s="2955"/>
      <c r="T649" s="2955"/>
      <c r="U649" s="2955"/>
      <c r="V649" s="2955">
        <f>UnosPorBilans!AB252</f>
        <v>0</v>
      </c>
      <c r="W649" s="2955"/>
      <c r="X649" s="2955"/>
      <c r="Y649" s="2955"/>
      <c r="Z649" s="2955"/>
      <c r="AA649" s="2955"/>
      <c r="AB649" s="2955"/>
      <c r="AC649" s="2955"/>
      <c r="AD649" s="2955"/>
      <c r="AE649" s="2955"/>
      <c r="AF649" s="2955"/>
      <c r="AG649" s="2955">
        <f>UnosPorBilans!AG252</f>
        <v>0</v>
      </c>
      <c r="AH649" s="2955"/>
      <c r="AI649" s="2955"/>
      <c r="AJ649" s="2955"/>
      <c r="AK649" s="2955"/>
      <c r="AL649" s="2955"/>
      <c r="AM649" s="2955"/>
      <c r="AN649" s="2955"/>
      <c r="AO649" s="2955"/>
      <c r="AP649" s="2955"/>
    </row>
    <row r="650" s="799" customFormat="1" ht="12.75" hidden="1" customHeight="1" spans="1:126">
      <c r="A650" s="2952" t="s">
        <v>6947</v>
      </c>
      <c r="B650" s="2952"/>
      <c r="C650" s="2952"/>
      <c r="D650" s="2952"/>
      <c r="E650" s="2952"/>
      <c r="F650" s="2952"/>
      <c r="G650" s="2952"/>
      <c r="H650" s="2952"/>
      <c r="I650" s="2952"/>
      <c r="J650" s="2952"/>
      <c r="K650" s="2952"/>
      <c r="L650" s="2952"/>
      <c r="M650" s="2952"/>
      <c r="N650" s="2952"/>
      <c r="O650" s="2952"/>
      <c r="P650" s="2952"/>
      <c r="Q650" s="2952"/>
      <c r="R650" s="2952"/>
      <c r="S650" s="2952"/>
      <c r="T650" s="2952"/>
      <c r="U650" s="2952"/>
      <c r="V650" s="2952" t="s">
        <v>6948</v>
      </c>
      <c r="W650" s="2952"/>
      <c r="X650" s="2952"/>
      <c r="Y650" s="2952"/>
      <c r="Z650" s="2952"/>
      <c r="AA650" s="2952"/>
      <c r="AB650" s="2952"/>
      <c r="AC650" s="2952"/>
      <c r="AD650" s="2952"/>
      <c r="AE650" s="2952"/>
      <c r="AF650" s="2952"/>
      <c r="AG650" s="2952"/>
      <c r="AH650" s="2952"/>
      <c r="AI650" s="2952"/>
      <c r="AJ650" s="2952"/>
      <c r="AK650" s="2952"/>
      <c r="AL650" s="2952"/>
      <c r="AM650" s="2952"/>
      <c r="AN650" s="2952"/>
      <c r="AO650" s="2952"/>
      <c r="AP650" s="2952"/>
    </row>
    <row r="651" s="799" customFormat="1" ht="12.75" hidden="1" customHeight="1" spans="1:126">
      <c r="A651" s="2955">
        <f>UnosPorBilans!AL252</f>
        <v>0</v>
      </c>
      <c r="B651" s="2955"/>
      <c r="C651" s="2955"/>
      <c r="D651" s="2955"/>
      <c r="E651" s="2955"/>
      <c r="F651" s="2955"/>
      <c r="G651" s="2955"/>
      <c r="H651" s="2955"/>
      <c r="I651" s="2955"/>
      <c r="J651" s="2955"/>
      <c r="K651" s="2955"/>
      <c r="L651" s="2955"/>
      <c r="M651" s="2955"/>
      <c r="N651" s="2955"/>
      <c r="O651" s="2955"/>
      <c r="P651" s="2955"/>
      <c r="Q651" s="2955"/>
      <c r="R651" s="2955"/>
      <c r="S651" s="2955"/>
      <c r="T651" s="2955"/>
      <c r="U651" s="2955"/>
      <c r="V651" s="2955">
        <f>UnosPorBilans!AS252</f>
        <v>0</v>
      </c>
      <c r="W651" s="2955"/>
      <c r="X651" s="2955"/>
      <c r="Y651" s="2955"/>
      <c r="Z651" s="2955"/>
      <c r="AA651" s="2955"/>
      <c r="AB651" s="2955"/>
      <c r="AC651" s="2955"/>
      <c r="AD651" s="2955"/>
      <c r="AE651" s="2955"/>
      <c r="AF651" s="2955"/>
      <c r="AG651" s="2955"/>
      <c r="AH651" s="2955"/>
      <c r="AI651" s="2955"/>
      <c r="AJ651" s="2955"/>
      <c r="AK651" s="2955"/>
      <c r="AL651" s="2955"/>
      <c r="AM651" s="2955"/>
      <c r="AN651" s="2955"/>
      <c r="AO651" s="2955"/>
      <c r="AP651" s="2955"/>
    </row>
    <row r="652" s="799" customFormat="1" ht="14.25" hidden="1" customHeight="1" spans="1:126">
      <c r="A652" s="2954"/>
      <c r="B652" s="2954"/>
      <c r="C652" s="2954"/>
      <c r="D652" s="2954"/>
      <c r="E652" s="2954"/>
      <c r="F652" s="2954"/>
      <c r="G652" s="2954"/>
      <c r="H652" s="2954"/>
      <c r="I652" s="2954"/>
      <c r="J652" s="2954"/>
      <c r="K652" s="2954"/>
      <c r="L652" s="2954"/>
      <c r="M652" s="2954"/>
      <c r="N652" s="2954"/>
      <c r="O652" s="2954"/>
      <c r="P652" s="2954"/>
      <c r="Q652" s="2954"/>
      <c r="R652" s="2954"/>
      <c r="S652" s="2954"/>
      <c r="T652" s="2954"/>
      <c r="U652" s="2954"/>
      <c r="V652" s="2954"/>
      <c r="W652" s="2954"/>
      <c r="X652" s="2954"/>
      <c r="Y652" s="2954"/>
      <c r="Z652" s="2954"/>
      <c r="AA652" s="2954"/>
      <c r="AB652" s="2954"/>
      <c r="AC652" s="2954"/>
      <c r="AD652" s="2954"/>
      <c r="AE652" s="2954"/>
      <c r="AF652" s="2954"/>
      <c r="AG652" s="2954"/>
      <c r="AH652" s="2954"/>
      <c r="AI652" s="2954"/>
      <c r="AJ652" s="2954"/>
      <c r="AK652" s="2954"/>
      <c r="AL652" s="2954"/>
      <c r="AM652" s="2954"/>
      <c r="AN652" s="2954"/>
      <c r="AO652" s="2954"/>
      <c r="AP652" s="2954"/>
      <c r="AQ652" s="2954"/>
      <c r="AR652" s="2954"/>
      <c r="AS652" s="2954"/>
      <c r="AT652" s="2954"/>
      <c r="AU652" s="2954"/>
      <c r="AV652" s="2954"/>
      <c r="AW652" s="2954"/>
      <c r="AX652" s="2954"/>
      <c r="AY652" s="2954"/>
      <c r="AZ652" s="2954"/>
      <c r="BA652" s="2954"/>
      <c r="BB652" s="2954"/>
      <c r="BC652" s="2954"/>
      <c r="BD652" s="2954"/>
      <c r="BE652" s="2954"/>
      <c r="BF652" s="2954"/>
      <c r="BG652" s="2954"/>
      <c r="BH652" s="2954"/>
      <c r="BI652" s="2954"/>
      <c r="BJ652" s="2954"/>
      <c r="BK652" s="2954"/>
      <c r="BL652" s="2954"/>
      <c r="BM652" s="2954"/>
      <c r="BN652" s="2954"/>
      <c r="BO652" s="2954"/>
      <c r="BP652" s="2954"/>
      <c r="BQ652" s="2954"/>
      <c r="BR652" s="2954"/>
      <c r="BS652" s="2954"/>
      <c r="BT652" s="2954"/>
      <c r="BU652" s="2954"/>
      <c r="BV652" s="2954"/>
      <c r="BW652" s="2954"/>
      <c r="BX652" s="2954"/>
      <c r="BY652" s="2954"/>
      <c r="BZ652" s="2954"/>
      <c r="CA652" s="2954"/>
      <c r="CB652" s="2954"/>
      <c r="CC652" s="2954"/>
      <c r="CD652" s="2954"/>
      <c r="CE652" s="2954"/>
      <c r="CF652" s="2954"/>
      <c r="CG652" s="2954"/>
      <c r="CH652" s="2954"/>
      <c r="CI652" s="2954"/>
      <c r="CJ652" s="2954"/>
      <c r="CK652" s="2954"/>
      <c r="CL652" s="2954"/>
      <c r="CM652" s="2954"/>
      <c r="CN652" s="2954"/>
      <c r="CO652" s="2954"/>
      <c r="CP652" s="2954"/>
      <c r="CQ652" s="2954"/>
      <c r="CR652" s="2954"/>
      <c r="CS652" s="2954"/>
      <c r="CT652" s="2954"/>
      <c r="CU652" s="2954"/>
      <c r="CV652" s="2954"/>
      <c r="CW652" s="2954"/>
      <c r="CX652" s="2954"/>
      <c r="CY652" s="2954"/>
      <c r="CZ652" s="2954"/>
      <c r="DA652" s="2954"/>
      <c r="DB652" s="2954"/>
      <c r="DC652" s="2954"/>
      <c r="DD652" s="2954"/>
      <c r="DE652" s="2954"/>
      <c r="DF652" s="2954"/>
      <c r="DG652" s="2954"/>
      <c r="DH652" s="2954"/>
      <c r="DI652" s="2954"/>
      <c r="DJ652" s="2954"/>
      <c r="DK652" s="2954"/>
      <c r="DL652" s="2954"/>
      <c r="DM652" s="2954"/>
      <c r="DN652" s="2954"/>
      <c r="DO652" s="2954"/>
      <c r="DP652" s="2954"/>
      <c r="DQ652" s="2954"/>
      <c r="DR652" s="2954"/>
      <c r="DS652" s="2954"/>
      <c r="DT652" s="2954"/>
      <c r="DU652" s="2954"/>
      <c r="DV652" s="2954"/>
    </row>
    <row r="653" s="799" customFormat="1" ht="14.25" hidden="1" customHeight="1" spans="1:126">
      <c r="A653" s="2954"/>
      <c r="B653" s="2954"/>
      <c r="C653" s="2954"/>
      <c r="D653" s="2954"/>
      <c r="E653" s="2954"/>
      <c r="F653" s="2954"/>
      <c r="G653" s="2954"/>
      <c r="H653" s="2954"/>
      <c r="I653" s="2954"/>
      <c r="J653" s="2954"/>
      <c r="K653" s="2954"/>
      <c r="L653" s="2954"/>
      <c r="M653" s="2954"/>
      <c r="N653" s="2954"/>
      <c r="O653" s="2954"/>
      <c r="P653" s="2954"/>
      <c r="Q653" s="2954"/>
      <c r="R653" s="2954"/>
      <c r="S653" s="2954"/>
      <c r="T653" s="2954"/>
      <c r="U653" s="2954"/>
      <c r="V653" s="2954"/>
      <c r="W653" s="2954"/>
      <c r="X653" s="2954"/>
      <c r="Y653" s="2954"/>
      <c r="Z653" s="2954"/>
      <c r="AA653" s="2954"/>
      <c r="AB653" s="2954"/>
      <c r="AC653" s="2954"/>
      <c r="AD653" s="2954"/>
      <c r="AE653" s="2954"/>
      <c r="AF653" s="2954"/>
      <c r="AG653" s="2954"/>
      <c r="AH653" s="2954"/>
      <c r="AI653" s="2954"/>
      <c r="AJ653" s="2954"/>
      <c r="AK653" s="2954"/>
      <c r="AL653" s="2954"/>
      <c r="AM653" s="2954"/>
      <c r="AN653" s="2954"/>
      <c r="AO653" s="2954"/>
      <c r="AP653" s="2954"/>
      <c r="AQ653" s="2954"/>
      <c r="AR653" s="2954"/>
      <c r="AS653" s="2954"/>
      <c r="AT653" s="2954"/>
      <c r="AU653" s="2954"/>
      <c r="AV653" s="2954"/>
      <c r="AW653" s="2954"/>
      <c r="AX653" s="2954"/>
      <c r="AY653" s="2954"/>
      <c r="AZ653" s="2954"/>
      <c r="BA653" s="2954"/>
      <c r="BB653" s="2954"/>
      <c r="BC653" s="2954"/>
      <c r="BD653" s="2954"/>
      <c r="BE653" s="2954"/>
      <c r="BF653" s="2954"/>
      <c r="BG653" s="2954"/>
      <c r="BH653" s="2954"/>
      <c r="BI653" s="2954"/>
      <c r="BJ653" s="2954"/>
      <c r="BK653" s="2954"/>
      <c r="BL653" s="2954"/>
      <c r="BM653" s="2954"/>
      <c r="BN653" s="2954"/>
      <c r="BO653" s="2954"/>
      <c r="BP653" s="2954"/>
      <c r="BQ653" s="2954"/>
      <c r="BR653" s="2954"/>
      <c r="BS653" s="2954"/>
      <c r="BT653" s="2954"/>
      <c r="BU653" s="2954"/>
      <c r="BV653" s="2954"/>
      <c r="BW653" s="2954"/>
      <c r="BX653" s="2954"/>
      <c r="BY653" s="2954"/>
      <c r="BZ653" s="2954"/>
      <c r="CA653" s="2954"/>
      <c r="CB653" s="2954"/>
      <c r="CC653" s="2954"/>
      <c r="CD653" s="2954"/>
      <c r="CE653" s="2954"/>
      <c r="CF653" s="2954"/>
      <c r="CG653" s="2954"/>
      <c r="CH653" s="2954"/>
      <c r="CI653" s="2954"/>
      <c r="CJ653" s="2954"/>
      <c r="CK653" s="2954"/>
      <c r="CL653" s="2954"/>
      <c r="CM653" s="2954"/>
      <c r="CN653" s="2954"/>
      <c r="CO653" s="2954"/>
      <c r="CP653" s="2954"/>
      <c r="CQ653" s="2954"/>
      <c r="CR653" s="2954"/>
      <c r="CS653" s="2954"/>
      <c r="CT653" s="2954"/>
      <c r="CU653" s="2954"/>
      <c r="CV653" s="2954"/>
      <c r="CW653" s="2954"/>
      <c r="CX653" s="2954"/>
      <c r="CY653" s="2954"/>
      <c r="CZ653" s="2954"/>
      <c r="DA653" s="2954"/>
      <c r="DB653" s="2954"/>
      <c r="DC653" s="2954"/>
      <c r="DD653" s="2954"/>
      <c r="DE653" s="2954"/>
      <c r="DF653" s="2954"/>
      <c r="DG653" s="2954"/>
      <c r="DH653" s="2954"/>
      <c r="DI653" s="2954"/>
      <c r="DJ653" s="2954"/>
      <c r="DK653" s="2954"/>
      <c r="DL653" s="2954"/>
      <c r="DM653" s="2954"/>
      <c r="DN653" s="2954"/>
      <c r="DO653" s="2954"/>
      <c r="DP653" s="2954"/>
      <c r="DQ653" s="2954"/>
      <c r="DR653" s="2954"/>
      <c r="DS653" s="2954"/>
      <c r="DT653" s="2954"/>
      <c r="DU653" s="2954"/>
      <c r="DV653" s="2954"/>
    </row>
    <row r="654" s="799" customFormat="1" ht="14.25" hidden="1" customHeight="1" spans="1:126">
      <c r="A654" s="2954"/>
      <c r="B654" s="2954"/>
      <c r="C654" s="2954"/>
      <c r="D654" s="2954"/>
      <c r="E654" s="2954"/>
      <c r="F654" s="2954"/>
      <c r="G654" s="2954"/>
      <c r="H654" s="2954"/>
      <c r="I654" s="2954"/>
      <c r="J654" s="2954"/>
      <c r="K654" s="2954"/>
      <c r="L654" s="2954"/>
      <c r="M654" s="2954"/>
      <c r="N654" s="2954"/>
      <c r="O654" s="2954"/>
      <c r="P654" s="2954"/>
      <c r="Q654" s="2954"/>
      <c r="R654" s="2954"/>
      <c r="S654" s="2954"/>
      <c r="T654" s="2954"/>
      <c r="U654" s="2954"/>
      <c r="V654" s="2954"/>
      <c r="W654" s="2954"/>
      <c r="X654" s="2954"/>
      <c r="Y654" s="2954"/>
      <c r="Z654" s="2954"/>
      <c r="AA654" s="2954"/>
      <c r="AB654" s="2954"/>
      <c r="AC654" s="2954"/>
      <c r="AD654" s="2954"/>
      <c r="AE654" s="2954"/>
      <c r="AF654" s="2954"/>
      <c r="AG654" s="2954"/>
      <c r="AH654" s="2954"/>
      <c r="AI654" s="2954"/>
      <c r="AJ654" s="2954"/>
      <c r="AK654" s="2954"/>
      <c r="AL654" s="2954"/>
      <c r="AM654" s="2954"/>
      <c r="AN654" s="2954"/>
      <c r="AO654" s="2954"/>
      <c r="AP654" s="2954"/>
      <c r="AQ654" s="2954"/>
      <c r="AR654" s="2954"/>
      <c r="AS654" s="2954"/>
      <c r="AT654" s="2954"/>
      <c r="AU654" s="2954"/>
      <c r="AV654" s="2954"/>
      <c r="AW654" s="2954"/>
      <c r="AX654" s="2954"/>
      <c r="AY654" s="2954"/>
      <c r="AZ654" s="2954"/>
      <c r="BA654" s="2954"/>
      <c r="BB654" s="2954"/>
      <c r="BC654" s="2954"/>
      <c r="BD654" s="2954"/>
      <c r="BE654" s="2954"/>
      <c r="BF654" s="2954"/>
      <c r="BG654" s="2954"/>
      <c r="BH654" s="2954"/>
      <c r="BI654" s="2954"/>
      <c r="BJ654" s="2954"/>
      <c r="BK654" s="2954"/>
      <c r="BL654" s="2954"/>
      <c r="BM654" s="2954"/>
      <c r="BN654" s="2954"/>
      <c r="BO654" s="2954"/>
      <c r="BP654" s="2954"/>
      <c r="BQ654" s="2954"/>
      <c r="BR654" s="2954"/>
      <c r="BS654" s="2954"/>
      <c r="BT654" s="2954"/>
      <c r="BU654" s="2954"/>
      <c r="BV654" s="2954"/>
      <c r="BW654" s="2954"/>
      <c r="BX654" s="2954"/>
      <c r="BY654" s="2954"/>
      <c r="BZ654" s="2954"/>
      <c r="CA654" s="2954"/>
      <c r="CB654" s="2954"/>
      <c r="CC654" s="2954"/>
      <c r="CD654" s="2954"/>
      <c r="CE654" s="2954"/>
      <c r="CF654" s="2954"/>
      <c r="CG654" s="2954"/>
      <c r="CH654" s="2954"/>
      <c r="CI654" s="2954"/>
      <c r="CJ654" s="2954"/>
      <c r="CK654" s="2954"/>
      <c r="CL654" s="2954"/>
      <c r="CM654" s="2954"/>
      <c r="CN654" s="2954"/>
      <c r="CO654" s="2954"/>
      <c r="CP654" s="2954"/>
      <c r="CQ654" s="2954"/>
      <c r="CR654" s="2954"/>
      <c r="CS654" s="2954"/>
      <c r="CT654" s="2954"/>
      <c r="CU654" s="2954"/>
      <c r="CV654" s="2954"/>
      <c r="CW654" s="2954"/>
      <c r="CX654" s="2954"/>
      <c r="CY654" s="2954"/>
      <c r="CZ654" s="2954"/>
      <c r="DA654" s="2954"/>
      <c r="DB654" s="2954"/>
      <c r="DC654" s="2954"/>
      <c r="DD654" s="2954"/>
      <c r="DE654" s="2954"/>
      <c r="DF654" s="2954"/>
      <c r="DG654" s="2954"/>
      <c r="DH654" s="2954"/>
      <c r="DI654" s="2954"/>
      <c r="DJ654" s="2954"/>
      <c r="DK654" s="2954"/>
      <c r="DL654" s="2954"/>
      <c r="DM654" s="2954"/>
      <c r="DN654" s="2954"/>
      <c r="DO654" s="2954"/>
      <c r="DP654" s="2954"/>
      <c r="DQ654" s="2954"/>
      <c r="DR654" s="2954"/>
      <c r="DS654" s="2954"/>
      <c r="DT654" s="2954"/>
      <c r="DU654" s="2954"/>
      <c r="DV654" s="2954"/>
    </row>
    <row r="655" s="799" customFormat="1" ht="14.25" hidden="1" customHeight="1" spans="1:126">
      <c r="A655" s="2952" t="s">
        <v>4214</v>
      </c>
      <c r="B655" s="2952"/>
      <c r="C655" s="2952" t="s">
        <v>6940</v>
      </c>
      <c r="D655" s="2952"/>
      <c r="E655" s="2952"/>
      <c r="F655" s="2952"/>
      <c r="G655" s="2952"/>
      <c r="H655" s="2952"/>
      <c r="I655" s="2952"/>
      <c r="J655" s="2952"/>
      <c r="K655" s="2952"/>
      <c r="L655" s="2952"/>
      <c r="M655" s="2952"/>
      <c r="N655" s="2952"/>
      <c r="O655" s="2952"/>
      <c r="P655" s="2952"/>
      <c r="Q655" s="2952"/>
      <c r="R655" s="2952"/>
      <c r="S655" s="2952"/>
      <c r="T655" s="2952"/>
      <c r="U655" s="2952"/>
      <c r="V655" s="2952" t="s">
        <v>6941</v>
      </c>
      <c r="W655" s="2952"/>
      <c r="X655" s="2952"/>
      <c r="Y655" s="2952"/>
      <c r="Z655" s="2952"/>
      <c r="AA655" s="2952"/>
      <c r="AB655" s="2952"/>
      <c r="AC655" s="2952"/>
      <c r="AD655" s="2952"/>
      <c r="AE655" s="2952"/>
      <c r="AF655" s="2952"/>
      <c r="AG655" s="2952" t="s">
        <v>6942</v>
      </c>
      <c r="AH655" s="2952"/>
      <c r="AI655" s="2952"/>
      <c r="AJ655" s="2952"/>
      <c r="AK655" s="2952"/>
      <c r="AL655" s="2952"/>
      <c r="AM655" s="2952"/>
      <c r="AN655" s="2952"/>
      <c r="AO655" s="2952"/>
      <c r="AP655" s="2952"/>
    </row>
    <row r="656" s="799" customFormat="1" ht="12.75" hidden="1" customHeight="1" spans="1:126">
      <c r="A656" s="2955">
        <f>UnosPorBilans!B253</f>
        <v>0</v>
      </c>
      <c r="B656" s="2955"/>
      <c r="C656" s="2955"/>
      <c r="D656" s="2955"/>
      <c r="E656" s="2955"/>
      <c r="F656" s="2955"/>
      <c r="G656" s="2955"/>
      <c r="H656" s="2955"/>
      <c r="I656" s="2955"/>
      <c r="J656" s="2955"/>
      <c r="K656" s="2955"/>
      <c r="L656" s="2955"/>
      <c r="M656" s="2955"/>
      <c r="N656" s="2955"/>
      <c r="O656" s="2955"/>
      <c r="P656" s="2955"/>
      <c r="Q656" s="2955"/>
      <c r="R656" s="2955"/>
      <c r="S656" s="2955"/>
      <c r="T656" s="2955"/>
      <c r="U656" s="2955"/>
      <c r="V656" s="2955">
        <f>UnosPorBilans!I253</f>
        <v>0</v>
      </c>
      <c r="W656" s="2955"/>
      <c r="X656" s="2955"/>
      <c r="Y656" s="2955"/>
      <c r="Z656" s="2955"/>
      <c r="AA656" s="2955"/>
      <c r="AB656" s="2955"/>
      <c r="AC656" s="2955"/>
      <c r="AD656" s="2955"/>
      <c r="AE656" s="2955"/>
      <c r="AF656" s="2955"/>
      <c r="AG656" s="2955">
        <f>UnosPorBilans!N253</f>
        <v>0</v>
      </c>
      <c r="AH656" s="2955"/>
      <c r="AI656" s="2955"/>
      <c r="AJ656" s="2955"/>
      <c r="AK656" s="2955"/>
      <c r="AL656" s="2955"/>
      <c r="AM656" s="2955"/>
      <c r="AN656" s="2955"/>
      <c r="AO656" s="2955"/>
      <c r="AP656" s="2955"/>
    </row>
    <row r="657" s="799" customFormat="1" ht="12.75" hidden="1" customHeight="1" spans="1:126">
      <c r="A657" s="2952" t="s">
        <v>6943</v>
      </c>
      <c r="B657" s="2952"/>
      <c r="C657" s="2952"/>
      <c r="D657" s="2952"/>
      <c r="E657" s="2952"/>
      <c r="F657" s="2952"/>
      <c r="G657" s="2952"/>
      <c r="H657" s="2952"/>
      <c r="I657" s="2952"/>
      <c r="J657" s="2952"/>
      <c r="K657" s="2952" t="s">
        <v>6944</v>
      </c>
      <c r="L657" s="2952"/>
      <c r="M657" s="2952"/>
      <c r="N657" s="2952"/>
      <c r="O657" s="2952"/>
      <c r="P657" s="2952"/>
      <c r="Q657" s="2952"/>
      <c r="R657" s="2952"/>
      <c r="S657" s="2952"/>
      <c r="T657" s="2952"/>
      <c r="U657" s="2952"/>
      <c r="V657" s="2952" t="s">
        <v>6945</v>
      </c>
      <c r="W657" s="2952"/>
      <c r="X657" s="2952"/>
      <c r="Y657" s="2952"/>
      <c r="Z657" s="2952"/>
      <c r="AA657" s="2952"/>
      <c r="AB657" s="2952"/>
      <c r="AC657" s="2952"/>
      <c r="AD657" s="2952"/>
      <c r="AE657" s="2952"/>
      <c r="AF657" s="2952"/>
      <c r="AG657" s="2952" t="s">
        <v>6946</v>
      </c>
      <c r="AH657" s="2952"/>
      <c r="AI657" s="2952"/>
      <c r="AJ657" s="2952"/>
      <c r="AK657" s="2952"/>
      <c r="AL657" s="2952"/>
      <c r="AM657" s="2952"/>
      <c r="AN657" s="2952"/>
      <c r="AO657" s="2952"/>
      <c r="AP657" s="2952"/>
    </row>
    <row r="658" s="799" customFormat="1" ht="12.75" hidden="1" customHeight="1" spans="1:126">
      <c r="A658" s="2955">
        <f>UnosPorBilans!S253</f>
        <v>0</v>
      </c>
      <c r="B658" s="2955"/>
      <c r="C658" s="2955"/>
      <c r="D658" s="2955"/>
      <c r="E658" s="2955"/>
      <c r="F658" s="2955"/>
      <c r="G658" s="2955"/>
      <c r="H658" s="2955"/>
      <c r="I658" s="2955"/>
      <c r="J658" s="2955"/>
      <c r="K658" s="2955">
        <f>UnosPorBilans!W253</f>
        <v>0</v>
      </c>
      <c r="L658" s="2955"/>
      <c r="M658" s="2955"/>
      <c r="N658" s="2955"/>
      <c r="O658" s="2955"/>
      <c r="P658" s="2955"/>
      <c r="Q658" s="2955"/>
      <c r="R658" s="2955"/>
      <c r="S658" s="2955"/>
      <c r="T658" s="2955"/>
      <c r="U658" s="2955"/>
      <c r="V658" s="2955">
        <f>UnosPorBilans!AB253</f>
        <v>0</v>
      </c>
      <c r="W658" s="2955"/>
      <c r="X658" s="2955"/>
      <c r="Y658" s="2955"/>
      <c r="Z658" s="2955"/>
      <c r="AA658" s="2955"/>
      <c r="AB658" s="2955"/>
      <c r="AC658" s="2955"/>
      <c r="AD658" s="2955"/>
      <c r="AE658" s="2955"/>
      <c r="AF658" s="2955"/>
      <c r="AG658" s="2955">
        <f>UnosPorBilans!AG253</f>
        <v>0</v>
      </c>
      <c r="AH658" s="2955"/>
      <c r="AI658" s="2955"/>
      <c r="AJ658" s="2955"/>
      <c r="AK658" s="2955"/>
      <c r="AL658" s="2955"/>
      <c r="AM658" s="2955"/>
      <c r="AN658" s="2955"/>
      <c r="AO658" s="2955"/>
      <c r="AP658" s="2955"/>
    </row>
    <row r="659" s="799" customFormat="1" ht="12.75" hidden="1" customHeight="1" spans="1:126">
      <c r="A659" s="2952" t="s">
        <v>6947</v>
      </c>
      <c r="B659" s="2952"/>
      <c r="C659" s="2952"/>
      <c r="D659" s="2952"/>
      <c r="E659" s="2952"/>
      <c r="F659" s="2952"/>
      <c r="G659" s="2952"/>
      <c r="H659" s="2952"/>
      <c r="I659" s="2952"/>
      <c r="J659" s="2952"/>
      <c r="K659" s="2952"/>
      <c r="L659" s="2952"/>
      <c r="M659" s="2952"/>
      <c r="N659" s="2952"/>
      <c r="O659" s="2952"/>
      <c r="P659" s="2952"/>
      <c r="Q659" s="2952"/>
      <c r="R659" s="2952"/>
      <c r="S659" s="2952"/>
      <c r="T659" s="2952"/>
      <c r="U659" s="2952"/>
      <c r="V659" s="2952" t="s">
        <v>6948</v>
      </c>
      <c r="W659" s="2952"/>
      <c r="X659" s="2952"/>
      <c r="Y659" s="2952"/>
      <c r="Z659" s="2952"/>
      <c r="AA659" s="2952"/>
      <c r="AB659" s="2952"/>
      <c r="AC659" s="2952"/>
      <c r="AD659" s="2952"/>
      <c r="AE659" s="2952"/>
      <c r="AF659" s="2952"/>
      <c r="AG659" s="2952"/>
      <c r="AH659" s="2952"/>
      <c r="AI659" s="2952"/>
      <c r="AJ659" s="2952"/>
      <c r="AK659" s="2952"/>
      <c r="AL659" s="2952"/>
      <c r="AM659" s="2952"/>
      <c r="AN659" s="2952"/>
      <c r="AO659" s="2952"/>
      <c r="AP659" s="2952"/>
    </row>
    <row r="660" s="799" customFormat="1" ht="12.75" hidden="1" customHeight="1" spans="1:126">
      <c r="A660" s="2955">
        <f>UnosPorBilans!AL253</f>
        <v>0</v>
      </c>
      <c r="B660" s="2955"/>
      <c r="C660" s="2955"/>
      <c r="D660" s="2955"/>
      <c r="E660" s="2955"/>
      <c r="F660" s="2955"/>
      <c r="G660" s="2955"/>
      <c r="H660" s="2955"/>
      <c r="I660" s="2955"/>
      <c r="J660" s="2955"/>
      <c r="K660" s="2955"/>
      <c r="L660" s="2955"/>
      <c r="M660" s="2955"/>
      <c r="N660" s="2955"/>
      <c r="O660" s="2955"/>
      <c r="P660" s="2955"/>
      <c r="Q660" s="2955"/>
      <c r="R660" s="2955"/>
      <c r="S660" s="2955"/>
      <c r="T660" s="2955"/>
      <c r="U660" s="2955"/>
      <c r="V660" s="2955">
        <f>UnosPorBilans!AS253</f>
        <v>0</v>
      </c>
      <c r="W660" s="2955"/>
      <c r="X660" s="2955"/>
      <c r="Y660" s="2955"/>
      <c r="Z660" s="2955"/>
      <c r="AA660" s="2955"/>
      <c r="AB660" s="2955"/>
      <c r="AC660" s="2955"/>
      <c r="AD660" s="2955"/>
      <c r="AE660" s="2955"/>
      <c r="AF660" s="2955"/>
      <c r="AG660" s="2955"/>
      <c r="AH660" s="2955"/>
      <c r="AI660" s="2955"/>
      <c r="AJ660" s="2955"/>
      <c r="AK660" s="2955"/>
      <c r="AL660" s="2955"/>
      <c r="AM660" s="2955"/>
      <c r="AN660" s="2955"/>
      <c r="AO660" s="2955"/>
      <c r="AP660" s="2955"/>
    </row>
    <row r="661" s="799" customFormat="1" ht="14.25" hidden="1" customHeight="1" spans="1:126">
      <c r="A661" s="2954"/>
      <c r="B661" s="2954"/>
      <c r="C661" s="2954"/>
      <c r="D661" s="2954"/>
      <c r="E661" s="2954"/>
      <c r="F661" s="2954"/>
      <c r="G661" s="2954"/>
      <c r="H661" s="2954"/>
      <c r="I661" s="2954"/>
      <c r="J661" s="2954"/>
      <c r="K661" s="2954"/>
      <c r="L661" s="2954"/>
      <c r="M661" s="2954"/>
      <c r="N661" s="2954"/>
      <c r="O661" s="2954"/>
      <c r="P661" s="2954"/>
      <c r="Q661" s="2954"/>
      <c r="R661" s="2954"/>
      <c r="S661" s="2954"/>
      <c r="T661" s="2954"/>
      <c r="U661" s="2954"/>
      <c r="V661" s="2954"/>
      <c r="W661" s="2954"/>
      <c r="X661" s="2954"/>
      <c r="Y661" s="2954"/>
      <c r="Z661" s="2954"/>
      <c r="AA661" s="2954"/>
      <c r="AB661" s="2954"/>
      <c r="AC661" s="2954"/>
      <c r="AD661" s="2954"/>
      <c r="AE661" s="2954"/>
      <c r="AF661" s="2954"/>
      <c r="AG661" s="2954"/>
      <c r="AH661" s="2954"/>
      <c r="AI661" s="2954"/>
      <c r="AJ661" s="2954"/>
      <c r="AK661" s="2954"/>
      <c r="AL661" s="2954"/>
      <c r="AM661" s="2954"/>
      <c r="AN661" s="2954"/>
      <c r="AO661" s="2954"/>
      <c r="AP661" s="2954"/>
      <c r="AQ661" s="2954"/>
      <c r="AR661" s="2954"/>
      <c r="AS661" s="2954"/>
      <c r="AT661" s="2954"/>
      <c r="AU661" s="2954"/>
      <c r="AV661" s="2954"/>
      <c r="AW661" s="2954"/>
      <c r="AX661" s="2954"/>
      <c r="AY661" s="2954"/>
      <c r="AZ661" s="2954"/>
      <c r="BA661" s="2954"/>
      <c r="BB661" s="2954"/>
      <c r="BC661" s="2954"/>
      <c r="BD661" s="2954"/>
      <c r="BE661" s="2954"/>
      <c r="BF661" s="2954"/>
      <c r="BG661" s="2954"/>
      <c r="BH661" s="2954"/>
      <c r="BI661" s="2954"/>
      <c r="BJ661" s="2954"/>
      <c r="BK661" s="2954"/>
      <c r="BL661" s="2954"/>
      <c r="BM661" s="2954"/>
      <c r="BN661" s="2954"/>
      <c r="BO661" s="2954"/>
      <c r="BP661" s="2954"/>
      <c r="BQ661" s="2954"/>
      <c r="BR661" s="2954"/>
      <c r="BS661" s="2954"/>
      <c r="BT661" s="2954"/>
      <c r="BU661" s="2954"/>
      <c r="BV661" s="2954"/>
      <c r="BW661" s="2954"/>
      <c r="BX661" s="2954"/>
      <c r="BY661" s="2954"/>
      <c r="BZ661" s="2954"/>
      <c r="CA661" s="2954"/>
      <c r="CB661" s="2954"/>
      <c r="CC661" s="2954"/>
      <c r="CD661" s="2954"/>
      <c r="CE661" s="2954"/>
      <c r="CF661" s="2954"/>
      <c r="CG661" s="2954"/>
      <c r="CH661" s="2954"/>
      <c r="CI661" s="2954"/>
      <c r="CJ661" s="2954"/>
      <c r="CK661" s="2954"/>
      <c r="CL661" s="2954"/>
      <c r="CM661" s="2954"/>
      <c r="CN661" s="2954"/>
      <c r="CO661" s="2954"/>
      <c r="CP661" s="2954"/>
      <c r="CQ661" s="2954"/>
      <c r="CR661" s="2954"/>
      <c r="CS661" s="2954"/>
      <c r="CT661" s="2954"/>
      <c r="CU661" s="2954"/>
      <c r="CV661" s="2954"/>
      <c r="CW661" s="2954"/>
      <c r="CX661" s="2954"/>
      <c r="CY661" s="2954"/>
      <c r="CZ661" s="2954"/>
      <c r="DA661" s="2954"/>
      <c r="DB661" s="2954"/>
      <c r="DC661" s="2954"/>
      <c r="DD661" s="2954"/>
      <c r="DE661" s="2954"/>
      <c r="DF661" s="2954"/>
      <c r="DG661" s="2954"/>
      <c r="DH661" s="2954"/>
      <c r="DI661" s="2954"/>
      <c r="DJ661" s="2954"/>
      <c r="DK661" s="2954"/>
      <c r="DL661" s="2954"/>
      <c r="DM661" s="2954"/>
      <c r="DN661" s="2954"/>
      <c r="DO661" s="2954"/>
      <c r="DP661" s="2954"/>
      <c r="DQ661" s="2954"/>
      <c r="DR661" s="2954"/>
      <c r="DS661" s="2954"/>
      <c r="DT661" s="2954"/>
      <c r="DU661" s="2954"/>
      <c r="DV661" s="2954"/>
    </row>
    <row r="662" s="799" customFormat="1" ht="14.25" hidden="1" customHeight="1" spans="1:126">
      <c r="A662" s="2952" t="s">
        <v>4214</v>
      </c>
      <c r="B662" s="2952"/>
      <c r="C662" s="2952" t="s">
        <v>6940</v>
      </c>
      <c r="D662" s="2952"/>
      <c r="E662" s="2952"/>
      <c r="F662" s="2952"/>
      <c r="G662" s="2952"/>
      <c r="H662" s="2952"/>
      <c r="I662" s="2952"/>
      <c r="J662" s="2952"/>
      <c r="K662" s="2952"/>
      <c r="L662" s="2952"/>
      <c r="M662" s="2952"/>
      <c r="N662" s="2952"/>
      <c r="O662" s="2952"/>
      <c r="P662" s="2952"/>
      <c r="Q662" s="2952"/>
      <c r="R662" s="2952"/>
      <c r="S662" s="2952"/>
      <c r="T662" s="2952"/>
      <c r="U662" s="2952"/>
      <c r="V662" s="2952" t="s">
        <v>6941</v>
      </c>
      <c r="W662" s="2952"/>
      <c r="X662" s="2952"/>
      <c r="Y662" s="2952"/>
      <c r="Z662" s="2952"/>
      <c r="AA662" s="2952"/>
      <c r="AB662" s="2952"/>
      <c r="AC662" s="2952"/>
      <c r="AD662" s="2952"/>
      <c r="AE662" s="2952"/>
      <c r="AF662" s="2952"/>
      <c r="AG662" s="2952" t="s">
        <v>6942</v>
      </c>
      <c r="AH662" s="2952"/>
      <c r="AI662" s="2952"/>
      <c r="AJ662" s="2952"/>
      <c r="AK662" s="2952"/>
      <c r="AL662" s="2952"/>
      <c r="AM662" s="2952"/>
      <c r="AN662" s="2952"/>
      <c r="AO662" s="2952"/>
      <c r="AP662" s="2952"/>
    </row>
    <row r="663" s="799" customFormat="1" ht="12.75" hidden="1" customHeight="1" spans="1:126">
      <c r="A663" s="2955">
        <f>UnosPorBilans!B254</f>
        <v>0</v>
      </c>
      <c r="B663" s="2955"/>
      <c r="C663" s="2955"/>
      <c r="D663" s="2955"/>
      <c r="E663" s="2955"/>
      <c r="F663" s="2955"/>
      <c r="G663" s="2955"/>
      <c r="H663" s="2955"/>
      <c r="I663" s="2955"/>
      <c r="J663" s="2955"/>
      <c r="K663" s="2955"/>
      <c r="L663" s="2955"/>
      <c r="M663" s="2955"/>
      <c r="N663" s="2955"/>
      <c r="O663" s="2955"/>
      <c r="P663" s="2955"/>
      <c r="Q663" s="2955"/>
      <c r="R663" s="2955"/>
      <c r="S663" s="2955"/>
      <c r="T663" s="2955"/>
      <c r="U663" s="2955"/>
      <c r="V663" s="2955">
        <f>UnosPorBilans!I254</f>
        <v>0</v>
      </c>
      <c r="W663" s="2955"/>
      <c r="X663" s="2955"/>
      <c r="Y663" s="2955"/>
      <c r="Z663" s="2955"/>
      <c r="AA663" s="2955"/>
      <c r="AB663" s="2955"/>
      <c r="AC663" s="2955"/>
      <c r="AD663" s="2955"/>
      <c r="AE663" s="2955"/>
      <c r="AF663" s="2955"/>
      <c r="AG663" s="2955">
        <f>UnosPorBilans!N254</f>
        <v>0</v>
      </c>
      <c r="AH663" s="2955"/>
      <c r="AI663" s="2955"/>
      <c r="AJ663" s="2955"/>
      <c r="AK663" s="2955"/>
      <c r="AL663" s="2955"/>
      <c r="AM663" s="2955"/>
      <c r="AN663" s="2955"/>
      <c r="AO663" s="2955"/>
      <c r="AP663" s="2955"/>
    </row>
    <row r="664" s="799" customFormat="1" ht="12.75" hidden="1" customHeight="1" spans="1:126">
      <c r="A664" s="2952" t="s">
        <v>6943</v>
      </c>
      <c r="B664" s="2952"/>
      <c r="C664" s="2952"/>
      <c r="D664" s="2952"/>
      <c r="E664" s="2952"/>
      <c r="F664" s="2952"/>
      <c r="G664" s="2952"/>
      <c r="H664" s="2952"/>
      <c r="I664" s="2952"/>
      <c r="J664" s="2952"/>
      <c r="K664" s="2952" t="s">
        <v>6944</v>
      </c>
      <c r="L664" s="2952"/>
      <c r="M664" s="2952"/>
      <c r="N664" s="2952"/>
      <c r="O664" s="2952"/>
      <c r="P664" s="2952"/>
      <c r="Q664" s="2952"/>
      <c r="R664" s="2952"/>
      <c r="S664" s="2952"/>
      <c r="T664" s="2952"/>
      <c r="U664" s="2952"/>
      <c r="V664" s="2952" t="s">
        <v>6945</v>
      </c>
      <c r="W664" s="2952"/>
      <c r="X664" s="2952"/>
      <c r="Y664" s="2952"/>
      <c r="Z664" s="2952"/>
      <c r="AA664" s="2952"/>
      <c r="AB664" s="2952"/>
      <c r="AC664" s="2952"/>
      <c r="AD664" s="2952"/>
      <c r="AE664" s="2952"/>
      <c r="AF664" s="2952"/>
      <c r="AG664" s="2952" t="s">
        <v>6946</v>
      </c>
      <c r="AH664" s="2952"/>
      <c r="AI664" s="2952"/>
      <c r="AJ664" s="2952"/>
      <c r="AK664" s="2952"/>
      <c r="AL664" s="2952"/>
      <c r="AM664" s="2952"/>
      <c r="AN664" s="2952"/>
      <c r="AO664" s="2952"/>
      <c r="AP664" s="2952"/>
    </row>
    <row r="665" s="799" customFormat="1" ht="12.75" hidden="1" customHeight="1" spans="1:126">
      <c r="A665" s="2955">
        <f>UnosPorBilans!S254</f>
        <v>0</v>
      </c>
      <c r="B665" s="2955"/>
      <c r="C665" s="2955"/>
      <c r="D665" s="2955"/>
      <c r="E665" s="2955"/>
      <c r="F665" s="2955"/>
      <c r="G665" s="2955"/>
      <c r="H665" s="2955"/>
      <c r="I665" s="2955"/>
      <c r="J665" s="2955"/>
      <c r="K665" s="2955">
        <f>UnosPorBilans!W254</f>
        <v>0</v>
      </c>
      <c r="L665" s="2955"/>
      <c r="M665" s="2955"/>
      <c r="N665" s="2955"/>
      <c r="O665" s="2955"/>
      <c r="P665" s="2955"/>
      <c r="Q665" s="2955"/>
      <c r="R665" s="2955"/>
      <c r="S665" s="2955"/>
      <c r="T665" s="2955"/>
      <c r="U665" s="2955"/>
      <c r="V665" s="2955">
        <f>UnosPorBilans!AB254</f>
        <v>0</v>
      </c>
      <c r="W665" s="2955"/>
      <c r="X665" s="2955"/>
      <c r="Y665" s="2955"/>
      <c r="Z665" s="2955"/>
      <c r="AA665" s="2955"/>
      <c r="AB665" s="2955"/>
      <c r="AC665" s="2955"/>
      <c r="AD665" s="2955"/>
      <c r="AE665" s="2955"/>
      <c r="AF665" s="2955"/>
      <c r="AG665" s="2955">
        <f>UnosPorBilans!AG254</f>
        <v>0</v>
      </c>
      <c r="AH665" s="2955"/>
      <c r="AI665" s="2955"/>
      <c r="AJ665" s="2955"/>
      <c r="AK665" s="2955"/>
      <c r="AL665" s="2955"/>
      <c r="AM665" s="2955"/>
      <c r="AN665" s="2955"/>
      <c r="AO665" s="2955"/>
      <c r="AP665" s="2955"/>
    </row>
    <row r="666" s="799" customFormat="1" ht="12.75" hidden="1" customHeight="1" spans="1:126">
      <c r="A666" s="2952" t="s">
        <v>6947</v>
      </c>
      <c r="B666" s="2952"/>
      <c r="C666" s="2952"/>
      <c r="D666" s="2952"/>
      <c r="E666" s="2952"/>
      <c r="F666" s="2952"/>
      <c r="G666" s="2952"/>
      <c r="H666" s="2952"/>
      <c r="I666" s="2952"/>
      <c r="J666" s="2952"/>
      <c r="K666" s="2952"/>
      <c r="L666" s="2952"/>
      <c r="M666" s="2952"/>
      <c r="N666" s="2952"/>
      <c r="O666" s="2952"/>
      <c r="P666" s="2952"/>
      <c r="Q666" s="2952"/>
      <c r="R666" s="2952"/>
      <c r="S666" s="2952"/>
      <c r="T666" s="2952"/>
      <c r="U666" s="2952"/>
      <c r="V666" s="2952" t="s">
        <v>6948</v>
      </c>
      <c r="W666" s="2952"/>
      <c r="X666" s="2952"/>
      <c r="Y666" s="2952"/>
      <c r="Z666" s="2952"/>
      <c r="AA666" s="2952"/>
      <c r="AB666" s="2952"/>
      <c r="AC666" s="2952"/>
      <c r="AD666" s="2952"/>
      <c r="AE666" s="2952"/>
      <c r="AF666" s="2952"/>
      <c r="AG666" s="2952"/>
      <c r="AH666" s="2952"/>
      <c r="AI666" s="2952"/>
      <c r="AJ666" s="2952"/>
      <c r="AK666" s="2952"/>
      <c r="AL666" s="2952"/>
      <c r="AM666" s="2952"/>
      <c r="AN666" s="2952"/>
      <c r="AO666" s="2952"/>
      <c r="AP666" s="2952"/>
    </row>
    <row r="667" s="799" customFormat="1" ht="12.75" hidden="1" customHeight="1" spans="1:126">
      <c r="A667" s="2955">
        <f>UnosPorBilans!AL254</f>
        <v>0</v>
      </c>
      <c r="B667" s="2955"/>
      <c r="C667" s="2955"/>
      <c r="D667" s="2955"/>
      <c r="E667" s="2955"/>
      <c r="F667" s="2955"/>
      <c r="G667" s="2955"/>
      <c r="H667" s="2955"/>
      <c r="I667" s="2955"/>
      <c r="J667" s="2955"/>
      <c r="K667" s="2955"/>
      <c r="L667" s="2955"/>
      <c r="M667" s="2955"/>
      <c r="N667" s="2955"/>
      <c r="O667" s="2955"/>
      <c r="P667" s="2955"/>
      <c r="Q667" s="2955"/>
      <c r="R667" s="2955"/>
      <c r="S667" s="2955"/>
      <c r="T667" s="2955"/>
      <c r="U667" s="2955"/>
      <c r="V667" s="2955">
        <f>UnosPorBilans!AS254</f>
        <v>0</v>
      </c>
      <c r="W667" s="2955"/>
      <c r="X667" s="2955"/>
      <c r="Y667" s="2955"/>
      <c r="Z667" s="2955"/>
      <c r="AA667" s="2955"/>
      <c r="AB667" s="2955"/>
      <c r="AC667" s="2955"/>
      <c r="AD667" s="2955"/>
      <c r="AE667" s="2955"/>
      <c r="AF667" s="2955"/>
      <c r="AG667" s="2955"/>
      <c r="AH667" s="2955"/>
      <c r="AI667" s="2955"/>
      <c r="AJ667" s="2955"/>
      <c r="AK667" s="2955"/>
      <c r="AL667" s="2955"/>
      <c r="AM667" s="2955"/>
      <c r="AN667" s="2955"/>
      <c r="AO667" s="2955"/>
      <c r="AP667" s="2955"/>
    </row>
    <row r="668" s="799" customFormat="1" ht="14.25" hidden="1" customHeight="1" spans="1:126">
      <c r="A668" s="2954"/>
      <c r="B668" s="2954"/>
      <c r="C668" s="2954"/>
      <c r="D668" s="2954"/>
      <c r="E668" s="2954"/>
      <c r="F668" s="2954"/>
      <c r="G668" s="2954"/>
      <c r="H668" s="2954"/>
      <c r="I668" s="2954"/>
      <c r="J668" s="2954"/>
      <c r="K668" s="2954"/>
      <c r="L668" s="2954"/>
      <c r="M668" s="2954"/>
      <c r="N668" s="2954"/>
      <c r="O668" s="2954"/>
      <c r="P668" s="2954"/>
      <c r="Q668" s="2954"/>
      <c r="R668" s="2954"/>
      <c r="S668" s="2954"/>
      <c r="T668" s="2954"/>
      <c r="U668" s="2954"/>
      <c r="V668" s="2954"/>
      <c r="W668" s="2954"/>
      <c r="X668" s="2954"/>
      <c r="Y668" s="2954"/>
      <c r="Z668" s="2954"/>
      <c r="AA668" s="2954"/>
      <c r="AB668" s="2954"/>
      <c r="AC668" s="2954"/>
      <c r="AD668" s="2954"/>
      <c r="AE668" s="2954"/>
      <c r="AF668" s="2954"/>
      <c r="AG668" s="2954"/>
      <c r="AH668" s="2954"/>
      <c r="AI668" s="2954"/>
      <c r="AJ668" s="2954"/>
      <c r="AK668" s="2954"/>
      <c r="AL668" s="2954"/>
      <c r="AM668" s="2954"/>
      <c r="AN668" s="2954"/>
      <c r="AO668" s="2954"/>
      <c r="AP668" s="2954"/>
      <c r="AQ668" s="2954"/>
      <c r="AR668" s="2954"/>
      <c r="AS668" s="2954"/>
      <c r="AT668" s="2954"/>
      <c r="AU668" s="2954"/>
      <c r="AV668" s="2954"/>
      <c r="AW668" s="2954"/>
      <c r="AX668" s="2954"/>
      <c r="AY668" s="2954"/>
      <c r="AZ668" s="2954"/>
      <c r="BA668" s="2954"/>
      <c r="BB668" s="2954"/>
      <c r="BC668" s="2954"/>
      <c r="BD668" s="2954"/>
      <c r="BE668" s="2954"/>
      <c r="BF668" s="2954"/>
      <c r="BG668" s="2954"/>
      <c r="BH668" s="2954"/>
      <c r="BI668" s="2954"/>
      <c r="BJ668" s="2954"/>
      <c r="BK668" s="2954"/>
      <c r="BL668" s="2954"/>
      <c r="BM668" s="2954"/>
      <c r="BN668" s="2954"/>
      <c r="BO668" s="2954"/>
      <c r="BP668" s="2954"/>
      <c r="BQ668" s="2954"/>
      <c r="BR668" s="2954"/>
      <c r="BS668" s="2954"/>
      <c r="BT668" s="2954"/>
      <c r="BU668" s="2954"/>
      <c r="BV668" s="2954"/>
      <c r="BW668" s="2954"/>
      <c r="BX668" s="2954"/>
      <c r="BY668" s="2954"/>
      <c r="BZ668" s="2954"/>
      <c r="CA668" s="2954"/>
      <c r="CB668" s="2954"/>
      <c r="CC668" s="2954"/>
      <c r="CD668" s="2954"/>
      <c r="CE668" s="2954"/>
      <c r="CF668" s="2954"/>
      <c r="CG668" s="2954"/>
      <c r="CH668" s="2954"/>
      <c r="CI668" s="2954"/>
      <c r="CJ668" s="2954"/>
      <c r="CK668" s="2954"/>
      <c r="CL668" s="2954"/>
      <c r="CM668" s="2954"/>
      <c r="CN668" s="2954"/>
      <c r="CO668" s="2954"/>
      <c r="CP668" s="2954"/>
      <c r="CQ668" s="2954"/>
      <c r="CR668" s="2954"/>
      <c r="CS668" s="2954"/>
      <c r="CT668" s="2954"/>
      <c r="CU668" s="2954"/>
      <c r="CV668" s="2954"/>
      <c r="CW668" s="2954"/>
      <c r="CX668" s="2954"/>
      <c r="CY668" s="2954"/>
      <c r="CZ668" s="2954"/>
      <c r="DA668" s="2954"/>
      <c r="DB668" s="2954"/>
      <c r="DC668" s="2954"/>
      <c r="DD668" s="2954"/>
      <c r="DE668" s="2954"/>
      <c r="DF668" s="2954"/>
      <c r="DG668" s="2954"/>
      <c r="DH668" s="2954"/>
      <c r="DI668" s="2954"/>
      <c r="DJ668" s="2954"/>
      <c r="DK668" s="2954"/>
      <c r="DL668" s="2954"/>
      <c r="DM668" s="2954"/>
      <c r="DN668" s="2954"/>
      <c r="DO668" s="2954"/>
      <c r="DP668" s="2954"/>
      <c r="DQ668" s="2954"/>
      <c r="DR668" s="2954"/>
      <c r="DS668" s="2954"/>
      <c r="DT668" s="2954"/>
      <c r="DU668" s="2954"/>
      <c r="DV668" s="2954"/>
    </row>
    <row r="669" s="799" customFormat="1" ht="14.25" hidden="1" customHeight="1" spans="1:126">
      <c r="A669" s="2952" t="s">
        <v>4214</v>
      </c>
      <c r="B669" s="2952"/>
      <c r="C669" s="2952" t="s">
        <v>6940</v>
      </c>
      <c r="D669" s="2952"/>
      <c r="E669" s="2952"/>
      <c r="F669" s="2952"/>
      <c r="G669" s="2952"/>
      <c r="H669" s="2952"/>
      <c r="I669" s="2952"/>
      <c r="J669" s="2952"/>
      <c r="K669" s="2952"/>
      <c r="L669" s="2952"/>
      <c r="M669" s="2952"/>
      <c r="N669" s="2952"/>
      <c r="O669" s="2952"/>
      <c r="P669" s="2952"/>
      <c r="Q669" s="2952"/>
      <c r="R669" s="2952"/>
      <c r="S669" s="2952"/>
      <c r="T669" s="2952"/>
      <c r="U669" s="2952"/>
      <c r="V669" s="2952" t="s">
        <v>6941</v>
      </c>
      <c r="W669" s="2952"/>
      <c r="X669" s="2952"/>
      <c r="Y669" s="2952"/>
      <c r="Z669" s="2952"/>
      <c r="AA669" s="2952"/>
      <c r="AB669" s="2952"/>
      <c r="AC669" s="2952"/>
      <c r="AD669" s="2952"/>
      <c r="AE669" s="2952"/>
      <c r="AF669" s="2952"/>
      <c r="AG669" s="2952" t="s">
        <v>6942</v>
      </c>
      <c r="AH669" s="2952"/>
      <c r="AI669" s="2952"/>
      <c r="AJ669" s="2952"/>
      <c r="AK669" s="2952"/>
      <c r="AL669" s="2952"/>
      <c r="AM669" s="2952"/>
      <c r="AN669" s="2952"/>
      <c r="AO669" s="2952"/>
      <c r="AP669" s="2952"/>
    </row>
    <row r="670" s="799" customFormat="1" ht="12.75" hidden="1" customHeight="1" spans="1:126">
      <c r="A670" s="2955">
        <f>UnosPorBilans!B255</f>
        <v>0</v>
      </c>
      <c r="B670" s="2955"/>
      <c r="C670" s="2955"/>
      <c r="D670" s="2955"/>
      <c r="E670" s="2955"/>
      <c r="F670" s="2955"/>
      <c r="G670" s="2955"/>
      <c r="H670" s="2955"/>
      <c r="I670" s="2955"/>
      <c r="J670" s="2955"/>
      <c r="K670" s="2955"/>
      <c r="L670" s="2955"/>
      <c r="M670" s="2955"/>
      <c r="N670" s="2955"/>
      <c r="O670" s="2955"/>
      <c r="P670" s="2955"/>
      <c r="Q670" s="2955"/>
      <c r="R670" s="2955"/>
      <c r="S670" s="2955"/>
      <c r="T670" s="2955"/>
      <c r="U670" s="2955"/>
      <c r="V670" s="2955">
        <f>UnosPorBilans!I255</f>
        <v>0</v>
      </c>
      <c r="W670" s="2955"/>
      <c r="X670" s="2955"/>
      <c r="Y670" s="2955"/>
      <c r="Z670" s="2955"/>
      <c r="AA670" s="2955"/>
      <c r="AB670" s="2955"/>
      <c r="AC670" s="2955"/>
      <c r="AD670" s="2955"/>
      <c r="AE670" s="2955"/>
      <c r="AF670" s="2955"/>
      <c r="AG670" s="2955">
        <f>UnosPorBilans!N255</f>
        <v>0</v>
      </c>
      <c r="AH670" s="2955"/>
      <c r="AI670" s="2955"/>
      <c r="AJ670" s="2955"/>
      <c r="AK670" s="2955"/>
      <c r="AL670" s="2955"/>
      <c r="AM670" s="2955"/>
      <c r="AN670" s="2955"/>
      <c r="AO670" s="2955"/>
      <c r="AP670" s="2955"/>
    </row>
    <row r="671" s="799" customFormat="1" ht="12.75" hidden="1" customHeight="1" spans="1:126">
      <c r="A671" s="2952" t="s">
        <v>6943</v>
      </c>
      <c r="B671" s="2952"/>
      <c r="C671" s="2952"/>
      <c r="D671" s="2952"/>
      <c r="E671" s="2952"/>
      <c r="F671" s="2952"/>
      <c r="G671" s="2952"/>
      <c r="H671" s="2952"/>
      <c r="I671" s="2952"/>
      <c r="J671" s="2952"/>
      <c r="K671" s="2952" t="s">
        <v>6944</v>
      </c>
      <c r="L671" s="2952"/>
      <c r="M671" s="2952"/>
      <c r="N671" s="2952"/>
      <c r="O671" s="2952"/>
      <c r="P671" s="2952"/>
      <c r="Q671" s="2952"/>
      <c r="R671" s="2952"/>
      <c r="S671" s="2952"/>
      <c r="T671" s="2952"/>
      <c r="U671" s="2952"/>
      <c r="V671" s="2952" t="s">
        <v>6945</v>
      </c>
      <c r="W671" s="2952"/>
      <c r="X671" s="2952"/>
      <c r="Y671" s="2952"/>
      <c r="Z671" s="2952"/>
      <c r="AA671" s="2952"/>
      <c r="AB671" s="2952"/>
      <c r="AC671" s="2952"/>
      <c r="AD671" s="2952"/>
      <c r="AE671" s="2952"/>
      <c r="AF671" s="2952"/>
      <c r="AG671" s="2952" t="s">
        <v>6946</v>
      </c>
      <c r="AH671" s="2952"/>
      <c r="AI671" s="2952"/>
      <c r="AJ671" s="2952"/>
      <c r="AK671" s="2952"/>
      <c r="AL671" s="2952"/>
      <c r="AM671" s="2952"/>
      <c r="AN671" s="2952"/>
      <c r="AO671" s="2952"/>
      <c r="AP671" s="2952"/>
    </row>
    <row r="672" s="799" customFormat="1" ht="12.75" hidden="1" customHeight="1" spans="1:126">
      <c r="A672" s="2955">
        <f>UnosPorBilans!S255</f>
        <v>0</v>
      </c>
      <c r="B672" s="2955"/>
      <c r="C672" s="2955"/>
      <c r="D672" s="2955"/>
      <c r="E672" s="2955"/>
      <c r="F672" s="2955"/>
      <c r="G672" s="2955"/>
      <c r="H672" s="2955"/>
      <c r="I672" s="2955"/>
      <c r="J672" s="2955"/>
      <c r="K672" s="2955">
        <f>UnosPorBilans!W255</f>
        <v>0</v>
      </c>
      <c r="L672" s="2955"/>
      <c r="M672" s="2955"/>
      <c r="N672" s="2955"/>
      <c r="O672" s="2955"/>
      <c r="P672" s="2955"/>
      <c r="Q672" s="2955"/>
      <c r="R672" s="2955"/>
      <c r="S672" s="2955"/>
      <c r="T672" s="2955"/>
      <c r="U672" s="2955"/>
      <c r="V672" s="2955">
        <f>UnosPorBilans!AB255</f>
        <v>0</v>
      </c>
      <c r="W672" s="2955"/>
      <c r="X672" s="2955"/>
      <c r="Y672" s="2955"/>
      <c r="Z672" s="2955"/>
      <c r="AA672" s="2955"/>
      <c r="AB672" s="2955"/>
      <c r="AC672" s="2955"/>
      <c r="AD672" s="2955"/>
      <c r="AE672" s="2955"/>
      <c r="AF672" s="2955"/>
      <c r="AG672" s="2955">
        <f>UnosPorBilans!AG255</f>
        <v>0</v>
      </c>
      <c r="AH672" s="2955"/>
      <c r="AI672" s="2955"/>
      <c r="AJ672" s="2955"/>
      <c r="AK672" s="2955"/>
      <c r="AL672" s="2955"/>
      <c r="AM672" s="2955"/>
      <c r="AN672" s="2955"/>
      <c r="AO672" s="2955"/>
      <c r="AP672" s="2955"/>
    </row>
    <row r="673" s="799" customFormat="1" ht="12.75" hidden="1" customHeight="1" spans="1:126">
      <c r="A673" s="2952" t="s">
        <v>6947</v>
      </c>
      <c r="B673" s="2952"/>
      <c r="C673" s="2952"/>
      <c r="D673" s="2952"/>
      <c r="E673" s="2952"/>
      <c r="F673" s="2952"/>
      <c r="G673" s="2952"/>
      <c r="H673" s="2952"/>
      <c r="I673" s="2952"/>
      <c r="J673" s="2952"/>
      <c r="K673" s="2952"/>
      <c r="L673" s="2952"/>
      <c r="M673" s="2952"/>
      <c r="N673" s="2952"/>
      <c r="O673" s="2952"/>
      <c r="P673" s="2952"/>
      <c r="Q673" s="2952"/>
      <c r="R673" s="2952"/>
      <c r="S673" s="2952"/>
      <c r="T673" s="2952"/>
      <c r="U673" s="2952"/>
      <c r="V673" s="2952" t="s">
        <v>6948</v>
      </c>
      <c r="W673" s="2952"/>
      <c r="X673" s="2952"/>
      <c r="Y673" s="2952"/>
      <c r="Z673" s="2952"/>
      <c r="AA673" s="2952"/>
      <c r="AB673" s="2952"/>
      <c r="AC673" s="2952"/>
      <c r="AD673" s="2952"/>
      <c r="AE673" s="2952"/>
      <c r="AF673" s="2952"/>
      <c r="AG673" s="2952"/>
      <c r="AH673" s="2952"/>
      <c r="AI673" s="2952"/>
      <c r="AJ673" s="2952"/>
      <c r="AK673" s="2952"/>
      <c r="AL673" s="2952"/>
      <c r="AM673" s="2952"/>
      <c r="AN673" s="2952"/>
      <c r="AO673" s="2952"/>
      <c r="AP673" s="2952"/>
    </row>
    <row r="674" s="799" customFormat="1" ht="12.75" hidden="1" customHeight="1" spans="1:126">
      <c r="A674" s="2955">
        <f>UnosPorBilans!AL255</f>
        <v>0</v>
      </c>
      <c r="B674" s="2955"/>
      <c r="C674" s="2955"/>
      <c r="D674" s="2955"/>
      <c r="E674" s="2955"/>
      <c r="F674" s="2955"/>
      <c r="G674" s="2955"/>
      <c r="H674" s="2955"/>
      <c r="I674" s="2955"/>
      <c r="J674" s="2955"/>
      <c r="K674" s="2955"/>
      <c r="L674" s="2955"/>
      <c r="M674" s="2955"/>
      <c r="N674" s="2955"/>
      <c r="O674" s="2955"/>
      <c r="P674" s="2955"/>
      <c r="Q674" s="2955"/>
      <c r="R674" s="2955"/>
      <c r="S674" s="2955"/>
      <c r="T674" s="2955"/>
      <c r="U674" s="2955"/>
      <c r="V674" s="2955">
        <f>UnosPorBilans!AS255</f>
        <v>0</v>
      </c>
      <c r="W674" s="2955"/>
      <c r="X674" s="2955"/>
      <c r="Y674" s="2955"/>
      <c r="Z674" s="2955"/>
      <c r="AA674" s="2955"/>
      <c r="AB674" s="2955"/>
      <c r="AC674" s="2955"/>
      <c r="AD674" s="2955"/>
      <c r="AE674" s="2955"/>
      <c r="AF674" s="2955"/>
      <c r="AG674" s="2955"/>
      <c r="AH674" s="2955"/>
      <c r="AI674" s="2955"/>
      <c r="AJ674" s="2955"/>
      <c r="AK674" s="2955"/>
      <c r="AL674" s="2955"/>
      <c r="AM674" s="2955"/>
      <c r="AN674" s="2955"/>
      <c r="AO674" s="2955"/>
      <c r="AP674" s="2955"/>
    </row>
    <row r="675" s="799" customFormat="1" ht="14.25" hidden="1" customHeight="1" spans="1:126">
      <c r="A675" s="2954"/>
      <c r="B675" s="2954"/>
      <c r="C675" s="2954"/>
      <c r="D675" s="2954"/>
      <c r="E675" s="2954"/>
      <c r="F675" s="2954"/>
      <c r="G675" s="2954"/>
      <c r="H675" s="2954"/>
      <c r="I675" s="2954"/>
      <c r="J675" s="2954"/>
      <c r="K675" s="2954"/>
      <c r="L675" s="2954"/>
      <c r="M675" s="2954"/>
      <c r="N675" s="2954"/>
      <c r="O675" s="2954"/>
      <c r="P675" s="2954"/>
      <c r="Q675" s="2954"/>
      <c r="R675" s="2954"/>
      <c r="S675" s="2954"/>
      <c r="T675" s="2954"/>
      <c r="U675" s="2954"/>
      <c r="V675" s="2954"/>
      <c r="W675" s="2954"/>
      <c r="X675" s="2954"/>
      <c r="Y675" s="2954"/>
      <c r="Z675" s="2954"/>
      <c r="AA675" s="2954"/>
      <c r="AB675" s="2954"/>
      <c r="AC675" s="2954"/>
      <c r="AD675" s="2954"/>
      <c r="AE675" s="2954"/>
      <c r="AF675" s="2954"/>
      <c r="AG675" s="2954"/>
      <c r="AH675" s="2954"/>
      <c r="AI675" s="2954"/>
      <c r="AJ675" s="2954"/>
      <c r="AK675" s="2954"/>
      <c r="AL675" s="2954"/>
      <c r="AM675" s="2954"/>
      <c r="AN675" s="2954"/>
      <c r="AO675" s="2954"/>
      <c r="AP675" s="2954"/>
      <c r="AQ675" s="2954"/>
      <c r="AR675" s="2954"/>
      <c r="AS675" s="2954"/>
      <c r="AT675" s="2954"/>
      <c r="AU675" s="2954"/>
      <c r="AV675" s="2954"/>
      <c r="AW675" s="2954"/>
      <c r="AX675" s="2954"/>
      <c r="AY675" s="2954"/>
      <c r="AZ675" s="2954"/>
      <c r="BA675" s="2954"/>
      <c r="BB675" s="2954"/>
      <c r="BC675" s="2954"/>
      <c r="BD675" s="2954"/>
      <c r="BE675" s="2954"/>
      <c r="BF675" s="2954"/>
      <c r="BG675" s="2954"/>
      <c r="BH675" s="2954"/>
      <c r="BI675" s="2954"/>
      <c r="BJ675" s="2954"/>
      <c r="BK675" s="2954"/>
      <c r="BL675" s="2954"/>
      <c r="BM675" s="2954"/>
      <c r="BN675" s="2954"/>
      <c r="BO675" s="2954"/>
      <c r="BP675" s="2954"/>
      <c r="BQ675" s="2954"/>
      <c r="BR675" s="2954"/>
      <c r="BS675" s="2954"/>
      <c r="BT675" s="2954"/>
      <c r="BU675" s="2954"/>
      <c r="BV675" s="2954"/>
      <c r="BW675" s="2954"/>
      <c r="BX675" s="2954"/>
      <c r="BY675" s="2954"/>
      <c r="BZ675" s="2954"/>
      <c r="CA675" s="2954"/>
      <c r="CB675" s="2954"/>
      <c r="CC675" s="2954"/>
      <c r="CD675" s="2954"/>
      <c r="CE675" s="2954"/>
      <c r="CF675" s="2954"/>
      <c r="CG675" s="2954"/>
      <c r="CH675" s="2954"/>
      <c r="CI675" s="2954"/>
      <c r="CJ675" s="2954"/>
      <c r="CK675" s="2954"/>
      <c r="CL675" s="2954"/>
      <c r="CM675" s="2954"/>
      <c r="CN675" s="2954"/>
      <c r="CO675" s="2954"/>
      <c r="CP675" s="2954"/>
      <c r="CQ675" s="2954"/>
      <c r="CR675" s="2954"/>
      <c r="CS675" s="2954"/>
      <c r="CT675" s="2954"/>
      <c r="CU675" s="2954"/>
      <c r="CV675" s="2954"/>
      <c r="CW675" s="2954"/>
      <c r="CX675" s="2954"/>
      <c r="CY675" s="2954"/>
      <c r="CZ675" s="2954"/>
      <c r="DA675" s="2954"/>
      <c r="DB675" s="2954"/>
      <c r="DC675" s="2954"/>
      <c r="DD675" s="2954"/>
      <c r="DE675" s="2954"/>
      <c r="DF675" s="2954"/>
      <c r="DG675" s="2954"/>
      <c r="DH675" s="2954"/>
      <c r="DI675" s="2954"/>
      <c r="DJ675" s="2954"/>
      <c r="DK675" s="2954"/>
      <c r="DL675" s="2954"/>
      <c r="DM675" s="2954"/>
      <c r="DN675" s="2954"/>
      <c r="DO675" s="2954"/>
      <c r="DP675" s="2954"/>
      <c r="DQ675" s="2954"/>
      <c r="DR675" s="2954"/>
      <c r="DS675" s="2954"/>
      <c r="DT675" s="2954"/>
      <c r="DU675" s="2954"/>
      <c r="DV675" s="2954"/>
    </row>
    <row r="676" s="799" customFormat="1" ht="14.25" hidden="1" customHeight="1" spans="1:126">
      <c r="A676" s="2952" t="s">
        <v>4214</v>
      </c>
      <c r="B676" s="2952"/>
      <c r="C676" s="2952" t="s">
        <v>6940</v>
      </c>
      <c r="D676" s="2952"/>
      <c r="E676" s="2952"/>
      <c r="F676" s="2952"/>
      <c r="G676" s="2952"/>
      <c r="H676" s="2952"/>
      <c r="I676" s="2952"/>
      <c r="J676" s="2952"/>
      <c r="K676" s="2952"/>
      <c r="L676" s="2952"/>
      <c r="M676" s="2952"/>
      <c r="N676" s="2952"/>
      <c r="O676" s="2952"/>
      <c r="P676" s="2952"/>
      <c r="Q676" s="2952"/>
      <c r="R676" s="2952"/>
      <c r="S676" s="2952"/>
      <c r="T676" s="2952"/>
      <c r="U676" s="2952"/>
      <c r="V676" s="2952" t="s">
        <v>6941</v>
      </c>
      <c r="W676" s="2952"/>
      <c r="X676" s="2952"/>
      <c r="Y676" s="2952"/>
      <c r="Z676" s="2952"/>
      <c r="AA676" s="2952"/>
      <c r="AB676" s="2952"/>
      <c r="AC676" s="2952"/>
      <c r="AD676" s="2952"/>
      <c r="AE676" s="2952"/>
      <c r="AF676" s="2952"/>
      <c r="AG676" s="2952" t="s">
        <v>6942</v>
      </c>
      <c r="AH676" s="2952"/>
      <c r="AI676" s="2952"/>
      <c r="AJ676" s="2952"/>
      <c r="AK676" s="2952"/>
      <c r="AL676" s="2952"/>
      <c r="AM676" s="2952"/>
      <c r="AN676" s="2952"/>
      <c r="AO676" s="2952"/>
      <c r="AP676" s="2952"/>
    </row>
    <row r="677" s="799" customFormat="1" ht="12.75" hidden="1" customHeight="1" spans="1:126">
      <c r="A677" s="2955">
        <f>UnosPorBilans!B256</f>
        <v>0</v>
      </c>
      <c r="B677" s="2955"/>
      <c r="C677" s="2955"/>
      <c r="D677" s="2955"/>
      <c r="E677" s="2955"/>
      <c r="F677" s="2955"/>
      <c r="G677" s="2955"/>
      <c r="H677" s="2955"/>
      <c r="I677" s="2955"/>
      <c r="J677" s="2955"/>
      <c r="K677" s="2955"/>
      <c r="L677" s="2955"/>
      <c r="M677" s="2955"/>
      <c r="N677" s="2955"/>
      <c r="O677" s="2955"/>
      <c r="P677" s="2955"/>
      <c r="Q677" s="2955"/>
      <c r="R677" s="2955"/>
      <c r="S677" s="2955"/>
      <c r="T677" s="2955"/>
      <c r="U677" s="2955"/>
      <c r="V677" s="2955">
        <f>UnosPorBilans!I256</f>
        <v>0</v>
      </c>
      <c r="W677" s="2955"/>
      <c r="X677" s="2955"/>
      <c r="Y677" s="2955"/>
      <c r="Z677" s="2955"/>
      <c r="AA677" s="2955"/>
      <c r="AB677" s="2955"/>
      <c r="AC677" s="2955"/>
      <c r="AD677" s="2955"/>
      <c r="AE677" s="2955"/>
      <c r="AF677" s="2955"/>
      <c r="AG677" s="2955">
        <f>UnosPorBilans!N256</f>
        <v>0</v>
      </c>
      <c r="AH677" s="2955"/>
      <c r="AI677" s="2955"/>
      <c r="AJ677" s="2955"/>
      <c r="AK677" s="2955"/>
      <c r="AL677" s="2955"/>
      <c r="AM677" s="2955"/>
      <c r="AN677" s="2955"/>
      <c r="AO677" s="2955"/>
      <c r="AP677" s="2955"/>
    </row>
    <row r="678" s="799" customFormat="1" ht="12.75" hidden="1" customHeight="1" spans="1:126">
      <c r="A678" s="2952" t="s">
        <v>6943</v>
      </c>
      <c r="B678" s="2952"/>
      <c r="C678" s="2952"/>
      <c r="D678" s="2952"/>
      <c r="E678" s="2952"/>
      <c r="F678" s="2952"/>
      <c r="G678" s="2952"/>
      <c r="H678" s="2952"/>
      <c r="I678" s="2952"/>
      <c r="J678" s="2952"/>
      <c r="K678" s="2952" t="s">
        <v>6944</v>
      </c>
      <c r="L678" s="2952"/>
      <c r="M678" s="2952"/>
      <c r="N678" s="2952"/>
      <c r="O678" s="2952"/>
      <c r="P678" s="2952"/>
      <c r="Q678" s="2952"/>
      <c r="R678" s="2952"/>
      <c r="S678" s="2952"/>
      <c r="T678" s="2952"/>
      <c r="U678" s="2952"/>
      <c r="V678" s="2952" t="s">
        <v>6945</v>
      </c>
      <c r="W678" s="2952"/>
      <c r="X678" s="2952"/>
      <c r="Y678" s="2952"/>
      <c r="Z678" s="2952"/>
      <c r="AA678" s="2952"/>
      <c r="AB678" s="2952"/>
      <c r="AC678" s="2952"/>
      <c r="AD678" s="2952"/>
      <c r="AE678" s="2952"/>
      <c r="AF678" s="2952"/>
      <c r="AG678" s="2952" t="s">
        <v>6946</v>
      </c>
      <c r="AH678" s="2952"/>
      <c r="AI678" s="2952"/>
      <c r="AJ678" s="2952"/>
      <c r="AK678" s="2952"/>
      <c r="AL678" s="2952"/>
      <c r="AM678" s="2952"/>
      <c r="AN678" s="2952"/>
      <c r="AO678" s="2952"/>
      <c r="AP678" s="2952"/>
    </row>
    <row r="679" s="799" customFormat="1" ht="12.75" hidden="1" customHeight="1" spans="1:126">
      <c r="A679" s="2955">
        <f>UnosPorBilans!S256</f>
        <v>0</v>
      </c>
      <c r="B679" s="2955"/>
      <c r="C679" s="2955"/>
      <c r="D679" s="2955"/>
      <c r="E679" s="2955"/>
      <c r="F679" s="2955"/>
      <c r="G679" s="2955"/>
      <c r="H679" s="2955"/>
      <c r="I679" s="2955"/>
      <c r="J679" s="2955"/>
      <c r="K679" s="2955">
        <f>UnosPorBilans!W256</f>
        <v>0</v>
      </c>
      <c r="L679" s="2955"/>
      <c r="M679" s="2955"/>
      <c r="N679" s="2955"/>
      <c r="O679" s="2955"/>
      <c r="P679" s="2955"/>
      <c r="Q679" s="2955"/>
      <c r="R679" s="2955"/>
      <c r="S679" s="2955"/>
      <c r="T679" s="2955"/>
      <c r="U679" s="2955"/>
      <c r="V679" s="2955">
        <f>UnosPorBilans!AB256</f>
        <v>0</v>
      </c>
      <c r="W679" s="2955"/>
      <c r="X679" s="2955"/>
      <c r="Y679" s="2955"/>
      <c r="Z679" s="2955"/>
      <c r="AA679" s="2955"/>
      <c r="AB679" s="2955"/>
      <c r="AC679" s="2955"/>
      <c r="AD679" s="2955"/>
      <c r="AE679" s="2955"/>
      <c r="AF679" s="2955"/>
      <c r="AG679" s="2955">
        <f>UnosPorBilans!AG256</f>
        <v>0</v>
      </c>
      <c r="AH679" s="2955"/>
      <c r="AI679" s="2955"/>
      <c r="AJ679" s="2955"/>
      <c r="AK679" s="2955"/>
      <c r="AL679" s="2955"/>
      <c r="AM679" s="2955"/>
      <c r="AN679" s="2955"/>
      <c r="AO679" s="2955"/>
      <c r="AP679" s="2955"/>
    </row>
    <row r="680" s="799" customFormat="1" ht="12.75" hidden="1" customHeight="1" spans="1:126">
      <c r="A680" s="2952" t="s">
        <v>6947</v>
      </c>
      <c r="B680" s="2952"/>
      <c r="C680" s="2952"/>
      <c r="D680" s="2952"/>
      <c r="E680" s="2952"/>
      <c r="F680" s="2952"/>
      <c r="G680" s="2952"/>
      <c r="H680" s="2952"/>
      <c r="I680" s="2952"/>
      <c r="J680" s="2952"/>
      <c r="K680" s="2952"/>
      <c r="L680" s="2952"/>
      <c r="M680" s="2952"/>
      <c r="N680" s="2952"/>
      <c r="O680" s="2952"/>
      <c r="P680" s="2952"/>
      <c r="Q680" s="2952"/>
      <c r="R680" s="2952"/>
      <c r="S680" s="2952"/>
      <c r="T680" s="2952"/>
      <c r="U680" s="2952"/>
      <c r="V680" s="2952" t="s">
        <v>6948</v>
      </c>
      <c r="W680" s="2952"/>
      <c r="X680" s="2952"/>
      <c r="Y680" s="2952"/>
      <c r="Z680" s="2952"/>
      <c r="AA680" s="2952"/>
      <c r="AB680" s="2952"/>
      <c r="AC680" s="2952"/>
      <c r="AD680" s="2952"/>
      <c r="AE680" s="2952"/>
      <c r="AF680" s="2952"/>
      <c r="AG680" s="2952"/>
      <c r="AH680" s="2952"/>
      <c r="AI680" s="2952"/>
      <c r="AJ680" s="2952"/>
      <c r="AK680" s="2952"/>
      <c r="AL680" s="2952"/>
      <c r="AM680" s="2952"/>
      <c r="AN680" s="2952"/>
      <c r="AO680" s="2952"/>
      <c r="AP680" s="2952"/>
    </row>
    <row r="681" s="799" customFormat="1" ht="12.75" hidden="1" customHeight="1" spans="1:126">
      <c r="A681" s="2955">
        <f>UnosPorBilans!AL256</f>
        <v>0</v>
      </c>
      <c r="B681" s="2955"/>
      <c r="C681" s="2955"/>
      <c r="D681" s="2955"/>
      <c r="E681" s="2955"/>
      <c r="F681" s="2955"/>
      <c r="G681" s="2955"/>
      <c r="H681" s="2955"/>
      <c r="I681" s="2955"/>
      <c r="J681" s="2955"/>
      <c r="K681" s="2955"/>
      <c r="L681" s="2955"/>
      <c r="M681" s="2955"/>
      <c r="N681" s="2955"/>
      <c r="O681" s="2955"/>
      <c r="P681" s="2955"/>
      <c r="Q681" s="2955"/>
      <c r="R681" s="2955"/>
      <c r="S681" s="2955"/>
      <c r="T681" s="2955"/>
      <c r="U681" s="2955"/>
      <c r="V681" s="2955">
        <f>UnosPorBilans!AS256</f>
        <v>0</v>
      </c>
      <c r="W681" s="2955"/>
      <c r="X681" s="2955"/>
      <c r="Y681" s="2955"/>
      <c r="Z681" s="2955"/>
      <c r="AA681" s="2955"/>
      <c r="AB681" s="2955"/>
      <c r="AC681" s="2955"/>
      <c r="AD681" s="2955"/>
      <c r="AE681" s="2955"/>
      <c r="AF681" s="2955"/>
      <c r="AG681" s="2955"/>
      <c r="AH681" s="2955"/>
      <c r="AI681" s="2955"/>
      <c r="AJ681" s="2955"/>
      <c r="AK681" s="2955"/>
      <c r="AL681" s="2955"/>
      <c r="AM681" s="2955"/>
      <c r="AN681" s="2955"/>
      <c r="AO681" s="2955"/>
      <c r="AP681" s="2955"/>
    </row>
    <row r="682" s="799" customFormat="1" ht="14.25" hidden="1" customHeight="1" spans="1:126">
      <c r="A682" s="2954"/>
      <c r="B682" s="2954"/>
      <c r="C682" s="2954"/>
      <c r="D682" s="2954"/>
      <c r="E682" s="2954"/>
      <c r="F682" s="2954"/>
      <c r="G682" s="2954"/>
      <c r="H682" s="2954"/>
      <c r="I682" s="2954"/>
      <c r="J682" s="2954"/>
      <c r="K682" s="2954"/>
      <c r="L682" s="2954"/>
      <c r="M682" s="2954"/>
      <c r="N682" s="2954"/>
      <c r="O682" s="2954"/>
      <c r="P682" s="2954"/>
      <c r="Q682" s="2954"/>
      <c r="R682" s="2954"/>
      <c r="S682" s="2954"/>
      <c r="T682" s="2954"/>
      <c r="U682" s="2954"/>
      <c r="V682" s="2954"/>
      <c r="W682" s="2954"/>
      <c r="X682" s="2954"/>
      <c r="Y682" s="2954"/>
      <c r="Z682" s="2954"/>
      <c r="AA682" s="2954"/>
      <c r="AB682" s="2954"/>
      <c r="AC682" s="2954"/>
      <c r="AD682" s="2954"/>
      <c r="AE682" s="2954"/>
      <c r="AF682" s="2954"/>
      <c r="AG682" s="2954"/>
      <c r="AH682" s="2954"/>
      <c r="AI682" s="2954"/>
      <c r="AJ682" s="2954"/>
      <c r="AK682" s="2954"/>
      <c r="AL682" s="2954"/>
      <c r="AM682" s="2954"/>
      <c r="AN682" s="2954"/>
      <c r="AO682" s="2954"/>
      <c r="AP682" s="2954"/>
      <c r="AQ682" s="2954"/>
      <c r="AR682" s="2954"/>
      <c r="AS682" s="2954"/>
      <c r="AT682" s="2954"/>
      <c r="AU682" s="2954"/>
      <c r="AV682" s="2954"/>
      <c r="AW682" s="2954"/>
      <c r="AX682" s="2954"/>
      <c r="AY682" s="2954"/>
      <c r="AZ682" s="2954"/>
      <c r="BA682" s="2954"/>
      <c r="BB682" s="2954"/>
      <c r="BC682" s="2954"/>
      <c r="BD682" s="2954"/>
      <c r="BE682" s="2954"/>
      <c r="BF682" s="2954"/>
      <c r="BG682" s="2954"/>
      <c r="BH682" s="2954"/>
      <c r="BI682" s="2954"/>
      <c r="BJ682" s="2954"/>
      <c r="BK682" s="2954"/>
      <c r="BL682" s="2954"/>
      <c r="BM682" s="2954"/>
      <c r="BN682" s="2954"/>
      <c r="BO682" s="2954"/>
      <c r="BP682" s="2954"/>
      <c r="BQ682" s="2954"/>
      <c r="BR682" s="2954"/>
      <c r="BS682" s="2954"/>
      <c r="BT682" s="2954"/>
      <c r="BU682" s="2954"/>
      <c r="BV682" s="2954"/>
      <c r="BW682" s="2954"/>
      <c r="BX682" s="2954"/>
      <c r="BY682" s="2954"/>
      <c r="BZ682" s="2954"/>
      <c r="CA682" s="2954"/>
      <c r="CB682" s="2954"/>
      <c r="CC682" s="2954"/>
      <c r="CD682" s="2954"/>
      <c r="CE682" s="2954"/>
      <c r="CF682" s="2954"/>
      <c r="CG682" s="2954"/>
      <c r="CH682" s="2954"/>
      <c r="CI682" s="2954"/>
      <c r="CJ682" s="2954"/>
      <c r="CK682" s="2954"/>
      <c r="CL682" s="2954"/>
      <c r="CM682" s="2954"/>
      <c r="CN682" s="2954"/>
      <c r="CO682" s="2954"/>
      <c r="CP682" s="2954"/>
      <c r="CQ682" s="2954"/>
      <c r="CR682" s="2954"/>
      <c r="CS682" s="2954"/>
      <c r="CT682" s="2954"/>
      <c r="CU682" s="2954"/>
      <c r="CV682" s="2954"/>
      <c r="CW682" s="2954"/>
      <c r="CX682" s="2954"/>
      <c r="CY682" s="2954"/>
      <c r="CZ682" s="2954"/>
      <c r="DA682" s="2954"/>
      <c r="DB682" s="2954"/>
      <c r="DC682" s="2954"/>
      <c r="DD682" s="2954"/>
      <c r="DE682" s="2954"/>
      <c r="DF682" s="2954"/>
      <c r="DG682" s="2954"/>
      <c r="DH682" s="2954"/>
      <c r="DI682" s="2954"/>
      <c r="DJ682" s="2954"/>
      <c r="DK682" s="2954"/>
      <c r="DL682" s="2954"/>
      <c r="DM682" s="2954"/>
      <c r="DN682" s="2954"/>
      <c r="DO682" s="2954"/>
      <c r="DP682" s="2954"/>
      <c r="DQ682" s="2954"/>
      <c r="DR682" s="2954"/>
      <c r="DS682" s="2954"/>
      <c r="DT682" s="2954"/>
      <c r="DU682" s="2954"/>
      <c r="DV682" s="2954"/>
    </row>
    <row r="683" s="799" customFormat="1" ht="14.25" hidden="1" customHeight="1" spans="1:126">
      <c r="A683" s="2952" t="s">
        <v>4214</v>
      </c>
      <c r="B683" s="2952"/>
      <c r="C683" s="2952" t="s">
        <v>6940</v>
      </c>
      <c r="D683" s="2952"/>
      <c r="E683" s="2952"/>
      <c r="F683" s="2952"/>
      <c r="G683" s="2952"/>
      <c r="H683" s="2952"/>
      <c r="I683" s="2952"/>
      <c r="J683" s="2952"/>
      <c r="K683" s="2952"/>
      <c r="L683" s="2952"/>
      <c r="M683" s="2952"/>
      <c r="N683" s="2952"/>
      <c r="O683" s="2952"/>
      <c r="P683" s="2952"/>
      <c r="Q683" s="2952"/>
      <c r="R683" s="2952"/>
      <c r="S683" s="2952"/>
      <c r="T683" s="2952"/>
      <c r="U683" s="2952"/>
      <c r="V683" s="2952" t="s">
        <v>6941</v>
      </c>
      <c r="W683" s="2952"/>
      <c r="X683" s="2952"/>
      <c r="Y683" s="2952"/>
      <c r="Z683" s="2952"/>
      <c r="AA683" s="2952"/>
      <c r="AB683" s="2952"/>
      <c r="AC683" s="2952"/>
      <c r="AD683" s="2952"/>
      <c r="AE683" s="2952"/>
      <c r="AF683" s="2952"/>
      <c r="AG683" s="2952" t="s">
        <v>6942</v>
      </c>
      <c r="AH683" s="2952"/>
      <c r="AI683" s="2952"/>
      <c r="AJ683" s="2952"/>
      <c r="AK683" s="2952"/>
      <c r="AL683" s="2952"/>
      <c r="AM683" s="2952"/>
      <c r="AN683" s="2952"/>
      <c r="AO683" s="2952"/>
      <c r="AP683" s="2952"/>
    </row>
    <row r="684" s="799" customFormat="1" ht="12.75" hidden="1" customHeight="1" spans="1:126">
      <c r="A684" s="2955">
        <f>UnosPorBilans!B257</f>
        <v>0</v>
      </c>
      <c r="B684" s="2955"/>
      <c r="C684" s="2955"/>
      <c r="D684" s="2955"/>
      <c r="E684" s="2955"/>
      <c r="F684" s="2955"/>
      <c r="G684" s="2955"/>
      <c r="H684" s="2955"/>
      <c r="I684" s="2955"/>
      <c r="J684" s="2955"/>
      <c r="K684" s="2955"/>
      <c r="L684" s="2955"/>
      <c r="M684" s="2955"/>
      <c r="N684" s="2955"/>
      <c r="O684" s="2955"/>
      <c r="P684" s="2955"/>
      <c r="Q684" s="2955"/>
      <c r="R684" s="2955"/>
      <c r="S684" s="2955"/>
      <c r="T684" s="2955"/>
      <c r="U684" s="2955"/>
      <c r="V684" s="2955">
        <f>UnosPorBilans!I257</f>
        <v>0</v>
      </c>
      <c r="W684" s="2955"/>
      <c r="X684" s="2955"/>
      <c r="Y684" s="2955"/>
      <c r="Z684" s="2955"/>
      <c r="AA684" s="2955"/>
      <c r="AB684" s="2955"/>
      <c r="AC684" s="2955"/>
      <c r="AD684" s="2955"/>
      <c r="AE684" s="2955"/>
      <c r="AF684" s="2955"/>
      <c r="AG684" s="2955">
        <f>UnosPorBilans!N257</f>
        <v>0</v>
      </c>
      <c r="AH684" s="2955"/>
      <c r="AI684" s="2955"/>
      <c r="AJ684" s="2955"/>
      <c r="AK684" s="2955"/>
      <c r="AL684" s="2955"/>
      <c r="AM684" s="2955"/>
      <c r="AN684" s="2955"/>
      <c r="AO684" s="2955"/>
      <c r="AP684" s="2955"/>
    </row>
    <row r="685" s="799" customFormat="1" ht="12.75" hidden="1" customHeight="1" spans="1:126">
      <c r="A685" s="2952" t="s">
        <v>6943</v>
      </c>
      <c r="B685" s="2952"/>
      <c r="C685" s="2952"/>
      <c r="D685" s="2952"/>
      <c r="E685" s="2952"/>
      <c r="F685" s="2952"/>
      <c r="G685" s="2952"/>
      <c r="H685" s="2952"/>
      <c r="I685" s="2952"/>
      <c r="J685" s="2952"/>
      <c r="K685" s="2952" t="s">
        <v>6944</v>
      </c>
      <c r="L685" s="2952"/>
      <c r="M685" s="2952"/>
      <c r="N685" s="2952"/>
      <c r="O685" s="2952"/>
      <c r="P685" s="2952"/>
      <c r="Q685" s="2952"/>
      <c r="R685" s="2952"/>
      <c r="S685" s="2952"/>
      <c r="T685" s="2952"/>
      <c r="U685" s="2952"/>
      <c r="V685" s="2952" t="s">
        <v>6945</v>
      </c>
      <c r="W685" s="2952"/>
      <c r="X685" s="2952"/>
      <c r="Y685" s="2952"/>
      <c r="Z685" s="2952"/>
      <c r="AA685" s="2952"/>
      <c r="AB685" s="2952"/>
      <c r="AC685" s="2952"/>
      <c r="AD685" s="2952"/>
      <c r="AE685" s="2952"/>
      <c r="AF685" s="2952"/>
      <c r="AG685" s="2952" t="s">
        <v>6946</v>
      </c>
      <c r="AH685" s="2952"/>
      <c r="AI685" s="2952"/>
      <c r="AJ685" s="2952"/>
      <c r="AK685" s="2952"/>
      <c r="AL685" s="2952"/>
      <c r="AM685" s="2952"/>
      <c r="AN685" s="2952"/>
      <c r="AO685" s="2952"/>
      <c r="AP685" s="2952"/>
    </row>
    <row r="686" s="799" customFormat="1" ht="12.75" hidden="1" customHeight="1" spans="1:126">
      <c r="A686" s="2955">
        <f>UnosPorBilans!S257</f>
        <v>0</v>
      </c>
      <c r="B686" s="2955"/>
      <c r="C686" s="2955"/>
      <c r="D686" s="2955"/>
      <c r="E686" s="2955"/>
      <c r="F686" s="2955"/>
      <c r="G686" s="2955"/>
      <c r="H686" s="2955"/>
      <c r="I686" s="2955"/>
      <c r="J686" s="2955"/>
      <c r="K686" s="2955">
        <f>UnosPorBilans!W257</f>
        <v>0</v>
      </c>
      <c r="L686" s="2955"/>
      <c r="M686" s="2955"/>
      <c r="N686" s="2955"/>
      <c r="O686" s="2955"/>
      <c r="P686" s="2955"/>
      <c r="Q686" s="2955"/>
      <c r="R686" s="2955"/>
      <c r="S686" s="2955"/>
      <c r="T686" s="2955"/>
      <c r="U686" s="2955"/>
      <c r="V686" s="2955">
        <f>UnosPorBilans!AB257</f>
        <v>0</v>
      </c>
      <c r="W686" s="2955"/>
      <c r="X686" s="2955"/>
      <c r="Y686" s="2955"/>
      <c r="Z686" s="2955"/>
      <c r="AA686" s="2955"/>
      <c r="AB686" s="2955"/>
      <c r="AC686" s="2955"/>
      <c r="AD686" s="2955"/>
      <c r="AE686" s="2955"/>
      <c r="AF686" s="2955"/>
      <c r="AG686" s="2955">
        <f>UnosPorBilans!AG257</f>
        <v>0</v>
      </c>
      <c r="AH686" s="2955"/>
      <c r="AI686" s="2955"/>
      <c r="AJ686" s="2955"/>
      <c r="AK686" s="2955"/>
      <c r="AL686" s="2955"/>
      <c r="AM686" s="2955"/>
      <c r="AN686" s="2955"/>
      <c r="AO686" s="2955"/>
      <c r="AP686" s="2955"/>
    </row>
    <row r="687" s="799" customFormat="1" ht="12.75" hidden="1" customHeight="1" spans="1:126">
      <c r="A687" s="2952" t="s">
        <v>6947</v>
      </c>
      <c r="B687" s="2952"/>
      <c r="C687" s="2952"/>
      <c r="D687" s="2952"/>
      <c r="E687" s="2952"/>
      <c r="F687" s="2952"/>
      <c r="G687" s="2952"/>
      <c r="H687" s="2952"/>
      <c r="I687" s="2952"/>
      <c r="J687" s="2952"/>
      <c r="K687" s="2952"/>
      <c r="L687" s="2952"/>
      <c r="M687" s="2952"/>
      <c r="N687" s="2952"/>
      <c r="O687" s="2952"/>
      <c r="P687" s="2952"/>
      <c r="Q687" s="2952"/>
      <c r="R687" s="2952"/>
      <c r="S687" s="2952"/>
      <c r="T687" s="2952"/>
      <c r="U687" s="2952"/>
      <c r="V687" s="2952" t="s">
        <v>6948</v>
      </c>
      <c r="W687" s="2952"/>
      <c r="X687" s="2952"/>
      <c r="Y687" s="2952"/>
      <c r="Z687" s="2952"/>
      <c r="AA687" s="2952"/>
      <c r="AB687" s="2952"/>
      <c r="AC687" s="2952"/>
      <c r="AD687" s="2952"/>
      <c r="AE687" s="2952"/>
      <c r="AF687" s="2952"/>
      <c r="AG687" s="2952"/>
      <c r="AH687" s="2952"/>
      <c r="AI687" s="2952"/>
      <c r="AJ687" s="2952"/>
      <c r="AK687" s="2952"/>
      <c r="AL687" s="2952"/>
      <c r="AM687" s="2952"/>
      <c r="AN687" s="2952"/>
      <c r="AO687" s="2952"/>
      <c r="AP687" s="2952"/>
    </row>
    <row r="688" s="799" customFormat="1" ht="12.75" hidden="1" customHeight="1" spans="1:126">
      <c r="A688" s="2955">
        <f>UnosPorBilans!AL257</f>
        <v>0</v>
      </c>
      <c r="B688" s="2955"/>
      <c r="C688" s="2955"/>
      <c r="D688" s="2955"/>
      <c r="E688" s="2955"/>
      <c r="F688" s="2955"/>
      <c r="G688" s="2955"/>
      <c r="H688" s="2955"/>
      <c r="I688" s="2955"/>
      <c r="J688" s="2955"/>
      <c r="K688" s="2955"/>
      <c r="L688" s="2955"/>
      <c r="M688" s="2955"/>
      <c r="N688" s="2955"/>
      <c r="O688" s="2955"/>
      <c r="P688" s="2955"/>
      <c r="Q688" s="2955"/>
      <c r="R688" s="2955"/>
      <c r="S688" s="2955"/>
      <c r="T688" s="2955"/>
      <c r="U688" s="2955"/>
      <c r="V688" s="2955">
        <f>UnosPorBilans!AS257</f>
        <v>0</v>
      </c>
      <c r="W688" s="2955"/>
      <c r="X688" s="2955"/>
      <c r="Y688" s="2955"/>
      <c r="Z688" s="2955"/>
      <c r="AA688" s="2955"/>
      <c r="AB688" s="2955"/>
      <c r="AC688" s="2955"/>
      <c r="AD688" s="2955"/>
      <c r="AE688" s="2955"/>
      <c r="AF688" s="2955"/>
      <c r="AG688" s="2955"/>
      <c r="AH688" s="2955"/>
      <c r="AI688" s="2955"/>
      <c r="AJ688" s="2955"/>
      <c r="AK688" s="2955"/>
      <c r="AL688" s="2955"/>
      <c r="AM688" s="2955"/>
      <c r="AN688" s="2955"/>
      <c r="AO688" s="2955"/>
      <c r="AP688" s="2955"/>
    </row>
    <row r="689" s="799" customFormat="1" ht="14.25" hidden="1" customHeight="1" spans="1:126">
      <c r="A689" s="2954"/>
      <c r="B689" s="2954"/>
      <c r="C689" s="2954"/>
      <c r="D689" s="2954"/>
      <c r="E689" s="2954"/>
      <c r="F689" s="2954"/>
      <c r="G689" s="2954"/>
      <c r="H689" s="2954"/>
      <c r="I689" s="2954"/>
      <c r="J689" s="2954"/>
      <c r="K689" s="2954"/>
      <c r="L689" s="2954"/>
      <c r="M689" s="2954"/>
      <c r="N689" s="2954"/>
      <c r="O689" s="2954"/>
      <c r="P689" s="2954"/>
      <c r="Q689" s="2954"/>
      <c r="R689" s="2954"/>
      <c r="S689" s="2954"/>
      <c r="T689" s="2954"/>
      <c r="U689" s="2954"/>
      <c r="V689" s="2954"/>
      <c r="W689" s="2954"/>
      <c r="X689" s="2954"/>
      <c r="Y689" s="2954"/>
      <c r="Z689" s="2954"/>
      <c r="AA689" s="2954"/>
      <c r="AB689" s="2954"/>
      <c r="AC689" s="2954"/>
      <c r="AD689" s="2954"/>
      <c r="AE689" s="2954"/>
      <c r="AF689" s="2954"/>
      <c r="AG689" s="2954"/>
      <c r="AH689" s="2954"/>
      <c r="AI689" s="2954"/>
      <c r="AJ689" s="2954"/>
      <c r="AK689" s="2954"/>
      <c r="AL689" s="2954"/>
      <c r="AM689" s="2954"/>
      <c r="AN689" s="2954"/>
      <c r="AO689" s="2954"/>
      <c r="AP689" s="2954"/>
      <c r="AQ689" s="2954"/>
      <c r="AR689" s="2954"/>
      <c r="AS689" s="2954"/>
      <c r="AT689" s="2954"/>
      <c r="AU689" s="2954"/>
      <c r="AV689" s="2954"/>
      <c r="AW689" s="2954"/>
      <c r="AX689" s="2954"/>
      <c r="AY689" s="2954"/>
      <c r="AZ689" s="2954"/>
      <c r="BA689" s="2954"/>
      <c r="BB689" s="2954"/>
      <c r="BC689" s="2954"/>
      <c r="BD689" s="2954"/>
      <c r="BE689" s="2954"/>
      <c r="BF689" s="2954"/>
      <c r="BG689" s="2954"/>
      <c r="BH689" s="2954"/>
      <c r="BI689" s="2954"/>
      <c r="BJ689" s="2954"/>
      <c r="BK689" s="2954"/>
      <c r="BL689" s="2954"/>
      <c r="BM689" s="2954"/>
      <c r="BN689" s="2954"/>
      <c r="BO689" s="2954"/>
      <c r="BP689" s="2954"/>
      <c r="BQ689" s="2954"/>
      <c r="BR689" s="2954"/>
      <c r="BS689" s="2954"/>
      <c r="BT689" s="2954"/>
      <c r="BU689" s="2954"/>
      <c r="BV689" s="2954"/>
      <c r="BW689" s="2954"/>
      <c r="BX689" s="2954"/>
      <c r="BY689" s="2954"/>
      <c r="BZ689" s="2954"/>
      <c r="CA689" s="2954"/>
      <c r="CB689" s="2954"/>
      <c r="CC689" s="2954"/>
      <c r="CD689" s="2954"/>
      <c r="CE689" s="2954"/>
      <c r="CF689" s="2954"/>
      <c r="CG689" s="2954"/>
      <c r="CH689" s="2954"/>
      <c r="CI689" s="2954"/>
      <c r="CJ689" s="2954"/>
      <c r="CK689" s="2954"/>
      <c r="CL689" s="2954"/>
      <c r="CM689" s="2954"/>
      <c r="CN689" s="2954"/>
      <c r="CO689" s="2954"/>
      <c r="CP689" s="2954"/>
      <c r="CQ689" s="2954"/>
      <c r="CR689" s="2954"/>
      <c r="CS689" s="2954"/>
      <c r="CT689" s="2954"/>
      <c r="CU689" s="2954"/>
      <c r="CV689" s="2954"/>
      <c r="CW689" s="2954"/>
      <c r="CX689" s="2954"/>
      <c r="CY689" s="2954"/>
      <c r="CZ689" s="2954"/>
      <c r="DA689" s="2954"/>
      <c r="DB689" s="2954"/>
      <c r="DC689" s="2954"/>
      <c r="DD689" s="2954"/>
      <c r="DE689" s="2954"/>
      <c r="DF689" s="2954"/>
      <c r="DG689" s="2954"/>
      <c r="DH689" s="2954"/>
      <c r="DI689" s="2954"/>
      <c r="DJ689" s="2954"/>
      <c r="DK689" s="2954"/>
      <c r="DL689" s="2954"/>
      <c r="DM689" s="2954"/>
      <c r="DN689" s="2954"/>
      <c r="DO689" s="2954"/>
      <c r="DP689" s="2954"/>
      <c r="DQ689" s="2954"/>
      <c r="DR689" s="2954"/>
      <c r="DS689" s="2954"/>
      <c r="DT689" s="2954"/>
      <c r="DU689" s="2954"/>
      <c r="DV689" s="2954"/>
    </row>
    <row r="690" s="799" customFormat="1" ht="14.25" hidden="1" customHeight="1" spans="1:126">
      <c r="A690" s="2952" t="s">
        <v>4214</v>
      </c>
      <c r="B690" s="2952"/>
      <c r="C690" s="2952" t="s">
        <v>6940</v>
      </c>
      <c r="D690" s="2952"/>
      <c r="E690" s="2952"/>
      <c r="F690" s="2952"/>
      <c r="G690" s="2952"/>
      <c r="H690" s="2952"/>
      <c r="I690" s="2952"/>
      <c r="J690" s="2952"/>
      <c r="K690" s="2952"/>
      <c r="L690" s="2952"/>
      <c r="M690" s="2952"/>
      <c r="N690" s="2952"/>
      <c r="O690" s="2952"/>
      <c r="P690" s="2952"/>
      <c r="Q690" s="2952"/>
      <c r="R690" s="2952"/>
      <c r="S690" s="2952"/>
      <c r="T690" s="2952"/>
      <c r="U690" s="2952"/>
      <c r="V690" s="2952" t="s">
        <v>6941</v>
      </c>
      <c r="W690" s="2952"/>
      <c r="X690" s="2952"/>
      <c r="Y690" s="2952"/>
      <c r="Z690" s="2952"/>
      <c r="AA690" s="2952"/>
      <c r="AB690" s="2952"/>
      <c r="AC690" s="2952"/>
      <c r="AD690" s="2952"/>
      <c r="AE690" s="2952"/>
      <c r="AF690" s="2952"/>
      <c r="AG690" s="2952" t="s">
        <v>6942</v>
      </c>
      <c r="AH690" s="2952"/>
      <c r="AI690" s="2952"/>
      <c r="AJ690" s="2952"/>
      <c r="AK690" s="2952"/>
      <c r="AL690" s="2952"/>
      <c r="AM690" s="2952"/>
      <c r="AN690" s="2952"/>
      <c r="AO690" s="2952"/>
      <c r="AP690" s="2952"/>
    </row>
    <row r="691" s="799" customFormat="1" ht="12.75" hidden="1" customHeight="1" spans="1:126">
      <c r="A691" s="2955">
        <f>UnosPorBilans!B258</f>
        <v>0</v>
      </c>
      <c r="B691" s="2955"/>
      <c r="C691" s="2955"/>
      <c r="D691" s="2955"/>
      <c r="E691" s="2955"/>
      <c r="F691" s="2955"/>
      <c r="G691" s="2955"/>
      <c r="H691" s="2955"/>
      <c r="I691" s="2955"/>
      <c r="J691" s="2955"/>
      <c r="K691" s="2955"/>
      <c r="L691" s="2955"/>
      <c r="M691" s="2955"/>
      <c r="N691" s="2955"/>
      <c r="O691" s="2955"/>
      <c r="P691" s="2955"/>
      <c r="Q691" s="2955"/>
      <c r="R691" s="2955"/>
      <c r="S691" s="2955"/>
      <c r="T691" s="2955"/>
      <c r="U691" s="2955"/>
      <c r="V691" s="2955">
        <f>UnosPorBilans!I258</f>
        <v>0</v>
      </c>
      <c r="W691" s="2955"/>
      <c r="X691" s="2955"/>
      <c r="Y691" s="2955"/>
      <c r="Z691" s="2955"/>
      <c r="AA691" s="2955"/>
      <c r="AB691" s="2955"/>
      <c r="AC691" s="2955"/>
      <c r="AD691" s="2955"/>
      <c r="AE691" s="2955"/>
      <c r="AF691" s="2955"/>
      <c r="AG691" s="2955">
        <f>UnosPorBilans!N258</f>
        <v>0</v>
      </c>
      <c r="AH691" s="2955"/>
      <c r="AI691" s="2955"/>
      <c r="AJ691" s="2955"/>
      <c r="AK691" s="2955"/>
      <c r="AL691" s="2955"/>
      <c r="AM691" s="2955"/>
      <c r="AN691" s="2955"/>
      <c r="AO691" s="2955"/>
      <c r="AP691" s="2955"/>
    </row>
    <row r="692" s="799" customFormat="1" ht="12.75" hidden="1" customHeight="1" spans="1:126">
      <c r="A692" s="2952" t="s">
        <v>6943</v>
      </c>
      <c r="B692" s="2952"/>
      <c r="C692" s="2952"/>
      <c r="D692" s="2952"/>
      <c r="E692" s="2952"/>
      <c r="F692" s="2952"/>
      <c r="G692" s="2952"/>
      <c r="H692" s="2952"/>
      <c r="I692" s="2952"/>
      <c r="J692" s="2952"/>
      <c r="K692" s="2952" t="s">
        <v>6944</v>
      </c>
      <c r="L692" s="2952"/>
      <c r="M692" s="2952"/>
      <c r="N692" s="2952"/>
      <c r="O692" s="2952"/>
      <c r="P692" s="2952"/>
      <c r="Q692" s="2952"/>
      <c r="R692" s="2952"/>
      <c r="S692" s="2952"/>
      <c r="T692" s="2952"/>
      <c r="U692" s="2952"/>
      <c r="V692" s="2952" t="s">
        <v>6945</v>
      </c>
      <c r="W692" s="2952"/>
      <c r="X692" s="2952"/>
      <c r="Y692" s="2952"/>
      <c r="Z692" s="2952"/>
      <c r="AA692" s="2952"/>
      <c r="AB692" s="2952"/>
      <c r="AC692" s="2952"/>
      <c r="AD692" s="2952"/>
      <c r="AE692" s="2952"/>
      <c r="AF692" s="2952"/>
      <c r="AG692" s="2952" t="s">
        <v>6946</v>
      </c>
      <c r="AH692" s="2952"/>
      <c r="AI692" s="2952"/>
      <c r="AJ692" s="2952"/>
      <c r="AK692" s="2952"/>
      <c r="AL692" s="2952"/>
      <c r="AM692" s="2952"/>
      <c r="AN692" s="2952"/>
      <c r="AO692" s="2952"/>
      <c r="AP692" s="2952"/>
    </row>
    <row r="693" s="799" customFormat="1" ht="12.75" hidden="1" customHeight="1" spans="1:126">
      <c r="A693" s="2955">
        <f>UnosPorBilans!S258</f>
        <v>0</v>
      </c>
      <c r="B693" s="2955"/>
      <c r="C693" s="2955"/>
      <c r="D693" s="2955"/>
      <c r="E693" s="2955"/>
      <c r="F693" s="2955"/>
      <c r="G693" s="2955"/>
      <c r="H693" s="2955"/>
      <c r="I693" s="2955"/>
      <c r="J693" s="2955"/>
      <c r="K693" s="2955">
        <f>UnosPorBilans!W258</f>
        <v>0</v>
      </c>
      <c r="L693" s="2955"/>
      <c r="M693" s="2955"/>
      <c r="N693" s="2955"/>
      <c r="O693" s="2955"/>
      <c r="P693" s="2955"/>
      <c r="Q693" s="2955"/>
      <c r="R693" s="2955"/>
      <c r="S693" s="2955"/>
      <c r="T693" s="2955"/>
      <c r="U693" s="2955"/>
      <c r="V693" s="2955">
        <f>UnosPorBilans!AB258</f>
        <v>0</v>
      </c>
      <c r="W693" s="2955"/>
      <c r="X693" s="2955"/>
      <c r="Y693" s="2955"/>
      <c r="Z693" s="2955"/>
      <c r="AA693" s="2955"/>
      <c r="AB693" s="2955"/>
      <c r="AC693" s="2955"/>
      <c r="AD693" s="2955"/>
      <c r="AE693" s="2955"/>
      <c r="AF693" s="2955"/>
      <c r="AG693" s="2955">
        <f>UnosPorBilans!AG258</f>
        <v>0</v>
      </c>
      <c r="AH693" s="2955"/>
      <c r="AI693" s="2955"/>
      <c r="AJ693" s="2955"/>
      <c r="AK693" s="2955"/>
      <c r="AL693" s="2955"/>
      <c r="AM693" s="2955"/>
      <c r="AN693" s="2955"/>
      <c r="AO693" s="2955"/>
      <c r="AP693" s="2955"/>
    </row>
    <row r="694" s="799" customFormat="1" ht="12.75" hidden="1" customHeight="1" spans="1:126">
      <c r="A694" s="2952" t="s">
        <v>6947</v>
      </c>
      <c r="B694" s="2952"/>
      <c r="C694" s="2952"/>
      <c r="D694" s="2952"/>
      <c r="E694" s="2952"/>
      <c r="F694" s="2952"/>
      <c r="G694" s="2952"/>
      <c r="H694" s="2952"/>
      <c r="I694" s="2952"/>
      <c r="J694" s="2952"/>
      <c r="K694" s="2952"/>
      <c r="L694" s="2952"/>
      <c r="M694" s="2952"/>
      <c r="N694" s="2952"/>
      <c r="O694" s="2952"/>
      <c r="P694" s="2952"/>
      <c r="Q694" s="2952"/>
      <c r="R694" s="2952"/>
      <c r="S694" s="2952"/>
      <c r="T694" s="2952"/>
      <c r="U694" s="2952"/>
      <c r="V694" s="2952" t="s">
        <v>6948</v>
      </c>
      <c r="W694" s="2952"/>
      <c r="X694" s="2952"/>
      <c r="Y694" s="2952"/>
      <c r="Z694" s="2952"/>
      <c r="AA694" s="2952"/>
      <c r="AB694" s="2952"/>
      <c r="AC694" s="2952"/>
      <c r="AD694" s="2952"/>
      <c r="AE694" s="2952"/>
      <c r="AF694" s="2952"/>
      <c r="AG694" s="2952"/>
      <c r="AH694" s="2952"/>
      <c r="AI694" s="2952"/>
      <c r="AJ694" s="2952"/>
      <c r="AK694" s="2952"/>
      <c r="AL694" s="2952"/>
      <c r="AM694" s="2952"/>
      <c r="AN694" s="2952"/>
      <c r="AO694" s="2952"/>
      <c r="AP694" s="2952"/>
    </row>
    <row r="695" s="799" customFormat="1" ht="12.75" hidden="1" customHeight="1" spans="1:126">
      <c r="A695" s="2955">
        <f>UnosPorBilans!AL258</f>
        <v>0</v>
      </c>
      <c r="B695" s="2955"/>
      <c r="C695" s="2955"/>
      <c r="D695" s="2955"/>
      <c r="E695" s="2955"/>
      <c r="F695" s="2955"/>
      <c r="G695" s="2955"/>
      <c r="H695" s="2955"/>
      <c r="I695" s="2955"/>
      <c r="J695" s="2955"/>
      <c r="K695" s="2955"/>
      <c r="L695" s="2955"/>
      <c r="M695" s="2955"/>
      <c r="N695" s="2955"/>
      <c r="O695" s="2955"/>
      <c r="P695" s="2955"/>
      <c r="Q695" s="2955"/>
      <c r="R695" s="2955"/>
      <c r="S695" s="2955"/>
      <c r="T695" s="2955"/>
      <c r="U695" s="2955"/>
      <c r="V695" s="2955">
        <f>UnosPorBilans!AS258</f>
        <v>0</v>
      </c>
      <c r="W695" s="2955"/>
      <c r="X695" s="2955"/>
      <c r="Y695" s="2955"/>
      <c r="Z695" s="2955"/>
      <c r="AA695" s="2955"/>
      <c r="AB695" s="2955"/>
      <c r="AC695" s="2955"/>
      <c r="AD695" s="2955"/>
      <c r="AE695" s="2955"/>
      <c r="AF695" s="2955"/>
      <c r="AG695" s="2955"/>
      <c r="AH695" s="2955"/>
      <c r="AI695" s="2955"/>
      <c r="AJ695" s="2955"/>
      <c r="AK695" s="2955"/>
      <c r="AL695" s="2955"/>
      <c r="AM695" s="2955"/>
      <c r="AN695" s="2955"/>
      <c r="AO695" s="2955"/>
      <c r="AP695" s="2955"/>
    </row>
    <row r="696" s="799" customFormat="1" ht="14.25" hidden="1" customHeight="1" spans="1:126">
      <c r="A696" s="2954"/>
      <c r="B696" s="2954"/>
      <c r="C696" s="2954"/>
      <c r="D696" s="2954"/>
      <c r="E696" s="2954"/>
      <c r="F696" s="2954"/>
      <c r="G696" s="2954"/>
      <c r="H696" s="2954"/>
      <c r="I696" s="2954"/>
      <c r="J696" s="2954"/>
      <c r="K696" s="2954"/>
      <c r="L696" s="2954"/>
      <c r="M696" s="2954"/>
      <c r="N696" s="2954"/>
      <c r="O696" s="2954"/>
      <c r="P696" s="2954"/>
      <c r="Q696" s="2954"/>
      <c r="R696" s="2954"/>
      <c r="S696" s="2954"/>
      <c r="T696" s="2954"/>
      <c r="U696" s="2954"/>
      <c r="V696" s="2954"/>
      <c r="W696" s="2954"/>
      <c r="X696" s="2954"/>
      <c r="Y696" s="2954"/>
      <c r="Z696" s="2954"/>
      <c r="AA696" s="2954"/>
      <c r="AB696" s="2954"/>
      <c r="AC696" s="2954"/>
      <c r="AD696" s="2954"/>
      <c r="AE696" s="2954"/>
      <c r="AF696" s="2954"/>
      <c r="AG696" s="2954"/>
      <c r="AH696" s="2954"/>
      <c r="AI696" s="2954"/>
      <c r="AJ696" s="2954"/>
      <c r="AK696" s="2954"/>
      <c r="AL696" s="2954"/>
      <c r="AM696" s="2954"/>
      <c r="AN696" s="2954"/>
      <c r="AO696" s="2954"/>
      <c r="AP696" s="2954"/>
      <c r="AQ696" s="2954"/>
      <c r="AR696" s="2954"/>
      <c r="AS696" s="2954"/>
      <c r="AT696" s="2954"/>
      <c r="AU696" s="2954"/>
      <c r="AV696" s="2954"/>
      <c r="AW696" s="2954"/>
      <c r="AX696" s="2954"/>
      <c r="AY696" s="2954"/>
      <c r="AZ696" s="2954"/>
      <c r="BA696" s="2954"/>
      <c r="BB696" s="2954"/>
      <c r="BC696" s="2954"/>
      <c r="BD696" s="2954"/>
      <c r="BE696" s="2954"/>
      <c r="BF696" s="2954"/>
      <c r="BG696" s="2954"/>
      <c r="BH696" s="2954"/>
      <c r="BI696" s="2954"/>
      <c r="BJ696" s="2954"/>
      <c r="BK696" s="2954"/>
      <c r="BL696" s="2954"/>
      <c r="BM696" s="2954"/>
      <c r="BN696" s="2954"/>
      <c r="BO696" s="2954"/>
      <c r="BP696" s="2954"/>
      <c r="BQ696" s="2954"/>
      <c r="BR696" s="2954"/>
      <c r="BS696" s="2954"/>
      <c r="BT696" s="2954"/>
      <c r="BU696" s="2954"/>
      <c r="BV696" s="2954"/>
      <c r="BW696" s="2954"/>
      <c r="BX696" s="2954"/>
      <c r="BY696" s="2954"/>
      <c r="BZ696" s="2954"/>
      <c r="CA696" s="2954"/>
      <c r="CB696" s="2954"/>
      <c r="CC696" s="2954"/>
      <c r="CD696" s="2954"/>
      <c r="CE696" s="2954"/>
      <c r="CF696" s="2954"/>
      <c r="CG696" s="2954"/>
      <c r="CH696" s="2954"/>
      <c r="CI696" s="2954"/>
      <c r="CJ696" s="2954"/>
      <c r="CK696" s="2954"/>
      <c r="CL696" s="2954"/>
      <c r="CM696" s="2954"/>
      <c r="CN696" s="2954"/>
      <c r="CO696" s="2954"/>
      <c r="CP696" s="2954"/>
      <c r="CQ696" s="2954"/>
      <c r="CR696" s="2954"/>
      <c r="CS696" s="2954"/>
      <c r="CT696" s="2954"/>
      <c r="CU696" s="2954"/>
      <c r="CV696" s="2954"/>
      <c r="CW696" s="2954"/>
      <c r="CX696" s="2954"/>
      <c r="CY696" s="2954"/>
      <c r="CZ696" s="2954"/>
      <c r="DA696" s="2954"/>
      <c r="DB696" s="2954"/>
      <c r="DC696" s="2954"/>
      <c r="DD696" s="2954"/>
      <c r="DE696" s="2954"/>
      <c r="DF696" s="2954"/>
      <c r="DG696" s="2954"/>
      <c r="DH696" s="2954"/>
      <c r="DI696" s="2954"/>
      <c r="DJ696" s="2954"/>
      <c r="DK696" s="2954"/>
      <c r="DL696" s="2954"/>
      <c r="DM696" s="2954"/>
      <c r="DN696" s="2954"/>
      <c r="DO696" s="2954"/>
      <c r="DP696" s="2954"/>
      <c r="DQ696" s="2954"/>
      <c r="DR696" s="2954"/>
      <c r="DS696" s="2954"/>
      <c r="DT696" s="2954"/>
      <c r="DU696" s="2954"/>
      <c r="DV696" s="2954"/>
    </row>
    <row r="697" s="799" customFormat="1" ht="14.25" hidden="1" customHeight="1" spans="1:126">
      <c r="A697" s="2952" t="s">
        <v>4214</v>
      </c>
      <c r="B697" s="2952"/>
      <c r="C697" s="2952" t="s">
        <v>6940</v>
      </c>
      <c r="D697" s="2952"/>
      <c r="E697" s="2952"/>
      <c r="F697" s="2952"/>
      <c r="G697" s="2952"/>
      <c r="H697" s="2952"/>
      <c r="I697" s="2952"/>
      <c r="J697" s="2952"/>
      <c r="K697" s="2952"/>
      <c r="L697" s="2952"/>
      <c r="M697" s="2952"/>
      <c r="N697" s="2952"/>
      <c r="O697" s="2952"/>
      <c r="P697" s="2952"/>
      <c r="Q697" s="2952"/>
      <c r="R697" s="2952"/>
      <c r="S697" s="2952"/>
      <c r="T697" s="2952"/>
      <c r="U697" s="2952"/>
      <c r="V697" s="2952" t="s">
        <v>6941</v>
      </c>
      <c r="W697" s="2952"/>
      <c r="X697" s="2952"/>
      <c r="Y697" s="2952"/>
      <c r="Z697" s="2952"/>
      <c r="AA697" s="2952"/>
      <c r="AB697" s="2952"/>
      <c r="AC697" s="2952"/>
      <c r="AD697" s="2952"/>
      <c r="AE697" s="2952"/>
      <c r="AF697" s="2952"/>
      <c r="AG697" s="2952" t="s">
        <v>6942</v>
      </c>
      <c r="AH697" s="2952"/>
      <c r="AI697" s="2952"/>
      <c r="AJ697" s="2952"/>
      <c r="AK697" s="2952"/>
      <c r="AL697" s="2952"/>
      <c r="AM697" s="2952"/>
      <c r="AN697" s="2952"/>
      <c r="AO697" s="2952"/>
      <c r="AP697" s="2952"/>
    </row>
    <row r="698" s="799" customFormat="1" ht="12.75" hidden="1" customHeight="1" spans="1:126">
      <c r="A698" s="2955">
        <f>UnosPorBilans!B259</f>
        <v>0</v>
      </c>
      <c r="B698" s="2955"/>
      <c r="C698" s="2955"/>
      <c r="D698" s="2955"/>
      <c r="E698" s="2955"/>
      <c r="F698" s="2955"/>
      <c r="G698" s="2955"/>
      <c r="H698" s="2955"/>
      <c r="I698" s="2955"/>
      <c r="J698" s="2955"/>
      <c r="K698" s="2955"/>
      <c r="L698" s="2955"/>
      <c r="M698" s="2955"/>
      <c r="N698" s="2955"/>
      <c r="O698" s="2955"/>
      <c r="P698" s="2955"/>
      <c r="Q698" s="2955"/>
      <c r="R698" s="2955"/>
      <c r="S698" s="2955"/>
      <c r="T698" s="2955"/>
      <c r="U698" s="2955"/>
      <c r="V698" s="2955">
        <f>UnosPorBilans!I259</f>
        <v>0</v>
      </c>
      <c r="W698" s="2955"/>
      <c r="X698" s="2955"/>
      <c r="Y698" s="2955"/>
      <c r="Z698" s="2955"/>
      <c r="AA698" s="2955"/>
      <c r="AB698" s="2955"/>
      <c r="AC698" s="2955"/>
      <c r="AD698" s="2955"/>
      <c r="AE698" s="2955"/>
      <c r="AF698" s="2955"/>
      <c r="AG698" s="2955">
        <f>UnosPorBilans!N259</f>
        <v>0</v>
      </c>
      <c r="AH698" s="2955"/>
      <c r="AI698" s="2955"/>
      <c r="AJ698" s="2955"/>
      <c r="AK698" s="2955"/>
      <c r="AL698" s="2955"/>
      <c r="AM698" s="2955"/>
      <c r="AN698" s="2955"/>
      <c r="AO698" s="2955"/>
      <c r="AP698" s="2955"/>
    </row>
    <row r="699" s="799" customFormat="1" ht="12.75" hidden="1" customHeight="1" spans="1:126">
      <c r="A699" s="2952" t="s">
        <v>6943</v>
      </c>
      <c r="B699" s="2952"/>
      <c r="C699" s="2952"/>
      <c r="D699" s="2952"/>
      <c r="E699" s="2952"/>
      <c r="F699" s="2952"/>
      <c r="G699" s="2952"/>
      <c r="H699" s="2952"/>
      <c r="I699" s="2952"/>
      <c r="J699" s="2952"/>
      <c r="K699" s="2952" t="s">
        <v>6944</v>
      </c>
      <c r="L699" s="2952"/>
      <c r="M699" s="2952"/>
      <c r="N699" s="2952"/>
      <c r="O699" s="2952"/>
      <c r="P699" s="2952"/>
      <c r="Q699" s="2952"/>
      <c r="R699" s="2952"/>
      <c r="S699" s="2952"/>
      <c r="T699" s="2952"/>
      <c r="U699" s="2952"/>
      <c r="V699" s="2952" t="s">
        <v>6945</v>
      </c>
      <c r="W699" s="2952"/>
      <c r="X699" s="2952"/>
      <c r="Y699" s="2952"/>
      <c r="Z699" s="2952"/>
      <c r="AA699" s="2952"/>
      <c r="AB699" s="2952"/>
      <c r="AC699" s="2952"/>
      <c r="AD699" s="2952"/>
      <c r="AE699" s="2952"/>
      <c r="AF699" s="2952"/>
      <c r="AG699" s="2952" t="s">
        <v>6946</v>
      </c>
      <c r="AH699" s="2952"/>
      <c r="AI699" s="2952"/>
      <c r="AJ699" s="2952"/>
      <c r="AK699" s="2952"/>
      <c r="AL699" s="2952"/>
      <c r="AM699" s="2952"/>
      <c r="AN699" s="2952"/>
      <c r="AO699" s="2952"/>
      <c r="AP699" s="2952"/>
    </row>
    <row r="700" s="799" customFormat="1" ht="12.75" hidden="1" customHeight="1" spans="1:126">
      <c r="A700" s="2955">
        <f>UnosPorBilans!S259</f>
        <v>0</v>
      </c>
      <c r="B700" s="2955"/>
      <c r="C700" s="2955"/>
      <c r="D700" s="2955"/>
      <c r="E700" s="2955"/>
      <c r="F700" s="2955"/>
      <c r="G700" s="2955"/>
      <c r="H700" s="2955"/>
      <c r="I700" s="2955"/>
      <c r="J700" s="2955"/>
      <c r="K700" s="2955">
        <f>UnosPorBilans!W259</f>
        <v>0</v>
      </c>
      <c r="L700" s="2955"/>
      <c r="M700" s="2955"/>
      <c r="N700" s="2955"/>
      <c r="O700" s="2955"/>
      <c r="P700" s="2955"/>
      <c r="Q700" s="2955"/>
      <c r="R700" s="2955"/>
      <c r="S700" s="2955"/>
      <c r="T700" s="2955"/>
      <c r="U700" s="2955"/>
      <c r="V700" s="2955">
        <f>UnosPorBilans!AB259</f>
        <v>0</v>
      </c>
      <c r="W700" s="2955"/>
      <c r="X700" s="2955"/>
      <c r="Y700" s="2955"/>
      <c r="Z700" s="2955"/>
      <c r="AA700" s="2955"/>
      <c r="AB700" s="2955"/>
      <c r="AC700" s="2955"/>
      <c r="AD700" s="2955"/>
      <c r="AE700" s="2955"/>
      <c r="AF700" s="2955"/>
      <c r="AG700" s="2955">
        <f>UnosPorBilans!AG259</f>
        <v>0</v>
      </c>
      <c r="AH700" s="2955"/>
      <c r="AI700" s="2955"/>
      <c r="AJ700" s="2955"/>
      <c r="AK700" s="2955"/>
      <c r="AL700" s="2955"/>
      <c r="AM700" s="2955"/>
      <c r="AN700" s="2955"/>
      <c r="AO700" s="2955"/>
      <c r="AP700" s="2955"/>
    </row>
    <row r="701" s="799" customFormat="1" ht="12.75" hidden="1" customHeight="1" spans="1:126">
      <c r="A701" s="2952" t="s">
        <v>6947</v>
      </c>
      <c r="B701" s="2952"/>
      <c r="C701" s="2952"/>
      <c r="D701" s="2952"/>
      <c r="E701" s="2952"/>
      <c r="F701" s="2952"/>
      <c r="G701" s="2952"/>
      <c r="H701" s="2952"/>
      <c r="I701" s="2952"/>
      <c r="J701" s="2952"/>
      <c r="K701" s="2952"/>
      <c r="L701" s="2952"/>
      <c r="M701" s="2952"/>
      <c r="N701" s="2952"/>
      <c r="O701" s="2952"/>
      <c r="P701" s="2952"/>
      <c r="Q701" s="2952"/>
      <c r="R701" s="2952"/>
      <c r="S701" s="2952"/>
      <c r="T701" s="2952"/>
      <c r="U701" s="2952"/>
      <c r="V701" s="2952" t="s">
        <v>6948</v>
      </c>
      <c r="W701" s="2952"/>
      <c r="X701" s="2952"/>
      <c r="Y701" s="2952"/>
      <c r="Z701" s="2952"/>
      <c r="AA701" s="2952"/>
      <c r="AB701" s="2952"/>
      <c r="AC701" s="2952"/>
      <c r="AD701" s="2952"/>
      <c r="AE701" s="2952"/>
      <c r="AF701" s="2952"/>
      <c r="AG701" s="2952"/>
      <c r="AH701" s="2952"/>
      <c r="AI701" s="2952"/>
      <c r="AJ701" s="2952"/>
      <c r="AK701" s="2952"/>
      <c r="AL701" s="2952"/>
      <c r="AM701" s="2952"/>
      <c r="AN701" s="2952"/>
      <c r="AO701" s="2952"/>
      <c r="AP701" s="2952"/>
    </row>
    <row r="702" s="799" customFormat="1" ht="12.75" hidden="1" customHeight="1" spans="1:126">
      <c r="A702" s="2955">
        <f>UnosPorBilans!AL259</f>
        <v>0</v>
      </c>
      <c r="B702" s="2955"/>
      <c r="C702" s="2955"/>
      <c r="D702" s="2955"/>
      <c r="E702" s="2955"/>
      <c r="F702" s="2955"/>
      <c r="G702" s="2955"/>
      <c r="H702" s="2955"/>
      <c r="I702" s="2955"/>
      <c r="J702" s="2955"/>
      <c r="K702" s="2955"/>
      <c r="L702" s="2955"/>
      <c r="M702" s="2955"/>
      <c r="N702" s="2955"/>
      <c r="O702" s="2955"/>
      <c r="P702" s="2955"/>
      <c r="Q702" s="2955"/>
      <c r="R702" s="2955"/>
      <c r="S702" s="2955"/>
      <c r="T702" s="2955"/>
      <c r="U702" s="2955"/>
      <c r="V702" s="2955">
        <f>UnosPorBilans!AS259</f>
        <v>0</v>
      </c>
      <c r="W702" s="2955"/>
      <c r="X702" s="2955"/>
      <c r="Y702" s="2955"/>
      <c r="Z702" s="2955"/>
      <c r="AA702" s="2955"/>
      <c r="AB702" s="2955"/>
      <c r="AC702" s="2955"/>
      <c r="AD702" s="2955"/>
      <c r="AE702" s="2955"/>
      <c r="AF702" s="2955"/>
      <c r="AG702" s="2955"/>
      <c r="AH702" s="2955"/>
      <c r="AI702" s="2955"/>
      <c r="AJ702" s="2955"/>
      <c r="AK702" s="2955"/>
      <c r="AL702" s="2955"/>
      <c r="AM702" s="2955"/>
      <c r="AN702" s="2955"/>
      <c r="AO702" s="2955"/>
      <c r="AP702" s="2955"/>
    </row>
    <row r="703" s="799" customFormat="1" ht="14.25" hidden="1" customHeight="1" spans="1:126">
      <c r="A703" s="2954"/>
      <c r="B703" s="2954"/>
      <c r="C703" s="2954"/>
      <c r="D703" s="2954"/>
      <c r="E703" s="2954"/>
      <c r="F703" s="2954"/>
      <c r="G703" s="2954"/>
      <c r="H703" s="2954"/>
      <c r="I703" s="2954"/>
      <c r="J703" s="2954"/>
      <c r="K703" s="2954"/>
      <c r="L703" s="2954"/>
      <c r="M703" s="2954"/>
      <c r="N703" s="2954"/>
      <c r="O703" s="2954"/>
      <c r="P703" s="2954"/>
      <c r="Q703" s="2954"/>
      <c r="R703" s="2954"/>
      <c r="S703" s="2954"/>
      <c r="T703" s="2954"/>
      <c r="U703" s="2954"/>
      <c r="V703" s="2954"/>
      <c r="W703" s="2954"/>
      <c r="X703" s="2954"/>
      <c r="Y703" s="2954"/>
      <c r="Z703" s="2954"/>
      <c r="AA703" s="2954"/>
      <c r="AB703" s="2954"/>
      <c r="AC703" s="2954"/>
      <c r="AD703" s="2954"/>
      <c r="AE703" s="2954"/>
      <c r="AF703" s="2954"/>
      <c r="AG703" s="2954"/>
      <c r="AH703" s="2954"/>
      <c r="AI703" s="2954"/>
      <c r="AJ703" s="2954"/>
      <c r="AK703" s="2954"/>
      <c r="AL703" s="2954"/>
      <c r="AM703" s="2954"/>
      <c r="AN703" s="2954"/>
      <c r="AO703" s="2954"/>
      <c r="AP703" s="2954"/>
      <c r="AQ703" s="2954"/>
      <c r="AR703" s="2954"/>
      <c r="AS703" s="2954"/>
      <c r="AT703" s="2954"/>
      <c r="AU703" s="2954"/>
      <c r="AV703" s="2954"/>
      <c r="AW703" s="2954"/>
      <c r="AX703" s="2954"/>
      <c r="AY703" s="2954"/>
      <c r="AZ703" s="2954"/>
      <c r="BA703" s="2954"/>
      <c r="BB703" s="2954"/>
      <c r="BC703" s="2954"/>
      <c r="BD703" s="2954"/>
      <c r="BE703" s="2954"/>
      <c r="BF703" s="2954"/>
      <c r="BG703" s="2954"/>
      <c r="BH703" s="2954"/>
      <c r="BI703" s="2954"/>
      <c r="BJ703" s="2954"/>
      <c r="BK703" s="2954"/>
      <c r="BL703" s="2954"/>
      <c r="BM703" s="2954"/>
      <c r="BN703" s="2954"/>
      <c r="BO703" s="2954"/>
      <c r="BP703" s="2954"/>
      <c r="BQ703" s="2954"/>
      <c r="BR703" s="2954"/>
      <c r="BS703" s="2954"/>
      <c r="BT703" s="2954"/>
      <c r="BU703" s="2954"/>
      <c r="BV703" s="2954"/>
      <c r="BW703" s="2954"/>
      <c r="BX703" s="2954"/>
      <c r="BY703" s="2954"/>
      <c r="BZ703" s="2954"/>
      <c r="CA703" s="2954"/>
      <c r="CB703" s="2954"/>
      <c r="CC703" s="2954"/>
      <c r="CD703" s="2954"/>
      <c r="CE703" s="2954"/>
      <c r="CF703" s="2954"/>
      <c r="CG703" s="2954"/>
      <c r="CH703" s="2954"/>
      <c r="CI703" s="2954"/>
      <c r="CJ703" s="2954"/>
      <c r="CK703" s="2954"/>
      <c r="CL703" s="2954"/>
      <c r="CM703" s="2954"/>
      <c r="CN703" s="2954"/>
      <c r="CO703" s="2954"/>
      <c r="CP703" s="2954"/>
      <c r="CQ703" s="2954"/>
      <c r="CR703" s="2954"/>
      <c r="CS703" s="2954"/>
      <c r="CT703" s="2954"/>
      <c r="CU703" s="2954"/>
      <c r="CV703" s="2954"/>
      <c r="CW703" s="2954"/>
      <c r="CX703" s="2954"/>
      <c r="CY703" s="2954"/>
      <c r="CZ703" s="2954"/>
      <c r="DA703" s="2954"/>
      <c r="DB703" s="2954"/>
      <c r="DC703" s="2954"/>
      <c r="DD703" s="2954"/>
      <c r="DE703" s="2954"/>
      <c r="DF703" s="2954"/>
      <c r="DG703" s="2954"/>
      <c r="DH703" s="2954"/>
      <c r="DI703" s="2954"/>
      <c r="DJ703" s="2954"/>
      <c r="DK703" s="2954"/>
      <c r="DL703" s="2954"/>
      <c r="DM703" s="2954"/>
      <c r="DN703" s="2954"/>
      <c r="DO703" s="2954"/>
      <c r="DP703" s="2954"/>
      <c r="DQ703" s="2954"/>
      <c r="DR703" s="2954"/>
      <c r="DS703" s="2954"/>
      <c r="DT703" s="2954"/>
      <c r="DU703" s="2954"/>
      <c r="DV703" s="2954"/>
    </row>
    <row r="704" s="799" customFormat="1" ht="14.25" hidden="1" customHeight="1" spans="1:126">
      <c r="A704" s="2952" t="s">
        <v>4214</v>
      </c>
      <c r="B704" s="2952"/>
      <c r="C704" s="2952" t="s">
        <v>6940</v>
      </c>
      <c r="D704" s="2952"/>
      <c r="E704" s="2952"/>
      <c r="F704" s="2952"/>
      <c r="G704" s="2952"/>
      <c r="H704" s="2952"/>
      <c r="I704" s="2952"/>
      <c r="J704" s="2952"/>
      <c r="K704" s="2952"/>
      <c r="L704" s="2952"/>
      <c r="M704" s="2952"/>
      <c r="N704" s="2952"/>
      <c r="O704" s="2952"/>
      <c r="P704" s="2952"/>
      <c r="Q704" s="2952"/>
      <c r="R704" s="2952"/>
      <c r="S704" s="2952"/>
      <c r="T704" s="2952"/>
      <c r="U704" s="2952"/>
      <c r="V704" s="2952" t="s">
        <v>6941</v>
      </c>
      <c r="W704" s="2952"/>
      <c r="X704" s="2952"/>
      <c r="Y704" s="2952"/>
      <c r="Z704" s="2952"/>
      <c r="AA704" s="2952"/>
      <c r="AB704" s="2952"/>
      <c r="AC704" s="2952"/>
      <c r="AD704" s="2952"/>
      <c r="AE704" s="2952"/>
      <c r="AF704" s="2952"/>
      <c r="AG704" s="2952" t="s">
        <v>6942</v>
      </c>
      <c r="AH704" s="2952"/>
      <c r="AI704" s="2952"/>
      <c r="AJ704" s="2952"/>
      <c r="AK704" s="2952"/>
      <c r="AL704" s="2952"/>
      <c r="AM704" s="2952"/>
      <c r="AN704" s="2952"/>
      <c r="AO704" s="2952"/>
      <c r="AP704" s="2952"/>
    </row>
    <row r="705" s="799" customFormat="1" ht="12.75" hidden="1" customHeight="1" spans="1:126">
      <c r="A705" s="2955">
        <f>UnosPorBilans!B260</f>
        <v>0</v>
      </c>
      <c r="B705" s="2955"/>
      <c r="C705" s="2955"/>
      <c r="D705" s="2955"/>
      <c r="E705" s="2955"/>
      <c r="F705" s="2955"/>
      <c r="G705" s="2955"/>
      <c r="H705" s="2955"/>
      <c r="I705" s="2955"/>
      <c r="J705" s="2955"/>
      <c r="K705" s="2955"/>
      <c r="L705" s="2955"/>
      <c r="M705" s="2955"/>
      <c r="N705" s="2955"/>
      <c r="O705" s="2955"/>
      <c r="P705" s="2955"/>
      <c r="Q705" s="2955"/>
      <c r="R705" s="2955"/>
      <c r="S705" s="2955"/>
      <c r="T705" s="2955"/>
      <c r="U705" s="2955"/>
      <c r="V705" s="2955">
        <f>UnosPorBilans!I260</f>
        <v>0</v>
      </c>
      <c r="W705" s="2955"/>
      <c r="X705" s="2955"/>
      <c r="Y705" s="2955"/>
      <c r="Z705" s="2955"/>
      <c r="AA705" s="2955"/>
      <c r="AB705" s="2955"/>
      <c r="AC705" s="2955"/>
      <c r="AD705" s="2955"/>
      <c r="AE705" s="2955"/>
      <c r="AF705" s="2955"/>
      <c r="AG705" s="2955">
        <f>UnosPorBilans!N260</f>
        <v>0</v>
      </c>
      <c r="AH705" s="2955"/>
      <c r="AI705" s="2955"/>
      <c r="AJ705" s="2955"/>
      <c r="AK705" s="2955"/>
      <c r="AL705" s="2955"/>
      <c r="AM705" s="2955"/>
      <c r="AN705" s="2955"/>
      <c r="AO705" s="2955"/>
      <c r="AP705" s="2955"/>
    </row>
    <row r="706" s="799" customFormat="1" ht="12.75" hidden="1" customHeight="1" spans="1:126">
      <c r="A706" s="2952" t="s">
        <v>6943</v>
      </c>
      <c r="B706" s="2952"/>
      <c r="C706" s="2952"/>
      <c r="D706" s="2952"/>
      <c r="E706" s="2952"/>
      <c r="F706" s="2952"/>
      <c r="G706" s="2952"/>
      <c r="H706" s="2952"/>
      <c r="I706" s="2952"/>
      <c r="J706" s="2952"/>
      <c r="K706" s="2952" t="s">
        <v>6944</v>
      </c>
      <c r="L706" s="2952"/>
      <c r="M706" s="2952"/>
      <c r="N706" s="2952"/>
      <c r="O706" s="2952"/>
      <c r="P706" s="2952"/>
      <c r="Q706" s="2952"/>
      <c r="R706" s="2952"/>
      <c r="S706" s="2952"/>
      <c r="T706" s="2952"/>
      <c r="U706" s="2952"/>
      <c r="V706" s="2952" t="s">
        <v>6945</v>
      </c>
      <c r="W706" s="2952"/>
      <c r="X706" s="2952"/>
      <c r="Y706" s="2952"/>
      <c r="Z706" s="2952"/>
      <c r="AA706" s="2952"/>
      <c r="AB706" s="2952"/>
      <c r="AC706" s="2952"/>
      <c r="AD706" s="2952"/>
      <c r="AE706" s="2952"/>
      <c r="AF706" s="2952"/>
      <c r="AG706" s="2952" t="s">
        <v>6946</v>
      </c>
      <c r="AH706" s="2952"/>
      <c r="AI706" s="2952"/>
      <c r="AJ706" s="2952"/>
      <c r="AK706" s="2952"/>
      <c r="AL706" s="2952"/>
      <c r="AM706" s="2952"/>
      <c r="AN706" s="2952"/>
      <c r="AO706" s="2952"/>
      <c r="AP706" s="2952"/>
    </row>
    <row r="707" s="799" customFormat="1" ht="12.75" hidden="1" customHeight="1" spans="1:126">
      <c r="A707" s="2955">
        <f>UnosPorBilans!S260</f>
        <v>0</v>
      </c>
      <c r="B707" s="2955"/>
      <c r="C707" s="2955"/>
      <c r="D707" s="2955"/>
      <c r="E707" s="2955"/>
      <c r="F707" s="2955"/>
      <c r="G707" s="2955"/>
      <c r="H707" s="2955"/>
      <c r="I707" s="2955"/>
      <c r="J707" s="2955"/>
      <c r="K707" s="2955">
        <f>UnosPorBilans!W260</f>
        <v>0</v>
      </c>
      <c r="L707" s="2955"/>
      <c r="M707" s="2955"/>
      <c r="N707" s="2955"/>
      <c r="O707" s="2955"/>
      <c r="P707" s="2955"/>
      <c r="Q707" s="2955"/>
      <c r="R707" s="2955"/>
      <c r="S707" s="2955"/>
      <c r="T707" s="2955"/>
      <c r="U707" s="2955"/>
      <c r="V707" s="2955">
        <f>UnosPorBilans!AB260</f>
        <v>0</v>
      </c>
      <c r="W707" s="2955"/>
      <c r="X707" s="2955"/>
      <c r="Y707" s="2955"/>
      <c r="Z707" s="2955"/>
      <c r="AA707" s="2955"/>
      <c r="AB707" s="2955"/>
      <c r="AC707" s="2955"/>
      <c r="AD707" s="2955"/>
      <c r="AE707" s="2955"/>
      <c r="AF707" s="2955"/>
      <c r="AG707" s="2955">
        <f>UnosPorBilans!AG260</f>
        <v>0</v>
      </c>
      <c r="AH707" s="2955"/>
      <c r="AI707" s="2955"/>
      <c r="AJ707" s="2955"/>
      <c r="AK707" s="2955"/>
      <c r="AL707" s="2955"/>
      <c r="AM707" s="2955"/>
      <c r="AN707" s="2955"/>
      <c r="AO707" s="2955"/>
      <c r="AP707" s="2955"/>
    </row>
    <row r="708" s="799" customFormat="1" ht="12.75" hidden="1" customHeight="1" spans="1:126">
      <c r="A708" s="2952" t="s">
        <v>6947</v>
      </c>
      <c r="B708" s="2952"/>
      <c r="C708" s="2952"/>
      <c r="D708" s="2952"/>
      <c r="E708" s="2952"/>
      <c r="F708" s="2952"/>
      <c r="G708" s="2952"/>
      <c r="H708" s="2952"/>
      <c r="I708" s="2952"/>
      <c r="J708" s="2952"/>
      <c r="K708" s="2952"/>
      <c r="L708" s="2952"/>
      <c r="M708" s="2952"/>
      <c r="N708" s="2952"/>
      <c r="O708" s="2952"/>
      <c r="P708" s="2952"/>
      <c r="Q708" s="2952"/>
      <c r="R708" s="2952"/>
      <c r="S708" s="2952"/>
      <c r="T708" s="2952"/>
      <c r="U708" s="2952"/>
      <c r="V708" s="2952" t="s">
        <v>6948</v>
      </c>
      <c r="W708" s="2952"/>
      <c r="X708" s="2952"/>
      <c r="Y708" s="2952"/>
      <c r="Z708" s="2952"/>
      <c r="AA708" s="2952"/>
      <c r="AB708" s="2952"/>
      <c r="AC708" s="2952"/>
      <c r="AD708" s="2952"/>
      <c r="AE708" s="2952"/>
      <c r="AF708" s="2952"/>
      <c r="AG708" s="2952"/>
      <c r="AH708" s="2952"/>
      <c r="AI708" s="2952"/>
      <c r="AJ708" s="2952"/>
      <c r="AK708" s="2952"/>
      <c r="AL708" s="2952"/>
      <c r="AM708" s="2952"/>
      <c r="AN708" s="2952"/>
      <c r="AO708" s="2952"/>
      <c r="AP708" s="2952"/>
    </row>
    <row r="709" s="799" customFormat="1" ht="12.75" hidden="1" customHeight="1" spans="1:126">
      <c r="A709" s="2955">
        <f>UnosPorBilans!AL260</f>
        <v>0</v>
      </c>
      <c r="B709" s="2955"/>
      <c r="C709" s="2955"/>
      <c r="D709" s="2955"/>
      <c r="E709" s="2955"/>
      <c r="F709" s="2955"/>
      <c r="G709" s="2955"/>
      <c r="H709" s="2955"/>
      <c r="I709" s="2955"/>
      <c r="J709" s="2955"/>
      <c r="K709" s="2955"/>
      <c r="L709" s="2955"/>
      <c r="M709" s="2955"/>
      <c r="N709" s="2955"/>
      <c r="O709" s="2955"/>
      <c r="P709" s="2955"/>
      <c r="Q709" s="2955"/>
      <c r="R709" s="2955"/>
      <c r="S709" s="2955"/>
      <c r="T709" s="2955"/>
      <c r="U709" s="2955"/>
      <c r="V709" s="2955">
        <f>UnosPorBilans!AS260</f>
        <v>0</v>
      </c>
      <c r="W709" s="2955"/>
      <c r="X709" s="2955"/>
      <c r="Y709" s="2955"/>
      <c r="Z709" s="2955"/>
      <c r="AA709" s="2955"/>
      <c r="AB709" s="2955"/>
      <c r="AC709" s="2955"/>
      <c r="AD709" s="2955"/>
      <c r="AE709" s="2955"/>
      <c r="AF709" s="2955"/>
      <c r="AG709" s="2955"/>
      <c r="AH709" s="2955"/>
      <c r="AI709" s="2955"/>
      <c r="AJ709" s="2955"/>
      <c r="AK709" s="2955"/>
      <c r="AL709" s="2955"/>
      <c r="AM709" s="2955"/>
      <c r="AN709" s="2955"/>
      <c r="AO709" s="2955"/>
      <c r="AP709" s="2955"/>
    </row>
    <row r="710" s="799" customFormat="1" ht="14.25" hidden="1" customHeight="1" spans="1:126">
      <c r="A710" s="2954"/>
      <c r="B710" s="2954"/>
      <c r="C710" s="2954"/>
      <c r="D710" s="2954"/>
      <c r="E710" s="2954"/>
      <c r="F710" s="2954"/>
      <c r="G710" s="2954"/>
      <c r="H710" s="2954"/>
      <c r="I710" s="2954"/>
      <c r="J710" s="2954"/>
      <c r="K710" s="2954"/>
      <c r="L710" s="2954"/>
      <c r="M710" s="2954"/>
      <c r="N710" s="2954"/>
      <c r="O710" s="2954"/>
      <c r="P710" s="2954"/>
      <c r="Q710" s="2954"/>
      <c r="R710" s="2954"/>
      <c r="S710" s="2954"/>
      <c r="T710" s="2954"/>
      <c r="U710" s="2954"/>
      <c r="V710" s="2954"/>
      <c r="W710" s="2954"/>
      <c r="X710" s="2954"/>
      <c r="Y710" s="2954"/>
      <c r="Z710" s="2954"/>
      <c r="AA710" s="2954"/>
      <c r="AB710" s="2954"/>
      <c r="AC710" s="2954"/>
      <c r="AD710" s="2954"/>
      <c r="AE710" s="2954"/>
      <c r="AF710" s="2954"/>
      <c r="AG710" s="2954"/>
      <c r="AH710" s="2954"/>
      <c r="AI710" s="2954"/>
      <c r="AJ710" s="2954"/>
      <c r="AK710" s="2954"/>
      <c r="AL710" s="2954"/>
      <c r="AM710" s="2954"/>
      <c r="AN710" s="2954"/>
      <c r="AO710" s="2954"/>
      <c r="AP710" s="2954"/>
      <c r="AQ710" s="2954"/>
      <c r="AR710" s="2954"/>
      <c r="AS710" s="2954"/>
      <c r="AT710" s="2954"/>
      <c r="AU710" s="2954"/>
      <c r="AV710" s="2954"/>
      <c r="AW710" s="2954"/>
      <c r="AX710" s="2954"/>
      <c r="AY710" s="2954"/>
      <c r="AZ710" s="2954"/>
      <c r="BA710" s="2954"/>
      <c r="BB710" s="2954"/>
      <c r="BC710" s="2954"/>
      <c r="BD710" s="2954"/>
      <c r="BE710" s="2954"/>
      <c r="BF710" s="2954"/>
      <c r="BG710" s="2954"/>
      <c r="BH710" s="2954"/>
      <c r="BI710" s="2954"/>
      <c r="BJ710" s="2954"/>
      <c r="BK710" s="2954"/>
      <c r="BL710" s="2954"/>
      <c r="BM710" s="2954"/>
      <c r="BN710" s="2954"/>
      <c r="BO710" s="2954"/>
      <c r="BP710" s="2954"/>
      <c r="BQ710" s="2954"/>
      <c r="BR710" s="2954"/>
      <c r="BS710" s="2954"/>
      <c r="BT710" s="2954"/>
      <c r="BU710" s="2954"/>
      <c r="BV710" s="2954"/>
      <c r="BW710" s="2954"/>
      <c r="BX710" s="2954"/>
      <c r="BY710" s="2954"/>
      <c r="BZ710" s="2954"/>
      <c r="CA710" s="2954"/>
      <c r="CB710" s="2954"/>
      <c r="CC710" s="2954"/>
      <c r="CD710" s="2954"/>
      <c r="CE710" s="2954"/>
      <c r="CF710" s="2954"/>
      <c r="CG710" s="2954"/>
      <c r="CH710" s="2954"/>
      <c r="CI710" s="2954"/>
      <c r="CJ710" s="2954"/>
      <c r="CK710" s="2954"/>
      <c r="CL710" s="2954"/>
      <c r="CM710" s="2954"/>
      <c r="CN710" s="2954"/>
      <c r="CO710" s="2954"/>
      <c r="CP710" s="2954"/>
      <c r="CQ710" s="2954"/>
      <c r="CR710" s="2954"/>
      <c r="CS710" s="2954"/>
      <c r="CT710" s="2954"/>
      <c r="CU710" s="2954"/>
      <c r="CV710" s="2954"/>
      <c r="CW710" s="2954"/>
      <c r="CX710" s="2954"/>
      <c r="CY710" s="2954"/>
      <c r="CZ710" s="2954"/>
      <c r="DA710" s="2954"/>
      <c r="DB710" s="2954"/>
      <c r="DC710" s="2954"/>
      <c r="DD710" s="2954"/>
      <c r="DE710" s="2954"/>
      <c r="DF710" s="2954"/>
      <c r="DG710" s="2954"/>
      <c r="DH710" s="2954"/>
      <c r="DI710" s="2954"/>
      <c r="DJ710" s="2954"/>
      <c r="DK710" s="2954"/>
      <c r="DL710" s="2954"/>
      <c r="DM710" s="2954"/>
      <c r="DN710" s="2954"/>
      <c r="DO710" s="2954"/>
      <c r="DP710" s="2954"/>
      <c r="DQ710" s="2954"/>
      <c r="DR710" s="2954"/>
      <c r="DS710" s="2954"/>
      <c r="DT710" s="2954"/>
      <c r="DU710" s="2954"/>
      <c r="DV710" s="2954"/>
    </row>
    <row r="711" s="799" customFormat="1" ht="14.25" hidden="1" customHeight="1" spans="1:126">
      <c r="A711" s="2952" t="s">
        <v>4214</v>
      </c>
      <c r="B711" s="2952"/>
      <c r="C711" s="2952" t="s">
        <v>6940</v>
      </c>
      <c r="D711" s="2952"/>
      <c r="E711" s="2952"/>
      <c r="F711" s="2952"/>
      <c r="G711" s="2952"/>
      <c r="H711" s="2952"/>
      <c r="I711" s="2952"/>
      <c r="J711" s="2952"/>
      <c r="K711" s="2952"/>
      <c r="L711" s="2952"/>
      <c r="M711" s="2952"/>
      <c r="N711" s="2952"/>
      <c r="O711" s="2952"/>
      <c r="P711" s="2952"/>
      <c r="Q711" s="2952"/>
      <c r="R711" s="2952"/>
      <c r="S711" s="2952"/>
      <c r="T711" s="2952"/>
      <c r="U711" s="2952"/>
      <c r="V711" s="2952" t="s">
        <v>6941</v>
      </c>
      <c r="W711" s="2952"/>
      <c r="X711" s="2952"/>
      <c r="Y711" s="2952"/>
      <c r="Z711" s="2952"/>
      <c r="AA711" s="2952"/>
      <c r="AB711" s="2952"/>
      <c r="AC711" s="2952"/>
      <c r="AD711" s="2952"/>
      <c r="AE711" s="2952"/>
      <c r="AF711" s="2952"/>
      <c r="AG711" s="2952" t="s">
        <v>6942</v>
      </c>
      <c r="AH711" s="2952"/>
      <c r="AI711" s="2952"/>
      <c r="AJ711" s="2952"/>
      <c r="AK711" s="2952"/>
      <c r="AL711" s="2952"/>
      <c r="AM711" s="2952"/>
      <c r="AN711" s="2952"/>
      <c r="AO711" s="2952"/>
      <c r="AP711" s="2952"/>
    </row>
    <row r="712" s="799" customFormat="1" ht="12.75" hidden="1" customHeight="1" spans="1:126">
      <c r="A712" s="2955">
        <f>UnosPorBilans!B261</f>
        <v>0</v>
      </c>
      <c r="B712" s="2955"/>
      <c r="C712" s="2955"/>
      <c r="D712" s="2955"/>
      <c r="E712" s="2955"/>
      <c r="F712" s="2955"/>
      <c r="G712" s="2955"/>
      <c r="H712" s="2955"/>
      <c r="I712" s="2955"/>
      <c r="J712" s="2955"/>
      <c r="K712" s="2955"/>
      <c r="L712" s="2955"/>
      <c r="M712" s="2955"/>
      <c r="N712" s="2955"/>
      <c r="O712" s="2955"/>
      <c r="P712" s="2955"/>
      <c r="Q712" s="2955"/>
      <c r="R712" s="2955"/>
      <c r="S712" s="2955"/>
      <c r="T712" s="2955"/>
      <c r="U712" s="2955"/>
      <c r="V712" s="2955">
        <f>UnosPorBilans!I261</f>
        <v>0</v>
      </c>
      <c r="W712" s="2955"/>
      <c r="X712" s="2955"/>
      <c r="Y712" s="2955"/>
      <c r="Z712" s="2955"/>
      <c r="AA712" s="2955"/>
      <c r="AB712" s="2955"/>
      <c r="AC712" s="2955"/>
      <c r="AD712" s="2955"/>
      <c r="AE712" s="2955"/>
      <c r="AF712" s="2955"/>
      <c r="AG712" s="2955">
        <f>UnosPorBilans!N261</f>
        <v>0</v>
      </c>
      <c r="AH712" s="2955"/>
      <c r="AI712" s="2955"/>
      <c r="AJ712" s="2955"/>
      <c r="AK712" s="2955"/>
      <c r="AL712" s="2955"/>
      <c r="AM712" s="2955"/>
      <c r="AN712" s="2955"/>
      <c r="AO712" s="2955"/>
      <c r="AP712" s="2955"/>
    </row>
    <row r="713" s="799" customFormat="1" ht="12.75" hidden="1" customHeight="1" spans="1:126">
      <c r="A713" s="2952" t="s">
        <v>6943</v>
      </c>
      <c r="B713" s="2952"/>
      <c r="C713" s="2952"/>
      <c r="D713" s="2952"/>
      <c r="E713" s="2952"/>
      <c r="F713" s="2952"/>
      <c r="G713" s="2952"/>
      <c r="H713" s="2952"/>
      <c r="I713" s="2952"/>
      <c r="J713" s="2952"/>
      <c r="K713" s="2952" t="s">
        <v>6944</v>
      </c>
      <c r="L713" s="2952"/>
      <c r="M713" s="2952"/>
      <c r="N713" s="2952"/>
      <c r="O713" s="2952"/>
      <c r="P713" s="2952"/>
      <c r="Q713" s="2952"/>
      <c r="R713" s="2952"/>
      <c r="S713" s="2952"/>
      <c r="T713" s="2952"/>
      <c r="U713" s="2952"/>
      <c r="V713" s="2952" t="s">
        <v>6945</v>
      </c>
      <c r="W713" s="2952"/>
      <c r="X713" s="2952"/>
      <c r="Y713" s="2952"/>
      <c r="Z713" s="2952"/>
      <c r="AA713" s="2952"/>
      <c r="AB713" s="2952"/>
      <c r="AC713" s="2952"/>
      <c r="AD713" s="2952"/>
      <c r="AE713" s="2952"/>
      <c r="AF713" s="2952"/>
      <c r="AG713" s="2952" t="s">
        <v>6946</v>
      </c>
      <c r="AH713" s="2952"/>
      <c r="AI713" s="2952"/>
      <c r="AJ713" s="2952"/>
      <c r="AK713" s="2952"/>
      <c r="AL713" s="2952"/>
      <c r="AM713" s="2952"/>
      <c r="AN713" s="2952"/>
      <c r="AO713" s="2952"/>
      <c r="AP713" s="2952"/>
    </row>
    <row r="714" s="799" customFormat="1" ht="12.75" hidden="1" customHeight="1" spans="1:126">
      <c r="A714" s="2955">
        <f>UnosPorBilans!S261</f>
        <v>0</v>
      </c>
      <c r="B714" s="2955"/>
      <c r="C714" s="2955"/>
      <c r="D714" s="2955"/>
      <c r="E714" s="2955"/>
      <c r="F714" s="2955"/>
      <c r="G714" s="2955"/>
      <c r="H714" s="2955"/>
      <c r="I714" s="2955"/>
      <c r="J714" s="2955"/>
      <c r="K714" s="2955">
        <f>UnosPorBilans!W261</f>
        <v>0</v>
      </c>
      <c r="L714" s="2955"/>
      <c r="M714" s="2955"/>
      <c r="N714" s="2955"/>
      <c r="O714" s="2955"/>
      <c r="P714" s="2955"/>
      <c r="Q714" s="2955"/>
      <c r="R714" s="2955"/>
      <c r="S714" s="2955"/>
      <c r="T714" s="2955"/>
      <c r="U714" s="2955"/>
      <c r="V714" s="2955">
        <f>UnosPorBilans!AB261</f>
        <v>0</v>
      </c>
      <c r="W714" s="2955"/>
      <c r="X714" s="2955"/>
      <c r="Y714" s="2955"/>
      <c r="Z714" s="2955"/>
      <c r="AA714" s="2955"/>
      <c r="AB714" s="2955"/>
      <c r="AC714" s="2955"/>
      <c r="AD714" s="2955"/>
      <c r="AE714" s="2955"/>
      <c r="AF714" s="2955"/>
      <c r="AG714" s="2955">
        <f>UnosPorBilans!AG261</f>
        <v>0</v>
      </c>
      <c r="AH714" s="2955"/>
      <c r="AI714" s="2955"/>
      <c r="AJ714" s="2955"/>
      <c r="AK714" s="2955"/>
      <c r="AL714" s="2955"/>
      <c r="AM714" s="2955"/>
      <c r="AN714" s="2955"/>
      <c r="AO714" s="2955"/>
      <c r="AP714" s="2955"/>
    </row>
    <row r="715" s="799" customFormat="1" ht="12.75" hidden="1" customHeight="1" spans="1:126">
      <c r="A715" s="2952" t="s">
        <v>6947</v>
      </c>
      <c r="B715" s="2952"/>
      <c r="C715" s="2952"/>
      <c r="D715" s="2952"/>
      <c r="E715" s="2952"/>
      <c r="F715" s="2952"/>
      <c r="G715" s="2952"/>
      <c r="H715" s="2952"/>
      <c r="I715" s="2952"/>
      <c r="J715" s="2952"/>
      <c r="K715" s="2952"/>
      <c r="L715" s="2952"/>
      <c r="M715" s="2952"/>
      <c r="N715" s="2952"/>
      <c r="O715" s="2952"/>
      <c r="P715" s="2952"/>
      <c r="Q715" s="2952"/>
      <c r="R715" s="2952"/>
      <c r="S715" s="2952"/>
      <c r="T715" s="2952"/>
      <c r="U715" s="2952"/>
      <c r="V715" s="2952" t="s">
        <v>6948</v>
      </c>
      <c r="W715" s="2952"/>
      <c r="X715" s="2952"/>
      <c r="Y715" s="2952"/>
      <c r="Z715" s="2952"/>
      <c r="AA715" s="2952"/>
      <c r="AB715" s="2952"/>
      <c r="AC715" s="2952"/>
      <c r="AD715" s="2952"/>
      <c r="AE715" s="2952"/>
      <c r="AF715" s="2952"/>
      <c r="AG715" s="2952"/>
      <c r="AH715" s="2952"/>
      <c r="AI715" s="2952"/>
      <c r="AJ715" s="2952"/>
      <c r="AK715" s="2952"/>
      <c r="AL715" s="2952"/>
      <c r="AM715" s="2952"/>
      <c r="AN715" s="2952"/>
      <c r="AO715" s="2952"/>
      <c r="AP715" s="2952"/>
    </row>
    <row r="716" s="799" customFormat="1" ht="12.75" hidden="1" customHeight="1" spans="1:126">
      <c r="A716" s="2955">
        <f>UnosPorBilans!AL261</f>
        <v>0</v>
      </c>
      <c r="B716" s="2955"/>
      <c r="C716" s="2955"/>
      <c r="D716" s="2955"/>
      <c r="E716" s="2955"/>
      <c r="F716" s="2955"/>
      <c r="G716" s="2955"/>
      <c r="H716" s="2955"/>
      <c r="I716" s="2955"/>
      <c r="J716" s="2955"/>
      <c r="K716" s="2955"/>
      <c r="L716" s="2955"/>
      <c r="M716" s="2955"/>
      <c r="N716" s="2955"/>
      <c r="O716" s="2955"/>
      <c r="P716" s="2955"/>
      <c r="Q716" s="2955"/>
      <c r="R716" s="2955"/>
      <c r="S716" s="2955"/>
      <c r="T716" s="2955"/>
      <c r="U716" s="2955"/>
      <c r="V716" s="2955">
        <f>UnosPorBilans!AS261</f>
        <v>0</v>
      </c>
      <c r="W716" s="2955"/>
      <c r="X716" s="2955"/>
      <c r="Y716" s="2955"/>
      <c r="Z716" s="2955"/>
      <c r="AA716" s="2955"/>
      <c r="AB716" s="2955"/>
      <c r="AC716" s="2955"/>
      <c r="AD716" s="2955"/>
      <c r="AE716" s="2955"/>
      <c r="AF716" s="2955"/>
      <c r="AG716" s="2955"/>
      <c r="AH716" s="2955"/>
      <c r="AI716" s="2955"/>
      <c r="AJ716" s="2955"/>
      <c r="AK716" s="2955"/>
      <c r="AL716" s="2955"/>
      <c r="AM716" s="2955"/>
      <c r="AN716" s="2955"/>
      <c r="AO716" s="2955"/>
      <c r="AP716" s="2955"/>
    </row>
    <row r="717" s="799" customFormat="1" ht="14.25" hidden="1" customHeight="1" spans="1:126">
      <c r="A717" s="2954"/>
      <c r="B717" s="2954"/>
      <c r="C717" s="2954"/>
      <c r="D717" s="2954"/>
      <c r="E717" s="2954"/>
      <c r="F717" s="2954"/>
      <c r="G717" s="2954"/>
      <c r="H717" s="2954"/>
      <c r="I717" s="2954"/>
      <c r="J717" s="2954"/>
      <c r="K717" s="2954"/>
      <c r="L717" s="2954"/>
      <c r="M717" s="2954"/>
      <c r="N717" s="2954"/>
      <c r="O717" s="2954"/>
      <c r="P717" s="2954"/>
      <c r="Q717" s="2954"/>
      <c r="R717" s="2954"/>
      <c r="S717" s="2954"/>
      <c r="T717" s="2954"/>
      <c r="U717" s="2954"/>
      <c r="V717" s="2954"/>
      <c r="W717" s="2954"/>
      <c r="X717" s="2954"/>
      <c r="Y717" s="2954"/>
      <c r="Z717" s="2954"/>
      <c r="AA717" s="2954"/>
      <c r="AB717" s="2954"/>
      <c r="AC717" s="2954"/>
      <c r="AD717" s="2954"/>
      <c r="AE717" s="2954"/>
      <c r="AF717" s="2954"/>
      <c r="AG717" s="2954"/>
      <c r="AH717" s="2954"/>
      <c r="AI717" s="2954"/>
      <c r="AJ717" s="2954"/>
      <c r="AK717" s="2954"/>
      <c r="AL717" s="2954"/>
      <c r="AM717" s="2954"/>
      <c r="AN717" s="2954"/>
      <c r="AO717" s="2954"/>
      <c r="AP717" s="2954"/>
      <c r="AQ717" s="2954"/>
      <c r="AR717" s="2954"/>
      <c r="AS717" s="2954"/>
      <c r="AT717" s="2954"/>
      <c r="AU717" s="2954"/>
      <c r="AV717" s="2954"/>
      <c r="AW717" s="2954"/>
      <c r="AX717" s="2954"/>
      <c r="AY717" s="2954"/>
      <c r="AZ717" s="2954"/>
      <c r="BA717" s="2954"/>
      <c r="BB717" s="2954"/>
      <c r="BC717" s="2954"/>
      <c r="BD717" s="2954"/>
      <c r="BE717" s="2954"/>
      <c r="BF717" s="2954"/>
      <c r="BG717" s="2954"/>
      <c r="BH717" s="2954"/>
      <c r="BI717" s="2954"/>
      <c r="BJ717" s="2954"/>
      <c r="BK717" s="2954"/>
      <c r="BL717" s="2954"/>
      <c r="BM717" s="2954"/>
      <c r="BN717" s="2954"/>
      <c r="BO717" s="2954"/>
      <c r="BP717" s="2954"/>
      <c r="BQ717" s="2954"/>
      <c r="BR717" s="2954"/>
      <c r="BS717" s="2954"/>
      <c r="BT717" s="2954"/>
      <c r="BU717" s="2954"/>
      <c r="BV717" s="2954"/>
      <c r="BW717" s="2954"/>
      <c r="BX717" s="2954"/>
      <c r="BY717" s="2954"/>
      <c r="BZ717" s="2954"/>
      <c r="CA717" s="2954"/>
      <c r="CB717" s="2954"/>
      <c r="CC717" s="2954"/>
      <c r="CD717" s="2954"/>
      <c r="CE717" s="2954"/>
      <c r="CF717" s="2954"/>
      <c r="CG717" s="2954"/>
      <c r="CH717" s="2954"/>
      <c r="CI717" s="2954"/>
      <c r="CJ717" s="2954"/>
      <c r="CK717" s="2954"/>
      <c r="CL717" s="2954"/>
      <c r="CM717" s="2954"/>
      <c r="CN717" s="2954"/>
      <c r="CO717" s="2954"/>
      <c r="CP717" s="2954"/>
      <c r="CQ717" s="2954"/>
      <c r="CR717" s="2954"/>
      <c r="CS717" s="2954"/>
      <c r="CT717" s="2954"/>
      <c r="CU717" s="2954"/>
      <c r="CV717" s="2954"/>
      <c r="CW717" s="2954"/>
      <c r="CX717" s="2954"/>
      <c r="CY717" s="2954"/>
      <c r="CZ717" s="2954"/>
      <c r="DA717" s="2954"/>
      <c r="DB717" s="2954"/>
      <c r="DC717" s="2954"/>
      <c r="DD717" s="2954"/>
      <c r="DE717" s="2954"/>
      <c r="DF717" s="2954"/>
      <c r="DG717" s="2954"/>
      <c r="DH717" s="2954"/>
      <c r="DI717" s="2954"/>
      <c r="DJ717" s="2954"/>
      <c r="DK717" s="2954"/>
      <c r="DL717" s="2954"/>
      <c r="DM717" s="2954"/>
      <c r="DN717" s="2954"/>
      <c r="DO717" s="2954"/>
      <c r="DP717" s="2954"/>
      <c r="DQ717" s="2954"/>
      <c r="DR717" s="2954"/>
      <c r="DS717" s="2954"/>
      <c r="DT717" s="2954"/>
      <c r="DU717" s="2954"/>
      <c r="DV717" s="2954"/>
    </row>
    <row r="718" s="799" customFormat="1" ht="14.25" hidden="1" customHeight="1" spans="1:126">
      <c r="A718" s="2954"/>
      <c r="B718" s="2954"/>
      <c r="C718" s="2954"/>
      <c r="D718" s="2954"/>
      <c r="E718" s="2954"/>
      <c r="F718" s="2954"/>
      <c r="G718" s="2954"/>
      <c r="H718" s="2954"/>
      <c r="I718" s="2954"/>
      <c r="J718" s="2954"/>
      <c r="K718" s="2954"/>
      <c r="L718" s="2954"/>
      <c r="M718" s="2954"/>
      <c r="N718" s="2954"/>
      <c r="O718" s="2954"/>
      <c r="P718" s="2954"/>
      <c r="Q718" s="2954"/>
      <c r="R718" s="2954"/>
      <c r="S718" s="2954"/>
      <c r="T718" s="2954"/>
      <c r="U718" s="2954"/>
      <c r="V718" s="2954"/>
      <c r="W718" s="2954"/>
      <c r="X718" s="2954"/>
      <c r="Y718" s="2954"/>
      <c r="Z718" s="2954"/>
      <c r="AA718" s="2954"/>
      <c r="AB718" s="2954"/>
      <c r="AC718" s="2954"/>
      <c r="AD718" s="2954"/>
      <c r="AE718" s="2954"/>
      <c r="AF718" s="2954"/>
      <c r="AG718" s="2954"/>
      <c r="AH718" s="2954"/>
      <c r="AI718" s="2954"/>
      <c r="AJ718" s="2954"/>
      <c r="AK718" s="2954"/>
      <c r="AL718" s="2954"/>
      <c r="AM718" s="2954"/>
      <c r="AN718" s="2954"/>
      <c r="AO718" s="2954"/>
      <c r="AP718" s="2954"/>
      <c r="AQ718" s="2954"/>
      <c r="AR718" s="2954"/>
      <c r="AS718" s="2954"/>
      <c r="AT718" s="2954"/>
      <c r="AU718" s="2954"/>
      <c r="AV718" s="2954"/>
      <c r="AW718" s="2954"/>
      <c r="AX718" s="2954"/>
      <c r="AY718" s="2954"/>
      <c r="AZ718" s="2954"/>
      <c r="BA718" s="2954"/>
      <c r="BB718" s="2954"/>
      <c r="BC718" s="2954"/>
      <c r="BD718" s="2954"/>
      <c r="BE718" s="2954"/>
      <c r="BF718" s="2954"/>
      <c r="BG718" s="2954"/>
      <c r="BH718" s="2954"/>
      <c r="BI718" s="2954"/>
      <c r="BJ718" s="2954"/>
      <c r="BK718" s="2954"/>
      <c r="BL718" s="2954"/>
      <c r="BM718" s="2954"/>
      <c r="BN718" s="2954"/>
      <c r="BO718" s="2954"/>
      <c r="BP718" s="2954"/>
      <c r="BQ718" s="2954"/>
      <c r="BR718" s="2954"/>
      <c r="BS718" s="2954"/>
      <c r="BT718" s="2954"/>
      <c r="BU718" s="2954"/>
      <c r="BV718" s="2954"/>
      <c r="BW718" s="2954"/>
      <c r="BX718" s="2954"/>
      <c r="BY718" s="2954"/>
      <c r="BZ718" s="2954"/>
      <c r="CA718" s="2954"/>
      <c r="CB718" s="2954"/>
      <c r="CC718" s="2954"/>
      <c r="CD718" s="2954"/>
      <c r="CE718" s="2954"/>
      <c r="CF718" s="2954"/>
      <c r="CG718" s="2954"/>
      <c r="CH718" s="2954"/>
      <c r="CI718" s="2954"/>
      <c r="CJ718" s="2954"/>
      <c r="CK718" s="2954"/>
      <c r="CL718" s="2954"/>
      <c r="CM718" s="2954"/>
      <c r="CN718" s="2954"/>
      <c r="CO718" s="2954"/>
      <c r="CP718" s="2954"/>
      <c r="CQ718" s="2954"/>
      <c r="CR718" s="2954"/>
      <c r="CS718" s="2954"/>
      <c r="CT718" s="2954"/>
      <c r="CU718" s="2954"/>
      <c r="CV718" s="2954"/>
      <c r="CW718" s="2954"/>
      <c r="CX718" s="2954"/>
      <c r="CY718" s="2954"/>
      <c r="CZ718" s="2954"/>
      <c r="DA718" s="2954"/>
      <c r="DB718" s="2954"/>
      <c r="DC718" s="2954"/>
      <c r="DD718" s="2954"/>
      <c r="DE718" s="2954"/>
      <c r="DF718" s="2954"/>
      <c r="DG718" s="2954"/>
      <c r="DH718" s="2954"/>
      <c r="DI718" s="2954"/>
      <c r="DJ718" s="2954"/>
      <c r="DK718" s="2954"/>
      <c r="DL718" s="2954"/>
      <c r="DM718" s="2954"/>
      <c r="DN718" s="2954"/>
      <c r="DO718" s="2954"/>
      <c r="DP718" s="2954"/>
      <c r="DQ718" s="2954"/>
      <c r="DR718" s="2954"/>
      <c r="DS718" s="2954"/>
      <c r="DT718" s="2954"/>
      <c r="DU718" s="2954"/>
      <c r="DV718" s="2954"/>
    </row>
    <row r="719" s="799" customFormat="1" ht="14.25" hidden="1" customHeight="1" spans="1:126">
      <c r="A719" s="2954"/>
      <c r="B719" s="2954"/>
      <c r="C719" s="2954"/>
      <c r="D719" s="2954"/>
      <c r="E719" s="2954"/>
      <c r="F719" s="2954"/>
      <c r="G719" s="2954"/>
      <c r="H719" s="2954"/>
      <c r="I719" s="2954"/>
      <c r="J719" s="2954"/>
      <c r="K719" s="2954"/>
      <c r="L719" s="2954"/>
      <c r="M719" s="2954"/>
      <c r="N719" s="2954"/>
      <c r="O719" s="2954"/>
      <c r="P719" s="2954"/>
      <c r="Q719" s="2954"/>
      <c r="R719" s="2954"/>
      <c r="S719" s="2954"/>
      <c r="T719" s="2954"/>
      <c r="U719" s="2954"/>
      <c r="V719" s="2954"/>
      <c r="W719" s="2954"/>
      <c r="X719" s="2954"/>
      <c r="Y719" s="2954"/>
      <c r="Z719" s="2954"/>
      <c r="AA719" s="2954"/>
      <c r="AB719" s="2954"/>
      <c r="AC719" s="2954"/>
      <c r="AD719" s="2954"/>
      <c r="AE719" s="2954"/>
      <c r="AF719" s="2954"/>
      <c r="AG719" s="2954"/>
      <c r="AH719" s="2954"/>
      <c r="AI719" s="2954"/>
      <c r="AJ719" s="2954"/>
      <c r="AK719" s="2954"/>
      <c r="AL719" s="2954"/>
      <c r="AM719" s="2954"/>
      <c r="AN719" s="2954"/>
      <c r="AO719" s="2954"/>
      <c r="AP719" s="2954"/>
      <c r="AQ719" s="2954"/>
      <c r="AR719" s="2954"/>
      <c r="AS719" s="2954"/>
      <c r="AT719" s="2954"/>
      <c r="AU719" s="2954"/>
      <c r="AV719" s="2954"/>
      <c r="AW719" s="2954"/>
      <c r="AX719" s="2954"/>
      <c r="AY719" s="2954"/>
      <c r="AZ719" s="2954"/>
      <c r="BA719" s="2954"/>
      <c r="BB719" s="2954"/>
      <c r="BC719" s="2954"/>
      <c r="BD719" s="2954"/>
      <c r="BE719" s="2954"/>
      <c r="BF719" s="2954"/>
      <c r="BG719" s="2954"/>
      <c r="BH719" s="2954"/>
      <c r="BI719" s="2954"/>
      <c r="BJ719" s="2954"/>
      <c r="BK719" s="2954"/>
      <c r="BL719" s="2954"/>
      <c r="BM719" s="2954"/>
      <c r="BN719" s="2954"/>
      <c r="BO719" s="2954"/>
      <c r="BP719" s="2954"/>
      <c r="BQ719" s="2954"/>
      <c r="BR719" s="2954"/>
      <c r="BS719" s="2954"/>
      <c r="BT719" s="2954"/>
      <c r="BU719" s="2954"/>
      <c r="BV719" s="2954"/>
      <c r="BW719" s="2954"/>
      <c r="BX719" s="2954"/>
      <c r="BY719" s="2954"/>
      <c r="BZ719" s="2954"/>
      <c r="CA719" s="2954"/>
      <c r="CB719" s="2954"/>
      <c r="CC719" s="2954"/>
      <c r="CD719" s="2954"/>
      <c r="CE719" s="2954"/>
      <c r="CF719" s="2954"/>
      <c r="CG719" s="2954"/>
      <c r="CH719" s="2954"/>
      <c r="CI719" s="2954"/>
      <c r="CJ719" s="2954"/>
      <c r="CK719" s="2954"/>
      <c r="CL719" s="2954"/>
      <c r="CM719" s="2954"/>
      <c r="CN719" s="2954"/>
      <c r="CO719" s="2954"/>
      <c r="CP719" s="2954"/>
      <c r="CQ719" s="2954"/>
      <c r="CR719" s="2954"/>
      <c r="CS719" s="2954"/>
      <c r="CT719" s="2954"/>
      <c r="CU719" s="2954"/>
      <c r="CV719" s="2954"/>
      <c r="CW719" s="2954"/>
      <c r="CX719" s="2954"/>
      <c r="CY719" s="2954"/>
      <c r="CZ719" s="2954"/>
      <c r="DA719" s="2954"/>
      <c r="DB719" s="2954"/>
      <c r="DC719" s="2954"/>
      <c r="DD719" s="2954"/>
      <c r="DE719" s="2954"/>
      <c r="DF719" s="2954"/>
      <c r="DG719" s="2954"/>
      <c r="DH719" s="2954"/>
      <c r="DI719" s="2954"/>
      <c r="DJ719" s="2954"/>
      <c r="DK719" s="2954"/>
      <c r="DL719" s="2954"/>
      <c r="DM719" s="2954"/>
      <c r="DN719" s="2954"/>
      <c r="DO719" s="2954"/>
      <c r="DP719" s="2954"/>
      <c r="DQ719" s="2954"/>
      <c r="DR719" s="2954"/>
      <c r="DS719" s="2954"/>
      <c r="DT719" s="2954"/>
      <c r="DU719" s="2954"/>
      <c r="DV719" s="2954"/>
    </row>
    <row r="720" s="799" customFormat="1" ht="14.25" hidden="1" customHeight="1" spans="1:126">
      <c r="A720" s="2952" t="s">
        <v>4214</v>
      </c>
      <c r="B720" s="2952"/>
      <c r="C720" s="2952" t="s">
        <v>6940</v>
      </c>
      <c r="D720" s="2952"/>
      <c r="E720" s="2952"/>
      <c r="F720" s="2952"/>
      <c r="G720" s="2952"/>
      <c r="H720" s="2952"/>
      <c r="I720" s="2952"/>
      <c r="J720" s="2952"/>
      <c r="K720" s="2952"/>
      <c r="L720" s="2952"/>
      <c r="M720" s="2952"/>
      <c r="N720" s="2952"/>
      <c r="O720" s="2952"/>
      <c r="P720" s="2952"/>
      <c r="Q720" s="2952"/>
      <c r="R720" s="2952"/>
      <c r="S720" s="2952"/>
      <c r="T720" s="2952"/>
      <c r="U720" s="2952"/>
      <c r="V720" s="2952" t="s">
        <v>6941</v>
      </c>
      <c r="W720" s="2952"/>
      <c r="X720" s="2952"/>
      <c r="Y720" s="2952"/>
      <c r="Z720" s="2952"/>
      <c r="AA720" s="2952"/>
      <c r="AB720" s="2952"/>
      <c r="AC720" s="2952"/>
      <c r="AD720" s="2952"/>
      <c r="AE720" s="2952"/>
      <c r="AF720" s="2952"/>
      <c r="AG720" s="2952" t="s">
        <v>6942</v>
      </c>
      <c r="AH720" s="2952"/>
      <c r="AI720" s="2952"/>
      <c r="AJ720" s="2952"/>
      <c r="AK720" s="2952"/>
      <c r="AL720" s="2952"/>
      <c r="AM720" s="2952"/>
      <c r="AN720" s="2952"/>
      <c r="AO720" s="2952"/>
      <c r="AP720" s="2952"/>
    </row>
    <row r="721" s="799" customFormat="1" ht="12.75" hidden="1" customHeight="1" spans="1:128">
      <c r="A721" s="2955">
        <f>UnosPorBilans!B262</f>
        <v>0</v>
      </c>
      <c r="B721" s="2955"/>
      <c r="C721" s="2955"/>
      <c r="D721" s="2955"/>
      <c r="E721" s="2955"/>
      <c r="F721" s="2955"/>
      <c r="G721" s="2955"/>
      <c r="H721" s="2955"/>
      <c r="I721" s="2955"/>
      <c r="J721" s="2955"/>
      <c r="K721" s="2955"/>
      <c r="L721" s="2955"/>
      <c r="M721" s="2955"/>
      <c r="N721" s="2955"/>
      <c r="O721" s="2955"/>
      <c r="P721" s="2955"/>
      <c r="Q721" s="2955"/>
      <c r="R721" s="2955"/>
      <c r="S721" s="2955"/>
      <c r="T721" s="2955"/>
      <c r="U721" s="2955"/>
      <c r="V721" s="2955">
        <f>UnosPorBilans!I262</f>
        <v>0</v>
      </c>
      <c r="W721" s="2955"/>
      <c r="X721" s="2955"/>
      <c r="Y721" s="2955"/>
      <c r="Z721" s="2955"/>
      <c r="AA721" s="2955"/>
      <c r="AB721" s="2955"/>
      <c r="AC721" s="2955"/>
      <c r="AD721" s="2955"/>
      <c r="AE721" s="2955"/>
      <c r="AF721" s="2955"/>
      <c r="AG721" s="2955">
        <f>UnosPorBilans!N262</f>
        <v>0</v>
      </c>
      <c r="AH721" s="2955"/>
      <c r="AI721" s="2955"/>
      <c r="AJ721" s="2955"/>
      <c r="AK721" s="2955"/>
      <c r="AL721" s="2955"/>
      <c r="AM721" s="2955"/>
      <c r="AN721" s="2955"/>
      <c r="AO721" s="2955"/>
      <c r="AP721" s="2955"/>
    </row>
    <row r="722" s="799" customFormat="1" ht="12.75" hidden="1" customHeight="1" spans="1:128">
      <c r="A722" s="2952" t="s">
        <v>6943</v>
      </c>
      <c r="B722" s="2952"/>
      <c r="C722" s="2952"/>
      <c r="D722" s="2952"/>
      <c r="E722" s="2952"/>
      <c r="F722" s="2952"/>
      <c r="G722" s="2952"/>
      <c r="H722" s="2952"/>
      <c r="I722" s="2952"/>
      <c r="J722" s="2952"/>
      <c r="K722" s="2952" t="s">
        <v>6944</v>
      </c>
      <c r="L722" s="2952"/>
      <c r="M722" s="2952"/>
      <c r="N722" s="2952"/>
      <c r="O722" s="2952"/>
      <c r="P722" s="2952"/>
      <c r="Q722" s="2952"/>
      <c r="R722" s="2952"/>
      <c r="S722" s="2952"/>
      <c r="T722" s="2952"/>
      <c r="U722" s="2952"/>
      <c r="V722" s="2952" t="s">
        <v>6945</v>
      </c>
      <c r="W722" s="2952"/>
      <c r="X722" s="2952"/>
      <c r="Y722" s="2952"/>
      <c r="Z722" s="2952"/>
      <c r="AA722" s="2952"/>
      <c r="AB722" s="2952"/>
      <c r="AC722" s="2952"/>
      <c r="AD722" s="2952"/>
      <c r="AE722" s="2952"/>
      <c r="AF722" s="2952"/>
      <c r="AG722" s="2952" t="s">
        <v>6946</v>
      </c>
      <c r="AH722" s="2952"/>
      <c r="AI722" s="2952"/>
      <c r="AJ722" s="2952"/>
      <c r="AK722" s="2952"/>
      <c r="AL722" s="2952"/>
      <c r="AM722" s="2952"/>
      <c r="AN722" s="2952"/>
      <c r="AO722" s="2952"/>
      <c r="AP722" s="2952"/>
    </row>
    <row r="723" s="799" customFormat="1" ht="12.75" hidden="1" customHeight="1" spans="1:128">
      <c r="A723" s="2955">
        <f>UnosPorBilans!S262</f>
        <v>0</v>
      </c>
      <c r="B723" s="2955"/>
      <c r="C723" s="2955"/>
      <c r="D723" s="2955"/>
      <c r="E723" s="2955"/>
      <c r="F723" s="2955"/>
      <c r="G723" s="2955"/>
      <c r="H723" s="2955"/>
      <c r="I723" s="2955"/>
      <c r="J723" s="2955"/>
      <c r="K723" s="2955">
        <f>UnosPorBilans!W262</f>
        <v>0</v>
      </c>
      <c r="L723" s="2955"/>
      <c r="M723" s="2955"/>
      <c r="N723" s="2955"/>
      <c r="O723" s="2955"/>
      <c r="P723" s="2955"/>
      <c r="Q723" s="2955"/>
      <c r="R723" s="2955"/>
      <c r="S723" s="2955"/>
      <c r="T723" s="2955"/>
      <c r="U723" s="2955"/>
      <c r="V723" s="2955">
        <f>UnosPorBilans!AB262</f>
        <v>0</v>
      </c>
      <c r="W723" s="2955"/>
      <c r="X723" s="2955"/>
      <c r="Y723" s="2955"/>
      <c r="Z723" s="2955"/>
      <c r="AA723" s="2955"/>
      <c r="AB723" s="2955"/>
      <c r="AC723" s="2955"/>
      <c r="AD723" s="2955"/>
      <c r="AE723" s="2955"/>
      <c r="AF723" s="2955"/>
      <c r="AG723" s="2955">
        <f>UnosPorBilans!AG262</f>
        <v>0</v>
      </c>
      <c r="AH723" s="2955"/>
      <c r="AI723" s="2955"/>
      <c r="AJ723" s="2955"/>
      <c r="AK723" s="2955"/>
      <c r="AL723" s="2955"/>
      <c r="AM723" s="2955"/>
      <c r="AN723" s="2955"/>
      <c r="AO723" s="2955"/>
      <c r="AP723" s="2955"/>
    </row>
    <row r="724" s="799" customFormat="1" ht="12.75" hidden="1" customHeight="1" spans="1:128">
      <c r="A724" s="2952" t="s">
        <v>6947</v>
      </c>
      <c r="B724" s="2952"/>
      <c r="C724" s="2952"/>
      <c r="D724" s="2952"/>
      <c r="E724" s="2952"/>
      <c r="F724" s="2952"/>
      <c r="G724" s="2952"/>
      <c r="H724" s="2952"/>
      <c r="I724" s="2952"/>
      <c r="J724" s="2952"/>
      <c r="K724" s="2952"/>
      <c r="L724" s="2952"/>
      <c r="M724" s="2952"/>
      <c r="N724" s="2952"/>
      <c r="O724" s="2952"/>
      <c r="P724" s="2952"/>
      <c r="Q724" s="2952"/>
      <c r="R724" s="2952"/>
      <c r="S724" s="2952"/>
      <c r="T724" s="2952"/>
      <c r="U724" s="2952"/>
      <c r="V724" s="2952" t="s">
        <v>6948</v>
      </c>
      <c r="W724" s="2952"/>
      <c r="X724" s="2952"/>
      <c r="Y724" s="2952"/>
      <c r="Z724" s="2952"/>
      <c r="AA724" s="2952"/>
      <c r="AB724" s="2952"/>
      <c r="AC724" s="2952"/>
      <c r="AD724" s="2952"/>
      <c r="AE724" s="2952"/>
      <c r="AF724" s="2952"/>
      <c r="AG724" s="2952"/>
      <c r="AH724" s="2952"/>
      <c r="AI724" s="2952"/>
      <c r="AJ724" s="2952"/>
      <c r="AK724" s="2952"/>
      <c r="AL724" s="2952"/>
      <c r="AM724" s="2952"/>
      <c r="AN724" s="2952"/>
      <c r="AO724" s="2952"/>
      <c r="AP724" s="2952"/>
    </row>
    <row r="725" s="799" customFormat="1" ht="12.75" hidden="1" customHeight="1" spans="1:128">
      <c r="A725" s="2955">
        <f>UnosPorBilans!AL262</f>
        <v>0</v>
      </c>
      <c r="B725" s="2955"/>
      <c r="C725" s="2955"/>
      <c r="D725" s="2955"/>
      <c r="E725" s="2955"/>
      <c r="F725" s="2955"/>
      <c r="G725" s="2955"/>
      <c r="H725" s="2955"/>
      <c r="I725" s="2955"/>
      <c r="J725" s="2955"/>
      <c r="K725" s="2955"/>
      <c r="L725" s="2955"/>
      <c r="M725" s="2955"/>
      <c r="N725" s="2955"/>
      <c r="O725" s="2955"/>
      <c r="P725" s="2955"/>
      <c r="Q725" s="2955"/>
      <c r="R725" s="2955"/>
      <c r="S725" s="2955"/>
      <c r="T725" s="2955"/>
      <c r="U725" s="2955"/>
      <c r="V725" s="2955">
        <f>UnosPorBilans!AS262</f>
        <v>0</v>
      </c>
      <c r="W725" s="2955"/>
      <c r="X725" s="2955"/>
      <c r="Y725" s="2955"/>
      <c r="Z725" s="2955"/>
      <c r="AA725" s="2955"/>
      <c r="AB725" s="2955"/>
      <c r="AC725" s="2955"/>
      <c r="AD725" s="2955"/>
      <c r="AE725" s="2955"/>
      <c r="AF725" s="2955"/>
      <c r="AG725" s="2955"/>
      <c r="AH725" s="2955"/>
      <c r="AI725" s="2955"/>
      <c r="AJ725" s="2955"/>
      <c r="AK725" s="2955"/>
      <c r="AL725" s="2955"/>
      <c r="AM725" s="2955"/>
      <c r="AN725" s="2955"/>
      <c r="AO725" s="2955"/>
      <c r="AP725" s="2955"/>
    </row>
    <row r="726" s="799" customFormat="1" ht="14.25" hidden="1" customHeight="1" spans="1:128">
      <c r="A726" s="2954"/>
      <c r="B726" s="2954"/>
      <c r="C726" s="2954"/>
      <c r="D726" s="2954"/>
      <c r="E726" s="2954"/>
      <c r="F726" s="2954"/>
      <c r="G726" s="2954"/>
      <c r="H726" s="2954"/>
      <c r="I726" s="2954"/>
      <c r="J726" s="2954"/>
      <c r="K726" s="2954"/>
      <c r="L726" s="2954"/>
      <c r="M726" s="2954"/>
      <c r="N726" s="2954"/>
      <c r="O726" s="2954"/>
      <c r="P726" s="2954"/>
      <c r="Q726" s="2954"/>
      <c r="R726" s="2954"/>
      <c r="S726" s="2954"/>
      <c r="T726" s="2954"/>
      <c r="U726" s="2954"/>
      <c r="V726" s="2954"/>
      <c r="W726" s="2954"/>
      <c r="X726" s="2954"/>
      <c r="Y726" s="2954"/>
      <c r="Z726" s="2954"/>
      <c r="AA726" s="2954"/>
      <c r="AB726" s="2954"/>
      <c r="AC726" s="2954"/>
      <c r="AD726" s="2954"/>
      <c r="AE726" s="2954"/>
      <c r="AF726" s="2954"/>
      <c r="AG726" s="2954"/>
      <c r="AH726" s="2954"/>
      <c r="AI726" s="2954"/>
      <c r="AJ726" s="2954"/>
      <c r="AK726" s="2954"/>
      <c r="AL726" s="2954"/>
      <c r="AM726" s="2954"/>
      <c r="AN726" s="2954"/>
      <c r="AO726" s="2954"/>
      <c r="AP726" s="2954"/>
      <c r="AQ726" s="2954"/>
      <c r="AR726" s="2954"/>
      <c r="AS726" s="2954"/>
      <c r="AT726" s="2954"/>
      <c r="AU726" s="2954"/>
      <c r="AV726" s="2954"/>
      <c r="AW726" s="2954"/>
      <c r="AX726" s="2954"/>
      <c r="AY726" s="2954"/>
      <c r="AZ726" s="2954"/>
      <c r="BA726" s="2954"/>
      <c r="BB726" s="2954"/>
      <c r="BC726" s="2954"/>
      <c r="BD726" s="2954"/>
      <c r="BE726" s="2954"/>
      <c r="BF726" s="2954"/>
      <c r="BG726" s="2954"/>
      <c r="BH726" s="2954"/>
      <c r="BI726" s="2954"/>
      <c r="BJ726" s="2954"/>
      <c r="BK726" s="2954"/>
      <c r="BL726" s="2954"/>
      <c r="BM726" s="2954"/>
      <c r="BN726" s="2954"/>
      <c r="BO726" s="2954"/>
      <c r="BP726" s="2954"/>
      <c r="BQ726" s="2954"/>
      <c r="BR726" s="2954"/>
      <c r="BS726" s="2954"/>
      <c r="BT726" s="2954"/>
      <c r="BU726" s="2954"/>
      <c r="BV726" s="2954"/>
      <c r="BW726" s="2954"/>
      <c r="BX726" s="2954"/>
      <c r="BY726" s="2954"/>
      <c r="BZ726" s="2954"/>
      <c r="CA726" s="2954"/>
      <c r="CB726" s="2954"/>
      <c r="CC726" s="2954"/>
      <c r="CD726" s="2954"/>
      <c r="CE726" s="2954"/>
      <c r="CF726" s="2954"/>
      <c r="CG726" s="2954"/>
      <c r="CH726" s="2954"/>
      <c r="CI726" s="2954"/>
      <c r="CJ726" s="2954"/>
      <c r="CK726" s="2954"/>
      <c r="CL726" s="2954"/>
      <c r="CM726" s="2954"/>
      <c r="CN726" s="2954"/>
      <c r="CO726" s="2954"/>
      <c r="CP726" s="2954"/>
      <c r="CQ726" s="2954"/>
      <c r="CR726" s="2954"/>
      <c r="CS726" s="2954"/>
      <c r="CT726" s="2954"/>
      <c r="CU726" s="2954"/>
      <c r="CV726" s="2954"/>
      <c r="CW726" s="2954"/>
      <c r="CX726" s="2954"/>
      <c r="CY726" s="2954"/>
      <c r="CZ726" s="2954"/>
      <c r="DA726" s="2954"/>
      <c r="DB726" s="2954"/>
      <c r="DC726" s="2954"/>
      <c r="DD726" s="2954"/>
      <c r="DE726" s="2954"/>
      <c r="DF726" s="2954"/>
      <c r="DG726" s="2954"/>
      <c r="DH726" s="2954"/>
      <c r="DI726" s="2954"/>
      <c r="DJ726" s="2954"/>
      <c r="DK726" s="2954"/>
      <c r="DL726" s="2954"/>
      <c r="DM726" s="2954"/>
      <c r="DN726" s="2954"/>
      <c r="DO726" s="2954"/>
      <c r="DP726" s="2954"/>
      <c r="DQ726" s="2954"/>
      <c r="DR726" s="2954"/>
      <c r="DS726" s="2954"/>
      <c r="DT726" s="2954"/>
      <c r="DU726" s="2954"/>
      <c r="DV726" s="2954"/>
    </row>
    <row r="727" s="799" customFormat="1" ht="14.25" hidden="1" customHeight="1" spans="1:128">
      <c r="A727" s="2952" t="s">
        <v>4214</v>
      </c>
      <c r="B727" s="2952"/>
      <c r="C727" s="2952" t="s">
        <v>6940</v>
      </c>
      <c r="D727" s="2952"/>
      <c r="E727" s="2952"/>
      <c r="F727" s="2952"/>
      <c r="G727" s="2952"/>
      <c r="H727" s="2952"/>
      <c r="I727" s="2952"/>
      <c r="J727" s="2952"/>
      <c r="K727" s="2952"/>
      <c r="L727" s="2952"/>
      <c r="M727" s="2952"/>
      <c r="N727" s="2952"/>
      <c r="O727" s="2952"/>
      <c r="P727" s="2952"/>
      <c r="Q727" s="2952"/>
      <c r="R727" s="2952"/>
      <c r="S727" s="2952"/>
      <c r="T727" s="2952"/>
      <c r="U727" s="2952"/>
      <c r="V727" s="2952" t="s">
        <v>6941</v>
      </c>
      <c r="W727" s="2952"/>
      <c r="X727" s="2952"/>
      <c r="Y727" s="2952"/>
      <c r="Z727" s="2952"/>
      <c r="AA727" s="2952"/>
      <c r="AB727" s="2952"/>
      <c r="AC727" s="2952"/>
      <c r="AD727" s="2952"/>
      <c r="AE727" s="2952"/>
      <c r="AF727" s="2952"/>
      <c r="AG727" s="2952" t="s">
        <v>6942</v>
      </c>
      <c r="AH727" s="2952"/>
      <c r="AI727" s="2952"/>
      <c r="AJ727" s="2952"/>
      <c r="AK727" s="2952"/>
      <c r="AL727" s="2952"/>
      <c r="AM727" s="2952"/>
      <c r="AN727" s="2952"/>
      <c r="AO727" s="2952"/>
      <c r="AP727" s="2952"/>
    </row>
    <row r="728" s="799" customFormat="1" ht="12.75" hidden="1" customHeight="1" spans="1:128">
      <c r="A728" s="2955">
        <f>UnosPorBilans!B263</f>
        <v>0</v>
      </c>
      <c r="B728" s="2955"/>
      <c r="C728" s="2955"/>
      <c r="D728" s="2955"/>
      <c r="E728" s="2955"/>
      <c r="F728" s="2955"/>
      <c r="G728" s="2955"/>
      <c r="H728" s="2955"/>
      <c r="I728" s="2955"/>
      <c r="J728" s="2955"/>
      <c r="K728" s="2955"/>
      <c r="L728" s="2955"/>
      <c r="M728" s="2955"/>
      <c r="N728" s="2955"/>
      <c r="O728" s="2955"/>
      <c r="P728" s="2955"/>
      <c r="Q728" s="2955"/>
      <c r="R728" s="2955"/>
      <c r="S728" s="2955"/>
      <c r="T728" s="2955"/>
      <c r="U728" s="2955"/>
      <c r="V728" s="2955">
        <f>UnosPorBilans!I263</f>
        <v>0</v>
      </c>
      <c r="W728" s="2955"/>
      <c r="X728" s="2955"/>
      <c r="Y728" s="2955"/>
      <c r="Z728" s="2955"/>
      <c r="AA728" s="2955"/>
      <c r="AB728" s="2955"/>
      <c r="AC728" s="2955"/>
      <c r="AD728" s="2955"/>
      <c r="AE728" s="2955"/>
      <c r="AF728" s="2955"/>
      <c r="AG728" s="2955">
        <f>UnosPorBilans!N263</f>
        <v>0</v>
      </c>
      <c r="AH728" s="2955"/>
      <c r="AI728" s="2955"/>
      <c r="AJ728" s="2955"/>
      <c r="AK728" s="2955"/>
      <c r="AL728" s="2955"/>
      <c r="AM728" s="2955"/>
      <c r="AN728" s="2955"/>
      <c r="AO728" s="2955"/>
      <c r="AP728" s="2955"/>
    </row>
    <row r="729" s="799" customFormat="1" ht="12.75" hidden="1" customHeight="1" spans="1:128">
      <c r="A729" s="2952" t="s">
        <v>6943</v>
      </c>
      <c r="B729" s="2952"/>
      <c r="C729" s="2952"/>
      <c r="D729" s="2952"/>
      <c r="E729" s="2952"/>
      <c r="F729" s="2952"/>
      <c r="G729" s="2952"/>
      <c r="H729" s="2952"/>
      <c r="I729" s="2952"/>
      <c r="J729" s="2952"/>
      <c r="K729" s="2952" t="s">
        <v>6944</v>
      </c>
      <c r="L729" s="2952"/>
      <c r="M729" s="2952"/>
      <c r="N729" s="2952"/>
      <c r="O729" s="2952"/>
      <c r="P729" s="2952"/>
      <c r="Q729" s="2952"/>
      <c r="R729" s="2952"/>
      <c r="S729" s="2952"/>
      <c r="T729" s="2952"/>
      <c r="U729" s="2952"/>
      <c r="V729" s="2952" t="s">
        <v>6945</v>
      </c>
      <c r="W729" s="2952"/>
      <c r="X729" s="2952"/>
      <c r="Y729" s="2952"/>
      <c r="Z729" s="2952"/>
      <c r="AA729" s="2952"/>
      <c r="AB729" s="2952"/>
      <c r="AC729" s="2952"/>
      <c r="AD729" s="2952"/>
      <c r="AE729" s="2952"/>
      <c r="AF729" s="2952"/>
      <c r="AG729" s="2952" t="s">
        <v>6946</v>
      </c>
      <c r="AH729" s="2952"/>
      <c r="AI729" s="2952"/>
      <c r="AJ729" s="2952"/>
      <c r="AK729" s="2952"/>
      <c r="AL729" s="2952"/>
      <c r="AM729" s="2952"/>
      <c r="AN729" s="2952"/>
      <c r="AO729" s="2952"/>
      <c r="AP729" s="2952"/>
    </row>
    <row r="730" s="799" customFormat="1" ht="12.75" hidden="1" customHeight="1" spans="1:128">
      <c r="A730" s="2955">
        <f>UnosPorBilans!S263</f>
        <v>0</v>
      </c>
      <c r="B730" s="2955"/>
      <c r="C730" s="2955"/>
      <c r="D730" s="2955"/>
      <c r="E730" s="2955"/>
      <c r="F730" s="2955"/>
      <c r="G730" s="2955"/>
      <c r="H730" s="2955"/>
      <c r="I730" s="2955"/>
      <c r="J730" s="2955"/>
      <c r="K730" s="2955">
        <f>UnosPorBilans!W263</f>
        <v>0</v>
      </c>
      <c r="L730" s="2955"/>
      <c r="M730" s="2955"/>
      <c r="N730" s="2955"/>
      <c r="O730" s="2955"/>
      <c r="P730" s="2955"/>
      <c r="Q730" s="2955"/>
      <c r="R730" s="2955"/>
      <c r="S730" s="2955"/>
      <c r="T730" s="2955"/>
      <c r="U730" s="2955"/>
      <c r="V730" s="2955">
        <f>UnosPorBilans!AB263</f>
        <v>0</v>
      </c>
      <c r="W730" s="2955"/>
      <c r="X730" s="2955"/>
      <c r="Y730" s="2955"/>
      <c r="Z730" s="2955"/>
      <c r="AA730" s="2955"/>
      <c r="AB730" s="2955"/>
      <c r="AC730" s="2955"/>
      <c r="AD730" s="2955"/>
      <c r="AE730" s="2955"/>
      <c r="AF730" s="2955"/>
      <c r="AG730" s="2955">
        <f>UnosPorBilans!AG263</f>
        <v>0</v>
      </c>
      <c r="AH730" s="2955"/>
      <c r="AI730" s="2955"/>
      <c r="AJ730" s="2955"/>
      <c r="AK730" s="2955"/>
      <c r="AL730" s="2955"/>
      <c r="AM730" s="2955"/>
      <c r="AN730" s="2955"/>
      <c r="AO730" s="2955"/>
      <c r="AP730" s="2955"/>
    </row>
    <row r="731" s="799" customFormat="1" ht="12.75" hidden="1" customHeight="1" spans="1:128">
      <c r="A731" s="2952" t="s">
        <v>6947</v>
      </c>
      <c r="B731" s="2952"/>
      <c r="C731" s="2952"/>
      <c r="D731" s="2952"/>
      <c r="E731" s="2952"/>
      <c r="F731" s="2952"/>
      <c r="G731" s="2952"/>
      <c r="H731" s="2952"/>
      <c r="I731" s="2952"/>
      <c r="J731" s="2952"/>
      <c r="K731" s="2952"/>
      <c r="L731" s="2952"/>
      <c r="M731" s="2952"/>
      <c r="N731" s="2952"/>
      <c r="O731" s="2952"/>
      <c r="P731" s="2952"/>
      <c r="Q731" s="2952"/>
      <c r="R731" s="2952"/>
      <c r="S731" s="2952"/>
      <c r="T731" s="2952"/>
      <c r="U731" s="2952"/>
      <c r="V731" s="2952" t="s">
        <v>6948</v>
      </c>
      <c r="W731" s="2952"/>
      <c r="X731" s="2952"/>
      <c r="Y731" s="2952"/>
      <c r="Z731" s="2952"/>
      <c r="AA731" s="2952"/>
      <c r="AB731" s="2952"/>
      <c r="AC731" s="2952"/>
      <c r="AD731" s="2952"/>
      <c r="AE731" s="2952"/>
      <c r="AF731" s="2952"/>
      <c r="AG731" s="2952"/>
      <c r="AH731" s="2952"/>
      <c r="AI731" s="2952"/>
      <c r="AJ731" s="2952"/>
      <c r="AK731" s="2952"/>
      <c r="AL731" s="2952"/>
      <c r="AM731" s="2952"/>
      <c r="AN731" s="2952"/>
      <c r="AO731" s="2952"/>
      <c r="AP731" s="2952"/>
    </row>
    <row r="732" s="799" customFormat="1" ht="12.75" hidden="1" customHeight="1" spans="1:128">
      <c r="A732" s="2955">
        <f>UnosPorBilans!AL263</f>
        <v>0</v>
      </c>
      <c r="B732" s="2955"/>
      <c r="C732" s="2955"/>
      <c r="D732" s="2955"/>
      <c r="E732" s="2955"/>
      <c r="F732" s="2955"/>
      <c r="G732" s="2955"/>
      <c r="H732" s="2955"/>
      <c r="I732" s="2955"/>
      <c r="J732" s="2955"/>
      <c r="K732" s="2955"/>
      <c r="L732" s="2955"/>
      <c r="M732" s="2955"/>
      <c r="N732" s="2955"/>
      <c r="O732" s="2955"/>
      <c r="P732" s="2955"/>
      <c r="Q732" s="2955"/>
      <c r="R732" s="2955"/>
      <c r="S732" s="2955"/>
      <c r="T732" s="2955"/>
      <c r="U732" s="2955"/>
      <c r="V732" s="2955">
        <f>UnosPorBilans!AS263</f>
        <v>0</v>
      </c>
      <c r="W732" s="2955"/>
      <c r="X732" s="2955"/>
      <c r="Y732" s="2955"/>
      <c r="Z732" s="2955"/>
      <c r="AA732" s="2955"/>
      <c r="AB732" s="2955"/>
      <c r="AC732" s="2955"/>
      <c r="AD732" s="2955"/>
      <c r="AE732" s="2955"/>
      <c r="AF732" s="2955"/>
      <c r="AG732" s="2955"/>
      <c r="AH732" s="2955"/>
      <c r="AI732" s="2955"/>
      <c r="AJ732" s="2955"/>
      <c r="AK732" s="2955"/>
      <c r="AL732" s="2955"/>
      <c r="AM732" s="2955"/>
      <c r="AN732" s="2955"/>
      <c r="AO732" s="2955"/>
      <c r="AP732" s="2955"/>
    </row>
    <row r="733" s="799" customFormat="1" ht="12.75" hidden="1" customHeight="1"/>
    <row r="734" s="799" customFormat="1" ht="12.75" hidden="1" spans="1:128">
      <c r="A734" s="2944" t="s">
        <v>6949</v>
      </c>
      <c r="B734" s="2944"/>
      <c r="C734" s="2944" t="s">
        <v>6950</v>
      </c>
      <c r="D734" s="2944"/>
      <c r="E734" s="2944"/>
      <c r="F734" s="2944"/>
      <c r="G734" s="2944"/>
      <c r="H734" s="2944"/>
      <c r="I734" s="2944"/>
      <c r="J734" s="2944"/>
      <c r="K734" s="2944"/>
      <c r="L734" s="2944"/>
      <c r="M734" s="2944"/>
      <c r="N734" s="2944"/>
      <c r="O734" s="2944"/>
      <c r="P734" s="2944"/>
      <c r="Q734" s="2944"/>
      <c r="R734" s="2944"/>
      <c r="S734" s="2944"/>
      <c r="T734" s="2944"/>
      <c r="U734" s="2944"/>
      <c r="V734" s="2944" t="s">
        <v>6951</v>
      </c>
      <c r="W734" s="2944"/>
      <c r="X734" s="2944"/>
      <c r="Y734" s="2944"/>
      <c r="Z734" s="2944"/>
      <c r="AA734" s="2944"/>
      <c r="AB734" s="2944"/>
      <c r="AC734" s="2944"/>
      <c r="AD734" s="2944"/>
      <c r="AE734" s="2944"/>
      <c r="AF734" s="2944"/>
      <c r="AG734" s="2944" t="s">
        <v>6952</v>
      </c>
      <c r="AH734" s="2944"/>
      <c r="AI734" s="2944"/>
      <c r="AJ734" s="2944"/>
      <c r="AK734" s="2944"/>
      <c r="AL734" s="2944"/>
      <c r="AM734" s="2944"/>
      <c r="AN734" s="2944"/>
      <c r="AO734" s="2944"/>
      <c r="AP734" s="2944"/>
    </row>
    <row r="735" customFormat="1" ht="12.75" hidden="1" spans="1:128">
      <c r="A735" s="2945">
        <f>UnosPorBilans!B264</f>
        <v>0</v>
      </c>
      <c r="B735" s="2945"/>
      <c r="C735" s="2945"/>
      <c r="D735" s="2945"/>
      <c r="E735" s="2945"/>
      <c r="F735" s="2945"/>
      <c r="G735" s="2945"/>
      <c r="H735" s="2945"/>
      <c r="I735" s="2945"/>
      <c r="J735" s="2945"/>
      <c r="K735" s="2945"/>
      <c r="L735" s="2945"/>
      <c r="M735" s="2945"/>
      <c r="N735" s="2945"/>
      <c r="O735" s="2945"/>
      <c r="P735" s="2945"/>
      <c r="Q735" s="2945"/>
      <c r="R735" s="2945"/>
      <c r="S735" s="2945"/>
      <c r="T735" s="2945"/>
      <c r="U735" s="2945"/>
      <c r="V735" s="2945">
        <f>UnosPorBilans!I264</f>
        <v>0</v>
      </c>
      <c r="W735" s="2945"/>
      <c r="X735" s="2945"/>
      <c r="Y735" s="2945"/>
      <c r="Z735" s="2945"/>
      <c r="AA735" s="2945"/>
      <c r="AB735" s="2945"/>
      <c r="AC735" s="2945"/>
      <c r="AD735" s="2945"/>
      <c r="AE735" s="2945"/>
      <c r="AF735" s="2945"/>
      <c r="AG735" s="2945">
        <f>UnosPorBilans!N264</f>
        <v>0</v>
      </c>
      <c r="AH735" s="2945"/>
      <c r="AI735" s="2945"/>
      <c r="AJ735" s="2945"/>
      <c r="AK735" s="2945"/>
      <c r="AL735" s="2945"/>
      <c r="AM735" s="2945"/>
      <c r="AN735" s="2945"/>
      <c r="AO735" s="2945"/>
      <c r="AP735" s="2945"/>
      <c r="AQ735" s="799"/>
      <c r="AR735" s="799"/>
      <c r="AS735" s="799"/>
      <c r="AT735" s="799"/>
      <c r="AU735" s="799"/>
      <c r="AV735" s="799"/>
      <c r="AW735" s="799"/>
      <c r="AX735" s="799"/>
      <c r="AY735" s="799"/>
      <c r="AZ735" s="799"/>
      <c r="BA735" s="799"/>
      <c r="BB735" s="799"/>
      <c r="BC735" s="799"/>
      <c r="BD735" s="799"/>
      <c r="BE735" s="799"/>
      <c r="BF735" s="799"/>
      <c r="BG735" s="799"/>
      <c r="BH735" s="799"/>
      <c r="BI735" s="799"/>
      <c r="BJ735" s="799"/>
      <c r="BK735" s="799"/>
      <c r="BL735" s="799"/>
      <c r="BM735" s="799"/>
      <c r="BN735" s="799"/>
      <c r="BO735" s="799"/>
      <c r="BP735" s="799"/>
      <c r="BQ735" s="799"/>
      <c r="BR735" s="799"/>
      <c r="BS735" s="799"/>
      <c r="BT735" s="799"/>
      <c r="BU735" s="799"/>
      <c r="BV735" s="799"/>
      <c r="BW735" s="799"/>
      <c r="BX735" s="799"/>
      <c r="BY735" s="799"/>
      <c r="BZ735" s="799"/>
      <c r="CA735" s="799"/>
      <c r="CB735" s="799"/>
      <c r="CC735" s="799"/>
      <c r="CD735" s="799"/>
      <c r="CE735" s="799"/>
      <c r="CF735" s="799"/>
      <c r="CG735" s="799"/>
      <c r="CH735" s="799"/>
      <c r="CI735" s="799"/>
      <c r="CJ735" s="799"/>
      <c r="CK735" s="799"/>
      <c r="CL735" s="799"/>
      <c r="CM735" s="799"/>
      <c r="CN735" s="799"/>
      <c r="CO735" s="799"/>
      <c r="CP735" s="799"/>
      <c r="CQ735" s="799"/>
      <c r="CR735" s="799"/>
      <c r="CS735" s="799"/>
      <c r="CT735" s="799"/>
      <c r="CU735" s="799"/>
      <c r="CV735" s="799"/>
      <c r="CW735" s="799"/>
      <c r="CX735" s="799"/>
      <c r="CY735" s="799"/>
      <c r="CZ735" s="799"/>
      <c r="DA735" s="799"/>
      <c r="DB735" s="799"/>
      <c r="DC735" s="799"/>
      <c r="DD735" s="799"/>
      <c r="DE735" s="799"/>
      <c r="DF735" s="799"/>
      <c r="DG735" s="799"/>
      <c r="DH735" s="799"/>
      <c r="DI735" s="799"/>
      <c r="DJ735" s="799"/>
      <c r="DK735" s="799"/>
      <c r="DL735" s="799"/>
      <c r="DM735" s="799"/>
      <c r="DN735" s="799"/>
      <c r="DO735" s="799"/>
      <c r="DP735" s="799"/>
      <c r="DQ735" s="799"/>
      <c r="DR735" s="799"/>
      <c r="DS735" s="799"/>
      <c r="DT735" s="799"/>
      <c r="DU735" s="799"/>
      <c r="DV735" s="799"/>
      <c r="DW735" s="799"/>
      <c r="DX735" s="799"/>
    </row>
    <row r="736" s="799" customFormat="1" ht="12.75" hidden="1" spans="1:128">
      <c r="A736" s="2944" t="s">
        <v>6953</v>
      </c>
      <c r="B736" s="2944"/>
      <c r="C736" s="2944"/>
      <c r="D736" s="2944"/>
      <c r="E736" s="2944"/>
      <c r="F736" s="2944"/>
      <c r="G736" s="2944"/>
      <c r="H736" s="2944"/>
      <c r="I736" s="2944"/>
      <c r="J736" s="2944"/>
      <c r="K736" s="2944" t="s">
        <v>6954</v>
      </c>
      <c r="L736" s="2944"/>
      <c r="M736" s="2944"/>
      <c r="N736" s="2944"/>
      <c r="O736" s="2944"/>
      <c r="P736" s="2944"/>
      <c r="Q736" s="2944"/>
      <c r="R736" s="2944"/>
      <c r="S736" s="2944"/>
      <c r="T736" s="2944"/>
      <c r="U736" s="2944"/>
      <c r="V736" s="2944" t="s">
        <v>6955</v>
      </c>
      <c r="W736" s="2944"/>
      <c r="X736" s="2944"/>
      <c r="Y736" s="2944"/>
      <c r="Z736" s="2944"/>
      <c r="AA736" s="2944"/>
      <c r="AB736" s="2944"/>
      <c r="AC736" s="2944"/>
      <c r="AD736" s="2944"/>
      <c r="AE736" s="2944"/>
      <c r="AF736" s="2944"/>
      <c r="AG736" s="2944" t="s">
        <v>6956</v>
      </c>
      <c r="AH736" s="2944"/>
      <c r="AI736" s="2944"/>
      <c r="AJ736" s="2944"/>
      <c r="AK736" s="2944"/>
      <c r="AL736" s="2944"/>
      <c r="AM736" s="2944"/>
      <c r="AN736" s="2944"/>
      <c r="AO736" s="2944"/>
      <c r="AP736" s="2944"/>
    </row>
    <row r="737" s="799" customFormat="1" ht="12.75" hidden="1" spans="1:128">
      <c r="A737" s="2946">
        <f>UnosPorBilans!S264</f>
        <v>0</v>
      </c>
      <c r="B737" s="2946"/>
      <c r="C737" s="2946"/>
      <c r="D737" s="2946"/>
      <c r="E737" s="2946"/>
      <c r="F737" s="2946"/>
      <c r="G737" s="2946"/>
      <c r="H737" s="2946"/>
      <c r="I737" s="2946"/>
      <c r="J737" s="2946"/>
      <c r="K737" s="2946">
        <f>UnosPorBilans!W264</f>
        <v>0</v>
      </c>
      <c r="L737" s="2946"/>
      <c r="M737" s="2946"/>
      <c r="N737" s="2946"/>
      <c r="O737" s="2946"/>
      <c r="P737" s="2946"/>
      <c r="Q737" s="2946"/>
      <c r="R737" s="2946"/>
      <c r="S737" s="2946"/>
      <c r="T737" s="2946"/>
      <c r="U737" s="2946"/>
      <c r="V737" s="2946">
        <f>UnosPorBilans!AB264</f>
        <v>0</v>
      </c>
      <c r="W737" s="2946"/>
      <c r="X737" s="2946"/>
      <c r="Y737" s="2946"/>
      <c r="Z737" s="2946"/>
      <c r="AA737" s="2946"/>
      <c r="AB737" s="2946"/>
      <c r="AC737" s="2946"/>
      <c r="AD737" s="2946"/>
      <c r="AE737" s="2946"/>
      <c r="AF737" s="2946"/>
      <c r="AG737" s="2946">
        <f>UnosPorBilans!AG264</f>
        <v>0</v>
      </c>
      <c r="AH737" s="2946"/>
      <c r="AI737" s="2946"/>
      <c r="AJ737" s="2946"/>
      <c r="AK737" s="2946"/>
      <c r="AL737" s="2946"/>
      <c r="AM737" s="2946"/>
      <c r="AN737" s="2946"/>
      <c r="AO737" s="2946"/>
      <c r="AP737" s="2946"/>
    </row>
    <row r="738" s="799" customFormat="1" ht="12.75" hidden="1" spans="1:128">
      <c r="A738" s="2947" t="s">
        <v>6957</v>
      </c>
      <c r="B738" s="2947"/>
      <c r="C738" s="2947"/>
      <c r="D738" s="2947"/>
      <c r="E738" s="2947"/>
      <c r="F738" s="2947"/>
      <c r="G738" s="2947"/>
      <c r="H738" s="2947"/>
      <c r="I738" s="2947"/>
      <c r="J738" s="2947"/>
      <c r="K738" s="2947"/>
      <c r="L738" s="2947"/>
      <c r="M738" s="2947"/>
      <c r="N738" s="2947"/>
      <c r="O738" s="2947"/>
      <c r="P738" s="2947"/>
      <c r="Q738" s="2947"/>
      <c r="R738" s="2947"/>
      <c r="S738" s="2947"/>
      <c r="T738" s="2947"/>
      <c r="U738" s="2947"/>
      <c r="V738" s="2947" t="s">
        <v>6958</v>
      </c>
      <c r="W738" s="2947"/>
      <c r="X738" s="2947"/>
      <c r="Y738" s="2947"/>
      <c r="Z738" s="2947"/>
      <c r="AA738" s="2947"/>
      <c r="AB738" s="2947"/>
      <c r="AC738" s="2947"/>
      <c r="AD738" s="2947"/>
      <c r="AE738" s="2947"/>
      <c r="AF738" s="2947"/>
      <c r="AG738" s="2947"/>
      <c r="AH738" s="2947"/>
      <c r="AI738" s="2947"/>
      <c r="AJ738" s="2947"/>
      <c r="AK738" s="2947"/>
      <c r="AL738" s="2947"/>
      <c r="AM738" s="2947"/>
      <c r="AN738" s="2947"/>
      <c r="AO738" s="2947"/>
      <c r="AP738" s="2947"/>
    </row>
    <row r="739" s="799" customFormat="1" ht="12.75" hidden="1" spans="1:128">
      <c r="A739" s="2946">
        <f>UnosPorBilans!AL264</f>
        <v>0</v>
      </c>
      <c r="B739" s="2946"/>
      <c r="C739" s="2946"/>
      <c r="D739" s="2946"/>
      <c r="E739" s="2946"/>
      <c r="F739" s="2946"/>
      <c r="G739" s="2946"/>
      <c r="H739" s="2946"/>
      <c r="I739" s="2946"/>
      <c r="J739" s="2946"/>
      <c r="K739" s="2946"/>
      <c r="L739" s="2946"/>
      <c r="M739" s="2946"/>
      <c r="N739" s="2946"/>
      <c r="O739" s="2946"/>
      <c r="P739" s="2946"/>
      <c r="Q739" s="2946"/>
      <c r="R739" s="2946"/>
      <c r="S739" s="2946"/>
      <c r="T739" s="2946"/>
      <c r="U739" s="2946"/>
      <c r="V739" s="2946">
        <f>UnosPorBilans!AS264</f>
        <v>0</v>
      </c>
      <c r="W739" s="2946"/>
      <c r="X739" s="2946"/>
      <c r="Y739" s="2946"/>
      <c r="Z739" s="2946"/>
      <c r="AA739" s="2946"/>
      <c r="AB739" s="2946"/>
      <c r="AC739" s="2946"/>
      <c r="AD739" s="2946"/>
      <c r="AE739" s="2946"/>
      <c r="AF739" s="2946"/>
      <c r="AG739" s="2946"/>
      <c r="AH739" s="2946"/>
      <c r="AI739" s="2946"/>
      <c r="AJ739" s="2946"/>
      <c r="AK739" s="2946"/>
      <c r="AL739" s="2946"/>
      <c r="AM739" s="2946"/>
      <c r="AN739" s="2946"/>
      <c r="AO739" s="2946"/>
      <c r="AP739" s="2946"/>
    </row>
    <row r="740" s="687" customFormat="1" ht="9" customHeight="1" spans="1:128">
      <c r="A740" s="2956"/>
      <c r="AQ740" s="799"/>
      <c r="AR740" s="799"/>
      <c r="AS740" s="799"/>
      <c r="AT740" s="799"/>
      <c r="AU740" s="799"/>
      <c r="AV740" s="799"/>
      <c r="AW740" s="799"/>
      <c r="AX740" s="799"/>
      <c r="AY740" s="799"/>
      <c r="AZ740" s="799"/>
      <c r="BA740" s="799"/>
      <c r="BB740" s="799"/>
      <c r="BC740" s="799"/>
      <c r="BD740" s="799"/>
      <c r="BE740" s="799"/>
      <c r="BF740" s="799"/>
      <c r="BG740" s="799"/>
      <c r="BH740" s="799"/>
      <c r="BI740" s="799"/>
      <c r="BJ740" s="799"/>
      <c r="BK740" s="799"/>
      <c r="BL740" s="799"/>
      <c r="BM740" s="799"/>
      <c r="BN740" s="799"/>
      <c r="BO740" s="799"/>
      <c r="BP740" s="799"/>
      <c r="BQ740" s="799"/>
      <c r="BR740" s="799"/>
      <c r="BS740" s="799"/>
      <c r="BT740" s="799"/>
      <c r="BU740" s="799"/>
      <c r="BV740" s="799"/>
      <c r="BW740" s="799"/>
      <c r="BX740" s="799"/>
      <c r="BY740" s="799"/>
      <c r="BZ740" s="799"/>
      <c r="CA740" s="799"/>
      <c r="CB740" s="799"/>
      <c r="CC740" s="799"/>
      <c r="CD740" s="799"/>
      <c r="CE740" s="799"/>
      <c r="CF740" s="799"/>
      <c r="CG740" s="799"/>
      <c r="CH740" s="799"/>
      <c r="CI740" s="799"/>
      <c r="CJ740" s="799"/>
      <c r="CK740" s="799"/>
      <c r="CL740" s="799"/>
      <c r="CM740" s="799"/>
      <c r="CN740" s="799"/>
      <c r="CO740" s="799"/>
      <c r="CP740" s="799"/>
      <c r="CQ740" s="799"/>
      <c r="CR740" s="799"/>
      <c r="CS740" s="799"/>
      <c r="CT740" s="799"/>
      <c r="CU740" s="799"/>
      <c r="CV740" s="799"/>
      <c r="CW740" s="799"/>
      <c r="CX740" s="799"/>
      <c r="CY740" s="799"/>
      <c r="CZ740" s="799"/>
      <c r="DA740" s="799"/>
      <c r="DB740" s="799"/>
      <c r="DC740" s="799"/>
      <c r="DD740" s="799"/>
      <c r="DE740" s="799"/>
      <c r="DF740" s="799"/>
      <c r="DG740" s="799"/>
      <c r="DH740" s="799"/>
      <c r="DI740" s="799"/>
      <c r="DJ740" s="799"/>
      <c r="DK740" s="799"/>
      <c r="DL740" s="799"/>
      <c r="DM740" s="799"/>
      <c r="DN740" s="799"/>
      <c r="DO740" s="799"/>
      <c r="DP740" s="799"/>
      <c r="DQ740" s="799"/>
      <c r="DR740" s="799"/>
      <c r="DS740" s="799"/>
      <c r="DT740" s="799"/>
      <c r="DU740" s="799"/>
      <c r="DV740" s="799"/>
      <c r="DW740" s="799"/>
      <c r="DX740" s="799"/>
    </row>
    <row r="741" s="689" customFormat="1" ht="12.75" spans="1:128">
      <c r="A741" s="757" t="s">
        <v>6546</v>
      </c>
      <c r="B741" s="758"/>
      <c r="C741" s="759"/>
      <c r="D741" s="760" t="str">
        <f>Text!B11</f>
        <v>Odgovorno lice</v>
      </c>
      <c r="E741" s="2957" t="s">
        <v>6547</v>
      </c>
      <c r="F741" s="2958"/>
      <c r="G741" s="2958"/>
      <c r="H741" s="2958"/>
      <c r="I741" s="2958"/>
      <c r="J741" s="2958"/>
      <c r="K741" s="2958"/>
      <c r="L741" s="2958"/>
      <c r="M741" s="2958"/>
      <c r="N741" s="2958"/>
      <c r="O741" s="2958"/>
      <c r="P741" s="2958"/>
      <c r="Q741" s="2958"/>
      <c r="R741" s="2958"/>
      <c r="S741" s="2958"/>
      <c r="T741" s="2958"/>
      <c r="U741" s="2958"/>
      <c r="V741" s="2958"/>
      <c r="W741" s="2958"/>
      <c r="X741" s="2958"/>
      <c r="Y741" s="2958"/>
      <c r="Z741" s="2958"/>
      <c r="AA741" s="2958"/>
      <c r="AB741" s="2958"/>
      <c r="AC741" s="2958"/>
      <c r="AD741" s="2958"/>
      <c r="AE741" s="2958"/>
      <c r="AF741" s="2958"/>
      <c r="AG741" s="2958"/>
      <c r="AH741" s="2958"/>
      <c r="AI741" s="2958"/>
      <c r="AJ741" s="2958"/>
      <c r="AK741" s="2958"/>
      <c r="AL741" s="2958"/>
      <c r="AM741" s="2958"/>
      <c r="AN741" s="2958"/>
      <c r="AO741" s="2958"/>
      <c r="AP741" s="2959"/>
      <c r="AQ741" s="799"/>
      <c r="AR741" s="799"/>
      <c r="AS741" s="799"/>
      <c r="AT741" s="799"/>
      <c r="AU741" s="799"/>
      <c r="AV741" s="799"/>
      <c r="AW741" s="799"/>
      <c r="AX741" s="799"/>
      <c r="AY741" s="799"/>
      <c r="AZ741" s="799"/>
      <c r="BA741" s="799"/>
      <c r="BB741" s="799"/>
      <c r="BC741" s="799"/>
      <c r="BD741" s="799"/>
      <c r="BE741" s="799"/>
      <c r="BF741" s="799"/>
      <c r="BG741" s="799"/>
      <c r="BH741" s="799"/>
      <c r="BI741" s="799"/>
      <c r="BJ741" s="799"/>
      <c r="BK741" s="799"/>
      <c r="BL741" s="799"/>
      <c r="BM741" s="799"/>
      <c r="BN741" s="799"/>
      <c r="BO741" s="799"/>
      <c r="BP741" s="799"/>
      <c r="BQ741" s="799"/>
      <c r="BR741" s="799"/>
      <c r="BS741" s="799"/>
      <c r="BT741" s="799"/>
      <c r="BU741" s="799"/>
      <c r="BV741" s="799"/>
      <c r="BW741" s="799"/>
      <c r="BX741" s="799"/>
      <c r="BY741" s="799"/>
      <c r="BZ741" s="799"/>
      <c r="CA741" s="799"/>
      <c r="CB741" s="799"/>
      <c r="CC741" s="799"/>
      <c r="CD741" s="799"/>
      <c r="CE741" s="799"/>
      <c r="CF741" s="799"/>
      <c r="CG741" s="799"/>
      <c r="CH741" s="799"/>
      <c r="CI741" s="799"/>
      <c r="CJ741" s="799"/>
      <c r="CK741" s="799"/>
      <c r="CL741" s="799"/>
      <c r="CM741" s="799"/>
      <c r="CN741" s="799"/>
      <c r="CO741" s="799"/>
      <c r="CP741" s="799"/>
      <c r="CQ741" s="799"/>
      <c r="CR741" s="799"/>
      <c r="CS741" s="799"/>
      <c r="CT741" s="799"/>
      <c r="CU741" s="799"/>
      <c r="CV741" s="799"/>
      <c r="CW741" s="799"/>
      <c r="CX741" s="799"/>
      <c r="CY741" s="799"/>
      <c r="CZ741" s="799"/>
      <c r="DA741" s="799"/>
      <c r="DB741" s="799"/>
      <c r="DC741" s="799"/>
      <c r="DD741" s="799"/>
      <c r="DE741" s="799"/>
      <c r="DF741" s="799"/>
      <c r="DG741" s="799"/>
      <c r="DH741" s="799"/>
      <c r="DI741" s="799"/>
      <c r="DJ741" s="799"/>
      <c r="DK741" s="799"/>
      <c r="DL741" s="799"/>
      <c r="DM741" s="799"/>
      <c r="DN741" s="799"/>
      <c r="DO741" s="799"/>
      <c r="DP741" s="799"/>
      <c r="DQ741" s="799"/>
      <c r="DR741" s="799"/>
      <c r="DS741" s="799"/>
      <c r="DT741" s="799"/>
      <c r="DU741" s="799"/>
      <c r="DV741" s="799"/>
      <c r="DW741" s="799"/>
      <c r="DX741" s="799"/>
    </row>
    <row r="742" s="689" customFormat="1" ht="12.75" spans="1:128">
      <c r="A742" s="763"/>
      <c r="B742" s="764"/>
      <c r="C742" s="765"/>
      <c r="D742" s="766"/>
      <c r="E742" s="2960"/>
      <c r="F742" s="2961"/>
      <c r="G742" s="2961"/>
      <c r="H742" s="2961"/>
      <c r="I742" s="2961"/>
      <c r="J742" s="2961"/>
      <c r="K742" s="2961"/>
      <c r="L742" s="2961"/>
      <c r="M742" s="2961"/>
      <c r="N742" s="2961"/>
      <c r="O742" s="2961"/>
      <c r="P742" s="2961"/>
      <c r="Q742" s="2961"/>
      <c r="R742" s="2961"/>
      <c r="S742" s="2961"/>
      <c r="T742" s="2961"/>
      <c r="U742" s="2961"/>
      <c r="V742" s="2961"/>
      <c r="W742" s="2961"/>
      <c r="X742" s="2961"/>
      <c r="Y742" s="2961"/>
      <c r="Z742" s="2961"/>
      <c r="AA742" s="2961"/>
      <c r="AB742" s="2961"/>
      <c r="AC742" s="2961"/>
      <c r="AD742" s="2961"/>
      <c r="AE742" s="2961"/>
      <c r="AF742" s="2961"/>
      <c r="AG742" s="2961"/>
      <c r="AH742" s="2961"/>
      <c r="AI742" s="2961"/>
      <c r="AJ742" s="2961"/>
      <c r="AK742" s="2961"/>
      <c r="AL742" s="2961"/>
      <c r="AM742" s="2961"/>
      <c r="AN742" s="2961"/>
      <c r="AO742" s="2961"/>
      <c r="AP742" s="2962"/>
      <c r="AQ742" s="799"/>
      <c r="AR742" s="799"/>
      <c r="AS742" s="799"/>
      <c r="AT742" s="799"/>
      <c r="AU742" s="799"/>
      <c r="AV742" s="799"/>
      <c r="AW742" s="799"/>
      <c r="AX742" s="799"/>
      <c r="AY742" s="799"/>
      <c r="AZ742" s="799"/>
      <c r="BA742" s="799"/>
      <c r="BB742" s="799"/>
      <c r="BC742" s="799"/>
      <c r="BD742" s="799"/>
      <c r="BE742" s="799"/>
      <c r="BF742" s="799"/>
      <c r="BG742" s="799"/>
      <c r="BH742" s="799"/>
      <c r="BI742" s="799"/>
      <c r="BJ742" s="799"/>
      <c r="BK742" s="799"/>
      <c r="BL742" s="799"/>
      <c r="BM742" s="799"/>
      <c r="BN742" s="799"/>
      <c r="BO742" s="799"/>
      <c r="BP742" s="799"/>
      <c r="BQ742" s="799"/>
      <c r="BR742" s="799"/>
      <c r="BS742" s="799"/>
      <c r="BT742" s="799"/>
      <c r="BU742" s="799"/>
      <c r="BV742" s="799"/>
      <c r="BW742" s="799"/>
      <c r="BX742" s="799"/>
      <c r="BY742" s="799"/>
      <c r="BZ742" s="799"/>
      <c r="CA742" s="799"/>
      <c r="CB742" s="799"/>
      <c r="CC742" s="799"/>
      <c r="CD742" s="799"/>
      <c r="CE742" s="799"/>
      <c r="CF742" s="799"/>
      <c r="CG742" s="799"/>
      <c r="CH742" s="799"/>
      <c r="CI742" s="799"/>
      <c r="CJ742" s="799"/>
      <c r="CK742" s="799"/>
      <c r="CL742" s="799"/>
      <c r="CM742" s="799"/>
      <c r="CN742" s="799"/>
      <c r="CO742" s="799"/>
      <c r="CP742" s="799"/>
      <c r="CQ742" s="799"/>
      <c r="CR742" s="799"/>
      <c r="CS742" s="799"/>
      <c r="CT742" s="799"/>
      <c r="CU742" s="799"/>
      <c r="CV742" s="799"/>
      <c r="CW742" s="799"/>
      <c r="CX742" s="799"/>
      <c r="CY742" s="799"/>
      <c r="CZ742" s="799"/>
      <c r="DA742" s="799"/>
      <c r="DB742" s="799"/>
      <c r="DC742" s="799"/>
      <c r="DD742" s="799"/>
      <c r="DE742" s="799"/>
      <c r="DF742" s="799"/>
      <c r="DG742" s="799"/>
      <c r="DH742" s="799"/>
      <c r="DI742" s="799"/>
      <c r="DJ742" s="799"/>
      <c r="DK742" s="799"/>
      <c r="DL742" s="799"/>
      <c r="DM742" s="799"/>
      <c r="DN742" s="799"/>
      <c r="DO742" s="799"/>
      <c r="DP742" s="799"/>
      <c r="DQ742" s="799"/>
      <c r="DR742" s="799"/>
      <c r="DS742" s="799"/>
      <c r="DT742" s="799"/>
      <c r="DU742" s="799"/>
      <c r="DV742" s="799"/>
      <c r="DW742" s="799"/>
      <c r="DX742" s="799"/>
    </row>
    <row r="743" s="689" customFormat="1" ht="12.75" spans="1:128">
      <c r="A743" s="763"/>
      <c r="B743" s="764"/>
      <c r="C743" s="765"/>
      <c r="D743" s="766"/>
      <c r="E743" s="2960"/>
      <c r="F743" s="2961"/>
      <c r="G743" s="2961"/>
      <c r="H743" s="2961"/>
      <c r="I743" s="2961"/>
      <c r="J743" s="2961"/>
      <c r="K743" s="2961"/>
      <c r="L743" s="2961"/>
      <c r="M743" s="2961"/>
      <c r="N743" s="2961"/>
      <c r="O743" s="2961"/>
      <c r="P743" s="2961"/>
      <c r="Q743" s="2961"/>
      <c r="R743" s="2961"/>
      <c r="S743" s="2961"/>
      <c r="T743" s="2961"/>
      <c r="U743" s="2961"/>
      <c r="V743" s="2961"/>
      <c r="W743" s="2961"/>
      <c r="X743" s="2961"/>
      <c r="Y743" s="2961"/>
      <c r="Z743" s="2961"/>
      <c r="AA743" s="2961"/>
      <c r="AB743" s="2961"/>
      <c r="AC743" s="2961"/>
      <c r="AD743" s="2961"/>
      <c r="AE743" s="2961"/>
      <c r="AF743" s="2961"/>
      <c r="AG743" s="2961"/>
      <c r="AH743" s="2961"/>
      <c r="AI743" s="2961"/>
      <c r="AJ743" s="2961"/>
      <c r="AK743" s="2961"/>
      <c r="AL743" s="2961"/>
      <c r="AM743" s="2961"/>
      <c r="AN743" s="2961"/>
      <c r="AO743" s="2961"/>
      <c r="AP743" s="2962"/>
      <c r="AQ743" s="799"/>
      <c r="AR743" s="799"/>
      <c r="AS743" s="799"/>
      <c r="AT743" s="799"/>
      <c r="AU743" s="799"/>
      <c r="AV743" s="799"/>
      <c r="AW743" s="799"/>
      <c r="AX743" s="799"/>
      <c r="AY743" s="799"/>
      <c r="AZ743" s="799"/>
      <c r="BA743" s="799"/>
      <c r="BB743" s="799"/>
      <c r="BC743" s="799"/>
      <c r="BD743" s="799"/>
      <c r="BE743" s="799"/>
      <c r="BF743" s="799"/>
      <c r="BG743" s="799"/>
      <c r="BH743" s="799"/>
      <c r="BI743" s="799"/>
      <c r="BJ743" s="799"/>
      <c r="BK743" s="799"/>
      <c r="BL743" s="799"/>
      <c r="BM743" s="799"/>
      <c r="BN743" s="799"/>
      <c r="BO743" s="799"/>
      <c r="BP743" s="799"/>
      <c r="BQ743" s="799"/>
      <c r="BR743" s="799"/>
      <c r="BS743" s="799"/>
      <c r="BT743" s="799"/>
      <c r="BU743" s="799"/>
      <c r="BV743" s="799"/>
      <c r="BW743" s="799"/>
      <c r="BX743" s="799"/>
      <c r="BY743" s="799"/>
      <c r="BZ743" s="799"/>
      <c r="CA743" s="799"/>
      <c r="CB743" s="799"/>
      <c r="CC743" s="799"/>
      <c r="CD743" s="799"/>
      <c r="CE743" s="799"/>
      <c r="CF743" s="799"/>
      <c r="CG743" s="799"/>
      <c r="CH743" s="799"/>
      <c r="CI743" s="799"/>
      <c r="CJ743" s="799"/>
      <c r="CK743" s="799"/>
      <c r="CL743" s="799"/>
      <c r="CM743" s="799"/>
      <c r="CN743" s="799"/>
      <c r="CO743" s="799"/>
      <c r="CP743" s="799"/>
      <c r="CQ743" s="799"/>
      <c r="CR743" s="799"/>
      <c r="CS743" s="799"/>
      <c r="CT743" s="799"/>
      <c r="CU743" s="799"/>
      <c r="CV743" s="799"/>
      <c r="CW743" s="799"/>
      <c r="CX743" s="799"/>
      <c r="CY743" s="799"/>
      <c r="CZ743" s="799"/>
      <c r="DA743" s="799"/>
      <c r="DB743" s="799"/>
      <c r="DC743" s="799"/>
      <c r="DD743" s="799"/>
      <c r="DE743" s="799"/>
      <c r="DF743" s="799"/>
      <c r="DG743" s="799"/>
      <c r="DH743" s="799"/>
      <c r="DI743" s="799"/>
      <c r="DJ743" s="799"/>
      <c r="DK743" s="799"/>
      <c r="DL743" s="799"/>
      <c r="DM743" s="799"/>
      <c r="DN743" s="799"/>
      <c r="DO743" s="799"/>
      <c r="DP743" s="799"/>
      <c r="DQ743" s="799"/>
      <c r="DR743" s="799"/>
      <c r="DS743" s="799"/>
      <c r="DT743" s="799"/>
      <c r="DU743" s="799"/>
      <c r="DV743" s="799"/>
      <c r="DW743" s="799"/>
      <c r="DX743" s="799"/>
    </row>
    <row r="744" s="689" customFormat="1" ht="12.75" spans="1:128">
      <c r="A744" s="763"/>
      <c r="B744" s="764"/>
      <c r="C744" s="765"/>
      <c r="D744" s="766"/>
      <c r="W744" s="769"/>
      <c r="X744" s="2963" t="str">
        <f>UnosPod!AA22&amp;UnosPod!AB22&amp;"."&amp;UnosPod!AC22&amp;UnosPod!AD22+1&amp;"."&amp;UnosPod!AE22&amp;UnosPod!AF22&amp;UnosPod!AG22&amp;UnosPod!AH22&amp;"."</f>
        <v>28.03.2026.</v>
      </c>
      <c r="Y744" s="2964"/>
      <c r="Z744" s="2964"/>
      <c r="AA744" s="2964"/>
      <c r="AB744" s="2964"/>
      <c r="AC744" s="2964"/>
      <c r="AD744" s="2965"/>
      <c r="AE744" s="2966" t="s">
        <v>2539</v>
      </c>
      <c r="AF744" s="2967"/>
      <c r="AG744" s="2967"/>
      <c r="AH744" s="2967"/>
      <c r="AI744" s="2967"/>
      <c r="AJ744" s="2967"/>
      <c r="AK744" s="2967"/>
      <c r="AL744" s="2967"/>
      <c r="AM744" s="2967"/>
      <c r="AN744" s="2967"/>
      <c r="AO744" s="2967"/>
      <c r="AP744" s="2968"/>
      <c r="AQ744" s="799"/>
      <c r="AR744" s="799"/>
      <c r="AS744" s="799"/>
      <c r="AT744" s="799"/>
      <c r="AU744" s="799"/>
      <c r="AV744" s="799"/>
      <c r="AW744" s="799"/>
      <c r="AX744" s="799"/>
      <c r="AY744" s="799"/>
      <c r="AZ744" s="799"/>
      <c r="BA744" s="799"/>
      <c r="BB744" s="799"/>
      <c r="BC744" s="799"/>
      <c r="BD744" s="799"/>
      <c r="BE744" s="799"/>
      <c r="BF744" s="799"/>
      <c r="BG744" s="799"/>
      <c r="BH744" s="799"/>
      <c r="BI744" s="799"/>
      <c r="BJ744" s="799"/>
      <c r="BK744" s="799"/>
      <c r="BL744" s="799"/>
      <c r="BM744" s="799"/>
      <c r="BN744" s="799"/>
      <c r="BO744" s="799"/>
      <c r="BP744" s="799"/>
      <c r="BQ744" s="799"/>
      <c r="BR744" s="799"/>
      <c r="BS744" s="799"/>
      <c r="BT744" s="799"/>
      <c r="BU744" s="799"/>
      <c r="BV744" s="799"/>
      <c r="BW744" s="799"/>
      <c r="BX744" s="799"/>
      <c r="BY744" s="799"/>
      <c r="BZ744" s="799"/>
      <c r="CA744" s="799"/>
      <c r="CB744" s="799"/>
      <c r="CC744" s="799"/>
      <c r="CD744" s="799"/>
      <c r="CE744" s="799"/>
      <c r="CF744" s="799"/>
      <c r="CG744" s="799"/>
      <c r="CH744" s="799"/>
      <c r="CI744" s="799"/>
      <c r="CJ744" s="799"/>
      <c r="CK744" s="799"/>
      <c r="CL744" s="799"/>
      <c r="CM744" s="799"/>
      <c r="CN744" s="799"/>
      <c r="CO744" s="799"/>
      <c r="CP744" s="799"/>
      <c r="CQ744" s="799"/>
      <c r="CR744" s="799"/>
      <c r="CS744" s="799"/>
      <c r="CT744" s="799"/>
      <c r="CU744" s="799"/>
      <c r="CV744" s="799"/>
      <c r="CW744" s="799"/>
      <c r="CX744" s="799"/>
      <c r="CY744" s="799"/>
      <c r="CZ744" s="799"/>
      <c r="DA744" s="799"/>
      <c r="DB744" s="799"/>
      <c r="DC744" s="799"/>
      <c r="DD744" s="799"/>
      <c r="DE744" s="799"/>
      <c r="DF744" s="799"/>
      <c r="DG744" s="799"/>
      <c r="DH744" s="799"/>
      <c r="DI744" s="799"/>
      <c r="DJ744" s="799"/>
      <c r="DK744" s="799"/>
      <c r="DL744" s="799"/>
      <c r="DM744" s="799"/>
      <c r="DN744" s="799"/>
      <c r="DO744" s="799"/>
      <c r="DP744" s="799"/>
      <c r="DQ744" s="799"/>
      <c r="DR744" s="799"/>
      <c r="DS744" s="799"/>
      <c r="DT744" s="799"/>
      <c r="DU744" s="799"/>
      <c r="DV744" s="799"/>
      <c r="DW744" s="799"/>
      <c r="DX744" s="799"/>
    </row>
    <row r="745" s="689" customFormat="1" ht="15" spans="1:128">
      <c r="A745" s="763"/>
      <c r="B745" s="764"/>
      <c r="C745" s="765"/>
      <c r="D745" s="766"/>
      <c r="E745" s="2969" t="str">
        <f>Direktor</f>
        <v>Nedim Vilogorac</v>
      </c>
      <c r="F745" s="775"/>
      <c r="G745" s="775"/>
      <c r="H745" s="775"/>
      <c r="I745" s="775"/>
      <c r="J745" s="775"/>
      <c r="K745" s="775"/>
      <c r="L745" s="775"/>
      <c r="M745" s="775"/>
      <c r="N745" s="775"/>
      <c r="O745" s="775"/>
      <c r="P745" s="775"/>
      <c r="Q745" s="775"/>
      <c r="R745" s="775"/>
      <c r="S745" s="775"/>
      <c r="T745" s="775"/>
      <c r="U745" s="775"/>
      <c r="V745" s="775"/>
      <c r="W745" s="776"/>
      <c r="X745" s="2970"/>
      <c r="Y745" s="2971"/>
      <c r="Z745" s="2971"/>
      <c r="AA745" s="2971"/>
      <c r="AB745" s="2971"/>
      <c r="AC745" s="2971"/>
      <c r="AD745" s="2972"/>
      <c r="AE745" s="2973"/>
      <c r="AF745" s="2974"/>
      <c r="AG745" s="2974"/>
      <c r="AH745" s="2974"/>
      <c r="AI745" s="2974"/>
      <c r="AJ745" s="2974"/>
      <c r="AK745" s="2974"/>
      <c r="AL745" s="2974"/>
      <c r="AM745" s="2974"/>
      <c r="AN745" s="2974"/>
      <c r="AO745" s="2974"/>
      <c r="AP745" s="2975"/>
      <c r="AQ745" s="799"/>
      <c r="AR745" s="799"/>
      <c r="AS745" s="799"/>
      <c r="AT745" s="799"/>
      <c r="AU745" s="799"/>
      <c r="AV745" s="799"/>
      <c r="AW745" s="799"/>
      <c r="AX745" s="799"/>
      <c r="AY745" s="799"/>
      <c r="AZ745" s="799"/>
      <c r="BA745" s="799"/>
      <c r="BB745" s="799"/>
      <c r="BC745" s="799"/>
      <c r="BD745" s="799"/>
      <c r="BE745" s="799"/>
      <c r="BF745" s="799"/>
      <c r="BG745" s="799"/>
      <c r="BH745" s="799"/>
      <c r="BI745" s="799"/>
      <c r="BJ745" s="799"/>
      <c r="BK745" s="799"/>
      <c r="BL745" s="799"/>
      <c r="BM745" s="799"/>
      <c r="BN745" s="799"/>
      <c r="BO745" s="799"/>
      <c r="BP745" s="799"/>
      <c r="BQ745" s="799"/>
      <c r="BR745" s="799"/>
      <c r="BS745" s="799"/>
      <c r="BT745" s="799"/>
      <c r="BU745" s="799"/>
      <c r="BV745" s="799"/>
      <c r="BW745" s="799"/>
      <c r="BX745" s="799"/>
      <c r="BY745" s="799"/>
      <c r="BZ745" s="799"/>
      <c r="CA745" s="799"/>
      <c r="CB745" s="799"/>
      <c r="CC745" s="799"/>
      <c r="CD745" s="799"/>
      <c r="CE745" s="799"/>
      <c r="CF745" s="799"/>
      <c r="CG745" s="799"/>
      <c r="CH745" s="799"/>
      <c r="CI745" s="799"/>
      <c r="CJ745" s="799"/>
      <c r="CK745" s="799"/>
      <c r="CL745" s="799"/>
      <c r="CM745" s="799"/>
      <c r="CN745" s="799"/>
      <c r="CO745" s="799"/>
      <c r="CP745" s="799"/>
      <c r="CQ745" s="799"/>
      <c r="CR745" s="799"/>
      <c r="CS745" s="799"/>
      <c r="CT745" s="799"/>
      <c r="CU745" s="799"/>
      <c r="CV745" s="799"/>
      <c r="CW745" s="799"/>
      <c r="CX745" s="799"/>
      <c r="CY745" s="799"/>
      <c r="CZ745" s="799"/>
      <c r="DA745" s="799"/>
      <c r="DB745" s="799"/>
      <c r="DC745" s="799"/>
      <c r="DD745" s="799"/>
      <c r="DE745" s="799"/>
      <c r="DF745" s="799"/>
      <c r="DG745" s="799"/>
      <c r="DH745" s="799"/>
      <c r="DI745" s="799"/>
      <c r="DJ745" s="799"/>
      <c r="DK745" s="799"/>
      <c r="DL745" s="799"/>
      <c r="DM745" s="799"/>
      <c r="DN745" s="799"/>
      <c r="DO745" s="799"/>
      <c r="DP745" s="799"/>
      <c r="DQ745" s="799"/>
      <c r="DR745" s="799"/>
      <c r="DS745" s="799"/>
      <c r="DT745" s="799"/>
      <c r="DU745" s="799"/>
      <c r="DV745" s="799"/>
      <c r="DW745" s="799"/>
      <c r="DX745" s="799"/>
    </row>
    <row r="746" s="689" customFormat="1" spans="1:128">
      <c r="A746" s="763"/>
      <c r="B746" s="764"/>
      <c r="C746" s="765"/>
      <c r="D746" s="766"/>
      <c r="E746" s="783" t="s">
        <v>6548</v>
      </c>
      <c r="F746" s="783"/>
      <c r="G746" s="783"/>
      <c r="H746" s="783"/>
      <c r="I746" s="783"/>
      <c r="J746" s="783"/>
      <c r="K746" s="783"/>
      <c r="L746" s="783"/>
      <c r="M746" s="783"/>
      <c r="N746" s="783"/>
      <c r="O746" s="783"/>
      <c r="P746" s="783"/>
      <c r="Q746" s="783"/>
      <c r="R746" s="783"/>
      <c r="S746" s="783"/>
      <c r="T746" s="783"/>
      <c r="U746" s="783"/>
      <c r="V746" s="783"/>
      <c r="W746" s="783"/>
      <c r="X746" s="783" t="s">
        <v>6549</v>
      </c>
      <c r="Y746" s="783"/>
      <c r="Z746" s="783"/>
      <c r="AA746" s="783"/>
      <c r="AB746" s="783"/>
      <c r="AC746" s="783"/>
      <c r="AD746" s="783"/>
      <c r="AE746" s="783" t="s">
        <v>6550</v>
      </c>
      <c r="AF746" s="783"/>
      <c r="AG746" s="783"/>
      <c r="AH746" s="783"/>
      <c r="AI746" s="783"/>
      <c r="AJ746" s="783"/>
      <c r="AK746" s="783"/>
      <c r="AL746" s="783"/>
      <c r="AM746" s="783"/>
      <c r="AN746" s="783"/>
      <c r="AO746" s="783"/>
      <c r="AP746" s="787"/>
    </row>
    <row r="747" s="689" customFormat="1" spans="1:128">
      <c r="A747" s="763"/>
      <c r="B747" s="764"/>
      <c r="C747" s="765"/>
      <c r="D747" s="766"/>
      <c r="E747" s="785"/>
      <c r="F747" s="785"/>
      <c r="G747" s="785"/>
      <c r="H747" s="785"/>
      <c r="I747" s="785"/>
      <c r="J747" s="785"/>
      <c r="K747" s="785"/>
      <c r="L747" s="785"/>
      <c r="M747" s="785"/>
      <c r="N747" s="785"/>
      <c r="O747" s="785"/>
      <c r="P747" s="785"/>
      <c r="Q747" s="785"/>
      <c r="R747" s="785"/>
      <c r="S747" s="785"/>
      <c r="T747" s="785"/>
      <c r="U747" s="785"/>
      <c r="V747" s="785"/>
      <c r="W747" s="785"/>
      <c r="X747" s="786"/>
      <c r="Y747" s="786"/>
      <c r="Z747" s="786"/>
      <c r="AA747" s="786"/>
      <c r="AB747" s="786"/>
      <c r="AC747" s="786"/>
      <c r="AD747" s="786"/>
      <c r="AE747" s="786"/>
      <c r="AF747" s="786"/>
      <c r="AG747" s="786"/>
      <c r="AH747" s="786"/>
      <c r="AI747" s="786"/>
      <c r="AJ747" s="786"/>
      <c r="AK747" s="786"/>
      <c r="AL747" s="786"/>
      <c r="AM747" s="786"/>
      <c r="AN747" s="786"/>
      <c r="AO747" s="786"/>
      <c r="AP747" s="787"/>
    </row>
    <row r="748" s="689" customFormat="1" spans="1:128">
      <c r="A748" s="763"/>
      <c r="B748" s="764"/>
      <c r="C748" s="788"/>
      <c r="D748" s="789" t="s">
        <v>6551</v>
      </c>
      <c r="E748" s="790"/>
      <c r="F748" s="790"/>
      <c r="G748" s="790"/>
      <c r="H748" s="790"/>
      <c r="I748" s="790"/>
      <c r="J748" s="790"/>
      <c r="K748" s="790"/>
      <c r="L748" s="790"/>
      <c r="M748" s="790"/>
      <c r="N748" s="790"/>
      <c r="O748" s="790"/>
      <c r="P748" s="790"/>
      <c r="Q748" s="790"/>
      <c r="R748" s="790"/>
      <c r="S748" s="790"/>
      <c r="T748" s="790"/>
      <c r="U748" s="790"/>
      <c r="V748" s="790"/>
      <c r="W748" s="790"/>
      <c r="X748" s="790"/>
      <c r="Y748" s="790"/>
      <c r="Z748" s="790"/>
      <c r="AA748" s="790"/>
      <c r="AB748" s="790"/>
      <c r="AC748" s="790"/>
      <c r="AD748" s="790"/>
      <c r="AE748" s="790"/>
      <c r="AF748" s="790"/>
      <c r="AG748" s="790"/>
      <c r="AH748" s="790"/>
      <c r="AI748" s="790"/>
      <c r="AJ748" s="790"/>
      <c r="AK748" s="790"/>
      <c r="AL748" s="790"/>
      <c r="AM748" s="790"/>
      <c r="AN748" s="790"/>
      <c r="AO748" s="790"/>
      <c r="AP748" s="791"/>
    </row>
    <row r="749" s="689" customFormat="1" spans="1:128">
      <c r="A749" s="763"/>
      <c r="B749" s="764"/>
      <c r="C749" s="765"/>
      <c r="D749" s="792"/>
      <c r="W749" s="769"/>
      <c r="X749" s="2963" t="str">
        <f>UnosPod!AA22&amp;UnosPod!AB22&amp;"."&amp;UnosPod!AC22&amp;UnosPod!AD22+1&amp;"."&amp;UnosPod!AE22&amp;UnosPod!AF22&amp;UnosPod!AG22&amp;UnosPod!AH22&amp;"."</f>
        <v>28.03.2026.</v>
      </c>
      <c r="Y749" s="2964"/>
      <c r="Z749" s="2964"/>
      <c r="AA749" s="2964"/>
      <c r="AB749" s="2964"/>
      <c r="AC749" s="2964"/>
      <c r="AD749" s="2965"/>
      <c r="AE749" s="2966" t="s">
        <v>6552</v>
      </c>
      <c r="AF749" s="2967"/>
      <c r="AG749" s="2967"/>
      <c r="AH749" s="2967"/>
      <c r="AI749" s="2967"/>
      <c r="AJ749" s="2967"/>
      <c r="AK749" s="2967"/>
      <c r="AL749" s="2967"/>
      <c r="AM749" s="2967"/>
      <c r="AN749" s="2967"/>
      <c r="AO749" s="2967"/>
      <c r="AP749" s="2968"/>
    </row>
    <row r="750" s="689" customFormat="1" ht="15" spans="1:128">
      <c r="A750" s="763"/>
      <c r="B750" s="764"/>
      <c r="C750" s="765"/>
      <c r="D750" s="792"/>
      <c r="E750" s="2969" t="str">
        <f>Racunovoda</f>
        <v>Elvira Žilić</v>
      </c>
      <c r="F750" s="775"/>
      <c r="G750" s="775"/>
      <c r="H750" s="775"/>
      <c r="I750" s="775"/>
      <c r="J750" s="775"/>
      <c r="K750" s="775"/>
      <c r="L750" s="775"/>
      <c r="M750" s="775"/>
      <c r="N750" s="775"/>
      <c r="O750" s="775"/>
      <c r="P750" s="775"/>
      <c r="Q750" s="775"/>
      <c r="R750" s="775"/>
      <c r="S750" s="775"/>
      <c r="T750" s="775"/>
      <c r="U750" s="775"/>
      <c r="V750" s="775"/>
      <c r="W750" s="776"/>
      <c r="X750" s="2970"/>
      <c r="Y750" s="2971"/>
      <c r="Z750" s="2971"/>
      <c r="AA750" s="2971"/>
      <c r="AB750" s="2971"/>
      <c r="AC750" s="2971"/>
      <c r="AD750" s="2972"/>
      <c r="AE750" s="2973"/>
      <c r="AF750" s="2974"/>
      <c r="AG750" s="2974"/>
      <c r="AH750" s="2974"/>
      <c r="AI750" s="2974"/>
      <c r="AJ750" s="2974"/>
      <c r="AK750" s="2974"/>
      <c r="AL750" s="2974"/>
      <c r="AM750" s="2974"/>
      <c r="AN750" s="2974"/>
      <c r="AO750" s="2974"/>
      <c r="AP750" s="2975"/>
    </row>
    <row r="751" s="689" customFormat="1" spans="1:128">
      <c r="A751" s="763"/>
      <c r="B751" s="764"/>
      <c r="C751" s="765"/>
      <c r="D751" s="792"/>
      <c r="E751" s="783" t="s">
        <v>6548</v>
      </c>
      <c r="F751" s="783"/>
      <c r="G751" s="783"/>
      <c r="H751" s="783"/>
      <c r="I751" s="783"/>
      <c r="J751" s="783"/>
      <c r="K751" s="783"/>
      <c r="L751" s="783"/>
      <c r="M751" s="783"/>
      <c r="N751" s="783"/>
      <c r="O751" s="783"/>
      <c r="P751" s="783"/>
      <c r="Q751" s="783"/>
      <c r="R751" s="783"/>
      <c r="S751" s="783"/>
      <c r="T751" s="783"/>
      <c r="U751" s="783"/>
      <c r="V751" s="783"/>
      <c r="W751" s="783"/>
      <c r="X751" s="783" t="s">
        <v>6549</v>
      </c>
      <c r="Y751" s="783"/>
      <c r="Z751" s="783"/>
      <c r="AA751" s="783"/>
      <c r="AB751" s="783"/>
      <c r="AC751" s="783"/>
      <c r="AD751" s="783"/>
      <c r="AE751" s="783" t="s">
        <v>6550</v>
      </c>
      <c r="AF751" s="783"/>
      <c r="AG751" s="783"/>
      <c r="AH751" s="783"/>
      <c r="AI751" s="783"/>
      <c r="AJ751" s="783"/>
      <c r="AK751" s="783"/>
      <c r="AL751" s="783"/>
      <c r="AM751" s="783"/>
      <c r="AN751" s="783"/>
      <c r="AO751" s="783"/>
      <c r="AP751" s="787"/>
    </row>
    <row r="752" s="689" customFormat="1" spans="1:128">
      <c r="A752" s="793"/>
      <c r="B752" s="794"/>
      <c r="C752" s="795"/>
      <c r="D752" s="796"/>
      <c r="E752" s="797"/>
      <c r="F752" s="797"/>
      <c r="G752" s="797"/>
      <c r="H752" s="797"/>
      <c r="I752" s="797"/>
      <c r="J752" s="797"/>
      <c r="K752" s="797"/>
      <c r="L752" s="797"/>
      <c r="M752" s="797"/>
      <c r="N752" s="797"/>
      <c r="O752" s="797"/>
      <c r="P752" s="797"/>
      <c r="Q752" s="797"/>
      <c r="R752" s="797"/>
      <c r="S752" s="797"/>
      <c r="T752" s="797"/>
      <c r="U752" s="797"/>
      <c r="V752" s="797"/>
      <c r="W752" s="797"/>
      <c r="X752" s="797"/>
      <c r="Y752" s="797"/>
      <c r="Z752" s="797"/>
      <c r="AA752" s="797"/>
      <c r="AB752" s="797"/>
      <c r="AC752" s="797"/>
      <c r="AD752" s="797"/>
      <c r="AE752" s="797"/>
      <c r="AF752" s="797"/>
      <c r="AG752" s="797"/>
      <c r="AH752" s="797"/>
      <c r="AI752" s="797"/>
      <c r="AJ752" s="797"/>
      <c r="AK752" s="797"/>
      <c r="AL752" s="797"/>
      <c r="AM752" s="797"/>
      <c r="AN752" s="797"/>
      <c r="AO752" s="797"/>
      <c r="AP752" s="798"/>
    </row>
  </sheetData>
  <mergeCells count="1948">
    <mergeCell ref="A1:U1"/>
    <mergeCell ref="V1:AP1"/>
    <mergeCell ref="A2:U2"/>
    <mergeCell ref="A3:U3"/>
    <mergeCell ref="A4:U4"/>
    <mergeCell ref="A5:U5"/>
    <mergeCell ref="A6:AP6"/>
    <mergeCell ref="A8:F8"/>
    <mergeCell ref="H8:J8"/>
    <mergeCell ref="K8:M8"/>
    <mergeCell ref="N8:R8"/>
    <mergeCell ref="S8:X8"/>
    <mergeCell ref="Y8:AA8"/>
    <mergeCell ref="AB8:AD8"/>
    <mergeCell ref="AE8:AI8"/>
    <mergeCell ref="Q12:R12"/>
    <mergeCell ref="S12:T12"/>
    <mergeCell ref="U12:V12"/>
    <mergeCell ref="W12:X12"/>
    <mergeCell ref="Y12:Z12"/>
    <mergeCell ref="AA12:AB12"/>
    <mergeCell ref="AC12:AD12"/>
    <mergeCell ref="AE12:AF12"/>
    <mergeCell ref="AG12:AH12"/>
    <mergeCell ref="AI12:AJ12"/>
    <mergeCell ref="AK12:AL12"/>
    <mergeCell ref="AM12:AN12"/>
    <mergeCell ref="AO12:AP12"/>
    <mergeCell ref="Q15:AD15"/>
    <mergeCell ref="AE15:AH15"/>
    <mergeCell ref="AI15:AP15"/>
    <mergeCell ref="A18:B18"/>
    <mergeCell ref="C18:U18"/>
    <mergeCell ref="V18:AF18"/>
    <mergeCell ref="AG18:AP18"/>
    <mergeCell ref="A19:U19"/>
    <mergeCell ref="V19:AF19"/>
    <mergeCell ref="AG19:AP19"/>
    <mergeCell ref="A20:J20"/>
    <mergeCell ref="K20:U20"/>
    <mergeCell ref="V20:AF20"/>
    <mergeCell ref="AG20:AP20"/>
    <mergeCell ref="A21:J21"/>
    <mergeCell ref="K21:U21"/>
    <mergeCell ref="V21:AF21"/>
    <mergeCell ref="AG21:AP21"/>
    <mergeCell ref="A22:U22"/>
    <mergeCell ref="V22:AP22"/>
    <mergeCell ref="A23:U23"/>
    <mergeCell ref="V23:AP23"/>
    <mergeCell ref="A25:B25"/>
    <mergeCell ref="C25:U25"/>
    <mergeCell ref="V25:AF25"/>
    <mergeCell ref="AG25:AP25"/>
    <mergeCell ref="A26:U26"/>
    <mergeCell ref="V26:AF26"/>
    <mergeCell ref="AG26:AP26"/>
    <mergeCell ref="A27:J27"/>
    <mergeCell ref="K27:U27"/>
    <mergeCell ref="V27:AF27"/>
    <mergeCell ref="AG27:AP27"/>
    <mergeCell ref="A28:J28"/>
    <mergeCell ref="K28:U28"/>
    <mergeCell ref="V28:AF28"/>
    <mergeCell ref="AG28:AP28"/>
    <mergeCell ref="A29:U29"/>
    <mergeCell ref="V29:AP29"/>
    <mergeCell ref="A30:U30"/>
    <mergeCell ref="V30:AP30"/>
    <mergeCell ref="A32:B32"/>
    <mergeCell ref="C32:U32"/>
    <mergeCell ref="V32:AF32"/>
    <mergeCell ref="AG32:AP32"/>
    <mergeCell ref="A33:U33"/>
    <mergeCell ref="V33:AF33"/>
    <mergeCell ref="AG33:AP33"/>
    <mergeCell ref="A34:J34"/>
    <mergeCell ref="K34:U34"/>
    <mergeCell ref="V34:AF34"/>
    <mergeCell ref="AG34:AP34"/>
    <mergeCell ref="A35:J35"/>
    <mergeCell ref="K35:U35"/>
    <mergeCell ref="V35:AF35"/>
    <mergeCell ref="AG35:AP35"/>
    <mergeCell ref="A36:U36"/>
    <mergeCell ref="V36:AP36"/>
    <mergeCell ref="A37:U37"/>
    <mergeCell ref="V37:AP37"/>
    <mergeCell ref="A39:B39"/>
    <mergeCell ref="C39:U39"/>
    <mergeCell ref="V39:AF39"/>
    <mergeCell ref="AG39:AP39"/>
    <mergeCell ref="A40:U40"/>
    <mergeCell ref="V40:AF40"/>
    <mergeCell ref="AG40:AP40"/>
    <mergeCell ref="A41:J41"/>
    <mergeCell ref="K41:U41"/>
    <mergeCell ref="V41:AF41"/>
    <mergeCell ref="AG41:AP41"/>
    <mergeCell ref="A42:J42"/>
    <mergeCell ref="K42:U42"/>
    <mergeCell ref="V42:AF42"/>
    <mergeCell ref="AG42:AP42"/>
    <mergeCell ref="A43:U43"/>
    <mergeCell ref="V43:AP43"/>
    <mergeCell ref="A44:U44"/>
    <mergeCell ref="V44:AP44"/>
    <mergeCell ref="A46:B46"/>
    <mergeCell ref="C46:U46"/>
    <mergeCell ref="V46:AF46"/>
    <mergeCell ref="AG46:AP46"/>
    <mergeCell ref="A47:U47"/>
    <mergeCell ref="V47:AF47"/>
    <mergeCell ref="AG47:AP47"/>
    <mergeCell ref="A48:J48"/>
    <mergeCell ref="K48:U48"/>
    <mergeCell ref="V48:AF48"/>
    <mergeCell ref="AG48:AP48"/>
    <mergeCell ref="A49:J49"/>
    <mergeCell ref="K49:U49"/>
    <mergeCell ref="V49:AF49"/>
    <mergeCell ref="AG49:AP49"/>
    <mergeCell ref="A50:U50"/>
    <mergeCell ref="V50:AP50"/>
    <mergeCell ref="A51:U51"/>
    <mergeCell ref="V51:AP51"/>
    <mergeCell ref="A53:B53"/>
    <mergeCell ref="C53:U53"/>
    <mergeCell ref="V53:AF53"/>
    <mergeCell ref="AG53:AP53"/>
    <mergeCell ref="A54:U54"/>
    <mergeCell ref="V54:AF54"/>
    <mergeCell ref="AG54:AP54"/>
    <mergeCell ref="A55:J55"/>
    <mergeCell ref="K55:U55"/>
    <mergeCell ref="V55:AF55"/>
    <mergeCell ref="AG55:AP55"/>
    <mergeCell ref="A56:J56"/>
    <mergeCell ref="K56:U56"/>
    <mergeCell ref="V56:AF56"/>
    <mergeCell ref="AG56:AP56"/>
    <mergeCell ref="A57:U57"/>
    <mergeCell ref="V57:AP57"/>
    <mergeCell ref="A58:U58"/>
    <mergeCell ref="V58:AP58"/>
    <mergeCell ref="A62:B62"/>
    <mergeCell ref="C62:U62"/>
    <mergeCell ref="V62:AF62"/>
    <mergeCell ref="AG62:AP62"/>
    <mergeCell ref="A63:U63"/>
    <mergeCell ref="V63:AF63"/>
    <mergeCell ref="AG63:AP63"/>
    <mergeCell ref="A64:J64"/>
    <mergeCell ref="K64:U64"/>
    <mergeCell ref="V64:AF64"/>
    <mergeCell ref="AG64:AP64"/>
    <mergeCell ref="A65:J65"/>
    <mergeCell ref="K65:U65"/>
    <mergeCell ref="V65:AF65"/>
    <mergeCell ref="AG65:AP65"/>
    <mergeCell ref="A66:U66"/>
    <mergeCell ref="V66:AP66"/>
    <mergeCell ref="A67:U67"/>
    <mergeCell ref="V67:AP67"/>
    <mergeCell ref="A69:B69"/>
    <mergeCell ref="C69:U69"/>
    <mergeCell ref="V69:AF69"/>
    <mergeCell ref="AG69:AP69"/>
    <mergeCell ref="A70:U70"/>
    <mergeCell ref="V70:AF70"/>
    <mergeCell ref="AG70:AP70"/>
    <mergeCell ref="A71:J71"/>
    <mergeCell ref="K71:U71"/>
    <mergeCell ref="V71:AF71"/>
    <mergeCell ref="AG71:AP71"/>
    <mergeCell ref="A72:J72"/>
    <mergeCell ref="K72:U72"/>
    <mergeCell ref="V72:AF72"/>
    <mergeCell ref="AG72:AP72"/>
    <mergeCell ref="A73:U73"/>
    <mergeCell ref="V73:AP73"/>
    <mergeCell ref="A74:U74"/>
    <mergeCell ref="V74:AP74"/>
    <mergeCell ref="A76:B76"/>
    <mergeCell ref="C76:U76"/>
    <mergeCell ref="V76:AF76"/>
    <mergeCell ref="AG76:AP76"/>
    <mergeCell ref="A77:U77"/>
    <mergeCell ref="V77:AF77"/>
    <mergeCell ref="AG77:AP77"/>
    <mergeCell ref="A78:J78"/>
    <mergeCell ref="K78:U78"/>
    <mergeCell ref="V78:AF78"/>
    <mergeCell ref="AG78:AP78"/>
    <mergeCell ref="A79:J79"/>
    <mergeCell ref="K79:U79"/>
    <mergeCell ref="V79:AF79"/>
    <mergeCell ref="AG79:AP79"/>
    <mergeCell ref="A80:U80"/>
    <mergeCell ref="V80:AP80"/>
    <mergeCell ref="A81:U81"/>
    <mergeCell ref="V81:AP81"/>
    <mergeCell ref="A83:B83"/>
    <mergeCell ref="C83:U83"/>
    <mergeCell ref="V83:AF83"/>
    <mergeCell ref="AG83:AP83"/>
    <mergeCell ref="A84:U84"/>
    <mergeCell ref="V84:AF84"/>
    <mergeCell ref="AG84:AP84"/>
    <mergeCell ref="A85:J85"/>
    <mergeCell ref="K85:U85"/>
    <mergeCell ref="V85:AF85"/>
    <mergeCell ref="AG85:AP85"/>
    <mergeCell ref="A86:J86"/>
    <mergeCell ref="K86:U86"/>
    <mergeCell ref="V86:AF86"/>
    <mergeCell ref="AG86:AP86"/>
    <mergeCell ref="A87:U87"/>
    <mergeCell ref="V87:AP87"/>
    <mergeCell ref="A88:U88"/>
    <mergeCell ref="V88:AP88"/>
    <mergeCell ref="A90:B90"/>
    <mergeCell ref="C90:U90"/>
    <mergeCell ref="V90:AF90"/>
    <mergeCell ref="AG90:AP90"/>
    <mergeCell ref="A91:U91"/>
    <mergeCell ref="V91:AF91"/>
    <mergeCell ref="AG91:AP91"/>
    <mergeCell ref="A92:J92"/>
    <mergeCell ref="K92:U92"/>
    <mergeCell ref="V92:AF92"/>
    <mergeCell ref="AG92:AP92"/>
    <mergeCell ref="A93:J93"/>
    <mergeCell ref="K93:U93"/>
    <mergeCell ref="V93:AF93"/>
    <mergeCell ref="AG93:AP93"/>
    <mergeCell ref="A94:U94"/>
    <mergeCell ref="V94:AP94"/>
    <mergeCell ref="A95:U95"/>
    <mergeCell ref="V95:AP95"/>
    <mergeCell ref="A97:B97"/>
    <mergeCell ref="C97:U97"/>
    <mergeCell ref="V97:AF97"/>
    <mergeCell ref="AG97:AP97"/>
    <mergeCell ref="A98:U98"/>
    <mergeCell ref="V98:AF98"/>
    <mergeCell ref="AG98:AP98"/>
    <mergeCell ref="A99:J99"/>
    <mergeCell ref="K99:U99"/>
    <mergeCell ref="V99:AF99"/>
    <mergeCell ref="AG99:AP99"/>
    <mergeCell ref="A100:J100"/>
    <mergeCell ref="K100:U100"/>
    <mergeCell ref="V100:AF100"/>
    <mergeCell ref="AG100:AP100"/>
    <mergeCell ref="A101:U101"/>
    <mergeCell ref="V101:AP101"/>
    <mergeCell ref="A102:U102"/>
    <mergeCell ref="V102:AP102"/>
    <mergeCell ref="A104:B104"/>
    <mergeCell ref="C104:U104"/>
    <mergeCell ref="V104:AF104"/>
    <mergeCell ref="AG104:AP104"/>
    <mergeCell ref="A105:U105"/>
    <mergeCell ref="V105:AF105"/>
    <mergeCell ref="AG105:AP105"/>
    <mergeCell ref="A106:J106"/>
    <mergeCell ref="K106:U106"/>
    <mergeCell ref="V106:AF106"/>
    <mergeCell ref="AG106:AP106"/>
    <mergeCell ref="A107:J107"/>
    <mergeCell ref="K107:U107"/>
    <mergeCell ref="V107:AF107"/>
    <mergeCell ref="AG107:AP107"/>
    <mergeCell ref="A108:U108"/>
    <mergeCell ref="V108:AP108"/>
    <mergeCell ref="A109:U109"/>
    <mergeCell ref="V109:AP109"/>
    <mergeCell ref="A111:B111"/>
    <mergeCell ref="C111:U111"/>
    <mergeCell ref="V111:AF111"/>
    <mergeCell ref="AG111:AP111"/>
    <mergeCell ref="A112:U112"/>
    <mergeCell ref="V112:AF112"/>
    <mergeCell ref="AG112:AP112"/>
    <mergeCell ref="A113:J113"/>
    <mergeCell ref="K113:U113"/>
    <mergeCell ref="V113:AF113"/>
    <mergeCell ref="AG113:AP113"/>
    <mergeCell ref="A114:J114"/>
    <mergeCell ref="K114:U114"/>
    <mergeCell ref="V114:AF114"/>
    <mergeCell ref="AG114:AP114"/>
    <mergeCell ref="A115:U115"/>
    <mergeCell ref="V115:AP115"/>
    <mergeCell ref="A116:U116"/>
    <mergeCell ref="V116:AP116"/>
    <mergeCell ref="A118:B118"/>
    <mergeCell ref="C118:U118"/>
    <mergeCell ref="V118:AF118"/>
    <mergeCell ref="AG118:AP118"/>
    <mergeCell ref="A119:U119"/>
    <mergeCell ref="V119:AF119"/>
    <mergeCell ref="AG119:AP119"/>
    <mergeCell ref="A120:J120"/>
    <mergeCell ref="K120:U120"/>
    <mergeCell ref="V120:AF120"/>
    <mergeCell ref="AG120:AP120"/>
    <mergeCell ref="A121:J121"/>
    <mergeCell ref="K121:U121"/>
    <mergeCell ref="V121:AF121"/>
    <mergeCell ref="AG121:AP121"/>
    <mergeCell ref="A122:U122"/>
    <mergeCell ref="V122:AP122"/>
    <mergeCell ref="A123:U123"/>
    <mergeCell ref="V123:AP123"/>
    <mergeCell ref="A128:B128"/>
    <mergeCell ref="C128:U128"/>
    <mergeCell ref="V128:AF128"/>
    <mergeCell ref="AG128:AP128"/>
    <mergeCell ref="A129:U129"/>
    <mergeCell ref="V129:AF129"/>
    <mergeCell ref="AG129:AP129"/>
    <mergeCell ref="A130:J130"/>
    <mergeCell ref="K130:U130"/>
    <mergeCell ref="V130:AF130"/>
    <mergeCell ref="AG130:AP130"/>
    <mergeCell ref="A131:J131"/>
    <mergeCell ref="K131:U131"/>
    <mergeCell ref="V131:AF131"/>
    <mergeCell ref="AG131:AP131"/>
    <mergeCell ref="A132:U132"/>
    <mergeCell ref="V132:AP132"/>
    <mergeCell ref="A133:U133"/>
    <mergeCell ref="V133:AP133"/>
    <mergeCell ref="A135:B135"/>
    <mergeCell ref="C135:U135"/>
    <mergeCell ref="V135:AF135"/>
    <mergeCell ref="AG135:AP135"/>
    <mergeCell ref="A136:U136"/>
    <mergeCell ref="V136:AF136"/>
    <mergeCell ref="AG136:AP136"/>
    <mergeCell ref="A137:J137"/>
    <mergeCell ref="K137:U137"/>
    <mergeCell ref="V137:AF137"/>
    <mergeCell ref="AG137:AP137"/>
    <mergeCell ref="A138:J138"/>
    <mergeCell ref="K138:U138"/>
    <mergeCell ref="V138:AF138"/>
    <mergeCell ref="AG138:AP138"/>
    <mergeCell ref="A139:U139"/>
    <mergeCell ref="V139:AP139"/>
    <mergeCell ref="A140:U140"/>
    <mergeCell ref="V140:AP140"/>
    <mergeCell ref="A142:B142"/>
    <mergeCell ref="C142:U142"/>
    <mergeCell ref="V142:AF142"/>
    <mergeCell ref="AG142:AP142"/>
    <mergeCell ref="A143:U143"/>
    <mergeCell ref="V143:AF143"/>
    <mergeCell ref="AG143:AP143"/>
    <mergeCell ref="A144:J144"/>
    <mergeCell ref="K144:U144"/>
    <mergeCell ref="V144:AF144"/>
    <mergeCell ref="AG144:AP144"/>
    <mergeCell ref="A145:J145"/>
    <mergeCell ref="K145:U145"/>
    <mergeCell ref="V145:AF145"/>
    <mergeCell ref="AG145:AP145"/>
    <mergeCell ref="A146:U146"/>
    <mergeCell ref="V146:AP146"/>
    <mergeCell ref="A147:U147"/>
    <mergeCell ref="V147:AP147"/>
    <mergeCell ref="A149:B149"/>
    <mergeCell ref="C149:U149"/>
    <mergeCell ref="V149:AF149"/>
    <mergeCell ref="AG149:AP149"/>
    <mergeCell ref="A150:U150"/>
    <mergeCell ref="V150:AF150"/>
    <mergeCell ref="AG150:AP150"/>
    <mergeCell ref="A151:J151"/>
    <mergeCell ref="K151:U151"/>
    <mergeCell ref="V151:AF151"/>
    <mergeCell ref="AG151:AP151"/>
    <mergeCell ref="A152:J152"/>
    <mergeCell ref="K152:U152"/>
    <mergeCell ref="V152:AF152"/>
    <mergeCell ref="AG152:AP152"/>
    <mergeCell ref="A153:U153"/>
    <mergeCell ref="V153:AP153"/>
    <mergeCell ref="A154:U154"/>
    <mergeCell ref="V154:AP154"/>
    <mergeCell ref="A156:B156"/>
    <mergeCell ref="C156:U156"/>
    <mergeCell ref="V156:AF156"/>
    <mergeCell ref="AG156:AP156"/>
    <mergeCell ref="A157:U157"/>
    <mergeCell ref="V157:AF157"/>
    <mergeCell ref="AG157:AP157"/>
    <mergeCell ref="A158:J158"/>
    <mergeCell ref="K158:U158"/>
    <mergeCell ref="V158:AF158"/>
    <mergeCell ref="AG158:AP158"/>
    <mergeCell ref="A159:J159"/>
    <mergeCell ref="K159:U159"/>
    <mergeCell ref="V159:AF159"/>
    <mergeCell ref="AG159:AP159"/>
    <mergeCell ref="A160:U160"/>
    <mergeCell ref="V160:AP160"/>
    <mergeCell ref="A161:U161"/>
    <mergeCell ref="V161:AP161"/>
    <mergeCell ref="A163:B163"/>
    <mergeCell ref="C163:U163"/>
    <mergeCell ref="V163:AF163"/>
    <mergeCell ref="AG163:AP163"/>
    <mergeCell ref="A164:U164"/>
    <mergeCell ref="V164:AF164"/>
    <mergeCell ref="AG164:AP164"/>
    <mergeCell ref="A165:J165"/>
    <mergeCell ref="K165:U165"/>
    <mergeCell ref="V165:AF165"/>
    <mergeCell ref="AG165:AP165"/>
    <mergeCell ref="A166:J166"/>
    <mergeCell ref="K166:U166"/>
    <mergeCell ref="V166:AF166"/>
    <mergeCell ref="AG166:AP166"/>
    <mergeCell ref="A167:U167"/>
    <mergeCell ref="V167:AP167"/>
    <mergeCell ref="A168:U168"/>
    <mergeCell ref="V168:AP168"/>
    <mergeCell ref="A170:B170"/>
    <mergeCell ref="C170:U170"/>
    <mergeCell ref="V170:AF170"/>
    <mergeCell ref="AG170:AP170"/>
    <mergeCell ref="A171:U171"/>
    <mergeCell ref="V171:AF171"/>
    <mergeCell ref="AG171:AP171"/>
    <mergeCell ref="A172:J172"/>
    <mergeCell ref="K172:U172"/>
    <mergeCell ref="V172:AF172"/>
    <mergeCell ref="AG172:AP172"/>
    <mergeCell ref="A173:J173"/>
    <mergeCell ref="K173:U173"/>
    <mergeCell ref="V173:AF173"/>
    <mergeCell ref="AG173:AP173"/>
    <mergeCell ref="A174:U174"/>
    <mergeCell ref="V174:AP174"/>
    <mergeCell ref="A175:U175"/>
    <mergeCell ref="V175:AP175"/>
    <mergeCell ref="A177:B177"/>
    <mergeCell ref="C177:U177"/>
    <mergeCell ref="V177:AF177"/>
    <mergeCell ref="AG177:AP177"/>
    <mergeCell ref="A178:U178"/>
    <mergeCell ref="V178:AF178"/>
    <mergeCell ref="AG178:AP178"/>
    <mergeCell ref="A179:J179"/>
    <mergeCell ref="K179:U179"/>
    <mergeCell ref="V179:AF179"/>
    <mergeCell ref="AG179:AP179"/>
    <mergeCell ref="A180:J180"/>
    <mergeCell ref="K180:U180"/>
    <mergeCell ref="V180:AF180"/>
    <mergeCell ref="AG180:AP180"/>
    <mergeCell ref="A181:U181"/>
    <mergeCell ref="V181:AP181"/>
    <mergeCell ref="A182:U182"/>
    <mergeCell ref="V182:AP182"/>
    <mergeCell ref="A184:B184"/>
    <mergeCell ref="C184:U184"/>
    <mergeCell ref="V184:AF184"/>
    <mergeCell ref="AG184:AP184"/>
    <mergeCell ref="A185:U185"/>
    <mergeCell ref="V185:AF185"/>
    <mergeCell ref="AG185:AP185"/>
    <mergeCell ref="A186:J186"/>
    <mergeCell ref="K186:U186"/>
    <mergeCell ref="V186:AF186"/>
    <mergeCell ref="AG186:AP186"/>
    <mergeCell ref="A187:J187"/>
    <mergeCell ref="K187:U187"/>
    <mergeCell ref="V187:AF187"/>
    <mergeCell ref="AG187:AP187"/>
    <mergeCell ref="A188:U188"/>
    <mergeCell ref="V188:AP188"/>
    <mergeCell ref="A189:U189"/>
    <mergeCell ref="V189:AP189"/>
    <mergeCell ref="A191:B191"/>
    <mergeCell ref="C191:U191"/>
    <mergeCell ref="V191:AF191"/>
    <mergeCell ref="AG191:AP191"/>
    <mergeCell ref="A192:U192"/>
    <mergeCell ref="V192:AF192"/>
    <mergeCell ref="AG192:AP192"/>
    <mergeCell ref="A193:J193"/>
    <mergeCell ref="K193:U193"/>
    <mergeCell ref="V193:AF193"/>
    <mergeCell ref="AG193:AP193"/>
    <mergeCell ref="A194:J194"/>
    <mergeCell ref="K194:U194"/>
    <mergeCell ref="V194:AF194"/>
    <mergeCell ref="AG194:AP194"/>
    <mergeCell ref="A195:U195"/>
    <mergeCell ref="V195:AP195"/>
    <mergeCell ref="A196:U196"/>
    <mergeCell ref="V196:AP196"/>
    <mergeCell ref="A200:B200"/>
    <mergeCell ref="C200:U200"/>
    <mergeCell ref="V200:AF200"/>
    <mergeCell ref="AG200:AP200"/>
    <mergeCell ref="A201:U201"/>
    <mergeCell ref="V201:AF201"/>
    <mergeCell ref="AG201:AP201"/>
    <mergeCell ref="A202:J202"/>
    <mergeCell ref="K202:U202"/>
    <mergeCell ref="V202:AF202"/>
    <mergeCell ref="AG202:AP202"/>
    <mergeCell ref="A203:J203"/>
    <mergeCell ref="K203:U203"/>
    <mergeCell ref="V203:AF203"/>
    <mergeCell ref="AG203:AP203"/>
    <mergeCell ref="A204:U204"/>
    <mergeCell ref="V204:AP204"/>
    <mergeCell ref="A205:U205"/>
    <mergeCell ref="V205:AP205"/>
    <mergeCell ref="A207:B207"/>
    <mergeCell ref="C207:U207"/>
    <mergeCell ref="V207:AF207"/>
    <mergeCell ref="AG207:AP207"/>
    <mergeCell ref="A208:U208"/>
    <mergeCell ref="V208:AF208"/>
    <mergeCell ref="AG208:AP208"/>
    <mergeCell ref="A209:J209"/>
    <mergeCell ref="K209:U209"/>
    <mergeCell ref="V209:AF209"/>
    <mergeCell ref="AG209:AP209"/>
    <mergeCell ref="A210:J210"/>
    <mergeCell ref="K210:U210"/>
    <mergeCell ref="V210:AF210"/>
    <mergeCell ref="AG210:AP210"/>
    <mergeCell ref="A211:U211"/>
    <mergeCell ref="V211:AP211"/>
    <mergeCell ref="A212:U212"/>
    <mergeCell ref="V212:AP212"/>
    <mergeCell ref="A214:B214"/>
    <mergeCell ref="C214:U214"/>
    <mergeCell ref="V214:AF214"/>
    <mergeCell ref="AG214:AP214"/>
    <mergeCell ref="A215:U215"/>
    <mergeCell ref="V215:AF215"/>
    <mergeCell ref="AG215:AP215"/>
    <mergeCell ref="A216:J216"/>
    <mergeCell ref="K216:U216"/>
    <mergeCell ref="V216:AF216"/>
    <mergeCell ref="AG216:AP216"/>
    <mergeCell ref="A217:J217"/>
    <mergeCell ref="K217:U217"/>
    <mergeCell ref="V217:AF217"/>
    <mergeCell ref="AG217:AP217"/>
    <mergeCell ref="A218:U218"/>
    <mergeCell ref="V218:AP218"/>
    <mergeCell ref="A219:U219"/>
    <mergeCell ref="V219:AP219"/>
    <mergeCell ref="A221:B221"/>
    <mergeCell ref="C221:U221"/>
    <mergeCell ref="V221:AF221"/>
    <mergeCell ref="AG221:AP221"/>
    <mergeCell ref="A222:U222"/>
    <mergeCell ref="V222:AF222"/>
    <mergeCell ref="AG222:AP222"/>
    <mergeCell ref="A223:J223"/>
    <mergeCell ref="K223:U223"/>
    <mergeCell ref="V223:AF223"/>
    <mergeCell ref="AG223:AP223"/>
    <mergeCell ref="A224:J224"/>
    <mergeCell ref="K224:U224"/>
    <mergeCell ref="V224:AF224"/>
    <mergeCell ref="AG224:AP224"/>
    <mergeCell ref="A225:U225"/>
    <mergeCell ref="V225:AP225"/>
    <mergeCell ref="A226:U226"/>
    <mergeCell ref="V226:AP226"/>
    <mergeCell ref="A228:B228"/>
    <mergeCell ref="C228:U228"/>
    <mergeCell ref="V228:AF228"/>
    <mergeCell ref="AG228:AP228"/>
    <mergeCell ref="A229:U229"/>
    <mergeCell ref="V229:AF229"/>
    <mergeCell ref="AG229:AP229"/>
    <mergeCell ref="A230:J230"/>
    <mergeCell ref="K230:U230"/>
    <mergeCell ref="V230:AF230"/>
    <mergeCell ref="AG230:AP230"/>
    <mergeCell ref="A231:J231"/>
    <mergeCell ref="K231:U231"/>
    <mergeCell ref="V231:AF231"/>
    <mergeCell ref="AG231:AP231"/>
    <mergeCell ref="A232:U232"/>
    <mergeCell ref="V232:AP232"/>
    <mergeCell ref="A233:U233"/>
    <mergeCell ref="V233:AP233"/>
    <mergeCell ref="A235:B235"/>
    <mergeCell ref="C235:U235"/>
    <mergeCell ref="V235:AF235"/>
    <mergeCell ref="AG235:AP235"/>
    <mergeCell ref="A236:U236"/>
    <mergeCell ref="V236:AF236"/>
    <mergeCell ref="AG236:AP236"/>
    <mergeCell ref="A237:J237"/>
    <mergeCell ref="K237:U237"/>
    <mergeCell ref="V237:AF237"/>
    <mergeCell ref="AG237:AP237"/>
    <mergeCell ref="A238:J238"/>
    <mergeCell ref="K238:U238"/>
    <mergeCell ref="V238:AF238"/>
    <mergeCell ref="AG238:AP238"/>
    <mergeCell ref="A239:U239"/>
    <mergeCell ref="V239:AP239"/>
    <mergeCell ref="A240:U240"/>
    <mergeCell ref="V240:AP240"/>
    <mergeCell ref="A242:B242"/>
    <mergeCell ref="C242:U242"/>
    <mergeCell ref="V242:AF242"/>
    <mergeCell ref="AG242:AP242"/>
    <mergeCell ref="A243:U243"/>
    <mergeCell ref="V243:AF243"/>
    <mergeCell ref="AG243:AP243"/>
    <mergeCell ref="A244:J244"/>
    <mergeCell ref="K244:U244"/>
    <mergeCell ref="V244:AF244"/>
    <mergeCell ref="AG244:AP244"/>
    <mergeCell ref="A245:J245"/>
    <mergeCell ref="K245:U245"/>
    <mergeCell ref="V245:AF245"/>
    <mergeCell ref="AG245:AP245"/>
    <mergeCell ref="A246:U246"/>
    <mergeCell ref="V246:AP246"/>
    <mergeCell ref="A247:U247"/>
    <mergeCell ref="V247:AP247"/>
    <mergeCell ref="A249:B249"/>
    <mergeCell ref="C249:U249"/>
    <mergeCell ref="V249:AF249"/>
    <mergeCell ref="AG249:AP249"/>
    <mergeCell ref="A250:U250"/>
    <mergeCell ref="V250:AF250"/>
    <mergeCell ref="AG250:AP250"/>
    <mergeCell ref="A251:J251"/>
    <mergeCell ref="K251:U251"/>
    <mergeCell ref="V251:AF251"/>
    <mergeCell ref="AG251:AP251"/>
    <mergeCell ref="A252:J252"/>
    <mergeCell ref="K252:U252"/>
    <mergeCell ref="V252:AF252"/>
    <mergeCell ref="AG252:AP252"/>
    <mergeCell ref="A253:U253"/>
    <mergeCell ref="V253:AP253"/>
    <mergeCell ref="A254:U254"/>
    <mergeCell ref="V254:AP254"/>
    <mergeCell ref="A256:B256"/>
    <mergeCell ref="C256:U256"/>
    <mergeCell ref="V256:AF256"/>
    <mergeCell ref="AG256:AP256"/>
    <mergeCell ref="A257:U257"/>
    <mergeCell ref="V257:AF257"/>
    <mergeCell ref="AG257:AP257"/>
    <mergeCell ref="A258:J258"/>
    <mergeCell ref="K258:U258"/>
    <mergeCell ref="V258:AF258"/>
    <mergeCell ref="AG258:AP258"/>
    <mergeCell ref="A259:J259"/>
    <mergeCell ref="K259:U259"/>
    <mergeCell ref="V259:AF259"/>
    <mergeCell ref="AG259:AP259"/>
    <mergeCell ref="A260:U260"/>
    <mergeCell ref="V260:AP260"/>
    <mergeCell ref="A261:U261"/>
    <mergeCell ref="V261:AP261"/>
    <mergeCell ref="A265:B265"/>
    <mergeCell ref="C265:U265"/>
    <mergeCell ref="V265:AF265"/>
    <mergeCell ref="AG265:AP265"/>
    <mergeCell ref="A266:U266"/>
    <mergeCell ref="V266:AF266"/>
    <mergeCell ref="AG266:AP266"/>
    <mergeCell ref="A267:J267"/>
    <mergeCell ref="K267:U267"/>
    <mergeCell ref="V267:AF267"/>
    <mergeCell ref="AG267:AP267"/>
    <mergeCell ref="A268:J268"/>
    <mergeCell ref="K268:U268"/>
    <mergeCell ref="V268:AF268"/>
    <mergeCell ref="AG268:AP268"/>
    <mergeCell ref="A269:U269"/>
    <mergeCell ref="V269:AP269"/>
    <mergeCell ref="A270:U270"/>
    <mergeCell ref="V270:AP270"/>
    <mergeCell ref="A272:B272"/>
    <mergeCell ref="C272:U272"/>
    <mergeCell ref="V272:AF272"/>
    <mergeCell ref="AG272:AP272"/>
    <mergeCell ref="A273:U273"/>
    <mergeCell ref="V273:AF273"/>
    <mergeCell ref="AG273:AP273"/>
    <mergeCell ref="A274:J274"/>
    <mergeCell ref="K274:U274"/>
    <mergeCell ref="V274:AF274"/>
    <mergeCell ref="AG274:AP274"/>
    <mergeCell ref="A275:J275"/>
    <mergeCell ref="K275:U275"/>
    <mergeCell ref="V275:AF275"/>
    <mergeCell ref="AG275:AP275"/>
    <mergeCell ref="A276:U276"/>
    <mergeCell ref="V276:AP276"/>
    <mergeCell ref="A277:U277"/>
    <mergeCell ref="V277:AP277"/>
    <mergeCell ref="A279:B279"/>
    <mergeCell ref="C279:U279"/>
    <mergeCell ref="V279:AF279"/>
    <mergeCell ref="AG279:AP279"/>
    <mergeCell ref="A280:U280"/>
    <mergeCell ref="V280:AF280"/>
    <mergeCell ref="AG280:AP280"/>
    <mergeCell ref="A281:J281"/>
    <mergeCell ref="K281:U281"/>
    <mergeCell ref="V281:AF281"/>
    <mergeCell ref="AG281:AP281"/>
    <mergeCell ref="A282:J282"/>
    <mergeCell ref="K282:U282"/>
    <mergeCell ref="V282:AF282"/>
    <mergeCell ref="AG282:AP282"/>
    <mergeCell ref="A283:U283"/>
    <mergeCell ref="V283:AP283"/>
    <mergeCell ref="A284:U284"/>
    <mergeCell ref="V284:AP284"/>
    <mergeCell ref="A286:B286"/>
    <mergeCell ref="C286:U286"/>
    <mergeCell ref="V286:AF286"/>
    <mergeCell ref="AG286:AP286"/>
    <mergeCell ref="A287:U287"/>
    <mergeCell ref="V287:AF287"/>
    <mergeCell ref="AG287:AP287"/>
    <mergeCell ref="A288:J288"/>
    <mergeCell ref="K288:U288"/>
    <mergeCell ref="V288:AF288"/>
    <mergeCell ref="AG288:AP288"/>
    <mergeCell ref="A289:J289"/>
    <mergeCell ref="K289:U289"/>
    <mergeCell ref="V289:AF289"/>
    <mergeCell ref="AG289:AP289"/>
    <mergeCell ref="A290:U290"/>
    <mergeCell ref="V290:AP290"/>
    <mergeCell ref="A291:U291"/>
    <mergeCell ref="V291:AP291"/>
    <mergeCell ref="A293:B293"/>
    <mergeCell ref="C293:U293"/>
    <mergeCell ref="V293:AF293"/>
    <mergeCell ref="AG293:AP293"/>
    <mergeCell ref="A294:U294"/>
    <mergeCell ref="V294:AF294"/>
    <mergeCell ref="AG294:AP294"/>
    <mergeCell ref="A295:J295"/>
    <mergeCell ref="K295:U295"/>
    <mergeCell ref="V295:AF295"/>
    <mergeCell ref="AG295:AP295"/>
    <mergeCell ref="A296:J296"/>
    <mergeCell ref="K296:U296"/>
    <mergeCell ref="V296:AF296"/>
    <mergeCell ref="AG296:AP296"/>
    <mergeCell ref="A297:U297"/>
    <mergeCell ref="V297:AP297"/>
    <mergeCell ref="A298:U298"/>
    <mergeCell ref="V298:AP298"/>
    <mergeCell ref="A300:B300"/>
    <mergeCell ref="C300:U300"/>
    <mergeCell ref="V300:AF300"/>
    <mergeCell ref="AG300:AP300"/>
    <mergeCell ref="A301:U301"/>
    <mergeCell ref="V301:AF301"/>
    <mergeCell ref="AG301:AP301"/>
    <mergeCell ref="A302:J302"/>
    <mergeCell ref="K302:U302"/>
    <mergeCell ref="V302:AF302"/>
    <mergeCell ref="AG302:AP302"/>
    <mergeCell ref="A303:J303"/>
    <mergeCell ref="K303:U303"/>
    <mergeCell ref="V303:AF303"/>
    <mergeCell ref="AG303:AP303"/>
    <mergeCell ref="A304:U304"/>
    <mergeCell ref="V304:AP304"/>
    <mergeCell ref="A305:U305"/>
    <mergeCell ref="V305:AP305"/>
    <mergeCell ref="A307:B307"/>
    <mergeCell ref="C307:U307"/>
    <mergeCell ref="V307:AF307"/>
    <mergeCell ref="AG307:AP307"/>
    <mergeCell ref="A308:U308"/>
    <mergeCell ref="V308:AF308"/>
    <mergeCell ref="AG308:AP308"/>
    <mergeCell ref="A309:J309"/>
    <mergeCell ref="K309:U309"/>
    <mergeCell ref="V309:AF309"/>
    <mergeCell ref="AG309:AP309"/>
    <mergeCell ref="A310:J310"/>
    <mergeCell ref="K310:U310"/>
    <mergeCell ref="V310:AF310"/>
    <mergeCell ref="AG310:AP310"/>
    <mergeCell ref="A311:U311"/>
    <mergeCell ref="V311:AP311"/>
    <mergeCell ref="A312:U312"/>
    <mergeCell ref="V312:AP312"/>
    <mergeCell ref="A314:B314"/>
    <mergeCell ref="C314:U314"/>
    <mergeCell ref="V314:AF314"/>
    <mergeCell ref="AG314:AP314"/>
    <mergeCell ref="A315:U315"/>
    <mergeCell ref="V315:AF315"/>
    <mergeCell ref="AG315:AP315"/>
    <mergeCell ref="A316:J316"/>
    <mergeCell ref="K316:U316"/>
    <mergeCell ref="V316:AF316"/>
    <mergeCell ref="AG316:AP316"/>
    <mergeCell ref="A317:J317"/>
    <mergeCell ref="K317:U317"/>
    <mergeCell ref="V317:AF317"/>
    <mergeCell ref="AG317:AP317"/>
    <mergeCell ref="A318:U318"/>
    <mergeCell ref="V318:AP318"/>
    <mergeCell ref="A319:U319"/>
    <mergeCell ref="V319:AP319"/>
    <mergeCell ref="A321:B321"/>
    <mergeCell ref="C321:U321"/>
    <mergeCell ref="V321:AF321"/>
    <mergeCell ref="AG321:AP321"/>
    <mergeCell ref="A322:U322"/>
    <mergeCell ref="V322:AF322"/>
    <mergeCell ref="AG322:AP322"/>
    <mergeCell ref="A323:J323"/>
    <mergeCell ref="K323:U323"/>
    <mergeCell ref="V323:AF323"/>
    <mergeCell ref="AG323:AP323"/>
    <mergeCell ref="A324:J324"/>
    <mergeCell ref="K324:U324"/>
    <mergeCell ref="V324:AF324"/>
    <mergeCell ref="AG324:AP324"/>
    <mergeCell ref="A325:U325"/>
    <mergeCell ref="V325:AP325"/>
    <mergeCell ref="A326:U326"/>
    <mergeCell ref="V326:AP326"/>
    <mergeCell ref="A330:B330"/>
    <mergeCell ref="C330:U330"/>
    <mergeCell ref="V330:AF330"/>
    <mergeCell ref="AG330:AP330"/>
    <mergeCell ref="A331:U331"/>
    <mergeCell ref="V331:AF331"/>
    <mergeCell ref="AG331:AP331"/>
    <mergeCell ref="A332:J332"/>
    <mergeCell ref="K332:U332"/>
    <mergeCell ref="V332:AF332"/>
    <mergeCell ref="AG332:AP332"/>
    <mergeCell ref="A333:J333"/>
    <mergeCell ref="K333:U333"/>
    <mergeCell ref="V333:AF333"/>
    <mergeCell ref="AG333:AP333"/>
    <mergeCell ref="A334:U334"/>
    <mergeCell ref="V334:AP334"/>
    <mergeCell ref="A335:U335"/>
    <mergeCell ref="V335:AP335"/>
    <mergeCell ref="A337:B337"/>
    <mergeCell ref="C337:U337"/>
    <mergeCell ref="V337:AF337"/>
    <mergeCell ref="AG337:AP337"/>
    <mergeCell ref="A338:U338"/>
    <mergeCell ref="V338:AF338"/>
    <mergeCell ref="AG338:AP338"/>
    <mergeCell ref="A339:J339"/>
    <mergeCell ref="K339:U339"/>
    <mergeCell ref="V339:AF339"/>
    <mergeCell ref="AG339:AP339"/>
    <mergeCell ref="A340:J340"/>
    <mergeCell ref="K340:U340"/>
    <mergeCell ref="V340:AF340"/>
    <mergeCell ref="AG340:AP340"/>
    <mergeCell ref="A341:U341"/>
    <mergeCell ref="V341:AP341"/>
    <mergeCell ref="A342:U342"/>
    <mergeCell ref="V342:AP342"/>
    <mergeCell ref="A344:B344"/>
    <mergeCell ref="C344:U344"/>
    <mergeCell ref="V344:AF344"/>
    <mergeCell ref="AG344:AP344"/>
    <mergeCell ref="A345:U345"/>
    <mergeCell ref="V345:AF345"/>
    <mergeCell ref="AG345:AP345"/>
    <mergeCell ref="A346:J346"/>
    <mergeCell ref="K346:U346"/>
    <mergeCell ref="V346:AF346"/>
    <mergeCell ref="AG346:AP346"/>
    <mergeCell ref="A347:J347"/>
    <mergeCell ref="K347:U347"/>
    <mergeCell ref="V347:AF347"/>
    <mergeCell ref="AG347:AP347"/>
    <mergeCell ref="A348:U348"/>
    <mergeCell ref="V348:AP348"/>
    <mergeCell ref="A349:U349"/>
    <mergeCell ref="V349:AP349"/>
    <mergeCell ref="A351:B351"/>
    <mergeCell ref="C351:U351"/>
    <mergeCell ref="V351:AF351"/>
    <mergeCell ref="AG351:AP351"/>
    <mergeCell ref="A352:U352"/>
    <mergeCell ref="V352:AF352"/>
    <mergeCell ref="AG352:AP352"/>
    <mergeCell ref="A353:J353"/>
    <mergeCell ref="K353:U353"/>
    <mergeCell ref="V353:AF353"/>
    <mergeCell ref="AG353:AP353"/>
    <mergeCell ref="A354:J354"/>
    <mergeCell ref="K354:U354"/>
    <mergeCell ref="V354:AF354"/>
    <mergeCell ref="AG354:AP354"/>
    <mergeCell ref="A355:U355"/>
    <mergeCell ref="V355:AP355"/>
    <mergeCell ref="A356:U356"/>
    <mergeCell ref="V356:AP356"/>
    <mergeCell ref="A358:B358"/>
    <mergeCell ref="C358:U358"/>
    <mergeCell ref="V358:AF358"/>
    <mergeCell ref="AG358:AP358"/>
    <mergeCell ref="A359:U359"/>
    <mergeCell ref="V359:AF359"/>
    <mergeCell ref="AG359:AP359"/>
    <mergeCell ref="A360:J360"/>
    <mergeCell ref="K360:U360"/>
    <mergeCell ref="V360:AF360"/>
    <mergeCell ref="AG360:AP360"/>
    <mergeCell ref="A361:J361"/>
    <mergeCell ref="K361:U361"/>
    <mergeCell ref="V361:AF361"/>
    <mergeCell ref="AG361:AP361"/>
    <mergeCell ref="A362:U362"/>
    <mergeCell ref="V362:AP362"/>
    <mergeCell ref="A363:U363"/>
    <mergeCell ref="V363:AP363"/>
    <mergeCell ref="A365:B365"/>
    <mergeCell ref="C365:U365"/>
    <mergeCell ref="V365:AF365"/>
    <mergeCell ref="AG365:AP365"/>
    <mergeCell ref="A366:U366"/>
    <mergeCell ref="V366:AF366"/>
    <mergeCell ref="AG366:AP366"/>
    <mergeCell ref="A367:J367"/>
    <mergeCell ref="K367:U367"/>
    <mergeCell ref="V367:AF367"/>
    <mergeCell ref="AG367:AP367"/>
    <mergeCell ref="A368:J368"/>
    <mergeCell ref="K368:U368"/>
    <mergeCell ref="V368:AF368"/>
    <mergeCell ref="AG368:AP368"/>
    <mergeCell ref="A369:U369"/>
    <mergeCell ref="V369:AP369"/>
    <mergeCell ref="A370:U370"/>
    <mergeCell ref="V370:AP370"/>
    <mergeCell ref="A372:B372"/>
    <mergeCell ref="C372:U372"/>
    <mergeCell ref="V372:AF372"/>
    <mergeCell ref="AG372:AP372"/>
    <mergeCell ref="A373:U373"/>
    <mergeCell ref="V373:AF373"/>
    <mergeCell ref="AG373:AP373"/>
    <mergeCell ref="A374:J374"/>
    <mergeCell ref="K374:U374"/>
    <mergeCell ref="V374:AF374"/>
    <mergeCell ref="AG374:AP374"/>
    <mergeCell ref="A375:J375"/>
    <mergeCell ref="K375:U375"/>
    <mergeCell ref="V375:AF375"/>
    <mergeCell ref="AG375:AP375"/>
    <mergeCell ref="A376:U376"/>
    <mergeCell ref="V376:AP376"/>
    <mergeCell ref="A377:U377"/>
    <mergeCell ref="V377:AP377"/>
    <mergeCell ref="A379:B379"/>
    <mergeCell ref="C379:U379"/>
    <mergeCell ref="V379:AF379"/>
    <mergeCell ref="AG379:AP379"/>
    <mergeCell ref="A380:U380"/>
    <mergeCell ref="V380:AF380"/>
    <mergeCell ref="AG380:AP380"/>
    <mergeCell ref="A381:J381"/>
    <mergeCell ref="K381:U381"/>
    <mergeCell ref="V381:AF381"/>
    <mergeCell ref="AG381:AP381"/>
    <mergeCell ref="A382:J382"/>
    <mergeCell ref="K382:U382"/>
    <mergeCell ref="V382:AF382"/>
    <mergeCell ref="AG382:AP382"/>
    <mergeCell ref="A383:U383"/>
    <mergeCell ref="V383:AP383"/>
    <mergeCell ref="A384:U384"/>
    <mergeCell ref="V384:AP384"/>
    <mergeCell ref="A386:B386"/>
    <mergeCell ref="C386:U386"/>
    <mergeCell ref="V386:AF386"/>
    <mergeCell ref="AG386:AP386"/>
    <mergeCell ref="A387:U387"/>
    <mergeCell ref="V387:AF387"/>
    <mergeCell ref="AG387:AP387"/>
    <mergeCell ref="A388:J388"/>
    <mergeCell ref="K388:U388"/>
    <mergeCell ref="V388:AF388"/>
    <mergeCell ref="AG388:AP388"/>
    <mergeCell ref="A389:J389"/>
    <mergeCell ref="K389:U389"/>
    <mergeCell ref="V389:AF389"/>
    <mergeCell ref="AG389:AP389"/>
    <mergeCell ref="A390:U390"/>
    <mergeCell ref="V390:AP390"/>
    <mergeCell ref="A391:U391"/>
    <mergeCell ref="V391:AP391"/>
    <mergeCell ref="A395:B395"/>
    <mergeCell ref="C395:U395"/>
    <mergeCell ref="V395:AF395"/>
    <mergeCell ref="AG395:AP395"/>
    <mergeCell ref="A396:U396"/>
    <mergeCell ref="V396:AF396"/>
    <mergeCell ref="AG396:AP396"/>
    <mergeCell ref="A397:J397"/>
    <mergeCell ref="K397:U397"/>
    <mergeCell ref="V397:AF397"/>
    <mergeCell ref="AG397:AP397"/>
    <mergeCell ref="A398:J398"/>
    <mergeCell ref="K398:U398"/>
    <mergeCell ref="V398:AF398"/>
    <mergeCell ref="AG398:AP398"/>
    <mergeCell ref="A399:U399"/>
    <mergeCell ref="V399:AP399"/>
    <mergeCell ref="A400:U400"/>
    <mergeCell ref="V400:AP400"/>
    <mergeCell ref="A402:B402"/>
    <mergeCell ref="C402:U402"/>
    <mergeCell ref="V402:AF402"/>
    <mergeCell ref="AG402:AP402"/>
    <mergeCell ref="A403:U403"/>
    <mergeCell ref="V403:AF403"/>
    <mergeCell ref="AG403:AP403"/>
    <mergeCell ref="A404:J404"/>
    <mergeCell ref="K404:U404"/>
    <mergeCell ref="V404:AF404"/>
    <mergeCell ref="AG404:AP404"/>
    <mergeCell ref="A405:J405"/>
    <mergeCell ref="K405:U405"/>
    <mergeCell ref="V405:AF405"/>
    <mergeCell ref="AG405:AP405"/>
    <mergeCell ref="A406:U406"/>
    <mergeCell ref="V406:AP406"/>
    <mergeCell ref="A407:U407"/>
    <mergeCell ref="V407:AP407"/>
    <mergeCell ref="A409:B409"/>
    <mergeCell ref="C409:U409"/>
    <mergeCell ref="V409:AF409"/>
    <mergeCell ref="AG409:AP409"/>
    <mergeCell ref="A410:U410"/>
    <mergeCell ref="V410:AF410"/>
    <mergeCell ref="AG410:AP410"/>
    <mergeCell ref="A411:J411"/>
    <mergeCell ref="K411:U411"/>
    <mergeCell ref="V411:AF411"/>
    <mergeCell ref="AG411:AP411"/>
    <mergeCell ref="A412:J412"/>
    <mergeCell ref="K412:U412"/>
    <mergeCell ref="V412:AF412"/>
    <mergeCell ref="AG412:AP412"/>
    <mergeCell ref="A413:U413"/>
    <mergeCell ref="V413:AP413"/>
    <mergeCell ref="A414:U414"/>
    <mergeCell ref="V414:AP414"/>
    <mergeCell ref="A416:B416"/>
    <mergeCell ref="C416:U416"/>
    <mergeCell ref="V416:AF416"/>
    <mergeCell ref="AG416:AP416"/>
    <mergeCell ref="A417:U417"/>
    <mergeCell ref="V417:AF417"/>
    <mergeCell ref="AG417:AP417"/>
    <mergeCell ref="A418:J418"/>
    <mergeCell ref="K418:U418"/>
    <mergeCell ref="V418:AF418"/>
    <mergeCell ref="AG418:AP418"/>
    <mergeCell ref="A419:J419"/>
    <mergeCell ref="K419:U419"/>
    <mergeCell ref="V419:AF419"/>
    <mergeCell ref="AG419:AP419"/>
    <mergeCell ref="A420:U420"/>
    <mergeCell ref="V420:AP420"/>
    <mergeCell ref="A421:U421"/>
    <mergeCell ref="V421:AP421"/>
    <mergeCell ref="A423:B423"/>
    <mergeCell ref="C423:U423"/>
    <mergeCell ref="V423:AF423"/>
    <mergeCell ref="AG423:AP423"/>
    <mergeCell ref="A424:U424"/>
    <mergeCell ref="V424:AF424"/>
    <mergeCell ref="AG424:AP424"/>
    <mergeCell ref="A425:J425"/>
    <mergeCell ref="K425:U425"/>
    <mergeCell ref="V425:AF425"/>
    <mergeCell ref="AG425:AP425"/>
    <mergeCell ref="A426:J426"/>
    <mergeCell ref="K426:U426"/>
    <mergeCell ref="V426:AF426"/>
    <mergeCell ref="AG426:AP426"/>
    <mergeCell ref="A427:U427"/>
    <mergeCell ref="V427:AP427"/>
    <mergeCell ref="A428:U428"/>
    <mergeCell ref="V428:AP428"/>
    <mergeCell ref="A430:B430"/>
    <mergeCell ref="C430:U430"/>
    <mergeCell ref="V430:AF430"/>
    <mergeCell ref="AG430:AP430"/>
    <mergeCell ref="A431:U431"/>
    <mergeCell ref="V431:AF431"/>
    <mergeCell ref="AG431:AP431"/>
    <mergeCell ref="A432:J432"/>
    <mergeCell ref="K432:U432"/>
    <mergeCell ref="V432:AF432"/>
    <mergeCell ref="AG432:AP432"/>
    <mergeCell ref="A433:J433"/>
    <mergeCell ref="K433:U433"/>
    <mergeCell ref="V433:AF433"/>
    <mergeCell ref="AG433:AP433"/>
    <mergeCell ref="A434:U434"/>
    <mergeCell ref="V434:AP434"/>
    <mergeCell ref="A435:U435"/>
    <mergeCell ref="V435:AP435"/>
    <mergeCell ref="A437:B437"/>
    <mergeCell ref="C437:U437"/>
    <mergeCell ref="V437:AF437"/>
    <mergeCell ref="AG437:AP437"/>
    <mergeCell ref="A438:U438"/>
    <mergeCell ref="V438:AF438"/>
    <mergeCell ref="AG438:AP438"/>
    <mergeCell ref="A439:J439"/>
    <mergeCell ref="K439:U439"/>
    <mergeCell ref="V439:AF439"/>
    <mergeCell ref="AG439:AP439"/>
    <mergeCell ref="A440:J440"/>
    <mergeCell ref="K440:U440"/>
    <mergeCell ref="V440:AF440"/>
    <mergeCell ref="AG440:AP440"/>
    <mergeCell ref="A441:U441"/>
    <mergeCell ref="V441:AP441"/>
    <mergeCell ref="A442:U442"/>
    <mergeCell ref="V442:AP442"/>
    <mergeCell ref="A444:B444"/>
    <mergeCell ref="C444:U444"/>
    <mergeCell ref="V444:AF444"/>
    <mergeCell ref="AG444:AP444"/>
    <mergeCell ref="A445:U445"/>
    <mergeCell ref="V445:AF445"/>
    <mergeCell ref="AG445:AP445"/>
    <mergeCell ref="A446:J446"/>
    <mergeCell ref="K446:U446"/>
    <mergeCell ref="V446:AF446"/>
    <mergeCell ref="AG446:AP446"/>
    <mergeCell ref="A447:J447"/>
    <mergeCell ref="K447:U447"/>
    <mergeCell ref="V447:AF447"/>
    <mergeCell ref="AG447:AP447"/>
    <mergeCell ref="A448:U448"/>
    <mergeCell ref="V448:AP448"/>
    <mergeCell ref="A449:U449"/>
    <mergeCell ref="V449:AP449"/>
    <mergeCell ref="A451:B451"/>
    <mergeCell ref="C451:U451"/>
    <mergeCell ref="V451:AF451"/>
    <mergeCell ref="AG451:AP451"/>
    <mergeCell ref="A452:U452"/>
    <mergeCell ref="V452:AF452"/>
    <mergeCell ref="AG452:AP452"/>
    <mergeCell ref="A453:J453"/>
    <mergeCell ref="K453:U453"/>
    <mergeCell ref="V453:AF453"/>
    <mergeCell ref="AG453:AP453"/>
    <mergeCell ref="A454:J454"/>
    <mergeCell ref="K454:U454"/>
    <mergeCell ref="V454:AF454"/>
    <mergeCell ref="AG454:AP454"/>
    <mergeCell ref="A455:U455"/>
    <mergeCell ref="V455:AP455"/>
    <mergeCell ref="A456:U456"/>
    <mergeCell ref="V456:AP456"/>
    <mergeCell ref="A460:B460"/>
    <mergeCell ref="C460:U460"/>
    <mergeCell ref="V460:AF460"/>
    <mergeCell ref="AG460:AP460"/>
    <mergeCell ref="A461:U461"/>
    <mergeCell ref="V461:AF461"/>
    <mergeCell ref="AG461:AP461"/>
    <mergeCell ref="A462:J462"/>
    <mergeCell ref="K462:U462"/>
    <mergeCell ref="V462:AF462"/>
    <mergeCell ref="AG462:AP462"/>
    <mergeCell ref="A463:J463"/>
    <mergeCell ref="K463:U463"/>
    <mergeCell ref="V463:AF463"/>
    <mergeCell ref="AG463:AP463"/>
    <mergeCell ref="A464:U464"/>
    <mergeCell ref="V464:AP464"/>
    <mergeCell ref="A465:U465"/>
    <mergeCell ref="V465:AP465"/>
    <mergeCell ref="A467:B467"/>
    <mergeCell ref="C467:U467"/>
    <mergeCell ref="V467:AF467"/>
    <mergeCell ref="AG467:AP467"/>
    <mergeCell ref="A468:U468"/>
    <mergeCell ref="V468:AF468"/>
    <mergeCell ref="AG468:AP468"/>
    <mergeCell ref="A469:J469"/>
    <mergeCell ref="K469:U469"/>
    <mergeCell ref="V469:AF469"/>
    <mergeCell ref="AG469:AP469"/>
    <mergeCell ref="A470:J470"/>
    <mergeCell ref="K470:U470"/>
    <mergeCell ref="V470:AF470"/>
    <mergeCell ref="AG470:AP470"/>
    <mergeCell ref="A471:U471"/>
    <mergeCell ref="V471:AP471"/>
    <mergeCell ref="A472:U472"/>
    <mergeCell ref="V472:AP472"/>
    <mergeCell ref="A474:B474"/>
    <mergeCell ref="C474:U474"/>
    <mergeCell ref="V474:AF474"/>
    <mergeCell ref="AG474:AP474"/>
    <mergeCell ref="A475:U475"/>
    <mergeCell ref="V475:AF475"/>
    <mergeCell ref="AG475:AP475"/>
    <mergeCell ref="A476:J476"/>
    <mergeCell ref="K476:U476"/>
    <mergeCell ref="V476:AF476"/>
    <mergeCell ref="AG476:AP476"/>
    <mergeCell ref="A477:J477"/>
    <mergeCell ref="K477:U477"/>
    <mergeCell ref="V477:AF477"/>
    <mergeCell ref="AG477:AP477"/>
    <mergeCell ref="A478:U478"/>
    <mergeCell ref="V478:AP478"/>
    <mergeCell ref="A479:U479"/>
    <mergeCell ref="V479:AP479"/>
    <mergeCell ref="A481:B481"/>
    <mergeCell ref="C481:U481"/>
    <mergeCell ref="V481:AF481"/>
    <mergeCell ref="AG481:AP481"/>
    <mergeCell ref="A482:U482"/>
    <mergeCell ref="V482:AF482"/>
    <mergeCell ref="AG482:AP482"/>
    <mergeCell ref="A483:J483"/>
    <mergeCell ref="K483:U483"/>
    <mergeCell ref="V483:AF483"/>
    <mergeCell ref="AG483:AP483"/>
    <mergeCell ref="A484:J484"/>
    <mergeCell ref="K484:U484"/>
    <mergeCell ref="V484:AF484"/>
    <mergeCell ref="AG484:AP484"/>
    <mergeCell ref="A485:U485"/>
    <mergeCell ref="V485:AP485"/>
    <mergeCell ref="A486:U486"/>
    <mergeCell ref="V486:AP486"/>
    <mergeCell ref="A488:B488"/>
    <mergeCell ref="C488:U488"/>
    <mergeCell ref="V488:AF488"/>
    <mergeCell ref="AG488:AP488"/>
    <mergeCell ref="A489:U489"/>
    <mergeCell ref="V489:AF489"/>
    <mergeCell ref="AG489:AP489"/>
    <mergeCell ref="A490:J490"/>
    <mergeCell ref="K490:U490"/>
    <mergeCell ref="V490:AF490"/>
    <mergeCell ref="AG490:AP490"/>
    <mergeCell ref="A491:J491"/>
    <mergeCell ref="K491:U491"/>
    <mergeCell ref="V491:AF491"/>
    <mergeCell ref="AG491:AP491"/>
    <mergeCell ref="A492:U492"/>
    <mergeCell ref="V492:AP492"/>
    <mergeCell ref="A493:U493"/>
    <mergeCell ref="V493:AP493"/>
    <mergeCell ref="A495:B495"/>
    <mergeCell ref="C495:U495"/>
    <mergeCell ref="V495:AF495"/>
    <mergeCell ref="AG495:AP495"/>
    <mergeCell ref="A496:U496"/>
    <mergeCell ref="V496:AF496"/>
    <mergeCell ref="AG496:AP496"/>
    <mergeCell ref="A497:J497"/>
    <mergeCell ref="K497:U497"/>
    <mergeCell ref="V497:AF497"/>
    <mergeCell ref="AG497:AP497"/>
    <mergeCell ref="A498:J498"/>
    <mergeCell ref="K498:U498"/>
    <mergeCell ref="V498:AF498"/>
    <mergeCell ref="AG498:AP498"/>
    <mergeCell ref="A499:U499"/>
    <mergeCell ref="V499:AP499"/>
    <mergeCell ref="A500:U500"/>
    <mergeCell ref="V500:AP500"/>
    <mergeCell ref="A502:B502"/>
    <mergeCell ref="C502:U502"/>
    <mergeCell ref="V502:AF502"/>
    <mergeCell ref="AG502:AP502"/>
    <mergeCell ref="A503:U503"/>
    <mergeCell ref="V503:AF503"/>
    <mergeCell ref="AG503:AP503"/>
    <mergeCell ref="A504:J504"/>
    <mergeCell ref="K504:U504"/>
    <mergeCell ref="V504:AF504"/>
    <mergeCell ref="AG504:AP504"/>
    <mergeCell ref="A505:J505"/>
    <mergeCell ref="K505:U505"/>
    <mergeCell ref="V505:AF505"/>
    <mergeCell ref="AG505:AP505"/>
    <mergeCell ref="A506:U506"/>
    <mergeCell ref="V506:AP506"/>
    <mergeCell ref="A507:U507"/>
    <mergeCell ref="V507:AP507"/>
    <mergeCell ref="A509:B509"/>
    <mergeCell ref="C509:U509"/>
    <mergeCell ref="V509:AF509"/>
    <mergeCell ref="AG509:AP509"/>
    <mergeCell ref="A510:U510"/>
    <mergeCell ref="V510:AF510"/>
    <mergeCell ref="AG510:AP510"/>
    <mergeCell ref="A511:J511"/>
    <mergeCell ref="K511:U511"/>
    <mergeCell ref="V511:AF511"/>
    <mergeCell ref="AG511:AP511"/>
    <mergeCell ref="A512:J512"/>
    <mergeCell ref="K512:U512"/>
    <mergeCell ref="V512:AF512"/>
    <mergeCell ref="AG512:AP512"/>
    <mergeCell ref="A513:U513"/>
    <mergeCell ref="V513:AP513"/>
    <mergeCell ref="A514:U514"/>
    <mergeCell ref="V514:AP514"/>
    <mergeCell ref="A516:B516"/>
    <mergeCell ref="C516:U516"/>
    <mergeCell ref="V516:AF516"/>
    <mergeCell ref="AG516:AP516"/>
    <mergeCell ref="A517:U517"/>
    <mergeCell ref="V517:AF517"/>
    <mergeCell ref="AG517:AP517"/>
    <mergeCell ref="A518:J518"/>
    <mergeCell ref="K518:U518"/>
    <mergeCell ref="V518:AF518"/>
    <mergeCell ref="AG518:AP518"/>
    <mergeCell ref="A519:J519"/>
    <mergeCell ref="K519:U519"/>
    <mergeCell ref="V519:AF519"/>
    <mergeCell ref="AG519:AP519"/>
    <mergeCell ref="A520:U520"/>
    <mergeCell ref="V520:AP520"/>
    <mergeCell ref="A521:U521"/>
    <mergeCell ref="V521:AP521"/>
    <mergeCell ref="A525:B525"/>
    <mergeCell ref="C525:U525"/>
    <mergeCell ref="V525:AF525"/>
    <mergeCell ref="AG525:AP525"/>
    <mergeCell ref="A526:U526"/>
    <mergeCell ref="V526:AF526"/>
    <mergeCell ref="AG526:AP526"/>
    <mergeCell ref="A527:J527"/>
    <mergeCell ref="K527:U527"/>
    <mergeCell ref="V527:AF527"/>
    <mergeCell ref="AG527:AP527"/>
    <mergeCell ref="A528:J528"/>
    <mergeCell ref="K528:U528"/>
    <mergeCell ref="V528:AF528"/>
    <mergeCell ref="AG528:AP528"/>
    <mergeCell ref="A529:U529"/>
    <mergeCell ref="V529:AP529"/>
    <mergeCell ref="A530:U530"/>
    <mergeCell ref="V530:AP530"/>
    <mergeCell ref="A532:B532"/>
    <mergeCell ref="C532:U532"/>
    <mergeCell ref="V532:AF532"/>
    <mergeCell ref="AG532:AP532"/>
    <mergeCell ref="A533:U533"/>
    <mergeCell ref="V533:AF533"/>
    <mergeCell ref="AG533:AP533"/>
    <mergeCell ref="A534:J534"/>
    <mergeCell ref="K534:U534"/>
    <mergeCell ref="V534:AF534"/>
    <mergeCell ref="AG534:AP534"/>
    <mergeCell ref="A535:J535"/>
    <mergeCell ref="K535:U535"/>
    <mergeCell ref="V535:AF535"/>
    <mergeCell ref="AG535:AP535"/>
    <mergeCell ref="A536:U536"/>
    <mergeCell ref="V536:AP536"/>
    <mergeCell ref="A537:U537"/>
    <mergeCell ref="V537:AP537"/>
    <mergeCell ref="A539:B539"/>
    <mergeCell ref="C539:U539"/>
    <mergeCell ref="V539:AF539"/>
    <mergeCell ref="AG539:AP539"/>
    <mergeCell ref="A540:U540"/>
    <mergeCell ref="V540:AF540"/>
    <mergeCell ref="AG540:AP540"/>
    <mergeCell ref="A541:J541"/>
    <mergeCell ref="K541:U541"/>
    <mergeCell ref="V541:AF541"/>
    <mergeCell ref="AG541:AP541"/>
    <mergeCell ref="A542:J542"/>
    <mergeCell ref="K542:U542"/>
    <mergeCell ref="V542:AF542"/>
    <mergeCell ref="AG542:AP542"/>
    <mergeCell ref="A543:U543"/>
    <mergeCell ref="V543:AP543"/>
    <mergeCell ref="A544:U544"/>
    <mergeCell ref="V544:AP544"/>
    <mergeCell ref="A546:B546"/>
    <mergeCell ref="C546:U546"/>
    <mergeCell ref="V546:AF546"/>
    <mergeCell ref="AG546:AP546"/>
    <mergeCell ref="A547:U547"/>
    <mergeCell ref="V547:AF547"/>
    <mergeCell ref="AG547:AP547"/>
    <mergeCell ref="A548:J548"/>
    <mergeCell ref="K548:U548"/>
    <mergeCell ref="V548:AF548"/>
    <mergeCell ref="AG548:AP548"/>
    <mergeCell ref="A549:J549"/>
    <mergeCell ref="K549:U549"/>
    <mergeCell ref="V549:AF549"/>
    <mergeCell ref="AG549:AP549"/>
    <mergeCell ref="A550:U550"/>
    <mergeCell ref="V550:AP550"/>
    <mergeCell ref="A551:U551"/>
    <mergeCell ref="V551:AP551"/>
    <mergeCell ref="A553:B553"/>
    <mergeCell ref="C553:U553"/>
    <mergeCell ref="V553:AF553"/>
    <mergeCell ref="AG553:AP553"/>
    <mergeCell ref="A554:U554"/>
    <mergeCell ref="V554:AF554"/>
    <mergeCell ref="AG554:AP554"/>
    <mergeCell ref="A555:J555"/>
    <mergeCell ref="K555:U555"/>
    <mergeCell ref="V555:AF555"/>
    <mergeCell ref="AG555:AP555"/>
    <mergeCell ref="A556:J556"/>
    <mergeCell ref="K556:U556"/>
    <mergeCell ref="V556:AF556"/>
    <mergeCell ref="AG556:AP556"/>
    <mergeCell ref="A557:U557"/>
    <mergeCell ref="V557:AP557"/>
    <mergeCell ref="A558:U558"/>
    <mergeCell ref="V558:AP558"/>
    <mergeCell ref="A560:B560"/>
    <mergeCell ref="C560:U560"/>
    <mergeCell ref="V560:AF560"/>
    <mergeCell ref="AG560:AP560"/>
    <mergeCell ref="A561:U561"/>
    <mergeCell ref="V561:AF561"/>
    <mergeCell ref="AG561:AP561"/>
    <mergeCell ref="A562:J562"/>
    <mergeCell ref="K562:U562"/>
    <mergeCell ref="V562:AF562"/>
    <mergeCell ref="AG562:AP562"/>
    <mergeCell ref="A563:J563"/>
    <mergeCell ref="K563:U563"/>
    <mergeCell ref="V563:AF563"/>
    <mergeCell ref="AG563:AP563"/>
    <mergeCell ref="A564:U564"/>
    <mergeCell ref="V564:AP564"/>
    <mergeCell ref="A565:U565"/>
    <mergeCell ref="V565:AP565"/>
    <mergeCell ref="A567:B567"/>
    <mergeCell ref="C567:U567"/>
    <mergeCell ref="V567:AF567"/>
    <mergeCell ref="AG567:AP567"/>
    <mergeCell ref="A568:U568"/>
    <mergeCell ref="V568:AF568"/>
    <mergeCell ref="AG568:AP568"/>
    <mergeCell ref="A569:J569"/>
    <mergeCell ref="K569:U569"/>
    <mergeCell ref="V569:AF569"/>
    <mergeCell ref="AG569:AP569"/>
    <mergeCell ref="A570:J570"/>
    <mergeCell ref="K570:U570"/>
    <mergeCell ref="V570:AF570"/>
    <mergeCell ref="AG570:AP570"/>
    <mergeCell ref="A571:U571"/>
    <mergeCell ref="V571:AP571"/>
    <mergeCell ref="A572:U572"/>
    <mergeCell ref="V572:AP572"/>
    <mergeCell ref="A574:B574"/>
    <mergeCell ref="C574:U574"/>
    <mergeCell ref="V574:AF574"/>
    <mergeCell ref="AG574:AP574"/>
    <mergeCell ref="A575:U575"/>
    <mergeCell ref="V575:AF575"/>
    <mergeCell ref="AG575:AP575"/>
    <mergeCell ref="A576:J576"/>
    <mergeCell ref="K576:U576"/>
    <mergeCell ref="V576:AF576"/>
    <mergeCell ref="AG576:AP576"/>
    <mergeCell ref="A577:J577"/>
    <mergeCell ref="K577:U577"/>
    <mergeCell ref="V577:AF577"/>
    <mergeCell ref="AG577:AP577"/>
    <mergeCell ref="A578:U578"/>
    <mergeCell ref="V578:AP578"/>
    <mergeCell ref="A579:U579"/>
    <mergeCell ref="V579:AP579"/>
    <mergeCell ref="A581:B581"/>
    <mergeCell ref="C581:U581"/>
    <mergeCell ref="V581:AF581"/>
    <mergeCell ref="AG581:AP581"/>
    <mergeCell ref="A582:U582"/>
    <mergeCell ref="V582:AF582"/>
    <mergeCell ref="AG582:AP582"/>
    <mergeCell ref="A583:J583"/>
    <mergeCell ref="K583:U583"/>
    <mergeCell ref="V583:AF583"/>
    <mergeCell ref="AG583:AP583"/>
    <mergeCell ref="A584:J584"/>
    <mergeCell ref="K584:U584"/>
    <mergeCell ref="V584:AF584"/>
    <mergeCell ref="AG584:AP584"/>
    <mergeCell ref="A585:U585"/>
    <mergeCell ref="V585:AP585"/>
    <mergeCell ref="A586:U586"/>
    <mergeCell ref="V586:AP586"/>
    <mergeCell ref="A590:B590"/>
    <mergeCell ref="C590:U590"/>
    <mergeCell ref="V590:AF590"/>
    <mergeCell ref="AG590:AP590"/>
    <mergeCell ref="A591:U591"/>
    <mergeCell ref="V591:AF591"/>
    <mergeCell ref="AG591:AP591"/>
    <mergeCell ref="A592:J592"/>
    <mergeCell ref="K592:U592"/>
    <mergeCell ref="V592:AF592"/>
    <mergeCell ref="AG592:AP592"/>
    <mergeCell ref="A593:J593"/>
    <mergeCell ref="K593:U593"/>
    <mergeCell ref="V593:AF593"/>
    <mergeCell ref="AG593:AP593"/>
    <mergeCell ref="A594:U594"/>
    <mergeCell ref="V594:AP594"/>
    <mergeCell ref="A595:U595"/>
    <mergeCell ref="V595:AP595"/>
    <mergeCell ref="A597:B597"/>
    <mergeCell ref="C597:U597"/>
    <mergeCell ref="V597:AF597"/>
    <mergeCell ref="AG597:AP597"/>
    <mergeCell ref="A598:U598"/>
    <mergeCell ref="V598:AF598"/>
    <mergeCell ref="AG598:AP598"/>
    <mergeCell ref="A599:J599"/>
    <mergeCell ref="K599:U599"/>
    <mergeCell ref="V599:AF599"/>
    <mergeCell ref="AG599:AP599"/>
    <mergeCell ref="A600:J600"/>
    <mergeCell ref="K600:U600"/>
    <mergeCell ref="V600:AF600"/>
    <mergeCell ref="AG600:AP600"/>
    <mergeCell ref="A601:U601"/>
    <mergeCell ref="V601:AP601"/>
    <mergeCell ref="A602:U602"/>
    <mergeCell ref="V602:AP602"/>
    <mergeCell ref="A604:B604"/>
    <mergeCell ref="C604:U604"/>
    <mergeCell ref="V604:AF604"/>
    <mergeCell ref="AG604:AP604"/>
    <mergeCell ref="A605:U605"/>
    <mergeCell ref="V605:AF605"/>
    <mergeCell ref="AG605:AP605"/>
    <mergeCell ref="A606:J606"/>
    <mergeCell ref="K606:U606"/>
    <mergeCell ref="V606:AF606"/>
    <mergeCell ref="AG606:AP606"/>
    <mergeCell ref="A607:J607"/>
    <mergeCell ref="K607:U607"/>
    <mergeCell ref="V607:AF607"/>
    <mergeCell ref="AG607:AP607"/>
    <mergeCell ref="A608:U608"/>
    <mergeCell ref="V608:AP608"/>
    <mergeCell ref="A609:U609"/>
    <mergeCell ref="V609:AP609"/>
    <mergeCell ref="A611:B611"/>
    <mergeCell ref="C611:U611"/>
    <mergeCell ref="V611:AF611"/>
    <mergeCell ref="AG611:AP611"/>
    <mergeCell ref="A612:U612"/>
    <mergeCell ref="V612:AF612"/>
    <mergeCell ref="AG612:AP612"/>
    <mergeCell ref="A613:J613"/>
    <mergeCell ref="K613:U613"/>
    <mergeCell ref="V613:AF613"/>
    <mergeCell ref="AG613:AP613"/>
    <mergeCell ref="A614:J614"/>
    <mergeCell ref="K614:U614"/>
    <mergeCell ref="V614:AF614"/>
    <mergeCell ref="AG614:AP614"/>
    <mergeCell ref="A615:U615"/>
    <mergeCell ref="V615:AP615"/>
    <mergeCell ref="A616:U616"/>
    <mergeCell ref="V616:AP616"/>
    <mergeCell ref="A618:B618"/>
    <mergeCell ref="C618:U618"/>
    <mergeCell ref="V618:AF618"/>
    <mergeCell ref="AG618:AP618"/>
    <mergeCell ref="A619:U619"/>
    <mergeCell ref="V619:AF619"/>
    <mergeCell ref="AG619:AP619"/>
    <mergeCell ref="A620:J620"/>
    <mergeCell ref="K620:U620"/>
    <mergeCell ref="V620:AF620"/>
    <mergeCell ref="AG620:AP620"/>
    <mergeCell ref="A621:J621"/>
    <mergeCell ref="K621:U621"/>
    <mergeCell ref="V621:AF621"/>
    <mergeCell ref="AG621:AP621"/>
    <mergeCell ref="A622:U622"/>
    <mergeCell ref="V622:AP622"/>
    <mergeCell ref="A623:U623"/>
    <mergeCell ref="V623:AP623"/>
    <mergeCell ref="A625:B625"/>
    <mergeCell ref="C625:U625"/>
    <mergeCell ref="V625:AF625"/>
    <mergeCell ref="AG625:AP625"/>
    <mergeCell ref="A626:U626"/>
    <mergeCell ref="V626:AF626"/>
    <mergeCell ref="AG626:AP626"/>
    <mergeCell ref="A627:J627"/>
    <mergeCell ref="K627:U627"/>
    <mergeCell ref="V627:AF627"/>
    <mergeCell ref="AG627:AP627"/>
    <mergeCell ref="A628:J628"/>
    <mergeCell ref="K628:U628"/>
    <mergeCell ref="V628:AF628"/>
    <mergeCell ref="AG628:AP628"/>
    <mergeCell ref="A629:U629"/>
    <mergeCell ref="V629:AP629"/>
    <mergeCell ref="A630:U630"/>
    <mergeCell ref="V630:AP630"/>
    <mergeCell ref="A632:B632"/>
    <mergeCell ref="C632:U632"/>
    <mergeCell ref="V632:AF632"/>
    <mergeCell ref="AG632:AP632"/>
    <mergeCell ref="A633:U633"/>
    <mergeCell ref="V633:AF633"/>
    <mergeCell ref="AG633:AP633"/>
    <mergeCell ref="A634:J634"/>
    <mergeCell ref="K634:U634"/>
    <mergeCell ref="V634:AF634"/>
    <mergeCell ref="AG634:AP634"/>
    <mergeCell ref="A635:J635"/>
    <mergeCell ref="K635:U635"/>
    <mergeCell ref="V635:AF635"/>
    <mergeCell ref="AG635:AP635"/>
    <mergeCell ref="A636:U636"/>
    <mergeCell ref="V636:AP636"/>
    <mergeCell ref="A637:U637"/>
    <mergeCell ref="V637:AP637"/>
    <mergeCell ref="A639:B639"/>
    <mergeCell ref="C639:U639"/>
    <mergeCell ref="V639:AF639"/>
    <mergeCell ref="AG639:AP639"/>
    <mergeCell ref="A640:U640"/>
    <mergeCell ref="V640:AF640"/>
    <mergeCell ref="AG640:AP640"/>
    <mergeCell ref="A641:J641"/>
    <mergeCell ref="K641:U641"/>
    <mergeCell ref="V641:AF641"/>
    <mergeCell ref="AG641:AP641"/>
    <mergeCell ref="A642:J642"/>
    <mergeCell ref="K642:U642"/>
    <mergeCell ref="V642:AF642"/>
    <mergeCell ref="AG642:AP642"/>
    <mergeCell ref="A643:U643"/>
    <mergeCell ref="V643:AP643"/>
    <mergeCell ref="A644:U644"/>
    <mergeCell ref="V644:AP644"/>
    <mergeCell ref="A646:B646"/>
    <mergeCell ref="C646:U646"/>
    <mergeCell ref="V646:AF646"/>
    <mergeCell ref="AG646:AP646"/>
    <mergeCell ref="A647:U647"/>
    <mergeCell ref="V647:AF647"/>
    <mergeCell ref="AG647:AP647"/>
    <mergeCell ref="A648:J648"/>
    <mergeCell ref="K648:U648"/>
    <mergeCell ref="V648:AF648"/>
    <mergeCell ref="AG648:AP648"/>
    <mergeCell ref="A649:J649"/>
    <mergeCell ref="K649:U649"/>
    <mergeCell ref="V649:AF649"/>
    <mergeCell ref="AG649:AP649"/>
    <mergeCell ref="A650:U650"/>
    <mergeCell ref="V650:AP650"/>
    <mergeCell ref="A651:U651"/>
    <mergeCell ref="V651:AP651"/>
    <mergeCell ref="A655:B655"/>
    <mergeCell ref="C655:U655"/>
    <mergeCell ref="V655:AF655"/>
    <mergeCell ref="AG655:AP655"/>
    <mergeCell ref="A656:U656"/>
    <mergeCell ref="V656:AF656"/>
    <mergeCell ref="AG656:AP656"/>
    <mergeCell ref="A657:J657"/>
    <mergeCell ref="K657:U657"/>
    <mergeCell ref="V657:AF657"/>
    <mergeCell ref="AG657:AP657"/>
    <mergeCell ref="A658:J658"/>
    <mergeCell ref="K658:U658"/>
    <mergeCell ref="V658:AF658"/>
    <mergeCell ref="AG658:AP658"/>
    <mergeCell ref="A659:U659"/>
    <mergeCell ref="V659:AP659"/>
    <mergeCell ref="A660:U660"/>
    <mergeCell ref="V660:AP660"/>
    <mergeCell ref="A662:B662"/>
    <mergeCell ref="C662:U662"/>
    <mergeCell ref="V662:AF662"/>
    <mergeCell ref="AG662:AP662"/>
    <mergeCell ref="A663:U663"/>
    <mergeCell ref="V663:AF663"/>
    <mergeCell ref="AG663:AP663"/>
    <mergeCell ref="A664:J664"/>
    <mergeCell ref="K664:U664"/>
    <mergeCell ref="V664:AF664"/>
    <mergeCell ref="AG664:AP664"/>
    <mergeCell ref="A665:J665"/>
    <mergeCell ref="K665:U665"/>
    <mergeCell ref="V665:AF665"/>
    <mergeCell ref="AG665:AP665"/>
    <mergeCell ref="A666:U666"/>
    <mergeCell ref="V666:AP666"/>
    <mergeCell ref="A667:U667"/>
    <mergeCell ref="V667:AP667"/>
    <mergeCell ref="A669:B669"/>
    <mergeCell ref="C669:U669"/>
    <mergeCell ref="V669:AF669"/>
    <mergeCell ref="AG669:AP669"/>
    <mergeCell ref="A670:U670"/>
    <mergeCell ref="V670:AF670"/>
    <mergeCell ref="AG670:AP670"/>
    <mergeCell ref="A671:J671"/>
    <mergeCell ref="K671:U671"/>
    <mergeCell ref="V671:AF671"/>
    <mergeCell ref="AG671:AP671"/>
    <mergeCell ref="A672:J672"/>
    <mergeCell ref="K672:U672"/>
    <mergeCell ref="V672:AF672"/>
    <mergeCell ref="AG672:AP672"/>
    <mergeCell ref="A673:U673"/>
    <mergeCell ref="V673:AP673"/>
    <mergeCell ref="A674:U674"/>
    <mergeCell ref="V674:AP674"/>
    <mergeCell ref="A676:B676"/>
    <mergeCell ref="C676:U676"/>
    <mergeCell ref="V676:AF676"/>
    <mergeCell ref="AG676:AP676"/>
    <mergeCell ref="A677:U677"/>
    <mergeCell ref="V677:AF677"/>
    <mergeCell ref="AG677:AP677"/>
    <mergeCell ref="A678:J678"/>
    <mergeCell ref="K678:U678"/>
    <mergeCell ref="V678:AF678"/>
    <mergeCell ref="AG678:AP678"/>
    <mergeCell ref="A679:J679"/>
    <mergeCell ref="K679:U679"/>
    <mergeCell ref="V679:AF679"/>
    <mergeCell ref="AG679:AP679"/>
    <mergeCell ref="A680:U680"/>
    <mergeCell ref="V680:AP680"/>
    <mergeCell ref="A681:U681"/>
    <mergeCell ref="V681:AP681"/>
    <mergeCell ref="A683:B683"/>
    <mergeCell ref="C683:U683"/>
    <mergeCell ref="V683:AF683"/>
    <mergeCell ref="AG683:AP683"/>
    <mergeCell ref="A684:U684"/>
    <mergeCell ref="V684:AF684"/>
    <mergeCell ref="AG684:AP684"/>
    <mergeCell ref="A685:J685"/>
    <mergeCell ref="K685:U685"/>
    <mergeCell ref="V685:AF685"/>
    <mergeCell ref="AG685:AP685"/>
    <mergeCell ref="A686:J686"/>
    <mergeCell ref="K686:U686"/>
    <mergeCell ref="V686:AF686"/>
    <mergeCell ref="AG686:AP686"/>
    <mergeCell ref="A687:U687"/>
    <mergeCell ref="V687:AP687"/>
    <mergeCell ref="A688:U688"/>
    <mergeCell ref="V688:AP688"/>
    <mergeCell ref="A690:B690"/>
    <mergeCell ref="C690:U690"/>
    <mergeCell ref="V690:AF690"/>
    <mergeCell ref="AG690:AP690"/>
    <mergeCell ref="A691:U691"/>
    <mergeCell ref="V691:AF691"/>
    <mergeCell ref="AG691:AP691"/>
    <mergeCell ref="A692:J692"/>
    <mergeCell ref="K692:U692"/>
    <mergeCell ref="V692:AF692"/>
    <mergeCell ref="AG692:AP692"/>
    <mergeCell ref="A693:J693"/>
    <mergeCell ref="K693:U693"/>
    <mergeCell ref="V693:AF693"/>
    <mergeCell ref="AG693:AP693"/>
    <mergeCell ref="A694:U694"/>
    <mergeCell ref="V694:AP694"/>
    <mergeCell ref="A695:U695"/>
    <mergeCell ref="V695:AP695"/>
    <mergeCell ref="A697:B697"/>
    <mergeCell ref="C697:U697"/>
    <mergeCell ref="V697:AF697"/>
    <mergeCell ref="AG697:AP697"/>
    <mergeCell ref="A698:U698"/>
    <mergeCell ref="V698:AF698"/>
    <mergeCell ref="AG698:AP698"/>
    <mergeCell ref="A699:J699"/>
    <mergeCell ref="K699:U699"/>
    <mergeCell ref="V699:AF699"/>
    <mergeCell ref="AG699:AP699"/>
    <mergeCell ref="A700:J700"/>
    <mergeCell ref="K700:U700"/>
    <mergeCell ref="V700:AF700"/>
    <mergeCell ref="AG700:AP700"/>
    <mergeCell ref="A701:U701"/>
    <mergeCell ref="V701:AP701"/>
    <mergeCell ref="A702:U702"/>
    <mergeCell ref="V702:AP702"/>
    <mergeCell ref="A704:B704"/>
    <mergeCell ref="C704:U704"/>
    <mergeCell ref="V704:AF704"/>
    <mergeCell ref="AG704:AP704"/>
    <mergeCell ref="A705:U705"/>
    <mergeCell ref="V705:AF705"/>
    <mergeCell ref="AG705:AP705"/>
    <mergeCell ref="A706:J706"/>
    <mergeCell ref="K706:U706"/>
    <mergeCell ref="V706:AF706"/>
    <mergeCell ref="AG706:AP706"/>
    <mergeCell ref="A707:J707"/>
    <mergeCell ref="K707:U707"/>
    <mergeCell ref="V707:AF707"/>
    <mergeCell ref="AG707:AP707"/>
    <mergeCell ref="A708:U708"/>
    <mergeCell ref="V708:AP708"/>
    <mergeCell ref="A709:U709"/>
    <mergeCell ref="V709:AP709"/>
    <mergeCell ref="A711:B711"/>
    <mergeCell ref="C711:U711"/>
    <mergeCell ref="V711:AF711"/>
    <mergeCell ref="AG711:AP711"/>
    <mergeCell ref="A712:U712"/>
    <mergeCell ref="V712:AF712"/>
    <mergeCell ref="AG712:AP712"/>
    <mergeCell ref="A713:J713"/>
    <mergeCell ref="K713:U713"/>
    <mergeCell ref="V713:AF713"/>
    <mergeCell ref="AG713:AP713"/>
    <mergeCell ref="A714:J714"/>
    <mergeCell ref="K714:U714"/>
    <mergeCell ref="V714:AF714"/>
    <mergeCell ref="AG714:AP714"/>
    <mergeCell ref="A715:U715"/>
    <mergeCell ref="V715:AP715"/>
    <mergeCell ref="A716:U716"/>
    <mergeCell ref="V716:AP716"/>
    <mergeCell ref="A720:B720"/>
    <mergeCell ref="C720:U720"/>
    <mergeCell ref="V720:AF720"/>
    <mergeCell ref="AG720:AP720"/>
    <mergeCell ref="A721:U721"/>
    <mergeCell ref="V721:AF721"/>
    <mergeCell ref="AG721:AP721"/>
    <mergeCell ref="A722:J722"/>
    <mergeCell ref="K722:U722"/>
    <mergeCell ref="V722:AF722"/>
    <mergeCell ref="AG722:AP722"/>
    <mergeCell ref="A723:J723"/>
    <mergeCell ref="K723:U723"/>
    <mergeCell ref="V723:AF723"/>
    <mergeCell ref="AG723:AP723"/>
    <mergeCell ref="A724:U724"/>
    <mergeCell ref="V724:AP724"/>
    <mergeCell ref="A725:U725"/>
    <mergeCell ref="V725:AP725"/>
    <mergeCell ref="A727:B727"/>
    <mergeCell ref="C727:U727"/>
    <mergeCell ref="V727:AF727"/>
    <mergeCell ref="AG727:AP727"/>
    <mergeCell ref="A728:U728"/>
    <mergeCell ref="V728:AF728"/>
    <mergeCell ref="AG728:AP728"/>
    <mergeCell ref="A729:J729"/>
    <mergeCell ref="K729:U729"/>
    <mergeCell ref="V729:AF729"/>
    <mergeCell ref="AG729:AP729"/>
    <mergeCell ref="A730:J730"/>
    <mergeCell ref="K730:U730"/>
    <mergeCell ref="V730:AF730"/>
    <mergeCell ref="AG730:AP730"/>
    <mergeCell ref="A731:U731"/>
    <mergeCell ref="V731:AP731"/>
    <mergeCell ref="A732:U732"/>
    <mergeCell ref="V732:AP732"/>
    <mergeCell ref="A734:B734"/>
    <mergeCell ref="C734:U734"/>
    <mergeCell ref="V734:AF734"/>
    <mergeCell ref="AG734:AP734"/>
    <mergeCell ref="A735:U735"/>
    <mergeCell ref="V735:AF735"/>
    <mergeCell ref="AG735:AP735"/>
    <mergeCell ref="A736:J736"/>
    <mergeCell ref="K736:U736"/>
    <mergeCell ref="V736:AF736"/>
    <mergeCell ref="AG736:AP736"/>
    <mergeCell ref="A737:J737"/>
    <mergeCell ref="K737:U737"/>
    <mergeCell ref="V737:AF737"/>
    <mergeCell ref="AG737:AP737"/>
    <mergeCell ref="A738:U738"/>
    <mergeCell ref="V738:AP738"/>
    <mergeCell ref="A739:U739"/>
    <mergeCell ref="V739:AP739"/>
    <mergeCell ref="C741:C747"/>
    <mergeCell ref="C748:C752"/>
    <mergeCell ref="D741:D747"/>
    <mergeCell ref="D748:D752"/>
    <mergeCell ref="X749:AD750"/>
    <mergeCell ref="AE749:AO750"/>
    <mergeCell ref="E751:W752"/>
    <mergeCell ref="X751:AD752"/>
    <mergeCell ref="AE751:AP752"/>
    <mergeCell ref="A741:B752"/>
    <mergeCell ref="E741:AP743"/>
    <mergeCell ref="X744:AD745"/>
    <mergeCell ref="AE744:AO745"/>
    <mergeCell ref="E746:W747"/>
    <mergeCell ref="X746:AD747"/>
    <mergeCell ref="AE746:AP747"/>
    <mergeCell ref="B12:O15"/>
  </mergeCells>
  <pageMargins left="0.511811023622047" right="0.511811023622047" top="0.748031496062992" bottom="0.551181102362205" header="0.31496062992126" footer="0.31496062992126"/>
  <pageSetup paperSize="9" scale="89" fitToHeight="0" orientation="portrait"/>
  <headerFooter/>
  <rowBreaks count="1" manualBreakCount="1">
    <brk id="60"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6">
    <tabColor rgb="FF0070C0"/>
    <pageSetUpPr fitToPage="1"/>
  </sheetPr>
  <dimension ref="A1:AV191"/>
  <sheetViews>
    <sheetView showGridLines="0" tabSelected="1" topLeftCell="A168" workbookViewId="0">
      <selection activeCell="AI96" sqref="AI96:AO97"/>
    </sheetView>
  </sheetViews>
  <sheetFormatPr defaultColWidth="3.57142857142857" defaultRowHeight="16.5"/>
  <cols>
    <col min="1" max="1" width="3.57142857142857" style="2533" customWidth="1"/>
    <col min="2" max="23" width="3.57142857142857" style="874"/>
    <col min="24" max="24" width="3.57142857142857" style="874" customWidth="1"/>
    <col min="25" max="30" width="3.71428571428571" style="874" customWidth="1"/>
    <col min="31" max="34" width="4.28571428571429" style="874" customWidth="1"/>
    <col min="35" max="47" width="3.57142857142857" style="874"/>
    <col min="48" max="48" width="4.28571428571429" style="874" customWidth="1"/>
    <col min="49" max="16384" width="3.57142857142857" style="874"/>
  </cols>
  <sheetData>
    <row r="1" ht="18" spans="1:48">
      <c r="A1" s="879" t="str">
        <f>Firma</f>
        <v>LILIUM ASSET MANAGEMENT d.o.o. Sarajevo</v>
      </c>
      <c r="AM1" s="1231" t="str">
        <f>IdBroj</f>
        <v>4201337670009</v>
      </c>
      <c r="AN1" s="1231"/>
      <c r="AO1" s="1231"/>
      <c r="AP1" s="1231"/>
      <c r="AQ1" s="1231"/>
      <c r="AR1" s="1231"/>
      <c r="AS1" s="1231"/>
      <c r="AT1" s="1231"/>
      <c r="AU1" s="1231"/>
      <c r="AV1" s="1231"/>
    </row>
    <row r="2" ht="15" customHeight="1" spans="1:48">
      <c r="A2" s="877" t="str">
        <f>Text!B2</f>
        <v>Naziv pravnog lica</v>
      </c>
      <c r="AE2" s="874" t="s">
        <v>4636</v>
      </c>
      <c r="AL2" s="878" t="str">
        <f>Text!B4</f>
        <v>Identifikacioni broj za direktne poreze</v>
      </c>
      <c r="AM2" s="878"/>
      <c r="AN2" s="878"/>
      <c r="AO2" s="878"/>
      <c r="AP2" s="878"/>
      <c r="AQ2" s="878"/>
      <c r="AR2" s="878"/>
      <c r="AS2" s="878"/>
      <c r="AT2" s="878"/>
      <c r="AU2" s="878"/>
      <c r="AV2" s="878"/>
    </row>
    <row r="3" s="875" customFormat="1" ht="18.75" customHeight="1" spans="1:48">
      <c r="A3" s="882" t="str">
        <f>Sjedište&amp;", "&amp;Adresa</f>
        <v>Sarajevo-Stari Grad, Dženetića čikma br.8</v>
      </c>
      <c r="AE3" s="875" t="s">
        <v>4636</v>
      </c>
      <c r="AJ3" s="880"/>
      <c r="AK3" s="880"/>
      <c r="AL3" s="880"/>
      <c r="AM3" s="1231" t="str">
        <f>Pdv_Broj</f>
        <v>201337670009</v>
      </c>
      <c r="AN3" s="1231"/>
      <c r="AO3" s="1231"/>
      <c r="AP3" s="1231"/>
      <c r="AQ3" s="1231"/>
      <c r="AR3" s="1231"/>
      <c r="AS3" s="1231"/>
      <c r="AT3" s="1231"/>
      <c r="AU3" s="1231"/>
      <c r="AV3" s="1231"/>
    </row>
    <row r="4" ht="15" customHeight="1" spans="1:48">
      <c r="A4" s="877" t="str">
        <f>Text!B3</f>
        <v>Sjedište i adresa pravnog lica</v>
      </c>
      <c r="AE4" s="874" t="s">
        <v>4636</v>
      </c>
      <c r="AL4" s="878" t="str">
        <f>Text!B5</f>
        <v>Identifikacioni  broj za indirektne poreze</v>
      </c>
      <c r="AM4" s="878"/>
      <c r="AN4" s="878"/>
      <c r="AO4" s="878"/>
      <c r="AP4" s="878"/>
      <c r="AQ4" s="878"/>
      <c r="AR4" s="878"/>
      <c r="AS4" s="878"/>
      <c r="AT4" s="878"/>
      <c r="AU4" s="878"/>
      <c r="AV4" s="878"/>
    </row>
    <row r="5" s="875" customFormat="1" ht="19.5" customHeight="1" spans="1:48">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AE5" s="875" t="s">
        <v>4636</v>
      </c>
      <c r="AK5" s="880"/>
      <c r="AL5" s="880"/>
    </row>
    <row r="6" s="876" customFormat="1" customHeight="1" spans="1:48">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AV6" s="1231" t="str">
        <f>Sif_Djelatn</f>
        <v>66.30</v>
      </c>
    </row>
    <row r="7" s="875" customFormat="1" customHeight="1" spans="1:48">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AV7" s="878" t="str">
        <f>Text!B22&amp;" KD BiH 2010"</f>
        <v>Šifra djelatnosti po KD BiH 2010</v>
      </c>
    </row>
    <row r="8" s="876" customFormat="1" customHeight="1" spans="1:48">
      <c r="A8" s="1232" t="str">
        <f>Banka</f>
        <v>Raiffeisen Bank d.d. BiH</v>
      </c>
      <c r="B8" s="1232"/>
      <c r="C8" s="1232"/>
      <c r="D8" s="1232"/>
      <c r="E8" s="1232"/>
      <c r="F8" s="1232"/>
      <c r="G8" s="1232"/>
      <c r="H8" s="1232"/>
      <c r="I8" s="1232"/>
      <c r="J8" s="1232"/>
      <c r="AM8" s="881" t="str">
        <f>Sifra_opcine</f>
        <v>109</v>
      </c>
      <c r="AN8" s="881"/>
      <c r="AO8" s="881"/>
      <c r="AP8" s="881"/>
      <c r="AQ8" s="881"/>
      <c r="AR8" s="881"/>
      <c r="AS8" s="881"/>
      <c r="AT8" s="881"/>
      <c r="AU8" s="881"/>
      <c r="AV8" s="881"/>
    </row>
    <row r="9" s="876" customFormat="1" customHeight="1" spans="1:48">
      <c r="A9" s="2379" t="str">
        <f>Text!B24</f>
        <v>Naziv banke</v>
      </c>
      <c r="B9" s="1450"/>
      <c r="C9" s="1450"/>
      <c r="D9" s="1450"/>
      <c r="E9" s="1450"/>
      <c r="F9" s="1450"/>
      <c r="G9" s="1450"/>
      <c r="H9" s="1450"/>
      <c r="I9" s="1450"/>
      <c r="Y9" s="1234"/>
      <c r="Z9" s="1234"/>
      <c r="AA9" s="1234"/>
      <c r="AB9" s="1234"/>
      <c r="AC9" s="1234"/>
      <c r="AD9" s="1234"/>
      <c r="AH9" s="880"/>
      <c r="AI9" s="880"/>
      <c r="AJ9" s="880"/>
      <c r="AK9" s="880"/>
      <c r="AL9" s="880"/>
      <c r="AV9" s="878" t="str">
        <f>Text!B26</f>
        <v>Šifra općine</v>
      </c>
    </row>
    <row r="10" s="876" customFormat="1" customHeight="1" spans="1:48">
      <c r="A10" s="1232" t="str">
        <f>Glavni_racun</f>
        <v>1610000189480005</v>
      </c>
      <c r="B10" s="1232"/>
      <c r="C10" s="1232"/>
      <c r="D10" s="1232"/>
      <c r="E10" s="1232"/>
      <c r="F10" s="1232"/>
      <c r="G10" s="1232"/>
      <c r="H10" s="1232"/>
      <c r="I10" s="1232"/>
      <c r="J10" s="1232"/>
      <c r="Y10" s="1234"/>
      <c r="Z10" s="1234"/>
      <c r="AA10" s="1234"/>
      <c r="AB10" s="1234"/>
      <c r="AC10" s="1234"/>
      <c r="AD10" s="1234"/>
      <c r="AM10" s="877"/>
      <c r="AN10" s="877"/>
      <c r="AO10" s="877"/>
      <c r="AP10" s="877"/>
      <c r="AQ10" s="877"/>
      <c r="AR10" s="877"/>
      <c r="AS10" s="877"/>
      <c r="AT10" s="877"/>
      <c r="AU10" s="877"/>
    </row>
    <row r="11" s="876" customFormat="1" customHeight="1" spans="1:48">
      <c r="A11" s="2379" t="str">
        <f>Text!B25</f>
        <v>Broj računa</v>
      </c>
    </row>
    <row r="12" ht="15" customHeight="1" spans="1:48">
      <c r="A12" s="1238"/>
      <c r="AL12" s="1447"/>
      <c r="AM12" s="1447"/>
      <c r="AN12" s="1447"/>
      <c r="AO12" s="1447"/>
      <c r="AP12" s="1447"/>
      <c r="AQ12" s="1447"/>
      <c r="AR12" s="1447"/>
      <c r="AS12" s="1447"/>
      <c r="AT12" s="1447"/>
      <c r="AU12" s="1447"/>
      <c r="AV12" s="1448"/>
    </row>
    <row r="13" s="1224" customFormat="1" ht="20.25" customHeight="1" spans="1:48">
      <c r="A13" s="2628" t="str">
        <f>Text!B149</f>
        <v>IZVJEŠTAJ O UKUPNOM REZULTATU ZA PERIOD</v>
      </c>
      <c r="B13" s="2628"/>
      <c r="C13" s="2628"/>
      <c r="D13" s="2628"/>
      <c r="E13" s="2628"/>
      <c r="F13" s="2628"/>
      <c r="G13" s="2628"/>
      <c r="H13" s="2628"/>
      <c r="I13" s="2628"/>
      <c r="J13" s="2628"/>
      <c r="K13" s="2628"/>
      <c r="L13" s="2628"/>
      <c r="M13" s="2628"/>
      <c r="N13" s="2628"/>
      <c r="O13" s="2628"/>
      <c r="P13" s="2628"/>
      <c r="Q13" s="2628"/>
      <c r="R13" s="2628"/>
      <c r="S13" s="2628"/>
      <c r="T13" s="2628"/>
      <c r="U13" s="2628"/>
      <c r="V13" s="2628"/>
      <c r="W13" s="2628"/>
      <c r="X13" s="2628"/>
      <c r="Y13" s="2628"/>
      <c r="Z13" s="2628"/>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row>
    <row r="14" s="1224" customFormat="1" ht="20.25" customHeight="1" spans="1:48">
      <c r="A14" s="1347" t="str">
        <f>Text!B150</f>
        <v>(BILANS USPJEHA)</v>
      </c>
      <c r="B14" s="1347"/>
      <c r="C14" s="1347"/>
      <c r="D14" s="1347"/>
      <c r="E14" s="1347"/>
      <c r="F14" s="1347"/>
      <c r="G14" s="1347"/>
      <c r="H14" s="1347"/>
      <c r="I14" s="1347"/>
      <c r="J14" s="1347"/>
      <c r="K14" s="1347"/>
      <c r="L14" s="1347"/>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7"/>
      <c r="AL14" s="1347"/>
      <c r="AM14" s="1347"/>
      <c r="AN14" s="1347"/>
      <c r="AO14" s="1347"/>
      <c r="AP14" s="1347"/>
      <c r="AQ14" s="1347"/>
      <c r="AR14" s="1347"/>
      <c r="AS14" s="1347"/>
      <c r="AT14" s="1347"/>
      <c r="AU14" s="1347"/>
      <c r="AV14" s="1347"/>
    </row>
    <row r="15" s="1224" customFormat="1" ht="18.75" customHeight="1" spans="1:48">
      <c r="A15" s="1348" t="str">
        <f ca="1">Text!B151</f>
        <v>za period od 01.01.2025. do 31.12.2025. godine</v>
      </c>
      <c r="B15" s="1348"/>
      <c r="C15" s="1348"/>
      <c r="D15" s="1348"/>
      <c r="E15" s="1348"/>
      <c r="F15" s="1348"/>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c r="AT15" s="1348"/>
      <c r="AU15" s="1348"/>
      <c r="AV15" s="1348"/>
    </row>
    <row r="16" ht="12.75" customHeight="1" spans="1:48">
      <c r="AT16" s="1228" t="s">
        <v>6959</v>
      </c>
    </row>
    <row r="17" ht="15" customHeight="1" spans="1:48">
      <c r="A17" s="2800" t="str">
        <f>Text!B27</f>
        <v>Redni broj</v>
      </c>
      <c r="B17" s="2801"/>
      <c r="C17" s="2761" t="str">
        <f>Text!B28</f>
        <v>P O Z I C I J A</v>
      </c>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802" t="str">
        <f>Text!B29</f>
        <v>Konto</v>
      </c>
      <c r="Z17" s="2803"/>
      <c r="AA17" s="2803"/>
      <c r="AB17" s="2803"/>
      <c r="AC17" s="2803"/>
      <c r="AD17" s="2768"/>
      <c r="AE17" s="2765" t="str">
        <f>Text!B30</f>
        <v>Bilješka</v>
      </c>
      <c r="AF17" s="2766"/>
      <c r="AG17" s="2767" t="s">
        <v>2438</v>
      </c>
      <c r="AH17" s="2768"/>
      <c r="AI17" s="2544" t="str">
        <f ca="1">PeriodOd&amp;" "&amp;Text!B34&amp;" "&amp;PeriodDo</f>
        <v>01.01.2025 do 31.12.2025</v>
      </c>
      <c r="AJ17" s="2544"/>
      <c r="AK17" s="2544"/>
      <c r="AL17" s="2544"/>
      <c r="AM17" s="2544"/>
      <c r="AN17" s="2544"/>
      <c r="AO17" s="2544"/>
      <c r="AP17" s="2544" t="str">
        <f>UnosPod!F6&amp;UnosPod!G6&amp;"."&amp;UnosPod!H6&amp;UnosPod!I6&amp;"."&amp;UnosPod!J6-1&amp;" "&amp;Text!B34&amp;" "&amp;UnosPod!M6&amp;UnosPod!N6&amp;"."&amp;UnosPod!O6&amp;UnosPod!P6&amp;"."&amp;UnosPod!Q6-1</f>
        <v>01.01.2024 do 31.12.2024</v>
      </c>
      <c r="AQ17" s="2544"/>
      <c r="AR17" s="2544"/>
      <c r="AS17" s="2544"/>
      <c r="AT17" s="2544"/>
      <c r="AU17" s="2544"/>
      <c r="AV17" s="2544"/>
    </row>
    <row r="18" ht="15" customHeight="1" spans="1:48">
      <c r="A18" s="2804"/>
      <c r="B18" s="2805"/>
      <c r="C18" s="2773"/>
      <c r="D18" s="2773"/>
      <c r="E18" s="2773"/>
      <c r="F18" s="2773"/>
      <c r="G18" s="2773"/>
      <c r="H18" s="2773"/>
      <c r="I18" s="2773"/>
      <c r="J18" s="2773"/>
      <c r="K18" s="2773"/>
      <c r="L18" s="2773"/>
      <c r="M18" s="2773"/>
      <c r="N18" s="2773"/>
      <c r="O18" s="2773"/>
      <c r="P18" s="2773"/>
      <c r="Q18" s="2773"/>
      <c r="R18" s="2773"/>
      <c r="S18" s="2773"/>
      <c r="T18" s="2773"/>
      <c r="U18" s="2773"/>
      <c r="V18" s="2773"/>
      <c r="W18" s="2773"/>
      <c r="X18" s="2773"/>
      <c r="Y18" s="1569"/>
      <c r="Z18" s="1570"/>
      <c r="AA18" s="1570"/>
      <c r="AB18" s="1570"/>
      <c r="AC18" s="1570"/>
      <c r="AD18" s="1571"/>
      <c r="AE18" s="2777"/>
      <c r="AF18" s="2778"/>
      <c r="AG18" s="2806"/>
      <c r="AH18" s="1571"/>
      <c r="AI18" s="2554" t="str">
        <f>Text!B32</f>
        <v>tekuće godine</v>
      </c>
      <c r="AJ18" s="2554"/>
      <c r="AK18" s="2554"/>
      <c r="AL18" s="2554"/>
      <c r="AM18" s="2554"/>
      <c r="AN18" s="2554"/>
      <c r="AO18" s="2554"/>
      <c r="AP18" s="2554" t="str">
        <f>Text!B33</f>
        <v>prethodne godine</v>
      </c>
      <c r="AQ18" s="2554"/>
      <c r="AR18" s="2554"/>
      <c r="AS18" s="2554"/>
      <c r="AT18" s="2554"/>
      <c r="AU18" s="2554"/>
      <c r="AV18" s="2554"/>
    </row>
    <row r="19" ht="15" customHeight="1" spans="1:48">
      <c r="A19" s="2807">
        <v>1</v>
      </c>
      <c r="B19" s="2807"/>
      <c r="C19" s="2808">
        <v>2</v>
      </c>
      <c r="D19" s="2807"/>
      <c r="E19" s="2807"/>
      <c r="F19" s="2807"/>
      <c r="G19" s="2807"/>
      <c r="H19" s="2807"/>
      <c r="I19" s="2807"/>
      <c r="J19" s="2807"/>
      <c r="K19" s="2807"/>
      <c r="L19" s="2807"/>
      <c r="M19" s="2807"/>
      <c r="N19" s="2807"/>
      <c r="O19" s="2807"/>
      <c r="P19" s="2807"/>
      <c r="Q19" s="2807"/>
      <c r="R19" s="2807"/>
      <c r="S19" s="2807"/>
      <c r="T19" s="2807"/>
      <c r="U19" s="2807"/>
      <c r="V19" s="2807"/>
      <c r="W19" s="2807"/>
      <c r="X19" s="2809"/>
      <c r="Y19" s="2810"/>
      <c r="Z19" s="2810"/>
      <c r="AA19" s="2810"/>
      <c r="AB19" s="2810"/>
      <c r="AC19" s="2810"/>
      <c r="AD19" s="2808"/>
      <c r="AE19" s="2807">
        <v>3</v>
      </c>
      <c r="AF19" s="2807"/>
      <c r="AG19" s="2807">
        <v>4</v>
      </c>
      <c r="AH19" s="2807"/>
      <c r="AI19" s="2807">
        <v>5</v>
      </c>
      <c r="AJ19" s="2807"/>
      <c r="AK19" s="2807"/>
      <c r="AL19" s="2807"/>
      <c r="AM19" s="2807"/>
      <c r="AN19" s="2807"/>
      <c r="AO19" s="2807"/>
      <c r="AP19" s="2807">
        <v>6</v>
      </c>
      <c r="AQ19" s="2807"/>
      <c r="AR19" s="2807"/>
      <c r="AS19" s="2807"/>
      <c r="AT19" s="2807"/>
      <c r="AU19" s="2807"/>
      <c r="AV19" s="2807"/>
    </row>
    <row r="20" ht="17.25" customHeight="1" spans="1:48">
      <c r="A20" s="2811"/>
      <c r="B20" s="2812"/>
      <c r="C20" s="2813" t="str">
        <f>Text!B152</f>
        <v>BILANS USPJEHA</v>
      </c>
      <c r="D20" s="2814"/>
      <c r="E20" s="2814"/>
      <c r="F20" s="2814"/>
      <c r="G20" s="2814"/>
      <c r="H20" s="2814"/>
      <c r="I20" s="2814"/>
      <c r="J20" s="2814"/>
      <c r="K20" s="2814"/>
      <c r="L20" s="2814"/>
      <c r="M20" s="2814"/>
      <c r="N20" s="2814"/>
      <c r="O20" s="2814"/>
      <c r="P20" s="2814"/>
      <c r="Q20" s="2814"/>
      <c r="R20" s="2814"/>
      <c r="S20" s="2814"/>
      <c r="T20" s="2814"/>
      <c r="U20" s="2814"/>
      <c r="V20" s="2814"/>
      <c r="W20" s="2814"/>
      <c r="X20" s="2814"/>
      <c r="Y20" s="2815"/>
      <c r="Z20" s="2816"/>
      <c r="AA20" s="2816"/>
      <c r="AB20" s="2816"/>
      <c r="AC20" s="2816"/>
      <c r="AD20" s="2817"/>
      <c r="AE20" s="2818"/>
      <c r="AF20" s="2819"/>
      <c r="AG20" s="2820"/>
      <c r="AH20" s="2821"/>
      <c r="AI20" s="2822"/>
      <c r="AJ20" s="2823"/>
      <c r="AK20" s="2824"/>
      <c r="AL20" s="2824"/>
      <c r="AM20" s="2824"/>
      <c r="AN20" s="2824"/>
      <c r="AO20" s="2825"/>
      <c r="AP20" s="2822"/>
      <c r="AQ20" s="2823"/>
      <c r="AR20" s="2824"/>
      <c r="AS20" s="2824"/>
      <c r="AT20" s="2824"/>
      <c r="AU20" s="2824"/>
      <c r="AV20" s="2825"/>
    </row>
    <row r="21" s="1757" customFormat="1" ht="17.25" customHeight="1" spans="1:48">
      <c r="A21" s="2826" t="s">
        <v>3872</v>
      </c>
      <c r="B21" s="2826"/>
      <c r="C21" s="2813" t="str">
        <f>Text!B153</f>
        <v>Prihodi iz ugovora s kupcima (202+206+210)</v>
      </c>
      <c r="D21" s="2814"/>
      <c r="E21" s="2814"/>
      <c r="F21" s="2814"/>
      <c r="G21" s="2814"/>
      <c r="H21" s="2814"/>
      <c r="I21" s="2814"/>
      <c r="J21" s="2814"/>
      <c r="K21" s="2814"/>
      <c r="L21" s="2814"/>
      <c r="M21" s="2814"/>
      <c r="N21" s="2814"/>
      <c r="O21" s="2814"/>
      <c r="P21" s="2814"/>
      <c r="Q21" s="2814"/>
      <c r="R21" s="2814"/>
      <c r="S21" s="2814"/>
      <c r="T21" s="2814"/>
      <c r="U21" s="2814"/>
      <c r="V21" s="2814"/>
      <c r="W21" s="2814"/>
      <c r="X21" s="2814"/>
      <c r="Y21" s="2815"/>
      <c r="Z21" s="2816"/>
      <c r="AA21" s="2816"/>
      <c r="AB21" s="2816"/>
      <c r="AC21" s="2816"/>
      <c r="AD21" s="2817"/>
      <c r="AE21" s="2618"/>
      <c r="AF21" s="2618"/>
      <c r="AG21" s="2820">
        <v>201</v>
      </c>
      <c r="AH21" s="2821"/>
      <c r="AI21" s="2622">
        <f>AI22+AI26+AI30</f>
        <v>245707</v>
      </c>
      <c r="AJ21" s="2622"/>
      <c r="AK21" s="2622"/>
      <c r="AL21" s="2622"/>
      <c r="AM21" s="2622"/>
      <c r="AN21" s="2622"/>
      <c r="AO21" s="2622"/>
      <c r="AP21" s="2622">
        <f>AP22+AP26+AP30</f>
        <v>308500</v>
      </c>
      <c r="AQ21" s="2622"/>
      <c r="AR21" s="2622"/>
      <c r="AS21" s="2622"/>
      <c r="AT21" s="2622"/>
      <c r="AU21" s="2622"/>
      <c r="AV21" s="2622"/>
    </row>
    <row r="22" ht="17.25" customHeight="1" spans="1:48">
      <c r="A22" s="2827" t="s">
        <v>3953</v>
      </c>
      <c r="B22" s="2827"/>
      <c r="C22" s="2828" t="str">
        <f>Text!B154</f>
        <v>Prihodi iz ugovora sa povezanim stranama (203 do 205)</v>
      </c>
      <c r="D22" s="2829"/>
      <c r="E22" s="2829"/>
      <c r="F22" s="2829"/>
      <c r="G22" s="2829"/>
      <c r="H22" s="2829"/>
      <c r="I22" s="2829"/>
      <c r="J22" s="2829"/>
      <c r="K22" s="2829"/>
      <c r="L22" s="2829"/>
      <c r="M22" s="2829"/>
      <c r="N22" s="2829"/>
      <c r="O22" s="2829"/>
      <c r="P22" s="2829"/>
      <c r="Q22" s="2829"/>
      <c r="R22" s="2829"/>
      <c r="S22" s="2829"/>
      <c r="T22" s="2829"/>
      <c r="U22" s="2829"/>
      <c r="V22" s="2829"/>
      <c r="W22" s="2829"/>
      <c r="X22" s="2829"/>
      <c r="Y22" s="2815"/>
      <c r="Z22" s="2816"/>
      <c r="AA22" s="2816"/>
      <c r="AB22" s="2816"/>
      <c r="AC22" s="2816"/>
      <c r="AD22" s="2817"/>
      <c r="AE22" s="2610"/>
      <c r="AF22" s="2610"/>
      <c r="AG22" s="2830">
        <v>202</v>
      </c>
      <c r="AH22" s="2812"/>
      <c r="AI22" s="2609">
        <f>SUM(AI23:AO25)</f>
        <v>0</v>
      </c>
      <c r="AJ22" s="2609"/>
      <c r="AK22" s="2609"/>
      <c r="AL22" s="2609"/>
      <c r="AM22" s="2609"/>
      <c r="AN22" s="2609"/>
      <c r="AO22" s="2609"/>
      <c r="AP22" s="2609">
        <f>SUM(AP23:AV25)</f>
        <v>0</v>
      </c>
      <c r="AQ22" s="2609"/>
      <c r="AR22" s="2609"/>
      <c r="AS22" s="2609"/>
      <c r="AT22" s="2609"/>
      <c r="AU22" s="2609"/>
      <c r="AV22" s="2609"/>
    </row>
    <row r="23" ht="17.25" customHeight="1" spans="1:48">
      <c r="A23" s="2827" t="s">
        <v>3875</v>
      </c>
      <c r="B23" s="2827"/>
      <c r="C23" s="2831" t="str">
        <f>Text!B155</f>
        <v>Prihodi od prodaje robe </v>
      </c>
      <c r="D23" s="2832"/>
      <c r="E23" s="2832"/>
      <c r="F23" s="2832"/>
      <c r="G23" s="2832"/>
      <c r="H23" s="2832"/>
      <c r="I23" s="2832"/>
      <c r="J23" s="2832"/>
      <c r="K23" s="2832"/>
      <c r="L23" s="2832"/>
      <c r="M23" s="2832"/>
      <c r="N23" s="2832"/>
      <c r="O23" s="2832"/>
      <c r="P23" s="2832"/>
      <c r="Q23" s="2832"/>
      <c r="R23" s="2832"/>
      <c r="S23" s="2832"/>
      <c r="T23" s="2832"/>
      <c r="U23" s="2832"/>
      <c r="V23" s="2832"/>
      <c r="W23" s="2832"/>
      <c r="X23" s="2832"/>
      <c r="Y23" s="2833" t="s">
        <v>6960</v>
      </c>
      <c r="Z23" s="2834"/>
      <c r="AA23" s="2834"/>
      <c r="AB23" s="2834"/>
      <c r="AC23" s="2834"/>
      <c r="AD23" s="2835"/>
      <c r="AE23" s="2610" t="str">
        <f>Baza!E38</f>
        <v>-</v>
      </c>
      <c r="AF23" s="2610"/>
      <c r="AG23" s="2830">
        <v>203</v>
      </c>
      <c r="AH23" s="2812"/>
      <c r="AI23" s="2609">
        <f>ROUND(UnosPod!F110+UnosPod!F111-UnosPod!F119,0)</f>
        <v>0</v>
      </c>
      <c r="AJ23" s="2609"/>
      <c r="AK23" s="2609"/>
      <c r="AL23" s="2609"/>
      <c r="AM23" s="2609"/>
      <c r="AN23" s="2609"/>
      <c r="AO23" s="2609"/>
      <c r="AP23" s="2609">
        <f>Prethodna_2024!B7</f>
        <v>0</v>
      </c>
      <c r="AQ23" s="2609"/>
      <c r="AR23" s="2609"/>
      <c r="AS23" s="2609"/>
      <c r="AT23" s="2609"/>
      <c r="AU23" s="2609"/>
      <c r="AV23" s="2609"/>
    </row>
    <row r="24" ht="17.25" customHeight="1" spans="1:48">
      <c r="A24" s="2827" t="s">
        <v>3877</v>
      </c>
      <c r="B24" s="2827"/>
      <c r="C24" s="2831" t="str">
        <f>Text!B156</f>
        <v>Prihodi od prodaje gotovih proizvoda</v>
      </c>
      <c r="D24" s="2832"/>
      <c r="E24" s="2832"/>
      <c r="F24" s="2832"/>
      <c r="G24" s="2832"/>
      <c r="H24" s="2832"/>
      <c r="I24" s="2832"/>
      <c r="J24" s="2832"/>
      <c r="K24" s="2832"/>
      <c r="L24" s="2832"/>
      <c r="M24" s="2832"/>
      <c r="N24" s="2832"/>
      <c r="O24" s="2832"/>
      <c r="P24" s="2832"/>
      <c r="Q24" s="2832"/>
      <c r="R24" s="2832"/>
      <c r="S24" s="2832"/>
      <c r="T24" s="2832"/>
      <c r="U24" s="2832"/>
      <c r="V24" s="2832"/>
      <c r="W24" s="2832"/>
      <c r="X24" s="2832"/>
      <c r="Y24" s="2833" t="s">
        <v>6961</v>
      </c>
      <c r="Z24" s="2834"/>
      <c r="AA24" s="2834"/>
      <c r="AB24" s="2834"/>
      <c r="AC24" s="2834"/>
      <c r="AD24" s="2835"/>
      <c r="AE24" s="2610" t="str">
        <f>Baza!E39</f>
        <v>-</v>
      </c>
      <c r="AF24" s="2610"/>
      <c r="AG24" s="2830">
        <v>204</v>
      </c>
      <c r="AH24" s="2812"/>
      <c r="AI24" s="2609">
        <f>ROUND(UnosPod!F124+UnosPod!F125-UnosPod!F133,0)</f>
        <v>0</v>
      </c>
      <c r="AJ24" s="2609"/>
      <c r="AK24" s="2609"/>
      <c r="AL24" s="2609"/>
      <c r="AM24" s="2609"/>
      <c r="AN24" s="2609"/>
      <c r="AO24" s="2609"/>
      <c r="AP24" s="2609">
        <f>Prethodna_2024!B8</f>
        <v>0</v>
      </c>
      <c r="AQ24" s="2609"/>
      <c r="AR24" s="2609"/>
      <c r="AS24" s="2609"/>
      <c r="AT24" s="2609"/>
      <c r="AU24" s="2609"/>
      <c r="AV24" s="2609"/>
    </row>
    <row r="25" ht="17.25" customHeight="1" spans="1:48">
      <c r="A25" s="2827" t="s">
        <v>3880</v>
      </c>
      <c r="B25" s="2827"/>
      <c r="C25" s="2831" t="str">
        <f>Text!B157</f>
        <v>Prihodi od pruženih usluga</v>
      </c>
      <c r="D25" s="2832"/>
      <c r="E25" s="2832"/>
      <c r="F25" s="2832"/>
      <c r="G25" s="2832"/>
      <c r="H25" s="2832"/>
      <c r="I25" s="2832"/>
      <c r="J25" s="2832"/>
      <c r="K25" s="2832"/>
      <c r="L25" s="2832"/>
      <c r="M25" s="2832"/>
      <c r="N25" s="2832"/>
      <c r="O25" s="2832"/>
      <c r="P25" s="2832"/>
      <c r="Q25" s="2832"/>
      <c r="R25" s="2832"/>
      <c r="S25" s="2832"/>
      <c r="T25" s="2832"/>
      <c r="U25" s="2832"/>
      <c r="V25" s="2832"/>
      <c r="W25" s="2832"/>
      <c r="X25" s="2832"/>
      <c r="Y25" s="2833" t="s">
        <v>6962</v>
      </c>
      <c r="Z25" s="2834"/>
      <c r="AA25" s="2834"/>
      <c r="AB25" s="2834"/>
      <c r="AC25" s="2834"/>
      <c r="AD25" s="2835"/>
      <c r="AE25" s="2610" t="str">
        <f>Baza!E40</f>
        <v>-</v>
      </c>
      <c r="AF25" s="2610"/>
      <c r="AG25" s="2830">
        <v>205</v>
      </c>
      <c r="AH25" s="2812"/>
      <c r="AI25" s="2609">
        <f>ROUND(UnosPod!F138+UnosPod!F139-UnosPod!F147,0)</f>
        <v>0</v>
      </c>
      <c r="AJ25" s="2609"/>
      <c r="AK25" s="2609"/>
      <c r="AL25" s="2609"/>
      <c r="AM25" s="2609"/>
      <c r="AN25" s="2609"/>
      <c r="AO25" s="2609"/>
      <c r="AP25" s="2609">
        <f>Prethodna_2024!B9</f>
        <v>0</v>
      </c>
      <c r="AQ25" s="2609"/>
      <c r="AR25" s="2609"/>
      <c r="AS25" s="2609"/>
      <c r="AT25" s="2609"/>
      <c r="AU25" s="2609"/>
      <c r="AV25" s="2609"/>
    </row>
    <row r="26" ht="17.25" customHeight="1" spans="1:48">
      <c r="A26" s="2827" t="s">
        <v>3891</v>
      </c>
      <c r="B26" s="2827"/>
      <c r="C26" s="2828" t="str">
        <f>Text!B158</f>
        <v>Prihodi iz ugovora sa nepovezanim stranama na domaćem tržištu (207 do 209)</v>
      </c>
      <c r="D26" s="2829"/>
      <c r="E26" s="2829"/>
      <c r="F26" s="2829"/>
      <c r="G26" s="2829"/>
      <c r="H26" s="2829"/>
      <c r="I26" s="2829"/>
      <c r="J26" s="2829"/>
      <c r="K26" s="2829"/>
      <c r="L26" s="2829"/>
      <c r="M26" s="2829"/>
      <c r="N26" s="2829"/>
      <c r="O26" s="2829"/>
      <c r="P26" s="2829"/>
      <c r="Q26" s="2829"/>
      <c r="R26" s="2829"/>
      <c r="S26" s="2829"/>
      <c r="T26" s="2829"/>
      <c r="U26" s="2829"/>
      <c r="V26" s="2829"/>
      <c r="W26" s="2829"/>
      <c r="X26" s="2829"/>
      <c r="Y26" s="2833"/>
      <c r="Z26" s="2834"/>
      <c r="AA26" s="2834"/>
      <c r="AB26" s="2834"/>
      <c r="AC26" s="2834"/>
      <c r="AD26" s="2835"/>
      <c r="AE26" s="2610"/>
      <c r="AF26" s="2610"/>
      <c r="AG26" s="2830">
        <v>206</v>
      </c>
      <c r="AH26" s="2812"/>
      <c r="AI26" s="2609">
        <f>SUM(AI27:AO29)</f>
        <v>245707</v>
      </c>
      <c r="AJ26" s="2609"/>
      <c r="AK26" s="2609"/>
      <c r="AL26" s="2609"/>
      <c r="AM26" s="2609"/>
      <c r="AN26" s="2609"/>
      <c r="AO26" s="2609"/>
      <c r="AP26" s="2609">
        <f>SUM(AP27:AV29)</f>
        <v>308500</v>
      </c>
      <c r="AQ26" s="2609"/>
      <c r="AR26" s="2609"/>
      <c r="AS26" s="2609"/>
      <c r="AT26" s="2609"/>
      <c r="AU26" s="2609"/>
      <c r="AV26" s="2609"/>
    </row>
    <row r="27" ht="17.25" customHeight="1" spans="1:48">
      <c r="A27" s="2827" t="s">
        <v>3893</v>
      </c>
      <c r="B27" s="2827"/>
      <c r="C27" s="2831" t="str">
        <f>Text!B159</f>
        <v>Prihodi od prodaje robe </v>
      </c>
      <c r="D27" s="2832"/>
      <c r="E27" s="2832"/>
      <c r="F27" s="2832"/>
      <c r="G27" s="2832"/>
      <c r="H27" s="2832"/>
      <c r="I27" s="2832"/>
      <c r="J27" s="2832"/>
      <c r="K27" s="2832"/>
      <c r="L27" s="2832"/>
      <c r="M27" s="2832"/>
      <c r="N27" s="2832"/>
      <c r="O27" s="2832"/>
      <c r="P27" s="2832"/>
      <c r="Q27" s="2832"/>
      <c r="R27" s="2832"/>
      <c r="S27" s="2832"/>
      <c r="T27" s="2832"/>
      <c r="U27" s="2832"/>
      <c r="V27" s="2832"/>
      <c r="W27" s="2832"/>
      <c r="X27" s="2832"/>
      <c r="Y27" s="2833" t="s">
        <v>6963</v>
      </c>
      <c r="Z27" s="2834"/>
      <c r="AA27" s="2834"/>
      <c r="AB27" s="2834"/>
      <c r="AC27" s="2834"/>
      <c r="AD27" s="2835"/>
      <c r="AE27" s="2610" t="str">
        <f>Baza!E41</f>
        <v>-</v>
      </c>
      <c r="AF27" s="2610"/>
      <c r="AG27" s="2830">
        <v>207</v>
      </c>
      <c r="AH27" s="2812"/>
      <c r="AI27" s="2609">
        <f>ROUND(UnosPod!F113+UnosPod!F114-UnosPod!F120,0)</f>
        <v>0</v>
      </c>
      <c r="AJ27" s="2609"/>
      <c r="AK27" s="2609"/>
      <c r="AL27" s="2609"/>
      <c r="AM27" s="2609"/>
      <c r="AN27" s="2609"/>
      <c r="AO27" s="2609"/>
      <c r="AP27" s="2609">
        <f>Prethodna_2024!B11</f>
        <v>0</v>
      </c>
      <c r="AQ27" s="2609"/>
      <c r="AR27" s="2609"/>
      <c r="AS27" s="2609"/>
      <c r="AT27" s="2609"/>
      <c r="AU27" s="2609"/>
      <c r="AV27" s="2609"/>
    </row>
    <row r="28" ht="17.25" customHeight="1" spans="1:48">
      <c r="A28" s="2827" t="s">
        <v>3896</v>
      </c>
      <c r="B28" s="2827"/>
      <c r="C28" s="2831" t="str">
        <f>Text!B160</f>
        <v>Prihodi od prodaje gotovih proizvoda</v>
      </c>
      <c r="D28" s="2832"/>
      <c r="E28" s="2832"/>
      <c r="F28" s="2832"/>
      <c r="G28" s="2832"/>
      <c r="H28" s="2832"/>
      <c r="I28" s="2832"/>
      <c r="J28" s="2832"/>
      <c r="K28" s="2832"/>
      <c r="L28" s="2832"/>
      <c r="M28" s="2832"/>
      <c r="N28" s="2832"/>
      <c r="O28" s="2832"/>
      <c r="P28" s="2832"/>
      <c r="Q28" s="2832"/>
      <c r="R28" s="2832"/>
      <c r="S28" s="2832"/>
      <c r="T28" s="2832"/>
      <c r="U28" s="2832"/>
      <c r="V28" s="2832"/>
      <c r="W28" s="2832"/>
      <c r="X28" s="2832"/>
      <c r="Y28" s="2833" t="s">
        <v>6964</v>
      </c>
      <c r="Z28" s="2834"/>
      <c r="AA28" s="2834"/>
      <c r="AB28" s="2834"/>
      <c r="AC28" s="2834"/>
      <c r="AD28" s="2835"/>
      <c r="AE28" s="2610" t="str">
        <f>Baza!E42</f>
        <v>-</v>
      </c>
      <c r="AF28" s="2610"/>
      <c r="AG28" s="2830">
        <v>208</v>
      </c>
      <c r="AH28" s="2812"/>
      <c r="AI28" s="2609">
        <f>ROUND(UnosPod!F127+UnosPod!F128-UnosPod!F134,0)</f>
        <v>0</v>
      </c>
      <c r="AJ28" s="2609"/>
      <c r="AK28" s="2609"/>
      <c r="AL28" s="2609"/>
      <c r="AM28" s="2609"/>
      <c r="AN28" s="2609"/>
      <c r="AO28" s="2609"/>
      <c r="AP28" s="2609">
        <f>Prethodna_2024!B12</f>
        <v>0</v>
      </c>
      <c r="AQ28" s="2609"/>
      <c r="AR28" s="2609"/>
      <c r="AS28" s="2609"/>
      <c r="AT28" s="2609"/>
      <c r="AU28" s="2609"/>
      <c r="AV28" s="2609"/>
    </row>
    <row r="29" ht="17.25" customHeight="1" spans="1:48">
      <c r="A29" s="2827" t="s">
        <v>3898</v>
      </c>
      <c r="B29" s="2827"/>
      <c r="C29" s="2831" t="str">
        <f>Text!B161</f>
        <v>Prihodi od pruženih usluga</v>
      </c>
      <c r="D29" s="2832"/>
      <c r="E29" s="2832"/>
      <c r="F29" s="2832"/>
      <c r="G29" s="2832"/>
      <c r="H29" s="2832"/>
      <c r="I29" s="2832"/>
      <c r="J29" s="2832"/>
      <c r="K29" s="2832"/>
      <c r="L29" s="2832"/>
      <c r="M29" s="2832"/>
      <c r="N29" s="2832"/>
      <c r="O29" s="2832"/>
      <c r="P29" s="2832"/>
      <c r="Q29" s="2832"/>
      <c r="R29" s="2832"/>
      <c r="S29" s="2832"/>
      <c r="T29" s="2832"/>
      <c r="U29" s="2832"/>
      <c r="V29" s="2832"/>
      <c r="W29" s="2832"/>
      <c r="X29" s="2832"/>
      <c r="Y29" s="2833" t="s">
        <v>6965</v>
      </c>
      <c r="Z29" s="2834"/>
      <c r="AA29" s="2834"/>
      <c r="AB29" s="2834"/>
      <c r="AC29" s="2834"/>
      <c r="AD29" s="2835"/>
      <c r="AE29" s="2610" t="str">
        <f>Baza!E43</f>
        <v>P1</v>
      </c>
      <c r="AF29" s="2610"/>
      <c r="AG29" s="2830">
        <v>209</v>
      </c>
      <c r="AH29" s="2812"/>
      <c r="AI29" s="2609">
        <f>ROUND(UnosPod!F141+UnosPod!F142-UnosPod!F148,0)</f>
        <v>245707</v>
      </c>
      <c r="AJ29" s="2609"/>
      <c r="AK29" s="2609"/>
      <c r="AL29" s="2609"/>
      <c r="AM29" s="2609"/>
      <c r="AN29" s="2609"/>
      <c r="AO29" s="2609"/>
      <c r="AP29" s="2609">
        <f>Prethodna_2024!B13</f>
        <v>308500</v>
      </c>
      <c r="AQ29" s="2609"/>
      <c r="AR29" s="2609"/>
      <c r="AS29" s="2609"/>
      <c r="AT29" s="2609"/>
      <c r="AU29" s="2609"/>
      <c r="AV29" s="2609"/>
    </row>
    <row r="30" ht="17.25" customHeight="1" spans="1:48">
      <c r="A30" s="2827" t="s">
        <v>3902</v>
      </c>
      <c r="B30" s="2827"/>
      <c r="C30" s="2828" t="str">
        <f>Text!B162</f>
        <v>Prihodi iz ugovora sa nepovezanim stranama na inostranom tržištu (211 do 213)</v>
      </c>
      <c r="D30" s="2829"/>
      <c r="E30" s="2829"/>
      <c r="F30" s="2829"/>
      <c r="G30" s="2829"/>
      <c r="H30" s="2829"/>
      <c r="I30" s="2829"/>
      <c r="J30" s="2829"/>
      <c r="K30" s="2829"/>
      <c r="L30" s="2829"/>
      <c r="M30" s="2829"/>
      <c r="N30" s="2829"/>
      <c r="O30" s="2829"/>
      <c r="P30" s="2829"/>
      <c r="Q30" s="2829"/>
      <c r="R30" s="2829"/>
      <c r="S30" s="2829"/>
      <c r="T30" s="2829"/>
      <c r="U30" s="2829"/>
      <c r="V30" s="2829"/>
      <c r="W30" s="2829"/>
      <c r="X30" s="2829"/>
      <c r="Y30" s="2833"/>
      <c r="Z30" s="2834"/>
      <c r="AA30" s="2834"/>
      <c r="AB30" s="2834"/>
      <c r="AC30" s="2834"/>
      <c r="AD30" s="2835"/>
      <c r="AE30" s="2610"/>
      <c r="AF30" s="2610"/>
      <c r="AG30" s="2830">
        <v>210</v>
      </c>
      <c r="AH30" s="2812"/>
      <c r="AI30" s="2609">
        <f>SUM(AI31:AO33)</f>
        <v>0</v>
      </c>
      <c r="AJ30" s="2609"/>
      <c r="AK30" s="2609"/>
      <c r="AL30" s="2609"/>
      <c r="AM30" s="2609"/>
      <c r="AN30" s="2609"/>
      <c r="AO30" s="2609"/>
      <c r="AP30" s="2609">
        <f>SUM(AP31:AV33)</f>
        <v>0</v>
      </c>
      <c r="AQ30" s="2609"/>
      <c r="AR30" s="2609"/>
      <c r="AS30" s="2609"/>
      <c r="AT30" s="2609"/>
      <c r="AU30" s="2609"/>
      <c r="AV30" s="2609"/>
    </row>
    <row r="31" ht="17.25" customHeight="1" spans="1:48">
      <c r="A31" s="2827" t="s">
        <v>3998</v>
      </c>
      <c r="B31" s="2827"/>
      <c r="C31" s="2831" t="str">
        <f>Text!B163</f>
        <v>Prihodi od prodaje robe </v>
      </c>
      <c r="D31" s="2832"/>
      <c r="E31" s="2832"/>
      <c r="F31" s="2832"/>
      <c r="G31" s="2832"/>
      <c r="H31" s="2832"/>
      <c r="I31" s="2832"/>
      <c r="J31" s="2832"/>
      <c r="K31" s="2832"/>
      <c r="L31" s="2832"/>
      <c r="M31" s="2832"/>
      <c r="N31" s="2832"/>
      <c r="O31" s="2832"/>
      <c r="P31" s="2832"/>
      <c r="Q31" s="2832"/>
      <c r="R31" s="2832"/>
      <c r="S31" s="2832"/>
      <c r="T31" s="2832"/>
      <c r="U31" s="2832"/>
      <c r="V31" s="2832"/>
      <c r="W31" s="2832"/>
      <c r="X31" s="2832"/>
      <c r="Y31" s="2833" t="s">
        <v>6966</v>
      </c>
      <c r="Z31" s="2834"/>
      <c r="AA31" s="2834"/>
      <c r="AB31" s="2834"/>
      <c r="AC31" s="2834"/>
      <c r="AD31" s="2835"/>
      <c r="AE31" s="2610" t="str">
        <f>Baza!E44</f>
        <v>-</v>
      </c>
      <c r="AF31" s="2610"/>
      <c r="AG31" s="2830">
        <v>211</v>
      </c>
      <c r="AH31" s="2812"/>
      <c r="AI31" s="2609">
        <f>ROUND(UnosPod!F116+UnosPod!F117-UnosPod!F121,0)</f>
        <v>0</v>
      </c>
      <c r="AJ31" s="2609"/>
      <c r="AK31" s="2609"/>
      <c r="AL31" s="2609"/>
      <c r="AM31" s="2609"/>
      <c r="AN31" s="2609"/>
      <c r="AO31" s="2609"/>
      <c r="AP31" s="2609">
        <f>Prethodna_2024!B15</f>
        <v>0</v>
      </c>
      <c r="AQ31" s="2609"/>
      <c r="AR31" s="2609"/>
      <c r="AS31" s="2609"/>
      <c r="AT31" s="2609"/>
      <c r="AU31" s="2609"/>
      <c r="AV31" s="2609"/>
    </row>
    <row r="32" ht="17.25" customHeight="1" spans="1:48">
      <c r="A32" s="2827" t="s">
        <v>4000</v>
      </c>
      <c r="B32" s="2827"/>
      <c r="C32" s="2831" t="str">
        <f>Text!B164</f>
        <v>Prihodi od prodaje gotovih proizvoda</v>
      </c>
      <c r="D32" s="2832"/>
      <c r="E32" s="2832"/>
      <c r="F32" s="2832"/>
      <c r="G32" s="2832"/>
      <c r="H32" s="2832"/>
      <c r="I32" s="2832"/>
      <c r="J32" s="2832"/>
      <c r="K32" s="2832"/>
      <c r="L32" s="2832"/>
      <c r="M32" s="2832"/>
      <c r="N32" s="2832"/>
      <c r="O32" s="2832"/>
      <c r="P32" s="2832"/>
      <c r="Q32" s="2832"/>
      <c r="R32" s="2832"/>
      <c r="S32" s="2832"/>
      <c r="T32" s="2832"/>
      <c r="U32" s="2832"/>
      <c r="V32" s="2832"/>
      <c r="W32" s="2832"/>
      <c r="X32" s="2832"/>
      <c r="Y32" s="2833" t="s">
        <v>6967</v>
      </c>
      <c r="Z32" s="2834"/>
      <c r="AA32" s="2834"/>
      <c r="AB32" s="2834"/>
      <c r="AC32" s="2834"/>
      <c r="AD32" s="2835"/>
      <c r="AE32" s="2610" t="str">
        <f>Baza!E45</f>
        <v>-</v>
      </c>
      <c r="AF32" s="2610"/>
      <c r="AG32" s="2830">
        <v>212</v>
      </c>
      <c r="AH32" s="2812"/>
      <c r="AI32" s="2609">
        <f>ROUND(UnosPod!F130+UnosPod!F131-UnosPod!F135,0)</f>
        <v>0</v>
      </c>
      <c r="AJ32" s="2609"/>
      <c r="AK32" s="2609"/>
      <c r="AL32" s="2609"/>
      <c r="AM32" s="2609"/>
      <c r="AN32" s="2609"/>
      <c r="AO32" s="2609"/>
      <c r="AP32" s="2609">
        <f>Prethodna_2024!B16</f>
        <v>0</v>
      </c>
      <c r="AQ32" s="2609"/>
      <c r="AR32" s="2609"/>
      <c r="AS32" s="2609"/>
      <c r="AT32" s="2609"/>
      <c r="AU32" s="2609"/>
      <c r="AV32" s="2609"/>
    </row>
    <row r="33" ht="17.25" customHeight="1" spans="1:48">
      <c r="A33" s="2827" t="s">
        <v>4058</v>
      </c>
      <c r="B33" s="2827"/>
      <c r="C33" s="2831" t="str">
        <f>Text!B165</f>
        <v>Prihodi od pruženih usluga</v>
      </c>
      <c r="D33" s="2832"/>
      <c r="E33" s="2832"/>
      <c r="F33" s="2832"/>
      <c r="G33" s="2832"/>
      <c r="H33" s="2832"/>
      <c r="I33" s="2832"/>
      <c r="J33" s="2832"/>
      <c r="K33" s="2832"/>
      <c r="L33" s="2832"/>
      <c r="M33" s="2832"/>
      <c r="N33" s="2832"/>
      <c r="O33" s="2832"/>
      <c r="P33" s="2832"/>
      <c r="Q33" s="2832"/>
      <c r="R33" s="2832"/>
      <c r="S33" s="2832"/>
      <c r="T33" s="2832"/>
      <c r="U33" s="2832"/>
      <c r="V33" s="2832"/>
      <c r="W33" s="2832"/>
      <c r="X33" s="2832"/>
      <c r="Y33" s="2833" t="s">
        <v>6968</v>
      </c>
      <c r="Z33" s="2834"/>
      <c r="AA33" s="2834"/>
      <c r="AB33" s="2834"/>
      <c r="AC33" s="2834"/>
      <c r="AD33" s="2835"/>
      <c r="AE33" s="2610" t="str">
        <f>Baza!E46</f>
        <v>-</v>
      </c>
      <c r="AF33" s="2610"/>
      <c r="AG33" s="2830">
        <v>213</v>
      </c>
      <c r="AH33" s="2812"/>
      <c r="AI33" s="2609">
        <f>ROUND(UnosPod!F144+UnosPod!F145-UnosPod!F149,0)</f>
        <v>0</v>
      </c>
      <c r="AJ33" s="2609"/>
      <c r="AK33" s="2609"/>
      <c r="AL33" s="2609"/>
      <c r="AM33" s="2609"/>
      <c r="AN33" s="2609"/>
      <c r="AO33" s="2609"/>
      <c r="AP33" s="2609">
        <f>Prethodna_2024!B17</f>
        <v>0</v>
      </c>
      <c r="AQ33" s="2609"/>
      <c r="AR33" s="2609"/>
      <c r="AS33" s="2609"/>
      <c r="AT33" s="2609"/>
      <c r="AU33" s="2609"/>
      <c r="AV33" s="2609"/>
    </row>
    <row r="34" s="1757" customFormat="1" ht="17.25" customHeight="1" spans="1:48">
      <c r="A34" s="2826" t="s">
        <v>3949</v>
      </c>
      <c r="B34" s="2826"/>
      <c r="C34" s="2813" t="str">
        <f>Text!B166</f>
        <v>Ostali prihodi i dobici (215+230+241+242+243+244+245+246 +247 + 251)</v>
      </c>
      <c r="D34" s="2814"/>
      <c r="E34" s="2814"/>
      <c r="F34" s="2814"/>
      <c r="G34" s="2814"/>
      <c r="H34" s="2814"/>
      <c r="I34" s="2814"/>
      <c r="J34" s="2814"/>
      <c r="K34" s="2814"/>
      <c r="L34" s="2814"/>
      <c r="M34" s="2814"/>
      <c r="N34" s="2814"/>
      <c r="O34" s="2814"/>
      <c r="P34" s="2814"/>
      <c r="Q34" s="2814"/>
      <c r="R34" s="2814"/>
      <c r="S34" s="2814"/>
      <c r="T34" s="2814"/>
      <c r="U34" s="2814"/>
      <c r="V34" s="2814"/>
      <c r="W34" s="2814"/>
      <c r="X34" s="2814"/>
      <c r="Y34" s="2833"/>
      <c r="Z34" s="2834"/>
      <c r="AA34" s="2834"/>
      <c r="AB34" s="2834"/>
      <c r="AC34" s="2834"/>
      <c r="AD34" s="2835"/>
      <c r="AE34" s="2618"/>
      <c r="AF34" s="2618"/>
      <c r="AG34" s="2830">
        <v>214</v>
      </c>
      <c r="AH34" s="2812"/>
      <c r="AI34" s="2622">
        <f>AI35+AI54+SUM(AI65:AO71)+AI75</f>
        <v>2065</v>
      </c>
      <c r="AJ34" s="2622"/>
      <c r="AK34" s="2622"/>
      <c r="AL34" s="2622"/>
      <c r="AM34" s="2622"/>
      <c r="AN34" s="2622"/>
      <c r="AO34" s="2622"/>
      <c r="AP34" s="2622">
        <f>AP35+AP54+SUM(AP65:AV71)+AP75</f>
        <v>76023</v>
      </c>
      <c r="AQ34" s="2622"/>
      <c r="AR34" s="2622"/>
      <c r="AS34" s="2622"/>
      <c r="AT34" s="2622"/>
      <c r="AU34" s="2622"/>
      <c r="AV34" s="2622"/>
    </row>
    <row r="35" ht="17.25" customHeight="1" spans="1:48">
      <c r="A35" s="2827" t="s">
        <v>3953</v>
      </c>
      <c r="B35" s="2827"/>
      <c r="C35" s="2828" t="str">
        <f>Text!B167</f>
        <v>Dobici od dugoročne nefinansijske imovine (216 do 229)</v>
      </c>
      <c r="D35" s="2829"/>
      <c r="E35" s="2829"/>
      <c r="F35" s="2829"/>
      <c r="G35" s="2829"/>
      <c r="H35" s="2829"/>
      <c r="I35" s="2829"/>
      <c r="J35" s="2829"/>
      <c r="K35" s="2829"/>
      <c r="L35" s="2829"/>
      <c r="M35" s="2829"/>
      <c r="N35" s="2829"/>
      <c r="O35" s="2829"/>
      <c r="P35" s="2829"/>
      <c r="Q35" s="2829"/>
      <c r="R35" s="2829"/>
      <c r="S35" s="2829"/>
      <c r="T35" s="2829"/>
      <c r="U35" s="2829"/>
      <c r="V35" s="2829"/>
      <c r="W35" s="2829"/>
      <c r="X35" s="2829"/>
      <c r="Y35" s="2833"/>
      <c r="Z35" s="2834"/>
      <c r="AA35" s="2834"/>
      <c r="AB35" s="2834"/>
      <c r="AC35" s="2834"/>
      <c r="AD35" s="2835"/>
      <c r="AE35" s="2610" t="str">
        <f>Baza!E47</f>
        <v>-</v>
      </c>
      <c r="AF35" s="2610"/>
      <c r="AG35" s="2830">
        <v>215</v>
      </c>
      <c r="AH35" s="2812"/>
      <c r="AI35" s="2609">
        <f>AI36+AI37++AI38+AI39+SUM(AI44:AO53)</f>
        <v>0</v>
      </c>
      <c r="AJ35" s="2609"/>
      <c r="AK35" s="2609"/>
      <c r="AL35" s="2609"/>
      <c r="AM35" s="2609"/>
      <c r="AN35" s="2609"/>
      <c r="AO35" s="2609"/>
      <c r="AP35" s="2609">
        <f>AP36+AP37++AP38+AP39+SUM(AP44:AV53)</f>
        <v>63891</v>
      </c>
      <c r="AQ35" s="2609"/>
      <c r="AR35" s="2609"/>
      <c r="AS35" s="2609"/>
      <c r="AT35" s="2609"/>
      <c r="AU35" s="2609"/>
      <c r="AV35" s="2609"/>
    </row>
    <row r="36" ht="17.25" customHeight="1" spans="1:48">
      <c r="A36" s="2827" t="s">
        <v>3875</v>
      </c>
      <c r="B36" s="2827"/>
      <c r="C36" s="2831" t="str">
        <f>Text!B168</f>
        <v>Neto dobici od otuđenja nekretnina, postrojenja i opreme</v>
      </c>
      <c r="D36" s="2832"/>
      <c r="E36" s="2832"/>
      <c r="F36" s="2832"/>
      <c r="G36" s="2832"/>
      <c r="H36" s="2832"/>
      <c r="I36" s="2832"/>
      <c r="J36" s="2832"/>
      <c r="K36" s="2832"/>
      <c r="L36" s="2832"/>
      <c r="M36" s="2832"/>
      <c r="N36" s="2832"/>
      <c r="O36" s="2832"/>
      <c r="P36" s="2832"/>
      <c r="Q36" s="2832"/>
      <c r="R36" s="2832"/>
      <c r="S36" s="2832"/>
      <c r="T36" s="2832"/>
      <c r="U36" s="2832"/>
      <c r="V36" s="2832"/>
      <c r="W36" s="2832"/>
      <c r="X36" s="2832"/>
      <c r="Y36" s="2833" t="s">
        <v>6969</v>
      </c>
      <c r="Z36" s="2834"/>
      <c r="AA36" s="2834"/>
      <c r="AB36" s="2834"/>
      <c r="AC36" s="2834"/>
      <c r="AD36" s="2835"/>
      <c r="AE36" s="2610"/>
      <c r="AF36" s="2610"/>
      <c r="AG36" s="2830">
        <v>216</v>
      </c>
      <c r="AH36" s="2812"/>
      <c r="AI36" s="2609">
        <f>ROUND(IF(UnosPod!F173-UnosPod!F313&lt;0,0,UnosPod!F173-UnosPod!F313),0)</f>
        <v>0</v>
      </c>
      <c r="AJ36" s="2609"/>
      <c r="AK36" s="2609"/>
      <c r="AL36" s="2609"/>
      <c r="AM36" s="2609"/>
      <c r="AN36" s="2609"/>
      <c r="AO36" s="2609"/>
      <c r="AP36" s="2609">
        <f>Prethodna_2024!B20</f>
        <v>0</v>
      </c>
      <c r="AQ36" s="2609"/>
      <c r="AR36" s="2609"/>
      <c r="AS36" s="2609"/>
      <c r="AT36" s="2609"/>
      <c r="AU36" s="2609"/>
      <c r="AV36" s="2609"/>
    </row>
    <row r="37" ht="30" customHeight="1" spans="1:48">
      <c r="A37" s="2827" t="s">
        <v>3877</v>
      </c>
      <c r="B37" s="2827"/>
      <c r="C37" s="2831" t="str">
        <f>Text!B169</f>
        <v>Neto dobici od otpuštanja ranije priznatih gubitaka od umanjenja vrijednosti nekretnina, postrojenja i opreme</v>
      </c>
      <c r="D37" s="2832"/>
      <c r="E37" s="2832"/>
      <c r="F37" s="2832"/>
      <c r="G37" s="2832"/>
      <c r="H37" s="2832"/>
      <c r="I37" s="2832"/>
      <c r="J37" s="2832"/>
      <c r="K37" s="2832"/>
      <c r="L37" s="2832"/>
      <c r="M37" s="2832"/>
      <c r="N37" s="2832"/>
      <c r="O37" s="2832"/>
      <c r="P37" s="2832"/>
      <c r="Q37" s="2832"/>
      <c r="R37" s="2832"/>
      <c r="S37" s="2832"/>
      <c r="T37" s="2832"/>
      <c r="U37" s="2832"/>
      <c r="V37" s="2832"/>
      <c r="W37" s="2832"/>
      <c r="X37" s="2832"/>
      <c r="Y37" s="2833" t="s">
        <v>6970</v>
      </c>
      <c r="Z37" s="2834"/>
      <c r="AA37" s="2834"/>
      <c r="AB37" s="2834"/>
      <c r="AC37" s="2834"/>
      <c r="AD37" s="2835"/>
      <c r="AE37" s="2610"/>
      <c r="AF37" s="2610"/>
      <c r="AG37" s="2830">
        <v>217</v>
      </c>
      <c r="AH37" s="2812"/>
      <c r="AI37" s="2609">
        <f>ROUND(IF(UnosPod!F195-UnosPod!F339&lt;0,0,UnosPod!F195-UnosPod!F339),0)</f>
        <v>0</v>
      </c>
      <c r="AJ37" s="2609"/>
      <c r="AK37" s="2609"/>
      <c r="AL37" s="2609"/>
      <c r="AM37" s="2609"/>
      <c r="AN37" s="2609"/>
      <c r="AO37" s="2609"/>
      <c r="AP37" s="2609">
        <f>Prethodna_2024!B21</f>
        <v>0</v>
      </c>
      <c r="AQ37" s="2609"/>
      <c r="AR37" s="2609"/>
      <c r="AS37" s="2609"/>
      <c r="AT37" s="2609"/>
      <c r="AU37" s="2609"/>
      <c r="AV37" s="2609"/>
    </row>
    <row r="38" ht="31.5" customHeight="1" spans="1:48">
      <c r="A38" s="2827" t="s">
        <v>3880</v>
      </c>
      <c r="B38" s="2827"/>
      <c r="C38" s="2831" t="str">
        <f>Text!B170</f>
        <v>Neto dobici od otpuštanja ranije priznatih gubitaka od promjene revalorizovane vrijednosti nekretnina, postrojenja i opreme za koje nije bilo postojećih revalorizacionih rezervi</v>
      </c>
      <c r="D38" s="2832"/>
      <c r="E38" s="2832"/>
      <c r="F38" s="2832"/>
      <c r="G38" s="2832"/>
      <c r="H38" s="2832"/>
      <c r="I38" s="2832"/>
      <c r="J38" s="2832"/>
      <c r="K38" s="2832"/>
      <c r="L38" s="2832"/>
      <c r="M38" s="2832"/>
      <c r="N38" s="2832"/>
      <c r="O38" s="2832"/>
      <c r="P38" s="2832"/>
      <c r="Q38" s="2832"/>
      <c r="R38" s="2832"/>
      <c r="S38" s="2832"/>
      <c r="T38" s="2832"/>
      <c r="U38" s="2832"/>
      <c r="V38" s="2832"/>
      <c r="W38" s="2832"/>
      <c r="X38" s="2832"/>
      <c r="Y38" s="2833" t="s">
        <v>6971</v>
      </c>
      <c r="Z38" s="2834"/>
      <c r="AA38" s="2834"/>
      <c r="AB38" s="2834"/>
      <c r="AC38" s="2834"/>
      <c r="AD38" s="2835"/>
      <c r="AE38" s="2610"/>
      <c r="AF38" s="2610"/>
      <c r="AG38" s="2830">
        <v>218</v>
      </c>
      <c r="AH38" s="2812"/>
      <c r="AI38" s="2609">
        <f>ROUND(IF(UnosPod!F196-UnosPod!F340&lt;0,0,UnosPod!F196-UnosPod!F340),0)</f>
        <v>0</v>
      </c>
      <c r="AJ38" s="2609"/>
      <c r="AK38" s="2609"/>
      <c r="AL38" s="2609"/>
      <c r="AM38" s="2609"/>
      <c r="AN38" s="2609"/>
      <c r="AO38" s="2609"/>
      <c r="AP38" s="2609">
        <f>Prethodna_2024!B22</f>
        <v>0</v>
      </c>
      <c r="AQ38" s="2609"/>
      <c r="AR38" s="2609"/>
      <c r="AS38" s="2609"/>
      <c r="AT38" s="2609"/>
      <c r="AU38" s="2609"/>
      <c r="AV38" s="2609"/>
    </row>
    <row r="39" ht="18.75" customHeight="1" spans="1:48">
      <c r="A39" s="2827" t="s">
        <v>3883</v>
      </c>
      <c r="B39" s="2827"/>
      <c r="C39" s="2831" t="str">
        <f>Text!B171</f>
        <v>Neto dobici od otuđenja ulaganja u investicijske nekretnine</v>
      </c>
      <c r="D39" s="2832"/>
      <c r="E39" s="2832"/>
      <c r="F39" s="2832"/>
      <c r="G39" s="2832"/>
      <c r="H39" s="2832"/>
      <c r="I39" s="2832"/>
      <c r="J39" s="2832"/>
      <c r="K39" s="2832"/>
      <c r="L39" s="2832"/>
      <c r="M39" s="2832"/>
      <c r="N39" s="2832"/>
      <c r="O39" s="2832"/>
      <c r="P39" s="2832"/>
      <c r="Q39" s="2832"/>
      <c r="R39" s="2832"/>
      <c r="S39" s="2832"/>
      <c r="T39" s="2832"/>
      <c r="U39" s="2832"/>
      <c r="V39" s="2832"/>
      <c r="W39" s="2832"/>
      <c r="X39" s="2832"/>
      <c r="Y39" s="2833" t="s">
        <v>6972</v>
      </c>
      <c r="Z39" s="2834"/>
      <c r="AA39" s="2834"/>
      <c r="AB39" s="2834"/>
      <c r="AC39" s="2834"/>
      <c r="AD39" s="2835"/>
      <c r="AE39" s="2610"/>
      <c r="AF39" s="2610"/>
      <c r="AG39" s="2830">
        <v>219</v>
      </c>
      <c r="AH39" s="2812"/>
      <c r="AI39" s="2609">
        <f>ROUND(IF(UnosPod!F175-UnosPod!F315&lt;0,0,UnosPod!F175-UnosPod!F315),0)</f>
        <v>0</v>
      </c>
      <c r="AJ39" s="2609"/>
      <c r="AK39" s="2609"/>
      <c r="AL39" s="2609"/>
      <c r="AM39" s="2609"/>
      <c r="AN39" s="2609"/>
      <c r="AO39" s="2609"/>
      <c r="AP39" s="2609">
        <f>Prethodna_2024!B23</f>
        <v>0</v>
      </c>
      <c r="AQ39" s="2609"/>
      <c r="AR39" s="2609"/>
      <c r="AS39" s="2609"/>
      <c r="AT39" s="2609"/>
      <c r="AU39" s="2609"/>
      <c r="AV39" s="2609"/>
    </row>
    <row r="40" ht="18" customHeight="1" spans="1:48">
      <c r="A40" s="874"/>
    </row>
    <row r="41" ht="18" customHeight="1" spans="1:48">
      <c r="A41" s="874"/>
    </row>
    <row r="42" ht="18" customHeight="1" spans="1:48">
      <c r="A42" s="874"/>
    </row>
    <row r="43" customHeight="1" spans="1:48">
      <c r="A43" s="2827">
        <v>1</v>
      </c>
      <c r="B43" s="2827"/>
      <c r="C43" s="2812">
        <v>2</v>
      </c>
      <c r="D43" s="2827"/>
      <c r="E43" s="2827"/>
      <c r="F43" s="2827"/>
      <c r="G43" s="2827"/>
      <c r="H43" s="2827"/>
      <c r="I43" s="2827"/>
      <c r="J43" s="2827"/>
      <c r="K43" s="2827"/>
      <c r="L43" s="2827"/>
      <c r="M43" s="2827"/>
      <c r="N43" s="2827"/>
      <c r="O43" s="2827"/>
      <c r="P43" s="2827"/>
      <c r="Q43" s="2827"/>
      <c r="R43" s="2827"/>
      <c r="S43" s="2827"/>
      <c r="T43" s="2827"/>
      <c r="U43" s="2827"/>
      <c r="V43" s="2827"/>
      <c r="W43" s="2827"/>
      <c r="X43" s="2830"/>
      <c r="Y43" s="2816"/>
      <c r="Z43" s="2816"/>
      <c r="AA43" s="2816"/>
      <c r="AB43" s="2816"/>
      <c r="AC43" s="2816"/>
      <c r="AD43" s="2817"/>
      <c r="AE43" s="2827">
        <v>3</v>
      </c>
      <c r="AF43" s="2827"/>
      <c r="AG43" s="2827">
        <v>4</v>
      </c>
      <c r="AH43" s="2827"/>
      <c r="AI43" s="2827">
        <v>5</v>
      </c>
      <c r="AJ43" s="2827"/>
      <c r="AK43" s="2827"/>
      <c r="AL43" s="2827"/>
      <c r="AM43" s="2827"/>
      <c r="AN43" s="2827"/>
      <c r="AO43" s="2827"/>
      <c r="AP43" s="2827">
        <v>6</v>
      </c>
      <c r="AQ43" s="2827"/>
      <c r="AR43" s="2827"/>
      <c r="AS43" s="2827"/>
      <c r="AT43" s="2827"/>
      <c r="AU43" s="2827"/>
      <c r="AV43" s="2827"/>
    </row>
    <row r="44" ht="17.25" customHeight="1" spans="1:48">
      <c r="A44" s="2827" t="s">
        <v>3886</v>
      </c>
      <c r="B44" s="2827"/>
      <c r="C44" s="2831" t="str">
        <f>Text!B172</f>
        <v>Neto povećanja vrijednosti ulaganja u investicijske nekretnine koja se vode po fer vrijednosti </v>
      </c>
      <c r="D44" s="2832"/>
      <c r="E44" s="2832"/>
      <c r="F44" s="2832"/>
      <c r="G44" s="2832"/>
      <c r="H44" s="2832"/>
      <c r="I44" s="2832"/>
      <c r="J44" s="2832"/>
      <c r="K44" s="2832"/>
      <c r="L44" s="2832"/>
      <c r="M44" s="2832"/>
      <c r="N44" s="2832"/>
      <c r="O44" s="2832"/>
      <c r="P44" s="2832"/>
      <c r="Q44" s="2832"/>
      <c r="R44" s="2832"/>
      <c r="S44" s="2832"/>
      <c r="T44" s="2832"/>
      <c r="U44" s="2832"/>
      <c r="V44" s="2832"/>
      <c r="W44" s="2832"/>
      <c r="X44" s="2832"/>
      <c r="Y44" s="2833" t="s">
        <v>6973</v>
      </c>
      <c r="Z44" s="2834"/>
      <c r="AA44" s="2834"/>
      <c r="AB44" s="2834"/>
      <c r="AC44" s="2834"/>
      <c r="AD44" s="2835"/>
      <c r="AE44" s="2610"/>
      <c r="AF44" s="2610"/>
      <c r="AG44" s="2830">
        <v>220</v>
      </c>
      <c r="AH44" s="2812"/>
      <c r="AI44" s="2609">
        <f>ROUND(IF(UnosPod!F152-UnosPod!F154&lt;0,0,UnosPod!F152-UnosPod!F154),0)</f>
        <v>0</v>
      </c>
      <c r="AJ44" s="2609"/>
      <c r="AK44" s="2609"/>
      <c r="AL44" s="2609"/>
      <c r="AM44" s="2609"/>
      <c r="AN44" s="2609"/>
      <c r="AO44" s="2609"/>
      <c r="AP44" s="2609">
        <f>Prethodna_2024!B24</f>
        <v>0</v>
      </c>
      <c r="AQ44" s="2609"/>
      <c r="AR44" s="2609"/>
      <c r="AS44" s="2609"/>
      <c r="AT44" s="2609"/>
      <c r="AU44" s="2609"/>
      <c r="AV44" s="2609"/>
    </row>
    <row r="45" ht="17.25" customHeight="1" spans="1:48">
      <c r="A45" s="2827" t="s">
        <v>3889</v>
      </c>
      <c r="B45" s="2827"/>
      <c r="C45" s="2831" t="str">
        <f>Text!B173</f>
        <v>Neto dobici od otpuštanja ranije priznatih gubitaka od umanjenja vrijednosti investicijskih nekretnina</v>
      </c>
      <c r="D45" s="2832"/>
      <c r="E45" s="2832"/>
      <c r="F45" s="2832"/>
      <c r="G45" s="2832"/>
      <c r="H45" s="2832"/>
      <c r="I45" s="2832"/>
      <c r="J45" s="2832"/>
      <c r="K45" s="2832"/>
      <c r="L45" s="2832"/>
      <c r="M45" s="2832"/>
      <c r="N45" s="2832"/>
      <c r="O45" s="2832"/>
      <c r="P45" s="2832"/>
      <c r="Q45" s="2832"/>
      <c r="R45" s="2832"/>
      <c r="S45" s="2832"/>
      <c r="T45" s="2832"/>
      <c r="U45" s="2832"/>
      <c r="V45" s="2832"/>
      <c r="W45" s="2832"/>
      <c r="X45" s="2832"/>
      <c r="Y45" s="2833" t="s">
        <v>6974</v>
      </c>
      <c r="Z45" s="2834"/>
      <c r="AA45" s="2834"/>
      <c r="AB45" s="2834"/>
      <c r="AC45" s="2834"/>
      <c r="AD45" s="2835"/>
      <c r="AE45" s="2610"/>
      <c r="AF45" s="2610"/>
      <c r="AG45" s="2830">
        <v>221</v>
      </c>
      <c r="AH45" s="2812"/>
      <c r="AI45" s="2609">
        <f>ROUND(IF(UnosPod!F198-UnosPod!F342&lt;0,0,UnosPod!F198-UnosPod!F342),0)</f>
        <v>0</v>
      </c>
      <c r="AJ45" s="2609"/>
      <c r="AK45" s="2609"/>
      <c r="AL45" s="2609"/>
      <c r="AM45" s="2609"/>
      <c r="AN45" s="2609"/>
      <c r="AO45" s="2609"/>
      <c r="AP45" s="2609">
        <f>Prethodna_2024!B25</f>
        <v>0</v>
      </c>
      <c r="AQ45" s="2609"/>
      <c r="AR45" s="2609"/>
      <c r="AS45" s="2609"/>
      <c r="AT45" s="2609"/>
      <c r="AU45" s="2609"/>
      <c r="AV45" s="2609"/>
    </row>
    <row r="46" ht="17.25" customHeight="1" spans="1:48">
      <c r="A46" s="2827" t="s">
        <v>4069</v>
      </c>
      <c r="B46" s="2827"/>
      <c r="C46" s="2831" t="str">
        <f>Text!B174</f>
        <v>Neto dobici od otuđenja nematerijalne imovine</v>
      </c>
      <c r="D46" s="2832"/>
      <c r="E46" s="2832"/>
      <c r="F46" s="2832"/>
      <c r="G46" s="2832"/>
      <c r="H46" s="2832"/>
      <c r="I46" s="2832"/>
      <c r="J46" s="2832"/>
      <c r="K46" s="2832"/>
      <c r="L46" s="2832"/>
      <c r="M46" s="2832"/>
      <c r="N46" s="2832"/>
      <c r="O46" s="2832"/>
      <c r="P46" s="2832"/>
      <c r="Q46" s="2832"/>
      <c r="R46" s="2832"/>
      <c r="S46" s="2832"/>
      <c r="T46" s="2832"/>
      <c r="U46" s="2832"/>
      <c r="V46" s="2832"/>
      <c r="W46" s="2832"/>
      <c r="X46" s="2832"/>
      <c r="Y46" s="2833" t="s">
        <v>6969</v>
      </c>
      <c r="Z46" s="2834"/>
      <c r="AA46" s="2834"/>
      <c r="AB46" s="2834"/>
      <c r="AC46" s="2834"/>
      <c r="AD46" s="2835"/>
      <c r="AE46" s="2610"/>
      <c r="AF46" s="2610"/>
      <c r="AG46" s="2830">
        <v>222</v>
      </c>
      <c r="AH46" s="2812"/>
      <c r="AI46" s="2609">
        <f>ROUND(IF(UnosPod!F172-UnosPod!F312&lt;0,0,UnosPod!F172-UnosPod!F312),0)</f>
        <v>0</v>
      </c>
      <c r="AJ46" s="2609"/>
      <c r="AK46" s="2609"/>
      <c r="AL46" s="2609"/>
      <c r="AM46" s="2609"/>
      <c r="AN46" s="2609"/>
      <c r="AO46" s="2609"/>
      <c r="AP46" s="2609">
        <f>Prethodna_2024!B26</f>
        <v>0</v>
      </c>
      <c r="AQ46" s="2609"/>
      <c r="AR46" s="2609"/>
      <c r="AS46" s="2609"/>
      <c r="AT46" s="2609"/>
      <c r="AU46" s="2609"/>
      <c r="AV46" s="2609"/>
    </row>
    <row r="47" ht="17.25" customHeight="1" spans="1:48">
      <c r="A47" s="2827" t="s">
        <v>4070</v>
      </c>
      <c r="B47" s="2827"/>
      <c r="C47" s="2831" t="str">
        <f>Text!B175</f>
        <v>Neto dobici od otpuštanja ranije priznatih gubitaka od umanjenja vrijednosti nematerijalne imovine</v>
      </c>
      <c r="D47" s="2832"/>
      <c r="E47" s="2832"/>
      <c r="F47" s="2832"/>
      <c r="G47" s="2832"/>
      <c r="H47" s="2832"/>
      <c r="I47" s="2832"/>
      <c r="J47" s="2832"/>
      <c r="K47" s="2832"/>
      <c r="L47" s="2832"/>
      <c r="M47" s="2832"/>
      <c r="N47" s="2832"/>
      <c r="O47" s="2832"/>
      <c r="P47" s="2832"/>
      <c r="Q47" s="2832"/>
      <c r="R47" s="2832"/>
      <c r="S47" s="2832"/>
      <c r="T47" s="2832"/>
      <c r="U47" s="2832"/>
      <c r="V47" s="2832"/>
      <c r="W47" s="2832"/>
      <c r="X47" s="2832"/>
      <c r="Y47" s="2833" t="s">
        <v>6975</v>
      </c>
      <c r="Z47" s="2834"/>
      <c r="AA47" s="2834"/>
      <c r="AB47" s="2834"/>
      <c r="AC47" s="2834"/>
      <c r="AD47" s="2835"/>
      <c r="AE47" s="2610"/>
      <c r="AF47" s="2610"/>
      <c r="AG47" s="2830">
        <v>223</v>
      </c>
      <c r="AH47" s="2812"/>
      <c r="AI47" s="2609">
        <f>ROUND(IF(UnosPod!F194-UnosPod!F338&lt;0,0,UnosPod!F194-UnosPod!F338),0)</f>
        <v>0</v>
      </c>
      <c r="AJ47" s="2609"/>
      <c r="AK47" s="2609"/>
      <c r="AL47" s="2609"/>
      <c r="AM47" s="2609"/>
      <c r="AN47" s="2609"/>
      <c r="AO47" s="2609"/>
      <c r="AP47" s="2609">
        <f>Prethodna_2024!B27</f>
        <v>0</v>
      </c>
      <c r="AQ47" s="2609"/>
      <c r="AR47" s="2609"/>
      <c r="AS47" s="2609"/>
      <c r="AT47" s="2609"/>
      <c r="AU47" s="2609"/>
      <c r="AV47" s="2609"/>
    </row>
    <row r="48" ht="17.25" customHeight="1" spans="1:48">
      <c r="A48" s="2827" t="s">
        <v>4072</v>
      </c>
      <c r="B48" s="2827"/>
      <c r="C48" s="2831" t="str">
        <f>Text!B176</f>
        <v>Neto dobici od prestanka priznavanja imovine s pravom korištenja</v>
      </c>
      <c r="D48" s="2832"/>
      <c r="E48" s="2832"/>
      <c r="F48" s="2832"/>
      <c r="G48" s="2832"/>
      <c r="H48" s="2832"/>
      <c r="I48" s="2832"/>
      <c r="J48" s="2832"/>
      <c r="K48" s="2832"/>
      <c r="L48" s="2832"/>
      <c r="M48" s="2832"/>
      <c r="N48" s="2832"/>
      <c r="O48" s="2832"/>
      <c r="P48" s="2832"/>
      <c r="Q48" s="2832"/>
      <c r="R48" s="2832"/>
      <c r="S48" s="2832"/>
      <c r="T48" s="2832"/>
      <c r="U48" s="2832"/>
      <c r="V48" s="2832"/>
      <c r="W48" s="2832"/>
      <c r="X48" s="2832"/>
      <c r="Y48" s="2833" t="s">
        <v>6976</v>
      </c>
      <c r="Z48" s="2834"/>
      <c r="AA48" s="2834"/>
      <c r="AB48" s="2834"/>
      <c r="AC48" s="2834"/>
      <c r="AD48" s="2835"/>
      <c r="AE48" s="2610"/>
      <c r="AF48" s="2610"/>
      <c r="AG48" s="2830">
        <v>224</v>
      </c>
      <c r="AH48" s="2812"/>
      <c r="AI48" s="2609">
        <f>ROUND(IF(UnosPod!F211-UnosPod!F355&lt;0,0,UnosPod!F211-UnosPod!F355),0)</f>
        <v>0</v>
      </c>
      <c r="AJ48" s="2609"/>
      <c r="AK48" s="2609"/>
      <c r="AL48" s="2609"/>
      <c r="AM48" s="2609"/>
      <c r="AN48" s="2609"/>
      <c r="AO48" s="2609"/>
      <c r="AP48" s="2609">
        <f>Prethodna_2024!B28</f>
        <v>63891</v>
      </c>
      <c r="AQ48" s="2609"/>
      <c r="AR48" s="2609"/>
      <c r="AS48" s="2609"/>
      <c r="AT48" s="2609"/>
      <c r="AU48" s="2609"/>
      <c r="AV48" s="2609"/>
    </row>
    <row r="49" ht="17.25" customHeight="1" spans="1:48">
      <c r="A49" s="2827" t="s">
        <v>4074</v>
      </c>
      <c r="B49" s="2827"/>
      <c r="C49" s="2831" t="str">
        <f>Text!B177</f>
        <v>Neto dobici od otuđenja biološke imovine</v>
      </c>
      <c r="D49" s="2832"/>
      <c r="E49" s="2832"/>
      <c r="F49" s="2832"/>
      <c r="G49" s="2832"/>
      <c r="H49" s="2832"/>
      <c r="I49" s="2832"/>
      <c r="J49" s="2832"/>
      <c r="K49" s="2832"/>
      <c r="L49" s="2832"/>
      <c r="M49" s="2832"/>
      <c r="N49" s="2832"/>
      <c r="O49" s="2832"/>
      <c r="P49" s="2832"/>
      <c r="Q49" s="2832"/>
      <c r="R49" s="2832"/>
      <c r="S49" s="2832"/>
      <c r="T49" s="2832"/>
      <c r="U49" s="2832"/>
      <c r="V49" s="2832"/>
      <c r="W49" s="2832"/>
      <c r="X49" s="2832"/>
      <c r="Y49" s="2833" t="s">
        <v>6977</v>
      </c>
      <c r="Z49" s="2834"/>
      <c r="AA49" s="2834"/>
      <c r="AB49" s="2834"/>
      <c r="AC49" s="2834"/>
      <c r="AD49" s="2835"/>
      <c r="AE49" s="2610"/>
      <c r="AF49" s="2610"/>
      <c r="AG49" s="2830">
        <v>225</v>
      </c>
      <c r="AH49" s="2812"/>
      <c r="AI49" s="2609">
        <f>ROUND(IF(UnosPod!F176-UnosPod!F316&lt;0,0,UnosPod!F176-UnosPod!F316),0)</f>
        <v>0</v>
      </c>
      <c r="AJ49" s="2609"/>
      <c r="AK49" s="2609"/>
      <c r="AL49" s="2609"/>
      <c r="AM49" s="2609"/>
      <c r="AN49" s="2609"/>
      <c r="AO49" s="2609"/>
      <c r="AP49" s="2609">
        <f>Prethodna_2024!B29</f>
        <v>0</v>
      </c>
      <c r="AQ49" s="2609"/>
      <c r="AR49" s="2609"/>
      <c r="AS49" s="2609"/>
      <c r="AT49" s="2609"/>
      <c r="AU49" s="2609"/>
      <c r="AV49" s="2609"/>
    </row>
    <row r="50" ht="17.25" customHeight="1" spans="1:48">
      <c r="A50" s="2827" t="s">
        <v>4076</v>
      </c>
      <c r="B50" s="2827"/>
      <c r="C50" s="2831" t="str">
        <f>Text!B178</f>
        <v>Neto povećanja vrijednosti biološke imovine koja se vodi po fer vrijednosti </v>
      </c>
      <c r="D50" s="2832"/>
      <c r="E50" s="2832"/>
      <c r="F50" s="2832"/>
      <c r="G50" s="2832"/>
      <c r="H50" s="2832"/>
      <c r="I50" s="2832"/>
      <c r="J50" s="2832"/>
      <c r="K50" s="2832"/>
      <c r="L50" s="2832"/>
      <c r="M50" s="2832"/>
      <c r="N50" s="2832"/>
      <c r="O50" s="2832"/>
      <c r="P50" s="2832"/>
      <c r="Q50" s="2832"/>
      <c r="R50" s="2832"/>
      <c r="S50" s="2832"/>
      <c r="T50" s="2832"/>
      <c r="U50" s="2832"/>
      <c r="V50" s="2832"/>
      <c r="W50" s="2832"/>
      <c r="X50" s="2832"/>
      <c r="Y50" s="2833" t="s">
        <v>6978</v>
      </c>
      <c r="Z50" s="2834"/>
      <c r="AA50" s="2834"/>
      <c r="AB50" s="2834"/>
      <c r="AC50" s="2834"/>
      <c r="AD50" s="2835"/>
      <c r="AE50" s="2610"/>
      <c r="AF50" s="2610"/>
      <c r="AG50" s="2830">
        <v>226</v>
      </c>
      <c r="AH50" s="2812"/>
      <c r="AI50" s="2609">
        <f>ROUND(IF(UnosPod!F153-UnosPod!F155&lt;0,0,UnosPod!F153-UnosPod!F155),0)</f>
        <v>0</v>
      </c>
      <c r="AJ50" s="2609"/>
      <c r="AK50" s="2609"/>
      <c r="AL50" s="2609"/>
      <c r="AM50" s="2609"/>
      <c r="AN50" s="2609"/>
      <c r="AO50" s="2609"/>
      <c r="AP50" s="2609">
        <f>Prethodna_2024!B30</f>
        <v>0</v>
      </c>
      <c r="AQ50" s="2609"/>
      <c r="AR50" s="2609"/>
      <c r="AS50" s="2609"/>
      <c r="AT50" s="2609"/>
      <c r="AU50" s="2609"/>
      <c r="AV50" s="2609"/>
    </row>
    <row r="51" ht="17.25" customHeight="1" spans="1:48">
      <c r="A51" s="2827" t="s">
        <v>4078</v>
      </c>
      <c r="B51" s="2827"/>
      <c r="C51" s="2831" t="str">
        <f>Text!B179</f>
        <v>Neto dobici od otpuštanja ranije priznatih gubitaka od umanjenja vrijednosti biološke imovine</v>
      </c>
      <c r="D51" s="2832"/>
      <c r="E51" s="2832"/>
      <c r="F51" s="2832"/>
      <c r="G51" s="2832"/>
      <c r="H51" s="2832"/>
      <c r="I51" s="2832"/>
      <c r="J51" s="2832"/>
      <c r="K51" s="2832"/>
      <c r="L51" s="2832"/>
      <c r="M51" s="2832"/>
      <c r="N51" s="2832"/>
      <c r="O51" s="2832"/>
      <c r="P51" s="2832"/>
      <c r="Q51" s="2832"/>
      <c r="R51" s="2832"/>
      <c r="S51" s="2832"/>
      <c r="T51" s="2832"/>
      <c r="U51" s="2832"/>
      <c r="V51" s="2832"/>
      <c r="W51" s="2832"/>
      <c r="X51" s="2832"/>
      <c r="Y51" s="2833" t="s">
        <v>6979</v>
      </c>
      <c r="Z51" s="2834"/>
      <c r="AA51" s="2834"/>
      <c r="AB51" s="2834"/>
      <c r="AC51" s="2834"/>
      <c r="AD51" s="2835"/>
      <c r="AE51" s="2610"/>
      <c r="AF51" s="2610"/>
      <c r="AG51" s="2830">
        <v>227</v>
      </c>
      <c r="AH51" s="2812"/>
      <c r="AI51" s="2609">
        <f>ROUND(IF(UnosPod!F199-UnosPod!F343&lt;0,0,UnosPod!F199-UnosPod!F343),0)</f>
        <v>0</v>
      </c>
      <c r="AJ51" s="2609"/>
      <c r="AK51" s="2609"/>
      <c r="AL51" s="2609"/>
      <c r="AM51" s="2609"/>
      <c r="AN51" s="2609"/>
      <c r="AO51" s="2609"/>
      <c r="AP51" s="2609">
        <f>Prethodna_2024!B31</f>
        <v>0</v>
      </c>
      <c r="AQ51" s="2609"/>
      <c r="AR51" s="2609"/>
      <c r="AS51" s="2609"/>
      <c r="AT51" s="2609"/>
      <c r="AU51" s="2609"/>
      <c r="AV51" s="2609"/>
    </row>
    <row r="52" ht="17.25" customHeight="1" spans="1:48">
      <c r="A52" s="2827" t="s">
        <v>4080</v>
      </c>
      <c r="B52" s="2827"/>
      <c r="C52" s="2831" t="str">
        <f>Text!B180</f>
        <v>Neto dobici od dugoročne imovine namijenjene prodaji</v>
      </c>
      <c r="D52" s="2832"/>
      <c r="E52" s="2832"/>
      <c r="F52" s="2832"/>
      <c r="G52" s="2832"/>
      <c r="H52" s="2832"/>
      <c r="I52" s="2832"/>
      <c r="J52" s="2832"/>
      <c r="K52" s="2832"/>
      <c r="L52" s="2832"/>
      <c r="M52" s="2832"/>
      <c r="N52" s="2832"/>
      <c r="O52" s="2832"/>
      <c r="P52" s="2832"/>
      <c r="Q52" s="2832"/>
      <c r="R52" s="2832"/>
      <c r="S52" s="2832"/>
      <c r="T52" s="2832"/>
      <c r="U52" s="2832"/>
      <c r="V52" s="2832"/>
      <c r="W52" s="2832"/>
      <c r="X52" s="2832"/>
      <c r="Y52" s="2833" t="s">
        <v>6980</v>
      </c>
      <c r="Z52" s="2834"/>
      <c r="AA52" s="2834"/>
      <c r="AB52" s="2834"/>
      <c r="AC52" s="2834"/>
      <c r="AD52" s="2835"/>
      <c r="AE52" s="2610"/>
      <c r="AF52" s="2610"/>
      <c r="AG52" s="2830">
        <v>228</v>
      </c>
      <c r="AH52" s="2812"/>
      <c r="AI52" s="2609">
        <f>ROUND(IF(UnosPod!F177+UnosPod!F212-UnosPod!F317-UnosPod!F356&lt;0,0,UnosPod!F177+UnosPod!F212-UnosPod!F317-UnosPod!F356),0)</f>
        <v>0</v>
      </c>
      <c r="AJ52" s="2609"/>
      <c r="AK52" s="2609"/>
      <c r="AL52" s="2609"/>
      <c r="AM52" s="2609"/>
      <c r="AN52" s="2609"/>
      <c r="AO52" s="2609"/>
      <c r="AP52" s="2609">
        <f>Prethodna_2024!B32</f>
        <v>0</v>
      </c>
      <c r="AQ52" s="2609"/>
      <c r="AR52" s="2609"/>
      <c r="AS52" s="2609"/>
      <c r="AT52" s="2609"/>
      <c r="AU52" s="2609"/>
      <c r="AV52" s="2609"/>
    </row>
    <row r="53" ht="32.25" customHeight="1" spans="1:48">
      <c r="A53" s="2827" t="s">
        <v>4082</v>
      </c>
      <c r="B53" s="2827"/>
      <c r="C53" s="2831" t="str">
        <f>Text!B181</f>
        <v>Ostali neto dobici od otpuštanja ranije priznatih gubitaka od umanjenja vrijednosti dugoročne nefinansijske imovine</v>
      </c>
      <c r="D53" s="2832"/>
      <c r="E53" s="2832"/>
      <c r="F53" s="2832"/>
      <c r="G53" s="2832"/>
      <c r="H53" s="2832"/>
      <c r="I53" s="2832"/>
      <c r="J53" s="2832"/>
      <c r="K53" s="2832"/>
      <c r="L53" s="2832"/>
      <c r="M53" s="2832"/>
      <c r="N53" s="2832"/>
      <c r="O53" s="2832"/>
      <c r="P53" s="2832"/>
      <c r="Q53" s="2832"/>
      <c r="R53" s="2832"/>
      <c r="S53" s="2832"/>
      <c r="T53" s="2832"/>
      <c r="U53" s="2832"/>
      <c r="V53" s="2832"/>
      <c r="W53" s="2832"/>
      <c r="X53" s="2832"/>
      <c r="Y53" s="2833" t="s">
        <v>6981</v>
      </c>
      <c r="Z53" s="2834"/>
      <c r="AA53" s="2834"/>
      <c r="AB53" s="2834"/>
      <c r="AC53" s="2834"/>
      <c r="AD53" s="2835"/>
      <c r="AE53" s="2610"/>
      <c r="AF53" s="2610"/>
      <c r="AG53" s="2830">
        <v>229</v>
      </c>
      <c r="AH53" s="2812"/>
      <c r="AI53" s="2609">
        <f>ROUND(IF(UnosPod!F215-UnosPod!F359&lt;0,0,UnosPod!F215-UnosPod!F359),0)</f>
        <v>0</v>
      </c>
      <c r="AJ53" s="2609"/>
      <c r="AK53" s="2609"/>
      <c r="AL53" s="2609"/>
      <c r="AM53" s="2609"/>
      <c r="AN53" s="2609"/>
      <c r="AO53" s="2609"/>
      <c r="AP53" s="2609">
        <f>Prethodna_2024!B33</f>
        <v>0</v>
      </c>
      <c r="AQ53" s="2609"/>
      <c r="AR53" s="2609"/>
      <c r="AS53" s="2609"/>
      <c r="AT53" s="2609"/>
      <c r="AU53" s="2609"/>
      <c r="AV53" s="2609"/>
    </row>
    <row r="54" ht="17.25" customHeight="1" spans="1:48">
      <c r="A54" s="2827" t="s">
        <v>3891</v>
      </c>
      <c r="B54" s="2827"/>
      <c r="C54" s="2828" t="str">
        <f>Text!B182</f>
        <v>Dobici od finansijske imovine (231 do 240)</v>
      </c>
      <c r="D54" s="2829"/>
      <c r="E54" s="2829"/>
      <c r="F54" s="2829"/>
      <c r="G54" s="2829"/>
      <c r="H54" s="2829"/>
      <c r="I54" s="2829"/>
      <c r="J54" s="2829"/>
      <c r="K54" s="2829"/>
      <c r="L54" s="2829"/>
      <c r="M54" s="2829"/>
      <c r="N54" s="2829"/>
      <c r="O54" s="2829"/>
      <c r="P54" s="2829"/>
      <c r="Q54" s="2829"/>
      <c r="R54" s="2829"/>
      <c r="S54" s="2829"/>
      <c r="T54" s="2829"/>
      <c r="U54" s="2829"/>
      <c r="V54" s="2829"/>
      <c r="W54" s="2829"/>
      <c r="X54" s="2829"/>
      <c r="Y54" s="2833"/>
      <c r="Z54" s="2834"/>
      <c r="AA54" s="2834"/>
      <c r="AB54" s="2834"/>
      <c r="AC54" s="2834"/>
      <c r="AD54" s="2835"/>
      <c r="AE54" s="2610" t="str">
        <f>Baza!E48</f>
        <v>-</v>
      </c>
      <c r="AF54" s="2610"/>
      <c r="AG54" s="2830">
        <v>230</v>
      </c>
      <c r="AH54" s="2812"/>
      <c r="AI54" s="2609">
        <f>SUM(AI55:AO64)</f>
        <v>0</v>
      </c>
      <c r="AJ54" s="2609"/>
      <c r="AK54" s="2609"/>
      <c r="AL54" s="2609"/>
      <c r="AM54" s="2609"/>
      <c r="AN54" s="2609"/>
      <c r="AO54" s="2609"/>
      <c r="AP54" s="2609">
        <f>SUM(AP55:AV64)</f>
        <v>0</v>
      </c>
      <c r="AQ54" s="2609"/>
      <c r="AR54" s="2609"/>
      <c r="AS54" s="2609"/>
      <c r="AT54" s="2609"/>
      <c r="AU54" s="2609"/>
      <c r="AV54" s="2609"/>
    </row>
    <row r="55" ht="32.25" customHeight="1" spans="1:48">
      <c r="A55" s="2827" t="s">
        <v>3893</v>
      </c>
      <c r="B55" s="2827"/>
      <c r="C55" s="2831" t="str">
        <f>Text!B183</f>
        <v>Neto otpuštanja ranije priznatih kreditnih gubitaka od finansijske imovine po amortizovanom trošku</v>
      </c>
      <c r="D55" s="2832"/>
      <c r="E55" s="2832"/>
      <c r="F55" s="2832"/>
      <c r="G55" s="2832"/>
      <c r="H55" s="2832"/>
      <c r="I55" s="2832"/>
      <c r="J55" s="2832"/>
      <c r="K55" s="2832"/>
      <c r="L55" s="2832"/>
      <c r="M55" s="2832"/>
      <c r="N55" s="2832"/>
      <c r="O55" s="2832"/>
      <c r="P55" s="2832"/>
      <c r="Q55" s="2832"/>
      <c r="R55" s="2832"/>
      <c r="S55" s="2832"/>
      <c r="T55" s="2832"/>
      <c r="U55" s="2832"/>
      <c r="V55" s="2832"/>
      <c r="W55" s="2832"/>
      <c r="X55" s="2832"/>
      <c r="Y55" s="2833" t="s">
        <v>6982</v>
      </c>
      <c r="Z55" s="2834"/>
      <c r="AA55" s="2834"/>
      <c r="AB55" s="2834"/>
      <c r="AC55" s="2834"/>
      <c r="AD55" s="2835"/>
      <c r="AE55" s="2610"/>
      <c r="AF55" s="2610"/>
      <c r="AG55" s="2830">
        <v>231</v>
      </c>
      <c r="AH55" s="2812"/>
      <c r="AI55" s="2609">
        <f>IFERROR(ROUND(IF(UnosPod!F200+UnosPod!F207+UnosPod!F208-UnosPod!F330-UnosPod!F344-UnosPod!F351-UnosPod!F352&lt;0,0,UnosPod!F200+UnosPod!F207+UnosPod!F208-UnosPod!F330-UnosPod!F344-UnosPod!F351-UnosPod!F352),0),0)</f>
        <v>0</v>
      </c>
      <c r="AJ55" s="2609"/>
      <c r="AK55" s="2609"/>
      <c r="AL55" s="2609"/>
      <c r="AM55" s="2609"/>
      <c r="AN55" s="2609"/>
      <c r="AO55" s="2609"/>
      <c r="AP55" s="2609">
        <f>Prethodna_2024!B35</f>
        <v>0</v>
      </c>
      <c r="AQ55" s="2609"/>
      <c r="AR55" s="2609"/>
      <c r="AS55" s="2609"/>
      <c r="AT55" s="2609"/>
      <c r="AU55" s="2609"/>
      <c r="AV55" s="2609"/>
    </row>
    <row r="56" ht="30" customHeight="1" spans="1:48">
      <c r="A56" s="2827" t="s">
        <v>3896</v>
      </c>
      <c r="B56" s="2827"/>
      <c r="C56" s="2831" t="str">
        <f>Text!B184</f>
        <v>Neto otpuštanja ranije priznatih kreditnih gubitaka od finansijske imovine po fer vrijednosti kroz ostali ukupni rezultat</v>
      </c>
      <c r="D56" s="2832"/>
      <c r="E56" s="2832"/>
      <c r="F56" s="2832"/>
      <c r="G56" s="2832"/>
      <c r="H56" s="2832"/>
      <c r="I56" s="2832"/>
      <c r="J56" s="2832"/>
      <c r="K56" s="2832"/>
      <c r="L56" s="2832"/>
      <c r="M56" s="2832"/>
      <c r="N56" s="2832"/>
      <c r="O56" s="2832"/>
      <c r="P56" s="2832"/>
      <c r="Q56" s="2832"/>
      <c r="R56" s="2832"/>
      <c r="S56" s="2832"/>
      <c r="T56" s="2832"/>
      <c r="U56" s="2832"/>
      <c r="V56" s="2832"/>
      <c r="W56" s="2832"/>
      <c r="X56" s="2832"/>
      <c r="Y56" s="2833" t="s">
        <v>6983</v>
      </c>
      <c r="Z56" s="2834"/>
      <c r="AA56" s="2834"/>
      <c r="AB56" s="2834"/>
      <c r="AC56" s="2834"/>
      <c r="AD56" s="2835"/>
      <c r="AE56" s="2610"/>
      <c r="AF56" s="2610"/>
      <c r="AG56" s="2830">
        <v>232</v>
      </c>
      <c r="AH56" s="2812"/>
      <c r="AI56" s="2609">
        <f>ROUND(IF(UnosPod!F201+UnosPod!F209-UnosPod!F345-UnosPod!F353&lt;0,0,UnosPod!F201+UnosPod!F209-UnosPod!F345-UnosPod!F353),0)</f>
        <v>0</v>
      </c>
      <c r="AJ56" s="2609"/>
      <c r="AK56" s="2609"/>
      <c r="AL56" s="2609"/>
      <c r="AM56" s="2609"/>
      <c r="AN56" s="2609"/>
      <c r="AO56" s="2609"/>
      <c r="AP56" s="2609">
        <f>Prethodna_2024!B36</f>
        <v>0</v>
      </c>
      <c r="AQ56" s="2609"/>
      <c r="AR56" s="2609"/>
      <c r="AS56" s="2609"/>
      <c r="AT56" s="2609"/>
      <c r="AU56" s="2609"/>
      <c r="AV56" s="2609"/>
    </row>
    <row r="57" ht="17.25" customHeight="1" spans="1:48">
      <c r="A57" s="2827" t="s">
        <v>3898</v>
      </c>
      <c r="B57" s="2827"/>
      <c r="C57" s="2831" t="str">
        <f>Text!B185</f>
        <v>Neto dobici od prestanka priznavanja finansijske imovine po amortizovanom trošku</v>
      </c>
      <c r="D57" s="2832"/>
      <c r="E57" s="2832"/>
      <c r="F57" s="2832"/>
      <c r="G57" s="2832"/>
      <c r="H57" s="2832"/>
      <c r="I57" s="2832"/>
      <c r="J57" s="2832"/>
      <c r="K57" s="2832"/>
      <c r="L57" s="2832"/>
      <c r="M57" s="2832"/>
      <c r="N57" s="2832"/>
      <c r="O57" s="2832"/>
      <c r="P57" s="2832"/>
      <c r="Q57" s="2832"/>
      <c r="R57" s="2832"/>
      <c r="S57" s="2832"/>
      <c r="T57" s="2832"/>
      <c r="U57" s="2832"/>
      <c r="V57" s="2832"/>
      <c r="W57" s="2832"/>
      <c r="X57" s="2832"/>
      <c r="Y57" s="2833" t="s">
        <v>6984</v>
      </c>
      <c r="Z57" s="2834"/>
      <c r="AA57" s="2834"/>
      <c r="AB57" s="2834"/>
      <c r="AC57" s="2834"/>
      <c r="AD57" s="2835"/>
      <c r="AE57" s="2610"/>
      <c r="AF57" s="2610"/>
      <c r="AG57" s="2830">
        <v>233</v>
      </c>
      <c r="AH57" s="2812"/>
      <c r="AI57" s="2609">
        <f>ROUND(IF(UnosPod!F202-UnosPod!F346&lt;0,0,UnosPod!F202-UnosPod!F346),0)</f>
        <v>0</v>
      </c>
      <c r="AJ57" s="2609"/>
      <c r="AK57" s="2609"/>
      <c r="AL57" s="2609"/>
      <c r="AM57" s="2609"/>
      <c r="AN57" s="2609"/>
      <c r="AO57" s="2609"/>
      <c r="AP57" s="2609">
        <f>Prethodna_2024!B37</f>
        <v>0</v>
      </c>
      <c r="AQ57" s="2609"/>
      <c r="AR57" s="2609"/>
      <c r="AS57" s="2609"/>
      <c r="AT57" s="2609"/>
      <c r="AU57" s="2609"/>
      <c r="AV57" s="2609"/>
    </row>
    <row r="58" ht="17.25" customHeight="1" spans="1:48">
      <c r="A58" s="2827" t="s">
        <v>3900</v>
      </c>
      <c r="B58" s="2827"/>
      <c r="C58" s="2831" t="str">
        <f>Text!B186</f>
        <v>Neto dobici od modifikacija finansijske imovine po amortizovanom trošku koje nisu rezultirale prestankom priznavanja</v>
      </c>
      <c r="D58" s="2832"/>
      <c r="E58" s="2832"/>
      <c r="F58" s="2832"/>
      <c r="G58" s="2832"/>
      <c r="H58" s="2832"/>
      <c r="I58" s="2832"/>
      <c r="J58" s="2832"/>
      <c r="K58" s="2832"/>
      <c r="L58" s="2832"/>
      <c r="M58" s="2832"/>
      <c r="N58" s="2832"/>
      <c r="O58" s="2832"/>
      <c r="P58" s="2832"/>
      <c r="Q58" s="2832"/>
      <c r="R58" s="2832"/>
      <c r="S58" s="2832"/>
      <c r="T58" s="2832"/>
      <c r="U58" s="2832"/>
      <c r="V58" s="2832"/>
      <c r="W58" s="2832"/>
      <c r="X58" s="2832"/>
      <c r="Y58" s="2833" t="s">
        <v>6985</v>
      </c>
      <c r="Z58" s="2834"/>
      <c r="AA58" s="2834"/>
      <c r="AB58" s="2834"/>
      <c r="AC58" s="2834"/>
      <c r="AD58" s="2835"/>
      <c r="AE58" s="2610"/>
      <c r="AF58" s="2610"/>
      <c r="AG58" s="2830">
        <v>234</v>
      </c>
      <c r="AH58" s="2812"/>
      <c r="AI58" s="2609">
        <f>ROUND(IF(UnosPod!F203-UnosPod!F347&lt;0,0,UnosPod!F203-UnosPod!F347),0)</f>
        <v>0</v>
      </c>
      <c r="AJ58" s="2609"/>
      <c r="AK58" s="2609"/>
      <c r="AL58" s="2609"/>
      <c r="AM58" s="2609"/>
      <c r="AN58" s="2609"/>
      <c r="AO58" s="2609"/>
      <c r="AP58" s="2609">
        <f>Prethodna_2024!B38</f>
        <v>0</v>
      </c>
      <c r="AQ58" s="2609"/>
      <c r="AR58" s="2609"/>
      <c r="AS58" s="2609"/>
      <c r="AT58" s="2609"/>
      <c r="AU58" s="2609"/>
      <c r="AV58" s="2609"/>
    </row>
    <row r="59" s="1757" customFormat="1" ht="17.25" customHeight="1" spans="1:48">
      <c r="A59" s="2827" t="s">
        <v>4089</v>
      </c>
      <c r="B59" s="2827"/>
      <c r="C59" s="2831" t="str">
        <f>Text!B187</f>
        <v>Neto dobici od otuđenja finansijske imovine po amortizovanom trošku </v>
      </c>
      <c r="D59" s="2832"/>
      <c r="E59" s="2832"/>
      <c r="F59" s="2832"/>
      <c r="G59" s="2832"/>
      <c r="H59" s="2832"/>
      <c r="I59" s="2832"/>
      <c r="J59" s="2832"/>
      <c r="K59" s="2832"/>
      <c r="L59" s="2832"/>
      <c r="M59" s="2832"/>
      <c r="N59" s="2832"/>
      <c r="O59" s="2832"/>
      <c r="P59" s="2832"/>
      <c r="Q59" s="2832"/>
      <c r="R59" s="2832"/>
      <c r="S59" s="2832"/>
      <c r="T59" s="2832"/>
      <c r="U59" s="2832"/>
      <c r="V59" s="2832"/>
      <c r="W59" s="2832"/>
      <c r="X59" s="2832"/>
      <c r="Y59" s="2833" t="s">
        <v>6986</v>
      </c>
      <c r="Z59" s="2834"/>
      <c r="AA59" s="2834"/>
      <c r="AB59" s="2834"/>
      <c r="AC59" s="2834"/>
      <c r="AD59" s="2835"/>
      <c r="AE59" s="2610"/>
      <c r="AF59" s="2610"/>
      <c r="AG59" s="2830">
        <v>235</v>
      </c>
      <c r="AH59" s="2812"/>
      <c r="AI59" s="2609">
        <f>ROUND(IF(UnosPod!F180-UnosPod!F320&lt;0,0,UnosPod!F180-UnosPod!F320),0)</f>
        <v>0</v>
      </c>
      <c r="AJ59" s="2609"/>
      <c r="AK59" s="2609"/>
      <c r="AL59" s="2609"/>
      <c r="AM59" s="2609"/>
      <c r="AN59" s="2609"/>
      <c r="AO59" s="2609"/>
      <c r="AP59" s="2609">
        <f>Prethodna_2024!B39</f>
        <v>0</v>
      </c>
      <c r="AQ59" s="2609"/>
      <c r="AR59" s="2609"/>
      <c r="AS59" s="2609"/>
      <c r="AT59" s="2609"/>
      <c r="AU59" s="2609"/>
      <c r="AV59" s="2609"/>
    </row>
    <row r="60" s="1757" customFormat="1" ht="17.25" customHeight="1" spans="1:48">
      <c r="A60" s="2827" t="s">
        <v>4091</v>
      </c>
      <c r="B60" s="2827"/>
      <c r="C60" s="2831" t="str">
        <f>Text!B188</f>
        <v>Neto povećanja vrijednosti finansijske imovine po fer vrijednosti kroz bilans uspjeha</v>
      </c>
      <c r="D60" s="2832"/>
      <c r="E60" s="2832"/>
      <c r="F60" s="2832"/>
      <c r="G60" s="2832"/>
      <c r="H60" s="2832"/>
      <c r="I60" s="2832"/>
      <c r="J60" s="2832"/>
      <c r="K60" s="2832"/>
      <c r="L60" s="2832"/>
      <c r="M60" s="2832"/>
      <c r="N60" s="2832"/>
      <c r="O60" s="2832"/>
      <c r="P60" s="2832"/>
      <c r="Q60" s="2832"/>
      <c r="R60" s="2832"/>
      <c r="S60" s="2832"/>
      <c r="T60" s="2832"/>
      <c r="U60" s="2832"/>
      <c r="V60" s="2832"/>
      <c r="W60" s="2832"/>
      <c r="X60" s="2832"/>
      <c r="Y60" s="2833" t="s">
        <v>6987</v>
      </c>
      <c r="Z60" s="2834"/>
      <c r="AA60" s="2834"/>
      <c r="AB60" s="2834"/>
      <c r="AC60" s="2834"/>
      <c r="AD60" s="2835"/>
      <c r="AE60" s="2610"/>
      <c r="AF60" s="2610"/>
      <c r="AG60" s="2830">
        <v>236</v>
      </c>
      <c r="AH60" s="2812"/>
      <c r="AI60" s="2609"/>
      <c r="AJ60" s="2609"/>
      <c r="AK60" s="2609"/>
      <c r="AL60" s="2609"/>
      <c r="AM60" s="2609"/>
      <c r="AN60" s="2609"/>
      <c r="AO60" s="2609"/>
      <c r="AP60" s="2609">
        <f>Prethodna_2024!B40</f>
        <v>0</v>
      </c>
      <c r="AQ60" s="2609"/>
      <c r="AR60" s="2609"/>
      <c r="AS60" s="2609"/>
      <c r="AT60" s="2609"/>
      <c r="AU60" s="2609"/>
      <c r="AV60" s="2609"/>
    </row>
    <row r="61" ht="17.25" customHeight="1" spans="1:48">
      <c r="A61" s="2827" t="s">
        <v>4093</v>
      </c>
      <c r="B61" s="2827"/>
      <c r="C61" s="2831" t="str">
        <f>Text!B189</f>
        <v>Neto dobici od otuđenja finansijske imovine po fer vrijednosti kroz bilans uspjeha</v>
      </c>
      <c r="D61" s="2832"/>
      <c r="E61" s="2832"/>
      <c r="F61" s="2832"/>
      <c r="G61" s="2832"/>
      <c r="H61" s="2832"/>
      <c r="I61" s="2832"/>
      <c r="J61" s="2832"/>
      <c r="K61" s="2832"/>
      <c r="L61" s="2832"/>
      <c r="M61" s="2832"/>
      <c r="N61" s="2832"/>
      <c r="O61" s="2832"/>
      <c r="P61" s="2832"/>
      <c r="Q61" s="2832"/>
      <c r="R61" s="2832"/>
      <c r="S61" s="2832"/>
      <c r="T61" s="2832"/>
      <c r="U61" s="2832"/>
      <c r="V61" s="2832"/>
      <c r="W61" s="2832"/>
      <c r="X61" s="2832"/>
      <c r="Y61" s="2833" t="s">
        <v>6988</v>
      </c>
      <c r="Z61" s="2834"/>
      <c r="AA61" s="2834"/>
      <c r="AB61" s="2834"/>
      <c r="AC61" s="2834"/>
      <c r="AD61" s="2835"/>
      <c r="AE61" s="2610"/>
      <c r="AF61" s="2610"/>
      <c r="AG61" s="2830">
        <v>237</v>
      </c>
      <c r="AH61" s="2812"/>
      <c r="AI61" s="2609">
        <f>ROUND(IF(UnosPod!F181-UnosPod!F321&lt;0,0,UnosPod!F181-UnosPod!F321),0)</f>
        <v>0</v>
      </c>
      <c r="AJ61" s="2609"/>
      <c r="AK61" s="2609"/>
      <c r="AL61" s="2609"/>
      <c r="AM61" s="2609"/>
      <c r="AN61" s="2609"/>
      <c r="AO61" s="2609"/>
      <c r="AP61" s="2609">
        <f>Prethodna_2024!B41</f>
        <v>0</v>
      </c>
      <c r="AQ61" s="2609"/>
      <c r="AR61" s="2609"/>
      <c r="AS61" s="2609"/>
      <c r="AT61" s="2609"/>
      <c r="AU61" s="2609"/>
      <c r="AV61" s="2609"/>
    </row>
    <row r="62" ht="17.25" customHeight="1" spans="1:48">
      <c r="A62" s="2827" t="s">
        <v>4095</v>
      </c>
      <c r="B62" s="2827"/>
      <c r="C62" s="2831" t="str">
        <f>Text!B190</f>
        <v>Neto dobici od otuđenja finansijske imovine po fer vrijednosti kroz ostali ukupni rezultat</v>
      </c>
      <c r="D62" s="2832"/>
      <c r="E62" s="2832"/>
      <c r="F62" s="2832"/>
      <c r="G62" s="2832"/>
      <c r="H62" s="2832"/>
      <c r="I62" s="2832"/>
      <c r="J62" s="2832"/>
      <c r="K62" s="2832"/>
      <c r="L62" s="2832"/>
      <c r="M62" s="2832"/>
      <c r="N62" s="2832"/>
      <c r="O62" s="2832"/>
      <c r="P62" s="2832"/>
      <c r="Q62" s="2832"/>
      <c r="R62" s="2832"/>
      <c r="S62" s="2832"/>
      <c r="T62" s="2832"/>
      <c r="U62" s="2832"/>
      <c r="V62" s="2832"/>
      <c r="W62" s="2832"/>
      <c r="X62" s="2832"/>
      <c r="Y62" s="2833" t="s">
        <v>6989</v>
      </c>
      <c r="Z62" s="2834"/>
      <c r="AA62" s="2834"/>
      <c r="AB62" s="2834"/>
      <c r="AC62" s="2834"/>
      <c r="AD62" s="2835"/>
      <c r="AE62" s="2610"/>
      <c r="AF62" s="2610"/>
      <c r="AG62" s="2830">
        <v>238</v>
      </c>
      <c r="AH62" s="2812"/>
      <c r="AI62" s="2609">
        <f>ROUND(IF(UnosPod!F182-UnosPod!F322&lt;0,0,UnosPod!F182-UnosPod!F322),0)</f>
        <v>0</v>
      </c>
      <c r="AJ62" s="2609"/>
      <c r="AK62" s="2609"/>
      <c r="AL62" s="2609"/>
      <c r="AM62" s="2609"/>
      <c r="AN62" s="2609"/>
      <c r="AO62" s="2609"/>
      <c r="AP62" s="2609">
        <f>Prethodna_2024!B42</f>
        <v>0</v>
      </c>
      <c r="AQ62" s="2609"/>
      <c r="AR62" s="2609"/>
      <c r="AS62" s="2609"/>
      <c r="AT62" s="2609"/>
      <c r="AU62" s="2609"/>
      <c r="AV62" s="2609"/>
    </row>
    <row r="63" ht="17.25" customHeight="1" spans="1:48">
      <c r="A63" s="2827" t="s">
        <v>4097</v>
      </c>
      <c r="B63" s="2827"/>
      <c r="C63" s="2831" t="str">
        <f>Text!B191</f>
        <v>Neto dobici od reklasifikacija finansijske imovine između poslovnih modela</v>
      </c>
      <c r="D63" s="2832"/>
      <c r="E63" s="2832"/>
      <c r="F63" s="2832"/>
      <c r="G63" s="2832"/>
      <c r="H63" s="2832"/>
      <c r="I63" s="2832"/>
      <c r="J63" s="2832"/>
      <c r="K63" s="2832"/>
      <c r="L63" s="2832"/>
      <c r="M63" s="2832"/>
      <c r="N63" s="2832"/>
      <c r="O63" s="2832"/>
      <c r="P63" s="2832"/>
      <c r="Q63" s="2832"/>
      <c r="R63" s="2832"/>
      <c r="S63" s="2832"/>
      <c r="T63" s="2832"/>
      <c r="U63" s="2832"/>
      <c r="V63" s="2832"/>
      <c r="W63" s="2832"/>
      <c r="X63" s="2832"/>
      <c r="Y63" s="2833" t="s">
        <v>6990</v>
      </c>
      <c r="Z63" s="2834"/>
      <c r="AA63" s="2834"/>
      <c r="AB63" s="2834"/>
      <c r="AC63" s="2834"/>
      <c r="AD63" s="2835"/>
      <c r="AE63" s="2610"/>
      <c r="AF63" s="2610"/>
      <c r="AG63" s="2830">
        <v>239</v>
      </c>
      <c r="AH63" s="2812"/>
      <c r="AI63" s="2609">
        <f>ROUND(IF(UnosPod!F204-UnosPod!F348&lt;0,0,UnosPod!F204-UnosPod!F348),0)</f>
        <v>0</v>
      </c>
      <c r="AJ63" s="2609"/>
      <c r="AK63" s="2609"/>
      <c r="AL63" s="2609"/>
      <c r="AM63" s="2609"/>
      <c r="AN63" s="2609"/>
      <c r="AO63" s="2609"/>
      <c r="AP63" s="2609">
        <f>Prethodna_2024!B43</f>
        <v>0</v>
      </c>
      <c r="AQ63" s="2609"/>
      <c r="AR63" s="2609"/>
      <c r="AS63" s="2609"/>
      <c r="AT63" s="2609"/>
      <c r="AU63" s="2609"/>
      <c r="AV63" s="2609"/>
    </row>
    <row r="64" ht="17.25" customHeight="1" spans="1:48">
      <c r="A64" s="2827" t="s">
        <v>4099</v>
      </c>
      <c r="B64" s="2827"/>
      <c r="C64" s="2831" t="str">
        <f>Text!B192</f>
        <v>Ostali neto dobici od finansijske imovine</v>
      </c>
      <c r="D64" s="2832"/>
      <c r="E64" s="2832"/>
      <c r="F64" s="2832"/>
      <c r="G64" s="2832"/>
      <c r="H64" s="2832"/>
      <c r="I64" s="2832"/>
      <c r="J64" s="2832"/>
      <c r="K64" s="2832"/>
      <c r="L64" s="2832"/>
      <c r="M64" s="2832"/>
      <c r="N64" s="2832"/>
      <c r="O64" s="2832"/>
      <c r="P64" s="2832"/>
      <c r="Q64" s="2832"/>
      <c r="R64" s="2832"/>
      <c r="S64" s="2832"/>
      <c r="T64" s="2832"/>
      <c r="U64" s="2832"/>
      <c r="V64" s="2832"/>
      <c r="W64" s="2832"/>
      <c r="X64" s="2832"/>
      <c r="Y64" s="2833" t="s">
        <v>6981</v>
      </c>
      <c r="Z64" s="2834"/>
      <c r="AA64" s="2834"/>
      <c r="AB64" s="2834"/>
      <c r="AC64" s="2834"/>
      <c r="AD64" s="2835"/>
      <c r="AE64" s="2610"/>
      <c r="AF64" s="2610"/>
      <c r="AG64" s="2830">
        <v>240</v>
      </c>
      <c r="AH64" s="2812"/>
      <c r="AI64" s="2609">
        <f>ROUND(IF(UnosPod!F216-UnosPod!F360&lt;0,0,UnosPod!F216-UnosPod!F360),0)</f>
        <v>0</v>
      </c>
      <c r="AJ64" s="2609"/>
      <c r="AK64" s="2609"/>
      <c r="AL64" s="2609"/>
      <c r="AM64" s="2609"/>
      <c r="AN64" s="2609"/>
      <c r="AO64" s="2609"/>
      <c r="AP64" s="2609">
        <f>Prethodna_2024!B44</f>
        <v>0</v>
      </c>
      <c r="AQ64" s="2609"/>
      <c r="AR64" s="2609"/>
      <c r="AS64" s="2609"/>
      <c r="AT64" s="2609"/>
      <c r="AU64" s="2609"/>
      <c r="AV64" s="2609"/>
    </row>
    <row r="65" ht="33.75" customHeight="1" spans="1:48">
      <c r="A65" s="2827" t="s">
        <v>3902</v>
      </c>
      <c r="B65" s="2827"/>
      <c r="C65" s="2836" t="str">
        <f>Text!B193</f>
        <v>Neto otpuštanje rezervisanja</v>
      </c>
      <c r="D65" s="2837"/>
      <c r="E65" s="2837"/>
      <c r="F65" s="2837"/>
      <c r="G65" s="2837"/>
      <c r="H65" s="2837"/>
      <c r="I65" s="2837"/>
      <c r="J65" s="2837"/>
      <c r="K65" s="2837"/>
      <c r="L65" s="2837"/>
      <c r="M65" s="2837"/>
      <c r="N65" s="2837"/>
      <c r="O65" s="2837"/>
      <c r="P65" s="2837"/>
      <c r="Q65" s="2837"/>
      <c r="R65" s="2837"/>
      <c r="S65" s="2837"/>
      <c r="T65" s="2837"/>
      <c r="U65" s="2837"/>
      <c r="V65" s="2837"/>
      <c r="W65" s="2837"/>
      <c r="X65" s="2837"/>
      <c r="Y65" s="2833" t="s">
        <v>6991</v>
      </c>
      <c r="Z65" s="2834"/>
      <c r="AA65" s="2834"/>
      <c r="AB65" s="2834"/>
      <c r="AC65" s="2834"/>
      <c r="AD65" s="2835"/>
      <c r="AE65" s="2610" t="str">
        <f>Baza!E49</f>
        <v>-</v>
      </c>
      <c r="AF65" s="2610"/>
      <c r="AG65" s="2830">
        <v>241</v>
      </c>
      <c r="AH65" s="2812"/>
      <c r="AI65" s="2609">
        <f>ROUND(IF(UnosPod!F192-SUM(UnosPod!F289:L295)&lt;0,0,UnosPod!F192-SUM(UnosPod!F289:L295)),0)</f>
        <v>0</v>
      </c>
      <c r="AJ65" s="2609"/>
      <c r="AK65" s="2609"/>
      <c r="AL65" s="2609"/>
      <c r="AM65" s="2609"/>
      <c r="AN65" s="2609"/>
      <c r="AO65" s="2609"/>
      <c r="AP65" s="2609">
        <f>Prethodna_2024!B45</f>
        <v>0</v>
      </c>
      <c r="AQ65" s="2609"/>
      <c r="AR65" s="2609"/>
      <c r="AS65" s="2609"/>
      <c r="AT65" s="2609"/>
      <c r="AU65" s="2609"/>
      <c r="AV65" s="2609"/>
    </row>
    <row r="66" ht="17.25" customHeight="1" spans="1:48">
      <c r="A66" s="2827" t="s">
        <v>3905</v>
      </c>
      <c r="B66" s="2827"/>
      <c r="C66" s="2828" t="str">
        <f>Text!B194</f>
        <v>Neto dobici od trgovanja derivatima</v>
      </c>
      <c r="D66" s="2829"/>
      <c r="E66" s="2829"/>
      <c r="F66" s="2829"/>
      <c r="G66" s="2829"/>
      <c r="H66" s="2829"/>
      <c r="I66" s="2829"/>
      <c r="J66" s="2829"/>
      <c r="K66" s="2829"/>
      <c r="L66" s="2829"/>
      <c r="M66" s="2829"/>
      <c r="N66" s="2829"/>
      <c r="O66" s="2829"/>
      <c r="P66" s="2829"/>
      <c r="Q66" s="2829"/>
      <c r="R66" s="2829"/>
      <c r="S66" s="2829"/>
      <c r="T66" s="2829"/>
      <c r="U66" s="2829"/>
      <c r="V66" s="2829"/>
      <c r="W66" s="2829"/>
      <c r="X66" s="2829"/>
      <c r="Y66" s="2833" t="s">
        <v>6992</v>
      </c>
      <c r="Z66" s="2834"/>
      <c r="AA66" s="2834"/>
      <c r="AB66" s="2834"/>
      <c r="AC66" s="2834"/>
      <c r="AD66" s="2835"/>
      <c r="AE66" s="2610" t="str">
        <f>Baza!E50</f>
        <v>-</v>
      </c>
      <c r="AF66" s="2610"/>
      <c r="AG66" s="2830">
        <v>242</v>
      </c>
      <c r="AH66" s="2812"/>
      <c r="AI66" s="2609">
        <f>ROUND(IF(UnosPod!F190-UnosPod!F329&lt;0,0,UnosPod!F190-UnosPod!F329),0)</f>
        <v>0</v>
      </c>
      <c r="AJ66" s="2609"/>
      <c r="AK66" s="2609"/>
      <c r="AL66" s="2609"/>
      <c r="AM66" s="2609"/>
      <c r="AN66" s="2609"/>
      <c r="AO66" s="2609"/>
      <c r="AP66" s="2609">
        <f>Prethodna_2024!B46</f>
        <v>0</v>
      </c>
      <c r="AQ66" s="2609"/>
      <c r="AR66" s="2609"/>
      <c r="AS66" s="2609"/>
      <c r="AT66" s="2609"/>
      <c r="AU66" s="2609"/>
      <c r="AV66" s="2609"/>
    </row>
    <row r="67" ht="17.25" customHeight="1" spans="1:48">
      <c r="A67" s="2827" t="s">
        <v>3915</v>
      </c>
      <c r="B67" s="2827"/>
      <c r="C67" s="2828" t="str">
        <f>Text!B195</f>
        <v>Prihodi od prodaje materijala, neto</v>
      </c>
      <c r="D67" s="2829"/>
      <c r="E67" s="2829"/>
      <c r="F67" s="2829"/>
      <c r="G67" s="2829"/>
      <c r="H67" s="2829"/>
      <c r="I67" s="2829"/>
      <c r="J67" s="2829"/>
      <c r="K67" s="2829"/>
      <c r="L67" s="2829"/>
      <c r="M67" s="2829"/>
      <c r="N67" s="2829"/>
      <c r="O67" s="2829"/>
      <c r="P67" s="2829"/>
      <c r="Q67" s="2829"/>
      <c r="R67" s="2829"/>
      <c r="S67" s="2829"/>
      <c r="T67" s="2829"/>
      <c r="U67" s="2829"/>
      <c r="V67" s="2829"/>
      <c r="W67" s="2829"/>
      <c r="X67" s="2829"/>
      <c r="Y67" s="2833" t="s">
        <v>6993</v>
      </c>
      <c r="Z67" s="2834"/>
      <c r="AA67" s="2834"/>
      <c r="AB67" s="2834"/>
      <c r="AC67" s="2834"/>
      <c r="AD67" s="2835"/>
      <c r="AE67" s="2610" t="str">
        <f>Baza!E51</f>
        <v>-</v>
      </c>
      <c r="AF67" s="2610"/>
      <c r="AG67" s="2830">
        <v>243</v>
      </c>
      <c r="AH67" s="2812"/>
      <c r="AI67" s="2609">
        <f>ROUND(IF(UnosPod!F187-UnosPod!F327&lt;0,0,UnosPod!F187-UnosPod!F327),0)</f>
        <v>0</v>
      </c>
      <c r="AJ67" s="2609"/>
      <c r="AK67" s="2609"/>
      <c r="AL67" s="2609"/>
      <c r="AM67" s="2609"/>
      <c r="AN67" s="2609"/>
      <c r="AO67" s="2609"/>
      <c r="AP67" s="2609">
        <f>Prethodna_2024!B47</f>
        <v>0</v>
      </c>
      <c r="AQ67" s="2609"/>
      <c r="AR67" s="2609"/>
      <c r="AS67" s="2609"/>
      <c r="AT67" s="2609"/>
      <c r="AU67" s="2609"/>
      <c r="AV67" s="2609"/>
    </row>
    <row r="68" ht="17.25" customHeight="1" spans="1:48">
      <c r="A68" s="2827" t="s">
        <v>3918</v>
      </c>
      <c r="B68" s="2827"/>
      <c r="C68" s="2828" t="str">
        <f>Text!B196</f>
        <v>Viškovi i ostala pozitivna usklađenja zaliha</v>
      </c>
      <c r="D68" s="2829"/>
      <c r="E68" s="2829"/>
      <c r="F68" s="2829"/>
      <c r="G68" s="2829"/>
      <c r="H68" s="2829"/>
      <c r="I68" s="2829"/>
      <c r="J68" s="2829"/>
      <c r="K68" s="2829"/>
      <c r="L68" s="2829"/>
      <c r="M68" s="2829"/>
      <c r="N68" s="2829"/>
      <c r="O68" s="2829"/>
      <c r="P68" s="2829"/>
      <c r="Q68" s="2829"/>
      <c r="R68" s="2829"/>
      <c r="S68" s="2829"/>
      <c r="T68" s="2829"/>
      <c r="U68" s="2829"/>
      <c r="V68" s="2829"/>
      <c r="W68" s="2829"/>
      <c r="X68" s="2829"/>
      <c r="Y68" s="2833" t="s">
        <v>6994</v>
      </c>
      <c r="Z68" s="2834"/>
      <c r="AA68" s="2834"/>
      <c r="AB68" s="2834"/>
      <c r="AC68" s="2834"/>
      <c r="AD68" s="2835"/>
      <c r="AE68" s="2610" t="str">
        <f>Baza!E52</f>
        <v>-</v>
      </c>
      <c r="AF68" s="2610"/>
      <c r="AG68" s="2830">
        <v>244</v>
      </c>
      <c r="AH68" s="2812"/>
      <c r="AI68" s="2609">
        <f>ROUND(UnosPod!F188+UnosPod!F206,0)</f>
        <v>0</v>
      </c>
      <c r="AJ68" s="2609"/>
      <c r="AK68" s="2609"/>
      <c r="AL68" s="2609"/>
      <c r="AM68" s="2609"/>
      <c r="AN68" s="2609"/>
      <c r="AO68" s="2609"/>
      <c r="AP68" s="2609">
        <f>Prethodna_2024!B48</f>
        <v>0</v>
      </c>
      <c r="AQ68" s="2609"/>
      <c r="AR68" s="2609"/>
      <c r="AS68" s="2609"/>
      <c r="AT68" s="2609"/>
      <c r="AU68" s="2609"/>
      <c r="AV68" s="2609"/>
    </row>
    <row r="69" ht="17.25" customHeight="1" spans="1:48">
      <c r="A69" s="2827" t="s">
        <v>3920</v>
      </c>
      <c r="B69" s="2827"/>
      <c r="C69" s="2828" t="str">
        <f>Text!B197</f>
        <v>Prihodi od dividendi</v>
      </c>
      <c r="D69" s="2829"/>
      <c r="E69" s="2829"/>
      <c r="F69" s="2829"/>
      <c r="G69" s="2829"/>
      <c r="H69" s="2829"/>
      <c r="I69" s="2829"/>
      <c r="J69" s="2829"/>
      <c r="K69" s="2829"/>
      <c r="L69" s="2829"/>
      <c r="M69" s="2829"/>
      <c r="N69" s="2829"/>
      <c r="O69" s="2829"/>
      <c r="P69" s="2829"/>
      <c r="Q69" s="2829"/>
      <c r="R69" s="2829"/>
      <c r="S69" s="2829"/>
      <c r="T69" s="2829"/>
      <c r="U69" s="2829"/>
      <c r="V69" s="2829"/>
      <c r="W69" s="2829"/>
      <c r="X69" s="2829"/>
      <c r="Y69" s="2833">
        <v>656</v>
      </c>
      <c r="Z69" s="2834"/>
      <c r="AA69" s="2834"/>
      <c r="AB69" s="2834"/>
      <c r="AC69" s="2834"/>
      <c r="AD69" s="2835"/>
      <c r="AE69" s="2610" t="str">
        <f>Baza!E53</f>
        <v>-</v>
      </c>
      <c r="AF69" s="2610"/>
      <c r="AG69" s="2830">
        <v>245</v>
      </c>
      <c r="AH69" s="2812"/>
      <c r="AI69" s="2609">
        <f>ROUND(UnosPod!F163,0)</f>
        <v>0</v>
      </c>
      <c r="AJ69" s="2609"/>
      <c r="AK69" s="2609"/>
      <c r="AL69" s="2609"/>
      <c r="AM69" s="2609"/>
      <c r="AN69" s="2609"/>
      <c r="AO69" s="2609"/>
      <c r="AP69" s="2609">
        <f>Prethodna_2024!B49</f>
        <v>0</v>
      </c>
      <c r="AQ69" s="2609"/>
      <c r="AR69" s="2609"/>
      <c r="AS69" s="2609"/>
      <c r="AT69" s="2609"/>
      <c r="AU69" s="2609"/>
      <c r="AV69" s="2609"/>
    </row>
    <row r="70" ht="17.25" customHeight="1" spans="1:48">
      <c r="A70" s="2827" t="s">
        <v>3923</v>
      </c>
      <c r="B70" s="2827"/>
      <c r="C70" s="2828" t="str">
        <f>Text!B198</f>
        <v>Udio u dobiti pridruženog društva i zajedničkog poduhvata primjenom metode udjela</v>
      </c>
      <c r="D70" s="2829"/>
      <c r="E70" s="2829"/>
      <c r="F70" s="2829"/>
      <c r="G70" s="2829"/>
      <c r="H70" s="2829"/>
      <c r="I70" s="2829"/>
      <c r="J70" s="2829"/>
      <c r="K70" s="2829"/>
      <c r="L70" s="2829"/>
      <c r="M70" s="2829"/>
      <c r="N70" s="2829"/>
      <c r="O70" s="2829"/>
      <c r="P70" s="2829"/>
      <c r="Q70" s="2829"/>
      <c r="R70" s="2829"/>
      <c r="S70" s="2829"/>
      <c r="T70" s="2829"/>
      <c r="U70" s="2829"/>
      <c r="V70" s="2829"/>
      <c r="W70" s="2829"/>
      <c r="X70" s="2829"/>
      <c r="Y70" s="2833"/>
      <c r="Z70" s="2834"/>
      <c r="AA70" s="2834"/>
      <c r="AB70" s="2834"/>
      <c r="AC70" s="2834"/>
      <c r="AD70" s="2835"/>
      <c r="AE70" s="2610" t="str">
        <f>Baza!E54</f>
        <v>-</v>
      </c>
      <c r="AF70" s="2610"/>
      <c r="AG70" s="2830">
        <v>246</v>
      </c>
      <c r="AH70" s="2812"/>
      <c r="AI70" s="2609"/>
      <c r="AJ70" s="2609"/>
      <c r="AK70" s="2609"/>
      <c r="AL70" s="2609"/>
      <c r="AM70" s="2609"/>
      <c r="AN70" s="2609"/>
      <c r="AO70" s="2609"/>
      <c r="AP70" s="2609">
        <f>Prethodna_2024!B50</f>
        <v>0</v>
      </c>
      <c r="AQ70" s="2609"/>
      <c r="AR70" s="2609"/>
      <c r="AS70" s="2609"/>
      <c r="AT70" s="2609"/>
      <c r="AU70" s="2609"/>
      <c r="AV70" s="2609"/>
    </row>
    <row r="71" ht="17.25" customHeight="1" spans="1:48">
      <c r="A71" s="2827" t="s">
        <v>3925</v>
      </c>
      <c r="B71" s="2827"/>
      <c r="C71" s="2828" t="str">
        <f>Text!B199</f>
        <v>Finansijski prihodi (248+249+250)</v>
      </c>
      <c r="D71" s="2829"/>
      <c r="E71" s="2829"/>
      <c r="F71" s="2829"/>
      <c r="G71" s="2829"/>
      <c r="H71" s="2829"/>
      <c r="I71" s="2829"/>
      <c r="J71" s="2829"/>
      <c r="K71" s="2829"/>
      <c r="L71" s="2829"/>
      <c r="M71" s="2829"/>
      <c r="N71" s="2829"/>
      <c r="O71" s="2829"/>
      <c r="P71" s="2829"/>
      <c r="Q71" s="2829"/>
      <c r="R71" s="2829"/>
      <c r="S71" s="2829"/>
      <c r="T71" s="2829"/>
      <c r="U71" s="2829"/>
      <c r="V71" s="2829"/>
      <c r="W71" s="2829"/>
      <c r="X71" s="2829"/>
      <c r="Y71" s="2833"/>
      <c r="Z71" s="2834"/>
      <c r="AA71" s="2834"/>
      <c r="AB71" s="2834"/>
      <c r="AC71" s="2834"/>
      <c r="AD71" s="2835"/>
      <c r="AE71" s="2610" t="str">
        <f>Baza!E55</f>
        <v>P2</v>
      </c>
      <c r="AF71" s="2610"/>
      <c r="AG71" s="2830">
        <v>247</v>
      </c>
      <c r="AH71" s="2812"/>
      <c r="AI71" s="2609">
        <f>SUM(AI72:AO74)</f>
        <v>1319</v>
      </c>
      <c r="AJ71" s="2609"/>
      <c r="AK71" s="2609"/>
      <c r="AL71" s="2609"/>
      <c r="AM71" s="2609"/>
      <c r="AN71" s="2609"/>
      <c r="AO71" s="2609"/>
      <c r="AP71" s="2609">
        <f>SUM(AP72:AV74)</f>
        <v>3942</v>
      </c>
      <c r="AQ71" s="2609"/>
      <c r="AR71" s="2609"/>
      <c r="AS71" s="2609"/>
      <c r="AT71" s="2609"/>
      <c r="AU71" s="2609"/>
      <c r="AV71" s="2609"/>
    </row>
    <row r="72" ht="17.25" customHeight="1" spans="1:48">
      <c r="A72" s="2827" t="s">
        <v>4106</v>
      </c>
      <c r="B72" s="2827"/>
      <c r="C72" s="2828" t="str">
        <f>Text!B200</f>
        <v>Prihodi od kamata</v>
      </c>
      <c r="D72" s="2829"/>
      <c r="E72" s="2829"/>
      <c r="F72" s="2829"/>
      <c r="G72" s="2829"/>
      <c r="H72" s="2829"/>
      <c r="I72" s="2829"/>
      <c r="J72" s="2829"/>
      <c r="K72" s="2829"/>
      <c r="L72" s="2829"/>
      <c r="M72" s="2829"/>
      <c r="N72" s="2829"/>
      <c r="O72" s="2829"/>
      <c r="P72" s="2829"/>
      <c r="Q72" s="2829"/>
      <c r="R72" s="2829"/>
      <c r="S72" s="2829"/>
      <c r="T72" s="2829"/>
      <c r="U72" s="2829"/>
      <c r="V72" s="2829"/>
      <c r="W72" s="2829"/>
      <c r="X72" s="2829"/>
      <c r="Y72" s="2833" t="s">
        <v>6995</v>
      </c>
      <c r="Z72" s="2834"/>
      <c r="AA72" s="2834"/>
      <c r="AB72" s="2834"/>
      <c r="AC72" s="2834"/>
      <c r="AD72" s="2835"/>
      <c r="AE72" s="2610"/>
      <c r="AF72" s="2610"/>
      <c r="AG72" s="2830">
        <v>248</v>
      </c>
      <c r="AH72" s="2812"/>
      <c r="AI72" s="2609">
        <f>ROUND(UnosPod!F166+UnosPod!F167,0)</f>
        <v>1319</v>
      </c>
      <c r="AJ72" s="2609"/>
      <c r="AK72" s="2609"/>
      <c r="AL72" s="2609"/>
      <c r="AM72" s="2609"/>
      <c r="AN72" s="2609"/>
      <c r="AO72" s="2609"/>
      <c r="AP72" s="2609">
        <f>Prethodna_2024!B52</f>
        <v>3942</v>
      </c>
      <c r="AQ72" s="2609"/>
      <c r="AR72" s="2609"/>
      <c r="AS72" s="2609"/>
      <c r="AT72" s="2609"/>
      <c r="AU72" s="2609"/>
      <c r="AV72" s="2609"/>
    </row>
    <row r="73" ht="17.25" customHeight="1" spans="1:48">
      <c r="A73" s="2827" t="s">
        <v>4108</v>
      </c>
      <c r="B73" s="2827"/>
      <c r="C73" s="2828" t="str">
        <f>Text!B201</f>
        <v>Neto pozitivne kursne razlike</v>
      </c>
      <c r="D73" s="2829"/>
      <c r="E73" s="2829"/>
      <c r="F73" s="2829"/>
      <c r="G73" s="2829"/>
      <c r="H73" s="2829"/>
      <c r="I73" s="2829"/>
      <c r="J73" s="2829"/>
      <c r="K73" s="2829"/>
      <c r="L73" s="2829"/>
      <c r="M73" s="2829"/>
      <c r="N73" s="2829"/>
      <c r="O73" s="2829"/>
      <c r="P73" s="2829"/>
      <c r="Q73" s="2829"/>
      <c r="R73" s="2829"/>
      <c r="S73" s="2829"/>
      <c r="T73" s="2829"/>
      <c r="U73" s="2829"/>
      <c r="V73" s="2829"/>
      <c r="W73" s="2829"/>
      <c r="X73" s="2829"/>
      <c r="Y73" s="2833" t="s">
        <v>6996</v>
      </c>
      <c r="Z73" s="2834"/>
      <c r="AA73" s="2834"/>
      <c r="AB73" s="2834"/>
      <c r="AC73" s="2834"/>
      <c r="AD73" s="2835"/>
      <c r="AE73" s="2610"/>
      <c r="AF73" s="2610"/>
      <c r="AG73" s="2830">
        <v>249</v>
      </c>
      <c r="AH73" s="2812"/>
      <c r="AI73" s="2609">
        <f>ROUND(IF(UnosPod!F168-UnosPod!F308&lt;0,0,UnosPod!F168-UnosPod!F308),0)</f>
        <v>0</v>
      </c>
      <c r="AJ73" s="2609"/>
      <c r="AK73" s="2609"/>
      <c r="AL73" s="2609"/>
      <c r="AM73" s="2609"/>
      <c r="AN73" s="2609"/>
      <c r="AO73" s="2609"/>
      <c r="AP73" s="2609">
        <f>Prethodna_2024!B53</f>
        <v>0</v>
      </c>
      <c r="AQ73" s="2609"/>
      <c r="AR73" s="2609"/>
      <c r="AS73" s="2609"/>
      <c r="AT73" s="2609"/>
      <c r="AU73" s="2609"/>
      <c r="AV73" s="2609"/>
    </row>
    <row r="74" ht="17.25" customHeight="1" spans="1:48">
      <c r="A74" s="2827" t="s">
        <v>4110</v>
      </c>
      <c r="B74" s="2827"/>
      <c r="C74" s="2828" t="str">
        <f>Text!B202</f>
        <v>Ostali finansijski prihodi</v>
      </c>
      <c r="D74" s="2829"/>
      <c r="E74" s="2829"/>
      <c r="F74" s="2829"/>
      <c r="G74" s="2829"/>
      <c r="H74" s="2829"/>
      <c r="I74" s="2829"/>
      <c r="J74" s="2829"/>
      <c r="K74" s="2829"/>
      <c r="L74" s="2829"/>
      <c r="M74" s="2829"/>
      <c r="N74" s="2829"/>
      <c r="O74" s="2829"/>
      <c r="P74" s="2829"/>
      <c r="Q74" s="2829"/>
      <c r="R74" s="2829"/>
      <c r="S74" s="2829"/>
      <c r="T74" s="2829"/>
      <c r="U74" s="2829"/>
      <c r="V74" s="2829"/>
      <c r="W74" s="2829"/>
      <c r="X74" s="2829"/>
      <c r="Y74" s="2833" t="s">
        <v>6997</v>
      </c>
      <c r="Z74" s="2834"/>
      <c r="AA74" s="2834"/>
      <c r="AB74" s="2834"/>
      <c r="AC74" s="2834"/>
      <c r="AD74" s="2835"/>
      <c r="AE74" s="2610"/>
      <c r="AF74" s="2610"/>
      <c r="AG74" s="2830">
        <v>250</v>
      </c>
      <c r="AH74" s="2812"/>
      <c r="AI74" s="2609">
        <f>ROUND(UnosPod!F169+UnosPod!F170,0)</f>
        <v>0</v>
      </c>
      <c r="AJ74" s="2609"/>
      <c r="AK74" s="2609"/>
      <c r="AL74" s="2609"/>
      <c r="AM74" s="2609"/>
      <c r="AN74" s="2609"/>
      <c r="AO74" s="2609"/>
      <c r="AP74" s="2609">
        <f>Prethodna_2024!B54</f>
        <v>0</v>
      </c>
      <c r="AQ74" s="2609"/>
      <c r="AR74" s="2609"/>
      <c r="AS74" s="2609"/>
      <c r="AT74" s="2609"/>
      <c r="AU74" s="2609"/>
      <c r="AV74" s="2609"/>
    </row>
    <row r="75" s="1224" customFormat="1" ht="66.75" customHeight="1" spans="1:48">
      <c r="A75" s="2769" t="s">
        <v>3928</v>
      </c>
      <c r="B75" s="2769"/>
      <c r="C75" s="2838" t="str">
        <f>Text!B203</f>
        <v>Ostali prihodi i dobici</v>
      </c>
      <c r="D75" s="2839"/>
      <c r="E75" s="2839"/>
      <c r="F75" s="2839"/>
      <c r="G75" s="2839"/>
      <c r="H75" s="2839"/>
      <c r="I75" s="2839"/>
      <c r="J75" s="2839"/>
      <c r="L75" s="2840"/>
      <c r="M75" s="2840"/>
      <c r="N75" s="2840"/>
      <c r="O75" s="2840"/>
      <c r="P75" s="2840"/>
      <c r="Q75" s="2840"/>
      <c r="R75" s="2840"/>
      <c r="S75" s="2840"/>
      <c r="T75" s="2840"/>
      <c r="U75" s="2840"/>
      <c r="V75" s="2840"/>
      <c r="W75" s="2840"/>
      <c r="X75" s="2840"/>
      <c r="Y75" s="2802" t="s">
        <v>6998</v>
      </c>
      <c r="Z75" s="2803"/>
      <c r="AA75" s="2803"/>
      <c r="AB75" s="2803"/>
      <c r="AC75" s="2803"/>
      <c r="AD75" s="2768"/>
      <c r="AE75" s="2841" t="str">
        <f>Baza!E56</f>
        <v>P3</v>
      </c>
      <c r="AF75" s="2841"/>
      <c r="AG75" s="2765">
        <v>251</v>
      </c>
      <c r="AH75" s="2766"/>
      <c r="AI75" s="2842">
        <f>ROUND(UnosPod!F165-UnosPod!F163+UnosPod!F189+UnosPod!F191-UnosPod!F192+UnosPod!F219+UnosPod!F220+UnosPod!F183+UnosPod!F184+UnosPod!F185,0)</f>
        <v>746</v>
      </c>
      <c r="AJ75" s="2842"/>
      <c r="AK75" s="2842"/>
      <c r="AL75" s="2842"/>
      <c r="AM75" s="2842"/>
      <c r="AN75" s="2842"/>
      <c r="AO75" s="2842"/>
      <c r="AP75" s="2567">
        <f>Prethodna_2024!B55</f>
        <v>8190</v>
      </c>
      <c r="AQ75" s="2567"/>
      <c r="AR75" s="2567"/>
      <c r="AS75" s="2567"/>
      <c r="AT75" s="2567"/>
      <c r="AU75" s="2567"/>
      <c r="AV75" s="2567"/>
    </row>
    <row r="76" s="1227" customFormat="1" ht="18" customHeight="1" spans="1:48">
      <c r="A76" s="2843" t="s">
        <v>3951</v>
      </c>
      <c r="B76" s="2843"/>
      <c r="C76" s="2844" t="str">
        <f>Text!B204</f>
        <v>Ukupno prihodi (201+214)</v>
      </c>
      <c r="D76" s="2845"/>
      <c r="E76" s="2845"/>
      <c r="F76" s="2845"/>
      <c r="G76" s="2845"/>
      <c r="H76" s="2845"/>
      <c r="I76" s="2845"/>
      <c r="J76" s="2845"/>
      <c r="K76" s="2845"/>
      <c r="L76" s="2845"/>
      <c r="M76" s="2845"/>
      <c r="N76" s="2845"/>
      <c r="O76" s="2845"/>
      <c r="P76" s="2845"/>
      <c r="Q76" s="2845"/>
      <c r="R76" s="2845"/>
      <c r="S76" s="2845"/>
      <c r="T76" s="2845"/>
      <c r="U76" s="2845"/>
      <c r="V76" s="2845"/>
      <c r="W76" s="2845"/>
      <c r="X76" s="2845"/>
      <c r="Y76" s="2846"/>
      <c r="Z76" s="2847"/>
      <c r="AA76" s="2847"/>
      <c r="AB76" s="2847"/>
      <c r="AC76" s="2847"/>
      <c r="AD76" s="2848"/>
      <c r="AE76" s="2849"/>
      <c r="AF76" s="2849"/>
      <c r="AG76" s="2850">
        <v>252</v>
      </c>
      <c r="AH76" s="2851"/>
      <c r="AI76" s="2852">
        <f>AI21+AI34</f>
        <v>247772</v>
      </c>
      <c r="AJ76" s="2852"/>
      <c r="AK76" s="2852"/>
      <c r="AL76" s="2852"/>
      <c r="AM76" s="2852"/>
      <c r="AN76" s="2852"/>
      <c r="AO76" s="2852"/>
      <c r="AP76" s="2852">
        <f>AP21+AP34</f>
        <v>384523</v>
      </c>
      <c r="AQ76" s="2852"/>
      <c r="AR76" s="2852"/>
      <c r="AS76" s="2852"/>
      <c r="AT76" s="2852"/>
      <c r="AU76" s="2852"/>
      <c r="AV76" s="2852"/>
    </row>
    <row r="77" s="1757" customFormat="1" customHeight="1" spans="1:48">
      <c r="AI77" s="2853"/>
      <c r="AJ77" s="2853"/>
      <c r="AK77" s="2853"/>
      <c r="AL77" s="2853"/>
      <c r="AM77" s="2853"/>
      <c r="AN77" s="2853"/>
      <c r="AO77" s="2853"/>
    </row>
    <row r="78" s="1757" customFormat="1" customHeight="1"/>
    <row r="79" ht="15" customHeight="1" spans="1:48">
      <c r="A79" s="2827">
        <v>1</v>
      </c>
      <c r="B79" s="2827"/>
      <c r="C79" s="2812">
        <v>2</v>
      </c>
      <c r="D79" s="2827"/>
      <c r="E79" s="2827"/>
      <c r="F79" s="2827"/>
      <c r="G79" s="2827"/>
      <c r="H79" s="2827"/>
      <c r="I79" s="2827"/>
      <c r="J79" s="2827"/>
      <c r="K79" s="2827"/>
      <c r="L79" s="2827"/>
      <c r="M79" s="2827"/>
      <c r="N79" s="2827"/>
      <c r="O79" s="2827"/>
      <c r="P79" s="2827"/>
      <c r="Q79" s="2827"/>
      <c r="R79" s="2827"/>
      <c r="S79" s="2827"/>
      <c r="T79" s="2827"/>
      <c r="U79" s="2827"/>
      <c r="V79" s="2827"/>
      <c r="W79" s="2827"/>
      <c r="X79" s="2830"/>
      <c r="Y79" s="2815"/>
      <c r="Z79" s="2816"/>
      <c r="AA79" s="2816"/>
      <c r="AB79" s="2816"/>
      <c r="AC79" s="2816"/>
      <c r="AD79" s="2817"/>
      <c r="AE79" s="2827">
        <v>3</v>
      </c>
      <c r="AF79" s="2827"/>
      <c r="AG79" s="2827">
        <v>4</v>
      </c>
      <c r="AH79" s="2827"/>
      <c r="AI79" s="2827">
        <v>5</v>
      </c>
      <c r="AJ79" s="2827"/>
      <c r="AK79" s="2827"/>
      <c r="AL79" s="2827"/>
      <c r="AM79" s="2827"/>
      <c r="AN79" s="2827"/>
      <c r="AO79" s="2827"/>
      <c r="AP79" s="2827">
        <v>6</v>
      </c>
      <c r="AQ79" s="2827"/>
      <c r="AR79" s="2827"/>
      <c r="AS79" s="2827"/>
      <c r="AT79" s="2827"/>
      <c r="AU79" s="2827"/>
      <c r="AV79" s="2827"/>
    </row>
    <row r="80" s="1757" customFormat="1" ht="18" customHeight="1" spans="1:48">
      <c r="A80" s="2854" t="s">
        <v>3983</v>
      </c>
      <c r="B80" s="2854"/>
      <c r="C80" s="2813" t="str">
        <f>Text!B205</f>
        <v>Poslovni rashodi (254+255+256+257+258+262+269+270)</v>
      </c>
      <c r="D80" s="2814"/>
      <c r="E80" s="2814"/>
      <c r="F80" s="2814"/>
      <c r="G80" s="2814"/>
      <c r="H80" s="2814"/>
      <c r="I80" s="2814"/>
      <c r="J80" s="2814"/>
      <c r="K80" s="2814"/>
      <c r="L80" s="2814"/>
      <c r="M80" s="2814"/>
      <c r="N80" s="2814"/>
      <c r="O80" s="2814"/>
      <c r="P80" s="2814"/>
      <c r="Q80" s="2814"/>
      <c r="R80" s="2814"/>
      <c r="S80" s="2814"/>
      <c r="T80" s="2814"/>
      <c r="U80" s="2814"/>
      <c r="V80" s="2814"/>
      <c r="W80" s="2814"/>
      <c r="X80" s="2814"/>
      <c r="Y80" s="2815"/>
      <c r="Z80" s="2816"/>
      <c r="AA80" s="2816"/>
      <c r="AB80" s="2816"/>
      <c r="AC80" s="2816"/>
      <c r="AD80" s="2817"/>
      <c r="AE80" s="2855"/>
      <c r="AF80" s="2855"/>
      <c r="AG80" s="2830">
        <v>253</v>
      </c>
      <c r="AH80" s="2812"/>
      <c r="AI80" s="2856">
        <f>SUM(AI81:AO85)+AI89+AI96+AI97</f>
        <v>292171</v>
      </c>
      <c r="AJ80" s="2856"/>
      <c r="AK80" s="2856"/>
      <c r="AL80" s="2856"/>
      <c r="AM80" s="2856"/>
      <c r="AN80" s="2856"/>
      <c r="AO80" s="2856"/>
      <c r="AP80" s="2856">
        <f>SUM(AP81:AV85)+AP89+AP96+AP97</f>
        <v>282807</v>
      </c>
      <c r="AQ80" s="2856"/>
      <c r="AR80" s="2856"/>
      <c r="AS80" s="2856"/>
      <c r="AT80" s="2856"/>
      <c r="AU80" s="2856"/>
      <c r="AV80" s="2856"/>
    </row>
    <row r="81" ht="18" customHeight="1" spans="1:48">
      <c r="A81" s="2827" t="s">
        <v>3953</v>
      </c>
      <c r="B81" s="2827"/>
      <c r="C81" s="2828" t="str">
        <f>Text!B206</f>
        <v>Nabavna vrijednost prodate robe</v>
      </c>
      <c r="D81" s="2829"/>
      <c r="E81" s="2829"/>
      <c r="F81" s="2829"/>
      <c r="G81" s="2829"/>
      <c r="H81" s="2829"/>
      <c r="I81" s="2829"/>
      <c r="J81" s="2829"/>
      <c r="K81" s="2829"/>
      <c r="L81" s="2829"/>
      <c r="M81" s="2829"/>
      <c r="N81" s="2829"/>
      <c r="O81" s="2829"/>
      <c r="P81" s="2829"/>
      <c r="Q81" s="2829"/>
      <c r="R81" s="2829"/>
      <c r="S81" s="2829"/>
      <c r="T81" s="2829"/>
      <c r="U81" s="2829"/>
      <c r="V81" s="2829"/>
      <c r="W81" s="2829"/>
      <c r="X81" s="2829"/>
      <c r="Y81" s="2833">
        <v>50</v>
      </c>
      <c r="Z81" s="2834"/>
      <c r="AA81" s="2834"/>
      <c r="AB81" s="2834"/>
      <c r="AC81" s="2834"/>
      <c r="AD81" s="2835"/>
      <c r="AE81" s="2610" t="str">
        <f>Baza!E79</f>
        <v>-</v>
      </c>
      <c r="AF81" s="2610"/>
      <c r="AG81" s="2830">
        <v>254</v>
      </c>
      <c r="AH81" s="2812"/>
      <c r="AI81" s="2609">
        <f>ROUND(UnosPod!F232,0)</f>
        <v>0</v>
      </c>
      <c r="AJ81" s="2609"/>
      <c r="AK81" s="2609"/>
      <c r="AL81" s="2609"/>
      <c r="AM81" s="2609"/>
      <c r="AN81" s="2609"/>
      <c r="AO81" s="2609"/>
      <c r="AP81" s="2609">
        <f>Prethodna_2024!B58</f>
        <v>0</v>
      </c>
      <c r="AQ81" s="2609"/>
      <c r="AR81" s="2609"/>
      <c r="AS81" s="2609"/>
      <c r="AT81" s="2609"/>
      <c r="AU81" s="2609"/>
      <c r="AV81" s="2609"/>
    </row>
    <row r="82" ht="18" customHeight="1" spans="1:48">
      <c r="A82" s="2827" t="s">
        <v>3891</v>
      </c>
      <c r="B82" s="2827"/>
      <c r="C82" s="2828" t="str">
        <f>Text!B207</f>
        <v>Promjene u zalihama gotovih proizvoda, poluproizvoda i proizvodnje u toku, neto (+) / (-)</v>
      </c>
      <c r="D82" s="2829"/>
      <c r="E82" s="2829"/>
      <c r="F82" s="2829"/>
      <c r="G82" s="2829"/>
      <c r="H82" s="2829"/>
      <c r="I82" s="2829"/>
      <c r="J82" s="2829"/>
      <c r="K82" s="2829"/>
      <c r="L82" s="2829"/>
      <c r="M82" s="2829"/>
      <c r="N82" s="2829"/>
      <c r="O82" s="2829"/>
      <c r="P82" s="2829"/>
      <c r="Q82" s="2829"/>
      <c r="R82" s="2829"/>
      <c r="S82" s="2829"/>
      <c r="T82" s="2829"/>
      <c r="U82" s="2829"/>
      <c r="V82" s="2829"/>
      <c r="W82" s="2829"/>
      <c r="X82" s="2829"/>
      <c r="Y82" s="2833" t="s">
        <v>6999</v>
      </c>
      <c r="Z82" s="2834"/>
      <c r="AA82" s="2834"/>
      <c r="AB82" s="2834"/>
      <c r="AC82" s="2834"/>
      <c r="AD82" s="2835"/>
      <c r="AE82" s="2610" t="str">
        <f>Baza!E80</f>
        <v>-</v>
      </c>
      <c r="AF82" s="2610"/>
      <c r="AG82" s="2830">
        <v>255</v>
      </c>
      <c r="AH82" s="2812"/>
      <c r="AI82" s="2609">
        <f>ROUND(UnosPod!F371-UnosPod!F370,0)</f>
        <v>0</v>
      </c>
      <c r="AJ82" s="2609"/>
      <c r="AK82" s="2609"/>
      <c r="AL82" s="2609"/>
      <c r="AM82" s="2609"/>
      <c r="AN82" s="2609"/>
      <c r="AO82" s="2609"/>
      <c r="AP82" s="2609">
        <f>Prethodna_2024!B59</f>
        <v>0</v>
      </c>
      <c r="AQ82" s="2609"/>
      <c r="AR82" s="2609"/>
      <c r="AS82" s="2609"/>
      <c r="AT82" s="2609"/>
      <c r="AU82" s="2609"/>
      <c r="AV82" s="2609"/>
    </row>
    <row r="83" ht="18" customHeight="1" spans="1:48">
      <c r="A83" s="2827" t="s">
        <v>3902</v>
      </c>
      <c r="B83" s="2827"/>
      <c r="C83" s="2828" t="str">
        <f>Text!B208</f>
        <v>Troškovi sirovina i materijala</v>
      </c>
      <c r="D83" s="2829"/>
      <c r="E83" s="2829"/>
      <c r="F83" s="2829"/>
      <c r="G83" s="2829"/>
      <c r="H83" s="2829"/>
      <c r="I83" s="2829"/>
      <c r="J83" s="2829"/>
      <c r="K83" s="2829"/>
      <c r="L83" s="2829"/>
      <c r="M83" s="2829"/>
      <c r="N83" s="2829"/>
      <c r="O83" s="2829"/>
      <c r="P83" s="2829"/>
      <c r="Q83" s="2829"/>
      <c r="R83" s="2829"/>
      <c r="S83" s="2829"/>
      <c r="T83" s="2829"/>
      <c r="U83" s="2829"/>
      <c r="V83" s="2829"/>
      <c r="W83" s="2829"/>
      <c r="X83" s="2829"/>
      <c r="Y83" s="2833" t="s">
        <v>7000</v>
      </c>
      <c r="Z83" s="2834"/>
      <c r="AA83" s="2834"/>
      <c r="AB83" s="2834"/>
      <c r="AC83" s="2834"/>
      <c r="AD83" s="2835"/>
      <c r="AE83" s="2610" t="str">
        <f>Baza!E81</f>
        <v>-</v>
      </c>
      <c r="AF83" s="2610"/>
      <c r="AG83" s="2830">
        <v>256</v>
      </c>
      <c r="AH83" s="2812"/>
      <c r="AI83" s="2609">
        <f>ROUND(UnosPod!F239-UnosPod!F235,0)</f>
        <v>804</v>
      </c>
      <c r="AJ83" s="2609"/>
      <c r="AK83" s="2609"/>
      <c r="AL83" s="2609"/>
      <c r="AM83" s="2609"/>
      <c r="AN83" s="2609"/>
      <c r="AO83" s="2609"/>
      <c r="AP83" s="2609">
        <f>Prethodna_2024!B60</f>
        <v>563</v>
      </c>
      <c r="AQ83" s="2609"/>
      <c r="AR83" s="2609"/>
      <c r="AS83" s="2609"/>
      <c r="AT83" s="2609"/>
      <c r="AU83" s="2609"/>
      <c r="AV83" s="2609"/>
    </row>
    <row r="84" ht="18" customHeight="1" spans="1:48">
      <c r="A84" s="2827" t="s">
        <v>3905</v>
      </c>
      <c r="B84" s="2827"/>
      <c r="C84" s="2828" t="str">
        <f>Text!B209</f>
        <v>Troškovi energije i goriva</v>
      </c>
      <c r="D84" s="2829"/>
      <c r="E84" s="2829"/>
      <c r="F84" s="2829"/>
      <c r="G84" s="2829"/>
      <c r="H84" s="2829"/>
      <c r="I84" s="2829"/>
      <c r="J84" s="2829"/>
      <c r="K84" s="2829"/>
      <c r="L84" s="2829"/>
      <c r="M84" s="2829"/>
      <c r="N84" s="2829"/>
      <c r="O84" s="2829"/>
      <c r="P84" s="2829"/>
      <c r="Q84" s="2829"/>
      <c r="R84" s="2829"/>
      <c r="S84" s="2829"/>
      <c r="T84" s="2829"/>
      <c r="U84" s="2829"/>
      <c r="V84" s="2829"/>
      <c r="W84" s="2829"/>
      <c r="X84" s="2829"/>
      <c r="Y84" s="2833">
        <v>512</v>
      </c>
      <c r="Z84" s="2834"/>
      <c r="AA84" s="2834"/>
      <c r="AB84" s="2834"/>
      <c r="AC84" s="2834"/>
      <c r="AD84" s="2835"/>
      <c r="AE84" s="2610" t="str">
        <f>Baza!E82</f>
        <v>R5</v>
      </c>
      <c r="AF84" s="2610"/>
      <c r="AG84" s="2830">
        <v>257</v>
      </c>
      <c r="AH84" s="2812"/>
      <c r="AI84" s="2609">
        <f>ROUND(UnosPod!F235,0)</f>
        <v>7591</v>
      </c>
      <c r="AJ84" s="2609"/>
      <c r="AK84" s="2609"/>
      <c r="AL84" s="2609"/>
      <c r="AM84" s="2609"/>
      <c r="AN84" s="2609"/>
      <c r="AO84" s="2609"/>
      <c r="AP84" s="2609">
        <f>Prethodna_2024!B61</f>
        <v>9093</v>
      </c>
      <c r="AQ84" s="2609"/>
      <c r="AR84" s="2609"/>
      <c r="AS84" s="2609"/>
      <c r="AT84" s="2609"/>
      <c r="AU84" s="2609"/>
      <c r="AV84" s="2609"/>
    </row>
    <row r="85" ht="18" customHeight="1" spans="1:48">
      <c r="A85" s="2827" t="s">
        <v>3915</v>
      </c>
      <c r="B85" s="2827"/>
      <c r="C85" s="2828" t="str">
        <f>Text!B210</f>
        <v>Troškovi plaća i ostalih ličnih primanja (259 do 261)</v>
      </c>
      <c r="D85" s="2829"/>
      <c r="E85" s="2829"/>
      <c r="F85" s="2829"/>
      <c r="G85" s="2829"/>
      <c r="H85" s="2829"/>
      <c r="I85" s="2829"/>
      <c r="J85" s="2829"/>
      <c r="K85" s="2829"/>
      <c r="L85" s="2829"/>
      <c r="M85" s="2829"/>
      <c r="N85" s="2829"/>
      <c r="O85" s="2829"/>
      <c r="P85" s="2829"/>
      <c r="Q85" s="2829"/>
      <c r="R85" s="2829"/>
      <c r="S85" s="2829"/>
      <c r="T85" s="2829"/>
      <c r="U85" s="2829"/>
      <c r="V85" s="2829"/>
      <c r="W85" s="2829"/>
      <c r="X85" s="2829"/>
      <c r="Y85" s="2833"/>
      <c r="Z85" s="2834"/>
      <c r="AA85" s="2834"/>
      <c r="AB85" s="2834"/>
      <c r="AC85" s="2834"/>
      <c r="AD85" s="2835"/>
      <c r="AE85" s="2610" t="str">
        <f>Baza!E83</f>
        <v>R1</v>
      </c>
      <c r="AF85" s="2610"/>
      <c r="AG85" s="2830">
        <v>258</v>
      </c>
      <c r="AH85" s="2812"/>
      <c r="AI85" s="2609">
        <f>SUM(AI86:AO88)</f>
        <v>206367</v>
      </c>
      <c r="AJ85" s="2609"/>
      <c r="AK85" s="2609"/>
      <c r="AL85" s="2609"/>
      <c r="AM85" s="2609"/>
      <c r="AN85" s="2609"/>
      <c r="AO85" s="2609"/>
      <c r="AP85" s="2609">
        <f>SUM(AP86:AV88)</f>
        <v>197520</v>
      </c>
      <c r="AQ85" s="2609"/>
      <c r="AR85" s="2609"/>
      <c r="AS85" s="2609"/>
      <c r="AT85" s="2609"/>
      <c r="AU85" s="2609"/>
      <c r="AV85" s="2609"/>
    </row>
    <row r="86" ht="18" customHeight="1" spans="1:48">
      <c r="A86" s="2827" t="s">
        <v>3967</v>
      </c>
      <c r="B86" s="2827"/>
      <c r="C86" s="2831" t="str">
        <f>Text!B211</f>
        <v>Bruto plaće zaposlenih</v>
      </c>
      <c r="D86" s="2832"/>
      <c r="E86" s="2832"/>
      <c r="F86" s="2832"/>
      <c r="G86" s="2832"/>
      <c r="H86" s="2832"/>
      <c r="I86" s="2832"/>
      <c r="J86" s="2832"/>
      <c r="K86" s="2832"/>
      <c r="L86" s="2832"/>
      <c r="M86" s="2832"/>
      <c r="N86" s="2832"/>
      <c r="O86" s="2832"/>
      <c r="P86" s="2832"/>
      <c r="Q86" s="2832"/>
      <c r="R86" s="2832"/>
      <c r="S86" s="2832"/>
      <c r="T86" s="2832"/>
      <c r="U86" s="2832"/>
      <c r="V86" s="2832"/>
      <c r="W86" s="2832"/>
      <c r="X86" s="2832"/>
      <c r="Y86" s="2833">
        <v>520</v>
      </c>
      <c r="Z86" s="2834"/>
      <c r="AA86" s="2834"/>
      <c r="AB86" s="2834"/>
      <c r="AC86" s="2834"/>
      <c r="AD86" s="2835"/>
      <c r="AE86" s="2610"/>
      <c r="AF86" s="2610"/>
      <c r="AG86" s="2830">
        <v>259</v>
      </c>
      <c r="AH86" s="2812"/>
      <c r="AI86" s="2609">
        <f>ROUND(UnosPod!F244,0)</f>
        <v>163147</v>
      </c>
      <c r="AJ86" s="2609"/>
      <c r="AK86" s="2609"/>
      <c r="AL86" s="2609"/>
      <c r="AM86" s="2609"/>
      <c r="AN86" s="2609"/>
      <c r="AO86" s="2609"/>
      <c r="AP86" s="2609">
        <f>Prethodna_2024!B63</f>
        <v>153411</v>
      </c>
      <c r="AQ86" s="2609"/>
      <c r="AR86" s="2609"/>
      <c r="AS86" s="2609"/>
      <c r="AT86" s="2609"/>
      <c r="AU86" s="2609"/>
      <c r="AV86" s="2609"/>
    </row>
    <row r="87" s="1757" customFormat="1" ht="18" customHeight="1" spans="1:48">
      <c r="A87" s="2827" t="s">
        <v>3969</v>
      </c>
      <c r="B87" s="2827"/>
      <c r="C87" s="2831" t="str">
        <f>Text!B212</f>
        <v>Ostale naknade zaposlenih</v>
      </c>
      <c r="D87" s="2832"/>
      <c r="E87" s="2832"/>
      <c r="F87" s="2832"/>
      <c r="G87" s="2832"/>
      <c r="H87" s="2832"/>
      <c r="I87" s="2832"/>
      <c r="J87" s="2832"/>
      <c r="K87" s="2832"/>
      <c r="L87" s="2832"/>
      <c r="M87" s="2832"/>
      <c r="N87" s="2832"/>
      <c r="O87" s="2832"/>
      <c r="P87" s="2832"/>
      <c r="Q87" s="2832"/>
      <c r="R87" s="2832"/>
      <c r="S87" s="2832"/>
      <c r="T87" s="2832"/>
      <c r="U87" s="2832"/>
      <c r="V87" s="2832"/>
      <c r="W87" s="2832"/>
      <c r="X87" s="2832"/>
      <c r="Y87" s="2833" t="s">
        <v>7001</v>
      </c>
      <c r="Z87" s="2834"/>
      <c r="AA87" s="2834"/>
      <c r="AB87" s="2834"/>
      <c r="AC87" s="2834"/>
      <c r="AD87" s="2835"/>
      <c r="AE87" s="2610"/>
      <c r="AF87" s="2610"/>
      <c r="AG87" s="2830">
        <v>260</v>
      </c>
      <c r="AH87" s="2812"/>
      <c r="AI87" s="2609">
        <f>ROUND(UnosPod!F249+UnosPod!F250+UnosPod!F251,0)</f>
        <v>36454</v>
      </c>
      <c r="AJ87" s="2609"/>
      <c r="AK87" s="2609"/>
      <c r="AL87" s="2609"/>
      <c r="AM87" s="2609"/>
      <c r="AN87" s="2609"/>
      <c r="AO87" s="2609"/>
      <c r="AP87" s="2609">
        <f>Prethodna_2024!B64</f>
        <v>31914</v>
      </c>
      <c r="AQ87" s="2609"/>
      <c r="AR87" s="2609"/>
      <c r="AS87" s="2609"/>
      <c r="AT87" s="2609"/>
      <c r="AU87" s="2609"/>
      <c r="AV87" s="2609"/>
    </row>
    <row r="88" ht="18" customHeight="1" spans="1:48">
      <c r="A88" s="2827" t="s">
        <v>3971</v>
      </c>
      <c r="B88" s="2827"/>
      <c r="C88" s="2831" t="str">
        <f>Text!B213</f>
        <v>Troškovi ostalih angažovanih fizičkih lica, uključujući članove odbora</v>
      </c>
      <c r="D88" s="2832"/>
      <c r="E88" s="2832"/>
      <c r="F88" s="2832"/>
      <c r="G88" s="2832"/>
      <c r="H88" s="2832"/>
      <c r="I88" s="2832"/>
      <c r="J88" s="2832"/>
      <c r="K88" s="2832"/>
      <c r="L88" s="2832"/>
      <c r="M88" s="2832"/>
      <c r="N88" s="2832"/>
      <c r="O88" s="2832"/>
      <c r="P88" s="2832"/>
      <c r="Q88" s="2832"/>
      <c r="R88" s="2832"/>
      <c r="S88" s="2832"/>
      <c r="T88" s="2832"/>
      <c r="U88" s="2832"/>
      <c r="V88" s="2832"/>
      <c r="W88" s="2832"/>
      <c r="X88" s="2832"/>
      <c r="Y88" s="2833" t="s">
        <v>7002</v>
      </c>
      <c r="Z88" s="2834"/>
      <c r="AA88" s="2834"/>
      <c r="AB88" s="2834"/>
      <c r="AC88" s="2834"/>
      <c r="AD88" s="2835"/>
      <c r="AE88" s="2610"/>
      <c r="AF88" s="2610"/>
      <c r="AG88" s="2830">
        <v>261</v>
      </c>
      <c r="AH88" s="2812"/>
      <c r="AI88" s="2609">
        <f>ROUND(UnosPod!F252+UnosPod!F253,0)</f>
        <v>6766</v>
      </c>
      <c r="AJ88" s="2609"/>
      <c r="AK88" s="2609"/>
      <c r="AL88" s="2609"/>
      <c r="AM88" s="2609"/>
      <c r="AN88" s="2609"/>
      <c r="AO88" s="2609"/>
      <c r="AP88" s="2609">
        <f>Prethodna_2024!B65</f>
        <v>12195</v>
      </c>
      <c r="AQ88" s="2609"/>
      <c r="AR88" s="2609"/>
      <c r="AS88" s="2609"/>
      <c r="AT88" s="2609"/>
      <c r="AU88" s="2609"/>
      <c r="AV88" s="2609"/>
    </row>
    <row r="89" s="1757" customFormat="1" ht="18" customHeight="1" spans="1:48">
      <c r="A89" s="2827" t="s">
        <v>3918</v>
      </c>
      <c r="B89" s="2827"/>
      <c r="C89" s="2828" t="str">
        <f>Text!B214</f>
        <v>Amortizacija (263+268)</v>
      </c>
      <c r="D89" s="2829"/>
      <c r="E89" s="2829"/>
      <c r="F89" s="2829"/>
      <c r="G89" s="2829"/>
      <c r="H89" s="2829"/>
      <c r="I89" s="2829"/>
      <c r="J89" s="2829"/>
      <c r="K89" s="2829"/>
      <c r="L89" s="2829"/>
      <c r="M89" s="2829"/>
      <c r="N89" s="2829"/>
      <c r="O89" s="2829"/>
      <c r="P89" s="2829"/>
      <c r="Q89" s="2829"/>
      <c r="R89" s="2829"/>
      <c r="S89" s="2829"/>
      <c r="T89" s="2829"/>
      <c r="U89" s="2829"/>
      <c r="V89" s="2829"/>
      <c r="W89" s="2829"/>
      <c r="X89" s="2829"/>
      <c r="Y89" s="2833"/>
      <c r="Z89" s="2834"/>
      <c r="AA89" s="2834"/>
      <c r="AB89" s="2834"/>
      <c r="AC89" s="2834"/>
      <c r="AD89" s="2835"/>
      <c r="AE89" s="2610" t="str">
        <f>Baza!E84</f>
        <v>R6</v>
      </c>
      <c r="AF89" s="2610"/>
      <c r="AG89" s="2830">
        <v>262</v>
      </c>
      <c r="AH89" s="2812"/>
      <c r="AI89" s="2609">
        <f>SUM(AI90:AO95)</f>
        <v>4549</v>
      </c>
      <c r="AJ89" s="2609"/>
      <c r="AK89" s="2609"/>
      <c r="AL89" s="2609"/>
      <c r="AM89" s="2609"/>
      <c r="AN89" s="2609"/>
      <c r="AO89" s="2609"/>
      <c r="AP89" s="2609">
        <f>SUM(AP90:AV95)</f>
        <v>5172</v>
      </c>
      <c r="AQ89" s="2609"/>
      <c r="AR89" s="2609"/>
      <c r="AS89" s="2609"/>
      <c r="AT89" s="2609"/>
      <c r="AU89" s="2609"/>
      <c r="AV89" s="2609"/>
    </row>
    <row r="90" s="1757" customFormat="1" ht="18" customHeight="1" spans="1:48">
      <c r="A90" s="2827" t="s">
        <v>4010</v>
      </c>
      <c r="B90" s="2827"/>
      <c r="C90" s="2831" t="str">
        <f>Text!B215</f>
        <v>Nekretnine, postrojenja i oprema</v>
      </c>
      <c r="D90" s="2832"/>
      <c r="E90" s="2832"/>
      <c r="F90" s="2832"/>
      <c r="G90" s="2832"/>
      <c r="H90" s="2832"/>
      <c r="I90" s="2832"/>
      <c r="J90" s="2832"/>
      <c r="K90" s="2832"/>
      <c r="L90" s="2832"/>
      <c r="M90" s="2832"/>
      <c r="N90" s="2832"/>
      <c r="O90" s="2832"/>
      <c r="P90" s="2832"/>
      <c r="Q90" s="2832"/>
      <c r="R90" s="2832"/>
      <c r="S90" s="2832"/>
      <c r="T90" s="2832"/>
      <c r="U90" s="2832"/>
      <c r="V90" s="2832"/>
      <c r="W90" s="2832"/>
      <c r="X90" s="2832"/>
      <c r="Y90" s="2833" t="s">
        <v>7003</v>
      </c>
      <c r="Z90" s="2834"/>
      <c r="AA90" s="2834"/>
      <c r="AB90" s="2834"/>
      <c r="AC90" s="2834"/>
      <c r="AD90" s="2835"/>
      <c r="AE90" s="2610"/>
      <c r="AF90" s="2610"/>
      <c r="AG90" s="2830">
        <v>263</v>
      </c>
      <c r="AH90" s="2812"/>
      <c r="AI90" s="2609">
        <f>ROUND(UnosPod!F266+UnosPod!F274+UnosPod!F282,0)</f>
        <v>0</v>
      </c>
      <c r="AJ90" s="2609"/>
      <c r="AK90" s="2609"/>
      <c r="AL90" s="2609"/>
      <c r="AM90" s="2609"/>
      <c r="AN90" s="2609"/>
      <c r="AO90" s="2609"/>
      <c r="AP90" s="2609">
        <f>Prethodna_2024!B67</f>
        <v>5172</v>
      </c>
      <c r="AQ90" s="2609"/>
      <c r="AR90" s="2609"/>
      <c r="AS90" s="2609"/>
      <c r="AT90" s="2609"/>
      <c r="AU90" s="2609"/>
      <c r="AV90" s="2609"/>
    </row>
    <row r="91" s="1757" customFormat="1" ht="18" customHeight="1" spans="1:48">
      <c r="A91" s="2827" t="s">
        <v>4012</v>
      </c>
      <c r="B91" s="2827"/>
      <c r="C91" s="2831" t="str">
        <f>Text!B216</f>
        <v>Investicijske nekretnine</v>
      </c>
      <c r="D91" s="2832"/>
      <c r="E91" s="2832"/>
      <c r="F91" s="2832"/>
      <c r="G91" s="2832"/>
      <c r="H91" s="2832"/>
      <c r="I91" s="2832"/>
      <c r="J91" s="2832"/>
      <c r="K91" s="2832"/>
      <c r="L91" s="2832"/>
      <c r="M91" s="2832"/>
      <c r="N91" s="2832"/>
      <c r="O91" s="2832"/>
      <c r="P91" s="2832"/>
      <c r="Q91" s="2832"/>
      <c r="R91" s="2832"/>
      <c r="S91" s="2832"/>
      <c r="T91" s="2832"/>
      <c r="U91" s="2832"/>
      <c r="V91" s="2832"/>
      <c r="W91" s="2832"/>
      <c r="X91" s="2832"/>
      <c r="Y91" s="2833" t="s">
        <v>7003</v>
      </c>
      <c r="Z91" s="2834"/>
      <c r="AA91" s="2834"/>
      <c r="AB91" s="2834"/>
      <c r="AC91" s="2834"/>
      <c r="AD91" s="2835"/>
      <c r="AE91" s="2610"/>
      <c r="AF91" s="2610"/>
      <c r="AG91" s="2830">
        <v>264</v>
      </c>
      <c r="AH91" s="2812"/>
      <c r="AI91" s="2609">
        <f>ROUND(UnosPod!F267+UnosPod!F275+UnosPod!F283,0)</f>
        <v>0</v>
      </c>
      <c r="AJ91" s="2609"/>
      <c r="AK91" s="2609"/>
      <c r="AL91" s="2609"/>
      <c r="AM91" s="2609"/>
      <c r="AN91" s="2609"/>
      <c r="AO91" s="2609"/>
      <c r="AP91" s="2609">
        <f>Prethodna_2024!B68</f>
        <v>0</v>
      </c>
      <c r="AQ91" s="2609"/>
      <c r="AR91" s="2609"/>
      <c r="AS91" s="2609"/>
      <c r="AT91" s="2609"/>
      <c r="AU91" s="2609"/>
      <c r="AV91" s="2609"/>
    </row>
    <row r="92" s="1757" customFormat="1" ht="18" customHeight="1" spans="1:48">
      <c r="A92" s="2827" t="s">
        <v>4125</v>
      </c>
      <c r="B92" s="2827"/>
      <c r="C92" s="2831" t="str">
        <f>Text!B217</f>
        <v>Imovina s pravom korištenja</v>
      </c>
      <c r="D92" s="2832"/>
      <c r="E92" s="2832"/>
      <c r="F92" s="2832"/>
      <c r="G92" s="2832"/>
      <c r="H92" s="2832"/>
      <c r="I92" s="2832"/>
      <c r="J92" s="2832"/>
      <c r="K92" s="2832"/>
      <c r="L92" s="2832"/>
      <c r="M92" s="2832"/>
      <c r="N92" s="2832"/>
      <c r="O92" s="2832"/>
      <c r="P92" s="2832"/>
      <c r="Q92" s="2832"/>
      <c r="R92" s="2832"/>
      <c r="S92" s="2832"/>
      <c r="T92" s="2832"/>
      <c r="U92" s="2832"/>
      <c r="V92" s="2832"/>
      <c r="W92" s="2832"/>
      <c r="X92" s="2832"/>
      <c r="Y92" s="2833" t="s">
        <v>7003</v>
      </c>
      <c r="Z92" s="2834"/>
      <c r="AA92" s="2834"/>
      <c r="AB92" s="2834"/>
      <c r="AC92" s="2834"/>
      <c r="AD92" s="2835"/>
      <c r="AE92" s="2610"/>
      <c r="AF92" s="2610"/>
      <c r="AG92" s="2830">
        <v>265</v>
      </c>
      <c r="AH92" s="2812"/>
      <c r="AI92" s="2609">
        <f>ROUND(UnosPod!F269+UnosPod!F277+UnosPod!F285,0)</f>
        <v>4549</v>
      </c>
      <c r="AJ92" s="2609"/>
      <c r="AK92" s="2609"/>
      <c r="AL92" s="2609"/>
      <c r="AM92" s="2609"/>
      <c r="AN92" s="2609"/>
      <c r="AO92" s="2609"/>
      <c r="AP92" s="2609">
        <f>Prethodna_2024!B69</f>
        <v>0</v>
      </c>
      <c r="AQ92" s="2609"/>
      <c r="AR92" s="2609"/>
      <c r="AS92" s="2609"/>
      <c r="AT92" s="2609"/>
      <c r="AU92" s="2609"/>
      <c r="AV92" s="2609"/>
    </row>
    <row r="93" s="1757" customFormat="1" ht="18" customHeight="1" spans="1:48">
      <c r="A93" s="2827" t="s">
        <v>4126</v>
      </c>
      <c r="B93" s="2827"/>
      <c r="C93" s="2831" t="str">
        <f>Text!B218</f>
        <v>Nematerijalna imovina</v>
      </c>
      <c r="D93" s="2832"/>
      <c r="E93" s="2832"/>
      <c r="F93" s="2832"/>
      <c r="G93" s="2832"/>
      <c r="H93" s="2832"/>
      <c r="I93" s="2832"/>
      <c r="J93" s="2832"/>
      <c r="K93" s="2832"/>
      <c r="L93" s="2832"/>
      <c r="M93" s="2832"/>
      <c r="N93" s="2832"/>
      <c r="O93" s="2832"/>
      <c r="P93" s="2832"/>
      <c r="Q93" s="2832"/>
      <c r="R93" s="2832"/>
      <c r="S93" s="2832"/>
      <c r="T93" s="2832"/>
      <c r="U93" s="2832"/>
      <c r="V93" s="2832"/>
      <c r="W93" s="2832"/>
      <c r="X93" s="2832"/>
      <c r="Y93" s="2833" t="s">
        <v>7003</v>
      </c>
      <c r="Z93" s="2834"/>
      <c r="AA93" s="2834"/>
      <c r="AB93" s="2834"/>
      <c r="AC93" s="2834"/>
      <c r="AD93" s="2835"/>
      <c r="AE93" s="2610"/>
      <c r="AF93" s="2610"/>
      <c r="AG93" s="2830">
        <v>266</v>
      </c>
      <c r="AH93" s="2812"/>
      <c r="AI93" s="2609">
        <f>ROUND(UnosPod!F265+UnosPod!F273+UnosPod!F281,0)</f>
        <v>0</v>
      </c>
      <c r="AJ93" s="2609"/>
      <c r="AK93" s="2609"/>
      <c r="AL93" s="2609"/>
      <c r="AM93" s="2609"/>
      <c r="AN93" s="2609"/>
      <c r="AO93" s="2609"/>
      <c r="AP93" s="2609">
        <f>Prethodna_2024!B70</f>
        <v>0</v>
      </c>
      <c r="AQ93" s="2609"/>
      <c r="AR93" s="2609"/>
      <c r="AS93" s="2609"/>
      <c r="AT93" s="2609"/>
      <c r="AU93" s="2609"/>
      <c r="AV93" s="2609"/>
    </row>
    <row r="94" s="1757" customFormat="1" ht="18" customHeight="1" spans="1:48">
      <c r="A94" s="2827" t="s">
        <v>4127</v>
      </c>
      <c r="B94" s="2827"/>
      <c r="C94" s="2831" t="str">
        <f>Text!B219</f>
        <v>Biološka imovina</v>
      </c>
      <c r="D94" s="2832"/>
      <c r="E94" s="2832"/>
      <c r="F94" s="2832"/>
      <c r="G94" s="2832"/>
      <c r="H94" s="2832"/>
      <c r="I94" s="2832"/>
      <c r="J94" s="2832"/>
      <c r="K94" s="2832"/>
      <c r="L94" s="2832"/>
      <c r="M94" s="2832"/>
      <c r="N94" s="2832"/>
      <c r="O94" s="2832"/>
      <c r="P94" s="2832"/>
      <c r="Q94" s="2832"/>
      <c r="R94" s="2832"/>
      <c r="S94" s="2832"/>
      <c r="T94" s="2832"/>
      <c r="U94" s="2832"/>
      <c r="V94" s="2832"/>
      <c r="W94" s="2832"/>
      <c r="X94" s="2832"/>
      <c r="Y94" s="2833" t="s">
        <v>7003</v>
      </c>
      <c r="Z94" s="2834"/>
      <c r="AA94" s="2834"/>
      <c r="AB94" s="2834"/>
      <c r="AC94" s="2834"/>
      <c r="AD94" s="2835"/>
      <c r="AE94" s="2610"/>
      <c r="AF94" s="2610"/>
      <c r="AG94" s="2830">
        <v>267</v>
      </c>
      <c r="AH94" s="2812"/>
      <c r="AI94" s="2609">
        <f>ROUND(UnosPod!F268+UnosPod!F276+UnosPod!F284,0)</f>
        <v>0</v>
      </c>
      <c r="AJ94" s="2609"/>
      <c r="AK94" s="2609"/>
      <c r="AL94" s="2609"/>
      <c r="AM94" s="2609"/>
      <c r="AN94" s="2609"/>
      <c r="AO94" s="2609"/>
      <c r="AP94" s="2609">
        <f>Prethodna_2024!B71</f>
        <v>0</v>
      </c>
      <c r="AQ94" s="2609"/>
      <c r="AR94" s="2609"/>
      <c r="AS94" s="2609"/>
      <c r="AT94" s="2609"/>
      <c r="AU94" s="2609"/>
      <c r="AV94" s="2609"/>
    </row>
    <row r="95" s="1757" customFormat="1" ht="18" customHeight="1" spans="1:48">
      <c r="A95" s="2827" t="s">
        <v>4128</v>
      </c>
      <c r="B95" s="2827"/>
      <c r="C95" s="2831" t="str">
        <f>Text!B220</f>
        <v>Ostala dugoročna imovina po osnovu ugovora sa kupcima</v>
      </c>
      <c r="D95" s="2832"/>
      <c r="E95" s="2832"/>
      <c r="F95" s="2832"/>
      <c r="G95" s="2832"/>
      <c r="H95" s="2832"/>
      <c r="I95" s="2832"/>
      <c r="J95" s="2832"/>
      <c r="K95" s="2832"/>
      <c r="L95" s="2832"/>
      <c r="M95" s="2832"/>
      <c r="N95" s="2832"/>
      <c r="O95" s="2832"/>
      <c r="P95" s="2832"/>
      <c r="Q95" s="2832"/>
      <c r="R95" s="2832"/>
      <c r="S95" s="2832"/>
      <c r="T95" s="2832"/>
      <c r="U95" s="2832"/>
      <c r="V95" s="2832"/>
      <c r="W95" s="2832"/>
      <c r="X95" s="2832"/>
      <c r="Y95" s="2833" t="s">
        <v>7003</v>
      </c>
      <c r="Z95" s="2834"/>
      <c r="AA95" s="2834"/>
      <c r="AB95" s="2834"/>
      <c r="AC95" s="2834"/>
      <c r="AD95" s="2835"/>
      <c r="AE95" s="2610"/>
      <c r="AF95" s="2610"/>
      <c r="AG95" s="2830">
        <v>268</v>
      </c>
      <c r="AH95" s="2812"/>
      <c r="AI95" s="2609">
        <f>ROUND(UnosPod!F270+UnosPod!F271+UnosPod!F278+UnosPod!F279+UnosPod!F286+UnosPod!F287,0)</f>
        <v>0</v>
      </c>
      <c r="AJ95" s="2609"/>
      <c r="AK95" s="2609"/>
      <c r="AL95" s="2609"/>
      <c r="AM95" s="2609"/>
      <c r="AN95" s="2609"/>
      <c r="AO95" s="2609"/>
      <c r="AP95" s="2609">
        <f>Prethodna_2024!B72</f>
        <v>0</v>
      </c>
      <c r="AQ95" s="2609"/>
      <c r="AR95" s="2609"/>
      <c r="AS95" s="2609"/>
      <c r="AT95" s="2609"/>
      <c r="AU95" s="2609"/>
      <c r="AV95" s="2609"/>
    </row>
    <row r="96" s="1757" customFormat="1" ht="18" customHeight="1" spans="1:48">
      <c r="A96" s="2827" t="s">
        <v>3920</v>
      </c>
      <c r="B96" s="2827"/>
      <c r="C96" s="2828" t="str">
        <f>Text!B221</f>
        <v>Troškovi primljenih usluga</v>
      </c>
      <c r="D96" s="2829"/>
      <c r="E96" s="2829"/>
      <c r="F96" s="2829"/>
      <c r="G96" s="2829"/>
      <c r="H96" s="2829"/>
      <c r="I96" s="2829"/>
      <c r="J96" s="2829"/>
      <c r="K96" s="2829"/>
      <c r="L96" s="2829"/>
      <c r="M96" s="2829"/>
      <c r="N96" s="2829"/>
      <c r="O96" s="2829"/>
      <c r="P96" s="2829"/>
      <c r="Q96" s="2829"/>
      <c r="R96" s="2829"/>
      <c r="S96" s="2829"/>
      <c r="T96" s="2829"/>
      <c r="U96" s="2829"/>
      <c r="V96" s="2829"/>
      <c r="W96" s="2829"/>
      <c r="X96" s="2829"/>
      <c r="Y96" s="2833" t="s">
        <v>7004</v>
      </c>
      <c r="Z96" s="2834"/>
      <c r="AA96" s="2834"/>
      <c r="AB96" s="2834"/>
      <c r="AC96" s="2834"/>
      <c r="AD96" s="2835"/>
      <c r="AE96" s="2610" t="str">
        <f>Baza!E85</f>
        <v>R3</v>
      </c>
      <c r="AF96" s="2610"/>
      <c r="AG96" s="2830">
        <v>269</v>
      </c>
      <c r="AH96" s="2812"/>
      <c r="AI96" s="2609">
        <f>ROUND(UnosPod!F264+UnosPod!F297,0)</f>
        <v>31427</v>
      </c>
      <c r="AJ96" s="2609"/>
      <c r="AK96" s="2609"/>
      <c r="AL96" s="2609"/>
      <c r="AM96" s="2609"/>
      <c r="AN96" s="2609"/>
      <c r="AO96" s="2609"/>
      <c r="AP96" s="2609">
        <f>Prethodna_2024!B73</f>
        <v>51263</v>
      </c>
      <c r="AQ96" s="2609"/>
      <c r="AR96" s="2609"/>
      <c r="AS96" s="2609"/>
      <c r="AT96" s="2609"/>
      <c r="AU96" s="2609"/>
      <c r="AV96" s="2609"/>
    </row>
    <row r="97" s="1757" customFormat="1" ht="33.75" customHeight="1" spans="1:48">
      <c r="A97" s="2827" t="s">
        <v>3923</v>
      </c>
      <c r="B97" s="2827"/>
      <c r="C97" s="2828" t="str">
        <f>Text!B222</f>
        <v>Ostali poslovni rashodi i troškovi</v>
      </c>
      <c r="D97" s="2829"/>
      <c r="E97" s="2829"/>
      <c r="F97" s="2829"/>
      <c r="G97" s="2829"/>
      <c r="H97" s="2829"/>
      <c r="I97" s="2829"/>
      <c r="J97" s="2829"/>
      <c r="K97" s="2829"/>
      <c r="L97" s="2829"/>
      <c r="M97" s="2829"/>
      <c r="N97" s="2829"/>
      <c r="O97" s="2829"/>
      <c r="P97" s="2829"/>
      <c r="Q97" s="2829"/>
      <c r="R97" s="2829"/>
      <c r="S97" s="2829"/>
      <c r="T97" s="2829"/>
      <c r="U97" s="2829"/>
      <c r="V97" s="2829"/>
      <c r="W97" s="2829"/>
      <c r="X97" s="2829"/>
      <c r="Y97" s="2833" t="s">
        <v>7005</v>
      </c>
      <c r="Z97" s="2834"/>
      <c r="AA97" s="2834"/>
      <c r="AB97" s="2834"/>
      <c r="AC97" s="2834"/>
      <c r="AD97" s="2835"/>
      <c r="AE97" s="2610" t="str">
        <f>Baza!E86</f>
        <v>R2</v>
      </c>
      <c r="AF97" s="2610"/>
      <c r="AG97" s="2830">
        <v>270</v>
      </c>
      <c r="AH97" s="2812"/>
      <c r="AI97" s="2609">
        <f>ROUND(UnosPod!F305-UnosPod!F297,0)</f>
        <v>41433</v>
      </c>
      <c r="AJ97" s="2609"/>
      <c r="AK97" s="2609"/>
      <c r="AL97" s="2609"/>
      <c r="AM97" s="2609"/>
      <c r="AN97" s="2609"/>
      <c r="AO97" s="2609"/>
      <c r="AP97" s="2609">
        <f>Prethodna_2024!B74</f>
        <v>19196</v>
      </c>
      <c r="AQ97" s="2609"/>
      <c r="AR97" s="2609"/>
      <c r="AS97" s="2609"/>
      <c r="AT97" s="2609"/>
      <c r="AU97" s="2609"/>
      <c r="AV97" s="2609"/>
    </row>
    <row r="98" s="1757" customFormat="1" ht="19.5" customHeight="1" spans="1:48">
      <c r="A98" s="2826" t="s">
        <v>3985</v>
      </c>
      <c r="B98" s="2826"/>
      <c r="C98" s="2813" t="str">
        <f>Text!B223</f>
        <v>Ostali rashodi i gubici (272+287+298+299+300+301+302 +303 +304 +309)</v>
      </c>
      <c r="D98" s="2814"/>
      <c r="E98" s="2814"/>
      <c r="F98" s="2814"/>
      <c r="G98" s="2814"/>
      <c r="H98" s="2814"/>
      <c r="I98" s="2814"/>
      <c r="J98" s="2814"/>
      <c r="K98" s="2814"/>
      <c r="L98" s="2814"/>
      <c r="M98" s="2814"/>
      <c r="N98" s="2814"/>
      <c r="O98" s="2814"/>
      <c r="P98" s="2814"/>
      <c r="Q98" s="2814"/>
      <c r="R98" s="2814"/>
      <c r="S98" s="2814"/>
      <c r="T98" s="2814"/>
      <c r="U98" s="2814"/>
      <c r="V98" s="2814"/>
      <c r="W98" s="2814"/>
      <c r="X98" s="2814"/>
      <c r="Y98" s="2833"/>
      <c r="Z98" s="2834"/>
      <c r="AA98" s="2834"/>
      <c r="AB98" s="2834"/>
      <c r="AC98" s="2834"/>
      <c r="AD98" s="2835"/>
      <c r="AE98" s="2618"/>
      <c r="AF98" s="2618"/>
      <c r="AG98" s="2830">
        <v>271</v>
      </c>
      <c r="AH98" s="2812"/>
      <c r="AI98" s="2622">
        <f>AI99+AI118+SUM(AI129:AO135)+AI139</f>
        <v>14798</v>
      </c>
      <c r="AJ98" s="2622"/>
      <c r="AK98" s="2622"/>
      <c r="AL98" s="2622"/>
      <c r="AM98" s="2622"/>
      <c r="AN98" s="2622"/>
      <c r="AO98" s="2622"/>
      <c r="AP98" s="2622">
        <f>AP99+AP118+SUM(AP129:AV135)+AP139</f>
        <v>2474</v>
      </c>
      <c r="AQ98" s="2622"/>
      <c r="AR98" s="2622"/>
      <c r="AS98" s="2622"/>
      <c r="AT98" s="2622"/>
      <c r="AU98" s="2622"/>
      <c r="AV98" s="2622"/>
    </row>
    <row r="99" ht="19.5" customHeight="1" spans="1:48">
      <c r="A99" s="2827" t="s">
        <v>3953</v>
      </c>
      <c r="B99" s="2827"/>
      <c r="C99" s="2828" t="str">
        <f>Text!B224</f>
        <v>Gubici od dugoročne nefinansijske imovine (273 do 286)</v>
      </c>
      <c r="D99" s="2829"/>
      <c r="E99" s="2829"/>
      <c r="F99" s="2829"/>
      <c r="G99" s="2829"/>
      <c r="H99" s="2829"/>
      <c r="I99" s="2829"/>
      <c r="J99" s="2829"/>
      <c r="K99" s="2829"/>
      <c r="L99" s="2829"/>
      <c r="M99" s="2829"/>
      <c r="N99" s="2829"/>
      <c r="O99" s="2829"/>
      <c r="P99" s="2829"/>
      <c r="Q99" s="2829"/>
      <c r="R99" s="2829"/>
      <c r="S99" s="2829"/>
      <c r="T99" s="2829"/>
      <c r="U99" s="2829"/>
      <c r="V99" s="2829"/>
      <c r="W99" s="2829"/>
      <c r="X99" s="2829"/>
      <c r="Y99" s="2833"/>
      <c r="Z99" s="2834"/>
      <c r="AA99" s="2834"/>
      <c r="AB99" s="2834"/>
      <c r="AC99" s="2834"/>
      <c r="AD99" s="2835"/>
      <c r="AE99" s="2610" t="str">
        <f>Baza!E87</f>
        <v>-</v>
      </c>
      <c r="AF99" s="2610"/>
      <c r="AG99" s="2830">
        <v>272</v>
      </c>
      <c r="AH99" s="2812"/>
      <c r="AI99" s="2609">
        <f>SUM(AI100:AO113)</f>
        <v>0</v>
      </c>
      <c r="AJ99" s="2609"/>
      <c r="AK99" s="2609"/>
      <c r="AL99" s="2609"/>
      <c r="AM99" s="2609"/>
      <c r="AN99" s="2609"/>
      <c r="AO99" s="2609"/>
      <c r="AP99" s="2609">
        <f>Prethodna_2024!B76</f>
        <v>0</v>
      </c>
      <c r="AQ99" s="2609"/>
      <c r="AR99" s="2609"/>
      <c r="AS99" s="2609"/>
      <c r="AT99" s="2609"/>
      <c r="AU99" s="2609"/>
      <c r="AV99" s="2609"/>
    </row>
    <row r="100" ht="19.5" customHeight="1" spans="1:48">
      <c r="A100" s="2827" t="s">
        <v>3875</v>
      </c>
      <c r="B100" s="2827"/>
      <c r="C100" s="2831" t="str">
        <f>Text!B225</f>
        <v>Neto gubici od otuđenja nekretnina, postrojenja i opreme</v>
      </c>
      <c r="D100" s="2832"/>
      <c r="E100" s="2832"/>
      <c r="F100" s="2832"/>
      <c r="G100" s="2832"/>
      <c r="H100" s="2832"/>
      <c r="I100" s="2832"/>
      <c r="J100" s="2832"/>
      <c r="K100" s="2832"/>
      <c r="L100" s="2832"/>
      <c r="M100" s="2832"/>
      <c r="N100" s="2832"/>
      <c r="O100" s="2832"/>
      <c r="P100" s="2832"/>
      <c r="Q100" s="2832"/>
      <c r="R100" s="2832"/>
      <c r="S100" s="2832"/>
      <c r="T100" s="2832"/>
      <c r="U100" s="2832"/>
      <c r="V100" s="2832"/>
      <c r="W100" s="2832"/>
      <c r="X100" s="2832"/>
      <c r="Y100" s="2833" t="s">
        <v>7006</v>
      </c>
      <c r="Z100" s="2834"/>
      <c r="AA100" s="2834"/>
      <c r="AB100" s="2834"/>
      <c r="AC100" s="2834"/>
      <c r="AD100" s="2835"/>
      <c r="AE100" s="2610"/>
      <c r="AF100" s="2610"/>
      <c r="AG100" s="2830">
        <v>273</v>
      </c>
      <c r="AH100" s="2812"/>
      <c r="AI100" s="2609">
        <f>ROUND(IF(UnosPod!F312-UnosPod!F172&lt;0,0,UnosPod!F312-UnosPod!F172),0)</f>
        <v>0</v>
      </c>
      <c r="AJ100" s="2609"/>
      <c r="AK100" s="2609"/>
      <c r="AL100" s="2609"/>
      <c r="AM100" s="2609"/>
      <c r="AN100" s="2609"/>
      <c r="AO100" s="2609"/>
      <c r="AP100" s="2609">
        <f>Prethodna_2024!B77</f>
        <v>0</v>
      </c>
      <c r="AQ100" s="2609"/>
      <c r="AR100" s="2609"/>
      <c r="AS100" s="2609"/>
      <c r="AT100" s="2609"/>
      <c r="AU100" s="2609"/>
      <c r="AV100" s="2609"/>
    </row>
    <row r="101" ht="19.5" customHeight="1" spans="1:48">
      <c r="A101" s="2827" t="s">
        <v>3877</v>
      </c>
      <c r="B101" s="2827"/>
      <c r="C101" s="2831" t="str">
        <f>Text!B226</f>
        <v>Neto gubici od umanjenja vrijednosti nekretnina, postrojenja i opreme</v>
      </c>
      <c r="D101" s="2832"/>
      <c r="E101" s="2832"/>
      <c r="F101" s="2832"/>
      <c r="G101" s="2832"/>
      <c r="H101" s="2832"/>
      <c r="I101" s="2832"/>
      <c r="J101" s="2832"/>
      <c r="K101" s="2832"/>
      <c r="L101" s="2832"/>
      <c r="M101" s="2832"/>
      <c r="N101" s="2832"/>
      <c r="O101" s="2832"/>
      <c r="P101" s="2832"/>
      <c r="Q101" s="2832"/>
      <c r="R101" s="2832"/>
      <c r="S101" s="2832"/>
      <c r="T101" s="2832"/>
      <c r="U101" s="2832"/>
      <c r="V101" s="2832"/>
      <c r="W101" s="2832"/>
      <c r="X101" s="2832"/>
      <c r="Y101" s="2833" t="s">
        <v>7007</v>
      </c>
      <c r="Z101" s="2834"/>
      <c r="AA101" s="2834"/>
      <c r="AB101" s="2834"/>
      <c r="AC101" s="2834"/>
      <c r="AD101" s="2835"/>
      <c r="AE101" s="2610"/>
      <c r="AF101" s="2610"/>
      <c r="AG101" s="2830">
        <v>274</v>
      </c>
      <c r="AH101" s="2812"/>
      <c r="AI101" s="2609">
        <f>ROUND(IF(UnosPod!F339-UnosPod!F195&lt;0,0,UnosPod!F339-UnosPod!F195),0)</f>
        <v>0</v>
      </c>
      <c r="AJ101" s="2609"/>
      <c r="AK101" s="2609"/>
      <c r="AL101" s="2609"/>
      <c r="AM101" s="2609"/>
      <c r="AN101" s="2609"/>
      <c r="AO101" s="2609"/>
      <c r="AP101" s="2609">
        <f>Prethodna_2024!B78</f>
        <v>0</v>
      </c>
      <c r="AQ101" s="2609"/>
      <c r="AR101" s="2609"/>
      <c r="AS101" s="2609"/>
      <c r="AT101" s="2609"/>
      <c r="AU101" s="2609"/>
      <c r="AV101" s="2609"/>
    </row>
    <row r="102" ht="32.25" customHeight="1" spans="1:48">
      <c r="A102" s="2827" t="s">
        <v>3880</v>
      </c>
      <c r="B102" s="2827"/>
      <c r="C102" s="2831" t="str">
        <f>Text!B227</f>
        <v>Neto gubici od promjene revalorizovane vrijednosti nekretnina, postrojenja i opreme za koje nema postojećih revalorizacionih rezervi</v>
      </c>
      <c r="D102" s="2832"/>
      <c r="E102" s="2832"/>
      <c r="F102" s="2832"/>
      <c r="G102" s="2832"/>
      <c r="H102" s="2832"/>
      <c r="I102" s="2832"/>
      <c r="J102" s="2832"/>
      <c r="K102" s="2832"/>
      <c r="L102" s="2832"/>
      <c r="M102" s="2832"/>
      <c r="N102" s="2832"/>
      <c r="O102" s="2832"/>
      <c r="P102" s="2832"/>
      <c r="Q102" s="2832"/>
      <c r="R102" s="2832"/>
      <c r="S102" s="2832"/>
      <c r="T102" s="2832"/>
      <c r="U102" s="2832"/>
      <c r="V102" s="2832"/>
      <c r="W102" s="2832"/>
      <c r="X102" s="2832"/>
      <c r="Y102" s="2833" t="s">
        <v>7008</v>
      </c>
      <c r="Z102" s="2834"/>
      <c r="AA102" s="2834"/>
      <c r="AB102" s="2834"/>
      <c r="AC102" s="2834"/>
      <c r="AD102" s="2835"/>
      <c r="AE102" s="2610"/>
      <c r="AF102" s="2610"/>
      <c r="AG102" s="2830">
        <v>275</v>
      </c>
      <c r="AH102" s="2812"/>
      <c r="AI102" s="2609">
        <f>ROUND(IF(UnosPod!F340-UnosPod!F196&lt;0,0,UnosPod!F340-UnosPod!F196),0)</f>
        <v>0</v>
      </c>
      <c r="AJ102" s="2609"/>
      <c r="AK102" s="2609"/>
      <c r="AL102" s="2609"/>
      <c r="AM102" s="2609"/>
      <c r="AN102" s="2609"/>
      <c r="AO102" s="2609"/>
      <c r="AP102" s="2609">
        <f>Prethodna_2024!B79</f>
        <v>0</v>
      </c>
      <c r="AQ102" s="2609"/>
      <c r="AR102" s="2609"/>
      <c r="AS102" s="2609"/>
      <c r="AT102" s="2609"/>
      <c r="AU102" s="2609"/>
      <c r="AV102" s="2609"/>
    </row>
    <row r="103" ht="18" customHeight="1" spans="1:48">
      <c r="A103" s="2827" t="s">
        <v>3883</v>
      </c>
      <c r="B103" s="2827"/>
      <c r="C103" s="2831" t="str">
        <f>Text!B228</f>
        <v>Neto gubici od otuđenja ulaganja u investicijske nekretnine</v>
      </c>
      <c r="D103" s="2832"/>
      <c r="E103" s="2832"/>
      <c r="F103" s="2832"/>
      <c r="G103" s="2832"/>
      <c r="H103" s="2832"/>
      <c r="I103" s="2832"/>
      <c r="J103" s="2832"/>
      <c r="K103" s="2832"/>
      <c r="L103" s="2832"/>
      <c r="M103" s="2832"/>
      <c r="N103" s="2832"/>
      <c r="O103" s="2832"/>
      <c r="P103" s="2832"/>
      <c r="Q103" s="2832"/>
      <c r="R103" s="2832"/>
      <c r="S103" s="2832"/>
      <c r="T103" s="2832"/>
      <c r="U103" s="2832"/>
      <c r="V103" s="2832"/>
      <c r="W103" s="2832"/>
      <c r="X103" s="2832"/>
      <c r="Y103" s="2833" t="s">
        <v>7009</v>
      </c>
      <c r="Z103" s="2834"/>
      <c r="AA103" s="2834"/>
      <c r="AB103" s="2834"/>
      <c r="AC103" s="2834"/>
      <c r="AD103" s="2835"/>
      <c r="AE103" s="2610"/>
      <c r="AF103" s="2610"/>
      <c r="AG103" s="2830">
        <v>276</v>
      </c>
      <c r="AH103" s="2812"/>
      <c r="AI103" s="2609">
        <f>ROUND(IF(UnosPod!F315-UnosPod!F175&lt;0,0,UnosPod!F315-UnosPod!F175),0)</f>
        <v>0</v>
      </c>
      <c r="AJ103" s="2609"/>
      <c r="AK103" s="2609"/>
      <c r="AL103" s="2609"/>
      <c r="AM103" s="2609"/>
      <c r="AN103" s="2609"/>
      <c r="AO103" s="2609"/>
      <c r="AP103" s="2609">
        <f>Prethodna_2024!B80</f>
        <v>0</v>
      </c>
      <c r="AQ103" s="2609"/>
      <c r="AR103" s="2609"/>
      <c r="AS103" s="2609"/>
      <c r="AT103" s="2609"/>
      <c r="AU103" s="2609"/>
      <c r="AV103" s="2609"/>
    </row>
    <row r="104" ht="18" customHeight="1" spans="1:48">
      <c r="A104" s="2827" t="s">
        <v>3886</v>
      </c>
      <c r="B104" s="2827"/>
      <c r="C104" s="2831" t="str">
        <f>Text!B229</f>
        <v>Neto smanjenja vrijednosti ulaganja u investicijske nekretnine koja se vode po fer vrijednosti </v>
      </c>
      <c r="D104" s="2832"/>
      <c r="E104" s="2832"/>
      <c r="F104" s="2832"/>
      <c r="G104" s="2832"/>
      <c r="H104" s="2832"/>
      <c r="I104" s="2832"/>
      <c r="J104" s="2832"/>
      <c r="K104" s="2832"/>
      <c r="L104" s="2832"/>
      <c r="M104" s="2832"/>
      <c r="N104" s="2832"/>
      <c r="O104" s="2832"/>
      <c r="P104" s="2832"/>
      <c r="Q104" s="2832"/>
      <c r="R104" s="2832"/>
      <c r="S104" s="2832"/>
      <c r="T104" s="2832"/>
      <c r="U104" s="2832"/>
      <c r="V104" s="2832"/>
      <c r="W104" s="2832"/>
      <c r="X104" s="2832"/>
      <c r="Y104" s="2833" t="s">
        <v>7010</v>
      </c>
      <c r="Z104" s="2834"/>
      <c r="AA104" s="2834"/>
      <c r="AB104" s="2834"/>
      <c r="AC104" s="2834"/>
      <c r="AD104" s="2835"/>
      <c r="AE104" s="2610"/>
      <c r="AF104" s="2610"/>
      <c r="AG104" s="2830">
        <v>277</v>
      </c>
      <c r="AH104" s="2812"/>
      <c r="AI104" s="2609">
        <f>ROUND(IF(UnosPod!F154-UnosPod!F152&lt;0,0,UnosPod!F154-UnosPod!F152),0)</f>
        <v>0</v>
      </c>
      <c r="AJ104" s="2609"/>
      <c r="AK104" s="2609"/>
      <c r="AL104" s="2609"/>
      <c r="AM104" s="2609"/>
      <c r="AN104" s="2609"/>
      <c r="AO104" s="2609"/>
      <c r="AP104" s="2609">
        <f>Prethodna_2024!B81</f>
        <v>0</v>
      </c>
      <c r="AQ104" s="2609"/>
      <c r="AR104" s="2609"/>
      <c r="AS104" s="2609"/>
      <c r="AT104" s="2609"/>
      <c r="AU104" s="2609"/>
      <c r="AV104" s="2609"/>
    </row>
    <row r="105" ht="18" customHeight="1" spans="1:48">
      <c r="A105" s="2827" t="s">
        <v>3889</v>
      </c>
      <c r="B105" s="2827"/>
      <c r="C105" s="2831" t="str">
        <f>Text!B230</f>
        <v>Neto gubici od umanjenja vrijednosti investicijskih nekretnina</v>
      </c>
      <c r="D105" s="2832"/>
      <c r="E105" s="2832"/>
      <c r="F105" s="2832"/>
      <c r="G105" s="2832"/>
      <c r="H105" s="2832"/>
      <c r="I105" s="2832"/>
      <c r="J105" s="2832"/>
      <c r="K105" s="2832"/>
      <c r="L105" s="2832"/>
      <c r="M105" s="2832"/>
      <c r="N105" s="2832"/>
      <c r="O105" s="2832"/>
      <c r="P105" s="2832"/>
      <c r="Q105" s="2832"/>
      <c r="R105" s="2832"/>
      <c r="S105" s="2832"/>
      <c r="T105" s="2832"/>
      <c r="U105" s="2832"/>
      <c r="V105" s="2832"/>
      <c r="W105" s="2832"/>
      <c r="X105" s="2832"/>
      <c r="Y105" s="2833" t="s">
        <v>7011</v>
      </c>
      <c r="Z105" s="2834"/>
      <c r="AA105" s="2834"/>
      <c r="AB105" s="2834"/>
      <c r="AC105" s="2834"/>
      <c r="AD105" s="2835"/>
      <c r="AE105" s="2610"/>
      <c r="AF105" s="2610"/>
      <c r="AG105" s="2830">
        <v>278</v>
      </c>
      <c r="AH105" s="2812"/>
      <c r="AI105" s="2609">
        <f>ROUND(IF(UnosPod!F342-UnosPod!F198&lt;0,0,UnosPod!F342-UnosPod!F198),0)</f>
        <v>0</v>
      </c>
      <c r="AJ105" s="2609"/>
      <c r="AK105" s="2609"/>
      <c r="AL105" s="2609"/>
      <c r="AM105" s="2609"/>
      <c r="AN105" s="2609"/>
      <c r="AO105" s="2609"/>
      <c r="AP105" s="2609">
        <f>Prethodna_2024!B82</f>
        <v>0</v>
      </c>
      <c r="AQ105" s="2609"/>
      <c r="AR105" s="2609"/>
      <c r="AS105" s="2609"/>
      <c r="AT105" s="2609"/>
      <c r="AU105" s="2609"/>
      <c r="AV105" s="2609"/>
    </row>
    <row r="106" ht="18" customHeight="1" spans="1:48">
      <c r="A106" s="2827" t="s">
        <v>4069</v>
      </c>
      <c r="B106" s="2827"/>
      <c r="C106" s="2831" t="str">
        <f>Text!B231</f>
        <v>Neto gubici od otuđenja nematerijalne imovine</v>
      </c>
      <c r="D106" s="2832"/>
      <c r="E106" s="2832"/>
      <c r="F106" s="2832"/>
      <c r="G106" s="2832"/>
      <c r="H106" s="2832"/>
      <c r="I106" s="2832"/>
      <c r="J106" s="2832"/>
      <c r="K106" s="2832"/>
      <c r="L106" s="2832"/>
      <c r="M106" s="2832"/>
      <c r="N106" s="2832"/>
      <c r="O106" s="2832"/>
      <c r="P106" s="2832"/>
      <c r="Q106" s="2832"/>
      <c r="R106" s="2832"/>
      <c r="S106" s="2832"/>
      <c r="T106" s="2832"/>
      <c r="U106" s="2832"/>
      <c r="V106" s="2832"/>
      <c r="W106" s="2832"/>
      <c r="X106" s="2832"/>
      <c r="Y106" s="2833" t="s">
        <v>7006</v>
      </c>
      <c r="Z106" s="2834"/>
      <c r="AA106" s="2834"/>
      <c r="AB106" s="2834"/>
      <c r="AC106" s="2834"/>
      <c r="AD106" s="2835"/>
      <c r="AE106" s="2610"/>
      <c r="AF106" s="2610"/>
      <c r="AG106" s="2830">
        <v>279</v>
      </c>
      <c r="AH106" s="2812"/>
      <c r="AI106" s="2609">
        <f>ROUND(IF(UnosPod!F313-UnosPod!F173&lt;0,0,UnosPod!F313-UnosPod!F173),0)</f>
        <v>0</v>
      </c>
      <c r="AJ106" s="2609"/>
      <c r="AK106" s="2609"/>
      <c r="AL106" s="2609"/>
      <c r="AM106" s="2609"/>
      <c r="AN106" s="2609"/>
      <c r="AO106" s="2609"/>
      <c r="AP106" s="2609">
        <f>Prethodna_2024!B83</f>
        <v>0</v>
      </c>
      <c r="AQ106" s="2609"/>
      <c r="AR106" s="2609"/>
      <c r="AS106" s="2609"/>
      <c r="AT106" s="2609"/>
      <c r="AU106" s="2609"/>
      <c r="AV106" s="2609"/>
    </row>
    <row r="107" ht="18" customHeight="1" spans="1:48">
      <c r="A107" s="2827" t="s">
        <v>4070</v>
      </c>
      <c r="B107" s="2827"/>
      <c r="C107" s="2831" t="str">
        <f>Text!B232</f>
        <v>Neto gubici od umanjenja vrijednosti nematerijalne imovine</v>
      </c>
      <c r="D107" s="2832"/>
      <c r="E107" s="2832"/>
      <c r="F107" s="2832"/>
      <c r="G107" s="2832"/>
      <c r="H107" s="2832"/>
      <c r="I107" s="2832"/>
      <c r="J107" s="2832"/>
      <c r="K107" s="2832"/>
      <c r="L107" s="2832"/>
      <c r="M107" s="2832"/>
      <c r="N107" s="2832"/>
      <c r="O107" s="2832"/>
      <c r="P107" s="2832"/>
      <c r="Q107" s="2832"/>
      <c r="R107" s="2832"/>
      <c r="S107" s="2832"/>
      <c r="T107" s="2832"/>
      <c r="U107" s="2832"/>
      <c r="V107" s="2832"/>
      <c r="W107" s="2832"/>
      <c r="X107" s="2832"/>
      <c r="Y107" s="2833" t="s">
        <v>7012</v>
      </c>
      <c r="Z107" s="2834"/>
      <c r="AA107" s="2834"/>
      <c r="AB107" s="2834"/>
      <c r="AC107" s="2834"/>
      <c r="AD107" s="2835"/>
      <c r="AE107" s="2610"/>
      <c r="AF107" s="2610"/>
      <c r="AG107" s="2830">
        <v>280</v>
      </c>
      <c r="AH107" s="2812"/>
      <c r="AI107" s="2609">
        <f>ROUND(IF(UnosPod!F338-UnosPod!F194&lt;0,0,UnosPod!F338-UnosPod!F194),0)</f>
        <v>0</v>
      </c>
      <c r="AJ107" s="2609"/>
      <c r="AK107" s="2609"/>
      <c r="AL107" s="2609"/>
      <c r="AM107" s="2609"/>
      <c r="AN107" s="2609"/>
      <c r="AO107" s="2609"/>
      <c r="AP107" s="2609">
        <f>Prethodna_2024!B84</f>
        <v>0</v>
      </c>
      <c r="AQ107" s="2609"/>
      <c r="AR107" s="2609"/>
      <c r="AS107" s="2609"/>
      <c r="AT107" s="2609"/>
      <c r="AU107" s="2609"/>
      <c r="AV107" s="2609"/>
    </row>
    <row r="108" ht="18" customHeight="1" spans="1:48">
      <c r="A108" s="2827" t="s">
        <v>4072</v>
      </c>
      <c r="B108" s="2827"/>
      <c r="C108" s="2831" t="str">
        <f>Text!B233</f>
        <v>Neto gubici od prestanka priznavanja imovine s pravom korištenja</v>
      </c>
      <c r="D108" s="2832"/>
      <c r="E108" s="2832"/>
      <c r="F108" s="2832"/>
      <c r="G108" s="2832"/>
      <c r="H108" s="2832"/>
      <c r="I108" s="2832"/>
      <c r="J108" s="2832"/>
      <c r="K108" s="2832"/>
      <c r="L108" s="2832"/>
      <c r="M108" s="2832"/>
      <c r="N108" s="2832"/>
      <c r="O108" s="2832"/>
      <c r="P108" s="2832"/>
      <c r="Q108" s="2832"/>
      <c r="R108" s="2832"/>
      <c r="S108" s="2832"/>
      <c r="T108" s="2832"/>
      <c r="U108" s="2832"/>
      <c r="V108" s="2832"/>
      <c r="W108" s="2832"/>
      <c r="X108" s="2832"/>
      <c r="Y108" s="2833" t="s">
        <v>7013</v>
      </c>
      <c r="Z108" s="2834"/>
      <c r="AA108" s="2834"/>
      <c r="AB108" s="2834"/>
      <c r="AC108" s="2834"/>
      <c r="AD108" s="2835"/>
      <c r="AE108" s="2610"/>
      <c r="AF108" s="2610"/>
      <c r="AG108" s="2830">
        <v>281</v>
      </c>
      <c r="AH108" s="2812"/>
      <c r="AI108" s="2609">
        <f>ROUND(IF(UnosPod!F355-UnosPod!F211&lt;0,0,UnosPod!F355-UnosPod!F211),0)</f>
        <v>0</v>
      </c>
      <c r="AJ108" s="2609"/>
      <c r="AK108" s="2609"/>
      <c r="AL108" s="2609"/>
      <c r="AM108" s="2609"/>
      <c r="AN108" s="2609"/>
      <c r="AO108" s="2609"/>
      <c r="AP108" s="2609">
        <f>Prethodna_2024!B85</f>
        <v>0</v>
      </c>
      <c r="AQ108" s="2609"/>
      <c r="AR108" s="2609"/>
      <c r="AS108" s="2609"/>
      <c r="AT108" s="2609"/>
      <c r="AU108" s="2609"/>
      <c r="AV108" s="2609"/>
    </row>
    <row r="109" ht="18" customHeight="1" spans="1:48">
      <c r="A109" s="2827" t="s">
        <v>4074</v>
      </c>
      <c r="B109" s="2827"/>
      <c r="C109" s="2831" t="str">
        <f>Text!B234</f>
        <v>Neto gubici od otuđenja biološke imovine</v>
      </c>
      <c r="D109" s="2832"/>
      <c r="E109" s="2832"/>
      <c r="F109" s="2832"/>
      <c r="G109" s="2832"/>
      <c r="H109" s="2832"/>
      <c r="I109" s="2832"/>
      <c r="J109" s="2832"/>
      <c r="K109" s="2832"/>
      <c r="L109" s="2832"/>
      <c r="M109" s="2832"/>
      <c r="N109" s="2832"/>
      <c r="O109" s="2832"/>
      <c r="P109" s="2832"/>
      <c r="Q109" s="2832"/>
      <c r="R109" s="2832"/>
      <c r="S109" s="2832"/>
      <c r="T109" s="2832"/>
      <c r="U109" s="2832"/>
      <c r="V109" s="2832"/>
      <c r="W109" s="2832"/>
      <c r="X109" s="2832"/>
      <c r="Y109" s="2833" t="s">
        <v>7014</v>
      </c>
      <c r="Z109" s="2834"/>
      <c r="AA109" s="2834"/>
      <c r="AB109" s="2834"/>
      <c r="AC109" s="2834"/>
      <c r="AD109" s="2835"/>
      <c r="AE109" s="2610"/>
      <c r="AF109" s="2610"/>
      <c r="AG109" s="2830">
        <v>282</v>
      </c>
      <c r="AH109" s="2812"/>
      <c r="AI109" s="2609">
        <f>ROUND(IF(UnosPod!F316-UnosPod!F176&lt;0,0,UnosPod!F316-UnosPod!F176),0)</f>
        <v>0</v>
      </c>
      <c r="AJ109" s="2609"/>
      <c r="AK109" s="2609"/>
      <c r="AL109" s="2609"/>
      <c r="AM109" s="2609"/>
      <c r="AN109" s="2609"/>
      <c r="AO109" s="2609"/>
      <c r="AP109" s="2609">
        <f>Prethodna_2024!B86</f>
        <v>0</v>
      </c>
      <c r="AQ109" s="2609"/>
      <c r="AR109" s="2609"/>
      <c r="AS109" s="2609"/>
      <c r="AT109" s="2609"/>
      <c r="AU109" s="2609"/>
      <c r="AV109" s="2609"/>
    </row>
    <row r="110" ht="18" customHeight="1" spans="1:48">
      <c r="A110" s="2827" t="s">
        <v>4076</v>
      </c>
      <c r="B110" s="2827"/>
      <c r="C110" s="2831" t="str">
        <f>Text!B235</f>
        <v>Neto smanjenja vrijednosti biološke imovine koja se vodi po fer vrijednosti </v>
      </c>
      <c r="D110" s="2832"/>
      <c r="E110" s="2832"/>
      <c r="F110" s="2832"/>
      <c r="G110" s="2832"/>
      <c r="H110" s="2832"/>
      <c r="I110" s="2832"/>
      <c r="J110" s="2832"/>
      <c r="K110" s="2832"/>
      <c r="L110" s="2832"/>
      <c r="M110" s="2832"/>
      <c r="N110" s="2832"/>
      <c r="O110" s="2832"/>
      <c r="P110" s="2832"/>
      <c r="Q110" s="2832"/>
      <c r="R110" s="2832"/>
      <c r="S110" s="2832"/>
      <c r="T110" s="2832"/>
      <c r="U110" s="2832"/>
      <c r="V110" s="2832"/>
      <c r="W110" s="2832"/>
      <c r="X110" s="2832"/>
      <c r="Y110" s="2833" t="s">
        <v>7015</v>
      </c>
      <c r="Z110" s="2834"/>
      <c r="AA110" s="2834"/>
      <c r="AB110" s="2834"/>
      <c r="AC110" s="2834"/>
      <c r="AD110" s="2835"/>
      <c r="AE110" s="2610"/>
      <c r="AF110" s="2610"/>
      <c r="AG110" s="2830">
        <v>283</v>
      </c>
      <c r="AH110" s="2812"/>
      <c r="AI110" s="2609">
        <f>ROUND(IF(UnosPod!F155-UnosPod!F153&lt;0,0,UnosPod!F155-UnosPod!F153),0)</f>
        <v>0</v>
      </c>
      <c r="AJ110" s="2609"/>
      <c r="AK110" s="2609"/>
      <c r="AL110" s="2609"/>
      <c r="AM110" s="2609"/>
      <c r="AN110" s="2609"/>
      <c r="AO110" s="2609"/>
      <c r="AP110" s="2609">
        <f>Prethodna_2024!B87</f>
        <v>0</v>
      </c>
      <c r="AQ110" s="2609"/>
      <c r="AR110" s="2609"/>
      <c r="AS110" s="2609"/>
      <c r="AT110" s="2609"/>
      <c r="AU110" s="2609"/>
      <c r="AV110" s="2609"/>
    </row>
    <row r="111" ht="18" customHeight="1" spans="1:48">
      <c r="A111" s="2827" t="s">
        <v>4078</v>
      </c>
      <c r="B111" s="2827"/>
      <c r="C111" s="2831" t="str">
        <f>Text!B236</f>
        <v>Neto gubici od umanjenja vrijednosti biološke imovine</v>
      </c>
      <c r="D111" s="2832"/>
      <c r="E111" s="2832"/>
      <c r="F111" s="2832"/>
      <c r="G111" s="2832"/>
      <c r="H111" s="2832"/>
      <c r="I111" s="2832"/>
      <c r="J111" s="2832"/>
      <c r="K111" s="2832"/>
      <c r="L111" s="2832"/>
      <c r="M111" s="2832"/>
      <c r="N111" s="2832"/>
      <c r="O111" s="2832"/>
      <c r="P111" s="2832"/>
      <c r="Q111" s="2832"/>
      <c r="R111" s="2832"/>
      <c r="S111" s="2832"/>
      <c r="T111" s="2832"/>
      <c r="U111" s="2832"/>
      <c r="V111" s="2832"/>
      <c r="W111" s="2832"/>
      <c r="X111" s="2832"/>
      <c r="Y111" s="2833" t="s">
        <v>7016</v>
      </c>
      <c r="Z111" s="2834"/>
      <c r="AA111" s="2834"/>
      <c r="AB111" s="2834"/>
      <c r="AC111" s="2834"/>
      <c r="AD111" s="2835"/>
      <c r="AE111" s="2610"/>
      <c r="AF111" s="2610"/>
      <c r="AG111" s="2830">
        <v>284</v>
      </c>
      <c r="AH111" s="2812"/>
      <c r="AI111" s="2609">
        <f>ROUND(IF(UnosPod!F343-UnosPod!F199&lt;0,0,UnosPod!F343-UnosPod!F199),0)</f>
        <v>0</v>
      </c>
      <c r="AJ111" s="2609"/>
      <c r="AK111" s="2609"/>
      <c r="AL111" s="2609"/>
      <c r="AM111" s="2609"/>
      <c r="AN111" s="2609"/>
      <c r="AO111" s="2609"/>
      <c r="AP111" s="2609">
        <f>Prethodna_2024!B88</f>
        <v>0</v>
      </c>
      <c r="AQ111" s="2609"/>
      <c r="AR111" s="2609"/>
      <c r="AS111" s="2609"/>
      <c r="AT111" s="2609"/>
      <c r="AU111" s="2609"/>
      <c r="AV111" s="2609"/>
    </row>
    <row r="112" ht="18" customHeight="1" spans="1:48">
      <c r="A112" s="2827" t="s">
        <v>4080</v>
      </c>
      <c r="B112" s="2827"/>
      <c r="C112" s="2831" t="str">
        <f>Text!B237</f>
        <v>Neto gubici od dugoročne imovine namijenjene prodaji</v>
      </c>
      <c r="D112" s="2832"/>
      <c r="E112" s="2832"/>
      <c r="F112" s="2832"/>
      <c r="G112" s="2832"/>
      <c r="H112" s="2832"/>
      <c r="I112" s="2832"/>
      <c r="J112" s="2832"/>
      <c r="K112" s="2832"/>
      <c r="L112" s="2832"/>
      <c r="M112" s="2832"/>
      <c r="N112" s="2832"/>
      <c r="O112" s="2832"/>
      <c r="P112" s="2832"/>
      <c r="Q112" s="2832"/>
      <c r="R112" s="2832"/>
      <c r="S112" s="2832"/>
      <c r="T112" s="2832"/>
      <c r="U112" s="2832"/>
      <c r="V112" s="2832"/>
      <c r="W112" s="2832"/>
      <c r="X112" s="2832"/>
      <c r="Y112" s="2833" t="s">
        <v>7017</v>
      </c>
      <c r="Z112" s="2834"/>
      <c r="AA112" s="2834"/>
      <c r="AB112" s="2834"/>
      <c r="AC112" s="2834"/>
      <c r="AD112" s="2835"/>
      <c r="AE112" s="2610"/>
      <c r="AF112" s="2610"/>
      <c r="AG112" s="2830">
        <v>285</v>
      </c>
      <c r="AH112" s="2812"/>
      <c r="AI112" s="2609">
        <f>ROUND(IF(UnosPod!F317+UnosPod!F356-UnosPod!F177-UnosPod!F212&lt;0,0,UnosPod!F317+UnosPod!F356-UnosPod!F177-UnosPod!F212),0)</f>
        <v>0</v>
      </c>
      <c r="AJ112" s="2609"/>
      <c r="AK112" s="2609"/>
      <c r="AL112" s="2609"/>
      <c r="AM112" s="2609"/>
      <c r="AN112" s="2609"/>
      <c r="AO112" s="2609"/>
      <c r="AP112" s="2609">
        <f>Prethodna_2024!B89</f>
        <v>0</v>
      </c>
      <c r="AQ112" s="2609"/>
      <c r="AR112" s="2609"/>
      <c r="AS112" s="2609"/>
      <c r="AT112" s="2609"/>
      <c r="AU112" s="2609"/>
      <c r="AV112" s="2609"/>
    </row>
    <row r="113" ht="18" customHeight="1" spans="1:48">
      <c r="A113" s="2827" t="s">
        <v>4082</v>
      </c>
      <c r="B113" s="2827"/>
      <c r="C113" s="2831" t="str">
        <f>Text!B238</f>
        <v>Ostali neto gubici od umanjenja vrijednosti dugoročne nefinansijske imovine</v>
      </c>
      <c r="D113" s="2832"/>
      <c r="E113" s="2832"/>
      <c r="F113" s="2832"/>
      <c r="G113" s="2832"/>
      <c r="H113" s="2832"/>
      <c r="I113" s="2832"/>
      <c r="J113" s="2832"/>
      <c r="K113" s="2832"/>
      <c r="L113" s="2832"/>
      <c r="M113" s="2832"/>
      <c r="N113" s="2832"/>
      <c r="O113" s="2832"/>
      <c r="P113" s="2832"/>
      <c r="Q113" s="2832"/>
      <c r="R113" s="2832"/>
      <c r="S113" s="2832"/>
      <c r="T113" s="2832"/>
      <c r="U113" s="2832"/>
      <c r="V113" s="2832"/>
      <c r="W113" s="2832"/>
      <c r="X113" s="2832"/>
      <c r="Y113" s="2833" t="s">
        <v>7018</v>
      </c>
      <c r="Z113" s="2834"/>
      <c r="AA113" s="2834"/>
      <c r="AB113" s="2834"/>
      <c r="AC113" s="2834"/>
      <c r="AD113" s="2835"/>
      <c r="AE113" s="2610"/>
      <c r="AF113" s="2610"/>
      <c r="AG113" s="2830">
        <v>286</v>
      </c>
      <c r="AH113" s="2812"/>
      <c r="AI113" s="2609">
        <f>ROUND(IF(UnosPod!F359-UnosPod!F215&lt;0,0,UnosPod!F359-UnosPod!F215),0)</f>
        <v>0</v>
      </c>
      <c r="AJ113" s="2609"/>
      <c r="AK113" s="2609"/>
      <c r="AL113" s="2609"/>
      <c r="AM113" s="2609"/>
      <c r="AN113" s="2609"/>
      <c r="AO113" s="2609"/>
      <c r="AP113" s="2609">
        <f>Prethodna_2024!B90</f>
        <v>0</v>
      </c>
      <c r="AQ113" s="2609"/>
      <c r="AR113" s="2609"/>
      <c r="AS113" s="2609"/>
      <c r="AT113" s="2609"/>
      <c r="AU113" s="2609"/>
      <c r="AV113" s="2609"/>
    </row>
    <row r="114" ht="18" customHeight="1" spans="1:48">
      <c r="A114" s="874"/>
    </row>
    <row r="115" ht="18" customHeight="1" spans="1:48">
      <c r="A115" s="874"/>
    </row>
    <row r="116" ht="18" customHeight="1" spans="1:48">
      <c r="A116" s="874"/>
    </row>
    <row r="117" ht="15" customHeight="1" spans="1:48">
      <c r="A117" s="2827">
        <v>1</v>
      </c>
      <c r="B117" s="2827"/>
      <c r="C117" s="2812">
        <v>2</v>
      </c>
      <c r="D117" s="2827"/>
      <c r="E117" s="2827"/>
      <c r="F117" s="2827"/>
      <c r="G117" s="2827"/>
      <c r="H117" s="2827"/>
      <c r="I117" s="2827"/>
      <c r="J117" s="2827"/>
      <c r="K117" s="2827"/>
      <c r="L117" s="2827"/>
      <c r="M117" s="2827"/>
      <c r="N117" s="2827"/>
      <c r="O117" s="2827"/>
      <c r="P117" s="2827"/>
      <c r="Q117" s="2827"/>
      <c r="R117" s="2827"/>
      <c r="S117" s="2827"/>
      <c r="T117" s="2827"/>
      <c r="U117" s="2827"/>
      <c r="V117" s="2827"/>
      <c r="W117" s="2827"/>
      <c r="X117" s="2830"/>
      <c r="Y117" s="2816"/>
      <c r="Z117" s="2816"/>
      <c r="AA117" s="2816"/>
      <c r="AB117" s="2816"/>
      <c r="AC117" s="2816"/>
      <c r="AD117" s="2817"/>
      <c r="AE117" s="2827">
        <v>3</v>
      </c>
      <c r="AF117" s="2827"/>
      <c r="AG117" s="2827">
        <v>4</v>
      </c>
      <c r="AH117" s="2827"/>
      <c r="AI117" s="2827">
        <v>5</v>
      </c>
      <c r="AJ117" s="2827"/>
      <c r="AK117" s="2827"/>
      <c r="AL117" s="2827"/>
      <c r="AM117" s="2827"/>
      <c r="AN117" s="2827"/>
      <c r="AO117" s="2827"/>
      <c r="AP117" s="2827">
        <v>6</v>
      </c>
      <c r="AQ117" s="2827"/>
      <c r="AR117" s="2827"/>
      <c r="AS117" s="2827"/>
      <c r="AT117" s="2827"/>
      <c r="AU117" s="2827"/>
      <c r="AV117" s="2827"/>
    </row>
    <row r="118" ht="17.25" customHeight="1" spans="1:48">
      <c r="A118" s="2827" t="s">
        <v>3891</v>
      </c>
      <c r="B118" s="2827"/>
      <c r="C118" s="2828" t="str">
        <f>Text!B239</f>
        <v>Gubici od finansijske imovine (288 do 297)</v>
      </c>
      <c r="D118" s="2829"/>
      <c r="E118" s="2829"/>
      <c r="F118" s="2829"/>
      <c r="G118" s="2829"/>
      <c r="H118" s="2829"/>
      <c r="I118" s="2829"/>
      <c r="J118" s="2829"/>
      <c r="K118" s="2829"/>
      <c r="L118" s="2829"/>
      <c r="M118" s="2829"/>
      <c r="N118" s="2829"/>
      <c r="O118" s="2829"/>
      <c r="P118" s="2829"/>
      <c r="Q118" s="2829"/>
      <c r="R118" s="2829"/>
      <c r="S118" s="2829"/>
      <c r="T118" s="2829"/>
      <c r="U118" s="2829"/>
      <c r="V118" s="2829"/>
      <c r="W118" s="2829"/>
      <c r="X118" s="2829"/>
      <c r="Y118" s="2815"/>
      <c r="Z118" s="2816"/>
      <c r="AA118" s="2816"/>
      <c r="AB118" s="2816"/>
      <c r="AC118" s="2816"/>
      <c r="AD118" s="2817"/>
      <c r="AE118" s="2610" t="str">
        <f>Baza!E88</f>
        <v>-</v>
      </c>
      <c r="AF118" s="2610"/>
      <c r="AG118" s="2830">
        <v>287</v>
      </c>
      <c r="AH118" s="2812"/>
      <c r="AI118" s="2609">
        <f>SUM(AI119:AO128)</f>
        <v>0</v>
      </c>
      <c r="AJ118" s="2609"/>
      <c r="AK118" s="2609"/>
      <c r="AL118" s="2609"/>
      <c r="AM118" s="2609"/>
      <c r="AN118" s="2609"/>
      <c r="AO118" s="2609"/>
      <c r="AP118" s="2609">
        <f>SUM(AP119:AV128)</f>
        <v>0</v>
      </c>
      <c r="AQ118" s="2609"/>
      <c r="AR118" s="2609"/>
      <c r="AS118" s="2609"/>
      <c r="AT118" s="2609"/>
      <c r="AU118" s="2609"/>
      <c r="AV118" s="2609"/>
    </row>
    <row r="119" ht="30.75" customHeight="1" spans="1:48">
      <c r="A119" s="2827" t="s">
        <v>3893</v>
      </c>
      <c r="B119" s="2827"/>
      <c r="C119" s="2831" t="str">
        <f>Text!B240</f>
        <v>Neto kreditni gubici od finansijske imovine po amortizovanom trošku</v>
      </c>
      <c r="D119" s="2832"/>
      <c r="E119" s="2832"/>
      <c r="F119" s="2832"/>
      <c r="G119" s="2832"/>
      <c r="H119" s="2832"/>
      <c r="I119" s="2832"/>
      <c r="J119" s="2832"/>
      <c r="K119" s="2832"/>
      <c r="L119" s="2832"/>
      <c r="M119" s="2832"/>
      <c r="N119" s="2832"/>
      <c r="O119" s="2832"/>
      <c r="P119" s="2832"/>
      <c r="Q119" s="2832"/>
      <c r="R119" s="2832"/>
      <c r="S119" s="2832"/>
      <c r="T119" s="2832"/>
      <c r="U119" s="2832"/>
      <c r="V119" s="2832"/>
      <c r="W119" s="2832"/>
      <c r="X119" s="2832"/>
      <c r="Y119" s="2833" t="s">
        <v>7019</v>
      </c>
      <c r="Z119" s="2834"/>
      <c r="AA119" s="2834"/>
      <c r="AB119" s="2834"/>
      <c r="AC119" s="2834"/>
      <c r="AD119" s="2835"/>
      <c r="AE119" s="2610"/>
      <c r="AF119" s="2610"/>
      <c r="AG119" s="2830">
        <v>288</v>
      </c>
      <c r="AH119" s="2812"/>
      <c r="AI119" s="2609">
        <f>ROUND(IF(UnosPod!F330+UnosPod!F344+UnosPod!F351+UnosPod!F352-UnosPod!F200-UnosPod!F207-UnosPod!F208&lt;0,0,UnosPod!F330+UnosPod!F344+UnosPod!F351+UnosPod!F352-UnosPod!F200-UnosPod!F207-UnosPod!F208),0)</f>
        <v>0</v>
      </c>
      <c r="AJ119" s="2609"/>
      <c r="AK119" s="2609"/>
      <c r="AL119" s="2609"/>
      <c r="AM119" s="2609"/>
      <c r="AN119" s="2609"/>
      <c r="AO119" s="2609"/>
      <c r="AP119" s="2609">
        <f>Prethodna_2024!B92</f>
        <v>0</v>
      </c>
      <c r="AQ119" s="2609"/>
      <c r="AR119" s="2609"/>
      <c r="AS119" s="2609"/>
      <c r="AT119" s="2609"/>
      <c r="AU119" s="2609"/>
      <c r="AV119" s="2609"/>
    </row>
    <row r="120" ht="17.25" customHeight="1" spans="1:48">
      <c r="A120" s="2827" t="s">
        <v>3896</v>
      </c>
      <c r="B120" s="2827"/>
      <c r="C120" s="2831" t="str">
        <f>Text!B241</f>
        <v>Neto kreditni gubici od finansijske imovine po fer vrijednosti kroz ostali ukupni rezultat</v>
      </c>
      <c r="D120" s="2832"/>
      <c r="E120" s="2832"/>
      <c r="F120" s="2832"/>
      <c r="G120" s="2832"/>
      <c r="H120" s="2832"/>
      <c r="I120" s="2832"/>
      <c r="J120" s="2832"/>
      <c r="K120" s="2832"/>
      <c r="L120" s="2832"/>
      <c r="M120" s="2832"/>
      <c r="N120" s="2832"/>
      <c r="O120" s="2832"/>
      <c r="P120" s="2832"/>
      <c r="Q120" s="2832"/>
      <c r="R120" s="2832"/>
      <c r="S120" s="2832"/>
      <c r="T120" s="2832"/>
      <c r="U120" s="2832"/>
      <c r="V120" s="2832"/>
      <c r="W120" s="2832"/>
      <c r="X120" s="2832"/>
      <c r="Y120" s="2833" t="s">
        <v>7020</v>
      </c>
      <c r="Z120" s="2834"/>
      <c r="AA120" s="2834"/>
      <c r="AB120" s="2834"/>
      <c r="AC120" s="2834"/>
      <c r="AD120" s="2835"/>
      <c r="AE120" s="2610"/>
      <c r="AF120" s="2610"/>
      <c r="AG120" s="2830">
        <v>289</v>
      </c>
      <c r="AH120" s="2812"/>
      <c r="AI120" s="2609">
        <f>ROUND(IF(UnosPod!F345-UnosPod!F201&lt;0,0,UnosPod!F345-UnosPod!F201),0)</f>
        <v>0</v>
      </c>
      <c r="AJ120" s="2609"/>
      <c r="AK120" s="2609"/>
      <c r="AL120" s="2609"/>
      <c r="AM120" s="2609"/>
      <c r="AN120" s="2609"/>
      <c r="AO120" s="2609"/>
      <c r="AP120" s="2609">
        <f>Prethodna_2024!B93</f>
        <v>0</v>
      </c>
      <c r="AQ120" s="2609"/>
      <c r="AR120" s="2609"/>
      <c r="AS120" s="2609"/>
      <c r="AT120" s="2609"/>
      <c r="AU120" s="2609"/>
      <c r="AV120" s="2609"/>
    </row>
    <row r="121" ht="17.25" customHeight="1" spans="1:48">
      <c r="A121" s="2827" t="s">
        <v>3898</v>
      </c>
      <c r="B121" s="2827"/>
      <c r="C121" s="2831" t="str">
        <f>Text!B242</f>
        <v>Neto gubici od prestanka priznavanja finansijske imovine po amortizovanom trošku</v>
      </c>
      <c r="D121" s="2832"/>
      <c r="E121" s="2832"/>
      <c r="F121" s="2832"/>
      <c r="G121" s="2832"/>
      <c r="H121" s="2832"/>
      <c r="I121" s="2832"/>
      <c r="J121" s="2832"/>
      <c r="K121" s="2832"/>
      <c r="L121" s="2832"/>
      <c r="M121" s="2832"/>
      <c r="N121" s="2832"/>
      <c r="O121" s="2832"/>
      <c r="P121" s="2832"/>
      <c r="Q121" s="2832"/>
      <c r="R121" s="2832"/>
      <c r="S121" s="2832"/>
      <c r="T121" s="2832"/>
      <c r="U121" s="2832"/>
      <c r="V121" s="2832"/>
      <c r="W121" s="2832"/>
      <c r="X121" s="2832"/>
      <c r="Y121" s="2833" t="s">
        <v>7021</v>
      </c>
      <c r="Z121" s="2834"/>
      <c r="AA121" s="2834"/>
      <c r="AB121" s="2834"/>
      <c r="AC121" s="2834"/>
      <c r="AD121" s="2835"/>
      <c r="AE121" s="2610"/>
      <c r="AF121" s="2610"/>
      <c r="AG121" s="2830">
        <v>290</v>
      </c>
      <c r="AH121" s="2812"/>
      <c r="AI121" s="2609">
        <f>ROUND(IF(UnosPod!F346-UnosPod!F202&lt;0,0,UnosPod!F346-UnosPod!F202),0)</f>
        <v>0</v>
      </c>
      <c r="AJ121" s="2609"/>
      <c r="AK121" s="2609"/>
      <c r="AL121" s="2609"/>
      <c r="AM121" s="2609"/>
      <c r="AN121" s="2609"/>
      <c r="AO121" s="2609"/>
      <c r="AP121" s="2609">
        <f>Prethodna_2024!B94</f>
        <v>0</v>
      </c>
      <c r="AQ121" s="2609"/>
      <c r="AR121" s="2609"/>
      <c r="AS121" s="2609"/>
      <c r="AT121" s="2609"/>
      <c r="AU121" s="2609"/>
      <c r="AV121" s="2609"/>
    </row>
    <row r="122" ht="17.25" customHeight="1" spans="1:48">
      <c r="A122" s="2827" t="s">
        <v>3900</v>
      </c>
      <c r="B122" s="2827"/>
      <c r="C122" s="2831" t="str">
        <f>Text!B243</f>
        <v>Neto gubici od modifikacija finansijske imovine po amortizovanom trošku koje nisu rezultirale prestankom priznavanja</v>
      </c>
      <c r="D122" s="2832"/>
      <c r="E122" s="2832"/>
      <c r="F122" s="2832"/>
      <c r="G122" s="2832"/>
      <c r="H122" s="2832"/>
      <c r="I122" s="2832"/>
      <c r="J122" s="2832"/>
      <c r="K122" s="2832"/>
      <c r="L122" s="2832"/>
      <c r="M122" s="2832"/>
      <c r="N122" s="2832"/>
      <c r="O122" s="2832"/>
      <c r="P122" s="2832"/>
      <c r="Q122" s="2832"/>
      <c r="R122" s="2832"/>
      <c r="S122" s="2832"/>
      <c r="T122" s="2832"/>
      <c r="U122" s="2832"/>
      <c r="V122" s="2832"/>
      <c r="W122" s="2832"/>
      <c r="X122" s="2832"/>
      <c r="Y122" s="2833" t="s">
        <v>7022</v>
      </c>
      <c r="Z122" s="2834"/>
      <c r="AA122" s="2834"/>
      <c r="AB122" s="2834"/>
      <c r="AC122" s="2834"/>
      <c r="AD122" s="2835"/>
      <c r="AE122" s="2610"/>
      <c r="AF122" s="2610"/>
      <c r="AG122" s="2830">
        <v>291</v>
      </c>
      <c r="AH122" s="2812"/>
      <c r="AI122" s="2609">
        <f>ROUND(IF(UnosPod!F347-UnosPod!F203&lt;0,0,UnosPod!F347-UnosPod!F203),0)</f>
        <v>0</v>
      </c>
      <c r="AJ122" s="2609"/>
      <c r="AK122" s="2609"/>
      <c r="AL122" s="2609"/>
      <c r="AM122" s="2609"/>
      <c r="AN122" s="2609"/>
      <c r="AO122" s="2609"/>
      <c r="AP122" s="2609">
        <f>Prethodna_2024!B95</f>
        <v>0</v>
      </c>
      <c r="AQ122" s="2609"/>
      <c r="AR122" s="2609"/>
      <c r="AS122" s="2609"/>
      <c r="AT122" s="2609"/>
      <c r="AU122" s="2609"/>
      <c r="AV122" s="2609"/>
    </row>
    <row r="123" ht="17.25" customHeight="1" spans="1:48">
      <c r="A123" s="2827" t="s">
        <v>4089</v>
      </c>
      <c r="B123" s="2827"/>
      <c r="C123" s="2831" t="str">
        <f>Text!B244</f>
        <v>Neto gubici od otuđenja finansijske imovine po amortizovanom trošku </v>
      </c>
      <c r="D123" s="2832"/>
      <c r="E123" s="2832"/>
      <c r="F123" s="2832"/>
      <c r="G123" s="2832"/>
      <c r="H123" s="2832"/>
      <c r="I123" s="2832"/>
      <c r="J123" s="2832"/>
      <c r="K123" s="2832"/>
      <c r="L123" s="2832"/>
      <c r="M123" s="2832"/>
      <c r="N123" s="2832"/>
      <c r="O123" s="2832"/>
      <c r="P123" s="2832"/>
      <c r="Q123" s="2832"/>
      <c r="R123" s="2832"/>
      <c r="S123" s="2832"/>
      <c r="T123" s="2832"/>
      <c r="U123" s="2832"/>
      <c r="V123" s="2832"/>
      <c r="W123" s="2832"/>
      <c r="X123" s="2832"/>
      <c r="Y123" s="2833" t="s">
        <v>7023</v>
      </c>
      <c r="Z123" s="2834"/>
      <c r="AA123" s="2834"/>
      <c r="AB123" s="2834"/>
      <c r="AC123" s="2834"/>
      <c r="AD123" s="2835"/>
      <c r="AE123" s="2610"/>
      <c r="AF123" s="2610"/>
      <c r="AG123" s="2830">
        <v>292</v>
      </c>
      <c r="AH123" s="2812"/>
      <c r="AI123" s="2609">
        <f>ROUND(IF(UnosPod!F320-UnosPod!F180&lt;0,0,UnosPod!F320-UnosPod!F180),0)</f>
        <v>0</v>
      </c>
      <c r="AJ123" s="2609"/>
      <c r="AK123" s="2609"/>
      <c r="AL123" s="2609"/>
      <c r="AM123" s="2609"/>
      <c r="AN123" s="2609"/>
      <c r="AO123" s="2609"/>
      <c r="AP123" s="2609">
        <f>Prethodna_2024!B96</f>
        <v>0</v>
      </c>
      <c r="AQ123" s="2609"/>
      <c r="AR123" s="2609"/>
      <c r="AS123" s="2609"/>
      <c r="AT123" s="2609"/>
      <c r="AU123" s="2609"/>
      <c r="AV123" s="2609"/>
    </row>
    <row r="124" s="1757" customFormat="1" ht="17.25" customHeight="1" spans="1:48">
      <c r="A124" s="2827" t="s">
        <v>4091</v>
      </c>
      <c r="B124" s="2827"/>
      <c r="C124" s="2831" t="str">
        <f>Text!B245</f>
        <v>Neto smanjenja vrijednosti finansijske imovine po fer vrijednosti kroz bilans uspjeha</v>
      </c>
      <c r="D124" s="2832"/>
      <c r="E124" s="2832"/>
      <c r="F124" s="2832"/>
      <c r="G124" s="2832"/>
      <c r="H124" s="2832"/>
      <c r="I124" s="2832"/>
      <c r="J124" s="2832"/>
      <c r="K124" s="2832"/>
      <c r="L124" s="2832"/>
      <c r="M124" s="2832"/>
      <c r="N124" s="2832"/>
      <c r="O124" s="2832"/>
      <c r="P124" s="2832"/>
      <c r="Q124" s="2832"/>
      <c r="R124" s="2832"/>
      <c r="S124" s="2832"/>
      <c r="T124" s="2832"/>
      <c r="U124" s="2832"/>
      <c r="V124" s="2832"/>
      <c r="W124" s="2832"/>
      <c r="X124" s="2832"/>
      <c r="Y124" s="2833" t="s">
        <v>7024</v>
      </c>
      <c r="Z124" s="2834"/>
      <c r="AA124" s="2834"/>
      <c r="AB124" s="2834"/>
      <c r="AC124" s="2834"/>
      <c r="AD124" s="2835"/>
      <c r="AE124" s="2610"/>
      <c r="AF124" s="2610"/>
      <c r="AG124" s="2830">
        <v>293</v>
      </c>
      <c r="AH124" s="2812"/>
      <c r="AI124" s="2609">
        <f>ROUND(IF(UnosPod!F353-UnosPod!F209&lt;0,0,UnosPod!F353-UnosPod!F209),0)</f>
        <v>0</v>
      </c>
      <c r="AJ124" s="2609"/>
      <c r="AK124" s="2609"/>
      <c r="AL124" s="2609"/>
      <c r="AM124" s="2609"/>
      <c r="AN124" s="2609"/>
      <c r="AO124" s="2609"/>
      <c r="AP124" s="2609">
        <f>Prethodna_2024!B97</f>
        <v>0</v>
      </c>
      <c r="AQ124" s="2609"/>
      <c r="AR124" s="2609"/>
      <c r="AS124" s="2609"/>
      <c r="AT124" s="2609"/>
      <c r="AU124" s="2609"/>
      <c r="AV124" s="2609"/>
    </row>
    <row r="125" s="1757" customFormat="1" ht="17.25" customHeight="1" spans="1:48">
      <c r="A125" s="2827" t="s">
        <v>4093</v>
      </c>
      <c r="B125" s="2827"/>
      <c r="C125" s="2831" t="str">
        <f>Text!B246</f>
        <v>Neto gubici od otuđenja finansijske imovine po fer vrijednosti kroz bilans uspjeha</v>
      </c>
      <c r="D125" s="2832"/>
      <c r="E125" s="2832"/>
      <c r="F125" s="2832"/>
      <c r="G125" s="2832"/>
      <c r="H125" s="2832"/>
      <c r="I125" s="2832"/>
      <c r="J125" s="2832"/>
      <c r="K125" s="2832"/>
      <c r="L125" s="2832"/>
      <c r="M125" s="2832"/>
      <c r="N125" s="2832"/>
      <c r="O125" s="2832"/>
      <c r="P125" s="2832"/>
      <c r="Q125" s="2832"/>
      <c r="R125" s="2832"/>
      <c r="S125" s="2832"/>
      <c r="T125" s="2832"/>
      <c r="U125" s="2832"/>
      <c r="V125" s="2832"/>
      <c r="W125" s="2832"/>
      <c r="X125" s="2832"/>
      <c r="Y125" s="2833" t="s">
        <v>7025</v>
      </c>
      <c r="Z125" s="2834"/>
      <c r="AA125" s="2834"/>
      <c r="AB125" s="2834"/>
      <c r="AC125" s="2834"/>
      <c r="AD125" s="2835"/>
      <c r="AE125" s="2610"/>
      <c r="AF125" s="2610"/>
      <c r="AG125" s="2830">
        <v>294</v>
      </c>
      <c r="AH125" s="2812"/>
      <c r="AI125" s="2609">
        <f>ROUND(IF(UnosPod!F321-UnosPod!F181&lt;0,0,UnosPod!F321-UnosPod!F181),0)</f>
        <v>0</v>
      </c>
      <c r="AJ125" s="2609"/>
      <c r="AK125" s="2609"/>
      <c r="AL125" s="2609"/>
      <c r="AM125" s="2609"/>
      <c r="AN125" s="2609"/>
      <c r="AO125" s="2609"/>
      <c r="AP125" s="2609">
        <f>Prethodna_2024!B98</f>
        <v>0</v>
      </c>
      <c r="AQ125" s="2609"/>
      <c r="AR125" s="2609"/>
      <c r="AS125" s="2609"/>
      <c r="AT125" s="2609"/>
      <c r="AU125" s="2609"/>
      <c r="AV125" s="2609"/>
    </row>
    <row r="126" ht="17.25" customHeight="1" spans="1:48">
      <c r="A126" s="2827" t="s">
        <v>4095</v>
      </c>
      <c r="B126" s="2827"/>
      <c r="C126" s="2831" t="str">
        <f>Text!B247</f>
        <v>Neto gubici od otuđenja finansijske imovine po fer vrijednosti kroz ostali ukupni rezultat</v>
      </c>
      <c r="D126" s="2832"/>
      <c r="E126" s="2832"/>
      <c r="F126" s="2832"/>
      <c r="G126" s="2832"/>
      <c r="H126" s="2832"/>
      <c r="I126" s="2832"/>
      <c r="J126" s="2832"/>
      <c r="K126" s="2832"/>
      <c r="L126" s="2832"/>
      <c r="M126" s="2832"/>
      <c r="N126" s="2832"/>
      <c r="O126" s="2832"/>
      <c r="P126" s="2832"/>
      <c r="Q126" s="2832"/>
      <c r="R126" s="2832"/>
      <c r="S126" s="2832"/>
      <c r="T126" s="2832"/>
      <c r="U126" s="2832"/>
      <c r="V126" s="2832"/>
      <c r="W126" s="2832"/>
      <c r="X126" s="2832"/>
      <c r="Y126" s="2833" t="s">
        <v>7026</v>
      </c>
      <c r="Z126" s="2834"/>
      <c r="AA126" s="2834"/>
      <c r="AB126" s="2834"/>
      <c r="AC126" s="2834"/>
      <c r="AD126" s="2835"/>
      <c r="AE126" s="2610"/>
      <c r="AF126" s="2610"/>
      <c r="AG126" s="2830">
        <v>295</v>
      </c>
      <c r="AH126" s="2812"/>
      <c r="AI126" s="2609">
        <f>ROUND(IF(UnosPod!F322-UnosPod!F182&lt;0,0,UnosPod!F322-UnosPod!F182),0)</f>
        <v>0</v>
      </c>
      <c r="AJ126" s="2609"/>
      <c r="AK126" s="2609"/>
      <c r="AL126" s="2609"/>
      <c r="AM126" s="2609"/>
      <c r="AN126" s="2609"/>
      <c r="AO126" s="2609"/>
      <c r="AP126" s="2609">
        <f>Prethodna_2024!B99</f>
        <v>0</v>
      </c>
      <c r="AQ126" s="2609"/>
      <c r="AR126" s="2609"/>
      <c r="AS126" s="2609"/>
      <c r="AT126" s="2609"/>
      <c r="AU126" s="2609"/>
      <c r="AV126" s="2609"/>
    </row>
    <row r="127" ht="17.25" customHeight="1" spans="1:48">
      <c r="A127" s="2827" t="s">
        <v>4097</v>
      </c>
      <c r="B127" s="2827"/>
      <c r="C127" s="2831" t="str">
        <f>Text!B248</f>
        <v>Neto gubici od reklasifikacija finansijske imovine između poslovnih modela</v>
      </c>
      <c r="D127" s="2832"/>
      <c r="E127" s="2832"/>
      <c r="F127" s="2832"/>
      <c r="G127" s="2832"/>
      <c r="H127" s="2832"/>
      <c r="I127" s="2832"/>
      <c r="J127" s="2832"/>
      <c r="K127" s="2832"/>
      <c r="L127" s="2832"/>
      <c r="M127" s="2832"/>
      <c r="N127" s="2832"/>
      <c r="O127" s="2832"/>
      <c r="P127" s="2832"/>
      <c r="Q127" s="2832"/>
      <c r="R127" s="2832"/>
      <c r="S127" s="2832"/>
      <c r="T127" s="2832"/>
      <c r="U127" s="2832"/>
      <c r="V127" s="2832"/>
      <c r="W127" s="2832"/>
      <c r="X127" s="2832"/>
      <c r="Y127" s="2833" t="s">
        <v>7027</v>
      </c>
      <c r="Z127" s="2834"/>
      <c r="AA127" s="2834"/>
      <c r="AB127" s="2834"/>
      <c r="AC127" s="2834"/>
      <c r="AD127" s="2835"/>
      <c r="AE127" s="2610"/>
      <c r="AF127" s="2610"/>
      <c r="AG127" s="2830">
        <v>296</v>
      </c>
      <c r="AH127" s="2812"/>
      <c r="AI127" s="2609">
        <f>ROUND(ROUND(IF(UnosPod!F348-UnosPod!F204&lt;0,0,UnosPod!F348-UnosPod!F204),0),0)</f>
        <v>0</v>
      </c>
      <c r="AJ127" s="2609"/>
      <c r="AK127" s="2609"/>
      <c r="AL127" s="2609"/>
      <c r="AM127" s="2609"/>
      <c r="AN127" s="2609"/>
      <c r="AO127" s="2609"/>
      <c r="AP127" s="2609">
        <f>Prethodna_2024!B100</f>
        <v>0</v>
      </c>
      <c r="AQ127" s="2609"/>
      <c r="AR127" s="2609"/>
      <c r="AS127" s="2609"/>
      <c r="AT127" s="2609"/>
      <c r="AU127" s="2609"/>
      <c r="AV127" s="2609"/>
    </row>
    <row r="128" ht="17.25" customHeight="1" spans="1:48">
      <c r="A128" s="2827" t="s">
        <v>4099</v>
      </c>
      <c r="B128" s="2827"/>
      <c r="C128" s="2831" t="str">
        <f>Text!B249</f>
        <v>Ostali neto gubici od finansijske imovine</v>
      </c>
      <c r="D128" s="2832"/>
      <c r="E128" s="2832"/>
      <c r="F128" s="2832"/>
      <c r="G128" s="2832"/>
      <c r="H128" s="2832"/>
      <c r="I128" s="2832"/>
      <c r="J128" s="2832"/>
      <c r="K128" s="2832"/>
      <c r="L128" s="2832"/>
      <c r="M128" s="2832"/>
      <c r="N128" s="2832"/>
      <c r="O128" s="2832"/>
      <c r="P128" s="2832"/>
      <c r="Q128" s="2832"/>
      <c r="R128" s="2832"/>
      <c r="S128" s="2832"/>
      <c r="T128" s="2832"/>
      <c r="U128" s="2832"/>
      <c r="V128" s="2832"/>
      <c r="W128" s="2832"/>
      <c r="X128" s="2832"/>
      <c r="Y128" s="2833" t="s">
        <v>7018</v>
      </c>
      <c r="Z128" s="2834"/>
      <c r="AA128" s="2834"/>
      <c r="AB128" s="2834"/>
      <c r="AC128" s="2834"/>
      <c r="AD128" s="2835"/>
      <c r="AE128" s="2610"/>
      <c r="AF128" s="2610"/>
      <c r="AG128" s="2830">
        <v>297</v>
      </c>
      <c r="AH128" s="2812"/>
      <c r="AI128" s="2609">
        <f>ROUND(IF(UnosPod!F360-UnosPod!F216&lt;0,0,UnosPod!F360-UnosPod!F216),0)</f>
        <v>0</v>
      </c>
      <c r="AJ128" s="2609"/>
      <c r="AK128" s="2609"/>
      <c r="AL128" s="2609"/>
      <c r="AM128" s="2609"/>
      <c r="AN128" s="2609"/>
      <c r="AO128" s="2609"/>
      <c r="AP128" s="2609">
        <f>Prethodna_2024!B101</f>
        <v>0</v>
      </c>
      <c r="AQ128" s="2609"/>
      <c r="AR128" s="2609"/>
      <c r="AS128" s="2609"/>
      <c r="AT128" s="2609"/>
      <c r="AU128" s="2609"/>
      <c r="AV128" s="2609"/>
    </row>
    <row r="129" ht="30.75" customHeight="1" spans="1:48">
      <c r="A129" s="2827" t="s">
        <v>3902</v>
      </c>
      <c r="B129" s="2827"/>
      <c r="C129" s="2828" t="str">
        <f>Text!B250</f>
        <v>Troškovi rezervisanja, neto</v>
      </c>
      <c r="D129" s="2829"/>
      <c r="E129" s="2829"/>
      <c r="F129" s="2829"/>
      <c r="G129" s="2829"/>
      <c r="H129" s="2829"/>
      <c r="I129" s="2829"/>
      <c r="J129" s="2829"/>
      <c r="K129" s="2829"/>
      <c r="L129" s="2829"/>
      <c r="M129" s="2829"/>
      <c r="N129" s="2829"/>
      <c r="O129" s="2829"/>
      <c r="P129" s="2829"/>
      <c r="Q129" s="2829"/>
      <c r="R129" s="2829"/>
      <c r="S129" s="2829"/>
      <c r="T129" s="2829"/>
      <c r="U129" s="2829"/>
      <c r="V129" s="2829"/>
      <c r="W129" s="2829"/>
      <c r="X129" s="2829"/>
      <c r="Y129" s="2833" t="s">
        <v>7028</v>
      </c>
      <c r="Z129" s="2834"/>
      <c r="AA129" s="2834"/>
      <c r="AB129" s="2834"/>
      <c r="AC129" s="2834"/>
      <c r="AD129" s="2835"/>
      <c r="AE129" s="2610" t="str">
        <f>Baza!E89</f>
        <v>-</v>
      </c>
      <c r="AF129" s="2610"/>
      <c r="AG129" s="2830">
        <v>298</v>
      </c>
      <c r="AH129" s="2812"/>
      <c r="AI129" s="2609">
        <f>ROUND(IF(SUM(UnosPod!F289:L295)-UnosPod!F192&lt;0,0,SUM(UnosPod!F289:L295)-UnosPod!F192),0)</f>
        <v>0</v>
      </c>
      <c r="AJ129" s="2609"/>
      <c r="AK129" s="2609"/>
      <c r="AL129" s="2609"/>
      <c r="AM129" s="2609"/>
      <c r="AN129" s="2609"/>
      <c r="AO129" s="2609"/>
      <c r="AP129" s="2609">
        <f>Prethodna_2024!B102</f>
        <v>0</v>
      </c>
      <c r="AQ129" s="2609"/>
      <c r="AR129" s="2609"/>
      <c r="AS129" s="2609"/>
      <c r="AT129" s="2609"/>
      <c r="AU129" s="2609"/>
      <c r="AV129" s="2609"/>
    </row>
    <row r="130" ht="17.25" customHeight="1" spans="1:48">
      <c r="A130" s="2827" t="s">
        <v>3905</v>
      </c>
      <c r="B130" s="2827"/>
      <c r="C130" s="2828" t="str">
        <f>Text!B251</f>
        <v>Neto gubici od trgovanja derivatima</v>
      </c>
      <c r="D130" s="2829"/>
      <c r="E130" s="2829"/>
      <c r="F130" s="2829"/>
      <c r="G130" s="2829"/>
      <c r="H130" s="2829"/>
      <c r="I130" s="2829"/>
      <c r="J130" s="2829"/>
      <c r="K130" s="2829"/>
      <c r="L130" s="2829"/>
      <c r="M130" s="2829"/>
      <c r="N130" s="2829"/>
      <c r="O130" s="2829"/>
      <c r="P130" s="2829"/>
      <c r="Q130" s="2829"/>
      <c r="R130" s="2829"/>
      <c r="S130" s="2829"/>
      <c r="T130" s="2829"/>
      <c r="U130" s="2829"/>
      <c r="V130" s="2829"/>
      <c r="W130" s="2829"/>
      <c r="X130" s="2829"/>
      <c r="Y130" s="2833" t="s">
        <v>7029</v>
      </c>
      <c r="Z130" s="2834"/>
      <c r="AA130" s="2834"/>
      <c r="AB130" s="2834"/>
      <c r="AC130" s="2834"/>
      <c r="AD130" s="2835"/>
      <c r="AE130" s="2610" t="str">
        <f>Baza!E90</f>
        <v>-</v>
      </c>
      <c r="AF130" s="2610"/>
      <c r="AG130" s="2830">
        <v>299</v>
      </c>
      <c r="AH130" s="2812"/>
      <c r="AI130" s="2609">
        <f>ROUND(IF(UnosPod!F329-UnosPod!F190&lt;0,0,UnosPod!F329-UnosPod!F190),0)</f>
        <v>0</v>
      </c>
      <c r="AJ130" s="2609"/>
      <c r="AK130" s="2609"/>
      <c r="AL130" s="2609"/>
      <c r="AM130" s="2609"/>
      <c r="AN130" s="2609"/>
      <c r="AO130" s="2609"/>
      <c r="AP130" s="2609">
        <f>Prethodna_2024!B103</f>
        <v>0</v>
      </c>
      <c r="AQ130" s="2609"/>
      <c r="AR130" s="2609"/>
      <c r="AS130" s="2609"/>
      <c r="AT130" s="2609"/>
      <c r="AU130" s="2609"/>
      <c r="AV130" s="2609"/>
    </row>
    <row r="131" ht="17.25" customHeight="1" spans="1:48">
      <c r="A131" s="2827" t="s">
        <v>3915</v>
      </c>
      <c r="B131" s="2827"/>
      <c r="C131" s="2828" t="str">
        <f>Text!B252</f>
        <v>Rashodi od prodaje materijala, neto</v>
      </c>
      <c r="D131" s="2829"/>
      <c r="E131" s="2829"/>
      <c r="F131" s="2829"/>
      <c r="G131" s="2829"/>
      <c r="H131" s="2829"/>
      <c r="I131" s="2829"/>
      <c r="J131" s="2829"/>
      <c r="K131" s="2829"/>
      <c r="L131" s="2829"/>
      <c r="M131" s="2829"/>
      <c r="N131" s="2829"/>
      <c r="O131" s="2829"/>
      <c r="P131" s="2829"/>
      <c r="Q131" s="2829"/>
      <c r="R131" s="2829"/>
      <c r="S131" s="2829"/>
      <c r="T131" s="2829"/>
      <c r="U131" s="2829"/>
      <c r="V131" s="2829"/>
      <c r="W131" s="2829"/>
      <c r="X131" s="2829"/>
      <c r="Y131" s="2833" t="s">
        <v>7030</v>
      </c>
      <c r="Z131" s="2834"/>
      <c r="AA131" s="2834"/>
      <c r="AB131" s="2834"/>
      <c r="AC131" s="2834"/>
      <c r="AD131" s="2835"/>
      <c r="AE131" s="2610" t="str">
        <f>Baza!E91</f>
        <v>-</v>
      </c>
      <c r="AF131" s="2610"/>
      <c r="AG131" s="2830">
        <v>300</v>
      </c>
      <c r="AH131" s="2812"/>
      <c r="AI131" s="2609">
        <f>ROUND(IF(UnosPod!F327-UnosPod!F187&lt;0,0,UnosPod!F327-UnosPod!F187),0)</f>
        <v>0</v>
      </c>
      <c r="AJ131" s="2609"/>
      <c r="AK131" s="2609"/>
      <c r="AL131" s="2609"/>
      <c r="AM131" s="2609"/>
      <c r="AN131" s="2609"/>
      <c r="AO131" s="2609"/>
      <c r="AP131" s="2609">
        <f>Prethodna_2024!B104</f>
        <v>0</v>
      </c>
      <c r="AQ131" s="2609"/>
      <c r="AR131" s="2609"/>
      <c r="AS131" s="2609"/>
      <c r="AT131" s="2609"/>
      <c r="AU131" s="2609"/>
      <c r="AV131" s="2609"/>
    </row>
    <row r="132" ht="17.25" customHeight="1" spans="1:48">
      <c r="A132" s="2827" t="s">
        <v>3918</v>
      </c>
      <c r="B132" s="2827"/>
      <c r="C132" s="2828" t="str">
        <f>Text!B253</f>
        <v>Manjkovi i ostala negativna usklađenja zaliha</v>
      </c>
      <c r="D132" s="2829"/>
      <c r="E132" s="2829"/>
      <c r="F132" s="2829"/>
      <c r="G132" s="2829"/>
      <c r="H132" s="2829"/>
      <c r="I132" s="2829"/>
      <c r="J132" s="2829"/>
      <c r="K132" s="2829"/>
      <c r="L132" s="2829"/>
      <c r="M132" s="2829"/>
      <c r="N132" s="2829"/>
      <c r="O132" s="2829"/>
      <c r="P132" s="2829"/>
      <c r="Q132" s="2829"/>
      <c r="R132" s="2829"/>
      <c r="S132" s="2829"/>
      <c r="T132" s="2829"/>
      <c r="U132" s="2829"/>
      <c r="V132" s="2829"/>
      <c r="W132" s="2829"/>
      <c r="X132" s="2829"/>
      <c r="Y132" s="2833" t="s">
        <v>7031</v>
      </c>
      <c r="Z132" s="2834"/>
      <c r="AA132" s="2834"/>
      <c r="AB132" s="2834"/>
      <c r="AC132" s="2834"/>
      <c r="AD132" s="2835"/>
      <c r="AE132" s="2610" t="str">
        <f>Baza!E92</f>
        <v>-</v>
      </c>
      <c r="AF132" s="2610"/>
      <c r="AG132" s="2830">
        <v>301</v>
      </c>
      <c r="AH132" s="2812"/>
      <c r="AI132" s="2609">
        <f>ROUND(UnosPod!F328+UnosPod!F333+UnosPod!F420+UnosPod!F350,0)</f>
        <v>0</v>
      </c>
      <c r="AJ132" s="2609"/>
      <c r="AK132" s="2609"/>
      <c r="AL132" s="2609"/>
      <c r="AM132" s="2609"/>
      <c r="AN132" s="2609"/>
      <c r="AO132" s="2609"/>
      <c r="AP132" s="2609">
        <f>Prethodna_2024!B105</f>
        <v>0</v>
      </c>
      <c r="AQ132" s="2609"/>
      <c r="AR132" s="2609"/>
      <c r="AS132" s="2609"/>
      <c r="AT132" s="2609"/>
      <c r="AU132" s="2609"/>
      <c r="AV132" s="2609"/>
    </row>
    <row r="133" ht="17.25" customHeight="1" spans="1:48">
      <c r="A133" s="2827" t="s">
        <v>3920</v>
      </c>
      <c r="B133" s="2827"/>
      <c r="C133" s="2828" t="str">
        <f>Text!B254</f>
        <v>Udio u gubitku pridruženog društva i zajedničkog poduhvata primjenom metode udjela</v>
      </c>
      <c r="D133" s="2829"/>
      <c r="E133" s="2829"/>
      <c r="F133" s="2829"/>
      <c r="G133" s="2829"/>
      <c r="H133" s="2829"/>
      <c r="I133" s="2829"/>
      <c r="J133" s="2829"/>
      <c r="K133" s="2829"/>
      <c r="L133" s="2829"/>
      <c r="M133" s="2829"/>
      <c r="N133" s="2829"/>
      <c r="O133" s="2829"/>
      <c r="P133" s="2829"/>
      <c r="Q133" s="2829"/>
      <c r="R133" s="2829"/>
      <c r="S133" s="2829"/>
      <c r="T133" s="2829"/>
      <c r="U133" s="2829"/>
      <c r="V133" s="2829"/>
      <c r="W133" s="2829"/>
      <c r="X133" s="2829"/>
      <c r="Y133" s="2833"/>
      <c r="Z133" s="2834"/>
      <c r="AA133" s="2834"/>
      <c r="AB133" s="2834"/>
      <c r="AC133" s="2834"/>
      <c r="AD133" s="2835"/>
      <c r="AE133" s="2610" t="str">
        <f>Baza!E93</f>
        <v>-</v>
      </c>
      <c r="AF133" s="2610"/>
      <c r="AG133" s="2830">
        <v>302</v>
      </c>
      <c r="AH133" s="2812"/>
      <c r="AI133" s="2609"/>
      <c r="AJ133" s="2609"/>
      <c r="AK133" s="2609"/>
      <c r="AL133" s="2609"/>
      <c r="AM133" s="2609"/>
      <c r="AN133" s="2609"/>
      <c r="AO133" s="2609"/>
      <c r="AP133" s="2609">
        <f>Prethodna_2024!B106</f>
        <v>0</v>
      </c>
      <c r="AQ133" s="2609"/>
      <c r="AR133" s="2609"/>
      <c r="AS133" s="2609"/>
      <c r="AT133" s="2609"/>
      <c r="AU133" s="2609"/>
      <c r="AV133" s="2609"/>
    </row>
    <row r="134" s="1757" customFormat="1" ht="17.25" customHeight="1" spans="1:48">
      <c r="A134" s="2827" t="s">
        <v>3923</v>
      </c>
      <c r="B134" s="2827"/>
      <c r="C134" s="2828" t="str">
        <f>Text!B255</f>
        <v>Umanjenje vrijednosti goodwilla</v>
      </c>
      <c r="D134" s="2829"/>
      <c r="E134" s="2829"/>
      <c r="F134" s="2829"/>
      <c r="G134" s="2829"/>
      <c r="H134" s="2829"/>
      <c r="I134" s="2829"/>
      <c r="J134" s="2829"/>
      <c r="K134" s="2829"/>
      <c r="L134" s="2829"/>
      <c r="M134" s="2829"/>
      <c r="N134" s="2829"/>
      <c r="O134" s="2829"/>
      <c r="P134" s="2829"/>
      <c r="Q134" s="2829"/>
      <c r="R134" s="2829"/>
      <c r="S134" s="2829"/>
      <c r="T134" s="2829"/>
      <c r="U134" s="2829"/>
      <c r="V134" s="2829"/>
      <c r="W134" s="2829"/>
      <c r="X134" s="2829"/>
      <c r="Y134" s="2833" t="s">
        <v>7032</v>
      </c>
      <c r="Z134" s="2834"/>
      <c r="AA134" s="2834"/>
      <c r="AB134" s="2834"/>
      <c r="AC134" s="2834"/>
      <c r="AD134" s="2835"/>
      <c r="AE134" s="2610" t="str">
        <f>Baza!E94</f>
        <v>-</v>
      </c>
      <c r="AF134" s="2610"/>
      <c r="AG134" s="2830">
        <v>303</v>
      </c>
      <c r="AH134" s="2812"/>
      <c r="AI134" s="2609">
        <f>ROUND(UnosPod!F334,0)</f>
        <v>0</v>
      </c>
      <c r="AJ134" s="2609"/>
      <c r="AK134" s="2609"/>
      <c r="AL134" s="2609"/>
      <c r="AM134" s="2609"/>
      <c r="AN134" s="2609"/>
      <c r="AO134" s="2609"/>
      <c r="AP134" s="2609">
        <f>Prethodna_2024!B107</f>
        <v>0</v>
      </c>
      <c r="AQ134" s="2609"/>
      <c r="AR134" s="2609"/>
      <c r="AS134" s="2609"/>
      <c r="AT134" s="2609"/>
      <c r="AU134" s="2609"/>
      <c r="AV134" s="2609"/>
    </row>
    <row r="135" ht="17.25" customHeight="1" spans="1:48">
      <c r="A135" s="2827" t="s">
        <v>3925</v>
      </c>
      <c r="B135" s="2827"/>
      <c r="C135" s="2828" t="str">
        <f>Text!B256</f>
        <v>Finansijski rashodi (305 do 307)</v>
      </c>
      <c r="D135" s="2829"/>
      <c r="E135" s="2829"/>
      <c r="F135" s="2829"/>
      <c r="G135" s="2829"/>
      <c r="H135" s="2829"/>
      <c r="I135" s="2829"/>
      <c r="J135" s="2829"/>
      <c r="K135" s="2829"/>
      <c r="L135" s="2829"/>
      <c r="M135" s="2829"/>
      <c r="N135" s="2829"/>
      <c r="O135" s="2829"/>
      <c r="P135" s="2829"/>
      <c r="Q135" s="2829"/>
      <c r="R135" s="2829"/>
      <c r="S135" s="2829"/>
      <c r="T135" s="2829"/>
      <c r="U135" s="2829"/>
      <c r="V135" s="2829"/>
      <c r="W135" s="2829"/>
      <c r="X135" s="2829"/>
      <c r="Y135" s="2833"/>
      <c r="Z135" s="2834"/>
      <c r="AA135" s="2834"/>
      <c r="AB135" s="2834"/>
      <c r="AC135" s="2834"/>
      <c r="AD135" s="2835"/>
      <c r="AE135" s="2610" t="str">
        <f>Baza!E95</f>
        <v>-</v>
      </c>
      <c r="AF135" s="2610"/>
      <c r="AG135" s="2830">
        <v>304</v>
      </c>
      <c r="AH135" s="2812"/>
      <c r="AI135" s="2609">
        <f>SUM(AI136:AO138)</f>
        <v>0</v>
      </c>
      <c r="AJ135" s="2609"/>
      <c r="AK135" s="2609"/>
      <c r="AL135" s="2609"/>
      <c r="AM135" s="2609"/>
      <c r="AN135" s="2609"/>
      <c r="AO135" s="2609"/>
      <c r="AP135" s="2609">
        <f>SUM(AP136:AV138)</f>
        <v>2038</v>
      </c>
      <c r="AQ135" s="2609"/>
      <c r="AR135" s="2609"/>
      <c r="AS135" s="2609"/>
      <c r="AT135" s="2609"/>
      <c r="AU135" s="2609"/>
      <c r="AV135" s="2609"/>
    </row>
    <row r="136" ht="17.25" customHeight="1" spans="1:48">
      <c r="A136" s="2827" t="s">
        <v>4106</v>
      </c>
      <c r="B136" s="2827"/>
      <c r="C136" s="2831" t="str">
        <f>Text!B257</f>
        <v>Rashodi od kamata </v>
      </c>
      <c r="D136" s="2832"/>
      <c r="E136" s="2832"/>
      <c r="F136" s="2832"/>
      <c r="G136" s="2832"/>
      <c r="H136" s="2832"/>
      <c r="I136" s="2832"/>
      <c r="J136" s="2832"/>
      <c r="K136" s="2832"/>
      <c r="L136" s="2832"/>
      <c r="M136" s="2832"/>
      <c r="N136" s="2832"/>
      <c r="O136" s="2832"/>
      <c r="P136" s="2832"/>
      <c r="Q136" s="2832"/>
      <c r="R136" s="2832"/>
      <c r="S136" s="2832"/>
      <c r="T136" s="2832"/>
      <c r="U136" s="2832"/>
      <c r="V136" s="2832"/>
      <c r="W136" s="2832"/>
      <c r="X136" s="2832"/>
      <c r="Y136" s="2833" t="s">
        <v>7033</v>
      </c>
      <c r="Z136" s="2834"/>
      <c r="AA136" s="2834"/>
      <c r="AB136" s="2834"/>
      <c r="AC136" s="2834"/>
      <c r="AD136" s="2835"/>
      <c r="AE136" s="2610"/>
      <c r="AF136" s="2610"/>
      <c r="AG136" s="2830">
        <v>305</v>
      </c>
      <c r="AH136" s="2812"/>
      <c r="AI136" s="2609">
        <f>ROUND(UnosPod!F306+UnosPod!F307,0)</f>
        <v>0</v>
      </c>
      <c r="AJ136" s="2609"/>
      <c r="AK136" s="2609"/>
      <c r="AL136" s="2609"/>
      <c r="AM136" s="2609"/>
      <c r="AN136" s="2609"/>
      <c r="AO136" s="2609"/>
      <c r="AP136" s="2609">
        <f>Prethodna_2024!B109</f>
        <v>2038</v>
      </c>
      <c r="AQ136" s="2609"/>
      <c r="AR136" s="2609"/>
      <c r="AS136" s="2609"/>
      <c r="AT136" s="2609"/>
      <c r="AU136" s="2609"/>
      <c r="AV136" s="2609"/>
    </row>
    <row r="137" ht="17.25" customHeight="1" spans="1:48">
      <c r="A137" s="2827" t="s">
        <v>4108</v>
      </c>
      <c r="B137" s="2827"/>
      <c r="C137" s="2831" t="str">
        <f>Text!B258</f>
        <v>Neto negativne kursne razlike</v>
      </c>
      <c r="D137" s="2832"/>
      <c r="E137" s="2832"/>
      <c r="F137" s="2832"/>
      <c r="G137" s="2832"/>
      <c r="H137" s="2832"/>
      <c r="I137" s="2832"/>
      <c r="J137" s="2832"/>
      <c r="K137" s="2832"/>
      <c r="L137" s="2832"/>
      <c r="M137" s="2832"/>
      <c r="N137" s="2832"/>
      <c r="O137" s="2832"/>
      <c r="P137" s="2832"/>
      <c r="Q137" s="2832"/>
      <c r="R137" s="2832"/>
      <c r="S137" s="2832"/>
      <c r="T137" s="2832"/>
      <c r="U137" s="2832"/>
      <c r="V137" s="2832"/>
      <c r="W137" s="2832"/>
      <c r="X137" s="2832"/>
      <c r="Y137" s="2833" t="s">
        <v>7034</v>
      </c>
      <c r="Z137" s="2834"/>
      <c r="AA137" s="2834"/>
      <c r="AB137" s="2834"/>
      <c r="AC137" s="2834"/>
      <c r="AD137" s="2835"/>
      <c r="AE137" s="2610"/>
      <c r="AF137" s="2610"/>
      <c r="AG137" s="2830">
        <v>306</v>
      </c>
      <c r="AH137" s="2812"/>
      <c r="AI137" s="2609">
        <f>ROUND(IF(UnosPod!F308-UnosPod!F168&lt;0,0,UnosPod!F308-UnosPod!F168),0)</f>
        <v>0</v>
      </c>
      <c r="AJ137" s="2609"/>
      <c r="AK137" s="2609"/>
      <c r="AL137" s="2609"/>
      <c r="AM137" s="2609"/>
      <c r="AN137" s="2609"/>
      <c r="AO137" s="2609"/>
      <c r="AP137" s="2609">
        <f>Prethodna_2024!B110</f>
        <v>0</v>
      </c>
      <c r="AQ137" s="2609"/>
      <c r="AR137" s="2609"/>
      <c r="AS137" s="2609"/>
      <c r="AT137" s="2609"/>
      <c r="AU137" s="2609"/>
      <c r="AV137" s="2609"/>
    </row>
    <row r="138" ht="17.25" customHeight="1" spans="1:48">
      <c r="A138" s="2827" t="s">
        <v>4110</v>
      </c>
      <c r="B138" s="2827"/>
      <c r="C138" s="2831" t="str">
        <f>Text!B259</f>
        <v>Ostali finansijski rashodi</v>
      </c>
      <c r="D138" s="2832"/>
      <c r="E138" s="2832"/>
      <c r="F138" s="2832"/>
      <c r="G138" s="2832"/>
      <c r="H138" s="2832"/>
      <c r="I138" s="2832"/>
      <c r="J138" s="2832"/>
      <c r="K138" s="2832"/>
      <c r="L138" s="2832"/>
      <c r="M138" s="2832"/>
      <c r="N138" s="2832"/>
      <c r="O138" s="2832"/>
      <c r="P138" s="2832"/>
      <c r="Q138" s="2832"/>
      <c r="R138" s="2832"/>
      <c r="S138" s="2832"/>
      <c r="T138" s="2832"/>
      <c r="U138" s="2832"/>
      <c r="V138" s="2832"/>
      <c r="W138" s="2832"/>
      <c r="X138" s="2832"/>
      <c r="Y138" s="2833" t="s">
        <v>7035</v>
      </c>
      <c r="Z138" s="2834"/>
      <c r="AA138" s="2834"/>
      <c r="AB138" s="2834"/>
      <c r="AC138" s="2834"/>
      <c r="AD138" s="2835"/>
      <c r="AE138" s="2610"/>
      <c r="AF138" s="2610"/>
      <c r="AG138" s="2830">
        <v>307</v>
      </c>
      <c r="AH138" s="2812"/>
      <c r="AI138" s="2609">
        <f>ROUND(UnosPod!F309+UnosPod!F310,0)</f>
        <v>0</v>
      </c>
      <c r="AJ138" s="2609"/>
      <c r="AK138" s="2609"/>
      <c r="AL138" s="2609"/>
      <c r="AM138" s="2609"/>
      <c r="AN138" s="2609"/>
      <c r="AO138" s="2609"/>
      <c r="AP138" s="2609">
        <f>Prethodna_2024!B111</f>
        <v>0</v>
      </c>
      <c r="AQ138" s="2609"/>
      <c r="AR138" s="2609"/>
      <c r="AS138" s="2609"/>
      <c r="AT138" s="2609"/>
      <c r="AU138" s="2609"/>
      <c r="AV138" s="2609"/>
    </row>
    <row r="139" ht="30" customHeight="1" spans="1:48">
      <c r="A139" s="2827" t="s">
        <v>3928</v>
      </c>
      <c r="B139" s="2827"/>
      <c r="C139" s="2828" t="str">
        <f>Text!B260</f>
        <v>Ostali rashodi i gubici</v>
      </c>
      <c r="D139" s="2829"/>
      <c r="E139" s="2829"/>
      <c r="F139" s="2829"/>
      <c r="G139" s="2829"/>
      <c r="H139" s="2829"/>
      <c r="I139" s="2829"/>
      <c r="J139" s="2829"/>
      <c r="K139" s="2829"/>
      <c r="L139" s="2829"/>
      <c r="M139" s="2829"/>
      <c r="N139" s="2829"/>
      <c r="O139" s="2829"/>
      <c r="P139" s="2829"/>
      <c r="Q139" s="2829"/>
      <c r="R139" s="2829"/>
      <c r="S139" s="2829"/>
      <c r="T139" s="2829"/>
      <c r="U139" s="2829"/>
      <c r="V139" s="2829"/>
      <c r="W139" s="2829"/>
      <c r="X139" s="2829"/>
      <c r="Y139" s="2833" t="s">
        <v>7036</v>
      </c>
      <c r="Z139" s="2834"/>
      <c r="AA139" s="2834"/>
      <c r="AB139" s="2834"/>
      <c r="AC139" s="2834"/>
      <c r="AD139" s="2835"/>
      <c r="AE139" s="2610" t="str">
        <f>Baza!E96</f>
        <v>R4</v>
      </c>
      <c r="AF139" s="2610"/>
      <c r="AG139" s="2830">
        <v>308</v>
      </c>
      <c r="AH139" s="2812"/>
      <c r="AI139" s="2609">
        <f>ROUND(UnosPod!F335+UnosPod!F363+UnosPod!F364+UnosPod!F323+UnosPod!F324+UnosPod!F325+UnosPod!F331,0)</f>
        <v>14798</v>
      </c>
      <c r="AJ139" s="2609"/>
      <c r="AK139" s="2609"/>
      <c r="AL139" s="2609"/>
      <c r="AM139" s="2609"/>
      <c r="AN139" s="2609"/>
      <c r="AO139" s="2609"/>
      <c r="AP139" s="2609">
        <f>Prethodna_2024!B112</f>
        <v>436</v>
      </c>
      <c r="AQ139" s="2609"/>
      <c r="AR139" s="2609"/>
      <c r="AS139" s="2609"/>
      <c r="AT139" s="2609"/>
      <c r="AU139" s="2609"/>
      <c r="AV139" s="2609"/>
    </row>
    <row r="140" s="1757" customFormat="1" ht="17.25" customHeight="1" spans="1:48">
      <c r="A140" s="2857" t="s">
        <v>4142</v>
      </c>
      <c r="B140" s="2857"/>
      <c r="C140" s="2858" t="str">
        <f>Text!B261</f>
        <v>Ukupno rashodi (253+271)</v>
      </c>
      <c r="D140" s="2859"/>
      <c r="E140" s="2859"/>
      <c r="F140" s="2859"/>
      <c r="G140" s="2859"/>
      <c r="H140" s="2859"/>
      <c r="I140" s="2859"/>
      <c r="J140" s="2859"/>
      <c r="K140" s="2859"/>
      <c r="L140" s="2859"/>
      <c r="M140" s="2859"/>
      <c r="N140" s="2859"/>
      <c r="O140" s="2859"/>
      <c r="P140" s="2859"/>
      <c r="Q140" s="2859"/>
      <c r="R140" s="2859"/>
      <c r="S140" s="2859"/>
      <c r="T140" s="2859"/>
      <c r="U140" s="2859"/>
      <c r="V140" s="2859"/>
      <c r="W140" s="2859"/>
      <c r="X140" s="2859"/>
      <c r="Y140" s="2860"/>
      <c r="Z140" s="2861"/>
      <c r="AA140" s="2861"/>
      <c r="AB140" s="2861"/>
      <c r="AC140" s="2861"/>
      <c r="AD140" s="2862"/>
      <c r="AE140" s="2863"/>
      <c r="AF140" s="2863"/>
      <c r="AG140" s="2541">
        <v>309</v>
      </c>
      <c r="AH140" s="2543"/>
      <c r="AI140" s="2864">
        <f>AI80+AI98</f>
        <v>306969</v>
      </c>
      <c r="AJ140" s="2864"/>
      <c r="AK140" s="2864"/>
      <c r="AL140" s="2864"/>
      <c r="AM140" s="2864"/>
      <c r="AN140" s="2864"/>
      <c r="AO140" s="2864"/>
      <c r="AP140" s="2864">
        <f>AP80+AP98</f>
        <v>285281</v>
      </c>
      <c r="AQ140" s="2864"/>
      <c r="AR140" s="2864"/>
      <c r="AS140" s="2864"/>
      <c r="AT140" s="2864"/>
      <c r="AU140" s="2864"/>
      <c r="AV140" s="2864"/>
    </row>
    <row r="141" s="1757" customFormat="1" ht="17.25" customHeight="1" spans="1:48">
      <c r="A141" s="2865" t="s">
        <v>4040</v>
      </c>
      <c r="B141" s="2865"/>
      <c r="C141" s="2866" t="str">
        <f>Text!B262</f>
        <v>Dobit iz redovnog poslovanja prije oporezivanja (252-309)</v>
      </c>
      <c r="D141" s="2867"/>
      <c r="E141" s="2867"/>
      <c r="F141" s="2867"/>
      <c r="G141" s="2867"/>
      <c r="H141" s="2867"/>
      <c r="I141" s="2867"/>
      <c r="J141" s="2867"/>
      <c r="K141" s="2867"/>
      <c r="L141" s="2867"/>
      <c r="M141" s="2867"/>
      <c r="N141" s="2867"/>
      <c r="O141" s="2867"/>
      <c r="P141" s="2867"/>
      <c r="Q141" s="2867"/>
      <c r="R141" s="2867"/>
      <c r="S141" s="2867"/>
      <c r="T141" s="2867"/>
      <c r="U141" s="2867"/>
      <c r="V141" s="2867"/>
      <c r="W141" s="2867"/>
      <c r="X141" s="2867"/>
      <c r="Y141" s="2868"/>
      <c r="Z141" s="2869"/>
      <c r="AA141" s="2869"/>
      <c r="AB141" s="2869"/>
      <c r="AC141" s="2869"/>
      <c r="AD141" s="2870"/>
      <c r="AE141" s="2871"/>
      <c r="AF141" s="2871"/>
      <c r="AG141" s="2872">
        <v>310</v>
      </c>
      <c r="AH141" s="2873"/>
      <c r="AI141" s="2874">
        <f>IF(AI76-AI140&lt;0,0,AI76-AI140)</f>
        <v>0</v>
      </c>
      <c r="AJ141" s="2874"/>
      <c r="AK141" s="2874"/>
      <c r="AL141" s="2874"/>
      <c r="AM141" s="2874"/>
      <c r="AN141" s="2874"/>
      <c r="AO141" s="2874"/>
      <c r="AP141" s="2874">
        <f>IF(AP76-AP140&lt;0,0,AP76-AP140)</f>
        <v>99242</v>
      </c>
      <c r="AQ141" s="2874"/>
      <c r="AR141" s="2874"/>
      <c r="AS141" s="2874"/>
      <c r="AT141" s="2874"/>
      <c r="AU141" s="2874"/>
      <c r="AV141" s="2874"/>
    </row>
    <row r="142" s="1757" customFormat="1" ht="17.25" customHeight="1" spans="1:48">
      <c r="A142" s="2826" t="s">
        <v>4041</v>
      </c>
      <c r="B142" s="2826"/>
      <c r="C142" s="2813" t="str">
        <f>Text!B263</f>
        <v>Gubitak iz redovnog poslovanja prije oporezivanja (309-252)</v>
      </c>
      <c r="D142" s="2814"/>
      <c r="E142" s="2814"/>
      <c r="F142" s="2814"/>
      <c r="G142" s="2814"/>
      <c r="H142" s="2814"/>
      <c r="I142" s="2814"/>
      <c r="J142" s="2814"/>
      <c r="K142" s="2814"/>
      <c r="L142" s="2814"/>
      <c r="M142" s="2814"/>
      <c r="N142" s="2814"/>
      <c r="O142" s="2814"/>
      <c r="P142" s="2814"/>
      <c r="Q142" s="2814"/>
      <c r="R142" s="2814"/>
      <c r="S142" s="2814"/>
      <c r="T142" s="2814"/>
      <c r="U142" s="2814"/>
      <c r="V142" s="2814"/>
      <c r="W142" s="2814"/>
      <c r="X142" s="2814"/>
      <c r="Y142" s="2815"/>
      <c r="Z142" s="2816"/>
      <c r="AA142" s="2816"/>
      <c r="AB142" s="2816"/>
      <c r="AC142" s="2816"/>
      <c r="AD142" s="2817"/>
      <c r="AE142" s="2618"/>
      <c r="AF142" s="2618"/>
      <c r="AG142" s="2830">
        <v>311</v>
      </c>
      <c r="AH142" s="2812"/>
      <c r="AI142" s="2622">
        <f>IF(AI140-AI76&lt;0,0,AI140-AI76)</f>
        <v>59197</v>
      </c>
      <c r="AJ142" s="2622"/>
      <c r="AK142" s="2622"/>
      <c r="AL142" s="2622"/>
      <c r="AM142" s="2622"/>
      <c r="AN142" s="2622"/>
      <c r="AO142" s="2622"/>
      <c r="AP142" s="2622">
        <f>IF(AP140-AP76&lt;0,0,AP140-AP76)</f>
        <v>0</v>
      </c>
      <c r="AQ142" s="2622"/>
      <c r="AR142" s="2622"/>
      <c r="AS142" s="2622"/>
      <c r="AT142" s="2622"/>
      <c r="AU142" s="2622"/>
      <c r="AV142" s="2622"/>
    </row>
    <row r="143" s="1757" customFormat="1" ht="17.25" customHeight="1" spans="1:48">
      <c r="A143" s="2875" t="s">
        <v>4146</v>
      </c>
      <c r="B143" s="2875"/>
      <c r="C143" s="2876" t="str">
        <f>Text!B264</f>
        <v>Porez na dobit (313+314)</v>
      </c>
      <c r="D143" s="2877"/>
      <c r="E143" s="2877"/>
      <c r="F143" s="2877"/>
      <c r="G143" s="2877"/>
      <c r="H143" s="2877"/>
      <c r="I143" s="2877"/>
      <c r="J143" s="2877"/>
      <c r="K143" s="2877"/>
      <c r="L143" s="2877"/>
      <c r="M143" s="2877"/>
      <c r="N143" s="2877"/>
      <c r="O143" s="2877"/>
      <c r="P143" s="2877"/>
      <c r="Q143" s="2877"/>
      <c r="R143" s="2877"/>
      <c r="S143" s="2877"/>
      <c r="T143" s="2877"/>
      <c r="U143" s="2877"/>
      <c r="V143" s="2877"/>
      <c r="W143" s="2877"/>
      <c r="X143" s="2877"/>
      <c r="Y143" s="2878"/>
      <c r="Z143" s="2879"/>
      <c r="AA143" s="2879"/>
      <c r="AB143" s="2879"/>
      <c r="AC143" s="2879"/>
      <c r="AD143" s="2880"/>
      <c r="AE143" s="2881"/>
      <c r="AF143" s="2881"/>
      <c r="AG143" s="2882">
        <v>312</v>
      </c>
      <c r="AH143" s="2883"/>
      <c r="AI143" s="2884">
        <f>AI144+AI145</f>
        <v>0</v>
      </c>
      <c r="AJ143" s="2884"/>
      <c r="AK143" s="2884"/>
      <c r="AL143" s="2884"/>
      <c r="AM143" s="2884"/>
      <c r="AN143" s="2884"/>
      <c r="AO143" s="2884"/>
      <c r="AP143" s="2884">
        <f>AP144+AP145</f>
        <v>7935</v>
      </c>
      <c r="AQ143" s="2884"/>
      <c r="AR143" s="2884"/>
      <c r="AS143" s="2884"/>
      <c r="AT143" s="2884"/>
      <c r="AU143" s="2884"/>
      <c r="AV143" s="2884"/>
    </row>
    <row r="144" ht="17.25" customHeight="1" spans="1:48">
      <c r="A144" s="2885" t="s">
        <v>3953</v>
      </c>
      <c r="B144" s="2885"/>
      <c r="C144" s="2886" t="str">
        <f>Text!B265</f>
        <v>Tekući porez na dobit</v>
      </c>
      <c r="D144" s="2887"/>
      <c r="E144" s="2887"/>
      <c r="F144" s="2887"/>
      <c r="G144" s="2887"/>
      <c r="H144" s="2887"/>
      <c r="I144" s="2887"/>
      <c r="J144" s="2887"/>
      <c r="K144" s="2887"/>
      <c r="L144" s="2887"/>
      <c r="M144" s="2887"/>
      <c r="N144" s="2887"/>
      <c r="O144" s="2887"/>
      <c r="P144" s="2887"/>
      <c r="Q144" s="2887"/>
      <c r="R144" s="2887"/>
      <c r="S144" s="2887"/>
      <c r="T144" s="2887"/>
      <c r="U144" s="2887"/>
      <c r="V144" s="2887"/>
      <c r="W144" s="2887"/>
      <c r="X144" s="2887"/>
      <c r="Y144" s="2833">
        <v>721</v>
      </c>
      <c r="Z144" s="2834"/>
      <c r="AA144" s="2834"/>
      <c r="AB144" s="2834"/>
      <c r="AC144" s="2834"/>
      <c r="AD144" s="2835"/>
      <c r="AE144" s="2888"/>
      <c r="AF144" s="2888"/>
      <c r="AG144" s="2889">
        <v>313</v>
      </c>
      <c r="AH144" s="2890"/>
      <c r="AI144" s="2891">
        <f>ROUND(PorBilans!AE132,0)</f>
        <v>0</v>
      </c>
      <c r="AJ144" s="2891"/>
      <c r="AK144" s="2891"/>
      <c r="AL144" s="2891"/>
      <c r="AM144" s="2891"/>
      <c r="AN144" s="2891"/>
      <c r="AO144" s="2891"/>
      <c r="AP144" s="2891">
        <f>ROUND(Prethodna_2024!B117,0)</f>
        <v>7935</v>
      </c>
      <c r="AQ144" s="2891"/>
      <c r="AR144" s="2891"/>
      <c r="AS144" s="2891"/>
      <c r="AT144" s="2891"/>
      <c r="AU144" s="2891"/>
      <c r="AV144" s="2891"/>
    </row>
    <row r="145" ht="17.25" customHeight="1" spans="1:48">
      <c r="A145" s="2827" t="s">
        <v>3891</v>
      </c>
      <c r="B145" s="2827"/>
      <c r="C145" s="2828" t="str">
        <f>Text!B266</f>
        <v>Odgođeni porez na dobit (315-316+317-318)</v>
      </c>
      <c r="D145" s="2829"/>
      <c r="E145" s="2829"/>
      <c r="F145" s="2829"/>
      <c r="G145" s="2829"/>
      <c r="H145" s="2829"/>
      <c r="I145" s="2829"/>
      <c r="J145" s="2829"/>
      <c r="K145" s="2829"/>
      <c r="L145" s="2829"/>
      <c r="M145" s="2829"/>
      <c r="N145" s="2829"/>
      <c r="O145" s="2829"/>
      <c r="P145" s="2829"/>
      <c r="Q145" s="2829"/>
      <c r="R145" s="2829"/>
      <c r="S145" s="2829"/>
      <c r="T145" s="2829"/>
      <c r="U145" s="2829"/>
      <c r="V145" s="2829"/>
      <c r="W145" s="2829"/>
      <c r="X145" s="2829"/>
      <c r="Y145" s="2815"/>
      <c r="Z145" s="2816"/>
      <c r="AA145" s="2816"/>
      <c r="AB145" s="2816"/>
      <c r="AC145" s="2816"/>
      <c r="AD145" s="2817"/>
      <c r="AE145" s="2610"/>
      <c r="AF145" s="2610"/>
      <c r="AG145" s="2830">
        <v>314</v>
      </c>
      <c r="AH145" s="2812"/>
      <c r="AI145" s="2609">
        <f>AI146-AI147+AI148-AI149</f>
        <v>0</v>
      </c>
      <c r="AJ145" s="2609"/>
      <c r="AK145" s="2609"/>
      <c r="AL145" s="2609"/>
      <c r="AM145" s="2609"/>
      <c r="AN145" s="2609"/>
      <c r="AO145" s="2609"/>
      <c r="AP145" s="2609">
        <f>AP146-AP147+AP148-AP149</f>
        <v>0</v>
      </c>
      <c r="AQ145" s="2609"/>
      <c r="AR145" s="2609"/>
      <c r="AS145" s="2609"/>
      <c r="AT145" s="2609"/>
      <c r="AU145" s="2609"/>
      <c r="AV145" s="2609"/>
    </row>
    <row r="146" ht="17.25" customHeight="1" spans="1:48">
      <c r="A146" s="2885" t="s">
        <v>3893</v>
      </c>
      <c r="B146" s="2885"/>
      <c r="C146" s="2831" t="str">
        <f>Text!B267</f>
        <v>Efekat smanjenja odgođene porezne imovine</v>
      </c>
      <c r="D146" s="2832"/>
      <c r="E146" s="2832"/>
      <c r="F146" s="2832"/>
      <c r="G146" s="2832"/>
      <c r="H146" s="2832"/>
      <c r="I146" s="2832"/>
      <c r="J146" s="2832"/>
      <c r="K146" s="2832"/>
      <c r="L146" s="2832"/>
      <c r="M146" s="2832"/>
      <c r="N146" s="2832"/>
      <c r="O146" s="2832"/>
      <c r="P146" s="2832"/>
      <c r="Q146" s="2832"/>
      <c r="R146" s="2832"/>
      <c r="S146" s="2832"/>
      <c r="T146" s="2832"/>
      <c r="U146" s="2832"/>
      <c r="V146" s="2832"/>
      <c r="W146" s="2832"/>
      <c r="X146" s="2832"/>
      <c r="Y146" s="2833">
        <v>722</v>
      </c>
      <c r="Z146" s="2834"/>
      <c r="AA146" s="2834"/>
      <c r="AB146" s="2834"/>
      <c r="AC146" s="2834"/>
      <c r="AD146" s="2835"/>
      <c r="AE146" s="2892"/>
      <c r="AF146" s="2892"/>
      <c r="AG146" s="2830">
        <v>315</v>
      </c>
      <c r="AH146" s="2812"/>
      <c r="AI146" s="2891">
        <f>ROUND(UnosPod!F389,0)</f>
        <v>0</v>
      </c>
      <c r="AJ146" s="2891"/>
      <c r="AK146" s="2891"/>
      <c r="AL146" s="2891"/>
      <c r="AM146" s="2891"/>
      <c r="AN146" s="2891"/>
      <c r="AO146" s="2891"/>
      <c r="AP146" s="2891">
        <f>Prethodna_2024!B119</f>
        <v>0</v>
      </c>
      <c r="AQ146" s="2891"/>
      <c r="AR146" s="2891"/>
      <c r="AS146" s="2891"/>
      <c r="AT146" s="2891"/>
      <c r="AU146" s="2891"/>
      <c r="AV146" s="2891"/>
    </row>
    <row r="147" ht="17.25" customHeight="1" spans="1:48">
      <c r="A147" s="2827" t="s">
        <v>3896</v>
      </c>
      <c r="B147" s="2827"/>
      <c r="C147" s="2831" t="str">
        <f>Text!B268</f>
        <v>Efekat povećanja odgođene porezne imovine</v>
      </c>
      <c r="D147" s="2832"/>
      <c r="E147" s="2832"/>
      <c r="F147" s="2832"/>
      <c r="G147" s="2832"/>
      <c r="H147" s="2832"/>
      <c r="I147" s="2832"/>
      <c r="J147" s="2832"/>
      <c r="K147" s="2832"/>
      <c r="L147" s="2832"/>
      <c r="M147" s="2832"/>
      <c r="N147" s="2832"/>
      <c r="O147" s="2832"/>
      <c r="P147" s="2832"/>
      <c r="Q147" s="2832"/>
      <c r="R147" s="2832"/>
      <c r="S147" s="2832"/>
      <c r="T147" s="2832"/>
      <c r="U147" s="2832"/>
      <c r="V147" s="2832"/>
      <c r="W147" s="2832"/>
      <c r="X147" s="2832"/>
      <c r="Y147" s="2833">
        <v>723</v>
      </c>
      <c r="Z147" s="2834"/>
      <c r="AA147" s="2834"/>
      <c r="AB147" s="2834"/>
      <c r="AC147" s="2834"/>
      <c r="AD147" s="2835"/>
      <c r="AE147" s="2610"/>
      <c r="AF147" s="2610"/>
      <c r="AG147" s="2830">
        <v>316</v>
      </c>
      <c r="AH147" s="2812"/>
      <c r="AI147" s="2891">
        <f>ROUND(UnosPod!F390,0)</f>
        <v>0</v>
      </c>
      <c r="AJ147" s="2891"/>
      <c r="AK147" s="2891"/>
      <c r="AL147" s="2891"/>
      <c r="AM147" s="2891"/>
      <c r="AN147" s="2891"/>
      <c r="AO147" s="2891"/>
      <c r="AP147" s="2891">
        <f>Prethodna_2024!B120</f>
        <v>0</v>
      </c>
      <c r="AQ147" s="2891"/>
      <c r="AR147" s="2891"/>
      <c r="AS147" s="2891"/>
      <c r="AT147" s="2891"/>
      <c r="AU147" s="2891"/>
      <c r="AV147" s="2891"/>
    </row>
    <row r="148" ht="17.25" customHeight="1" spans="1:48">
      <c r="A148" s="2827" t="s">
        <v>3898</v>
      </c>
      <c r="B148" s="2827"/>
      <c r="C148" s="2831" t="str">
        <f>Text!B269</f>
        <v>Efekat povećanja odgođenih poreznih obaveza</v>
      </c>
      <c r="D148" s="2832"/>
      <c r="E148" s="2832"/>
      <c r="F148" s="2832"/>
      <c r="G148" s="2832"/>
      <c r="H148" s="2832"/>
      <c r="I148" s="2832"/>
      <c r="J148" s="2832"/>
      <c r="K148" s="2832"/>
      <c r="L148" s="2832"/>
      <c r="M148" s="2832"/>
      <c r="N148" s="2832"/>
      <c r="O148" s="2832"/>
      <c r="P148" s="2832"/>
      <c r="Q148" s="2832"/>
      <c r="R148" s="2832"/>
      <c r="S148" s="2832"/>
      <c r="T148" s="2832"/>
      <c r="U148" s="2832"/>
      <c r="V148" s="2832"/>
      <c r="W148" s="2832"/>
      <c r="X148" s="2832"/>
      <c r="Y148" s="2833">
        <v>724</v>
      </c>
      <c r="Z148" s="2834"/>
      <c r="AA148" s="2834"/>
      <c r="AB148" s="2834"/>
      <c r="AC148" s="2834"/>
      <c r="AD148" s="2835"/>
      <c r="AE148" s="2610"/>
      <c r="AF148" s="2610"/>
      <c r="AG148" s="2830">
        <v>317</v>
      </c>
      <c r="AH148" s="2812"/>
      <c r="AI148" s="2891">
        <f>ROUND(UnosPod!F391,0)</f>
        <v>0</v>
      </c>
      <c r="AJ148" s="2891"/>
      <c r="AK148" s="2891"/>
      <c r="AL148" s="2891"/>
      <c r="AM148" s="2891"/>
      <c r="AN148" s="2891"/>
      <c r="AO148" s="2891"/>
      <c r="AP148" s="2891">
        <f>Prethodna_2024!B121</f>
        <v>0</v>
      </c>
      <c r="AQ148" s="2891"/>
      <c r="AR148" s="2891"/>
      <c r="AS148" s="2891"/>
      <c r="AT148" s="2891"/>
      <c r="AU148" s="2891"/>
      <c r="AV148" s="2891"/>
    </row>
    <row r="149" ht="17.25" customHeight="1" spans="1:48">
      <c r="A149" s="2827" t="s">
        <v>3900</v>
      </c>
      <c r="B149" s="2827"/>
      <c r="C149" s="2831" t="str">
        <f>Text!B270</f>
        <v>Efekat smanjenja odgođenih poreznih obaveza</v>
      </c>
      <c r="D149" s="2832"/>
      <c r="E149" s="2832"/>
      <c r="F149" s="2832"/>
      <c r="G149" s="2832"/>
      <c r="H149" s="2832"/>
      <c r="I149" s="2832"/>
      <c r="J149" s="2832"/>
      <c r="K149" s="2832"/>
      <c r="L149" s="2832"/>
      <c r="M149" s="2832"/>
      <c r="N149" s="2832"/>
      <c r="O149" s="2832"/>
      <c r="P149" s="2832"/>
      <c r="Q149" s="2832"/>
      <c r="R149" s="2832"/>
      <c r="S149" s="2832"/>
      <c r="T149" s="2832"/>
      <c r="U149" s="2832"/>
      <c r="V149" s="2832"/>
      <c r="W149" s="2832"/>
      <c r="X149" s="2832"/>
      <c r="Y149" s="2833">
        <v>725</v>
      </c>
      <c r="Z149" s="2834"/>
      <c r="AA149" s="2834"/>
      <c r="AB149" s="2834"/>
      <c r="AC149" s="2834"/>
      <c r="AD149" s="2835"/>
      <c r="AE149" s="2610"/>
      <c r="AF149" s="2610"/>
      <c r="AG149" s="2830">
        <v>318</v>
      </c>
      <c r="AH149" s="2812"/>
      <c r="AI149" s="2891">
        <f>ROUND(UnosPod!F392,0)</f>
        <v>0</v>
      </c>
      <c r="AJ149" s="2891"/>
      <c r="AK149" s="2891"/>
      <c r="AL149" s="2891"/>
      <c r="AM149" s="2891"/>
      <c r="AN149" s="2891"/>
      <c r="AO149" s="2891"/>
      <c r="AP149" s="2891">
        <f>Prethodna_2024!B122</f>
        <v>0</v>
      </c>
      <c r="AQ149" s="2891"/>
      <c r="AR149" s="2891"/>
      <c r="AS149" s="2891"/>
      <c r="AT149" s="2891"/>
      <c r="AU149" s="2891"/>
      <c r="AV149" s="2891"/>
    </row>
    <row r="150" ht="17.25" customHeight="1" spans="1:48">
      <c r="A150" s="2827" t="s">
        <v>4153</v>
      </c>
      <c r="B150" s="2827"/>
      <c r="C150" s="2828" t="str">
        <f>Text!B271</f>
        <v>Dobit iz redovnog poslovanja (310+312)</v>
      </c>
      <c r="D150" s="2829"/>
      <c r="E150" s="2829"/>
      <c r="F150" s="2829"/>
      <c r="G150" s="2829"/>
      <c r="H150" s="2829"/>
      <c r="I150" s="2829"/>
      <c r="J150" s="2829"/>
      <c r="K150" s="2829"/>
      <c r="L150" s="2829"/>
      <c r="M150" s="2829"/>
      <c r="N150" s="2829"/>
      <c r="O150" s="2829"/>
      <c r="P150" s="2829"/>
      <c r="Q150" s="2829"/>
      <c r="R150" s="2829"/>
      <c r="S150" s="2829"/>
      <c r="T150" s="2829"/>
      <c r="U150" s="2829"/>
      <c r="V150" s="2829"/>
      <c r="W150" s="2829"/>
      <c r="X150" s="2829"/>
      <c r="Y150" s="2815"/>
      <c r="Z150" s="2816"/>
      <c r="AA150" s="2816"/>
      <c r="AB150" s="2816"/>
      <c r="AC150" s="2816"/>
      <c r="AD150" s="2817"/>
      <c r="AE150" s="2610"/>
      <c r="AF150" s="2610"/>
      <c r="AG150" s="2830">
        <v>319</v>
      </c>
      <c r="AH150" s="2812"/>
      <c r="AI150" s="2609">
        <f>IF(AI141-(AI142+AI143)&lt;0,0,AI141-(AI142+AI143))</f>
        <v>0</v>
      </c>
      <c r="AJ150" s="2609"/>
      <c r="AK150" s="2609"/>
      <c r="AL150" s="2609"/>
      <c r="AM150" s="2609"/>
      <c r="AN150" s="2609"/>
      <c r="AO150" s="2609"/>
      <c r="AP150" s="2609">
        <f>IF(AP141-(AP142+AP143)&lt;0,0,AP141-(AP142+AP143))</f>
        <v>91307</v>
      </c>
      <c r="AQ150" s="2609"/>
      <c r="AR150" s="2609"/>
      <c r="AS150" s="2609"/>
      <c r="AT150" s="2609"/>
      <c r="AU150" s="2609"/>
      <c r="AV150" s="2609"/>
    </row>
    <row r="151" ht="17.25" customHeight="1" spans="1:48">
      <c r="A151" s="2827" t="s">
        <v>4155</v>
      </c>
      <c r="B151" s="2827"/>
      <c r="C151" s="2828" t="str">
        <f>Text!B272</f>
        <v>Gubitak iz redovnog poslovanja (311+312)</v>
      </c>
      <c r="D151" s="2829"/>
      <c r="E151" s="2829"/>
      <c r="F151" s="2829"/>
      <c r="G151" s="2829"/>
      <c r="H151" s="2829"/>
      <c r="I151" s="2829"/>
      <c r="J151" s="2829"/>
      <c r="K151" s="2829"/>
      <c r="L151" s="2829"/>
      <c r="M151" s="2829"/>
      <c r="N151" s="2829"/>
      <c r="O151" s="2829"/>
      <c r="P151" s="2829"/>
      <c r="Q151" s="2829"/>
      <c r="R151" s="2829"/>
      <c r="S151" s="2829"/>
      <c r="T151" s="2829"/>
      <c r="U151" s="2829"/>
      <c r="V151" s="2829"/>
      <c r="W151" s="2829"/>
      <c r="X151" s="2829"/>
      <c r="Y151" s="2815"/>
      <c r="Z151" s="2816"/>
      <c r="AA151" s="2816"/>
      <c r="AB151" s="2816"/>
      <c r="AC151" s="2816"/>
      <c r="AD151" s="2817"/>
      <c r="AE151" s="2610"/>
      <c r="AF151" s="2610"/>
      <c r="AG151" s="2830">
        <v>320</v>
      </c>
      <c r="AH151" s="2812"/>
      <c r="AI151" s="2609">
        <f>IF(AI142+AI143-AI141&lt;0,0,AI142+AI143-AI141)</f>
        <v>59197</v>
      </c>
      <c r="AJ151" s="2609"/>
      <c r="AK151" s="2609"/>
      <c r="AL151" s="2609"/>
      <c r="AM151" s="2609"/>
      <c r="AN151" s="2609"/>
      <c r="AO151" s="2609"/>
      <c r="AP151" s="2609">
        <f>IF(AP142+AP143-AP141&lt;0,0,AP142+AP143-AP141)</f>
        <v>0</v>
      </c>
      <c r="AQ151" s="2609"/>
      <c r="AR151" s="2609"/>
      <c r="AS151" s="2609"/>
      <c r="AT151" s="2609"/>
      <c r="AU151" s="2609"/>
      <c r="AV151" s="2609"/>
    </row>
    <row r="152" ht="17.25" customHeight="1" spans="1:48">
      <c r="A152" s="2893" t="s">
        <v>4157</v>
      </c>
      <c r="B152" s="2893"/>
      <c r="C152" s="2894" t="str">
        <f>Text!B273</f>
        <v>Dobit ili gubitak od obustavljenog poslovanja</v>
      </c>
      <c r="D152" s="2895"/>
      <c r="E152" s="2895"/>
      <c r="F152" s="2895"/>
      <c r="G152" s="2895"/>
      <c r="H152" s="2895"/>
      <c r="I152" s="2895"/>
      <c r="J152" s="2895"/>
      <c r="K152" s="2895"/>
      <c r="L152" s="2895"/>
      <c r="M152" s="2895"/>
      <c r="N152" s="2895"/>
      <c r="O152" s="2895"/>
      <c r="P152" s="2895"/>
      <c r="Q152" s="2895"/>
      <c r="R152" s="2895"/>
      <c r="S152" s="2895"/>
      <c r="T152" s="2895"/>
      <c r="U152" s="2895"/>
      <c r="V152" s="2895"/>
      <c r="W152" s="2895"/>
      <c r="X152" s="2895"/>
      <c r="Y152" s="2896" t="s">
        <v>7037</v>
      </c>
      <c r="Z152" s="2897"/>
      <c r="AA152" s="2897"/>
      <c r="AB152" s="2897"/>
      <c r="AC152" s="2897"/>
      <c r="AD152" s="2898"/>
      <c r="AE152" s="2899"/>
      <c r="AF152" s="2899"/>
      <c r="AG152" s="2541">
        <v>321</v>
      </c>
      <c r="AH152" s="2543"/>
      <c r="AI152" s="2900">
        <f>ROUND(UnosPod!F178+UnosPod!F213-UnosPod!F318-UnosPod!F357,0)</f>
        <v>0</v>
      </c>
      <c r="AJ152" s="2900"/>
      <c r="AK152" s="2900"/>
      <c r="AL152" s="2900"/>
      <c r="AM152" s="2900"/>
      <c r="AN152" s="2900"/>
      <c r="AO152" s="2900"/>
      <c r="AP152" s="2900">
        <f>Prethodna_2024!B125</f>
        <v>0</v>
      </c>
      <c r="AQ152" s="2900"/>
      <c r="AR152" s="2900"/>
      <c r="AS152" s="2900"/>
      <c r="AT152" s="2900"/>
      <c r="AU152" s="2900"/>
      <c r="AV152" s="2900"/>
    </row>
    <row r="153" s="1757" customFormat="1" ht="17.25" customHeight="1" spans="1:48">
      <c r="A153" s="2865" t="s">
        <v>4159</v>
      </c>
      <c r="B153" s="2865"/>
      <c r="C153" s="2866" t="str">
        <f>Text!B274</f>
        <v>Dobit (319+321)</v>
      </c>
      <c r="D153" s="2867"/>
      <c r="E153" s="2867"/>
      <c r="F153" s="2867"/>
      <c r="G153" s="2867"/>
      <c r="H153" s="2867"/>
      <c r="I153" s="2867"/>
      <c r="J153" s="2867"/>
      <c r="K153" s="2867"/>
      <c r="L153" s="2867"/>
      <c r="M153" s="2867"/>
      <c r="N153" s="2867"/>
      <c r="O153" s="2867"/>
      <c r="P153" s="2867"/>
      <c r="Q153" s="2867"/>
      <c r="R153" s="2867"/>
      <c r="S153" s="2867"/>
      <c r="T153" s="2867"/>
      <c r="U153" s="2867"/>
      <c r="V153" s="2867"/>
      <c r="W153" s="2867"/>
      <c r="X153" s="2867"/>
      <c r="Y153" s="2868"/>
      <c r="Z153" s="2869"/>
      <c r="AA153" s="2869"/>
      <c r="AB153" s="2869"/>
      <c r="AC153" s="2869"/>
      <c r="AD153" s="2870"/>
      <c r="AE153" s="2871"/>
      <c r="AF153" s="2871"/>
      <c r="AG153" s="2872">
        <v>322</v>
      </c>
      <c r="AH153" s="2873"/>
      <c r="AI153" s="2874">
        <f>IF(AI150-AI151+AI152&lt;0,0,AI150-AI151+AI152)</f>
        <v>0</v>
      </c>
      <c r="AJ153" s="2874"/>
      <c r="AK153" s="2874"/>
      <c r="AL153" s="2874"/>
      <c r="AM153" s="2874"/>
      <c r="AN153" s="2874"/>
      <c r="AO153" s="2874"/>
      <c r="AP153" s="2874">
        <f>IF(AP150-AP151+AP152&lt;0,0,AP150-AP151+AP152)</f>
        <v>91307</v>
      </c>
      <c r="AQ153" s="2874"/>
      <c r="AR153" s="2874"/>
      <c r="AS153" s="2874"/>
      <c r="AT153" s="2874"/>
      <c r="AU153" s="2874"/>
      <c r="AV153" s="2874"/>
    </row>
    <row r="154" s="1757" customFormat="1" ht="17.25" customHeight="1" spans="1:48">
      <c r="A154" s="2875" t="s">
        <v>4161</v>
      </c>
      <c r="B154" s="2875"/>
      <c r="C154" s="2876" t="str">
        <f>Text!B275</f>
        <v>Gubitak (320+321)</v>
      </c>
      <c r="D154" s="2877"/>
      <c r="E154" s="2877"/>
      <c r="F154" s="2877"/>
      <c r="G154" s="2877"/>
      <c r="H154" s="2877"/>
      <c r="I154" s="2877"/>
      <c r="J154" s="2877"/>
      <c r="K154" s="2877"/>
      <c r="L154" s="2877"/>
      <c r="M154" s="2877"/>
      <c r="N154" s="2877"/>
      <c r="O154" s="2877"/>
      <c r="P154" s="2877"/>
      <c r="Q154" s="2877"/>
      <c r="R154" s="2877"/>
      <c r="S154" s="2877"/>
      <c r="T154" s="2877"/>
      <c r="U154" s="2877"/>
      <c r="V154" s="2877"/>
      <c r="W154" s="2877"/>
      <c r="X154" s="2877"/>
      <c r="Y154" s="2878"/>
      <c r="Z154" s="2879"/>
      <c r="AA154" s="2879"/>
      <c r="AB154" s="2879"/>
      <c r="AC154" s="2879"/>
      <c r="AD154" s="2880"/>
      <c r="AE154" s="2881"/>
      <c r="AF154" s="2881"/>
      <c r="AG154" s="2882">
        <v>323</v>
      </c>
      <c r="AH154" s="2883"/>
      <c r="AI154" s="2884">
        <f>IF(AI150-AI151+AI152&gt;0,0,(AI150-AI151+AI152)*-1)</f>
        <v>59197</v>
      </c>
      <c r="AJ154" s="2884"/>
      <c r="AK154" s="2884"/>
      <c r="AL154" s="2884"/>
      <c r="AM154" s="2884"/>
      <c r="AN154" s="2884"/>
      <c r="AO154" s="2884"/>
      <c r="AP154" s="2884">
        <f>IF(AP150-AP151+AP152&gt;0,0,(AP150-AP151+AP152)*-1)</f>
        <v>0</v>
      </c>
      <c r="AQ154" s="2884"/>
      <c r="AR154" s="2884"/>
      <c r="AS154" s="2884"/>
      <c r="AT154" s="2884"/>
      <c r="AU154" s="2884"/>
      <c r="AV154" s="2884"/>
    </row>
    <row r="155" s="1757" customFormat="1" ht="18" customHeight="1"/>
    <row r="156" s="1757" customFormat="1" ht="18" customHeight="1"/>
    <row r="157" ht="15" customHeight="1" spans="1:48">
      <c r="A157" s="2827">
        <v>1</v>
      </c>
      <c r="B157" s="2827"/>
      <c r="C157" s="2812">
        <v>2</v>
      </c>
      <c r="D157" s="2827"/>
      <c r="E157" s="2827"/>
      <c r="F157" s="2827"/>
      <c r="G157" s="2827"/>
      <c r="H157" s="2827"/>
      <c r="I157" s="2827"/>
      <c r="J157" s="2827"/>
      <c r="K157" s="2827"/>
      <c r="L157" s="2827"/>
      <c r="M157" s="2827"/>
      <c r="N157" s="2827"/>
      <c r="O157" s="2827"/>
      <c r="P157" s="2827"/>
      <c r="Q157" s="2827"/>
      <c r="R157" s="2827"/>
      <c r="S157" s="2827"/>
      <c r="T157" s="2827"/>
      <c r="U157" s="2827"/>
      <c r="V157" s="2827"/>
      <c r="W157" s="2827"/>
      <c r="X157" s="2830"/>
      <c r="Y157" s="2816"/>
      <c r="Z157" s="2816"/>
      <c r="AA157" s="2816"/>
      <c r="AB157" s="2816"/>
      <c r="AC157" s="2816"/>
      <c r="AD157" s="2817"/>
      <c r="AE157" s="2827">
        <v>3</v>
      </c>
      <c r="AF157" s="2827"/>
      <c r="AG157" s="2827">
        <v>4</v>
      </c>
      <c r="AH157" s="2827"/>
      <c r="AI157" s="2827">
        <v>5</v>
      </c>
      <c r="AJ157" s="2827"/>
      <c r="AK157" s="2827"/>
      <c r="AL157" s="2827"/>
      <c r="AM157" s="2827"/>
      <c r="AN157" s="2827"/>
      <c r="AO157" s="2827"/>
      <c r="AP157" s="2827">
        <v>6</v>
      </c>
      <c r="AQ157" s="2827"/>
      <c r="AR157" s="2827"/>
      <c r="AS157" s="2827"/>
      <c r="AT157" s="2827"/>
      <c r="AU157" s="2827"/>
      <c r="AV157" s="2827"/>
    </row>
    <row r="158" ht="18" customHeight="1" spans="1:48">
      <c r="A158" s="2827"/>
      <c r="B158" s="2827"/>
      <c r="C158" s="2813" t="str">
        <f>Text!B276</f>
        <v>IZVJEŠTAJ O OSTALOM UKUPNOM REZULTATU</v>
      </c>
      <c r="D158" s="2814"/>
      <c r="E158" s="2814"/>
      <c r="F158" s="2814"/>
      <c r="G158" s="2814"/>
      <c r="H158" s="2814"/>
      <c r="I158" s="2814"/>
      <c r="J158" s="2814"/>
      <c r="K158" s="2814"/>
      <c r="L158" s="2814"/>
      <c r="M158" s="2814"/>
      <c r="N158" s="2814"/>
      <c r="O158" s="2814"/>
      <c r="P158" s="2814"/>
      <c r="Q158" s="2814"/>
      <c r="R158" s="2814"/>
      <c r="S158" s="2814"/>
      <c r="T158" s="2814"/>
      <c r="U158" s="2814"/>
      <c r="V158" s="2814"/>
      <c r="W158" s="2814"/>
      <c r="X158" s="2814"/>
      <c r="Y158" s="2815"/>
      <c r="Z158" s="2816"/>
      <c r="AA158" s="2816"/>
      <c r="AB158" s="2816"/>
      <c r="AC158" s="2816"/>
      <c r="AD158" s="2817"/>
      <c r="AE158" s="2610"/>
      <c r="AF158" s="2610"/>
      <c r="AG158" s="2901"/>
      <c r="AH158" s="2901"/>
      <c r="AI158" s="2609"/>
      <c r="AJ158" s="2609"/>
      <c r="AK158" s="2609"/>
      <c r="AL158" s="2609"/>
      <c r="AM158" s="2609"/>
      <c r="AN158" s="2609"/>
      <c r="AO158" s="2609"/>
      <c r="AP158" s="2609"/>
      <c r="AQ158" s="2609"/>
      <c r="AR158" s="2609"/>
      <c r="AS158" s="2609"/>
      <c r="AT158" s="2609"/>
      <c r="AU158" s="2609"/>
      <c r="AV158" s="2609"/>
    </row>
    <row r="159" ht="18" customHeight="1" spans="1:48">
      <c r="A159" s="2827" t="s">
        <v>7038</v>
      </c>
      <c r="B159" s="2827"/>
      <c r="C159" s="2828" t="str">
        <f>Text!B277</f>
        <v>Ostali ukupni rezultat (+325+331)</v>
      </c>
      <c r="D159" s="2829"/>
      <c r="E159" s="2829"/>
      <c r="F159" s="2829"/>
      <c r="G159" s="2829"/>
      <c r="H159" s="2829"/>
      <c r="I159" s="2829"/>
      <c r="J159" s="2829"/>
      <c r="K159" s="2829"/>
      <c r="L159" s="2829"/>
      <c r="M159" s="2829"/>
      <c r="N159" s="2829"/>
      <c r="O159" s="2829"/>
      <c r="P159" s="2829"/>
      <c r="Q159" s="2829"/>
      <c r="R159" s="2829"/>
      <c r="S159" s="2829"/>
      <c r="T159" s="2829"/>
      <c r="U159" s="2829"/>
      <c r="V159" s="2829"/>
      <c r="W159" s="2829"/>
      <c r="X159" s="2829"/>
      <c r="Y159" s="2815"/>
      <c r="Z159" s="2816"/>
      <c r="AA159" s="2816"/>
      <c r="AB159" s="2816"/>
      <c r="AC159" s="2816"/>
      <c r="AD159" s="2817"/>
      <c r="AE159" s="2610"/>
      <c r="AF159" s="2610"/>
      <c r="AG159" s="2830">
        <v>324</v>
      </c>
      <c r="AH159" s="2812"/>
      <c r="AI159" s="2609">
        <f>AI160+AI166</f>
        <v>0</v>
      </c>
      <c r="AJ159" s="2609"/>
      <c r="AK159" s="2609"/>
      <c r="AL159" s="2609"/>
      <c r="AM159" s="2609"/>
      <c r="AN159" s="2609"/>
      <c r="AO159" s="2609"/>
      <c r="AP159" s="2609">
        <f>AP160+AP166</f>
        <v>0</v>
      </c>
      <c r="AQ159" s="2609"/>
      <c r="AR159" s="2609"/>
      <c r="AS159" s="2609"/>
      <c r="AT159" s="2609"/>
      <c r="AU159" s="2609"/>
      <c r="AV159" s="2609"/>
    </row>
    <row r="160" ht="18" customHeight="1" spans="1:48">
      <c r="A160" s="2827" t="s">
        <v>3953</v>
      </c>
      <c r="B160" s="2827"/>
      <c r="C160" s="2828" t="str">
        <f>Text!B278</f>
        <v>Stavke koje mogu biti reklasifikovane u bilans uspjeha (+326 +327 +328 +329 -330)</v>
      </c>
      <c r="D160" s="2829"/>
      <c r="E160" s="2829"/>
      <c r="F160" s="2829"/>
      <c r="G160" s="2829"/>
      <c r="H160" s="2829"/>
      <c r="I160" s="2829"/>
      <c r="J160" s="2829"/>
      <c r="K160" s="2829"/>
      <c r="L160" s="2829"/>
      <c r="M160" s="2829"/>
      <c r="N160" s="2829"/>
      <c r="O160" s="2829"/>
      <c r="P160" s="2829"/>
      <c r="Q160" s="2829"/>
      <c r="R160" s="2829"/>
      <c r="S160" s="2829"/>
      <c r="T160" s="2829"/>
      <c r="U160" s="2829"/>
      <c r="V160" s="2829"/>
      <c r="W160" s="2829"/>
      <c r="X160" s="2829"/>
      <c r="Y160" s="2815"/>
      <c r="Z160" s="2816"/>
      <c r="AA160" s="2816"/>
      <c r="AB160" s="2816"/>
      <c r="AC160" s="2816"/>
      <c r="AD160" s="2817"/>
      <c r="AE160" s="2610"/>
      <c r="AF160" s="2610"/>
      <c r="AG160" s="2830">
        <v>325</v>
      </c>
      <c r="AH160" s="2812"/>
      <c r="AI160" s="2609">
        <f>SUM(AI161:AO165)</f>
        <v>0</v>
      </c>
      <c r="AJ160" s="2609"/>
      <c r="AK160" s="2609"/>
      <c r="AL160" s="2609"/>
      <c r="AM160" s="2609"/>
      <c r="AN160" s="2609"/>
      <c r="AO160" s="2609"/>
      <c r="AP160" s="2609">
        <f>SUM(AP161:AV165)</f>
        <v>0</v>
      </c>
      <c r="AQ160" s="2609"/>
      <c r="AR160" s="2609"/>
      <c r="AS160" s="2609"/>
      <c r="AT160" s="2609"/>
      <c r="AU160" s="2609"/>
      <c r="AV160" s="2609"/>
    </row>
    <row r="161" ht="32.25" customHeight="1" spans="1:48">
      <c r="A161" s="2827" t="s">
        <v>3875</v>
      </c>
      <c r="B161" s="2827"/>
      <c r="C161" s="2831" t="str">
        <f>Text!B279</f>
        <v>Povećanje/(smanjenje) fer vrijednosti dužničkih instrumenata po fer vrijednosti kroz ostali ukupni rezultat</v>
      </c>
      <c r="D161" s="2832"/>
      <c r="E161" s="2832"/>
      <c r="F161" s="2832"/>
      <c r="G161" s="2832"/>
      <c r="H161" s="2832"/>
      <c r="I161" s="2832"/>
      <c r="J161" s="2832"/>
      <c r="K161" s="2832"/>
      <c r="L161" s="2832"/>
      <c r="M161" s="2832"/>
      <c r="N161" s="2832"/>
      <c r="O161" s="2832"/>
      <c r="P161" s="2832"/>
      <c r="Q161" s="2832"/>
      <c r="R161" s="2832"/>
      <c r="S161" s="2832"/>
      <c r="T161" s="2832"/>
      <c r="U161" s="2832"/>
      <c r="V161" s="2832"/>
      <c r="W161" s="2832"/>
      <c r="X161" s="2832"/>
      <c r="Y161" s="2815"/>
      <c r="Z161" s="2816"/>
      <c r="AA161" s="2816"/>
      <c r="AB161" s="2816"/>
      <c r="AC161" s="2816"/>
      <c r="AD161" s="2817"/>
      <c r="AE161" s="2610"/>
      <c r="AF161" s="2610"/>
      <c r="AG161" s="2830">
        <v>326</v>
      </c>
      <c r="AH161" s="2812"/>
      <c r="AI161" s="2609">
        <f>ROUND(UnosPod!F397,0)</f>
        <v>0</v>
      </c>
      <c r="AJ161" s="2609"/>
      <c r="AK161" s="2609"/>
      <c r="AL161" s="2609"/>
      <c r="AM161" s="2609"/>
      <c r="AN161" s="2609"/>
      <c r="AO161" s="2609"/>
      <c r="AP161" s="2609">
        <f>Prethodna_2024!B130</f>
        <v>0</v>
      </c>
      <c r="AQ161" s="2609"/>
      <c r="AR161" s="2609"/>
      <c r="AS161" s="2609"/>
      <c r="AT161" s="2609"/>
      <c r="AU161" s="2609"/>
      <c r="AV161" s="2609"/>
    </row>
    <row r="162" customHeight="1" spans="1:48">
      <c r="A162" s="2827" t="s">
        <v>3877</v>
      </c>
      <c r="B162" s="2827"/>
      <c r="C162" s="2831" t="str">
        <f>Text!B280</f>
        <v>Efekti proistekli iz transakcija zaštite ("hedging")</v>
      </c>
      <c r="D162" s="2832"/>
      <c r="E162" s="2832"/>
      <c r="F162" s="2832"/>
      <c r="G162" s="2832"/>
      <c r="H162" s="2832"/>
      <c r="I162" s="2832"/>
      <c r="J162" s="2832"/>
      <c r="K162" s="2832"/>
      <c r="L162" s="2832"/>
      <c r="M162" s="2832"/>
      <c r="N162" s="2832"/>
      <c r="O162" s="2832"/>
      <c r="P162" s="2832"/>
      <c r="Q162" s="2832"/>
      <c r="R162" s="2832"/>
      <c r="S162" s="2832"/>
      <c r="T162" s="2832"/>
      <c r="U162" s="2832"/>
      <c r="V162" s="2832"/>
      <c r="W162" s="2832"/>
      <c r="X162" s="2832"/>
      <c r="Y162" s="2815"/>
      <c r="Z162" s="2816"/>
      <c r="AA162" s="2816"/>
      <c r="AB162" s="2816"/>
      <c r="AC162" s="2816"/>
      <c r="AD162" s="2817"/>
      <c r="AE162" s="2610"/>
      <c r="AF162" s="2610"/>
      <c r="AG162" s="2830">
        <v>327</v>
      </c>
      <c r="AH162" s="2812"/>
      <c r="AI162" s="2609">
        <f>ROUND(UnosPod!F398,0)</f>
        <v>0</v>
      </c>
      <c r="AJ162" s="2609"/>
      <c r="AK162" s="2609"/>
      <c r="AL162" s="2609"/>
      <c r="AM162" s="2609"/>
      <c r="AN162" s="2609"/>
      <c r="AO162" s="2609"/>
      <c r="AP162" s="2609">
        <f>Prethodna_2024!B131</f>
        <v>0</v>
      </c>
      <c r="AQ162" s="2609"/>
      <c r="AR162" s="2609"/>
      <c r="AS162" s="2609"/>
      <c r="AT162" s="2609"/>
      <c r="AU162" s="2609"/>
      <c r="AV162" s="2609"/>
    </row>
    <row r="163" ht="29.25" customHeight="1" spans="1:48">
      <c r="A163" s="2827" t="s">
        <v>3880</v>
      </c>
      <c r="B163" s="2827"/>
      <c r="C163" s="2831" t="str">
        <f>Text!B281</f>
        <v>Udio u ostalom ukupnom rezultatu pridruženog društva i zajedničkog poduhvata primjenom metode udjela</v>
      </c>
      <c r="D163" s="2832"/>
      <c r="E163" s="2832"/>
      <c r="F163" s="2832"/>
      <c r="G163" s="2832"/>
      <c r="H163" s="2832"/>
      <c r="I163" s="2832"/>
      <c r="J163" s="2832"/>
      <c r="K163" s="2832"/>
      <c r="L163" s="2832"/>
      <c r="M163" s="2832"/>
      <c r="N163" s="2832"/>
      <c r="O163" s="2832"/>
      <c r="P163" s="2832"/>
      <c r="Q163" s="2832"/>
      <c r="R163" s="2832"/>
      <c r="S163" s="2832"/>
      <c r="T163" s="2832"/>
      <c r="U163" s="2832"/>
      <c r="V163" s="2832"/>
      <c r="W163" s="2832"/>
      <c r="X163" s="2832"/>
      <c r="Y163" s="2815"/>
      <c r="Z163" s="2816"/>
      <c r="AA163" s="2816"/>
      <c r="AB163" s="2816"/>
      <c r="AC163" s="2816"/>
      <c r="AD163" s="2817"/>
      <c r="AE163" s="2610"/>
      <c r="AF163" s="2610"/>
      <c r="AG163" s="2830">
        <v>328</v>
      </c>
      <c r="AH163" s="2812"/>
      <c r="AI163" s="2609">
        <f>ROUND(UnosPod!F399,0)</f>
        <v>0</v>
      </c>
      <c r="AJ163" s="2609"/>
      <c r="AK163" s="2609"/>
      <c r="AL163" s="2609"/>
      <c r="AM163" s="2609"/>
      <c r="AN163" s="2609"/>
      <c r="AO163" s="2609"/>
      <c r="AP163" s="2609">
        <f>Prethodna_2024!B132</f>
        <v>0</v>
      </c>
      <c r="AQ163" s="2609"/>
      <c r="AR163" s="2609"/>
      <c r="AS163" s="2609"/>
      <c r="AT163" s="2609"/>
      <c r="AU163" s="2609"/>
      <c r="AV163" s="2609"/>
    </row>
    <row r="164" ht="21.75" customHeight="1" spans="1:48">
      <c r="A164" s="2827" t="s">
        <v>3883</v>
      </c>
      <c r="B164" s="2827"/>
      <c r="C164" s="2831" t="str">
        <f>Text!B282</f>
        <v>Ostale stavke koje mogu biti reklasifikovane u bilans uspjeha</v>
      </c>
      <c r="D164" s="2832"/>
      <c r="E164" s="2832"/>
      <c r="F164" s="2832"/>
      <c r="G164" s="2832"/>
      <c r="H164" s="2832"/>
      <c r="I164" s="2832"/>
      <c r="J164" s="2832"/>
      <c r="K164" s="2832"/>
      <c r="L164" s="2832"/>
      <c r="M164" s="2832"/>
      <c r="N164" s="2832"/>
      <c r="O164" s="2832"/>
      <c r="P164" s="2832"/>
      <c r="Q164" s="2832"/>
      <c r="R164" s="2832"/>
      <c r="S164" s="2832"/>
      <c r="T164" s="2832"/>
      <c r="U164" s="2832"/>
      <c r="V164" s="2832"/>
      <c r="W164" s="2832"/>
      <c r="X164" s="2832"/>
      <c r="Y164" s="2815"/>
      <c r="Z164" s="2816"/>
      <c r="AA164" s="2816"/>
      <c r="AB164" s="2816"/>
      <c r="AC164" s="2816"/>
      <c r="AD164" s="2817"/>
      <c r="AE164" s="2610"/>
      <c r="AF164" s="2610"/>
      <c r="AG164" s="2830">
        <v>329</v>
      </c>
      <c r="AH164" s="2812"/>
      <c r="AI164" s="2609">
        <f>ROUND(UnosPod!F400,0)</f>
        <v>0</v>
      </c>
      <c r="AJ164" s="2609"/>
      <c r="AK164" s="2609"/>
      <c r="AL164" s="2609"/>
      <c r="AM164" s="2609"/>
      <c r="AN164" s="2609"/>
      <c r="AO164" s="2609"/>
      <c r="AP164" s="2609">
        <f>Prethodna_2024!B133</f>
        <v>0</v>
      </c>
      <c r="AQ164" s="2609"/>
      <c r="AR164" s="2609"/>
      <c r="AS164" s="2609"/>
      <c r="AT164" s="2609"/>
      <c r="AU164" s="2609"/>
      <c r="AV164" s="2609"/>
    </row>
    <row r="165" ht="21.75" customHeight="1" spans="1:48">
      <c r="A165" s="2827" t="s">
        <v>3886</v>
      </c>
      <c r="B165" s="2827"/>
      <c r="C165" s="2831" t="str">
        <f>Text!B283</f>
        <v>Porez na dobit koji se odnosi na ove stavke</v>
      </c>
      <c r="D165" s="2832"/>
      <c r="E165" s="2832"/>
      <c r="F165" s="2832"/>
      <c r="G165" s="2832"/>
      <c r="H165" s="2832"/>
      <c r="I165" s="2832"/>
      <c r="J165" s="2832"/>
      <c r="K165" s="2832"/>
      <c r="L165" s="2832"/>
      <c r="M165" s="2832"/>
      <c r="N165" s="2832"/>
      <c r="O165" s="2832"/>
      <c r="P165" s="2832"/>
      <c r="Q165" s="2832"/>
      <c r="R165" s="2832"/>
      <c r="S165" s="2832"/>
      <c r="T165" s="2832"/>
      <c r="U165" s="2832"/>
      <c r="V165" s="2832"/>
      <c r="W165" s="2832"/>
      <c r="X165" s="2832"/>
      <c r="Y165" s="2815"/>
      <c r="Z165" s="2816"/>
      <c r="AA165" s="2816"/>
      <c r="AB165" s="2816"/>
      <c r="AC165" s="2816"/>
      <c r="AD165" s="2817"/>
      <c r="AE165" s="2610"/>
      <c r="AF165" s="2610"/>
      <c r="AG165" s="2830">
        <v>330</v>
      </c>
      <c r="AH165" s="2812"/>
      <c r="AI165" s="2609">
        <f>ROUND(UnosPod!F401,0)</f>
        <v>0</v>
      </c>
      <c r="AJ165" s="2609"/>
      <c r="AK165" s="2609"/>
      <c r="AL165" s="2609"/>
      <c r="AM165" s="2609"/>
      <c r="AN165" s="2609"/>
      <c r="AO165" s="2609"/>
      <c r="AP165" s="2609">
        <f>Prethodna_2024!B134</f>
        <v>0</v>
      </c>
      <c r="AQ165" s="2609"/>
      <c r="AR165" s="2609"/>
      <c r="AS165" s="2609"/>
      <c r="AT165" s="2609"/>
      <c r="AU165" s="2609"/>
      <c r="AV165" s="2609"/>
    </row>
    <row r="166" ht="31.5" customHeight="1" spans="1:48">
      <c r="A166" s="2827" t="s">
        <v>3891</v>
      </c>
      <c r="B166" s="2827"/>
      <c r="C166" s="2828" t="str">
        <f>Text!B284</f>
        <v>Stavke koje neće biti reklasifikovane u bilans uspjeha (+332 +333 +334 +335 +336 +337 -338)</v>
      </c>
      <c r="D166" s="2829"/>
      <c r="E166" s="2829"/>
      <c r="F166" s="2829"/>
      <c r="G166" s="2829"/>
      <c r="H166" s="2829"/>
      <c r="I166" s="2829"/>
      <c r="J166" s="2829"/>
      <c r="K166" s="2829"/>
      <c r="L166" s="2829"/>
      <c r="M166" s="2829"/>
      <c r="N166" s="2829"/>
      <c r="O166" s="2829"/>
      <c r="P166" s="2829"/>
      <c r="Q166" s="2829"/>
      <c r="R166" s="2829"/>
      <c r="S166" s="2829"/>
      <c r="T166" s="2829"/>
      <c r="U166" s="2829"/>
      <c r="V166" s="2829"/>
      <c r="W166" s="2829"/>
      <c r="X166" s="2829"/>
      <c r="Y166" s="2815"/>
      <c r="Z166" s="2816"/>
      <c r="AA166" s="2816"/>
      <c r="AB166" s="2816"/>
      <c r="AC166" s="2816"/>
      <c r="AD166" s="2817"/>
      <c r="AE166" s="2610"/>
      <c r="AF166" s="2610"/>
      <c r="AG166" s="2830">
        <v>331</v>
      </c>
      <c r="AH166" s="2812"/>
      <c r="AI166" s="2609">
        <f>SUM(AI167:AO173)</f>
        <v>0</v>
      </c>
      <c r="AJ166" s="2609"/>
      <c r="AK166" s="2609"/>
      <c r="AL166" s="2609"/>
      <c r="AM166" s="2609"/>
      <c r="AN166" s="2609"/>
      <c r="AO166" s="2609"/>
      <c r="AP166" s="2609">
        <f>SUM(AP167:AV173)</f>
        <v>0</v>
      </c>
      <c r="AQ166" s="2609"/>
      <c r="AR166" s="2609"/>
      <c r="AS166" s="2609"/>
      <c r="AT166" s="2609"/>
      <c r="AU166" s="2609"/>
      <c r="AV166" s="2609"/>
    </row>
    <row r="167" ht="15.75" customHeight="1" spans="1:48">
      <c r="A167" s="2827" t="s">
        <v>3893</v>
      </c>
      <c r="B167" s="2827"/>
      <c r="C167" s="2831" t="str">
        <f>Text!B285</f>
        <v>Revalorizacija zemljišta i građevina</v>
      </c>
      <c r="D167" s="2832"/>
      <c r="E167" s="2832"/>
      <c r="F167" s="2832"/>
      <c r="G167" s="2832"/>
      <c r="H167" s="2832"/>
      <c r="I167" s="2832"/>
      <c r="J167" s="2832"/>
      <c r="K167" s="2832"/>
      <c r="L167" s="2832"/>
      <c r="M167" s="2832"/>
      <c r="N167" s="2832"/>
      <c r="O167" s="2832"/>
      <c r="P167" s="2832"/>
      <c r="Q167" s="2832"/>
      <c r="R167" s="2832"/>
      <c r="S167" s="2832"/>
      <c r="T167" s="2832"/>
      <c r="U167" s="2832"/>
      <c r="V167" s="2832"/>
      <c r="W167" s="2832"/>
      <c r="X167" s="2832"/>
      <c r="Y167" s="2815"/>
      <c r="Z167" s="2816"/>
      <c r="AA167" s="2816"/>
      <c r="AB167" s="2816"/>
      <c r="AC167" s="2816"/>
      <c r="AD167" s="2817"/>
      <c r="AE167" s="2610"/>
      <c r="AF167" s="2610"/>
      <c r="AG167" s="2830">
        <v>332</v>
      </c>
      <c r="AH167" s="2812"/>
      <c r="AI167" s="2606">
        <f>ROUND(UnosPod!F402,0)</f>
        <v>0</v>
      </c>
      <c r="AJ167" s="2607"/>
      <c r="AK167" s="2607"/>
      <c r="AL167" s="2607"/>
      <c r="AM167" s="2607"/>
      <c r="AN167" s="2607"/>
      <c r="AO167" s="2608"/>
      <c r="AP167" s="2606">
        <f>Prethodna_2024!B136</f>
        <v>0</v>
      </c>
      <c r="AQ167" s="2607"/>
      <c r="AR167" s="2607"/>
      <c r="AS167" s="2607"/>
      <c r="AT167" s="2607"/>
      <c r="AU167" s="2607"/>
      <c r="AV167" s="2608"/>
    </row>
    <row r="168" ht="30.75" customHeight="1" spans="1:48">
      <c r="A168" s="2827" t="s">
        <v>3896</v>
      </c>
      <c r="B168" s="2827"/>
      <c r="C168" s="2831" t="str">
        <f>Text!B286</f>
        <v>Povećanje/(smanjenje) fer vrijednosti instrumenata kapitala po fer vrijednosti kroz ostali ukupni rezultat</v>
      </c>
      <c r="D168" s="2832"/>
      <c r="E168" s="2832"/>
      <c r="F168" s="2832"/>
      <c r="G168" s="2832"/>
      <c r="H168" s="2832"/>
      <c r="I168" s="2832"/>
      <c r="J168" s="2832"/>
      <c r="K168" s="2832"/>
      <c r="L168" s="2832"/>
      <c r="M168" s="2832"/>
      <c r="N168" s="2832"/>
      <c r="O168" s="2832"/>
      <c r="P168" s="2832"/>
      <c r="Q168" s="2832"/>
      <c r="R168" s="2832"/>
      <c r="S168" s="2832"/>
      <c r="T168" s="2832"/>
      <c r="U168" s="2832"/>
      <c r="V168" s="2832"/>
      <c r="W168" s="2832"/>
      <c r="X168" s="2832"/>
      <c r="Y168" s="2815"/>
      <c r="Z168" s="2816"/>
      <c r="AA168" s="2816"/>
      <c r="AB168" s="2816"/>
      <c r="AC168" s="2816"/>
      <c r="AD168" s="2817"/>
      <c r="AE168" s="2610"/>
      <c r="AF168" s="2610"/>
      <c r="AG168" s="2830">
        <v>333</v>
      </c>
      <c r="AH168" s="2812"/>
      <c r="AI168" s="2606">
        <f>ROUND(UnosPod!F403,0)</f>
        <v>0</v>
      </c>
      <c r="AJ168" s="2607"/>
      <c r="AK168" s="2607"/>
      <c r="AL168" s="2607"/>
      <c r="AM168" s="2607"/>
      <c r="AN168" s="2607"/>
      <c r="AO168" s="2608"/>
      <c r="AP168" s="2606">
        <f>Prethodna_2024!B137</f>
        <v>0</v>
      </c>
      <c r="AQ168" s="2607"/>
      <c r="AR168" s="2607"/>
      <c r="AS168" s="2607"/>
      <c r="AT168" s="2607"/>
      <c r="AU168" s="2607"/>
      <c r="AV168" s="2608"/>
    </row>
    <row r="169" ht="17.25" customHeight="1" spans="1:48">
      <c r="A169" s="2827" t="s">
        <v>3898</v>
      </c>
      <c r="B169" s="2827"/>
      <c r="C169" s="2831" t="str">
        <f>Text!B287</f>
        <v>Aktuarski dobici/(gubici) od planova definiranih primanja</v>
      </c>
      <c r="D169" s="2832"/>
      <c r="E169" s="2832"/>
      <c r="F169" s="2832"/>
      <c r="G169" s="2832"/>
      <c r="H169" s="2832"/>
      <c r="I169" s="2832"/>
      <c r="J169" s="2832"/>
      <c r="K169" s="2832"/>
      <c r="L169" s="2832"/>
      <c r="M169" s="2832"/>
      <c r="N169" s="2832"/>
      <c r="O169" s="2832"/>
      <c r="P169" s="2832"/>
      <c r="Q169" s="2832"/>
      <c r="R169" s="2832"/>
      <c r="S169" s="2832"/>
      <c r="T169" s="2832"/>
      <c r="U169" s="2832"/>
      <c r="V169" s="2832"/>
      <c r="W169" s="2832"/>
      <c r="X169" s="2832"/>
      <c r="Y169" s="2815"/>
      <c r="Z169" s="2816"/>
      <c r="AA169" s="2816"/>
      <c r="AB169" s="2816"/>
      <c r="AC169" s="2816"/>
      <c r="AD169" s="2817"/>
      <c r="AE169" s="2610"/>
      <c r="AF169" s="2610"/>
      <c r="AG169" s="2830">
        <v>334</v>
      </c>
      <c r="AH169" s="2812"/>
      <c r="AI169" s="2606">
        <f>ROUND(UnosPod!F404,0)</f>
        <v>0</v>
      </c>
      <c r="AJ169" s="2607"/>
      <c r="AK169" s="2607"/>
      <c r="AL169" s="2607"/>
      <c r="AM169" s="2607"/>
      <c r="AN169" s="2607"/>
      <c r="AO169" s="2608"/>
      <c r="AP169" s="2606">
        <f>Prethodna_2024!B138</f>
        <v>0</v>
      </c>
      <c r="AQ169" s="2607"/>
      <c r="AR169" s="2607"/>
      <c r="AS169" s="2607"/>
      <c r="AT169" s="2607"/>
      <c r="AU169" s="2607"/>
      <c r="AV169" s="2608"/>
    </row>
    <row r="170" customHeight="1" spans="1:48">
      <c r="A170" s="2827" t="s">
        <v>3900</v>
      </c>
      <c r="B170" s="2827"/>
      <c r="C170" s="2831" t="str">
        <f>Text!B288</f>
        <v>Dobici ili gubici po osnovu preračunavanja finansijskih izvještaja inostranog poslovanja </v>
      </c>
      <c r="D170" s="2832"/>
      <c r="E170" s="2832"/>
      <c r="F170" s="2832"/>
      <c r="G170" s="2832"/>
      <c r="H170" s="2832"/>
      <c r="I170" s="2832"/>
      <c r="J170" s="2832"/>
      <c r="K170" s="2832"/>
      <c r="L170" s="2832"/>
      <c r="M170" s="2832"/>
      <c r="N170" s="2832"/>
      <c r="O170" s="2832"/>
      <c r="P170" s="2832"/>
      <c r="Q170" s="2832"/>
      <c r="R170" s="2832"/>
      <c r="S170" s="2832"/>
      <c r="T170" s="2832"/>
      <c r="U170" s="2832"/>
      <c r="V170" s="2832"/>
      <c r="W170" s="2832"/>
      <c r="X170" s="2832"/>
      <c r="Y170" s="2815"/>
      <c r="Z170" s="2816"/>
      <c r="AA170" s="2816"/>
      <c r="AB170" s="2816"/>
      <c r="AC170" s="2816"/>
      <c r="AD170" s="2817"/>
      <c r="AE170" s="2610"/>
      <c r="AF170" s="2610"/>
      <c r="AG170" s="2830">
        <v>335</v>
      </c>
      <c r="AH170" s="2812"/>
      <c r="AI170" s="2606">
        <f>ROUND(UnosPod!F405,0)</f>
        <v>0</v>
      </c>
      <c r="AJ170" s="2607"/>
      <c r="AK170" s="2607"/>
      <c r="AL170" s="2607"/>
      <c r="AM170" s="2607"/>
      <c r="AN170" s="2607"/>
      <c r="AO170" s="2608"/>
      <c r="AP170" s="2606">
        <f>Prethodna_2024!B139</f>
        <v>0</v>
      </c>
      <c r="AQ170" s="2607"/>
      <c r="AR170" s="2607"/>
      <c r="AS170" s="2607"/>
      <c r="AT170" s="2607"/>
      <c r="AU170" s="2607"/>
      <c r="AV170" s="2608"/>
    </row>
    <row r="171" ht="30" customHeight="1" spans="1:48">
      <c r="A171" s="2827" t="s">
        <v>4089</v>
      </c>
      <c r="B171" s="2827"/>
      <c r="C171" s="2831" t="str">
        <f>Text!B289</f>
        <v>Udio u ostalom ukupnom rezultatu pridruženog društva i zajedničkog poduhvata primjenom metode udjela</v>
      </c>
      <c r="D171" s="2832"/>
      <c r="E171" s="2832"/>
      <c r="F171" s="2832"/>
      <c r="G171" s="2832"/>
      <c r="H171" s="2832"/>
      <c r="I171" s="2832"/>
      <c r="J171" s="2832"/>
      <c r="K171" s="2832"/>
      <c r="L171" s="2832"/>
      <c r="M171" s="2832"/>
      <c r="N171" s="2832"/>
      <c r="O171" s="2832"/>
      <c r="P171" s="2832"/>
      <c r="Q171" s="2832"/>
      <c r="R171" s="2832"/>
      <c r="S171" s="2832"/>
      <c r="T171" s="2832"/>
      <c r="U171" s="2832"/>
      <c r="V171" s="2832"/>
      <c r="W171" s="2832"/>
      <c r="X171" s="2832"/>
      <c r="Y171" s="2815"/>
      <c r="Z171" s="2816"/>
      <c r="AA171" s="2816"/>
      <c r="AB171" s="2816"/>
      <c r="AC171" s="2816"/>
      <c r="AD171" s="2817"/>
      <c r="AE171" s="2610"/>
      <c r="AF171" s="2610"/>
      <c r="AG171" s="2830">
        <v>336</v>
      </c>
      <c r="AH171" s="2812"/>
      <c r="AI171" s="2606">
        <f>ROUND(UnosPod!F406,0)</f>
        <v>0</v>
      </c>
      <c r="AJ171" s="2607"/>
      <c r="AK171" s="2607"/>
      <c r="AL171" s="2607"/>
      <c r="AM171" s="2607"/>
      <c r="AN171" s="2607"/>
      <c r="AO171" s="2608"/>
      <c r="AP171" s="2606">
        <f>Prethodna_2024!B140</f>
        <v>0</v>
      </c>
      <c r="AQ171" s="2607"/>
      <c r="AR171" s="2607"/>
      <c r="AS171" s="2607"/>
      <c r="AT171" s="2607"/>
      <c r="AU171" s="2607"/>
      <c r="AV171" s="2608"/>
    </row>
    <row r="172" ht="18.75" customHeight="1" spans="1:48">
      <c r="A172" s="2827" t="s">
        <v>4091</v>
      </c>
      <c r="B172" s="2827"/>
      <c r="C172" s="2831" t="str">
        <f>Text!B290</f>
        <v>Ostale stavke koje neće biti reklasifikovane u bilans uspjeha</v>
      </c>
      <c r="D172" s="2832"/>
      <c r="E172" s="2832"/>
      <c r="F172" s="2832"/>
      <c r="G172" s="2832"/>
      <c r="H172" s="2832"/>
      <c r="I172" s="2832"/>
      <c r="J172" s="2832"/>
      <c r="K172" s="2832"/>
      <c r="L172" s="2832"/>
      <c r="M172" s="2832"/>
      <c r="N172" s="2832"/>
      <c r="O172" s="2832"/>
      <c r="P172" s="2832"/>
      <c r="Q172" s="2832"/>
      <c r="R172" s="2832"/>
      <c r="S172" s="2832"/>
      <c r="T172" s="2832"/>
      <c r="U172" s="2832"/>
      <c r="V172" s="2832"/>
      <c r="W172" s="2832"/>
      <c r="X172" s="2832"/>
      <c r="Y172" s="2815"/>
      <c r="Z172" s="2816"/>
      <c r="AA172" s="2816"/>
      <c r="AB172" s="2816"/>
      <c r="AC172" s="2816"/>
      <c r="AD172" s="2817"/>
      <c r="AE172" s="2610"/>
      <c r="AF172" s="2610"/>
      <c r="AG172" s="2830">
        <v>337</v>
      </c>
      <c r="AH172" s="2812"/>
      <c r="AI172" s="2606">
        <f>ROUND(UnosPod!F407,0)</f>
        <v>0</v>
      </c>
      <c r="AJ172" s="2607"/>
      <c r="AK172" s="2607"/>
      <c r="AL172" s="2607"/>
      <c r="AM172" s="2607"/>
      <c r="AN172" s="2607"/>
      <c r="AO172" s="2608"/>
      <c r="AP172" s="2606">
        <f>Prethodna_2024!B141</f>
        <v>0</v>
      </c>
      <c r="AQ172" s="2607"/>
      <c r="AR172" s="2607"/>
      <c r="AS172" s="2607"/>
      <c r="AT172" s="2607"/>
      <c r="AU172" s="2607"/>
      <c r="AV172" s="2608"/>
    </row>
    <row r="173" ht="18.75" customHeight="1" spans="1:48">
      <c r="A173" s="2827" t="s">
        <v>4093</v>
      </c>
      <c r="B173" s="2827"/>
      <c r="C173" s="2831" t="str">
        <f>Text!B291</f>
        <v>Porez na dobit koji se odnosi na ove stavke</v>
      </c>
      <c r="D173" s="2832"/>
      <c r="E173" s="2832"/>
      <c r="F173" s="2832"/>
      <c r="G173" s="2832"/>
      <c r="H173" s="2832"/>
      <c r="I173" s="2832"/>
      <c r="J173" s="2832"/>
      <c r="K173" s="2832"/>
      <c r="L173" s="2832"/>
      <c r="M173" s="2832"/>
      <c r="N173" s="2832"/>
      <c r="O173" s="2832"/>
      <c r="P173" s="2832"/>
      <c r="Q173" s="2832"/>
      <c r="R173" s="2832"/>
      <c r="S173" s="2832"/>
      <c r="T173" s="2832"/>
      <c r="U173" s="2832"/>
      <c r="V173" s="2832"/>
      <c r="W173" s="2832"/>
      <c r="X173" s="2832"/>
      <c r="Y173" s="2815"/>
      <c r="Z173" s="2816"/>
      <c r="AA173" s="2816"/>
      <c r="AB173" s="2816"/>
      <c r="AC173" s="2816"/>
      <c r="AD173" s="2817"/>
      <c r="AE173" s="2610"/>
      <c r="AF173" s="2610"/>
      <c r="AG173" s="2830">
        <v>338</v>
      </c>
      <c r="AH173" s="2812"/>
      <c r="AI173" s="2606">
        <f>ROUND(UnosPod!F408,0)</f>
        <v>0</v>
      </c>
      <c r="AJ173" s="2607"/>
      <c r="AK173" s="2607"/>
      <c r="AL173" s="2607"/>
      <c r="AM173" s="2607"/>
      <c r="AN173" s="2607"/>
      <c r="AO173" s="2608"/>
      <c r="AP173" s="2606">
        <f>Prethodna_2024!B142</f>
        <v>0</v>
      </c>
      <c r="AQ173" s="2607"/>
      <c r="AR173" s="2607"/>
      <c r="AS173" s="2607"/>
      <c r="AT173" s="2607"/>
      <c r="AU173" s="2607"/>
      <c r="AV173" s="2608"/>
    </row>
    <row r="174" s="1757" customFormat="1" ht="18.75" customHeight="1" spans="1:48">
      <c r="A174" s="2826" t="s">
        <v>4173</v>
      </c>
      <c r="B174" s="2826"/>
      <c r="C174" s="2813" t="str">
        <f>Text!B292</f>
        <v>UKUPNI REZULTAT (322 ili 323 + 324)</v>
      </c>
      <c r="D174" s="2814"/>
      <c r="E174" s="2814"/>
      <c r="F174" s="2814"/>
      <c r="G174" s="2814"/>
      <c r="H174" s="2814"/>
      <c r="I174" s="2814"/>
      <c r="J174" s="2814"/>
      <c r="K174" s="2814"/>
      <c r="L174" s="2814"/>
      <c r="M174" s="2814"/>
      <c r="N174" s="2814"/>
      <c r="O174" s="2814"/>
      <c r="P174" s="2814"/>
      <c r="Q174" s="2814"/>
      <c r="R174" s="2814"/>
      <c r="S174" s="2814"/>
      <c r="T174" s="2814"/>
      <c r="U174" s="2814"/>
      <c r="V174" s="2814"/>
      <c r="W174" s="2814"/>
      <c r="X174" s="2814"/>
      <c r="Y174" s="2815"/>
      <c r="Z174" s="2816"/>
      <c r="AA174" s="2816"/>
      <c r="AB174" s="2816"/>
      <c r="AC174" s="2816"/>
      <c r="AD174" s="2817"/>
      <c r="AE174" s="2618"/>
      <c r="AF174" s="2618"/>
      <c r="AG174" s="2830">
        <v>339</v>
      </c>
      <c r="AH174" s="2812"/>
      <c r="AI174" s="2622">
        <f>IF(AI153+AI159&gt;0,AI153+AI159,(AI154+AI159)*-1)</f>
        <v>-59197</v>
      </c>
      <c r="AJ174" s="2622"/>
      <c r="AK174" s="2622"/>
      <c r="AL174" s="2622"/>
      <c r="AM174" s="2622"/>
      <c r="AN174" s="2622"/>
      <c r="AO174" s="2622"/>
      <c r="AP174" s="2622">
        <f>IF(AP153+AP159&gt;0,AP153+AP159,(AP154+AP159)*-1)</f>
        <v>91307</v>
      </c>
      <c r="AQ174" s="2622"/>
      <c r="AR174" s="2622"/>
      <c r="AS174" s="2622"/>
      <c r="AT174" s="2622"/>
      <c r="AU174" s="2622"/>
      <c r="AV174" s="2622"/>
    </row>
    <row r="175" ht="18.75" customHeight="1" spans="1:48">
      <c r="A175" s="2827"/>
      <c r="B175" s="2827"/>
      <c r="C175" s="2828" t="str">
        <f>Text!B293</f>
        <v>Zarada po dionici</v>
      </c>
      <c r="D175" s="2829"/>
      <c r="E175" s="2829"/>
      <c r="F175" s="2829"/>
      <c r="G175" s="2829"/>
      <c r="H175" s="2829"/>
      <c r="I175" s="2829"/>
      <c r="J175" s="2829"/>
      <c r="K175" s="2829"/>
      <c r="L175" s="2829"/>
      <c r="M175" s="2829"/>
      <c r="N175" s="2829"/>
      <c r="O175" s="2829"/>
      <c r="P175" s="2829"/>
      <c r="Q175" s="2829"/>
      <c r="R175" s="2829"/>
      <c r="S175" s="2829"/>
      <c r="T175" s="2829"/>
      <c r="U175" s="2829"/>
      <c r="V175" s="2829"/>
      <c r="W175" s="2829"/>
      <c r="X175" s="2829"/>
      <c r="Y175" s="2815"/>
      <c r="Z175" s="2816"/>
      <c r="AA175" s="2816"/>
      <c r="AB175" s="2816"/>
      <c r="AC175" s="2816"/>
      <c r="AD175" s="2817"/>
      <c r="AE175" s="2610"/>
      <c r="AF175" s="2610"/>
      <c r="AI175" s="2609"/>
      <c r="AJ175" s="2609"/>
      <c r="AK175" s="2609"/>
      <c r="AL175" s="2609"/>
      <c r="AM175" s="2609"/>
      <c r="AN175" s="2609"/>
      <c r="AO175" s="2609"/>
      <c r="AP175" s="2609"/>
      <c r="AQ175" s="2609"/>
      <c r="AR175" s="2609"/>
      <c r="AS175" s="2609"/>
      <c r="AT175" s="2609"/>
      <c r="AU175" s="2609"/>
      <c r="AV175" s="2609"/>
    </row>
    <row r="176" ht="18.75" customHeight="1" spans="1:48">
      <c r="A176" s="2827"/>
      <c r="B176" s="2827"/>
      <c r="C176" s="2831" t="str">
        <f>Text!B294</f>
        <v>a) Osnovna zarada po dionici</v>
      </c>
      <c r="D176" s="2832"/>
      <c r="E176" s="2832"/>
      <c r="F176" s="2832"/>
      <c r="G176" s="2832"/>
      <c r="H176" s="2832"/>
      <c r="I176" s="2832"/>
      <c r="J176" s="2832"/>
      <c r="K176" s="2832"/>
      <c r="L176" s="2832"/>
      <c r="M176" s="2832"/>
      <c r="N176" s="2832"/>
      <c r="O176" s="2832"/>
      <c r="P176" s="2832"/>
      <c r="Q176" s="2832"/>
      <c r="R176" s="2832"/>
      <c r="S176" s="2832"/>
      <c r="T176" s="2832"/>
      <c r="U176" s="2832"/>
      <c r="V176" s="2832"/>
      <c r="W176" s="2832"/>
      <c r="X176" s="2832"/>
      <c r="Y176" s="2815"/>
      <c r="Z176" s="2816"/>
      <c r="AA176" s="2816"/>
      <c r="AB176" s="2816"/>
      <c r="AC176" s="2816"/>
      <c r="AD176" s="2817"/>
      <c r="AE176" s="2610"/>
      <c r="AF176" s="2610"/>
      <c r="AG176" s="2830">
        <v>340</v>
      </c>
      <c r="AH176" s="2812"/>
      <c r="AI176" s="2609">
        <f>ROUND(UnosPod!F411,0)</f>
        <v>0</v>
      </c>
      <c r="AJ176" s="2609"/>
      <c r="AK176" s="2609"/>
      <c r="AL176" s="2609"/>
      <c r="AM176" s="2609"/>
      <c r="AN176" s="2609"/>
      <c r="AO176" s="2609"/>
      <c r="AP176" s="2609">
        <f>Prethodna_2024!B145</f>
        <v>0</v>
      </c>
      <c r="AQ176" s="2609"/>
      <c r="AR176" s="2609"/>
      <c r="AS176" s="2609"/>
      <c r="AT176" s="2609"/>
      <c r="AU176" s="2609"/>
      <c r="AV176" s="2609"/>
    </row>
    <row r="177" ht="18.75" customHeight="1" spans="1:48">
      <c r="A177" s="2827"/>
      <c r="B177" s="2827"/>
      <c r="C177" s="2831" t="str">
        <f>Text!B295</f>
        <v>b) Razrijeđena zarada po dionici</v>
      </c>
      <c r="D177" s="2832"/>
      <c r="E177" s="2832"/>
      <c r="F177" s="2832"/>
      <c r="G177" s="2832"/>
      <c r="H177" s="2832"/>
      <c r="I177" s="2832"/>
      <c r="J177" s="2832"/>
      <c r="K177" s="2832"/>
      <c r="L177" s="2832"/>
      <c r="M177" s="2832"/>
      <c r="N177" s="2832"/>
      <c r="O177" s="2832"/>
      <c r="P177" s="2832"/>
      <c r="Q177" s="2832"/>
      <c r="R177" s="2832"/>
      <c r="S177" s="2832"/>
      <c r="T177" s="2832"/>
      <c r="U177" s="2832"/>
      <c r="V177" s="2832"/>
      <c r="W177" s="2832"/>
      <c r="X177" s="2832"/>
      <c r="Y177" s="2815"/>
      <c r="Z177" s="2816"/>
      <c r="AA177" s="2816"/>
      <c r="AB177" s="2816"/>
      <c r="AC177" s="2816"/>
      <c r="AD177" s="2817"/>
      <c r="AE177" s="2610"/>
      <c r="AF177" s="2610"/>
      <c r="AG177" s="2830">
        <v>341</v>
      </c>
      <c r="AH177" s="2812"/>
      <c r="AI177" s="2609">
        <f>ROUND(UnosPod!F412,0)</f>
        <v>0</v>
      </c>
      <c r="AJ177" s="2609"/>
      <c r="AK177" s="2609"/>
      <c r="AL177" s="2609"/>
      <c r="AM177" s="2609"/>
      <c r="AN177" s="2609"/>
      <c r="AO177" s="2609"/>
      <c r="AP177" s="2609">
        <f>Prethodna_2024!B146</f>
        <v>0</v>
      </c>
      <c r="AQ177" s="2609"/>
      <c r="AR177" s="2609"/>
      <c r="AS177" s="2609"/>
      <c r="AT177" s="2609"/>
      <c r="AU177" s="2609"/>
      <c r="AV177" s="2609"/>
    </row>
    <row r="178" ht="18.75" customHeight="1" spans="1:48">
      <c r="A178" s="2827"/>
      <c r="B178" s="2827"/>
      <c r="C178" s="2828" t="str">
        <f>Text!B296</f>
        <v>Dobit/(gubitak) koji pripada:</v>
      </c>
      <c r="D178" s="2829"/>
      <c r="E178" s="2829"/>
      <c r="F178" s="2829"/>
      <c r="G178" s="2829"/>
      <c r="H178" s="2829"/>
      <c r="I178" s="2829"/>
      <c r="J178" s="2829"/>
      <c r="K178" s="2829"/>
      <c r="L178" s="2829"/>
      <c r="M178" s="2829"/>
      <c r="N178" s="2829"/>
      <c r="O178" s="2829"/>
      <c r="P178" s="2829"/>
      <c r="Q178" s="2829"/>
      <c r="R178" s="2829"/>
      <c r="S178" s="2829"/>
      <c r="T178" s="2829"/>
      <c r="U178" s="2829"/>
      <c r="V178" s="2829"/>
      <c r="W178" s="2829"/>
      <c r="X178" s="2829"/>
      <c r="Y178" s="2815"/>
      <c r="Z178" s="2816"/>
      <c r="AA178" s="2816"/>
      <c r="AB178" s="2816"/>
      <c r="AC178" s="2816"/>
      <c r="AD178" s="2817"/>
      <c r="AE178" s="2610"/>
      <c r="AF178" s="2610"/>
      <c r="AI178" s="2609"/>
      <c r="AJ178" s="2609"/>
      <c r="AK178" s="2609"/>
      <c r="AL178" s="2609"/>
      <c r="AM178" s="2609"/>
      <c r="AN178" s="2609"/>
      <c r="AO178" s="2609"/>
      <c r="AP178" s="2609"/>
      <c r="AQ178" s="2609"/>
      <c r="AR178" s="2609"/>
      <c r="AS178" s="2609"/>
      <c r="AT178" s="2609"/>
      <c r="AU178" s="2609"/>
      <c r="AV178" s="2609"/>
    </row>
    <row r="179" ht="18.75" customHeight="1" spans="1:48">
      <c r="A179" s="2827"/>
      <c r="B179" s="2827"/>
      <c r="C179" s="2831" t="str">
        <f>Text!B297</f>
        <v>a) Vlasnicima matičnog društva</v>
      </c>
      <c r="D179" s="2832"/>
      <c r="E179" s="2832"/>
      <c r="F179" s="2832"/>
      <c r="G179" s="2832"/>
      <c r="H179" s="2832"/>
      <c r="I179" s="2832"/>
      <c r="J179" s="2832"/>
      <c r="K179" s="2832"/>
      <c r="L179" s="2832"/>
      <c r="M179" s="2832"/>
      <c r="N179" s="2832"/>
      <c r="O179" s="2832"/>
      <c r="P179" s="2832"/>
      <c r="Q179" s="2832"/>
      <c r="R179" s="2832"/>
      <c r="S179" s="2832"/>
      <c r="T179" s="2832"/>
      <c r="U179" s="2832"/>
      <c r="V179" s="2832"/>
      <c r="W179" s="2832"/>
      <c r="X179" s="2832"/>
      <c r="Y179" s="2815"/>
      <c r="Z179" s="2816"/>
      <c r="AA179" s="2816"/>
      <c r="AB179" s="2816"/>
      <c r="AC179" s="2816"/>
      <c r="AD179" s="2817"/>
      <c r="AE179" s="2610"/>
      <c r="AF179" s="2610"/>
      <c r="AG179" s="2830">
        <v>342</v>
      </c>
      <c r="AH179" s="2812"/>
      <c r="AI179" s="2609">
        <f>AI174</f>
        <v>-59197</v>
      </c>
      <c r="AJ179" s="2609"/>
      <c r="AK179" s="2609"/>
      <c r="AL179" s="2609"/>
      <c r="AM179" s="2609"/>
      <c r="AN179" s="2609"/>
      <c r="AO179" s="2609"/>
      <c r="AP179" s="2609">
        <f>Prethodna_2024!B148</f>
        <v>0</v>
      </c>
      <c r="AQ179" s="2609"/>
      <c r="AR179" s="2609"/>
      <c r="AS179" s="2609"/>
      <c r="AT179" s="2609"/>
      <c r="AU179" s="2609"/>
      <c r="AV179" s="2609"/>
    </row>
    <row r="180" ht="18.75" customHeight="1" spans="1:48">
      <c r="A180" s="2827"/>
      <c r="B180" s="2827"/>
      <c r="C180" s="2831" t="str">
        <f>Text!B298</f>
        <v>b) Vlasnicima manjinskih interesa</v>
      </c>
      <c r="D180" s="2832"/>
      <c r="E180" s="2832"/>
      <c r="F180" s="2832"/>
      <c r="G180" s="2832"/>
      <c r="H180" s="2832"/>
      <c r="I180" s="2832"/>
      <c r="J180" s="2832"/>
      <c r="K180" s="2832"/>
      <c r="L180" s="2832"/>
      <c r="M180" s="2832"/>
      <c r="N180" s="2832"/>
      <c r="O180" s="2832"/>
      <c r="P180" s="2832"/>
      <c r="Q180" s="2832"/>
      <c r="R180" s="2832"/>
      <c r="S180" s="2832"/>
      <c r="T180" s="2832"/>
      <c r="U180" s="2832"/>
      <c r="V180" s="2832"/>
      <c r="W180" s="2832"/>
      <c r="X180" s="2832"/>
      <c r="Y180" s="2815"/>
      <c r="Z180" s="2816"/>
      <c r="AA180" s="2816"/>
      <c r="AB180" s="2816"/>
      <c r="AC180" s="2816"/>
      <c r="AD180" s="2817"/>
      <c r="AE180" s="2610"/>
      <c r="AF180" s="2610"/>
      <c r="AG180" s="2830">
        <v>343</v>
      </c>
      <c r="AH180" s="2812"/>
      <c r="AI180" s="2609"/>
      <c r="AJ180" s="2609"/>
      <c r="AK180" s="2609"/>
      <c r="AL180" s="2609"/>
      <c r="AM180" s="2609"/>
      <c r="AN180" s="2609"/>
      <c r="AO180" s="2609"/>
      <c r="AP180" s="2609">
        <f>Prethodna_2024!B149</f>
        <v>0</v>
      </c>
      <c r="AQ180" s="2609"/>
      <c r="AR180" s="2609"/>
      <c r="AS180" s="2609"/>
      <c r="AT180" s="2609"/>
      <c r="AU180" s="2609"/>
      <c r="AV180" s="2609"/>
    </row>
    <row r="181" ht="18.75" customHeight="1" spans="1:48">
      <c r="A181" s="2827"/>
      <c r="B181" s="2827"/>
      <c r="C181" s="2828" t="str">
        <f>Text!B299</f>
        <v>Ukupni rezultat koji pripada:</v>
      </c>
      <c r="D181" s="2829"/>
      <c r="E181" s="2829"/>
      <c r="F181" s="2829"/>
      <c r="G181" s="2829"/>
      <c r="H181" s="2829"/>
      <c r="I181" s="2829"/>
      <c r="J181" s="2829"/>
      <c r="K181" s="2829"/>
      <c r="L181" s="2829"/>
      <c r="M181" s="2829"/>
      <c r="N181" s="2829"/>
      <c r="O181" s="2829"/>
      <c r="P181" s="2829"/>
      <c r="Q181" s="2829"/>
      <c r="R181" s="2829"/>
      <c r="S181" s="2829"/>
      <c r="T181" s="2829"/>
      <c r="U181" s="2829"/>
      <c r="V181" s="2829"/>
      <c r="W181" s="2829"/>
      <c r="X181" s="2829"/>
      <c r="Y181" s="2815"/>
      <c r="Z181" s="2816"/>
      <c r="AA181" s="2816"/>
      <c r="AB181" s="2816"/>
      <c r="AC181" s="2816"/>
      <c r="AD181" s="2817"/>
      <c r="AE181" s="2610"/>
      <c r="AF181" s="2610"/>
      <c r="AI181" s="2609"/>
      <c r="AJ181" s="2609"/>
      <c r="AK181" s="2609"/>
      <c r="AL181" s="2609"/>
      <c r="AM181" s="2609"/>
      <c r="AN181" s="2609"/>
      <c r="AO181" s="2609"/>
      <c r="AP181" s="2609"/>
      <c r="AQ181" s="2609"/>
      <c r="AR181" s="2609"/>
      <c r="AS181" s="2609"/>
      <c r="AT181" s="2609"/>
      <c r="AU181" s="2609"/>
      <c r="AV181" s="2609"/>
    </row>
    <row r="182" ht="18.75" customHeight="1" spans="1:48">
      <c r="A182" s="2827"/>
      <c r="B182" s="2827"/>
      <c r="C182" s="2831" t="str">
        <f>Text!B300</f>
        <v>a) Vlasnicima matičnog društva</v>
      </c>
      <c r="D182" s="2832"/>
      <c r="E182" s="2832"/>
      <c r="F182" s="2832"/>
      <c r="G182" s="2832"/>
      <c r="H182" s="2832"/>
      <c r="I182" s="2832"/>
      <c r="J182" s="2832"/>
      <c r="K182" s="2832"/>
      <c r="L182" s="2832"/>
      <c r="M182" s="2832"/>
      <c r="N182" s="2832"/>
      <c r="O182" s="2832"/>
      <c r="P182" s="2832"/>
      <c r="Q182" s="2832"/>
      <c r="R182" s="2832"/>
      <c r="S182" s="2832"/>
      <c r="T182" s="2832"/>
      <c r="U182" s="2832"/>
      <c r="V182" s="2832"/>
      <c r="W182" s="2832"/>
      <c r="X182" s="2832"/>
      <c r="Y182" s="2815"/>
      <c r="Z182" s="2816"/>
      <c r="AA182" s="2816"/>
      <c r="AB182" s="2816"/>
      <c r="AC182" s="2816"/>
      <c r="AD182" s="2817"/>
      <c r="AE182" s="2610"/>
      <c r="AF182" s="2610"/>
      <c r="AG182" s="2830">
        <v>344</v>
      </c>
      <c r="AH182" s="2812"/>
      <c r="AI182" s="2609">
        <f>AI174</f>
        <v>-59197</v>
      </c>
      <c r="AJ182" s="2609"/>
      <c r="AK182" s="2609"/>
      <c r="AL182" s="2609"/>
      <c r="AM182" s="2609"/>
      <c r="AN182" s="2609"/>
      <c r="AO182" s="2609"/>
      <c r="AP182" s="2609">
        <f>Prethodna_2024!B151</f>
        <v>0</v>
      </c>
      <c r="AQ182" s="2609"/>
      <c r="AR182" s="2609"/>
      <c r="AS182" s="2609"/>
      <c r="AT182" s="2609"/>
      <c r="AU182" s="2609"/>
      <c r="AV182" s="2609"/>
    </row>
    <row r="183" ht="18.75" customHeight="1" spans="1:48">
      <c r="A183" s="2827"/>
      <c r="B183" s="2827"/>
      <c r="C183" s="2831" t="str">
        <f>Text!B301</f>
        <v>b) Vlasnicima manjinskih interesa</v>
      </c>
      <c r="D183" s="2832"/>
      <c r="E183" s="2832"/>
      <c r="F183" s="2832"/>
      <c r="G183" s="2832"/>
      <c r="H183" s="2832"/>
      <c r="I183" s="2832"/>
      <c r="J183" s="2832"/>
      <c r="K183" s="2832"/>
      <c r="L183" s="2832"/>
      <c r="M183" s="2832"/>
      <c r="N183" s="2832"/>
      <c r="O183" s="2832"/>
      <c r="P183" s="2832"/>
      <c r="Q183" s="2832"/>
      <c r="R183" s="2832"/>
      <c r="S183" s="2832"/>
      <c r="T183" s="2832"/>
      <c r="U183" s="2832"/>
      <c r="V183" s="2832"/>
      <c r="W183" s="2832"/>
      <c r="X183" s="2832"/>
      <c r="Y183" s="2815"/>
      <c r="Z183" s="2816"/>
      <c r="AA183" s="2816"/>
      <c r="AB183" s="2816"/>
      <c r="AC183" s="2816"/>
      <c r="AD183" s="2817"/>
      <c r="AE183" s="2610"/>
      <c r="AF183" s="2610"/>
      <c r="AG183" s="2830">
        <v>345</v>
      </c>
      <c r="AH183" s="2812"/>
      <c r="AI183" s="2609"/>
      <c r="AJ183" s="2609"/>
      <c r="AK183" s="2609"/>
      <c r="AL183" s="2609"/>
      <c r="AM183" s="2609"/>
      <c r="AN183" s="2609"/>
      <c r="AO183" s="2609"/>
      <c r="AP183" s="2609">
        <f>Prethodna_2024!B152</f>
        <v>0</v>
      </c>
      <c r="AQ183" s="2609"/>
      <c r="AR183" s="2609"/>
      <c r="AS183" s="2609"/>
      <c r="AT183" s="2609"/>
      <c r="AU183" s="2609"/>
      <c r="AV183" s="2609"/>
    </row>
    <row r="184" spans="1:48">
      <c r="A184" s="874"/>
      <c r="AI184" s="2902"/>
      <c r="AJ184" s="2902"/>
      <c r="AK184" s="2902"/>
      <c r="AL184" s="2902"/>
      <c r="AM184" s="2902"/>
      <c r="AN184" s="2902"/>
      <c r="AO184" s="2902"/>
    </row>
    <row r="185" spans="1:48">
      <c r="A185" s="874"/>
      <c r="AI185" s="2903"/>
      <c r="AJ185" s="2903"/>
      <c r="AK185" s="2903"/>
      <c r="AL185" s="2903"/>
      <c r="AM185" s="2903"/>
      <c r="AN185" s="2903"/>
      <c r="AO185" s="2903"/>
    </row>
    <row r="186" s="1340" customFormat="1" ht="14.25" customHeight="1" spans="1:48">
      <c r="A186" s="1440" t="str">
        <f>Text!B43</f>
        <v>U</v>
      </c>
      <c r="B186" s="1440"/>
      <c r="C186" s="1340" t="str">
        <f>Sjedište</f>
        <v>Sarajevo-Stari Grad</v>
      </c>
      <c r="AM186" s="1244" t="str">
        <f>Text!B44</f>
        <v>Direktor</v>
      </c>
      <c r="AN186" s="1244"/>
      <c r="AO186" s="1244"/>
      <c r="AP186" s="1244"/>
      <c r="AQ186" s="1244"/>
      <c r="AR186" s="1244"/>
      <c r="AS186" s="1244"/>
      <c r="AT186" s="1244"/>
      <c r="AU186" s="1244"/>
      <c r="AV186" s="1244"/>
    </row>
    <row r="187" s="1340" customFormat="1" ht="14.25" customHeight="1" spans="1:48">
      <c r="A187" s="1440" t="str">
        <f>Text!B40</f>
        <v>Dana</v>
      </c>
      <c r="B187" s="1440"/>
      <c r="C187" s="1441" t="str">
        <f>UnosPod!AA22&amp;UnosPod!AB22&amp;"."&amp;UnosPod!AC22&amp;UnosPod!AD22&amp;"."&amp;UnosPod!AE22&amp;UnosPod!AF22&amp;UnosPod!AG22&amp;UnosPod!AH22&amp;"."&amp;Text!B31</f>
        <v>28.02.2026.godine</v>
      </c>
      <c r="D187" s="1441"/>
      <c r="E187" s="1441"/>
      <c r="F187" s="1441"/>
      <c r="G187" s="1441"/>
      <c r="O187" s="1440" t="str">
        <f>Text!B41</f>
        <v>Certificirani računovođa : </v>
      </c>
      <c r="P187" s="1442" t="str">
        <f>Racunovoda</f>
        <v>Elvira Žilić</v>
      </c>
      <c r="AI187" s="1340" t="s">
        <v>7039</v>
      </c>
      <c r="AN187" s="1443"/>
      <c r="AO187" s="1443"/>
      <c r="AP187" s="1443"/>
      <c r="AQ187" s="1443"/>
      <c r="AR187" s="1443"/>
      <c r="AS187" s="1443"/>
      <c r="AT187" s="1443"/>
      <c r="AU187" s="1443"/>
      <c r="AV187" s="1443"/>
    </row>
    <row r="188" s="1340" customFormat="1" ht="14.25" customHeight="1" spans="1:48">
      <c r="O188" s="1440" t="str">
        <f>Text!B42</f>
        <v>Broj dozvole : </v>
      </c>
      <c r="P188" s="1444" t="str">
        <f>UnosPod!AA3</f>
        <v>CR-8559/5</v>
      </c>
      <c r="Q188" s="1445"/>
      <c r="R188" s="1445"/>
      <c r="S188" s="1445"/>
      <c r="T188" s="1445"/>
      <c r="U188" s="1445"/>
      <c r="V188" s="1445"/>
      <c r="W188" s="1445"/>
      <c r="X188" s="1445"/>
      <c r="AM188" s="1446" t="str">
        <f>Direktor</f>
        <v>Nedim Vilogorac</v>
      </c>
      <c r="AN188" s="1446"/>
      <c r="AO188" s="1446"/>
      <c r="AP188" s="1446"/>
      <c r="AQ188" s="1446"/>
      <c r="AR188" s="1446"/>
      <c r="AS188" s="1446"/>
      <c r="AT188" s="1446"/>
      <c r="AU188" s="1446"/>
      <c r="AV188" s="1446"/>
    </row>
    <row r="189" s="1340" customFormat="1" ht="14.25" customHeight="1"/>
    <row r="190" spans="1:48">
      <c r="A190" s="874"/>
    </row>
    <row r="191" s="1228" customFormat="1" ht="15" customHeight="1" spans="1:48">
      <c r="I191" s="874"/>
      <c r="J191" s="874"/>
      <c r="K191" s="874"/>
      <c r="L191" s="874"/>
      <c r="M191" s="874"/>
      <c r="N191" s="874"/>
      <c r="O191" s="874"/>
      <c r="P191" s="874"/>
      <c r="Q191" s="874"/>
      <c r="R191" s="874"/>
      <c r="S191" s="874"/>
      <c r="T191" s="874"/>
      <c r="U191" s="874"/>
      <c r="V191" s="874"/>
      <c r="W191" s="874"/>
      <c r="X191" s="874"/>
      <c r="Y191" s="874"/>
      <c r="Z191" s="874"/>
      <c r="AA191" s="874"/>
      <c r="AB191" s="874"/>
      <c r="AC191" s="874"/>
      <c r="AD191" s="874"/>
      <c r="AE191" s="874"/>
      <c r="AF191" s="874"/>
      <c r="AG191" s="874"/>
    </row>
  </sheetData>
  <mergeCells count="1107">
    <mergeCell ref="AM1:AV1"/>
    <mergeCell ref="AL2:AV2"/>
    <mergeCell ref="AM3:AV3"/>
    <mergeCell ref="AL4:AV4"/>
    <mergeCell ref="A8:J8"/>
    <mergeCell ref="AM8:AV8"/>
    <mergeCell ref="A10:J10"/>
    <mergeCell ref="A13:AV13"/>
    <mergeCell ref="A14:AV14"/>
    <mergeCell ref="A15:AV15"/>
    <mergeCell ref="AI17:AO17"/>
    <mergeCell ref="AP17:AV17"/>
    <mergeCell ref="AI18:AO18"/>
    <mergeCell ref="AP18:AV18"/>
    <mergeCell ref="A19:B19"/>
    <mergeCell ref="C19:X19"/>
    <mergeCell ref="Y19:AD19"/>
    <mergeCell ref="AE19:AF19"/>
    <mergeCell ref="AG19:AH19"/>
    <mergeCell ref="AI19:AO19"/>
    <mergeCell ref="AP19:AV19"/>
    <mergeCell ref="A20:B20"/>
    <mergeCell ref="C20:X20"/>
    <mergeCell ref="Y20:AD20"/>
    <mergeCell ref="AE20:AF20"/>
    <mergeCell ref="AG20:AH20"/>
    <mergeCell ref="AI20:AO20"/>
    <mergeCell ref="AP20:AV20"/>
    <mergeCell ref="A21:B21"/>
    <mergeCell ref="C21:X21"/>
    <mergeCell ref="Y21:AD21"/>
    <mergeCell ref="AE21:AF21"/>
    <mergeCell ref="AG21:AH21"/>
    <mergeCell ref="AI21:AO21"/>
    <mergeCell ref="AP21:AV21"/>
    <mergeCell ref="A22:B22"/>
    <mergeCell ref="C22:X22"/>
    <mergeCell ref="Y22:AD22"/>
    <mergeCell ref="AE22:AF22"/>
    <mergeCell ref="AG22:AH22"/>
    <mergeCell ref="AI22:AO22"/>
    <mergeCell ref="AP22:AV22"/>
    <mergeCell ref="A23:B23"/>
    <mergeCell ref="C23:X23"/>
    <mergeCell ref="Y23:AD23"/>
    <mergeCell ref="AE23:AF23"/>
    <mergeCell ref="AG23:AH23"/>
    <mergeCell ref="AI23:AO23"/>
    <mergeCell ref="AP23:AV23"/>
    <mergeCell ref="A24:B24"/>
    <mergeCell ref="C24:X24"/>
    <mergeCell ref="Y24:AD24"/>
    <mergeCell ref="AE24:AF24"/>
    <mergeCell ref="AG24:AH24"/>
    <mergeCell ref="AI24:AO24"/>
    <mergeCell ref="AP24:AV24"/>
    <mergeCell ref="A25:B25"/>
    <mergeCell ref="C25:X25"/>
    <mergeCell ref="Y25:AD25"/>
    <mergeCell ref="AE25:AF25"/>
    <mergeCell ref="AG25:AH25"/>
    <mergeCell ref="AI25:AO25"/>
    <mergeCell ref="AP25:AV25"/>
    <mergeCell ref="A26:B26"/>
    <mergeCell ref="C26:X26"/>
    <mergeCell ref="Y26:AD26"/>
    <mergeCell ref="AE26:AF26"/>
    <mergeCell ref="AG26:AH26"/>
    <mergeCell ref="AI26:AO26"/>
    <mergeCell ref="AP26:AV26"/>
    <mergeCell ref="A27:B27"/>
    <mergeCell ref="C27:X27"/>
    <mergeCell ref="Y27:AD27"/>
    <mergeCell ref="AE27:AF27"/>
    <mergeCell ref="AG27:AH27"/>
    <mergeCell ref="AI27:AO27"/>
    <mergeCell ref="AP27:AV27"/>
    <mergeCell ref="A28:B28"/>
    <mergeCell ref="C28:X28"/>
    <mergeCell ref="Y28:AD28"/>
    <mergeCell ref="AE28:AF28"/>
    <mergeCell ref="AG28:AH28"/>
    <mergeCell ref="AI28:AO28"/>
    <mergeCell ref="AP28:AV28"/>
    <mergeCell ref="A29:B29"/>
    <mergeCell ref="C29:X29"/>
    <mergeCell ref="Y29:AD29"/>
    <mergeCell ref="AE29:AF29"/>
    <mergeCell ref="AG29:AH29"/>
    <mergeCell ref="AI29:AO29"/>
    <mergeCell ref="AP29:AV29"/>
    <mergeCell ref="A30:B30"/>
    <mergeCell ref="C30:X30"/>
    <mergeCell ref="Y30:AD30"/>
    <mergeCell ref="AE30:AF30"/>
    <mergeCell ref="AG30:AH30"/>
    <mergeCell ref="AI30:AO30"/>
    <mergeCell ref="AP30:AV30"/>
    <mergeCell ref="A31:B31"/>
    <mergeCell ref="C31:X31"/>
    <mergeCell ref="Y31:AD31"/>
    <mergeCell ref="AE31:AF31"/>
    <mergeCell ref="AG31:AH31"/>
    <mergeCell ref="AI31:AO31"/>
    <mergeCell ref="AP31:AV31"/>
    <mergeCell ref="A32:B32"/>
    <mergeCell ref="C32:X32"/>
    <mergeCell ref="Y32:AD32"/>
    <mergeCell ref="AE32:AF32"/>
    <mergeCell ref="AG32:AH32"/>
    <mergeCell ref="AI32:AO32"/>
    <mergeCell ref="AP32:AV32"/>
    <mergeCell ref="A33:B33"/>
    <mergeCell ref="C33:X33"/>
    <mergeCell ref="Y33:AD33"/>
    <mergeCell ref="AE33:AF33"/>
    <mergeCell ref="AG33:AH33"/>
    <mergeCell ref="AI33:AO33"/>
    <mergeCell ref="AP33:AV33"/>
    <mergeCell ref="A34:B34"/>
    <mergeCell ref="C34:X34"/>
    <mergeCell ref="Y34:AD34"/>
    <mergeCell ref="AE34:AF34"/>
    <mergeCell ref="AG34:AH34"/>
    <mergeCell ref="AI34:AO34"/>
    <mergeCell ref="AP34:AV34"/>
    <mergeCell ref="A35:B35"/>
    <mergeCell ref="C35:X35"/>
    <mergeCell ref="Y35:AD35"/>
    <mergeCell ref="AE35:AF35"/>
    <mergeCell ref="AG35:AH35"/>
    <mergeCell ref="AI35:AO35"/>
    <mergeCell ref="AP35:AV35"/>
    <mergeCell ref="A36:B36"/>
    <mergeCell ref="C36:X36"/>
    <mergeCell ref="Y36:AD36"/>
    <mergeCell ref="AE36:AF36"/>
    <mergeCell ref="AG36:AH36"/>
    <mergeCell ref="AI36:AO36"/>
    <mergeCell ref="AP36:AV36"/>
    <mergeCell ref="A37:B37"/>
    <mergeCell ref="C37:X37"/>
    <mergeCell ref="Y37:AD37"/>
    <mergeCell ref="AE37:AF37"/>
    <mergeCell ref="AG37:AH37"/>
    <mergeCell ref="AI37:AO37"/>
    <mergeCell ref="AP37:AV37"/>
    <mergeCell ref="A38:B38"/>
    <mergeCell ref="C38:X38"/>
    <mergeCell ref="Y38:AD38"/>
    <mergeCell ref="AE38:AF38"/>
    <mergeCell ref="AG38:AH38"/>
    <mergeCell ref="AI38:AO38"/>
    <mergeCell ref="AP38:AV38"/>
    <mergeCell ref="A39:B39"/>
    <mergeCell ref="C39:X39"/>
    <mergeCell ref="Y39:AD39"/>
    <mergeCell ref="AE39:AF39"/>
    <mergeCell ref="AG39:AH39"/>
    <mergeCell ref="AI39:AO39"/>
    <mergeCell ref="AP39:AV39"/>
    <mergeCell ref="A43:B43"/>
    <mergeCell ref="C43:X43"/>
    <mergeCell ref="Y43:AD43"/>
    <mergeCell ref="AE43:AF43"/>
    <mergeCell ref="AG43:AH43"/>
    <mergeCell ref="AI43:AO43"/>
    <mergeCell ref="AP43:AV43"/>
    <mergeCell ref="A44:B44"/>
    <mergeCell ref="C44:X44"/>
    <mergeCell ref="Y44:AD44"/>
    <mergeCell ref="AE44:AF44"/>
    <mergeCell ref="AG44:AH44"/>
    <mergeCell ref="AI44:AO44"/>
    <mergeCell ref="AP44:AV44"/>
    <mergeCell ref="A45:B45"/>
    <mergeCell ref="C45:X45"/>
    <mergeCell ref="Y45:AD45"/>
    <mergeCell ref="AE45:AF45"/>
    <mergeCell ref="AG45:AH45"/>
    <mergeCell ref="AI45:AO45"/>
    <mergeCell ref="AP45:AV45"/>
    <mergeCell ref="A46:B46"/>
    <mergeCell ref="C46:X46"/>
    <mergeCell ref="Y46:AD46"/>
    <mergeCell ref="AE46:AF46"/>
    <mergeCell ref="AG46:AH46"/>
    <mergeCell ref="AI46:AO46"/>
    <mergeCell ref="AP46:AV46"/>
    <mergeCell ref="A47:B47"/>
    <mergeCell ref="C47:X47"/>
    <mergeCell ref="Y47:AD47"/>
    <mergeCell ref="AE47:AF47"/>
    <mergeCell ref="AG47:AH47"/>
    <mergeCell ref="AI47:AO47"/>
    <mergeCell ref="AP47:AV47"/>
    <mergeCell ref="A48:B48"/>
    <mergeCell ref="C48:X48"/>
    <mergeCell ref="Y48:AD48"/>
    <mergeCell ref="AE48:AF48"/>
    <mergeCell ref="AG48:AH48"/>
    <mergeCell ref="AI48:AO48"/>
    <mergeCell ref="AP48:AV48"/>
    <mergeCell ref="A49:B49"/>
    <mergeCell ref="C49:X49"/>
    <mergeCell ref="Y49:AD49"/>
    <mergeCell ref="AE49:AF49"/>
    <mergeCell ref="AG49:AH49"/>
    <mergeCell ref="AI49:AO49"/>
    <mergeCell ref="AP49:AV49"/>
    <mergeCell ref="A50:B50"/>
    <mergeCell ref="C50:X50"/>
    <mergeCell ref="Y50:AD50"/>
    <mergeCell ref="AE50:AF50"/>
    <mergeCell ref="AG50:AH50"/>
    <mergeCell ref="AI50:AO50"/>
    <mergeCell ref="AP50:AV50"/>
    <mergeCell ref="A51:B51"/>
    <mergeCell ref="C51:X51"/>
    <mergeCell ref="Y51:AD51"/>
    <mergeCell ref="AE51:AF51"/>
    <mergeCell ref="AG51:AH51"/>
    <mergeCell ref="AI51:AO51"/>
    <mergeCell ref="AP51:AV51"/>
    <mergeCell ref="A52:B52"/>
    <mergeCell ref="C52:X52"/>
    <mergeCell ref="Y52:AD52"/>
    <mergeCell ref="AE52:AF52"/>
    <mergeCell ref="AG52:AH52"/>
    <mergeCell ref="AI52:AO52"/>
    <mergeCell ref="AP52:AV52"/>
    <mergeCell ref="A53:B53"/>
    <mergeCell ref="C53:X53"/>
    <mergeCell ref="Y53:AD53"/>
    <mergeCell ref="AE53:AF53"/>
    <mergeCell ref="AG53:AH53"/>
    <mergeCell ref="AI53:AO53"/>
    <mergeCell ref="AP53:AV53"/>
    <mergeCell ref="A54:B54"/>
    <mergeCell ref="C54:X54"/>
    <mergeCell ref="Y54:AD54"/>
    <mergeCell ref="AE54:AF54"/>
    <mergeCell ref="AG54:AH54"/>
    <mergeCell ref="AI54:AO54"/>
    <mergeCell ref="AP54:AV54"/>
    <mergeCell ref="A55:B55"/>
    <mergeCell ref="C55:X55"/>
    <mergeCell ref="Y55:AD55"/>
    <mergeCell ref="AE55:AF55"/>
    <mergeCell ref="AG55:AH55"/>
    <mergeCell ref="AI55:AO55"/>
    <mergeCell ref="AP55:AV55"/>
    <mergeCell ref="A56:B56"/>
    <mergeCell ref="C56:X56"/>
    <mergeCell ref="Y56:AD56"/>
    <mergeCell ref="AE56:AF56"/>
    <mergeCell ref="AG56:AH56"/>
    <mergeCell ref="AI56:AO56"/>
    <mergeCell ref="AP56:AV56"/>
    <mergeCell ref="A57:B57"/>
    <mergeCell ref="C57:X57"/>
    <mergeCell ref="Y57:AD57"/>
    <mergeCell ref="AE57:AF57"/>
    <mergeCell ref="AG57:AH57"/>
    <mergeCell ref="AI57:AO57"/>
    <mergeCell ref="AP57:AV57"/>
    <mergeCell ref="A58:B58"/>
    <mergeCell ref="C58:X58"/>
    <mergeCell ref="Y58:AD58"/>
    <mergeCell ref="AE58:AF58"/>
    <mergeCell ref="AG58:AH58"/>
    <mergeCell ref="AI58:AO58"/>
    <mergeCell ref="AP58:AV58"/>
    <mergeCell ref="A59:B59"/>
    <mergeCell ref="C59:X59"/>
    <mergeCell ref="Y59:AD59"/>
    <mergeCell ref="AE59:AF59"/>
    <mergeCell ref="AG59:AH59"/>
    <mergeCell ref="AI59:AO59"/>
    <mergeCell ref="AP59:AV59"/>
    <mergeCell ref="A60:B60"/>
    <mergeCell ref="C60:X60"/>
    <mergeCell ref="Y60:AD60"/>
    <mergeCell ref="AE60:AF60"/>
    <mergeCell ref="AG60:AH60"/>
    <mergeCell ref="AI60:AO60"/>
    <mergeCell ref="AP60:AV60"/>
    <mergeCell ref="A61:B61"/>
    <mergeCell ref="C61:X61"/>
    <mergeCell ref="Y61:AD61"/>
    <mergeCell ref="AE61:AF61"/>
    <mergeCell ref="AG61:AH61"/>
    <mergeCell ref="AI61:AO61"/>
    <mergeCell ref="AP61:AV61"/>
    <mergeCell ref="A62:B62"/>
    <mergeCell ref="C62:X62"/>
    <mergeCell ref="Y62:AD62"/>
    <mergeCell ref="AE62:AF62"/>
    <mergeCell ref="AG62:AH62"/>
    <mergeCell ref="AI62:AO62"/>
    <mergeCell ref="AP62:AV62"/>
    <mergeCell ref="A63:B63"/>
    <mergeCell ref="C63:X63"/>
    <mergeCell ref="Y63:AD63"/>
    <mergeCell ref="AE63:AF63"/>
    <mergeCell ref="AG63:AH63"/>
    <mergeCell ref="AI63:AO63"/>
    <mergeCell ref="AP63:AV63"/>
    <mergeCell ref="A64:B64"/>
    <mergeCell ref="C64:X64"/>
    <mergeCell ref="Y64:AD64"/>
    <mergeCell ref="AE64:AF64"/>
    <mergeCell ref="AG64:AH64"/>
    <mergeCell ref="AI64:AO64"/>
    <mergeCell ref="AP64:AV64"/>
    <mergeCell ref="A65:B65"/>
    <mergeCell ref="C65:X65"/>
    <mergeCell ref="Y65:AD65"/>
    <mergeCell ref="AE65:AF65"/>
    <mergeCell ref="AG65:AH65"/>
    <mergeCell ref="AI65:AO65"/>
    <mergeCell ref="AP65:AV65"/>
    <mergeCell ref="A66:B66"/>
    <mergeCell ref="C66:X66"/>
    <mergeCell ref="Y66:AD66"/>
    <mergeCell ref="AE66:AF66"/>
    <mergeCell ref="AG66:AH66"/>
    <mergeCell ref="AI66:AO66"/>
    <mergeCell ref="AP66:AV66"/>
    <mergeCell ref="A67:B67"/>
    <mergeCell ref="C67:X67"/>
    <mergeCell ref="Y67:AD67"/>
    <mergeCell ref="AE67:AF67"/>
    <mergeCell ref="AG67:AH67"/>
    <mergeCell ref="AI67:AO67"/>
    <mergeCell ref="AP67:AV67"/>
    <mergeCell ref="A68:B68"/>
    <mergeCell ref="C68:X68"/>
    <mergeCell ref="Y68:AD68"/>
    <mergeCell ref="AE68:AF68"/>
    <mergeCell ref="AG68:AH68"/>
    <mergeCell ref="AI68:AO68"/>
    <mergeCell ref="AP68:AV68"/>
    <mergeCell ref="A69:B69"/>
    <mergeCell ref="C69:X69"/>
    <mergeCell ref="Y69:AD69"/>
    <mergeCell ref="AE69:AF69"/>
    <mergeCell ref="AG69:AH69"/>
    <mergeCell ref="AI69:AO69"/>
    <mergeCell ref="AP69:AV69"/>
    <mergeCell ref="A70:B70"/>
    <mergeCell ref="C70:X70"/>
    <mergeCell ref="Y70:AD70"/>
    <mergeCell ref="AE70:AF70"/>
    <mergeCell ref="AG70:AH70"/>
    <mergeCell ref="AI70:AO70"/>
    <mergeCell ref="AP70:AV70"/>
    <mergeCell ref="A71:B71"/>
    <mergeCell ref="C71:X71"/>
    <mergeCell ref="Y71:AD71"/>
    <mergeCell ref="AE71:AF71"/>
    <mergeCell ref="AG71:AH71"/>
    <mergeCell ref="AI71:AO71"/>
    <mergeCell ref="AP71:AV71"/>
    <mergeCell ref="A72:B72"/>
    <mergeCell ref="C72:X72"/>
    <mergeCell ref="Y72:AD72"/>
    <mergeCell ref="AE72:AF72"/>
    <mergeCell ref="AG72:AH72"/>
    <mergeCell ref="AI72:AO72"/>
    <mergeCell ref="AP72:AV72"/>
    <mergeCell ref="A73:B73"/>
    <mergeCell ref="C73:X73"/>
    <mergeCell ref="Y73:AD73"/>
    <mergeCell ref="AE73:AF73"/>
    <mergeCell ref="AG73:AH73"/>
    <mergeCell ref="AI73:AO73"/>
    <mergeCell ref="AP73:AV73"/>
    <mergeCell ref="A74:B74"/>
    <mergeCell ref="C74:X74"/>
    <mergeCell ref="Y74:AD74"/>
    <mergeCell ref="AE74:AF74"/>
    <mergeCell ref="AG74:AH74"/>
    <mergeCell ref="AI74:AO74"/>
    <mergeCell ref="AP74:AV74"/>
    <mergeCell ref="A75:B75"/>
    <mergeCell ref="Y75:AD75"/>
    <mergeCell ref="AE75:AF75"/>
    <mergeCell ref="AG75:AH75"/>
    <mergeCell ref="AI75:AO75"/>
    <mergeCell ref="AP75:AV75"/>
    <mergeCell ref="A76:B76"/>
    <mergeCell ref="C76:X76"/>
    <mergeCell ref="Y76:AD76"/>
    <mergeCell ref="AE76:AF76"/>
    <mergeCell ref="AG76:AH76"/>
    <mergeCell ref="AI76:AO76"/>
    <mergeCell ref="AP76:AV76"/>
    <mergeCell ref="A79:B79"/>
    <mergeCell ref="C79:X79"/>
    <mergeCell ref="Y79:AD79"/>
    <mergeCell ref="AE79:AF79"/>
    <mergeCell ref="AG79:AH79"/>
    <mergeCell ref="AI79:AO79"/>
    <mergeCell ref="AP79:AV79"/>
    <mergeCell ref="A80:B80"/>
    <mergeCell ref="C80:X80"/>
    <mergeCell ref="Y80:AD80"/>
    <mergeCell ref="AE80:AF80"/>
    <mergeCell ref="AG80:AH80"/>
    <mergeCell ref="AI80:AO80"/>
    <mergeCell ref="AP80:AV80"/>
    <mergeCell ref="A81:B81"/>
    <mergeCell ref="C81:X81"/>
    <mergeCell ref="Y81:AD81"/>
    <mergeCell ref="AE81:AF81"/>
    <mergeCell ref="AG81:AH81"/>
    <mergeCell ref="AI81:AO81"/>
    <mergeCell ref="AP81:AV81"/>
    <mergeCell ref="A82:B82"/>
    <mergeCell ref="C82:X82"/>
    <mergeCell ref="Y82:AD82"/>
    <mergeCell ref="AE82:AF82"/>
    <mergeCell ref="AG82:AH82"/>
    <mergeCell ref="AI82:AO82"/>
    <mergeCell ref="AP82:AV82"/>
    <mergeCell ref="A83:B83"/>
    <mergeCell ref="C83:X83"/>
    <mergeCell ref="Y83:AD83"/>
    <mergeCell ref="AE83:AF83"/>
    <mergeCell ref="AG83:AH83"/>
    <mergeCell ref="AI83:AO83"/>
    <mergeCell ref="AP83:AV83"/>
    <mergeCell ref="A84:B84"/>
    <mergeCell ref="C84:X84"/>
    <mergeCell ref="Y84:AD84"/>
    <mergeCell ref="AE84:AF84"/>
    <mergeCell ref="AG84:AH84"/>
    <mergeCell ref="AI84:AO84"/>
    <mergeCell ref="AP84:AV84"/>
    <mergeCell ref="A85:B85"/>
    <mergeCell ref="C85:X85"/>
    <mergeCell ref="Y85:AD85"/>
    <mergeCell ref="AE85:AF85"/>
    <mergeCell ref="AG85:AH85"/>
    <mergeCell ref="AI85:AO85"/>
    <mergeCell ref="AP85:AV85"/>
    <mergeCell ref="A86:B86"/>
    <mergeCell ref="C86:X86"/>
    <mergeCell ref="Y86:AD86"/>
    <mergeCell ref="AE86:AF86"/>
    <mergeCell ref="AG86:AH86"/>
    <mergeCell ref="AI86:AO86"/>
    <mergeCell ref="AP86:AV86"/>
    <mergeCell ref="A87:B87"/>
    <mergeCell ref="C87:X87"/>
    <mergeCell ref="Y87:AD87"/>
    <mergeCell ref="AE87:AF87"/>
    <mergeCell ref="AG87:AH87"/>
    <mergeCell ref="AI87:AO87"/>
    <mergeCell ref="AP87:AV87"/>
    <mergeCell ref="A88:B88"/>
    <mergeCell ref="C88:X88"/>
    <mergeCell ref="Y88:AD88"/>
    <mergeCell ref="AE88:AF88"/>
    <mergeCell ref="AG88:AH88"/>
    <mergeCell ref="AI88:AO88"/>
    <mergeCell ref="AP88:AV88"/>
    <mergeCell ref="A89:B89"/>
    <mergeCell ref="C89:X89"/>
    <mergeCell ref="Y89:AD89"/>
    <mergeCell ref="AE89:AF89"/>
    <mergeCell ref="AG89:AH89"/>
    <mergeCell ref="AI89:AO89"/>
    <mergeCell ref="AP89:AV89"/>
    <mergeCell ref="A90:B90"/>
    <mergeCell ref="C90:X90"/>
    <mergeCell ref="Y90:AD90"/>
    <mergeCell ref="AE90:AF90"/>
    <mergeCell ref="AG90:AH90"/>
    <mergeCell ref="AI90:AO90"/>
    <mergeCell ref="AP90:AV90"/>
    <mergeCell ref="A91:B91"/>
    <mergeCell ref="C91:X91"/>
    <mergeCell ref="Y91:AD91"/>
    <mergeCell ref="AE91:AF91"/>
    <mergeCell ref="AG91:AH91"/>
    <mergeCell ref="AI91:AO91"/>
    <mergeCell ref="AP91:AV91"/>
    <mergeCell ref="A92:B92"/>
    <mergeCell ref="C92:X92"/>
    <mergeCell ref="Y92:AD92"/>
    <mergeCell ref="AE92:AF92"/>
    <mergeCell ref="AG92:AH92"/>
    <mergeCell ref="AI92:AO92"/>
    <mergeCell ref="AP92:AV92"/>
    <mergeCell ref="A93:B93"/>
    <mergeCell ref="C93:X93"/>
    <mergeCell ref="Y93:AD93"/>
    <mergeCell ref="AE93:AF93"/>
    <mergeCell ref="AG93:AH93"/>
    <mergeCell ref="AI93:AO93"/>
    <mergeCell ref="AP93:AV93"/>
    <mergeCell ref="A94:B94"/>
    <mergeCell ref="C94:X94"/>
    <mergeCell ref="Y94:AD94"/>
    <mergeCell ref="AE94:AF94"/>
    <mergeCell ref="AG94:AH94"/>
    <mergeCell ref="AI94:AO94"/>
    <mergeCell ref="AP94:AV94"/>
    <mergeCell ref="A95:B95"/>
    <mergeCell ref="C95:X95"/>
    <mergeCell ref="Y95:AD95"/>
    <mergeCell ref="AE95:AF95"/>
    <mergeCell ref="AG95:AH95"/>
    <mergeCell ref="AI95:AO95"/>
    <mergeCell ref="AP95:AV95"/>
    <mergeCell ref="A96:B96"/>
    <mergeCell ref="C96:X96"/>
    <mergeCell ref="Y96:AD96"/>
    <mergeCell ref="AE96:AF96"/>
    <mergeCell ref="AG96:AH96"/>
    <mergeCell ref="AI96:AO96"/>
    <mergeCell ref="AP96:AV96"/>
    <mergeCell ref="A97:B97"/>
    <mergeCell ref="C97:X97"/>
    <mergeCell ref="Y97:AD97"/>
    <mergeCell ref="AE97:AF97"/>
    <mergeCell ref="AG97:AH97"/>
    <mergeCell ref="AI97:AO97"/>
    <mergeCell ref="AP97:AV97"/>
    <mergeCell ref="A98:B98"/>
    <mergeCell ref="C98:X98"/>
    <mergeCell ref="Y98:AD98"/>
    <mergeCell ref="AE98:AF98"/>
    <mergeCell ref="AG98:AH98"/>
    <mergeCell ref="AI98:AO98"/>
    <mergeCell ref="AP98:AV98"/>
    <mergeCell ref="A99:B99"/>
    <mergeCell ref="C99:X99"/>
    <mergeCell ref="Y99:AD99"/>
    <mergeCell ref="AE99:AF99"/>
    <mergeCell ref="AG99:AH99"/>
    <mergeCell ref="AI99:AO99"/>
    <mergeCell ref="AP99:AV99"/>
    <mergeCell ref="A100:B100"/>
    <mergeCell ref="C100:X100"/>
    <mergeCell ref="Y100:AD100"/>
    <mergeCell ref="AE100:AF100"/>
    <mergeCell ref="AG100:AH100"/>
    <mergeCell ref="AI100:AO100"/>
    <mergeCell ref="AP100:AV100"/>
    <mergeCell ref="A101:B101"/>
    <mergeCell ref="C101:X101"/>
    <mergeCell ref="Y101:AD101"/>
    <mergeCell ref="AE101:AF101"/>
    <mergeCell ref="AG101:AH101"/>
    <mergeCell ref="AI101:AO101"/>
    <mergeCell ref="AP101:AV101"/>
    <mergeCell ref="A102:B102"/>
    <mergeCell ref="C102:X102"/>
    <mergeCell ref="Y102:AD102"/>
    <mergeCell ref="AE102:AF102"/>
    <mergeCell ref="AG102:AH102"/>
    <mergeCell ref="AI102:AO102"/>
    <mergeCell ref="AP102:AV102"/>
    <mergeCell ref="A103:B103"/>
    <mergeCell ref="C103:X103"/>
    <mergeCell ref="Y103:AD103"/>
    <mergeCell ref="AE103:AF103"/>
    <mergeCell ref="AG103:AH103"/>
    <mergeCell ref="AI103:AO103"/>
    <mergeCell ref="AP103:AV103"/>
    <mergeCell ref="A104:B104"/>
    <mergeCell ref="C104:X104"/>
    <mergeCell ref="Y104:AD104"/>
    <mergeCell ref="AE104:AF104"/>
    <mergeCell ref="AG104:AH104"/>
    <mergeCell ref="AI104:AO104"/>
    <mergeCell ref="AP104:AV104"/>
    <mergeCell ref="A105:B105"/>
    <mergeCell ref="C105:X105"/>
    <mergeCell ref="Y105:AD105"/>
    <mergeCell ref="AE105:AF105"/>
    <mergeCell ref="AG105:AH105"/>
    <mergeCell ref="AI105:AO105"/>
    <mergeCell ref="AP105:AV105"/>
    <mergeCell ref="A106:B106"/>
    <mergeCell ref="C106:X106"/>
    <mergeCell ref="Y106:AD106"/>
    <mergeCell ref="AE106:AF106"/>
    <mergeCell ref="AG106:AH106"/>
    <mergeCell ref="AI106:AO106"/>
    <mergeCell ref="AP106:AV106"/>
    <mergeCell ref="A107:B107"/>
    <mergeCell ref="C107:X107"/>
    <mergeCell ref="Y107:AD107"/>
    <mergeCell ref="AE107:AF107"/>
    <mergeCell ref="AG107:AH107"/>
    <mergeCell ref="AI107:AO107"/>
    <mergeCell ref="AP107:AV107"/>
    <mergeCell ref="A108:B108"/>
    <mergeCell ref="C108:X108"/>
    <mergeCell ref="Y108:AD108"/>
    <mergeCell ref="AE108:AF108"/>
    <mergeCell ref="AG108:AH108"/>
    <mergeCell ref="AI108:AO108"/>
    <mergeCell ref="AP108:AV108"/>
    <mergeCell ref="A109:B109"/>
    <mergeCell ref="C109:X109"/>
    <mergeCell ref="Y109:AD109"/>
    <mergeCell ref="AE109:AF109"/>
    <mergeCell ref="AG109:AH109"/>
    <mergeCell ref="AI109:AO109"/>
    <mergeCell ref="AP109:AV109"/>
    <mergeCell ref="A110:B110"/>
    <mergeCell ref="C110:X110"/>
    <mergeCell ref="Y110:AD110"/>
    <mergeCell ref="AE110:AF110"/>
    <mergeCell ref="AG110:AH110"/>
    <mergeCell ref="AI110:AO110"/>
    <mergeCell ref="AP110:AV110"/>
    <mergeCell ref="A111:B111"/>
    <mergeCell ref="C111:X111"/>
    <mergeCell ref="Y111:AD111"/>
    <mergeCell ref="AE111:AF111"/>
    <mergeCell ref="AG111:AH111"/>
    <mergeCell ref="AI111:AO111"/>
    <mergeCell ref="AP111:AV111"/>
    <mergeCell ref="A112:B112"/>
    <mergeCell ref="C112:X112"/>
    <mergeCell ref="Y112:AD112"/>
    <mergeCell ref="AE112:AF112"/>
    <mergeCell ref="AG112:AH112"/>
    <mergeCell ref="AI112:AO112"/>
    <mergeCell ref="AP112:AV112"/>
    <mergeCell ref="A113:B113"/>
    <mergeCell ref="C113:X113"/>
    <mergeCell ref="Y113:AD113"/>
    <mergeCell ref="AE113:AF113"/>
    <mergeCell ref="AG113:AH113"/>
    <mergeCell ref="AI113:AO113"/>
    <mergeCell ref="AP113:AV113"/>
    <mergeCell ref="A117:B117"/>
    <mergeCell ref="C117:X117"/>
    <mergeCell ref="Y117:AD117"/>
    <mergeCell ref="AE117:AF117"/>
    <mergeCell ref="AG117:AH117"/>
    <mergeCell ref="AI117:AO117"/>
    <mergeCell ref="AP117:AV117"/>
    <mergeCell ref="A118:B118"/>
    <mergeCell ref="C118:X118"/>
    <mergeCell ref="Y118:AD118"/>
    <mergeCell ref="AE118:AF118"/>
    <mergeCell ref="AG118:AH118"/>
    <mergeCell ref="AI118:AO118"/>
    <mergeCell ref="AP118:AV118"/>
    <mergeCell ref="A119:B119"/>
    <mergeCell ref="C119:X119"/>
    <mergeCell ref="Y119:AD119"/>
    <mergeCell ref="AE119:AF119"/>
    <mergeCell ref="AG119:AH119"/>
    <mergeCell ref="AI119:AO119"/>
    <mergeCell ref="AP119:AV119"/>
    <mergeCell ref="A120:B120"/>
    <mergeCell ref="C120:X120"/>
    <mergeCell ref="Y120:AD120"/>
    <mergeCell ref="AE120:AF120"/>
    <mergeCell ref="AG120:AH120"/>
    <mergeCell ref="AI120:AO120"/>
    <mergeCell ref="AP120:AV120"/>
    <mergeCell ref="A121:B121"/>
    <mergeCell ref="C121:X121"/>
    <mergeCell ref="Y121:AD121"/>
    <mergeCell ref="AE121:AF121"/>
    <mergeCell ref="AG121:AH121"/>
    <mergeCell ref="AI121:AO121"/>
    <mergeCell ref="AP121:AV121"/>
    <mergeCell ref="A122:B122"/>
    <mergeCell ref="C122:X122"/>
    <mergeCell ref="Y122:AD122"/>
    <mergeCell ref="AE122:AF122"/>
    <mergeCell ref="AG122:AH122"/>
    <mergeCell ref="AI122:AO122"/>
    <mergeCell ref="AP122:AV122"/>
    <mergeCell ref="A123:B123"/>
    <mergeCell ref="C123:X123"/>
    <mergeCell ref="Y123:AD123"/>
    <mergeCell ref="AE123:AF123"/>
    <mergeCell ref="AG123:AH123"/>
    <mergeCell ref="AI123:AO123"/>
    <mergeCell ref="AP123:AV123"/>
    <mergeCell ref="A124:B124"/>
    <mergeCell ref="C124:X124"/>
    <mergeCell ref="Y124:AD124"/>
    <mergeCell ref="AE124:AF124"/>
    <mergeCell ref="AG124:AH124"/>
    <mergeCell ref="AI124:AO124"/>
    <mergeCell ref="AP124:AV124"/>
    <mergeCell ref="A125:B125"/>
    <mergeCell ref="C125:X125"/>
    <mergeCell ref="Y125:AD125"/>
    <mergeCell ref="AE125:AF125"/>
    <mergeCell ref="AG125:AH125"/>
    <mergeCell ref="AI125:AO125"/>
    <mergeCell ref="AP125:AV125"/>
    <mergeCell ref="A126:B126"/>
    <mergeCell ref="C126:X126"/>
    <mergeCell ref="Y126:AD126"/>
    <mergeCell ref="AE126:AF126"/>
    <mergeCell ref="AG126:AH126"/>
    <mergeCell ref="AI126:AO126"/>
    <mergeCell ref="AP126:AV126"/>
    <mergeCell ref="A127:B127"/>
    <mergeCell ref="C127:X127"/>
    <mergeCell ref="Y127:AD127"/>
    <mergeCell ref="AE127:AF127"/>
    <mergeCell ref="AG127:AH127"/>
    <mergeCell ref="AI127:AO127"/>
    <mergeCell ref="AP127:AV127"/>
    <mergeCell ref="A128:B128"/>
    <mergeCell ref="C128:X128"/>
    <mergeCell ref="Y128:AD128"/>
    <mergeCell ref="AE128:AF128"/>
    <mergeCell ref="AG128:AH128"/>
    <mergeCell ref="AI128:AO128"/>
    <mergeCell ref="AP128:AV128"/>
    <mergeCell ref="A129:B129"/>
    <mergeCell ref="C129:X129"/>
    <mergeCell ref="Y129:AD129"/>
    <mergeCell ref="AE129:AF129"/>
    <mergeCell ref="AG129:AH129"/>
    <mergeCell ref="AI129:AO129"/>
    <mergeCell ref="AP129:AV129"/>
    <mergeCell ref="A130:B130"/>
    <mergeCell ref="C130:X130"/>
    <mergeCell ref="Y130:AD130"/>
    <mergeCell ref="AE130:AF130"/>
    <mergeCell ref="AG130:AH130"/>
    <mergeCell ref="AI130:AO130"/>
    <mergeCell ref="AP130:AV130"/>
    <mergeCell ref="A131:B131"/>
    <mergeCell ref="C131:X131"/>
    <mergeCell ref="Y131:AD131"/>
    <mergeCell ref="AE131:AF131"/>
    <mergeCell ref="AG131:AH131"/>
    <mergeCell ref="AI131:AO131"/>
    <mergeCell ref="AP131:AV131"/>
    <mergeCell ref="A132:B132"/>
    <mergeCell ref="C132:X132"/>
    <mergeCell ref="Y132:AD132"/>
    <mergeCell ref="AE132:AF132"/>
    <mergeCell ref="AG132:AH132"/>
    <mergeCell ref="AI132:AO132"/>
    <mergeCell ref="AP132:AV132"/>
    <mergeCell ref="A133:B133"/>
    <mergeCell ref="C133:X133"/>
    <mergeCell ref="Y133:AD133"/>
    <mergeCell ref="AE133:AF133"/>
    <mergeCell ref="AG133:AH133"/>
    <mergeCell ref="AI133:AO133"/>
    <mergeCell ref="AP133:AV133"/>
    <mergeCell ref="A134:B134"/>
    <mergeCell ref="C134:X134"/>
    <mergeCell ref="Y134:AD134"/>
    <mergeCell ref="AE134:AF134"/>
    <mergeCell ref="AG134:AH134"/>
    <mergeCell ref="AI134:AO134"/>
    <mergeCell ref="AP134:AV134"/>
    <mergeCell ref="A135:B135"/>
    <mergeCell ref="C135:X135"/>
    <mergeCell ref="Y135:AD135"/>
    <mergeCell ref="AE135:AF135"/>
    <mergeCell ref="AG135:AH135"/>
    <mergeCell ref="AI135:AO135"/>
    <mergeCell ref="AP135:AV135"/>
    <mergeCell ref="A136:B136"/>
    <mergeCell ref="C136:X136"/>
    <mergeCell ref="Y136:AD136"/>
    <mergeCell ref="AE136:AF136"/>
    <mergeCell ref="AG136:AH136"/>
    <mergeCell ref="AI136:AO136"/>
    <mergeCell ref="AP136:AV136"/>
    <mergeCell ref="A137:B137"/>
    <mergeCell ref="C137:X137"/>
    <mergeCell ref="Y137:AD137"/>
    <mergeCell ref="AE137:AF137"/>
    <mergeCell ref="AG137:AH137"/>
    <mergeCell ref="AI137:AO137"/>
    <mergeCell ref="AP137:AV137"/>
    <mergeCell ref="A138:B138"/>
    <mergeCell ref="C138:X138"/>
    <mergeCell ref="Y138:AD138"/>
    <mergeCell ref="AE138:AF138"/>
    <mergeCell ref="AG138:AH138"/>
    <mergeCell ref="AI138:AO138"/>
    <mergeCell ref="AP138:AV138"/>
    <mergeCell ref="A139:B139"/>
    <mergeCell ref="C139:X139"/>
    <mergeCell ref="Y139:AD139"/>
    <mergeCell ref="AE139:AF139"/>
    <mergeCell ref="AG139:AH139"/>
    <mergeCell ref="AI139:AO139"/>
    <mergeCell ref="AP139:AV139"/>
    <mergeCell ref="A140:B140"/>
    <mergeCell ref="C140:X140"/>
    <mergeCell ref="Y140:AD140"/>
    <mergeCell ref="AE140:AF140"/>
    <mergeCell ref="AG140:AH140"/>
    <mergeCell ref="AI140:AO140"/>
    <mergeCell ref="AP140:AV140"/>
    <mergeCell ref="A141:B141"/>
    <mergeCell ref="C141:X141"/>
    <mergeCell ref="Y141:AD141"/>
    <mergeCell ref="AE141:AF141"/>
    <mergeCell ref="AG141:AH141"/>
    <mergeCell ref="AI141:AO141"/>
    <mergeCell ref="AP141:AV141"/>
    <mergeCell ref="A142:B142"/>
    <mergeCell ref="C142:X142"/>
    <mergeCell ref="Y142:AD142"/>
    <mergeCell ref="AE142:AF142"/>
    <mergeCell ref="AG142:AH142"/>
    <mergeCell ref="AI142:AO142"/>
    <mergeCell ref="AP142:AV142"/>
    <mergeCell ref="A143:B143"/>
    <mergeCell ref="C143:X143"/>
    <mergeCell ref="Y143:AD143"/>
    <mergeCell ref="AE143:AF143"/>
    <mergeCell ref="AG143:AH143"/>
    <mergeCell ref="AI143:AO143"/>
    <mergeCell ref="AP143:AV143"/>
    <mergeCell ref="A144:B144"/>
    <mergeCell ref="C144:X144"/>
    <mergeCell ref="Y144:AD144"/>
    <mergeCell ref="AE144:AF144"/>
    <mergeCell ref="AG144:AH144"/>
    <mergeCell ref="AI144:AO144"/>
    <mergeCell ref="AP144:AV144"/>
    <mergeCell ref="A145:B145"/>
    <mergeCell ref="C145:X145"/>
    <mergeCell ref="Y145:AD145"/>
    <mergeCell ref="AE145:AF145"/>
    <mergeCell ref="AG145:AH145"/>
    <mergeCell ref="AI145:AO145"/>
    <mergeCell ref="AP145:AV145"/>
    <mergeCell ref="A146:B146"/>
    <mergeCell ref="C146:X146"/>
    <mergeCell ref="Y146:AD146"/>
    <mergeCell ref="AE146:AF146"/>
    <mergeCell ref="AG146:AH146"/>
    <mergeCell ref="AI146:AO146"/>
    <mergeCell ref="AP146:AV146"/>
    <mergeCell ref="A147:B147"/>
    <mergeCell ref="C147:X147"/>
    <mergeCell ref="Y147:AD147"/>
    <mergeCell ref="AE147:AF147"/>
    <mergeCell ref="AG147:AH147"/>
    <mergeCell ref="AI147:AO147"/>
    <mergeCell ref="AP147:AV147"/>
    <mergeCell ref="A148:B148"/>
    <mergeCell ref="C148:X148"/>
    <mergeCell ref="Y148:AD148"/>
    <mergeCell ref="AE148:AF148"/>
    <mergeCell ref="AG148:AH148"/>
    <mergeCell ref="AI148:AO148"/>
    <mergeCell ref="AP148:AV148"/>
    <mergeCell ref="A149:B149"/>
    <mergeCell ref="C149:X149"/>
    <mergeCell ref="Y149:AD149"/>
    <mergeCell ref="AE149:AF149"/>
    <mergeCell ref="AG149:AH149"/>
    <mergeCell ref="AI149:AO149"/>
    <mergeCell ref="AP149:AV149"/>
    <mergeCell ref="A150:B150"/>
    <mergeCell ref="C150:X150"/>
    <mergeCell ref="Y150:AD150"/>
    <mergeCell ref="AE150:AF150"/>
    <mergeCell ref="AG150:AH150"/>
    <mergeCell ref="AI150:AO150"/>
    <mergeCell ref="AP150:AV150"/>
    <mergeCell ref="A151:B151"/>
    <mergeCell ref="C151:X151"/>
    <mergeCell ref="Y151:AD151"/>
    <mergeCell ref="AE151:AF151"/>
    <mergeCell ref="AG151:AH151"/>
    <mergeCell ref="AI151:AO151"/>
    <mergeCell ref="AP151:AV151"/>
    <mergeCell ref="A152:B152"/>
    <mergeCell ref="C152:X152"/>
    <mergeCell ref="Y152:AD152"/>
    <mergeCell ref="AE152:AF152"/>
    <mergeCell ref="AG152:AH152"/>
    <mergeCell ref="AI152:AO152"/>
    <mergeCell ref="AP152:AV152"/>
    <mergeCell ref="A153:B153"/>
    <mergeCell ref="C153:X153"/>
    <mergeCell ref="Y153:AD153"/>
    <mergeCell ref="AE153:AF153"/>
    <mergeCell ref="AG153:AH153"/>
    <mergeCell ref="AI153:AO153"/>
    <mergeCell ref="AP153:AV153"/>
    <mergeCell ref="A154:B154"/>
    <mergeCell ref="C154:X154"/>
    <mergeCell ref="Y154:AD154"/>
    <mergeCell ref="AE154:AF154"/>
    <mergeCell ref="AG154:AH154"/>
    <mergeCell ref="AI154:AO154"/>
    <mergeCell ref="AP154:AV154"/>
    <mergeCell ref="A157:B157"/>
    <mergeCell ref="C157:X157"/>
    <mergeCell ref="Y157:AD157"/>
    <mergeCell ref="AE157:AF157"/>
    <mergeCell ref="AG157:AH157"/>
    <mergeCell ref="AI157:AO157"/>
    <mergeCell ref="AP157:AV157"/>
    <mergeCell ref="A158:B158"/>
    <mergeCell ref="C158:X158"/>
    <mergeCell ref="Y158:AD158"/>
    <mergeCell ref="AE158:AF158"/>
    <mergeCell ref="AI158:AO158"/>
    <mergeCell ref="AP158:AV158"/>
    <mergeCell ref="A159:B159"/>
    <mergeCell ref="C159:X159"/>
    <mergeCell ref="Y159:AD159"/>
    <mergeCell ref="AE159:AF159"/>
    <mergeCell ref="AG159:AH159"/>
    <mergeCell ref="AI159:AO159"/>
    <mergeCell ref="AP159:AV159"/>
    <mergeCell ref="A160:B160"/>
    <mergeCell ref="C160:X160"/>
    <mergeCell ref="Y160:AD160"/>
    <mergeCell ref="AE160:AF160"/>
    <mergeCell ref="AG160:AH160"/>
    <mergeCell ref="AI160:AO160"/>
    <mergeCell ref="AP160:AV160"/>
    <mergeCell ref="A161:B161"/>
    <mergeCell ref="C161:X161"/>
    <mergeCell ref="Y161:AD161"/>
    <mergeCell ref="AE161:AF161"/>
    <mergeCell ref="AG161:AH161"/>
    <mergeCell ref="AI161:AO161"/>
    <mergeCell ref="AP161:AV161"/>
    <mergeCell ref="A162:B162"/>
    <mergeCell ref="C162:X162"/>
    <mergeCell ref="Y162:AD162"/>
    <mergeCell ref="AE162:AF162"/>
    <mergeCell ref="AG162:AH162"/>
    <mergeCell ref="AI162:AO162"/>
    <mergeCell ref="AP162:AV162"/>
    <mergeCell ref="A163:B163"/>
    <mergeCell ref="C163:X163"/>
    <mergeCell ref="Y163:AD163"/>
    <mergeCell ref="AE163:AF163"/>
    <mergeCell ref="AG163:AH163"/>
    <mergeCell ref="AI163:AO163"/>
    <mergeCell ref="AP163:AV163"/>
    <mergeCell ref="A164:B164"/>
    <mergeCell ref="C164:X164"/>
    <mergeCell ref="Y164:AD164"/>
    <mergeCell ref="AE164:AF164"/>
    <mergeCell ref="AG164:AH164"/>
    <mergeCell ref="AI164:AO164"/>
    <mergeCell ref="AP164:AV164"/>
    <mergeCell ref="A165:B165"/>
    <mergeCell ref="C165:X165"/>
    <mergeCell ref="Y165:AD165"/>
    <mergeCell ref="AE165:AF165"/>
    <mergeCell ref="AG165:AH165"/>
    <mergeCell ref="AI165:AO165"/>
    <mergeCell ref="AP165:AV165"/>
    <mergeCell ref="A166:B166"/>
    <mergeCell ref="C166:X166"/>
    <mergeCell ref="Y166:AD166"/>
    <mergeCell ref="AE166:AF166"/>
    <mergeCell ref="AG166:AH166"/>
    <mergeCell ref="AI166:AO166"/>
    <mergeCell ref="AP166:AV166"/>
    <mergeCell ref="A167:B167"/>
    <mergeCell ref="C167:X167"/>
    <mergeCell ref="Y167:AD167"/>
    <mergeCell ref="AE167:AF167"/>
    <mergeCell ref="AG167:AH167"/>
    <mergeCell ref="AI167:AO167"/>
    <mergeCell ref="AP167:AV167"/>
    <mergeCell ref="A168:B168"/>
    <mergeCell ref="C168:X168"/>
    <mergeCell ref="Y168:AD168"/>
    <mergeCell ref="AE168:AF168"/>
    <mergeCell ref="AG168:AH168"/>
    <mergeCell ref="AI168:AO168"/>
    <mergeCell ref="AP168:AV168"/>
    <mergeCell ref="A169:B169"/>
    <mergeCell ref="C169:X169"/>
    <mergeCell ref="Y169:AD169"/>
    <mergeCell ref="AE169:AF169"/>
    <mergeCell ref="AG169:AH169"/>
    <mergeCell ref="AI169:AO169"/>
    <mergeCell ref="AP169:AV169"/>
    <mergeCell ref="A170:B170"/>
    <mergeCell ref="C170:X170"/>
    <mergeCell ref="Y170:AD170"/>
    <mergeCell ref="AE170:AF170"/>
    <mergeCell ref="AG170:AH170"/>
    <mergeCell ref="AI170:AO170"/>
    <mergeCell ref="AP170:AV170"/>
    <mergeCell ref="A171:B171"/>
    <mergeCell ref="C171:X171"/>
    <mergeCell ref="Y171:AD171"/>
    <mergeCell ref="AE171:AF171"/>
    <mergeCell ref="AG171:AH171"/>
    <mergeCell ref="AI171:AO171"/>
    <mergeCell ref="AP171:AV171"/>
    <mergeCell ref="A172:B172"/>
    <mergeCell ref="C172:X172"/>
    <mergeCell ref="Y172:AD172"/>
    <mergeCell ref="AE172:AF172"/>
    <mergeCell ref="AG172:AH172"/>
    <mergeCell ref="AI172:AO172"/>
    <mergeCell ref="AP172:AV172"/>
    <mergeCell ref="A173:B173"/>
    <mergeCell ref="C173:X173"/>
    <mergeCell ref="Y173:AD173"/>
    <mergeCell ref="AE173:AF173"/>
    <mergeCell ref="AG173:AH173"/>
    <mergeCell ref="AI173:AO173"/>
    <mergeCell ref="AP173:AV173"/>
    <mergeCell ref="A174:B174"/>
    <mergeCell ref="C174:X174"/>
    <mergeCell ref="Y174:AD174"/>
    <mergeCell ref="AE174:AF174"/>
    <mergeCell ref="AG174:AH174"/>
    <mergeCell ref="AI174:AO174"/>
    <mergeCell ref="AP174:AV174"/>
    <mergeCell ref="A175:B175"/>
    <mergeCell ref="C175:X175"/>
    <mergeCell ref="Y175:AD175"/>
    <mergeCell ref="AE175:AF175"/>
    <mergeCell ref="AI175:AO175"/>
    <mergeCell ref="AP175:AV175"/>
    <mergeCell ref="A176:B176"/>
    <mergeCell ref="C176:X176"/>
    <mergeCell ref="Y176:AD176"/>
    <mergeCell ref="AE176:AF176"/>
    <mergeCell ref="AG176:AH176"/>
    <mergeCell ref="AI176:AO176"/>
    <mergeCell ref="AP176:AV176"/>
    <mergeCell ref="A177:B177"/>
    <mergeCell ref="C177:X177"/>
    <mergeCell ref="Y177:AD177"/>
    <mergeCell ref="AE177:AF177"/>
    <mergeCell ref="AG177:AH177"/>
    <mergeCell ref="AI177:AO177"/>
    <mergeCell ref="AP177:AV177"/>
    <mergeCell ref="A178:B178"/>
    <mergeCell ref="C178:X178"/>
    <mergeCell ref="Y178:AD178"/>
    <mergeCell ref="AE178:AF178"/>
    <mergeCell ref="AI178:AO178"/>
    <mergeCell ref="AP178:AV178"/>
    <mergeCell ref="A179:B179"/>
    <mergeCell ref="C179:X179"/>
    <mergeCell ref="Y179:AD179"/>
    <mergeCell ref="AE179:AF179"/>
    <mergeCell ref="AG179:AH179"/>
    <mergeCell ref="AI179:AO179"/>
    <mergeCell ref="AP179:AV179"/>
    <mergeCell ref="A180:B180"/>
    <mergeCell ref="C180:X180"/>
    <mergeCell ref="Y180:AD180"/>
    <mergeCell ref="AE180:AF180"/>
    <mergeCell ref="AG180:AH180"/>
    <mergeCell ref="AI180:AO180"/>
    <mergeCell ref="AP180:AV180"/>
    <mergeCell ref="A181:B181"/>
    <mergeCell ref="C181:X181"/>
    <mergeCell ref="Y181:AD181"/>
    <mergeCell ref="AE181:AF181"/>
    <mergeCell ref="AI181:AO181"/>
    <mergeCell ref="AP181:AV181"/>
    <mergeCell ref="A182:B182"/>
    <mergeCell ref="C182:X182"/>
    <mergeCell ref="Y182:AD182"/>
    <mergeCell ref="AE182:AF182"/>
    <mergeCell ref="AG182:AH182"/>
    <mergeCell ref="AI182:AO182"/>
    <mergeCell ref="AP182:AV182"/>
    <mergeCell ref="A183:B183"/>
    <mergeCell ref="C183:X183"/>
    <mergeCell ref="Y183:AD183"/>
    <mergeCell ref="AE183:AF183"/>
    <mergeCell ref="AG183:AH183"/>
    <mergeCell ref="AI183:AO183"/>
    <mergeCell ref="AP183:AV183"/>
    <mergeCell ref="AI184:AO184"/>
    <mergeCell ref="AI185:AO185"/>
    <mergeCell ref="A186:B186"/>
    <mergeCell ref="AM186:AV186"/>
    <mergeCell ref="A187:B187"/>
    <mergeCell ref="C187:G187"/>
    <mergeCell ref="AM188:AV188"/>
    <mergeCell ref="C17:X18"/>
    <mergeCell ref="A17:B18"/>
    <mergeCell ref="AE17:AF18"/>
    <mergeCell ref="AG17:AH18"/>
    <mergeCell ref="Y17:AD18"/>
    <mergeCell ref="A5:X6"/>
  </mergeCells>
  <conditionalFormatting sqref="AI82:AO82">
    <cfRule type="cellIs" dxfId="10" priority="3" operator="lessThan">
      <formula>0</formula>
    </cfRule>
  </conditionalFormatting>
  <conditionalFormatting sqref="AI174:AV183">
    <cfRule type="cellIs" dxfId="10" priority="1" operator="lessThan">
      <formula>0</formula>
    </cfRule>
  </conditionalFormatting>
  <dataValidations count="1">
    <dataValidation type="custom" allowBlank="1" showInputMessage="1" showErrorMessage="1" errorTitle="GodObr 12 2020." error="Godišnji obračun 12 2020." sqref="A13:AV15">
      <formula1>Baza!$C$7="DA"</formula1>
    </dataValidation>
  </dataValidations>
  <printOptions horizontalCentered="1"/>
  <pageMargins left="0.62992125984252" right="0.62992125984252" top="0.354330708661417" bottom="0.354330708661417" header="0.31496062992126" footer="0.31496062992126"/>
  <pageSetup paperSize="9" scale="77" fitToHeight="0" orientation="landscape"/>
  <headerFooter>
    <oddFooter>&amp;L&amp;"Arial Narrow,Uobičajeno"ekonomika.doo@bih.net.ba - 037/511-739&amp;R&amp;"Arial Narrow,Uobičajeno"Strana &amp;P</oddFooter>
  </headerFooter>
  <rowBreaks count="4" manualBreakCount="4">
    <brk id="41" max="16383" man="1"/>
    <brk id="77" max="16383" man="1"/>
    <brk id="115" max="16383" man="1"/>
    <brk id="155"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7">
    <tabColor rgb="FF0070C0"/>
    <pageSetUpPr fitToPage="1"/>
  </sheetPr>
  <dimension ref="A1:AV158"/>
  <sheetViews>
    <sheetView showGridLines="0" topLeftCell="A136" workbookViewId="0">
      <selection activeCell="AI102" sqref="AI102:AO102"/>
    </sheetView>
  </sheetViews>
  <sheetFormatPr defaultColWidth="3.71428571428571" defaultRowHeight="16.5"/>
  <cols>
    <col min="1" max="1" width="3.71428571428571" style="1245"/>
    <col min="2" max="31" width="3.71428571428571" style="1224"/>
    <col min="32" max="33" width="4.14285714285714" style="1224" customWidth="1"/>
    <col min="34" max="16384" width="3.71428571428571" style="1224"/>
  </cols>
  <sheetData>
    <row r="1" s="874" customFormat="1" ht="18" spans="1:48">
      <c r="A1" s="879" t="str">
        <f>Firma</f>
        <v>LILIUM ASSET MANAGEMENT d.o.o. Sarajevo</v>
      </c>
      <c r="AM1" s="1231" t="str">
        <f>IdBroj</f>
        <v>4201337670009</v>
      </c>
      <c r="AN1" s="1231"/>
      <c r="AO1" s="1231"/>
      <c r="AP1" s="1231"/>
      <c r="AQ1" s="1231"/>
      <c r="AR1" s="1231"/>
      <c r="AS1" s="1231"/>
      <c r="AT1" s="1231"/>
      <c r="AU1" s="1231"/>
      <c r="AV1" s="1231"/>
    </row>
    <row r="2" s="874" customFormat="1" ht="15" customHeight="1" spans="1:48">
      <c r="A2" s="877" t="str">
        <f>Text!B2</f>
        <v>Naziv pravnog lica</v>
      </c>
      <c r="AE2" s="874" t="s">
        <v>4636</v>
      </c>
      <c r="AL2" s="878" t="str">
        <f>Text!B4</f>
        <v>Identifikacioni broj za direktne poreze</v>
      </c>
      <c r="AM2" s="878"/>
      <c r="AN2" s="878"/>
      <c r="AO2" s="878"/>
      <c r="AP2" s="878"/>
      <c r="AQ2" s="878"/>
      <c r="AR2" s="878"/>
      <c r="AS2" s="878"/>
      <c r="AT2" s="878"/>
      <c r="AU2" s="878"/>
      <c r="AV2" s="878"/>
    </row>
    <row r="3" s="875" customFormat="1" ht="18.75" customHeight="1" spans="1:48">
      <c r="A3" s="882" t="str">
        <f>Sjedište&amp;", "&amp;Adresa</f>
        <v>Sarajevo-Stari Grad, Dženetića čikma br.8</v>
      </c>
      <c r="AE3" s="875" t="s">
        <v>4636</v>
      </c>
      <c r="AJ3" s="880"/>
      <c r="AK3" s="880"/>
      <c r="AL3" s="880"/>
      <c r="AM3" s="1231" t="str">
        <f>Pdv_Broj</f>
        <v>201337670009</v>
      </c>
      <c r="AN3" s="1231"/>
      <c r="AO3" s="1231"/>
      <c r="AP3" s="1231"/>
      <c r="AQ3" s="1231"/>
      <c r="AR3" s="1231"/>
      <c r="AS3" s="1231"/>
      <c r="AT3" s="1231"/>
      <c r="AU3" s="1231"/>
      <c r="AV3" s="1231"/>
    </row>
    <row r="4" s="874" customFormat="1" ht="15" customHeight="1" spans="1:48">
      <c r="A4" s="877" t="str">
        <f>Text!B3</f>
        <v>Sjedište i adresa pravnog lica</v>
      </c>
      <c r="AE4" s="874" t="s">
        <v>4636</v>
      </c>
      <c r="AL4" s="878" t="str">
        <f>Text!B5</f>
        <v>Identifikacioni  broj za indirektne poreze</v>
      </c>
      <c r="AM4" s="878"/>
      <c r="AN4" s="878"/>
      <c r="AO4" s="878"/>
      <c r="AP4" s="878"/>
      <c r="AQ4" s="878"/>
      <c r="AR4" s="878"/>
      <c r="AS4" s="878"/>
      <c r="AT4" s="878"/>
      <c r="AU4" s="878"/>
      <c r="AV4" s="878"/>
    </row>
    <row r="5" s="875" customFormat="1" ht="19.5" customHeight="1" spans="1:48">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AE5" s="875" t="s">
        <v>4636</v>
      </c>
      <c r="AK5" s="880"/>
      <c r="AL5" s="880"/>
    </row>
    <row r="6" s="876" customFormat="1" customHeight="1" spans="1:48">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AV6" s="1231" t="str">
        <f>Sif_Djelatn</f>
        <v>66.30</v>
      </c>
    </row>
    <row r="7" s="875" customFormat="1" customHeight="1" spans="1:48">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AV7" s="878" t="str">
        <f>Text!B22&amp;" KD BiH 2010"</f>
        <v>Šifra djelatnosti po KD BiH 2010</v>
      </c>
    </row>
    <row r="8" s="876" customFormat="1" customHeight="1" spans="1:48">
      <c r="A8" s="1232" t="str">
        <f>Banka</f>
        <v>Raiffeisen Bank d.d. BiH</v>
      </c>
      <c r="B8" s="1232"/>
      <c r="C8" s="1232"/>
      <c r="D8" s="1232"/>
      <c r="E8" s="1232"/>
      <c r="F8" s="1232"/>
      <c r="G8" s="1232"/>
      <c r="H8" s="1232"/>
      <c r="I8" s="1232"/>
      <c r="J8" s="1232"/>
      <c r="AM8" s="881" t="str">
        <f>Sifra_opcine</f>
        <v>109</v>
      </c>
      <c r="AN8" s="881"/>
      <c r="AO8" s="881"/>
      <c r="AP8" s="881"/>
      <c r="AQ8" s="881"/>
      <c r="AR8" s="881"/>
      <c r="AS8" s="881"/>
      <c r="AT8" s="881"/>
      <c r="AU8" s="881"/>
      <c r="AV8" s="881"/>
    </row>
    <row r="9" s="876" customFormat="1" customHeight="1" spans="1:48">
      <c r="A9" s="2379" t="str">
        <f>Text!B24</f>
        <v>Naziv banke</v>
      </c>
      <c r="B9" s="1450"/>
      <c r="C9" s="1450"/>
      <c r="D9" s="1450"/>
      <c r="E9" s="1450"/>
      <c r="F9" s="1450"/>
      <c r="G9" s="1450"/>
      <c r="H9" s="1450"/>
      <c r="I9" s="1450"/>
      <c r="Y9" s="1234"/>
      <c r="Z9" s="1234"/>
      <c r="AA9" s="1234"/>
      <c r="AB9" s="1234"/>
      <c r="AC9" s="1234"/>
      <c r="AD9" s="1234"/>
      <c r="AH9" s="880"/>
      <c r="AI9" s="880"/>
      <c r="AJ9" s="880"/>
      <c r="AK9" s="880"/>
      <c r="AL9" s="880"/>
      <c r="AV9" s="878" t="str">
        <f>Text!B26</f>
        <v>Šifra općine</v>
      </c>
    </row>
    <row r="10" s="876" customFormat="1" customHeight="1" spans="1:48">
      <c r="A10" s="1232" t="str">
        <f>Glavni_racun</f>
        <v>1610000189480005</v>
      </c>
      <c r="B10" s="1232"/>
      <c r="C10" s="1232"/>
      <c r="D10" s="1232"/>
      <c r="E10" s="1232"/>
      <c r="F10" s="1232"/>
      <c r="G10" s="1232"/>
      <c r="H10" s="1232"/>
      <c r="I10" s="1232"/>
      <c r="J10" s="1232"/>
      <c r="Y10" s="1234"/>
      <c r="Z10" s="1234"/>
      <c r="AA10" s="1234"/>
      <c r="AB10" s="1234"/>
      <c r="AC10" s="1234"/>
      <c r="AD10" s="1234"/>
      <c r="AM10" s="877"/>
      <c r="AN10" s="877"/>
      <c r="AO10" s="877"/>
      <c r="AP10" s="877"/>
      <c r="AQ10" s="877"/>
      <c r="AR10" s="877"/>
      <c r="AS10" s="877"/>
      <c r="AT10" s="877"/>
      <c r="AU10" s="877"/>
    </row>
    <row r="11" s="876" customFormat="1" customHeight="1" spans="1:48">
      <c r="A11" s="2379" t="str">
        <f>Text!B25</f>
        <v>Broj računa</v>
      </c>
    </row>
    <row r="12" ht="12" customHeight="1" spans="1:48">
      <c r="AM12" s="2688"/>
      <c r="AN12" s="2688"/>
      <c r="AO12" s="2688"/>
      <c r="AP12" s="2688"/>
      <c r="AQ12" s="2688"/>
      <c r="AR12" s="2688"/>
      <c r="AS12" s="2688"/>
      <c r="AT12" s="2688"/>
      <c r="AU12" s="2688"/>
      <c r="AV12" s="1448"/>
    </row>
    <row r="13" ht="20.25" customHeight="1" spans="1:48">
      <c r="A13" s="1346" t="str">
        <f>Text!B304</f>
        <v>IZVJEŠTAJ O FINANSIJSKOM POLOŽAJU NA KRAJU PERIODA</v>
      </c>
      <c r="B13" s="1346"/>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6"/>
      <c r="AU13" s="1346"/>
      <c r="AV13" s="1346"/>
    </row>
    <row r="14" ht="20.25" customHeight="1" spans="1:48">
      <c r="A14" s="1347" t="str">
        <f>Text!B305</f>
        <v>(BILANS STANJA)</v>
      </c>
      <c r="B14" s="1347"/>
      <c r="C14" s="1347"/>
      <c r="D14" s="1347"/>
      <c r="E14" s="1347"/>
      <c r="F14" s="1347"/>
      <c r="G14" s="1347"/>
      <c r="H14" s="1347"/>
      <c r="I14" s="1347"/>
      <c r="J14" s="1347"/>
      <c r="K14" s="1347"/>
      <c r="L14" s="1347"/>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7"/>
      <c r="AL14" s="1347"/>
      <c r="AM14" s="1347"/>
      <c r="AN14" s="1347"/>
      <c r="AO14" s="1347"/>
      <c r="AP14" s="1347"/>
      <c r="AQ14" s="1347"/>
      <c r="AR14" s="1347"/>
      <c r="AS14" s="1347"/>
      <c r="AT14" s="1347"/>
      <c r="AU14" s="1347"/>
      <c r="AV14" s="1347"/>
    </row>
    <row r="15" ht="18" customHeight="1" spans="1:48">
      <c r="A15" s="1348" t="str">
        <f ca="1">Text!B306</f>
        <v>na dan 31.12.2025.godine</v>
      </c>
      <c r="B15" s="1348"/>
      <c r="C15" s="1348"/>
      <c r="D15" s="1348"/>
      <c r="E15" s="1348"/>
      <c r="F15" s="1348"/>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c r="AT15" s="1348"/>
      <c r="AU15" s="1348"/>
      <c r="AV15" s="1348"/>
    </row>
    <row r="16" ht="9.75" customHeight="1" spans="1:48">
      <c r="AT16" s="1226" t="s">
        <v>6959</v>
      </c>
    </row>
    <row r="17" ht="15.75" customHeight="1" spans="1:48">
      <c r="A17" s="1350" t="str">
        <f>Text!B27</f>
        <v>Redni broj</v>
      </c>
      <c r="B17" s="1351"/>
      <c r="C17" s="1352" t="str">
        <f>Text!B28</f>
        <v>P O Z I C I J A</v>
      </c>
      <c r="D17" s="1352"/>
      <c r="E17" s="1352"/>
      <c r="F17" s="1352"/>
      <c r="G17" s="1352"/>
      <c r="H17" s="1352"/>
      <c r="I17" s="1352"/>
      <c r="J17" s="1352"/>
      <c r="K17" s="1352"/>
      <c r="L17" s="1352"/>
      <c r="M17" s="1352"/>
      <c r="N17" s="1352"/>
      <c r="O17" s="1352"/>
      <c r="P17" s="1352"/>
      <c r="Q17" s="1352"/>
      <c r="R17" s="1352"/>
      <c r="S17" s="1352"/>
      <c r="T17" s="1352"/>
      <c r="U17" s="1352"/>
      <c r="V17" s="1352"/>
      <c r="W17" s="1352"/>
      <c r="X17" s="1352"/>
      <c r="Y17" s="1353" t="str">
        <f>Text!B29</f>
        <v>Konto</v>
      </c>
      <c r="Z17" s="1354"/>
      <c r="AA17" s="1354"/>
      <c r="AB17" s="1354"/>
      <c r="AC17" s="1354"/>
      <c r="AD17" s="1351"/>
      <c r="AE17" s="1355" t="str">
        <f>Text!B30</f>
        <v>Bilješka</v>
      </c>
      <c r="AF17" s="1356"/>
      <c r="AG17" s="1350" t="s">
        <v>2438</v>
      </c>
      <c r="AH17" s="1351"/>
      <c r="AI17" s="1357" t="str">
        <f>Text!B35</f>
        <v>Iznos tekuće godine</v>
      </c>
      <c r="AJ17" s="1357"/>
      <c r="AK17" s="1357"/>
      <c r="AL17" s="1357"/>
      <c r="AM17" s="1357"/>
      <c r="AN17" s="1357"/>
      <c r="AO17" s="1357"/>
      <c r="AP17" s="1358" t="str">
        <f>Text!B36</f>
        <v>Iznos prethodne godine</v>
      </c>
      <c r="AQ17" s="1358"/>
      <c r="AR17" s="1358"/>
      <c r="AS17" s="1358"/>
      <c r="AT17" s="1358"/>
      <c r="AU17" s="1358"/>
      <c r="AV17" s="1358"/>
    </row>
    <row r="18" ht="15.75" customHeight="1" spans="1:48">
      <c r="A18" s="1359"/>
      <c r="B18" s="1360"/>
      <c r="C18" s="1361"/>
      <c r="D18" s="1361"/>
      <c r="E18" s="1361"/>
      <c r="F18" s="1361"/>
      <c r="G18" s="1361"/>
      <c r="H18" s="1361"/>
      <c r="I18" s="1361"/>
      <c r="J18" s="1361"/>
      <c r="K18" s="1361"/>
      <c r="L18" s="1361"/>
      <c r="M18" s="1361"/>
      <c r="N18" s="1361"/>
      <c r="O18" s="1361"/>
      <c r="P18" s="1361"/>
      <c r="Q18" s="1361"/>
      <c r="R18" s="1361"/>
      <c r="S18" s="1361"/>
      <c r="T18" s="1361"/>
      <c r="U18" s="1361"/>
      <c r="V18" s="1361"/>
      <c r="W18" s="1361"/>
      <c r="X18" s="1361"/>
      <c r="Y18" s="1362"/>
      <c r="Z18" s="1363"/>
      <c r="AA18" s="1363"/>
      <c r="AB18" s="1363"/>
      <c r="AC18" s="1363"/>
      <c r="AD18" s="1360"/>
      <c r="AE18" s="1364"/>
      <c r="AF18" s="1365"/>
      <c r="AG18" s="1359"/>
      <c r="AH18" s="1360"/>
      <c r="AI18" s="1366"/>
      <c r="AJ18" s="1366"/>
      <c r="AK18" s="1366"/>
      <c r="AL18" s="1366"/>
      <c r="AM18" s="1366"/>
      <c r="AN18" s="1366"/>
      <c r="AO18" s="1366"/>
      <c r="AP18" s="1366" t="str">
        <f>Text!B37</f>
        <v>(početno stanje)</v>
      </c>
      <c r="AQ18" s="1366"/>
      <c r="AR18" s="1366"/>
      <c r="AS18" s="1366"/>
      <c r="AT18" s="1366"/>
      <c r="AU18" s="1366"/>
      <c r="AV18" s="1366"/>
    </row>
    <row r="19" ht="15.75" customHeight="1" spans="1:48">
      <c r="A19" s="2689">
        <v>1</v>
      </c>
      <c r="B19" s="2689"/>
      <c r="C19" s="2690">
        <v>2</v>
      </c>
      <c r="D19" s="2691"/>
      <c r="E19" s="2691"/>
      <c r="F19" s="2691"/>
      <c r="G19" s="2691"/>
      <c r="H19" s="2691"/>
      <c r="I19" s="2691"/>
      <c r="J19" s="2691"/>
      <c r="K19" s="2691"/>
      <c r="L19" s="2691"/>
      <c r="M19" s="2691"/>
      <c r="N19" s="2691"/>
      <c r="O19" s="2691"/>
      <c r="P19" s="2691"/>
      <c r="Q19" s="2691"/>
      <c r="R19" s="2691"/>
      <c r="S19" s="2691"/>
      <c r="T19" s="2691"/>
      <c r="U19" s="2691"/>
      <c r="V19" s="2691"/>
      <c r="W19" s="2691"/>
      <c r="X19" s="2691"/>
      <c r="Y19" s="2692"/>
      <c r="Z19" s="2692"/>
      <c r="AA19" s="2692"/>
      <c r="AB19" s="2692"/>
      <c r="AC19" s="2692"/>
      <c r="AD19" s="2693"/>
      <c r="AE19" s="2689">
        <v>3</v>
      </c>
      <c r="AF19" s="2689"/>
      <c r="AG19" s="2689">
        <v>4</v>
      </c>
      <c r="AH19" s="2689"/>
      <c r="AI19" s="2689">
        <v>5</v>
      </c>
      <c r="AJ19" s="2689"/>
      <c r="AK19" s="2689"/>
      <c r="AL19" s="2689"/>
      <c r="AM19" s="2689"/>
      <c r="AN19" s="2689"/>
      <c r="AO19" s="2689"/>
      <c r="AP19" s="2689">
        <v>6</v>
      </c>
      <c r="AQ19" s="2689"/>
      <c r="AR19" s="2689"/>
      <c r="AS19" s="2689"/>
      <c r="AT19" s="2689"/>
      <c r="AU19" s="2689"/>
      <c r="AV19" s="2689"/>
    </row>
    <row r="20" ht="15" customHeight="1" spans="1:48">
      <c r="A20" s="2694"/>
      <c r="B20" s="2695"/>
      <c r="C20" s="2696" t="str">
        <f>Text!B307</f>
        <v>IMOVINA</v>
      </c>
      <c r="D20" s="2697"/>
      <c r="E20" s="2697"/>
      <c r="F20" s="2697"/>
      <c r="G20" s="2697"/>
      <c r="H20" s="2697"/>
      <c r="I20" s="2697"/>
      <c r="J20" s="2697"/>
      <c r="K20" s="2697"/>
      <c r="L20" s="2697"/>
      <c r="M20" s="2697"/>
      <c r="N20" s="2697"/>
      <c r="O20" s="2697"/>
      <c r="P20" s="2697"/>
      <c r="Q20" s="2697"/>
      <c r="R20" s="2697"/>
      <c r="S20" s="2697"/>
      <c r="T20" s="2697"/>
      <c r="U20" s="2697"/>
      <c r="V20" s="2697"/>
      <c r="W20" s="2697"/>
      <c r="X20" s="2697"/>
      <c r="Y20" s="2698"/>
      <c r="Z20" s="2699"/>
      <c r="AA20" s="2699"/>
      <c r="AB20" s="2699"/>
      <c r="AC20" s="2699"/>
      <c r="AD20" s="2700"/>
      <c r="AE20" s="2701"/>
      <c r="AF20" s="2702"/>
      <c r="AG20" s="2703"/>
      <c r="AH20" s="2704"/>
      <c r="AI20" s="1394"/>
      <c r="AJ20" s="1395"/>
      <c r="AK20" s="1396"/>
      <c r="AL20" s="1396"/>
      <c r="AM20" s="1396"/>
      <c r="AN20" s="1396"/>
      <c r="AO20" s="1397"/>
      <c r="AP20" s="1394"/>
      <c r="AQ20" s="1395"/>
      <c r="AR20" s="1396"/>
      <c r="AS20" s="1396"/>
      <c r="AT20" s="1396"/>
      <c r="AU20" s="1396"/>
      <c r="AV20" s="1397"/>
    </row>
    <row r="21" s="1227" customFormat="1" ht="17.25" customHeight="1" spans="1:48">
      <c r="A21" s="2705" t="s">
        <v>3872</v>
      </c>
      <c r="B21" s="2706"/>
      <c r="C21" s="2696" t="str">
        <f>Text!B308</f>
        <v>Dugoročna imovina (002+009+014+015+020+021+022+023+024+025+028+033+034)</v>
      </c>
      <c r="D21" s="2697"/>
      <c r="E21" s="2697"/>
      <c r="F21" s="2697"/>
      <c r="G21" s="2697"/>
      <c r="H21" s="2697"/>
      <c r="I21" s="2697"/>
      <c r="J21" s="2697"/>
      <c r="K21" s="2697"/>
      <c r="L21" s="2697"/>
      <c r="M21" s="2697"/>
      <c r="N21" s="2697"/>
      <c r="O21" s="2697"/>
      <c r="P21" s="2697"/>
      <c r="Q21" s="2697"/>
      <c r="R21" s="2697"/>
      <c r="S21" s="2697"/>
      <c r="T21" s="2697"/>
      <c r="U21" s="2697"/>
      <c r="V21" s="2697"/>
      <c r="W21" s="2697"/>
      <c r="X21" s="2697"/>
      <c r="Y21" s="2707"/>
      <c r="Z21" s="2708"/>
      <c r="AA21" s="2708"/>
      <c r="AB21" s="2708"/>
      <c r="AC21" s="2708"/>
      <c r="AD21" s="2709"/>
      <c r="AE21" s="2623"/>
      <c r="AF21" s="2623"/>
      <c r="AG21" s="2705" t="s">
        <v>384</v>
      </c>
      <c r="AH21" s="2710"/>
      <c r="AI21" s="1394">
        <f>AI22+AI29+AI34+AI35+AI40+AI41+AI42+AI43+AI44+AI48+AI51+AI56+AI57</f>
        <v>22107</v>
      </c>
      <c r="AJ21" s="1395"/>
      <c r="AK21" s="1396"/>
      <c r="AL21" s="1396"/>
      <c r="AM21" s="1396"/>
      <c r="AN21" s="1396"/>
      <c r="AO21" s="1397"/>
      <c r="AP21" s="1394">
        <f>AP22+AP29+AP34+AP35+AP40+AP41+AP42+AP43+AP44+AP48+AP51+AP56+AP57</f>
        <v>151656</v>
      </c>
      <c r="AQ21" s="1395"/>
      <c r="AR21" s="1396"/>
      <c r="AS21" s="1396"/>
      <c r="AT21" s="1396"/>
      <c r="AU21" s="1396"/>
      <c r="AV21" s="1397"/>
    </row>
    <row r="22" ht="17.25" customHeight="1" spans="1:48">
      <c r="A22" s="2694">
        <v>1</v>
      </c>
      <c r="B22" s="2695"/>
      <c r="C22" s="2711" t="str">
        <f>Text!B309</f>
        <v>Nekretnine, postrojenja i oprema (003 do 008)</v>
      </c>
      <c r="D22" s="2712"/>
      <c r="E22" s="2712"/>
      <c r="F22" s="2712"/>
      <c r="G22" s="2712"/>
      <c r="H22" s="2712"/>
      <c r="I22" s="2712"/>
      <c r="J22" s="2712"/>
      <c r="K22" s="2712"/>
      <c r="L22" s="2712"/>
      <c r="M22" s="2712"/>
      <c r="N22" s="2712"/>
      <c r="O22" s="2712"/>
      <c r="P22" s="2712"/>
      <c r="Q22" s="2712"/>
      <c r="R22" s="2712"/>
      <c r="S22" s="2712"/>
      <c r="T22" s="2712"/>
      <c r="U22" s="2712"/>
      <c r="V22" s="2712"/>
      <c r="W22" s="2712"/>
      <c r="X22" s="2712"/>
      <c r="Y22" s="1389"/>
      <c r="Z22" s="1390"/>
      <c r="AA22" s="1390"/>
      <c r="AB22" s="1390"/>
      <c r="AC22" s="1390"/>
      <c r="AD22" s="1391"/>
      <c r="AE22" s="2701"/>
      <c r="AF22" s="2702"/>
      <c r="AG22" s="2694" t="s">
        <v>3874</v>
      </c>
      <c r="AH22" s="2713"/>
      <c r="AI22" s="1405">
        <f>SUM(AI23:AO28)</f>
        <v>22107</v>
      </c>
      <c r="AJ22" s="1406"/>
      <c r="AK22" s="1407"/>
      <c r="AL22" s="1407"/>
      <c r="AM22" s="1407"/>
      <c r="AN22" s="1407"/>
      <c r="AO22" s="1408"/>
      <c r="AP22" s="1405">
        <f>SUM(AP23:AV28)</f>
        <v>26656</v>
      </c>
      <c r="AQ22" s="1406"/>
      <c r="AR22" s="1407"/>
      <c r="AS22" s="1407"/>
      <c r="AT22" s="1407"/>
      <c r="AU22" s="1407"/>
      <c r="AV22" s="1408"/>
    </row>
    <row r="23" ht="17.25" customHeight="1" spans="1:48">
      <c r="A23" s="2714" t="s">
        <v>3875</v>
      </c>
      <c r="B23" s="2715"/>
      <c r="C23" s="2716" t="str">
        <f>Text!B310</f>
        <v>Zemljište</v>
      </c>
      <c r="D23" s="2717"/>
      <c r="E23" s="2717"/>
      <c r="F23" s="2717"/>
      <c r="G23" s="2717"/>
      <c r="H23" s="2717"/>
      <c r="I23" s="2717"/>
      <c r="J23" s="2717"/>
      <c r="K23" s="2717"/>
      <c r="L23" s="2717"/>
      <c r="M23" s="2717"/>
      <c r="N23" s="2717"/>
      <c r="O23" s="2717"/>
      <c r="P23" s="2717"/>
      <c r="Q23" s="2717"/>
      <c r="R23" s="2717"/>
      <c r="S23" s="2717"/>
      <c r="T23" s="2717"/>
      <c r="U23" s="2717"/>
      <c r="V23" s="2717"/>
      <c r="W23" s="2717"/>
      <c r="X23" s="2717"/>
      <c r="Y23" s="2718" t="s">
        <v>7040</v>
      </c>
      <c r="Z23" s="2719"/>
      <c r="AA23" s="2719"/>
      <c r="AB23" s="2719"/>
      <c r="AC23" s="2719"/>
      <c r="AD23" s="2720"/>
      <c r="AE23" s="2721" t="str">
        <f>Baza!F151</f>
        <v>-</v>
      </c>
      <c r="AF23" s="2722"/>
      <c r="AG23" s="2714" t="s">
        <v>405</v>
      </c>
      <c r="AH23" s="2723"/>
      <c r="AI23" s="2724">
        <f>ROUND(UnosPod!F607-UnosPod!M607,0)</f>
        <v>0</v>
      </c>
      <c r="AJ23" s="2725"/>
      <c r="AK23" s="2726"/>
      <c r="AL23" s="2726"/>
      <c r="AM23" s="2726"/>
      <c r="AN23" s="2726"/>
      <c r="AO23" s="2727"/>
      <c r="AP23" s="2724">
        <f>Prethodna_2024!B161</f>
        <v>0</v>
      </c>
      <c r="AQ23" s="2725"/>
      <c r="AR23" s="2726"/>
      <c r="AS23" s="2726"/>
      <c r="AT23" s="2726"/>
      <c r="AU23" s="2726"/>
      <c r="AV23" s="2727"/>
    </row>
    <row r="24" ht="17.25" customHeight="1" spans="1:48">
      <c r="A24" s="2728" t="s">
        <v>3877</v>
      </c>
      <c r="B24" s="2729"/>
      <c r="C24" s="2730" t="str">
        <f>Text!B311</f>
        <v>Građevinski objekti</v>
      </c>
      <c r="D24" s="2731"/>
      <c r="E24" s="2731"/>
      <c r="F24" s="2731"/>
      <c r="G24" s="2731"/>
      <c r="H24" s="2731"/>
      <c r="I24" s="2731"/>
      <c r="J24" s="2731"/>
      <c r="K24" s="2731"/>
      <c r="L24" s="2731"/>
      <c r="M24" s="2731"/>
      <c r="N24" s="2731"/>
      <c r="O24" s="2731"/>
      <c r="P24" s="2731"/>
      <c r="Q24" s="2731"/>
      <c r="R24" s="2731"/>
      <c r="S24" s="2731"/>
      <c r="T24" s="2731"/>
      <c r="U24" s="2731"/>
      <c r="V24" s="2731"/>
      <c r="W24" s="2731"/>
      <c r="X24" s="2731"/>
      <c r="Y24" s="2732" t="s">
        <v>7041</v>
      </c>
      <c r="Z24" s="2733"/>
      <c r="AA24" s="2733"/>
      <c r="AB24" s="2733"/>
      <c r="AC24" s="2733"/>
      <c r="AD24" s="2734"/>
      <c r="AE24" s="2735" t="str">
        <f>Baza!F152</f>
        <v>-</v>
      </c>
      <c r="AF24" s="2736"/>
      <c r="AG24" s="2728" t="s">
        <v>3878</v>
      </c>
      <c r="AH24" s="2737"/>
      <c r="AI24" s="2738">
        <f>ROUND(UnosPod!F608-UnosPod!M608,0)</f>
        <v>0</v>
      </c>
      <c r="AJ24" s="2739"/>
      <c r="AK24" s="2740"/>
      <c r="AL24" s="2740"/>
      <c r="AM24" s="2740"/>
      <c r="AN24" s="2740"/>
      <c r="AO24" s="2741"/>
      <c r="AP24" s="2738">
        <f>Prethodna_2024!B162</f>
        <v>0</v>
      </c>
      <c r="AQ24" s="2739"/>
      <c r="AR24" s="2740"/>
      <c r="AS24" s="2740"/>
      <c r="AT24" s="2740"/>
      <c r="AU24" s="2740"/>
      <c r="AV24" s="2741"/>
    </row>
    <row r="25" ht="17.25" customHeight="1" spans="1:48">
      <c r="A25" s="2728" t="s">
        <v>3880</v>
      </c>
      <c r="B25" s="2729"/>
      <c r="C25" s="2730" t="str">
        <f>Text!B312</f>
        <v>Postrojenja, oprema i namještaj</v>
      </c>
      <c r="D25" s="2731"/>
      <c r="E25" s="2731"/>
      <c r="F25" s="2731"/>
      <c r="G25" s="2731"/>
      <c r="H25" s="2731"/>
      <c r="I25" s="2731"/>
      <c r="J25" s="2731"/>
      <c r="K25" s="2731"/>
      <c r="L25" s="2731"/>
      <c r="M25" s="2731"/>
      <c r="N25" s="2731"/>
      <c r="O25" s="2731"/>
      <c r="P25" s="2731"/>
      <c r="Q25" s="2731"/>
      <c r="R25" s="2731"/>
      <c r="S25" s="2731"/>
      <c r="T25" s="2731"/>
      <c r="U25" s="2731"/>
      <c r="V25" s="2731"/>
      <c r="W25" s="2731"/>
      <c r="X25" s="2731"/>
      <c r="Y25" s="2732" t="s">
        <v>7042</v>
      </c>
      <c r="Z25" s="2733"/>
      <c r="AA25" s="2733"/>
      <c r="AB25" s="2733"/>
      <c r="AC25" s="2733"/>
      <c r="AD25" s="2734"/>
      <c r="AE25" s="2735" t="str">
        <f>Baza!F153</f>
        <v>-</v>
      </c>
      <c r="AF25" s="2736"/>
      <c r="AG25" s="2728" t="s">
        <v>3881</v>
      </c>
      <c r="AH25" s="2737"/>
      <c r="AI25" s="2738">
        <f>ROUND(UnosPod!F609-UnosPod!M609+UnosPod!F610-UnosPod!M610,0)</f>
        <v>0</v>
      </c>
      <c r="AJ25" s="2739"/>
      <c r="AK25" s="2740"/>
      <c r="AL25" s="2740"/>
      <c r="AM25" s="2740"/>
      <c r="AN25" s="2740"/>
      <c r="AO25" s="2741"/>
      <c r="AP25" s="2738">
        <f>Prethodna_2024!B163</f>
        <v>0</v>
      </c>
      <c r="AQ25" s="2739"/>
      <c r="AR25" s="2740"/>
      <c r="AS25" s="2740"/>
      <c r="AT25" s="2740"/>
      <c r="AU25" s="2740"/>
      <c r="AV25" s="2741"/>
    </row>
    <row r="26" ht="17.25" customHeight="1" spans="1:48">
      <c r="A26" s="2728" t="s">
        <v>3883</v>
      </c>
      <c r="B26" s="2729"/>
      <c r="C26" s="2730" t="str">
        <f>Text!B313</f>
        <v>Transportna sredstva</v>
      </c>
      <c r="D26" s="2731"/>
      <c r="E26" s="2731"/>
      <c r="F26" s="2731"/>
      <c r="G26" s="2731"/>
      <c r="H26" s="2731"/>
      <c r="I26" s="2731"/>
      <c r="J26" s="2731"/>
      <c r="K26" s="2731"/>
      <c r="L26" s="2731"/>
      <c r="M26" s="2731"/>
      <c r="N26" s="2731"/>
      <c r="O26" s="2731"/>
      <c r="P26" s="2731"/>
      <c r="Q26" s="2731"/>
      <c r="R26" s="2731"/>
      <c r="S26" s="2731"/>
      <c r="T26" s="2731"/>
      <c r="U26" s="2731"/>
      <c r="V26" s="2731"/>
      <c r="W26" s="2731"/>
      <c r="X26" s="2731"/>
      <c r="Y26" s="2732" t="s">
        <v>7043</v>
      </c>
      <c r="Z26" s="2733"/>
      <c r="AA26" s="2733"/>
      <c r="AB26" s="2733"/>
      <c r="AC26" s="2733"/>
      <c r="AD26" s="2734"/>
      <c r="AE26" s="2735" t="str">
        <f>Baza!F154</f>
        <v>A1.</v>
      </c>
      <c r="AF26" s="2736"/>
      <c r="AG26" s="2728" t="s">
        <v>3884</v>
      </c>
      <c r="AH26" s="2737"/>
      <c r="AI26" s="2738">
        <f>ROUND(UnosPod!F611-UnosPod!M611,0)</f>
        <v>22107</v>
      </c>
      <c r="AJ26" s="2739"/>
      <c r="AK26" s="2740"/>
      <c r="AL26" s="2740"/>
      <c r="AM26" s="2740"/>
      <c r="AN26" s="2740"/>
      <c r="AO26" s="2741"/>
      <c r="AP26" s="2738">
        <f>Prethodna_2024!B164</f>
        <v>26656</v>
      </c>
      <c r="AQ26" s="2739"/>
      <c r="AR26" s="2740"/>
      <c r="AS26" s="2740"/>
      <c r="AT26" s="2740"/>
      <c r="AU26" s="2740"/>
      <c r="AV26" s="2741"/>
    </row>
    <row r="27" ht="17.25" customHeight="1" spans="1:48">
      <c r="A27" s="2728" t="s">
        <v>3886</v>
      </c>
      <c r="B27" s="2729"/>
      <c r="C27" s="2730" t="str">
        <f>Text!B314</f>
        <v>Ostala dugoročna materijalna imovina</v>
      </c>
      <c r="D27" s="2731"/>
      <c r="E27" s="2731"/>
      <c r="F27" s="2731"/>
      <c r="G27" s="2731"/>
      <c r="H27" s="2731"/>
      <c r="I27" s="2731"/>
      <c r="J27" s="2731"/>
      <c r="K27" s="2731"/>
      <c r="L27" s="2731"/>
      <c r="M27" s="2731"/>
      <c r="N27" s="2731"/>
      <c r="O27" s="2731"/>
      <c r="P27" s="2731"/>
      <c r="Q27" s="2731"/>
      <c r="R27" s="2731"/>
      <c r="S27" s="2731"/>
      <c r="T27" s="2731"/>
      <c r="U27" s="2731"/>
      <c r="V27" s="2731"/>
      <c r="W27" s="2731"/>
      <c r="X27" s="2731"/>
      <c r="Y27" s="2732" t="s">
        <v>7044</v>
      </c>
      <c r="Z27" s="2733"/>
      <c r="AA27" s="2733"/>
      <c r="AB27" s="2733"/>
      <c r="AC27" s="2733"/>
      <c r="AD27" s="2734"/>
      <c r="AE27" s="2735" t="str">
        <f>Baza!F155</f>
        <v>-</v>
      </c>
      <c r="AF27" s="2736"/>
      <c r="AG27" s="2728" t="s">
        <v>3887</v>
      </c>
      <c r="AH27" s="2737"/>
      <c r="AI27" s="2738">
        <f>ROUND(UnosPod!F613-UnosPod!M613,0)</f>
        <v>0</v>
      </c>
      <c r="AJ27" s="2739"/>
      <c r="AK27" s="2740"/>
      <c r="AL27" s="2740"/>
      <c r="AM27" s="2740"/>
      <c r="AN27" s="2740"/>
      <c r="AO27" s="2741"/>
      <c r="AP27" s="2738">
        <f>Prethodna_2024!B165</f>
        <v>0</v>
      </c>
      <c r="AQ27" s="2739"/>
      <c r="AR27" s="2740"/>
      <c r="AS27" s="2740"/>
      <c r="AT27" s="2740"/>
      <c r="AU27" s="2740"/>
      <c r="AV27" s="2741"/>
    </row>
    <row r="28" ht="17.25" customHeight="1" spans="1:48">
      <c r="A28" s="2742" t="s">
        <v>3889</v>
      </c>
      <c r="B28" s="2743"/>
      <c r="C28" s="2744" t="str">
        <f>Text!B315</f>
        <v>Nekretnine, postrojenja i oprema u pripremi</v>
      </c>
      <c r="D28" s="2745"/>
      <c r="E28" s="2745"/>
      <c r="F28" s="2745"/>
      <c r="G28" s="2745"/>
      <c r="H28" s="2745"/>
      <c r="I28" s="2745"/>
      <c r="J28" s="2745"/>
      <c r="K28" s="2745"/>
      <c r="L28" s="2745"/>
      <c r="M28" s="2745"/>
      <c r="N28" s="2745"/>
      <c r="O28" s="2745"/>
      <c r="P28" s="2745"/>
      <c r="Q28" s="2745"/>
      <c r="R28" s="2745"/>
      <c r="S28" s="2745"/>
      <c r="T28" s="2745"/>
      <c r="U28" s="2745"/>
      <c r="V28" s="2745"/>
      <c r="W28" s="2745"/>
      <c r="X28" s="2745"/>
      <c r="Y28" s="2746" t="s">
        <v>7045</v>
      </c>
      <c r="Z28" s="2692"/>
      <c r="AA28" s="2692"/>
      <c r="AB28" s="2692"/>
      <c r="AC28" s="2692"/>
      <c r="AD28" s="2693"/>
      <c r="AE28" s="2747" t="str">
        <f>Baza!F156</f>
        <v>-</v>
      </c>
      <c r="AF28" s="2748"/>
      <c r="AG28" s="2742" t="s">
        <v>423</v>
      </c>
      <c r="AH28" s="2749"/>
      <c r="AI28" s="2750">
        <f>ROUND(UnosPod!F612-UnosPod!M612+UnosPod!F614-UnosPod!M614,0)</f>
        <v>0</v>
      </c>
      <c r="AJ28" s="2751"/>
      <c r="AK28" s="2752"/>
      <c r="AL28" s="2752"/>
      <c r="AM28" s="2752"/>
      <c r="AN28" s="2752"/>
      <c r="AO28" s="2753"/>
      <c r="AP28" s="2750">
        <f>Prethodna_2024!B166</f>
        <v>0</v>
      </c>
      <c r="AQ28" s="2751"/>
      <c r="AR28" s="2752"/>
      <c r="AS28" s="2752"/>
      <c r="AT28" s="2752"/>
      <c r="AU28" s="2752"/>
      <c r="AV28" s="2753"/>
    </row>
    <row r="29" ht="17.25" customHeight="1" spans="1:48">
      <c r="A29" s="2694" t="s">
        <v>3891</v>
      </c>
      <c r="B29" s="2695"/>
      <c r="C29" s="2711" t="str">
        <f>Text!B316</f>
        <v>Imovina s pravom korištenja (010 do 013)</v>
      </c>
      <c r="D29" s="2712"/>
      <c r="E29" s="2712"/>
      <c r="F29" s="2712"/>
      <c r="G29" s="2712"/>
      <c r="H29" s="2712"/>
      <c r="I29" s="2712"/>
      <c r="J29" s="2712"/>
      <c r="K29" s="2712"/>
      <c r="L29" s="2712"/>
      <c r="M29" s="2712"/>
      <c r="N29" s="2712"/>
      <c r="O29" s="2712"/>
      <c r="P29" s="2712"/>
      <c r="Q29" s="2712"/>
      <c r="R29" s="2712"/>
      <c r="S29" s="2712"/>
      <c r="T29" s="2712"/>
      <c r="U29" s="2712"/>
      <c r="V29" s="2712"/>
      <c r="W29" s="2712"/>
      <c r="X29" s="2712"/>
      <c r="Y29" s="1389"/>
      <c r="Z29" s="1390"/>
      <c r="AA29" s="1390"/>
      <c r="AB29" s="1390"/>
      <c r="AC29" s="1390"/>
      <c r="AD29" s="1391"/>
      <c r="AE29" s="2701"/>
      <c r="AF29" s="2702"/>
      <c r="AG29" s="2694" t="s">
        <v>3892</v>
      </c>
      <c r="AH29" s="2713"/>
      <c r="AI29" s="1405">
        <f>SUM(AI30:AO33)</f>
        <v>0</v>
      </c>
      <c r="AJ29" s="1406"/>
      <c r="AK29" s="1407"/>
      <c r="AL29" s="1407"/>
      <c r="AM29" s="1407"/>
      <c r="AN29" s="1407"/>
      <c r="AO29" s="1408"/>
      <c r="AP29" s="1405">
        <f>SUM(AP30:AV33)</f>
        <v>0</v>
      </c>
      <c r="AQ29" s="1406"/>
      <c r="AR29" s="1407"/>
      <c r="AS29" s="1407"/>
      <c r="AT29" s="1407"/>
      <c r="AU29" s="1407"/>
      <c r="AV29" s="1408"/>
    </row>
    <row r="30" ht="17.25" customHeight="1" spans="1:48">
      <c r="A30" s="2714" t="s">
        <v>3893</v>
      </c>
      <c r="B30" s="2715"/>
      <c r="C30" s="2716" t="str">
        <f>Text!B317</f>
        <v>Zemljište</v>
      </c>
      <c r="D30" s="2717"/>
      <c r="E30" s="2717"/>
      <c r="F30" s="2717"/>
      <c r="G30" s="2717"/>
      <c r="H30" s="2717"/>
      <c r="I30" s="2717"/>
      <c r="J30" s="2717"/>
      <c r="K30" s="2717"/>
      <c r="L30" s="2717"/>
      <c r="M30" s="2717"/>
      <c r="N30" s="2717"/>
      <c r="O30" s="2717"/>
      <c r="P30" s="2717"/>
      <c r="Q30" s="2717"/>
      <c r="R30" s="2717"/>
      <c r="S30" s="2717"/>
      <c r="T30" s="2717"/>
      <c r="U30" s="2717"/>
      <c r="V30" s="2717"/>
      <c r="W30" s="2717"/>
      <c r="X30" s="2717"/>
      <c r="Y30" s="2718" t="s">
        <v>7046</v>
      </c>
      <c r="Z30" s="2719"/>
      <c r="AA30" s="2719"/>
      <c r="AB30" s="2719"/>
      <c r="AC30" s="2719"/>
      <c r="AD30" s="2720"/>
      <c r="AE30" s="2721" t="str">
        <f>Baza!F157</f>
        <v>-</v>
      </c>
      <c r="AF30" s="2722"/>
      <c r="AG30" s="2714" t="s">
        <v>3894</v>
      </c>
      <c r="AH30" s="2723"/>
      <c r="AI30" s="2724">
        <f>ROUND(UnosPod!F631-UnosPod!M631,0)</f>
        <v>0</v>
      </c>
      <c r="AJ30" s="2725"/>
      <c r="AK30" s="2726"/>
      <c r="AL30" s="2726"/>
      <c r="AM30" s="2726"/>
      <c r="AN30" s="2726"/>
      <c r="AO30" s="2727"/>
      <c r="AP30" s="2724">
        <f>Prethodna_2024!B168</f>
        <v>0</v>
      </c>
      <c r="AQ30" s="2725"/>
      <c r="AR30" s="2726"/>
      <c r="AS30" s="2726"/>
      <c r="AT30" s="2726"/>
      <c r="AU30" s="2726"/>
      <c r="AV30" s="2727"/>
    </row>
    <row r="31" ht="17.25" customHeight="1" spans="1:48">
      <c r="A31" s="2728" t="s">
        <v>3896</v>
      </c>
      <c r="B31" s="2729"/>
      <c r="C31" s="2730" t="str">
        <f>Text!B318</f>
        <v>Građevinski objekti</v>
      </c>
      <c r="D31" s="2731"/>
      <c r="E31" s="2731"/>
      <c r="F31" s="2731"/>
      <c r="G31" s="2731"/>
      <c r="H31" s="2731"/>
      <c r="I31" s="2731"/>
      <c r="J31" s="2731"/>
      <c r="K31" s="2731"/>
      <c r="L31" s="2731"/>
      <c r="M31" s="2731"/>
      <c r="N31" s="2731"/>
      <c r="O31" s="2731"/>
      <c r="P31" s="2731"/>
      <c r="Q31" s="2731"/>
      <c r="R31" s="2731"/>
      <c r="S31" s="2731"/>
      <c r="T31" s="2731"/>
      <c r="U31" s="2731"/>
      <c r="V31" s="2731"/>
      <c r="W31" s="2731"/>
      <c r="X31" s="2731"/>
      <c r="Y31" s="2732" t="s">
        <v>7047</v>
      </c>
      <c r="Z31" s="2733"/>
      <c r="AA31" s="2733"/>
      <c r="AB31" s="2733"/>
      <c r="AC31" s="2733"/>
      <c r="AD31" s="2734"/>
      <c r="AE31" s="2735" t="str">
        <f>Baza!F158</f>
        <v>-</v>
      </c>
      <c r="AF31" s="2736"/>
      <c r="AG31" s="2728" t="s">
        <v>441</v>
      </c>
      <c r="AH31" s="2737"/>
      <c r="AI31" s="2738">
        <f>ROUND(UnosPod!F632-UnosPod!M632,0)</f>
        <v>0</v>
      </c>
      <c r="AJ31" s="2739"/>
      <c r="AK31" s="2740"/>
      <c r="AL31" s="2740"/>
      <c r="AM31" s="2740"/>
      <c r="AN31" s="2740"/>
      <c r="AO31" s="2741"/>
      <c r="AP31" s="2738">
        <f>Prethodna_2024!B169</f>
        <v>0</v>
      </c>
      <c r="AQ31" s="2739"/>
      <c r="AR31" s="2740"/>
      <c r="AS31" s="2740"/>
      <c r="AT31" s="2740"/>
      <c r="AU31" s="2740"/>
      <c r="AV31" s="2741"/>
    </row>
    <row r="32" ht="17.25" customHeight="1" spans="1:48">
      <c r="A32" s="2728" t="s">
        <v>3898</v>
      </c>
      <c r="B32" s="2729"/>
      <c r="C32" s="2730" t="str">
        <f>Text!B319</f>
        <v>Postrojenja i oprema</v>
      </c>
      <c r="D32" s="2731"/>
      <c r="E32" s="2731"/>
      <c r="F32" s="2731"/>
      <c r="G32" s="2731"/>
      <c r="H32" s="2731"/>
      <c r="I32" s="2731"/>
      <c r="J32" s="2731"/>
      <c r="K32" s="2731"/>
      <c r="L32" s="2731"/>
      <c r="M32" s="2731"/>
      <c r="N32" s="2731"/>
      <c r="O32" s="2731"/>
      <c r="P32" s="2731"/>
      <c r="Q32" s="2731"/>
      <c r="R32" s="2731"/>
      <c r="S32" s="2731"/>
      <c r="T32" s="2731"/>
      <c r="U32" s="2731"/>
      <c r="V32" s="2731"/>
      <c r="W32" s="2731"/>
      <c r="X32" s="2731"/>
      <c r="Y32" s="2732" t="s">
        <v>7048</v>
      </c>
      <c r="Z32" s="2733"/>
      <c r="AA32" s="2733"/>
      <c r="AB32" s="2733"/>
      <c r="AC32" s="2733"/>
      <c r="AD32" s="2734"/>
      <c r="AE32" s="2735" t="str">
        <f>Baza!F159</f>
        <v>-</v>
      </c>
      <c r="AF32" s="2736"/>
      <c r="AG32" s="2728" t="s">
        <v>616</v>
      </c>
      <c r="AH32" s="2737"/>
      <c r="AI32" s="2738">
        <f>ROUND(UnosPod!F633-UnosPod!M633,0)</f>
        <v>0</v>
      </c>
      <c r="AJ32" s="2739"/>
      <c r="AK32" s="2740"/>
      <c r="AL32" s="2740"/>
      <c r="AM32" s="2740"/>
      <c r="AN32" s="2740"/>
      <c r="AO32" s="2741"/>
      <c r="AP32" s="2738">
        <f>Prethodna_2024!B170</f>
        <v>0</v>
      </c>
      <c r="AQ32" s="2739"/>
      <c r="AR32" s="2740"/>
      <c r="AS32" s="2740"/>
      <c r="AT32" s="2740"/>
      <c r="AU32" s="2740"/>
      <c r="AV32" s="2741"/>
    </row>
    <row r="33" ht="17.25" customHeight="1" spans="1:48">
      <c r="A33" s="2742" t="s">
        <v>3900</v>
      </c>
      <c r="B33" s="2743"/>
      <c r="C33" s="2744" t="str">
        <f>Text!B320</f>
        <v>Nematerijalna imovina</v>
      </c>
      <c r="D33" s="2745"/>
      <c r="E33" s="2745"/>
      <c r="F33" s="2745"/>
      <c r="G33" s="2745"/>
      <c r="H33" s="2745"/>
      <c r="I33" s="2745"/>
      <c r="J33" s="2745"/>
      <c r="K33" s="2745"/>
      <c r="L33" s="2745"/>
      <c r="M33" s="2745"/>
      <c r="N33" s="2745"/>
      <c r="O33" s="2745"/>
      <c r="P33" s="2745"/>
      <c r="Q33" s="2745"/>
      <c r="R33" s="2745"/>
      <c r="S33" s="2745"/>
      <c r="T33" s="2745"/>
      <c r="U33" s="2745"/>
      <c r="V33" s="2745"/>
      <c r="W33" s="2745"/>
      <c r="X33" s="2745"/>
      <c r="Y33" s="2746" t="s">
        <v>7049</v>
      </c>
      <c r="Z33" s="2692"/>
      <c r="AA33" s="2692"/>
      <c r="AB33" s="2692"/>
      <c r="AC33" s="2692"/>
      <c r="AD33" s="2693"/>
      <c r="AE33" s="2747" t="str">
        <f>Baza!F160</f>
        <v>-</v>
      </c>
      <c r="AF33" s="2748"/>
      <c r="AG33" s="2742" t="s">
        <v>455</v>
      </c>
      <c r="AH33" s="2749"/>
      <c r="AI33" s="2750">
        <f>ROUND(UnosPod!F634-UnosPod!M634,0)</f>
        <v>0</v>
      </c>
      <c r="AJ33" s="2751"/>
      <c r="AK33" s="2752"/>
      <c r="AL33" s="2752"/>
      <c r="AM33" s="2752"/>
      <c r="AN33" s="2752"/>
      <c r="AO33" s="2753"/>
      <c r="AP33" s="2750">
        <f>Prethodna_2024!B171</f>
        <v>0</v>
      </c>
      <c r="AQ33" s="2751"/>
      <c r="AR33" s="2752"/>
      <c r="AS33" s="2752"/>
      <c r="AT33" s="2752"/>
      <c r="AU33" s="2752"/>
      <c r="AV33" s="2753"/>
    </row>
    <row r="34" ht="17.25" customHeight="1" spans="1:48">
      <c r="A34" s="2694" t="s">
        <v>3902</v>
      </c>
      <c r="B34" s="2695"/>
      <c r="C34" s="2711" t="str">
        <f>Text!B321</f>
        <v>Ulaganja u investicijske nekretnine</v>
      </c>
      <c r="D34" s="2712"/>
      <c r="E34" s="2712"/>
      <c r="F34" s="2712"/>
      <c r="G34" s="2712"/>
      <c r="H34" s="2712"/>
      <c r="I34" s="2712"/>
      <c r="J34" s="2712"/>
      <c r="K34" s="2712"/>
      <c r="L34" s="2712"/>
      <c r="M34" s="2712"/>
      <c r="N34" s="2712"/>
      <c r="O34" s="2712"/>
      <c r="P34" s="2712"/>
      <c r="Q34" s="2712"/>
      <c r="R34" s="2712"/>
      <c r="S34" s="2712"/>
      <c r="T34" s="2712"/>
      <c r="U34" s="2712"/>
      <c r="V34" s="2712"/>
      <c r="W34" s="2712"/>
      <c r="X34" s="2712"/>
      <c r="Y34" s="1389" t="s">
        <v>5284</v>
      </c>
      <c r="Z34" s="1390"/>
      <c r="AA34" s="1390"/>
      <c r="AB34" s="1390"/>
      <c r="AC34" s="1390"/>
      <c r="AD34" s="1391"/>
      <c r="AE34" s="2701" t="str">
        <f>Baza!F161</f>
        <v>-</v>
      </c>
      <c r="AF34" s="2702"/>
      <c r="AG34" s="2694" t="s">
        <v>3903</v>
      </c>
      <c r="AH34" s="2713"/>
      <c r="AI34" s="1405">
        <f>ROUND(UnosPod!F623-UnosPod!M623,0)</f>
        <v>0</v>
      </c>
      <c r="AJ34" s="1406"/>
      <c r="AK34" s="1407"/>
      <c r="AL34" s="1407"/>
      <c r="AM34" s="1407"/>
      <c r="AN34" s="1407"/>
      <c r="AO34" s="1408"/>
      <c r="AP34" s="2724">
        <f>Prethodna_2024!B172</f>
        <v>0</v>
      </c>
      <c r="AQ34" s="2725"/>
      <c r="AR34" s="2726"/>
      <c r="AS34" s="2726"/>
      <c r="AT34" s="2726"/>
      <c r="AU34" s="2726"/>
      <c r="AV34" s="2727"/>
    </row>
    <row r="35" ht="17.25" customHeight="1" spans="1:48">
      <c r="A35" s="2694" t="s">
        <v>3905</v>
      </c>
      <c r="B35" s="2695"/>
      <c r="C35" s="2711" t="str">
        <f>Text!B322</f>
        <v>Nematerijalna imovina (016 do 019)</v>
      </c>
      <c r="D35" s="2712"/>
      <c r="E35" s="2712"/>
      <c r="F35" s="2712"/>
      <c r="G35" s="2712"/>
      <c r="H35" s="2712"/>
      <c r="I35" s="2712"/>
      <c r="J35" s="2712"/>
      <c r="K35" s="2712"/>
      <c r="L35" s="2712"/>
      <c r="M35" s="2712"/>
      <c r="N35" s="2712"/>
      <c r="O35" s="2712"/>
      <c r="P35" s="2712"/>
      <c r="Q35" s="2712"/>
      <c r="R35" s="2712"/>
      <c r="S35" s="2712"/>
      <c r="T35" s="2712"/>
      <c r="U35" s="2712"/>
      <c r="V35" s="2712"/>
      <c r="W35" s="2712"/>
      <c r="X35" s="2712"/>
      <c r="Y35" s="1389"/>
      <c r="Z35" s="1390"/>
      <c r="AA35" s="1390"/>
      <c r="AB35" s="1390"/>
      <c r="AC35" s="1390"/>
      <c r="AD35" s="1391"/>
      <c r="AE35" s="2701"/>
      <c r="AF35" s="2702"/>
      <c r="AG35" s="2694" t="s">
        <v>3906</v>
      </c>
      <c r="AH35" s="2713"/>
      <c r="AI35" s="1405">
        <f>SUM(AI36:AO39)</f>
        <v>0</v>
      </c>
      <c r="AJ35" s="1406"/>
      <c r="AK35" s="1407"/>
      <c r="AL35" s="1407"/>
      <c r="AM35" s="1407"/>
      <c r="AN35" s="1407"/>
      <c r="AO35" s="1408"/>
      <c r="AP35" s="1405">
        <f>SUM(AP36:AV39)</f>
        <v>0</v>
      </c>
      <c r="AQ35" s="1406"/>
      <c r="AR35" s="1407"/>
      <c r="AS35" s="1407"/>
      <c r="AT35" s="1407"/>
      <c r="AU35" s="1407"/>
      <c r="AV35" s="1408"/>
    </row>
    <row r="36" ht="17.25" customHeight="1" spans="1:48">
      <c r="A36" s="2714" t="s">
        <v>3907</v>
      </c>
      <c r="B36" s="2715"/>
      <c r="C36" s="2716" t="str">
        <f>Text!B323</f>
        <v>Kapitalizirana ulaganja u razvoj</v>
      </c>
      <c r="D36" s="2717"/>
      <c r="E36" s="2717"/>
      <c r="F36" s="2717"/>
      <c r="G36" s="2717"/>
      <c r="H36" s="2717"/>
      <c r="I36" s="2717"/>
      <c r="J36" s="2717"/>
      <c r="K36" s="2717"/>
      <c r="L36" s="2717"/>
      <c r="M36" s="2717"/>
      <c r="N36" s="2717"/>
      <c r="O36" s="2717"/>
      <c r="P36" s="2717"/>
      <c r="Q36" s="2717"/>
      <c r="R36" s="2717"/>
      <c r="S36" s="2717"/>
      <c r="T36" s="2717"/>
      <c r="U36" s="2717"/>
      <c r="V36" s="2717"/>
      <c r="W36" s="2717"/>
      <c r="X36" s="2717"/>
      <c r="Y36" s="2718" t="s">
        <v>7050</v>
      </c>
      <c r="Z36" s="2719"/>
      <c r="AA36" s="2719"/>
      <c r="AB36" s="2719"/>
      <c r="AC36" s="2719"/>
      <c r="AD36" s="2720"/>
      <c r="AE36" s="2721" t="str">
        <f>Baza!F162</f>
        <v>-</v>
      </c>
      <c r="AF36" s="2722"/>
      <c r="AG36" s="2714" t="s">
        <v>469</v>
      </c>
      <c r="AH36" s="2723"/>
      <c r="AI36" s="2724">
        <f>ROUND(UnosPod!F600-UnosPod!M600,0)</f>
        <v>0</v>
      </c>
      <c r="AJ36" s="2725"/>
      <c r="AK36" s="2726"/>
      <c r="AL36" s="2726"/>
      <c r="AM36" s="2726"/>
      <c r="AN36" s="2726"/>
      <c r="AO36" s="2727"/>
      <c r="AP36" s="2738">
        <f>Prethodna_2024!B174</f>
        <v>0</v>
      </c>
      <c r="AQ36" s="2739"/>
      <c r="AR36" s="2740"/>
      <c r="AS36" s="2740"/>
      <c r="AT36" s="2740"/>
      <c r="AU36" s="2740"/>
      <c r="AV36" s="2741"/>
    </row>
    <row r="37" ht="17.25" customHeight="1" spans="1:48">
      <c r="A37" s="2728" t="s">
        <v>3909</v>
      </c>
      <c r="B37" s="2729"/>
      <c r="C37" s="2730" t="str">
        <f>Text!B324</f>
        <v>Koncesije, patenti, licence i druga prava</v>
      </c>
      <c r="D37" s="2731"/>
      <c r="E37" s="2731"/>
      <c r="F37" s="2731"/>
      <c r="G37" s="2731"/>
      <c r="H37" s="2731"/>
      <c r="I37" s="2731"/>
      <c r="J37" s="2731"/>
      <c r="K37" s="2731"/>
      <c r="L37" s="2731"/>
      <c r="M37" s="2731"/>
      <c r="N37" s="2731"/>
      <c r="O37" s="2731"/>
      <c r="P37" s="2731"/>
      <c r="Q37" s="2731"/>
      <c r="R37" s="2731"/>
      <c r="S37" s="2731"/>
      <c r="T37" s="2731"/>
      <c r="U37" s="2731"/>
      <c r="V37" s="2731"/>
      <c r="W37" s="2731"/>
      <c r="X37" s="2731"/>
      <c r="Y37" s="2732" t="s">
        <v>7051</v>
      </c>
      <c r="Z37" s="2733"/>
      <c r="AA37" s="2733"/>
      <c r="AB37" s="2733"/>
      <c r="AC37" s="2733"/>
      <c r="AD37" s="2734"/>
      <c r="AE37" s="2735" t="str">
        <f>Baza!F163</f>
        <v>-</v>
      </c>
      <c r="AF37" s="2736"/>
      <c r="AG37" s="2728" t="s">
        <v>484</v>
      </c>
      <c r="AH37" s="2737"/>
      <c r="AI37" s="2738">
        <f>ROUND(UnosPod!F601-UnosPod!M601,0)</f>
        <v>0</v>
      </c>
      <c r="AJ37" s="2739"/>
      <c r="AK37" s="2740"/>
      <c r="AL37" s="2740"/>
      <c r="AM37" s="2740"/>
      <c r="AN37" s="2740"/>
      <c r="AO37" s="2741"/>
      <c r="AP37" s="2738">
        <f>Prethodna_2024!B175</f>
        <v>0</v>
      </c>
      <c r="AQ37" s="2739"/>
      <c r="AR37" s="2740"/>
      <c r="AS37" s="2740"/>
      <c r="AT37" s="2740"/>
      <c r="AU37" s="2740"/>
      <c r="AV37" s="2741"/>
    </row>
    <row r="38" ht="17.25" customHeight="1" spans="1:48">
      <c r="A38" s="2728" t="s">
        <v>3911</v>
      </c>
      <c r="B38" s="2729"/>
      <c r="C38" s="2730" t="str">
        <f>Text!B325</f>
        <v>Ostala nematerijalna imovina</v>
      </c>
      <c r="D38" s="2731"/>
      <c r="E38" s="2731"/>
      <c r="F38" s="2731"/>
      <c r="G38" s="2731"/>
      <c r="H38" s="2731"/>
      <c r="I38" s="2731"/>
      <c r="J38" s="2731"/>
      <c r="K38" s="2731"/>
      <c r="L38" s="2731"/>
      <c r="M38" s="2731"/>
      <c r="N38" s="2731"/>
      <c r="O38" s="2731"/>
      <c r="P38" s="2731"/>
      <c r="Q38" s="2731"/>
      <c r="R38" s="2731"/>
      <c r="S38" s="2731"/>
      <c r="T38" s="2731"/>
      <c r="U38" s="2731"/>
      <c r="V38" s="2731"/>
      <c r="W38" s="2731"/>
      <c r="X38" s="2731"/>
      <c r="Y38" s="2732" t="s">
        <v>7052</v>
      </c>
      <c r="Z38" s="2733"/>
      <c r="AA38" s="2733"/>
      <c r="AB38" s="2733"/>
      <c r="AC38" s="2733"/>
      <c r="AD38" s="2734"/>
      <c r="AE38" s="2735" t="str">
        <f>Baza!F164</f>
        <v>-</v>
      </c>
      <c r="AF38" s="2736"/>
      <c r="AG38" s="2728" t="s">
        <v>498</v>
      </c>
      <c r="AH38" s="2737"/>
      <c r="AI38" s="2738">
        <f>ROUND(UnosPod!F603-UnosPod!M603,0)</f>
        <v>0</v>
      </c>
      <c r="AJ38" s="2739"/>
      <c r="AK38" s="2740"/>
      <c r="AL38" s="2740"/>
      <c r="AM38" s="2740"/>
      <c r="AN38" s="2740"/>
      <c r="AO38" s="2741"/>
      <c r="AP38" s="2738">
        <f>Prethodna_2024!B176</f>
        <v>0</v>
      </c>
      <c r="AQ38" s="2739"/>
      <c r="AR38" s="2740"/>
      <c r="AS38" s="2740"/>
      <c r="AT38" s="2740"/>
      <c r="AU38" s="2740"/>
      <c r="AV38" s="2741"/>
    </row>
    <row r="39" ht="17.25" customHeight="1" spans="1:48">
      <c r="A39" s="2742" t="s">
        <v>3913</v>
      </c>
      <c r="B39" s="2743"/>
      <c r="C39" s="2744" t="str">
        <f>Text!B326</f>
        <v>Nematerijalna imovina u pripremi</v>
      </c>
      <c r="D39" s="2745"/>
      <c r="E39" s="2745"/>
      <c r="F39" s="2745"/>
      <c r="G39" s="2745"/>
      <c r="H39" s="2745"/>
      <c r="I39" s="2745"/>
      <c r="J39" s="2745"/>
      <c r="K39" s="2745"/>
      <c r="L39" s="2745"/>
      <c r="M39" s="2745"/>
      <c r="N39" s="2745"/>
      <c r="O39" s="2745"/>
      <c r="P39" s="2745"/>
      <c r="Q39" s="2745"/>
      <c r="R39" s="2745"/>
      <c r="S39" s="2745"/>
      <c r="T39" s="2745"/>
      <c r="U39" s="2745"/>
      <c r="V39" s="2745"/>
      <c r="W39" s="2745"/>
      <c r="X39" s="2745"/>
      <c r="Y39" s="2746" t="s">
        <v>7053</v>
      </c>
      <c r="Z39" s="2692"/>
      <c r="AA39" s="2692"/>
      <c r="AB39" s="2692"/>
      <c r="AC39" s="2692"/>
      <c r="AD39" s="2693"/>
      <c r="AE39" s="2747" t="str">
        <f>Baza!F165</f>
        <v>-</v>
      </c>
      <c r="AF39" s="2748"/>
      <c r="AG39" s="2742" t="s">
        <v>526</v>
      </c>
      <c r="AH39" s="2749"/>
      <c r="AI39" s="2750">
        <f>ROUND((UnosPod!F604-UnosPod!M604+UnosPod!F605-UnosPod!M605),0)</f>
        <v>0</v>
      </c>
      <c r="AJ39" s="2751"/>
      <c r="AK39" s="2752"/>
      <c r="AL39" s="2752"/>
      <c r="AM39" s="2752"/>
      <c r="AN39" s="2752"/>
      <c r="AO39" s="2753"/>
      <c r="AP39" s="2738">
        <f>Prethodna_2024!B177</f>
        <v>0</v>
      </c>
      <c r="AQ39" s="2739"/>
      <c r="AR39" s="2740"/>
      <c r="AS39" s="2740"/>
      <c r="AT39" s="2740"/>
      <c r="AU39" s="2740"/>
      <c r="AV39" s="2741"/>
    </row>
    <row r="40" ht="17.25" customHeight="1" spans="1:48">
      <c r="A40" s="2694" t="s">
        <v>3915</v>
      </c>
      <c r="B40" s="2695"/>
      <c r="C40" s="2711" t="str">
        <f>Text!B327</f>
        <v>Biološka imovina </v>
      </c>
      <c r="D40" s="2712"/>
      <c r="E40" s="2712"/>
      <c r="F40" s="2712"/>
      <c r="G40" s="2712"/>
      <c r="H40" s="2712"/>
      <c r="I40" s="2712"/>
      <c r="J40" s="2712"/>
      <c r="K40" s="2712"/>
      <c r="L40" s="2712"/>
      <c r="M40" s="2712"/>
      <c r="N40" s="2712"/>
      <c r="O40" s="2712"/>
      <c r="P40" s="2712"/>
      <c r="Q40" s="2712"/>
      <c r="R40" s="2712"/>
      <c r="S40" s="2712"/>
      <c r="T40" s="2712"/>
      <c r="U40" s="2712"/>
      <c r="V40" s="2712"/>
      <c r="W40" s="2712"/>
      <c r="X40" s="2712"/>
      <c r="Y40" s="1389" t="s">
        <v>5292</v>
      </c>
      <c r="Z40" s="1390"/>
      <c r="AA40" s="1390"/>
      <c r="AB40" s="1390"/>
      <c r="AC40" s="1390"/>
      <c r="AD40" s="1391"/>
      <c r="AE40" s="2721" t="str">
        <f>Baza!F166</f>
        <v>-</v>
      </c>
      <c r="AF40" s="2722"/>
      <c r="AG40" s="2694" t="s">
        <v>3916</v>
      </c>
      <c r="AH40" s="2713"/>
      <c r="AI40" s="1405">
        <f>ROUND(UnosPod!F630-UnosPod!M630,0)</f>
        <v>0</v>
      </c>
      <c r="AJ40" s="1406"/>
      <c r="AK40" s="1407"/>
      <c r="AL40" s="1407"/>
      <c r="AM40" s="1407"/>
      <c r="AN40" s="1407"/>
      <c r="AO40" s="1408"/>
      <c r="AP40" s="1405">
        <f>Prethodna_2024!B178</f>
        <v>0</v>
      </c>
      <c r="AQ40" s="1406"/>
      <c r="AR40" s="1407"/>
      <c r="AS40" s="1407"/>
      <c r="AT40" s="1407"/>
      <c r="AU40" s="1407"/>
      <c r="AV40" s="1408"/>
    </row>
    <row r="41" ht="17.25" customHeight="1" spans="1:48">
      <c r="A41" s="2694" t="s">
        <v>3918</v>
      </c>
      <c r="B41" s="2695"/>
      <c r="C41" s="2711" t="str">
        <f>Text!B328</f>
        <v>Ulaganja u zavisne subjekte</v>
      </c>
      <c r="D41" s="2712"/>
      <c r="E41" s="2712"/>
      <c r="F41" s="2712"/>
      <c r="G41" s="2712"/>
      <c r="H41" s="2712"/>
      <c r="I41" s="2712"/>
      <c r="J41" s="2712"/>
      <c r="K41" s="2712"/>
      <c r="L41" s="2712"/>
      <c r="M41" s="2712"/>
      <c r="N41" s="2712"/>
      <c r="O41" s="2712"/>
      <c r="P41" s="2712"/>
      <c r="Q41" s="2712"/>
      <c r="R41" s="2712"/>
      <c r="S41" s="2712"/>
      <c r="T41" s="2712"/>
      <c r="U41" s="2712"/>
      <c r="V41" s="2712"/>
      <c r="W41" s="2712"/>
      <c r="X41" s="2712"/>
      <c r="Y41" s="1389" t="s">
        <v>7054</v>
      </c>
      <c r="Z41" s="1390"/>
      <c r="AA41" s="1390"/>
      <c r="AB41" s="1390"/>
      <c r="AC41" s="1390"/>
      <c r="AD41" s="1391"/>
      <c r="AE41" s="2701" t="str">
        <f>Baza!F167</f>
        <v>-</v>
      </c>
      <c r="AF41" s="2702"/>
      <c r="AG41" s="2694" t="s">
        <v>541</v>
      </c>
      <c r="AH41" s="2713"/>
      <c r="AI41" s="1405">
        <f>ROUND(UnosPod!F636-UnosPod!M636,0)</f>
        <v>0</v>
      </c>
      <c r="AJ41" s="1406"/>
      <c r="AK41" s="1407"/>
      <c r="AL41" s="1407"/>
      <c r="AM41" s="1407"/>
      <c r="AN41" s="1407"/>
      <c r="AO41" s="1408"/>
      <c r="AP41" s="1405">
        <f>Prethodna_2024!B179</f>
        <v>0</v>
      </c>
      <c r="AQ41" s="1406"/>
      <c r="AR41" s="1407"/>
      <c r="AS41" s="1407"/>
      <c r="AT41" s="1407"/>
      <c r="AU41" s="1407"/>
      <c r="AV41" s="1408"/>
    </row>
    <row r="42" ht="17.25" customHeight="1" spans="1:48">
      <c r="A42" s="2694" t="s">
        <v>3920</v>
      </c>
      <c r="B42" s="2695"/>
      <c r="C42" s="2711" t="str">
        <f>Text!B329</f>
        <v>Ulaganja u pridružene subjekte</v>
      </c>
      <c r="D42" s="2712"/>
      <c r="E42" s="2712"/>
      <c r="F42" s="2712"/>
      <c r="G42" s="2712"/>
      <c r="H42" s="2712"/>
      <c r="I42" s="2712"/>
      <c r="J42" s="2712"/>
      <c r="K42" s="2712"/>
      <c r="L42" s="2712"/>
      <c r="M42" s="2712"/>
      <c r="N42" s="2712"/>
      <c r="O42" s="2712"/>
      <c r="P42" s="2712"/>
      <c r="Q42" s="2712"/>
      <c r="R42" s="2712"/>
      <c r="S42" s="2712"/>
      <c r="T42" s="2712"/>
      <c r="U42" s="2712"/>
      <c r="V42" s="2712"/>
      <c r="W42" s="2712"/>
      <c r="X42" s="2712"/>
      <c r="Y42" s="1389" t="s">
        <v>7055</v>
      </c>
      <c r="Z42" s="1390"/>
      <c r="AA42" s="1390"/>
      <c r="AB42" s="1390"/>
      <c r="AC42" s="1390"/>
      <c r="AD42" s="1391"/>
      <c r="AE42" s="2701" t="str">
        <f>Baza!F168</f>
        <v>-</v>
      </c>
      <c r="AF42" s="2702"/>
      <c r="AG42" s="2694" t="s">
        <v>3921</v>
      </c>
      <c r="AH42" s="2713"/>
      <c r="AI42" s="1405">
        <f>ROUND(UnosPod!F637-UnosPod!M637,0)</f>
        <v>0</v>
      </c>
      <c r="AJ42" s="1406"/>
      <c r="AK42" s="1407"/>
      <c r="AL42" s="1407"/>
      <c r="AM42" s="1407"/>
      <c r="AN42" s="1407"/>
      <c r="AO42" s="1408"/>
      <c r="AP42" s="1405">
        <f>Prethodna_2024!B180</f>
        <v>0</v>
      </c>
      <c r="AQ42" s="1406"/>
      <c r="AR42" s="1407"/>
      <c r="AS42" s="1407"/>
      <c r="AT42" s="1407"/>
      <c r="AU42" s="1407"/>
      <c r="AV42" s="1408"/>
    </row>
    <row r="43" ht="17.25" customHeight="1" spans="1:48">
      <c r="A43" s="2694" t="s">
        <v>3923</v>
      </c>
      <c r="B43" s="2695"/>
      <c r="C43" s="2711" t="str">
        <f>Text!B330</f>
        <v>Ulaganja u zajedničke poduhvate</v>
      </c>
      <c r="D43" s="2712"/>
      <c r="E43" s="2712"/>
      <c r="F43" s="2712"/>
      <c r="G43" s="2712"/>
      <c r="H43" s="2712"/>
      <c r="I43" s="2712"/>
      <c r="J43" s="2712"/>
      <c r="K43" s="2712"/>
      <c r="L43" s="2712"/>
      <c r="M43" s="2712"/>
      <c r="N43" s="2712"/>
      <c r="O43" s="2712"/>
      <c r="P43" s="2712"/>
      <c r="Q43" s="2712"/>
      <c r="R43" s="2712"/>
      <c r="S43" s="2712"/>
      <c r="T43" s="2712"/>
      <c r="U43" s="2712"/>
      <c r="V43" s="2712"/>
      <c r="W43" s="2712"/>
      <c r="X43" s="2712"/>
      <c r="Y43" s="1389" t="s">
        <v>7056</v>
      </c>
      <c r="Z43" s="1390"/>
      <c r="AA43" s="1390"/>
      <c r="AB43" s="1390"/>
      <c r="AC43" s="1390"/>
      <c r="AD43" s="1391"/>
      <c r="AE43" s="2701" t="str">
        <f>Baza!F169</f>
        <v>-</v>
      </c>
      <c r="AF43" s="2702"/>
      <c r="AG43" s="2694" t="s">
        <v>566</v>
      </c>
      <c r="AH43" s="2713"/>
      <c r="AI43" s="1405">
        <f>ROUND(UnosPod!F638-UnosPod!M638,0)</f>
        <v>0</v>
      </c>
      <c r="AJ43" s="1406"/>
      <c r="AK43" s="1407"/>
      <c r="AL43" s="1407"/>
      <c r="AM43" s="1407"/>
      <c r="AN43" s="1407"/>
      <c r="AO43" s="1408"/>
      <c r="AP43" s="1405">
        <f>Prethodna_2024!B181</f>
        <v>0</v>
      </c>
      <c r="AQ43" s="1406"/>
      <c r="AR43" s="1407"/>
      <c r="AS43" s="1407"/>
      <c r="AT43" s="1407"/>
      <c r="AU43" s="1407"/>
      <c r="AV43" s="1408"/>
    </row>
    <row r="44" ht="17.25" customHeight="1" spans="1:48">
      <c r="A44" s="2694" t="s">
        <v>3925</v>
      </c>
      <c r="B44" s="2695"/>
      <c r="C44" s="2711" t="str">
        <f>Text!B331</f>
        <v>Goodwill</v>
      </c>
      <c r="D44" s="2712"/>
      <c r="E44" s="2712"/>
      <c r="F44" s="2712"/>
      <c r="G44" s="2712"/>
      <c r="H44" s="2712"/>
      <c r="I44" s="2712"/>
      <c r="J44" s="2712"/>
      <c r="K44" s="2712"/>
      <c r="L44" s="2712"/>
      <c r="M44" s="2712"/>
      <c r="N44" s="2712"/>
      <c r="O44" s="2712"/>
      <c r="P44" s="2712"/>
      <c r="Q44" s="2712"/>
      <c r="R44" s="2712"/>
      <c r="S44" s="2712"/>
      <c r="T44" s="2712"/>
      <c r="U44" s="2712"/>
      <c r="V44" s="2712"/>
      <c r="W44" s="2712"/>
      <c r="X44" s="2712"/>
      <c r="Y44" s="1389" t="s">
        <v>616</v>
      </c>
      <c r="Z44" s="1390"/>
      <c r="AA44" s="1390"/>
      <c r="AB44" s="1390"/>
      <c r="AC44" s="1390"/>
      <c r="AD44" s="1391"/>
      <c r="AE44" s="2701" t="str">
        <f>Baza!F170</f>
        <v>-</v>
      </c>
      <c r="AF44" s="2702"/>
      <c r="AG44" s="2694" t="s">
        <v>3926</v>
      </c>
      <c r="AH44" s="2713"/>
      <c r="AI44" s="1405">
        <f>ROUND(UnosPod!F602-UnosPod!M602,0)</f>
        <v>0</v>
      </c>
      <c r="AJ44" s="1406"/>
      <c r="AK44" s="1407"/>
      <c r="AL44" s="1407"/>
      <c r="AM44" s="1407"/>
      <c r="AN44" s="1407"/>
      <c r="AO44" s="1408"/>
      <c r="AP44" s="1405">
        <f>Prethodna_2024!B182</f>
        <v>0</v>
      </c>
      <c r="AQ44" s="1406"/>
      <c r="AR44" s="1407"/>
      <c r="AS44" s="1407"/>
      <c r="AT44" s="1407"/>
      <c r="AU44" s="1407"/>
      <c r="AV44" s="1408"/>
    </row>
    <row r="45" ht="15" customHeight="1" spans="1:48">
      <c r="A45" s="1224"/>
      <c r="Y45" s="2754"/>
      <c r="Z45" s="2754"/>
      <c r="AA45" s="2754"/>
      <c r="AB45" s="2754"/>
      <c r="AC45" s="2754"/>
      <c r="AD45" s="2754"/>
    </row>
    <row r="46" ht="15" customHeight="1" spans="1:48">
      <c r="A46" s="1224"/>
      <c r="Y46" s="2754"/>
      <c r="Z46" s="2754"/>
      <c r="AA46" s="2754"/>
      <c r="AB46" s="2754"/>
      <c r="AC46" s="2754"/>
      <c r="AD46" s="2754"/>
    </row>
    <row r="47" ht="14.25" customHeight="1" spans="1:48">
      <c r="A47" s="2755">
        <v>1</v>
      </c>
      <c r="B47" s="2755"/>
      <c r="C47" s="2695">
        <v>2</v>
      </c>
      <c r="D47" s="2755"/>
      <c r="E47" s="2755"/>
      <c r="F47" s="2755"/>
      <c r="G47" s="2755"/>
      <c r="H47" s="2755"/>
      <c r="I47" s="2755"/>
      <c r="J47" s="2755"/>
      <c r="K47" s="2755"/>
      <c r="L47" s="2755"/>
      <c r="M47" s="2755"/>
      <c r="N47" s="2755"/>
      <c r="O47" s="2755"/>
      <c r="P47" s="2755"/>
      <c r="Q47" s="2755"/>
      <c r="R47" s="2755"/>
      <c r="S47" s="2755"/>
      <c r="T47" s="2755"/>
      <c r="U47" s="2755"/>
      <c r="V47" s="2755"/>
      <c r="W47" s="2755"/>
      <c r="X47" s="2756"/>
      <c r="Y47" s="1390"/>
      <c r="Z47" s="1390"/>
      <c r="AA47" s="1390"/>
      <c r="AB47" s="1390"/>
      <c r="AC47" s="1390"/>
      <c r="AD47" s="1391"/>
      <c r="AE47" s="2755">
        <v>3</v>
      </c>
      <c r="AF47" s="2755"/>
      <c r="AG47" s="2755">
        <v>4</v>
      </c>
      <c r="AH47" s="2755"/>
      <c r="AI47" s="2755">
        <v>5</v>
      </c>
      <c r="AJ47" s="2755"/>
      <c r="AK47" s="2755"/>
      <c r="AL47" s="2755"/>
      <c r="AM47" s="2755"/>
      <c r="AN47" s="2755"/>
      <c r="AO47" s="2755"/>
      <c r="AP47" s="2755">
        <v>6</v>
      </c>
      <c r="AQ47" s="2755"/>
      <c r="AR47" s="2755"/>
      <c r="AS47" s="2755"/>
      <c r="AT47" s="2755"/>
      <c r="AU47" s="2755"/>
      <c r="AV47" s="2755"/>
    </row>
    <row r="48" ht="15.75" customHeight="1" spans="1:48">
      <c r="A48" s="2694" t="s">
        <v>3928</v>
      </c>
      <c r="B48" s="2695"/>
      <c r="C48" s="2711" t="str">
        <f>Text!B332</f>
        <v> Finansijska imovina po fer vrijednosti kroz ostali ukupni rezultat (026+027)</v>
      </c>
      <c r="D48" s="2712"/>
      <c r="E48" s="2712"/>
      <c r="F48" s="2712"/>
      <c r="G48" s="2712"/>
      <c r="H48" s="2712"/>
      <c r="I48" s="2712"/>
      <c r="J48" s="2712"/>
      <c r="K48" s="2712"/>
      <c r="L48" s="2712"/>
      <c r="M48" s="2712"/>
      <c r="N48" s="2712"/>
      <c r="O48" s="2712"/>
      <c r="P48" s="2712"/>
      <c r="Q48" s="2712"/>
      <c r="R48" s="2712"/>
      <c r="S48" s="2712"/>
      <c r="T48" s="2712"/>
      <c r="U48" s="2712"/>
      <c r="V48" s="2712"/>
      <c r="W48" s="2712"/>
      <c r="X48" s="2712"/>
      <c r="Y48" s="1389"/>
      <c r="Z48" s="1390"/>
      <c r="AA48" s="1390"/>
      <c r="AB48" s="1390"/>
      <c r="AC48" s="1390"/>
      <c r="AD48" s="1391"/>
      <c r="AE48" s="2701"/>
      <c r="AF48" s="2702"/>
      <c r="AG48" s="2694" t="s">
        <v>967</v>
      </c>
      <c r="AH48" s="2713"/>
      <c r="AI48" s="1405">
        <f>AI49+AI50</f>
        <v>0</v>
      </c>
      <c r="AJ48" s="1406"/>
      <c r="AK48" s="1407"/>
      <c r="AL48" s="1407"/>
      <c r="AM48" s="1407"/>
      <c r="AN48" s="1407"/>
      <c r="AO48" s="1408"/>
      <c r="AP48" s="1405">
        <f>AP49+AP50</f>
        <v>0</v>
      </c>
      <c r="AQ48" s="1406"/>
      <c r="AR48" s="1407"/>
      <c r="AS48" s="1407"/>
      <c r="AT48" s="1407"/>
      <c r="AU48" s="1407"/>
      <c r="AV48" s="1408"/>
    </row>
    <row r="49" ht="15.75" customHeight="1" spans="1:48">
      <c r="A49" s="2714" t="s">
        <v>3930</v>
      </c>
      <c r="B49" s="2715"/>
      <c r="C49" s="2716" t="str">
        <f>Text!B333</f>
        <v>Ulaganja u instrumente kapitala</v>
      </c>
      <c r="D49" s="2717"/>
      <c r="E49" s="2717"/>
      <c r="F49" s="2717"/>
      <c r="G49" s="2717"/>
      <c r="H49" s="2717"/>
      <c r="I49" s="2717"/>
      <c r="J49" s="2717"/>
      <c r="K49" s="2717"/>
      <c r="L49" s="2717"/>
      <c r="M49" s="2717"/>
      <c r="N49" s="2717"/>
      <c r="O49" s="2717"/>
      <c r="P49" s="2717"/>
      <c r="Q49" s="2717"/>
      <c r="R49" s="2717"/>
      <c r="S49" s="2717"/>
      <c r="T49" s="2717"/>
      <c r="U49" s="2717"/>
      <c r="V49" s="2717"/>
      <c r="W49" s="2717"/>
      <c r="X49" s="2717"/>
      <c r="Y49" s="2718" t="s">
        <v>7057</v>
      </c>
      <c r="Z49" s="2719"/>
      <c r="AA49" s="2719"/>
      <c r="AB49" s="2719"/>
      <c r="AC49" s="2719"/>
      <c r="AD49" s="2720"/>
      <c r="AE49" s="2721" t="str">
        <f>Baza!F171</f>
        <v>-</v>
      </c>
      <c r="AF49" s="2722"/>
      <c r="AG49" s="2714" t="s">
        <v>628</v>
      </c>
      <c r="AH49" s="2723"/>
      <c r="AI49" s="2724">
        <f>ROUND(UnosPod!F640-UnosPod!M640,0)</f>
        <v>0</v>
      </c>
      <c r="AJ49" s="2725"/>
      <c r="AK49" s="2726"/>
      <c r="AL49" s="2726"/>
      <c r="AM49" s="2726"/>
      <c r="AN49" s="2726"/>
      <c r="AO49" s="2727"/>
      <c r="AP49" s="2724">
        <f>Prethodna_2024!B184</f>
        <v>0</v>
      </c>
      <c r="AQ49" s="2725"/>
      <c r="AR49" s="2726"/>
      <c r="AS49" s="2726"/>
      <c r="AT49" s="2726"/>
      <c r="AU49" s="2726"/>
      <c r="AV49" s="2727"/>
    </row>
    <row r="50" ht="30" customHeight="1" spans="1:48">
      <c r="A50" s="2742" t="s">
        <v>3932</v>
      </c>
      <c r="B50" s="2743"/>
      <c r="C50" s="2744" t="str">
        <f>Text!B334</f>
        <v>Obveznice, dati krediti i ostali dužnički instrumenti</v>
      </c>
      <c r="D50" s="2745"/>
      <c r="E50" s="2745"/>
      <c r="F50" s="2745"/>
      <c r="G50" s="2745"/>
      <c r="H50" s="2745"/>
      <c r="I50" s="2745"/>
      <c r="J50" s="2745"/>
      <c r="K50" s="2745"/>
      <c r="L50" s="2745"/>
      <c r="M50" s="2745"/>
      <c r="N50" s="2745"/>
      <c r="O50" s="2745"/>
      <c r="P50" s="2745"/>
      <c r="Q50" s="2745"/>
      <c r="R50" s="2745"/>
      <c r="S50" s="2745"/>
      <c r="T50" s="2745"/>
      <c r="U50" s="2745"/>
      <c r="V50" s="2745"/>
      <c r="W50" s="2745"/>
      <c r="X50" s="2745"/>
      <c r="Y50" s="2746" t="s">
        <v>7058</v>
      </c>
      <c r="Z50" s="2692"/>
      <c r="AA50" s="2692"/>
      <c r="AB50" s="2692"/>
      <c r="AC50" s="2692"/>
      <c r="AD50" s="2693"/>
      <c r="AE50" s="2747" t="str">
        <f>Baza!F172</f>
        <v>-</v>
      </c>
      <c r="AF50" s="2748"/>
      <c r="AG50" s="2742" t="s">
        <v>640</v>
      </c>
      <c r="AH50" s="2749"/>
      <c r="AI50" s="2750">
        <f>ROUND(SUM(UnosPod!F641:L643)-SUM(UnosPod!M641:S643),0)</f>
        <v>0</v>
      </c>
      <c r="AJ50" s="2751"/>
      <c r="AK50" s="2752"/>
      <c r="AL50" s="2752"/>
      <c r="AM50" s="2752"/>
      <c r="AN50" s="2752"/>
      <c r="AO50" s="2753"/>
      <c r="AP50" s="2750">
        <f>Prethodna_2024!B185</f>
        <v>0</v>
      </c>
      <c r="AQ50" s="2751"/>
      <c r="AR50" s="2752"/>
      <c r="AS50" s="2752"/>
      <c r="AT50" s="2752"/>
      <c r="AU50" s="2752"/>
      <c r="AV50" s="2753"/>
    </row>
    <row r="51" customHeight="1" spans="1:48">
      <c r="A51" s="2694" t="s">
        <v>3934</v>
      </c>
      <c r="B51" s="2695"/>
      <c r="C51" s="2711" t="str">
        <f>Text!B335</f>
        <v>Finansijska imovina po amortizovanom trošku (029 do 032)</v>
      </c>
      <c r="D51" s="2712"/>
      <c r="E51" s="2712"/>
      <c r="F51" s="2712"/>
      <c r="G51" s="2712"/>
      <c r="H51" s="2712"/>
      <c r="I51" s="2712"/>
      <c r="J51" s="2712"/>
      <c r="K51" s="2712"/>
      <c r="L51" s="2712"/>
      <c r="M51" s="2712"/>
      <c r="N51" s="2712"/>
      <c r="O51" s="2712"/>
      <c r="P51" s="2712"/>
      <c r="Q51" s="2712"/>
      <c r="R51" s="2712"/>
      <c r="S51" s="2712"/>
      <c r="T51" s="2712"/>
      <c r="U51" s="2712"/>
      <c r="V51" s="2712"/>
      <c r="W51" s="2712"/>
      <c r="X51" s="2712"/>
      <c r="Y51" s="1389"/>
      <c r="Z51" s="1390"/>
      <c r="AA51" s="1390"/>
      <c r="AB51" s="1390"/>
      <c r="AC51" s="1390"/>
      <c r="AD51" s="1391"/>
      <c r="AE51" s="2701"/>
      <c r="AF51" s="2702"/>
      <c r="AG51" s="2694" t="s">
        <v>946</v>
      </c>
      <c r="AH51" s="2713"/>
      <c r="AI51" s="1405">
        <f>SUM(AI52:AO55)</f>
        <v>0</v>
      </c>
      <c r="AJ51" s="1406"/>
      <c r="AK51" s="1407"/>
      <c r="AL51" s="1407"/>
      <c r="AM51" s="1407"/>
      <c r="AN51" s="1407"/>
      <c r="AO51" s="1408"/>
      <c r="AP51" s="1405">
        <f>SUM(AP52:AV55)</f>
        <v>125000</v>
      </c>
      <c r="AQ51" s="1406"/>
      <c r="AR51" s="1407"/>
      <c r="AS51" s="1407"/>
      <c r="AT51" s="1407"/>
      <c r="AU51" s="1407"/>
      <c r="AV51" s="1408"/>
    </row>
    <row r="52" customHeight="1" spans="1:48">
      <c r="A52" s="2714" t="s">
        <v>7059</v>
      </c>
      <c r="B52" s="2715"/>
      <c r="C52" s="2716" t="str">
        <f>Text!B336</f>
        <v>Depoziti kod banaka</v>
      </c>
      <c r="D52" s="2717"/>
      <c r="E52" s="2717"/>
      <c r="F52" s="2717"/>
      <c r="G52" s="2717"/>
      <c r="H52" s="2717"/>
      <c r="I52" s="2717"/>
      <c r="J52" s="2717"/>
      <c r="K52" s="2717"/>
      <c r="L52" s="2717"/>
      <c r="M52" s="2717"/>
      <c r="N52" s="2717"/>
      <c r="O52" s="2717"/>
      <c r="P52" s="2717"/>
      <c r="Q52" s="2717"/>
      <c r="R52" s="2717"/>
      <c r="S52" s="2717"/>
      <c r="T52" s="2717"/>
      <c r="U52" s="2717"/>
      <c r="V52" s="2717"/>
      <c r="W52" s="2717"/>
      <c r="X52" s="2717"/>
      <c r="Y52" s="2718" t="s">
        <v>7060</v>
      </c>
      <c r="Z52" s="2719"/>
      <c r="AA52" s="2719"/>
      <c r="AB52" s="2719"/>
      <c r="AC52" s="2719"/>
      <c r="AD52" s="2720"/>
      <c r="AE52" s="2721" t="str">
        <f>Baza!F173</f>
        <v>-</v>
      </c>
      <c r="AF52" s="2722"/>
      <c r="AG52" s="2714" t="s">
        <v>3936</v>
      </c>
      <c r="AH52" s="2723"/>
      <c r="AI52" s="2724">
        <f>ROUND(UnosPod!F645-UnosPod!M645,0)</f>
        <v>0</v>
      </c>
      <c r="AJ52" s="2725"/>
      <c r="AK52" s="2726"/>
      <c r="AL52" s="2726"/>
      <c r="AM52" s="2726"/>
      <c r="AN52" s="2726"/>
      <c r="AO52" s="2727"/>
      <c r="AP52" s="2738">
        <f>Prethodna_2024!B187</f>
        <v>125000</v>
      </c>
      <c r="AQ52" s="2739"/>
      <c r="AR52" s="2740"/>
      <c r="AS52" s="2740"/>
      <c r="AT52" s="2740"/>
      <c r="AU52" s="2740"/>
      <c r="AV52" s="2741"/>
    </row>
    <row r="53" customHeight="1" spans="1:48">
      <c r="A53" s="2728" t="s">
        <v>3938</v>
      </c>
      <c r="B53" s="2729"/>
      <c r="C53" s="2730" t="str">
        <f>Text!B337</f>
        <v>Dati krediti </v>
      </c>
      <c r="D53" s="2731"/>
      <c r="E53" s="2731"/>
      <c r="F53" s="2731"/>
      <c r="G53" s="2731"/>
      <c r="H53" s="2731"/>
      <c r="I53" s="2731"/>
      <c r="J53" s="2731"/>
      <c r="K53" s="2731"/>
      <c r="L53" s="2731"/>
      <c r="M53" s="2731"/>
      <c r="N53" s="2731"/>
      <c r="O53" s="2731"/>
      <c r="P53" s="2731"/>
      <c r="Q53" s="2731"/>
      <c r="R53" s="2731"/>
      <c r="S53" s="2731"/>
      <c r="T53" s="2731"/>
      <c r="U53" s="2731"/>
      <c r="V53" s="2731"/>
      <c r="W53" s="2731"/>
      <c r="X53" s="2731"/>
      <c r="Y53" s="2732" t="s">
        <v>7061</v>
      </c>
      <c r="Z53" s="2733"/>
      <c r="AA53" s="2733"/>
      <c r="AB53" s="2733"/>
      <c r="AC53" s="2733"/>
      <c r="AD53" s="2734"/>
      <c r="AE53" s="2735" t="str">
        <f>Baza!F174</f>
        <v>-</v>
      </c>
      <c r="AF53" s="2736"/>
      <c r="AG53" s="2728" t="s">
        <v>660</v>
      </c>
      <c r="AH53" s="2737"/>
      <c r="AI53" s="2738">
        <f>ROUND(UnosPod!F646-UnosPod!M646,0)</f>
        <v>0</v>
      </c>
      <c r="AJ53" s="2739"/>
      <c r="AK53" s="2740"/>
      <c r="AL53" s="2740"/>
      <c r="AM53" s="2740"/>
      <c r="AN53" s="2740"/>
      <c r="AO53" s="2741"/>
      <c r="AP53" s="2738">
        <f>Prethodna_2024!B188</f>
        <v>0</v>
      </c>
      <c r="AQ53" s="2739"/>
      <c r="AR53" s="2740"/>
      <c r="AS53" s="2740"/>
      <c r="AT53" s="2740"/>
      <c r="AU53" s="2740"/>
      <c r="AV53" s="2741"/>
    </row>
    <row r="54" customHeight="1" spans="1:48">
      <c r="A54" s="2728" t="s">
        <v>3940</v>
      </c>
      <c r="B54" s="2729"/>
      <c r="C54" s="2730" t="str">
        <f>Text!B338</f>
        <v>Obveznice</v>
      </c>
      <c r="D54" s="2731"/>
      <c r="E54" s="2731"/>
      <c r="F54" s="2731"/>
      <c r="G54" s="2731"/>
      <c r="H54" s="2731"/>
      <c r="I54" s="2731"/>
      <c r="J54" s="2731"/>
      <c r="K54" s="2731"/>
      <c r="L54" s="2731"/>
      <c r="M54" s="2731"/>
      <c r="N54" s="2731"/>
      <c r="O54" s="2731"/>
      <c r="P54" s="2731"/>
      <c r="Q54" s="2731"/>
      <c r="R54" s="2731"/>
      <c r="S54" s="2731"/>
      <c r="T54" s="2731"/>
      <c r="U54" s="2731"/>
      <c r="V54" s="2731"/>
      <c r="W54" s="2731"/>
      <c r="X54" s="2731"/>
      <c r="Y54" s="2732" t="s">
        <v>7062</v>
      </c>
      <c r="Z54" s="2733"/>
      <c r="AA54" s="2733"/>
      <c r="AB54" s="2733"/>
      <c r="AC54" s="2733"/>
      <c r="AD54" s="2734"/>
      <c r="AE54" s="2735" t="str">
        <f>Baza!F175</f>
        <v>-</v>
      </c>
      <c r="AF54" s="2736"/>
      <c r="AG54" s="2728" t="s">
        <v>3941</v>
      </c>
      <c r="AH54" s="2737"/>
      <c r="AI54" s="2738">
        <f>ROUND(UnosPod!F647-UnosPod!M647,0)</f>
        <v>0</v>
      </c>
      <c r="AJ54" s="2739"/>
      <c r="AK54" s="2740"/>
      <c r="AL54" s="2740"/>
      <c r="AM54" s="2740"/>
      <c r="AN54" s="2740"/>
      <c r="AO54" s="2741"/>
      <c r="AP54" s="2738">
        <f>Prethodna_2024!B189</f>
        <v>0</v>
      </c>
      <c r="AQ54" s="2739"/>
      <c r="AR54" s="2740"/>
      <c r="AS54" s="2740"/>
      <c r="AT54" s="2740"/>
      <c r="AU54" s="2740"/>
      <c r="AV54" s="2741"/>
    </row>
    <row r="55" customHeight="1" spans="1:48">
      <c r="A55" s="2742" t="s">
        <v>3943</v>
      </c>
      <c r="B55" s="2743"/>
      <c r="C55" s="2744" t="str">
        <f>Text!B339</f>
        <v>Ostala finansijska imovina po amortizovanom trošku</v>
      </c>
      <c r="D55" s="2745"/>
      <c r="E55" s="2745"/>
      <c r="F55" s="2745"/>
      <c r="G55" s="2745"/>
      <c r="H55" s="2745"/>
      <c r="I55" s="2745"/>
      <c r="J55" s="2745"/>
      <c r="K55" s="2745"/>
      <c r="L55" s="2745"/>
      <c r="M55" s="2745"/>
      <c r="N55" s="2745"/>
      <c r="O55" s="2745"/>
      <c r="P55" s="2745"/>
      <c r="Q55" s="2745"/>
      <c r="R55" s="2745"/>
      <c r="S55" s="2745"/>
      <c r="T55" s="2745"/>
      <c r="U55" s="2745"/>
      <c r="V55" s="2745"/>
      <c r="W55" s="2745"/>
      <c r="X55" s="2745"/>
      <c r="Y55" s="2746" t="s">
        <v>7063</v>
      </c>
      <c r="Z55" s="2692"/>
      <c r="AA55" s="2692"/>
      <c r="AB55" s="2692"/>
      <c r="AC55" s="2692"/>
      <c r="AD55" s="2693"/>
      <c r="AE55" s="2747" t="str">
        <f>Baza!F176</f>
        <v>-</v>
      </c>
      <c r="AF55" s="2748"/>
      <c r="AG55" s="2742" t="s">
        <v>669</v>
      </c>
      <c r="AH55" s="2749"/>
      <c r="AI55" s="2750">
        <f>ROUND(UnosPod!F648-UnosPod!M648,0)</f>
        <v>0</v>
      </c>
      <c r="AJ55" s="2751"/>
      <c r="AK55" s="2752"/>
      <c r="AL55" s="2752"/>
      <c r="AM55" s="2752"/>
      <c r="AN55" s="2752"/>
      <c r="AO55" s="2753"/>
      <c r="AP55" s="2738">
        <f>Prethodna_2024!B190</f>
        <v>0</v>
      </c>
      <c r="AQ55" s="2739"/>
      <c r="AR55" s="2740"/>
      <c r="AS55" s="2740"/>
      <c r="AT55" s="2740"/>
      <c r="AU55" s="2740"/>
      <c r="AV55" s="2741"/>
    </row>
    <row r="56" customHeight="1" spans="1:48">
      <c r="A56" s="2694" t="s">
        <v>3945</v>
      </c>
      <c r="B56" s="2695"/>
      <c r="C56" s="2711" t="str">
        <f>Text!B340</f>
        <v>Potraživanja po finansijskim najmovima</v>
      </c>
      <c r="D56" s="2712"/>
      <c r="E56" s="2712"/>
      <c r="F56" s="2712"/>
      <c r="G56" s="2712"/>
      <c r="H56" s="2712"/>
      <c r="I56" s="2712"/>
      <c r="J56" s="2712"/>
      <c r="K56" s="2712"/>
      <c r="L56" s="2712"/>
      <c r="M56" s="2712"/>
      <c r="N56" s="2712"/>
      <c r="O56" s="2712"/>
      <c r="P56" s="2712"/>
      <c r="Q56" s="2712"/>
      <c r="R56" s="2712"/>
      <c r="S56" s="2712"/>
      <c r="T56" s="2712"/>
      <c r="U56" s="2712"/>
      <c r="V56" s="2712"/>
      <c r="W56" s="2712"/>
      <c r="X56" s="2712"/>
      <c r="Y56" s="1389" t="s">
        <v>852</v>
      </c>
      <c r="Z56" s="1390"/>
      <c r="AA56" s="1390"/>
      <c r="AB56" s="1390"/>
      <c r="AC56" s="1390"/>
      <c r="AD56" s="1391"/>
      <c r="AE56" s="2701" t="str">
        <f>Baza!F177</f>
        <v>-</v>
      </c>
      <c r="AF56" s="2702"/>
      <c r="AG56" s="2694" t="s">
        <v>677</v>
      </c>
      <c r="AH56" s="2713"/>
      <c r="AI56" s="1405">
        <f>ROUND(UnosPod!F650-UnosPod!M650,0)</f>
        <v>0</v>
      </c>
      <c r="AJ56" s="1406"/>
      <c r="AK56" s="1407"/>
      <c r="AL56" s="1407"/>
      <c r="AM56" s="1407"/>
      <c r="AN56" s="1407"/>
      <c r="AO56" s="1408"/>
      <c r="AP56" s="1405">
        <f>Prethodna_2024!B191</f>
        <v>0</v>
      </c>
      <c r="AQ56" s="1406"/>
      <c r="AR56" s="1407"/>
      <c r="AS56" s="1407"/>
      <c r="AT56" s="1407"/>
      <c r="AU56" s="1407"/>
      <c r="AV56" s="1408"/>
    </row>
    <row r="57" customHeight="1" spans="1:48">
      <c r="A57" s="2694" t="s">
        <v>3947</v>
      </c>
      <c r="B57" s="2695"/>
      <c r="C57" s="2711" t="str">
        <f>Text!B341</f>
        <v>Ostala imovina i potraživanja</v>
      </c>
      <c r="D57" s="2712"/>
      <c r="E57" s="2712"/>
      <c r="F57" s="2712"/>
      <c r="G57" s="2712"/>
      <c r="H57" s="2712"/>
      <c r="I57" s="2712"/>
      <c r="J57" s="2712"/>
      <c r="K57" s="2712"/>
      <c r="L57" s="2712"/>
      <c r="M57" s="2712"/>
      <c r="N57" s="2712"/>
      <c r="O57" s="2712"/>
      <c r="P57" s="2712"/>
      <c r="Q57" s="2712"/>
      <c r="R57" s="2712"/>
      <c r="S57" s="2712"/>
      <c r="T57" s="2712"/>
      <c r="U57" s="2712"/>
      <c r="V57" s="2712"/>
      <c r="W57" s="2712"/>
      <c r="X57" s="2712"/>
      <c r="Y57" s="1389" t="s">
        <v>7064</v>
      </c>
      <c r="Z57" s="1390"/>
      <c r="AA57" s="1390"/>
      <c r="AB57" s="1390"/>
      <c r="AC57" s="1390"/>
      <c r="AD57" s="1391"/>
      <c r="AE57" s="2701" t="str">
        <f>Baza!F178</f>
        <v>-</v>
      </c>
      <c r="AF57" s="2702"/>
      <c r="AG57" s="2694" t="s">
        <v>686</v>
      </c>
      <c r="AH57" s="2713"/>
      <c r="AI57" s="1405">
        <f>ROUND(UnosPod!F656-UnosPod!M656+UnosPod!F658-UnosPod!M658+UnosPod!F659-UnosPod!M659,0)</f>
        <v>0</v>
      </c>
      <c r="AJ57" s="1406"/>
      <c r="AK57" s="1407"/>
      <c r="AL57" s="1407"/>
      <c r="AM57" s="1407"/>
      <c r="AN57" s="1407"/>
      <c r="AO57" s="1408"/>
      <c r="AP57" s="1405">
        <f>Prethodna_2024!B192</f>
        <v>0</v>
      </c>
      <c r="AQ57" s="1406"/>
      <c r="AR57" s="1407"/>
      <c r="AS57" s="1407"/>
      <c r="AT57" s="1407"/>
      <c r="AU57" s="1407"/>
      <c r="AV57" s="1408"/>
    </row>
    <row r="58" s="1227" customFormat="1" customHeight="1" spans="1:48">
      <c r="A58" s="2705" t="s">
        <v>3949</v>
      </c>
      <c r="B58" s="2706"/>
      <c r="C58" s="2696" t="str">
        <f>Text!B342</f>
        <v>Odgođena porezna imovina</v>
      </c>
      <c r="D58" s="2697"/>
      <c r="E58" s="2697"/>
      <c r="F58" s="2697"/>
      <c r="G58" s="2697"/>
      <c r="H58" s="2697"/>
      <c r="I58" s="2697"/>
      <c r="J58" s="2697"/>
      <c r="K58" s="2697"/>
      <c r="L58" s="2697"/>
      <c r="M58" s="2697"/>
      <c r="N58" s="2697"/>
      <c r="O58" s="2697"/>
      <c r="P58" s="2697"/>
      <c r="Q58" s="2697"/>
      <c r="R58" s="2697"/>
      <c r="S58" s="2697"/>
      <c r="T58" s="2697"/>
      <c r="U58" s="2697"/>
      <c r="V58" s="2697"/>
      <c r="W58" s="2697"/>
      <c r="X58" s="2697"/>
      <c r="Y58" s="1389" t="s">
        <v>940</v>
      </c>
      <c r="Z58" s="1390"/>
      <c r="AA58" s="1390"/>
      <c r="AB58" s="1390"/>
      <c r="AC58" s="1390"/>
      <c r="AD58" s="1391"/>
      <c r="AE58" s="2701" t="str">
        <f>Baza!F179</f>
        <v>-</v>
      </c>
      <c r="AF58" s="2702"/>
      <c r="AG58" s="2694" t="s">
        <v>695</v>
      </c>
      <c r="AH58" s="2713"/>
      <c r="AI58" s="1394">
        <f>ROUND(UnosPod!F657-UnosPod!M657,0)</f>
        <v>0</v>
      </c>
      <c r="AJ58" s="1395"/>
      <c r="AK58" s="1396"/>
      <c r="AL58" s="1396"/>
      <c r="AM58" s="1396"/>
      <c r="AN58" s="1396"/>
      <c r="AO58" s="1397"/>
      <c r="AP58" s="1405">
        <f>Prethodna_2024!B193</f>
        <v>0</v>
      </c>
      <c r="AQ58" s="1406"/>
      <c r="AR58" s="1407"/>
      <c r="AS58" s="1407"/>
      <c r="AT58" s="1407"/>
      <c r="AU58" s="1407"/>
      <c r="AV58" s="1408"/>
    </row>
    <row r="59" s="1227" customFormat="1" customHeight="1" spans="1:48">
      <c r="A59" s="2705" t="s">
        <v>3951</v>
      </c>
      <c r="B59" s="2706"/>
      <c r="C59" s="2696" t="str">
        <f>Text!B343</f>
        <v>Kratkoročna imovina (037+043+044+045+049+054+055+056+057+058+059)</v>
      </c>
      <c r="D59" s="2697"/>
      <c r="E59" s="2697"/>
      <c r="F59" s="2697"/>
      <c r="G59" s="2697"/>
      <c r="H59" s="2697"/>
      <c r="I59" s="2697"/>
      <c r="J59" s="2697"/>
      <c r="K59" s="2697"/>
      <c r="L59" s="2697"/>
      <c r="M59" s="2697"/>
      <c r="N59" s="2697"/>
      <c r="O59" s="2697"/>
      <c r="P59" s="2697"/>
      <c r="Q59" s="2697"/>
      <c r="R59" s="2697"/>
      <c r="S59" s="2697"/>
      <c r="T59" s="2697"/>
      <c r="U59" s="2697"/>
      <c r="V59" s="2697"/>
      <c r="W59" s="2697"/>
      <c r="X59" s="2697"/>
      <c r="Y59" s="1389"/>
      <c r="Z59" s="1390"/>
      <c r="AA59" s="1390"/>
      <c r="AB59" s="1390"/>
      <c r="AC59" s="1390"/>
      <c r="AD59" s="1391"/>
      <c r="AE59" s="2757"/>
      <c r="AF59" s="2758"/>
      <c r="AG59" s="2694" t="s">
        <v>704</v>
      </c>
      <c r="AH59" s="2713"/>
      <c r="AI59" s="1394">
        <f>AI60+AI66+AI67+AI68+AI72+AI77+AI78+AI79+AI80+AI81+AI82</f>
        <v>577192</v>
      </c>
      <c r="AJ59" s="1395"/>
      <c r="AK59" s="1396"/>
      <c r="AL59" s="1396"/>
      <c r="AM59" s="1396"/>
      <c r="AN59" s="1396"/>
      <c r="AO59" s="1397"/>
      <c r="AP59" s="1394">
        <f>AP60+AP66+AP67+AP68+AP72+AP77+AP78+AP79+AP80+AP81+AP82</f>
        <v>617225</v>
      </c>
      <c r="AQ59" s="1395"/>
      <c r="AR59" s="1396"/>
      <c r="AS59" s="1396"/>
      <c r="AT59" s="1396"/>
      <c r="AU59" s="1396"/>
      <c r="AV59" s="1397"/>
    </row>
    <row r="60" customHeight="1" spans="1:48">
      <c r="A60" s="2694" t="s">
        <v>3953</v>
      </c>
      <c r="B60" s="2695"/>
      <c r="C60" s="2711" t="str">
        <f>Text!B344</f>
        <v>Zalihe (038 do 042)</v>
      </c>
      <c r="D60" s="2712"/>
      <c r="E60" s="2712"/>
      <c r="F60" s="2712"/>
      <c r="G60" s="2712"/>
      <c r="H60" s="2712"/>
      <c r="I60" s="2712"/>
      <c r="J60" s="2712"/>
      <c r="K60" s="2712"/>
      <c r="L60" s="2712"/>
      <c r="M60" s="2712"/>
      <c r="N60" s="2712"/>
      <c r="O60" s="2712"/>
      <c r="P60" s="2712"/>
      <c r="Q60" s="2712"/>
      <c r="R60" s="2712"/>
      <c r="S60" s="2712"/>
      <c r="T60" s="2712"/>
      <c r="U60" s="2712"/>
      <c r="V60" s="2712"/>
      <c r="W60" s="2712"/>
      <c r="X60" s="2712"/>
      <c r="Y60" s="1389"/>
      <c r="Z60" s="1390"/>
      <c r="AA60" s="1390"/>
      <c r="AB60" s="1390"/>
      <c r="AC60" s="1390"/>
      <c r="AD60" s="1391"/>
      <c r="AE60" s="2701"/>
      <c r="AF60" s="2702"/>
      <c r="AG60" s="2694" t="s">
        <v>712</v>
      </c>
      <c r="AH60" s="2713"/>
      <c r="AI60" s="1405">
        <f>SUM(AI61:AO65)</f>
        <v>0</v>
      </c>
      <c r="AJ60" s="1406"/>
      <c r="AK60" s="1407"/>
      <c r="AL60" s="1407"/>
      <c r="AM60" s="1407"/>
      <c r="AN60" s="1407"/>
      <c r="AO60" s="1408"/>
      <c r="AP60" s="1405">
        <f>SUM(AP61:AV65)</f>
        <v>0</v>
      </c>
      <c r="AQ60" s="1406"/>
      <c r="AR60" s="1407"/>
      <c r="AS60" s="1407"/>
      <c r="AT60" s="1407"/>
      <c r="AU60" s="1407"/>
      <c r="AV60" s="1408"/>
    </row>
    <row r="61" customHeight="1" spans="1:48">
      <c r="A61" s="2714" t="s">
        <v>3875</v>
      </c>
      <c r="B61" s="2715"/>
      <c r="C61" s="2716" t="str">
        <f>Text!B345</f>
        <v>Sirovine, materijal, rezervni dijelovi i sitan inventar</v>
      </c>
      <c r="D61" s="2717"/>
      <c r="E61" s="2717"/>
      <c r="F61" s="2717"/>
      <c r="G61" s="2717"/>
      <c r="H61" s="2717"/>
      <c r="I61" s="2717"/>
      <c r="J61" s="2717"/>
      <c r="K61" s="2717"/>
      <c r="L61" s="2717"/>
      <c r="M61" s="2717"/>
      <c r="N61" s="2717"/>
      <c r="O61" s="2717"/>
      <c r="P61" s="2717"/>
      <c r="Q61" s="2717"/>
      <c r="R61" s="2717"/>
      <c r="S61" s="2717"/>
      <c r="T61" s="2717"/>
      <c r="U61" s="2717"/>
      <c r="V61" s="2717"/>
      <c r="W61" s="2717"/>
      <c r="X61" s="2717"/>
      <c r="Y61" s="2718" t="s">
        <v>301</v>
      </c>
      <c r="Z61" s="2719"/>
      <c r="AA61" s="2719"/>
      <c r="AB61" s="2719"/>
      <c r="AC61" s="2719"/>
      <c r="AD61" s="2720"/>
      <c r="AE61" s="2721" t="str">
        <f>Baza!F180</f>
        <v>-</v>
      </c>
      <c r="AF61" s="2722"/>
      <c r="AG61" s="2714" t="s">
        <v>720</v>
      </c>
      <c r="AH61" s="2723"/>
      <c r="AI61" s="2724">
        <f>ROUND(UnosPod!F662-UnosPod!M662,0)</f>
        <v>0</v>
      </c>
      <c r="AJ61" s="2725"/>
      <c r="AK61" s="2726"/>
      <c r="AL61" s="2726"/>
      <c r="AM61" s="2726"/>
      <c r="AN61" s="2726"/>
      <c r="AO61" s="2727"/>
      <c r="AP61" s="2738">
        <f>Prethodna_2024!B196</f>
        <v>0</v>
      </c>
      <c r="AQ61" s="2739"/>
      <c r="AR61" s="2740"/>
      <c r="AS61" s="2740"/>
      <c r="AT61" s="2740"/>
      <c r="AU61" s="2740"/>
      <c r="AV61" s="2741"/>
    </row>
    <row r="62" customHeight="1" spans="1:48">
      <c r="A62" s="2728" t="s">
        <v>3877</v>
      </c>
      <c r="B62" s="2729"/>
      <c r="C62" s="2730" t="str">
        <f>Text!B346</f>
        <v>Proizvodnja u toku, poluproizvodi i nedovršene usluge</v>
      </c>
      <c r="D62" s="2731"/>
      <c r="E62" s="2731"/>
      <c r="F62" s="2731"/>
      <c r="G62" s="2731"/>
      <c r="H62" s="2731"/>
      <c r="I62" s="2731"/>
      <c r="J62" s="2731"/>
      <c r="K62" s="2731"/>
      <c r="L62" s="2731"/>
      <c r="M62" s="2731"/>
      <c r="N62" s="2731"/>
      <c r="O62" s="2731"/>
      <c r="P62" s="2731"/>
      <c r="Q62" s="2731"/>
      <c r="R62" s="2731"/>
      <c r="S62" s="2731"/>
      <c r="T62" s="2731"/>
      <c r="U62" s="2731"/>
      <c r="V62" s="2731"/>
      <c r="W62" s="2731"/>
      <c r="X62" s="2731"/>
      <c r="Y62" s="2732" t="s">
        <v>303</v>
      </c>
      <c r="Z62" s="2733"/>
      <c r="AA62" s="2733"/>
      <c r="AB62" s="2733"/>
      <c r="AC62" s="2733"/>
      <c r="AD62" s="2734"/>
      <c r="AE62" s="2735" t="str">
        <f>Baza!F181</f>
        <v>-</v>
      </c>
      <c r="AF62" s="2736"/>
      <c r="AG62" s="2728" t="s">
        <v>3955</v>
      </c>
      <c r="AH62" s="2737"/>
      <c r="AI62" s="2738">
        <f>ROUND(UnosPod!F663-UnosPod!M663,0)</f>
        <v>0</v>
      </c>
      <c r="AJ62" s="2739"/>
      <c r="AK62" s="2740"/>
      <c r="AL62" s="2740"/>
      <c r="AM62" s="2740"/>
      <c r="AN62" s="2740"/>
      <c r="AO62" s="2741"/>
      <c r="AP62" s="2738">
        <f>Prethodna_2024!B197</f>
        <v>0</v>
      </c>
      <c r="AQ62" s="2739"/>
      <c r="AR62" s="2740"/>
      <c r="AS62" s="2740"/>
      <c r="AT62" s="2740"/>
      <c r="AU62" s="2740"/>
      <c r="AV62" s="2741"/>
    </row>
    <row r="63" customHeight="1" spans="1:48">
      <c r="A63" s="2728" t="s">
        <v>3880</v>
      </c>
      <c r="B63" s="2729"/>
      <c r="C63" s="2730" t="str">
        <f>Text!B347</f>
        <v>Gotovi proizvodi</v>
      </c>
      <c r="D63" s="2731"/>
      <c r="E63" s="2731"/>
      <c r="F63" s="2731"/>
      <c r="G63" s="2731"/>
      <c r="H63" s="2731"/>
      <c r="I63" s="2731"/>
      <c r="J63" s="2731"/>
      <c r="K63" s="2731"/>
      <c r="L63" s="2731"/>
      <c r="M63" s="2731"/>
      <c r="N63" s="2731"/>
      <c r="O63" s="2731"/>
      <c r="P63" s="2731"/>
      <c r="Q63" s="2731"/>
      <c r="R63" s="2731"/>
      <c r="S63" s="2731"/>
      <c r="T63" s="2731"/>
      <c r="U63" s="2731"/>
      <c r="V63" s="2731"/>
      <c r="W63" s="2731"/>
      <c r="X63" s="2731"/>
      <c r="Y63" s="2732" t="s">
        <v>305</v>
      </c>
      <c r="Z63" s="2733"/>
      <c r="AA63" s="2733"/>
      <c r="AB63" s="2733"/>
      <c r="AC63" s="2733"/>
      <c r="AD63" s="2734"/>
      <c r="AE63" s="2735" t="str">
        <f>Baza!F182</f>
        <v>-</v>
      </c>
      <c r="AF63" s="2736"/>
      <c r="AG63" s="2728" t="s">
        <v>735</v>
      </c>
      <c r="AH63" s="2737"/>
      <c r="AI63" s="2738">
        <f>ROUND(UnosPod!F664-UnosPod!M664,0)</f>
        <v>0</v>
      </c>
      <c r="AJ63" s="2739"/>
      <c r="AK63" s="2740"/>
      <c r="AL63" s="2740"/>
      <c r="AM63" s="2740"/>
      <c r="AN63" s="2740"/>
      <c r="AO63" s="2741"/>
      <c r="AP63" s="2738">
        <f>Prethodna_2024!B198</f>
        <v>0</v>
      </c>
      <c r="AQ63" s="2739"/>
      <c r="AR63" s="2740"/>
      <c r="AS63" s="2740"/>
      <c r="AT63" s="2740"/>
      <c r="AU63" s="2740"/>
      <c r="AV63" s="2741"/>
    </row>
    <row r="64" customHeight="1" spans="1:48">
      <c r="A64" s="2728" t="s">
        <v>3883</v>
      </c>
      <c r="B64" s="2729"/>
      <c r="C64" s="2730" t="str">
        <f>Text!B348</f>
        <v>Roba</v>
      </c>
      <c r="D64" s="2731"/>
      <c r="E64" s="2731"/>
      <c r="F64" s="2731"/>
      <c r="G64" s="2731"/>
      <c r="H64" s="2731"/>
      <c r="I64" s="2731"/>
      <c r="J64" s="2731"/>
      <c r="K64" s="2731"/>
      <c r="L64" s="2731"/>
      <c r="M64" s="2731"/>
      <c r="N64" s="2731"/>
      <c r="O64" s="2731"/>
      <c r="P64" s="2731"/>
      <c r="Q64" s="2731"/>
      <c r="R64" s="2731"/>
      <c r="S64" s="2731"/>
      <c r="T64" s="2731"/>
      <c r="U64" s="2731"/>
      <c r="V64" s="2731"/>
      <c r="W64" s="2731"/>
      <c r="X64" s="2731"/>
      <c r="Y64" s="2732" t="s">
        <v>307</v>
      </c>
      <c r="Z64" s="2733"/>
      <c r="AA64" s="2733"/>
      <c r="AB64" s="2733"/>
      <c r="AC64" s="2733"/>
      <c r="AD64" s="2734"/>
      <c r="AE64" s="2735" t="str">
        <f>Baza!F183</f>
        <v>-</v>
      </c>
      <c r="AF64" s="2736"/>
      <c r="AG64" s="2728" t="s">
        <v>742</v>
      </c>
      <c r="AH64" s="2737"/>
      <c r="AI64" s="2738">
        <f>ROUND(UnosPod!F665-UnosPod!M665,0)</f>
        <v>0</v>
      </c>
      <c r="AJ64" s="2739"/>
      <c r="AK64" s="2740"/>
      <c r="AL64" s="2740"/>
      <c r="AM64" s="2740"/>
      <c r="AN64" s="2740"/>
      <c r="AO64" s="2741"/>
      <c r="AP64" s="2738">
        <f>Prethodna_2024!B199</f>
        <v>0</v>
      </c>
      <c r="AQ64" s="2739"/>
      <c r="AR64" s="2740"/>
      <c r="AS64" s="2740"/>
      <c r="AT64" s="2740"/>
      <c r="AU64" s="2740"/>
      <c r="AV64" s="2741"/>
    </row>
    <row r="65" customHeight="1" spans="1:48">
      <c r="A65" s="2742" t="s">
        <v>3886</v>
      </c>
      <c r="B65" s="2743"/>
      <c r="C65" s="2744" t="str">
        <f>Text!B349</f>
        <v>Dati avansi</v>
      </c>
      <c r="D65" s="2745"/>
      <c r="E65" s="2745"/>
      <c r="F65" s="2745"/>
      <c r="G65" s="2745"/>
      <c r="H65" s="2745"/>
      <c r="I65" s="2745"/>
      <c r="J65" s="2745"/>
      <c r="K65" s="2745"/>
      <c r="L65" s="2745"/>
      <c r="M65" s="2745"/>
      <c r="N65" s="2745"/>
      <c r="O65" s="2745"/>
      <c r="P65" s="2745"/>
      <c r="Q65" s="2745"/>
      <c r="R65" s="2745"/>
      <c r="S65" s="2745"/>
      <c r="T65" s="2745"/>
      <c r="U65" s="2745"/>
      <c r="V65" s="2745"/>
      <c r="W65" s="2745"/>
      <c r="X65" s="2745"/>
      <c r="Y65" s="2746" t="s">
        <v>311</v>
      </c>
      <c r="Z65" s="2692"/>
      <c r="AA65" s="2692"/>
      <c r="AB65" s="2692"/>
      <c r="AC65" s="2692"/>
      <c r="AD65" s="2693"/>
      <c r="AE65" s="2747" t="str">
        <f>Baza!F184</f>
        <v>-</v>
      </c>
      <c r="AF65" s="2748"/>
      <c r="AG65" s="2742" t="s">
        <v>750</v>
      </c>
      <c r="AH65" s="2749"/>
      <c r="AI65" s="2750">
        <f>ROUND(UnosPod!F667-UnosPod!M667,0)</f>
        <v>0</v>
      </c>
      <c r="AJ65" s="2751"/>
      <c r="AK65" s="2752"/>
      <c r="AL65" s="2752"/>
      <c r="AM65" s="2752"/>
      <c r="AN65" s="2752"/>
      <c r="AO65" s="2753"/>
      <c r="AP65" s="2738">
        <f>Prethodna_2024!B200</f>
        <v>0</v>
      </c>
      <c r="AQ65" s="2739"/>
      <c r="AR65" s="2740"/>
      <c r="AS65" s="2740"/>
      <c r="AT65" s="2740"/>
      <c r="AU65" s="2740"/>
      <c r="AV65" s="2741"/>
    </row>
    <row r="66" customHeight="1" spans="1:48">
      <c r="A66" s="2694" t="s">
        <v>3891</v>
      </c>
      <c r="B66" s="2695"/>
      <c r="C66" s="2711" t="str">
        <f>Text!B350</f>
        <v>Dugoročna imovina namijenjena prodaji i imovina poslovanja koje se obustavlja</v>
      </c>
      <c r="D66" s="2712"/>
      <c r="E66" s="2712"/>
      <c r="F66" s="2712"/>
      <c r="G66" s="2712"/>
      <c r="H66" s="2712"/>
      <c r="I66" s="2712"/>
      <c r="J66" s="2712"/>
      <c r="K66" s="2712"/>
      <c r="L66" s="2712"/>
      <c r="M66" s="2712"/>
      <c r="N66" s="2712"/>
      <c r="O66" s="2712"/>
      <c r="P66" s="2712"/>
      <c r="Q66" s="2712"/>
      <c r="R66" s="2712"/>
      <c r="S66" s="2712"/>
      <c r="T66" s="2712"/>
      <c r="U66" s="2712"/>
      <c r="V66" s="2712"/>
      <c r="W66" s="2712"/>
      <c r="X66" s="2712"/>
      <c r="Y66" s="1389" t="s">
        <v>309</v>
      </c>
      <c r="Z66" s="1390"/>
      <c r="AA66" s="1390"/>
      <c r="AB66" s="1390"/>
      <c r="AC66" s="1390"/>
      <c r="AD66" s="1391"/>
      <c r="AE66" s="2701" t="str">
        <f>Baza!F185</f>
        <v>-</v>
      </c>
      <c r="AF66" s="2702"/>
      <c r="AG66" s="2694" t="s">
        <v>756</v>
      </c>
      <c r="AH66" s="2713"/>
      <c r="AI66" s="1405">
        <f>ROUND(UnosPod!F666-UnosPod!M666,0)</f>
        <v>0</v>
      </c>
      <c r="AJ66" s="1406"/>
      <c r="AK66" s="1407"/>
      <c r="AL66" s="1407"/>
      <c r="AM66" s="1407"/>
      <c r="AN66" s="1407"/>
      <c r="AO66" s="1408"/>
      <c r="AP66" s="1405">
        <f>Prethodna_2024!B201</f>
        <v>0</v>
      </c>
      <c r="AQ66" s="1406"/>
      <c r="AR66" s="1407"/>
      <c r="AS66" s="1407"/>
      <c r="AT66" s="1407"/>
      <c r="AU66" s="1407"/>
      <c r="AV66" s="1408"/>
    </row>
    <row r="67" customHeight="1" spans="1:48">
      <c r="A67" s="2694" t="s">
        <v>3902</v>
      </c>
      <c r="B67" s="2695"/>
      <c r="C67" s="2711" t="str">
        <f>Text!B351</f>
        <v>Ugovorna imovina</v>
      </c>
      <c r="D67" s="2712"/>
      <c r="E67" s="2712"/>
      <c r="F67" s="2712"/>
      <c r="G67" s="2712"/>
      <c r="H67" s="2712"/>
      <c r="I67" s="2712"/>
      <c r="J67" s="2712"/>
      <c r="K67" s="2712"/>
      <c r="L67" s="2712"/>
      <c r="M67" s="2712"/>
      <c r="N67" s="2712"/>
      <c r="O67" s="2712"/>
      <c r="P67" s="2712"/>
      <c r="Q67" s="2712"/>
      <c r="R67" s="2712"/>
      <c r="S67" s="2712"/>
      <c r="T67" s="2712"/>
      <c r="U67" s="2712"/>
      <c r="V67" s="2712"/>
      <c r="W67" s="2712"/>
      <c r="X67" s="2712"/>
      <c r="Y67" s="1389" t="s">
        <v>5423</v>
      </c>
      <c r="Z67" s="1390"/>
      <c r="AA67" s="1390"/>
      <c r="AB67" s="1390"/>
      <c r="AC67" s="1390"/>
      <c r="AD67" s="1391"/>
      <c r="AE67" s="2701" t="str">
        <f>Baza!F186</f>
        <v>-</v>
      </c>
      <c r="AF67" s="2702"/>
      <c r="AG67" s="2694" t="s">
        <v>765</v>
      </c>
      <c r="AH67" s="2713"/>
      <c r="AI67" s="1405">
        <f>ROUND(UnosPod!F719-UnosPod!M719,0)</f>
        <v>0</v>
      </c>
      <c r="AJ67" s="1406"/>
      <c r="AK67" s="1407"/>
      <c r="AL67" s="1407"/>
      <c r="AM67" s="1407"/>
      <c r="AN67" s="1407"/>
      <c r="AO67" s="1408"/>
      <c r="AP67" s="1405">
        <f>Prethodna_2024!B202</f>
        <v>0</v>
      </c>
      <c r="AQ67" s="1406"/>
      <c r="AR67" s="1407"/>
      <c r="AS67" s="1407"/>
      <c r="AT67" s="1407"/>
      <c r="AU67" s="1407"/>
      <c r="AV67" s="1408"/>
    </row>
    <row r="68" customHeight="1" spans="1:48">
      <c r="A68" s="2694" t="s">
        <v>3905</v>
      </c>
      <c r="B68" s="2695"/>
      <c r="C68" s="2711" t="str">
        <f>Text!B352</f>
        <v>Potraživanja od kupaca (046 do 048)</v>
      </c>
      <c r="D68" s="2712"/>
      <c r="E68" s="2712"/>
      <c r="F68" s="2712"/>
      <c r="G68" s="2712"/>
      <c r="H68" s="2712"/>
      <c r="I68" s="2712"/>
      <c r="J68" s="2712"/>
      <c r="K68" s="2712"/>
      <c r="L68" s="2712"/>
      <c r="M68" s="2712"/>
      <c r="N68" s="2712"/>
      <c r="O68" s="2712"/>
      <c r="P68" s="2712"/>
      <c r="Q68" s="2712"/>
      <c r="R68" s="2712"/>
      <c r="S68" s="2712"/>
      <c r="T68" s="2712"/>
      <c r="U68" s="2712"/>
      <c r="V68" s="2712"/>
      <c r="W68" s="2712"/>
      <c r="X68" s="2712"/>
      <c r="Y68" s="1389"/>
      <c r="Z68" s="1390"/>
      <c r="AA68" s="1390"/>
      <c r="AB68" s="1390"/>
      <c r="AC68" s="1390"/>
      <c r="AD68" s="1391"/>
      <c r="AE68" s="2701"/>
      <c r="AF68" s="2702"/>
      <c r="AG68" s="2694" t="s">
        <v>3962</v>
      </c>
      <c r="AH68" s="2713"/>
      <c r="AI68" s="1405">
        <f>SUM(AI69:AO71)</f>
        <v>20312</v>
      </c>
      <c r="AJ68" s="1406"/>
      <c r="AK68" s="1407"/>
      <c r="AL68" s="1407"/>
      <c r="AM68" s="1407"/>
      <c r="AN68" s="1407"/>
      <c r="AO68" s="1408"/>
      <c r="AP68" s="1405">
        <f>SUM(AP69:AV71)</f>
        <v>21173</v>
      </c>
      <c r="AQ68" s="1406"/>
      <c r="AR68" s="1407"/>
      <c r="AS68" s="1407"/>
      <c r="AT68" s="1407"/>
      <c r="AU68" s="1407"/>
      <c r="AV68" s="1408"/>
    </row>
    <row r="69" customHeight="1" spans="1:48">
      <c r="A69" s="2714" t="s">
        <v>3907</v>
      </c>
      <c r="B69" s="2715"/>
      <c r="C69" s="2716" t="str">
        <f>Text!B353</f>
        <v>Kupci - povezane strane</v>
      </c>
      <c r="D69" s="2717"/>
      <c r="E69" s="2717"/>
      <c r="F69" s="2717"/>
      <c r="G69" s="2717"/>
      <c r="H69" s="2717"/>
      <c r="I69" s="2717"/>
      <c r="J69" s="2717"/>
      <c r="K69" s="2717"/>
      <c r="L69" s="2717"/>
      <c r="M69" s="2717"/>
      <c r="N69" s="2717"/>
      <c r="O69" s="2717"/>
      <c r="P69" s="2717"/>
      <c r="Q69" s="2717"/>
      <c r="R69" s="2717"/>
      <c r="S69" s="2717"/>
      <c r="T69" s="2717"/>
      <c r="U69" s="2717"/>
      <c r="V69" s="2717"/>
      <c r="W69" s="2717"/>
      <c r="X69" s="2717"/>
      <c r="Y69" s="2718" t="s">
        <v>7065</v>
      </c>
      <c r="Z69" s="2719"/>
      <c r="AA69" s="2719"/>
      <c r="AB69" s="2719"/>
      <c r="AC69" s="2719"/>
      <c r="AD69" s="2720"/>
      <c r="AE69" s="2721" t="str">
        <f>Baza!F187</f>
        <v>-</v>
      </c>
      <c r="AF69" s="2722"/>
      <c r="AG69" s="2714" t="s">
        <v>771</v>
      </c>
      <c r="AH69" s="2723"/>
      <c r="AI69" s="2724">
        <f>ROUND(UnosPod!F679-UnosPod!M679,0)</f>
        <v>0</v>
      </c>
      <c r="AJ69" s="2725"/>
      <c r="AK69" s="2726"/>
      <c r="AL69" s="2726"/>
      <c r="AM69" s="2726"/>
      <c r="AN69" s="2726"/>
      <c r="AO69" s="2727"/>
      <c r="AP69" s="2738">
        <f>Prethodna_2024!B204</f>
        <v>0</v>
      </c>
      <c r="AQ69" s="2739"/>
      <c r="AR69" s="2740"/>
      <c r="AS69" s="2740"/>
      <c r="AT69" s="2740"/>
      <c r="AU69" s="2740"/>
      <c r="AV69" s="2741"/>
    </row>
    <row r="70" customHeight="1" spans="1:48">
      <c r="A70" s="2728" t="s">
        <v>3909</v>
      </c>
      <c r="B70" s="2729"/>
      <c r="C70" s="2730" t="str">
        <f>Text!B354</f>
        <v>Kupci u zemlji</v>
      </c>
      <c r="D70" s="2731"/>
      <c r="E70" s="2731"/>
      <c r="F70" s="2731"/>
      <c r="G70" s="2731"/>
      <c r="H70" s="2731"/>
      <c r="I70" s="2731"/>
      <c r="J70" s="2731"/>
      <c r="K70" s="2731"/>
      <c r="L70" s="2731"/>
      <c r="M70" s="2731"/>
      <c r="N70" s="2731"/>
      <c r="O70" s="2731"/>
      <c r="P70" s="2731"/>
      <c r="Q70" s="2731"/>
      <c r="R70" s="2731"/>
      <c r="S70" s="2731"/>
      <c r="T70" s="2731"/>
      <c r="U70" s="2731"/>
      <c r="V70" s="2731"/>
      <c r="W70" s="2731"/>
      <c r="X70" s="2731"/>
      <c r="Y70" s="2732" t="s">
        <v>7066</v>
      </c>
      <c r="Z70" s="2733"/>
      <c r="AA70" s="2733"/>
      <c r="AB70" s="2733"/>
      <c r="AC70" s="2733"/>
      <c r="AD70" s="2734"/>
      <c r="AE70" s="2735" t="str">
        <f>Baza!F188</f>
        <v>A4.</v>
      </c>
      <c r="AF70" s="2736"/>
      <c r="AG70" s="2728" t="s">
        <v>779</v>
      </c>
      <c r="AH70" s="2737"/>
      <c r="AI70" s="2738">
        <f>ROUND(UnosPod!F680-UnosPod!M680,0)</f>
        <v>20312</v>
      </c>
      <c r="AJ70" s="2739"/>
      <c r="AK70" s="2740"/>
      <c r="AL70" s="2740"/>
      <c r="AM70" s="2740"/>
      <c r="AN70" s="2740"/>
      <c r="AO70" s="2741"/>
      <c r="AP70" s="2738">
        <f>Prethodna_2024!B205</f>
        <v>21173</v>
      </c>
      <c r="AQ70" s="2739"/>
      <c r="AR70" s="2740"/>
      <c r="AS70" s="2740"/>
      <c r="AT70" s="2740"/>
      <c r="AU70" s="2740"/>
      <c r="AV70" s="2741"/>
    </row>
    <row r="71" customHeight="1" spans="1:48">
      <c r="A71" s="2742" t="s">
        <v>3911</v>
      </c>
      <c r="B71" s="2743"/>
      <c r="C71" s="2744" t="str">
        <f>Text!B355</f>
        <v>Kupci u inostranstvu</v>
      </c>
      <c r="D71" s="2745"/>
      <c r="E71" s="2745"/>
      <c r="F71" s="2745"/>
      <c r="G71" s="2745"/>
      <c r="H71" s="2745"/>
      <c r="I71" s="2745"/>
      <c r="J71" s="2745"/>
      <c r="K71" s="2745"/>
      <c r="L71" s="2745"/>
      <c r="M71" s="2745"/>
      <c r="N71" s="2745"/>
      <c r="O71" s="2745"/>
      <c r="P71" s="2745"/>
      <c r="Q71" s="2745"/>
      <c r="R71" s="2745"/>
      <c r="S71" s="2745"/>
      <c r="T71" s="2745"/>
      <c r="U71" s="2745"/>
      <c r="V71" s="2745"/>
      <c r="W71" s="2745"/>
      <c r="X71" s="2745"/>
      <c r="Y71" s="2746" t="s">
        <v>7067</v>
      </c>
      <c r="Z71" s="2692"/>
      <c r="AA71" s="2692"/>
      <c r="AB71" s="2692"/>
      <c r="AC71" s="2692"/>
      <c r="AD71" s="2693"/>
      <c r="AE71" s="2747" t="str">
        <f>Baza!F189</f>
        <v>-</v>
      </c>
      <c r="AF71" s="2748"/>
      <c r="AG71" s="2742" t="s">
        <v>786</v>
      </c>
      <c r="AH71" s="2749"/>
      <c r="AI71" s="2750">
        <f>ROUND(UnosPod!F681-UnosPod!M681,0)</f>
        <v>0</v>
      </c>
      <c r="AJ71" s="2751"/>
      <c r="AK71" s="2752"/>
      <c r="AL71" s="2752"/>
      <c r="AM71" s="2752"/>
      <c r="AN71" s="2752"/>
      <c r="AO71" s="2753"/>
      <c r="AP71" s="2738">
        <f>Prethodna_2024!B206</f>
        <v>0</v>
      </c>
      <c r="AQ71" s="2739"/>
      <c r="AR71" s="2740"/>
      <c r="AS71" s="2740"/>
      <c r="AT71" s="2740"/>
      <c r="AU71" s="2740"/>
      <c r="AV71" s="2741"/>
    </row>
    <row r="72" customHeight="1" spans="1:48">
      <c r="A72" s="2694" t="s">
        <v>3915</v>
      </c>
      <c r="B72" s="2695"/>
      <c r="C72" s="2711" t="str">
        <f>Text!B356</f>
        <v>Ostala finansijska imovina po amortizovanom trošku (050 do 053)</v>
      </c>
      <c r="D72" s="2712"/>
      <c r="E72" s="2712"/>
      <c r="F72" s="2712"/>
      <c r="G72" s="2712"/>
      <c r="H72" s="2712"/>
      <c r="I72" s="2712"/>
      <c r="J72" s="2712"/>
      <c r="K72" s="2712"/>
      <c r="L72" s="2712"/>
      <c r="M72" s="2712"/>
      <c r="N72" s="2712"/>
      <c r="O72" s="2712"/>
      <c r="P72" s="2712"/>
      <c r="Q72" s="2712"/>
      <c r="R72" s="2712"/>
      <c r="S72" s="2712"/>
      <c r="T72" s="2712"/>
      <c r="U72" s="2712"/>
      <c r="V72" s="2712"/>
      <c r="W72" s="2712"/>
      <c r="X72" s="2712"/>
      <c r="Y72" s="1389"/>
      <c r="Z72" s="1390"/>
      <c r="AA72" s="1390"/>
      <c r="AB72" s="1390"/>
      <c r="AC72" s="1390"/>
      <c r="AD72" s="1391"/>
      <c r="AE72" s="2701"/>
      <c r="AF72" s="2702"/>
      <c r="AG72" s="2694" t="s">
        <v>793</v>
      </c>
      <c r="AH72" s="2713"/>
      <c r="AI72" s="1405">
        <f>SUM(AI73:AO76)</f>
        <v>427682</v>
      </c>
      <c r="AJ72" s="1406"/>
      <c r="AK72" s="1407"/>
      <c r="AL72" s="1407"/>
      <c r="AM72" s="1407"/>
      <c r="AN72" s="1407"/>
      <c r="AO72" s="1408"/>
      <c r="AP72" s="1405">
        <f>SUM(AP73:AV76)</f>
        <v>526925</v>
      </c>
      <c r="AQ72" s="1406"/>
      <c r="AR72" s="1407"/>
      <c r="AS72" s="1407"/>
      <c r="AT72" s="1407"/>
      <c r="AU72" s="1407"/>
      <c r="AV72" s="1408"/>
    </row>
    <row r="73" ht="30" customHeight="1" spans="1:48">
      <c r="A73" s="2714" t="s">
        <v>3967</v>
      </c>
      <c r="B73" s="2715"/>
      <c r="C73" s="2716" t="str">
        <f>Text!B357</f>
        <v>Depoziti kod banaka</v>
      </c>
      <c r="D73" s="2717"/>
      <c r="E73" s="2717"/>
      <c r="F73" s="2717"/>
      <c r="G73" s="2717"/>
      <c r="H73" s="2717"/>
      <c r="I73" s="2717"/>
      <c r="J73" s="2717"/>
      <c r="K73" s="2717"/>
      <c r="L73" s="2717"/>
      <c r="M73" s="2717"/>
      <c r="N73" s="2717"/>
      <c r="O73" s="2717"/>
      <c r="P73" s="2717"/>
      <c r="Q73" s="2717"/>
      <c r="R73" s="2717"/>
      <c r="S73" s="2717"/>
      <c r="T73" s="2717"/>
      <c r="U73" s="2717"/>
      <c r="V73" s="2717"/>
      <c r="W73" s="2717"/>
      <c r="X73" s="2717"/>
      <c r="Y73" s="2718" t="s">
        <v>7068</v>
      </c>
      <c r="Z73" s="2719"/>
      <c r="AA73" s="2719"/>
      <c r="AB73" s="2719"/>
      <c r="AC73" s="2719"/>
      <c r="AD73" s="2720"/>
      <c r="AE73" s="2721" t="str">
        <f>Baza!F190</f>
        <v>-</v>
      </c>
      <c r="AF73" s="2722"/>
      <c r="AG73" s="2714" t="s">
        <v>604</v>
      </c>
      <c r="AH73" s="2723"/>
      <c r="AI73" s="2724">
        <f>ROUND((UnosPod!F687-UnosPod!M687)+(UnosPod!F700-UnosPod!M700),0)</f>
        <v>0</v>
      </c>
      <c r="AJ73" s="2725"/>
      <c r="AK73" s="2726"/>
      <c r="AL73" s="2726"/>
      <c r="AM73" s="2726"/>
      <c r="AN73" s="2726"/>
      <c r="AO73" s="2727"/>
      <c r="AP73" s="2738">
        <f>Prethodna_2024!B208</f>
        <v>0</v>
      </c>
      <c r="AQ73" s="2739"/>
      <c r="AR73" s="2740"/>
      <c r="AS73" s="2740"/>
      <c r="AT73" s="2740"/>
      <c r="AU73" s="2740"/>
      <c r="AV73" s="2741"/>
    </row>
    <row r="74" ht="30" customHeight="1" spans="1:48">
      <c r="A74" s="2728" t="s">
        <v>3969</v>
      </c>
      <c r="B74" s="2729"/>
      <c r="C74" s="2730" t="str">
        <f>Text!B358</f>
        <v>Dati krediti </v>
      </c>
      <c r="D74" s="2731"/>
      <c r="E74" s="2731"/>
      <c r="F74" s="2731"/>
      <c r="G74" s="2731"/>
      <c r="H74" s="2731"/>
      <c r="I74" s="2731"/>
      <c r="J74" s="2731"/>
      <c r="K74" s="2731"/>
      <c r="L74" s="2731"/>
      <c r="M74" s="2731"/>
      <c r="N74" s="2731"/>
      <c r="O74" s="2731"/>
      <c r="P74" s="2731"/>
      <c r="Q74" s="2731"/>
      <c r="R74" s="2731"/>
      <c r="S74" s="2731"/>
      <c r="T74" s="2731"/>
      <c r="U74" s="2731"/>
      <c r="V74" s="2731"/>
      <c r="W74" s="2731"/>
      <c r="X74" s="2731"/>
      <c r="Y74" s="2732" t="s">
        <v>7069</v>
      </c>
      <c r="Z74" s="2733"/>
      <c r="AA74" s="2733"/>
      <c r="AB74" s="2733"/>
      <c r="AC74" s="2733"/>
      <c r="AD74" s="2734"/>
      <c r="AE74" s="2735" t="str">
        <f>Baza!F191</f>
        <v>A2.</v>
      </c>
      <c r="AF74" s="2736"/>
      <c r="AG74" s="2728" t="s">
        <v>801</v>
      </c>
      <c r="AH74" s="2737"/>
      <c r="AI74" s="2738">
        <f>ROUND((UnosPod!F688-UnosPod!M688)+(UnosPod!F701-UnosPod!M701),0)</f>
        <v>427682</v>
      </c>
      <c r="AJ74" s="2739"/>
      <c r="AK74" s="2740"/>
      <c r="AL74" s="2740"/>
      <c r="AM74" s="2740"/>
      <c r="AN74" s="2740"/>
      <c r="AO74" s="2741"/>
      <c r="AP74" s="2738">
        <f>Prethodna_2024!B209</f>
        <v>526925</v>
      </c>
      <c r="AQ74" s="2739"/>
      <c r="AR74" s="2740"/>
      <c r="AS74" s="2740"/>
      <c r="AT74" s="2740"/>
      <c r="AU74" s="2740"/>
      <c r="AV74" s="2741"/>
    </row>
    <row r="75" ht="30" customHeight="1" spans="1:48">
      <c r="A75" s="2728" t="s">
        <v>3971</v>
      </c>
      <c r="B75" s="2729"/>
      <c r="C75" s="2730" t="str">
        <f>Text!B359</f>
        <v>Obveznice</v>
      </c>
      <c r="D75" s="2731"/>
      <c r="E75" s="2731"/>
      <c r="F75" s="2731"/>
      <c r="G75" s="2731"/>
      <c r="H75" s="2731"/>
      <c r="I75" s="2731"/>
      <c r="J75" s="2731"/>
      <c r="K75" s="2731"/>
      <c r="L75" s="2731"/>
      <c r="M75" s="2731"/>
      <c r="N75" s="2731"/>
      <c r="O75" s="2731"/>
      <c r="P75" s="2731"/>
      <c r="Q75" s="2731"/>
      <c r="R75" s="2731"/>
      <c r="S75" s="2731"/>
      <c r="T75" s="2731"/>
      <c r="U75" s="2731"/>
      <c r="V75" s="2731"/>
      <c r="W75" s="2731"/>
      <c r="X75" s="2731"/>
      <c r="Y75" s="2732" t="s">
        <v>7070</v>
      </c>
      <c r="Z75" s="2733"/>
      <c r="AA75" s="2733"/>
      <c r="AB75" s="2733"/>
      <c r="AC75" s="2733"/>
      <c r="AD75" s="2734"/>
      <c r="AE75" s="2735" t="str">
        <f>Baza!F192</f>
        <v>-</v>
      </c>
      <c r="AF75" s="2736"/>
      <c r="AG75" s="2728" t="s">
        <v>806</v>
      </c>
      <c r="AH75" s="2737"/>
      <c r="AI75" s="2738">
        <f>ROUND((UnosPod!F689-UnosPod!M689)+(UnosPod!F702-UnosPod!M702),0)</f>
        <v>0</v>
      </c>
      <c r="AJ75" s="2739"/>
      <c r="AK75" s="2740"/>
      <c r="AL75" s="2740"/>
      <c r="AM75" s="2740"/>
      <c r="AN75" s="2740"/>
      <c r="AO75" s="2741"/>
      <c r="AP75" s="2738">
        <f>Prethodna_2024!B210</f>
        <v>0</v>
      </c>
      <c r="AQ75" s="2739"/>
      <c r="AR75" s="2740"/>
      <c r="AS75" s="2740"/>
      <c r="AT75" s="2740"/>
      <c r="AU75" s="2740"/>
      <c r="AV75" s="2741"/>
    </row>
    <row r="76" ht="30" customHeight="1" spans="1:48">
      <c r="A76" s="2742" t="s">
        <v>3973</v>
      </c>
      <c r="B76" s="2743"/>
      <c r="C76" s="2744" t="str">
        <f>Text!B360</f>
        <v>Ostala finansijska imovina po amortizovanom trošku</v>
      </c>
      <c r="D76" s="2745"/>
      <c r="E76" s="2745"/>
      <c r="F76" s="2745"/>
      <c r="G76" s="2745"/>
      <c r="H76" s="2745"/>
      <c r="I76" s="2745"/>
      <c r="J76" s="2745"/>
      <c r="K76" s="2745"/>
      <c r="L76" s="2745"/>
      <c r="M76" s="2745"/>
      <c r="N76" s="2745"/>
      <c r="O76" s="2745"/>
      <c r="P76" s="2745"/>
      <c r="Q76" s="2745"/>
      <c r="R76" s="2745"/>
      <c r="S76" s="2745"/>
      <c r="T76" s="2745"/>
      <c r="U76" s="2745"/>
      <c r="V76" s="2745"/>
      <c r="W76" s="2745"/>
      <c r="X76" s="2745"/>
      <c r="Y76" s="2746" t="s">
        <v>7071</v>
      </c>
      <c r="Z76" s="2692"/>
      <c r="AA76" s="2692"/>
      <c r="AB76" s="2692"/>
      <c r="AC76" s="2692"/>
      <c r="AD76" s="2693"/>
      <c r="AE76" s="2747" t="str">
        <f>Baza!F193</f>
        <v>-</v>
      </c>
      <c r="AF76" s="2748"/>
      <c r="AG76" s="2742" t="s">
        <v>3974</v>
      </c>
      <c r="AH76" s="2749"/>
      <c r="AI76" s="2750">
        <f>ROUND((UnosPod!F690-UnosPod!M690)+(UnosPod!F691-UnosPod!M691)+(UnosPod!F703-UnosPod!M703),0)</f>
        <v>0</v>
      </c>
      <c r="AJ76" s="2751"/>
      <c r="AK76" s="2752"/>
      <c r="AL76" s="2752"/>
      <c r="AM76" s="2752"/>
      <c r="AN76" s="2752"/>
      <c r="AO76" s="2753"/>
      <c r="AP76" s="2738">
        <f>Prethodna_2024!B211</f>
        <v>0</v>
      </c>
      <c r="AQ76" s="2739"/>
      <c r="AR76" s="2740"/>
      <c r="AS76" s="2740"/>
      <c r="AT76" s="2740"/>
      <c r="AU76" s="2740"/>
      <c r="AV76" s="2741"/>
    </row>
    <row r="77" ht="17.25" customHeight="1" spans="1:48">
      <c r="A77" s="2694" t="s">
        <v>3918</v>
      </c>
      <c r="B77" s="2695"/>
      <c r="C77" s="2711" t="str">
        <f>Text!B361</f>
        <v>Potraživanja po finansijskim najmovima</v>
      </c>
      <c r="D77" s="2712"/>
      <c r="E77" s="2712"/>
      <c r="F77" s="2712"/>
      <c r="G77" s="2712"/>
      <c r="H77" s="2712"/>
      <c r="I77" s="2712"/>
      <c r="J77" s="2712"/>
      <c r="K77" s="2712"/>
      <c r="L77" s="2712"/>
      <c r="M77" s="2712"/>
      <c r="N77" s="2712"/>
      <c r="O77" s="2712"/>
      <c r="P77" s="2712"/>
      <c r="Q77" s="2712"/>
      <c r="R77" s="2712"/>
      <c r="S77" s="2712"/>
      <c r="T77" s="2712"/>
      <c r="U77" s="2712"/>
      <c r="V77" s="2712"/>
      <c r="W77" s="2712"/>
      <c r="X77" s="2712"/>
      <c r="Y77" s="1389" t="s">
        <v>5400</v>
      </c>
      <c r="Z77" s="1390"/>
      <c r="AA77" s="1390"/>
      <c r="AB77" s="1390"/>
      <c r="AC77" s="1390"/>
      <c r="AD77" s="1391"/>
      <c r="AE77" s="2701" t="str">
        <f>Baza!F194</f>
        <v>-</v>
      </c>
      <c r="AF77" s="2702"/>
      <c r="AG77" s="2694" t="s">
        <v>928</v>
      </c>
      <c r="AH77" s="2713"/>
      <c r="AI77" s="1405">
        <f>ROUND(UnosPod!F706-UnosPod!M706,0)</f>
        <v>0</v>
      </c>
      <c r="AJ77" s="1406"/>
      <c r="AK77" s="1407"/>
      <c r="AL77" s="1407"/>
      <c r="AM77" s="1407"/>
      <c r="AN77" s="1407"/>
      <c r="AO77" s="1408"/>
      <c r="AP77" s="1405">
        <f>Prethodna_2024!B212</f>
        <v>0</v>
      </c>
      <c r="AQ77" s="1406"/>
      <c r="AR77" s="1407"/>
      <c r="AS77" s="1407"/>
      <c r="AT77" s="1407"/>
      <c r="AU77" s="1407"/>
      <c r="AV77" s="1408"/>
    </row>
    <row r="78" ht="17.25" customHeight="1" spans="1:48">
      <c r="A78" s="2694" t="s">
        <v>3920</v>
      </c>
      <c r="B78" s="2695"/>
      <c r="C78" s="2711" t="str">
        <f>Text!B362</f>
        <v>Finansijska imovina po fer vrijednosti kroz bilans uspjeha</v>
      </c>
      <c r="D78" s="2712"/>
      <c r="E78" s="2712"/>
      <c r="F78" s="2712"/>
      <c r="G78" s="2712"/>
      <c r="H78" s="2712"/>
      <c r="I78" s="2712"/>
      <c r="J78" s="2712"/>
      <c r="K78" s="2712"/>
      <c r="L78" s="2712"/>
      <c r="M78" s="2712"/>
      <c r="N78" s="2712"/>
      <c r="O78" s="2712"/>
      <c r="P78" s="2712"/>
      <c r="Q78" s="2712"/>
      <c r="R78" s="2712"/>
      <c r="S78" s="2712"/>
      <c r="T78" s="2712"/>
      <c r="U78" s="2712"/>
      <c r="V78" s="2712"/>
      <c r="W78" s="2712"/>
      <c r="X78" s="2712"/>
      <c r="Y78" s="1389" t="s">
        <v>5399</v>
      </c>
      <c r="Z78" s="1390"/>
      <c r="AA78" s="1390"/>
      <c r="AB78" s="1390"/>
      <c r="AC78" s="1390"/>
      <c r="AD78" s="1391"/>
      <c r="AE78" s="2701" t="str">
        <f>Baza!F195</f>
        <v>-</v>
      </c>
      <c r="AF78" s="2702"/>
      <c r="AG78" s="2694" t="s">
        <v>811</v>
      </c>
      <c r="AH78" s="2713"/>
      <c r="AI78" s="1405">
        <f>ROUND(UnosPod!F705-UnosPod!M705,0)</f>
        <v>0</v>
      </c>
      <c r="AJ78" s="1406"/>
      <c r="AK78" s="1407"/>
      <c r="AL78" s="1407"/>
      <c r="AM78" s="1407"/>
      <c r="AN78" s="1407"/>
      <c r="AO78" s="1408"/>
      <c r="AP78" s="1405">
        <f>Prethodna_2024!B213</f>
        <v>0</v>
      </c>
      <c r="AQ78" s="1406"/>
      <c r="AR78" s="1407"/>
      <c r="AS78" s="1407"/>
      <c r="AT78" s="1407"/>
      <c r="AU78" s="1407"/>
      <c r="AV78" s="1408"/>
    </row>
    <row r="79" ht="17.25" customHeight="1" spans="1:48">
      <c r="A79" s="2694" t="s">
        <v>3923</v>
      </c>
      <c r="B79" s="2695"/>
      <c r="C79" s="2711" t="str">
        <f>Text!B363</f>
        <v>Derivatni finansijski instrumenti</v>
      </c>
      <c r="D79" s="2712"/>
      <c r="E79" s="2712"/>
      <c r="F79" s="2712"/>
      <c r="G79" s="2712"/>
      <c r="H79" s="2712"/>
      <c r="I79" s="2712"/>
      <c r="J79" s="2712"/>
      <c r="K79" s="2712"/>
      <c r="L79" s="2712"/>
      <c r="M79" s="2712"/>
      <c r="N79" s="2712"/>
      <c r="O79" s="2712"/>
      <c r="P79" s="2712"/>
      <c r="Q79" s="2712"/>
      <c r="R79" s="2712"/>
      <c r="S79" s="2712"/>
      <c r="T79" s="2712"/>
      <c r="U79" s="2712"/>
      <c r="V79" s="2712"/>
      <c r="W79" s="2712"/>
      <c r="X79" s="2712"/>
      <c r="Y79" s="1389" t="s">
        <v>575</v>
      </c>
      <c r="Z79" s="1390"/>
      <c r="AA79" s="1390"/>
      <c r="AB79" s="1390"/>
      <c r="AC79" s="1390"/>
      <c r="AD79" s="1391"/>
      <c r="AE79" s="2701" t="str">
        <f>Baza!F196</f>
        <v>-</v>
      </c>
      <c r="AF79" s="2702"/>
      <c r="AG79" s="2694" t="s">
        <v>553</v>
      </c>
      <c r="AH79" s="2713"/>
      <c r="AI79" s="1405">
        <f>ROUND(UnosPod!F685-UnosPod!M685,0)</f>
        <v>0</v>
      </c>
      <c r="AJ79" s="1406"/>
      <c r="AK79" s="1407"/>
      <c r="AL79" s="1407"/>
      <c r="AM79" s="1407"/>
      <c r="AN79" s="1407"/>
      <c r="AO79" s="1408"/>
      <c r="AP79" s="1405">
        <f>Prethodna_2024!B214</f>
        <v>0</v>
      </c>
      <c r="AQ79" s="1406"/>
      <c r="AR79" s="1407"/>
      <c r="AS79" s="1407"/>
      <c r="AT79" s="1407"/>
      <c r="AU79" s="1407"/>
      <c r="AV79" s="1408"/>
    </row>
    <row r="80" ht="17.25" customHeight="1" spans="1:48">
      <c r="A80" s="2694" t="s">
        <v>3925</v>
      </c>
      <c r="B80" s="2695"/>
      <c r="C80" s="2711" t="str">
        <f>Text!B364</f>
        <v>Gotovina i gotovinski ekvivalenti (isključujući prekoračenja po bankovnim računima)</v>
      </c>
      <c r="D80" s="2712"/>
      <c r="E80" s="2712"/>
      <c r="F80" s="2712"/>
      <c r="G80" s="2712"/>
      <c r="H80" s="2712"/>
      <c r="I80" s="2712"/>
      <c r="J80" s="2712"/>
      <c r="K80" s="2712"/>
      <c r="L80" s="2712"/>
      <c r="M80" s="2712"/>
      <c r="N80" s="2712"/>
      <c r="O80" s="2712"/>
      <c r="P80" s="2712"/>
      <c r="Q80" s="2712"/>
      <c r="R80" s="2712"/>
      <c r="S80" s="2712"/>
      <c r="T80" s="2712"/>
      <c r="U80" s="2712"/>
      <c r="V80" s="2712"/>
      <c r="W80" s="2712"/>
      <c r="X80" s="2712"/>
      <c r="Y80" s="1389" t="s">
        <v>550</v>
      </c>
      <c r="Z80" s="1390"/>
      <c r="AA80" s="1390"/>
      <c r="AB80" s="1390"/>
      <c r="AC80" s="1390"/>
      <c r="AD80" s="1391"/>
      <c r="AE80" s="2701"/>
      <c r="AF80" s="2702"/>
      <c r="AG80" s="2694" t="s">
        <v>815</v>
      </c>
      <c r="AH80" s="2713"/>
      <c r="AI80" s="1405">
        <f>ROUND(UnosPod!F678-UnosPod!M678,0)</f>
        <v>2327</v>
      </c>
      <c r="AJ80" s="1406"/>
      <c r="AK80" s="1407"/>
      <c r="AL80" s="1407"/>
      <c r="AM80" s="1407"/>
      <c r="AN80" s="1407"/>
      <c r="AO80" s="1408"/>
      <c r="AP80" s="1405">
        <f>Prethodna_2024!B215</f>
        <v>47</v>
      </c>
      <c r="AQ80" s="1406"/>
      <c r="AR80" s="1407"/>
      <c r="AS80" s="1407"/>
      <c r="AT80" s="1407"/>
      <c r="AU80" s="1407"/>
      <c r="AV80" s="1408"/>
    </row>
    <row r="81" ht="17.25" customHeight="1" spans="1:48">
      <c r="A81" s="2694" t="s">
        <v>3928</v>
      </c>
      <c r="B81" s="2695"/>
      <c r="C81" s="2711" t="str">
        <f>Text!B365</f>
        <v>Akontacije poreza na dobit</v>
      </c>
      <c r="D81" s="2712"/>
      <c r="E81" s="2712"/>
      <c r="F81" s="2712"/>
      <c r="G81" s="2712"/>
      <c r="H81" s="2712"/>
      <c r="I81" s="2712"/>
      <c r="J81" s="2712"/>
      <c r="K81" s="2712"/>
      <c r="L81" s="2712"/>
      <c r="M81" s="2712"/>
      <c r="N81" s="2712"/>
      <c r="O81" s="2712"/>
      <c r="P81" s="2712"/>
      <c r="Q81" s="2712"/>
      <c r="R81" s="2712"/>
      <c r="S81" s="2712"/>
      <c r="T81" s="2712"/>
      <c r="U81" s="2712"/>
      <c r="V81" s="2712"/>
      <c r="W81" s="2712"/>
      <c r="X81" s="2712"/>
      <c r="Y81" s="1389" t="s">
        <v>7072</v>
      </c>
      <c r="Z81" s="1390"/>
      <c r="AA81" s="1390"/>
      <c r="AB81" s="1390"/>
      <c r="AC81" s="1390"/>
      <c r="AD81" s="1391"/>
      <c r="AE81" s="2701" t="str">
        <f>Baza!F197</f>
        <v>-</v>
      </c>
      <c r="AF81" s="2702"/>
      <c r="AG81" s="2694" t="s">
        <v>3980</v>
      </c>
      <c r="AH81" s="2713"/>
      <c r="AI81" s="1405">
        <f>ROUND(UnosPod!F695-UnosPod!M695,0)</f>
        <v>0</v>
      </c>
      <c r="AJ81" s="1406"/>
      <c r="AK81" s="1407"/>
      <c r="AL81" s="1407"/>
      <c r="AM81" s="1407"/>
      <c r="AN81" s="1407"/>
      <c r="AO81" s="1408"/>
      <c r="AP81" s="1405">
        <f>Prethodna_2024!B216</f>
        <v>0</v>
      </c>
      <c r="AQ81" s="1406"/>
      <c r="AR81" s="1407"/>
      <c r="AS81" s="1407"/>
      <c r="AT81" s="1407"/>
      <c r="AU81" s="1407"/>
      <c r="AV81" s="1408"/>
    </row>
    <row r="82" ht="31.5" customHeight="1" spans="1:48">
      <c r="A82" s="2694" t="s">
        <v>3934</v>
      </c>
      <c r="B82" s="2695"/>
      <c r="C82" s="2711" t="str">
        <f>Text!B366</f>
        <v>Ostala imovina i potraživanja, uključujući i razgraničenja</v>
      </c>
      <c r="D82" s="2712"/>
      <c r="E82" s="2712"/>
      <c r="F82" s="2712"/>
      <c r="G82" s="2712"/>
      <c r="H82" s="2712"/>
      <c r="I82" s="2712"/>
      <c r="J82" s="2712"/>
      <c r="K82" s="2712"/>
      <c r="L82" s="2712"/>
      <c r="M82" s="2712"/>
      <c r="N82" s="2712"/>
      <c r="O82" s="2712"/>
      <c r="P82" s="2712"/>
      <c r="Q82" s="2712"/>
      <c r="R82" s="2712"/>
      <c r="S82" s="2712"/>
      <c r="T82" s="2712"/>
      <c r="U82" s="2712"/>
      <c r="V82" s="2712"/>
      <c r="W82" s="2712"/>
      <c r="X82" s="2712"/>
      <c r="Y82" s="1389" t="s">
        <v>7073</v>
      </c>
      <c r="Z82" s="1390"/>
      <c r="AA82" s="1390"/>
      <c r="AB82" s="1390"/>
      <c r="AC82" s="1390"/>
      <c r="AD82" s="1391"/>
      <c r="AE82" s="2701" t="str">
        <f>Baza!F198</f>
        <v>A3.</v>
      </c>
      <c r="AF82" s="2702"/>
      <c r="AG82" s="2694" t="s">
        <v>820</v>
      </c>
      <c r="AH82" s="2713"/>
      <c r="AI82" s="1405">
        <f>ROUND((UnosPod!F686+UnosPod!F693+UnosPod!F694+UnosPod!F696+UnosPod!F697+UnosPod!F698+UnosPod!F717+UnosPod!F721-UnosPod!F719)-(UnosPod!M686+UnosPod!M693+UnosPod!M694+UnosPod!M696+UnosPod!M697+UnosPod!M698+UnosPod!M717+UnosPod!M721-UnosPod!M719),0)</f>
        <v>126871</v>
      </c>
      <c r="AJ82" s="1406"/>
      <c r="AK82" s="1407"/>
      <c r="AL82" s="1407"/>
      <c r="AM82" s="1407"/>
      <c r="AN82" s="1407"/>
      <c r="AO82" s="1408"/>
      <c r="AP82" s="1405">
        <f>Prethodna_2024!B217</f>
        <v>69080</v>
      </c>
      <c r="AQ82" s="1406"/>
      <c r="AR82" s="1407"/>
      <c r="AS82" s="1407"/>
      <c r="AT82" s="1407"/>
      <c r="AU82" s="1407"/>
      <c r="AV82" s="1408"/>
    </row>
    <row r="83" s="1227" customFormat="1" ht="17.25" customHeight="1" spans="1:48">
      <c r="A83" s="2705" t="s">
        <v>3983</v>
      </c>
      <c r="B83" s="2706"/>
      <c r="C83" s="2696" t="str">
        <f>Text!B367</f>
        <v>UKUPNO IMOVINA (001+035+036)</v>
      </c>
      <c r="D83" s="2697"/>
      <c r="E83" s="2697"/>
      <c r="F83" s="2697"/>
      <c r="G83" s="2697"/>
      <c r="H83" s="2697"/>
      <c r="I83" s="2697"/>
      <c r="J83" s="2697"/>
      <c r="K83" s="2697"/>
      <c r="L83" s="2697"/>
      <c r="M83" s="2697"/>
      <c r="N83" s="2697"/>
      <c r="O83" s="2697"/>
      <c r="P83" s="2697"/>
      <c r="Q83" s="2697"/>
      <c r="R83" s="2697"/>
      <c r="S83" s="2697"/>
      <c r="T83" s="2697"/>
      <c r="U83" s="2697"/>
      <c r="V83" s="2697"/>
      <c r="W83" s="2697"/>
      <c r="X83" s="2697"/>
      <c r="Y83" s="1389"/>
      <c r="Z83" s="1390"/>
      <c r="AA83" s="1390"/>
      <c r="AB83" s="1390"/>
      <c r="AC83" s="1390"/>
      <c r="AD83" s="1391"/>
      <c r="AE83" s="2757"/>
      <c r="AF83" s="2758"/>
      <c r="AG83" s="2694" t="s">
        <v>826</v>
      </c>
      <c r="AH83" s="2713"/>
      <c r="AI83" s="1394">
        <f>AI21+AI58+AI59</f>
        <v>599299</v>
      </c>
      <c r="AJ83" s="1395"/>
      <c r="AK83" s="1396"/>
      <c r="AL83" s="1396"/>
      <c r="AM83" s="1396"/>
      <c r="AN83" s="1396"/>
      <c r="AO83" s="1397"/>
      <c r="AP83" s="1394">
        <f>AP21+AP58+AP59</f>
        <v>768881</v>
      </c>
      <c r="AQ83" s="1395"/>
      <c r="AR83" s="1396"/>
      <c r="AS83" s="1396"/>
      <c r="AT83" s="1396"/>
      <c r="AU83" s="1396"/>
      <c r="AV83" s="1397"/>
    </row>
    <row r="84" ht="17.25" customHeight="1" spans="1:48">
      <c r="A84" s="2694" t="s">
        <v>3985</v>
      </c>
      <c r="B84" s="2695"/>
      <c r="C84" s="2711" t="str">
        <f>Text!B368</f>
        <v>VANBILANSNA EVIDENCIJA</v>
      </c>
      <c r="D84" s="2712"/>
      <c r="E84" s="2712"/>
      <c r="F84" s="2712"/>
      <c r="G84" s="2712"/>
      <c r="H84" s="2712"/>
      <c r="I84" s="2712"/>
      <c r="J84" s="2712"/>
      <c r="K84" s="2712"/>
      <c r="L84" s="2712"/>
      <c r="M84" s="2712"/>
      <c r="N84" s="2712"/>
      <c r="O84" s="2712"/>
      <c r="P84" s="2712"/>
      <c r="Q84" s="2712"/>
      <c r="R84" s="2712"/>
      <c r="S84" s="2712"/>
      <c r="T84" s="2712"/>
      <c r="U84" s="2712"/>
      <c r="V84" s="2712"/>
      <c r="W84" s="2712"/>
      <c r="X84" s="2712"/>
      <c r="Y84" s="1389"/>
      <c r="Z84" s="1390"/>
      <c r="AA84" s="1390"/>
      <c r="AB84" s="1390"/>
      <c r="AC84" s="1390"/>
      <c r="AD84" s="1391"/>
      <c r="AE84" s="2701"/>
      <c r="AF84" s="2702"/>
      <c r="AG84" s="2694" t="s">
        <v>3986</v>
      </c>
      <c r="AH84" s="2713"/>
      <c r="AI84" s="1405">
        <f>ROUND(UnosPod!F725-UnosPod!M725,0)</f>
        <v>0</v>
      </c>
      <c r="AJ84" s="1406"/>
      <c r="AK84" s="1407"/>
      <c r="AL84" s="1407"/>
      <c r="AM84" s="1407"/>
      <c r="AN84" s="1407"/>
      <c r="AO84" s="1408"/>
      <c r="AP84" s="1405">
        <f>Prethodna_2024!B219</f>
        <v>0</v>
      </c>
      <c r="AQ84" s="1406"/>
      <c r="AR84" s="1407"/>
      <c r="AS84" s="1407"/>
      <c r="AT84" s="1407"/>
      <c r="AU84" s="1407"/>
      <c r="AV84" s="1408"/>
    </row>
    <row r="85" s="1227" customFormat="1" ht="17.25" customHeight="1" spans="1:48">
      <c r="A85" s="2705" t="s">
        <v>3987</v>
      </c>
      <c r="B85" s="2706"/>
      <c r="C85" s="2696" t="str">
        <f>Text!B369</f>
        <v>UKUPNO IMOVINA I VANBILANSNA EVIDENCIJA (060+061)</v>
      </c>
      <c r="D85" s="2697"/>
      <c r="E85" s="2697"/>
      <c r="F85" s="2697"/>
      <c r="G85" s="2697"/>
      <c r="H85" s="2697"/>
      <c r="I85" s="2697"/>
      <c r="J85" s="2697"/>
      <c r="K85" s="2697"/>
      <c r="L85" s="2697"/>
      <c r="M85" s="2697"/>
      <c r="N85" s="2697"/>
      <c r="O85" s="2697"/>
      <c r="P85" s="2697"/>
      <c r="Q85" s="2697"/>
      <c r="R85" s="2697"/>
      <c r="S85" s="2697"/>
      <c r="T85" s="2697"/>
      <c r="U85" s="2697"/>
      <c r="V85" s="2697"/>
      <c r="W85" s="2697"/>
      <c r="X85" s="2697"/>
      <c r="Y85" s="1389"/>
      <c r="Z85" s="1390"/>
      <c r="AA85" s="1390"/>
      <c r="AB85" s="1390"/>
      <c r="AC85" s="1390"/>
      <c r="AD85" s="1391"/>
      <c r="AE85" s="2757"/>
      <c r="AF85" s="2758"/>
      <c r="AG85" s="2694" t="s">
        <v>3989</v>
      </c>
      <c r="AH85" s="2713"/>
      <c r="AI85" s="1394">
        <f>AI83+AI84</f>
        <v>599299</v>
      </c>
      <c r="AJ85" s="1395"/>
      <c r="AK85" s="1396"/>
      <c r="AL85" s="1396"/>
      <c r="AM85" s="1396"/>
      <c r="AN85" s="1396"/>
      <c r="AO85" s="1397"/>
      <c r="AP85" s="1394">
        <f>AP83+AP84</f>
        <v>768881</v>
      </c>
      <c r="AQ85" s="1395"/>
      <c r="AR85" s="1396"/>
      <c r="AS85" s="1396"/>
      <c r="AT85" s="1396"/>
      <c r="AU85" s="1396"/>
      <c r="AV85" s="1397"/>
    </row>
    <row r="86" spans="1:48">
      <c r="A86" s="1224"/>
      <c r="Y86" s="2754"/>
      <c r="Z86" s="2754"/>
      <c r="AA86" s="2754"/>
      <c r="AB86" s="2754"/>
      <c r="AC86" s="2754"/>
      <c r="AD86" s="2754"/>
      <c r="AI86" s="1438"/>
      <c r="AJ86" s="1438"/>
      <c r="AK86" s="1438"/>
      <c r="AL86" s="1438"/>
      <c r="AM86" s="1438"/>
      <c r="AN86" s="1438"/>
      <c r="AO86" s="1438"/>
      <c r="AP86" s="1438"/>
      <c r="AQ86" s="1438"/>
      <c r="AR86" s="1438"/>
      <c r="AS86" s="1438"/>
      <c r="AT86" s="1438"/>
      <c r="AU86" s="1438"/>
      <c r="AV86" s="1438"/>
    </row>
    <row r="87" spans="1:48">
      <c r="A87" s="1224"/>
      <c r="Y87" s="2754"/>
      <c r="Z87" s="2754"/>
      <c r="AA87" s="2754"/>
      <c r="AB87" s="2754"/>
      <c r="AC87" s="2754"/>
      <c r="AD87" s="2754"/>
      <c r="AI87" s="1439"/>
      <c r="AJ87" s="1439"/>
      <c r="AK87" s="1439"/>
      <c r="AL87" s="1439"/>
      <c r="AM87" s="1439"/>
      <c r="AN87" s="1439"/>
      <c r="AO87" s="1439"/>
      <c r="AP87" s="1439"/>
      <c r="AQ87" s="1439"/>
      <c r="AR87" s="1439"/>
      <c r="AS87" s="1439"/>
      <c r="AT87" s="1439"/>
      <c r="AU87" s="1439"/>
      <c r="AV87" s="1439"/>
    </row>
    <row r="88" spans="1:48">
      <c r="A88" s="1224"/>
      <c r="Y88" s="2754"/>
      <c r="Z88" s="2754"/>
      <c r="AA88" s="2754"/>
      <c r="AB88" s="2754"/>
      <c r="AC88" s="2754"/>
      <c r="AD88" s="2754"/>
      <c r="AI88" s="1439"/>
      <c r="AJ88" s="1439"/>
      <c r="AK88" s="1439"/>
      <c r="AL88" s="1439"/>
      <c r="AM88" s="1439"/>
      <c r="AN88" s="1439"/>
      <c r="AO88" s="1439"/>
      <c r="AP88" s="1439"/>
      <c r="AQ88" s="1439"/>
      <c r="AR88" s="1439"/>
      <c r="AS88" s="1439"/>
      <c r="AT88" s="1439"/>
      <c r="AU88" s="1439"/>
      <c r="AV88" s="1439"/>
    </row>
    <row r="89" ht="24" customHeight="1" spans="1:48">
      <c r="A89" s="2759" t="s">
        <v>7074</v>
      </c>
      <c r="B89" s="2760"/>
      <c r="C89" s="2761" t="s">
        <v>2507</v>
      </c>
      <c r="D89" s="2761"/>
      <c r="E89" s="2761"/>
      <c r="F89" s="2761"/>
      <c r="G89" s="2761"/>
      <c r="H89" s="2761"/>
      <c r="I89" s="2761"/>
      <c r="J89" s="2761"/>
      <c r="K89" s="2761"/>
      <c r="L89" s="2761"/>
      <c r="M89" s="2761"/>
      <c r="N89" s="2761"/>
      <c r="O89" s="2761"/>
      <c r="P89" s="2761"/>
      <c r="Q89" s="2761"/>
      <c r="R89" s="2761"/>
      <c r="S89" s="2761"/>
      <c r="T89" s="2761"/>
      <c r="U89" s="2761"/>
      <c r="V89" s="2761"/>
      <c r="W89" s="2761"/>
      <c r="X89" s="2761"/>
      <c r="Y89" s="2762"/>
      <c r="Z89" s="2763"/>
      <c r="AA89" s="2763"/>
      <c r="AB89" s="2763"/>
      <c r="AC89" s="2763"/>
      <c r="AD89" s="2764"/>
      <c r="AE89" s="2765" t="s">
        <v>2511</v>
      </c>
      <c r="AF89" s="2766"/>
      <c r="AG89" s="2767" t="s">
        <v>5680</v>
      </c>
      <c r="AH89" s="2768"/>
      <c r="AI89" s="2769" t="s">
        <v>7075</v>
      </c>
      <c r="AJ89" s="2769"/>
      <c r="AK89" s="2769"/>
      <c r="AL89" s="2769"/>
      <c r="AM89" s="2769"/>
      <c r="AN89" s="2769"/>
      <c r="AO89" s="2769"/>
      <c r="AP89" s="2770" t="s">
        <v>2523</v>
      </c>
      <c r="AQ89" s="2770"/>
      <c r="AR89" s="2770"/>
      <c r="AS89" s="2770"/>
      <c r="AT89" s="2770"/>
      <c r="AU89" s="2770"/>
      <c r="AV89" s="2770"/>
    </row>
    <row r="90" ht="24" customHeight="1" spans="1:48">
      <c r="A90" s="2771" t="s">
        <v>7076</v>
      </c>
      <c r="B90" s="2772"/>
      <c r="C90" s="2773"/>
      <c r="D90" s="2773"/>
      <c r="E90" s="2773"/>
      <c r="F90" s="2773"/>
      <c r="G90" s="2773"/>
      <c r="H90" s="2773"/>
      <c r="I90" s="2773"/>
      <c r="J90" s="2773"/>
      <c r="K90" s="2773"/>
      <c r="L90" s="2773"/>
      <c r="M90" s="2773"/>
      <c r="N90" s="2773"/>
      <c r="O90" s="2773"/>
      <c r="P90" s="2773"/>
      <c r="Q90" s="2773"/>
      <c r="R90" s="2773"/>
      <c r="S90" s="2773"/>
      <c r="T90" s="2773"/>
      <c r="U90" s="2773"/>
      <c r="V90" s="2773"/>
      <c r="W90" s="2773"/>
      <c r="X90" s="2773"/>
      <c r="Y90" s="2774"/>
      <c r="Z90" s="2775"/>
      <c r="AA90" s="2775"/>
      <c r="AB90" s="2775"/>
      <c r="AC90" s="2775"/>
      <c r="AD90" s="2776"/>
      <c r="AE90" s="2777"/>
      <c r="AF90" s="2778"/>
      <c r="AG90" s="2779" t="s">
        <v>5686</v>
      </c>
      <c r="AH90" s="2780"/>
      <c r="AI90" s="2781" t="s">
        <v>2513</v>
      </c>
      <c r="AJ90" s="2781"/>
      <c r="AK90" s="2781"/>
      <c r="AL90" s="2781"/>
      <c r="AM90" s="2781"/>
      <c r="AN90" s="2781"/>
      <c r="AO90" s="2781"/>
      <c r="AP90" s="2781" t="s">
        <v>2525</v>
      </c>
      <c r="AQ90" s="2781"/>
      <c r="AR90" s="2781"/>
      <c r="AS90" s="2781"/>
      <c r="AT90" s="2781"/>
      <c r="AU90" s="2781"/>
      <c r="AV90" s="2781"/>
    </row>
    <row r="91" ht="20.25" customHeight="1" spans="1:48">
      <c r="A91" s="2755">
        <v>1</v>
      </c>
      <c r="B91" s="2755"/>
      <c r="C91" s="2695">
        <v>2</v>
      </c>
      <c r="D91" s="2755"/>
      <c r="E91" s="2755"/>
      <c r="F91" s="2755"/>
      <c r="G91" s="2755"/>
      <c r="H91" s="2755"/>
      <c r="I91" s="2755"/>
      <c r="J91" s="2755"/>
      <c r="K91" s="2755"/>
      <c r="L91" s="2755"/>
      <c r="M91" s="2755"/>
      <c r="N91" s="2755"/>
      <c r="O91" s="2755"/>
      <c r="P91" s="2755"/>
      <c r="Q91" s="2755"/>
      <c r="R91" s="2755"/>
      <c r="S91" s="2755"/>
      <c r="T91" s="2755"/>
      <c r="U91" s="2755"/>
      <c r="V91" s="2755"/>
      <c r="W91" s="2755"/>
      <c r="X91" s="2756"/>
      <c r="Y91" s="1390"/>
      <c r="Z91" s="1390"/>
      <c r="AA91" s="1390"/>
      <c r="AB91" s="1390"/>
      <c r="AC91" s="1390"/>
      <c r="AD91" s="1391"/>
      <c r="AE91" s="2755">
        <v>3</v>
      </c>
      <c r="AF91" s="2755"/>
      <c r="AG91" s="2755">
        <v>4</v>
      </c>
      <c r="AH91" s="2755"/>
      <c r="AI91" s="2755">
        <v>5</v>
      </c>
      <c r="AJ91" s="2755"/>
      <c r="AK91" s="2755"/>
      <c r="AL91" s="2755"/>
      <c r="AM91" s="2755"/>
      <c r="AN91" s="2755"/>
      <c r="AO91" s="2755"/>
      <c r="AP91" s="2755">
        <v>6</v>
      </c>
      <c r="AQ91" s="2755"/>
      <c r="AR91" s="2755"/>
      <c r="AS91" s="2755"/>
      <c r="AT91" s="2755"/>
      <c r="AU91" s="2755"/>
      <c r="AV91" s="2755"/>
    </row>
    <row r="92" ht="19.5" customHeight="1" spans="1:48">
      <c r="A92" s="2694"/>
      <c r="B92" s="2695"/>
      <c r="C92" s="2696" t="str">
        <f>Text!B370</f>
        <v>KAPITAL</v>
      </c>
      <c r="D92" s="2697"/>
      <c r="E92" s="2697"/>
      <c r="F92" s="2697"/>
      <c r="G92" s="2697"/>
      <c r="H92" s="2697"/>
      <c r="I92" s="2697"/>
      <c r="J92" s="2697"/>
      <c r="K92" s="2697"/>
      <c r="L92" s="2697"/>
      <c r="M92" s="2697"/>
      <c r="N92" s="2697"/>
      <c r="O92" s="2697"/>
      <c r="P92" s="2697"/>
      <c r="Q92" s="2697"/>
      <c r="R92" s="2697"/>
      <c r="S92" s="2697"/>
      <c r="T92" s="2697"/>
      <c r="U92" s="2697"/>
      <c r="V92" s="2697"/>
      <c r="W92" s="2697"/>
      <c r="X92" s="2697"/>
      <c r="Y92" s="1389"/>
      <c r="Z92" s="1390"/>
      <c r="AA92" s="1390"/>
      <c r="AB92" s="1390"/>
      <c r="AC92" s="1390"/>
      <c r="AD92" s="1391"/>
      <c r="AE92" s="2701"/>
      <c r="AF92" s="2702"/>
      <c r="AG92" s="2703"/>
      <c r="AH92" s="2704"/>
      <c r="AI92" s="1405"/>
      <c r="AJ92" s="1406"/>
      <c r="AK92" s="1407"/>
      <c r="AL92" s="1407"/>
      <c r="AM92" s="1407"/>
      <c r="AN92" s="1407"/>
      <c r="AO92" s="1408"/>
      <c r="AP92" s="1405"/>
      <c r="AQ92" s="1406"/>
      <c r="AR92" s="1407"/>
      <c r="AS92" s="1407"/>
      <c r="AT92" s="1407"/>
      <c r="AU92" s="1407"/>
      <c r="AV92" s="1408"/>
    </row>
    <row r="93" ht="22.5" customHeight="1" spans="1:48">
      <c r="A93" s="2694" t="s">
        <v>3953</v>
      </c>
      <c r="B93" s="2695"/>
      <c r="C93" s="2711" t="str">
        <f>Text!B371</f>
        <v>Vlasnički kapital (102-103+104+105+106)</v>
      </c>
      <c r="D93" s="2712"/>
      <c r="E93" s="2712"/>
      <c r="F93" s="2712"/>
      <c r="G93" s="2712"/>
      <c r="H93" s="2712"/>
      <c r="I93" s="2712"/>
      <c r="J93" s="2712"/>
      <c r="K93" s="2712"/>
      <c r="L93" s="2712"/>
      <c r="M93" s="2712"/>
      <c r="N93" s="2712"/>
      <c r="O93" s="2712"/>
      <c r="P93" s="2712"/>
      <c r="Q93" s="2712"/>
      <c r="R93" s="2712"/>
      <c r="S93" s="2712"/>
      <c r="T93" s="2712"/>
      <c r="U93" s="2712"/>
      <c r="V93" s="2712"/>
      <c r="W93" s="2712"/>
      <c r="X93" s="2712"/>
      <c r="Y93" s="1389"/>
      <c r="Z93" s="1390"/>
      <c r="AA93" s="1390"/>
      <c r="AB93" s="1390"/>
      <c r="AC93" s="1390"/>
      <c r="AD93" s="1391"/>
      <c r="AE93" s="2701"/>
      <c r="AF93" s="2702"/>
      <c r="AG93" s="2694" t="s">
        <v>490</v>
      </c>
      <c r="AH93" s="2713"/>
      <c r="AI93" s="1405">
        <f>AI94-AI95+AI96+AI97+AI98</f>
        <v>350000</v>
      </c>
      <c r="AJ93" s="1406"/>
      <c r="AK93" s="1407"/>
      <c r="AL93" s="1407"/>
      <c r="AM93" s="1407"/>
      <c r="AN93" s="1407"/>
      <c r="AO93" s="1408"/>
      <c r="AP93" s="1405">
        <f>AP94-AP95+AP96+AP97+AP98</f>
        <v>350000</v>
      </c>
      <c r="AQ93" s="1406"/>
      <c r="AR93" s="1407"/>
      <c r="AS93" s="1407"/>
      <c r="AT93" s="1407"/>
      <c r="AU93" s="1407"/>
      <c r="AV93" s="1408"/>
    </row>
    <row r="94" ht="22.5" customHeight="1" spans="1:48">
      <c r="A94" s="2714" t="s">
        <v>3875</v>
      </c>
      <c r="B94" s="2715"/>
      <c r="C94" s="2716" t="str">
        <f>Text!B372</f>
        <v>Dionički kapital</v>
      </c>
      <c r="D94" s="2717"/>
      <c r="E94" s="2717"/>
      <c r="F94" s="2717"/>
      <c r="G94" s="2717"/>
      <c r="H94" s="2717"/>
      <c r="I94" s="2717"/>
      <c r="J94" s="2717"/>
      <c r="K94" s="2717"/>
      <c r="L94" s="2717"/>
      <c r="M94" s="2717"/>
      <c r="N94" s="2717"/>
      <c r="O94" s="2717"/>
      <c r="P94" s="2717"/>
      <c r="Q94" s="2717"/>
      <c r="R94" s="2717"/>
      <c r="S94" s="2717"/>
      <c r="T94" s="2717"/>
      <c r="U94" s="2717"/>
      <c r="V94" s="2717"/>
      <c r="W94" s="2717"/>
      <c r="X94" s="2717"/>
      <c r="Y94" s="2718" t="s">
        <v>5435</v>
      </c>
      <c r="Z94" s="2719"/>
      <c r="AA94" s="2719"/>
      <c r="AB94" s="2719"/>
      <c r="AC94" s="2719"/>
      <c r="AD94" s="2720"/>
      <c r="AE94" s="2721"/>
      <c r="AF94" s="2722"/>
      <c r="AG94" s="2714" t="s">
        <v>571</v>
      </c>
      <c r="AH94" s="2723"/>
      <c r="AI94" s="2724">
        <f>ROUND(UnosPod!F732,0)</f>
        <v>0</v>
      </c>
      <c r="AJ94" s="2725"/>
      <c r="AK94" s="2726"/>
      <c r="AL94" s="2726"/>
      <c r="AM94" s="2726"/>
      <c r="AN94" s="2726"/>
      <c r="AO94" s="2727"/>
      <c r="AP94" s="2724">
        <f>Prethodna_2024!B223</f>
        <v>0</v>
      </c>
      <c r="AQ94" s="2725"/>
      <c r="AR94" s="2726"/>
      <c r="AS94" s="2726"/>
      <c r="AT94" s="2726"/>
      <c r="AU94" s="2726"/>
      <c r="AV94" s="2727"/>
    </row>
    <row r="95" ht="22.5" customHeight="1" spans="1:48">
      <c r="A95" s="2728" t="s">
        <v>3877</v>
      </c>
      <c r="B95" s="2729"/>
      <c r="C95" s="2730" t="str">
        <f>Text!B373</f>
        <v>Otkupljene vlastite dionice</v>
      </c>
      <c r="D95" s="2731"/>
      <c r="E95" s="2731"/>
      <c r="F95" s="2731"/>
      <c r="G95" s="2731"/>
      <c r="H95" s="2731"/>
      <c r="I95" s="2731"/>
      <c r="J95" s="2731"/>
      <c r="K95" s="2731"/>
      <c r="L95" s="2731"/>
      <c r="M95" s="2731"/>
      <c r="N95" s="2731"/>
      <c r="O95" s="2731"/>
      <c r="P95" s="2731"/>
      <c r="Q95" s="2731"/>
      <c r="R95" s="2731"/>
      <c r="S95" s="2731"/>
      <c r="T95" s="2731"/>
      <c r="U95" s="2731"/>
      <c r="V95" s="2731"/>
      <c r="W95" s="2731"/>
      <c r="X95" s="2731"/>
      <c r="Y95" s="2732" t="s">
        <v>5468</v>
      </c>
      <c r="Z95" s="2733"/>
      <c r="AA95" s="2733"/>
      <c r="AB95" s="2733"/>
      <c r="AC95" s="2733"/>
      <c r="AD95" s="2734"/>
      <c r="AE95" s="2735"/>
      <c r="AF95" s="2736"/>
      <c r="AG95" s="2728" t="s">
        <v>1002</v>
      </c>
      <c r="AH95" s="2737"/>
      <c r="AI95" s="2782">
        <f>ROUND(UnosPod!F754,0)</f>
        <v>0</v>
      </c>
      <c r="AJ95" s="2783"/>
      <c r="AK95" s="2784"/>
      <c r="AL95" s="2784"/>
      <c r="AM95" s="2784"/>
      <c r="AN95" s="2784"/>
      <c r="AO95" s="2785"/>
      <c r="AP95" s="2782">
        <f>Prethodna_2024!B224</f>
        <v>0</v>
      </c>
      <c r="AQ95" s="2783"/>
      <c r="AR95" s="2784"/>
      <c r="AS95" s="2784"/>
      <c r="AT95" s="2784"/>
      <c r="AU95" s="2784"/>
      <c r="AV95" s="2785"/>
    </row>
    <row r="96" ht="22.5" customHeight="1" spans="1:48">
      <c r="A96" s="2728" t="s">
        <v>3880</v>
      </c>
      <c r="B96" s="2729"/>
      <c r="C96" s="2730" t="str">
        <f>Text!B374</f>
        <v>Udjeli članova društva sa ograničenom odgovornošću</v>
      </c>
      <c r="D96" s="2731"/>
      <c r="E96" s="2731"/>
      <c r="F96" s="2731"/>
      <c r="G96" s="2731"/>
      <c r="H96" s="2731"/>
      <c r="I96" s="2731"/>
      <c r="J96" s="2731"/>
      <c r="K96" s="2731"/>
      <c r="L96" s="2731"/>
      <c r="M96" s="2731"/>
      <c r="N96" s="2731"/>
      <c r="O96" s="2731"/>
      <c r="P96" s="2731"/>
      <c r="Q96" s="2731"/>
      <c r="R96" s="2731"/>
      <c r="S96" s="2731"/>
      <c r="T96" s="2731"/>
      <c r="U96" s="2731"/>
      <c r="V96" s="2731"/>
      <c r="W96" s="2731"/>
      <c r="X96" s="2731"/>
      <c r="Y96" s="2732" t="s">
        <v>5437</v>
      </c>
      <c r="Z96" s="2733"/>
      <c r="AA96" s="2733"/>
      <c r="AB96" s="2733"/>
      <c r="AC96" s="2733"/>
      <c r="AD96" s="2734"/>
      <c r="AE96" s="2735"/>
      <c r="AF96" s="2736"/>
      <c r="AG96" s="2728" t="s">
        <v>4475</v>
      </c>
      <c r="AH96" s="2737"/>
      <c r="AI96" s="2738">
        <f>ROUND(UnosPod!F733,0)</f>
        <v>350000</v>
      </c>
      <c r="AJ96" s="2739"/>
      <c r="AK96" s="2740"/>
      <c r="AL96" s="2740"/>
      <c r="AM96" s="2740"/>
      <c r="AN96" s="2740"/>
      <c r="AO96" s="2741"/>
      <c r="AP96" s="2738">
        <f>Prethodna_2024!B225</f>
        <v>350000</v>
      </c>
      <c r="AQ96" s="2739"/>
      <c r="AR96" s="2740"/>
      <c r="AS96" s="2740"/>
      <c r="AT96" s="2740"/>
      <c r="AU96" s="2740"/>
      <c r="AV96" s="2741"/>
    </row>
    <row r="97" ht="22.5" customHeight="1" spans="1:48">
      <c r="A97" s="2728" t="s">
        <v>3883</v>
      </c>
      <c r="B97" s="2729"/>
      <c r="C97" s="2730" t="str">
        <f>Text!B375</f>
        <v>Državni kapital</v>
      </c>
      <c r="D97" s="2731"/>
      <c r="E97" s="2731"/>
      <c r="F97" s="2731"/>
      <c r="G97" s="2731"/>
      <c r="H97" s="2731"/>
      <c r="I97" s="2731"/>
      <c r="J97" s="2731"/>
      <c r="K97" s="2731"/>
      <c r="L97" s="2731"/>
      <c r="M97" s="2731"/>
      <c r="N97" s="2731"/>
      <c r="O97" s="2731"/>
      <c r="P97" s="2731"/>
      <c r="Q97" s="2731"/>
      <c r="R97" s="2731"/>
      <c r="S97" s="2731"/>
      <c r="T97" s="2731"/>
      <c r="U97" s="2731"/>
      <c r="V97" s="2731"/>
      <c r="W97" s="2731"/>
      <c r="X97" s="2731"/>
      <c r="Y97" s="2732" t="s">
        <v>5439</v>
      </c>
      <c r="Z97" s="2733"/>
      <c r="AA97" s="2733"/>
      <c r="AB97" s="2733"/>
      <c r="AC97" s="2733"/>
      <c r="AD97" s="2734"/>
      <c r="AE97" s="2735"/>
      <c r="AF97" s="2736"/>
      <c r="AG97" s="2728" t="s">
        <v>1006</v>
      </c>
      <c r="AH97" s="2737"/>
      <c r="AI97" s="2738">
        <f>ROUND(UnosPod!F734,0)</f>
        <v>0</v>
      </c>
      <c r="AJ97" s="2739"/>
      <c r="AK97" s="2740"/>
      <c r="AL97" s="2740"/>
      <c r="AM97" s="2740"/>
      <c r="AN97" s="2740"/>
      <c r="AO97" s="2741"/>
      <c r="AP97" s="2738">
        <f>Prethodna_2024!B226</f>
        <v>0</v>
      </c>
      <c r="AQ97" s="2739"/>
      <c r="AR97" s="2740"/>
      <c r="AS97" s="2740"/>
      <c r="AT97" s="2740"/>
      <c r="AU97" s="2740"/>
      <c r="AV97" s="2741"/>
    </row>
    <row r="98" ht="22.5" customHeight="1" spans="1:48">
      <c r="A98" s="2742" t="s">
        <v>3886</v>
      </c>
      <c r="B98" s="2743"/>
      <c r="C98" s="2744" t="str">
        <f>Text!B376</f>
        <v>Ostali oblici vlasničkog kapitala</v>
      </c>
      <c r="D98" s="2745"/>
      <c r="E98" s="2745"/>
      <c r="F98" s="2745"/>
      <c r="G98" s="2745"/>
      <c r="H98" s="2745"/>
      <c r="I98" s="2745"/>
      <c r="J98" s="2745"/>
      <c r="K98" s="2745"/>
      <c r="L98" s="2745"/>
      <c r="M98" s="2745"/>
      <c r="N98" s="2745"/>
      <c r="O98" s="2745"/>
      <c r="P98" s="2745"/>
      <c r="Q98" s="2745"/>
      <c r="R98" s="2745"/>
      <c r="S98" s="2745"/>
      <c r="T98" s="2745"/>
      <c r="U98" s="2745"/>
      <c r="V98" s="2745"/>
      <c r="W98" s="2745"/>
      <c r="X98" s="2745"/>
      <c r="Y98" s="2746" t="s">
        <v>5441</v>
      </c>
      <c r="Z98" s="2692"/>
      <c r="AA98" s="2692"/>
      <c r="AB98" s="2692"/>
      <c r="AC98" s="2692"/>
      <c r="AD98" s="2693"/>
      <c r="AE98" s="2747"/>
      <c r="AF98" s="2748"/>
      <c r="AG98" s="2742" t="s">
        <v>1011</v>
      </c>
      <c r="AH98" s="2749"/>
      <c r="AI98" s="2750">
        <f>ROUND(UnosPod!F735,0)</f>
        <v>0</v>
      </c>
      <c r="AJ98" s="2751"/>
      <c r="AK98" s="2752"/>
      <c r="AL98" s="2752"/>
      <c r="AM98" s="2752"/>
      <c r="AN98" s="2752"/>
      <c r="AO98" s="2753"/>
      <c r="AP98" s="2738">
        <f>Prethodna_2024!B227</f>
        <v>0</v>
      </c>
      <c r="AQ98" s="2739"/>
      <c r="AR98" s="2740"/>
      <c r="AS98" s="2740"/>
      <c r="AT98" s="2740"/>
      <c r="AU98" s="2740"/>
      <c r="AV98" s="2741"/>
    </row>
    <row r="99" ht="22.5" customHeight="1" spans="1:48">
      <c r="A99" s="2694" t="s">
        <v>3891</v>
      </c>
      <c r="B99" s="2695"/>
      <c r="C99" s="2711" t="str">
        <f>Text!B377</f>
        <v>Dionička premija</v>
      </c>
      <c r="D99" s="2712"/>
      <c r="E99" s="2712"/>
      <c r="F99" s="2712"/>
      <c r="G99" s="2712"/>
      <c r="H99" s="2712"/>
      <c r="I99" s="2712"/>
      <c r="J99" s="2712"/>
      <c r="K99" s="2712"/>
      <c r="L99" s="2712"/>
      <c r="M99" s="2712"/>
      <c r="N99" s="2712"/>
      <c r="O99" s="2712"/>
      <c r="P99" s="2712"/>
      <c r="Q99" s="2712"/>
      <c r="R99" s="2712"/>
      <c r="S99" s="2712"/>
      <c r="T99" s="2712"/>
      <c r="U99" s="2712"/>
      <c r="V99" s="2712"/>
      <c r="W99" s="2712"/>
      <c r="X99" s="2712"/>
      <c r="Y99" s="1389" t="s">
        <v>5447</v>
      </c>
      <c r="Z99" s="1390"/>
      <c r="AA99" s="1390"/>
      <c r="AB99" s="1390"/>
      <c r="AC99" s="1390"/>
      <c r="AD99" s="1391"/>
      <c r="AE99" s="2701"/>
      <c r="AF99" s="2702"/>
      <c r="AG99" s="2694" t="s">
        <v>838</v>
      </c>
      <c r="AH99" s="2713"/>
      <c r="AI99" s="1405">
        <f>ROUND(UnosPod!F739,0)</f>
        <v>0</v>
      </c>
      <c r="AJ99" s="1406"/>
      <c r="AK99" s="1407"/>
      <c r="AL99" s="1407"/>
      <c r="AM99" s="1407"/>
      <c r="AN99" s="1407"/>
      <c r="AO99" s="1408"/>
      <c r="AP99" s="1405">
        <f>Prethodna_2024!B228</f>
        <v>0</v>
      </c>
      <c r="AQ99" s="1406"/>
      <c r="AR99" s="1407"/>
      <c r="AS99" s="1407"/>
      <c r="AT99" s="1407"/>
      <c r="AU99" s="1407"/>
      <c r="AV99" s="1408"/>
    </row>
    <row r="100" ht="22.5" customHeight="1" spans="1:48">
      <c r="A100" s="2694" t="s">
        <v>3902</v>
      </c>
      <c r="B100" s="2695"/>
      <c r="C100" s="2711" t="str">
        <f>Text!B378</f>
        <v>Rezerve (109+110)</v>
      </c>
      <c r="D100" s="2712"/>
      <c r="E100" s="2712"/>
      <c r="F100" s="2712"/>
      <c r="G100" s="2712"/>
      <c r="H100" s="2712"/>
      <c r="I100" s="2712"/>
      <c r="J100" s="2712"/>
      <c r="K100" s="2712"/>
      <c r="L100" s="2712"/>
      <c r="M100" s="2712"/>
      <c r="N100" s="2712"/>
      <c r="O100" s="2712"/>
      <c r="P100" s="2712"/>
      <c r="Q100" s="2712"/>
      <c r="R100" s="2712"/>
      <c r="S100" s="2712"/>
      <c r="T100" s="2712"/>
      <c r="U100" s="2712"/>
      <c r="V100" s="2712"/>
      <c r="W100" s="2712"/>
      <c r="X100" s="2712"/>
      <c r="Y100" s="1389"/>
      <c r="Z100" s="1390"/>
      <c r="AA100" s="1390"/>
      <c r="AB100" s="1390"/>
      <c r="AC100" s="1390"/>
      <c r="AD100" s="1391"/>
      <c r="AE100" s="2701"/>
      <c r="AF100" s="2702"/>
      <c r="AG100" s="2694" t="s">
        <v>903</v>
      </c>
      <c r="AH100" s="2713"/>
      <c r="AI100" s="1405">
        <f>AI101+AI102</f>
        <v>18462</v>
      </c>
      <c r="AJ100" s="1406"/>
      <c r="AK100" s="1407"/>
      <c r="AL100" s="1407"/>
      <c r="AM100" s="1407"/>
      <c r="AN100" s="1407"/>
      <c r="AO100" s="1408"/>
      <c r="AP100" s="1405">
        <f>AP101+AP102</f>
        <v>18461</v>
      </c>
      <c r="AQ100" s="1406"/>
      <c r="AR100" s="1407"/>
      <c r="AS100" s="1407"/>
      <c r="AT100" s="1407"/>
      <c r="AU100" s="1407"/>
      <c r="AV100" s="1408"/>
    </row>
    <row r="101" ht="22.5" customHeight="1" spans="1:48">
      <c r="A101" s="2714" t="s">
        <v>3998</v>
      </c>
      <c r="B101" s="2715"/>
      <c r="C101" s="2716" t="str">
        <f>Text!B379</f>
        <v>Statutarne rezerve</v>
      </c>
      <c r="D101" s="2717"/>
      <c r="E101" s="2717"/>
      <c r="F101" s="2717"/>
      <c r="G101" s="2717"/>
      <c r="H101" s="2717"/>
      <c r="I101" s="2717"/>
      <c r="J101" s="2717"/>
      <c r="K101" s="2717"/>
      <c r="L101" s="2717"/>
      <c r="M101" s="2717"/>
      <c r="N101" s="2717"/>
      <c r="O101" s="2717"/>
      <c r="P101" s="2717"/>
      <c r="Q101" s="2717"/>
      <c r="R101" s="2717"/>
      <c r="S101" s="2717"/>
      <c r="T101" s="2717"/>
      <c r="U101" s="2717"/>
      <c r="V101" s="2717"/>
      <c r="W101" s="2717"/>
      <c r="X101" s="2717"/>
      <c r="Y101" s="2718" t="s">
        <v>5448</v>
      </c>
      <c r="Z101" s="2719"/>
      <c r="AA101" s="2719"/>
      <c r="AB101" s="2719"/>
      <c r="AC101" s="2719"/>
      <c r="AD101" s="2720"/>
      <c r="AE101" s="2721"/>
      <c r="AF101" s="2722"/>
      <c r="AG101" s="2714" t="s">
        <v>914</v>
      </c>
      <c r="AH101" s="2723"/>
      <c r="AI101" s="2724">
        <f>ROUND(UnosPod!F740,0)</f>
        <v>0</v>
      </c>
      <c r="AJ101" s="2725"/>
      <c r="AK101" s="2726"/>
      <c r="AL101" s="2726"/>
      <c r="AM101" s="2726"/>
      <c r="AN101" s="2726"/>
      <c r="AO101" s="2727"/>
      <c r="AP101" s="2724">
        <f>Prethodna_2024!B230</f>
        <v>0</v>
      </c>
      <c r="AQ101" s="2725"/>
      <c r="AR101" s="2726"/>
      <c r="AS101" s="2726"/>
      <c r="AT101" s="2726"/>
      <c r="AU101" s="2726"/>
      <c r="AV101" s="2727"/>
    </row>
    <row r="102" ht="22.5" customHeight="1" spans="1:48">
      <c r="A102" s="2742" t="s">
        <v>4000</v>
      </c>
      <c r="B102" s="2743"/>
      <c r="C102" s="2744" t="str">
        <f>Text!B380</f>
        <v>Ostale rezerve</v>
      </c>
      <c r="D102" s="2745"/>
      <c r="E102" s="2745"/>
      <c r="F102" s="2745"/>
      <c r="G102" s="2745"/>
      <c r="H102" s="2745"/>
      <c r="I102" s="2745"/>
      <c r="J102" s="2745"/>
      <c r="K102" s="2745"/>
      <c r="L102" s="2745"/>
      <c r="M102" s="2745"/>
      <c r="N102" s="2745"/>
      <c r="O102" s="2745"/>
      <c r="P102" s="2745"/>
      <c r="Q102" s="2745"/>
      <c r="R102" s="2745"/>
      <c r="S102" s="2745"/>
      <c r="T102" s="2745"/>
      <c r="U102" s="2745"/>
      <c r="V102" s="2745"/>
      <c r="W102" s="2745"/>
      <c r="X102" s="2745"/>
      <c r="Y102" s="2746" t="s">
        <v>5450</v>
      </c>
      <c r="Z102" s="2692"/>
      <c r="AA102" s="2692"/>
      <c r="AB102" s="2692"/>
      <c r="AC102" s="2692"/>
      <c r="AD102" s="2693"/>
      <c r="AE102" s="2747"/>
      <c r="AF102" s="2748"/>
      <c r="AG102" s="2742" t="s">
        <v>4476</v>
      </c>
      <c r="AH102" s="2749"/>
      <c r="AI102" s="2750">
        <f>ROUND(UnosPod!F741,0)</f>
        <v>18462</v>
      </c>
      <c r="AJ102" s="2751"/>
      <c r="AK102" s="2752"/>
      <c r="AL102" s="2752"/>
      <c r="AM102" s="2752"/>
      <c r="AN102" s="2752"/>
      <c r="AO102" s="2753"/>
      <c r="AP102" s="2750">
        <f>Prethodna_2024!B231</f>
        <v>18461</v>
      </c>
      <c r="AQ102" s="2751"/>
      <c r="AR102" s="2752"/>
      <c r="AS102" s="2752"/>
      <c r="AT102" s="2752"/>
      <c r="AU102" s="2752"/>
      <c r="AV102" s="2753"/>
    </row>
    <row r="103" ht="22.5" customHeight="1" spans="1:48">
      <c r="A103" s="2694" t="s">
        <v>3905</v>
      </c>
      <c r="B103" s="2695"/>
      <c r="C103" s="2711" t="str">
        <f>Text!B381</f>
        <v>Revalorizacione rezerve (112 do 114)</v>
      </c>
      <c r="D103" s="2712"/>
      <c r="E103" s="2712"/>
      <c r="F103" s="2712"/>
      <c r="G103" s="2712"/>
      <c r="H103" s="2712"/>
      <c r="I103" s="2712"/>
      <c r="J103" s="2712"/>
      <c r="K103" s="2712"/>
      <c r="L103" s="2712"/>
      <c r="M103" s="2712"/>
      <c r="N103" s="2712"/>
      <c r="O103" s="2712"/>
      <c r="P103" s="2712"/>
      <c r="Q103" s="2712"/>
      <c r="R103" s="2712"/>
      <c r="S103" s="2712"/>
      <c r="T103" s="2712"/>
      <c r="U103" s="2712"/>
      <c r="V103" s="2712"/>
      <c r="W103" s="2712"/>
      <c r="X103" s="2712"/>
      <c r="Y103" s="1389"/>
      <c r="Z103" s="1390"/>
      <c r="AA103" s="1390"/>
      <c r="AB103" s="1390"/>
      <c r="AC103" s="1390"/>
      <c r="AD103" s="1391"/>
      <c r="AE103" s="2701"/>
      <c r="AF103" s="2702"/>
      <c r="AG103" s="2694" t="s">
        <v>4477</v>
      </c>
      <c r="AH103" s="2713"/>
      <c r="AI103" s="1405">
        <f>AI104+AI105+AI106</f>
        <v>0</v>
      </c>
      <c r="AJ103" s="1406"/>
      <c r="AK103" s="1407"/>
      <c r="AL103" s="1407"/>
      <c r="AM103" s="1407"/>
      <c r="AN103" s="1407"/>
      <c r="AO103" s="1408"/>
      <c r="AP103" s="1405">
        <f>AP104+AP105+AP106</f>
        <v>0</v>
      </c>
      <c r="AQ103" s="1406"/>
      <c r="AR103" s="1407"/>
      <c r="AS103" s="1407"/>
      <c r="AT103" s="1407"/>
      <c r="AU103" s="1407"/>
      <c r="AV103" s="1408"/>
    </row>
    <row r="104" ht="22.5" customHeight="1" spans="1:48">
      <c r="A104" s="2714" t="s">
        <v>3907</v>
      </c>
      <c r="B104" s="2715"/>
      <c r="C104" s="2716" t="str">
        <f>Text!B382</f>
        <v>Revalorizacione rezerve za nekretnine, postrojenja i opremu</v>
      </c>
      <c r="D104" s="2717"/>
      <c r="E104" s="2717"/>
      <c r="F104" s="2717"/>
      <c r="G104" s="2717"/>
      <c r="H104" s="2717"/>
      <c r="I104" s="2717"/>
      <c r="J104" s="2717"/>
      <c r="K104" s="2717"/>
      <c r="L104" s="2717"/>
      <c r="M104" s="2717"/>
      <c r="N104" s="2717"/>
      <c r="O104" s="2717"/>
      <c r="P104" s="2717"/>
      <c r="Q104" s="2717"/>
      <c r="R104" s="2717"/>
      <c r="S104" s="2717"/>
      <c r="T104" s="2717"/>
      <c r="U104" s="2717"/>
      <c r="V104" s="2717"/>
      <c r="W104" s="2717"/>
      <c r="X104" s="2717"/>
      <c r="Y104" s="2718" t="s">
        <v>5101</v>
      </c>
      <c r="Z104" s="2719"/>
      <c r="AA104" s="2719"/>
      <c r="AB104" s="2719"/>
      <c r="AC104" s="2719"/>
      <c r="AD104" s="2720"/>
      <c r="AE104" s="2721"/>
      <c r="AF104" s="2722"/>
      <c r="AG104" s="2714" t="s">
        <v>4478</v>
      </c>
      <c r="AH104" s="2723"/>
      <c r="AI104" s="2724">
        <f>ROUND(UnosPod!F743,0)</f>
        <v>0</v>
      </c>
      <c r="AJ104" s="2725"/>
      <c r="AK104" s="2726"/>
      <c r="AL104" s="2726"/>
      <c r="AM104" s="2726"/>
      <c r="AN104" s="2726"/>
      <c r="AO104" s="2727"/>
      <c r="AP104" s="2738">
        <f>Prethodna_2024!B233</f>
        <v>0</v>
      </c>
      <c r="AQ104" s="2739"/>
      <c r="AR104" s="2740"/>
      <c r="AS104" s="2740"/>
      <c r="AT104" s="2740"/>
      <c r="AU104" s="2740"/>
      <c r="AV104" s="2741"/>
    </row>
    <row r="105" ht="22.5" customHeight="1" spans="1:48">
      <c r="A105" s="2728" t="s">
        <v>3909</v>
      </c>
      <c r="B105" s="2729"/>
      <c r="C105" s="2730" t="str">
        <f>Text!B383</f>
        <v>Revalorizacione rezerve za finansijsku imovinu mjerenu po fer vrijednosti kroz ostali ukupni rezultat</v>
      </c>
      <c r="D105" s="2731"/>
      <c r="E105" s="2731"/>
      <c r="F105" s="2731"/>
      <c r="G105" s="2731"/>
      <c r="H105" s="2731"/>
      <c r="I105" s="2731"/>
      <c r="J105" s="2731"/>
      <c r="K105" s="2731"/>
      <c r="L105" s="2731"/>
      <c r="M105" s="2731"/>
      <c r="N105" s="2731"/>
      <c r="O105" s="2731"/>
      <c r="P105" s="2731"/>
      <c r="Q105" s="2731"/>
      <c r="R105" s="2731"/>
      <c r="S105" s="2731"/>
      <c r="T105" s="2731"/>
      <c r="U105" s="2731"/>
      <c r="V105" s="2731"/>
      <c r="W105" s="2731"/>
      <c r="X105" s="2731"/>
      <c r="Y105" s="2732" t="s">
        <v>5455</v>
      </c>
      <c r="Z105" s="2733"/>
      <c r="AA105" s="2733"/>
      <c r="AB105" s="2733"/>
      <c r="AC105" s="2733"/>
      <c r="AD105" s="2734"/>
      <c r="AE105" s="2735"/>
      <c r="AF105" s="2736"/>
      <c r="AG105" s="2728" t="s">
        <v>4479</v>
      </c>
      <c r="AH105" s="2737"/>
      <c r="AI105" s="2738">
        <f>ROUND(UnosPod!F745,0)</f>
        <v>0</v>
      </c>
      <c r="AJ105" s="2739"/>
      <c r="AK105" s="2740"/>
      <c r="AL105" s="2740"/>
      <c r="AM105" s="2740"/>
      <c r="AN105" s="2740"/>
      <c r="AO105" s="2741"/>
      <c r="AP105" s="2738">
        <f>Prethodna_2024!B234</f>
        <v>0</v>
      </c>
      <c r="AQ105" s="2739"/>
      <c r="AR105" s="2740"/>
      <c r="AS105" s="2740"/>
      <c r="AT105" s="2740"/>
      <c r="AU105" s="2740"/>
      <c r="AV105" s="2741"/>
    </row>
    <row r="106" ht="22.5" customHeight="1" spans="1:48">
      <c r="A106" s="2742" t="s">
        <v>3911</v>
      </c>
      <c r="B106" s="2743"/>
      <c r="C106" s="2744" t="str">
        <f>Text!B384</f>
        <v>Ostale revalorizacione rezerve</v>
      </c>
      <c r="D106" s="2745"/>
      <c r="E106" s="2745"/>
      <c r="F106" s="2745"/>
      <c r="G106" s="2745"/>
      <c r="H106" s="2745"/>
      <c r="I106" s="2745"/>
      <c r="J106" s="2745"/>
      <c r="K106" s="2745"/>
      <c r="L106" s="2745"/>
      <c r="M106" s="2745"/>
      <c r="N106" s="2745"/>
      <c r="O106" s="2745"/>
      <c r="P106" s="2745"/>
      <c r="Q106" s="2745"/>
      <c r="R106" s="2745"/>
      <c r="S106" s="2745"/>
      <c r="T106" s="2745"/>
      <c r="U106" s="2745"/>
      <c r="V106" s="2745"/>
      <c r="W106" s="2745"/>
      <c r="X106" s="2745"/>
      <c r="Y106" s="2746" t="s">
        <v>7077</v>
      </c>
      <c r="Z106" s="2692"/>
      <c r="AA106" s="2692"/>
      <c r="AB106" s="2692"/>
      <c r="AC106" s="2692"/>
      <c r="AD106" s="2693"/>
      <c r="AE106" s="2747"/>
      <c r="AF106" s="2748"/>
      <c r="AG106" s="2742" t="s">
        <v>4480</v>
      </c>
      <c r="AH106" s="2749"/>
      <c r="AI106" s="2750">
        <f>ROUND(UnosPod!F744+UnosPod!F746,0)</f>
        <v>0</v>
      </c>
      <c r="AJ106" s="2751"/>
      <c r="AK106" s="2752"/>
      <c r="AL106" s="2752"/>
      <c r="AM106" s="2752"/>
      <c r="AN106" s="2752"/>
      <c r="AO106" s="2753"/>
      <c r="AP106" s="2738">
        <f>Prethodna_2024!B235</f>
        <v>0</v>
      </c>
      <c r="AQ106" s="2739"/>
      <c r="AR106" s="2740"/>
      <c r="AS106" s="2740"/>
      <c r="AT106" s="2740"/>
      <c r="AU106" s="2740"/>
      <c r="AV106" s="2741"/>
    </row>
    <row r="107" ht="22.5" customHeight="1" spans="1:48">
      <c r="A107" s="2694" t="s">
        <v>3915</v>
      </c>
      <c r="B107" s="2695"/>
      <c r="C107" s="2711" t="str">
        <f>Text!B385</f>
        <v>Dobit (116+117)</v>
      </c>
      <c r="D107" s="2712"/>
      <c r="E107" s="2712"/>
      <c r="F107" s="2712"/>
      <c r="G107" s="2712"/>
      <c r="H107" s="2712"/>
      <c r="I107" s="2712"/>
      <c r="J107" s="2712"/>
      <c r="K107" s="2712"/>
      <c r="L107" s="2712"/>
      <c r="M107" s="2712"/>
      <c r="N107" s="2712"/>
      <c r="O107" s="2712"/>
      <c r="P107" s="2712"/>
      <c r="Q107" s="2712"/>
      <c r="R107" s="2712"/>
      <c r="S107" s="2712"/>
      <c r="T107" s="2712"/>
      <c r="U107" s="2712"/>
      <c r="V107" s="2712"/>
      <c r="W107" s="2712"/>
      <c r="X107" s="2712"/>
      <c r="Y107" s="1389"/>
      <c r="Z107" s="1390"/>
      <c r="AA107" s="1390"/>
      <c r="AB107" s="1390"/>
      <c r="AC107" s="1390"/>
      <c r="AD107" s="1391"/>
      <c r="AE107" s="2701"/>
      <c r="AF107" s="2702"/>
      <c r="AG107" s="2694" t="s">
        <v>4481</v>
      </c>
      <c r="AH107" s="2713"/>
      <c r="AI107" s="1405">
        <f>AI108+AI109</f>
        <v>0</v>
      </c>
      <c r="AJ107" s="1406"/>
      <c r="AK107" s="1407"/>
      <c r="AL107" s="1407"/>
      <c r="AM107" s="1407"/>
      <c r="AN107" s="1407"/>
      <c r="AO107" s="1408"/>
      <c r="AP107" s="1405">
        <f>AP108+AP109</f>
        <v>91307</v>
      </c>
      <c r="AQ107" s="1406"/>
      <c r="AR107" s="1407"/>
      <c r="AS107" s="1407"/>
      <c r="AT107" s="1407"/>
      <c r="AU107" s="1407"/>
      <c r="AV107" s="1408"/>
    </row>
    <row r="108" ht="22.5" customHeight="1" spans="1:48">
      <c r="A108" s="2714" t="s">
        <v>3967</v>
      </c>
      <c r="B108" s="2715"/>
      <c r="C108" s="2716" t="str">
        <f>Text!B386</f>
        <v>Akumulirana, neraspoređena dobit iz prethodnih perioda</v>
      </c>
      <c r="D108" s="2717"/>
      <c r="E108" s="2717"/>
      <c r="F108" s="2717"/>
      <c r="G108" s="2717"/>
      <c r="H108" s="2717"/>
      <c r="I108" s="2717"/>
      <c r="J108" s="2717"/>
      <c r="K108" s="2717"/>
      <c r="L108" s="2717"/>
      <c r="M108" s="2717"/>
      <c r="N108" s="2717"/>
      <c r="O108" s="2717"/>
      <c r="P108" s="2717"/>
      <c r="Q108" s="2717"/>
      <c r="R108" s="2717"/>
      <c r="S108" s="2717"/>
      <c r="T108" s="2717"/>
      <c r="U108" s="2717"/>
      <c r="V108" s="2717"/>
      <c r="W108" s="2717"/>
      <c r="X108" s="2717"/>
      <c r="Y108" s="2718" t="s">
        <v>5459</v>
      </c>
      <c r="Z108" s="2719"/>
      <c r="AA108" s="2719"/>
      <c r="AB108" s="2719"/>
      <c r="AC108" s="2719"/>
      <c r="AD108" s="2720"/>
      <c r="AE108" s="2721"/>
      <c r="AF108" s="2722"/>
      <c r="AG108" s="2714" t="s">
        <v>4482</v>
      </c>
      <c r="AH108" s="2723"/>
      <c r="AI108" s="2724">
        <f>ROUND(UnosPod!F748,0)</f>
        <v>0</v>
      </c>
      <c r="AJ108" s="2725"/>
      <c r="AK108" s="2726"/>
      <c r="AL108" s="2726"/>
      <c r="AM108" s="2726"/>
      <c r="AN108" s="2726"/>
      <c r="AO108" s="2727"/>
      <c r="AP108" s="2724">
        <f>Prethodna_2024!B237</f>
        <v>0</v>
      </c>
      <c r="AQ108" s="2725"/>
      <c r="AR108" s="2726"/>
      <c r="AS108" s="2726"/>
      <c r="AT108" s="2726"/>
      <c r="AU108" s="2726"/>
      <c r="AV108" s="2727"/>
    </row>
    <row r="109" ht="22.5" customHeight="1" spans="1:48">
      <c r="A109" s="2742" t="s">
        <v>3969</v>
      </c>
      <c r="B109" s="2743"/>
      <c r="C109" s="2744" t="str">
        <f>Text!B387</f>
        <v>Dobit tekućeg perioda</v>
      </c>
      <c r="D109" s="2745"/>
      <c r="E109" s="2745"/>
      <c r="F109" s="2745"/>
      <c r="G109" s="2745"/>
      <c r="H109" s="2745"/>
      <c r="I109" s="2745"/>
      <c r="J109" s="2745"/>
      <c r="K109" s="2745"/>
      <c r="L109" s="2745"/>
      <c r="M109" s="2745"/>
      <c r="N109" s="2745"/>
      <c r="O109" s="2745"/>
      <c r="P109" s="2745"/>
      <c r="Q109" s="2745"/>
      <c r="R109" s="2745"/>
      <c r="S109" s="2745"/>
      <c r="T109" s="2745"/>
      <c r="U109" s="2745"/>
      <c r="V109" s="2745"/>
      <c r="W109" s="2745"/>
      <c r="X109" s="2745"/>
      <c r="Y109" s="2746" t="s">
        <v>5461</v>
      </c>
      <c r="Z109" s="2692"/>
      <c r="AA109" s="2692"/>
      <c r="AB109" s="2692"/>
      <c r="AC109" s="2692"/>
      <c r="AD109" s="2693"/>
      <c r="AE109" s="2747"/>
      <c r="AF109" s="2748"/>
      <c r="AG109" s="2742" t="s">
        <v>4483</v>
      </c>
      <c r="AH109" s="2749"/>
      <c r="AI109" s="2750">
        <f>ROUND(UnosPod!F749,0)</f>
        <v>0</v>
      </c>
      <c r="AJ109" s="2751"/>
      <c r="AK109" s="2752"/>
      <c r="AL109" s="2752"/>
      <c r="AM109" s="2752"/>
      <c r="AN109" s="2752"/>
      <c r="AO109" s="2753"/>
      <c r="AP109" s="2750">
        <f>Prethodna_2024!B238</f>
        <v>91307</v>
      </c>
      <c r="AQ109" s="2751"/>
      <c r="AR109" s="2752"/>
      <c r="AS109" s="2752"/>
      <c r="AT109" s="2752"/>
      <c r="AU109" s="2752"/>
      <c r="AV109" s="2753"/>
    </row>
    <row r="110" ht="22.5" customHeight="1" spans="1:48">
      <c r="A110" s="2694" t="s">
        <v>3918</v>
      </c>
      <c r="B110" s="2695"/>
      <c r="C110" s="2711" t="str">
        <f>Text!B388</f>
        <v>Gubitak (119+120)</v>
      </c>
      <c r="D110" s="2712"/>
      <c r="E110" s="2712"/>
      <c r="F110" s="2712"/>
      <c r="G110" s="2712"/>
      <c r="H110" s="2712"/>
      <c r="I110" s="2712"/>
      <c r="J110" s="2712"/>
      <c r="K110" s="2712"/>
      <c r="L110" s="2712"/>
      <c r="M110" s="2712"/>
      <c r="N110" s="2712"/>
      <c r="O110" s="2712"/>
      <c r="P110" s="2712"/>
      <c r="Q110" s="2712"/>
      <c r="R110" s="2712"/>
      <c r="S110" s="2712"/>
      <c r="T110" s="2712"/>
      <c r="U110" s="2712"/>
      <c r="V110" s="2712"/>
      <c r="W110" s="2712"/>
      <c r="X110" s="2712"/>
      <c r="Y110" s="1389"/>
      <c r="Z110" s="1390"/>
      <c r="AA110" s="1390"/>
      <c r="AB110" s="1390"/>
      <c r="AC110" s="1390"/>
      <c r="AD110" s="1391"/>
      <c r="AE110" s="2701"/>
      <c r="AF110" s="2702"/>
      <c r="AG110" s="2694" t="s">
        <v>4484</v>
      </c>
      <c r="AH110" s="2713"/>
      <c r="AI110" s="2786">
        <f>AI111+AI112</f>
        <v>59197</v>
      </c>
      <c r="AJ110" s="2787"/>
      <c r="AK110" s="2788"/>
      <c r="AL110" s="2788"/>
      <c r="AM110" s="2788"/>
      <c r="AN110" s="2788"/>
      <c r="AO110" s="2789"/>
      <c r="AP110" s="2786">
        <f>AP111+AP112</f>
        <v>0</v>
      </c>
      <c r="AQ110" s="2787"/>
      <c r="AR110" s="2788"/>
      <c r="AS110" s="2788"/>
      <c r="AT110" s="2788"/>
      <c r="AU110" s="2788"/>
      <c r="AV110" s="2789"/>
    </row>
    <row r="111" ht="22.5" customHeight="1" spans="1:48">
      <c r="A111" s="2714" t="s">
        <v>4010</v>
      </c>
      <c r="B111" s="2715"/>
      <c r="C111" s="2716" t="str">
        <f>Text!B389</f>
        <v>Akumulirani, nepokriveni gubici iz prethodnih perioda</v>
      </c>
      <c r="D111" s="2717"/>
      <c r="E111" s="2717"/>
      <c r="F111" s="2717"/>
      <c r="G111" s="2717"/>
      <c r="H111" s="2717"/>
      <c r="I111" s="2717"/>
      <c r="J111" s="2717"/>
      <c r="K111" s="2717"/>
      <c r="L111" s="2717"/>
      <c r="M111" s="2717"/>
      <c r="N111" s="2717"/>
      <c r="O111" s="2717"/>
      <c r="P111" s="2717"/>
      <c r="Q111" s="2717"/>
      <c r="R111" s="2717"/>
      <c r="S111" s="2717"/>
      <c r="T111" s="2717"/>
      <c r="U111" s="2717"/>
      <c r="V111" s="2717"/>
      <c r="W111" s="2717"/>
      <c r="X111" s="2717"/>
      <c r="Y111" s="2718" t="s">
        <v>5464</v>
      </c>
      <c r="Z111" s="2719"/>
      <c r="AA111" s="2719"/>
      <c r="AB111" s="2719"/>
      <c r="AC111" s="2719"/>
      <c r="AD111" s="2720"/>
      <c r="AE111" s="2721"/>
      <c r="AF111" s="2722"/>
      <c r="AG111" s="2714" t="s">
        <v>4485</v>
      </c>
      <c r="AH111" s="2723"/>
      <c r="AI111" s="2790">
        <f>ROUND(UnosPod!F751,0)</f>
        <v>0</v>
      </c>
      <c r="AJ111" s="2791"/>
      <c r="AK111" s="2792"/>
      <c r="AL111" s="2792"/>
      <c r="AM111" s="2792"/>
      <c r="AN111" s="2792"/>
      <c r="AO111" s="2793"/>
      <c r="AP111" s="2750">
        <f>Prethodna_2024!B240</f>
        <v>0</v>
      </c>
      <c r="AQ111" s="2751"/>
      <c r="AR111" s="2752"/>
      <c r="AS111" s="2752"/>
      <c r="AT111" s="2752"/>
      <c r="AU111" s="2752"/>
      <c r="AV111" s="2753"/>
    </row>
    <row r="112" ht="22.5" customHeight="1" spans="1:48">
      <c r="A112" s="2742" t="s">
        <v>4012</v>
      </c>
      <c r="B112" s="2743"/>
      <c r="C112" s="2744" t="str">
        <f>Text!B390</f>
        <v>Gubitak tekućeg perioda</v>
      </c>
      <c r="D112" s="2745"/>
      <c r="E112" s="2745"/>
      <c r="F112" s="2745"/>
      <c r="G112" s="2745"/>
      <c r="H112" s="2745"/>
      <c r="I112" s="2745"/>
      <c r="J112" s="2745"/>
      <c r="K112" s="2745"/>
      <c r="L112" s="2745"/>
      <c r="M112" s="2745"/>
      <c r="N112" s="2745"/>
      <c r="O112" s="2745"/>
      <c r="P112" s="2745"/>
      <c r="Q112" s="2745"/>
      <c r="R112" s="2745"/>
      <c r="S112" s="2745"/>
      <c r="T112" s="2745"/>
      <c r="U112" s="2745"/>
      <c r="V112" s="2745"/>
      <c r="W112" s="2745"/>
      <c r="X112" s="2745"/>
      <c r="Y112" s="2746" t="s">
        <v>5466</v>
      </c>
      <c r="Z112" s="2692"/>
      <c r="AA112" s="2692"/>
      <c r="AB112" s="2692"/>
      <c r="AC112" s="2692"/>
      <c r="AD112" s="2693"/>
      <c r="AE112" s="2747"/>
      <c r="AF112" s="2748"/>
      <c r="AG112" s="2742" t="s">
        <v>4486</v>
      </c>
      <c r="AH112" s="2749"/>
      <c r="AI112" s="2794">
        <f>ROUND(UnosPod!F752,0)</f>
        <v>59197</v>
      </c>
      <c r="AJ112" s="2795"/>
      <c r="AK112" s="2796"/>
      <c r="AL112" s="2796"/>
      <c r="AM112" s="2796"/>
      <c r="AN112" s="2796"/>
      <c r="AO112" s="2797"/>
      <c r="AP112" s="2750">
        <f>Prethodna_2024!B241</f>
        <v>0</v>
      </c>
      <c r="AQ112" s="2751"/>
      <c r="AR112" s="2752"/>
      <c r="AS112" s="2752"/>
      <c r="AT112" s="2752"/>
      <c r="AU112" s="2752"/>
      <c r="AV112" s="2753"/>
    </row>
    <row r="113" ht="22.5" customHeight="1" spans="1:48">
      <c r="A113" s="2694" t="s">
        <v>3920</v>
      </c>
      <c r="B113" s="2695"/>
      <c r="C113" s="2711" t="str">
        <f>Text!B391</f>
        <v>Kapital koji pripada vlasnicima matičnog društva (101+107+108+111+115-118)</v>
      </c>
      <c r="D113" s="2712"/>
      <c r="E113" s="2712"/>
      <c r="F113" s="2712"/>
      <c r="G113" s="2712"/>
      <c r="H113" s="2712"/>
      <c r="I113" s="2712"/>
      <c r="J113" s="2712"/>
      <c r="K113" s="2712"/>
      <c r="L113" s="2712"/>
      <c r="M113" s="2712"/>
      <c r="N113" s="2712"/>
      <c r="O113" s="2712"/>
      <c r="P113" s="2712"/>
      <c r="Q113" s="2712"/>
      <c r="R113" s="2712"/>
      <c r="S113" s="2712"/>
      <c r="T113" s="2712"/>
      <c r="U113" s="2712"/>
      <c r="V113" s="2712"/>
      <c r="W113" s="2712"/>
      <c r="X113" s="2712"/>
      <c r="Y113" s="1389"/>
      <c r="Z113" s="1390"/>
      <c r="AA113" s="1390"/>
      <c r="AB113" s="1390"/>
      <c r="AC113" s="1390"/>
      <c r="AD113" s="1391"/>
      <c r="AE113" s="2701"/>
      <c r="AF113" s="2702"/>
      <c r="AG113" s="2694" t="s">
        <v>4487</v>
      </c>
      <c r="AH113" s="2713"/>
      <c r="AI113" s="1405">
        <f>AI93+AI99+AI100+AI103+AI107-AI110</f>
        <v>309265</v>
      </c>
      <c r="AJ113" s="1406"/>
      <c r="AK113" s="1407"/>
      <c r="AL113" s="1407"/>
      <c r="AM113" s="1407"/>
      <c r="AN113" s="1407"/>
      <c r="AO113" s="1408"/>
      <c r="AP113" s="1405">
        <f>AP93+AP99+AP100+AP103+AP107-AP110</f>
        <v>459768</v>
      </c>
      <c r="AQ113" s="1406"/>
      <c r="AR113" s="1407"/>
      <c r="AS113" s="1407"/>
      <c r="AT113" s="1407"/>
      <c r="AU113" s="1407"/>
      <c r="AV113" s="1408"/>
    </row>
    <row r="114" ht="22.5" customHeight="1" spans="1:48">
      <c r="A114" s="2694" t="s">
        <v>3923</v>
      </c>
      <c r="B114" s="2695"/>
      <c r="C114" s="2711" t="str">
        <f>Text!B392</f>
        <v>Kapital koji pripada vlasnicima manjinskih interesa</v>
      </c>
      <c r="D114" s="2712"/>
      <c r="E114" s="2712"/>
      <c r="F114" s="2712"/>
      <c r="G114" s="2712"/>
      <c r="H114" s="2712"/>
      <c r="I114" s="2712"/>
      <c r="J114" s="2712"/>
      <c r="K114" s="2712"/>
      <c r="L114" s="2712"/>
      <c r="M114" s="2712"/>
      <c r="N114" s="2712"/>
      <c r="O114" s="2712"/>
      <c r="P114" s="2712"/>
      <c r="Q114" s="2712"/>
      <c r="R114" s="2712"/>
      <c r="S114" s="2712"/>
      <c r="T114" s="2712"/>
      <c r="U114" s="2712"/>
      <c r="V114" s="2712"/>
      <c r="W114" s="2712"/>
      <c r="X114" s="2712"/>
      <c r="Y114" s="1389"/>
      <c r="Z114" s="1390"/>
      <c r="AA114" s="1390"/>
      <c r="AB114" s="1390"/>
      <c r="AC114" s="1390"/>
      <c r="AD114" s="1391"/>
      <c r="AE114" s="2701"/>
      <c r="AF114" s="2702"/>
      <c r="AG114" s="2694" t="s">
        <v>4488</v>
      </c>
      <c r="AH114" s="2713"/>
      <c r="AI114" s="1405"/>
      <c r="AJ114" s="1406"/>
      <c r="AK114" s="1407"/>
      <c r="AL114" s="1407"/>
      <c r="AM114" s="1407"/>
      <c r="AN114" s="1407"/>
      <c r="AO114" s="1408"/>
      <c r="AP114" s="2750">
        <f>Prethodna_2024!B243</f>
        <v>0</v>
      </c>
      <c r="AQ114" s="2751"/>
      <c r="AR114" s="2752"/>
      <c r="AS114" s="2752"/>
      <c r="AT114" s="2752"/>
      <c r="AU114" s="2752"/>
      <c r="AV114" s="2753"/>
    </row>
    <row r="115" s="1227" customFormat="1" ht="22.5" customHeight="1" spans="1:48">
      <c r="A115" s="2705" t="s">
        <v>3872</v>
      </c>
      <c r="B115" s="2706"/>
      <c r="C115" s="2696" t="str">
        <f>Text!B393</f>
        <v>UKUPNO KAPITAL (121+122)</v>
      </c>
      <c r="D115" s="2697"/>
      <c r="E115" s="2697"/>
      <c r="F115" s="2697"/>
      <c r="G115" s="2697"/>
      <c r="H115" s="2697"/>
      <c r="I115" s="2697"/>
      <c r="J115" s="2697"/>
      <c r="K115" s="2697"/>
      <c r="L115" s="2697"/>
      <c r="M115" s="2697"/>
      <c r="N115" s="2697"/>
      <c r="O115" s="2697"/>
      <c r="P115" s="2697"/>
      <c r="Q115" s="2697"/>
      <c r="R115" s="2697"/>
      <c r="S115" s="2697"/>
      <c r="T115" s="2697"/>
      <c r="U115" s="2697"/>
      <c r="V115" s="2697"/>
      <c r="W115" s="2697"/>
      <c r="X115" s="2697"/>
      <c r="Y115" s="1389"/>
      <c r="Z115" s="1390"/>
      <c r="AA115" s="1390"/>
      <c r="AB115" s="1390"/>
      <c r="AC115" s="1390"/>
      <c r="AD115" s="1391"/>
      <c r="AE115" s="2757"/>
      <c r="AF115" s="2758"/>
      <c r="AG115" s="2694" t="s">
        <v>4489</v>
      </c>
      <c r="AH115" s="2713"/>
      <c r="AI115" s="1394">
        <f>AI113+AI114</f>
        <v>309265</v>
      </c>
      <c r="AJ115" s="1395"/>
      <c r="AK115" s="1396"/>
      <c r="AL115" s="1396"/>
      <c r="AM115" s="1396"/>
      <c r="AN115" s="1396"/>
      <c r="AO115" s="1397"/>
      <c r="AP115" s="1394">
        <f>AP113+AP114</f>
        <v>459768</v>
      </c>
      <c r="AQ115" s="1395"/>
      <c r="AR115" s="1396"/>
      <c r="AS115" s="1396"/>
      <c r="AT115" s="1396"/>
      <c r="AU115" s="1396"/>
      <c r="AV115" s="1397"/>
    </row>
    <row r="116" s="1227" customFormat="1" ht="22.5" customHeight="1" spans="1:48">
      <c r="Y116" s="2798"/>
      <c r="Z116" s="2798"/>
      <c r="AA116" s="2798"/>
      <c r="AB116" s="2798"/>
      <c r="AC116" s="2798"/>
      <c r="AD116" s="2798"/>
    </row>
    <row r="117" s="1227" customFormat="1" ht="18" customHeight="1" spans="1:48">
      <c r="Y117" s="2798"/>
      <c r="Z117" s="2798"/>
      <c r="AA117" s="2798"/>
      <c r="AB117" s="2798"/>
      <c r="AC117" s="2798"/>
      <c r="AD117" s="2798"/>
    </row>
    <row r="118" s="1227" customFormat="1" ht="18" customHeight="1" spans="1:48">
      <c r="Y118" s="2798"/>
      <c r="Z118" s="2798"/>
      <c r="AA118" s="2798"/>
      <c r="AB118" s="2798"/>
      <c r="AC118" s="2798"/>
      <c r="AD118" s="2798"/>
    </row>
    <row r="119" s="1227" customFormat="1" ht="18" customHeight="1" spans="1:48">
      <c r="Y119" s="2798"/>
      <c r="Z119" s="2798"/>
      <c r="AA119" s="2798"/>
      <c r="AB119" s="2798"/>
      <c r="AC119" s="2798"/>
      <c r="AD119" s="2798"/>
    </row>
    <row r="120" s="1227" customFormat="1" ht="18" customHeight="1" spans="1:48">
      <c r="Y120" s="2798"/>
      <c r="Z120" s="2798"/>
      <c r="AA120" s="2798"/>
      <c r="AB120" s="2798"/>
      <c r="AC120" s="2798"/>
      <c r="AD120" s="2798"/>
    </row>
    <row r="121" s="1227" customFormat="1" ht="18" customHeight="1" spans="1:48">
      <c r="Y121" s="2798"/>
      <c r="Z121" s="2798"/>
      <c r="AA121" s="2798"/>
      <c r="AB121" s="2798"/>
      <c r="AC121" s="2798"/>
      <c r="AD121" s="2798"/>
    </row>
    <row r="122" s="1227" customFormat="1" ht="18" customHeight="1" spans="1:48">
      <c r="Y122" s="2798"/>
      <c r="Z122" s="2798"/>
      <c r="AA122" s="2798"/>
      <c r="AB122" s="2798"/>
      <c r="AC122" s="2798"/>
      <c r="AD122" s="2798"/>
    </row>
    <row r="123" ht="17.25" customHeight="1" spans="1:48">
      <c r="A123" s="2755">
        <v>1</v>
      </c>
      <c r="B123" s="2755"/>
      <c r="C123" s="2695">
        <v>2</v>
      </c>
      <c r="D123" s="2755"/>
      <c r="E123" s="2755"/>
      <c r="F123" s="2755"/>
      <c r="G123" s="2755"/>
      <c r="H123" s="2755"/>
      <c r="I123" s="2755"/>
      <c r="J123" s="2755"/>
      <c r="K123" s="2755"/>
      <c r="L123" s="2755"/>
      <c r="M123" s="2755"/>
      <c r="N123" s="2755"/>
      <c r="O123" s="2755"/>
      <c r="P123" s="2755"/>
      <c r="Q123" s="2755"/>
      <c r="R123" s="2755"/>
      <c r="S123" s="2755"/>
      <c r="T123" s="2755"/>
      <c r="U123" s="2755"/>
      <c r="V123" s="2755"/>
      <c r="W123" s="2755"/>
      <c r="X123" s="2756"/>
      <c r="Y123" s="1390"/>
      <c r="Z123" s="1390"/>
      <c r="AA123" s="1390"/>
      <c r="AB123" s="1390"/>
      <c r="AC123" s="1390"/>
      <c r="AD123" s="1391"/>
      <c r="AE123" s="2755">
        <v>3</v>
      </c>
      <c r="AF123" s="2755"/>
      <c r="AG123" s="2755">
        <v>4</v>
      </c>
      <c r="AH123" s="2755"/>
      <c r="AI123" s="2755">
        <v>5</v>
      </c>
      <c r="AJ123" s="2755"/>
      <c r="AK123" s="2755"/>
      <c r="AL123" s="2755"/>
      <c r="AM123" s="2755"/>
      <c r="AN123" s="2755"/>
      <c r="AO123" s="2755"/>
      <c r="AP123" s="2755">
        <v>6</v>
      </c>
      <c r="AQ123" s="2755"/>
      <c r="AR123" s="2755"/>
      <c r="AS123" s="2755"/>
      <c r="AT123" s="2755"/>
      <c r="AU123" s="2755"/>
      <c r="AV123" s="2755"/>
    </row>
    <row r="124" ht="17.25" customHeight="1" spans="1:48">
      <c r="A124" s="2694"/>
      <c r="B124" s="2695"/>
      <c r="C124" s="2696" t="str">
        <f>Text!B394</f>
        <v>OBAVEZE</v>
      </c>
      <c r="D124" s="2697"/>
      <c r="E124" s="2697"/>
      <c r="F124" s="2697"/>
      <c r="G124" s="2697"/>
      <c r="H124" s="2697"/>
      <c r="I124" s="2697"/>
      <c r="J124" s="2697"/>
      <c r="K124" s="2697"/>
      <c r="L124" s="2697"/>
      <c r="M124" s="2697"/>
      <c r="N124" s="2697"/>
      <c r="O124" s="2697"/>
      <c r="P124" s="2697"/>
      <c r="Q124" s="2697"/>
      <c r="R124" s="2697"/>
      <c r="S124" s="2697"/>
      <c r="T124" s="2697"/>
      <c r="U124" s="2697"/>
      <c r="V124" s="2697"/>
      <c r="W124" s="2697"/>
      <c r="X124" s="2697"/>
      <c r="Y124" s="1389"/>
      <c r="Z124" s="1390"/>
      <c r="AA124" s="1390"/>
      <c r="AB124" s="1390"/>
      <c r="AC124" s="1390"/>
      <c r="AD124" s="1391"/>
      <c r="AE124" s="2701"/>
      <c r="AF124" s="2702"/>
      <c r="AG124" s="2703"/>
      <c r="AH124" s="2695"/>
      <c r="AI124" s="1405"/>
      <c r="AJ124" s="1406"/>
      <c r="AK124" s="1407"/>
      <c r="AL124" s="1407"/>
      <c r="AM124" s="1407"/>
      <c r="AN124" s="1407"/>
      <c r="AO124" s="1408"/>
      <c r="AP124" s="1405"/>
      <c r="AQ124" s="1406"/>
      <c r="AR124" s="1407"/>
      <c r="AS124" s="1407"/>
      <c r="AT124" s="1407"/>
      <c r="AU124" s="1407"/>
      <c r="AV124" s="1408"/>
    </row>
    <row r="125" s="1227" customFormat="1" ht="17.25" customHeight="1" spans="1:48">
      <c r="A125" s="2705" t="s">
        <v>3949</v>
      </c>
      <c r="B125" s="2706"/>
      <c r="C125" s="2696" t="str">
        <f>Text!B395</f>
        <v>Dugoročne obaveze (125+130+131+132)</v>
      </c>
      <c r="D125" s="2697"/>
      <c r="E125" s="2697"/>
      <c r="F125" s="2697"/>
      <c r="G125" s="2697"/>
      <c r="H125" s="2697"/>
      <c r="I125" s="2697"/>
      <c r="J125" s="2697"/>
      <c r="K125" s="2697"/>
      <c r="L125" s="2697"/>
      <c r="M125" s="2697"/>
      <c r="N125" s="2697"/>
      <c r="O125" s="2697"/>
      <c r="P125" s="2697"/>
      <c r="Q125" s="2697"/>
      <c r="R125" s="2697"/>
      <c r="S125" s="2697"/>
      <c r="T125" s="2697"/>
      <c r="U125" s="2697"/>
      <c r="V125" s="2697"/>
      <c r="W125" s="2697"/>
      <c r="X125" s="2697"/>
      <c r="Y125" s="1389"/>
      <c r="Z125" s="1390"/>
      <c r="AA125" s="1390"/>
      <c r="AB125" s="1390"/>
      <c r="AC125" s="1390"/>
      <c r="AD125" s="1391"/>
      <c r="AE125" s="2757"/>
      <c r="AF125" s="2758"/>
      <c r="AG125" s="2694" t="s">
        <v>513</v>
      </c>
      <c r="AH125" s="2713"/>
      <c r="AI125" s="1394">
        <f>AI126+AI131+AI132+AI133</f>
        <v>0</v>
      </c>
      <c r="AJ125" s="1395"/>
      <c r="AK125" s="1396"/>
      <c r="AL125" s="1396"/>
      <c r="AM125" s="1396"/>
      <c r="AN125" s="1396"/>
      <c r="AO125" s="1397"/>
      <c r="AP125" s="1394">
        <f>AP126+AP131+AP132+AP133</f>
        <v>16678</v>
      </c>
      <c r="AQ125" s="1395"/>
      <c r="AR125" s="1396"/>
      <c r="AS125" s="1396"/>
      <c r="AT125" s="1396"/>
      <c r="AU125" s="1396"/>
      <c r="AV125" s="1397"/>
    </row>
    <row r="126" ht="17.25" customHeight="1" spans="1:48">
      <c r="A126" s="2694" t="s">
        <v>3953</v>
      </c>
      <c r="B126" s="2695"/>
      <c r="C126" s="2711" t="str">
        <f>Text!B396</f>
        <v>Finansijske obaveze po amortizovanom trošku (126 do 129)</v>
      </c>
      <c r="D126" s="2712"/>
      <c r="E126" s="2712"/>
      <c r="F126" s="2712"/>
      <c r="G126" s="2712"/>
      <c r="H126" s="2712"/>
      <c r="I126" s="2712"/>
      <c r="J126" s="2712"/>
      <c r="K126" s="2712"/>
      <c r="L126" s="2712"/>
      <c r="M126" s="2712"/>
      <c r="N126" s="2712"/>
      <c r="O126" s="2712"/>
      <c r="P126" s="2712"/>
      <c r="Q126" s="2712"/>
      <c r="R126" s="2712"/>
      <c r="S126" s="2712"/>
      <c r="T126" s="2712"/>
      <c r="U126" s="2712"/>
      <c r="V126" s="2712"/>
      <c r="W126" s="2712"/>
      <c r="X126" s="2712"/>
      <c r="Y126" s="1389"/>
      <c r="Z126" s="1390"/>
      <c r="AA126" s="1390"/>
      <c r="AB126" s="1390"/>
      <c r="AC126" s="1390"/>
      <c r="AD126" s="1391"/>
      <c r="AE126" s="2701"/>
      <c r="AF126" s="2702"/>
      <c r="AG126" s="2694" t="s">
        <v>4490</v>
      </c>
      <c r="AH126" s="2713"/>
      <c r="AI126" s="1405">
        <f>SUM(AI127:AO130)</f>
        <v>0</v>
      </c>
      <c r="AJ126" s="1406"/>
      <c r="AK126" s="1407"/>
      <c r="AL126" s="1407"/>
      <c r="AM126" s="1407"/>
      <c r="AN126" s="1407"/>
      <c r="AO126" s="1408"/>
      <c r="AP126" s="1405">
        <f>SUM(AP127:AV130)</f>
        <v>16678</v>
      </c>
      <c r="AQ126" s="1406"/>
      <c r="AR126" s="1407"/>
      <c r="AS126" s="1407"/>
      <c r="AT126" s="1407"/>
      <c r="AU126" s="1407"/>
      <c r="AV126" s="1408"/>
    </row>
    <row r="127" ht="17.25" customHeight="1" spans="1:48">
      <c r="A127" s="2714" t="s">
        <v>3875</v>
      </c>
      <c r="B127" s="2715"/>
      <c r="C127" s="2716" t="str">
        <f>Text!B397</f>
        <v>Obaveze po uzetim kreditima</v>
      </c>
      <c r="D127" s="2717"/>
      <c r="E127" s="2717"/>
      <c r="F127" s="2717"/>
      <c r="G127" s="2717"/>
      <c r="H127" s="2717"/>
      <c r="I127" s="2717"/>
      <c r="J127" s="2717"/>
      <c r="K127" s="2717"/>
      <c r="L127" s="2717"/>
      <c r="M127" s="2717"/>
      <c r="N127" s="2717"/>
      <c r="O127" s="2717"/>
      <c r="P127" s="2717"/>
      <c r="Q127" s="2717"/>
      <c r="R127" s="2717"/>
      <c r="S127" s="2717"/>
      <c r="T127" s="2717"/>
      <c r="U127" s="2717"/>
      <c r="V127" s="2717"/>
      <c r="W127" s="2717"/>
      <c r="X127" s="2717"/>
      <c r="Y127" s="2718" t="s">
        <v>7078</v>
      </c>
      <c r="Z127" s="2719"/>
      <c r="AA127" s="2719"/>
      <c r="AB127" s="2719"/>
      <c r="AC127" s="2719"/>
      <c r="AD127" s="2720"/>
      <c r="AE127" s="2721"/>
      <c r="AF127" s="2722"/>
      <c r="AG127" s="2714" t="s">
        <v>4491</v>
      </c>
      <c r="AH127" s="2723"/>
      <c r="AI127" s="2724">
        <f>ROUND(UnosPod!F773+UnosPod!F774,0)</f>
        <v>0</v>
      </c>
      <c r="AJ127" s="2725"/>
      <c r="AK127" s="2726"/>
      <c r="AL127" s="2726"/>
      <c r="AM127" s="2726"/>
      <c r="AN127" s="2726"/>
      <c r="AO127" s="2727"/>
      <c r="AP127" s="2738">
        <f>Prethodna_2024!B247</f>
        <v>16678</v>
      </c>
      <c r="AQ127" s="2739"/>
      <c r="AR127" s="2740"/>
      <c r="AS127" s="2740"/>
      <c r="AT127" s="2740"/>
      <c r="AU127" s="2740"/>
      <c r="AV127" s="2741"/>
    </row>
    <row r="128" ht="17.25" customHeight="1" spans="1:48">
      <c r="A128" s="2728" t="s">
        <v>3877</v>
      </c>
      <c r="B128" s="2729"/>
      <c r="C128" s="2730" t="str">
        <f>Text!B398</f>
        <v>Obaveze po osnovu najmova</v>
      </c>
      <c r="D128" s="2731"/>
      <c r="E128" s="2731"/>
      <c r="F128" s="2731"/>
      <c r="G128" s="2731"/>
      <c r="H128" s="2731"/>
      <c r="I128" s="2731"/>
      <c r="J128" s="2731"/>
      <c r="K128" s="2731"/>
      <c r="L128" s="2731"/>
      <c r="M128" s="2731"/>
      <c r="N128" s="2731"/>
      <c r="O128" s="2731"/>
      <c r="P128" s="2731"/>
      <c r="Q128" s="2731"/>
      <c r="R128" s="2731"/>
      <c r="S128" s="2731"/>
      <c r="T128" s="2731"/>
      <c r="U128" s="2731"/>
      <c r="V128" s="2731"/>
      <c r="W128" s="2731"/>
      <c r="X128" s="2731"/>
      <c r="Y128" s="2732" t="s">
        <v>7079</v>
      </c>
      <c r="Z128" s="2733"/>
      <c r="AA128" s="2733"/>
      <c r="AB128" s="2733"/>
      <c r="AC128" s="2733"/>
      <c r="AD128" s="2734"/>
      <c r="AE128" s="2735"/>
      <c r="AF128" s="2736"/>
      <c r="AG128" s="2728" t="s">
        <v>4492</v>
      </c>
      <c r="AH128" s="2737"/>
      <c r="AI128" s="2738">
        <f>ROUND(UnosPod!F775+UnosPod!F776,0)</f>
        <v>0</v>
      </c>
      <c r="AJ128" s="2739"/>
      <c r="AK128" s="2740"/>
      <c r="AL128" s="2740"/>
      <c r="AM128" s="2740"/>
      <c r="AN128" s="2740"/>
      <c r="AO128" s="2741"/>
      <c r="AP128" s="2738">
        <f>Prethodna_2024!B248</f>
        <v>0</v>
      </c>
      <c r="AQ128" s="2739"/>
      <c r="AR128" s="2740"/>
      <c r="AS128" s="2740"/>
      <c r="AT128" s="2740"/>
      <c r="AU128" s="2740"/>
      <c r="AV128" s="2741"/>
    </row>
    <row r="129" ht="17.25" customHeight="1" spans="1:48">
      <c r="A129" s="2728" t="s">
        <v>3880</v>
      </c>
      <c r="B129" s="2729"/>
      <c r="C129" s="2730" t="str">
        <f>Text!B399</f>
        <v>Obaveze po izdatim dužničkim instrumentima</v>
      </c>
      <c r="D129" s="2731"/>
      <c r="E129" s="2731"/>
      <c r="F129" s="2731"/>
      <c r="G129" s="2731"/>
      <c r="H129" s="2731"/>
      <c r="I129" s="2731"/>
      <c r="J129" s="2731"/>
      <c r="K129" s="2731"/>
      <c r="L129" s="2731"/>
      <c r="M129" s="2731"/>
      <c r="N129" s="2731"/>
      <c r="O129" s="2731"/>
      <c r="P129" s="2731"/>
      <c r="Q129" s="2731"/>
      <c r="R129" s="2731"/>
      <c r="S129" s="2731"/>
      <c r="T129" s="2731"/>
      <c r="U129" s="2731"/>
      <c r="V129" s="2731"/>
      <c r="W129" s="2731"/>
      <c r="X129" s="2731"/>
      <c r="Y129" s="2732" t="s">
        <v>4576</v>
      </c>
      <c r="Z129" s="2733"/>
      <c r="AA129" s="2733"/>
      <c r="AB129" s="2733"/>
      <c r="AC129" s="2733"/>
      <c r="AD129" s="2734"/>
      <c r="AE129" s="2735"/>
      <c r="AF129" s="2736"/>
      <c r="AG129" s="2728" t="s">
        <v>579</v>
      </c>
      <c r="AH129" s="2737"/>
      <c r="AI129" s="2738">
        <f>ROUND(UnosPod!F772,0)</f>
        <v>0</v>
      </c>
      <c r="AJ129" s="2739"/>
      <c r="AK129" s="2740"/>
      <c r="AL129" s="2740"/>
      <c r="AM129" s="2740"/>
      <c r="AN129" s="2740"/>
      <c r="AO129" s="2741"/>
      <c r="AP129" s="2738">
        <f>Prethodna_2024!B249</f>
        <v>0</v>
      </c>
      <c r="AQ129" s="2739"/>
      <c r="AR129" s="2740"/>
      <c r="AS129" s="2740"/>
      <c r="AT129" s="2740"/>
      <c r="AU129" s="2740"/>
      <c r="AV129" s="2741"/>
    </row>
    <row r="130" ht="17.25" customHeight="1" spans="1:48">
      <c r="A130" s="2742" t="s">
        <v>3883</v>
      </c>
      <c r="B130" s="2743"/>
      <c r="C130" s="2744" t="str">
        <f>Text!B400</f>
        <v>Ostale finansijske obaveze po amortizovanom trošku</v>
      </c>
      <c r="D130" s="2745"/>
      <c r="E130" s="2745"/>
      <c r="F130" s="2745"/>
      <c r="G130" s="2745"/>
      <c r="H130" s="2745"/>
      <c r="I130" s="2745"/>
      <c r="J130" s="2745"/>
      <c r="K130" s="2745"/>
      <c r="L130" s="2745"/>
      <c r="M130" s="2745"/>
      <c r="N130" s="2745"/>
      <c r="O130" s="2745"/>
      <c r="P130" s="2745"/>
      <c r="Q130" s="2745"/>
      <c r="R130" s="2745"/>
      <c r="S130" s="2745"/>
      <c r="T130" s="2745"/>
      <c r="U130" s="2745"/>
      <c r="V130" s="2745"/>
      <c r="W130" s="2745"/>
      <c r="X130" s="2745"/>
      <c r="Y130" s="2746" t="s">
        <v>4582</v>
      </c>
      <c r="Z130" s="2692"/>
      <c r="AA130" s="2692"/>
      <c r="AB130" s="2692"/>
      <c r="AC130" s="2692"/>
      <c r="AD130" s="2693"/>
      <c r="AE130" s="2747"/>
      <c r="AF130" s="2748"/>
      <c r="AG130" s="2742" t="s">
        <v>4493</v>
      </c>
      <c r="AH130" s="2749"/>
      <c r="AI130" s="2750">
        <f>ROUND(UnosPod!F777,0)</f>
        <v>0</v>
      </c>
      <c r="AJ130" s="2751"/>
      <c r="AK130" s="2752"/>
      <c r="AL130" s="2752"/>
      <c r="AM130" s="2752"/>
      <c r="AN130" s="2752"/>
      <c r="AO130" s="2753"/>
      <c r="AP130" s="2738">
        <f>Prethodna_2024!B250</f>
        <v>0</v>
      </c>
      <c r="AQ130" s="2739"/>
      <c r="AR130" s="2740"/>
      <c r="AS130" s="2740"/>
      <c r="AT130" s="2740"/>
      <c r="AU130" s="2740"/>
      <c r="AV130" s="2741"/>
    </row>
    <row r="131" ht="17.25" customHeight="1" spans="1:48">
      <c r="A131" s="2694" t="s">
        <v>3891</v>
      </c>
      <c r="B131" s="2695"/>
      <c r="C131" s="2711" t="str">
        <f>Text!B401</f>
        <v>Odgođeni prihod</v>
      </c>
      <c r="D131" s="2712"/>
      <c r="E131" s="2712"/>
      <c r="F131" s="2712"/>
      <c r="G131" s="2712"/>
      <c r="H131" s="2712"/>
      <c r="I131" s="2712"/>
      <c r="J131" s="2712"/>
      <c r="K131" s="2712"/>
      <c r="L131" s="2712"/>
      <c r="M131" s="2712"/>
      <c r="N131" s="2712"/>
      <c r="O131" s="2712"/>
      <c r="P131" s="2712"/>
      <c r="Q131" s="2712"/>
      <c r="R131" s="2712"/>
      <c r="S131" s="2712"/>
      <c r="T131" s="2712"/>
      <c r="U131" s="2712"/>
      <c r="V131" s="2712"/>
      <c r="W131" s="2712"/>
      <c r="X131" s="2712"/>
      <c r="Y131" s="1389" t="s">
        <v>4571</v>
      </c>
      <c r="Z131" s="1390"/>
      <c r="AA131" s="1390"/>
      <c r="AB131" s="1390"/>
      <c r="AC131" s="1390"/>
      <c r="AD131" s="1391"/>
      <c r="AE131" s="2701"/>
      <c r="AF131" s="2702"/>
      <c r="AG131" s="2694" t="s">
        <v>4494</v>
      </c>
      <c r="AH131" s="2713"/>
      <c r="AI131" s="1405">
        <f>ROUND(UnosPod!F765,0)</f>
        <v>0</v>
      </c>
      <c r="AJ131" s="1406"/>
      <c r="AK131" s="1407"/>
      <c r="AL131" s="1407"/>
      <c r="AM131" s="1407"/>
      <c r="AN131" s="1407"/>
      <c r="AO131" s="1408"/>
      <c r="AP131" s="1405">
        <f>Prethodna_2024!B251</f>
        <v>0</v>
      </c>
      <c r="AQ131" s="1406"/>
      <c r="AR131" s="1407"/>
      <c r="AS131" s="1407"/>
      <c r="AT131" s="1407"/>
      <c r="AU131" s="1407"/>
      <c r="AV131" s="1408"/>
    </row>
    <row r="132" ht="33.75" customHeight="1" spans="1:48">
      <c r="A132" s="2694" t="s">
        <v>3902</v>
      </c>
      <c r="B132" s="2695"/>
      <c r="C132" s="2711" t="str">
        <f>Text!B402</f>
        <v>Rezervisanja</v>
      </c>
      <c r="D132" s="2712"/>
      <c r="E132" s="2712"/>
      <c r="F132" s="2712"/>
      <c r="G132" s="2712"/>
      <c r="H132" s="2712"/>
      <c r="I132" s="2712"/>
      <c r="J132" s="2712"/>
      <c r="K132" s="2712"/>
      <c r="L132" s="2712"/>
      <c r="M132" s="2712"/>
      <c r="N132" s="2712"/>
      <c r="O132" s="2712"/>
      <c r="P132" s="2712"/>
      <c r="Q132" s="2712"/>
      <c r="R132" s="2712"/>
      <c r="S132" s="2712"/>
      <c r="T132" s="2712"/>
      <c r="U132" s="2712"/>
      <c r="V132" s="2712"/>
      <c r="W132" s="2712"/>
      <c r="X132" s="2712"/>
      <c r="Y132" s="1389" t="s">
        <v>7080</v>
      </c>
      <c r="Z132" s="1390"/>
      <c r="AA132" s="1390"/>
      <c r="AB132" s="1390"/>
      <c r="AC132" s="1390"/>
      <c r="AD132" s="1391"/>
      <c r="AE132" s="2701"/>
      <c r="AF132" s="2702"/>
      <c r="AG132" s="2694" t="s">
        <v>4495</v>
      </c>
      <c r="AH132" s="2713"/>
      <c r="AI132" s="1405">
        <f>ROUND(UnosPod!F758+UnosPod!F759+UnosPod!F761+UnosPod!F762+UnosPod!F763+UnosPod!F764+UnosPod!F767,0)</f>
        <v>0</v>
      </c>
      <c r="AJ132" s="1406"/>
      <c r="AK132" s="1407"/>
      <c r="AL132" s="1407"/>
      <c r="AM132" s="1407"/>
      <c r="AN132" s="1407"/>
      <c r="AO132" s="1408"/>
      <c r="AP132" s="1405">
        <f>Prethodna_2024!B252</f>
        <v>0</v>
      </c>
      <c r="AQ132" s="1406"/>
      <c r="AR132" s="1407"/>
      <c r="AS132" s="1407"/>
      <c r="AT132" s="1407"/>
      <c r="AU132" s="1407"/>
      <c r="AV132" s="1408"/>
    </row>
    <row r="133" ht="17.25" customHeight="1" spans="1:48">
      <c r="A133" s="2694" t="s">
        <v>3905</v>
      </c>
      <c r="B133" s="2695"/>
      <c r="C133" s="2711" t="str">
        <f>Text!B403</f>
        <v>Ostale obaveze, uključujući i razgraničenja</v>
      </c>
      <c r="D133" s="2712"/>
      <c r="E133" s="2712"/>
      <c r="F133" s="2712"/>
      <c r="G133" s="2712"/>
      <c r="H133" s="2712"/>
      <c r="I133" s="2712"/>
      <c r="J133" s="2712"/>
      <c r="K133" s="2712"/>
      <c r="L133" s="2712"/>
      <c r="M133" s="2712"/>
      <c r="N133" s="2712"/>
      <c r="O133" s="2712"/>
      <c r="P133" s="2712"/>
      <c r="Q133" s="2712"/>
      <c r="R133" s="2712"/>
      <c r="S133" s="2712"/>
      <c r="T133" s="2712"/>
      <c r="U133" s="2712"/>
      <c r="V133" s="2712"/>
      <c r="W133" s="2712"/>
      <c r="X133" s="2712"/>
      <c r="Y133" s="1389" t="s">
        <v>7081</v>
      </c>
      <c r="Z133" s="1390"/>
      <c r="AA133" s="1390"/>
      <c r="AB133" s="1390"/>
      <c r="AC133" s="1390"/>
      <c r="AD133" s="1391"/>
      <c r="AE133" s="2701"/>
      <c r="AF133" s="2702"/>
      <c r="AG133" s="2694" t="s">
        <v>475</v>
      </c>
      <c r="AH133" s="2713"/>
      <c r="AI133" s="1405">
        <f>ROUND(UnosPod!F760+UnosPod!F768+UnosPod!F771+UnosPod!F778,0)</f>
        <v>0</v>
      </c>
      <c r="AJ133" s="1406"/>
      <c r="AK133" s="1407"/>
      <c r="AL133" s="1407"/>
      <c r="AM133" s="1407"/>
      <c r="AN133" s="1407"/>
      <c r="AO133" s="1408"/>
      <c r="AP133" s="1405">
        <f>Prethodna_2024!B253</f>
        <v>0</v>
      </c>
      <c r="AQ133" s="1406"/>
      <c r="AR133" s="1407"/>
      <c r="AS133" s="1407"/>
      <c r="AT133" s="1407"/>
      <c r="AU133" s="1407"/>
      <c r="AV133" s="1408"/>
    </row>
    <row r="134" s="1227" customFormat="1" ht="17.25" customHeight="1" spans="1:48">
      <c r="A134" s="2705" t="s">
        <v>3951</v>
      </c>
      <c r="B134" s="2706"/>
      <c r="C134" s="2696" t="str">
        <f>Text!B404</f>
        <v>Odgođene porezne obaveze</v>
      </c>
      <c r="D134" s="2697"/>
      <c r="E134" s="2697"/>
      <c r="F134" s="2697"/>
      <c r="G134" s="2697"/>
      <c r="H134" s="2697"/>
      <c r="I134" s="2697"/>
      <c r="J134" s="2697"/>
      <c r="K134" s="2697"/>
      <c r="L134" s="2697"/>
      <c r="M134" s="2697"/>
      <c r="N134" s="2697"/>
      <c r="O134" s="2697"/>
      <c r="P134" s="2697"/>
      <c r="Q134" s="2697"/>
      <c r="R134" s="2697"/>
      <c r="S134" s="2697"/>
      <c r="T134" s="2697"/>
      <c r="U134" s="2697"/>
      <c r="V134" s="2697"/>
      <c r="W134" s="2697"/>
      <c r="X134" s="2697"/>
      <c r="Y134" s="1389" t="s">
        <v>4572</v>
      </c>
      <c r="Z134" s="1390"/>
      <c r="AA134" s="1390"/>
      <c r="AB134" s="1390"/>
      <c r="AC134" s="1390"/>
      <c r="AD134" s="1391"/>
      <c r="AE134" s="2757"/>
      <c r="AF134" s="2758"/>
      <c r="AG134" s="2694" t="s">
        <v>4496</v>
      </c>
      <c r="AH134" s="2713"/>
      <c r="AI134" s="1394">
        <f>ROUND(UnosPod!F766,0)</f>
        <v>0</v>
      </c>
      <c r="AJ134" s="1395"/>
      <c r="AK134" s="1396"/>
      <c r="AL134" s="1396"/>
      <c r="AM134" s="1396"/>
      <c r="AN134" s="1396"/>
      <c r="AO134" s="1397"/>
      <c r="AP134" s="1394">
        <f>Prethodna_2024!B254</f>
        <v>0</v>
      </c>
      <c r="AQ134" s="1395"/>
      <c r="AR134" s="1396"/>
      <c r="AS134" s="1396"/>
      <c r="AT134" s="1396"/>
      <c r="AU134" s="1396"/>
      <c r="AV134" s="1397"/>
    </row>
    <row r="135" s="1227" customFormat="1" ht="17.25" customHeight="1" spans="1:48">
      <c r="A135" s="2705" t="s">
        <v>3983</v>
      </c>
      <c r="B135" s="2706"/>
      <c r="C135" s="2696" t="str">
        <f>Text!B405</f>
        <v>Kratkoročne obaveze (135+142+143+144+145+146+147)</v>
      </c>
      <c r="D135" s="2697"/>
      <c r="E135" s="2697"/>
      <c r="F135" s="2697"/>
      <c r="G135" s="2697"/>
      <c r="H135" s="2697"/>
      <c r="I135" s="2697"/>
      <c r="J135" s="2697"/>
      <c r="K135" s="2697"/>
      <c r="L135" s="2697"/>
      <c r="M135" s="2697"/>
      <c r="N135" s="2697"/>
      <c r="O135" s="2697"/>
      <c r="P135" s="2697"/>
      <c r="Q135" s="2697"/>
      <c r="R135" s="2697"/>
      <c r="S135" s="2697"/>
      <c r="T135" s="2697"/>
      <c r="U135" s="2697"/>
      <c r="V135" s="2697"/>
      <c r="W135" s="2697"/>
      <c r="X135" s="2697"/>
      <c r="Y135" s="1389"/>
      <c r="Z135" s="1390"/>
      <c r="AA135" s="1390"/>
      <c r="AB135" s="1390"/>
      <c r="AC135" s="1390"/>
      <c r="AD135" s="1391"/>
      <c r="AE135" s="2757"/>
      <c r="AF135" s="2758"/>
      <c r="AG135" s="2694" t="s">
        <v>410</v>
      </c>
      <c r="AH135" s="2713"/>
      <c r="AI135" s="1394">
        <f>AI136+SUM(AI143:AO148)</f>
        <v>290034</v>
      </c>
      <c r="AJ135" s="1395"/>
      <c r="AK135" s="1396"/>
      <c r="AL135" s="1396"/>
      <c r="AM135" s="1396"/>
      <c r="AN135" s="1396"/>
      <c r="AO135" s="1397"/>
      <c r="AP135" s="1394">
        <f>AP136+SUM(AP143:AV148)</f>
        <v>292435</v>
      </c>
      <c r="AQ135" s="1395"/>
      <c r="AR135" s="1396"/>
      <c r="AS135" s="1396"/>
      <c r="AT135" s="1396"/>
      <c r="AU135" s="1396"/>
      <c r="AV135" s="1397"/>
    </row>
    <row r="136" ht="17.25" customHeight="1" spans="1:48">
      <c r="A136" s="2694" t="s">
        <v>3953</v>
      </c>
      <c r="B136" s="2695"/>
      <c r="C136" s="2711" t="str">
        <f>Text!B406</f>
        <v>Finansijske obaveze po amortizovanom trošku (136 do 141)</v>
      </c>
      <c r="D136" s="2712"/>
      <c r="E136" s="2712"/>
      <c r="F136" s="2712"/>
      <c r="G136" s="2712"/>
      <c r="H136" s="2712"/>
      <c r="I136" s="2712"/>
      <c r="J136" s="2712"/>
      <c r="K136" s="2712"/>
      <c r="L136" s="2712"/>
      <c r="M136" s="2712"/>
      <c r="N136" s="2712"/>
      <c r="O136" s="2712"/>
      <c r="P136" s="2712"/>
      <c r="Q136" s="2712"/>
      <c r="R136" s="2712"/>
      <c r="S136" s="2712"/>
      <c r="T136" s="2712"/>
      <c r="U136" s="2712"/>
      <c r="V136" s="2712"/>
      <c r="W136" s="2712"/>
      <c r="X136" s="2712"/>
      <c r="Y136" s="1389"/>
      <c r="Z136" s="1390"/>
      <c r="AA136" s="1390"/>
      <c r="AB136" s="1390"/>
      <c r="AC136" s="1390"/>
      <c r="AD136" s="1391"/>
      <c r="AE136" s="2701"/>
      <c r="AF136" s="2702"/>
      <c r="AG136" s="2694" t="s">
        <v>4497</v>
      </c>
      <c r="AH136" s="2713"/>
      <c r="AI136" s="1405">
        <f>SUM(AI137:AO142)</f>
        <v>22856</v>
      </c>
      <c r="AJ136" s="1406"/>
      <c r="AK136" s="1407"/>
      <c r="AL136" s="1407"/>
      <c r="AM136" s="1407"/>
      <c r="AN136" s="1407"/>
      <c r="AO136" s="1408"/>
      <c r="AP136" s="1405">
        <f>SUM(AP137:AV142)</f>
        <v>73491</v>
      </c>
      <c r="AQ136" s="1406"/>
      <c r="AR136" s="1407"/>
      <c r="AS136" s="1407"/>
      <c r="AT136" s="1407"/>
      <c r="AU136" s="1407"/>
      <c r="AV136" s="1408"/>
    </row>
    <row r="137" ht="17.25" customHeight="1" spans="1:48">
      <c r="A137" s="2714" t="s">
        <v>3875</v>
      </c>
      <c r="B137" s="2715"/>
      <c r="C137" s="2716" t="str">
        <f>Text!B407</f>
        <v>Obaveze prema dobavljačima</v>
      </c>
      <c r="D137" s="2717"/>
      <c r="E137" s="2717"/>
      <c r="F137" s="2717"/>
      <c r="G137" s="2717"/>
      <c r="H137" s="2717"/>
      <c r="I137" s="2717"/>
      <c r="J137" s="2717"/>
      <c r="K137" s="2717"/>
      <c r="L137" s="2717"/>
      <c r="M137" s="2717"/>
      <c r="N137" s="2717"/>
      <c r="O137" s="2717"/>
      <c r="P137" s="2717"/>
      <c r="Q137" s="2717"/>
      <c r="R137" s="2717"/>
      <c r="S137" s="2717"/>
      <c r="T137" s="2717"/>
      <c r="U137" s="2717"/>
      <c r="V137" s="2717"/>
      <c r="W137" s="2717"/>
      <c r="X137" s="2717"/>
      <c r="Y137" s="2718" t="s">
        <v>7082</v>
      </c>
      <c r="Z137" s="2719"/>
      <c r="AA137" s="2719"/>
      <c r="AB137" s="2719"/>
      <c r="AC137" s="2719"/>
      <c r="AD137" s="2720"/>
      <c r="AE137" s="2721"/>
      <c r="AF137" s="2722"/>
      <c r="AG137" s="2714" t="s">
        <v>864</v>
      </c>
      <c r="AH137" s="2723"/>
      <c r="AI137" s="2724">
        <f>ROUND(UnosPod!F790+UnosPod!F791+UnosPod!F792,0)</f>
        <v>22856</v>
      </c>
      <c r="AJ137" s="2725"/>
      <c r="AK137" s="2726"/>
      <c r="AL137" s="2726"/>
      <c r="AM137" s="2726"/>
      <c r="AN137" s="2726"/>
      <c r="AO137" s="2727"/>
      <c r="AP137" s="2738">
        <f>Prethodna_2024!B257</f>
        <v>64182</v>
      </c>
      <c r="AQ137" s="2739"/>
      <c r="AR137" s="2740"/>
      <c r="AS137" s="2740"/>
      <c r="AT137" s="2740"/>
      <c r="AU137" s="2740"/>
      <c r="AV137" s="2741"/>
    </row>
    <row r="138" ht="17.25" customHeight="1" spans="1:48">
      <c r="A138" s="2728" t="s">
        <v>3877</v>
      </c>
      <c r="B138" s="2729"/>
      <c r="C138" s="2730" t="str">
        <f>Text!B408</f>
        <v>Ugovorne obaveze</v>
      </c>
      <c r="D138" s="2731"/>
      <c r="E138" s="2731"/>
      <c r="F138" s="2731"/>
      <c r="G138" s="2731"/>
      <c r="H138" s="2731"/>
      <c r="I138" s="2731"/>
      <c r="J138" s="2731"/>
      <c r="K138" s="2731"/>
      <c r="L138" s="2731"/>
      <c r="M138" s="2731"/>
      <c r="N138" s="2731"/>
      <c r="O138" s="2731"/>
      <c r="P138" s="2731"/>
      <c r="Q138" s="2731"/>
      <c r="R138" s="2731"/>
      <c r="S138" s="2731"/>
      <c r="T138" s="2731"/>
      <c r="U138" s="2731"/>
      <c r="V138" s="2731"/>
      <c r="W138" s="2731"/>
      <c r="X138" s="2731"/>
      <c r="Y138" s="2732" t="s">
        <v>7083</v>
      </c>
      <c r="Z138" s="2733"/>
      <c r="AA138" s="2733"/>
      <c r="AB138" s="2733"/>
      <c r="AC138" s="2733"/>
      <c r="AD138" s="2734"/>
      <c r="AE138" s="2735"/>
      <c r="AF138" s="2736"/>
      <c r="AG138" s="2728" t="s">
        <v>4498</v>
      </c>
      <c r="AH138" s="2737"/>
      <c r="AI138" s="2738">
        <f>ROUND(UnosPod!F793+UnosPod!F794,0)</f>
        <v>0</v>
      </c>
      <c r="AJ138" s="2739"/>
      <c r="AK138" s="2740"/>
      <c r="AL138" s="2740"/>
      <c r="AM138" s="2740"/>
      <c r="AN138" s="2740"/>
      <c r="AO138" s="2741"/>
      <c r="AP138" s="2738">
        <f>Prethodna_2024!B258</f>
        <v>0</v>
      </c>
      <c r="AQ138" s="2739"/>
      <c r="AR138" s="2740"/>
      <c r="AS138" s="2740"/>
      <c r="AT138" s="2740"/>
      <c r="AU138" s="2740"/>
      <c r="AV138" s="2741"/>
    </row>
    <row r="139" ht="17.25" customHeight="1" spans="1:48">
      <c r="A139" s="2728" t="s">
        <v>3880</v>
      </c>
      <c r="B139" s="2729"/>
      <c r="C139" s="2730" t="str">
        <f>Text!B409</f>
        <v>Obaveze po uzetim kreditima</v>
      </c>
      <c r="D139" s="2731"/>
      <c r="E139" s="2731"/>
      <c r="F139" s="2731"/>
      <c r="G139" s="2731"/>
      <c r="H139" s="2731"/>
      <c r="I139" s="2731"/>
      <c r="J139" s="2731"/>
      <c r="K139" s="2731"/>
      <c r="L139" s="2731"/>
      <c r="M139" s="2731"/>
      <c r="N139" s="2731"/>
      <c r="O139" s="2731"/>
      <c r="P139" s="2731"/>
      <c r="Q139" s="2731"/>
      <c r="R139" s="2731"/>
      <c r="S139" s="2731"/>
      <c r="T139" s="2731"/>
      <c r="U139" s="2731"/>
      <c r="V139" s="2731"/>
      <c r="W139" s="2731"/>
      <c r="X139" s="2731"/>
      <c r="Y139" s="2732" t="s">
        <v>7084</v>
      </c>
      <c r="Z139" s="2733"/>
      <c r="AA139" s="2733"/>
      <c r="AB139" s="2733"/>
      <c r="AC139" s="2733"/>
      <c r="AD139" s="2734"/>
      <c r="AE139" s="2735"/>
      <c r="AF139" s="2736"/>
      <c r="AG139" s="2728" t="s">
        <v>891</v>
      </c>
      <c r="AH139" s="2737"/>
      <c r="AI139" s="2738">
        <f>ROUND(UnosPod!F781+UnosPod!F782+UnosPod!F783+UnosPod!F811,0)</f>
        <v>0</v>
      </c>
      <c r="AJ139" s="2739"/>
      <c r="AK139" s="2740"/>
      <c r="AL139" s="2740"/>
      <c r="AM139" s="2740"/>
      <c r="AN139" s="2740"/>
      <c r="AO139" s="2741"/>
      <c r="AP139" s="2738">
        <f>Prethodna_2024!B259</f>
        <v>9309</v>
      </c>
      <c r="AQ139" s="2739"/>
      <c r="AR139" s="2740"/>
      <c r="AS139" s="2740"/>
      <c r="AT139" s="2740"/>
      <c r="AU139" s="2740"/>
      <c r="AV139" s="2741"/>
    </row>
    <row r="140" ht="17.25" customHeight="1" spans="1:48">
      <c r="A140" s="2728" t="s">
        <v>3883</v>
      </c>
      <c r="B140" s="2729"/>
      <c r="C140" s="2730" t="str">
        <f>Text!B410</f>
        <v>Obaveze po osnovu najmova</v>
      </c>
      <c r="D140" s="2731"/>
      <c r="E140" s="2731"/>
      <c r="F140" s="2731"/>
      <c r="G140" s="2731"/>
      <c r="H140" s="2731"/>
      <c r="I140" s="2731"/>
      <c r="J140" s="2731"/>
      <c r="K140" s="2731"/>
      <c r="L140" s="2731"/>
      <c r="M140" s="2731"/>
      <c r="N140" s="2731"/>
      <c r="O140" s="2731"/>
      <c r="P140" s="2731"/>
      <c r="Q140" s="2731"/>
      <c r="R140" s="2731"/>
      <c r="S140" s="2731"/>
      <c r="T140" s="2731"/>
      <c r="U140" s="2731"/>
      <c r="V140" s="2731"/>
      <c r="W140" s="2731"/>
      <c r="X140" s="2731"/>
      <c r="Y140" s="2732" t="s">
        <v>7085</v>
      </c>
      <c r="Z140" s="2733"/>
      <c r="AA140" s="2733"/>
      <c r="AB140" s="2733"/>
      <c r="AC140" s="2733"/>
      <c r="AD140" s="2734"/>
      <c r="AE140" s="2735"/>
      <c r="AF140" s="2736"/>
      <c r="AG140" s="2728" t="s">
        <v>4499</v>
      </c>
      <c r="AH140" s="2737"/>
      <c r="AI140" s="2738">
        <f>ROUND(UnosPod!F784+UnosPod!F785+UnosPod!F812,0)</f>
        <v>0</v>
      </c>
      <c r="AJ140" s="2739"/>
      <c r="AK140" s="2740"/>
      <c r="AL140" s="2740"/>
      <c r="AM140" s="2740"/>
      <c r="AN140" s="2740"/>
      <c r="AO140" s="2741"/>
      <c r="AP140" s="2738">
        <f>Prethodna_2024!B260</f>
        <v>0</v>
      </c>
      <c r="AQ140" s="2739"/>
      <c r="AR140" s="2740"/>
      <c r="AS140" s="2740"/>
      <c r="AT140" s="2740"/>
      <c r="AU140" s="2740"/>
      <c r="AV140" s="2741"/>
    </row>
    <row r="141" ht="17.25" customHeight="1" spans="1:48">
      <c r="A141" s="2728" t="s">
        <v>3886</v>
      </c>
      <c r="B141" s="2729"/>
      <c r="C141" s="2730" t="str">
        <f>Text!B411</f>
        <v>Obaveze po izdatim dužničkim instrumentima</v>
      </c>
      <c r="D141" s="2731"/>
      <c r="E141" s="2731"/>
      <c r="F141" s="2731"/>
      <c r="G141" s="2731"/>
      <c r="H141" s="2731"/>
      <c r="I141" s="2731"/>
      <c r="J141" s="2731"/>
      <c r="K141" s="2731"/>
      <c r="L141" s="2731"/>
      <c r="M141" s="2731"/>
      <c r="N141" s="2731"/>
      <c r="O141" s="2731"/>
      <c r="P141" s="2731"/>
      <c r="Q141" s="2731"/>
      <c r="R141" s="2731"/>
      <c r="S141" s="2731"/>
      <c r="T141" s="2731"/>
      <c r="U141" s="2731"/>
      <c r="V141" s="2731"/>
      <c r="W141" s="2731"/>
      <c r="X141" s="2731"/>
      <c r="Y141" s="2732" t="s">
        <v>7086</v>
      </c>
      <c r="Z141" s="2733"/>
      <c r="AA141" s="2733"/>
      <c r="AB141" s="2733"/>
      <c r="AC141" s="2733"/>
      <c r="AD141" s="2734"/>
      <c r="AE141" s="2735"/>
      <c r="AF141" s="2736"/>
      <c r="AG141" s="2728" t="s">
        <v>632</v>
      </c>
      <c r="AH141" s="2737"/>
      <c r="AI141" s="2738">
        <f>ROUND(UnosPod!F780+UnosPod!F813,0)</f>
        <v>0</v>
      </c>
      <c r="AJ141" s="2739"/>
      <c r="AK141" s="2740"/>
      <c r="AL141" s="2740"/>
      <c r="AM141" s="2740"/>
      <c r="AN141" s="2740"/>
      <c r="AO141" s="2741"/>
      <c r="AP141" s="2738">
        <f>Prethodna_2024!B261</f>
        <v>0</v>
      </c>
      <c r="AQ141" s="2739"/>
      <c r="AR141" s="2740"/>
      <c r="AS141" s="2740"/>
      <c r="AT141" s="2740"/>
      <c r="AU141" s="2740"/>
      <c r="AV141" s="2741"/>
    </row>
    <row r="142" ht="17.25" customHeight="1" spans="1:48">
      <c r="A142" s="2742" t="s">
        <v>3889</v>
      </c>
      <c r="B142" s="2743"/>
      <c r="C142" s="2744" t="str">
        <f>Text!B412</f>
        <v>Ostale finansijske obaveze po amortizovanom trošku</v>
      </c>
      <c r="D142" s="2745"/>
      <c r="E142" s="2745"/>
      <c r="F142" s="2745"/>
      <c r="G142" s="2745"/>
      <c r="H142" s="2745"/>
      <c r="I142" s="2745"/>
      <c r="J142" s="2745"/>
      <c r="K142" s="2745"/>
      <c r="L142" s="2745"/>
      <c r="M142" s="2745"/>
      <c r="N142" s="2745"/>
      <c r="O142" s="2745"/>
      <c r="P142" s="2745"/>
      <c r="Q142" s="2745"/>
      <c r="R142" s="2745"/>
      <c r="S142" s="2745"/>
      <c r="T142" s="2745"/>
      <c r="U142" s="2745"/>
      <c r="V142" s="2745"/>
      <c r="W142" s="2745"/>
      <c r="X142" s="2745"/>
      <c r="Y142" s="2746" t="s">
        <v>7087</v>
      </c>
      <c r="Z142" s="2692"/>
      <c r="AA142" s="2692"/>
      <c r="AB142" s="2692"/>
      <c r="AC142" s="2692"/>
      <c r="AD142" s="2693"/>
      <c r="AE142" s="2747"/>
      <c r="AF142" s="2748"/>
      <c r="AG142" s="2742" t="s">
        <v>430</v>
      </c>
      <c r="AH142" s="2749"/>
      <c r="AI142" s="2750">
        <f>ROUND(UnosPod!F787+UnosPod!F814,0)</f>
        <v>0</v>
      </c>
      <c r="AJ142" s="2751"/>
      <c r="AK142" s="2752"/>
      <c r="AL142" s="2752"/>
      <c r="AM142" s="2752"/>
      <c r="AN142" s="2752"/>
      <c r="AO142" s="2753"/>
      <c r="AP142" s="2738">
        <f>Prethodna_2024!B262</f>
        <v>0</v>
      </c>
      <c r="AQ142" s="2739"/>
      <c r="AR142" s="2740"/>
      <c r="AS142" s="2740"/>
      <c r="AT142" s="2740"/>
      <c r="AU142" s="2740"/>
      <c r="AV142" s="2741"/>
    </row>
    <row r="143" ht="17.25" customHeight="1" spans="1:48">
      <c r="A143" s="2694" t="s">
        <v>3891</v>
      </c>
      <c r="B143" s="2695"/>
      <c r="C143" s="2711" t="str">
        <f>Text!B413</f>
        <v>Finansijske obaveze po fer vrijednosti kroz bilans uspjeha</v>
      </c>
      <c r="D143" s="2712"/>
      <c r="E143" s="2712"/>
      <c r="F143" s="2712"/>
      <c r="G143" s="2712"/>
      <c r="H143" s="2712"/>
      <c r="I143" s="2712"/>
      <c r="J143" s="2712"/>
      <c r="K143" s="2712"/>
      <c r="L143" s="2712"/>
      <c r="M143" s="2712"/>
      <c r="N143" s="2712"/>
      <c r="O143" s="2712"/>
      <c r="P143" s="2712"/>
      <c r="Q143" s="2712"/>
      <c r="R143" s="2712"/>
      <c r="S143" s="2712"/>
      <c r="T143" s="2712"/>
      <c r="U143" s="2712"/>
      <c r="V143" s="2712"/>
      <c r="W143" s="2712"/>
      <c r="X143" s="2712"/>
      <c r="Y143" s="1389" t="s">
        <v>4591</v>
      </c>
      <c r="Z143" s="1390"/>
      <c r="AA143" s="1390"/>
      <c r="AB143" s="1390"/>
      <c r="AC143" s="1390"/>
      <c r="AD143" s="1391"/>
      <c r="AE143" s="2701"/>
      <c r="AF143" s="2702"/>
      <c r="AG143" s="2694" t="s">
        <v>934</v>
      </c>
      <c r="AH143" s="2713"/>
      <c r="AI143" s="1405">
        <f>ROUND(UnosPod!F786,0)</f>
        <v>0</v>
      </c>
      <c r="AJ143" s="1406"/>
      <c r="AK143" s="1407"/>
      <c r="AL143" s="1407"/>
      <c r="AM143" s="1407"/>
      <c r="AN143" s="1407"/>
      <c r="AO143" s="1408"/>
      <c r="AP143" s="1405">
        <f>Prethodna_2024!B263</f>
        <v>0</v>
      </c>
      <c r="AQ143" s="1406"/>
      <c r="AR143" s="1407"/>
      <c r="AS143" s="1407"/>
      <c r="AT143" s="1407"/>
      <c r="AU143" s="1407"/>
      <c r="AV143" s="1408"/>
    </row>
    <row r="144" ht="17.25" customHeight="1" spans="1:48">
      <c r="A144" s="2694" t="s">
        <v>3902</v>
      </c>
      <c r="B144" s="2695"/>
      <c r="C144" s="2711" t="str">
        <f>Text!B414</f>
        <v>Derivatni finansijski instrumenti</v>
      </c>
      <c r="D144" s="2712"/>
      <c r="E144" s="2712"/>
      <c r="F144" s="2712"/>
      <c r="G144" s="2712"/>
      <c r="H144" s="2712"/>
      <c r="I144" s="2712"/>
      <c r="J144" s="2712"/>
      <c r="K144" s="2712"/>
      <c r="L144" s="2712"/>
      <c r="M144" s="2712"/>
      <c r="N144" s="2712"/>
      <c r="O144" s="2712"/>
      <c r="P144" s="2712"/>
      <c r="Q144" s="2712"/>
      <c r="R144" s="2712"/>
      <c r="S144" s="2712"/>
      <c r="T144" s="2712"/>
      <c r="U144" s="2712"/>
      <c r="V144" s="2712"/>
      <c r="W144" s="2712"/>
      <c r="X144" s="2712"/>
      <c r="Y144" s="1389" t="s">
        <v>777</v>
      </c>
      <c r="Z144" s="1390"/>
      <c r="AA144" s="1390"/>
      <c r="AB144" s="1390"/>
      <c r="AC144" s="1390"/>
      <c r="AD144" s="1391"/>
      <c r="AE144" s="2701"/>
      <c r="AF144" s="2702"/>
      <c r="AG144" s="2694" t="s">
        <v>4500</v>
      </c>
      <c r="AH144" s="2713"/>
      <c r="AI144" s="1405">
        <f>ROUND(UnosPod!F800,0)</f>
        <v>0</v>
      </c>
      <c r="AJ144" s="1406"/>
      <c r="AK144" s="1407"/>
      <c r="AL144" s="1407"/>
      <c r="AM144" s="1407"/>
      <c r="AN144" s="1407"/>
      <c r="AO144" s="1408"/>
      <c r="AP144" s="1405">
        <f>Prethodna_2024!B264</f>
        <v>0</v>
      </c>
      <c r="AQ144" s="1406"/>
      <c r="AR144" s="1407"/>
      <c r="AS144" s="1407"/>
      <c r="AT144" s="1407"/>
      <c r="AU144" s="1407"/>
      <c r="AV144" s="1408"/>
    </row>
    <row r="145" ht="17.25" customHeight="1" spans="1:48">
      <c r="A145" s="2694" t="s">
        <v>3905</v>
      </c>
      <c r="B145" s="2695"/>
      <c r="C145" s="2711" t="str">
        <f>Text!B415</f>
        <v>Odgođeni prihod</v>
      </c>
      <c r="D145" s="2712"/>
      <c r="E145" s="2712"/>
      <c r="F145" s="2712"/>
      <c r="G145" s="2712"/>
      <c r="H145" s="2712"/>
      <c r="I145" s="2712"/>
      <c r="J145" s="2712"/>
      <c r="K145" s="2712"/>
      <c r="L145" s="2712"/>
      <c r="M145" s="2712"/>
      <c r="N145" s="2712"/>
      <c r="O145" s="2712"/>
      <c r="P145" s="2712"/>
      <c r="Q145" s="2712"/>
      <c r="R145" s="2712"/>
      <c r="S145" s="2712"/>
      <c r="T145" s="2712"/>
      <c r="U145" s="2712"/>
      <c r="V145" s="2712"/>
      <c r="W145" s="2712"/>
      <c r="X145" s="2712"/>
      <c r="Y145" s="1389" t="s">
        <v>7088</v>
      </c>
      <c r="Z145" s="1390"/>
      <c r="AA145" s="1390"/>
      <c r="AB145" s="1390"/>
      <c r="AC145" s="1390"/>
      <c r="AD145" s="1391"/>
      <c r="AE145" s="2701"/>
      <c r="AF145" s="2702"/>
      <c r="AG145" s="2694" t="s">
        <v>4501</v>
      </c>
      <c r="AH145" s="2713"/>
      <c r="AI145" s="1405">
        <f>ROUND(UnosPod!F843+UnosPod!F845+UnosPod!F846,0)</f>
        <v>0</v>
      </c>
      <c r="AJ145" s="1406"/>
      <c r="AK145" s="1407"/>
      <c r="AL145" s="1407"/>
      <c r="AM145" s="1407"/>
      <c r="AN145" s="1407"/>
      <c r="AO145" s="1408"/>
      <c r="AP145" s="1405">
        <f>Prethodna_2024!B265</f>
        <v>0</v>
      </c>
      <c r="AQ145" s="1406"/>
      <c r="AR145" s="1407"/>
      <c r="AS145" s="1407"/>
      <c r="AT145" s="1407"/>
      <c r="AU145" s="1407"/>
      <c r="AV145" s="1408"/>
    </row>
    <row r="146" ht="17.25" customHeight="1" spans="1:48">
      <c r="A146" s="2694" t="s">
        <v>3915</v>
      </c>
      <c r="B146" s="2695"/>
      <c r="C146" s="2711" t="str">
        <f>Text!B416</f>
        <v>Rezervisanja</v>
      </c>
      <c r="D146" s="2712"/>
      <c r="E146" s="2712"/>
      <c r="F146" s="2712"/>
      <c r="G146" s="2712"/>
      <c r="H146" s="2712"/>
      <c r="I146" s="2712"/>
      <c r="J146" s="2712"/>
      <c r="K146" s="2712"/>
      <c r="L146" s="2712"/>
      <c r="M146" s="2712"/>
      <c r="N146" s="2712"/>
      <c r="O146" s="2712"/>
      <c r="P146" s="2712"/>
      <c r="Q146" s="2712"/>
      <c r="R146" s="2712"/>
      <c r="S146" s="2712"/>
      <c r="T146" s="2712"/>
      <c r="U146" s="2712"/>
      <c r="V146" s="2712"/>
      <c r="W146" s="2712"/>
      <c r="X146" s="2712"/>
      <c r="Y146" s="1389" t="s">
        <v>5590</v>
      </c>
      <c r="Z146" s="1390"/>
      <c r="AA146" s="1390"/>
      <c r="AB146" s="1390"/>
      <c r="AC146" s="1390"/>
      <c r="AD146" s="1391"/>
      <c r="AE146" s="2701"/>
      <c r="AF146" s="2702"/>
      <c r="AG146" s="2694" t="s">
        <v>4502</v>
      </c>
      <c r="AH146" s="2713"/>
      <c r="AI146" s="1405">
        <f>ROUND(UnosPod!F844,0)</f>
        <v>0</v>
      </c>
      <c r="AJ146" s="1406"/>
      <c r="AK146" s="1407"/>
      <c r="AL146" s="1407"/>
      <c r="AM146" s="1407"/>
      <c r="AN146" s="1407"/>
      <c r="AO146" s="1408"/>
      <c r="AP146" s="1405">
        <f>Prethodna_2024!B266</f>
        <v>0</v>
      </c>
      <c r="AQ146" s="1406"/>
      <c r="AR146" s="1407"/>
      <c r="AS146" s="1407"/>
      <c r="AT146" s="1407"/>
      <c r="AU146" s="1407"/>
      <c r="AV146" s="1408"/>
    </row>
    <row r="147" ht="17.25" customHeight="1" spans="1:48">
      <c r="A147" s="2694" t="s">
        <v>3918</v>
      </c>
      <c r="B147" s="2695"/>
      <c r="C147" s="2711" t="str">
        <f>Text!B417</f>
        <v>Obaveze za porez na dobit</v>
      </c>
      <c r="D147" s="2712"/>
      <c r="E147" s="2712"/>
      <c r="F147" s="2712"/>
      <c r="G147" s="2712"/>
      <c r="H147" s="2712"/>
      <c r="I147" s="2712"/>
      <c r="J147" s="2712"/>
      <c r="K147" s="2712"/>
      <c r="L147" s="2712"/>
      <c r="M147" s="2712"/>
      <c r="N147" s="2712"/>
      <c r="O147" s="2712"/>
      <c r="P147" s="2712"/>
      <c r="Q147" s="2712"/>
      <c r="R147" s="2712"/>
      <c r="S147" s="2712"/>
      <c r="T147" s="2712"/>
      <c r="U147" s="2712"/>
      <c r="V147" s="2712"/>
      <c r="W147" s="2712"/>
      <c r="X147" s="2712"/>
      <c r="Y147" s="1389" t="s">
        <v>7089</v>
      </c>
      <c r="Z147" s="1390"/>
      <c r="AA147" s="1390"/>
      <c r="AB147" s="1390"/>
      <c r="AC147" s="1390"/>
      <c r="AD147" s="1391"/>
      <c r="AE147" s="2701"/>
      <c r="AF147" s="2702"/>
      <c r="AG147" s="2694" t="s">
        <v>4503</v>
      </c>
      <c r="AH147" s="2713"/>
      <c r="AI147" s="1405">
        <f>ROUND(UnosPod!F836,0)</f>
        <v>22437</v>
      </c>
      <c r="AJ147" s="1406"/>
      <c r="AK147" s="1407"/>
      <c r="AL147" s="1407"/>
      <c r="AM147" s="1407"/>
      <c r="AN147" s="1407"/>
      <c r="AO147" s="1408"/>
      <c r="AP147" s="1405">
        <f>Prethodna_2024!B267</f>
        <v>21273</v>
      </c>
      <c r="AQ147" s="1406"/>
      <c r="AR147" s="1407"/>
      <c r="AS147" s="1407"/>
      <c r="AT147" s="1407"/>
      <c r="AU147" s="1407"/>
      <c r="AV147" s="1408"/>
    </row>
    <row r="148" ht="84.75" customHeight="1" spans="1:48">
      <c r="A148" s="2694" t="s">
        <v>3920</v>
      </c>
      <c r="B148" s="2695"/>
      <c r="C148" s="2711" t="str">
        <f>Text!B418</f>
        <v>Ostale obaveze, uključujući i razgraničenja</v>
      </c>
      <c r="D148" s="2712"/>
      <c r="E148" s="2712"/>
      <c r="F148" s="2712"/>
      <c r="G148" s="2712"/>
      <c r="H148" s="2712"/>
      <c r="I148" s="2712"/>
      <c r="J148" s="2712"/>
      <c r="K148" s="2712"/>
      <c r="L148" s="2712"/>
      <c r="M148" s="2712"/>
      <c r="N148" s="2712"/>
      <c r="O148" s="2712"/>
      <c r="P148" s="2712"/>
      <c r="Q148" s="2712"/>
      <c r="R148" s="2712"/>
      <c r="S148" s="2712"/>
      <c r="T148" s="2712"/>
      <c r="U148" s="2712"/>
      <c r="V148" s="2712"/>
      <c r="W148" s="2712"/>
      <c r="X148" s="2712"/>
      <c r="Y148" s="1389" t="s">
        <v>7090</v>
      </c>
      <c r="Z148" s="1390"/>
      <c r="AA148" s="1390"/>
      <c r="AB148" s="1390"/>
      <c r="AC148" s="1390"/>
      <c r="AD148" s="1391"/>
      <c r="AE148" s="2701"/>
      <c r="AF148" s="2702"/>
      <c r="AG148" s="2694" t="s">
        <v>4504</v>
      </c>
      <c r="AH148" s="2713"/>
      <c r="AI148" s="1405">
        <f>ROUND(UnosPod!F810+UnosPod!F834+UnosPod!F789+UnosPod!F795+UnosPod!F796+SUM(UnosPod!F816:L824)+UnosPod!F835+UnosPod!F837+UnosPod!F838+UnosPod!F839+UnosPod!F840+UnosPod!F842+UnosPod!F847,0)</f>
        <v>244741</v>
      </c>
      <c r="AJ148" s="1406"/>
      <c r="AK148" s="1407"/>
      <c r="AL148" s="1407"/>
      <c r="AM148" s="1407"/>
      <c r="AN148" s="1407"/>
      <c r="AO148" s="1408"/>
      <c r="AP148" s="1405">
        <f>Prethodna_2024!B268</f>
        <v>197671</v>
      </c>
      <c r="AQ148" s="1406"/>
      <c r="AR148" s="1407"/>
      <c r="AS148" s="1407"/>
      <c r="AT148" s="1407"/>
      <c r="AU148" s="1407"/>
      <c r="AV148" s="1408"/>
    </row>
    <row r="149" s="1227" customFormat="1" ht="17.25" customHeight="1" spans="1:48">
      <c r="A149" s="2705" t="s">
        <v>3985</v>
      </c>
      <c r="B149" s="2706"/>
      <c r="C149" s="2696" t="str">
        <f>Text!B419</f>
        <v>UKUPNO OBAVEZE (124+133+134)</v>
      </c>
      <c r="D149" s="2697"/>
      <c r="E149" s="2697"/>
      <c r="F149" s="2697"/>
      <c r="G149" s="2697"/>
      <c r="H149" s="2697"/>
      <c r="I149" s="2697"/>
      <c r="J149" s="2697"/>
      <c r="K149" s="2697"/>
      <c r="L149" s="2697"/>
      <c r="M149" s="2697"/>
      <c r="N149" s="2697"/>
      <c r="O149" s="2697"/>
      <c r="P149" s="2697"/>
      <c r="Q149" s="2697"/>
      <c r="R149" s="2697"/>
      <c r="S149" s="2697"/>
      <c r="T149" s="2697"/>
      <c r="U149" s="2697"/>
      <c r="V149" s="2697"/>
      <c r="W149" s="2697"/>
      <c r="X149" s="2697"/>
      <c r="Y149" s="1389"/>
      <c r="Z149" s="1390"/>
      <c r="AA149" s="1390"/>
      <c r="AB149" s="1390"/>
      <c r="AC149" s="1390"/>
      <c r="AD149" s="1391"/>
      <c r="AE149" s="2757"/>
      <c r="AF149" s="2758"/>
      <c r="AG149" s="2694" t="s">
        <v>4505</v>
      </c>
      <c r="AH149" s="2713"/>
      <c r="AI149" s="1394">
        <f>AI125+AI134+AI135</f>
        <v>290034</v>
      </c>
      <c r="AJ149" s="1395"/>
      <c r="AK149" s="1396"/>
      <c r="AL149" s="1396"/>
      <c r="AM149" s="1396"/>
      <c r="AN149" s="1396"/>
      <c r="AO149" s="1397"/>
      <c r="AP149" s="1394">
        <f>AP125+AP134+AP135</f>
        <v>309113</v>
      </c>
      <c r="AQ149" s="1395"/>
      <c r="AR149" s="1396"/>
      <c r="AS149" s="1396"/>
      <c r="AT149" s="1396"/>
      <c r="AU149" s="1396"/>
      <c r="AV149" s="1397"/>
    </row>
    <row r="150" s="1227" customFormat="1" ht="17.25" customHeight="1" spans="1:48">
      <c r="A150" s="2705" t="s">
        <v>3987</v>
      </c>
      <c r="B150" s="2706"/>
      <c r="C150" s="2696" t="str">
        <f>Text!B420</f>
        <v>UKUPNO KAPITAL I OBAVEZE (123+148)</v>
      </c>
      <c r="D150" s="2697"/>
      <c r="E150" s="2697"/>
      <c r="F150" s="2697"/>
      <c r="G150" s="2697"/>
      <c r="H150" s="2697"/>
      <c r="I150" s="2697"/>
      <c r="J150" s="2697"/>
      <c r="K150" s="2697"/>
      <c r="L150" s="2697"/>
      <c r="M150" s="2697"/>
      <c r="N150" s="2697"/>
      <c r="O150" s="2697"/>
      <c r="P150" s="2697"/>
      <c r="Q150" s="2697"/>
      <c r="R150" s="2697"/>
      <c r="S150" s="2697"/>
      <c r="T150" s="2697"/>
      <c r="U150" s="2697"/>
      <c r="V150" s="2697"/>
      <c r="W150" s="2697"/>
      <c r="X150" s="2697"/>
      <c r="Y150" s="1389"/>
      <c r="Z150" s="1390"/>
      <c r="AA150" s="1390"/>
      <c r="AB150" s="1390"/>
      <c r="AC150" s="1390"/>
      <c r="AD150" s="1391"/>
      <c r="AE150" s="2757"/>
      <c r="AF150" s="2758"/>
      <c r="AG150" s="2694" t="s">
        <v>4506</v>
      </c>
      <c r="AH150" s="2713"/>
      <c r="AI150" s="1394">
        <f>AI115+AI149</f>
        <v>599299</v>
      </c>
      <c r="AJ150" s="1395"/>
      <c r="AK150" s="1396"/>
      <c r="AL150" s="1396"/>
      <c r="AM150" s="1396"/>
      <c r="AN150" s="1396"/>
      <c r="AO150" s="1397"/>
      <c r="AP150" s="1394">
        <f>AP115+AP149</f>
        <v>768881</v>
      </c>
      <c r="AQ150" s="1395"/>
      <c r="AR150" s="1396"/>
      <c r="AS150" s="1396"/>
      <c r="AT150" s="1396"/>
      <c r="AU150" s="1396"/>
      <c r="AV150" s="1397"/>
    </row>
    <row r="151" ht="17.25" customHeight="1" spans="1:48">
      <c r="A151" s="2694" t="s">
        <v>4040</v>
      </c>
      <c r="B151" s="2695"/>
      <c r="C151" s="2711" t="str">
        <f>Text!B421</f>
        <v>VANBILANSNA EVIDENCIJA</v>
      </c>
      <c r="D151" s="2712"/>
      <c r="E151" s="2712"/>
      <c r="F151" s="2712"/>
      <c r="G151" s="2712"/>
      <c r="H151" s="2712"/>
      <c r="I151" s="2712"/>
      <c r="J151" s="2712"/>
      <c r="K151" s="2712"/>
      <c r="L151" s="2712"/>
      <c r="M151" s="2712"/>
      <c r="N151" s="2712"/>
      <c r="O151" s="2712"/>
      <c r="P151" s="2712"/>
      <c r="Q151" s="2712"/>
      <c r="R151" s="2712"/>
      <c r="S151" s="2712"/>
      <c r="T151" s="2712"/>
      <c r="U151" s="2712"/>
      <c r="V151" s="2712"/>
      <c r="W151" s="2712"/>
      <c r="X151" s="2712"/>
      <c r="Y151" s="1389"/>
      <c r="Z151" s="1390"/>
      <c r="AA151" s="1390"/>
      <c r="AB151" s="1390"/>
      <c r="AC151" s="1390"/>
      <c r="AD151" s="1391"/>
      <c r="AE151" s="2701"/>
      <c r="AF151" s="2702"/>
      <c r="AG151" s="2694" t="s">
        <v>4507</v>
      </c>
      <c r="AH151" s="2713"/>
      <c r="AI151" s="1405">
        <f>ROUND(UnosPod!F853,0)</f>
        <v>0</v>
      </c>
      <c r="AJ151" s="1406"/>
      <c r="AK151" s="1407"/>
      <c r="AL151" s="1407"/>
      <c r="AM151" s="1407"/>
      <c r="AN151" s="1407"/>
      <c r="AO151" s="1408"/>
      <c r="AP151" s="1405">
        <f>Prethodna_2024!B271</f>
        <v>0</v>
      </c>
      <c r="AQ151" s="1406"/>
      <c r="AR151" s="1407"/>
      <c r="AS151" s="1407"/>
      <c r="AT151" s="1407"/>
      <c r="AU151" s="1407"/>
      <c r="AV151" s="1408"/>
    </row>
    <row r="152" s="1227" customFormat="1" ht="22.5" customHeight="1" spans="1:48">
      <c r="A152" s="2705" t="s">
        <v>4041</v>
      </c>
      <c r="B152" s="2706"/>
      <c r="C152" s="2696" t="str">
        <f>Text!B422</f>
        <v>UKUPNO KAPITAL, OBAVEZE I VANBILANSNA EVIDENCIJA (149+150)</v>
      </c>
      <c r="D152" s="2697"/>
      <c r="E152" s="2697"/>
      <c r="F152" s="2697"/>
      <c r="G152" s="2697"/>
      <c r="H152" s="2697"/>
      <c r="I152" s="2697"/>
      <c r="J152" s="2697"/>
      <c r="K152" s="2697"/>
      <c r="L152" s="2697"/>
      <c r="M152" s="2697"/>
      <c r="N152" s="2697"/>
      <c r="O152" s="2697"/>
      <c r="P152" s="2697"/>
      <c r="Q152" s="2697"/>
      <c r="R152" s="2697"/>
      <c r="S152" s="2697"/>
      <c r="T152" s="2697"/>
      <c r="U152" s="2697"/>
      <c r="V152" s="2697"/>
      <c r="W152" s="2697"/>
      <c r="X152" s="2697"/>
      <c r="Y152" s="1389"/>
      <c r="Z152" s="1390"/>
      <c r="AA152" s="1390"/>
      <c r="AB152" s="1390"/>
      <c r="AC152" s="1390"/>
      <c r="AD152" s="1391"/>
      <c r="AE152" s="2757"/>
      <c r="AF152" s="2758"/>
      <c r="AG152" s="2694" t="s">
        <v>4508</v>
      </c>
      <c r="AH152" s="2713"/>
      <c r="AI152" s="1394">
        <f>AI150+AI151</f>
        <v>599299</v>
      </c>
      <c r="AJ152" s="1395"/>
      <c r="AK152" s="1396"/>
      <c r="AL152" s="1396"/>
      <c r="AM152" s="1396"/>
      <c r="AN152" s="1396"/>
      <c r="AO152" s="1397"/>
      <c r="AP152" s="1394">
        <f>AP150+AP151</f>
        <v>768881</v>
      </c>
      <c r="AQ152" s="1395"/>
      <c r="AR152" s="1396"/>
      <c r="AS152" s="1396"/>
      <c r="AT152" s="1396"/>
      <c r="AU152" s="1396"/>
      <c r="AV152" s="1397"/>
    </row>
    <row r="153" spans="1:48">
      <c r="AI153" s="2799">
        <f>AI152-AI85</f>
        <v>0</v>
      </c>
      <c r="AJ153" s="2761"/>
      <c r="AK153" s="2761"/>
      <c r="AL153" s="2761"/>
      <c r="AM153" s="2761"/>
      <c r="AN153" s="2761"/>
      <c r="AO153" s="2761"/>
      <c r="AP153" s="2799">
        <f>AP152-AP85</f>
        <v>0</v>
      </c>
      <c r="AQ153" s="2761"/>
      <c r="AR153" s="2761"/>
      <c r="AS153" s="2761"/>
      <c r="AT153" s="2761"/>
      <c r="AU153" s="2761"/>
      <c r="AV153" s="2761"/>
    </row>
    <row r="155" s="1340" customFormat="1" ht="14.25" customHeight="1" spans="1:48">
      <c r="A155" s="1440" t="str">
        <f>Text!B43</f>
        <v>U</v>
      </c>
      <c r="B155" s="1440"/>
      <c r="C155" s="1340" t="str">
        <f>Sjedište</f>
        <v>Sarajevo-Stari Grad</v>
      </c>
      <c r="AM155" s="1244" t="str">
        <f>Text!B44</f>
        <v>Direktor</v>
      </c>
      <c r="AN155" s="1244"/>
      <c r="AO155" s="1244"/>
      <c r="AP155" s="1244"/>
      <c r="AQ155" s="1244"/>
      <c r="AR155" s="1244"/>
      <c r="AS155" s="1244"/>
      <c r="AT155" s="1244"/>
      <c r="AU155" s="1244"/>
      <c r="AV155" s="1244"/>
    </row>
    <row r="156" s="1340" customFormat="1" ht="14.25" customHeight="1" spans="1:48">
      <c r="A156" s="1440" t="str">
        <f>Text!B40</f>
        <v>Dana</v>
      </c>
      <c r="B156" s="1440"/>
      <c r="C156" s="1441" t="str">
        <f>UnosPod!AA22&amp;UnosPod!AB22&amp;"."&amp;UnosPod!AC22&amp;UnosPod!AD22&amp;"."&amp;UnosPod!AE22&amp;UnosPod!AF22&amp;UnosPod!AG22&amp;UnosPod!AH22&amp;"."&amp;Text!B31</f>
        <v>28.02.2026.godine</v>
      </c>
      <c r="D156" s="1441"/>
      <c r="E156" s="1441"/>
      <c r="F156" s="1441"/>
      <c r="G156" s="1441"/>
      <c r="O156" s="1440" t="str">
        <f>Text!B41</f>
        <v>Certificirani računovođa : </v>
      </c>
      <c r="P156" s="1442" t="str">
        <f>Racunovoda</f>
        <v>Elvira Žilić</v>
      </c>
      <c r="AI156" s="1340" t="s">
        <v>7039</v>
      </c>
      <c r="AN156" s="1443"/>
      <c r="AO156" s="1443"/>
      <c r="AP156" s="1443"/>
      <c r="AQ156" s="1443"/>
      <c r="AR156" s="1443"/>
      <c r="AS156" s="1443"/>
      <c r="AT156" s="1443"/>
      <c r="AU156" s="1443"/>
      <c r="AV156" s="1443"/>
    </row>
    <row r="157" s="1340" customFormat="1" ht="14.25" customHeight="1" spans="1:48">
      <c r="O157" s="1440" t="str">
        <f>Text!B42</f>
        <v>Broj dozvole : </v>
      </c>
      <c r="P157" s="1444" t="str">
        <f>UnosPod!AA3</f>
        <v>CR-8559/5</v>
      </c>
      <c r="Q157" s="1445"/>
      <c r="R157" s="1445"/>
      <c r="S157" s="1445"/>
      <c r="T157" s="1445"/>
      <c r="U157" s="1445"/>
      <c r="V157" s="1445"/>
      <c r="W157" s="1445"/>
      <c r="X157" s="1445"/>
      <c r="AM157" s="1446" t="str">
        <f>Direktor</f>
        <v>Nedim Vilogorac</v>
      </c>
      <c r="AN157" s="1446"/>
      <c r="AO157" s="1446"/>
      <c r="AP157" s="1446"/>
      <c r="AQ157" s="1446"/>
      <c r="AR157" s="1446"/>
      <c r="AS157" s="1446"/>
      <c r="AT157" s="1446"/>
      <c r="AU157" s="1446"/>
      <c r="AV157" s="1446"/>
    </row>
    <row r="158" s="1340" customFormat="1" ht="14.25" customHeight="1"/>
  </sheetData>
  <mergeCells count="875">
    <mergeCell ref="AM1:AV1"/>
    <mergeCell ref="AL2:AV2"/>
    <mergeCell ref="AM3:AV3"/>
    <mergeCell ref="AL4:AV4"/>
    <mergeCell ref="A8:J8"/>
    <mergeCell ref="AM8:AV8"/>
    <mergeCell ref="A10:J10"/>
    <mergeCell ref="A13:AV13"/>
    <mergeCell ref="A14:AV14"/>
    <mergeCell ref="A15:AV15"/>
    <mergeCell ref="AI17:AO17"/>
    <mergeCell ref="AP17:AV17"/>
    <mergeCell ref="AI18:AO18"/>
    <mergeCell ref="AP18:AV18"/>
    <mergeCell ref="A19:B19"/>
    <mergeCell ref="C19:X19"/>
    <mergeCell ref="Y19:AD19"/>
    <mergeCell ref="AE19:AF19"/>
    <mergeCell ref="AG19:AH19"/>
    <mergeCell ref="AI19:AO19"/>
    <mergeCell ref="AP19:AV19"/>
    <mergeCell ref="A20:B20"/>
    <mergeCell ref="C20:X20"/>
    <mergeCell ref="AE20:AF20"/>
    <mergeCell ref="AI20:AO20"/>
    <mergeCell ref="AP20:AV20"/>
    <mergeCell ref="A21:B21"/>
    <mergeCell ref="C21:X21"/>
    <mergeCell ref="Y21:AD21"/>
    <mergeCell ref="AE21:AF21"/>
    <mergeCell ref="AG21:AH21"/>
    <mergeCell ref="AI21:AO21"/>
    <mergeCell ref="AP21:AV21"/>
    <mergeCell ref="A22:B22"/>
    <mergeCell ref="C22:X22"/>
    <mergeCell ref="Y22:AD22"/>
    <mergeCell ref="AE22:AF22"/>
    <mergeCell ref="AG22:AH22"/>
    <mergeCell ref="AI22:AO22"/>
    <mergeCell ref="AP22:AV22"/>
    <mergeCell ref="A23:B23"/>
    <mergeCell ref="C23:X23"/>
    <mergeCell ref="Y23:AD23"/>
    <mergeCell ref="AE23:AF23"/>
    <mergeCell ref="AG23:AH23"/>
    <mergeCell ref="AI23:AO23"/>
    <mergeCell ref="AP23:AV23"/>
    <mergeCell ref="A24:B24"/>
    <mergeCell ref="C24:X24"/>
    <mergeCell ref="Y24:AD24"/>
    <mergeCell ref="AE24:AF24"/>
    <mergeCell ref="AG24:AH24"/>
    <mergeCell ref="AI24:AO24"/>
    <mergeCell ref="AP24:AV24"/>
    <mergeCell ref="A25:B25"/>
    <mergeCell ref="C25:X25"/>
    <mergeCell ref="Y25:AD25"/>
    <mergeCell ref="AE25:AF25"/>
    <mergeCell ref="AG25:AH25"/>
    <mergeCell ref="AI25:AO25"/>
    <mergeCell ref="AP25:AV25"/>
    <mergeCell ref="A26:B26"/>
    <mergeCell ref="C26:X26"/>
    <mergeCell ref="Y26:AD26"/>
    <mergeCell ref="AE26:AF26"/>
    <mergeCell ref="AG26:AH26"/>
    <mergeCell ref="AI26:AO26"/>
    <mergeCell ref="AP26:AV26"/>
    <mergeCell ref="A27:B27"/>
    <mergeCell ref="C27:X27"/>
    <mergeCell ref="Y27:AD27"/>
    <mergeCell ref="AE27:AF27"/>
    <mergeCell ref="AG27:AH27"/>
    <mergeCell ref="AI27:AO27"/>
    <mergeCell ref="AP27:AV27"/>
    <mergeCell ref="A28:B28"/>
    <mergeCell ref="C28:X28"/>
    <mergeCell ref="Y28:AD28"/>
    <mergeCell ref="AE28:AF28"/>
    <mergeCell ref="AG28:AH28"/>
    <mergeCell ref="AI28:AO28"/>
    <mergeCell ref="AP28:AV28"/>
    <mergeCell ref="A29:B29"/>
    <mergeCell ref="C29:X29"/>
    <mergeCell ref="Y29:AD29"/>
    <mergeCell ref="AE29:AF29"/>
    <mergeCell ref="AG29:AH29"/>
    <mergeCell ref="AI29:AO29"/>
    <mergeCell ref="AP29:AV29"/>
    <mergeCell ref="A30:B30"/>
    <mergeCell ref="C30:X30"/>
    <mergeCell ref="Y30:AD30"/>
    <mergeCell ref="AE30:AF30"/>
    <mergeCell ref="AG30:AH30"/>
    <mergeCell ref="AI30:AO30"/>
    <mergeCell ref="AP30:AV30"/>
    <mergeCell ref="A31:B31"/>
    <mergeCell ref="C31:X31"/>
    <mergeCell ref="Y31:AD31"/>
    <mergeCell ref="AE31:AF31"/>
    <mergeCell ref="AG31:AH31"/>
    <mergeCell ref="AI31:AO31"/>
    <mergeCell ref="AP31:AV31"/>
    <mergeCell ref="A32:B32"/>
    <mergeCell ref="C32:X32"/>
    <mergeCell ref="Y32:AD32"/>
    <mergeCell ref="AE32:AF32"/>
    <mergeCell ref="AG32:AH32"/>
    <mergeCell ref="AI32:AO32"/>
    <mergeCell ref="AP32:AV32"/>
    <mergeCell ref="A33:B33"/>
    <mergeCell ref="C33:X33"/>
    <mergeCell ref="Y33:AD33"/>
    <mergeCell ref="AE33:AF33"/>
    <mergeCell ref="AG33:AH33"/>
    <mergeCell ref="AI33:AO33"/>
    <mergeCell ref="AP33:AV33"/>
    <mergeCell ref="A34:B34"/>
    <mergeCell ref="C34:X34"/>
    <mergeCell ref="Y34:AD34"/>
    <mergeCell ref="AE34:AF34"/>
    <mergeCell ref="AG34:AH34"/>
    <mergeCell ref="AI34:AO34"/>
    <mergeCell ref="AP34:AV34"/>
    <mergeCell ref="A35:B35"/>
    <mergeCell ref="C35:X35"/>
    <mergeCell ref="Y35:AD35"/>
    <mergeCell ref="AE35:AF35"/>
    <mergeCell ref="AG35:AH35"/>
    <mergeCell ref="AI35:AO35"/>
    <mergeCell ref="AP35:AV35"/>
    <mergeCell ref="A36:B36"/>
    <mergeCell ref="C36:X36"/>
    <mergeCell ref="Y36:AD36"/>
    <mergeCell ref="AE36:AF36"/>
    <mergeCell ref="AG36:AH36"/>
    <mergeCell ref="AI36:AO36"/>
    <mergeCell ref="AP36:AV36"/>
    <mergeCell ref="A37:B37"/>
    <mergeCell ref="C37:X37"/>
    <mergeCell ref="Y37:AD37"/>
    <mergeCell ref="AE37:AF37"/>
    <mergeCell ref="AG37:AH37"/>
    <mergeCell ref="AI37:AO37"/>
    <mergeCell ref="AP37:AV37"/>
    <mergeCell ref="A38:B38"/>
    <mergeCell ref="C38:X38"/>
    <mergeCell ref="Y38:AD38"/>
    <mergeCell ref="AE38:AF38"/>
    <mergeCell ref="AG38:AH38"/>
    <mergeCell ref="AI38:AO38"/>
    <mergeCell ref="AP38:AV38"/>
    <mergeCell ref="A39:B39"/>
    <mergeCell ref="C39:X39"/>
    <mergeCell ref="Y39:AD39"/>
    <mergeCell ref="AE39:AF39"/>
    <mergeCell ref="AG39:AH39"/>
    <mergeCell ref="AI39:AO39"/>
    <mergeCell ref="AP39:AV39"/>
    <mergeCell ref="A40:B40"/>
    <mergeCell ref="C40:X40"/>
    <mergeCell ref="Y40:AD40"/>
    <mergeCell ref="AE40:AF40"/>
    <mergeCell ref="AG40:AH40"/>
    <mergeCell ref="AI40:AO40"/>
    <mergeCell ref="AP40:AV40"/>
    <mergeCell ref="A41:B41"/>
    <mergeCell ref="C41:X41"/>
    <mergeCell ref="Y41:AD41"/>
    <mergeCell ref="AE41:AF41"/>
    <mergeCell ref="AG41:AH41"/>
    <mergeCell ref="AI41:AO41"/>
    <mergeCell ref="AP41:AV41"/>
    <mergeCell ref="A42:B42"/>
    <mergeCell ref="C42:X42"/>
    <mergeCell ref="Y42:AD42"/>
    <mergeCell ref="AE42:AF42"/>
    <mergeCell ref="AG42:AH42"/>
    <mergeCell ref="AI42:AO42"/>
    <mergeCell ref="AP42:AV42"/>
    <mergeCell ref="A43:B43"/>
    <mergeCell ref="C43:X43"/>
    <mergeCell ref="Y43:AD43"/>
    <mergeCell ref="AE43:AF43"/>
    <mergeCell ref="AG43:AH43"/>
    <mergeCell ref="AI43:AO43"/>
    <mergeCell ref="AP43:AV43"/>
    <mergeCell ref="A44:B44"/>
    <mergeCell ref="C44:X44"/>
    <mergeCell ref="Y44:AD44"/>
    <mergeCell ref="AE44:AF44"/>
    <mergeCell ref="AG44:AH44"/>
    <mergeCell ref="AI44:AO44"/>
    <mergeCell ref="AP44:AV44"/>
    <mergeCell ref="A47:B47"/>
    <mergeCell ref="C47:X47"/>
    <mergeCell ref="Y47:AD47"/>
    <mergeCell ref="AE47:AF47"/>
    <mergeCell ref="AG47:AH47"/>
    <mergeCell ref="AI47:AO47"/>
    <mergeCell ref="AP47:AV47"/>
    <mergeCell ref="A48:B48"/>
    <mergeCell ref="C48:X48"/>
    <mergeCell ref="Y48:AD48"/>
    <mergeCell ref="AE48:AF48"/>
    <mergeCell ref="AG48:AH48"/>
    <mergeCell ref="AI48:AO48"/>
    <mergeCell ref="AP48:AV48"/>
    <mergeCell ref="A49:B49"/>
    <mergeCell ref="C49:X49"/>
    <mergeCell ref="Y49:AD49"/>
    <mergeCell ref="AE49:AF49"/>
    <mergeCell ref="AG49:AH49"/>
    <mergeCell ref="AI49:AO49"/>
    <mergeCell ref="AP49:AV49"/>
    <mergeCell ref="A50:B50"/>
    <mergeCell ref="C50:X50"/>
    <mergeCell ref="Y50:AD50"/>
    <mergeCell ref="AE50:AF50"/>
    <mergeCell ref="AG50:AH50"/>
    <mergeCell ref="AI50:AO50"/>
    <mergeCell ref="AP50:AV50"/>
    <mergeCell ref="A51:B51"/>
    <mergeCell ref="C51:X51"/>
    <mergeCell ref="Y51:AD51"/>
    <mergeCell ref="AE51:AF51"/>
    <mergeCell ref="AG51:AH51"/>
    <mergeCell ref="AI51:AO51"/>
    <mergeCell ref="AP51:AV51"/>
    <mergeCell ref="A52:B52"/>
    <mergeCell ref="C52:X52"/>
    <mergeCell ref="Y52:AD52"/>
    <mergeCell ref="AE52:AF52"/>
    <mergeCell ref="AG52:AH52"/>
    <mergeCell ref="AI52:AO52"/>
    <mergeCell ref="AP52:AV52"/>
    <mergeCell ref="A53:B53"/>
    <mergeCell ref="C53:X53"/>
    <mergeCell ref="Y53:AD53"/>
    <mergeCell ref="AE53:AF53"/>
    <mergeCell ref="AG53:AH53"/>
    <mergeCell ref="AI53:AO53"/>
    <mergeCell ref="AP53:AV53"/>
    <mergeCell ref="A54:B54"/>
    <mergeCell ref="C54:X54"/>
    <mergeCell ref="Y54:AD54"/>
    <mergeCell ref="AE54:AF54"/>
    <mergeCell ref="AG54:AH54"/>
    <mergeCell ref="AI54:AO54"/>
    <mergeCell ref="AP54:AV54"/>
    <mergeCell ref="A55:B55"/>
    <mergeCell ref="C55:X55"/>
    <mergeCell ref="Y55:AD55"/>
    <mergeCell ref="AE55:AF55"/>
    <mergeCell ref="AG55:AH55"/>
    <mergeCell ref="AI55:AO55"/>
    <mergeCell ref="AP55:AV55"/>
    <mergeCell ref="A56:B56"/>
    <mergeCell ref="C56:X56"/>
    <mergeCell ref="Y56:AD56"/>
    <mergeCell ref="AE56:AF56"/>
    <mergeCell ref="AG56:AH56"/>
    <mergeCell ref="AI56:AO56"/>
    <mergeCell ref="AP56:AV56"/>
    <mergeCell ref="A57:B57"/>
    <mergeCell ref="C57:X57"/>
    <mergeCell ref="Y57:AD57"/>
    <mergeCell ref="AE57:AF57"/>
    <mergeCell ref="AG57:AH57"/>
    <mergeCell ref="AI57:AO57"/>
    <mergeCell ref="AP57:AV57"/>
    <mergeCell ref="A58:B58"/>
    <mergeCell ref="C58:X58"/>
    <mergeCell ref="Y58:AD58"/>
    <mergeCell ref="AE58:AF58"/>
    <mergeCell ref="AG58:AH58"/>
    <mergeCell ref="AI58:AO58"/>
    <mergeCell ref="AP58:AV58"/>
    <mergeCell ref="A59:B59"/>
    <mergeCell ref="C59:X59"/>
    <mergeCell ref="Y59:AD59"/>
    <mergeCell ref="AE59:AF59"/>
    <mergeCell ref="AG59:AH59"/>
    <mergeCell ref="AI59:AO59"/>
    <mergeCell ref="AP59:AV59"/>
    <mergeCell ref="A60:B60"/>
    <mergeCell ref="C60:X60"/>
    <mergeCell ref="Y60:AD60"/>
    <mergeCell ref="AE60:AF60"/>
    <mergeCell ref="AG60:AH60"/>
    <mergeCell ref="AI60:AO60"/>
    <mergeCell ref="AP60:AV60"/>
    <mergeCell ref="A61:B61"/>
    <mergeCell ref="C61:X61"/>
    <mergeCell ref="Y61:AD61"/>
    <mergeCell ref="AE61:AF61"/>
    <mergeCell ref="AG61:AH61"/>
    <mergeCell ref="AI61:AO61"/>
    <mergeCell ref="AP61:AV61"/>
    <mergeCell ref="A62:B62"/>
    <mergeCell ref="C62:X62"/>
    <mergeCell ref="Y62:AD62"/>
    <mergeCell ref="AE62:AF62"/>
    <mergeCell ref="AG62:AH62"/>
    <mergeCell ref="AI62:AO62"/>
    <mergeCell ref="AP62:AV62"/>
    <mergeCell ref="A63:B63"/>
    <mergeCell ref="C63:X63"/>
    <mergeCell ref="Y63:AD63"/>
    <mergeCell ref="AE63:AF63"/>
    <mergeCell ref="AG63:AH63"/>
    <mergeCell ref="AI63:AO63"/>
    <mergeCell ref="AP63:AV63"/>
    <mergeCell ref="A64:B64"/>
    <mergeCell ref="C64:X64"/>
    <mergeCell ref="Y64:AD64"/>
    <mergeCell ref="AE64:AF64"/>
    <mergeCell ref="AG64:AH64"/>
    <mergeCell ref="AI64:AO64"/>
    <mergeCell ref="AP64:AV64"/>
    <mergeCell ref="A65:B65"/>
    <mergeCell ref="C65:X65"/>
    <mergeCell ref="Y65:AD65"/>
    <mergeCell ref="AE65:AF65"/>
    <mergeCell ref="AG65:AH65"/>
    <mergeCell ref="AI65:AO65"/>
    <mergeCell ref="AP65:AV65"/>
    <mergeCell ref="A66:B66"/>
    <mergeCell ref="C66:X66"/>
    <mergeCell ref="Y66:AD66"/>
    <mergeCell ref="AE66:AF66"/>
    <mergeCell ref="AG66:AH66"/>
    <mergeCell ref="AI66:AO66"/>
    <mergeCell ref="AP66:AV66"/>
    <mergeCell ref="A67:B67"/>
    <mergeCell ref="C67:X67"/>
    <mergeCell ref="Y67:AD67"/>
    <mergeCell ref="AE67:AF67"/>
    <mergeCell ref="AG67:AH67"/>
    <mergeCell ref="AI67:AO67"/>
    <mergeCell ref="AP67:AV67"/>
    <mergeCell ref="A68:B68"/>
    <mergeCell ref="C68:X68"/>
    <mergeCell ref="Y68:AD68"/>
    <mergeCell ref="AE68:AF68"/>
    <mergeCell ref="AG68:AH68"/>
    <mergeCell ref="AI68:AO68"/>
    <mergeCell ref="AP68:AV68"/>
    <mergeCell ref="A69:B69"/>
    <mergeCell ref="C69:X69"/>
    <mergeCell ref="Y69:AD69"/>
    <mergeCell ref="AE69:AF69"/>
    <mergeCell ref="AG69:AH69"/>
    <mergeCell ref="AI69:AO69"/>
    <mergeCell ref="AP69:AV69"/>
    <mergeCell ref="A70:B70"/>
    <mergeCell ref="C70:X70"/>
    <mergeCell ref="Y70:AD70"/>
    <mergeCell ref="AE70:AF70"/>
    <mergeCell ref="AG70:AH70"/>
    <mergeCell ref="AI70:AO70"/>
    <mergeCell ref="AP70:AV70"/>
    <mergeCell ref="A71:B71"/>
    <mergeCell ref="C71:X71"/>
    <mergeCell ref="Y71:AD71"/>
    <mergeCell ref="AE71:AF71"/>
    <mergeCell ref="AG71:AH71"/>
    <mergeCell ref="AI71:AO71"/>
    <mergeCell ref="AP71:AV71"/>
    <mergeCell ref="A72:B72"/>
    <mergeCell ref="C72:X72"/>
    <mergeCell ref="Y72:AD72"/>
    <mergeCell ref="AE72:AF72"/>
    <mergeCell ref="AG72:AH72"/>
    <mergeCell ref="AI72:AO72"/>
    <mergeCell ref="AP72:AV72"/>
    <mergeCell ref="A73:B73"/>
    <mergeCell ref="C73:X73"/>
    <mergeCell ref="Y73:AD73"/>
    <mergeCell ref="AE73:AF73"/>
    <mergeCell ref="AG73:AH73"/>
    <mergeCell ref="AI73:AO73"/>
    <mergeCell ref="AP73:AV73"/>
    <mergeCell ref="A74:B74"/>
    <mergeCell ref="C74:X74"/>
    <mergeCell ref="Y74:AD74"/>
    <mergeCell ref="AE74:AF74"/>
    <mergeCell ref="AG74:AH74"/>
    <mergeCell ref="AI74:AO74"/>
    <mergeCell ref="AP74:AV74"/>
    <mergeCell ref="A75:B75"/>
    <mergeCell ref="C75:X75"/>
    <mergeCell ref="Y75:AD75"/>
    <mergeCell ref="AE75:AF75"/>
    <mergeCell ref="AG75:AH75"/>
    <mergeCell ref="AI75:AO75"/>
    <mergeCell ref="AP75:AV75"/>
    <mergeCell ref="A76:B76"/>
    <mergeCell ref="C76:X76"/>
    <mergeCell ref="Y76:AD76"/>
    <mergeCell ref="AE76:AF76"/>
    <mergeCell ref="AG76:AH76"/>
    <mergeCell ref="AI76:AO76"/>
    <mergeCell ref="AP76:AV76"/>
    <mergeCell ref="A77:B77"/>
    <mergeCell ref="C77:X77"/>
    <mergeCell ref="Y77:AD77"/>
    <mergeCell ref="AE77:AF77"/>
    <mergeCell ref="AG77:AH77"/>
    <mergeCell ref="AI77:AO77"/>
    <mergeCell ref="AP77:AV77"/>
    <mergeCell ref="A78:B78"/>
    <mergeCell ref="C78:X78"/>
    <mergeCell ref="Y78:AD78"/>
    <mergeCell ref="AE78:AF78"/>
    <mergeCell ref="AG78:AH78"/>
    <mergeCell ref="AI78:AO78"/>
    <mergeCell ref="AP78:AV78"/>
    <mergeCell ref="A79:B79"/>
    <mergeCell ref="C79:X79"/>
    <mergeCell ref="Y79:AD79"/>
    <mergeCell ref="AE79:AF79"/>
    <mergeCell ref="AG79:AH79"/>
    <mergeCell ref="AI79:AO79"/>
    <mergeCell ref="AP79:AV79"/>
    <mergeCell ref="A80:B80"/>
    <mergeCell ref="C80:X80"/>
    <mergeCell ref="Y80:AD80"/>
    <mergeCell ref="AE80:AF80"/>
    <mergeCell ref="AG80:AH80"/>
    <mergeCell ref="AI80:AO80"/>
    <mergeCell ref="AP80:AV80"/>
    <mergeCell ref="A81:B81"/>
    <mergeCell ref="C81:X81"/>
    <mergeCell ref="Y81:AD81"/>
    <mergeCell ref="AE81:AF81"/>
    <mergeCell ref="AG81:AH81"/>
    <mergeCell ref="AI81:AO81"/>
    <mergeCell ref="AP81:AV81"/>
    <mergeCell ref="A82:B82"/>
    <mergeCell ref="C82:X82"/>
    <mergeCell ref="Y82:AD82"/>
    <mergeCell ref="AE82:AF82"/>
    <mergeCell ref="AG82:AH82"/>
    <mergeCell ref="AI82:AO82"/>
    <mergeCell ref="AP82:AV82"/>
    <mergeCell ref="A83:B83"/>
    <mergeCell ref="C83:X83"/>
    <mergeCell ref="Y83:AD83"/>
    <mergeCell ref="AE83:AF83"/>
    <mergeCell ref="AG83:AH83"/>
    <mergeCell ref="AI83:AO83"/>
    <mergeCell ref="AP83:AV83"/>
    <mergeCell ref="A84:B84"/>
    <mergeCell ref="C84:X84"/>
    <mergeCell ref="Y84:AD84"/>
    <mergeCell ref="AE84:AF84"/>
    <mergeCell ref="AG84:AH84"/>
    <mergeCell ref="AI84:AO84"/>
    <mergeCell ref="AP84:AV84"/>
    <mergeCell ref="A85:B85"/>
    <mergeCell ref="C85:X85"/>
    <mergeCell ref="Y85:AD85"/>
    <mergeCell ref="AE85:AF85"/>
    <mergeCell ref="AG85:AH85"/>
    <mergeCell ref="AI85:AO85"/>
    <mergeCell ref="AP85:AV85"/>
    <mergeCell ref="AI86:AO86"/>
    <mergeCell ref="AP86:AV86"/>
    <mergeCell ref="A89:B89"/>
    <mergeCell ref="AG89:AH89"/>
    <mergeCell ref="AI89:AO89"/>
    <mergeCell ref="AP89:AV89"/>
    <mergeCell ref="A90:B90"/>
    <mergeCell ref="AG90:AH90"/>
    <mergeCell ref="AI90:AO90"/>
    <mergeCell ref="AP90:AV90"/>
    <mergeCell ref="A91:B91"/>
    <mergeCell ref="C91:X91"/>
    <mergeCell ref="Y91:AD91"/>
    <mergeCell ref="AE91:AF91"/>
    <mergeCell ref="AG91:AH91"/>
    <mergeCell ref="AI91:AO91"/>
    <mergeCell ref="AP91:AV91"/>
    <mergeCell ref="A92:B92"/>
    <mergeCell ref="C92:X92"/>
    <mergeCell ref="Y92:AD92"/>
    <mergeCell ref="AE92:AF92"/>
    <mergeCell ref="AI92:AO92"/>
    <mergeCell ref="AP92:AV92"/>
    <mergeCell ref="A93:B93"/>
    <mergeCell ref="C93:X93"/>
    <mergeCell ref="Y93:AD93"/>
    <mergeCell ref="AE93:AF93"/>
    <mergeCell ref="AG93:AH93"/>
    <mergeCell ref="AI93:AO93"/>
    <mergeCell ref="AP93:AV93"/>
    <mergeCell ref="A94:B94"/>
    <mergeCell ref="C94:X94"/>
    <mergeCell ref="Y94:AD94"/>
    <mergeCell ref="AE94:AF94"/>
    <mergeCell ref="AG94:AH94"/>
    <mergeCell ref="AI94:AO94"/>
    <mergeCell ref="AP94:AV94"/>
    <mergeCell ref="A95:B95"/>
    <mergeCell ref="C95:X95"/>
    <mergeCell ref="Y95:AD95"/>
    <mergeCell ref="AE95:AF95"/>
    <mergeCell ref="AG95:AH95"/>
    <mergeCell ref="AI95:AO95"/>
    <mergeCell ref="AP95:AV95"/>
    <mergeCell ref="A96:B96"/>
    <mergeCell ref="C96:X96"/>
    <mergeCell ref="Y96:AD96"/>
    <mergeCell ref="AE96:AF96"/>
    <mergeCell ref="AG96:AH96"/>
    <mergeCell ref="AI96:AO96"/>
    <mergeCell ref="AP96:AV96"/>
    <mergeCell ref="A97:B97"/>
    <mergeCell ref="C97:X97"/>
    <mergeCell ref="Y97:AD97"/>
    <mergeCell ref="AE97:AF97"/>
    <mergeCell ref="AG97:AH97"/>
    <mergeCell ref="AI97:AO97"/>
    <mergeCell ref="AP97:AV97"/>
    <mergeCell ref="A98:B98"/>
    <mergeCell ref="C98:X98"/>
    <mergeCell ref="Y98:AD98"/>
    <mergeCell ref="AE98:AF98"/>
    <mergeCell ref="AG98:AH98"/>
    <mergeCell ref="AI98:AO98"/>
    <mergeCell ref="AP98:AV98"/>
    <mergeCell ref="A99:B99"/>
    <mergeCell ref="C99:X99"/>
    <mergeCell ref="Y99:AD99"/>
    <mergeCell ref="AE99:AF99"/>
    <mergeCell ref="AG99:AH99"/>
    <mergeCell ref="AI99:AO99"/>
    <mergeCell ref="AP99:AV99"/>
    <mergeCell ref="A100:B100"/>
    <mergeCell ref="C100:X100"/>
    <mergeCell ref="Y100:AD100"/>
    <mergeCell ref="AE100:AF100"/>
    <mergeCell ref="AG100:AH100"/>
    <mergeCell ref="AI100:AO100"/>
    <mergeCell ref="AP100:AV100"/>
    <mergeCell ref="A101:B101"/>
    <mergeCell ref="C101:X101"/>
    <mergeCell ref="Y101:AD101"/>
    <mergeCell ref="AE101:AF101"/>
    <mergeCell ref="AG101:AH101"/>
    <mergeCell ref="AI101:AO101"/>
    <mergeCell ref="AP101:AV101"/>
    <mergeCell ref="A102:B102"/>
    <mergeCell ref="C102:X102"/>
    <mergeCell ref="Y102:AD102"/>
    <mergeCell ref="AE102:AF102"/>
    <mergeCell ref="AG102:AH102"/>
    <mergeCell ref="AI102:AO102"/>
    <mergeCell ref="AP102:AV102"/>
    <mergeCell ref="A103:B103"/>
    <mergeCell ref="C103:X103"/>
    <mergeCell ref="Y103:AD103"/>
    <mergeCell ref="AE103:AF103"/>
    <mergeCell ref="AG103:AH103"/>
    <mergeCell ref="AI103:AO103"/>
    <mergeCell ref="AP103:AV103"/>
    <mergeCell ref="A104:B104"/>
    <mergeCell ref="C104:X104"/>
    <mergeCell ref="Y104:AD104"/>
    <mergeCell ref="AE104:AF104"/>
    <mergeCell ref="AG104:AH104"/>
    <mergeCell ref="AI104:AO104"/>
    <mergeCell ref="AP104:AV104"/>
    <mergeCell ref="A105:B105"/>
    <mergeCell ref="C105:X105"/>
    <mergeCell ref="Y105:AD105"/>
    <mergeCell ref="AE105:AF105"/>
    <mergeCell ref="AG105:AH105"/>
    <mergeCell ref="AI105:AO105"/>
    <mergeCell ref="AP105:AV105"/>
    <mergeCell ref="A106:B106"/>
    <mergeCell ref="C106:X106"/>
    <mergeCell ref="Y106:AD106"/>
    <mergeCell ref="AE106:AF106"/>
    <mergeCell ref="AG106:AH106"/>
    <mergeCell ref="AI106:AO106"/>
    <mergeCell ref="AP106:AV106"/>
    <mergeCell ref="A107:B107"/>
    <mergeCell ref="C107:X107"/>
    <mergeCell ref="Y107:AD107"/>
    <mergeCell ref="AE107:AF107"/>
    <mergeCell ref="AG107:AH107"/>
    <mergeCell ref="AI107:AO107"/>
    <mergeCell ref="AP107:AV107"/>
    <mergeCell ref="A108:B108"/>
    <mergeCell ref="C108:X108"/>
    <mergeCell ref="Y108:AD108"/>
    <mergeCell ref="AE108:AF108"/>
    <mergeCell ref="AG108:AH108"/>
    <mergeCell ref="AI108:AO108"/>
    <mergeCell ref="AP108:AV108"/>
    <mergeCell ref="A109:B109"/>
    <mergeCell ref="C109:X109"/>
    <mergeCell ref="Y109:AD109"/>
    <mergeCell ref="AE109:AF109"/>
    <mergeCell ref="AG109:AH109"/>
    <mergeCell ref="AI109:AO109"/>
    <mergeCell ref="AP109:AV109"/>
    <mergeCell ref="A110:B110"/>
    <mergeCell ref="C110:X110"/>
    <mergeCell ref="Y110:AD110"/>
    <mergeCell ref="AE110:AF110"/>
    <mergeCell ref="AG110:AH110"/>
    <mergeCell ref="AI110:AO110"/>
    <mergeCell ref="AP110:AV110"/>
    <mergeCell ref="A111:B111"/>
    <mergeCell ref="C111:X111"/>
    <mergeCell ref="Y111:AD111"/>
    <mergeCell ref="AE111:AF111"/>
    <mergeCell ref="AG111:AH111"/>
    <mergeCell ref="AI111:AO111"/>
    <mergeCell ref="AP111:AV111"/>
    <mergeCell ref="A112:B112"/>
    <mergeCell ref="C112:X112"/>
    <mergeCell ref="Y112:AD112"/>
    <mergeCell ref="AE112:AF112"/>
    <mergeCell ref="AG112:AH112"/>
    <mergeCell ref="AI112:AO112"/>
    <mergeCell ref="AP112:AV112"/>
    <mergeCell ref="A113:B113"/>
    <mergeCell ref="C113:X113"/>
    <mergeCell ref="Y113:AD113"/>
    <mergeCell ref="AE113:AF113"/>
    <mergeCell ref="AG113:AH113"/>
    <mergeCell ref="AI113:AO113"/>
    <mergeCell ref="AP113:AV113"/>
    <mergeCell ref="A114:B114"/>
    <mergeCell ref="C114:X114"/>
    <mergeCell ref="Y114:AD114"/>
    <mergeCell ref="AE114:AF114"/>
    <mergeCell ref="AG114:AH114"/>
    <mergeCell ref="AI114:AO114"/>
    <mergeCell ref="AP114:AV114"/>
    <mergeCell ref="A115:B115"/>
    <mergeCell ref="C115:X115"/>
    <mergeCell ref="Y115:AD115"/>
    <mergeCell ref="AE115:AF115"/>
    <mergeCell ref="AG115:AH115"/>
    <mergeCell ref="AI115:AO115"/>
    <mergeCell ref="AP115:AV115"/>
    <mergeCell ref="A123:B123"/>
    <mergeCell ref="C123:X123"/>
    <mergeCell ref="Y123:AD123"/>
    <mergeCell ref="AE123:AF123"/>
    <mergeCell ref="AG123:AH123"/>
    <mergeCell ref="AI123:AO123"/>
    <mergeCell ref="AP123:AV123"/>
    <mergeCell ref="A124:B124"/>
    <mergeCell ref="C124:X124"/>
    <mergeCell ref="Y124:AD124"/>
    <mergeCell ref="AE124:AF124"/>
    <mergeCell ref="AI124:AO124"/>
    <mergeCell ref="AP124:AV124"/>
    <mergeCell ref="A125:B125"/>
    <mergeCell ref="C125:X125"/>
    <mergeCell ref="Y125:AD125"/>
    <mergeCell ref="AE125:AF125"/>
    <mergeCell ref="AG125:AH125"/>
    <mergeCell ref="AI125:AO125"/>
    <mergeCell ref="AP125:AV125"/>
    <mergeCell ref="A126:B126"/>
    <mergeCell ref="C126:X126"/>
    <mergeCell ref="Y126:AD126"/>
    <mergeCell ref="AE126:AF126"/>
    <mergeCell ref="AG126:AH126"/>
    <mergeCell ref="AI126:AO126"/>
    <mergeCell ref="AP126:AV126"/>
    <mergeCell ref="A127:B127"/>
    <mergeCell ref="C127:X127"/>
    <mergeCell ref="Y127:AD127"/>
    <mergeCell ref="AE127:AF127"/>
    <mergeCell ref="AG127:AH127"/>
    <mergeCell ref="AI127:AO127"/>
    <mergeCell ref="AP127:AV127"/>
    <mergeCell ref="A128:B128"/>
    <mergeCell ref="C128:X128"/>
    <mergeCell ref="Y128:AD128"/>
    <mergeCell ref="AE128:AF128"/>
    <mergeCell ref="AG128:AH128"/>
    <mergeCell ref="AI128:AO128"/>
    <mergeCell ref="AP128:AV128"/>
    <mergeCell ref="A129:B129"/>
    <mergeCell ref="C129:X129"/>
    <mergeCell ref="Y129:AD129"/>
    <mergeCell ref="AE129:AF129"/>
    <mergeCell ref="AG129:AH129"/>
    <mergeCell ref="AI129:AO129"/>
    <mergeCell ref="AP129:AV129"/>
    <mergeCell ref="A130:B130"/>
    <mergeCell ref="C130:X130"/>
    <mergeCell ref="Y130:AD130"/>
    <mergeCell ref="AE130:AF130"/>
    <mergeCell ref="AG130:AH130"/>
    <mergeCell ref="AI130:AO130"/>
    <mergeCell ref="AP130:AV130"/>
    <mergeCell ref="A131:B131"/>
    <mergeCell ref="C131:X131"/>
    <mergeCell ref="Y131:AD131"/>
    <mergeCell ref="AE131:AF131"/>
    <mergeCell ref="AG131:AH131"/>
    <mergeCell ref="AI131:AO131"/>
    <mergeCell ref="AP131:AV131"/>
    <mergeCell ref="A132:B132"/>
    <mergeCell ref="C132:X132"/>
    <mergeCell ref="Y132:AD132"/>
    <mergeCell ref="AE132:AF132"/>
    <mergeCell ref="AG132:AH132"/>
    <mergeCell ref="AI132:AO132"/>
    <mergeCell ref="AP132:AV132"/>
    <mergeCell ref="A133:B133"/>
    <mergeCell ref="C133:X133"/>
    <mergeCell ref="Y133:AD133"/>
    <mergeCell ref="AE133:AF133"/>
    <mergeCell ref="AG133:AH133"/>
    <mergeCell ref="AI133:AO133"/>
    <mergeCell ref="AP133:AV133"/>
    <mergeCell ref="A134:B134"/>
    <mergeCell ref="C134:X134"/>
    <mergeCell ref="Y134:AD134"/>
    <mergeCell ref="AE134:AF134"/>
    <mergeCell ref="AG134:AH134"/>
    <mergeCell ref="AI134:AO134"/>
    <mergeCell ref="AP134:AV134"/>
    <mergeCell ref="A135:B135"/>
    <mergeCell ref="C135:X135"/>
    <mergeCell ref="Y135:AD135"/>
    <mergeCell ref="AE135:AF135"/>
    <mergeCell ref="AG135:AH135"/>
    <mergeCell ref="AI135:AO135"/>
    <mergeCell ref="AP135:AV135"/>
    <mergeCell ref="A136:B136"/>
    <mergeCell ref="C136:X136"/>
    <mergeCell ref="Y136:AD136"/>
    <mergeCell ref="AE136:AF136"/>
    <mergeCell ref="AG136:AH136"/>
    <mergeCell ref="AI136:AO136"/>
    <mergeCell ref="AP136:AV136"/>
    <mergeCell ref="A137:B137"/>
    <mergeCell ref="C137:X137"/>
    <mergeCell ref="Y137:AD137"/>
    <mergeCell ref="AE137:AF137"/>
    <mergeCell ref="AG137:AH137"/>
    <mergeCell ref="AI137:AO137"/>
    <mergeCell ref="AP137:AV137"/>
    <mergeCell ref="A138:B138"/>
    <mergeCell ref="C138:X138"/>
    <mergeCell ref="Y138:AD138"/>
    <mergeCell ref="AE138:AF138"/>
    <mergeCell ref="AG138:AH138"/>
    <mergeCell ref="AI138:AO138"/>
    <mergeCell ref="AP138:AV138"/>
    <mergeCell ref="A139:B139"/>
    <mergeCell ref="C139:X139"/>
    <mergeCell ref="Y139:AD139"/>
    <mergeCell ref="AE139:AF139"/>
    <mergeCell ref="AG139:AH139"/>
    <mergeCell ref="AI139:AO139"/>
    <mergeCell ref="AP139:AV139"/>
    <mergeCell ref="A140:B140"/>
    <mergeCell ref="C140:X140"/>
    <mergeCell ref="Y140:AD140"/>
    <mergeCell ref="AE140:AF140"/>
    <mergeCell ref="AG140:AH140"/>
    <mergeCell ref="AI140:AO140"/>
    <mergeCell ref="AP140:AV140"/>
    <mergeCell ref="A141:B141"/>
    <mergeCell ref="C141:X141"/>
    <mergeCell ref="Y141:AD141"/>
    <mergeCell ref="AE141:AF141"/>
    <mergeCell ref="AG141:AH141"/>
    <mergeCell ref="AI141:AO141"/>
    <mergeCell ref="AP141:AV141"/>
    <mergeCell ref="A142:B142"/>
    <mergeCell ref="C142:X142"/>
    <mergeCell ref="Y142:AD142"/>
    <mergeCell ref="AE142:AF142"/>
    <mergeCell ref="AG142:AH142"/>
    <mergeCell ref="AI142:AO142"/>
    <mergeCell ref="AP142:AV142"/>
    <mergeCell ref="A143:B143"/>
    <mergeCell ref="C143:X143"/>
    <mergeCell ref="Y143:AD143"/>
    <mergeCell ref="AE143:AF143"/>
    <mergeCell ref="AG143:AH143"/>
    <mergeCell ref="AI143:AO143"/>
    <mergeCell ref="AP143:AV143"/>
    <mergeCell ref="A144:B144"/>
    <mergeCell ref="C144:X144"/>
    <mergeCell ref="Y144:AD144"/>
    <mergeCell ref="AE144:AF144"/>
    <mergeCell ref="AG144:AH144"/>
    <mergeCell ref="AI144:AO144"/>
    <mergeCell ref="AP144:AV144"/>
    <mergeCell ref="A145:B145"/>
    <mergeCell ref="C145:X145"/>
    <mergeCell ref="Y145:AD145"/>
    <mergeCell ref="AE145:AF145"/>
    <mergeCell ref="AG145:AH145"/>
    <mergeCell ref="AI145:AO145"/>
    <mergeCell ref="AP145:AV145"/>
    <mergeCell ref="A146:B146"/>
    <mergeCell ref="C146:X146"/>
    <mergeCell ref="Y146:AD146"/>
    <mergeCell ref="AE146:AF146"/>
    <mergeCell ref="AG146:AH146"/>
    <mergeCell ref="AI146:AO146"/>
    <mergeCell ref="AP146:AV146"/>
    <mergeCell ref="A147:B147"/>
    <mergeCell ref="C147:X147"/>
    <mergeCell ref="Y147:AD147"/>
    <mergeCell ref="AE147:AF147"/>
    <mergeCell ref="AG147:AH147"/>
    <mergeCell ref="AI147:AO147"/>
    <mergeCell ref="AP147:AV147"/>
    <mergeCell ref="A148:B148"/>
    <mergeCell ref="C148:X148"/>
    <mergeCell ref="Y148:AD148"/>
    <mergeCell ref="AE148:AF148"/>
    <mergeCell ref="AG148:AH148"/>
    <mergeCell ref="AI148:AO148"/>
    <mergeCell ref="AP148:AV148"/>
    <mergeCell ref="A149:B149"/>
    <mergeCell ref="C149:X149"/>
    <mergeCell ref="Y149:AD149"/>
    <mergeCell ref="AE149:AF149"/>
    <mergeCell ref="AG149:AH149"/>
    <mergeCell ref="AI149:AO149"/>
    <mergeCell ref="AP149:AV149"/>
    <mergeCell ref="A150:B150"/>
    <mergeCell ref="C150:X150"/>
    <mergeCell ref="Y150:AD150"/>
    <mergeCell ref="AE150:AF150"/>
    <mergeCell ref="AG150:AH150"/>
    <mergeCell ref="AI150:AO150"/>
    <mergeCell ref="AP150:AV150"/>
    <mergeCell ref="A151:B151"/>
    <mergeCell ref="C151:X151"/>
    <mergeCell ref="Y151:AD151"/>
    <mergeCell ref="AE151:AF151"/>
    <mergeCell ref="AG151:AH151"/>
    <mergeCell ref="AI151:AO151"/>
    <mergeCell ref="AP151:AV151"/>
    <mergeCell ref="A152:B152"/>
    <mergeCell ref="C152:X152"/>
    <mergeCell ref="Y152:AD152"/>
    <mergeCell ref="AE152:AF152"/>
    <mergeCell ref="AG152:AH152"/>
    <mergeCell ref="AI152:AO152"/>
    <mergeCell ref="AP152:AV152"/>
    <mergeCell ref="AI153:AO153"/>
    <mergeCell ref="AP153:AV153"/>
    <mergeCell ref="A155:B155"/>
    <mergeCell ref="AM155:AV155"/>
    <mergeCell ref="A156:B156"/>
    <mergeCell ref="C156:G156"/>
    <mergeCell ref="AM157:AV157"/>
    <mergeCell ref="Y17:AD18"/>
    <mergeCell ref="AE89:AF90"/>
    <mergeCell ref="C17:X18"/>
    <mergeCell ref="A17:B18"/>
    <mergeCell ref="AE17:AF18"/>
    <mergeCell ref="AG17:AH18"/>
    <mergeCell ref="C89:X90"/>
    <mergeCell ref="A5:X6"/>
  </mergeCells>
  <dataValidations count="1">
    <dataValidation type="custom" allowBlank="1" showInputMessage="1" showErrorMessage="1" errorTitle="GodObr 12 2020." error="Godišnji obračun 12 2020." sqref="A13:AV15">
      <formula1>Baza!$C$7="DA"</formula1>
    </dataValidation>
  </dataValidations>
  <pageMargins left="0.708661417322835" right="0.708661417322835" top="0.354330708661417" bottom="0.354330708661417" header="0.31496062992126" footer="0.31496062992126"/>
  <pageSetup paperSize="9" scale="74" fitToHeight="0" orientation="landscape"/>
  <headerFooter>
    <oddFooter>&amp;L&amp;"Arial Narrow,Uobičajeno"ekonomika.doo@bih.net.ba - 037/511-739&amp;R&amp;"Arial Narrow,Uobičajeno"Strana &amp;P</oddFooter>
  </headerFooter>
  <rowBreaks count="3" manualBreakCount="3">
    <brk id="45" max="16383" man="1"/>
    <brk id="86" max="16383" man="1"/>
    <brk id="121"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5">
    <tabColor rgb="FF0070C0"/>
    <pageSetUpPr fitToPage="1"/>
  </sheetPr>
  <dimension ref="A1:AU52"/>
  <sheetViews>
    <sheetView showGridLines="0" topLeftCell="A16" workbookViewId="0">
      <selection activeCell="AL20" sqref="AL20"/>
    </sheetView>
  </sheetViews>
  <sheetFormatPr defaultColWidth="3" defaultRowHeight="12.75"/>
  <cols>
    <col min="1" max="16384" width="3" style="572"/>
  </cols>
  <sheetData>
    <row r="1" s="874" customFormat="1" ht="18" spans="1:47">
      <c r="A1" s="879" t="str">
        <f>Firma</f>
        <v>LILIUM ASSET MANAGEMENT d.o.o. Sarajevo</v>
      </c>
      <c r="AA1" s="1231" t="str">
        <f>IdBroj</f>
        <v>4201337670009</v>
      </c>
      <c r="AB1" s="1231"/>
      <c r="AC1" s="1231"/>
      <c r="AD1" s="1231"/>
      <c r="AE1" s="1231"/>
      <c r="AF1" s="1231"/>
      <c r="AG1" s="1231"/>
      <c r="AH1" s="1231"/>
      <c r="AI1" s="1231"/>
      <c r="AJ1" s="1231"/>
    </row>
    <row r="2" s="874" customFormat="1" ht="15" customHeight="1" spans="1:47">
      <c r="A2" s="877" t="str">
        <f>Text!B2</f>
        <v>Naziv pravnog lica</v>
      </c>
      <c r="Z2" s="878" t="str">
        <f>Text!B4</f>
        <v>Identifikacioni broj za direktne poreze</v>
      </c>
      <c r="AA2" s="878"/>
      <c r="AB2" s="878"/>
      <c r="AC2" s="878"/>
      <c r="AD2" s="878"/>
      <c r="AE2" s="878"/>
      <c r="AF2" s="878"/>
      <c r="AG2" s="878"/>
      <c r="AH2" s="878"/>
      <c r="AI2" s="878"/>
      <c r="AJ2" s="878"/>
    </row>
    <row r="3" s="875" customFormat="1" ht="18.75" customHeight="1" spans="1:47">
      <c r="A3" s="882" t="str">
        <f>Sjedište&amp;", "&amp;Adresa</f>
        <v>Sarajevo-Stari Grad, Dženetića čikma br.8</v>
      </c>
      <c r="Z3" s="880"/>
      <c r="AA3" s="1231" t="str">
        <f>Pdv_Broj</f>
        <v>201337670009</v>
      </c>
      <c r="AB3" s="1231"/>
      <c r="AC3" s="1231"/>
      <c r="AD3" s="1231"/>
      <c r="AE3" s="1231"/>
      <c r="AF3" s="1231"/>
      <c r="AG3" s="1231"/>
      <c r="AH3" s="1231"/>
      <c r="AI3" s="1231"/>
      <c r="AJ3" s="1231"/>
      <c r="AK3" s="880"/>
    </row>
    <row r="4" s="874" customFormat="1" ht="15" customHeight="1" spans="1:47">
      <c r="A4" s="877" t="str">
        <f>Text!B3</f>
        <v>Sjedište i adresa pravnog lica</v>
      </c>
      <c r="Z4" s="878" t="str">
        <f>Text!B5</f>
        <v>Identifikacioni  broj za indirektne poreze</v>
      </c>
      <c r="AA4" s="878"/>
      <c r="AB4" s="878"/>
      <c r="AC4" s="878"/>
      <c r="AD4" s="878"/>
      <c r="AE4" s="878"/>
      <c r="AF4" s="878"/>
      <c r="AG4" s="878"/>
      <c r="AH4" s="878"/>
      <c r="AI4" s="878"/>
      <c r="AJ4" s="878"/>
    </row>
    <row r="5" s="875" customFormat="1" ht="19.5" customHeight="1" spans="1:47">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Z5" s="880"/>
      <c r="AK5" s="880"/>
    </row>
    <row r="6" s="876" customFormat="1" ht="16.5" customHeight="1" spans="1:47">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AJ6" s="1231" t="str">
        <f>Sif_Djelatn</f>
        <v>66.30</v>
      </c>
    </row>
    <row r="7" s="875" customFormat="1" ht="16.5" customHeight="1" spans="1:47">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AJ7" s="878" t="str">
        <f>Text!B22&amp;" KD BiH 2010"</f>
        <v>Šifra djelatnosti po KD BiH 2010</v>
      </c>
    </row>
    <row r="8" s="876" customFormat="1" ht="16.5" customHeight="1" spans="1:47">
      <c r="A8" s="1232" t="str">
        <f>Banka</f>
        <v>Raiffeisen Bank d.d. BiH</v>
      </c>
      <c r="B8" s="1232"/>
      <c r="C8" s="1232"/>
      <c r="D8" s="1232"/>
      <c r="E8" s="1232"/>
      <c r="F8" s="1232"/>
      <c r="G8" s="1232"/>
      <c r="H8" s="1232"/>
      <c r="I8" s="1232"/>
      <c r="J8" s="1232"/>
      <c r="AA8" s="881" t="str">
        <f>Sifra_opcine</f>
        <v>109</v>
      </c>
      <c r="AB8" s="881"/>
      <c r="AC8" s="881"/>
      <c r="AD8" s="881"/>
      <c r="AE8" s="881"/>
      <c r="AF8" s="881"/>
      <c r="AG8" s="881"/>
      <c r="AH8" s="881"/>
      <c r="AI8" s="881"/>
      <c r="AJ8" s="881"/>
    </row>
    <row r="9" s="876" customFormat="1" ht="16.5" customHeight="1" spans="1:47">
      <c r="A9" s="2379" t="str">
        <f>Text!B24</f>
        <v>Naziv banke</v>
      </c>
      <c r="B9" s="1450"/>
      <c r="C9" s="1450"/>
      <c r="D9" s="1450"/>
      <c r="E9" s="1450"/>
      <c r="F9" s="1450"/>
      <c r="G9" s="1450"/>
      <c r="H9" s="1450"/>
      <c r="I9" s="1450"/>
      <c r="Y9" s="1234"/>
      <c r="Z9" s="880"/>
      <c r="AJ9" s="878" t="str">
        <f>Text!B26</f>
        <v>Šifra općine</v>
      </c>
      <c r="AK9" s="880"/>
    </row>
    <row r="10" s="876" customFormat="1" ht="16.5" customHeight="1" spans="1:47">
      <c r="A10" s="1232" t="str">
        <f>Glavni_racun</f>
        <v>1610000189480005</v>
      </c>
      <c r="B10" s="1232"/>
      <c r="C10" s="1232"/>
      <c r="D10" s="1232"/>
      <c r="E10" s="1232"/>
      <c r="F10" s="1232"/>
      <c r="G10" s="1232"/>
      <c r="H10" s="1232"/>
      <c r="I10" s="1232"/>
      <c r="J10" s="1232"/>
      <c r="Y10" s="1234"/>
      <c r="Z10" s="1234"/>
      <c r="AA10" s="1234"/>
      <c r="AB10" s="1234"/>
      <c r="AC10" s="1234"/>
      <c r="AD10" s="1234"/>
      <c r="AM10" s="877"/>
      <c r="AN10" s="877"/>
      <c r="AO10" s="877"/>
      <c r="AP10" s="877"/>
      <c r="AQ10" s="877"/>
      <c r="AR10" s="877"/>
      <c r="AS10" s="877"/>
      <c r="AT10" s="877"/>
      <c r="AU10" s="877"/>
    </row>
    <row r="11" s="876" customFormat="1" ht="16.5" customHeight="1" spans="1:47">
      <c r="A11" s="2379" t="str">
        <f>Text!B25</f>
        <v>Broj računa</v>
      </c>
    </row>
    <row r="21" spans="1:37">
      <c r="A21" s="334"/>
      <c r="B21" s="334"/>
      <c r="C21" s="334"/>
      <c r="D21" s="334"/>
      <c r="E21" s="334"/>
      <c r="F21" s="334"/>
      <c r="G21" s="334"/>
      <c r="H21" s="334"/>
      <c r="I21" s="334"/>
      <c r="J21" s="334"/>
      <c r="K21" s="334"/>
      <c r="L21" s="334"/>
      <c r="M21" s="334"/>
      <c r="N21" s="334"/>
      <c r="O21" s="334"/>
      <c r="P21" s="334"/>
      <c r="Q21" s="334"/>
      <c r="R21" s="334"/>
      <c r="S21" s="334"/>
    </row>
    <row r="22" ht="18" spans="1:37">
      <c r="A22" s="2650" t="s">
        <v>7091</v>
      </c>
      <c r="B22" s="2650"/>
      <c r="C22" s="2650"/>
      <c r="D22" s="2650"/>
      <c r="E22" s="2650"/>
      <c r="F22" s="2650"/>
      <c r="G22" s="2650"/>
      <c r="H22" s="2650"/>
      <c r="I22" s="2650"/>
      <c r="J22" s="2650"/>
      <c r="K22" s="2650"/>
      <c r="L22" s="2650"/>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row>
    <row r="23" ht="14.25" spans="1:37">
      <c r="A23" s="576" t="s">
        <v>7092</v>
      </c>
      <c r="B23" s="576"/>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row>
    <row r="24" ht="14.25" spans="1:37">
      <c r="A24" s="576" t="str">
        <f ca="1">Text!B56</f>
        <v>za period od 01.01.2025. do 31.12.2025. godine</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row>
    <row r="25" spans="1:37">
      <c r="AH25" s="572" t="s">
        <v>5188</v>
      </c>
    </row>
    <row r="26" s="324" customFormat="1" ht="12" spans="1:37">
      <c r="A26" s="2651"/>
      <c r="B26" s="2652"/>
      <c r="C26" s="2653"/>
      <c r="D26" s="2653"/>
      <c r="E26" s="2653"/>
      <c r="F26" s="2653"/>
      <c r="G26" s="2653"/>
      <c r="H26" s="2653"/>
      <c r="I26" s="2653"/>
      <c r="J26" s="2653"/>
      <c r="K26" s="2653"/>
      <c r="L26" s="2653"/>
      <c r="M26" s="2653"/>
      <c r="N26" s="2653"/>
      <c r="O26" s="2653"/>
      <c r="P26" s="2653"/>
      <c r="Q26" s="2653"/>
      <c r="R26" s="2653"/>
      <c r="S26" s="2653"/>
      <c r="T26" s="2653"/>
      <c r="U26" s="2653"/>
      <c r="V26" s="2652"/>
      <c r="W26" s="2652"/>
      <c r="X26" s="2652"/>
      <c r="Y26" s="2652" t="s">
        <v>7093</v>
      </c>
      <c r="Z26" s="2652"/>
      <c r="AA26" s="2652"/>
      <c r="AB26" s="2652"/>
      <c r="AC26" s="2652"/>
      <c r="AD26" s="2652"/>
      <c r="AE26" s="2652" t="s">
        <v>7094</v>
      </c>
      <c r="AF26" s="2652"/>
      <c r="AG26" s="2652"/>
      <c r="AH26" s="2652"/>
      <c r="AI26" s="2652"/>
      <c r="AJ26" s="2654"/>
    </row>
    <row r="27" s="324" customFormat="1" ht="12" spans="1:37">
      <c r="A27" s="2655" t="s">
        <v>7095</v>
      </c>
      <c r="B27" s="2656"/>
      <c r="C27" s="2656" t="s">
        <v>7096</v>
      </c>
      <c r="D27" s="2656"/>
      <c r="E27" s="2656"/>
      <c r="F27" s="2656"/>
      <c r="G27" s="2656"/>
      <c r="H27" s="2656"/>
      <c r="I27" s="2656"/>
      <c r="J27" s="2656"/>
      <c r="K27" s="2656"/>
      <c r="L27" s="2656"/>
      <c r="M27" s="2656"/>
      <c r="N27" s="2656"/>
      <c r="O27" s="2656"/>
      <c r="P27" s="2656"/>
      <c r="Q27" s="2656"/>
      <c r="R27" s="2656"/>
      <c r="S27" s="2656"/>
      <c r="T27" s="2656"/>
      <c r="U27" s="2656"/>
      <c r="V27" s="2656" t="s">
        <v>2438</v>
      </c>
      <c r="W27" s="2656"/>
      <c r="X27" s="2656"/>
      <c r="Y27" s="2656" t="str">
        <f>Text!B8&amp;" prethodne"</f>
        <v>period prethodne</v>
      </c>
      <c r="Z27" s="2656"/>
      <c r="AA27" s="2656"/>
      <c r="AB27" s="2656"/>
      <c r="AC27" s="2656"/>
      <c r="AD27" s="2656"/>
      <c r="AE27" s="2656" t="str">
        <f>Text!B8&amp;" tekuće"</f>
        <v>period tekuće</v>
      </c>
      <c r="AF27" s="2656"/>
      <c r="AG27" s="2656"/>
      <c r="AH27" s="2656"/>
      <c r="AI27" s="2656"/>
      <c r="AJ27" s="2657"/>
    </row>
    <row r="28" s="324" customFormat="1" ht="12" spans="1:37">
      <c r="A28" s="2658" t="s">
        <v>7097</v>
      </c>
      <c r="B28" s="2659"/>
      <c r="C28" s="2660"/>
      <c r="D28" s="2660"/>
      <c r="E28" s="2660"/>
      <c r="F28" s="2660"/>
      <c r="G28" s="2660"/>
      <c r="H28" s="2660"/>
      <c r="I28" s="2660"/>
      <c r="J28" s="2660"/>
      <c r="K28" s="2660"/>
      <c r="L28" s="2660"/>
      <c r="M28" s="2660"/>
      <c r="N28" s="2660"/>
      <c r="O28" s="2660"/>
      <c r="P28" s="2660"/>
      <c r="Q28" s="2660"/>
      <c r="R28" s="2660"/>
      <c r="S28" s="2660"/>
      <c r="T28" s="2660"/>
      <c r="U28" s="2660"/>
      <c r="V28" s="2659"/>
      <c r="W28" s="2659"/>
      <c r="X28" s="2659"/>
      <c r="Y28" s="2659" t="s">
        <v>2513</v>
      </c>
      <c r="Z28" s="2659"/>
      <c r="AA28" s="2659"/>
      <c r="AB28" s="2659"/>
      <c r="AC28" s="2659"/>
      <c r="AD28" s="2659"/>
      <c r="AE28" s="2659" t="s">
        <v>2513</v>
      </c>
      <c r="AF28" s="2659"/>
      <c r="AG28" s="2659"/>
      <c r="AH28" s="2659"/>
      <c r="AI28" s="2659"/>
      <c r="AJ28" s="2661"/>
    </row>
    <row r="29" s="324" customFormat="1" ht="12" spans="1:37">
      <c r="A29" s="2662">
        <v>1</v>
      </c>
      <c r="B29" s="2663"/>
      <c r="C29" s="2664">
        <v>2</v>
      </c>
      <c r="D29" s="394"/>
      <c r="E29" s="394"/>
      <c r="F29" s="394"/>
      <c r="G29" s="394"/>
      <c r="H29" s="394"/>
      <c r="I29" s="394"/>
      <c r="J29" s="394"/>
      <c r="K29" s="394"/>
      <c r="L29" s="394"/>
      <c r="M29" s="394"/>
      <c r="N29" s="394"/>
      <c r="O29" s="394"/>
      <c r="P29" s="394"/>
      <c r="Q29" s="394"/>
      <c r="R29" s="394"/>
      <c r="S29" s="394"/>
      <c r="T29" s="394"/>
      <c r="U29" s="2665"/>
      <c r="V29" s="2663">
        <v>3</v>
      </c>
      <c r="W29" s="2663"/>
      <c r="X29" s="2663"/>
      <c r="Y29" s="2663">
        <v>4</v>
      </c>
      <c r="Z29" s="2663"/>
      <c r="AA29" s="2663"/>
      <c r="AB29" s="2663"/>
      <c r="AC29" s="2663"/>
      <c r="AD29" s="2663"/>
      <c r="AE29" s="2663">
        <v>5</v>
      </c>
      <c r="AF29" s="2663"/>
      <c r="AG29" s="2663"/>
      <c r="AH29" s="2663"/>
      <c r="AI29" s="2663"/>
      <c r="AJ29" s="2666"/>
    </row>
    <row r="30" s="570" customFormat="1" ht="15.75" customHeight="1" spans="1:37">
      <c r="A30" s="2667" t="s">
        <v>3953</v>
      </c>
      <c r="B30" s="2047"/>
      <c r="C30" s="2668" t="s">
        <v>7098</v>
      </c>
      <c r="D30" s="2668"/>
      <c r="E30" s="2668"/>
      <c r="F30" s="2668"/>
      <c r="G30" s="2668"/>
      <c r="H30" s="2668"/>
      <c r="I30" s="2668"/>
      <c r="J30" s="2668"/>
      <c r="K30" s="2668"/>
      <c r="L30" s="2668"/>
      <c r="M30" s="2668"/>
      <c r="N30" s="2668"/>
      <c r="O30" s="2668"/>
      <c r="P30" s="2668"/>
      <c r="Q30" s="2668"/>
      <c r="R30" s="2668"/>
      <c r="S30" s="2668"/>
      <c r="T30" s="2668"/>
      <c r="U30" s="2668"/>
      <c r="V30" s="2669">
        <v>901</v>
      </c>
      <c r="W30" s="2669"/>
      <c r="X30" s="2669"/>
      <c r="Y30" s="2670">
        <f>Prethodna_2024!C336</f>
        <v>88949</v>
      </c>
      <c r="Z30" s="2670"/>
      <c r="AA30" s="2670"/>
      <c r="AB30" s="2670"/>
      <c r="AC30" s="2670"/>
      <c r="AD30" s="2670"/>
      <c r="AE30" s="2671">
        <f>ROUND(UnosPod!F240,0)</f>
        <v>87679</v>
      </c>
      <c r="AF30" s="2671"/>
      <c r="AG30" s="2671"/>
      <c r="AH30" s="2671"/>
      <c r="AI30" s="2671"/>
      <c r="AJ30" s="2672"/>
    </row>
    <row r="31" s="570" customFormat="1" ht="15.75" customHeight="1" spans="1:37">
      <c r="A31" s="2673" t="s">
        <v>3891</v>
      </c>
      <c r="B31" s="2056"/>
      <c r="C31" s="2053" t="s">
        <v>7099</v>
      </c>
      <c r="D31" s="2053"/>
      <c r="E31" s="2053"/>
      <c r="F31" s="2053"/>
      <c r="G31" s="2053"/>
      <c r="H31" s="2053"/>
      <c r="I31" s="2053"/>
      <c r="J31" s="2053"/>
      <c r="K31" s="2053"/>
      <c r="L31" s="2053"/>
      <c r="M31" s="2053"/>
      <c r="N31" s="2053"/>
      <c r="O31" s="2053"/>
      <c r="P31" s="2053"/>
      <c r="Q31" s="2053"/>
      <c r="R31" s="2053"/>
      <c r="S31" s="2053"/>
      <c r="T31" s="2053"/>
      <c r="U31" s="2053"/>
      <c r="V31" s="2674">
        <v>902</v>
      </c>
      <c r="W31" s="2674"/>
      <c r="X31" s="2674"/>
      <c r="Y31" s="2675">
        <f>Prethodna_2024!C337</f>
        <v>0</v>
      </c>
      <c r="Z31" s="2675"/>
      <c r="AA31" s="2675"/>
      <c r="AB31" s="2675"/>
      <c r="AC31" s="2675"/>
      <c r="AD31" s="2675"/>
      <c r="AE31" s="2676">
        <f>ROUND(UnosPod!F245,0)</f>
        <v>0</v>
      </c>
      <c r="AF31" s="2676"/>
      <c r="AG31" s="2676"/>
      <c r="AH31" s="2676"/>
      <c r="AI31" s="2676"/>
      <c r="AJ31" s="2677"/>
      <c r="AK31" s="2678"/>
    </row>
    <row r="32" s="570" customFormat="1" ht="15.75" customHeight="1" spans="1:37">
      <c r="A32" s="2673" t="s">
        <v>3902</v>
      </c>
      <c r="B32" s="2056"/>
      <c r="C32" s="2053" t="s">
        <v>7100</v>
      </c>
      <c r="D32" s="2053"/>
      <c r="E32" s="2053"/>
      <c r="F32" s="2053"/>
      <c r="G32" s="2053"/>
      <c r="H32" s="2053"/>
      <c r="I32" s="2053"/>
      <c r="J32" s="2053"/>
      <c r="K32" s="2053"/>
      <c r="L32" s="2053"/>
      <c r="M32" s="2053"/>
      <c r="N32" s="2053"/>
      <c r="O32" s="2053"/>
      <c r="P32" s="2053"/>
      <c r="Q32" s="2053"/>
      <c r="R32" s="2053"/>
      <c r="S32" s="2053"/>
      <c r="T32" s="2053"/>
      <c r="U32" s="2053"/>
      <c r="V32" s="2674">
        <v>903</v>
      </c>
      <c r="W32" s="2674"/>
      <c r="X32" s="2674"/>
      <c r="Y32" s="2675">
        <f>SUM(Y30:AD31)</f>
        <v>88949</v>
      </c>
      <c r="Z32" s="2675"/>
      <c r="AA32" s="2675"/>
      <c r="AB32" s="2675"/>
      <c r="AC32" s="2675"/>
      <c r="AD32" s="2675"/>
      <c r="AE32" s="2676">
        <f>SUM(AE30:AJ31)</f>
        <v>87679</v>
      </c>
      <c r="AF32" s="2676"/>
      <c r="AG32" s="2676"/>
      <c r="AH32" s="2676"/>
      <c r="AI32" s="2676"/>
      <c r="AJ32" s="2677"/>
      <c r="AK32" s="2678"/>
    </row>
    <row r="33" s="570" customFormat="1" ht="15.75" customHeight="1" spans="1:37">
      <c r="A33" s="2673" t="s">
        <v>3905</v>
      </c>
      <c r="B33" s="2056"/>
      <c r="C33" s="2053" t="s">
        <v>7101</v>
      </c>
      <c r="D33" s="2053"/>
      <c r="E33" s="2053"/>
      <c r="F33" s="2053"/>
      <c r="G33" s="2053"/>
      <c r="H33" s="2053"/>
      <c r="I33" s="2053"/>
      <c r="J33" s="2053"/>
      <c r="K33" s="2053"/>
      <c r="L33" s="2053"/>
      <c r="M33" s="2053"/>
      <c r="N33" s="2053"/>
      <c r="O33" s="2053"/>
      <c r="P33" s="2053"/>
      <c r="Q33" s="2053"/>
      <c r="R33" s="2053"/>
      <c r="S33" s="2053"/>
      <c r="T33" s="2053"/>
      <c r="U33" s="2053"/>
      <c r="V33" s="2674">
        <v>904</v>
      </c>
      <c r="W33" s="2674"/>
      <c r="X33" s="2674"/>
      <c r="Y33" s="2675">
        <f>Prethodna_2024!C339</f>
        <v>43042</v>
      </c>
      <c r="Z33" s="2675"/>
      <c r="AA33" s="2675"/>
      <c r="AB33" s="2675"/>
      <c r="AC33" s="2675"/>
      <c r="AD33" s="2675"/>
      <c r="AE33" s="2676">
        <f>ROUND(UnosPod!F241+UnosPod!F246,0)</f>
        <v>6929</v>
      </c>
      <c r="AF33" s="2676"/>
      <c r="AG33" s="2676"/>
      <c r="AH33" s="2676"/>
      <c r="AI33" s="2676"/>
      <c r="AJ33" s="2677"/>
      <c r="AK33" s="2678"/>
    </row>
    <row r="34" s="570" customFormat="1" ht="15.75" customHeight="1" spans="1:37">
      <c r="A34" s="2673" t="s">
        <v>3915</v>
      </c>
      <c r="B34" s="2056"/>
      <c r="C34" s="2053" t="s">
        <v>3624</v>
      </c>
      <c r="D34" s="2053"/>
      <c r="E34" s="2053"/>
      <c r="F34" s="2053"/>
      <c r="G34" s="2053"/>
      <c r="H34" s="2053"/>
      <c r="I34" s="2053"/>
      <c r="J34" s="2053"/>
      <c r="K34" s="2053"/>
      <c r="L34" s="2053"/>
      <c r="M34" s="2053"/>
      <c r="N34" s="2053"/>
      <c r="O34" s="2053"/>
      <c r="P34" s="2053"/>
      <c r="Q34" s="2053"/>
      <c r="R34" s="2053"/>
      <c r="S34" s="2053"/>
      <c r="T34" s="2053"/>
      <c r="U34" s="2053"/>
      <c r="V34" s="2674">
        <v>905</v>
      </c>
      <c r="W34" s="2674"/>
      <c r="X34" s="2674"/>
      <c r="Y34" s="2675">
        <f>Prethodna_2024!C340</f>
        <v>14579</v>
      </c>
      <c r="Z34" s="2675"/>
      <c r="AA34" s="2675"/>
      <c r="AB34" s="2675"/>
      <c r="AC34" s="2675"/>
      <c r="AD34" s="2675"/>
      <c r="AE34" s="2676">
        <f>ROUND(IF(UnosPod!F242+UnosPod!F247=0,UnosPod!H489,UnosPod!F242+UnosPod!F247),0)</f>
        <v>57934</v>
      </c>
      <c r="AF34" s="2676"/>
      <c r="AG34" s="2676"/>
      <c r="AH34" s="2676"/>
      <c r="AI34" s="2676"/>
      <c r="AJ34" s="2677"/>
      <c r="AK34" s="2678"/>
    </row>
    <row r="35" s="570" customFormat="1" ht="15.75" customHeight="1" spans="1:37">
      <c r="A35" s="2673" t="s">
        <v>3918</v>
      </c>
      <c r="B35" s="2056"/>
      <c r="C35" s="2053" t="s">
        <v>7102</v>
      </c>
      <c r="D35" s="2053"/>
      <c r="E35" s="2053"/>
      <c r="F35" s="2053"/>
      <c r="G35" s="2053"/>
      <c r="H35" s="2053"/>
      <c r="I35" s="2053"/>
      <c r="J35" s="2053"/>
      <c r="K35" s="2053"/>
      <c r="L35" s="2053"/>
      <c r="M35" s="2053"/>
      <c r="N35" s="2053"/>
      <c r="O35" s="2053"/>
      <c r="P35" s="2053"/>
      <c r="Q35" s="2053"/>
      <c r="R35" s="2053"/>
      <c r="S35" s="2053"/>
      <c r="T35" s="2053"/>
      <c r="U35" s="2053"/>
      <c r="V35" s="2674">
        <v>906</v>
      </c>
      <c r="W35" s="2674"/>
      <c r="X35" s="2674"/>
      <c r="Y35" s="2675">
        <f>Prethodna_2024!C341</f>
        <v>6841</v>
      </c>
      <c r="Z35" s="2675"/>
      <c r="AA35" s="2675"/>
      <c r="AB35" s="2675"/>
      <c r="AC35" s="2675"/>
      <c r="AD35" s="2675"/>
      <c r="AE35" s="2676">
        <f>ROUND(IF(UnosPod!F243+UnosPod!F248=0,UnosPod!H490,UnosPod!F243+UnosPod!F248),0)</f>
        <v>10605</v>
      </c>
      <c r="AF35" s="2676"/>
      <c r="AG35" s="2676"/>
      <c r="AH35" s="2676"/>
      <c r="AI35" s="2676"/>
      <c r="AJ35" s="2677"/>
      <c r="AK35" s="2678"/>
    </row>
    <row r="36" s="570" customFormat="1" ht="15.75" customHeight="1" spans="1:37">
      <c r="A36" s="2673" t="s">
        <v>3920</v>
      </c>
      <c r="B36" s="2056"/>
      <c r="C36" s="2053" t="s">
        <v>7103</v>
      </c>
      <c r="D36" s="2053"/>
      <c r="E36" s="2053"/>
      <c r="F36" s="2053"/>
      <c r="G36" s="2053"/>
      <c r="H36" s="2053"/>
      <c r="I36" s="2053"/>
      <c r="J36" s="2053"/>
      <c r="K36" s="2053"/>
      <c r="L36" s="2053"/>
      <c r="M36" s="2053"/>
      <c r="N36" s="2053"/>
      <c r="O36" s="2053"/>
      <c r="P36" s="2053"/>
      <c r="Q36" s="2053"/>
      <c r="R36" s="2053"/>
      <c r="S36" s="2053"/>
      <c r="T36" s="2053"/>
      <c r="U36" s="2053"/>
      <c r="V36" s="2674">
        <v>907</v>
      </c>
      <c r="W36" s="2674"/>
      <c r="X36" s="2674"/>
      <c r="Y36" s="2675">
        <f>SUM(Y34:AD35)</f>
        <v>21420</v>
      </c>
      <c r="Z36" s="2675"/>
      <c r="AA36" s="2675"/>
      <c r="AB36" s="2675"/>
      <c r="AC36" s="2675"/>
      <c r="AD36" s="2675"/>
      <c r="AE36" s="2675">
        <f>SUM(AE34:AJ35)</f>
        <v>68539</v>
      </c>
      <c r="AF36" s="2675"/>
      <c r="AG36" s="2675"/>
      <c r="AH36" s="2675"/>
      <c r="AI36" s="2675"/>
      <c r="AJ36" s="2679"/>
      <c r="AK36" s="2678"/>
    </row>
    <row r="37" s="570" customFormat="1" ht="15.75" customHeight="1" spans="1:37">
      <c r="A37" s="2673" t="s">
        <v>3923</v>
      </c>
      <c r="B37" s="2056"/>
      <c r="C37" s="2053" t="s">
        <v>7104</v>
      </c>
      <c r="D37" s="2053"/>
      <c r="E37" s="2053"/>
      <c r="F37" s="2053"/>
      <c r="G37" s="2053"/>
      <c r="H37" s="2053"/>
      <c r="I37" s="2053"/>
      <c r="J37" s="2053"/>
      <c r="K37" s="2053"/>
      <c r="L37" s="2053"/>
      <c r="M37" s="2053"/>
      <c r="N37" s="2053"/>
      <c r="O37" s="2053"/>
      <c r="P37" s="2053"/>
      <c r="Q37" s="2053"/>
      <c r="R37" s="2053"/>
      <c r="S37" s="2053"/>
      <c r="T37" s="2053"/>
      <c r="U37" s="2053"/>
      <c r="V37" s="2674">
        <v>908</v>
      </c>
      <c r="W37" s="2674"/>
      <c r="X37" s="2674"/>
      <c r="Y37" s="2675">
        <f>Y32+Y33+Y36</f>
        <v>153411</v>
      </c>
      <c r="Z37" s="2675"/>
      <c r="AA37" s="2675"/>
      <c r="AB37" s="2675"/>
      <c r="AC37" s="2675"/>
      <c r="AD37" s="2675"/>
      <c r="AE37" s="2675">
        <f>AE32+AE33+AE36</f>
        <v>163147</v>
      </c>
      <c r="AF37" s="2675"/>
      <c r="AG37" s="2675"/>
      <c r="AH37" s="2675"/>
      <c r="AI37" s="2675"/>
      <c r="AJ37" s="2679"/>
      <c r="AK37" s="2678"/>
    </row>
    <row r="38" s="570" customFormat="1" ht="15.75" customHeight="1" spans="1:37">
      <c r="A38" s="2673" t="s">
        <v>3925</v>
      </c>
      <c r="B38" s="2056"/>
      <c r="C38" s="2053" t="s">
        <v>5163</v>
      </c>
      <c r="D38" s="2053"/>
      <c r="E38" s="2053"/>
      <c r="F38" s="2053"/>
      <c r="G38" s="2053"/>
      <c r="H38" s="2053"/>
      <c r="I38" s="2053"/>
      <c r="J38" s="2053"/>
      <c r="K38" s="2053"/>
      <c r="L38" s="2053"/>
      <c r="M38" s="2053"/>
      <c r="N38" s="2053"/>
      <c r="O38" s="2053"/>
      <c r="P38" s="2053"/>
      <c r="Q38" s="2053"/>
      <c r="R38" s="2053"/>
      <c r="S38" s="2053"/>
      <c r="T38" s="2053"/>
      <c r="U38" s="2053"/>
      <c r="V38" s="2674">
        <v>909</v>
      </c>
      <c r="W38" s="2674"/>
      <c r="X38" s="2674"/>
      <c r="Y38" s="2675">
        <f>Prethodna_2024!C344</f>
        <v>0</v>
      </c>
      <c r="Z38" s="2675"/>
      <c r="AA38" s="2675"/>
      <c r="AB38" s="2675"/>
      <c r="AC38" s="2675"/>
      <c r="AD38" s="2675"/>
      <c r="AE38" s="2675">
        <f>UnosPod!H495</f>
        <v>0</v>
      </c>
      <c r="AF38" s="2675"/>
      <c r="AG38" s="2675"/>
      <c r="AH38" s="2675"/>
      <c r="AI38" s="2675"/>
      <c r="AJ38" s="2679"/>
      <c r="AK38" s="2678"/>
    </row>
    <row r="39" s="570" customFormat="1" ht="15.75" customHeight="1" spans="1:37">
      <c r="A39" s="2673" t="s">
        <v>3928</v>
      </c>
      <c r="B39" s="2056"/>
      <c r="C39" s="2053" t="s">
        <v>7105</v>
      </c>
      <c r="D39" s="2053"/>
      <c r="E39" s="2053"/>
      <c r="F39" s="2053"/>
      <c r="G39" s="2053"/>
      <c r="H39" s="2053"/>
      <c r="I39" s="2053"/>
      <c r="J39" s="2053"/>
      <c r="K39" s="2053"/>
      <c r="L39" s="2053"/>
      <c r="M39" s="2053"/>
      <c r="N39" s="2053"/>
      <c r="O39" s="2053"/>
      <c r="P39" s="2053"/>
      <c r="Q39" s="2053"/>
      <c r="R39" s="2053"/>
      <c r="S39" s="2053"/>
      <c r="T39" s="2053"/>
      <c r="U39" s="2053"/>
      <c r="V39" s="2674">
        <v>910</v>
      </c>
      <c r="W39" s="2674"/>
      <c r="X39" s="2674"/>
      <c r="Y39" s="2675">
        <f>Prethodna_2024!C345</f>
        <v>0</v>
      </c>
      <c r="Z39" s="2675"/>
      <c r="AA39" s="2675"/>
      <c r="AB39" s="2675"/>
      <c r="AC39" s="2675"/>
      <c r="AD39" s="2675"/>
      <c r="AE39" s="2675">
        <f>UnosPod!H496</f>
        <v>0</v>
      </c>
      <c r="AF39" s="2675"/>
      <c r="AG39" s="2675"/>
      <c r="AH39" s="2675"/>
      <c r="AI39" s="2675"/>
      <c r="AJ39" s="2679"/>
      <c r="AK39" s="2678"/>
    </row>
    <row r="40" s="570" customFormat="1" ht="15.75" customHeight="1" spans="1:37">
      <c r="A40" s="2673" t="s">
        <v>3934</v>
      </c>
      <c r="B40" s="2056"/>
      <c r="C40" s="2053" t="s">
        <v>7106</v>
      </c>
      <c r="D40" s="2053"/>
      <c r="E40" s="2053"/>
      <c r="F40" s="2053"/>
      <c r="G40" s="2053"/>
      <c r="H40" s="2053"/>
      <c r="I40" s="2053"/>
      <c r="J40" s="2053"/>
      <c r="K40" s="2053"/>
      <c r="L40" s="2053"/>
      <c r="M40" s="2053"/>
      <c r="N40" s="2053"/>
      <c r="O40" s="2053"/>
      <c r="P40" s="2053"/>
      <c r="Q40" s="2053"/>
      <c r="R40" s="2053"/>
      <c r="S40" s="2053"/>
      <c r="T40" s="2053"/>
      <c r="U40" s="2053"/>
      <c r="V40" s="2674">
        <v>911</v>
      </c>
      <c r="W40" s="2674"/>
      <c r="X40" s="2674"/>
      <c r="Y40" s="2675">
        <f>Prethodna_2024!C346</f>
        <v>0</v>
      </c>
      <c r="Z40" s="2675"/>
      <c r="AA40" s="2675"/>
      <c r="AB40" s="2675"/>
      <c r="AC40" s="2675"/>
      <c r="AD40" s="2675"/>
      <c r="AE40" s="2675">
        <f>UnosPod!H497</f>
        <v>0</v>
      </c>
      <c r="AF40" s="2675"/>
      <c r="AG40" s="2675"/>
      <c r="AH40" s="2675"/>
      <c r="AI40" s="2675"/>
      <c r="AJ40" s="2679"/>
      <c r="AK40" s="2678"/>
    </row>
    <row r="41" s="570" customFormat="1" ht="15.75" customHeight="1" spans="1:37">
      <c r="A41" s="2673" t="s">
        <v>3945</v>
      </c>
      <c r="B41" s="2056"/>
      <c r="C41" s="2053" t="s">
        <v>7107</v>
      </c>
      <c r="D41" s="2053"/>
      <c r="E41" s="2053"/>
      <c r="F41" s="2053"/>
      <c r="G41" s="2053"/>
      <c r="H41" s="2053"/>
      <c r="I41" s="2053"/>
      <c r="J41" s="2053"/>
      <c r="K41" s="2053"/>
      <c r="L41" s="2053"/>
      <c r="M41" s="2053"/>
      <c r="N41" s="2053"/>
      <c r="O41" s="2053"/>
      <c r="P41" s="2053"/>
      <c r="Q41" s="2053"/>
      <c r="R41" s="2053"/>
      <c r="S41" s="2053"/>
      <c r="T41" s="2053"/>
      <c r="U41" s="2053"/>
      <c r="V41" s="2674">
        <v>912</v>
      </c>
      <c r="W41" s="2674"/>
      <c r="X41" s="2674"/>
      <c r="Y41" s="2675">
        <f>Prethodna_2024!C347</f>
        <v>0</v>
      </c>
      <c r="Z41" s="2675"/>
      <c r="AA41" s="2675"/>
      <c r="AB41" s="2675"/>
      <c r="AC41" s="2675"/>
      <c r="AD41" s="2675"/>
      <c r="AE41" s="2675">
        <f>UnosPod!H498</f>
        <v>0</v>
      </c>
      <c r="AF41" s="2675"/>
      <c r="AG41" s="2675"/>
      <c r="AH41" s="2675"/>
      <c r="AI41" s="2675"/>
      <c r="AJ41" s="2679"/>
      <c r="AK41" s="2678"/>
    </row>
    <row r="42" s="570" customFormat="1" ht="15.75" customHeight="1" spans="1:37">
      <c r="A42" s="2673" t="s">
        <v>3947</v>
      </c>
      <c r="B42" s="2056"/>
      <c r="C42" s="2053" t="s">
        <v>7108</v>
      </c>
      <c r="D42" s="2053"/>
      <c r="E42" s="2053"/>
      <c r="F42" s="2053"/>
      <c r="G42" s="2053"/>
      <c r="H42" s="2053"/>
      <c r="I42" s="2053"/>
      <c r="J42" s="2053"/>
      <c r="K42" s="2053"/>
      <c r="L42" s="2053"/>
      <c r="M42" s="2053"/>
      <c r="N42" s="2053"/>
      <c r="O42" s="2053"/>
      <c r="P42" s="2053"/>
      <c r="Q42" s="2053"/>
      <c r="R42" s="2053"/>
      <c r="S42" s="2053"/>
      <c r="T42" s="2053"/>
      <c r="U42" s="2053"/>
      <c r="V42" s="2674">
        <v>913</v>
      </c>
      <c r="W42" s="2674"/>
      <c r="X42" s="2674"/>
      <c r="Y42" s="2675">
        <f>SUM(Y38:AD41)</f>
        <v>0</v>
      </c>
      <c r="Z42" s="2675"/>
      <c r="AA42" s="2675"/>
      <c r="AB42" s="2675"/>
      <c r="AC42" s="2675"/>
      <c r="AD42" s="2675"/>
      <c r="AE42" s="2675">
        <f>SUM(AE38:AJ41)</f>
        <v>0</v>
      </c>
      <c r="AF42" s="2675"/>
      <c r="AG42" s="2675"/>
      <c r="AH42" s="2675"/>
      <c r="AI42" s="2675"/>
      <c r="AJ42" s="2679"/>
      <c r="AK42" s="2678"/>
    </row>
    <row r="43" s="570" customFormat="1" ht="15.75" customHeight="1" spans="1:37">
      <c r="A43" s="2673" t="s">
        <v>5705</v>
      </c>
      <c r="B43" s="2056"/>
      <c r="C43" s="2053" t="s">
        <v>7109</v>
      </c>
      <c r="D43" s="2053"/>
      <c r="E43" s="2053"/>
      <c r="F43" s="2053"/>
      <c r="G43" s="2053"/>
      <c r="H43" s="2053"/>
      <c r="I43" s="2053"/>
      <c r="J43" s="2053"/>
      <c r="K43" s="2053"/>
      <c r="L43" s="2053"/>
      <c r="M43" s="2053"/>
      <c r="N43" s="2053"/>
      <c r="O43" s="2053"/>
      <c r="P43" s="2053"/>
      <c r="Q43" s="2053"/>
      <c r="R43" s="2053"/>
      <c r="S43" s="2053"/>
      <c r="T43" s="2053"/>
      <c r="U43" s="2053"/>
      <c r="V43" s="2674">
        <v>914</v>
      </c>
      <c r="W43" s="2674"/>
      <c r="X43" s="2674"/>
      <c r="Y43" s="2675">
        <f>Y32+Y38</f>
        <v>88949</v>
      </c>
      <c r="Z43" s="2675"/>
      <c r="AA43" s="2675"/>
      <c r="AB43" s="2675"/>
      <c r="AC43" s="2675"/>
      <c r="AD43" s="2675"/>
      <c r="AE43" s="2675">
        <f>AE32+AE38</f>
        <v>87679</v>
      </c>
      <c r="AF43" s="2675"/>
      <c r="AG43" s="2675"/>
      <c r="AH43" s="2675"/>
      <c r="AI43" s="2675"/>
      <c r="AJ43" s="2679"/>
    </row>
    <row r="44" s="570" customFormat="1" ht="15.75" customHeight="1" spans="1:37">
      <c r="A44" s="997" t="s">
        <v>5707</v>
      </c>
      <c r="B44" s="998"/>
      <c r="C44" s="2065" t="s">
        <v>7110</v>
      </c>
      <c r="D44" s="2065"/>
      <c r="E44" s="2065"/>
      <c r="F44" s="2065"/>
      <c r="G44" s="2065"/>
      <c r="H44" s="2065"/>
      <c r="I44" s="2065"/>
      <c r="J44" s="2065"/>
      <c r="K44" s="2065"/>
      <c r="L44" s="2065"/>
      <c r="M44" s="2065"/>
      <c r="N44" s="2065"/>
      <c r="O44" s="2065"/>
      <c r="P44" s="2065"/>
      <c r="Q44" s="2065"/>
      <c r="R44" s="2065"/>
      <c r="S44" s="2065"/>
      <c r="T44" s="2065"/>
      <c r="U44" s="2065"/>
      <c r="V44" s="1000">
        <v>915</v>
      </c>
      <c r="W44" s="1000"/>
      <c r="X44" s="1000"/>
      <c r="Y44" s="1001">
        <f>Prethodna_2024!C350</f>
        <v>6</v>
      </c>
      <c r="Z44" s="1001"/>
      <c r="AA44" s="1001"/>
      <c r="AB44" s="1001"/>
      <c r="AC44" s="1001"/>
      <c r="AD44" s="1001"/>
      <c r="AE44" s="1001">
        <f>ROUND(UnosPod!AD481,0)</f>
        <v>6</v>
      </c>
      <c r="AF44" s="1001"/>
      <c r="AG44" s="1001"/>
      <c r="AH44" s="1001"/>
      <c r="AI44" s="1001"/>
      <c r="AJ44" s="2680"/>
    </row>
    <row r="47" s="570" customFormat="1" ht="13.5" customHeight="1"/>
    <row r="48" s="570" customFormat="1" ht="14.25" spans="1:37">
      <c r="A48" s="570" t="s">
        <v>6552</v>
      </c>
      <c r="AC48" s="576" t="s">
        <v>7111</v>
      </c>
      <c r="AD48" s="576"/>
      <c r="AE48" s="576"/>
      <c r="AF48" s="576"/>
      <c r="AG48" s="576"/>
      <c r="AH48" s="576"/>
      <c r="AI48" s="576"/>
      <c r="AJ48" s="576"/>
    </row>
    <row r="49" s="570" customFormat="1" ht="14.25"/>
    <row r="50" s="570" customFormat="1" ht="14.25" spans="1:36">
      <c r="A50" s="2681" t="str">
        <f>UnosPod!F3</f>
        <v>Elvira Žilić</v>
      </c>
      <c r="B50" s="664"/>
      <c r="C50" s="664"/>
      <c r="D50" s="664"/>
      <c r="E50" s="664"/>
      <c r="F50" s="664"/>
      <c r="G50" s="664"/>
      <c r="H50" s="664"/>
      <c r="I50" s="664"/>
      <c r="T50" s="570" t="s">
        <v>7112</v>
      </c>
      <c r="AC50" s="664"/>
      <c r="AD50" s="664"/>
      <c r="AE50" s="664"/>
      <c r="AF50" s="664"/>
      <c r="AG50" s="664"/>
      <c r="AH50" s="664"/>
      <c r="AI50" s="664"/>
      <c r="AJ50" s="664"/>
    </row>
    <row r="51" s="570" customFormat="1" ht="14.25" spans="1:36">
      <c r="A51" s="324" t="s">
        <v>7113</v>
      </c>
      <c r="B51" s="572"/>
      <c r="C51" s="572"/>
      <c r="D51" s="572"/>
      <c r="E51" s="572"/>
      <c r="F51" s="2682" t="str">
        <f>UnosPod!AA3</f>
        <v>CR-8559/5</v>
      </c>
      <c r="G51" s="2683"/>
      <c r="H51" s="2683"/>
      <c r="I51" s="2683"/>
      <c r="J51" s="2683"/>
      <c r="AC51" s="2684" t="str">
        <f>Baza!C10</f>
        <v>Nedim Vilogorac</v>
      </c>
      <c r="AD51" s="2684"/>
      <c r="AE51" s="2684"/>
      <c r="AF51" s="2684"/>
      <c r="AG51" s="2684"/>
      <c r="AH51" s="2684"/>
      <c r="AI51" s="2684"/>
      <c r="AJ51" s="2684"/>
    </row>
    <row r="52" spans="1:36">
      <c r="A52" s="324" t="s">
        <v>7114</v>
      </c>
      <c r="E52" s="2685"/>
      <c r="F52" s="2686" t="str">
        <f>UnosPod!AL3</f>
        <v>061/599-615</v>
      </c>
      <c r="G52" s="2687"/>
      <c r="H52" s="2687"/>
      <c r="I52" s="2687"/>
      <c r="J52" s="2687"/>
    </row>
  </sheetData>
  <customSheetViews>
    <customSheetView guid="{7A886FB3-8F08-4D3E-B7EB-0851AD05C3C6}" showGridLines="0" fitToPage="1">
      <selection activeCell="AN24" sqref="AN24"/>
      <pageMargins left="0.78740157480315" right="0.393700787401575" top="0.669291338582677" bottom="0.984251968503937" header="0.511811023622047" footer="0.511811023622047"/>
      <pageSetup paperSize="9" scale="91" orientation="portrait"/>
      <headerFooter alignWithMargins="0"/>
    </customSheetView>
  </customSheetViews>
  <mergeCells count="110">
    <mergeCell ref="AA1:AJ1"/>
    <mergeCell ref="Z2:AJ2"/>
    <mergeCell ref="AA3:AJ3"/>
    <mergeCell ref="Z4:AJ4"/>
    <mergeCell ref="A8:J8"/>
    <mergeCell ref="AA8:AJ8"/>
    <mergeCell ref="A10:J10"/>
    <mergeCell ref="A22:AJ22"/>
    <mergeCell ref="A23:AJ23"/>
    <mergeCell ref="A24:AJ24"/>
    <mergeCell ref="A26:B26"/>
    <mergeCell ref="C26:U26"/>
    <mergeCell ref="V26:X26"/>
    <mergeCell ref="Y26:AD26"/>
    <mergeCell ref="AE26:AJ26"/>
    <mergeCell ref="A27:B27"/>
    <mergeCell ref="C27:U27"/>
    <mergeCell ref="V27:X27"/>
    <mergeCell ref="Y27:AD27"/>
    <mergeCell ref="AE27:AJ27"/>
    <mergeCell ref="A28:B28"/>
    <mergeCell ref="C28:U28"/>
    <mergeCell ref="V28:X28"/>
    <mergeCell ref="Y28:AD28"/>
    <mergeCell ref="AE28:AJ28"/>
    <mergeCell ref="A29:B29"/>
    <mergeCell ref="C29:U29"/>
    <mergeCell ref="V29:X29"/>
    <mergeCell ref="Y29:AD29"/>
    <mergeCell ref="AE29:AJ29"/>
    <mergeCell ref="A30:B30"/>
    <mergeCell ref="C30:U30"/>
    <mergeCell ref="V30:X30"/>
    <mergeCell ref="Y30:AD30"/>
    <mergeCell ref="AE30:AJ30"/>
    <mergeCell ref="A31:B31"/>
    <mergeCell ref="C31:U31"/>
    <mergeCell ref="V31:X31"/>
    <mergeCell ref="Y31:AD31"/>
    <mergeCell ref="AE31:AJ31"/>
    <mergeCell ref="A32:B32"/>
    <mergeCell ref="C32:U32"/>
    <mergeCell ref="V32:X32"/>
    <mergeCell ref="Y32:AD32"/>
    <mergeCell ref="AE32:AJ32"/>
    <mergeCell ref="A33:B33"/>
    <mergeCell ref="C33:U33"/>
    <mergeCell ref="V33:X33"/>
    <mergeCell ref="Y33:AD33"/>
    <mergeCell ref="AE33:AJ33"/>
    <mergeCell ref="A34:B34"/>
    <mergeCell ref="C34:U34"/>
    <mergeCell ref="V34:X34"/>
    <mergeCell ref="Y34:AD34"/>
    <mergeCell ref="AE34:AJ34"/>
    <mergeCell ref="A35:B35"/>
    <mergeCell ref="C35:U35"/>
    <mergeCell ref="V35:X35"/>
    <mergeCell ref="Y35:AD35"/>
    <mergeCell ref="AE35:AJ35"/>
    <mergeCell ref="A36:B36"/>
    <mergeCell ref="C36:U36"/>
    <mergeCell ref="V36:X36"/>
    <mergeCell ref="Y36:AD36"/>
    <mergeCell ref="AE36:AJ36"/>
    <mergeCell ref="A37:B37"/>
    <mergeCell ref="C37:U37"/>
    <mergeCell ref="V37:X37"/>
    <mergeCell ref="Y37:AD37"/>
    <mergeCell ref="AE37:AJ37"/>
    <mergeCell ref="A38:B38"/>
    <mergeCell ref="C38:U38"/>
    <mergeCell ref="V38:X38"/>
    <mergeCell ref="Y38:AD38"/>
    <mergeCell ref="AE38:AJ38"/>
    <mergeCell ref="A39:B39"/>
    <mergeCell ref="C39:U39"/>
    <mergeCell ref="V39:X39"/>
    <mergeCell ref="Y39:AD39"/>
    <mergeCell ref="AE39:AJ39"/>
    <mergeCell ref="A40:B40"/>
    <mergeCell ref="C40:U40"/>
    <mergeCell ref="V40:X40"/>
    <mergeCell ref="Y40:AD40"/>
    <mergeCell ref="AE40:AJ40"/>
    <mergeCell ref="A41:B41"/>
    <mergeCell ref="C41:U41"/>
    <mergeCell ref="V41:X41"/>
    <mergeCell ref="Y41:AD41"/>
    <mergeCell ref="AE41:AJ41"/>
    <mergeCell ref="A42:B42"/>
    <mergeCell ref="C42:U42"/>
    <mergeCell ref="V42:X42"/>
    <mergeCell ref="Y42:AD42"/>
    <mergeCell ref="AE42:AJ42"/>
    <mergeCell ref="A43:B43"/>
    <mergeCell ref="C43:U43"/>
    <mergeCell ref="V43:X43"/>
    <mergeCell ref="Y43:AD43"/>
    <mergeCell ref="AE43:AJ43"/>
    <mergeCell ref="A44:B44"/>
    <mergeCell ref="C44:U44"/>
    <mergeCell ref="V44:X44"/>
    <mergeCell ref="Y44:AD44"/>
    <mergeCell ref="AE44:AJ44"/>
    <mergeCell ref="AC48:AJ48"/>
    <mergeCell ref="F51:J51"/>
    <mergeCell ref="AC51:AJ51"/>
    <mergeCell ref="F52:J52"/>
    <mergeCell ref="A5:X6"/>
  </mergeCells>
  <pageMargins left="0.78740157480315" right="0.393700787401575" top="0.669291338582677" bottom="0.984251968503937" header="0.511811023622047" footer="0.511811023622047"/>
  <pageSetup paperSize="9" scale="85"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8">
    <tabColor rgb="FF0070C0"/>
    <pageSetUpPr fitToPage="1"/>
  </sheetPr>
  <dimension ref="A1:AV117"/>
  <sheetViews>
    <sheetView showGridLines="0" topLeftCell="A64" workbookViewId="0">
      <selection activeCell="BJ70" sqref="BJ70"/>
    </sheetView>
  </sheetViews>
  <sheetFormatPr defaultColWidth="2.14285714285714" defaultRowHeight="16.5"/>
  <cols>
    <col min="1" max="1" width="2.71428571428571" style="886" customWidth="1"/>
    <col min="2" max="2" width="2.71428571428571" style="876" customWidth="1"/>
    <col min="3" max="10" width="2.14285714285714" style="876"/>
    <col min="11" max="11" width="2.14285714285714" style="876" customWidth="1"/>
    <col min="12" max="18" width="2.14285714285714" style="876"/>
    <col min="19" max="19" width="2.14285714285714" style="876" customWidth="1"/>
    <col min="20" max="16384" width="2.14285714285714" style="876"/>
  </cols>
  <sheetData>
    <row r="1" s="874" customFormat="1" ht="18" spans="1:48">
      <c r="A1" s="879" t="str">
        <f>Firma</f>
        <v>LILIUM ASSET MANAGEMENT d.o.o. Sarajevo</v>
      </c>
      <c r="AM1" s="1231" t="str">
        <f>IdBroj</f>
        <v>4201337670009</v>
      </c>
      <c r="AN1" s="1231"/>
      <c r="AO1" s="1231"/>
      <c r="AP1" s="1231"/>
      <c r="AQ1" s="1231"/>
      <c r="AR1" s="1231"/>
      <c r="AS1" s="1231"/>
      <c r="AT1" s="1231"/>
      <c r="AU1" s="1231"/>
      <c r="AV1" s="1231"/>
    </row>
    <row r="2" s="874" customFormat="1" ht="15" customHeight="1" spans="1:48">
      <c r="A2" s="877" t="str">
        <f>Text!B2</f>
        <v>Naziv pravnog lica</v>
      </c>
      <c r="AE2" s="874" t="s">
        <v>4636</v>
      </c>
      <c r="AM2" s="877"/>
      <c r="AN2" s="877"/>
      <c r="AO2" s="877"/>
      <c r="AP2" s="877"/>
      <c r="AQ2" s="877"/>
      <c r="AR2" s="877"/>
      <c r="AS2" s="877"/>
      <c r="AT2" s="877"/>
      <c r="AU2" s="877"/>
      <c r="AV2" s="878" t="str">
        <f>Text!B4</f>
        <v>Identifikacioni broj za direktne poreze</v>
      </c>
    </row>
    <row r="3" s="875" customFormat="1" ht="18.75" customHeight="1" spans="1:48">
      <c r="A3" s="882" t="str">
        <f>Sjedište&amp;", "&amp;Adresa</f>
        <v>Sarajevo-Stari Grad, Dženetića čikma br.8</v>
      </c>
      <c r="AE3" s="875" t="s">
        <v>4636</v>
      </c>
      <c r="AJ3" s="880"/>
      <c r="AK3" s="880"/>
      <c r="AL3" s="880"/>
      <c r="AM3" s="1231" t="str">
        <f>Pdv_Broj</f>
        <v>201337670009</v>
      </c>
      <c r="AN3" s="1231"/>
      <c r="AO3" s="1231"/>
      <c r="AP3" s="1231"/>
      <c r="AQ3" s="1231"/>
      <c r="AR3" s="1231"/>
      <c r="AS3" s="1231"/>
      <c r="AT3" s="1231"/>
      <c r="AU3" s="1231"/>
      <c r="AV3" s="1231"/>
    </row>
    <row r="4" s="874" customFormat="1" ht="15" customHeight="1" spans="1:48">
      <c r="A4" s="877" t="str">
        <f>Text!B3</f>
        <v>Sjedište i adresa pravnog lica</v>
      </c>
      <c r="AE4" s="874" t="s">
        <v>4636</v>
      </c>
      <c r="AM4" s="878"/>
      <c r="AN4" s="878"/>
      <c r="AO4" s="878"/>
      <c r="AP4" s="878"/>
      <c r="AQ4" s="878"/>
      <c r="AR4" s="878"/>
      <c r="AS4" s="878"/>
      <c r="AT4" s="878"/>
      <c r="AU4" s="878"/>
      <c r="AV4" s="878" t="str">
        <f>Text!B5</f>
        <v>Identifikacioni  broj za indirektne poreze</v>
      </c>
    </row>
    <row r="5" s="875" customFormat="1" ht="19.5" customHeight="1" spans="1:48">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AE5" s="875" t="s">
        <v>4636</v>
      </c>
      <c r="AK5" s="880"/>
      <c r="AL5" s="880"/>
    </row>
    <row r="6" customHeight="1" spans="1:48">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AV6" s="1231" t="str">
        <f>Sif_Djelatn</f>
        <v>66.30</v>
      </c>
    </row>
    <row r="7" s="875" customFormat="1" customHeight="1" spans="1:48">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AV7" s="878" t="str">
        <f>Text!B22&amp;" KD BiH 2010"</f>
        <v>Šifra djelatnosti po KD BiH 2010</v>
      </c>
    </row>
    <row r="8" customHeight="1" spans="1:48">
      <c r="A8" s="1232" t="str">
        <f>Banka</f>
        <v>Raiffeisen Bank d.d. BiH</v>
      </c>
      <c r="B8" s="1232"/>
      <c r="C8" s="1232"/>
      <c r="D8" s="1232"/>
      <c r="E8" s="1232"/>
      <c r="F8" s="1232"/>
      <c r="G8" s="1232"/>
      <c r="H8" s="1232"/>
      <c r="I8" s="1232"/>
      <c r="J8" s="1232"/>
      <c r="AM8" s="881" t="str">
        <f>Sifra_opcine</f>
        <v>109</v>
      </c>
      <c r="AN8" s="881"/>
      <c r="AO8" s="881"/>
      <c r="AP8" s="881"/>
      <c r="AQ8" s="881"/>
      <c r="AR8" s="881"/>
      <c r="AS8" s="881"/>
      <c r="AT8" s="881"/>
      <c r="AU8" s="881"/>
      <c r="AV8" s="881"/>
    </row>
    <row r="9" customHeight="1" spans="1:48">
      <c r="A9" s="2379" t="str">
        <f>Text!B24</f>
        <v>Naziv banke</v>
      </c>
      <c r="B9" s="1450"/>
      <c r="C9" s="1450"/>
      <c r="D9" s="1450"/>
      <c r="E9" s="1450"/>
      <c r="F9" s="1450"/>
      <c r="G9" s="1450"/>
      <c r="H9" s="1450"/>
      <c r="I9" s="1450"/>
      <c r="Y9" s="1234"/>
      <c r="Z9" s="1234"/>
      <c r="AA9" s="1234"/>
      <c r="AB9" s="1234"/>
      <c r="AC9" s="1234"/>
      <c r="AD9" s="1234"/>
      <c r="AH9" s="880"/>
      <c r="AI9" s="880"/>
      <c r="AJ9" s="880"/>
      <c r="AK9" s="880"/>
      <c r="AL9" s="880"/>
      <c r="AV9" s="878" t="str">
        <f>Text!B26</f>
        <v>Šifra općine</v>
      </c>
    </row>
    <row r="10" customHeight="1" spans="1:48">
      <c r="A10" s="1232" t="str">
        <f>Glavni_racun</f>
        <v>1610000189480005</v>
      </c>
      <c r="B10" s="1232"/>
      <c r="C10" s="1232"/>
      <c r="D10" s="1232"/>
      <c r="E10" s="1232"/>
      <c r="F10" s="1232"/>
      <c r="G10" s="1232"/>
      <c r="H10" s="1232"/>
      <c r="I10" s="1232"/>
      <c r="J10" s="1232"/>
      <c r="Y10" s="1234"/>
      <c r="Z10" s="1234"/>
      <c r="AA10" s="1234"/>
      <c r="AB10" s="1234"/>
      <c r="AC10" s="1234"/>
      <c r="AD10" s="1234"/>
      <c r="AM10" s="877"/>
      <c r="AN10" s="877"/>
      <c r="AO10" s="877"/>
      <c r="AP10" s="877"/>
      <c r="AQ10" s="877"/>
      <c r="AR10" s="877"/>
      <c r="AS10" s="877"/>
      <c r="AT10" s="877"/>
      <c r="AU10" s="877"/>
    </row>
    <row r="11" customHeight="1" spans="1:48">
      <c r="A11" s="2379" t="str">
        <f>Text!B25</f>
        <v>Broj računa</v>
      </c>
      <c r="Y11" s="1235" t="str">
        <f>Text!B6</f>
        <v>Za pravna lica koja vode knjigovodstvo u skladu sa kontnim okvirom za privredna društva</v>
      </c>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c r="AT11" s="1236"/>
      <c r="AU11" s="1236"/>
      <c r="AV11" s="1237"/>
    </row>
    <row r="12" s="874" customFormat="1" ht="15" customHeight="1" spans="1:48">
      <c r="A12" s="1238"/>
      <c r="Y12" s="1239"/>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T12" s="1240"/>
      <c r="AU12" s="1240"/>
      <c r="AV12" s="1241"/>
    </row>
    <row r="13" s="874" customFormat="1" ht="15" customHeight="1" spans="1:48">
      <c r="A13" s="1238"/>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row>
    <row r="14" s="1224" customFormat="1" ht="19.5" customHeight="1" spans="1:48">
      <c r="A14" s="1243" t="str">
        <f>Text!B585</f>
        <v>ANEX - DODATNI RAČUNOVODSTVENI IZVJEŠTAJ ZA PRIVREDNA DRUŠTVA</v>
      </c>
      <c r="B14" s="1243"/>
      <c r="C14" s="1243"/>
      <c r="D14" s="1243"/>
      <c r="E14" s="1243"/>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1243"/>
      <c r="AM14" s="1243"/>
      <c r="AN14" s="1243"/>
      <c r="AO14" s="1243"/>
      <c r="AP14" s="1243"/>
      <c r="AQ14" s="1243"/>
      <c r="AR14" s="1243"/>
      <c r="AS14" s="1243"/>
      <c r="AT14" s="1243"/>
      <c r="AU14" s="1243"/>
      <c r="AV14" s="1243"/>
    </row>
    <row r="15" s="1224" customFormat="1" ht="15" customHeight="1" spans="1:48">
      <c r="A15" s="1244" t="str">
        <f ca="1">Text!B56</f>
        <v>za period od 01.01.2025. do 31.12.2025. godine</v>
      </c>
      <c r="B15" s="1244"/>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row>
    <row r="16" s="1224" customFormat="1" ht="12.75" customHeight="1" spans="1:48">
      <c r="A16" s="1245"/>
      <c r="AV16" s="1246" t="s">
        <v>7115</v>
      </c>
    </row>
    <row r="17" s="1224" customFormat="1" ht="13.5" customHeight="1" spans="1:48">
      <c r="A17" s="1299" t="s">
        <v>7074</v>
      </c>
      <c r="B17" s="1300"/>
      <c r="C17" s="1249" t="s">
        <v>2507</v>
      </c>
      <c r="D17" s="1249"/>
      <c r="E17" s="1249"/>
      <c r="F17" s="1249"/>
      <c r="G17" s="1249"/>
      <c r="H17" s="1249"/>
      <c r="I17" s="1249"/>
      <c r="J17" s="1249"/>
      <c r="K17" s="1249"/>
      <c r="L17" s="1249"/>
      <c r="M17" s="1249"/>
      <c r="N17" s="1249"/>
      <c r="O17" s="1249"/>
      <c r="P17" s="1249"/>
      <c r="Q17" s="1249"/>
      <c r="R17" s="1249"/>
      <c r="S17" s="1249"/>
      <c r="T17" s="1249"/>
      <c r="U17" s="1249"/>
      <c r="V17" s="1249"/>
      <c r="W17" s="1249"/>
      <c r="X17" s="1250"/>
      <c r="Y17" s="1251" t="s">
        <v>2527</v>
      </c>
      <c r="Z17" s="1252"/>
      <c r="AA17" s="1252"/>
      <c r="AB17" s="1252"/>
      <c r="AC17" s="1252"/>
      <c r="AD17" s="1252"/>
      <c r="AE17" s="1253"/>
      <c r="AF17" s="1251" t="s">
        <v>2438</v>
      </c>
      <c r="AG17" s="1252"/>
      <c r="AH17" s="1253"/>
      <c r="AI17" s="1254" t="s">
        <v>2529</v>
      </c>
      <c r="AJ17" s="1255"/>
      <c r="AK17" s="1255"/>
      <c r="AL17" s="1255"/>
      <c r="AM17" s="1255"/>
      <c r="AN17" s="1255"/>
      <c r="AO17" s="1255"/>
      <c r="AP17" s="1255"/>
      <c r="AQ17" s="1255"/>
      <c r="AR17" s="1255"/>
      <c r="AS17" s="1255"/>
      <c r="AT17" s="1255"/>
      <c r="AU17" s="1255"/>
      <c r="AV17" s="1256"/>
    </row>
    <row r="18" s="1224" customFormat="1" ht="13.5" customHeight="1" spans="1:48">
      <c r="A18" s="1301" t="s">
        <v>7076</v>
      </c>
      <c r="B18" s="1302"/>
      <c r="C18" s="1259"/>
      <c r="D18" s="1259"/>
      <c r="E18" s="1259"/>
      <c r="F18" s="1259"/>
      <c r="G18" s="1259"/>
      <c r="H18" s="1259"/>
      <c r="I18" s="1259"/>
      <c r="J18" s="1259"/>
      <c r="K18" s="1259"/>
      <c r="L18" s="1259"/>
      <c r="M18" s="1259"/>
      <c r="N18" s="1259"/>
      <c r="O18" s="1259"/>
      <c r="P18" s="1259"/>
      <c r="Q18" s="1259"/>
      <c r="R18" s="1259"/>
      <c r="S18" s="1259"/>
      <c r="T18" s="1259"/>
      <c r="U18" s="1259"/>
      <c r="V18" s="1259"/>
      <c r="W18" s="1259"/>
      <c r="X18" s="1260"/>
      <c r="Y18" s="1261"/>
      <c r="Z18" s="1262"/>
      <c r="AA18" s="1262"/>
      <c r="AB18" s="1262"/>
      <c r="AC18" s="1262"/>
      <c r="AD18" s="1262"/>
      <c r="AE18" s="1263"/>
      <c r="AF18" s="1261"/>
      <c r="AG18" s="1262"/>
      <c r="AH18" s="1263"/>
      <c r="AI18" s="1264" t="s">
        <v>4676</v>
      </c>
      <c r="AJ18" s="1264"/>
      <c r="AK18" s="1264"/>
      <c r="AL18" s="1264"/>
      <c r="AM18" s="1264"/>
      <c r="AN18" s="1264"/>
      <c r="AO18" s="1264"/>
      <c r="AP18" s="1265" t="s">
        <v>7116</v>
      </c>
      <c r="AQ18" s="1265"/>
      <c r="AR18" s="1265"/>
      <c r="AS18" s="1265"/>
      <c r="AT18" s="1265"/>
      <c r="AU18" s="1265"/>
      <c r="AV18" s="1265"/>
    </row>
    <row r="19" s="1224" customFormat="1" ht="11.25" customHeight="1" spans="1:48">
      <c r="A19" s="1266">
        <v>1</v>
      </c>
      <c r="B19" s="1266"/>
      <c r="C19" s="1267">
        <v>2</v>
      </c>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v>3</v>
      </c>
      <c r="Z19" s="1266"/>
      <c r="AA19" s="1266"/>
      <c r="AB19" s="1266"/>
      <c r="AC19" s="1266"/>
      <c r="AD19" s="1266"/>
      <c r="AE19" s="1266"/>
      <c r="AF19" s="1266">
        <v>4</v>
      </c>
      <c r="AG19" s="1266"/>
      <c r="AH19" s="1266"/>
      <c r="AI19" s="1266">
        <v>5</v>
      </c>
      <c r="AJ19" s="1266"/>
      <c r="AK19" s="1266"/>
      <c r="AL19" s="1266"/>
      <c r="AM19" s="1266"/>
      <c r="AN19" s="1266"/>
      <c r="AO19" s="1266"/>
      <c r="AP19" s="1266">
        <v>6</v>
      </c>
      <c r="AQ19" s="1266"/>
      <c r="AR19" s="1266"/>
      <c r="AS19" s="1266"/>
      <c r="AT19" s="1266"/>
      <c r="AU19" s="1266"/>
      <c r="AV19" s="1266"/>
    </row>
    <row r="20" s="1226" customFormat="1" ht="14.25" customHeight="1" spans="1:48">
      <c r="A20" s="1285" t="s">
        <v>3953</v>
      </c>
      <c r="B20" s="1286"/>
      <c r="C20" s="1270" t="str">
        <f>Text!B586</f>
        <v>OSTALI PRIHODI I DOBICI (2+5+6+7+8+9+10+11+12)</v>
      </c>
      <c r="D20" s="1271"/>
      <c r="E20" s="1271"/>
      <c r="F20" s="1271"/>
      <c r="G20" s="1271"/>
      <c r="H20" s="1271"/>
      <c r="I20" s="1271"/>
      <c r="J20" s="1271"/>
      <c r="K20" s="1271"/>
      <c r="L20" s="1271"/>
      <c r="M20" s="1271"/>
      <c r="N20" s="1271"/>
      <c r="O20" s="1271"/>
      <c r="P20" s="1271"/>
      <c r="Q20" s="1271"/>
      <c r="R20" s="1271"/>
      <c r="S20" s="1271"/>
      <c r="T20" s="1271"/>
      <c r="U20" s="1271"/>
      <c r="V20" s="1271"/>
      <c r="W20" s="1271"/>
      <c r="X20" s="1272"/>
      <c r="Y20" s="1273"/>
      <c r="Z20" s="1274"/>
      <c r="AA20" s="1274"/>
      <c r="AB20" s="1274"/>
      <c r="AC20" s="1274"/>
      <c r="AD20" s="1274"/>
      <c r="AE20" s="1275"/>
      <c r="AF20" s="1268">
        <v>601</v>
      </c>
      <c r="AG20" s="1276"/>
      <c r="AH20" s="1269"/>
      <c r="AI20" s="1277">
        <f>AI21+SUM(AI24:AO31)</f>
        <v>0</v>
      </c>
      <c r="AJ20" s="1278"/>
      <c r="AK20" s="1279"/>
      <c r="AL20" s="1279"/>
      <c r="AM20" s="1279"/>
      <c r="AN20" s="1279"/>
      <c r="AO20" s="1280"/>
      <c r="AP20" s="1277">
        <f>AP21+SUM(AP24:AV31)</f>
        <v>0</v>
      </c>
      <c r="AQ20" s="1278"/>
      <c r="AR20" s="1279"/>
      <c r="AS20" s="1279"/>
      <c r="AT20" s="1279"/>
      <c r="AU20" s="1279"/>
      <c r="AV20" s="1280"/>
    </row>
    <row r="21" s="1225" customFormat="1" ht="14.25" customHeight="1" spans="1:48">
      <c r="A21" s="1285" t="s">
        <v>3891</v>
      </c>
      <c r="B21" s="1286"/>
      <c r="C21" s="1287" t="str">
        <f>Text!B587</f>
        <v>Prihodi od premija, subvencija, poticaja i sl., od toga:</v>
      </c>
      <c r="D21" s="1288"/>
      <c r="E21" s="1288"/>
      <c r="F21" s="1288"/>
      <c r="G21" s="1288"/>
      <c r="H21" s="1288"/>
      <c r="I21" s="1288"/>
      <c r="J21" s="1288"/>
      <c r="K21" s="1288"/>
      <c r="L21" s="1288"/>
      <c r="M21" s="1288"/>
      <c r="N21" s="1288"/>
      <c r="O21" s="1288"/>
      <c r="P21" s="1288"/>
      <c r="Q21" s="1288"/>
      <c r="R21" s="1288"/>
      <c r="S21" s="1288"/>
      <c r="T21" s="1288"/>
      <c r="U21" s="1288"/>
      <c r="V21" s="1288"/>
      <c r="W21" s="1288"/>
      <c r="X21" s="1289"/>
      <c r="Y21" s="2642">
        <v>650</v>
      </c>
      <c r="Z21" s="2642"/>
      <c r="AA21" s="2642"/>
      <c r="AB21" s="2642"/>
      <c r="AC21" s="2642"/>
      <c r="AD21" s="2642"/>
      <c r="AE21" s="2642"/>
      <c r="AF21" s="1285">
        <v>602</v>
      </c>
      <c r="AG21" s="1293"/>
      <c r="AH21" s="1286"/>
      <c r="AI21" s="1294">
        <f>ROUND(UnosPod!F157,0)</f>
        <v>0</v>
      </c>
      <c r="AJ21" s="1295"/>
      <c r="AK21" s="1296"/>
      <c r="AL21" s="1296"/>
      <c r="AM21" s="1296"/>
      <c r="AN21" s="1296"/>
      <c r="AO21" s="1297"/>
      <c r="AP21" s="1294">
        <f>Prethodna_2024!B279</f>
        <v>0</v>
      </c>
      <c r="AQ21" s="1295"/>
      <c r="AR21" s="1296"/>
      <c r="AS21" s="1296"/>
      <c r="AT21" s="1296"/>
      <c r="AU21" s="1296"/>
      <c r="AV21" s="1297"/>
    </row>
    <row r="22" s="1226" customFormat="1" ht="14.25" customHeight="1" spans="1:48">
      <c r="A22" s="1285" t="s">
        <v>3902</v>
      </c>
      <c r="B22" s="1286"/>
      <c r="C22" s="1287" t="str">
        <f>Text!B588</f>
        <v> - Prihodi iz budžeta po osnovu subvencija na proizvode 1)</v>
      </c>
      <c r="D22" s="1288"/>
      <c r="E22" s="1288"/>
      <c r="F22" s="1288"/>
      <c r="G22" s="1288"/>
      <c r="H22" s="1288"/>
      <c r="I22" s="1288"/>
      <c r="J22" s="1288"/>
      <c r="K22" s="1288"/>
      <c r="L22" s="1288"/>
      <c r="M22" s="1288"/>
      <c r="N22" s="1288"/>
      <c r="O22" s="1288"/>
      <c r="P22" s="1288"/>
      <c r="Q22" s="1288"/>
      <c r="R22" s="1288"/>
      <c r="S22" s="1288"/>
      <c r="T22" s="1288"/>
      <c r="U22" s="1288"/>
      <c r="V22" s="1288"/>
      <c r="W22" s="1288"/>
      <c r="X22" s="1289"/>
      <c r="Y22" s="1290" t="s">
        <v>5129</v>
      </c>
      <c r="Z22" s="1291"/>
      <c r="AA22" s="1291"/>
      <c r="AB22" s="1291"/>
      <c r="AC22" s="1291"/>
      <c r="AD22" s="1291"/>
      <c r="AE22" s="1292"/>
      <c r="AF22" s="1285">
        <v>603</v>
      </c>
      <c r="AG22" s="1293"/>
      <c r="AH22" s="1286"/>
      <c r="AI22" s="1294">
        <f>ROUND(UnosPod!F448,0)</f>
        <v>0</v>
      </c>
      <c r="AJ22" s="1295"/>
      <c r="AK22" s="1296"/>
      <c r="AL22" s="1296"/>
      <c r="AM22" s="1296"/>
      <c r="AN22" s="1296"/>
      <c r="AO22" s="1297"/>
      <c r="AP22" s="1294">
        <f>Prethodna_2024!B280</f>
        <v>0</v>
      </c>
      <c r="AQ22" s="1295"/>
      <c r="AR22" s="1296"/>
      <c r="AS22" s="1296"/>
      <c r="AT22" s="1296"/>
      <c r="AU22" s="1296"/>
      <c r="AV22" s="1297"/>
    </row>
    <row r="23" s="1226" customFormat="1" ht="14.25" customHeight="1" spans="1:48">
      <c r="A23" s="1285" t="s">
        <v>3905</v>
      </c>
      <c r="B23" s="1286"/>
      <c r="C23" s="1287" t="str">
        <f>Text!B589</f>
        <v> - Prihodi iz budžeta po osnovu subvencija za ostale namjene 2)</v>
      </c>
      <c r="D23" s="1288"/>
      <c r="E23" s="1288"/>
      <c r="F23" s="1288"/>
      <c r="G23" s="1288"/>
      <c r="H23" s="1288"/>
      <c r="I23" s="1288"/>
      <c r="J23" s="1288"/>
      <c r="K23" s="1288"/>
      <c r="L23" s="1288"/>
      <c r="M23" s="1288"/>
      <c r="N23" s="1288"/>
      <c r="O23" s="1288"/>
      <c r="P23" s="1288"/>
      <c r="Q23" s="1288"/>
      <c r="R23" s="1288"/>
      <c r="S23" s="1288"/>
      <c r="T23" s="1288"/>
      <c r="U23" s="1288"/>
      <c r="V23" s="1288"/>
      <c r="W23" s="1288"/>
      <c r="X23" s="1289"/>
      <c r="Y23" s="1290" t="s">
        <v>5129</v>
      </c>
      <c r="Z23" s="1291"/>
      <c r="AA23" s="1291"/>
      <c r="AB23" s="1291"/>
      <c r="AC23" s="1291"/>
      <c r="AD23" s="1291"/>
      <c r="AE23" s="1292"/>
      <c r="AF23" s="1285">
        <v>604</v>
      </c>
      <c r="AG23" s="1293"/>
      <c r="AH23" s="1286"/>
      <c r="AI23" s="1294">
        <f>AI21-AI22</f>
        <v>0</v>
      </c>
      <c r="AJ23" s="1295"/>
      <c r="AK23" s="1296"/>
      <c r="AL23" s="1296"/>
      <c r="AM23" s="1296"/>
      <c r="AN23" s="1296"/>
      <c r="AO23" s="1297"/>
      <c r="AP23" s="1294">
        <f>Prethodna_2024!B281</f>
        <v>0</v>
      </c>
      <c r="AQ23" s="1295"/>
      <c r="AR23" s="1296"/>
      <c r="AS23" s="1296"/>
      <c r="AT23" s="1296"/>
      <c r="AU23" s="1296"/>
      <c r="AV23" s="1297"/>
    </row>
    <row r="24" s="1226" customFormat="1" ht="14.25" customHeight="1" spans="1:48">
      <c r="A24" s="1285" t="s">
        <v>3915</v>
      </c>
      <c r="B24" s="1286"/>
      <c r="C24" s="1287" t="str">
        <f>Text!B590</f>
        <v>Prihodi od najma (operativni najam)</v>
      </c>
      <c r="D24" s="1288"/>
      <c r="E24" s="1288"/>
      <c r="F24" s="1288"/>
      <c r="G24" s="1288"/>
      <c r="H24" s="1288"/>
      <c r="I24" s="1288"/>
      <c r="J24" s="1288"/>
      <c r="K24" s="1288"/>
      <c r="L24" s="1288"/>
      <c r="M24" s="1288"/>
      <c r="N24" s="1288"/>
      <c r="O24" s="1288"/>
      <c r="P24" s="1288"/>
      <c r="Q24" s="1288"/>
      <c r="R24" s="1288"/>
      <c r="S24" s="1288"/>
      <c r="T24" s="1288"/>
      <c r="U24" s="1288"/>
      <c r="V24" s="1288"/>
      <c r="W24" s="1288"/>
      <c r="X24" s="1289"/>
      <c r="Y24" s="1290">
        <v>651</v>
      </c>
      <c r="Z24" s="1291"/>
      <c r="AA24" s="1291"/>
      <c r="AB24" s="1291"/>
      <c r="AC24" s="1291"/>
      <c r="AD24" s="1291"/>
      <c r="AE24" s="1292"/>
      <c r="AF24" s="1285">
        <v>605</v>
      </c>
      <c r="AG24" s="1293"/>
      <c r="AH24" s="1286"/>
      <c r="AI24" s="1294">
        <f>ROUND(UnosPod!F158,0)</f>
        <v>0</v>
      </c>
      <c r="AJ24" s="1295"/>
      <c r="AK24" s="1296"/>
      <c r="AL24" s="1296"/>
      <c r="AM24" s="1296"/>
      <c r="AN24" s="1296"/>
      <c r="AO24" s="1297"/>
      <c r="AP24" s="1294">
        <f>Prethodna_2024!B282</f>
        <v>0</v>
      </c>
      <c r="AQ24" s="1295"/>
      <c r="AR24" s="1296"/>
      <c r="AS24" s="1296"/>
      <c r="AT24" s="1296"/>
      <c r="AU24" s="1296"/>
      <c r="AV24" s="1297"/>
    </row>
    <row r="25" s="1225" customFormat="1" ht="14.25" customHeight="1" spans="1:48">
      <c r="A25" s="1285" t="s">
        <v>3918</v>
      </c>
      <c r="B25" s="1286"/>
      <c r="C25" s="1287" t="str">
        <f>Text!B591</f>
        <v>Prihodi od donacija</v>
      </c>
      <c r="D25" s="1288"/>
      <c r="E25" s="1288"/>
      <c r="F25" s="1288"/>
      <c r="G25" s="1288"/>
      <c r="H25" s="1288"/>
      <c r="I25" s="1288"/>
      <c r="J25" s="1288"/>
      <c r="K25" s="1288"/>
      <c r="L25" s="1288"/>
      <c r="M25" s="1288"/>
      <c r="N25" s="1288"/>
      <c r="O25" s="1288"/>
      <c r="P25" s="1288"/>
      <c r="Q25" s="1288"/>
      <c r="R25" s="1288"/>
      <c r="S25" s="1288"/>
      <c r="T25" s="1288"/>
      <c r="U25" s="1288"/>
      <c r="V25" s="1288"/>
      <c r="W25" s="1288"/>
      <c r="X25" s="1289"/>
      <c r="Y25" s="1290">
        <v>652</v>
      </c>
      <c r="Z25" s="1291"/>
      <c r="AA25" s="1291"/>
      <c r="AB25" s="1291"/>
      <c r="AC25" s="1291"/>
      <c r="AD25" s="1291"/>
      <c r="AE25" s="1292"/>
      <c r="AF25" s="1285">
        <v>606</v>
      </c>
      <c r="AG25" s="1293"/>
      <c r="AH25" s="1286"/>
      <c r="AI25" s="1294">
        <f>ROUND(UnosPod!F159,0)</f>
        <v>0</v>
      </c>
      <c r="AJ25" s="1295"/>
      <c r="AK25" s="1296"/>
      <c r="AL25" s="1296"/>
      <c r="AM25" s="1296"/>
      <c r="AN25" s="1296"/>
      <c r="AO25" s="1297"/>
      <c r="AP25" s="1294">
        <f>Prethodna_2024!B283</f>
        <v>0</v>
      </c>
      <c r="AQ25" s="1295"/>
      <c r="AR25" s="1296"/>
      <c r="AS25" s="1296"/>
      <c r="AT25" s="1296"/>
      <c r="AU25" s="1296"/>
      <c r="AV25" s="1297"/>
    </row>
    <row r="26" s="1226" customFormat="1" ht="14.25" customHeight="1" spans="1:48">
      <c r="A26" s="1285" t="s">
        <v>3920</v>
      </c>
      <c r="B26" s="1286"/>
      <c r="C26" s="1287" t="str">
        <f>Text!B592</f>
        <v>Prihodi od članarina</v>
      </c>
      <c r="D26" s="1288"/>
      <c r="E26" s="1288"/>
      <c r="F26" s="1288"/>
      <c r="G26" s="1288"/>
      <c r="H26" s="1288"/>
      <c r="I26" s="1288"/>
      <c r="J26" s="1288"/>
      <c r="K26" s="1288"/>
      <c r="L26" s="1288"/>
      <c r="M26" s="1288"/>
      <c r="N26" s="1288"/>
      <c r="O26" s="1288"/>
      <c r="P26" s="1288"/>
      <c r="Q26" s="1288"/>
      <c r="R26" s="1288"/>
      <c r="S26" s="1288"/>
      <c r="T26" s="1288"/>
      <c r="U26" s="1288"/>
      <c r="V26" s="1288"/>
      <c r="W26" s="1288"/>
      <c r="X26" s="1289"/>
      <c r="Y26" s="1290">
        <v>653</v>
      </c>
      <c r="Z26" s="1291"/>
      <c r="AA26" s="1291"/>
      <c r="AB26" s="1291"/>
      <c r="AC26" s="1291"/>
      <c r="AD26" s="1291"/>
      <c r="AE26" s="1292"/>
      <c r="AF26" s="1285">
        <v>607</v>
      </c>
      <c r="AG26" s="1293"/>
      <c r="AH26" s="1286"/>
      <c r="AI26" s="1294">
        <f>ROUND(UnosPod!F160,0)</f>
        <v>0</v>
      </c>
      <c r="AJ26" s="1295"/>
      <c r="AK26" s="1296"/>
      <c r="AL26" s="1296"/>
      <c r="AM26" s="1296"/>
      <c r="AN26" s="1296"/>
      <c r="AO26" s="1297"/>
      <c r="AP26" s="1294">
        <f>Prethodna_2024!B284</f>
        <v>0</v>
      </c>
      <c r="AQ26" s="1295"/>
      <c r="AR26" s="1296"/>
      <c r="AS26" s="1296"/>
      <c r="AT26" s="1296"/>
      <c r="AU26" s="1296"/>
      <c r="AV26" s="1297"/>
    </row>
    <row r="27" s="1226" customFormat="1" ht="14.25" customHeight="1" spans="1:48">
      <c r="A27" s="1285" t="s">
        <v>3923</v>
      </c>
      <c r="B27" s="1286"/>
      <c r="C27" s="1287" t="str">
        <f>Text!B593</f>
        <v>Prihodi od tantijema i licencnih prava</v>
      </c>
      <c r="D27" s="1288"/>
      <c r="E27" s="1288"/>
      <c r="F27" s="1288"/>
      <c r="G27" s="1288"/>
      <c r="H27" s="1288"/>
      <c r="I27" s="1288"/>
      <c r="J27" s="1288"/>
      <c r="K27" s="1288"/>
      <c r="L27" s="1288"/>
      <c r="M27" s="1288"/>
      <c r="N27" s="1288"/>
      <c r="O27" s="1288"/>
      <c r="P27" s="1288"/>
      <c r="Q27" s="1288"/>
      <c r="R27" s="1288"/>
      <c r="S27" s="1288"/>
      <c r="T27" s="1288"/>
      <c r="U27" s="1288"/>
      <c r="V27" s="1288"/>
      <c r="W27" s="1288"/>
      <c r="X27" s="1289"/>
      <c r="Y27" s="1290">
        <v>654</v>
      </c>
      <c r="Z27" s="1291"/>
      <c r="AA27" s="1291"/>
      <c r="AB27" s="1291"/>
      <c r="AC27" s="1291"/>
      <c r="AD27" s="1291"/>
      <c r="AE27" s="1292"/>
      <c r="AF27" s="1285">
        <v>608</v>
      </c>
      <c r="AG27" s="1293"/>
      <c r="AH27" s="1286"/>
      <c r="AI27" s="1294">
        <f>ROUND(UnosPod!F161,0)</f>
        <v>0</v>
      </c>
      <c r="AJ27" s="1295"/>
      <c r="AK27" s="1296"/>
      <c r="AL27" s="1296"/>
      <c r="AM27" s="1296"/>
      <c r="AN27" s="1296"/>
      <c r="AO27" s="1297"/>
      <c r="AP27" s="1294">
        <f>Prethodna_2024!B285</f>
        <v>0</v>
      </c>
      <c r="AQ27" s="1295"/>
      <c r="AR27" s="1296"/>
      <c r="AS27" s="1296"/>
      <c r="AT27" s="1296"/>
      <c r="AU27" s="1296"/>
      <c r="AV27" s="1297"/>
    </row>
    <row r="28" s="1226" customFormat="1" ht="14.25" customHeight="1" spans="1:48">
      <c r="A28" s="1285" t="s">
        <v>3925</v>
      </c>
      <c r="B28" s="1286"/>
      <c r="C28" s="1287" t="str">
        <f>Text!B594</f>
        <v>Prihodi iz namjenskih izvora finansiranja</v>
      </c>
      <c r="D28" s="1288"/>
      <c r="E28" s="1288"/>
      <c r="F28" s="1288"/>
      <c r="G28" s="1288"/>
      <c r="H28" s="1288"/>
      <c r="I28" s="1288"/>
      <c r="J28" s="1288"/>
      <c r="K28" s="1288"/>
      <c r="L28" s="1288"/>
      <c r="M28" s="1288"/>
      <c r="N28" s="1288"/>
      <c r="O28" s="1288"/>
      <c r="P28" s="1288"/>
      <c r="Q28" s="1288"/>
      <c r="R28" s="1288"/>
      <c r="S28" s="1288"/>
      <c r="T28" s="1288"/>
      <c r="U28" s="1288"/>
      <c r="V28" s="1288"/>
      <c r="W28" s="1288"/>
      <c r="X28" s="1289"/>
      <c r="Y28" s="1290">
        <v>655</v>
      </c>
      <c r="Z28" s="1291"/>
      <c r="AA28" s="1291"/>
      <c r="AB28" s="1291"/>
      <c r="AC28" s="1291"/>
      <c r="AD28" s="1291"/>
      <c r="AE28" s="1292"/>
      <c r="AF28" s="1285">
        <v>609</v>
      </c>
      <c r="AG28" s="1293"/>
      <c r="AH28" s="1286"/>
      <c r="AI28" s="1294">
        <f>ROUND(UnosPod!F162,0)</f>
        <v>0</v>
      </c>
      <c r="AJ28" s="1295"/>
      <c r="AK28" s="1296"/>
      <c r="AL28" s="1296"/>
      <c r="AM28" s="1296"/>
      <c r="AN28" s="1296"/>
      <c r="AO28" s="1297"/>
      <c r="AP28" s="1294">
        <f>Prethodna_2024!B286</f>
        <v>0</v>
      </c>
      <c r="AQ28" s="1295"/>
      <c r="AR28" s="1296"/>
      <c r="AS28" s="1296"/>
      <c r="AT28" s="1296"/>
      <c r="AU28" s="1296"/>
      <c r="AV28" s="1297"/>
    </row>
    <row r="29" s="1226" customFormat="1" ht="14.25" customHeight="1" spans="1:48">
      <c r="A29" s="1285" t="s">
        <v>3928</v>
      </c>
      <c r="B29" s="1286"/>
      <c r="C29" s="1287" t="str">
        <f>Text!B595</f>
        <v>Ostali prihodi po drugim osnovama</v>
      </c>
      <c r="D29" s="1288"/>
      <c r="E29" s="1288"/>
      <c r="F29" s="1288"/>
      <c r="G29" s="1288"/>
      <c r="H29" s="1288"/>
      <c r="I29" s="1288"/>
      <c r="J29" s="1288"/>
      <c r="K29" s="1288"/>
      <c r="L29" s="1288"/>
      <c r="M29" s="1288"/>
      <c r="N29" s="1288"/>
      <c r="O29" s="1288"/>
      <c r="P29" s="1288"/>
      <c r="Q29" s="1288"/>
      <c r="R29" s="1288"/>
      <c r="S29" s="1288"/>
      <c r="T29" s="1288"/>
      <c r="U29" s="1288"/>
      <c r="V29" s="1288"/>
      <c r="W29" s="1288"/>
      <c r="X29" s="1289"/>
      <c r="Y29" s="1290">
        <v>659</v>
      </c>
      <c r="Z29" s="1291"/>
      <c r="AA29" s="1291"/>
      <c r="AB29" s="1291"/>
      <c r="AC29" s="1291"/>
      <c r="AD29" s="1291"/>
      <c r="AE29" s="1292"/>
      <c r="AF29" s="1285">
        <v>610</v>
      </c>
      <c r="AG29" s="1293"/>
      <c r="AH29" s="1286"/>
      <c r="AI29" s="1294">
        <f>ROUND(UnosPod!F164,0)</f>
        <v>0</v>
      </c>
      <c r="AJ29" s="1295"/>
      <c r="AK29" s="1296"/>
      <c r="AL29" s="1296"/>
      <c r="AM29" s="1296"/>
      <c r="AN29" s="1296"/>
      <c r="AO29" s="1297"/>
      <c r="AP29" s="1294">
        <f>Prethodna_2024!B287</f>
        <v>0</v>
      </c>
      <c r="AQ29" s="1295"/>
      <c r="AR29" s="1296"/>
      <c r="AS29" s="1296"/>
      <c r="AT29" s="1296"/>
      <c r="AU29" s="1296"/>
      <c r="AV29" s="1297"/>
    </row>
    <row r="30" s="1226" customFormat="1" ht="14.25" customHeight="1" spans="1:48">
      <c r="A30" s="1285" t="s">
        <v>3934</v>
      </c>
      <c r="B30" s="1286"/>
      <c r="C30" s="1287" t="str">
        <f>Text!B596</f>
        <v>Dobici od prodaje materijala</v>
      </c>
      <c r="D30" s="1288"/>
      <c r="E30" s="1288"/>
      <c r="F30" s="1288"/>
      <c r="G30" s="1288"/>
      <c r="H30" s="1288"/>
      <c r="I30" s="1288"/>
      <c r="J30" s="1288"/>
      <c r="K30" s="1288"/>
      <c r="L30" s="1288"/>
      <c r="M30" s="1288"/>
      <c r="N30" s="1288"/>
      <c r="O30" s="1288"/>
      <c r="P30" s="1288"/>
      <c r="Q30" s="1288"/>
      <c r="R30" s="1288"/>
      <c r="S30" s="1288"/>
      <c r="T30" s="1288"/>
      <c r="U30" s="1288"/>
      <c r="V30" s="1288"/>
      <c r="W30" s="1288"/>
      <c r="X30" s="1289"/>
      <c r="Y30" s="1290">
        <v>675</v>
      </c>
      <c r="Z30" s="1291"/>
      <c r="AA30" s="1291"/>
      <c r="AB30" s="1291"/>
      <c r="AC30" s="1291"/>
      <c r="AD30" s="1291"/>
      <c r="AE30" s="1292"/>
      <c r="AF30" s="1285">
        <v>611</v>
      </c>
      <c r="AG30" s="1293"/>
      <c r="AH30" s="1286"/>
      <c r="AI30" s="1294">
        <f>ROUND(UnosPod!F187,0)</f>
        <v>0</v>
      </c>
      <c r="AJ30" s="1295"/>
      <c r="AK30" s="1296"/>
      <c r="AL30" s="1296"/>
      <c r="AM30" s="1296"/>
      <c r="AN30" s="1296"/>
      <c r="AO30" s="1297"/>
      <c r="AP30" s="1294">
        <f>Prethodna_2024!B288</f>
        <v>0</v>
      </c>
      <c r="AQ30" s="1295"/>
      <c r="AR30" s="1296"/>
      <c r="AS30" s="1296"/>
      <c r="AT30" s="1296"/>
      <c r="AU30" s="1296"/>
      <c r="AV30" s="1297"/>
    </row>
    <row r="31" s="1226" customFormat="1" ht="14.25" customHeight="1" spans="1:48">
      <c r="A31" s="1285" t="s">
        <v>3945</v>
      </c>
      <c r="B31" s="1286"/>
      <c r="C31" s="1287" t="str">
        <f>Text!B597</f>
        <v>Dobici od usklađivanja vrijednosti zaliha</v>
      </c>
      <c r="D31" s="1288"/>
      <c r="E31" s="1288"/>
      <c r="F31" s="1288"/>
      <c r="G31" s="1288"/>
      <c r="H31" s="1288"/>
      <c r="I31" s="1288"/>
      <c r="J31" s="1288"/>
      <c r="K31" s="1288"/>
      <c r="L31" s="1288"/>
      <c r="M31" s="1288"/>
      <c r="N31" s="1288"/>
      <c r="O31" s="1288"/>
      <c r="P31" s="1288"/>
      <c r="Q31" s="1288"/>
      <c r="R31" s="1288"/>
      <c r="S31" s="1288"/>
      <c r="T31" s="1288"/>
      <c r="U31" s="1288"/>
      <c r="V31" s="1288"/>
      <c r="W31" s="1288"/>
      <c r="X31" s="1289"/>
      <c r="Y31" s="1290">
        <v>685</v>
      </c>
      <c r="Z31" s="1291"/>
      <c r="AA31" s="1291"/>
      <c r="AB31" s="1291"/>
      <c r="AC31" s="1291"/>
      <c r="AD31" s="1291"/>
      <c r="AE31" s="1292"/>
      <c r="AF31" s="1285">
        <v>612</v>
      </c>
      <c r="AG31" s="1293"/>
      <c r="AH31" s="1286"/>
      <c r="AI31" s="1294">
        <f>ROUND(UnosPod!F206,0)</f>
        <v>0</v>
      </c>
      <c r="AJ31" s="1295"/>
      <c r="AK31" s="1296"/>
      <c r="AL31" s="1296"/>
      <c r="AM31" s="1296"/>
      <c r="AN31" s="1296"/>
      <c r="AO31" s="1297"/>
      <c r="AP31" s="1294">
        <f>Prethodna_2024!B289</f>
        <v>0</v>
      </c>
      <c r="AQ31" s="1295"/>
      <c r="AR31" s="1296"/>
      <c r="AS31" s="1296"/>
      <c r="AT31" s="1296"/>
      <c r="AU31" s="1296"/>
      <c r="AV31" s="1297"/>
    </row>
    <row r="32" s="1226" customFormat="1" ht="28.5" customHeight="1" spans="1:48">
      <c r="A32" s="1285" t="s">
        <v>3947</v>
      </c>
      <c r="B32" s="1286"/>
      <c r="C32" s="1270" t="str">
        <f>Text!B598</f>
        <v>TROŠKOVI PLAĆA I OSTALIH PRIMANJA ZAPOSLENIH I DRUGIH FIZIČKIH LICA (14+15+16+17+18+20+21+22)</v>
      </c>
      <c r="D32" s="1271"/>
      <c r="E32" s="1271"/>
      <c r="F32" s="1271"/>
      <c r="G32" s="1271"/>
      <c r="H32" s="1271"/>
      <c r="I32" s="1271"/>
      <c r="J32" s="1271"/>
      <c r="K32" s="1271"/>
      <c r="L32" s="1271"/>
      <c r="M32" s="1271"/>
      <c r="N32" s="1271"/>
      <c r="O32" s="1271"/>
      <c r="P32" s="1271"/>
      <c r="Q32" s="1271"/>
      <c r="R32" s="1271"/>
      <c r="S32" s="1271"/>
      <c r="T32" s="1271"/>
      <c r="U32" s="1271"/>
      <c r="V32" s="1271"/>
      <c r="W32" s="1271"/>
      <c r="X32" s="1272"/>
      <c r="Y32" s="1273">
        <v>52</v>
      </c>
      <c r="Z32" s="1274"/>
      <c r="AA32" s="1274"/>
      <c r="AB32" s="1274"/>
      <c r="AC32" s="1274"/>
      <c r="AD32" s="1274"/>
      <c r="AE32" s="1275"/>
      <c r="AF32" s="1268">
        <v>613</v>
      </c>
      <c r="AG32" s="1276"/>
      <c r="AH32" s="1269"/>
      <c r="AI32" s="1277">
        <f>SUM(AI33:AO37)+AI39+AI40+AI41</f>
        <v>206367</v>
      </c>
      <c r="AJ32" s="1278"/>
      <c r="AK32" s="1279"/>
      <c r="AL32" s="1279"/>
      <c r="AM32" s="1279"/>
      <c r="AN32" s="1279"/>
      <c r="AO32" s="1280"/>
      <c r="AP32" s="1277">
        <f>SUM(AP33:AV37)+AP39+AP40+AP41</f>
        <v>197520</v>
      </c>
      <c r="AQ32" s="1278"/>
      <c r="AR32" s="1279"/>
      <c r="AS32" s="1279"/>
      <c r="AT32" s="1279"/>
      <c r="AU32" s="1279"/>
      <c r="AV32" s="1280"/>
    </row>
    <row r="33" s="1226" customFormat="1" ht="13.5" customHeight="1" spans="1:48">
      <c r="A33" s="1285" t="s">
        <v>5705</v>
      </c>
      <c r="B33" s="1286"/>
      <c r="C33" s="1287" t="str">
        <f>Text!B599</f>
        <v>Plaće i naknade plaća (neto za isplatu zaposlenicima) 3)</v>
      </c>
      <c r="D33" s="1288"/>
      <c r="E33" s="1288"/>
      <c r="F33" s="1288"/>
      <c r="G33" s="1288"/>
      <c r="H33" s="1288"/>
      <c r="I33" s="1288"/>
      <c r="J33" s="1288"/>
      <c r="K33" s="1288"/>
      <c r="L33" s="1288"/>
      <c r="M33" s="1288"/>
      <c r="N33" s="1288"/>
      <c r="O33" s="1288"/>
      <c r="P33" s="1288"/>
      <c r="Q33" s="1288"/>
      <c r="R33" s="1288"/>
      <c r="S33" s="1288"/>
      <c r="T33" s="1288"/>
      <c r="U33" s="1288"/>
      <c r="V33" s="1288"/>
      <c r="W33" s="1288"/>
      <c r="X33" s="1289"/>
      <c r="Y33" s="1290" t="s">
        <v>7117</v>
      </c>
      <c r="Z33" s="1291"/>
      <c r="AA33" s="1291"/>
      <c r="AB33" s="1291"/>
      <c r="AC33" s="1291"/>
      <c r="AD33" s="1291"/>
      <c r="AE33" s="1292"/>
      <c r="AF33" s="1285">
        <v>614</v>
      </c>
      <c r="AG33" s="1293"/>
      <c r="AH33" s="1286"/>
      <c r="AI33" s="1294">
        <f>ROUND(UnosPod!F240+UnosPod!F245,0)</f>
        <v>87679</v>
      </c>
      <c r="AJ33" s="1295"/>
      <c r="AK33" s="1296"/>
      <c r="AL33" s="1296"/>
      <c r="AM33" s="1296"/>
      <c r="AN33" s="1296"/>
      <c r="AO33" s="1297"/>
      <c r="AP33" s="1294">
        <f>Prethodna_2024!B291</f>
        <v>88949</v>
      </c>
      <c r="AQ33" s="1295"/>
      <c r="AR33" s="1296"/>
      <c r="AS33" s="1296"/>
      <c r="AT33" s="1296"/>
      <c r="AU33" s="1296"/>
      <c r="AV33" s="1297"/>
    </row>
    <row r="34" s="1226" customFormat="1" ht="13.5" customHeight="1" spans="1:48">
      <c r="A34" s="1285" t="s">
        <v>5707</v>
      </c>
      <c r="B34" s="1286"/>
      <c r="C34" s="1287" t="str">
        <f>Text!B600</f>
        <v>Porez na dohodak</v>
      </c>
      <c r="D34" s="1288"/>
      <c r="E34" s="1288"/>
      <c r="F34" s="1288"/>
      <c r="G34" s="1288"/>
      <c r="H34" s="1288"/>
      <c r="I34" s="1288"/>
      <c r="J34" s="1288"/>
      <c r="K34" s="1288"/>
      <c r="L34" s="1288"/>
      <c r="M34" s="1288"/>
      <c r="N34" s="1288"/>
      <c r="O34" s="1288"/>
      <c r="P34" s="1288"/>
      <c r="Q34" s="1288"/>
      <c r="R34" s="1288"/>
      <c r="S34" s="1288"/>
      <c r="T34" s="1288"/>
      <c r="U34" s="1288"/>
      <c r="V34" s="1288"/>
      <c r="W34" s="1288"/>
      <c r="X34" s="1289"/>
      <c r="Y34" s="1290" t="s">
        <v>7117</v>
      </c>
      <c r="Z34" s="1291"/>
      <c r="AA34" s="1291"/>
      <c r="AB34" s="1291"/>
      <c r="AC34" s="1291"/>
      <c r="AD34" s="1291"/>
      <c r="AE34" s="1292"/>
      <c r="AF34" s="1285">
        <v>615</v>
      </c>
      <c r="AG34" s="1293"/>
      <c r="AH34" s="1286"/>
      <c r="AI34" s="1294">
        <f>ROUND(UnosPod!F241+UnosPod!F246,0)</f>
        <v>6929</v>
      </c>
      <c r="AJ34" s="1295"/>
      <c r="AK34" s="1296"/>
      <c r="AL34" s="1296"/>
      <c r="AM34" s="1296"/>
      <c r="AN34" s="1296"/>
      <c r="AO34" s="1297"/>
      <c r="AP34" s="1294">
        <f>Prethodna_2024!B292</f>
        <v>43042</v>
      </c>
      <c r="AQ34" s="1295"/>
      <c r="AR34" s="1296"/>
      <c r="AS34" s="1296"/>
      <c r="AT34" s="1296"/>
      <c r="AU34" s="1296"/>
      <c r="AV34" s="1297"/>
    </row>
    <row r="35" s="1226" customFormat="1" ht="13.5" customHeight="1" spans="1:48">
      <c r="A35" s="1285" t="s">
        <v>5708</v>
      </c>
      <c r="B35" s="1286"/>
      <c r="C35" s="1287" t="str">
        <f>Text!B601</f>
        <v>Doprinosi iz plaća i naknada plaća</v>
      </c>
      <c r="D35" s="1288"/>
      <c r="E35" s="1288"/>
      <c r="F35" s="1288"/>
      <c r="G35" s="1288"/>
      <c r="H35" s="1288"/>
      <c r="I35" s="1288"/>
      <c r="J35" s="1288"/>
      <c r="K35" s="1288"/>
      <c r="L35" s="1288"/>
      <c r="M35" s="1288"/>
      <c r="N35" s="1288"/>
      <c r="O35" s="1288"/>
      <c r="P35" s="1288"/>
      <c r="Q35" s="1288"/>
      <c r="R35" s="1288"/>
      <c r="S35" s="1288"/>
      <c r="T35" s="1288"/>
      <c r="U35" s="1288"/>
      <c r="V35" s="1288"/>
      <c r="W35" s="1288"/>
      <c r="X35" s="1289"/>
      <c r="Y35" s="1290" t="s">
        <v>7117</v>
      </c>
      <c r="Z35" s="1291"/>
      <c r="AA35" s="1291"/>
      <c r="AB35" s="1291"/>
      <c r="AC35" s="1291"/>
      <c r="AD35" s="1291"/>
      <c r="AE35" s="1292"/>
      <c r="AF35" s="1285">
        <v>616</v>
      </c>
      <c r="AG35" s="1293"/>
      <c r="AH35" s="1286"/>
      <c r="AI35" s="1294">
        <f>ROUND(UnosPod!F242+UnosPod!F247,0)</f>
        <v>57934</v>
      </c>
      <c r="AJ35" s="1295"/>
      <c r="AK35" s="1296"/>
      <c r="AL35" s="1296"/>
      <c r="AM35" s="1296"/>
      <c r="AN35" s="1296"/>
      <c r="AO35" s="1297"/>
      <c r="AP35" s="1294">
        <f>Prethodna_2024!B293</f>
        <v>14579</v>
      </c>
      <c r="AQ35" s="1295"/>
      <c r="AR35" s="1296"/>
      <c r="AS35" s="1296"/>
      <c r="AT35" s="1296"/>
      <c r="AU35" s="1296"/>
      <c r="AV35" s="1297"/>
    </row>
    <row r="36" s="1226" customFormat="1" ht="13.5" customHeight="1" spans="1:48">
      <c r="A36" s="1285" t="s">
        <v>5709</v>
      </c>
      <c r="B36" s="1286"/>
      <c r="C36" s="1287" t="str">
        <f>Text!B602</f>
        <v>Doprinosi na plaća i naknade plaća</v>
      </c>
      <c r="D36" s="1288"/>
      <c r="E36" s="1288"/>
      <c r="F36" s="1288"/>
      <c r="G36" s="1288"/>
      <c r="H36" s="1288"/>
      <c r="I36" s="1288"/>
      <c r="J36" s="1288"/>
      <c r="K36" s="1288"/>
      <c r="L36" s="1288"/>
      <c r="M36" s="1288"/>
      <c r="N36" s="1288"/>
      <c r="O36" s="1288"/>
      <c r="P36" s="1288"/>
      <c r="Q36" s="1288"/>
      <c r="R36" s="1288"/>
      <c r="S36" s="1288"/>
      <c r="T36" s="1288"/>
      <c r="U36" s="1288"/>
      <c r="V36" s="1288"/>
      <c r="W36" s="1288"/>
      <c r="X36" s="1289"/>
      <c r="Y36" s="1290" t="s">
        <v>7117</v>
      </c>
      <c r="Z36" s="1291"/>
      <c r="AA36" s="1291"/>
      <c r="AB36" s="1291"/>
      <c r="AC36" s="1291"/>
      <c r="AD36" s="1291"/>
      <c r="AE36" s="1292"/>
      <c r="AF36" s="1285">
        <v>617</v>
      </c>
      <c r="AG36" s="1293"/>
      <c r="AH36" s="1286"/>
      <c r="AI36" s="1294">
        <f>ROUND(UnosPod!F243+UnosPod!F248,0)</f>
        <v>10605</v>
      </c>
      <c r="AJ36" s="1295"/>
      <c r="AK36" s="1296"/>
      <c r="AL36" s="1296"/>
      <c r="AM36" s="1296"/>
      <c r="AN36" s="1296"/>
      <c r="AO36" s="1297"/>
      <c r="AP36" s="1294">
        <f>Prethodna_2024!B294</f>
        <v>6841</v>
      </c>
      <c r="AQ36" s="1295"/>
      <c r="AR36" s="1296"/>
      <c r="AS36" s="1296"/>
      <c r="AT36" s="1296"/>
      <c r="AU36" s="1296"/>
      <c r="AV36" s="1297"/>
    </row>
    <row r="37" s="1226" customFormat="1" ht="13.5" customHeight="1" spans="1:48">
      <c r="A37" s="1285" t="s">
        <v>5710</v>
      </c>
      <c r="B37" s="1286"/>
      <c r="C37" s="1287" t="str">
        <f>Text!B603</f>
        <v>Troškovi za službena putovanja zaposlenih, od toga:</v>
      </c>
      <c r="D37" s="1288"/>
      <c r="E37" s="1288"/>
      <c r="F37" s="1288"/>
      <c r="G37" s="1288"/>
      <c r="H37" s="1288"/>
      <c r="I37" s="1288"/>
      <c r="J37" s="1288"/>
      <c r="K37" s="1288"/>
      <c r="L37" s="1288"/>
      <c r="M37" s="1288"/>
      <c r="N37" s="1288"/>
      <c r="O37" s="1288"/>
      <c r="P37" s="1288"/>
      <c r="Q37" s="1288"/>
      <c r="R37" s="1288"/>
      <c r="S37" s="1288"/>
      <c r="T37" s="1288"/>
      <c r="U37" s="1288"/>
      <c r="V37" s="1288"/>
      <c r="W37" s="1288"/>
      <c r="X37" s="1289"/>
      <c r="Y37" s="1290">
        <v>523</v>
      </c>
      <c r="Z37" s="1291"/>
      <c r="AA37" s="1291"/>
      <c r="AB37" s="1291"/>
      <c r="AC37" s="1291"/>
      <c r="AD37" s="1291"/>
      <c r="AE37" s="1292"/>
      <c r="AF37" s="1285">
        <v>618</v>
      </c>
      <c r="AG37" s="1293"/>
      <c r="AH37" s="1286"/>
      <c r="AI37" s="1294">
        <f>ROUND(UnosPod!F250,0)</f>
        <v>9263</v>
      </c>
      <c r="AJ37" s="1295"/>
      <c r="AK37" s="1296"/>
      <c r="AL37" s="1296"/>
      <c r="AM37" s="1296"/>
      <c r="AN37" s="1296"/>
      <c r="AO37" s="1297"/>
      <c r="AP37" s="1294">
        <f>Prethodna_2024!B295</f>
        <v>6336</v>
      </c>
      <c r="AQ37" s="1295"/>
      <c r="AR37" s="1296"/>
      <c r="AS37" s="1296"/>
      <c r="AT37" s="1296"/>
      <c r="AU37" s="1296"/>
      <c r="AV37" s="1297"/>
    </row>
    <row r="38" s="1226" customFormat="1" ht="13.5" customHeight="1" spans="1:48">
      <c r="A38" s="1285" t="s">
        <v>5711</v>
      </c>
      <c r="B38" s="1286"/>
      <c r="C38" s="1287" t="str">
        <f>Text!B604</f>
        <v> - Dnevnice za službena putovanja u zemlji i inostranstvu</v>
      </c>
      <c r="D38" s="1288"/>
      <c r="E38" s="1288"/>
      <c r="F38" s="1288"/>
      <c r="G38" s="1288"/>
      <c r="H38" s="1288"/>
      <c r="I38" s="1288"/>
      <c r="J38" s="1288"/>
      <c r="K38" s="1288"/>
      <c r="L38" s="1288"/>
      <c r="M38" s="1288"/>
      <c r="N38" s="1288"/>
      <c r="O38" s="1288"/>
      <c r="P38" s="1288"/>
      <c r="Q38" s="1288"/>
      <c r="R38" s="1288"/>
      <c r="S38" s="1288"/>
      <c r="T38" s="1288"/>
      <c r="U38" s="1288"/>
      <c r="V38" s="1288"/>
      <c r="W38" s="1288"/>
      <c r="X38" s="1289"/>
      <c r="Y38" s="1290" t="s">
        <v>5131</v>
      </c>
      <c r="Z38" s="1291"/>
      <c r="AA38" s="1291"/>
      <c r="AB38" s="1291"/>
      <c r="AC38" s="1291"/>
      <c r="AD38" s="1291"/>
      <c r="AE38" s="1292"/>
      <c r="AF38" s="1285">
        <v>619</v>
      </c>
      <c r="AG38" s="1293"/>
      <c r="AH38" s="1286"/>
      <c r="AI38" s="1294">
        <f>ROUND(IF(UnosPod!F450=0,AI37,UnosPod!F450),0)</f>
        <v>9263</v>
      </c>
      <c r="AJ38" s="1295"/>
      <c r="AK38" s="1296"/>
      <c r="AL38" s="1296"/>
      <c r="AM38" s="1296"/>
      <c r="AN38" s="1296"/>
      <c r="AO38" s="1297"/>
      <c r="AP38" s="1294">
        <f>Prethodna_2024!B296</f>
        <v>4263</v>
      </c>
      <c r="AQ38" s="1295"/>
      <c r="AR38" s="1296"/>
      <c r="AS38" s="1296"/>
      <c r="AT38" s="1296"/>
      <c r="AU38" s="1296"/>
      <c r="AV38" s="1297"/>
    </row>
    <row r="39" s="1226" customFormat="1" ht="13.5" customHeight="1" spans="1:48">
      <c r="A39" s="1285" t="s">
        <v>5713</v>
      </c>
      <c r="B39" s="1286"/>
      <c r="C39" s="1287" t="str">
        <f>Text!B605</f>
        <v>Troškovi ostalih primanja, naknada i materijalnih prava zaposlenih</v>
      </c>
      <c r="D39" s="1288"/>
      <c r="E39" s="1288"/>
      <c r="F39" s="1288"/>
      <c r="G39" s="1288"/>
      <c r="H39" s="1288"/>
      <c r="I39" s="1288"/>
      <c r="J39" s="1288"/>
      <c r="K39" s="1288"/>
      <c r="L39" s="1288"/>
      <c r="M39" s="1288"/>
      <c r="N39" s="1288"/>
      <c r="O39" s="1288"/>
      <c r="P39" s="1288"/>
      <c r="Q39" s="1288"/>
      <c r="R39" s="1288"/>
      <c r="S39" s="1288"/>
      <c r="T39" s="1288"/>
      <c r="U39" s="1288"/>
      <c r="V39" s="1288"/>
      <c r="W39" s="1288"/>
      <c r="X39" s="1289"/>
      <c r="Y39" s="1290">
        <v>524</v>
      </c>
      <c r="Z39" s="1291"/>
      <c r="AA39" s="1291"/>
      <c r="AB39" s="1291"/>
      <c r="AC39" s="1291"/>
      <c r="AD39" s="1291"/>
      <c r="AE39" s="1292"/>
      <c r="AF39" s="1285">
        <v>620</v>
      </c>
      <c r="AG39" s="1293"/>
      <c r="AH39" s="1286"/>
      <c r="AI39" s="1294">
        <f>ROUND(UnosPod!F251,0)</f>
        <v>27191</v>
      </c>
      <c r="AJ39" s="1295"/>
      <c r="AK39" s="1296"/>
      <c r="AL39" s="1296"/>
      <c r="AM39" s="1296"/>
      <c r="AN39" s="1296"/>
      <c r="AO39" s="1297"/>
      <c r="AP39" s="1294">
        <f>Prethodna_2024!B297</f>
        <v>25578</v>
      </c>
      <c r="AQ39" s="1295"/>
      <c r="AR39" s="1296"/>
      <c r="AS39" s="1296"/>
      <c r="AT39" s="1296"/>
      <c r="AU39" s="1296"/>
      <c r="AV39" s="1297"/>
    </row>
    <row r="40" s="1226" customFormat="1" ht="13.5" customHeight="1" spans="1:48">
      <c r="A40" s="1285" t="s">
        <v>5714</v>
      </c>
      <c r="B40" s="1286"/>
      <c r="C40" s="1287" t="str">
        <f>Text!B606</f>
        <v>Troškovi naknada članovima odbora, komisija i sl.</v>
      </c>
      <c r="D40" s="1288"/>
      <c r="E40" s="1288"/>
      <c r="F40" s="1288"/>
      <c r="G40" s="1288"/>
      <c r="H40" s="1288"/>
      <c r="I40" s="1288"/>
      <c r="J40" s="1288"/>
      <c r="K40" s="1288"/>
      <c r="L40" s="1288"/>
      <c r="M40" s="1288"/>
      <c r="N40" s="1288"/>
      <c r="O40" s="1288"/>
      <c r="P40" s="1288"/>
      <c r="Q40" s="1288"/>
      <c r="R40" s="1288"/>
      <c r="S40" s="1288"/>
      <c r="T40" s="1288"/>
      <c r="U40" s="1288"/>
      <c r="V40" s="1288"/>
      <c r="W40" s="1288"/>
      <c r="X40" s="1289"/>
      <c r="Y40" s="1290">
        <v>527</v>
      </c>
      <c r="Z40" s="1291"/>
      <c r="AA40" s="1291"/>
      <c r="AB40" s="1291"/>
      <c r="AC40" s="1291"/>
      <c r="AD40" s="1291"/>
      <c r="AE40" s="1292"/>
      <c r="AF40" s="1285">
        <v>621</v>
      </c>
      <c r="AG40" s="1293"/>
      <c r="AH40" s="1286"/>
      <c r="AI40" s="1294">
        <f>ROUND(UnosPod!F252,0)</f>
        <v>6766</v>
      </c>
      <c r="AJ40" s="1295"/>
      <c r="AK40" s="1296"/>
      <c r="AL40" s="1296"/>
      <c r="AM40" s="1296"/>
      <c r="AN40" s="1296"/>
      <c r="AO40" s="1297"/>
      <c r="AP40" s="1294">
        <f>Prethodna_2024!B298</f>
        <v>12195</v>
      </c>
      <c r="AQ40" s="1295"/>
      <c r="AR40" s="1296"/>
      <c r="AS40" s="1296"/>
      <c r="AT40" s="1296"/>
      <c r="AU40" s="1296"/>
      <c r="AV40" s="1297"/>
    </row>
    <row r="41" s="1226" customFormat="1" ht="13.5" customHeight="1" spans="1:48">
      <c r="A41" s="1285" t="s">
        <v>5715</v>
      </c>
      <c r="B41" s="1286"/>
      <c r="C41" s="1287" t="str">
        <f>Text!B607</f>
        <v>Troškovi naknada ostalim fizičkim licima</v>
      </c>
      <c r="D41" s="1288"/>
      <c r="E41" s="1288"/>
      <c r="F41" s="1288"/>
      <c r="G41" s="1288"/>
      <c r="H41" s="1288"/>
      <c r="I41" s="1288"/>
      <c r="J41" s="1288"/>
      <c r="K41" s="1288"/>
      <c r="L41" s="1288"/>
      <c r="M41" s="1288"/>
      <c r="N41" s="1288"/>
      <c r="O41" s="1288"/>
      <c r="P41" s="1288"/>
      <c r="Q41" s="1288"/>
      <c r="R41" s="1288"/>
      <c r="S41" s="1288"/>
      <c r="T41" s="1288"/>
      <c r="U41" s="1288"/>
      <c r="V41" s="1288"/>
      <c r="W41" s="1288"/>
      <c r="X41" s="1289"/>
      <c r="Y41" s="1290">
        <v>529</v>
      </c>
      <c r="Z41" s="1291"/>
      <c r="AA41" s="1291"/>
      <c r="AB41" s="1291"/>
      <c r="AC41" s="1291"/>
      <c r="AD41" s="1291"/>
      <c r="AE41" s="1292"/>
      <c r="AF41" s="1285">
        <v>622</v>
      </c>
      <c r="AG41" s="1293"/>
      <c r="AH41" s="1286"/>
      <c r="AI41" s="1294">
        <f>ROUND(UnosPod!F253,0)</f>
        <v>0</v>
      </c>
      <c r="AJ41" s="1295"/>
      <c r="AK41" s="1296"/>
      <c r="AL41" s="1296"/>
      <c r="AM41" s="1296"/>
      <c r="AN41" s="1296"/>
      <c r="AO41" s="1297"/>
      <c r="AP41" s="1294">
        <f>Prethodna_2024!B299</f>
        <v>0</v>
      </c>
      <c r="AQ41" s="1295"/>
      <c r="AR41" s="1296"/>
      <c r="AS41" s="1296"/>
      <c r="AT41" s="1296"/>
      <c r="AU41" s="1296"/>
      <c r="AV41" s="1297"/>
    </row>
    <row r="42" s="1226" customFormat="1" ht="13.5" customHeight="1" spans="1:48">
      <c r="A42" s="1285" t="s">
        <v>5716</v>
      </c>
      <c r="B42" s="1286"/>
      <c r="C42" s="1270" t="str">
        <f>Text!B608</f>
        <v>TROŠKOVI PROIZVODNIH USLUGA (24 do 32)</v>
      </c>
      <c r="D42" s="1271"/>
      <c r="E42" s="1271"/>
      <c r="F42" s="1271"/>
      <c r="G42" s="1271"/>
      <c r="H42" s="1271"/>
      <c r="I42" s="1271"/>
      <c r="J42" s="1271"/>
      <c r="K42" s="1271"/>
      <c r="L42" s="1271"/>
      <c r="M42" s="1271"/>
      <c r="N42" s="1271"/>
      <c r="O42" s="1271"/>
      <c r="P42" s="1271"/>
      <c r="Q42" s="1271"/>
      <c r="R42" s="1271"/>
      <c r="S42" s="1271"/>
      <c r="T42" s="1271"/>
      <c r="U42" s="1271"/>
      <c r="V42" s="1271"/>
      <c r="W42" s="1271"/>
      <c r="X42" s="1272"/>
      <c r="Y42" s="1273">
        <v>53</v>
      </c>
      <c r="Z42" s="1274"/>
      <c r="AA42" s="1274"/>
      <c r="AB42" s="1274"/>
      <c r="AC42" s="1274"/>
      <c r="AD42" s="1274"/>
      <c r="AE42" s="1275"/>
      <c r="AF42" s="1268">
        <v>623</v>
      </c>
      <c r="AG42" s="1276"/>
      <c r="AH42" s="1269"/>
      <c r="AI42" s="1277">
        <f>SUM(AI43:AO51)</f>
        <v>24172</v>
      </c>
      <c r="AJ42" s="1278"/>
      <c r="AK42" s="1279"/>
      <c r="AL42" s="1279"/>
      <c r="AM42" s="1279"/>
      <c r="AN42" s="1279"/>
      <c r="AO42" s="1280"/>
      <c r="AP42" s="1277">
        <f>SUM(AP43:AV51)</f>
        <v>25265</v>
      </c>
      <c r="AQ42" s="1278"/>
      <c r="AR42" s="1279"/>
      <c r="AS42" s="1279"/>
      <c r="AT42" s="1279"/>
      <c r="AU42" s="1279"/>
      <c r="AV42" s="1280"/>
    </row>
    <row r="43" s="1226" customFormat="1" ht="13.5" customHeight="1" spans="1:48">
      <c r="A43" s="1285" t="s">
        <v>5717</v>
      </c>
      <c r="B43" s="1286"/>
      <c r="C43" s="1287" t="str">
        <f>Text!B609</f>
        <v>Troškovi usluga izrade i dorade proizvoda</v>
      </c>
      <c r="D43" s="1288"/>
      <c r="E43" s="1288"/>
      <c r="F43" s="1288"/>
      <c r="G43" s="1288"/>
      <c r="H43" s="1288"/>
      <c r="I43" s="1288"/>
      <c r="J43" s="1288"/>
      <c r="K43" s="1288"/>
      <c r="L43" s="1288"/>
      <c r="M43" s="1288"/>
      <c r="N43" s="1288"/>
      <c r="O43" s="1288"/>
      <c r="P43" s="1288"/>
      <c r="Q43" s="1288"/>
      <c r="R43" s="1288"/>
      <c r="S43" s="1288"/>
      <c r="T43" s="1288"/>
      <c r="U43" s="1288"/>
      <c r="V43" s="1288"/>
      <c r="W43" s="1288"/>
      <c r="X43" s="1289"/>
      <c r="Y43" s="1290">
        <v>530</v>
      </c>
      <c r="Z43" s="1291"/>
      <c r="AA43" s="1291"/>
      <c r="AB43" s="1291"/>
      <c r="AC43" s="1291"/>
      <c r="AD43" s="1291"/>
      <c r="AE43" s="1292"/>
      <c r="AF43" s="1285">
        <v>624</v>
      </c>
      <c r="AG43" s="1293"/>
      <c r="AH43" s="1286"/>
      <c r="AI43" s="1294">
        <f>ROUND(UnosPod!F255,0)</f>
        <v>0</v>
      </c>
      <c r="AJ43" s="1295"/>
      <c r="AK43" s="1296"/>
      <c r="AL43" s="1296"/>
      <c r="AM43" s="1296"/>
      <c r="AN43" s="1296"/>
      <c r="AO43" s="1297"/>
      <c r="AP43" s="1294">
        <f>Prethodna_2024!B301</f>
        <v>0</v>
      </c>
      <c r="AQ43" s="1295"/>
      <c r="AR43" s="1296"/>
      <c r="AS43" s="1296"/>
      <c r="AT43" s="1296"/>
      <c r="AU43" s="1296"/>
      <c r="AV43" s="1297"/>
    </row>
    <row r="44" s="1226" customFormat="1" ht="13.5" customHeight="1" spans="1:48">
      <c r="A44" s="1285" t="s">
        <v>5718</v>
      </c>
      <c r="B44" s="1286"/>
      <c r="C44" s="1287" t="str">
        <f>Text!B610</f>
        <v>Troškovi transportnih usluga</v>
      </c>
      <c r="D44" s="1288"/>
      <c r="E44" s="1288"/>
      <c r="F44" s="1288"/>
      <c r="G44" s="1288"/>
      <c r="H44" s="1288"/>
      <c r="I44" s="1288"/>
      <c r="J44" s="1288"/>
      <c r="K44" s="1288"/>
      <c r="L44" s="1288"/>
      <c r="M44" s="1288"/>
      <c r="N44" s="1288"/>
      <c r="O44" s="1288"/>
      <c r="P44" s="1288"/>
      <c r="Q44" s="1288"/>
      <c r="R44" s="1288"/>
      <c r="S44" s="1288"/>
      <c r="T44" s="1288"/>
      <c r="U44" s="1288"/>
      <c r="V44" s="1288"/>
      <c r="W44" s="1288"/>
      <c r="X44" s="1289"/>
      <c r="Y44" s="1290">
        <v>531</v>
      </c>
      <c r="Z44" s="1291"/>
      <c r="AA44" s="1291"/>
      <c r="AB44" s="1291"/>
      <c r="AC44" s="1291"/>
      <c r="AD44" s="1291"/>
      <c r="AE44" s="1292"/>
      <c r="AF44" s="1285">
        <v>625</v>
      </c>
      <c r="AG44" s="1293"/>
      <c r="AH44" s="1286"/>
      <c r="AI44" s="1294">
        <f>ROUND(UnosPod!F256,0)</f>
        <v>0</v>
      </c>
      <c r="AJ44" s="1295"/>
      <c r="AK44" s="1296"/>
      <c r="AL44" s="1296"/>
      <c r="AM44" s="1296"/>
      <c r="AN44" s="1296"/>
      <c r="AO44" s="1297"/>
      <c r="AP44" s="1294">
        <f>Prethodna_2024!B302</f>
        <v>24</v>
      </c>
      <c r="AQ44" s="1295"/>
      <c r="AR44" s="1296"/>
      <c r="AS44" s="1296"/>
      <c r="AT44" s="1296"/>
      <c r="AU44" s="1296"/>
      <c r="AV44" s="1297"/>
    </row>
    <row r="45" s="1226" customFormat="1" ht="13.5" customHeight="1" spans="1:48">
      <c r="A45" s="1285" t="s">
        <v>5835</v>
      </c>
      <c r="B45" s="1286"/>
      <c r="C45" s="1287" t="str">
        <f>Text!B611</f>
        <v>Troškovi usluga održavanja</v>
      </c>
      <c r="D45" s="1288"/>
      <c r="E45" s="1288"/>
      <c r="F45" s="1288"/>
      <c r="G45" s="1288"/>
      <c r="H45" s="1288"/>
      <c r="I45" s="1288"/>
      <c r="J45" s="1288"/>
      <c r="K45" s="1288"/>
      <c r="L45" s="1288"/>
      <c r="M45" s="1288"/>
      <c r="N45" s="1288"/>
      <c r="O45" s="1288"/>
      <c r="P45" s="1288"/>
      <c r="Q45" s="1288"/>
      <c r="R45" s="1288"/>
      <c r="S45" s="1288"/>
      <c r="T45" s="1288"/>
      <c r="U45" s="1288"/>
      <c r="V45" s="1288"/>
      <c r="W45" s="1288"/>
      <c r="X45" s="1289"/>
      <c r="Y45" s="1290">
        <v>532</v>
      </c>
      <c r="Z45" s="1291"/>
      <c r="AA45" s="1291"/>
      <c r="AB45" s="1291"/>
      <c r="AC45" s="1291"/>
      <c r="AD45" s="1291"/>
      <c r="AE45" s="1292"/>
      <c r="AF45" s="1285">
        <v>626</v>
      </c>
      <c r="AG45" s="1293"/>
      <c r="AH45" s="1286"/>
      <c r="AI45" s="1294">
        <f>ROUND(UnosPod!F257,0)</f>
        <v>24172</v>
      </c>
      <c r="AJ45" s="1295"/>
      <c r="AK45" s="1296"/>
      <c r="AL45" s="1296"/>
      <c r="AM45" s="1296"/>
      <c r="AN45" s="1296"/>
      <c r="AO45" s="1297"/>
      <c r="AP45" s="1294">
        <f>Prethodna_2024!B303</f>
        <v>25241</v>
      </c>
      <c r="AQ45" s="1295"/>
      <c r="AR45" s="1296"/>
      <c r="AS45" s="1296"/>
      <c r="AT45" s="1296"/>
      <c r="AU45" s="1296"/>
      <c r="AV45" s="1297"/>
    </row>
    <row r="46" s="1226" customFormat="1" ht="13.5" customHeight="1" spans="1:48">
      <c r="A46" s="1285" t="s">
        <v>5837</v>
      </c>
      <c r="B46" s="1286"/>
      <c r="C46" s="1287" t="str">
        <f>Text!B612</f>
        <v>Troškovi najma</v>
      </c>
      <c r="D46" s="1288"/>
      <c r="E46" s="1288"/>
      <c r="F46" s="1288"/>
      <c r="G46" s="1288"/>
      <c r="H46" s="1288"/>
      <c r="I46" s="1288"/>
      <c r="J46" s="1288"/>
      <c r="K46" s="1288"/>
      <c r="L46" s="1288"/>
      <c r="M46" s="1288"/>
      <c r="N46" s="1288"/>
      <c r="O46" s="1288"/>
      <c r="P46" s="1288"/>
      <c r="Q46" s="1288"/>
      <c r="R46" s="1288"/>
      <c r="S46" s="1288"/>
      <c r="T46" s="1288"/>
      <c r="U46" s="1288"/>
      <c r="V46" s="1288"/>
      <c r="W46" s="1288"/>
      <c r="X46" s="1289"/>
      <c r="Y46" s="1290">
        <v>533</v>
      </c>
      <c r="Z46" s="1291"/>
      <c r="AA46" s="1291"/>
      <c r="AB46" s="1291"/>
      <c r="AC46" s="1291"/>
      <c r="AD46" s="1291"/>
      <c r="AE46" s="1292"/>
      <c r="AF46" s="1285">
        <v>627</v>
      </c>
      <c r="AG46" s="1293"/>
      <c r="AH46" s="1286"/>
      <c r="AI46" s="1294">
        <f>ROUND(UnosPod!F258,0)</f>
        <v>0</v>
      </c>
      <c r="AJ46" s="1295"/>
      <c r="AK46" s="1296"/>
      <c r="AL46" s="1296"/>
      <c r="AM46" s="1296"/>
      <c r="AN46" s="1296"/>
      <c r="AO46" s="1297"/>
      <c r="AP46" s="1294">
        <f>Prethodna_2024!B304</f>
        <v>0</v>
      </c>
      <c r="AQ46" s="1295"/>
      <c r="AR46" s="1296"/>
      <c r="AS46" s="1296"/>
      <c r="AT46" s="1296"/>
      <c r="AU46" s="1296"/>
      <c r="AV46" s="1297"/>
    </row>
    <row r="47" s="1226" customFormat="1" ht="13.5" customHeight="1" spans="1:48">
      <c r="A47" s="1285" t="s">
        <v>5839</v>
      </c>
      <c r="B47" s="1286"/>
      <c r="C47" s="1287" t="str">
        <f>Text!B613</f>
        <v>Troškovi sajmova</v>
      </c>
      <c r="D47" s="1288"/>
      <c r="E47" s="1288"/>
      <c r="F47" s="1288"/>
      <c r="G47" s="1288"/>
      <c r="H47" s="1288"/>
      <c r="I47" s="1288"/>
      <c r="J47" s="1288"/>
      <c r="K47" s="1288"/>
      <c r="L47" s="1288"/>
      <c r="M47" s="1288"/>
      <c r="N47" s="1288"/>
      <c r="O47" s="1288"/>
      <c r="P47" s="1288"/>
      <c r="Q47" s="1288"/>
      <c r="R47" s="1288"/>
      <c r="S47" s="1288"/>
      <c r="T47" s="1288"/>
      <c r="U47" s="1288"/>
      <c r="V47" s="1288"/>
      <c r="W47" s="1288"/>
      <c r="X47" s="1289"/>
      <c r="Y47" s="1290">
        <v>534</v>
      </c>
      <c r="Z47" s="1291"/>
      <c r="AA47" s="1291"/>
      <c r="AB47" s="1291"/>
      <c r="AC47" s="1291"/>
      <c r="AD47" s="1291"/>
      <c r="AE47" s="1292"/>
      <c r="AF47" s="1285">
        <v>628</v>
      </c>
      <c r="AG47" s="1293"/>
      <c r="AH47" s="1286"/>
      <c r="AI47" s="1294">
        <f>ROUND(UnosPod!F259,0)</f>
        <v>0</v>
      </c>
      <c r="AJ47" s="1295"/>
      <c r="AK47" s="1296"/>
      <c r="AL47" s="1296"/>
      <c r="AM47" s="1296"/>
      <c r="AN47" s="1296"/>
      <c r="AO47" s="1297"/>
      <c r="AP47" s="1294">
        <f>Prethodna_2024!B305</f>
        <v>0</v>
      </c>
      <c r="AQ47" s="1295"/>
      <c r="AR47" s="1296"/>
      <c r="AS47" s="1296"/>
      <c r="AT47" s="1296"/>
      <c r="AU47" s="1296"/>
      <c r="AV47" s="1297"/>
    </row>
    <row r="48" s="1226" customFormat="1" ht="13.5" customHeight="1" spans="1:48">
      <c r="A48" s="1285" t="s">
        <v>5841</v>
      </c>
      <c r="B48" s="1286"/>
      <c r="C48" s="1287" t="str">
        <f>Text!B614</f>
        <v>Troškovi reklame i sponzorstva</v>
      </c>
      <c r="D48" s="1288"/>
      <c r="E48" s="1288"/>
      <c r="F48" s="1288"/>
      <c r="G48" s="1288"/>
      <c r="H48" s="1288"/>
      <c r="I48" s="1288"/>
      <c r="J48" s="1288"/>
      <c r="K48" s="1288"/>
      <c r="L48" s="1288"/>
      <c r="M48" s="1288"/>
      <c r="N48" s="1288"/>
      <c r="O48" s="1288"/>
      <c r="P48" s="1288"/>
      <c r="Q48" s="1288"/>
      <c r="R48" s="1288"/>
      <c r="S48" s="1288"/>
      <c r="T48" s="1288"/>
      <c r="U48" s="1288"/>
      <c r="V48" s="1288"/>
      <c r="W48" s="1288"/>
      <c r="X48" s="1289"/>
      <c r="Y48" s="1290">
        <v>535</v>
      </c>
      <c r="Z48" s="1291"/>
      <c r="AA48" s="1291"/>
      <c r="AB48" s="1291"/>
      <c r="AC48" s="1291"/>
      <c r="AD48" s="1291"/>
      <c r="AE48" s="1292"/>
      <c r="AF48" s="1285">
        <v>629</v>
      </c>
      <c r="AG48" s="1293"/>
      <c r="AH48" s="1286"/>
      <c r="AI48" s="1294">
        <f>ROUND(UnosPod!F260,0)</f>
        <v>0</v>
      </c>
      <c r="AJ48" s="1295"/>
      <c r="AK48" s="1296"/>
      <c r="AL48" s="1296"/>
      <c r="AM48" s="1296"/>
      <c r="AN48" s="1296"/>
      <c r="AO48" s="1297"/>
      <c r="AP48" s="1294">
        <f>Prethodna_2024!B306</f>
        <v>0</v>
      </c>
      <c r="AQ48" s="1295"/>
      <c r="AR48" s="1296"/>
      <c r="AS48" s="1296"/>
      <c r="AT48" s="1296"/>
      <c r="AU48" s="1296"/>
      <c r="AV48" s="1297"/>
    </row>
    <row r="49" s="1226" customFormat="1" ht="13.5" customHeight="1" spans="1:48">
      <c r="A49" s="1285" t="s">
        <v>5843</v>
      </c>
      <c r="B49" s="1286"/>
      <c r="C49" s="1287" t="str">
        <f>Text!B615</f>
        <v>Troškovi istraživanja</v>
      </c>
      <c r="D49" s="1288"/>
      <c r="E49" s="1288"/>
      <c r="F49" s="1288"/>
      <c r="G49" s="1288"/>
      <c r="H49" s="1288"/>
      <c r="I49" s="1288"/>
      <c r="J49" s="1288"/>
      <c r="K49" s="1288"/>
      <c r="L49" s="1288"/>
      <c r="M49" s="1288"/>
      <c r="N49" s="1288"/>
      <c r="O49" s="1288"/>
      <c r="P49" s="1288"/>
      <c r="Q49" s="1288"/>
      <c r="R49" s="1288"/>
      <c r="S49" s="1288"/>
      <c r="T49" s="1288"/>
      <c r="U49" s="1288"/>
      <c r="V49" s="1288"/>
      <c r="W49" s="1288"/>
      <c r="X49" s="1289"/>
      <c r="Y49" s="1290">
        <v>536</v>
      </c>
      <c r="Z49" s="1291"/>
      <c r="AA49" s="1291"/>
      <c r="AB49" s="1291"/>
      <c r="AC49" s="1291"/>
      <c r="AD49" s="1291"/>
      <c r="AE49" s="1292"/>
      <c r="AF49" s="1285">
        <v>630</v>
      </c>
      <c r="AG49" s="1293"/>
      <c r="AH49" s="1286"/>
      <c r="AI49" s="1294">
        <f>ROUND(UnosPod!F261,0)</f>
        <v>0</v>
      </c>
      <c r="AJ49" s="1295"/>
      <c r="AK49" s="1296"/>
      <c r="AL49" s="1296"/>
      <c r="AM49" s="1296"/>
      <c r="AN49" s="1296"/>
      <c r="AO49" s="1297"/>
      <c r="AP49" s="1294">
        <f>Prethodna_2024!B307</f>
        <v>0</v>
      </c>
      <c r="AQ49" s="1295"/>
      <c r="AR49" s="1296"/>
      <c r="AS49" s="1296"/>
      <c r="AT49" s="1296"/>
      <c r="AU49" s="1296"/>
      <c r="AV49" s="1297"/>
    </row>
    <row r="50" s="1226" customFormat="1" ht="13.5" customHeight="1" spans="1:48">
      <c r="A50" s="1285" t="s">
        <v>5845</v>
      </c>
      <c r="B50" s="1286"/>
      <c r="C50" s="1287" t="str">
        <f>Text!B616</f>
        <v>Troškovi razvoja koji se ne kapitaliziraju</v>
      </c>
      <c r="D50" s="1288"/>
      <c r="E50" s="1288"/>
      <c r="F50" s="1288"/>
      <c r="G50" s="1288"/>
      <c r="H50" s="1288"/>
      <c r="I50" s="1288"/>
      <c r="J50" s="1288"/>
      <c r="K50" s="1288"/>
      <c r="L50" s="1288"/>
      <c r="M50" s="1288"/>
      <c r="N50" s="1288"/>
      <c r="O50" s="1288"/>
      <c r="P50" s="1288"/>
      <c r="Q50" s="1288"/>
      <c r="R50" s="1288"/>
      <c r="S50" s="1288"/>
      <c r="T50" s="1288"/>
      <c r="U50" s="1288"/>
      <c r="V50" s="1288"/>
      <c r="W50" s="1288"/>
      <c r="X50" s="1289"/>
      <c r="Y50" s="1290">
        <v>537</v>
      </c>
      <c r="Z50" s="1291"/>
      <c r="AA50" s="1291"/>
      <c r="AB50" s="1291"/>
      <c r="AC50" s="1291"/>
      <c r="AD50" s="1291"/>
      <c r="AE50" s="1292"/>
      <c r="AF50" s="1285">
        <v>631</v>
      </c>
      <c r="AG50" s="1293"/>
      <c r="AH50" s="1286"/>
      <c r="AI50" s="1294">
        <f>ROUND(UnosPod!F262,0)</f>
        <v>0</v>
      </c>
      <c r="AJ50" s="1295"/>
      <c r="AK50" s="1296"/>
      <c r="AL50" s="1296"/>
      <c r="AM50" s="1296"/>
      <c r="AN50" s="1296"/>
      <c r="AO50" s="1297"/>
      <c r="AP50" s="1294">
        <f>Prethodna_2024!B308</f>
        <v>0</v>
      </c>
      <c r="AQ50" s="1295"/>
      <c r="AR50" s="1296"/>
      <c r="AS50" s="1296"/>
      <c r="AT50" s="1296"/>
      <c r="AU50" s="1296"/>
      <c r="AV50" s="1297"/>
    </row>
    <row r="51" s="1226" customFormat="1" ht="13.5" customHeight="1" spans="1:48">
      <c r="A51" s="1285" t="s">
        <v>5847</v>
      </c>
      <c r="B51" s="1286"/>
      <c r="C51" s="1287" t="str">
        <f>Text!B617</f>
        <v>Troškovi ostalih usluga</v>
      </c>
      <c r="D51" s="1288"/>
      <c r="E51" s="1288"/>
      <c r="F51" s="1288"/>
      <c r="G51" s="1288"/>
      <c r="H51" s="1288"/>
      <c r="I51" s="1288"/>
      <c r="J51" s="1288"/>
      <c r="K51" s="1288"/>
      <c r="L51" s="1288"/>
      <c r="M51" s="1288"/>
      <c r="N51" s="1288"/>
      <c r="O51" s="1288"/>
      <c r="P51" s="1288"/>
      <c r="Q51" s="1288"/>
      <c r="R51" s="1288"/>
      <c r="S51" s="1288"/>
      <c r="T51" s="1288"/>
      <c r="U51" s="1288"/>
      <c r="V51" s="1288"/>
      <c r="W51" s="1288"/>
      <c r="X51" s="1289"/>
      <c r="Y51" s="1290">
        <v>539</v>
      </c>
      <c r="Z51" s="1291"/>
      <c r="AA51" s="1291"/>
      <c r="AB51" s="1291"/>
      <c r="AC51" s="1291"/>
      <c r="AD51" s="1291"/>
      <c r="AE51" s="1292"/>
      <c r="AF51" s="1285">
        <v>632</v>
      </c>
      <c r="AG51" s="1293"/>
      <c r="AH51" s="1286"/>
      <c r="AI51" s="1294">
        <f>ROUND(UnosPod!F263,0)</f>
        <v>0</v>
      </c>
      <c r="AJ51" s="1295"/>
      <c r="AK51" s="1296"/>
      <c r="AL51" s="1296"/>
      <c r="AM51" s="1296"/>
      <c r="AN51" s="1296"/>
      <c r="AO51" s="1297"/>
      <c r="AP51" s="1294">
        <f>Prethodna_2024!B309</f>
        <v>0</v>
      </c>
      <c r="AQ51" s="1295"/>
      <c r="AR51" s="1296"/>
      <c r="AS51" s="1296"/>
      <c r="AT51" s="1296"/>
      <c r="AU51" s="1296"/>
      <c r="AV51" s="1297"/>
    </row>
    <row r="52" s="1226" customFormat="1" ht="13.5" customHeight="1" spans="1:48">
      <c r="A52" s="1285" t="s">
        <v>5849</v>
      </c>
      <c r="B52" s="1286"/>
      <c r="C52" s="1270" t="str">
        <f>Text!B618</f>
        <v>NEMATERIJALNI TROŠKOVI (34 do 41)</v>
      </c>
      <c r="D52" s="1271"/>
      <c r="E52" s="1271"/>
      <c r="F52" s="1271"/>
      <c r="G52" s="1271"/>
      <c r="H52" s="1271"/>
      <c r="I52" s="1271"/>
      <c r="J52" s="1271"/>
      <c r="K52" s="1271"/>
      <c r="L52" s="1271"/>
      <c r="M52" s="1271"/>
      <c r="N52" s="1271"/>
      <c r="O52" s="1271"/>
      <c r="P52" s="1271"/>
      <c r="Q52" s="1271"/>
      <c r="R52" s="1271"/>
      <c r="S52" s="1271"/>
      <c r="T52" s="1271"/>
      <c r="U52" s="1271"/>
      <c r="V52" s="1271"/>
      <c r="W52" s="1271"/>
      <c r="X52" s="1272"/>
      <c r="Y52" s="1273">
        <v>55</v>
      </c>
      <c r="Z52" s="1274"/>
      <c r="AA52" s="1274"/>
      <c r="AB52" s="1274"/>
      <c r="AC52" s="1274"/>
      <c r="AD52" s="1274"/>
      <c r="AE52" s="1275"/>
      <c r="AF52" s="1268">
        <v>633</v>
      </c>
      <c r="AG52" s="1276"/>
      <c r="AH52" s="1269"/>
      <c r="AI52" s="1277">
        <f>SUM(AI53:AO60)</f>
        <v>48688</v>
      </c>
      <c r="AJ52" s="1278"/>
      <c r="AK52" s="1279"/>
      <c r="AL52" s="1279"/>
      <c r="AM52" s="1279"/>
      <c r="AN52" s="1279"/>
      <c r="AO52" s="1280"/>
      <c r="AP52" s="1277">
        <f>SUM(AP53:AV60)</f>
        <v>45194</v>
      </c>
      <c r="AQ52" s="1278"/>
      <c r="AR52" s="1279"/>
      <c r="AS52" s="1279"/>
      <c r="AT52" s="1279"/>
      <c r="AU52" s="1279"/>
      <c r="AV52" s="1280"/>
    </row>
    <row r="53" s="1226" customFormat="1" ht="13.5" customHeight="1" spans="1:48">
      <c r="A53" s="1285" t="s">
        <v>5851</v>
      </c>
      <c r="B53" s="1286"/>
      <c r="C53" s="1287" t="str">
        <f>Text!B619</f>
        <v>Troškovi ostalih usluga</v>
      </c>
      <c r="D53" s="1288"/>
      <c r="E53" s="1288"/>
      <c r="F53" s="1288"/>
      <c r="G53" s="1288"/>
      <c r="H53" s="1288"/>
      <c r="I53" s="1288"/>
      <c r="J53" s="1288"/>
      <c r="K53" s="1288"/>
      <c r="L53" s="1288"/>
      <c r="M53" s="1288"/>
      <c r="N53" s="1288"/>
      <c r="O53" s="1288"/>
      <c r="P53" s="1288"/>
      <c r="Q53" s="1288"/>
      <c r="R53" s="1288"/>
      <c r="S53" s="1288"/>
      <c r="T53" s="1288"/>
      <c r="U53" s="1288"/>
      <c r="V53" s="1288"/>
      <c r="W53" s="1288"/>
      <c r="X53" s="1289"/>
      <c r="Y53" s="1290">
        <v>550</v>
      </c>
      <c r="Z53" s="1291"/>
      <c r="AA53" s="1291"/>
      <c r="AB53" s="1291"/>
      <c r="AC53" s="1291"/>
      <c r="AD53" s="1291"/>
      <c r="AE53" s="1292"/>
      <c r="AF53" s="1285">
        <v>634</v>
      </c>
      <c r="AG53" s="1293"/>
      <c r="AH53" s="1286"/>
      <c r="AI53" s="1294">
        <f>ROUND(UnosPod!F297,0)</f>
        <v>7255</v>
      </c>
      <c r="AJ53" s="1295"/>
      <c r="AK53" s="1296"/>
      <c r="AL53" s="1296"/>
      <c r="AM53" s="1296"/>
      <c r="AN53" s="1296"/>
      <c r="AO53" s="1297"/>
      <c r="AP53" s="1294">
        <f>Prethodna_2024!B311</f>
        <v>25998</v>
      </c>
      <c r="AQ53" s="1295"/>
      <c r="AR53" s="1296"/>
      <c r="AS53" s="1296"/>
      <c r="AT53" s="1296"/>
      <c r="AU53" s="1296"/>
      <c r="AV53" s="1297"/>
    </row>
    <row r="54" s="1226" customFormat="1" ht="13.5" customHeight="1" spans="1:48">
      <c r="A54" s="1285" t="s">
        <v>5853</v>
      </c>
      <c r="B54" s="1286"/>
      <c r="C54" s="1287" t="str">
        <f>Text!B620</f>
        <v>Troškovi reprezentacije</v>
      </c>
      <c r="D54" s="1288"/>
      <c r="E54" s="1288"/>
      <c r="F54" s="1288"/>
      <c r="G54" s="1288"/>
      <c r="H54" s="1288"/>
      <c r="I54" s="1288"/>
      <c r="J54" s="1288"/>
      <c r="K54" s="1288"/>
      <c r="L54" s="1288"/>
      <c r="M54" s="1288"/>
      <c r="N54" s="1288"/>
      <c r="O54" s="1288"/>
      <c r="P54" s="1288"/>
      <c r="Q54" s="1288"/>
      <c r="R54" s="1288"/>
      <c r="S54" s="1288"/>
      <c r="T54" s="1288"/>
      <c r="U54" s="1288"/>
      <c r="V54" s="1288"/>
      <c r="W54" s="1288"/>
      <c r="X54" s="1289"/>
      <c r="Y54" s="1290">
        <v>551</v>
      </c>
      <c r="Z54" s="1291"/>
      <c r="AA54" s="1291"/>
      <c r="AB54" s="1291"/>
      <c r="AC54" s="1291"/>
      <c r="AD54" s="1291"/>
      <c r="AE54" s="1292"/>
      <c r="AF54" s="1285">
        <v>635</v>
      </c>
      <c r="AG54" s="1293"/>
      <c r="AH54" s="1286"/>
      <c r="AI54" s="1294">
        <f>ROUND(UnosPod!F298,0)</f>
        <v>775</v>
      </c>
      <c r="AJ54" s="1295"/>
      <c r="AK54" s="1296"/>
      <c r="AL54" s="1296"/>
      <c r="AM54" s="1296"/>
      <c r="AN54" s="1296"/>
      <c r="AO54" s="1297"/>
      <c r="AP54" s="1294">
        <f>Prethodna_2024!B312</f>
        <v>37</v>
      </c>
      <c r="AQ54" s="1295"/>
      <c r="AR54" s="1296"/>
      <c r="AS54" s="1296"/>
      <c r="AT54" s="1296"/>
      <c r="AU54" s="1296"/>
      <c r="AV54" s="1297"/>
    </row>
    <row r="55" s="1226" customFormat="1" ht="13.5" customHeight="1" spans="1:48">
      <c r="A55" s="1285" t="s">
        <v>5855</v>
      </c>
      <c r="B55" s="1286"/>
      <c r="C55" s="1287" t="str">
        <f>Text!B621</f>
        <v>Troškovi premija osiguranja</v>
      </c>
      <c r="D55" s="1288"/>
      <c r="E55" s="1288"/>
      <c r="F55" s="1288"/>
      <c r="G55" s="1288"/>
      <c r="H55" s="1288"/>
      <c r="I55" s="1288"/>
      <c r="J55" s="1288"/>
      <c r="K55" s="1288"/>
      <c r="L55" s="1288"/>
      <c r="M55" s="1288"/>
      <c r="N55" s="1288"/>
      <c r="O55" s="1288"/>
      <c r="P55" s="1288"/>
      <c r="Q55" s="1288"/>
      <c r="R55" s="1288"/>
      <c r="S55" s="1288"/>
      <c r="T55" s="1288"/>
      <c r="U55" s="1288"/>
      <c r="V55" s="1288"/>
      <c r="W55" s="1288"/>
      <c r="X55" s="1289"/>
      <c r="Y55" s="1290">
        <v>552</v>
      </c>
      <c r="Z55" s="1291"/>
      <c r="AA55" s="1291"/>
      <c r="AB55" s="1291"/>
      <c r="AC55" s="1291"/>
      <c r="AD55" s="1291"/>
      <c r="AE55" s="1292"/>
      <c r="AF55" s="1285">
        <v>636</v>
      </c>
      <c r="AG55" s="1293"/>
      <c r="AH55" s="1286"/>
      <c r="AI55" s="1294">
        <f>ROUND(UnosPod!F299,0)</f>
        <v>0</v>
      </c>
      <c r="AJ55" s="1295"/>
      <c r="AK55" s="1296"/>
      <c r="AL55" s="1296"/>
      <c r="AM55" s="1296"/>
      <c r="AN55" s="1296"/>
      <c r="AO55" s="1297"/>
      <c r="AP55" s="1294">
        <f>Prethodna_2024!B313</f>
        <v>154</v>
      </c>
      <c r="AQ55" s="1295"/>
      <c r="AR55" s="1296"/>
      <c r="AS55" s="1296"/>
      <c r="AT55" s="1296"/>
      <c r="AU55" s="1296"/>
      <c r="AV55" s="1297"/>
    </row>
    <row r="56" s="1226" customFormat="1" ht="13.5" customHeight="1" spans="1:48">
      <c r="A56" s="1285" t="s">
        <v>5856</v>
      </c>
      <c r="B56" s="1286"/>
      <c r="C56" s="1287" t="str">
        <f>Text!B622</f>
        <v>Troškovi platnog prometa</v>
      </c>
      <c r="D56" s="1288"/>
      <c r="E56" s="1288"/>
      <c r="F56" s="1288"/>
      <c r="G56" s="1288"/>
      <c r="H56" s="1288"/>
      <c r="I56" s="1288"/>
      <c r="J56" s="1288"/>
      <c r="K56" s="1288"/>
      <c r="L56" s="1288"/>
      <c r="M56" s="1288"/>
      <c r="N56" s="1288"/>
      <c r="O56" s="1288"/>
      <c r="P56" s="1288"/>
      <c r="Q56" s="1288"/>
      <c r="R56" s="1288"/>
      <c r="S56" s="1288"/>
      <c r="T56" s="1288"/>
      <c r="U56" s="1288"/>
      <c r="V56" s="1288"/>
      <c r="W56" s="1288"/>
      <c r="X56" s="1289"/>
      <c r="Y56" s="1290">
        <v>553</v>
      </c>
      <c r="Z56" s="1291"/>
      <c r="AA56" s="1291"/>
      <c r="AB56" s="1291"/>
      <c r="AC56" s="1291"/>
      <c r="AD56" s="1291"/>
      <c r="AE56" s="1292"/>
      <c r="AF56" s="1285">
        <v>637</v>
      </c>
      <c r="AG56" s="1293"/>
      <c r="AH56" s="1286"/>
      <c r="AI56" s="1294">
        <f>ROUND(UnosPod!F300,0)</f>
        <v>1127</v>
      </c>
      <c r="AJ56" s="1295"/>
      <c r="AK56" s="1296"/>
      <c r="AL56" s="1296"/>
      <c r="AM56" s="1296"/>
      <c r="AN56" s="1296"/>
      <c r="AO56" s="1297"/>
      <c r="AP56" s="1294">
        <f>Prethodna_2024!B314</f>
        <v>742</v>
      </c>
      <c r="AQ56" s="1295"/>
      <c r="AR56" s="1296"/>
      <c r="AS56" s="1296"/>
      <c r="AT56" s="1296"/>
      <c r="AU56" s="1296"/>
      <c r="AV56" s="1297"/>
    </row>
    <row r="57" s="1226" customFormat="1" ht="13.5" customHeight="1" spans="1:48">
      <c r="A57" s="1285" t="s">
        <v>5857</v>
      </c>
      <c r="B57" s="1286"/>
      <c r="C57" s="1287" t="str">
        <f>Text!B623</f>
        <v>Troškovi poštanskih i telekomunikacijskih usluga</v>
      </c>
      <c r="D57" s="1288"/>
      <c r="E57" s="1288"/>
      <c r="F57" s="1288"/>
      <c r="G57" s="1288"/>
      <c r="H57" s="1288"/>
      <c r="I57" s="1288"/>
      <c r="J57" s="1288"/>
      <c r="K57" s="1288"/>
      <c r="L57" s="1288"/>
      <c r="M57" s="1288"/>
      <c r="N57" s="1288"/>
      <c r="O57" s="1288"/>
      <c r="P57" s="1288"/>
      <c r="Q57" s="1288"/>
      <c r="R57" s="1288"/>
      <c r="S57" s="1288"/>
      <c r="T57" s="1288"/>
      <c r="U57" s="1288"/>
      <c r="V57" s="1288"/>
      <c r="W57" s="1288"/>
      <c r="X57" s="1289"/>
      <c r="Y57" s="1290">
        <v>554</v>
      </c>
      <c r="Z57" s="1291"/>
      <c r="AA57" s="1291"/>
      <c r="AB57" s="1291"/>
      <c r="AC57" s="1291"/>
      <c r="AD57" s="1291"/>
      <c r="AE57" s="1292"/>
      <c r="AF57" s="1285">
        <v>638</v>
      </c>
      <c r="AG57" s="1293"/>
      <c r="AH57" s="1286"/>
      <c r="AI57" s="1294">
        <f>ROUND(UnosPod!F301,0)</f>
        <v>11889</v>
      </c>
      <c r="AJ57" s="1295"/>
      <c r="AK57" s="1296"/>
      <c r="AL57" s="1296"/>
      <c r="AM57" s="1296"/>
      <c r="AN57" s="1296"/>
      <c r="AO57" s="1297"/>
      <c r="AP57" s="1294">
        <f>Prethodna_2024!B315</f>
        <v>11219</v>
      </c>
      <c r="AQ57" s="1295"/>
      <c r="AR57" s="1296"/>
      <c r="AS57" s="1296"/>
      <c r="AT57" s="1296"/>
      <c r="AU57" s="1296"/>
      <c r="AV57" s="1297"/>
    </row>
    <row r="58" s="1226" customFormat="1" ht="13.5" customHeight="1" spans="1:48">
      <c r="A58" s="1285" t="s">
        <v>5859</v>
      </c>
      <c r="B58" s="1286"/>
      <c r="C58" s="1287" t="str">
        <f>Text!B624</f>
        <v>Troškovi poreza, naknada, taksi i drugih dadžbina na teret pravnog lica</v>
      </c>
      <c r="D58" s="1288"/>
      <c r="E58" s="1288"/>
      <c r="F58" s="1288"/>
      <c r="G58" s="1288"/>
      <c r="H58" s="1288"/>
      <c r="I58" s="1288"/>
      <c r="J58" s="1288"/>
      <c r="K58" s="1288"/>
      <c r="L58" s="1288"/>
      <c r="M58" s="1288"/>
      <c r="N58" s="1288"/>
      <c r="O58" s="1288"/>
      <c r="P58" s="1288"/>
      <c r="Q58" s="1288"/>
      <c r="R58" s="1288"/>
      <c r="S58" s="1288"/>
      <c r="T58" s="1288"/>
      <c r="U58" s="1288"/>
      <c r="V58" s="1288"/>
      <c r="W58" s="1288"/>
      <c r="X58" s="1289"/>
      <c r="Y58" s="1290">
        <v>555</v>
      </c>
      <c r="Z58" s="1291"/>
      <c r="AA58" s="1291"/>
      <c r="AB58" s="1291"/>
      <c r="AC58" s="1291"/>
      <c r="AD58" s="1291"/>
      <c r="AE58" s="1292"/>
      <c r="AF58" s="1285">
        <v>639</v>
      </c>
      <c r="AG58" s="1293"/>
      <c r="AH58" s="1286"/>
      <c r="AI58" s="1294">
        <f>ROUND(UnosPod!F302,0)</f>
        <v>27285</v>
      </c>
      <c r="AJ58" s="1295"/>
      <c r="AK58" s="1296"/>
      <c r="AL58" s="1296"/>
      <c r="AM58" s="1296"/>
      <c r="AN58" s="1296"/>
      <c r="AO58" s="1297"/>
      <c r="AP58" s="1294">
        <f>Prethodna_2024!B316</f>
        <v>4422</v>
      </c>
      <c r="AQ58" s="1295"/>
      <c r="AR58" s="1296"/>
      <c r="AS58" s="1296"/>
      <c r="AT58" s="1296"/>
      <c r="AU58" s="1296"/>
      <c r="AV58" s="1297"/>
    </row>
    <row r="59" s="1226" customFormat="1" ht="13.5" customHeight="1" spans="1:48">
      <c r="A59" s="1285" t="s">
        <v>5862</v>
      </c>
      <c r="B59" s="1286"/>
      <c r="C59" s="1287" t="str">
        <f>Text!B625</f>
        <v>Troškovi članskih doprinosa i sličnih obaveza</v>
      </c>
      <c r="D59" s="1288"/>
      <c r="E59" s="1288"/>
      <c r="F59" s="1288"/>
      <c r="G59" s="1288"/>
      <c r="H59" s="1288"/>
      <c r="I59" s="1288"/>
      <c r="J59" s="1288"/>
      <c r="K59" s="1288"/>
      <c r="L59" s="1288"/>
      <c r="M59" s="1288"/>
      <c r="N59" s="1288"/>
      <c r="O59" s="1288"/>
      <c r="P59" s="1288"/>
      <c r="Q59" s="1288"/>
      <c r="R59" s="1288"/>
      <c r="S59" s="1288"/>
      <c r="T59" s="1288"/>
      <c r="U59" s="1288"/>
      <c r="V59" s="1288"/>
      <c r="W59" s="1288"/>
      <c r="X59" s="1289"/>
      <c r="Y59" s="1290">
        <v>556</v>
      </c>
      <c r="Z59" s="1291"/>
      <c r="AA59" s="1291"/>
      <c r="AB59" s="1291"/>
      <c r="AC59" s="1291"/>
      <c r="AD59" s="1291"/>
      <c r="AE59" s="1292"/>
      <c r="AF59" s="1285">
        <v>640</v>
      </c>
      <c r="AG59" s="1293"/>
      <c r="AH59" s="1286"/>
      <c r="AI59" s="1294">
        <f>ROUND(UnosPod!F303,0)</f>
        <v>0</v>
      </c>
      <c r="AJ59" s="1295"/>
      <c r="AK59" s="1296"/>
      <c r="AL59" s="1296"/>
      <c r="AM59" s="1296"/>
      <c r="AN59" s="1296"/>
      <c r="AO59" s="1297"/>
      <c r="AP59" s="1294">
        <f>Prethodna_2024!B317</f>
        <v>0</v>
      </c>
      <c r="AQ59" s="1295"/>
      <c r="AR59" s="1296"/>
      <c r="AS59" s="1296"/>
      <c r="AT59" s="1296"/>
      <c r="AU59" s="1296"/>
      <c r="AV59" s="1297"/>
    </row>
    <row r="60" s="1226" customFormat="1" ht="13.5" customHeight="1" spans="1:48">
      <c r="A60" s="1285" t="s">
        <v>5864</v>
      </c>
      <c r="B60" s="1286"/>
      <c r="C60" s="1287" t="str">
        <f>Text!B626</f>
        <v>Ostali nematerijalni troškovi</v>
      </c>
      <c r="D60" s="1288"/>
      <c r="E60" s="1288"/>
      <c r="F60" s="1288"/>
      <c r="G60" s="1288"/>
      <c r="H60" s="1288"/>
      <c r="I60" s="1288"/>
      <c r="J60" s="1288"/>
      <c r="K60" s="1288"/>
      <c r="L60" s="1288"/>
      <c r="M60" s="1288"/>
      <c r="N60" s="1288"/>
      <c r="O60" s="1288"/>
      <c r="P60" s="1288"/>
      <c r="Q60" s="1288"/>
      <c r="R60" s="1288"/>
      <c r="S60" s="1288"/>
      <c r="T60" s="1288"/>
      <c r="U60" s="1288"/>
      <c r="V60" s="1288"/>
      <c r="W60" s="1288"/>
      <c r="X60" s="1289"/>
      <c r="Y60" s="1290">
        <v>559</v>
      </c>
      <c r="Z60" s="1291"/>
      <c r="AA60" s="1291"/>
      <c r="AB60" s="1291"/>
      <c r="AC60" s="1291"/>
      <c r="AD60" s="1291"/>
      <c r="AE60" s="1292"/>
      <c r="AF60" s="1285">
        <v>641</v>
      </c>
      <c r="AG60" s="1293"/>
      <c r="AH60" s="1286"/>
      <c r="AI60" s="1294">
        <f>ROUND(UnosPod!F304,0)</f>
        <v>357</v>
      </c>
      <c r="AJ60" s="1295"/>
      <c r="AK60" s="1296"/>
      <c r="AL60" s="1296"/>
      <c r="AM60" s="1296"/>
      <c r="AN60" s="1296"/>
      <c r="AO60" s="1297"/>
      <c r="AP60" s="1294">
        <f>Prethodna_2024!B318</f>
        <v>2622</v>
      </c>
      <c r="AQ60" s="1295"/>
      <c r="AR60" s="1296"/>
      <c r="AS60" s="1296"/>
      <c r="AT60" s="1296"/>
      <c r="AU60" s="1296"/>
      <c r="AV60" s="1297"/>
    </row>
    <row r="61" s="1226" customFormat="1" ht="12.75" customHeight="1" spans="1:48">
      <c r="A61" s="2643" t="s">
        <v>7118</v>
      </c>
      <c r="B61" s="2643"/>
      <c r="C61" s="2643"/>
      <c r="D61" s="2643"/>
      <c r="E61" s="2643"/>
      <c r="F61" s="2643"/>
      <c r="G61" s="2643"/>
      <c r="H61" s="2643"/>
      <c r="I61" s="2643"/>
      <c r="J61" s="2643"/>
      <c r="K61" s="2643"/>
      <c r="L61" s="2643"/>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row>
    <row r="62" s="1226" customFormat="1" ht="12.75" customHeight="1" spans="1:48">
      <c r="A62" s="2643" t="s">
        <v>7119</v>
      </c>
      <c r="B62" s="2643"/>
      <c r="C62" s="2643"/>
      <c r="D62" s="2643"/>
      <c r="E62" s="2643"/>
      <c r="F62" s="2643"/>
      <c r="G62" s="2643"/>
      <c r="H62" s="2643"/>
      <c r="I62" s="2643"/>
      <c r="J62" s="2643"/>
      <c r="K62" s="2643"/>
      <c r="L62" s="2643"/>
      <c r="M62" s="2643"/>
      <c r="N62" s="2643"/>
      <c r="O62" s="2643"/>
      <c r="P62" s="2643"/>
      <c r="Q62" s="2643"/>
      <c r="R62" s="2643"/>
      <c r="S62" s="2643"/>
      <c r="T62" s="2643"/>
      <c r="U62" s="2643"/>
      <c r="V62" s="2643"/>
      <c r="W62" s="2643"/>
      <c r="X62" s="264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c r="AS62" s="2643"/>
      <c r="AT62" s="2643"/>
      <c r="AU62" s="2643"/>
      <c r="AV62" s="2643"/>
    </row>
    <row r="63" s="1226" customFormat="1" ht="12.75" customHeight="1" spans="1:48">
      <c r="A63" s="2643" t="s">
        <v>7120</v>
      </c>
      <c r="B63" s="2643"/>
      <c r="C63" s="2643"/>
      <c r="D63" s="2643"/>
      <c r="E63" s="2643"/>
      <c r="F63" s="2643"/>
      <c r="G63" s="2643"/>
      <c r="H63" s="2643"/>
      <c r="I63" s="2643"/>
      <c r="J63" s="2643"/>
      <c r="K63" s="2643"/>
      <c r="L63" s="2643"/>
      <c r="M63" s="2643"/>
      <c r="N63" s="2643"/>
      <c r="O63" s="2643"/>
      <c r="P63" s="2643"/>
      <c r="Q63" s="2643"/>
      <c r="R63" s="2643"/>
      <c r="S63" s="2643"/>
      <c r="T63" s="2643"/>
      <c r="U63" s="2643"/>
      <c r="V63" s="2643"/>
      <c r="W63" s="2643"/>
      <c r="X63" s="264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c r="AS63" s="2643"/>
      <c r="AT63" s="2643"/>
      <c r="AU63" s="2643"/>
      <c r="AV63" s="2643"/>
    </row>
    <row r="64" s="1226" customFormat="1" ht="15.75" customHeight="1" spans="1:48">
      <c r="A64" s="1298"/>
      <c r="B64" s="1298"/>
      <c r="C64" s="1298"/>
      <c r="D64" s="1298"/>
      <c r="E64" s="1298"/>
      <c r="F64" s="1298"/>
      <c r="G64" s="1298"/>
      <c r="H64" s="1298"/>
      <c r="I64" s="1298"/>
      <c r="J64" s="1298"/>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8"/>
      <c r="AQ64" s="1298"/>
      <c r="AR64" s="1298"/>
      <c r="AS64" s="1298"/>
      <c r="AT64" s="1298"/>
      <c r="AU64" s="1298"/>
      <c r="AV64" s="1298"/>
    </row>
    <row r="65" s="1226" customFormat="1" ht="15.75" customHeight="1"/>
    <row r="66" s="1226" customFormat="1" ht="12.75" customHeight="1" spans="1:48">
      <c r="A66" s="1324"/>
      <c r="AV66" s="1246" t="s">
        <v>7115</v>
      </c>
    </row>
    <row r="67" s="1226" customFormat="1" ht="13.5" customHeight="1" spans="1:48">
      <c r="A67" s="1299" t="s">
        <v>7074</v>
      </c>
      <c r="B67" s="1300"/>
      <c r="C67" s="1249" t="s">
        <v>2507</v>
      </c>
      <c r="D67" s="1249"/>
      <c r="E67" s="1249"/>
      <c r="F67" s="1249"/>
      <c r="G67" s="1249"/>
      <c r="H67" s="1249"/>
      <c r="I67" s="1249"/>
      <c r="J67" s="1249"/>
      <c r="K67" s="1249"/>
      <c r="L67" s="1249"/>
      <c r="M67" s="1249"/>
      <c r="N67" s="1249"/>
      <c r="O67" s="1249"/>
      <c r="P67" s="1249"/>
      <c r="Q67" s="1249"/>
      <c r="R67" s="1249"/>
      <c r="S67" s="1249"/>
      <c r="T67" s="1249"/>
      <c r="U67" s="1249"/>
      <c r="V67" s="1249"/>
      <c r="W67" s="1249"/>
      <c r="X67" s="1250"/>
      <c r="Y67" s="1251" t="s">
        <v>2527</v>
      </c>
      <c r="Z67" s="1252"/>
      <c r="AA67" s="1252"/>
      <c r="AB67" s="1252"/>
      <c r="AC67" s="1252"/>
      <c r="AD67" s="1252"/>
      <c r="AE67" s="1253"/>
      <c r="AF67" s="1251" t="s">
        <v>2438</v>
      </c>
      <c r="AG67" s="1252"/>
      <c r="AH67" s="1253"/>
      <c r="AI67" s="1254" t="s">
        <v>2529</v>
      </c>
      <c r="AJ67" s="1255"/>
      <c r="AK67" s="1255"/>
      <c r="AL67" s="1255"/>
      <c r="AM67" s="1255"/>
      <c r="AN67" s="1255"/>
      <c r="AO67" s="1255"/>
      <c r="AP67" s="1255"/>
      <c r="AQ67" s="1255"/>
      <c r="AR67" s="1255"/>
      <c r="AS67" s="1255"/>
      <c r="AT67" s="1255"/>
      <c r="AU67" s="1255"/>
      <c r="AV67" s="1256"/>
    </row>
    <row r="68" s="1226" customFormat="1" ht="13.5" customHeight="1" spans="1:48">
      <c r="A68" s="1301" t="s">
        <v>7076</v>
      </c>
      <c r="B68" s="1302"/>
      <c r="C68" s="1259"/>
      <c r="D68" s="1259"/>
      <c r="E68" s="1259"/>
      <c r="F68" s="1259"/>
      <c r="G68" s="1259"/>
      <c r="H68" s="1259"/>
      <c r="I68" s="1259"/>
      <c r="J68" s="1259"/>
      <c r="K68" s="1259"/>
      <c r="L68" s="1259"/>
      <c r="M68" s="1259"/>
      <c r="N68" s="1259"/>
      <c r="O68" s="1259"/>
      <c r="P68" s="1259"/>
      <c r="Q68" s="1259"/>
      <c r="R68" s="1259"/>
      <c r="S68" s="1259"/>
      <c r="T68" s="1259"/>
      <c r="U68" s="1259"/>
      <c r="V68" s="1259"/>
      <c r="W68" s="1259"/>
      <c r="X68" s="1260"/>
      <c r="Y68" s="1261"/>
      <c r="Z68" s="1262"/>
      <c r="AA68" s="1262"/>
      <c r="AB68" s="1262"/>
      <c r="AC68" s="1262"/>
      <c r="AD68" s="1262"/>
      <c r="AE68" s="1263"/>
      <c r="AF68" s="1261"/>
      <c r="AG68" s="1262"/>
      <c r="AH68" s="1263"/>
      <c r="AI68" s="1264" t="s">
        <v>4676</v>
      </c>
      <c r="AJ68" s="1264"/>
      <c r="AK68" s="1264"/>
      <c r="AL68" s="1264"/>
      <c r="AM68" s="1264"/>
      <c r="AN68" s="1264"/>
      <c r="AO68" s="1264"/>
      <c r="AP68" s="1265" t="s">
        <v>7116</v>
      </c>
      <c r="AQ68" s="1265"/>
      <c r="AR68" s="1265"/>
      <c r="AS68" s="1265"/>
      <c r="AT68" s="1265"/>
      <c r="AU68" s="1265"/>
      <c r="AV68" s="1265"/>
    </row>
    <row r="69" s="1226" customFormat="1" ht="13.5" customHeight="1" spans="1:48">
      <c r="A69" s="1325">
        <v>1</v>
      </c>
      <c r="B69" s="1325"/>
      <c r="C69" s="1286">
        <v>2</v>
      </c>
      <c r="D69" s="1325"/>
      <c r="E69" s="1325"/>
      <c r="F69" s="1325"/>
      <c r="G69" s="1325"/>
      <c r="H69" s="1325"/>
      <c r="I69" s="1325"/>
      <c r="J69" s="1325"/>
      <c r="K69" s="1325"/>
      <c r="L69" s="1325"/>
      <c r="M69" s="1325"/>
      <c r="N69" s="1325"/>
      <c r="O69" s="1325"/>
      <c r="P69" s="1325"/>
      <c r="Q69" s="1325"/>
      <c r="R69" s="1325"/>
      <c r="S69" s="1325"/>
      <c r="T69" s="1325"/>
      <c r="U69" s="1325"/>
      <c r="V69" s="1325"/>
      <c r="W69" s="1325"/>
      <c r="X69" s="1325"/>
      <c r="Y69" s="1325">
        <v>3</v>
      </c>
      <c r="Z69" s="1325"/>
      <c r="AA69" s="1325"/>
      <c r="AB69" s="1325"/>
      <c r="AC69" s="1325"/>
      <c r="AD69" s="1325"/>
      <c r="AE69" s="1325"/>
      <c r="AF69" s="1325">
        <v>4</v>
      </c>
      <c r="AG69" s="1325"/>
      <c r="AH69" s="1325"/>
      <c r="AI69" s="1325">
        <v>5</v>
      </c>
      <c r="AJ69" s="1325"/>
      <c r="AK69" s="1325"/>
      <c r="AL69" s="1325"/>
      <c r="AM69" s="1325"/>
      <c r="AN69" s="1325"/>
      <c r="AO69" s="1325"/>
      <c r="AP69" s="1325">
        <v>6</v>
      </c>
      <c r="AQ69" s="1325"/>
      <c r="AR69" s="1325"/>
      <c r="AS69" s="1325"/>
      <c r="AT69" s="1325"/>
      <c r="AU69" s="1325"/>
      <c r="AV69" s="1325"/>
    </row>
    <row r="70" s="1226" customFormat="1" ht="23.25" customHeight="1" spans="1:48">
      <c r="A70" s="1285" t="s">
        <v>5865</v>
      </c>
      <c r="B70" s="1286"/>
      <c r="C70" s="1270" t="str">
        <f>Text!B627</f>
        <v>TROŠKOVI OPERATIVNOG NAJMA / LIZINGA PO MSFI 16</v>
      </c>
      <c r="D70" s="1271"/>
      <c r="E70" s="1271"/>
      <c r="F70" s="1271"/>
      <c r="G70" s="1271"/>
      <c r="H70" s="1271"/>
      <c r="I70" s="1271"/>
      <c r="J70" s="1271"/>
      <c r="K70" s="1271"/>
      <c r="L70" s="1271"/>
      <c r="M70" s="1271"/>
      <c r="N70" s="1271"/>
      <c r="O70" s="1271"/>
      <c r="P70" s="1271"/>
      <c r="Q70" s="1271"/>
      <c r="R70" s="1271"/>
      <c r="S70" s="1271"/>
      <c r="T70" s="1271"/>
      <c r="U70" s="1271"/>
      <c r="V70" s="1271"/>
      <c r="W70" s="1271"/>
      <c r="X70" s="1271"/>
      <c r="Y70" s="1291"/>
      <c r="Z70" s="1291"/>
      <c r="AA70" s="1291"/>
      <c r="AB70" s="1291"/>
      <c r="AC70" s="1291"/>
      <c r="AD70" s="1291"/>
      <c r="AE70" s="1291"/>
      <c r="AF70" s="1293"/>
      <c r="AG70" s="1293"/>
      <c r="AH70" s="1293"/>
      <c r="AI70" s="1326"/>
      <c r="AJ70" s="1326"/>
      <c r="AK70" s="1326"/>
      <c r="AL70" s="1326"/>
      <c r="AM70" s="1326"/>
      <c r="AN70" s="1326"/>
      <c r="AO70" s="1326"/>
      <c r="AP70" s="1326"/>
      <c r="AQ70" s="1326"/>
      <c r="AR70" s="1326"/>
      <c r="AS70" s="1326"/>
      <c r="AT70" s="1326"/>
      <c r="AU70" s="1326"/>
      <c r="AV70" s="1327"/>
    </row>
    <row r="71" s="1225" customFormat="1" ht="28.5" customHeight="1" spans="1:48">
      <c r="A71" s="1285" t="s">
        <v>5867</v>
      </c>
      <c r="B71" s="1286"/>
      <c r="C71" s="1287" t="str">
        <f>Text!B628</f>
        <v>Troškovi amortizacije obračunati za imovinu s pravom korištenja - operativni najam / lizing 4)</v>
      </c>
      <c r="D71" s="1288"/>
      <c r="E71" s="1288"/>
      <c r="F71" s="1288"/>
      <c r="G71" s="1288"/>
      <c r="H71" s="1288"/>
      <c r="I71" s="1288"/>
      <c r="J71" s="1288"/>
      <c r="K71" s="1288"/>
      <c r="L71" s="1288"/>
      <c r="M71" s="1288"/>
      <c r="N71" s="1288"/>
      <c r="O71" s="1288"/>
      <c r="P71" s="1288"/>
      <c r="Q71" s="1288"/>
      <c r="R71" s="1288"/>
      <c r="S71" s="1288"/>
      <c r="T71" s="1288"/>
      <c r="U71" s="1288"/>
      <c r="V71" s="1288"/>
      <c r="W71" s="1288"/>
      <c r="X71" s="1288"/>
      <c r="Y71" s="1328" t="s">
        <v>7121</v>
      </c>
      <c r="Z71" s="1328"/>
      <c r="AA71" s="1328"/>
      <c r="AB71" s="1328"/>
      <c r="AC71" s="1328"/>
      <c r="AD71" s="1328"/>
      <c r="AE71" s="1328"/>
      <c r="AF71" s="1285">
        <v>642</v>
      </c>
      <c r="AG71" s="1293"/>
      <c r="AH71" s="1286"/>
      <c r="AI71" s="1294">
        <f>ROUND(UnosPod!F269+UnosPod!F277+UnosPod!F285,0)</f>
        <v>4549</v>
      </c>
      <c r="AJ71" s="1295"/>
      <c r="AK71" s="1296"/>
      <c r="AL71" s="1296"/>
      <c r="AM71" s="1296"/>
      <c r="AN71" s="1296"/>
      <c r="AO71" s="1297"/>
      <c r="AP71" s="1294">
        <f>Prethodna_2024!B319</f>
        <v>0</v>
      </c>
      <c r="AQ71" s="1295"/>
      <c r="AR71" s="1296"/>
      <c r="AS71" s="1296"/>
      <c r="AT71" s="1296"/>
      <c r="AU71" s="1296"/>
      <c r="AV71" s="1297"/>
    </row>
    <row r="72" s="1226" customFormat="1" ht="28.5" customHeight="1" spans="1:48">
      <c r="A72" s="1285" t="s">
        <v>5869</v>
      </c>
      <c r="B72" s="1286"/>
      <c r="C72" s="1287" t="str">
        <f>Text!B629</f>
        <v>Rashodi od kamata za imovinu s pravom korištenja - operativni najam / lizing 5)</v>
      </c>
      <c r="D72" s="1288"/>
      <c r="E72" s="1288"/>
      <c r="F72" s="1288"/>
      <c r="G72" s="1288"/>
      <c r="H72" s="1288"/>
      <c r="I72" s="1288"/>
      <c r="J72" s="1288"/>
      <c r="K72" s="1288"/>
      <c r="L72" s="1288"/>
      <c r="M72" s="1288"/>
      <c r="N72" s="1288"/>
      <c r="O72" s="1288"/>
      <c r="P72" s="1288"/>
      <c r="Q72" s="1288"/>
      <c r="R72" s="1288"/>
      <c r="S72" s="1288"/>
      <c r="T72" s="1288"/>
      <c r="U72" s="1288"/>
      <c r="V72" s="1288"/>
      <c r="W72" s="1288"/>
      <c r="X72" s="1288"/>
      <c r="Y72" s="1306" t="s">
        <v>7122</v>
      </c>
      <c r="Z72" s="1307"/>
      <c r="AA72" s="1307"/>
      <c r="AB72" s="1307"/>
      <c r="AC72" s="1307"/>
      <c r="AD72" s="1307"/>
      <c r="AE72" s="1308"/>
      <c r="AF72" s="1285">
        <v>643</v>
      </c>
      <c r="AG72" s="1293"/>
      <c r="AH72" s="1286"/>
      <c r="AI72" s="1294">
        <f>ROUND(UnosPod!F451,0)</f>
        <v>0</v>
      </c>
      <c r="AJ72" s="1295"/>
      <c r="AK72" s="1296"/>
      <c r="AL72" s="1296"/>
      <c r="AM72" s="1296"/>
      <c r="AN72" s="1296"/>
      <c r="AO72" s="1297"/>
      <c r="AP72" s="1294">
        <f>Prethodna_2024!B320</f>
        <v>0</v>
      </c>
      <c r="AQ72" s="1295"/>
      <c r="AR72" s="1296"/>
      <c r="AS72" s="1296"/>
      <c r="AT72" s="1296"/>
      <c r="AU72" s="1296"/>
      <c r="AV72" s="1297"/>
    </row>
    <row r="73" s="1226" customFormat="1" customHeight="1" spans="1:48">
      <c r="A73" s="1285" t="s">
        <v>5871</v>
      </c>
      <c r="B73" s="1286"/>
      <c r="C73" s="1270" t="str">
        <f>Text!B630</f>
        <v>OSTALI RASHODI I GUBICI (46+47+48)</v>
      </c>
      <c r="D73" s="1271"/>
      <c r="E73" s="1271"/>
      <c r="F73" s="1271"/>
      <c r="G73" s="1271"/>
      <c r="H73" s="1271"/>
      <c r="I73" s="1271"/>
      <c r="J73" s="1271"/>
      <c r="K73" s="1271"/>
      <c r="L73" s="1271"/>
      <c r="M73" s="1271"/>
      <c r="N73" s="1271"/>
      <c r="O73" s="1271"/>
      <c r="P73" s="1271"/>
      <c r="Q73" s="1271"/>
      <c r="R73" s="1271"/>
      <c r="S73" s="1271"/>
      <c r="T73" s="1271"/>
      <c r="U73" s="1271"/>
      <c r="V73" s="1271"/>
      <c r="W73" s="1271"/>
      <c r="X73" s="1271"/>
      <c r="Y73" s="1303"/>
      <c r="Z73" s="1304"/>
      <c r="AA73" s="1304"/>
      <c r="AB73" s="1304"/>
      <c r="AC73" s="1304"/>
      <c r="AD73" s="1304"/>
      <c r="AE73" s="1305"/>
      <c r="AF73" s="1268">
        <v>644</v>
      </c>
      <c r="AG73" s="1276"/>
      <c r="AH73" s="1269"/>
      <c r="AI73" s="2644">
        <f>SUM(AI74:AO76)</f>
        <v>0</v>
      </c>
      <c r="AJ73" s="1312"/>
      <c r="AK73" s="1312"/>
      <c r="AL73" s="1312"/>
      <c r="AM73" s="1312"/>
      <c r="AN73" s="1312"/>
      <c r="AO73" s="1313"/>
      <c r="AP73" s="2644">
        <f>SUM(AP74:AV76)</f>
        <v>0</v>
      </c>
      <c r="AQ73" s="1312"/>
      <c r="AR73" s="1312"/>
      <c r="AS73" s="1312"/>
      <c r="AT73" s="1312"/>
      <c r="AU73" s="1312"/>
      <c r="AV73" s="1313"/>
    </row>
    <row r="74" s="1226" customFormat="1" customHeight="1" spans="1:48">
      <c r="A74" s="1285" t="s">
        <v>5873</v>
      </c>
      <c r="B74" s="1286"/>
      <c r="C74" s="1287" t="str">
        <f>Text!B631</f>
        <v>Gubici od prodaje materijala</v>
      </c>
      <c r="D74" s="1288"/>
      <c r="E74" s="1288"/>
      <c r="F74" s="1288"/>
      <c r="G74" s="1288"/>
      <c r="H74" s="1288"/>
      <c r="I74" s="1288"/>
      <c r="J74" s="1288"/>
      <c r="K74" s="1288"/>
      <c r="L74" s="1288"/>
      <c r="M74" s="1288"/>
      <c r="N74" s="1288"/>
      <c r="O74" s="1288"/>
      <c r="P74" s="1288"/>
      <c r="Q74" s="1288"/>
      <c r="R74" s="1288"/>
      <c r="S74" s="1288"/>
      <c r="T74" s="1288"/>
      <c r="U74" s="1288"/>
      <c r="V74" s="1288"/>
      <c r="W74" s="1288"/>
      <c r="X74" s="1288"/>
      <c r="Y74" s="1306">
        <v>575</v>
      </c>
      <c r="Z74" s="1307"/>
      <c r="AA74" s="1307"/>
      <c r="AB74" s="1307"/>
      <c r="AC74" s="1307"/>
      <c r="AD74" s="1307"/>
      <c r="AE74" s="1308"/>
      <c r="AF74" s="1285">
        <v>645</v>
      </c>
      <c r="AG74" s="1293"/>
      <c r="AH74" s="1286"/>
      <c r="AI74" s="1294">
        <f>ROUND(UnosPod!F327,0)</f>
        <v>0</v>
      </c>
      <c r="AJ74" s="1295"/>
      <c r="AK74" s="1296"/>
      <c r="AL74" s="1296"/>
      <c r="AM74" s="1296"/>
      <c r="AN74" s="1296"/>
      <c r="AO74" s="1297"/>
      <c r="AP74" s="1294">
        <f>Prethodna_2024!B322</f>
        <v>0</v>
      </c>
      <c r="AQ74" s="1295"/>
      <c r="AR74" s="1296"/>
      <c r="AS74" s="1296"/>
      <c r="AT74" s="1296"/>
      <c r="AU74" s="1296"/>
      <c r="AV74" s="1297"/>
    </row>
    <row r="75" s="1225" customFormat="1" ht="22.5" customHeight="1" spans="1:48">
      <c r="A75" s="1285" t="s">
        <v>5875</v>
      </c>
      <c r="B75" s="1286"/>
      <c r="C75" s="1287" t="str">
        <f>Text!B632</f>
        <v>Kalo, rastur, kvar i lom zaliha materijala i robe</v>
      </c>
      <c r="D75" s="1288"/>
      <c r="E75" s="1288"/>
      <c r="F75" s="1288"/>
      <c r="G75" s="1288"/>
      <c r="H75" s="1288"/>
      <c r="I75" s="1288"/>
      <c r="J75" s="1288"/>
      <c r="K75" s="1288"/>
      <c r="L75" s="1288"/>
      <c r="M75" s="1288"/>
      <c r="N75" s="1288"/>
      <c r="O75" s="1288"/>
      <c r="P75" s="1288"/>
      <c r="Q75" s="1288"/>
      <c r="R75" s="1288"/>
      <c r="S75" s="1288"/>
      <c r="T75" s="1288"/>
      <c r="U75" s="1288"/>
      <c r="V75" s="1288"/>
      <c r="W75" s="1288"/>
      <c r="X75" s="1288"/>
      <c r="Y75" s="1306" t="s">
        <v>7032</v>
      </c>
      <c r="Z75" s="1307"/>
      <c r="AA75" s="1307"/>
      <c r="AB75" s="1307"/>
      <c r="AC75" s="1307"/>
      <c r="AD75" s="1307"/>
      <c r="AE75" s="1308"/>
      <c r="AF75" s="1285">
        <v>646</v>
      </c>
      <c r="AG75" s="1293"/>
      <c r="AH75" s="1286"/>
      <c r="AI75" s="1294">
        <f>ROUND(UnosPod!F420,0)</f>
        <v>0</v>
      </c>
      <c r="AJ75" s="1295"/>
      <c r="AK75" s="1296"/>
      <c r="AL75" s="1296"/>
      <c r="AM75" s="1296"/>
      <c r="AN75" s="1296"/>
      <c r="AO75" s="1297"/>
      <c r="AP75" s="1294">
        <f>Prethodna_2024!B323</f>
        <v>0</v>
      </c>
      <c r="AQ75" s="1295"/>
      <c r="AR75" s="1296"/>
      <c r="AS75" s="1296"/>
      <c r="AT75" s="1296"/>
      <c r="AU75" s="1296"/>
      <c r="AV75" s="1297"/>
    </row>
    <row r="76" s="1223" customFormat="1" customHeight="1" spans="1:48">
      <c r="A76" s="1285" t="s">
        <v>5877</v>
      </c>
      <c r="B76" s="1286"/>
      <c r="C76" s="1287" t="str">
        <f>Text!B633</f>
        <v>Gubici od usklađivanja vrijednosti zaliha</v>
      </c>
      <c r="D76" s="1288"/>
      <c r="E76" s="1288"/>
      <c r="F76" s="1288"/>
      <c r="G76" s="1288"/>
      <c r="H76" s="1288"/>
      <c r="I76" s="1288"/>
      <c r="J76" s="1288"/>
      <c r="K76" s="1288"/>
      <c r="L76" s="1288"/>
      <c r="M76" s="1288"/>
      <c r="N76" s="1288"/>
      <c r="O76" s="1288"/>
      <c r="P76" s="1288"/>
      <c r="Q76" s="1288"/>
      <c r="R76" s="1288"/>
      <c r="S76" s="1288"/>
      <c r="T76" s="1288"/>
      <c r="U76" s="1288"/>
      <c r="V76" s="1288"/>
      <c r="W76" s="1288"/>
      <c r="X76" s="1288"/>
      <c r="Y76" s="1306">
        <v>585</v>
      </c>
      <c r="Z76" s="1307"/>
      <c r="AA76" s="1307"/>
      <c r="AB76" s="1307"/>
      <c r="AC76" s="1307"/>
      <c r="AD76" s="1307"/>
      <c r="AE76" s="1308"/>
      <c r="AF76" s="1285">
        <v>647</v>
      </c>
      <c r="AG76" s="1293"/>
      <c r="AH76" s="1286"/>
      <c r="AI76" s="1294">
        <f>ROUND(UnosPod!F350,0)</f>
        <v>0</v>
      </c>
      <c r="AJ76" s="1295"/>
      <c r="AK76" s="1296"/>
      <c r="AL76" s="1296"/>
      <c r="AM76" s="1296"/>
      <c r="AN76" s="1296"/>
      <c r="AO76" s="1297"/>
      <c r="AP76" s="1294">
        <f>Prethodna_2024!B324</f>
        <v>0</v>
      </c>
      <c r="AQ76" s="1295"/>
      <c r="AR76" s="1296"/>
      <c r="AS76" s="1296"/>
      <c r="AT76" s="1296"/>
      <c r="AU76" s="1296"/>
      <c r="AV76" s="1297"/>
    </row>
    <row r="77" s="1223" customFormat="1" customHeight="1" spans="1:48">
      <c r="A77" s="1285" t="s">
        <v>5879</v>
      </c>
      <c r="B77" s="1286"/>
      <c r="C77" s="1270" t="str">
        <f>Text!B634</f>
        <v>ULAZNI / IZLAZNI PDV I AKCIZE</v>
      </c>
      <c r="D77" s="1271"/>
      <c r="E77" s="1271"/>
      <c r="F77" s="1271"/>
      <c r="G77" s="1271"/>
      <c r="H77" s="1271"/>
      <c r="I77" s="1271"/>
      <c r="J77" s="1271"/>
      <c r="K77" s="1271"/>
      <c r="L77" s="1271"/>
      <c r="M77" s="1271"/>
      <c r="N77" s="1271"/>
      <c r="O77" s="1271"/>
      <c r="P77" s="1271"/>
      <c r="Q77" s="1271"/>
      <c r="R77" s="1271"/>
      <c r="S77" s="1271"/>
      <c r="T77" s="1271"/>
      <c r="U77" s="1271"/>
      <c r="V77" s="1271"/>
      <c r="W77" s="1271"/>
      <c r="X77" s="1271"/>
      <c r="Y77" s="1307"/>
      <c r="Z77" s="1307"/>
      <c r="AA77" s="1307"/>
      <c r="AB77" s="1307"/>
      <c r="AC77" s="1307"/>
      <c r="AD77" s="1307"/>
      <c r="AE77" s="1307"/>
      <c r="AF77" s="1293"/>
      <c r="AG77" s="1293"/>
      <c r="AH77" s="1293"/>
      <c r="AI77" s="1326"/>
      <c r="AJ77" s="1326"/>
      <c r="AK77" s="1326"/>
      <c r="AL77" s="1326"/>
      <c r="AM77" s="1326"/>
      <c r="AN77" s="1326"/>
      <c r="AO77" s="1326"/>
      <c r="AP77" s="1326"/>
      <c r="AQ77" s="1326"/>
      <c r="AR77" s="1326"/>
      <c r="AS77" s="1326"/>
      <c r="AT77" s="1326"/>
      <c r="AU77" s="1326"/>
      <c r="AV77" s="1327"/>
    </row>
    <row r="78" s="1223" customFormat="1" customHeight="1" spans="1:48">
      <c r="A78" s="1285" t="s">
        <v>5881</v>
      </c>
      <c r="B78" s="1286"/>
      <c r="C78" s="1287" t="str">
        <f>Text!B635</f>
        <v>Potraživanja za PDV (dugovni promet grupe 27) 6)</v>
      </c>
      <c r="D78" s="1288"/>
      <c r="E78" s="1288"/>
      <c r="F78" s="1288"/>
      <c r="G78" s="1288"/>
      <c r="H78" s="1288"/>
      <c r="I78" s="1288"/>
      <c r="J78" s="1288"/>
      <c r="K78" s="1288"/>
      <c r="L78" s="1288"/>
      <c r="M78" s="1288"/>
      <c r="N78" s="1288"/>
      <c r="O78" s="1288"/>
      <c r="P78" s="1288"/>
      <c r="Q78" s="1288"/>
      <c r="R78" s="1288"/>
      <c r="S78" s="1288"/>
      <c r="T78" s="1288"/>
      <c r="U78" s="1288"/>
      <c r="V78" s="1288"/>
      <c r="W78" s="1288"/>
      <c r="X78" s="1288"/>
      <c r="Y78" s="1306" t="s">
        <v>5135</v>
      </c>
      <c r="Z78" s="1307"/>
      <c r="AA78" s="1307"/>
      <c r="AB78" s="1307"/>
      <c r="AC78" s="1307"/>
      <c r="AD78" s="1307"/>
      <c r="AE78" s="1308"/>
      <c r="AF78" s="1285">
        <v>648</v>
      </c>
      <c r="AG78" s="1293"/>
      <c r="AH78" s="1286"/>
      <c r="AI78" s="1294">
        <f>ROUND(UnosPod!F452,0)</f>
        <v>0</v>
      </c>
      <c r="AJ78" s="1295"/>
      <c r="AK78" s="1296"/>
      <c r="AL78" s="1296"/>
      <c r="AM78" s="1296"/>
      <c r="AN78" s="1296"/>
      <c r="AO78" s="1297"/>
      <c r="AP78" s="1294">
        <f>Prethodna_2024!B325</f>
        <v>0</v>
      </c>
      <c r="AQ78" s="1295"/>
      <c r="AR78" s="1296"/>
      <c r="AS78" s="1296"/>
      <c r="AT78" s="1296"/>
      <c r="AU78" s="1296"/>
      <c r="AV78" s="1297"/>
    </row>
    <row r="79" s="1223" customFormat="1" customHeight="1" spans="1:48">
      <c r="A79" s="1285" t="s">
        <v>5882</v>
      </c>
      <c r="B79" s="1286"/>
      <c r="C79" s="1287" t="str">
        <f>Text!B636</f>
        <v>Obaveza za PDV (potražni promet grupe 47) 7)</v>
      </c>
      <c r="D79" s="1288"/>
      <c r="E79" s="1288"/>
      <c r="F79" s="1288"/>
      <c r="G79" s="1288"/>
      <c r="H79" s="1288"/>
      <c r="I79" s="1288"/>
      <c r="J79" s="1288"/>
      <c r="K79" s="1288"/>
      <c r="L79" s="1288"/>
      <c r="M79" s="1288"/>
      <c r="N79" s="1288"/>
      <c r="O79" s="1288"/>
      <c r="P79" s="1288"/>
      <c r="Q79" s="1288"/>
      <c r="R79" s="1288"/>
      <c r="S79" s="1288"/>
      <c r="T79" s="1288"/>
      <c r="U79" s="1288"/>
      <c r="V79" s="1288"/>
      <c r="W79" s="1288"/>
      <c r="X79" s="1288"/>
      <c r="Y79" s="1306" t="s">
        <v>5136</v>
      </c>
      <c r="Z79" s="1307"/>
      <c r="AA79" s="1307"/>
      <c r="AB79" s="1307"/>
      <c r="AC79" s="1307"/>
      <c r="AD79" s="1307"/>
      <c r="AE79" s="1308"/>
      <c r="AF79" s="1285">
        <v>649</v>
      </c>
      <c r="AG79" s="1293"/>
      <c r="AH79" s="1286"/>
      <c r="AI79" s="1294">
        <f>ROUND(UnosPod!F453,0)</f>
        <v>0</v>
      </c>
      <c r="AJ79" s="1295"/>
      <c r="AK79" s="1296"/>
      <c r="AL79" s="1296"/>
      <c r="AM79" s="1296"/>
      <c r="AN79" s="1296"/>
      <c r="AO79" s="1297"/>
      <c r="AP79" s="1294">
        <f>Prethodna_2024!B326</f>
        <v>0</v>
      </c>
      <c r="AQ79" s="1295"/>
      <c r="AR79" s="1296"/>
      <c r="AS79" s="1296"/>
      <c r="AT79" s="1296"/>
      <c r="AU79" s="1296"/>
      <c r="AV79" s="1297"/>
    </row>
    <row r="80" s="1223" customFormat="1" customHeight="1" spans="1:48">
      <c r="A80" s="1285" t="s">
        <v>5884</v>
      </c>
      <c r="B80" s="1286"/>
      <c r="C80" s="1287" t="str">
        <f>Text!B637</f>
        <v>Obaveze za akcize</v>
      </c>
      <c r="D80" s="1288"/>
      <c r="E80" s="1288"/>
      <c r="F80" s="1288"/>
      <c r="G80" s="1288"/>
      <c r="H80" s="1288"/>
      <c r="I80" s="1288"/>
      <c r="J80" s="1288"/>
      <c r="K80" s="1288"/>
      <c r="L80" s="1288"/>
      <c r="M80" s="1288"/>
      <c r="N80" s="1288"/>
      <c r="O80" s="1288"/>
      <c r="P80" s="1288"/>
      <c r="Q80" s="1288"/>
      <c r="R80" s="1288"/>
      <c r="S80" s="1288"/>
      <c r="T80" s="1288"/>
      <c r="U80" s="1288"/>
      <c r="V80" s="1288"/>
      <c r="W80" s="1288"/>
      <c r="X80" s="1288"/>
      <c r="Y80" s="1306">
        <v>480</v>
      </c>
      <c r="Z80" s="1307"/>
      <c r="AA80" s="1307"/>
      <c r="AB80" s="1307"/>
      <c r="AC80" s="1307"/>
      <c r="AD80" s="1307"/>
      <c r="AE80" s="1308"/>
      <c r="AF80" s="1285">
        <v>650</v>
      </c>
      <c r="AG80" s="1293"/>
      <c r="AH80" s="1286"/>
      <c r="AI80" s="1294">
        <f>ROUND(UnosPod!F455,0)</f>
        <v>0</v>
      </c>
      <c r="AJ80" s="1295"/>
      <c r="AK80" s="1296"/>
      <c r="AL80" s="1296"/>
      <c r="AM80" s="1296"/>
      <c r="AN80" s="1296"/>
      <c r="AO80" s="1297"/>
      <c r="AP80" s="1294">
        <f>Prethodna_2024!B327</f>
        <v>0</v>
      </c>
      <c r="AQ80" s="1295"/>
      <c r="AR80" s="1296"/>
      <c r="AS80" s="1296"/>
      <c r="AT80" s="1296"/>
      <c r="AU80" s="1296"/>
      <c r="AV80" s="1297"/>
    </row>
    <row r="81" s="1223" customFormat="1" customHeight="1" spans="1:48">
      <c r="A81" s="1285" t="s">
        <v>5886</v>
      </c>
      <c r="B81" s="1286"/>
      <c r="C81" s="1270" t="str">
        <f>Text!B638</f>
        <v>BROJ ZAPOSLENIH</v>
      </c>
      <c r="D81" s="1271"/>
      <c r="E81" s="1271"/>
      <c r="F81" s="1271"/>
      <c r="G81" s="1271"/>
      <c r="H81" s="1271"/>
      <c r="I81" s="1271"/>
      <c r="J81" s="1271"/>
      <c r="K81" s="1271"/>
      <c r="L81" s="1271"/>
      <c r="M81" s="1271"/>
      <c r="N81" s="1271"/>
      <c r="O81" s="1271"/>
      <c r="P81" s="1271"/>
      <c r="Q81" s="1271"/>
      <c r="R81" s="1271"/>
      <c r="S81" s="1271"/>
      <c r="T81" s="1271"/>
      <c r="U81" s="1271"/>
      <c r="V81" s="1271"/>
      <c r="W81" s="1271"/>
      <c r="X81" s="1271"/>
      <c r="Y81" s="1307"/>
      <c r="Z81" s="1307"/>
      <c r="AA81" s="1307"/>
      <c r="AB81" s="1307"/>
      <c r="AC81" s="1307"/>
      <c r="AD81" s="1307"/>
      <c r="AE81" s="1307"/>
      <c r="AF81" s="1293"/>
      <c r="AG81" s="1293"/>
      <c r="AH81" s="1293"/>
      <c r="AI81" s="1312"/>
      <c r="AJ81" s="1312"/>
      <c r="AK81" s="1312"/>
      <c r="AL81" s="1312"/>
      <c r="AM81" s="1312"/>
      <c r="AN81" s="1312"/>
      <c r="AO81" s="1312"/>
      <c r="AP81" s="1312"/>
      <c r="AQ81" s="1312"/>
      <c r="AR81" s="1312"/>
      <c r="AS81" s="1312"/>
      <c r="AT81" s="1312"/>
      <c r="AU81" s="1312"/>
      <c r="AV81" s="1313"/>
    </row>
    <row r="82" s="1223" customFormat="1" customHeight="1" spans="1:48">
      <c r="A82" s="1285" t="s">
        <v>5888</v>
      </c>
      <c r="B82" s="1286"/>
      <c r="C82" s="1287" t="str">
        <f>Text!B639</f>
        <v>Prosječan broj zaposlenih na bazi sati rada 8)</v>
      </c>
      <c r="D82" s="1288"/>
      <c r="E82" s="1288"/>
      <c r="F82" s="1288"/>
      <c r="G82" s="1288"/>
      <c r="H82" s="1288"/>
      <c r="I82" s="1288"/>
      <c r="J82" s="1288"/>
      <c r="K82" s="1288"/>
      <c r="L82" s="1288"/>
      <c r="M82" s="1288"/>
      <c r="N82" s="1288"/>
      <c r="O82" s="1288"/>
      <c r="P82" s="1288"/>
      <c r="Q82" s="1288"/>
      <c r="R82" s="1288"/>
      <c r="S82" s="1288"/>
      <c r="T82" s="1288"/>
      <c r="U82" s="1288"/>
      <c r="V82" s="1288"/>
      <c r="W82" s="1288"/>
      <c r="X82" s="1288"/>
      <c r="Y82" s="1306"/>
      <c r="Z82" s="1307"/>
      <c r="AA82" s="1307"/>
      <c r="AB82" s="1307"/>
      <c r="AC82" s="1307"/>
      <c r="AD82" s="1307"/>
      <c r="AE82" s="1308"/>
      <c r="AF82" s="1285">
        <v>651</v>
      </c>
      <c r="AG82" s="1293"/>
      <c r="AH82" s="1286"/>
      <c r="AI82" s="1294">
        <f>ROUND(UnosPod!AD481,0)</f>
        <v>6</v>
      </c>
      <c r="AJ82" s="1295"/>
      <c r="AK82" s="1296"/>
      <c r="AL82" s="1296"/>
      <c r="AM82" s="1296"/>
      <c r="AN82" s="1296"/>
      <c r="AO82" s="1297"/>
      <c r="AP82" s="1294">
        <f>Prethodna_2024!B328</f>
        <v>0</v>
      </c>
      <c r="AQ82" s="1295"/>
      <c r="AR82" s="1296"/>
      <c r="AS82" s="1296"/>
      <c r="AT82" s="1296"/>
      <c r="AU82" s="1296"/>
      <c r="AV82" s="1297"/>
    </row>
    <row r="83" s="1223" customFormat="1" ht="19.5" customHeight="1" spans="1:48">
      <c r="A83" s="1285" t="s">
        <v>5890</v>
      </c>
      <c r="B83" s="1286"/>
      <c r="C83" s="1287" t="str">
        <f>Text!B640</f>
        <v>Prosječan broj zaposlenih na bazi stanja krajem svakog mjeseca 9)</v>
      </c>
      <c r="D83" s="1288"/>
      <c r="E83" s="1288"/>
      <c r="F83" s="1288"/>
      <c r="G83" s="1288"/>
      <c r="H83" s="1288"/>
      <c r="I83" s="1288"/>
      <c r="J83" s="1288"/>
      <c r="K83" s="1288"/>
      <c r="L83" s="1288"/>
      <c r="M83" s="1288"/>
      <c r="N83" s="1288"/>
      <c r="O83" s="1288"/>
      <c r="P83" s="1288"/>
      <c r="Q83" s="1288"/>
      <c r="R83" s="1288"/>
      <c r="S83" s="1288"/>
      <c r="T83" s="1288"/>
      <c r="U83" s="1288"/>
      <c r="V83" s="1288"/>
      <c r="W83" s="1288"/>
      <c r="X83" s="1288"/>
      <c r="Y83" s="1306"/>
      <c r="Z83" s="1307"/>
      <c r="AA83" s="1307"/>
      <c r="AB83" s="1307"/>
      <c r="AC83" s="1307"/>
      <c r="AD83" s="1307"/>
      <c r="AE83" s="1308"/>
      <c r="AF83" s="1285">
        <v>652</v>
      </c>
      <c r="AG83" s="1293"/>
      <c r="AH83" s="1286"/>
      <c r="AI83" s="1294">
        <f>ROUND(UnosPod!H481,0)</f>
        <v>6</v>
      </c>
      <c r="AJ83" s="1295"/>
      <c r="AK83" s="1296"/>
      <c r="AL83" s="1296"/>
      <c r="AM83" s="1296"/>
      <c r="AN83" s="1296"/>
      <c r="AO83" s="1297"/>
      <c r="AP83" s="1294">
        <f>Prethodna_2024!B329</f>
        <v>0</v>
      </c>
      <c r="AQ83" s="1295"/>
      <c r="AR83" s="1296"/>
      <c r="AS83" s="1296"/>
      <c r="AT83" s="1296"/>
      <c r="AU83" s="1296"/>
      <c r="AV83" s="1297"/>
    </row>
    <row r="84" s="1223" customFormat="1" customHeight="1" spans="1:48">
      <c r="A84" s="1285" t="s">
        <v>5892</v>
      </c>
      <c r="B84" s="1286"/>
      <c r="C84" s="1270" t="str">
        <f>Text!B641</f>
        <v>KAPITALIZOVANA PROIZVODNJA ZA VLASTITE POTREBE 10)</v>
      </c>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306"/>
      <c r="Z84" s="1307"/>
      <c r="AA84" s="1307"/>
      <c r="AB84" s="1307"/>
      <c r="AC84" s="1307"/>
      <c r="AD84" s="1307"/>
      <c r="AE84" s="1308"/>
      <c r="AF84" s="1285">
        <v>653</v>
      </c>
      <c r="AG84" s="1293"/>
      <c r="AH84" s="1286"/>
      <c r="AI84" s="2645">
        <f>ROUND(UnosPod!F457,0)</f>
        <v>0</v>
      </c>
      <c r="AJ84" s="1326"/>
      <c r="AK84" s="1326"/>
      <c r="AL84" s="1326"/>
      <c r="AM84" s="1326"/>
      <c r="AN84" s="1326"/>
      <c r="AO84" s="1327"/>
      <c r="AP84" s="1294">
        <f>Prethodna_2024!B330</f>
        <v>0</v>
      </c>
      <c r="AQ84" s="1295"/>
      <c r="AR84" s="1296"/>
      <c r="AS84" s="1296"/>
      <c r="AT84" s="1296"/>
      <c r="AU84" s="1296"/>
      <c r="AV84" s="1297"/>
    </row>
    <row r="85" s="1223" customFormat="1" ht="12.75" spans="1:48">
      <c r="A85" s="1259"/>
      <c r="B85" s="1259"/>
      <c r="C85" s="1318"/>
      <c r="D85" s="1318"/>
      <c r="E85" s="1318"/>
      <c r="F85" s="1318"/>
      <c r="G85" s="1318"/>
      <c r="H85" s="1318"/>
      <c r="I85" s="1318"/>
      <c r="J85" s="1318"/>
      <c r="K85" s="1318"/>
      <c r="L85" s="1318"/>
      <c r="M85" s="1318"/>
      <c r="N85" s="1318"/>
      <c r="O85" s="1318"/>
      <c r="P85" s="1318"/>
      <c r="Q85" s="1318"/>
      <c r="R85" s="1318"/>
      <c r="S85" s="1318"/>
      <c r="T85" s="1318"/>
      <c r="U85" s="1318"/>
      <c r="V85" s="1318"/>
      <c r="W85" s="1318"/>
      <c r="X85" s="1318"/>
      <c r="Y85" s="1319"/>
      <c r="Z85" s="1319"/>
      <c r="AA85" s="1319"/>
      <c r="AB85" s="1319"/>
      <c r="AC85" s="1319"/>
      <c r="AD85" s="1319"/>
      <c r="AE85" s="1319"/>
      <c r="AF85" s="1259"/>
      <c r="AG85" s="1259"/>
      <c r="AH85" s="1259"/>
      <c r="AI85" s="1320"/>
      <c r="AJ85" s="1320"/>
      <c r="AK85" s="1320"/>
      <c r="AL85" s="1320"/>
      <c r="AM85" s="1320"/>
      <c r="AN85" s="1320"/>
      <c r="AO85" s="1320"/>
      <c r="AP85" s="1320"/>
      <c r="AQ85" s="1320"/>
      <c r="AR85" s="1320"/>
      <c r="AS85" s="1320"/>
      <c r="AT85" s="1320"/>
      <c r="AU85" s="1320"/>
      <c r="AV85" s="1320"/>
    </row>
    <row r="86" s="1223" customFormat="1" ht="14.25" spans="1:48">
      <c r="A86" s="2646" t="s">
        <v>5140</v>
      </c>
      <c r="B86" s="2646"/>
      <c r="C86" s="2646"/>
      <c r="D86" s="2646"/>
      <c r="E86" s="2646"/>
      <c r="F86" s="2646"/>
      <c r="G86" s="2646"/>
      <c r="H86" s="2646"/>
      <c r="I86" s="2646"/>
      <c r="J86" s="2646"/>
      <c r="K86" s="2646"/>
      <c r="L86" s="2646"/>
      <c r="M86" s="2646"/>
      <c r="N86" s="2646"/>
      <c r="O86" s="2646"/>
      <c r="P86" s="2646"/>
      <c r="Q86" s="2646"/>
      <c r="R86" s="2646"/>
      <c r="S86" s="2646"/>
      <c r="T86" s="2646"/>
      <c r="U86" s="2646"/>
      <c r="V86" s="2646"/>
      <c r="W86" s="2646"/>
      <c r="X86" s="2646"/>
      <c r="Y86" s="2646"/>
      <c r="Z86" s="2646"/>
      <c r="AA86" s="2646"/>
      <c r="AB86" s="2646"/>
      <c r="AC86" s="2646"/>
      <c r="AD86" s="2646"/>
      <c r="AE86" s="2646"/>
      <c r="AF86" s="2646"/>
      <c r="AG86" s="2646"/>
      <c r="AH86" s="2646"/>
      <c r="AI86" s="2646"/>
      <c r="AJ86" s="2646"/>
      <c r="AK86" s="2646"/>
      <c r="AL86" s="2646"/>
      <c r="AM86" s="2646"/>
      <c r="AN86" s="2646"/>
      <c r="AO86" s="2646"/>
      <c r="AP86" s="1320"/>
      <c r="AQ86" s="1320"/>
      <c r="AR86" s="1320"/>
      <c r="AS86" s="1320"/>
      <c r="AT86" s="1320"/>
      <c r="AU86" s="1320"/>
      <c r="AV86" s="1320"/>
    </row>
    <row r="87" s="1223" customFormat="1" ht="15.75" customHeight="1" spans="1:48">
      <c r="A87" s="1259"/>
      <c r="B87" s="2647" t="str">
        <f>UnosPod!F459</f>
        <v>  a) reklasifikacija na konta aktive</v>
      </c>
      <c r="C87" s="2647"/>
      <c r="D87" s="2647"/>
      <c r="E87" s="2647"/>
      <c r="F87" s="2647"/>
      <c r="G87" s="2647"/>
      <c r="H87" s="2647"/>
      <c r="I87" s="2647"/>
      <c r="J87" s="2647"/>
      <c r="K87" s="2647"/>
      <c r="L87" s="2647"/>
      <c r="M87" s="2647"/>
      <c r="N87" s="2647"/>
      <c r="O87" s="2647"/>
      <c r="P87" s="2647"/>
      <c r="Q87" s="2647"/>
      <c r="R87" s="2647"/>
      <c r="S87" s="2647"/>
      <c r="T87" s="2647"/>
      <c r="U87" s="2647"/>
      <c r="V87" s="2647"/>
      <c r="W87" s="2647"/>
      <c r="X87" s="2647"/>
      <c r="Y87" s="2647"/>
      <c r="Z87" s="2647"/>
      <c r="AA87" s="2647"/>
      <c r="AB87" s="2647"/>
      <c r="AC87" s="2647"/>
      <c r="AD87" s="1226"/>
      <c r="AE87" s="1226"/>
      <c r="AF87" s="1226"/>
      <c r="AG87" s="1226"/>
      <c r="AH87" s="1226"/>
      <c r="AI87" s="1226"/>
      <c r="AJ87" s="1226"/>
      <c r="AK87" s="1226"/>
      <c r="AL87" s="1226"/>
      <c r="AM87" s="1226"/>
      <c r="AN87" s="1226"/>
      <c r="AO87" s="1226"/>
      <c r="AP87" s="1320"/>
      <c r="AQ87" s="1320"/>
      <c r="AR87" s="1320"/>
      <c r="AS87" s="1320"/>
      <c r="AT87" s="1320"/>
      <c r="AU87" s="1320"/>
      <c r="AV87" s="1320"/>
    </row>
    <row r="88" s="1223" customFormat="1" ht="12.75" spans="1:48">
      <c r="A88" s="1259"/>
      <c r="B88" s="2648"/>
      <c r="C88" s="2648"/>
      <c r="D88" s="2648"/>
      <c r="E88" s="2648"/>
      <c r="F88" s="2648"/>
      <c r="G88" s="2648"/>
      <c r="H88" s="2648"/>
      <c r="I88" s="2648"/>
      <c r="J88" s="2648"/>
      <c r="K88" s="2648"/>
      <c r="L88" s="2648"/>
      <c r="M88" s="2648"/>
      <c r="N88" s="2648"/>
      <c r="O88" s="2648"/>
      <c r="P88" s="2648"/>
      <c r="Q88" s="2648"/>
      <c r="R88" s="2648"/>
      <c r="S88" s="2648"/>
      <c r="T88" s="2648"/>
      <c r="U88" s="2648"/>
      <c r="V88" s="2648"/>
      <c r="W88" s="2648"/>
      <c r="X88" s="2648"/>
      <c r="Y88" s="2648"/>
      <c r="Z88" s="2648"/>
      <c r="AA88" s="2648"/>
      <c r="AB88" s="2648"/>
      <c r="AC88" s="2648"/>
      <c r="AD88" s="1319"/>
      <c r="AE88" s="1319"/>
      <c r="AF88" s="1259"/>
      <c r="AG88" s="1259"/>
      <c r="AH88" s="1259"/>
      <c r="AI88" s="1320"/>
      <c r="AJ88" s="1320"/>
      <c r="AK88" s="1320"/>
      <c r="AL88" s="1320"/>
      <c r="AM88" s="1320"/>
      <c r="AN88" s="1320"/>
      <c r="AO88" s="1320"/>
      <c r="AP88" s="1320"/>
      <c r="AQ88" s="1320"/>
      <c r="AR88" s="1320"/>
      <c r="AS88" s="1320"/>
      <c r="AT88" s="1320"/>
      <c r="AU88" s="1320"/>
      <c r="AV88" s="1320"/>
    </row>
    <row r="89" s="1223" customFormat="1" ht="12.75" spans="1:48">
      <c r="A89" s="1259"/>
      <c r="B89" s="2648"/>
      <c r="C89" s="2648"/>
      <c r="D89" s="2648"/>
      <c r="E89" s="2648"/>
      <c r="F89" s="2648"/>
      <c r="G89" s="2648"/>
      <c r="H89" s="2648"/>
      <c r="I89" s="2648"/>
      <c r="J89" s="2648"/>
      <c r="K89" s="2648"/>
      <c r="L89" s="2648"/>
      <c r="M89" s="2648"/>
      <c r="N89" s="2648"/>
      <c r="O89" s="2648"/>
      <c r="P89" s="2648"/>
      <c r="Q89" s="2648"/>
      <c r="R89" s="2648"/>
      <c r="S89" s="2648"/>
      <c r="T89" s="2648"/>
      <c r="U89" s="2648"/>
      <c r="V89" s="2648"/>
      <c r="W89" s="2648"/>
      <c r="X89" s="2648"/>
      <c r="Y89" s="2648"/>
      <c r="Z89" s="2648"/>
      <c r="AA89" s="2648"/>
      <c r="AB89" s="2648"/>
      <c r="AC89" s="2648"/>
      <c r="AD89" s="1319"/>
      <c r="AE89" s="1319"/>
      <c r="AF89" s="1259"/>
      <c r="AG89" s="1259"/>
      <c r="AH89" s="1259"/>
      <c r="AI89" s="1320"/>
      <c r="AJ89" s="1320"/>
      <c r="AK89" s="1320"/>
      <c r="AL89" s="1320"/>
      <c r="AM89" s="1320"/>
      <c r="AN89" s="1320"/>
      <c r="AO89" s="1320"/>
      <c r="AP89" s="1320"/>
      <c r="AQ89" s="1320"/>
      <c r="AR89" s="1320"/>
      <c r="AS89" s="1320"/>
      <c r="AT89" s="1320"/>
      <c r="AU89" s="1320"/>
      <c r="AV89" s="1320"/>
    </row>
    <row r="90" s="1223" customFormat="1" ht="12.75" spans="1:48">
      <c r="A90" s="1259"/>
      <c r="B90" s="2648"/>
      <c r="C90" s="2648"/>
      <c r="D90" s="2648"/>
      <c r="E90" s="2648"/>
      <c r="F90" s="2648"/>
      <c r="G90" s="2648"/>
      <c r="H90" s="2648"/>
      <c r="I90" s="2648"/>
      <c r="J90" s="2648"/>
      <c r="K90" s="2648"/>
      <c r="L90" s="2648"/>
      <c r="M90" s="2648"/>
      <c r="N90" s="2648"/>
      <c r="O90" s="2648"/>
      <c r="P90" s="2648"/>
      <c r="Q90" s="2648"/>
      <c r="R90" s="2648"/>
      <c r="S90" s="2648"/>
      <c r="T90" s="2648"/>
      <c r="U90" s="2648"/>
      <c r="V90" s="2648"/>
      <c r="W90" s="2648"/>
      <c r="X90" s="2648"/>
      <c r="Y90" s="2648"/>
      <c r="Z90" s="2648"/>
      <c r="AA90" s="2648"/>
      <c r="AB90" s="2648"/>
      <c r="AC90" s="2648"/>
      <c r="AD90" s="1319"/>
      <c r="AE90" s="1319"/>
      <c r="AF90" s="1259"/>
      <c r="AG90" s="1259"/>
      <c r="AH90" s="1259"/>
      <c r="AI90" s="1320"/>
      <c r="AJ90" s="1320"/>
      <c r="AK90" s="1320"/>
      <c r="AL90" s="1320"/>
      <c r="AM90" s="1320"/>
      <c r="AN90" s="1320"/>
      <c r="AO90" s="1320"/>
      <c r="AP90" s="1320"/>
      <c r="AQ90" s="1320"/>
      <c r="AR90" s="1320"/>
      <c r="AS90" s="1320"/>
      <c r="AT90" s="1320"/>
      <c r="AU90" s="1320"/>
      <c r="AV90" s="1320"/>
    </row>
    <row r="91" s="1223" customFormat="1" ht="12.75" spans="1:48">
      <c r="A91" s="1259"/>
      <c r="B91" s="1259"/>
      <c r="C91" s="1318"/>
      <c r="D91" s="1318"/>
      <c r="E91" s="1318"/>
      <c r="F91" s="1318"/>
      <c r="G91" s="1318"/>
      <c r="H91" s="1318"/>
      <c r="I91" s="1318"/>
      <c r="J91" s="1318"/>
      <c r="K91" s="1318"/>
      <c r="L91" s="1318"/>
      <c r="M91" s="1318"/>
      <c r="N91" s="1318"/>
      <c r="O91" s="1318"/>
      <c r="P91" s="1318"/>
      <c r="Q91" s="1318"/>
      <c r="R91" s="1318"/>
      <c r="S91" s="1318"/>
      <c r="T91" s="1318"/>
      <c r="U91" s="1318"/>
      <c r="V91" s="1318"/>
      <c r="W91" s="1318"/>
      <c r="X91" s="1318"/>
      <c r="Y91" s="1319"/>
      <c r="Z91" s="1319"/>
      <c r="AA91" s="1319"/>
      <c r="AB91" s="1319"/>
      <c r="AC91" s="1319"/>
      <c r="AD91" s="1319"/>
      <c r="AE91" s="1319"/>
      <c r="AF91" s="1259"/>
      <c r="AG91" s="1259"/>
      <c r="AH91" s="1259"/>
      <c r="AI91" s="1320"/>
      <c r="AJ91" s="1320"/>
      <c r="AK91" s="1320"/>
      <c r="AL91" s="1320"/>
      <c r="AM91" s="1320"/>
      <c r="AN91" s="1320"/>
      <c r="AO91" s="1320"/>
      <c r="AP91" s="1320"/>
      <c r="AQ91" s="1320"/>
      <c r="AR91" s="1320"/>
      <c r="AS91" s="1320"/>
      <c r="AT91" s="1320"/>
      <c r="AU91" s="1320"/>
      <c r="AV91" s="1320"/>
    </row>
    <row r="92" s="1223" customFormat="1" ht="12.75" spans="1:48">
      <c r="A92" s="1259"/>
      <c r="B92" s="1259"/>
      <c r="C92" s="1318"/>
      <c r="D92" s="1318"/>
      <c r="E92" s="1318"/>
      <c r="F92" s="1318"/>
      <c r="G92" s="1318"/>
      <c r="H92" s="1318"/>
      <c r="I92" s="1318"/>
      <c r="J92" s="1318"/>
      <c r="K92" s="1318"/>
      <c r="L92" s="1318"/>
      <c r="M92" s="1318"/>
      <c r="N92" s="1318"/>
      <c r="O92" s="1318"/>
      <c r="P92" s="1318"/>
      <c r="Q92" s="1318"/>
      <c r="R92" s="1318"/>
      <c r="S92" s="1318"/>
      <c r="T92" s="1318"/>
      <c r="U92" s="1318"/>
      <c r="V92" s="1318"/>
      <c r="W92" s="1318"/>
      <c r="X92" s="1318"/>
      <c r="Y92" s="1319"/>
      <c r="Z92" s="1319"/>
      <c r="AA92" s="1319"/>
      <c r="AB92" s="1319"/>
      <c r="AC92" s="1319"/>
      <c r="AD92" s="1319"/>
      <c r="AE92" s="1319"/>
      <c r="AF92" s="1259"/>
      <c r="AG92" s="1259"/>
      <c r="AH92" s="1259"/>
      <c r="AI92" s="1320"/>
      <c r="AJ92" s="1320"/>
      <c r="AK92" s="1320"/>
      <c r="AL92" s="1320"/>
      <c r="AM92" s="1320"/>
      <c r="AN92" s="1320"/>
      <c r="AO92" s="1320"/>
      <c r="AP92" s="1320"/>
      <c r="AQ92" s="1320"/>
      <c r="AR92" s="1320"/>
      <c r="AS92" s="1320"/>
      <c r="AT92" s="1320"/>
      <c r="AU92" s="1320"/>
      <c r="AV92" s="1320"/>
    </row>
    <row r="93" s="1223" customFormat="1" ht="12.75" spans="1:48">
      <c r="A93" s="2649" t="s">
        <v>7123</v>
      </c>
      <c r="B93" s="2649"/>
      <c r="C93" s="2649"/>
      <c r="D93" s="2649"/>
      <c r="E93" s="2649"/>
      <c r="F93" s="2649"/>
      <c r="G93" s="2649"/>
      <c r="H93" s="2649"/>
      <c r="I93" s="2649"/>
      <c r="J93" s="2649"/>
      <c r="K93" s="2649"/>
      <c r="L93" s="2649"/>
      <c r="M93" s="2649"/>
      <c r="N93" s="2649"/>
      <c r="O93" s="2649"/>
      <c r="P93" s="2649"/>
      <c r="Q93" s="2649"/>
      <c r="R93" s="2649"/>
      <c r="S93" s="2649"/>
      <c r="T93" s="2649"/>
      <c r="U93" s="2649"/>
      <c r="V93" s="2649"/>
      <c r="W93" s="2649"/>
      <c r="X93" s="2649"/>
      <c r="Y93" s="2649"/>
      <c r="Z93" s="2649"/>
      <c r="AA93" s="2649"/>
      <c r="AB93" s="2649"/>
      <c r="AC93" s="2649"/>
      <c r="AD93" s="2649"/>
      <c r="AE93" s="2649"/>
      <c r="AF93" s="2649"/>
      <c r="AG93" s="2649"/>
      <c r="AH93" s="2649"/>
      <c r="AI93" s="2649"/>
      <c r="AJ93" s="2649"/>
      <c r="AK93" s="2649"/>
      <c r="AL93" s="2649"/>
      <c r="AM93" s="2649"/>
      <c r="AN93" s="2649"/>
      <c r="AO93" s="2649"/>
      <c r="AP93" s="2649"/>
      <c r="AQ93" s="2649"/>
      <c r="AR93" s="2649"/>
      <c r="AS93" s="2649"/>
      <c r="AT93" s="2649"/>
      <c r="AU93" s="2649"/>
      <c r="AV93" s="2649"/>
    </row>
    <row r="94" s="1223" customFormat="1" ht="12.75" spans="1:48">
      <c r="A94" s="2649"/>
      <c r="B94" s="2649"/>
      <c r="C94" s="2649"/>
      <c r="D94" s="2649"/>
      <c r="E94" s="2649"/>
      <c r="F94" s="2649"/>
      <c r="G94" s="2649"/>
      <c r="H94" s="2649"/>
      <c r="I94" s="2649"/>
      <c r="J94" s="2649"/>
      <c r="K94" s="2649"/>
      <c r="L94" s="2649"/>
      <c r="M94" s="2649"/>
      <c r="N94" s="2649"/>
      <c r="O94" s="2649"/>
      <c r="P94" s="2649"/>
      <c r="Q94" s="2649"/>
      <c r="R94" s="2649"/>
      <c r="S94" s="2649"/>
      <c r="T94" s="2649"/>
      <c r="U94" s="2649"/>
      <c r="V94" s="2649"/>
      <c r="W94" s="2649"/>
      <c r="X94" s="2649"/>
      <c r="Y94" s="2649"/>
      <c r="Z94" s="2649"/>
      <c r="AA94" s="2649"/>
      <c r="AB94" s="2649"/>
      <c r="AC94" s="2649"/>
      <c r="AD94" s="2649"/>
      <c r="AE94" s="2649"/>
      <c r="AF94" s="2649"/>
      <c r="AG94" s="2649"/>
      <c r="AH94" s="2649"/>
      <c r="AI94" s="2649"/>
      <c r="AJ94" s="2649"/>
      <c r="AK94" s="2649"/>
      <c r="AL94" s="2649"/>
      <c r="AM94" s="2649"/>
      <c r="AN94" s="2649"/>
      <c r="AO94" s="2649"/>
      <c r="AP94" s="2649"/>
      <c r="AQ94" s="2649"/>
      <c r="AR94" s="2649"/>
      <c r="AS94" s="2649"/>
      <c r="AT94" s="2649"/>
      <c r="AU94" s="2649"/>
      <c r="AV94" s="2649"/>
    </row>
    <row r="95" s="1223" customFormat="1" ht="13.5" customHeight="1" spans="1:48">
      <c r="A95" s="2649" t="s">
        <v>7124</v>
      </c>
      <c r="B95" s="2649"/>
      <c r="C95" s="2649"/>
      <c r="D95" s="2649"/>
      <c r="E95" s="2649"/>
      <c r="F95" s="2649"/>
      <c r="G95" s="2649"/>
      <c r="H95" s="2649"/>
      <c r="I95" s="2649"/>
      <c r="J95" s="2649"/>
      <c r="K95" s="2649"/>
      <c r="L95" s="2649"/>
      <c r="M95" s="2649"/>
      <c r="N95" s="2649"/>
      <c r="O95" s="2649"/>
      <c r="P95" s="2649"/>
      <c r="Q95" s="2649"/>
      <c r="R95" s="2649"/>
      <c r="S95" s="2649"/>
      <c r="T95" s="2649"/>
      <c r="U95" s="2649"/>
      <c r="V95" s="2649"/>
      <c r="W95" s="2649"/>
      <c r="X95" s="2649"/>
      <c r="Y95" s="2649"/>
      <c r="Z95" s="2649"/>
      <c r="AA95" s="2649"/>
      <c r="AB95" s="2649"/>
      <c r="AC95" s="2649"/>
      <c r="AD95" s="2649"/>
      <c r="AE95" s="2649"/>
      <c r="AF95" s="2649"/>
      <c r="AG95" s="2649"/>
      <c r="AH95" s="2649"/>
      <c r="AI95" s="2649"/>
      <c r="AJ95" s="2649"/>
      <c r="AK95" s="2649"/>
      <c r="AL95" s="2649"/>
      <c r="AM95" s="2649"/>
      <c r="AN95" s="2649"/>
      <c r="AO95" s="2649"/>
      <c r="AP95" s="2649"/>
      <c r="AQ95" s="2649"/>
      <c r="AR95" s="2649"/>
      <c r="AS95" s="2649"/>
      <c r="AT95" s="2649"/>
      <c r="AU95" s="2649"/>
      <c r="AV95" s="2649"/>
    </row>
    <row r="96" s="1223" customFormat="1" ht="12.75" spans="1:48">
      <c r="A96" s="2649"/>
      <c r="B96" s="2649"/>
      <c r="C96" s="2649"/>
      <c r="D96" s="2649"/>
      <c r="E96" s="2649"/>
      <c r="F96" s="2649"/>
      <c r="G96" s="2649"/>
      <c r="H96" s="2649"/>
      <c r="I96" s="2649"/>
      <c r="J96" s="2649"/>
      <c r="K96" s="2649"/>
      <c r="L96" s="2649"/>
      <c r="M96" s="2649"/>
      <c r="N96" s="2649"/>
      <c r="O96" s="2649"/>
      <c r="P96" s="2649"/>
      <c r="Q96" s="2649"/>
      <c r="R96" s="2649"/>
      <c r="S96" s="2649"/>
      <c r="T96" s="2649"/>
      <c r="U96" s="2649"/>
      <c r="V96" s="2649"/>
      <c r="W96" s="2649"/>
      <c r="X96" s="2649"/>
      <c r="Y96" s="2649"/>
      <c r="Z96" s="2649"/>
      <c r="AA96" s="2649"/>
      <c r="AB96" s="2649"/>
      <c r="AC96" s="2649"/>
      <c r="AD96" s="2649"/>
      <c r="AE96" s="2649"/>
      <c r="AF96" s="2649"/>
      <c r="AG96" s="2649"/>
      <c r="AH96" s="2649"/>
      <c r="AI96" s="2649"/>
      <c r="AJ96" s="2649"/>
      <c r="AK96" s="2649"/>
      <c r="AL96" s="2649"/>
      <c r="AM96" s="2649"/>
      <c r="AN96" s="2649"/>
      <c r="AO96" s="2649"/>
      <c r="AP96" s="2649"/>
      <c r="AQ96" s="2649"/>
      <c r="AR96" s="2649"/>
      <c r="AS96" s="2649"/>
      <c r="AT96" s="2649"/>
      <c r="AU96" s="2649"/>
      <c r="AV96" s="2649"/>
    </row>
    <row r="97" s="1223" customFormat="1" ht="12.75" spans="1:48">
      <c r="A97" s="1298" t="s">
        <v>7125</v>
      </c>
      <c r="B97" s="1298"/>
      <c r="C97" s="1298"/>
      <c r="D97" s="1298"/>
      <c r="E97" s="1298"/>
      <c r="F97" s="1298"/>
      <c r="G97" s="1298"/>
      <c r="H97" s="1298"/>
      <c r="I97" s="1298"/>
      <c r="J97" s="1298"/>
      <c r="K97" s="1298"/>
      <c r="L97" s="1298"/>
      <c r="M97" s="1298"/>
      <c r="N97" s="1298"/>
      <c r="O97" s="1298"/>
      <c r="P97" s="1298"/>
      <c r="Q97" s="1298"/>
      <c r="R97" s="1298"/>
      <c r="S97" s="1298"/>
      <c r="T97" s="1298"/>
      <c r="U97" s="1298"/>
      <c r="V97" s="1298"/>
      <c r="W97" s="1298"/>
      <c r="X97" s="1298"/>
      <c r="Y97" s="1298"/>
      <c r="Z97" s="1298"/>
      <c r="AA97" s="1298"/>
      <c r="AB97" s="1298"/>
      <c r="AC97" s="1298"/>
      <c r="AD97" s="1298"/>
      <c r="AE97" s="1298"/>
      <c r="AF97" s="1298"/>
      <c r="AG97" s="1298"/>
      <c r="AH97" s="1298"/>
      <c r="AI97" s="1298"/>
      <c r="AJ97" s="1298"/>
      <c r="AK97" s="1298"/>
      <c r="AL97" s="1298"/>
      <c r="AM97" s="1298"/>
      <c r="AN97" s="1298"/>
      <c r="AO97" s="1298"/>
      <c r="AP97" s="1298"/>
      <c r="AQ97" s="1298"/>
      <c r="AR97" s="1298"/>
      <c r="AS97" s="1298"/>
      <c r="AT97" s="1298"/>
      <c r="AU97" s="1298"/>
      <c r="AV97" s="1298"/>
    </row>
    <row r="98" s="1223" customFormat="1" ht="12.75" spans="1:48">
      <c r="A98" s="1298" t="s">
        <v>7126</v>
      </c>
      <c r="B98" s="1298"/>
      <c r="C98" s="1298"/>
      <c r="D98" s="1298"/>
      <c r="E98" s="1298"/>
      <c r="F98" s="1298"/>
      <c r="G98" s="1298"/>
      <c r="H98" s="1298"/>
      <c r="I98" s="1298"/>
      <c r="J98" s="1298"/>
      <c r="K98" s="1298"/>
      <c r="L98" s="1298"/>
      <c r="M98" s="1298"/>
      <c r="N98" s="1298"/>
      <c r="O98" s="1298"/>
      <c r="P98" s="1298"/>
      <c r="Q98" s="1298"/>
      <c r="R98" s="1298"/>
      <c r="S98" s="1298"/>
      <c r="T98" s="1298"/>
      <c r="U98" s="1298"/>
      <c r="V98" s="1298"/>
      <c r="W98" s="1298"/>
      <c r="X98" s="1298"/>
      <c r="Y98" s="1298"/>
      <c r="Z98" s="1298"/>
      <c r="AA98" s="1298"/>
      <c r="AB98" s="1298"/>
      <c r="AC98" s="1298"/>
      <c r="AD98" s="1298"/>
      <c r="AE98" s="1298"/>
      <c r="AF98" s="1298"/>
      <c r="AG98" s="1298"/>
      <c r="AH98" s="1298"/>
      <c r="AI98" s="1298"/>
      <c r="AJ98" s="1298"/>
      <c r="AK98" s="1298"/>
      <c r="AL98" s="1298"/>
      <c r="AM98" s="1298"/>
      <c r="AN98" s="1298"/>
      <c r="AO98" s="1298"/>
      <c r="AP98" s="1298"/>
      <c r="AQ98" s="1298"/>
      <c r="AR98" s="1298"/>
      <c r="AS98" s="1298"/>
      <c r="AT98" s="1298"/>
      <c r="AU98" s="1298"/>
      <c r="AV98" s="1298"/>
    </row>
    <row r="99" s="1223" customFormat="1" ht="12.75" spans="1:48">
      <c r="A99" s="1298" t="s">
        <v>7127</v>
      </c>
      <c r="B99" s="1298"/>
      <c r="C99" s="1298"/>
      <c r="D99" s="1298"/>
      <c r="E99" s="1298"/>
      <c r="F99" s="1298"/>
      <c r="G99" s="1298"/>
      <c r="H99" s="1298"/>
      <c r="I99" s="1298"/>
      <c r="J99" s="1298"/>
      <c r="K99" s="1298"/>
      <c r="L99" s="1298"/>
      <c r="M99" s="1298"/>
      <c r="N99" s="1298"/>
      <c r="O99" s="1298"/>
      <c r="P99" s="1298"/>
      <c r="Q99" s="1298"/>
      <c r="R99" s="1298"/>
      <c r="S99" s="1298"/>
      <c r="T99" s="1298"/>
      <c r="U99" s="1298"/>
      <c r="V99" s="1298"/>
      <c r="W99" s="1298"/>
      <c r="X99" s="1298"/>
      <c r="Y99" s="1298"/>
      <c r="Z99" s="1298"/>
      <c r="AA99" s="1298"/>
      <c r="AB99" s="1298"/>
      <c r="AC99" s="1298"/>
      <c r="AD99" s="1298"/>
      <c r="AE99" s="1298"/>
      <c r="AF99" s="1298"/>
      <c r="AG99" s="1298"/>
      <c r="AH99" s="1298"/>
      <c r="AI99" s="1298"/>
      <c r="AJ99" s="1298"/>
      <c r="AK99" s="1298"/>
      <c r="AL99" s="1298"/>
      <c r="AM99" s="1298"/>
      <c r="AN99" s="1298"/>
      <c r="AO99" s="1298"/>
      <c r="AP99" s="1298"/>
      <c r="AQ99" s="1298"/>
      <c r="AR99" s="1298"/>
      <c r="AS99" s="1298"/>
      <c r="AT99" s="1298"/>
      <c r="AU99" s="1298"/>
      <c r="AV99" s="1298"/>
    </row>
    <row r="100" s="1223" customFormat="1" ht="13.5" customHeight="1" spans="1:48">
      <c r="A100" s="2649" t="s">
        <v>7128</v>
      </c>
      <c r="B100" s="2649"/>
      <c r="C100" s="2649"/>
      <c r="D100" s="2649"/>
      <c r="E100" s="2649"/>
      <c r="F100" s="2649"/>
      <c r="G100" s="2649"/>
      <c r="H100" s="2649"/>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49"/>
      <c r="AD100" s="2649"/>
      <c r="AE100" s="2649"/>
      <c r="AF100" s="2649"/>
      <c r="AG100" s="2649"/>
      <c r="AH100" s="2649"/>
      <c r="AI100" s="2649"/>
      <c r="AJ100" s="2649"/>
      <c r="AK100" s="2649"/>
      <c r="AL100" s="2649"/>
      <c r="AM100" s="2649"/>
      <c r="AN100" s="2649"/>
      <c r="AO100" s="2649"/>
      <c r="AP100" s="2649"/>
      <c r="AQ100" s="2649"/>
      <c r="AR100" s="2649"/>
      <c r="AS100" s="2649"/>
      <c r="AT100" s="2649"/>
      <c r="AU100" s="2649"/>
      <c r="AV100" s="2649"/>
    </row>
    <row r="101" s="1223" customFormat="1" ht="12.75" spans="1:48">
      <c r="A101" s="2649"/>
      <c r="B101" s="2649"/>
      <c r="C101" s="2649"/>
      <c r="D101" s="2649"/>
      <c r="E101" s="2649"/>
      <c r="F101" s="2649"/>
      <c r="G101" s="2649"/>
      <c r="H101" s="2649"/>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49"/>
      <c r="AD101" s="2649"/>
      <c r="AE101" s="2649"/>
      <c r="AF101" s="2649"/>
      <c r="AG101" s="2649"/>
      <c r="AH101" s="2649"/>
      <c r="AI101" s="2649"/>
      <c r="AJ101" s="2649"/>
      <c r="AK101" s="2649"/>
      <c r="AL101" s="2649"/>
      <c r="AM101" s="2649"/>
      <c r="AN101" s="2649"/>
      <c r="AO101" s="2649"/>
      <c r="AP101" s="2649"/>
      <c r="AQ101" s="2649"/>
      <c r="AR101" s="2649"/>
      <c r="AS101" s="2649"/>
      <c r="AT101" s="2649"/>
      <c r="AU101" s="2649"/>
      <c r="AV101" s="2649"/>
    </row>
    <row r="102" s="1223" customFormat="1" ht="12.75" spans="1:48">
      <c r="A102" s="1298" t="s">
        <v>7129</v>
      </c>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1298"/>
      <c r="AV102" s="1298"/>
    </row>
    <row r="103" s="1223" customFormat="1" ht="12.75" spans="1:48">
      <c r="A103" s="1259"/>
      <c r="B103" s="1259"/>
      <c r="C103" s="1318"/>
      <c r="D103" s="1318"/>
      <c r="E103" s="1318"/>
      <c r="F103" s="1318"/>
      <c r="G103" s="1318"/>
      <c r="H103" s="1318"/>
      <c r="I103" s="1318"/>
      <c r="J103" s="1318"/>
      <c r="K103" s="1318"/>
      <c r="L103" s="1318"/>
      <c r="M103" s="1318"/>
      <c r="N103" s="1318"/>
      <c r="O103" s="1318"/>
      <c r="P103" s="1318"/>
      <c r="Q103" s="1318"/>
      <c r="R103" s="1318"/>
      <c r="S103" s="1318"/>
      <c r="T103" s="1318"/>
      <c r="U103" s="1318"/>
      <c r="V103" s="1318"/>
      <c r="W103" s="1318"/>
      <c r="X103" s="1318"/>
      <c r="Y103" s="1319"/>
      <c r="Z103" s="1319"/>
      <c r="AA103" s="1319"/>
      <c r="AB103" s="1319"/>
      <c r="AC103" s="1319"/>
      <c r="AD103" s="1319"/>
      <c r="AE103" s="1319"/>
      <c r="AF103" s="1259"/>
      <c r="AG103" s="1259"/>
      <c r="AH103" s="1259"/>
      <c r="AI103" s="1320"/>
      <c r="AJ103" s="1320"/>
      <c r="AK103" s="1320"/>
      <c r="AL103" s="1320"/>
      <c r="AM103" s="1320"/>
      <c r="AN103" s="1320"/>
      <c r="AO103" s="1320"/>
      <c r="AP103" s="1320"/>
      <c r="AQ103" s="1320"/>
      <c r="AR103" s="1320"/>
      <c r="AS103" s="1320"/>
      <c r="AT103" s="1320"/>
      <c r="AU103" s="1320"/>
      <c r="AV103" s="1320"/>
    </row>
    <row r="104" s="1223" customFormat="1" ht="12.75" spans="1:48">
      <c r="A104" s="1259"/>
      <c r="B104" s="1259"/>
      <c r="C104" s="1318"/>
      <c r="D104" s="1318"/>
      <c r="E104" s="1318"/>
      <c r="F104" s="1318"/>
      <c r="G104" s="1318"/>
      <c r="H104" s="1318"/>
      <c r="I104" s="1318"/>
      <c r="J104" s="1318"/>
      <c r="K104" s="1318"/>
      <c r="L104" s="1318"/>
      <c r="M104" s="1318"/>
      <c r="N104" s="1318"/>
      <c r="O104" s="1318"/>
      <c r="P104" s="1318"/>
      <c r="Q104" s="1318"/>
      <c r="R104" s="1318"/>
      <c r="S104" s="1318"/>
      <c r="T104" s="1318"/>
      <c r="U104" s="1318"/>
      <c r="V104" s="1318"/>
      <c r="W104" s="1318"/>
      <c r="X104" s="1318"/>
      <c r="Y104" s="1319"/>
      <c r="Z104" s="1319"/>
      <c r="AA104" s="1319"/>
      <c r="AB104" s="1319"/>
      <c r="AC104" s="1319"/>
      <c r="AD104" s="1319"/>
      <c r="AE104" s="1319"/>
      <c r="AF104" s="1259"/>
      <c r="AG104" s="1259"/>
      <c r="AH104" s="1259"/>
      <c r="AI104" s="1320"/>
      <c r="AJ104" s="1320"/>
      <c r="AK104" s="1320"/>
      <c r="AL104" s="1320"/>
      <c r="AM104" s="1320"/>
      <c r="AN104" s="1320"/>
      <c r="AO104" s="1320"/>
      <c r="AP104" s="1320"/>
      <c r="AQ104" s="1320"/>
      <c r="AR104" s="1320"/>
      <c r="AS104" s="1320"/>
      <c r="AT104" s="1320"/>
      <c r="AU104" s="1320"/>
      <c r="AV104" s="1320"/>
    </row>
    <row r="105" s="1223" customFormat="1" ht="12.75" spans="1:48">
      <c r="A105" s="1259"/>
      <c r="B105" s="1259"/>
      <c r="C105" s="1318"/>
      <c r="D105" s="1318"/>
      <c r="E105" s="1318"/>
      <c r="F105" s="1318"/>
      <c r="G105" s="1318"/>
      <c r="H105" s="1318"/>
      <c r="I105" s="1318"/>
      <c r="J105" s="1318"/>
      <c r="K105" s="1318"/>
      <c r="L105" s="1318"/>
      <c r="M105" s="1318"/>
      <c r="N105" s="1318"/>
      <c r="O105" s="1318"/>
      <c r="P105" s="1318"/>
      <c r="Q105" s="1318"/>
      <c r="R105" s="1318"/>
      <c r="S105" s="1318"/>
      <c r="T105" s="1318"/>
      <c r="U105" s="1318"/>
      <c r="V105" s="1318"/>
      <c r="W105" s="1318"/>
      <c r="X105" s="1318"/>
      <c r="Y105" s="1319"/>
      <c r="Z105" s="1319"/>
      <c r="AA105" s="1319"/>
      <c r="AB105" s="1319"/>
      <c r="AC105" s="1319"/>
      <c r="AD105" s="1319"/>
      <c r="AE105" s="1319"/>
      <c r="AF105" s="1259"/>
      <c r="AG105" s="1259"/>
      <c r="AH105" s="1259"/>
      <c r="AI105" s="1320"/>
      <c r="AJ105" s="1320"/>
      <c r="AK105" s="1320"/>
      <c r="AL105" s="1320"/>
      <c r="AM105" s="1320"/>
      <c r="AN105" s="1320"/>
      <c r="AO105" s="1320"/>
      <c r="AP105" s="1320"/>
      <c r="AQ105" s="1320"/>
      <c r="AR105" s="1320"/>
      <c r="AS105" s="1320"/>
      <c r="AT105" s="1320"/>
      <c r="AU105" s="1320"/>
      <c r="AV105" s="1320"/>
    </row>
    <row r="106" s="1223" customFormat="1" ht="12.75" spans="1:48">
      <c r="A106" s="1259"/>
      <c r="B106" s="1259"/>
      <c r="C106" s="1318"/>
      <c r="D106" s="1318"/>
      <c r="E106" s="1318"/>
      <c r="F106" s="1318"/>
      <c r="G106" s="1318"/>
      <c r="H106" s="1318"/>
      <c r="I106" s="1318"/>
      <c r="J106" s="1318"/>
      <c r="K106" s="1318"/>
      <c r="L106" s="1318"/>
      <c r="M106" s="1318"/>
      <c r="N106" s="1318"/>
      <c r="O106" s="1318"/>
      <c r="P106" s="1318"/>
      <c r="Q106" s="1318"/>
      <c r="R106" s="1318"/>
      <c r="S106" s="1318"/>
      <c r="T106" s="1318"/>
      <c r="U106" s="1318"/>
      <c r="V106" s="1318"/>
      <c r="W106" s="1318"/>
      <c r="X106" s="1318"/>
      <c r="Y106" s="1319"/>
      <c r="Z106" s="1319"/>
      <c r="AA106" s="1319"/>
      <c r="AB106" s="1319"/>
      <c r="AC106" s="1319"/>
      <c r="AD106" s="1319"/>
      <c r="AE106" s="1319"/>
      <c r="AF106" s="1259"/>
      <c r="AG106" s="1259"/>
      <c r="AH106" s="1259"/>
      <c r="AI106" s="1320"/>
      <c r="AJ106" s="1320"/>
      <c r="AK106" s="1320"/>
      <c r="AL106" s="1320"/>
      <c r="AM106" s="1320"/>
      <c r="AN106" s="1320"/>
      <c r="AO106" s="1320"/>
      <c r="AP106" s="1320"/>
      <c r="AQ106" s="1320"/>
      <c r="AR106" s="1320"/>
      <c r="AS106" s="1320"/>
      <c r="AT106" s="1320"/>
      <c r="AU106" s="1320"/>
      <c r="AV106" s="1320"/>
    </row>
    <row r="107" s="1223" customFormat="1" ht="12.75" spans="1:48">
      <c r="A107" s="1259"/>
      <c r="B107" s="1259"/>
      <c r="C107" s="1318"/>
      <c r="D107" s="1318"/>
      <c r="E107" s="1318"/>
      <c r="F107" s="1318"/>
      <c r="G107" s="1318"/>
      <c r="H107" s="1318"/>
      <c r="I107" s="1318"/>
      <c r="J107" s="1318"/>
      <c r="K107" s="1318"/>
      <c r="L107" s="1318"/>
      <c r="M107" s="1318"/>
      <c r="N107" s="1318"/>
      <c r="O107" s="1318"/>
      <c r="P107" s="1318"/>
      <c r="Q107" s="1318"/>
      <c r="R107" s="1318"/>
      <c r="S107" s="1318"/>
      <c r="T107" s="1318"/>
      <c r="U107" s="1318"/>
      <c r="V107" s="1318"/>
      <c r="W107" s="1318"/>
      <c r="X107" s="1318"/>
      <c r="Y107" s="1319"/>
      <c r="Z107" s="1319"/>
      <c r="AA107" s="1319"/>
      <c r="AB107" s="1319"/>
      <c r="AC107" s="1319"/>
      <c r="AD107" s="1319"/>
      <c r="AE107" s="1319"/>
      <c r="AF107" s="1259"/>
      <c r="AG107" s="1259"/>
      <c r="AH107" s="1259"/>
      <c r="AI107" s="1320"/>
      <c r="AJ107" s="1320"/>
      <c r="AK107" s="1320"/>
      <c r="AL107" s="1320"/>
      <c r="AM107" s="1320"/>
      <c r="AN107" s="1320"/>
      <c r="AO107" s="1320"/>
      <c r="AP107" s="1320"/>
      <c r="AQ107" s="1320"/>
      <c r="AR107" s="1320"/>
      <c r="AS107" s="1320"/>
      <c r="AT107" s="1320"/>
      <c r="AU107" s="1320"/>
      <c r="AV107" s="1320"/>
    </row>
    <row r="108" s="1223" customFormat="1" ht="12.75" spans="1:48">
      <c r="A108" s="1259"/>
      <c r="B108" s="1259"/>
      <c r="C108" s="1318"/>
      <c r="D108" s="1318"/>
      <c r="E108" s="1318"/>
      <c r="F108" s="1318"/>
      <c r="G108" s="1318"/>
      <c r="H108" s="1318"/>
      <c r="I108" s="1318"/>
      <c r="J108" s="1318"/>
      <c r="K108" s="1318"/>
      <c r="L108" s="1318"/>
      <c r="M108" s="1318"/>
      <c r="N108" s="1318"/>
      <c r="O108" s="1318"/>
      <c r="P108" s="1318"/>
      <c r="Q108" s="1318"/>
      <c r="R108" s="1318"/>
      <c r="S108" s="1318"/>
      <c r="T108" s="1318"/>
      <c r="U108" s="1318"/>
      <c r="V108" s="1318"/>
      <c r="W108" s="1318"/>
      <c r="X108" s="1318"/>
      <c r="Y108" s="1319"/>
      <c r="Z108" s="1319"/>
      <c r="AA108" s="1319"/>
      <c r="AB108" s="1319"/>
      <c r="AC108" s="1319"/>
      <c r="AD108" s="1319"/>
      <c r="AE108" s="1319"/>
      <c r="AF108" s="1259"/>
      <c r="AG108" s="1259"/>
      <c r="AH108" s="1259"/>
      <c r="AI108" s="1320"/>
      <c r="AJ108" s="1320"/>
      <c r="AK108" s="1320"/>
      <c r="AL108" s="1320"/>
      <c r="AM108" s="1320"/>
      <c r="AN108" s="1320"/>
      <c r="AO108" s="1320"/>
      <c r="AP108" s="1320"/>
      <c r="AQ108" s="1320"/>
      <c r="AR108" s="1320"/>
      <c r="AS108" s="1320"/>
      <c r="AT108" s="1320"/>
      <c r="AU108" s="1320"/>
      <c r="AV108" s="1320"/>
    </row>
    <row r="109" s="1223" customFormat="1" ht="12.75" spans="1:48">
      <c r="A109" s="1259"/>
      <c r="B109" s="1259"/>
      <c r="C109" s="1318"/>
      <c r="D109" s="1318"/>
      <c r="E109" s="1318"/>
      <c r="F109" s="1318"/>
      <c r="G109" s="1318"/>
      <c r="H109" s="1318"/>
      <c r="I109" s="1318"/>
      <c r="J109" s="1318"/>
      <c r="K109" s="1318"/>
      <c r="L109" s="1318"/>
      <c r="M109" s="1318"/>
      <c r="N109" s="1318"/>
      <c r="O109" s="1318"/>
      <c r="P109" s="1318"/>
      <c r="Q109" s="1318"/>
      <c r="R109" s="1318"/>
      <c r="S109" s="1318"/>
      <c r="T109" s="1318"/>
      <c r="U109" s="1318"/>
      <c r="V109" s="1318"/>
      <c r="W109" s="1318"/>
      <c r="X109" s="1318"/>
      <c r="Y109" s="1319"/>
      <c r="Z109" s="1319"/>
      <c r="AA109" s="1319"/>
      <c r="AB109" s="1319"/>
      <c r="AC109" s="1319"/>
      <c r="AD109" s="1319"/>
      <c r="AE109" s="1319"/>
      <c r="AF109" s="1259"/>
      <c r="AG109" s="1259"/>
      <c r="AH109" s="1259"/>
      <c r="AI109" s="1320"/>
      <c r="AJ109" s="1320"/>
      <c r="AK109" s="1320"/>
      <c r="AL109" s="1320"/>
      <c r="AM109" s="1320"/>
      <c r="AN109" s="1320"/>
      <c r="AO109" s="1320"/>
      <c r="AP109" s="1320"/>
      <c r="AQ109" s="1320"/>
      <c r="AR109" s="1320"/>
      <c r="AS109" s="1320"/>
      <c r="AT109" s="1320"/>
      <c r="AU109" s="1320"/>
      <c r="AV109" s="1320"/>
    </row>
    <row r="110" s="1223" customFormat="1" ht="12.75" spans="1:48">
      <c r="A110" s="1329"/>
    </row>
    <row r="111" s="1223" customFormat="1" ht="12.75" spans="1:48">
      <c r="A111" s="1329"/>
    </row>
    <row r="112" s="1223" customFormat="1" ht="14.25" customHeight="1" spans="1:48">
      <c r="A112" s="1330" t="s">
        <v>7130</v>
      </c>
      <c r="B112" s="1330"/>
      <c r="C112" s="1330"/>
      <c r="D112" s="1223" t="str">
        <f>Sjedište</f>
        <v>Sarajevo-Stari Grad</v>
      </c>
      <c r="P112" s="1323" t="s">
        <v>2533</v>
      </c>
      <c r="AM112" s="1331" t="str">
        <f>Text!B44</f>
        <v>Direktor</v>
      </c>
      <c r="AN112" s="1331"/>
      <c r="AO112" s="1331"/>
      <c r="AP112" s="1331"/>
      <c r="AQ112" s="1331"/>
      <c r="AR112" s="1331"/>
      <c r="AS112" s="1331"/>
      <c r="AT112" s="1331"/>
      <c r="AU112" s="1331"/>
      <c r="AV112" s="1331"/>
    </row>
    <row r="113" s="1223" customFormat="1" ht="14.25" customHeight="1" spans="1:48">
      <c r="A113" s="1330" t="s">
        <v>7131</v>
      </c>
      <c r="B113" s="1330"/>
      <c r="C113" s="1330"/>
      <c r="D113" s="1332" t="str">
        <f>UnosPod!AA22&amp;UnosPod!AB22&amp;"."&amp;UnosPod!AC22&amp;UnosPod!AD22&amp;"."&amp;UnosPod!AE22&amp;UnosPod!AF22&amp;UnosPod!AG22&amp;UnosPod!AH22&amp;".godine"</f>
        <v>28.02.2026.godine</v>
      </c>
      <c r="E113" s="1332"/>
      <c r="F113" s="1332"/>
      <c r="G113" s="1332"/>
      <c r="H113" s="1332"/>
      <c r="I113" s="1332"/>
      <c r="J113" s="1332"/>
      <c r="N113" s="1333"/>
      <c r="P113" s="1333" t="str">
        <f>Racunovoda</f>
        <v>Elvira Žilić</v>
      </c>
      <c r="AI113" s="1223" t="s">
        <v>7039</v>
      </c>
      <c r="AN113" s="1334"/>
      <c r="AO113" s="1334"/>
      <c r="AP113" s="1334"/>
      <c r="AQ113" s="1334"/>
      <c r="AR113" s="1334"/>
      <c r="AS113" s="1334"/>
      <c r="AT113" s="1334"/>
      <c r="AU113" s="1334"/>
      <c r="AV113" s="1334"/>
    </row>
    <row r="114" s="1228" customFormat="1" ht="14.25" customHeight="1" spans="1:48">
      <c r="P114" s="1335"/>
      <c r="Q114" s="1335"/>
      <c r="R114" s="1335"/>
      <c r="S114" s="1335"/>
      <c r="T114" s="1335"/>
      <c r="U114" s="1335"/>
      <c r="V114" s="1335"/>
      <c r="W114" s="1335"/>
      <c r="X114" s="1335"/>
      <c r="Y114" s="1335"/>
      <c r="Z114" s="1335"/>
      <c r="AA114" s="1335"/>
      <c r="AB114" s="1335"/>
      <c r="AC114" s="1335"/>
      <c r="AM114" s="1336" t="str">
        <f>Direktor</f>
        <v>Nedim Vilogorac</v>
      </c>
      <c r="AN114" s="1336"/>
      <c r="AO114" s="1336"/>
      <c r="AP114" s="1336"/>
      <c r="AQ114" s="1336"/>
      <c r="AR114" s="1336"/>
      <c r="AS114" s="1336"/>
      <c r="AT114" s="1336"/>
      <c r="AU114" s="1336"/>
      <c r="AV114" s="1336"/>
    </row>
    <row r="115" s="1228" customFormat="1" ht="14.25" customHeight="1" spans="1:48">
      <c r="P115" s="1337" t="str">
        <f>"Broj dozvole : "&amp;UnosPod!AA3</f>
        <v>Broj dozvole : CR-8559/5</v>
      </c>
      <c r="Q115" s="1338"/>
      <c r="R115" s="1338"/>
      <c r="S115" s="1338"/>
      <c r="T115" s="1338"/>
      <c r="U115" s="1338"/>
      <c r="V115" s="1339"/>
      <c r="W115" s="1338"/>
      <c r="X115" s="1338"/>
    </row>
    <row r="116" s="1223" customFormat="1" ht="12.75" spans="1:48">
      <c r="A116" s="1329"/>
      <c r="Q116" s="1335"/>
      <c r="R116" s="1335"/>
      <c r="S116" s="1335"/>
      <c r="T116" s="1335"/>
      <c r="U116" s="1335"/>
      <c r="V116" s="1335"/>
      <c r="W116" s="1335"/>
      <c r="X116" s="1335"/>
    </row>
    <row r="117" s="1223" customFormat="1" ht="12.75" spans="1:48">
      <c r="A117" s="1329"/>
    </row>
  </sheetData>
  <mergeCells count="392">
    <mergeCell ref="AM1:AV1"/>
    <mergeCell ref="AM3:AV3"/>
    <mergeCell ref="A8:J8"/>
    <mergeCell ref="AM8:AV8"/>
    <mergeCell ref="A10:J10"/>
    <mergeCell ref="A14:AV14"/>
    <mergeCell ref="A15:AV15"/>
    <mergeCell ref="A17:B17"/>
    <mergeCell ref="AI17:AV17"/>
    <mergeCell ref="A18:B18"/>
    <mergeCell ref="AI18:AO18"/>
    <mergeCell ref="AP18:AV18"/>
    <mergeCell ref="A19:B19"/>
    <mergeCell ref="C19:X19"/>
    <mergeCell ref="Y19:AE19"/>
    <mergeCell ref="AF19:AH19"/>
    <mergeCell ref="AI19:AO19"/>
    <mergeCell ref="AP19:AV19"/>
    <mergeCell ref="A20:B20"/>
    <mergeCell ref="C20:X20"/>
    <mergeCell ref="Y20:AE20"/>
    <mergeCell ref="AF20:AH20"/>
    <mergeCell ref="AI20:AO20"/>
    <mergeCell ref="AP20:AV20"/>
    <mergeCell ref="A21:B21"/>
    <mergeCell ref="C21:X21"/>
    <mergeCell ref="Y21:AE21"/>
    <mergeCell ref="AF21:AH21"/>
    <mergeCell ref="AI21:AO21"/>
    <mergeCell ref="AP21:AV21"/>
    <mergeCell ref="A22:B22"/>
    <mergeCell ref="C22:X22"/>
    <mergeCell ref="Y22:AE22"/>
    <mergeCell ref="AF22:AH22"/>
    <mergeCell ref="AI22:AO22"/>
    <mergeCell ref="AP22:AV22"/>
    <mergeCell ref="A23:B23"/>
    <mergeCell ref="C23:X23"/>
    <mergeCell ref="Y23:AE23"/>
    <mergeCell ref="AF23:AH23"/>
    <mergeCell ref="AI23:AO23"/>
    <mergeCell ref="AP23:AV23"/>
    <mergeCell ref="A24:B24"/>
    <mergeCell ref="C24:X24"/>
    <mergeCell ref="Y24:AE24"/>
    <mergeCell ref="AF24:AH24"/>
    <mergeCell ref="AI24:AO24"/>
    <mergeCell ref="AP24:AV24"/>
    <mergeCell ref="A25:B25"/>
    <mergeCell ref="C25:X25"/>
    <mergeCell ref="Y25:AE25"/>
    <mergeCell ref="AF25:AH25"/>
    <mergeCell ref="AI25:AO25"/>
    <mergeCell ref="AP25:AV25"/>
    <mergeCell ref="A26:B26"/>
    <mergeCell ref="C26:X26"/>
    <mergeCell ref="Y26:AE26"/>
    <mergeCell ref="AF26:AH26"/>
    <mergeCell ref="AI26:AO26"/>
    <mergeCell ref="AP26:AV26"/>
    <mergeCell ref="A27:B27"/>
    <mergeCell ref="C27:X27"/>
    <mergeCell ref="Y27:AE27"/>
    <mergeCell ref="AF27:AH27"/>
    <mergeCell ref="AI27:AO27"/>
    <mergeCell ref="AP27:AV27"/>
    <mergeCell ref="A28:B28"/>
    <mergeCell ref="C28:X28"/>
    <mergeCell ref="Y28:AE28"/>
    <mergeCell ref="AF28:AH28"/>
    <mergeCell ref="AI28:AO28"/>
    <mergeCell ref="AP28:AV28"/>
    <mergeCell ref="A29:B29"/>
    <mergeCell ref="C29:X29"/>
    <mergeCell ref="Y29:AE29"/>
    <mergeCell ref="AF29:AH29"/>
    <mergeCell ref="AI29:AO29"/>
    <mergeCell ref="AP29:AV29"/>
    <mergeCell ref="A30:B30"/>
    <mergeCell ref="C30:X30"/>
    <mergeCell ref="Y30:AE30"/>
    <mergeCell ref="AF30:AH30"/>
    <mergeCell ref="AI30:AO30"/>
    <mergeCell ref="AP30:AV30"/>
    <mergeCell ref="A31:B31"/>
    <mergeCell ref="C31:X31"/>
    <mergeCell ref="Y31:AE31"/>
    <mergeCell ref="AF31:AH31"/>
    <mergeCell ref="AI31:AO31"/>
    <mergeCell ref="AP31:AV31"/>
    <mergeCell ref="A32:B32"/>
    <mergeCell ref="C32:X32"/>
    <mergeCell ref="Y32:AE32"/>
    <mergeCell ref="AF32:AH32"/>
    <mergeCell ref="AI32:AO32"/>
    <mergeCell ref="AP32:AV32"/>
    <mergeCell ref="A33:B33"/>
    <mergeCell ref="C33:X33"/>
    <mergeCell ref="Y33:AE33"/>
    <mergeCell ref="AF33:AH33"/>
    <mergeCell ref="AI33:AO33"/>
    <mergeCell ref="AP33:AV33"/>
    <mergeCell ref="A34:B34"/>
    <mergeCell ref="C34:X34"/>
    <mergeCell ref="Y34:AE34"/>
    <mergeCell ref="AF34:AH34"/>
    <mergeCell ref="AI34:AO34"/>
    <mergeCell ref="AP34:AV34"/>
    <mergeCell ref="A35:B35"/>
    <mergeCell ref="C35:X35"/>
    <mergeCell ref="Y35:AE35"/>
    <mergeCell ref="AF35:AH35"/>
    <mergeCell ref="AI35:AO35"/>
    <mergeCell ref="AP35:AV35"/>
    <mergeCell ref="A36:B36"/>
    <mergeCell ref="C36:X36"/>
    <mergeCell ref="Y36:AE36"/>
    <mergeCell ref="AF36:AH36"/>
    <mergeCell ref="AI36:AO36"/>
    <mergeCell ref="AP36:AV36"/>
    <mergeCell ref="A37:B37"/>
    <mergeCell ref="C37:X37"/>
    <mergeCell ref="Y37:AE37"/>
    <mergeCell ref="AF37:AH37"/>
    <mergeCell ref="AI37:AO37"/>
    <mergeCell ref="AP37:AV37"/>
    <mergeCell ref="A38:B38"/>
    <mergeCell ref="C38:X38"/>
    <mergeCell ref="Y38:AE38"/>
    <mergeCell ref="AF38:AH38"/>
    <mergeCell ref="AI38:AO38"/>
    <mergeCell ref="AP38:AV38"/>
    <mergeCell ref="A39:B39"/>
    <mergeCell ref="C39:X39"/>
    <mergeCell ref="Y39:AE39"/>
    <mergeCell ref="AF39:AH39"/>
    <mergeCell ref="AI39:AO39"/>
    <mergeCell ref="AP39:AV39"/>
    <mergeCell ref="A40:B40"/>
    <mergeCell ref="C40:X40"/>
    <mergeCell ref="Y40:AE40"/>
    <mergeCell ref="AF40:AH40"/>
    <mergeCell ref="AI40:AO40"/>
    <mergeCell ref="AP40:AV40"/>
    <mergeCell ref="A41:B41"/>
    <mergeCell ref="C41:X41"/>
    <mergeCell ref="Y41:AE41"/>
    <mergeCell ref="AF41:AH41"/>
    <mergeCell ref="AI41:AO41"/>
    <mergeCell ref="AP41:AV41"/>
    <mergeCell ref="A42:B42"/>
    <mergeCell ref="C42:X42"/>
    <mergeCell ref="Y42:AE42"/>
    <mergeCell ref="AF42:AH42"/>
    <mergeCell ref="AI42:AO42"/>
    <mergeCell ref="AP42:AV42"/>
    <mergeCell ref="A43:B43"/>
    <mergeCell ref="C43:X43"/>
    <mergeCell ref="Y43:AE43"/>
    <mergeCell ref="AF43:AH43"/>
    <mergeCell ref="AI43:AO43"/>
    <mergeCell ref="AP43:AV43"/>
    <mergeCell ref="A44:B44"/>
    <mergeCell ref="C44:X44"/>
    <mergeCell ref="Y44:AE44"/>
    <mergeCell ref="AF44:AH44"/>
    <mergeCell ref="AI44:AO44"/>
    <mergeCell ref="AP44:AV44"/>
    <mergeCell ref="A45:B45"/>
    <mergeCell ref="C45:X45"/>
    <mergeCell ref="Y45:AE45"/>
    <mergeCell ref="AF45:AH45"/>
    <mergeCell ref="AI45:AO45"/>
    <mergeCell ref="AP45:AV45"/>
    <mergeCell ref="A46:B46"/>
    <mergeCell ref="C46:X46"/>
    <mergeCell ref="Y46:AE46"/>
    <mergeCell ref="AF46:AH46"/>
    <mergeCell ref="AI46:AO46"/>
    <mergeCell ref="AP46:AV46"/>
    <mergeCell ref="A47:B47"/>
    <mergeCell ref="C47:X47"/>
    <mergeCell ref="Y47:AE47"/>
    <mergeCell ref="AF47:AH47"/>
    <mergeCell ref="AI47:AO47"/>
    <mergeCell ref="AP47:AV47"/>
    <mergeCell ref="A48:B48"/>
    <mergeCell ref="C48:X48"/>
    <mergeCell ref="Y48:AE48"/>
    <mergeCell ref="AF48:AH48"/>
    <mergeCell ref="AI48:AO48"/>
    <mergeCell ref="AP48:AV48"/>
    <mergeCell ref="A49:B49"/>
    <mergeCell ref="C49:X49"/>
    <mergeCell ref="Y49:AE49"/>
    <mergeCell ref="AF49:AH49"/>
    <mergeCell ref="AI49:AO49"/>
    <mergeCell ref="AP49:AV49"/>
    <mergeCell ref="A50:B50"/>
    <mergeCell ref="C50:X50"/>
    <mergeCell ref="Y50:AE50"/>
    <mergeCell ref="AF50:AH50"/>
    <mergeCell ref="AI50:AO50"/>
    <mergeCell ref="AP50:AV50"/>
    <mergeCell ref="A51:B51"/>
    <mergeCell ref="C51:X51"/>
    <mergeCell ref="Y51:AE51"/>
    <mergeCell ref="AF51:AH51"/>
    <mergeCell ref="AI51:AO51"/>
    <mergeCell ref="AP51:AV51"/>
    <mergeCell ref="A52:B52"/>
    <mergeCell ref="C52:X52"/>
    <mergeCell ref="Y52:AE52"/>
    <mergeCell ref="AF52:AH52"/>
    <mergeCell ref="AI52:AO52"/>
    <mergeCell ref="AP52:AV52"/>
    <mergeCell ref="A53:B53"/>
    <mergeCell ref="C53:X53"/>
    <mergeCell ref="Y53:AE53"/>
    <mergeCell ref="AF53:AH53"/>
    <mergeCell ref="AI53:AO53"/>
    <mergeCell ref="AP53:AV53"/>
    <mergeCell ref="A54:B54"/>
    <mergeCell ref="C54:X54"/>
    <mergeCell ref="Y54:AE54"/>
    <mergeCell ref="AF54:AH54"/>
    <mergeCell ref="AI54:AO54"/>
    <mergeCell ref="AP54:AV54"/>
    <mergeCell ref="A55:B55"/>
    <mergeCell ref="C55:X55"/>
    <mergeCell ref="Y55:AE55"/>
    <mergeCell ref="AF55:AH55"/>
    <mergeCell ref="AI55:AO55"/>
    <mergeCell ref="AP55:AV55"/>
    <mergeCell ref="A56:B56"/>
    <mergeCell ref="C56:X56"/>
    <mergeCell ref="Y56:AE56"/>
    <mergeCell ref="AF56:AH56"/>
    <mergeCell ref="AI56:AO56"/>
    <mergeCell ref="AP56:AV56"/>
    <mergeCell ref="A57:B57"/>
    <mergeCell ref="C57:X57"/>
    <mergeCell ref="Y57:AE57"/>
    <mergeCell ref="AF57:AH57"/>
    <mergeCell ref="AI57:AO57"/>
    <mergeCell ref="AP57:AV57"/>
    <mergeCell ref="A58:B58"/>
    <mergeCell ref="C58:X58"/>
    <mergeCell ref="Y58:AE58"/>
    <mergeCell ref="AF58:AH58"/>
    <mergeCell ref="AI58:AO58"/>
    <mergeCell ref="AP58:AV58"/>
    <mergeCell ref="A59:B59"/>
    <mergeCell ref="C59:X59"/>
    <mergeCell ref="Y59:AE59"/>
    <mergeCell ref="AF59:AH59"/>
    <mergeCell ref="AI59:AO59"/>
    <mergeCell ref="AP59:AV59"/>
    <mergeCell ref="A60:B60"/>
    <mergeCell ref="C60:X60"/>
    <mergeCell ref="Y60:AE60"/>
    <mergeCell ref="AF60:AH60"/>
    <mergeCell ref="AI60:AO60"/>
    <mergeCell ref="AP60:AV60"/>
    <mergeCell ref="A61:AV61"/>
    <mergeCell ref="A62:AV62"/>
    <mergeCell ref="A63:AV63"/>
    <mergeCell ref="A67:B67"/>
    <mergeCell ref="AI67:AV67"/>
    <mergeCell ref="A68:B68"/>
    <mergeCell ref="AI68:AO68"/>
    <mergeCell ref="AP68:AV68"/>
    <mergeCell ref="A69:B69"/>
    <mergeCell ref="C69:X69"/>
    <mergeCell ref="Y69:AE69"/>
    <mergeCell ref="AF69:AH69"/>
    <mergeCell ref="AI69:AO69"/>
    <mergeCell ref="AP69:AV69"/>
    <mergeCell ref="A70:B70"/>
    <mergeCell ref="C70:X70"/>
    <mergeCell ref="Y70:AE70"/>
    <mergeCell ref="AF70:AH70"/>
    <mergeCell ref="AI70:AO70"/>
    <mergeCell ref="AP70:AV70"/>
    <mergeCell ref="A71:B71"/>
    <mergeCell ref="C71:X71"/>
    <mergeCell ref="Y71:AE71"/>
    <mergeCell ref="AF71:AH71"/>
    <mergeCell ref="AI71:AO71"/>
    <mergeCell ref="AP71:AV71"/>
    <mergeCell ref="A72:B72"/>
    <mergeCell ref="C72:X72"/>
    <mergeCell ref="Y72:AE72"/>
    <mergeCell ref="AF72:AH72"/>
    <mergeCell ref="AI72:AO72"/>
    <mergeCell ref="AP72:AV72"/>
    <mergeCell ref="A73:B73"/>
    <mergeCell ref="C73:X73"/>
    <mergeCell ref="Y73:AE73"/>
    <mergeCell ref="AF73:AH73"/>
    <mergeCell ref="AI73:AO73"/>
    <mergeCell ref="AP73:AV73"/>
    <mergeCell ref="A74:B74"/>
    <mergeCell ref="C74:X74"/>
    <mergeCell ref="Y74:AE74"/>
    <mergeCell ref="AF74:AH74"/>
    <mergeCell ref="AI74:AO74"/>
    <mergeCell ref="AP74:AV74"/>
    <mergeCell ref="A75:B75"/>
    <mergeCell ref="C75:X75"/>
    <mergeCell ref="Y75:AE75"/>
    <mergeCell ref="AF75:AH75"/>
    <mergeCell ref="AI75:AO75"/>
    <mergeCell ref="AP75:AV75"/>
    <mergeCell ref="A76:B76"/>
    <mergeCell ref="C76:X76"/>
    <mergeCell ref="Y76:AE76"/>
    <mergeCell ref="AF76:AH76"/>
    <mergeCell ref="AI76:AO76"/>
    <mergeCell ref="AP76:AV76"/>
    <mergeCell ref="A77:B77"/>
    <mergeCell ref="C77:X77"/>
    <mergeCell ref="Y77:AE77"/>
    <mergeCell ref="AF77:AH77"/>
    <mergeCell ref="AI77:AO77"/>
    <mergeCell ref="AP77:AV77"/>
    <mergeCell ref="A78:B78"/>
    <mergeCell ref="C78:X78"/>
    <mergeCell ref="Y78:AE78"/>
    <mergeCell ref="AF78:AH78"/>
    <mergeCell ref="AI78:AO78"/>
    <mergeCell ref="AP78:AV78"/>
    <mergeCell ref="A79:B79"/>
    <mergeCell ref="C79:X79"/>
    <mergeCell ref="Y79:AE79"/>
    <mergeCell ref="AF79:AH79"/>
    <mergeCell ref="AI79:AO79"/>
    <mergeCell ref="AP79:AV79"/>
    <mergeCell ref="A80:B80"/>
    <mergeCell ref="C80:X80"/>
    <mergeCell ref="Y80:AE80"/>
    <mergeCell ref="AF80:AH80"/>
    <mergeCell ref="AI80:AO80"/>
    <mergeCell ref="AP80:AV80"/>
    <mergeCell ref="A81:B81"/>
    <mergeCell ref="C81:X81"/>
    <mergeCell ref="Y81:AE81"/>
    <mergeCell ref="AF81:AH81"/>
    <mergeCell ref="AI81:AO81"/>
    <mergeCell ref="AP81:AV81"/>
    <mergeCell ref="A82:B82"/>
    <mergeCell ref="C82:X82"/>
    <mergeCell ref="Y82:AE82"/>
    <mergeCell ref="AF82:AH82"/>
    <mergeCell ref="AI82:AO82"/>
    <mergeCell ref="AP82:AV82"/>
    <mergeCell ref="A83:B83"/>
    <mergeCell ref="C83:X83"/>
    <mergeCell ref="Y83:AE83"/>
    <mergeCell ref="AF83:AH83"/>
    <mergeCell ref="AI83:AO83"/>
    <mergeCell ref="AP83:AV83"/>
    <mergeCell ref="A84:B84"/>
    <mergeCell ref="C84:X84"/>
    <mergeCell ref="Y84:AE84"/>
    <mergeCell ref="AF84:AH84"/>
    <mergeCell ref="AI84:AO84"/>
    <mergeCell ref="AP84:AV84"/>
    <mergeCell ref="A86:AO86"/>
    <mergeCell ref="B87:AC87"/>
    <mergeCell ref="B88:AC88"/>
    <mergeCell ref="B89:AC89"/>
    <mergeCell ref="B90:AC90"/>
    <mergeCell ref="A97:AV97"/>
    <mergeCell ref="A98:AV98"/>
    <mergeCell ref="A99:AV99"/>
    <mergeCell ref="A102:AV102"/>
    <mergeCell ref="A112:C112"/>
    <mergeCell ref="AM112:AV112"/>
    <mergeCell ref="A113:C113"/>
    <mergeCell ref="AM114:AV114"/>
    <mergeCell ref="A100:AV101"/>
    <mergeCell ref="A93:AV94"/>
    <mergeCell ref="A95:AV96"/>
    <mergeCell ref="C67:X68"/>
    <mergeCell ref="Y67:AE68"/>
    <mergeCell ref="AF67:AH68"/>
    <mergeCell ref="Y11:AV12"/>
    <mergeCell ref="AF17:AH18"/>
    <mergeCell ref="C17:X18"/>
    <mergeCell ref="Y17:AE18"/>
    <mergeCell ref="A5:X6"/>
  </mergeCells>
  <conditionalFormatting sqref="AI21:AV60">
    <cfRule type="cellIs" dxfId="10" priority="4" operator="lessThan">
      <formula>0</formula>
    </cfRule>
  </conditionalFormatting>
  <conditionalFormatting sqref="AI65:AV65;AI103:AV109">
    <cfRule type="cellIs" dxfId="10" priority="7" operator="lessThan">
      <formula>0</formula>
    </cfRule>
  </conditionalFormatting>
  <conditionalFormatting sqref="AI71:AV85">
    <cfRule type="cellIs" dxfId="10" priority="1" operator="lessThan">
      <formula>0</formula>
    </cfRule>
  </conditionalFormatting>
  <conditionalFormatting sqref="AP86:AV87;AI88:AV92">
    <cfRule type="cellIs" dxfId="10" priority="6" operator="lessThan">
      <formula>0</formula>
    </cfRule>
  </conditionalFormatting>
  <dataValidations count="1">
    <dataValidation type="list" allowBlank="1" showInputMessage="1" showErrorMessage="1" sqref="B87:AC87">
      <formula1>'#Konverter'!$AO$2:$AO$6</formula1>
    </dataValidation>
  </dataValidations>
  <pageMargins left="0.708661417322835" right="0.708661417322835" top="0.551181102362205" bottom="0.354330708661417" header="0.31496062992126" footer="0.31496062992126"/>
  <pageSetup paperSize="9" scale="85" fitToHeight="0" orientation="portrait"/>
  <headerFooter/>
  <rowBreaks count="1" manualBreakCount="1">
    <brk id="64" max="16383"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8">
    <tabColor rgb="FF0070C0"/>
    <pageSetUpPr fitToPage="1"/>
  </sheetPr>
  <dimension ref="A1:AV92"/>
  <sheetViews>
    <sheetView showGridLines="0" showWhiteSpace="0" topLeftCell="A97" workbookViewId="0">
      <selection activeCell="AZ79" sqref="AZ79"/>
    </sheetView>
  </sheetViews>
  <sheetFormatPr defaultColWidth="3.57142857142857" defaultRowHeight="16.5"/>
  <cols>
    <col min="1" max="2" width="3.57142857142857" style="2533"/>
    <col min="3" max="16384" width="3.57142857142857" style="874"/>
  </cols>
  <sheetData>
    <row r="1" ht="18" spans="1:48">
      <c r="A1" s="879" t="str">
        <f>Firma</f>
        <v>LILIUM ASSET MANAGEMENT d.o.o. Sarajevo</v>
      </c>
      <c r="B1" s="874"/>
      <c r="AM1" s="1231" t="str">
        <f>IdBroj</f>
        <v>4201337670009</v>
      </c>
      <c r="AN1" s="1231"/>
      <c r="AO1" s="1231"/>
      <c r="AP1" s="1231"/>
      <c r="AQ1" s="1231"/>
      <c r="AR1" s="1231"/>
      <c r="AS1" s="1231"/>
      <c r="AT1" s="1231"/>
      <c r="AU1" s="1231"/>
      <c r="AV1" s="1231"/>
    </row>
    <row r="2" ht="15" customHeight="1" spans="1:48">
      <c r="A2" s="877" t="str">
        <f>Text!B2</f>
        <v>Naziv pravnog lica</v>
      </c>
      <c r="B2" s="874"/>
      <c r="AE2" s="874" t="s">
        <v>4636</v>
      </c>
      <c r="AL2" s="878" t="str">
        <f>Text!B4</f>
        <v>Identifikacioni broj za direktne poreze</v>
      </c>
      <c r="AM2" s="878"/>
      <c r="AN2" s="878"/>
      <c r="AO2" s="878"/>
      <c r="AP2" s="878"/>
      <c r="AQ2" s="878"/>
      <c r="AR2" s="878"/>
      <c r="AS2" s="878"/>
      <c r="AT2" s="878"/>
      <c r="AU2" s="878"/>
      <c r="AV2" s="878"/>
    </row>
    <row r="3" s="875" customFormat="1" ht="18.75" customHeight="1" spans="1:48">
      <c r="A3" s="882" t="str">
        <f>Sjedište&amp;", "&amp;Adresa</f>
        <v>Sarajevo-Stari Grad, Dženetića čikma br.8</v>
      </c>
      <c r="AE3" s="875" t="s">
        <v>4636</v>
      </c>
      <c r="AJ3" s="880"/>
      <c r="AK3" s="880"/>
      <c r="AL3" s="880"/>
      <c r="AM3" s="1231" t="str">
        <f>Pdv_Broj</f>
        <v>201337670009</v>
      </c>
      <c r="AN3" s="1231"/>
      <c r="AO3" s="1231"/>
      <c r="AP3" s="1231"/>
      <c r="AQ3" s="1231"/>
      <c r="AR3" s="1231"/>
      <c r="AS3" s="1231"/>
      <c r="AT3" s="1231"/>
      <c r="AU3" s="1231"/>
      <c r="AV3" s="1231"/>
    </row>
    <row r="4" ht="15" customHeight="1" spans="1:48">
      <c r="A4" s="877" t="str">
        <f>Text!B3</f>
        <v>Sjedište i adresa pravnog lica</v>
      </c>
      <c r="B4" s="874"/>
      <c r="AE4" s="874" t="s">
        <v>4636</v>
      </c>
      <c r="AL4" s="878" t="str">
        <f>Text!B5</f>
        <v>Identifikacioni  broj za indirektne poreze</v>
      </c>
      <c r="AM4" s="878"/>
      <c r="AN4" s="878"/>
      <c r="AO4" s="878"/>
      <c r="AP4" s="878"/>
      <c r="AQ4" s="878"/>
      <c r="AR4" s="878"/>
      <c r="AS4" s="878"/>
      <c r="AT4" s="878"/>
      <c r="AU4" s="878"/>
      <c r="AV4" s="878"/>
    </row>
    <row r="5" s="875" customFormat="1" ht="19.5" customHeight="1" spans="1:48">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AE5" s="875" t="s">
        <v>4636</v>
      </c>
      <c r="AK5" s="880"/>
      <c r="AL5" s="880"/>
    </row>
    <row r="6" s="876" customFormat="1" customHeight="1" spans="1:48">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AV6" s="1231" t="str">
        <f>Sif_Djelatn</f>
        <v>66.30</v>
      </c>
    </row>
    <row r="7" s="875" customFormat="1" customHeight="1" spans="1:48">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AV7" s="878" t="str">
        <f>Text!B22&amp;" KD BiH 2010"</f>
        <v>Šifra djelatnosti po KD BiH 2010</v>
      </c>
    </row>
    <row r="8" s="876" customFormat="1" customHeight="1" spans="1:48">
      <c r="A8" s="1232" t="str">
        <f>Banka</f>
        <v>Raiffeisen Bank d.d. BiH</v>
      </c>
      <c r="B8" s="1232"/>
      <c r="C8" s="1232"/>
      <c r="D8" s="1232"/>
      <c r="E8" s="1232"/>
      <c r="F8" s="1232"/>
      <c r="G8" s="1232"/>
      <c r="H8" s="1232"/>
      <c r="I8" s="1232"/>
      <c r="J8" s="1232"/>
      <c r="AM8" s="881" t="str">
        <f>Sifra_opcine</f>
        <v>109</v>
      </c>
      <c r="AN8" s="881"/>
      <c r="AO8" s="881"/>
      <c r="AP8" s="881"/>
      <c r="AQ8" s="881"/>
      <c r="AR8" s="881"/>
      <c r="AS8" s="881"/>
      <c r="AT8" s="881"/>
      <c r="AU8" s="881"/>
      <c r="AV8" s="881"/>
    </row>
    <row r="9" s="876" customFormat="1" customHeight="1" spans="1:48">
      <c r="A9" s="2379" t="str">
        <f>Text!B24</f>
        <v>Naziv banke</v>
      </c>
      <c r="B9" s="1450"/>
      <c r="C9" s="1450"/>
      <c r="D9" s="1450"/>
      <c r="E9" s="1450"/>
      <c r="F9" s="1450"/>
      <c r="G9" s="1450"/>
      <c r="H9" s="1450"/>
      <c r="I9" s="1450"/>
      <c r="Y9" s="1234"/>
      <c r="Z9" s="1234"/>
      <c r="AA9" s="1234"/>
      <c r="AB9" s="1234"/>
      <c r="AC9" s="1234"/>
      <c r="AD9" s="1234"/>
      <c r="AH9" s="880"/>
      <c r="AI9" s="880"/>
      <c r="AJ9" s="880"/>
      <c r="AK9" s="880"/>
      <c r="AL9" s="880"/>
      <c r="AV9" s="878" t="str">
        <f>Text!B26</f>
        <v>Šifra općine</v>
      </c>
    </row>
    <row r="10" s="876" customFormat="1" customHeight="1" spans="1:48">
      <c r="A10" s="1232" t="str">
        <f>Glavni_racun</f>
        <v>1610000189480005</v>
      </c>
      <c r="B10" s="1232"/>
      <c r="C10" s="1232"/>
      <c r="D10" s="1232"/>
      <c r="E10" s="1232"/>
      <c r="F10" s="1232"/>
      <c r="G10" s="1232"/>
      <c r="H10" s="1232"/>
      <c r="I10" s="1232"/>
      <c r="J10" s="1232"/>
      <c r="Y10" s="1234"/>
      <c r="Z10" s="1234"/>
      <c r="AA10" s="1234"/>
      <c r="AB10" s="1234"/>
      <c r="AC10" s="1234"/>
      <c r="AD10" s="1234"/>
      <c r="AM10" s="877"/>
      <c r="AN10" s="877"/>
      <c r="AO10" s="877"/>
      <c r="AP10" s="877"/>
      <c r="AQ10" s="877"/>
      <c r="AR10" s="877"/>
      <c r="AS10" s="877"/>
      <c r="AT10" s="877"/>
      <c r="AU10" s="877"/>
    </row>
    <row r="11" s="876" customFormat="1" customHeight="1" spans="1:48">
      <c r="A11" s="2379" t="str">
        <f>Text!B25</f>
        <v>Broj računa</v>
      </c>
    </row>
    <row r="12" s="1224" customFormat="1" ht="20.25" customHeight="1" spans="1:48">
      <c r="A12" s="2628" t="str">
        <f>Text!B425</f>
        <v>IZVJEŠTJ O TOKOVIMA GOTOVINE</v>
      </c>
      <c r="B12" s="2628"/>
      <c r="C12" s="2628"/>
      <c r="D12" s="2628"/>
      <c r="E12" s="2628"/>
      <c r="F12" s="2628"/>
      <c r="G12" s="2628"/>
      <c r="H12" s="2628"/>
      <c r="I12" s="2628"/>
      <c r="J12" s="2628"/>
      <c r="K12" s="2628"/>
      <c r="L12" s="2628"/>
      <c r="M12" s="2628"/>
      <c r="N12" s="2628"/>
      <c r="O12" s="2628"/>
      <c r="P12" s="2628"/>
      <c r="Q12" s="2628"/>
      <c r="R12" s="2628"/>
      <c r="S12" s="2628"/>
      <c r="T12" s="2628"/>
      <c r="U12" s="2628"/>
      <c r="V12" s="2628"/>
      <c r="W12" s="2628"/>
      <c r="X12" s="2628"/>
      <c r="Y12" s="2628"/>
      <c r="Z12" s="2628"/>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row>
    <row r="13" s="1224" customFormat="1" ht="20.25" customHeight="1" spans="1:48">
      <c r="A13" s="2628" t="str">
        <f>Text!B426</f>
        <v>(IZVJEŠTAJ O GOTOVINSKIM TOKOVIMA)</v>
      </c>
      <c r="B13" s="2628"/>
      <c r="C13" s="2628"/>
      <c r="D13" s="2628"/>
      <c r="E13" s="2628"/>
      <c r="F13" s="2628"/>
      <c r="G13" s="2628"/>
      <c r="H13" s="2628"/>
      <c r="I13" s="2628"/>
      <c r="J13" s="2628"/>
      <c r="K13" s="2628"/>
      <c r="L13" s="2628"/>
      <c r="M13" s="2628"/>
      <c r="N13" s="2628"/>
      <c r="O13" s="2628"/>
      <c r="P13" s="2628"/>
      <c r="Q13" s="2628"/>
      <c r="R13" s="2628"/>
      <c r="S13" s="2628"/>
      <c r="T13" s="2628"/>
      <c r="U13" s="2628"/>
      <c r="V13" s="2628"/>
      <c r="W13" s="2628"/>
      <c r="X13" s="2628"/>
      <c r="Y13" s="2628"/>
      <c r="Z13" s="2628"/>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row>
    <row r="14" s="1224" customFormat="1" ht="14.25" customHeight="1" spans="1:48">
      <c r="A14" s="1348" t="str">
        <f>Text!B427</f>
        <v>(Direktna metoda)</v>
      </c>
      <c r="B14" s="1348"/>
      <c r="C14" s="1348"/>
      <c r="D14" s="1348"/>
      <c r="E14" s="1348"/>
      <c r="F14" s="1348"/>
      <c r="G14" s="1348"/>
      <c r="H14" s="1348"/>
      <c r="I14" s="1348"/>
      <c r="J14" s="1348"/>
      <c r="K14" s="1348"/>
      <c r="L14" s="1348"/>
      <c r="M14" s="1348"/>
      <c r="N14" s="1348"/>
      <c r="O14" s="1348"/>
      <c r="P14" s="1348"/>
      <c r="Q14" s="1348"/>
      <c r="R14" s="1348"/>
      <c r="S14" s="1348"/>
      <c r="T14" s="1348"/>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c r="AT14" s="1348"/>
      <c r="AU14" s="1348"/>
      <c r="AV14" s="1348"/>
    </row>
    <row r="15" s="1224" customFormat="1" ht="19.5" customHeight="1" spans="1:48">
      <c r="A15" s="1348" t="str">
        <f ca="1">Text!B428</f>
        <v>za period od 01.01.2025. do 31.12.2025. godine</v>
      </c>
      <c r="B15" s="1348"/>
      <c r="C15" s="1348"/>
      <c r="D15" s="1348"/>
      <c r="E15" s="1348"/>
      <c r="F15" s="1348"/>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c r="AT15" s="1348"/>
      <c r="AU15" s="1348"/>
      <c r="AV15" s="1348"/>
    </row>
    <row r="16" ht="12.75" customHeight="1" spans="1:48">
      <c r="AT16" s="1228" t="s">
        <v>6959</v>
      </c>
    </row>
    <row r="17" s="1750" customFormat="1" ht="18" customHeight="1" spans="1:48">
      <c r="A17" s="2536" t="str">
        <f>Text!B27</f>
        <v>Redni broj</v>
      </c>
      <c r="B17" s="2537"/>
      <c r="C17" s="2538"/>
      <c r="D17" s="2539" t="str">
        <f>Text!B28</f>
        <v>P O Z I C I J A</v>
      </c>
      <c r="E17" s="2539"/>
      <c r="F17" s="2539"/>
      <c r="G17" s="2539"/>
      <c r="H17" s="2539"/>
      <c r="I17" s="2539"/>
      <c r="J17" s="2539"/>
      <c r="K17" s="2539"/>
      <c r="L17" s="2539"/>
      <c r="M17" s="2539"/>
      <c r="N17" s="2539"/>
      <c r="O17" s="2539"/>
      <c r="P17" s="2539"/>
      <c r="Q17" s="2539"/>
      <c r="R17" s="2539"/>
      <c r="S17" s="2539"/>
      <c r="T17" s="2539"/>
      <c r="U17" s="2539"/>
      <c r="V17" s="2539"/>
      <c r="W17" s="2539"/>
      <c r="X17" s="2539"/>
      <c r="Y17" s="2540"/>
      <c r="Z17" s="2629" t="str">
        <f>Text!B30</f>
        <v>Bilješka</v>
      </c>
      <c r="AA17" s="2539"/>
      <c r="AB17" s="2540"/>
      <c r="AC17" s="2629" t="s">
        <v>7132</v>
      </c>
      <c r="AD17" s="2539"/>
      <c r="AE17" s="2540"/>
      <c r="AF17" s="2536" t="s">
        <v>5680</v>
      </c>
      <c r="AG17" s="2537"/>
      <c r="AH17" s="2538"/>
      <c r="AI17" s="2544" t="str">
        <f ca="1">PeriodOd&amp;" "&amp;Text!B34&amp;" "&amp;PeriodDo</f>
        <v>01.01.2025 do 31.12.2025</v>
      </c>
      <c r="AJ17" s="2544"/>
      <c r="AK17" s="2544"/>
      <c r="AL17" s="2544"/>
      <c r="AM17" s="2544"/>
      <c r="AN17" s="2544"/>
      <c r="AO17" s="2544"/>
      <c r="AP17" s="2544" t="str">
        <f>UnosPod!F6&amp;UnosPod!G6&amp;"."&amp;UnosPod!H6&amp;UnosPod!I6&amp;"."&amp;UnosPod!J6-1&amp;" "&amp;Text!B34&amp;" "&amp;UnosPod!M6&amp;UnosPod!N6&amp;"."&amp;UnosPod!O6&amp;UnosPod!P6&amp;"."&amp;UnosPod!Q6-1</f>
        <v>01.01.2024 do 31.12.2024</v>
      </c>
      <c r="AQ17" s="2544"/>
      <c r="AR17" s="2544"/>
      <c r="AS17" s="2544"/>
      <c r="AT17" s="2544"/>
      <c r="AU17" s="2544"/>
      <c r="AV17" s="2544"/>
    </row>
    <row r="18" s="1750" customFormat="1" ht="18" customHeight="1" spans="1:48">
      <c r="A18" s="2545"/>
      <c r="B18" s="2546"/>
      <c r="C18" s="2547"/>
      <c r="D18" s="2382"/>
      <c r="E18" s="2382"/>
      <c r="F18" s="2382"/>
      <c r="G18" s="2382"/>
      <c r="H18" s="2382"/>
      <c r="I18" s="2382"/>
      <c r="J18" s="2382"/>
      <c r="K18" s="2382"/>
      <c r="L18" s="2382"/>
      <c r="M18" s="2382"/>
      <c r="N18" s="2382"/>
      <c r="O18" s="2382"/>
      <c r="P18" s="2382"/>
      <c r="Q18" s="2382"/>
      <c r="R18" s="2382"/>
      <c r="S18" s="2382"/>
      <c r="T18" s="2382"/>
      <c r="U18" s="2382"/>
      <c r="V18" s="2382"/>
      <c r="W18" s="2382"/>
      <c r="X18" s="2382"/>
      <c r="Y18" s="2548"/>
      <c r="Z18" s="2630"/>
      <c r="AA18" s="2382"/>
      <c r="AB18" s="2548"/>
      <c r="AC18" s="2631" t="s">
        <v>7133</v>
      </c>
      <c r="AD18" s="2632"/>
      <c r="AE18" s="2633"/>
      <c r="AF18" s="2422" t="s">
        <v>5686</v>
      </c>
      <c r="AG18" s="2423"/>
      <c r="AH18" s="2424"/>
      <c r="AI18" s="2554" t="str">
        <f>Text!B32</f>
        <v>tekuće godine</v>
      </c>
      <c r="AJ18" s="2554"/>
      <c r="AK18" s="2554"/>
      <c r="AL18" s="2554"/>
      <c r="AM18" s="2554"/>
      <c r="AN18" s="2554"/>
      <c r="AO18" s="2554"/>
      <c r="AP18" s="2554" t="str">
        <f>Text!B33</f>
        <v>prethodne godine</v>
      </c>
      <c r="AQ18" s="2554"/>
      <c r="AR18" s="2554"/>
      <c r="AS18" s="2554"/>
      <c r="AT18" s="2554"/>
      <c r="AU18" s="2554"/>
      <c r="AV18" s="2554"/>
    </row>
    <row r="19" s="1750" customFormat="1" ht="19.5" customHeight="1" spans="1:48">
      <c r="A19" s="2555">
        <v>1</v>
      </c>
      <c r="B19" s="2555"/>
      <c r="C19" s="2555"/>
      <c r="D19" s="2556">
        <v>2</v>
      </c>
      <c r="E19" s="2555"/>
      <c r="F19" s="2555"/>
      <c r="G19" s="2555"/>
      <c r="H19" s="2555"/>
      <c r="I19" s="2555"/>
      <c r="J19" s="2555"/>
      <c r="K19" s="2555"/>
      <c r="L19" s="2555"/>
      <c r="M19" s="2555"/>
      <c r="N19" s="2555"/>
      <c r="O19" s="2555"/>
      <c r="P19" s="2555"/>
      <c r="Q19" s="2555"/>
      <c r="R19" s="2555"/>
      <c r="S19" s="2555"/>
      <c r="T19" s="2555"/>
      <c r="U19" s="2555"/>
      <c r="V19" s="2555"/>
      <c r="W19" s="2555"/>
      <c r="X19" s="2555"/>
      <c r="Y19" s="2555"/>
      <c r="Z19" s="2555">
        <v>3</v>
      </c>
      <c r="AA19" s="2555"/>
      <c r="AB19" s="2555"/>
      <c r="AC19" s="2555">
        <v>4</v>
      </c>
      <c r="AD19" s="2555"/>
      <c r="AE19" s="2555"/>
      <c r="AF19" s="2555">
        <v>5</v>
      </c>
      <c r="AG19" s="2555"/>
      <c r="AH19" s="2555"/>
      <c r="AI19" s="2555">
        <v>6</v>
      </c>
      <c r="AJ19" s="2555"/>
      <c r="AK19" s="2555"/>
      <c r="AL19" s="2555"/>
      <c r="AM19" s="2555"/>
      <c r="AN19" s="2555"/>
      <c r="AO19" s="2555"/>
      <c r="AP19" s="2555">
        <v>7</v>
      </c>
      <c r="AQ19" s="2555"/>
      <c r="AR19" s="2555"/>
      <c r="AS19" s="2555"/>
      <c r="AT19" s="2555"/>
      <c r="AU19" s="2555"/>
      <c r="AV19" s="2555"/>
    </row>
    <row r="20" s="1341" customFormat="1" ht="20.25" customHeight="1" spans="1:48">
      <c r="A20" s="2557" t="s">
        <v>3953</v>
      </c>
      <c r="B20" s="2557"/>
      <c r="C20" s="2558"/>
      <c r="D20" s="1374" t="str">
        <f>Text!B429</f>
        <v>GOTOVINSKI TOKOVI IZ POSLOVNIH AKTIVNOSTI</v>
      </c>
      <c r="E20" s="1375"/>
      <c r="F20" s="1375"/>
      <c r="G20" s="1375"/>
      <c r="H20" s="1375"/>
      <c r="I20" s="1375"/>
      <c r="J20" s="1375"/>
      <c r="K20" s="1375"/>
      <c r="L20" s="1375"/>
      <c r="M20" s="1375"/>
      <c r="N20" s="1375"/>
      <c r="O20" s="1375"/>
      <c r="P20" s="1375"/>
      <c r="Q20" s="1375"/>
      <c r="R20" s="1375"/>
      <c r="S20" s="1375"/>
      <c r="T20" s="1375"/>
      <c r="U20" s="1375"/>
      <c r="V20" s="1375"/>
      <c r="W20" s="1375"/>
      <c r="X20" s="1375"/>
      <c r="Y20" s="2616"/>
      <c r="Z20" s="1392"/>
      <c r="AA20" s="1392"/>
      <c r="AB20" s="1392"/>
      <c r="AC20" s="1392"/>
      <c r="AD20" s="1392"/>
      <c r="AE20" s="1392"/>
      <c r="AF20" s="2634"/>
      <c r="AG20" s="2635"/>
      <c r="AH20" s="2636"/>
      <c r="AI20" s="2561"/>
      <c r="AJ20" s="2561"/>
      <c r="AK20" s="2561"/>
      <c r="AL20" s="2561"/>
      <c r="AM20" s="2561"/>
      <c r="AN20" s="2561"/>
      <c r="AO20" s="2561"/>
      <c r="AP20" s="2561"/>
      <c r="AQ20" s="2561"/>
      <c r="AR20" s="2561"/>
      <c r="AS20" s="2561"/>
      <c r="AT20" s="2561"/>
      <c r="AU20" s="2561"/>
      <c r="AV20" s="2561"/>
    </row>
    <row r="21" s="1341" customFormat="1" ht="20.25" customHeight="1" spans="1:48">
      <c r="A21" s="2562" t="str">
        <f>'Konta_Pozicije BOS'!A280</f>
        <v>1.1.</v>
      </c>
      <c r="B21" s="2562"/>
      <c r="C21" s="2562"/>
      <c r="D21" s="1374" t="str">
        <f>Text!B430</f>
        <v>Prilivi od kupaca</v>
      </c>
      <c r="E21" s="1375"/>
      <c r="F21" s="1375"/>
      <c r="G21" s="1375"/>
      <c r="H21" s="1375"/>
      <c r="I21" s="1375"/>
      <c r="J21" s="1375"/>
      <c r="K21" s="1375"/>
      <c r="L21" s="1375"/>
      <c r="M21" s="1375"/>
      <c r="N21" s="1375"/>
      <c r="O21" s="1375"/>
      <c r="P21" s="1375"/>
      <c r="Q21" s="1375"/>
      <c r="R21" s="1375"/>
      <c r="S21" s="1375"/>
      <c r="T21" s="1375"/>
      <c r="U21" s="1375"/>
      <c r="V21" s="1375"/>
      <c r="W21" s="1375"/>
      <c r="X21" s="1375"/>
      <c r="Y21" s="2616"/>
      <c r="Z21" s="2564"/>
      <c r="AA21" s="2564"/>
      <c r="AB21" s="2564"/>
      <c r="AC21" s="2565" t="s">
        <v>7134</v>
      </c>
      <c r="AD21" s="2565"/>
      <c r="AE21" s="2565"/>
      <c r="AF21" s="1372" t="s">
        <v>4565</v>
      </c>
      <c r="AG21" s="2566"/>
      <c r="AH21" s="1404"/>
      <c r="AI21" s="2567">
        <f>SUM(UnosPod!O1012:U1014)-SUM(UnosPod!O1015:U1019)</f>
        <v>0</v>
      </c>
      <c r="AJ21" s="2567"/>
      <c r="AK21" s="2567"/>
      <c r="AL21" s="2567"/>
      <c r="AM21" s="2567"/>
      <c r="AN21" s="2567"/>
      <c r="AO21" s="2567"/>
      <c r="AP21" s="2567">
        <f>Prethodna_2024!B367</f>
        <v>0</v>
      </c>
      <c r="AQ21" s="2567"/>
      <c r="AR21" s="2567"/>
      <c r="AS21" s="2567"/>
      <c r="AT21" s="2567"/>
      <c r="AU21" s="2567"/>
      <c r="AV21" s="2567"/>
    </row>
    <row r="22" s="1340" customFormat="1" ht="20.25" customHeight="1" spans="1:48">
      <c r="A22" s="2562" t="str">
        <f>'Konta_Pozicije BOS'!A281</f>
        <v>1.2.</v>
      </c>
      <c r="B22" s="2562"/>
      <c r="C22" s="2562"/>
      <c r="D22" s="1436" t="str">
        <f>Text!B431</f>
        <v>Odlivi po osnovu plaćanja zaposlenima</v>
      </c>
      <c r="E22" s="1437"/>
      <c r="F22" s="1437"/>
      <c r="G22" s="1437"/>
      <c r="H22" s="1437"/>
      <c r="I22" s="1437"/>
      <c r="J22" s="1437"/>
      <c r="K22" s="1437"/>
      <c r="L22" s="1437"/>
      <c r="M22" s="1437"/>
      <c r="N22" s="1437"/>
      <c r="O22" s="1437"/>
      <c r="P22" s="1437"/>
      <c r="Q22" s="1437"/>
      <c r="R22" s="1437"/>
      <c r="S22" s="1437"/>
      <c r="T22" s="1437"/>
      <c r="U22" s="1437"/>
      <c r="V22" s="1437"/>
      <c r="W22" s="1437"/>
      <c r="X22" s="1437"/>
      <c r="Y22" s="2563"/>
      <c r="Z22" s="2564"/>
      <c r="AA22" s="2564"/>
      <c r="AB22" s="2564"/>
      <c r="AC22" s="2565" t="s">
        <v>5756</v>
      </c>
      <c r="AD22" s="2565"/>
      <c r="AE22" s="2565"/>
      <c r="AF22" s="1372" t="s">
        <v>4566</v>
      </c>
      <c r="AG22" s="2566"/>
      <c r="AH22" s="1404"/>
      <c r="AI22" s="2637">
        <f>SUM(UnosPod!H1073:N1081)*-1</f>
        <v>0</v>
      </c>
      <c r="AJ22" s="2637"/>
      <c r="AK22" s="2637"/>
      <c r="AL22" s="2637"/>
      <c r="AM22" s="2637"/>
      <c r="AN22" s="2637"/>
      <c r="AO22" s="2637"/>
      <c r="AP22" s="2567">
        <f>Prethodna_2024!B368</f>
        <v>0</v>
      </c>
      <c r="AQ22" s="2567"/>
      <c r="AR22" s="2567"/>
      <c r="AS22" s="2567"/>
      <c r="AT22" s="2567"/>
      <c r="AU22" s="2567"/>
      <c r="AV22" s="2567"/>
    </row>
    <row r="23" s="1340" customFormat="1" ht="20.25" customHeight="1" spans="1:48">
      <c r="A23" s="2562" t="str">
        <f>'Konta_Pozicije BOS'!A282</f>
        <v>1.3.</v>
      </c>
      <c r="B23" s="2562"/>
      <c r="C23" s="2562"/>
      <c r="D23" s="1436" t="str">
        <f>Text!B432</f>
        <v>Odlivi po osnovu plaćanja dobavljačima, po osnovu poslovnih aktivnosti</v>
      </c>
      <c r="E23" s="1437"/>
      <c r="F23" s="1437"/>
      <c r="G23" s="1437"/>
      <c r="H23" s="1437"/>
      <c r="I23" s="1437"/>
      <c r="J23" s="1437"/>
      <c r="K23" s="1437"/>
      <c r="L23" s="1437"/>
      <c r="M23" s="1437"/>
      <c r="N23" s="1437"/>
      <c r="O23" s="1437"/>
      <c r="P23" s="1437"/>
      <c r="Q23" s="1437"/>
      <c r="R23" s="1437"/>
      <c r="S23" s="1437"/>
      <c r="T23" s="1437"/>
      <c r="U23" s="1437"/>
      <c r="V23" s="1437"/>
      <c r="W23" s="1437"/>
      <c r="X23" s="1437"/>
      <c r="Y23" s="2563"/>
      <c r="Z23" s="2564"/>
      <c r="AA23" s="2564"/>
      <c r="AB23" s="2564"/>
      <c r="AC23" s="2565" t="s">
        <v>5756</v>
      </c>
      <c r="AD23" s="2565"/>
      <c r="AE23" s="2565"/>
      <c r="AF23" s="1372" t="s">
        <v>4567</v>
      </c>
      <c r="AG23" s="2566"/>
      <c r="AH23" s="1404"/>
      <c r="AI23" s="2637">
        <f>(SUM(UnosPod!H1060:N1063)-SUM(UnosPod!H1064:N1067))*-1</f>
        <v>0</v>
      </c>
      <c r="AJ23" s="2637"/>
      <c r="AK23" s="2637"/>
      <c r="AL23" s="2637"/>
      <c r="AM23" s="2637"/>
      <c r="AN23" s="2637"/>
      <c r="AO23" s="2637"/>
      <c r="AP23" s="2567">
        <f>Prethodna_2024!B369</f>
        <v>0</v>
      </c>
      <c r="AQ23" s="2567"/>
      <c r="AR23" s="2567"/>
      <c r="AS23" s="2567"/>
      <c r="AT23" s="2567"/>
      <c r="AU23" s="2567"/>
      <c r="AV23" s="2567"/>
    </row>
    <row r="24" s="1340" customFormat="1" ht="20.25" customHeight="1" spans="1:48">
      <c r="A24" s="2562" t="str">
        <f>'Konta_Pozicije BOS'!A283</f>
        <v>1.4.</v>
      </c>
      <c r="B24" s="2562"/>
      <c r="C24" s="2562"/>
      <c r="D24" s="1436" t="str">
        <f>Text!B433</f>
        <v>Odlivi po osnovu ostalih troškova, nastalih po osnovu poslovnih aktivnosti</v>
      </c>
      <c r="E24" s="1437"/>
      <c r="F24" s="1437"/>
      <c r="G24" s="1437"/>
      <c r="H24" s="1437"/>
      <c r="I24" s="1437"/>
      <c r="J24" s="1437"/>
      <c r="K24" s="1437"/>
      <c r="L24" s="1437"/>
      <c r="M24" s="1437"/>
      <c r="N24" s="1437"/>
      <c r="O24" s="1437"/>
      <c r="P24" s="1437"/>
      <c r="Q24" s="1437"/>
      <c r="R24" s="1437"/>
      <c r="S24" s="1437"/>
      <c r="T24" s="1437"/>
      <c r="U24" s="1437"/>
      <c r="V24" s="1437"/>
      <c r="W24" s="1437"/>
      <c r="X24" s="1437"/>
      <c r="Y24" s="2563"/>
      <c r="Z24" s="2564"/>
      <c r="AA24" s="2564"/>
      <c r="AB24" s="2564"/>
      <c r="AC24" s="2565" t="s">
        <v>5756</v>
      </c>
      <c r="AD24" s="2565"/>
      <c r="AE24" s="2565"/>
      <c r="AF24" s="1372" t="s">
        <v>4568</v>
      </c>
      <c r="AG24" s="2566"/>
      <c r="AH24" s="1404"/>
      <c r="AI24" s="2637">
        <f>(SUM(UnosPod!H1088:N1096)+SUM(UnosPod!H1098:N1103))*-1</f>
        <v>0</v>
      </c>
      <c r="AJ24" s="2637"/>
      <c r="AK24" s="2637"/>
      <c r="AL24" s="2637"/>
      <c r="AM24" s="2637"/>
      <c r="AN24" s="2637"/>
      <c r="AO24" s="2637"/>
      <c r="AP24" s="2567">
        <f>Prethodna_2024!B370</f>
        <v>0</v>
      </c>
      <c r="AQ24" s="2567"/>
      <c r="AR24" s="2567"/>
      <c r="AS24" s="2567"/>
      <c r="AT24" s="2567"/>
      <c r="AU24" s="2567"/>
      <c r="AV24" s="2567"/>
    </row>
    <row r="25" s="1340" customFormat="1" ht="20.25" customHeight="1" spans="1:48">
      <c r="A25" s="2562" t="str">
        <f>'Konta_Pozicije BOS'!A284</f>
        <v>1.5.</v>
      </c>
      <c r="B25" s="2562"/>
      <c r="C25" s="2562"/>
      <c r="D25" s="1436" t="str">
        <f>Text!B434</f>
        <v>Odlivi po osnovu plaćanja poreza na dobit</v>
      </c>
      <c r="E25" s="1437"/>
      <c r="F25" s="1437"/>
      <c r="G25" s="1437"/>
      <c r="H25" s="1437"/>
      <c r="I25" s="1437"/>
      <c r="J25" s="1437"/>
      <c r="K25" s="1437"/>
      <c r="L25" s="1437"/>
      <c r="M25" s="1437"/>
      <c r="N25" s="1437"/>
      <c r="O25" s="1437"/>
      <c r="P25" s="1437"/>
      <c r="Q25" s="1437"/>
      <c r="R25" s="1437"/>
      <c r="S25" s="1437"/>
      <c r="T25" s="1437"/>
      <c r="U25" s="1437"/>
      <c r="V25" s="1437"/>
      <c r="W25" s="1437"/>
      <c r="X25" s="1437"/>
      <c r="Y25" s="2563"/>
      <c r="Z25" s="2564"/>
      <c r="AA25" s="2564"/>
      <c r="AB25" s="2564"/>
      <c r="AC25" s="2565" t="s">
        <v>5756</v>
      </c>
      <c r="AD25" s="2565"/>
      <c r="AE25" s="2565"/>
      <c r="AF25" s="1372" t="s">
        <v>4569</v>
      </c>
      <c r="AG25" s="2566"/>
      <c r="AH25" s="1404"/>
      <c r="AI25" s="2637">
        <f>(UnosPod!H1097+UnosPod!H1030)*-1</f>
        <v>0</v>
      </c>
      <c r="AJ25" s="2637"/>
      <c r="AK25" s="2637"/>
      <c r="AL25" s="2637"/>
      <c r="AM25" s="2637"/>
      <c r="AN25" s="2637"/>
      <c r="AO25" s="2637"/>
      <c r="AP25" s="2567">
        <f>Prethodna_2024!B371</f>
        <v>0</v>
      </c>
      <c r="AQ25" s="2567"/>
      <c r="AR25" s="2567"/>
      <c r="AS25" s="2567"/>
      <c r="AT25" s="2567"/>
      <c r="AU25" s="2567"/>
      <c r="AV25" s="2567"/>
    </row>
    <row r="26" s="1340" customFormat="1" ht="20.25" customHeight="1" spans="1:48">
      <c r="A26" s="2562" t="str">
        <f>'Konta_Pozicije BOS'!A285</f>
        <v>1.6.</v>
      </c>
      <c r="B26" s="2562"/>
      <c r="C26" s="2562"/>
      <c r="D26" s="1436" t="str">
        <f>Text!B435</f>
        <v>Ostali prilivi iz poslovnih aktivnosti</v>
      </c>
      <c r="E26" s="1437"/>
      <c r="F26" s="1437"/>
      <c r="G26" s="1437"/>
      <c r="H26" s="1437"/>
      <c r="I26" s="1437"/>
      <c r="J26" s="1437"/>
      <c r="K26" s="1437"/>
      <c r="L26" s="1437"/>
      <c r="M26" s="1437"/>
      <c r="N26" s="1437"/>
      <c r="O26" s="1437"/>
      <c r="P26" s="1437"/>
      <c r="Q26" s="1437"/>
      <c r="R26" s="1437"/>
      <c r="S26" s="1437"/>
      <c r="T26" s="1437"/>
      <c r="U26" s="1437"/>
      <c r="V26" s="1437"/>
      <c r="W26" s="1437"/>
      <c r="X26" s="1437"/>
      <c r="Y26" s="2563"/>
      <c r="Z26" s="2564"/>
      <c r="AA26" s="2564"/>
      <c r="AB26" s="2564"/>
      <c r="AC26" s="2565" t="s">
        <v>7134</v>
      </c>
      <c r="AD26" s="2565"/>
      <c r="AE26" s="2565"/>
      <c r="AF26" s="1372" t="s">
        <v>4570</v>
      </c>
      <c r="AG26" s="2566"/>
      <c r="AH26" s="1404"/>
      <c r="AI26" s="2638">
        <f>+SUM(UnosPod!O1028:U1029)+SUM(UnosPod!O1031:U1033)+SUM(UnosPod!O1041:U1042)</f>
        <v>0</v>
      </c>
      <c r="AJ26" s="2638"/>
      <c r="AK26" s="2638"/>
      <c r="AL26" s="2638"/>
      <c r="AM26" s="2638"/>
      <c r="AN26" s="2638"/>
      <c r="AO26" s="2638"/>
      <c r="AP26" s="2567">
        <f>Prethodna_2024!B372</f>
        <v>0</v>
      </c>
      <c r="AQ26" s="2567"/>
      <c r="AR26" s="2567"/>
      <c r="AS26" s="2567"/>
      <c r="AT26" s="2567"/>
      <c r="AU26" s="2567"/>
      <c r="AV26" s="2567"/>
    </row>
    <row r="27" s="1340" customFormat="1" ht="20.25" customHeight="1" spans="1:48">
      <c r="A27" s="2562" t="str">
        <f>'Konta_Pozicije BOS'!A286</f>
        <v>1.7.</v>
      </c>
      <c r="B27" s="2562"/>
      <c r="C27" s="2562"/>
      <c r="D27" s="1436" t="str">
        <f>Text!B436</f>
        <v>Ostali odlivi iz poslovnih aktivnosti</v>
      </c>
      <c r="E27" s="1437"/>
      <c r="F27" s="1437"/>
      <c r="G27" s="1437"/>
      <c r="H27" s="1437"/>
      <c r="I27" s="1437"/>
      <c r="J27" s="1437"/>
      <c r="K27" s="1437"/>
      <c r="L27" s="1437"/>
      <c r="M27" s="1437"/>
      <c r="N27" s="1437"/>
      <c r="O27" s="1437"/>
      <c r="P27" s="1437"/>
      <c r="Q27" s="1437"/>
      <c r="R27" s="1437"/>
      <c r="S27" s="1437"/>
      <c r="T27" s="1437"/>
      <c r="U27" s="1437"/>
      <c r="V27" s="1437"/>
      <c r="W27" s="1437"/>
      <c r="X27" s="1437"/>
      <c r="Y27" s="2563"/>
      <c r="Z27" s="2564"/>
      <c r="AA27" s="2564"/>
      <c r="AB27" s="2564"/>
      <c r="AC27" s="2565" t="s">
        <v>5756</v>
      </c>
      <c r="AD27" s="2565"/>
      <c r="AE27" s="2565"/>
      <c r="AF27" s="1372" t="s">
        <v>4571</v>
      </c>
      <c r="AG27" s="2566"/>
      <c r="AH27" s="1404"/>
      <c r="AI27" s="2637">
        <f>(SUM(UnosPod!H1068:N1070)*-1)</f>
        <v>0</v>
      </c>
      <c r="AJ27" s="2637"/>
      <c r="AK27" s="2637"/>
      <c r="AL27" s="2637"/>
      <c r="AM27" s="2637"/>
      <c r="AN27" s="2637"/>
      <c r="AO27" s="2637"/>
      <c r="AP27" s="2567">
        <f>Prethodna_2024!B373</f>
        <v>0</v>
      </c>
      <c r="AQ27" s="2567"/>
      <c r="AR27" s="2567"/>
      <c r="AS27" s="2567"/>
      <c r="AT27" s="2567"/>
      <c r="AU27" s="2567"/>
      <c r="AV27" s="2567"/>
    </row>
    <row r="28" s="1341" customFormat="1" ht="23.25" customHeight="1" spans="1:48">
      <c r="A28" s="2558" t="str">
        <f>'Konta_Pozicije BOS'!A287</f>
        <v>A.</v>
      </c>
      <c r="B28" s="2558"/>
      <c r="C28" s="2558"/>
      <c r="D28" s="2611" t="str">
        <f>Text!B437</f>
        <v>Neto gotovinski tok koji je generisan/(korišten) u poslovnim aktivnostima (401 do 407)</v>
      </c>
      <c r="E28" s="2612"/>
      <c r="F28" s="2612"/>
      <c r="G28" s="2612"/>
      <c r="H28" s="2612"/>
      <c r="I28" s="2612"/>
      <c r="J28" s="2612"/>
      <c r="K28" s="2612"/>
      <c r="L28" s="2612"/>
      <c r="M28" s="2612"/>
      <c r="N28" s="2612"/>
      <c r="O28" s="2612"/>
      <c r="P28" s="2612"/>
      <c r="Q28" s="2612"/>
      <c r="R28" s="2612"/>
      <c r="S28" s="2612"/>
      <c r="T28" s="2612"/>
      <c r="U28" s="2612"/>
      <c r="V28" s="2612"/>
      <c r="W28" s="2612"/>
      <c r="X28" s="2612"/>
      <c r="Y28" s="2613"/>
      <c r="Z28" s="1392"/>
      <c r="AA28" s="1392"/>
      <c r="AB28" s="1392"/>
      <c r="AC28" s="2623" t="s">
        <v>7135</v>
      </c>
      <c r="AD28" s="2623"/>
      <c r="AE28" s="2623"/>
      <c r="AF28" s="1372" t="s">
        <v>4572</v>
      </c>
      <c r="AG28" s="2566"/>
      <c r="AH28" s="1404"/>
      <c r="AI28" s="2624">
        <f>SUM(AI21:AO27)</f>
        <v>0</v>
      </c>
      <c r="AJ28" s="2624"/>
      <c r="AK28" s="2624"/>
      <c r="AL28" s="2624"/>
      <c r="AM28" s="2624"/>
      <c r="AN28" s="2624"/>
      <c r="AO28" s="2624"/>
      <c r="AP28" s="2624">
        <f>SUM(AP21:AV27)</f>
        <v>0</v>
      </c>
      <c r="AQ28" s="2624"/>
      <c r="AR28" s="2624"/>
      <c r="AS28" s="2624"/>
      <c r="AT28" s="2624"/>
      <c r="AU28" s="2624"/>
      <c r="AV28" s="2624"/>
    </row>
    <row r="29" s="1341" customFormat="1" ht="20.25" customHeight="1" spans="1:48">
      <c r="A29" s="2558" t="str">
        <f>'Konta_Pozicije BOS'!A288</f>
        <v>2.</v>
      </c>
      <c r="B29" s="2558"/>
      <c r="C29" s="2558"/>
      <c r="D29" s="1374" t="str">
        <f>Text!B438</f>
        <v>GOTOVINSKI TOKOVI IZ ULAGAČKIH AKTIVNOSTI</v>
      </c>
      <c r="E29" s="1375"/>
      <c r="F29" s="1375"/>
      <c r="G29" s="1375"/>
      <c r="H29" s="1375"/>
      <c r="I29" s="1375"/>
      <c r="J29" s="1375"/>
      <c r="K29" s="1375"/>
      <c r="L29" s="1375"/>
      <c r="M29" s="1375"/>
      <c r="N29" s="1375"/>
      <c r="O29" s="1375"/>
      <c r="P29" s="1375"/>
      <c r="Q29" s="1375"/>
      <c r="R29" s="1375"/>
      <c r="S29" s="1375"/>
      <c r="T29" s="1375"/>
      <c r="U29" s="1375"/>
      <c r="V29" s="1375"/>
      <c r="W29" s="1375"/>
      <c r="X29" s="1375"/>
      <c r="Y29" s="2616"/>
      <c r="Z29" s="1392"/>
      <c r="AA29" s="1392"/>
      <c r="AB29" s="1392"/>
      <c r="AC29" s="1392"/>
      <c r="AD29" s="1392"/>
      <c r="AE29" s="1392"/>
      <c r="AF29" s="1412"/>
      <c r="AG29" s="2560"/>
      <c r="AH29" s="1388"/>
      <c r="AI29" s="2624"/>
      <c r="AJ29" s="2624"/>
      <c r="AK29" s="2624"/>
      <c r="AL29" s="2624"/>
      <c r="AM29" s="2624"/>
      <c r="AN29" s="2624"/>
      <c r="AO29" s="2624"/>
      <c r="AP29" s="2624"/>
      <c r="AQ29" s="2624"/>
      <c r="AR29" s="2624"/>
      <c r="AS29" s="2624"/>
      <c r="AT29" s="2624"/>
      <c r="AU29" s="2624"/>
      <c r="AV29" s="2624"/>
    </row>
    <row r="30" s="1340" customFormat="1" ht="20.25" customHeight="1" spans="1:48">
      <c r="A30" s="2562" t="str">
        <f>'Konta_Pozicije BOS'!A289</f>
        <v>2.1.</v>
      </c>
      <c r="B30" s="2562"/>
      <c r="C30" s="2562"/>
      <c r="D30" s="1436" t="str">
        <f>Text!B439</f>
        <v>Odlivi po osnovu kupovine nekretnina, postrojenja i opreme</v>
      </c>
      <c r="E30" s="1437"/>
      <c r="F30" s="1437"/>
      <c r="G30" s="1437"/>
      <c r="H30" s="1437"/>
      <c r="I30" s="1437"/>
      <c r="J30" s="1437"/>
      <c r="K30" s="1437"/>
      <c r="L30" s="1437"/>
      <c r="M30" s="1437"/>
      <c r="N30" s="1437"/>
      <c r="O30" s="1437"/>
      <c r="P30" s="1437"/>
      <c r="Q30" s="1437"/>
      <c r="R30" s="1437"/>
      <c r="S30" s="1437"/>
      <c r="T30" s="1437"/>
      <c r="U30" s="1437"/>
      <c r="V30" s="1437"/>
      <c r="W30" s="1437"/>
      <c r="X30" s="1437"/>
      <c r="Y30" s="2563"/>
      <c r="Z30" s="2564"/>
      <c r="AA30" s="2564"/>
      <c r="AB30" s="2564"/>
      <c r="AC30" s="2565" t="s">
        <v>5756</v>
      </c>
      <c r="AD30" s="2565"/>
      <c r="AE30" s="2565"/>
      <c r="AF30" s="1372" t="s">
        <v>4573</v>
      </c>
      <c r="AG30" s="2566"/>
      <c r="AH30" s="1404"/>
      <c r="AI30" s="2567">
        <f>UnosPod!H1064*-1</f>
        <v>0</v>
      </c>
      <c r="AJ30" s="2567"/>
      <c r="AK30" s="2567"/>
      <c r="AL30" s="2567"/>
      <c r="AM30" s="2567"/>
      <c r="AN30" s="2567"/>
      <c r="AO30" s="2567"/>
      <c r="AP30" s="2567">
        <f>Prethodna_2024!B376</f>
        <v>0</v>
      </c>
      <c r="AQ30" s="2567"/>
      <c r="AR30" s="2567"/>
      <c r="AS30" s="2567"/>
      <c r="AT30" s="2567"/>
      <c r="AU30" s="2567"/>
      <c r="AV30" s="2567"/>
    </row>
    <row r="31" s="1340" customFormat="1" ht="20.25" customHeight="1" spans="1:48">
      <c r="A31" s="2562" t="str">
        <f>'Konta_Pozicije BOS'!A290</f>
        <v>2.2.</v>
      </c>
      <c r="B31" s="2562"/>
      <c r="C31" s="2562"/>
      <c r="D31" s="1436" t="str">
        <f>Text!B440</f>
        <v>Prilivi po osnovu prodaje nekretnina, postrojenja i opreme</v>
      </c>
      <c r="E31" s="1437"/>
      <c r="F31" s="1437"/>
      <c r="G31" s="1437"/>
      <c r="H31" s="1437"/>
      <c r="I31" s="1437"/>
      <c r="J31" s="1437"/>
      <c r="K31" s="1437"/>
      <c r="L31" s="1437"/>
      <c r="M31" s="1437"/>
      <c r="N31" s="1437"/>
      <c r="O31" s="1437"/>
      <c r="P31" s="1437"/>
      <c r="Q31" s="1437"/>
      <c r="R31" s="1437"/>
      <c r="S31" s="1437"/>
      <c r="T31" s="1437"/>
      <c r="U31" s="1437"/>
      <c r="V31" s="1437"/>
      <c r="W31" s="1437"/>
      <c r="X31" s="1437"/>
      <c r="Y31" s="2563"/>
      <c r="Z31" s="2564"/>
      <c r="AA31" s="2564"/>
      <c r="AB31" s="2564"/>
      <c r="AC31" s="2565" t="s">
        <v>7134</v>
      </c>
      <c r="AD31" s="2565"/>
      <c r="AE31" s="2565"/>
      <c r="AF31" s="1372" t="s">
        <v>4574</v>
      </c>
      <c r="AG31" s="2566"/>
      <c r="AH31" s="1404"/>
      <c r="AI31" s="2567">
        <f>UnosPod!O1015</f>
        <v>0</v>
      </c>
      <c r="AJ31" s="2567"/>
      <c r="AK31" s="2567"/>
      <c r="AL31" s="2567"/>
      <c r="AM31" s="2567"/>
      <c r="AN31" s="2567"/>
      <c r="AO31" s="2567"/>
      <c r="AP31" s="2567">
        <f>Prethodna_2024!B377</f>
        <v>0</v>
      </c>
      <c r="AQ31" s="2567"/>
      <c r="AR31" s="2567"/>
      <c r="AS31" s="2567"/>
      <c r="AT31" s="2567"/>
      <c r="AU31" s="2567"/>
      <c r="AV31" s="2567"/>
    </row>
    <row r="32" s="1340" customFormat="1" ht="20.25" customHeight="1" spans="1:48">
      <c r="A32" s="2562" t="str">
        <f>'Konta_Pozicije BOS'!A291</f>
        <v>2.3.</v>
      </c>
      <c r="B32" s="2562"/>
      <c r="C32" s="2562"/>
      <c r="D32" s="1436" t="str">
        <f>Text!B441</f>
        <v>Odlivi po osnovu kupovine investicijskih nekretnina</v>
      </c>
      <c r="E32" s="1437"/>
      <c r="F32" s="1437"/>
      <c r="G32" s="1437"/>
      <c r="H32" s="1437"/>
      <c r="I32" s="1437"/>
      <c r="J32" s="1437"/>
      <c r="K32" s="1437"/>
      <c r="L32" s="1437"/>
      <c r="M32" s="1437"/>
      <c r="N32" s="1437"/>
      <c r="O32" s="1437"/>
      <c r="P32" s="1437"/>
      <c r="Q32" s="1437"/>
      <c r="R32" s="1437"/>
      <c r="S32" s="1437"/>
      <c r="T32" s="1437"/>
      <c r="U32" s="1437"/>
      <c r="V32" s="1437"/>
      <c r="W32" s="1437"/>
      <c r="X32" s="1437"/>
      <c r="Y32" s="2563"/>
      <c r="Z32" s="2564"/>
      <c r="AA32" s="2564"/>
      <c r="AB32" s="2564"/>
      <c r="AC32" s="2565" t="s">
        <v>5756</v>
      </c>
      <c r="AD32" s="2565"/>
      <c r="AE32" s="2565"/>
      <c r="AF32" s="1372" t="s">
        <v>4575</v>
      </c>
      <c r="AG32" s="2566"/>
      <c r="AH32" s="1404"/>
      <c r="AI32" s="2567">
        <f>UnosPod!H1065*-1</f>
        <v>0</v>
      </c>
      <c r="AJ32" s="2567"/>
      <c r="AK32" s="2567"/>
      <c r="AL32" s="2567"/>
      <c r="AM32" s="2567"/>
      <c r="AN32" s="2567"/>
      <c r="AO32" s="2567"/>
      <c r="AP32" s="2567">
        <f>Prethodna_2024!B378</f>
        <v>0</v>
      </c>
      <c r="AQ32" s="2567"/>
      <c r="AR32" s="2567"/>
      <c r="AS32" s="2567"/>
      <c r="AT32" s="2567"/>
      <c r="AU32" s="2567"/>
      <c r="AV32" s="2567"/>
    </row>
    <row r="33" s="1340" customFormat="1" ht="20.25" customHeight="1" spans="1:48">
      <c r="A33" s="2562" t="str">
        <f>'Konta_Pozicije BOS'!A292</f>
        <v>2.4.</v>
      </c>
      <c r="B33" s="2562"/>
      <c r="C33" s="2562"/>
      <c r="D33" s="1436" t="str">
        <f>Text!B442</f>
        <v>Prilivi po osnovu prodaje investicijskih nekretnina</v>
      </c>
      <c r="E33" s="1437"/>
      <c r="F33" s="1437"/>
      <c r="G33" s="1437"/>
      <c r="H33" s="1437"/>
      <c r="I33" s="1437"/>
      <c r="J33" s="1437"/>
      <c r="K33" s="1437"/>
      <c r="L33" s="1437"/>
      <c r="M33" s="1437"/>
      <c r="N33" s="1437"/>
      <c r="O33" s="1437"/>
      <c r="P33" s="1437"/>
      <c r="Q33" s="1437"/>
      <c r="R33" s="1437"/>
      <c r="S33" s="1437"/>
      <c r="T33" s="1437"/>
      <c r="U33" s="1437"/>
      <c r="V33" s="1437"/>
      <c r="W33" s="1437"/>
      <c r="X33" s="1437"/>
      <c r="Y33" s="2563"/>
      <c r="Z33" s="2564"/>
      <c r="AA33" s="2564"/>
      <c r="AB33" s="2564"/>
      <c r="AC33" s="2565" t="s">
        <v>7134</v>
      </c>
      <c r="AD33" s="2565"/>
      <c r="AE33" s="2565"/>
      <c r="AF33" s="1372" t="s">
        <v>4576</v>
      </c>
      <c r="AG33" s="2566"/>
      <c r="AH33" s="1404"/>
      <c r="AI33" s="2567">
        <f>UnosPod!O1016</f>
        <v>0</v>
      </c>
      <c r="AJ33" s="2567"/>
      <c r="AK33" s="2567"/>
      <c r="AL33" s="2567"/>
      <c r="AM33" s="2567"/>
      <c r="AN33" s="2567"/>
      <c r="AO33" s="2567"/>
      <c r="AP33" s="2567">
        <f>Prethodna_2024!B379</f>
        <v>0</v>
      </c>
      <c r="AQ33" s="2567"/>
      <c r="AR33" s="2567"/>
      <c r="AS33" s="2567"/>
      <c r="AT33" s="2567"/>
      <c r="AU33" s="2567"/>
      <c r="AV33" s="2567"/>
    </row>
    <row r="34" s="1341" customFormat="1" ht="20.25" customHeight="1" spans="1:48">
      <c r="A34" s="2562" t="str">
        <f>'Konta_Pozicije BOS'!A293</f>
        <v>2.5.</v>
      </c>
      <c r="B34" s="2562"/>
      <c r="C34" s="2562"/>
      <c r="D34" s="1436" t="str">
        <f>Text!B443</f>
        <v>Odlivi po osnovu kupovine nematerijalne imovine</v>
      </c>
      <c r="E34" s="1437"/>
      <c r="F34" s="1437"/>
      <c r="G34" s="1437"/>
      <c r="H34" s="1437"/>
      <c r="I34" s="1437"/>
      <c r="J34" s="1437"/>
      <c r="K34" s="1437"/>
      <c r="L34" s="1437"/>
      <c r="M34" s="1437"/>
      <c r="N34" s="1437"/>
      <c r="O34" s="1437"/>
      <c r="P34" s="1437"/>
      <c r="Q34" s="1437"/>
      <c r="R34" s="1437"/>
      <c r="S34" s="1437"/>
      <c r="T34" s="1437"/>
      <c r="U34" s="1437"/>
      <c r="V34" s="1437"/>
      <c r="W34" s="1437"/>
      <c r="X34" s="1437"/>
      <c r="Y34" s="2563"/>
      <c r="Z34" s="2564"/>
      <c r="AA34" s="2564"/>
      <c r="AB34" s="2564"/>
      <c r="AC34" s="2565" t="s">
        <v>5756</v>
      </c>
      <c r="AD34" s="2565"/>
      <c r="AE34" s="2565"/>
      <c r="AF34" s="1372" t="s">
        <v>4577</v>
      </c>
      <c r="AG34" s="2566"/>
      <c r="AH34" s="1404"/>
      <c r="AI34" s="2567">
        <f>UnosPod!H1066*-1</f>
        <v>0</v>
      </c>
      <c r="AJ34" s="2567"/>
      <c r="AK34" s="2567"/>
      <c r="AL34" s="2567"/>
      <c r="AM34" s="2567"/>
      <c r="AN34" s="2567"/>
      <c r="AO34" s="2567"/>
      <c r="AP34" s="2567">
        <f>Prethodna_2024!B380</f>
        <v>0</v>
      </c>
      <c r="AQ34" s="2567"/>
      <c r="AR34" s="2567"/>
      <c r="AS34" s="2567"/>
      <c r="AT34" s="2567"/>
      <c r="AU34" s="2567"/>
      <c r="AV34" s="2567"/>
    </row>
    <row r="35" s="1340" customFormat="1" ht="20.25" customHeight="1" spans="1:48">
      <c r="A35" s="2562" t="str">
        <f>'Konta_Pozicije BOS'!A294</f>
        <v>2.6.</v>
      </c>
      <c r="B35" s="2562"/>
      <c r="C35" s="2562"/>
      <c r="D35" s="1436" t="str">
        <f>Text!B444</f>
        <v>Prilivi po osnovu prodaje nematerijalne imovine</v>
      </c>
      <c r="E35" s="1437"/>
      <c r="F35" s="1437"/>
      <c r="G35" s="1437"/>
      <c r="H35" s="1437"/>
      <c r="I35" s="1437"/>
      <c r="J35" s="1437"/>
      <c r="K35" s="1437"/>
      <c r="L35" s="1437"/>
      <c r="M35" s="1437"/>
      <c r="N35" s="1437"/>
      <c r="O35" s="1437"/>
      <c r="P35" s="1437"/>
      <c r="Q35" s="1437"/>
      <c r="R35" s="1437"/>
      <c r="S35" s="1437"/>
      <c r="T35" s="1437"/>
      <c r="U35" s="1437"/>
      <c r="V35" s="1437"/>
      <c r="W35" s="1437"/>
      <c r="X35" s="1437"/>
      <c r="Y35" s="2563"/>
      <c r="Z35" s="2564"/>
      <c r="AA35" s="2564"/>
      <c r="AB35" s="2564"/>
      <c r="AC35" s="2565" t="s">
        <v>7134</v>
      </c>
      <c r="AD35" s="2565"/>
      <c r="AE35" s="2565"/>
      <c r="AF35" s="1372" t="s">
        <v>4578</v>
      </c>
      <c r="AG35" s="2566"/>
      <c r="AH35" s="1404"/>
      <c r="AI35" s="2567">
        <f>UnosPod!O1017</f>
        <v>0</v>
      </c>
      <c r="AJ35" s="2567"/>
      <c r="AK35" s="2567"/>
      <c r="AL35" s="2567"/>
      <c r="AM35" s="2567"/>
      <c r="AN35" s="2567"/>
      <c r="AO35" s="2567"/>
      <c r="AP35" s="2567">
        <f>Prethodna_2024!B381</f>
        <v>0</v>
      </c>
      <c r="AQ35" s="2567"/>
      <c r="AR35" s="2567"/>
      <c r="AS35" s="2567"/>
      <c r="AT35" s="2567"/>
      <c r="AU35" s="2567"/>
      <c r="AV35" s="2567"/>
    </row>
    <row r="36" s="1340" customFormat="1" ht="20.25" customHeight="1" spans="1:48">
      <c r="A36" s="2562" t="str">
        <f>'Konta_Pozicije BOS'!A295</f>
        <v>2.7.</v>
      </c>
      <c r="B36" s="2562"/>
      <c r="C36" s="2562"/>
      <c r="D36" s="1436" t="str">
        <f>Text!B445</f>
        <v>Odlivi po osnovu kupovine biološke imovine</v>
      </c>
      <c r="E36" s="1437"/>
      <c r="F36" s="1437"/>
      <c r="G36" s="1437"/>
      <c r="H36" s="1437"/>
      <c r="I36" s="1437"/>
      <c r="J36" s="1437"/>
      <c r="K36" s="1437"/>
      <c r="L36" s="1437"/>
      <c r="M36" s="1437"/>
      <c r="N36" s="1437"/>
      <c r="O36" s="1437"/>
      <c r="P36" s="1437"/>
      <c r="Q36" s="1437"/>
      <c r="R36" s="1437"/>
      <c r="S36" s="1437"/>
      <c r="T36" s="1437"/>
      <c r="U36" s="1437"/>
      <c r="V36" s="1437"/>
      <c r="W36" s="1437"/>
      <c r="X36" s="1437"/>
      <c r="Y36" s="2563"/>
      <c r="Z36" s="2564"/>
      <c r="AA36" s="2564"/>
      <c r="AB36" s="2564"/>
      <c r="AC36" s="2565" t="s">
        <v>5756</v>
      </c>
      <c r="AD36" s="2565"/>
      <c r="AE36" s="2565"/>
      <c r="AF36" s="1372" t="s">
        <v>4579</v>
      </c>
      <c r="AG36" s="2566"/>
      <c r="AH36" s="1404"/>
      <c r="AI36" s="2567">
        <f>UnosPod!H1067*-1</f>
        <v>0</v>
      </c>
      <c r="AJ36" s="2567"/>
      <c r="AK36" s="2567"/>
      <c r="AL36" s="2567"/>
      <c r="AM36" s="2567"/>
      <c r="AN36" s="2567"/>
      <c r="AO36" s="2567"/>
      <c r="AP36" s="2567">
        <f>Prethodna_2024!B382</f>
        <v>0</v>
      </c>
      <c r="AQ36" s="2567"/>
      <c r="AR36" s="2567"/>
      <c r="AS36" s="2567"/>
      <c r="AT36" s="2567"/>
      <c r="AU36" s="2567"/>
      <c r="AV36" s="2567"/>
    </row>
    <row r="37" s="1750" customFormat="1" ht="19.5" customHeight="1"/>
    <row r="38" s="1750" customFormat="1" ht="19.5" customHeight="1"/>
    <row r="39" s="1750" customFormat="1" ht="19.5" customHeight="1" spans="1:48">
      <c r="A39" s="2590">
        <v>1</v>
      </c>
      <c r="B39" s="2590"/>
      <c r="C39" s="2590"/>
      <c r="D39" s="2591">
        <v>2</v>
      </c>
      <c r="E39" s="2590"/>
      <c r="F39" s="2590"/>
      <c r="G39" s="2590"/>
      <c r="H39" s="2590"/>
      <c r="I39" s="2590"/>
      <c r="J39" s="2590"/>
      <c r="K39" s="2590"/>
      <c r="L39" s="2590"/>
      <c r="M39" s="2590"/>
      <c r="N39" s="2590"/>
      <c r="O39" s="2590"/>
      <c r="P39" s="2590"/>
      <c r="Q39" s="2590"/>
      <c r="R39" s="2590"/>
      <c r="S39" s="2590"/>
      <c r="T39" s="2590"/>
      <c r="U39" s="2590"/>
      <c r="V39" s="2590"/>
      <c r="W39" s="2590"/>
      <c r="X39" s="2590"/>
      <c r="Y39" s="2590"/>
      <c r="Z39" s="2590">
        <v>3</v>
      </c>
      <c r="AA39" s="2590"/>
      <c r="AB39" s="2590"/>
      <c r="AC39" s="2590">
        <v>4</v>
      </c>
      <c r="AD39" s="2590"/>
      <c r="AE39" s="2590"/>
      <c r="AF39" s="2590">
        <v>5</v>
      </c>
      <c r="AG39" s="2590"/>
      <c r="AH39" s="2590"/>
      <c r="AI39" s="2590">
        <v>6</v>
      </c>
      <c r="AJ39" s="2590"/>
      <c r="AK39" s="2590"/>
      <c r="AL39" s="2590"/>
      <c r="AM39" s="2590"/>
      <c r="AN39" s="2590"/>
      <c r="AO39" s="2590"/>
      <c r="AP39" s="2590">
        <v>7</v>
      </c>
      <c r="AQ39" s="2590"/>
      <c r="AR39" s="2590"/>
      <c r="AS39" s="2590"/>
      <c r="AT39" s="2590"/>
      <c r="AU39" s="2590"/>
      <c r="AV39" s="2590"/>
    </row>
    <row r="40" s="1340" customFormat="1" ht="19.5" customHeight="1" spans="1:48">
      <c r="A40" s="2562" t="str">
        <f>'Konta_Pozicije BOS'!A296</f>
        <v>2.8.</v>
      </c>
      <c r="B40" s="2562"/>
      <c r="C40" s="2562"/>
      <c r="D40" s="1436" t="str">
        <f>Text!B446</f>
        <v>Prilivi po osnovu prodaje biološke imovine</v>
      </c>
      <c r="E40" s="1437"/>
      <c r="F40" s="1437"/>
      <c r="G40" s="1437"/>
      <c r="H40" s="1437"/>
      <c r="I40" s="1437"/>
      <c r="J40" s="1437"/>
      <c r="K40" s="1437"/>
      <c r="L40" s="1437"/>
      <c r="M40" s="1437"/>
      <c r="N40" s="1437"/>
      <c r="O40" s="1437"/>
      <c r="P40" s="1437"/>
      <c r="Q40" s="1437"/>
      <c r="R40" s="1437"/>
      <c r="S40" s="1437"/>
      <c r="T40" s="1437"/>
      <c r="U40" s="1437"/>
      <c r="V40" s="1437"/>
      <c r="W40" s="1437"/>
      <c r="X40" s="1437"/>
      <c r="Y40" s="2563"/>
      <c r="Z40" s="2564"/>
      <c r="AA40" s="2564"/>
      <c r="AB40" s="2564"/>
      <c r="AC40" s="2565" t="s">
        <v>7134</v>
      </c>
      <c r="AD40" s="2565"/>
      <c r="AE40" s="2565"/>
      <c r="AF40" s="1372" t="s">
        <v>4580</v>
      </c>
      <c r="AG40" s="2566"/>
      <c r="AH40" s="1404"/>
      <c r="AI40" s="2567">
        <f>UnosPod!O1018</f>
        <v>0</v>
      </c>
      <c r="AJ40" s="2567"/>
      <c r="AK40" s="2567"/>
      <c r="AL40" s="2567"/>
      <c r="AM40" s="2567"/>
      <c r="AN40" s="2567"/>
      <c r="AO40" s="2567"/>
      <c r="AP40" s="2567">
        <f>Prethodna_2024!B383</f>
        <v>0</v>
      </c>
      <c r="AQ40" s="2567"/>
      <c r="AR40" s="2567"/>
      <c r="AS40" s="2567"/>
      <c r="AT40" s="2567"/>
      <c r="AU40" s="2567"/>
      <c r="AV40" s="2567"/>
    </row>
    <row r="41" s="1340" customFormat="1" ht="19.5" customHeight="1" spans="1:48">
      <c r="A41" s="2562" t="str">
        <f>'Konta_Pozicije BOS'!A297</f>
        <v>2.9.</v>
      </c>
      <c r="B41" s="2562"/>
      <c r="C41" s="2562"/>
      <c r="D41" s="1436" t="str">
        <f>Text!B447</f>
        <v>Prilivi po osnovu prodaje dugoročne imovine namijenjene prodaji</v>
      </c>
      <c r="E41" s="1437"/>
      <c r="F41" s="1437"/>
      <c r="G41" s="1437"/>
      <c r="H41" s="1437"/>
      <c r="I41" s="1437"/>
      <c r="J41" s="1437"/>
      <c r="K41" s="1437"/>
      <c r="L41" s="1437"/>
      <c r="M41" s="1437"/>
      <c r="N41" s="1437"/>
      <c r="O41" s="1437"/>
      <c r="P41" s="1437"/>
      <c r="Q41" s="1437"/>
      <c r="R41" s="1437"/>
      <c r="S41" s="1437"/>
      <c r="T41" s="1437"/>
      <c r="U41" s="1437"/>
      <c r="V41" s="1437"/>
      <c r="W41" s="1437"/>
      <c r="X41" s="1437"/>
      <c r="Y41" s="2563"/>
      <c r="Z41" s="2564"/>
      <c r="AA41" s="2564"/>
      <c r="AB41" s="2564"/>
      <c r="AC41" s="2565" t="s">
        <v>7134</v>
      </c>
      <c r="AD41" s="2565"/>
      <c r="AE41" s="2565"/>
      <c r="AF41" s="1372" t="s">
        <v>4581</v>
      </c>
      <c r="AG41" s="2566"/>
      <c r="AH41" s="1404"/>
      <c r="AI41" s="2567">
        <f>UnosPod!O1019</f>
        <v>0</v>
      </c>
      <c r="AJ41" s="2567"/>
      <c r="AK41" s="2567"/>
      <c r="AL41" s="2567"/>
      <c r="AM41" s="2567"/>
      <c r="AN41" s="2567"/>
      <c r="AO41" s="2567"/>
      <c r="AP41" s="2567">
        <f>Prethodna_2024!B384</f>
        <v>0</v>
      </c>
      <c r="AQ41" s="2567"/>
      <c r="AR41" s="2567"/>
      <c r="AS41" s="2567"/>
      <c r="AT41" s="2567"/>
      <c r="AU41" s="2567"/>
      <c r="AV41" s="2567"/>
    </row>
    <row r="42" s="1340" customFormat="1" ht="19.5" customHeight="1" spans="1:48">
      <c r="A42" s="2562" t="str">
        <f>'Konta_Pozicije BOS'!A298</f>
        <v>2.10.</v>
      </c>
      <c r="B42" s="2562"/>
      <c r="C42" s="2562"/>
      <c r="D42" s="1436" t="str">
        <f>Text!B448</f>
        <v>Ulaganja u finansijsku imovinu po fer vrijednosti kroz ostali ukupni rezultat</v>
      </c>
      <c r="E42" s="1437"/>
      <c r="F42" s="1437"/>
      <c r="G42" s="1437"/>
      <c r="H42" s="1437"/>
      <c r="I42" s="1437"/>
      <c r="J42" s="1437"/>
      <c r="K42" s="1437"/>
      <c r="L42" s="1437"/>
      <c r="M42" s="1437"/>
      <c r="N42" s="1437"/>
      <c r="O42" s="1437"/>
      <c r="P42" s="1437"/>
      <c r="Q42" s="1437"/>
      <c r="R42" s="1437"/>
      <c r="S42" s="1437"/>
      <c r="T42" s="1437"/>
      <c r="U42" s="1437"/>
      <c r="V42" s="1437"/>
      <c r="W42" s="1437"/>
      <c r="X42" s="1437"/>
      <c r="Y42" s="2563"/>
      <c r="Z42" s="2564"/>
      <c r="AA42" s="2564"/>
      <c r="AB42" s="2564"/>
      <c r="AC42" s="2565" t="s">
        <v>5756</v>
      </c>
      <c r="AD42" s="2565"/>
      <c r="AE42" s="2565"/>
      <c r="AF42" s="1372" t="s">
        <v>4582</v>
      </c>
      <c r="AG42" s="2566"/>
      <c r="AH42" s="1404"/>
      <c r="AI42" s="2567">
        <f>UnosPod!H1005*-1</f>
        <v>0</v>
      </c>
      <c r="AJ42" s="2567"/>
      <c r="AK42" s="2567"/>
      <c r="AL42" s="2567"/>
      <c r="AM42" s="2567"/>
      <c r="AN42" s="2567"/>
      <c r="AO42" s="2567"/>
      <c r="AP42" s="2567">
        <f>Prethodna_2024!B385</f>
        <v>0</v>
      </c>
      <c r="AQ42" s="2567"/>
      <c r="AR42" s="2567"/>
      <c r="AS42" s="2567"/>
      <c r="AT42" s="2567"/>
      <c r="AU42" s="2567"/>
      <c r="AV42" s="2567"/>
    </row>
    <row r="43" s="1340" customFormat="1" ht="19.5" customHeight="1" spans="1:48">
      <c r="A43" s="2562" t="str">
        <f>'Konta_Pozicije BOS'!A299</f>
        <v>2.11.</v>
      </c>
      <c r="B43" s="2562"/>
      <c r="C43" s="2562"/>
      <c r="D43" s="1436" t="str">
        <f>Text!B449</f>
        <v>Prilivi od finansijske imovine po fer vrijednosti kroz ostali ukupni rezultat</v>
      </c>
      <c r="E43" s="1437"/>
      <c r="F43" s="1437"/>
      <c r="G43" s="1437"/>
      <c r="H43" s="1437"/>
      <c r="I43" s="1437"/>
      <c r="J43" s="1437"/>
      <c r="K43" s="1437"/>
      <c r="L43" s="1437"/>
      <c r="M43" s="1437"/>
      <c r="N43" s="1437"/>
      <c r="O43" s="1437"/>
      <c r="P43" s="1437"/>
      <c r="Q43" s="1437"/>
      <c r="R43" s="1437"/>
      <c r="S43" s="1437"/>
      <c r="T43" s="1437"/>
      <c r="U43" s="1437"/>
      <c r="V43" s="1437"/>
      <c r="W43" s="1437"/>
      <c r="X43" s="1437"/>
      <c r="Y43" s="2563"/>
      <c r="Z43" s="2564"/>
      <c r="AA43" s="2564"/>
      <c r="AB43" s="2564"/>
      <c r="AC43" s="2565" t="s">
        <v>7134</v>
      </c>
      <c r="AD43" s="2565"/>
      <c r="AE43" s="2565"/>
      <c r="AF43" s="1372" t="s">
        <v>4583</v>
      </c>
      <c r="AG43" s="2566"/>
      <c r="AH43" s="1404"/>
      <c r="AI43" s="2567">
        <f>UnosPod!O1005</f>
        <v>0</v>
      </c>
      <c r="AJ43" s="2567"/>
      <c r="AK43" s="2567"/>
      <c r="AL43" s="2567"/>
      <c r="AM43" s="2567"/>
      <c r="AN43" s="2567"/>
      <c r="AO43" s="2567"/>
      <c r="AP43" s="2567">
        <f>Prethodna_2024!B386</f>
        <v>0</v>
      </c>
      <c r="AQ43" s="2567"/>
      <c r="AR43" s="2567"/>
      <c r="AS43" s="2567"/>
      <c r="AT43" s="2567"/>
      <c r="AU43" s="2567"/>
      <c r="AV43" s="2567"/>
    </row>
    <row r="44" s="1340" customFormat="1" ht="19.5" customHeight="1" spans="1:48">
      <c r="A44" s="2562" t="str">
        <f>'Konta_Pozicije BOS'!A300</f>
        <v>2.12.</v>
      </c>
      <c r="B44" s="2562"/>
      <c r="C44" s="2562"/>
      <c r="D44" s="1436" t="str">
        <f>Text!B450</f>
        <v>Ulaganja u finansijsku imovinu po fer vrijednosti kroz bilans uspjeha</v>
      </c>
      <c r="E44" s="1437"/>
      <c r="F44" s="1437"/>
      <c r="G44" s="1437"/>
      <c r="H44" s="1437"/>
      <c r="I44" s="1437"/>
      <c r="J44" s="1437"/>
      <c r="K44" s="1437"/>
      <c r="L44" s="1437"/>
      <c r="M44" s="1437"/>
      <c r="N44" s="1437"/>
      <c r="O44" s="1437"/>
      <c r="P44" s="1437"/>
      <c r="Q44" s="1437"/>
      <c r="R44" s="1437"/>
      <c r="S44" s="1437"/>
      <c r="T44" s="1437"/>
      <c r="U44" s="1437"/>
      <c r="V44" s="1437"/>
      <c r="W44" s="1437"/>
      <c r="X44" s="1437"/>
      <c r="Y44" s="2563"/>
      <c r="Z44" s="2564"/>
      <c r="AA44" s="2564"/>
      <c r="AB44" s="2564"/>
      <c r="AC44" s="2565" t="s">
        <v>5756</v>
      </c>
      <c r="AD44" s="2565"/>
      <c r="AE44" s="2565"/>
      <c r="AF44" s="1372" t="s">
        <v>4584</v>
      </c>
      <c r="AG44" s="2566"/>
      <c r="AH44" s="1404"/>
      <c r="AI44" s="2567">
        <f>UnosPod!H1038*-1</f>
        <v>0</v>
      </c>
      <c r="AJ44" s="2567"/>
      <c r="AK44" s="2567"/>
      <c r="AL44" s="2567"/>
      <c r="AM44" s="2567"/>
      <c r="AN44" s="2567"/>
      <c r="AO44" s="2567"/>
      <c r="AP44" s="2567">
        <f>Prethodna_2024!B387</f>
        <v>0</v>
      </c>
      <c r="AQ44" s="2567"/>
      <c r="AR44" s="2567"/>
      <c r="AS44" s="2567"/>
      <c r="AT44" s="2567"/>
      <c r="AU44" s="2567"/>
      <c r="AV44" s="2567"/>
    </row>
    <row r="45" s="1340" customFormat="1" ht="19.5" customHeight="1" spans="1:48">
      <c r="A45" s="2562" t="str">
        <f>'Konta_Pozicije BOS'!A301</f>
        <v>2.13.</v>
      </c>
      <c r="B45" s="2562"/>
      <c r="C45" s="2562"/>
      <c r="D45" s="1436" t="str">
        <f>Text!B451</f>
        <v>Prilivi od finansijske imovine po fer vrijednosti kroz bilans uspjeha</v>
      </c>
      <c r="E45" s="1437"/>
      <c r="F45" s="1437"/>
      <c r="G45" s="1437"/>
      <c r="H45" s="1437"/>
      <c r="I45" s="1437"/>
      <c r="J45" s="1437"/>
      <c r="K45" s="1437"/>
      <c r="L45" s="1437"/>
      <c r="M45" s="1437"/>
      <c r="N45" s="1437"/>
      <c r="O45" s="1437"/>
      <c r="P45" s="1437"/>
      <c r="Q45" s="1437"/>
      <c r="R45" s="1437"/>
      <c r="S45" s="1437"/>
      <c r="T45" s="1437"/>
      <c r="U45" s="1437"/>
      <c r="V45" s="1437"/>
      <c r="W45" s="1437"/>
      <c r="X45" s="1437"/>
      <c r="Y45" s="2563"/>
      <c r="Z45" s="2564"/>
      <c r="AA45" s="2564"/>
      <c r="AB45" s="2564"/>
      <c r="AC45" s="2565" t="s">
        <v>7134</v>
      </c>
      <c r="AD45" s="2565"/>
      <c r="AE45" s="2565"/>
      <c r="AF45" s="1372" t="s">
        <v>4585</v>
      </c>
      <c r="AG45" s="2566"/>
      <c r="AH45" s="1404"/>
      <c r="AI45" s="2567">
        <f>UnosPod!O1038</f>
        <v>0</v>
      </c>
      <c r="AJ45" s="2567"/>
      <c r="AK45" s="2567"/>
      <c r="AL45" s="2567"/>
      <c r="AM45" s="2567"/>
      <c r="AN45" s="2567"/>
      <c r="AO45" s="2567"/>
      <c r="AP45" s="2567">
        <f>Prethodna_2024!B388</f>
        <v>0</v>
      </c>
      <c r="AQ45" s="2567"/>
      <c r="AR45" s="2567"/>
      <c r="AS45" s="2567"/>
      <c r="AT45" s="2567"/>
      <c r="AU45" s="2567"/>
      <c r="AV45" s="2567"/>
    </row>
    <row r="46" s="1340" customFormat="1" ht="19.5" customHeight="1" spans="1:48">
      <c r="A46" s="2562" t="str">
        <f>'Konta_Pozicije BOS'!A302</f>
        <v>2.14.</v>
      </c>
      <c r="B46" s="2562"/>
      <c r="C46" s="2562"/>
      <c r="D46" s="1436" t="str">
        <f>Text!B452</f>
        <v>Ulaganja u ostalu finansijsku imovinu po amortizovanom trošku</v>
      </c>
      <c r="E46" s="1437"/>
      <c r="F46" s="1437"/>
      <c r="G46" s="1437"/>
      <c r="H46" s="1437"/>
      <c r="I46" s="1437"/>
      <c r="J46" s="1437"/>
      <c r="K46" s="1437"/>
      <c r="L46" s="1437"/>
      <c r="M46" s="1437"/>
      <c r="N46" s="1437"/>
      <c r="O46" s="1437"/>
      <c r="P46" s="1437"/>
      <c r="Q46" s="1437"/>
      <c r="R46" s="1437"/>
      <c r="S46" s="1437"/>
      <c r="T46" s="1437"/>
      <c r="U46" s="1437"/>
      <c r="V46" s="1437"/>
      <c r="W46" s="1437"/>
      <c r="X46" s="1437"/>
      <c r="Y46" s="2563"/>
      <c r="Z46" s="2564"/>
      <c r="AA46" s="2564"/>
      <c r="AB46" s="2564"/>
      <c r="AC46" s="2565" t="s">
        <v>5756</v>
      </c>
      <c r="AD46" s="2565"/>
      <c r="AE46" s="2565"/>
      <c r="AF46" s="1372" t="s">
        <v>4586</v>
      </c>
      <c r="AG46" s="2566"/>
      <c r="AH46" s="1404"/>
      <c r="AI46" s="2567">
        <f>UnosPod!H1037*-1</f>
        <v>0</v>
      </c>
      <c r="AJ46" s="2567"/>
      <c r="AK46" s="2567"/>
      <c r="AL46" s="2567"/>
      <c r="AM46" s="2567"/>
      <c r="AN46" s="2567"/>
      <c r="AO46" s="2567"/>
      <c r="AP46" s="2567">
        <f>Prethodna_2024!B389</f>
        <v>0</v>
      </c>
      <c r="AQ46" s="2567"/>
      <c r="AR46" s="2567"/>
      <c r="AS46" s="2567"/>
      <c r="AT46" s="2567"/>
      <c r="AU46" s="2567"/>
      <c r="AV46" s="2567"/>
    </row>
    <row r="47" s="1340" customFormat="1" ht="19.5" customHeight="1" spans="1:48">
      <c r="A47" s="2562" t="str">
        <f>'Konta_Pozicije BOS'!A303</f>
        <v>2.15.</v>
      </c>
      <c r="B47" s="2562"/>
      <c r="C47" s="2562"/>
      <c r="D47" s="1436" t="str">
        <f>Text!B453</f>
        <v>Prilivi od ostale finansijske imovine po amortizovanom trošku</v>
      </c>
      <c r="E47" s="1437"/>
      <c r="F47" s="1437"/>
      <c r="G47" s="1437"/>
      <c r="H47" s="1437"/>
      <c r="I47" s="1437"/>
      <c r="J47" s="1437"/>
      <c r="K47" s="1437"/>
      <c r="L47" s="1437"/>
      <c r="M47" s="1437"/>
      <c r="N47" s="1437"/>
      <c r="O47" s="1437"/>
      <c r="P47" s="1437"/>
      <c r="Q47" s="1437"/>
      <c r="R47" s="1437"/>
      <c r="S47" s="1437"/>
      <c r="T47" s="1437"/>
      <c r="U47" s="1437"/>
      <c r="V47" s="1437"/>
      <c r="W47" s="1437"/>
      <c r="X47" s="1437"/>
      <c r="Y47" s="2563"/>
      <c r="Z47" s="2564"/>
      <c r="AA47" s="2564"/>
      <c r="AB47" s="2564"/>
      <c r="AC47" s="2565" t="s">
        <v>7134</v>
      </c>
      <c r="AD47" s="2565"/>
      <c r="AE47" s="2565"/>
      <c r="AF47" s="1372" t="s">
        <v>4587</v>
      </c>
      <c r="AG47" s="2566"/>
      <c r="AH47" s="1404"/>
      <c r="AI47" s="2567">
        <f>UnosPod!O1037</f>
        <v>0</v>
      </c>
      <c r="AJ47" s="2567"/>
      <c r="AK47" s="2567"/>
      <c r="AL47" s="2567"/>
      <c r="AM47" s="2567"/>
      <c r="AN47" s="2567"/>
      <c r="AO47" s="2567"/>
      <c r="AP47" s="2567">
        <f>Prethodna_2024!B390</f>
        <v>0</v>
      </c>
      <c r="AQ47" s="2567"/>
      <c r="AR47" s="2567"/>
      <c r="AS47" s="2567"/>
      <c r="AT47" s="2567"/>
      <c r="AU47" s="2567"/>
      <c r="AV47" s="2567"/>
    </row>
    <row r="48" s="1340" customFormat="1" ht="19.5" customHeight="1" spans="1:48">
      <c r="A48" s="2562" t="str">
        <f>'Konta_Pozicije BOS'!A304</f>
        <v>2.16.</v>
      </c>
      <c r="B48" s="2562"/>
      <c r="C48" s="2562"/>
      <c r="D48" s="1436" t="str">
        <f>Text!B454</f>
        <v>Primljena kamata i prihod od finansijskog najma</v>
      </c>
      <c r="E48" s="1437"/>
      <c r="F48" s="1437"/>
      <c r="G48" s="1437"/>
      <c r="H48" s="1437"/>
      <c r="I48" s="1437"/>
      <c r="J48" s="1437"/>
      <c r="K48" s="1437"/>
      <c r="L48" s="1437"/>
      <c r="M48" s="1437"/>
      <c r="N48" s="1437"/>
      <c r="O48" s="1437"/>
      <c r="P48" s="1437"/>
      <c r="Q48" s="1437"/>
      <c r="R48" s="1437"/>
      <c r="S48" s="1437"/>
      <c r="T48" s="1437"/>
      <c r="U48" s="1437"/>
      <c r="V48" s="1437"/>
      <c r="W48" s="1437"/>
      <c r="X48" s="1437"/>
      <c r="Y48" s="2563"/>
      <c r="Z48" s="2564"/>
      <c r="AA48" s="2564"/>
      <c r="AB48" s="2564"/>
      <c r="AC48" s="2565" t="s">
        <v>7134</v>
      </c>
      <c r="AD48" s="2565"/>
      <c r="AE48" s="2565"/>
      <c r="AF48" s="1372" t="s">
        <v>4588</v>
      </c>
      <c r="AG48" s="2566"/>
      <c r="AH48" s="1404"/>
      <c r="AI48" s="2567">
        <f>SUM(UnosPod!O1023:U1027)</f>
        <v>0</v>
      </c>
      <c r="AJ48" s="2567"/>
      <c r="AK48" s="2567"/>
      <c r="AL48" s="2567"/>
      <c r="AM48" s="2567"/>
      <c r="AN48" s="2567"/>
      <c r="AO48" s="2567"/>
      <c r="AP48" s="2567">
        <f>Prethodna_2024!B391</f>
        <v>0</v>
      </c>
      <c r="AQ48" s="2567"/>
      <c r="AR48" s="2567"/>
      <c r="AS48" s="2567"/>
      <c r="AT48" s="2567"/>
      <c r="AU48" s="2567"/>
      <c r="AV48" s="2567"/>
    </row>
    <row r="49" s="1340" customFormat="1" ht="19.5" customHeight="1" spans="1:48">
      <c r="A49" s="2562" t="str">
        <f>'Konta_Pozicije BOS'!A305</f>
        <v>2.17.</v>
      </c>
      <c r="B49" s="2562"/>
      <c r="C49" s="2562"/>
      <c r="D49" s="1436" t="str">
        <f>Text!B455</f>
        <v>Naplaćena potraživanja od finansijskog najma</v>
      </c>
      <c r="E49" s="1437"/>
      <c r="F49" s="1437"/>
      <c r="G49" s="1437"/>
      <c r="H49" s="1437"/>
      <c r="I49" s="1437"/>
      <c r="J49" s="1437"/>
      <c r="K49" s="1437"/>
      <c r="L49" s="1437"/>
      <c r="M49" s="1437"/>
      <c r="N49" s="1437"/>
      <c r="O49" s="1437"/>
      <c r="P49" s="1437"/>
      <c r="Q49" s="1437"/>
      <c r="R49" s="1437"/>
      <c r="S49" s="1437"/>
      <c r="T49" s="1437"/>
      <c r="U49" s="1437"/>
      <c r="V49" s="1437"/>
      <c r="W49" s="1437"/>
      <c r="X49" s="1437"/>
      <c r="Y49" s="2563"/>
      <c r="Z49" s="2564"/>
      <c r="AA49" s="2564"/>
      <c r="AB49" s="2564"/>
      <c r="AC49" s="2565" t="s">
        <v>7134</v>
      </c>
      <c r="AD49" s="2565"/>
      <c r="AE49" s="2565"/>
      <c r="AF49" s="1372" t="s">
        <v>4589</v>
      </c>
      <c r="AG49" s="2566"/>
      <c r="AH49" s="1404"/>
      <c r="AI49" s="2567">
        <f>UnosPod!O1011+UnosPod!O1039</f>
        <v>0</v>
      </c>
      <c r="AJ49" s="2567"/>
      <c r="AK49" s="2567"/>
      <c r="AL49" s="2567"/>
      <c r="AM49" s="2567"/>
      <c r="AN49" s="2567"/>
      <c r="AO49" s="2567"/>
      <c r="AP49" s="2567">
        <f>Prethodna_2024!B392</f>
        <v>0</v>
      </c>
      <c r="AQ49" s="2567"/>
      <c r="AR49" s="2567"/>
      <c r="AS49" s="2567"/>
      <c r="AT49" s="2567"/>
      <c r="AU49" s="2567"/>
      <c r="AV49" s="2567"/>
    </row>
    <row r="50" s="1340" customFormat="1" ht="19.5" customHeight="1" spans="1:48">
      <c r="A50" s="2562" t="str">
        <f>'Konta_Pozicije BOS'!A306</f>
        <v>2.18.</v>
      </c>
      <c r="B50" s="2562"/>
      <c r="C50" s="2562"/>
      <c r="D50" s="1436" t="str">
        <f>Text!B456</f>
        <v>Naplaćena potraživanja od finansijskog podnajma</v>
      </c>
      <c r="E50" s="1437"/>
      <c r="F50" s="1437"/>
      <c r="G50" s="1437"/>
      <c r="H50" s="1437"/>
      <c r="I50" s="1437"/>
      <c r="J50" s="1437"/>
      <c r="K50" s="1437"/>
      <c r="L50" s="1437"/>
      <c r="M50" s="1437"/>
      <c r="N50" s="1437"/>
      <c r="O50" s="1437"/>
      <c r="P50" s="1437"/>
      <c r="Q50" s="1437"/>
      <c r="R50" s="1437"/>
      <c r="S50" s="1437"/>
      <c r="T50" s="1437"/>
      <c r="U50" s="1437"/>
      <c r="V50" s="1437"/>
      <c r="W50" s="1437"/>
      <c r="X50" s="1437"/>
      <c r="Y50" s="2563"/>
      <c r="Z50" s="2564"/>
      <c r="AA50" s="2564"/>
      <c r="AB50" s="2564"/>
      <c r="AC50" s="2565" t="s">
        <v>7134</v>
      </c>
      <c r="AD50" s="2565"/>
      <c r="AE50" s="2565"/>
      <c r="AF50" s="1372" t="s">
        <v>4590</v>
      </c>
      <c r="AG50" s="2566"/>
      <c r="AH50" s="1404"/>
      <c r="AI50" s="2567">
        <f>UnosPod!O1040</f>
        <v>0</v>
      </c>
      <c r="AJ50" s="2567"/>
      <c r="AK50" s="2567"/>
      <c r="AL50" s="2567"/>
      <c r="AM50" s="2567"/>
      <c r="AN50" s="2567"/>
      <c r="AO50" s="2567"/>
      <c r="AP50" s="2567">
        <f>Prethodna_2024!B393</f>
        <v>0</v>
      </c>
      <c r="AQ50" s="2567"/>
      <c r="AR50" s="2567"/>
      <c r="AS50" s="2567"/>
      <c r="AT50" s="2567"/>
      <c r="AU50" s="2567"/>
      <c r="AV50" s="2567"/>
    </row>
    <row r="51" s="1340" customFormat="1" ht="19.5" customHeight="1" spans="1:48">
      <c r="A51" s="2562" t="str">
        <f>'Konta_Pozicije BOS'!A307</f>
        <v>2.19.</v>
      </c>
      <c r="B51" s="2562"/>
      <c r="C51" s="2562"/>
      <c r="D51" s="1436" t="str">
        <f>Text!B457</f>
        <v>Kupovina udjela u zavisnim društvima</v>
      </c>
      <c r="E51" s="1437"/>
      <c r="F51" s="1437"/>
      <c r="G51" s="1437"/>
      <c r="H51" s="1437"/>
      <c r="I51" s="1437"/>
      <c r="J51" s="1437"/>
      <c r="K51" s="1437"/>
      <c r="L51" s="1437"/>
      <c r="M51" s="1437"/>
      <c r="N51" s="1437"/>
      <c r="O51" s="1437"/>
      <c r="P51" s="1437"/>
      <c r="Q51" s="1437"/>
      <c r="R51" s="1437"/>
      <c r="S51" s="1437"/>
      <c r="T51" s="1437"/>
      <c r="U51" s="1437"/>
      <c r="V51" s="1437"/>
      <c r="W51" s="1437"/>
      <c r="X51" s="1437"/>
      <c r="Y51" s="2563"/>
      <c r="Z51" s="2564"/>
      <c r="AA51" s="2564"/>
      <c r="AB51" s="2564"/>
      <c r="AC51" s="2565" t="s">
        <v>5756</v>
      </c>
      <c r="AD51" s="2565"/>
      <c r="AE51" s="2565"/>
      <c r="AF51" s="1372" t="s">
        <v>4591</v>
      </c>
      <c r="AG51" s="2566"/>
      <c r="AH51" s="1404"/>
      <c r="AI51" s="2567">
        <f>UnosPod!H1000*-1</f>
        <v>0</v>
      </c>
      <c r="AJ51" s="2567"/>
      <c r="AK51" s="2567"/>
      <c r="AL51" s="2567"/>
      <c r="AM51" s="2567"/>
      <c r="AN51" s="2567"/>
      <c r="AO51" s="2567"/>
      <c r="AP51" s="2567">
        <f>Prethodna_2024!B394</f>
        <v>0</v>
      </c>
      <c r="AQ51" s="2567"/>
      <c r="AR51" s="2567"/>
      <c r="AS51" s="2567"/>
      <c r="AT51" s="2567"/>
      <c r="AU51" s="2567"/>
      <c r="AV51" s="2567"/>
    </row>
    <row r="52" s="1340" customFormat="1" ht="19.5" customHeight="1" spans="1:48">
      <c r="A52" s="2562" t="str">
        <f>'Konta_Pozicije BOS'!A308</f>
        <v>2.20.</v>
      </c>
      <c r="B52" s="2562"/>
      <c r="C52" s="2562"/>
      <c r="D52" s="1436" t="str">
        <f>Text!B458</f>
        <v>Prilivi od otuđenja udjela u zavisnim društvima</v>
      </c>
      <c r="E52" s="1437"/>
      <c r="F52" s="1437"/>
      <c r="G52" s="1437"/>
      <c r="H52" s="1437"/>
      <c r="I52" s="1437"/>
      <c r="J52" s="1437"/>
      <c r="K52" s="1437"/>
      <c r="L52" s="1437"/>
      <c r="M52" s="1437"/>
      <c r="N52" s="1437"/>
      <c r="O52" s="1437"/>
      <c r="P52" s="1437"/>
      <c r="Q52" s="1437"/>
      <c r="R52" s="1437"/>
      <c r="S52" s="1437"/>
      <c r="T52" s="1437"/>
      <c r="U52" s="1437"/>
      <c r="V52" s="1437"/>
      <c r="W52" s="1437"/>
      <c r="X52" s="1437"/>
      <c r="Y52" s="2563"/>
      <c r="Z52" s="2564"/>
      <c r="AA52" s="2564"/>
      <c r="AB52" s="2564"/>
      <c r="AC52" s="2565" t="s">
        <v>7134</v>
      </c>
      <c r="AD52" s="2565"/>
      <c r="AE52" s="2565"/>
      <c r="AF52" s="1372" t="s">
        <v>4592</v>
      </c>
      <c r="AG52" s="2566"/>
      <c r="AH52" s="1404"/>
      <c r="AI52" s="2567">
        <f>UnosPod!O1000</f>
        <v>0</v>
      </c>
      <c r="AJ52" s="2567"/>
      <c r="AK52" s="2567"/>
      <c r="AL52" s="2567"/>
      <c r="AM52" s="2567"/>
      <c r="AN52" s="2567"/>
      <c r="AO52" s="2567"/>
      <c r="AP52" s="2567">
        <f>Prethodna_2024!B395</f>
        <v>0</v>
      </c>
      <c r="AQ52" s="2567"/>
      <c r="AR52" s="2567"/>
      <c r="AS52" s="2567"/>
      <c r="AT52" s="2567"/>
      <c r="AU52" s="2567"/>
      <c r="AV52" s="2567"/>
    </row>
    <row r="53" s="1340" customFormat="1" ht="19.5" customHeight="1" spans="1:48">
      <c r="A53" s="2562" t="str">
        <f>'Konta_Pozicije BOS'!A309</f>
        <v>2.21.</v>
      </c>
      <c r="B53" s="2562"/>
      <c r="C53" s="2562"/>
      <c r="D53" s="1436" t="str">
        <f>Text!B459</f>
        <v>Kupovina udjela u pridruženim društvima</v>
      </c>
      <c r="E53" s="1437"/>
      <c r="F53" s="1437"/>
      <c r="G53" s="1437"/>
      <c r="H53" s="1437"/>
      <c r="I53" s="1437"/>
      <c r="J53" s="1437"/>
      <c r="K53" s="1437"/>
      <c r="L53" s="1437"/>
      <c r="M53" s="1437"/>
      <c r="N53" s="1437"/>
      <c r="O53" s="1437"/>
      <c r="P53" s="1437"/>
      <c r="Q53" s="1437"/>
      <c r="R53" s="1437"/>
      <c r="S53" s="1437"/>
      <c r="T53" s="1437"/>
      <c r="U53" s="1437"/>
      <c r="V53" s="1437"/>
      <c r="W53" s="1437"/>
      <c r="X53" s="1437"/>
      <c r="Y53" s="2563"/>
      <c r="Z53" s="2564"/>
      <c r="AA53" s="2564"/>
      <c r="AB53" s="2564"/>
      <c r="AC53" s="2565" t="s">
        <v>5756</v>
      </c>
      <c r="AD53" s="2565"/>
      <c r="AE53" s="2565"/>
      <c r="AF53" s="1372" t="s">
        <v>4593</v>
      </c>
      <c r="AG53" s="2566"/>
      <c r="AH53" s="1404"/>
      <c r="AI53" s="2567">
        <f>UnosPod!H1001*-1</f>
        <v>0</v>
      </c>
      <c r="AJ53" s="2567"/>
      <c r="AK53" s="2567"/>
      <c r="AL53" s="2567"/>
      <c r="AM53" s="2567"/>
      <c r="AN53" s="2567"/>
      <c r="AO53" s="2567"/>
      <c r="AP53" s="2567">
        <f>Prethodna_2024!B396</f>
        <v>0</v>
      </c>
      <c r="AQ53" s="2567"/>
      <c r="AR53" s="2567"/>
      <c r="AS53" s="2567"/>
      <c r="AT53" s="2567"/>
      <c r="AU53" s="2567"/>
      <c r="AV53" s="2567"/>
    </row>
    <row r="54" s="1340" customFormat="1" ht="19.5" customHeight="1" spans="1:48">
      <c r="A54" s="2562" t="str">
        <f>'Konta_Pozicije BOS'!A310</f>
        <v>2.22.</v>
      </c>
      <c r="B54" s="2562"/>
      <c r="C54" s="2562"/>
      <c r="D54" s="1436" t="str">
        <f>Text!B460</f>
        <v>Prilivi od otuđenja udjela u pridruženim društvima</v>
      </c>
      <c r="E54" s="1437"/>
      <c r="F54" s="1437"/>
      <c r="G54" s="1437"/>
      <c r="H54" s="1437"/>
      <c r="I54" s="1437"/>
      <c r="J54" s="1437"/>
      <c r="K54" s="1437"/>
      <c r="L54" s="1437"/>
      <c r="M54" s="1437"/>
      <c r="N54" s="1437"/>
      <c r="O54" s="1437"/>
      <c r="P54" s="1437"/>
      <c r="Q54" s="1437"/>
      <c r="R54" s="1437"/>
      <c r="S54" s="1437"/>
      <c r="T54" s="1437"/>
      <c r="U54" s="1437"/>
      <c r="V54" s="1437"/>
      <c r="W54" s="1437"/>
      <c r="X54" s="1437"/>
      <c r="Y54" s="2563"/>
      <c r="Z54" s="2564"/>
      <c r="AA54" s="2564"/>
      <c r="AB54" s="2564"/>
      <c r="AC54" s="2565" t="s">
        <v>7134</v>
      </c>
      <c r="AD54" s="2565"/>
      <c r="AE54" s="2565"/>
      <c r="AF54" s="1372" t="s">
        <v>4594</v>
      </c>
      <c r="AG54" s="2566"/>
      <c r="AH54" s="1404"/>
      <c r="AI54" s="2567">
        <f>UnosPod!O1001</f>
        <v>0</v>
      </c>
      <c r="AJ54" s="2567"/>
      <c r="AK54" s="2567"/>
      <c r="AL54" s="2567"/>
      <c r="AM54" s="2567"/>
      <c r="AN54" s="2567"/>
      <c r="AO54" s="2567"/>
      <c r="AP54" s="2567">
        <f>Prethodna_2024!B397</f>
        <v>0</v>
      </c>
      <c r="AQ54" s="2567"/>
      <c r="AR54" s="2567"/>
      <c r="AS54" s="2567"/>
      <c r="AT54" s="2567"/>
      <c r="AU54" s="2567"/>
      <c r="AV54" s="2567"/>
    </row>
    <row r="55" s="1340" customFormat="1" ht="19.5" customHeight="1" spans="1:48">
      <c r="A55" s="2562" t="str">
        <f>'Konta_Pozicije BOS'!A311</f>
        <v>2.23.</v>
      </c>
      <c r="B55" s="2562"/>
      <c r="C55" s="2562"/>
      <c r="D55" s="1436" t="str">
        <f>Text!B461</f>
        <v>Kupovina udjela u zajedničkim poduhvatima</v>
      </c>
      <c r="E55" s="1437"/>
      <c r="F55" s="1437"/>
      <c r="G55" s="1437"/>
      <c r="H55" s="1437"/>
      <c r="I55" s="1437"/>
      <c r="J55" s="1437"/>
      <c r="K55" s="1437"/>
      <c r="L55" s="1437"/>
      <c r="M55" s="1437"/>
      <c r="N55" s="1437"/>
      <c r="O55" s="1437"/>
      <c r="P55" s="1437"/>
      <c r="Q55" s="1437"/>
      <c r="R55" s="1437"/>
      <c r="S55" s="1437"/>
      <c r="T55" s="1437"/>
      <c r="U55" s="1437"/>
      <c r="V55" s="1437"/>
      <c r="W55" s="1437"/>
      <c r="X55" s="1437"/>
      <c r="Y55" s="2563"/>
      <c r="Z55" s="2564"/>
      <c r="AA55" s="2564"/>
      <c r="AB55" s="2564"/>
      <c r="AC55" s="2565" t="s">
        <v>5756</v>
      </c>
      <c r="AD55" s="2565"/>
      <c r="AE55" s="2565"/>
      <c r="AF55" s="1372" t="s">
        <v>4595</v>
      </c>
      <c r="AG55" s="2566"/>
      <c r="AH55" s="1404"/>
      <c r="AI55" s="2567">
        <f>UnosPod!H1002*-1</f>
        <v>0</v>
      </c>
      <c r="AJ55" s="2567"/>
      <c r="AK55" s="2567"/>
      <c r="AL55" s="2567"/>
      <c r="AM55" s="2567"/>
      <c r="AN55" s="2567"/>
      <c r="AO55" s="2567"/>
      <c r="AP55" s="2567">
        <f>Prethodna_2024!B398</f>
        <v>0</v>
      </c>
      <c r="AQ55" s="2567"/>
      <c r="AR55" s="2567"/>
      <c r="AS55" s="2567"/>
      <c r="AT55" s="2567"/>
      <c r="AU55" s="2567"/>
      <c r="AV55" s="2567"/>
    </row>
    <row r="56" s="1340" customFormat="1" ht="19.5" customHeight="1" spans="1:48">
      <c r="A56" s="2562" t="str">
        <f>'Konta_Pozicije BOS'!A312</f>
        <v>2.24.</v>
      </c>
      <c r="B56" s="2562"/>
      <c r="C56" s="2562"/>
      <c r="D56" s="1436" t="str">
        <f>Text!B462</f>
        <v>Prilivi od otuđenja udjela u zajedničkim poduhvatima</v>
      </c>
      <c r="E56" s="1437"/>
      <c r="F56" s="1437"/>
      <c r="G56" s="1437"/>
      <c r="H56" s="1437"/>
      <c r="I56" s="1437"/>
      <c r="J56" s="1437"/>
      <c r="K56" s="1437"/>
      <c r="L56" s="1437"/>
      <c r="M56" s="1437"/>
      <c r="N56" s="1437"/>
      <c r="O56" s="1437"/>
      <c r="P56" s="1437"/>
      <c r="Q56" s="1437"/>
      <c r="R56" s="1437"/>
      <c r="S56" s="1437"/>
      <c r="T56" s="1437"/>
      <c r="U56" s="1437"/>
      <c r="V56" s="1437"/>
      <c r="W56" s="1437"/>
      <c r="X56" s="1437"/>
      <c r="Y56" s="2563"/>
      <c r="Z56" s="2564"/>
      <c r="AA56" s="2564"/>
      <c r="AB56" s="2564"/>
      <c r="AC56" s="2565" t="s">
        <v>7134</v>
      </c>
      <c r="AD56" s="2565"/>
      <c r="AE56" s="2565"/>
      <c r="AF56" s="1372" t="s">
        <v>4596</v>
      </c>
      <c r="AG56" s="2566"/>
      <c r="AH56" s="1404"/>
      <c r="AI56" s="2567">
        <f>UnosPod!O1002</f>
        <v>0</v>
      </c>
      <c r="AJ56" s="2567"/>
      <c r="AK56" s="2567"/>
      <c r="AL56" s="2567"/>
      <c r="AM56" s="2567"/>
      <c r="AN56" s="2567"/>
      <c r="AO56" s="2567"/>
      <c r="AP56" s="2567">
        <f>Prethodna_2024!B399</f>
        <v>0</v>
      </c>
      <c r="AQ56" s="2567"/>
      <c r="AR56" s="2567"/>
      <c r="AS56" s="2567"/>
      <c r="AT56" s="2567"/>
      <c r="AU56" s="2567"/>
      <c r="AV56" s="2567"/>
    </row>
    <row r="57" s="1340" customFormat="1" ht="19.5" customHeight="1" spans="1:48">
      <c r="A57" s="2562" t="str">
        <f>'Konta_Pozicije BOS'!A313</f>
        <v>2.25.</v>
      </c>
      <c r="B57" s="2562"/>
      <c r="C57" s="2562"/>
      <c r="D57" s="1436" t="str">
        <f>Text!B463</f>
        <v>Primljene dividende</v>
      </c>
      <c r="E57" s="1437"/>
      <c r="F57" s="1437"/>
      <c r="G57" s="1437"/>
      <c r="H57" s="1437"/>
      <c r="I57" s="1437"/>
      <c r="J57" s="1437"/>
      <c r="K57" s="1437"/>
      <c r="L57" s="1437"/>
      <c r="M57" s="1437"/>
      <c r="N57" s="1437"/>
      <c r="O57" s="1437"/>
      <c r="P57" s="1437"/>
      <c r="Q57" s="1437"/>
      <c r="R57" s="1437"/>
      <c r="S57" s="1437"/>
      <c r="T57" s="1437"/>
      <c r="U57" s="1437"/>
      <c r="V57" s="1437"/>
      <c r="W57" s="1437"/>
      <c r="X57" s="1437"/>
      <c r="Y57" s="2563"/>
      <c r="Z57" s="2564"/>
      <c r="AA57" s="2564"/>
      <c r="AB57" s="2564"/>
      <c r="AC57" s="2565" t="s">
        <v>7134</v>
      </c>
      <c r="AD57" s="2565"/>
      <c r="AE57" s="2565"/>
      <c r="AF57" s="1372" t="s">
        <v>4597</v>
      </c>
      <c r="AG57" s="2566"/>
      <c r="AH57" s="1404"/>
      <c r="AI57" s="2567">
        <f>UnosPod!O1022</f>
        <v>0</v>
      </c>
      <c r="AJ57" s="2567"/>
      <c r="AK57" s="2567"/>
      <c r="AL57" s="2567"/>
      <c r="AM57" s="2567"/>
      <c r="AN57" s="2567"/>
      <c r="AO57" s="2567"/>
      <c r="AP57" s="2567">
        <f>Prethodna_2024!B400</f>
        <v>0</v>
      </c>
      <c r="AQ57" s="2567"/>
      <c r="AR57" s="2567"/>
      <c r="AS57" s="2567"/>
      <c r="AT57" s="2567"/>
      <c r="AU57" s="2567"/>
      <c r="AV57" s="2567"/>
    </row>
    <row r="58" s="1341" customFormat="1" ht="19.5" customHeight="1" spans="1:48">
      <c r="A58" s="2562" t="str">
        <f>'Konta_Pozicije BOS'!A314</f>
        <v>2.26.</v>
      </c>
      <c r="B58" s="2562"/>
      <c r="C58" s="2562"/>
      <c r="D58" s="1436" t="str">
        <f>Text!B464</f>
        <v>Prilivi po osnovu trgovanja derivatnim finansijskim instrumentima</v>
      </c>
      <c r="E58" s="1437"/>
      <c r="F58" s="1437"/>
      <c r="G58" s="1437"/>
      <c r="H58" s="1437"/>
      <c r="I58" s="1437"/>
      <c r="J58" s="1437"/>
      <c r="K58" s="1437"/>
      <c r="L58" s="1437"/>
      <c r="M58" s="1437"/>
      <c r="N58" s="1437"/>
      <c r="O58" s="1437"/>
      <c r="P58" s="1437"/>
      <c r="Q58" s="1437"/>
      <c r="R58" s="1437"/>
      <c r="S58" s="1437"/>
      <c r="T58" s="1437"/>
      <c r="U58" s="1437"/>
      <c r="V58" s="1437"/>
      <c r="W58" s="1437"/>
      <c r="X58" s="1437"/>
      <c r="Y58" s="2563"/>
      <c r="Z58" s="2564"/>
      <c r="AA58" s="2564"/>
      <c r="AB58" s="2564"/>
      <c r="AC58" s="2565" t="s">
        <v>7134</v>
      </c>
      <c r="AD58" s="2565"/>
      <c r="AE58" s="2565"/>
      <c r="AF58" s="1372" t="s">
        <v>4598</v>
      </c>
      <c r="AG58" s="2566"/>
      <c r="AH58" s="1404"/>
      <c r="AI58" s="2567">
        <f>UnosPod!O1020</f>
        <v>0</v>
      </c>
      <c r="AJ58" s="2567"/>
      <c r="AK58" s="2567"/>
      <c r="AL58" s="2567"/>
      <c r="AM58" s="2567"/>
      <c r="AN58" s="2567"/>
      <c r="AO58" s="2567"/>
      <c r="AP58" s="2567">
        <f>Prethodna_2024!B401</f>
        <v>0</v>
      </c>
      <c r="AQ58" s="2567"/>
      <c r="AR58" s="2567"/>
      <c r="AS58" s="2567"/>
      <c r="AT58" s="2567"/>
      <c r="AU58" s="2567"/>
      <c r="AV58" s="2567"/>
    </row>
    <row r="59" s="1341" customFormat="1" ht="19.5" customHeight="1" spans="1:48">
      <c r="A59" s="2562" t="str">
        <f>'Konta_Pozicije BOS'!A315</f>
        <v>2.27.</v>
      </c>
      <c r="B59" s="2562"/>
      <c r="C59" s="2562"/>
      <c r="D59" s="1436" t="str">
        <f>Text!B465</f>
        <v>Odlivi po osnovu trgovanja derivatnim finansijskim instrumentima</v>
      </c>
      <c r="E59" s="1437"/>
      <c r="F59" s="1437"/>
      <c r="G59" s="1437"/>
      <c r="H59" s="1437"/>
      <c r="I59" s="1437"/>
      <c r="J59" s="1437"/>
      <c r="K59" s="1437"/>
      <c r="L59" s="1437"/>
      <c r="M59" s="1437"/>
      <c r="N59" s="1437"/>
      <c r="O59" s="1437"/>
      <c r="P59" s="1437"/>
      <c r="Q59" s="1437"/>
      <c r="R59" s="1437"/>
      <c r="S59" s="1437"/>
      <c r="T59" s="1437"/>
      <c r="U59" s="1437"/>
      <c r="V59" s="1437"/>
      <c r="W59" s="1437"/>
      <c r="X59" s="1437"/>
      <c r="Y59" s="2563"/>
      <c r="Z59" s="2564"/>
      <c r="AA59" s="2564"/>
      <c r="AB59" s="2564"/>
      <c r="AC59" s="2565" t="s">
        <v>5756</v>
      </c>
      <c r="AD59" s="2565"/>
      <c r="AE59" s="2565"/>
      <c r="AF59" s="1372" t="s">
        <v>4599</v>
      </c>
      <c r="AG59" s="2566"/>
      <c r="AH59" s="1404"/>
      <c r="AI59" s="2567">
        <f>(UnosPod!H1020)*-1</f>
        <v>0</v>
      </c>
      <c r="AJ59" s="2567"/>
      <c r="AK59" s="2567"/>
      <c r="AL59" s="2567"/>
      <c r="AM59" s="2567"/>
      <c r="AN59" s="2567"/>
      <c r="AO59" s="2567"/>
      <c r="AP59" s="2567">
        <f>Prethodna_2024!B402</f>
        <v>0</v>
      </c>
      <c r="AQ59" s="2567"/>
      <c r="AR59" s="2567"/>
      <c r="AS59" s="2567"/>
      <c r="AT59" s="2567"/>
      <c r="AU59" s="2567"/>
      <c r="AV59" s="2567"/>
    </row>
    <row r="60" s="1340" customFormat="1" ht="19.5" customHeight="1" spans="1:48">
      <c r="A60" s="2562" t="str">
        <f>'Konta_Pozicije BOS'!A316</f>
        <v>2.28.</v>
      </c>
      <c r="B60" s="2562"/>
      <c r="C60" s="2562"/>
      <c r="D60" s="1436" t="str">
        <f>Text!B466</f>
        <v>Ostali prilivi iz ulagačkih aktivnosti</v>
      </c>
      <c r="E60" s="1437"/>
      <c r="F60" s="1437"/>
      <c r="G60" s="1437"/>
      <c r="H60" s="1437"/>
      <c r="I60" s="1437"/>
      <c r="J60" s="1437"/>
      <c r="K60" s="1437"/>
      <c r="L60" s="1437"/>
      <c r="M60" s="1437"/>
      <c r="N60" s="1437"/>
      <c r="O60" s="1437"/>
      <c r="P60" s="1437"/>
      <c r="Q60" s="1437"/>
      <c r="R60" s="1437"/>
      <c r="S60" s="1437"/>
      <c r="T60" s="1437"/>
      <c r="U60" s="1437"/>
      <c r="V60" s="1437"/>
      <c r="W60" s="1437"/>
      <c r="X60" s="1437"/>
      <c r="Y60" s="2563"/>
      <c r="Z60" s="2564"/>
      <c r="AA60" s="2564"/>
      <c r="AB60" s="2564"/>
      <c r="AC60" s="2565" t="s">
        <v>7134</v>
      </c>
      <c r="AD60" s="2565"/>
      <c r="AE60" s="2565"/>
      <c r="AF60" s="1372" t="s">
        <v>4600</v>
      </c>
      <c r="AG60" s="2566"/>
      <c r="AH60" s="1404"/>
      <c r="AI60" s="2567">
        <f>UnosPod!O1003+UnosPod!O1021+UnosPod!O1106</f>
        <v>0</v>
      </c>
      <c r="AJ60" s="2567"/>
      <c r="AK60" s="2567"/>
      <c r="AL60" s="2567"/>
      <c r="AM60" s="2567"/>
      <c r="AN60" s="2567"/>
      <c r="AO60" s="2567"/>
      <c r="AP60" s="2567">
        <f>Prethodna_2024!B403</f>
        <v>0</v>
      </c>
      <c r="AQ60" s="2567"/>
      <c r="AR60" s="2567"/>
      <c r="AS60" s="2567"/>
      <c r="AT60" s="2567"/>
      <c r="AU60" s="2567"/>
      <c r="AV60" s="2567"/>
    </row>
    <row r="61" s="1224" customFormat="1" ht="19.5" customHeight="1" spans="1:48">
      <c r="A61" s="2562" t="str">
        <f>'Konta_Pozicije BOS'!A317</f>
        <v>2.29.</v>
      </c>
      <c r="B61" s="2562"/>
      <c r="C61" s="2562"/>
      <c r="D61" s="1436" t="str">
        <f>Text!B467</f>
        <v>Ostali odlivi iz ulagačkih aktivnosti</v>
      </c>
      <c r="E61" s="1437"/>
      <c r="F61" s="1437"/>
      <c r="G61" s="1437"/>
      <c r="H61" s="1437"/>
      <c r="I61" s="1437"/>
      <c r="J61" s="1437"/>
      <c r="K61" s="1437"/>
      <c r="L61" s="1437"/>
      <c r="M61" s="1437"/>
      <c r="N61" s="1437"/>
      <c r="O61" s="1437"/>
      <c r="P61" s="1437"/>
      <c r="Q61" s="1437"/>
      <c r="R61" s="1437"/>
      <c r="S61" s="1437"/>
      <c r="T61" s="1437"/>
      <c r="U61" s="1437"/>
      <c r="V61" s="1437"/>
      <c r="W61" s="1437"/>
      <c r="X61" s="1437"/>
      <c r="Y61" s="2563"/>
      <c r="Z61" s="2564"/>
      <c r="AA61" s="2564"/>
      <c r="AB61" s="2564"/>
      <c r="AC61" s="2565" t="s">
        <v>5756</v>
      </c>
      <c r="AD61" s="2565"/>
      <c r="AE61" s="2565"/>
      <c r="AF61" s="1372" t="s">
        <v>4601</v>
      </c>
      <c r="AG61" s="2566"/>
      <c r="AH61" s="1404"/>
      <c r="AI61" s="2567">
        <f>(+UnosPod!H1003+UnosPod!H1021+UnosPod!H1106)*-1</f>
        <v>0</v>
      </c>
      <c r="AJ61" s="2567"/>
      <c r="AK61" s="2567"/>
      <c r="AL61" s="2567"/>
      <c r="AM61" s="2567"/>
      <c r="AN61" s="2567"/>
      <c r="AO61" s="2567"/>
      <c r="AP61" s="2567">
        <f>Prethodna_2024!B404</f>
        <v>0</v>
      </c>
      <c r="AQ61" s="2567"/>
      <c r="AR61" s="2567"/>
      <c r="AS61" s="2567"/>
      <c r="AT61" s="2567"/>
      <c r="AU61" s="2567"/>
      <c r="AV61" s="2567"/>
    </row>
    <row r="62" s="1227" customFormat="1" ht="26.25" customHeight="1" spans="1:48">
      <c r="A62" s="2558" t="str">
        <f>'Konta_Pozicije BOS'!A318</f>
        <v>B.</v>
      </c>
      <c r="B62" s="2558"/>
      <c r="C62" s="2558"/>
      <c r="D62" s="2611" t="str">
        <f>Text!B468</f>
        <v>Neto gotovinski tok koji je generisan / (korišten) u ulagačkim aktivnostima (409 do 437)</v>
      </c>
      <c r="E62" s="2612"/>
      <c r="F62" s="2612"/>
      <c r="G62" s="2612"/>
      <c r="H62" s="2612"/>
      <c r="I62" s="2612"/>
      <c r="J62" s="2612"/>
      <c r="K62" s="2612"/>
      <c r="L62" s="2612"/>
      <c r="M62" s="2612"/>
      <c r="N62" s="2612"/>
      <c r="O62" s="2612"/>
      <c r="P62" s="2612"/>
      <c r="Q62" s="2612"/>
      <c r="R62" s="2612"/>
      <c r="S62" s="2612"/>
      <c r="T62" s="2612"/>
      <c r="U62" s="2612"/>
      <c r="V62" s="2612"/>
      <c r="W62" s="2612"/>
      <c r="X62" s="2612"/>
      <c r="Y62" s="2613"/>
      <c r="Z62" s="1392"/>
      <c r="AA62" s="1392"/>
      <c r="AB62" s="1392"/>
      <c r="AC62" s="2623" t="s">
        <v>7135</v>
      </c>
      <c r="AD62" s="2623"/>
      <c r="AE62" s="2623"/>
      <c r="AF62" s="1372" t="s">
        <v>4602</v>
      </c>
      <c r="AG62" s="2566"/>
      <c r="AH62" s="1404"/>
      <c r="AI62" s="2624">
        <f>SUM(AI30:AO36)+SUM(AI40:AO61)</f>
        <v>0</v>
      </c>
      <c r="AJ62" s="2624"/>
      <c r="AK62" s="2624"/>
      <c r="AL62" s="2624"/>
      <c r="AM62" s="2624"/>
      <c r="AN62" s="2624"/>
      <c r="AO62" s="2624"/>
      <c r="AP62" s="2624">
        <f>SUM(AP30:AV36)+SUM(AP40:AV61)</f>
        <v>0</v>
      </c>
      <c r="AQ62" s="2624"/>
      <c r="AR62" s="2624"/>
      <c r="AS62" s="2624"/>
      <c r="AT62" s="2624"/>
      <c r="AU62" s="2624"/>
      <c r="AV62" s="2624"/>
    </row>
    <row r="63" s="1227" customFormat="1" ht="19.5" customHeight="1" spans="1:48">
      <c r="A63" s="2558" t="str">
        <f>'Konta_Pozicije BOS'!A319</f>
        <v>3.</v>
      </c>
      <c r="B63" s="2558"/>
      <c r="C63" s="2558"/>
      <c r="D63" s="1402" t="str">
        <f>Text!B469</f>
        <v>GOTOVINSKI TOKOVI IZ FINANSIJSKIH AKTIVNOSTI</v>
      </c>
      <c r="E63" s="1403"/>
      <c r="F63" s="1403"/>
      <c r="G63" s="1403"/>
      <c r="H63" s="1403"/>
      <c r="I63" s="1403"/>
      <c r="J63" s="1403"/>
      <c r="K63" s="1403"/>
      <c r="L63" s="1403"/>
      <c r="M63" s="1403"/>
      <c r="N63" s="1403"/>
      <c r="O63" s="1403"/>
      <c r="P63" s="1403"/>
      <c r="Q63" s="1403"/>
      <c r="R63" s="1403"/>
      <c r="S63" s="1403"/>
      <c r="T63" s="1403"/>
      <c r="U63" s="1403"/>
      <c r="V63" s="1403"/>
      <c r="W63" s="1403"/>
      <c r="X63" s="1403"/>
      <c r="Y63" s="2559"/>
      <c r="Z63" s="1392"/>
      <c r="AA63" s="1392"/>
      <c r="AB63" s="1392"/>
      <c r="AC63" s="1392"/>
      <c r="AD63" s="1392"/>
      <c r="AE63" s="1392"/>
      <c r="AF63" s="1412"/>
      <c r="AG63" s="2560"/>
      <c r="AH63" s="1388"/>
      <c r="AI63" s="2624"/>
      <c r="AJ63" s="2624"/>
      <c r="AK63" s="2624"/>
      <c r="AL63" s="2624"/>
      <c r="AM63" s="2624"/>
      <c r="AN63" s="2624"/>
      <c r="AO63" s="2624"/>
      <c r="AP63" s="2624"/>
      <c r="AQ63" s="2624"/>
      <c r="AR63" s="2624"/>
      <c r="AS63" s="2624"/>
      <c r="AT63" s="2624"/>
      <c r="AU63" s="2624"/>
      <c r="AV63" s="2624"/>
    </row>
    <row r="64" s="1224" customFormat="1" ht="21" customHeight="1" spans="1:48">
      <c r="A64" s="2562" t="str">
        <f>'Konta_Pozicije BOS'!A320</f>
        <v>3.1.</v>
      </c>
      <c r="B64" s="2562"/>
      <c r="C64" s="2562"/>
      <c r="D64" s="1436" t="str">
        <f>Text!B470</f>
        <v>Prilivi od emisije dionica / uplaćeni vlasnički kapital</v>
      </c>
      <c r="E64" s="1437"/>
      <c r="F64" s="1437"/>
      <c r="G64" s="1437"/>
      <c r="H64" s="1437"/>
      <c r="I64" s="1437"/>
      <c r="J64" s="1437"/>
      <c r="K64" s="1437"/>
      <c r="L64" s="1437"/>
      <c r="M64" s="1437"/>
      <c r="N64" s="1437"/>
      <c r="O64" s="1437"/>
      <c r="P64" s="1437"/>
      <c r="Q64" s="1437"/>
      <c r="R64" s="1437"/>
      <c r="S64" s="1437"/>
      <c r="T64" s="1437"/>
      <c r="U64" s="1437"/>
      <c r="V64" s="1437"/>
      <c r="W64" s="1437"/>
      <c r="X64" s="1437"/>
      <c r="Y64" s="2563"/>
      <c r="Z64" s="2564"/>
      <c r="AA64" s="2564"/>
      <c r="AB64" s="2564"/>
      <c r="AC64" s="2565" t="s">
        <v>7134</v>
      </c>
      <c r="AD64" s="2565"/>
      <c r="AE64" s="2565"/>
      <c r="AF64" s="1372" t="s">
        <v>4603</v>
      </c>
      <c r="AG64" s="2566"/>
      <c r="AH64" s="1404"/>
      <c r="AI64" s="2567">
        <f>SUM(UnosPod!O1043:U1046)</f>
        <v>0</v>
      </c>
      <c r="AJ64" s="2567"/>
      <c r="AK64" s="2567"/>
      <c r="AL64" s="2567"/>
      <c r="AM64" s="2567"/>
      <c r="AN64" s="2567"/>
      <c r="AO64" s="2567"/>
      <c r="AP64" s="2567">
        <f>Prethodna_2024!B407</f>
        <v>0</v>
      </c>
      <c r="AQ64" s="2567"/>
      <c r="AR64" s="2567"/>
      <c r="AS64" s="2567"/>
      <c r="AT64" s="2567"/>
      <c r="AU64" s="2567"/>
      <c r="AV64" s="2567"/>
    </row>
    <row r="65" s="1224" customFormat="1" ht="21" customHeight="1" spans="1:48">
      <c r="A65" s="2562" t="str">
        <f>'Konta_Pozicije BOS'!A321</f>
        <v>3.2.</v>
      </c>
      <c r="B65" s="2562"/>
      <c r="C65" s="2562"/>
      <c r="D65" s="1436" t="str">
        <f>Text!B471</f>
        <v>Sticanje vlastitih dionica</v>
      </c>
      <c r="E65" s="1437"/>
      <c r="F65" s="1437"/>
      <c r="G65" s="1437"/>
      <c r="H65" s="1437"/>
      <c r="I65" s="1437"/>
      <c r="J65" s="1437"/>
      <c r="K65" s="1437"/>
      <c r="L65" s="1437"/>
      <c r="M65" s="1437"/>
      <c r="N65" s="1437"/>
      <c r="O65" s="1437"/>
      <c r="P65" s="1437"/>
      <c r="Q65" s="1437"/>
      <c r="R65" s="1437"/>
      <c r="S65" s="1437"/>
      <c r="T65" s="1437"/>
      <c r="U65" s="1437"/>
      <c r="V65" s="1437"/>
      <c r="W65" s="1437"/>
      <c r="X65" s="1437"/>
      <c r="Y65" s="2563"/>
      <c r="Z65" s="2564"/>
      <c r="AA65" s="2564"/>
      <c r="AB65" s="2564"/>
      <c r="AC65" s="2565" t="s">
        <v>5756</v>
      </c>
      <c r="AD65" s="2565"/>
      <c r="AE65" s="2565"/>
      <c r="AF65" s="1372" t="s">
        <v>4604</v>
      </c>
      <c r="AG65" s="2566"/>
      <c r="AH65" s="1404"/>
      <c r="AI65" s="2567">
        <f>UnosPod!H1047*-1</f>
        <v>0</v>
      </c>
      <c r="AJ65" s="2567"/>
      <c r="AK65" s="2567"/>
      <c r="AL65" s="2567"/>
      <c r="AM65" s="2567"/>
      <c r="AN65" s="2567"/>
      <c r="AO65" s="2567"/>
      <c r="AP65" s="2567">
        <f>Prethodna_2024!B408</f>
        <v>0</v>
      </c>
      <c r="AQ65" s="2567"/>
      <c r="AR65" s="2567"/>
      <c r="AS65" s="2567"/>
      <c r="AT65" s="2567"/>
      <c r="AU65" s="2567"/>
      <c r="AV65" s="2567"/>
    </row>
    <row r="66" s="1224" customFormat="1" ht="21" customHeight="1" spans="1:48">
      <c r="A66" s="2562" t="str">
        <f>'Konta_Pozicije BOS'!A322</f>
        <v>3.3.</v>
      </c>
      <c r="B66" s="2562"/>
      <c r="C66" s="2562"/>
      <c r="D66" s="1436" t="str">
        <f>Text!B472</f>
        <v>Prilivi od prodaje stečenih vlastitih dionica</v>
      </c>
      <c r="E66" s="1437"/>
      <c r="F66" s="1437"/>
      <c r="G66" s="1437"/>
      <c r="H66" s="1437"/>
      <c r="I66" s="1437"/>
      <c r="J66" s="1437"/>
      <c r="K66" s="1437"/>
      <c r="L66" s="1437"/>
      <c r="M66" s="1437"/>
      <c r="N66" s="1437"/>
      <c r="O66" s="1437"/>
      <c r="P66" s="1437"/>
      <c r="Q66" s="1437"/>
      <c r="R66" s="1437"/>
      <c r="S66" s="1437"/>
      <c r="T66" s="1437"/>
      <c r="U66" s="1437"/>
      <c r="V66" s="1437"/>
      <c r="W66" s="1437"/>
      <c r="X66" s="1437"/>
      <c r="Y66" s="2563"/>
      <c r="Z66" s="2564"/>
      <c r="AA66" s="2564"/>
      <c r="AB66" s="2564"/>
      <c r="AC66" s="2565" t="s">
        <v>7134</v>
      </c>
      <c r="AD66" s="2565"/>
      <c r="AE66" s="2565"/>
      <c r="AF66" s="1372" t="s">
        <v>4605</v>
      </c>
      <c r="AG66" s="2566"/>
      <c r="AH66" s="1404"/>
      <c r="AI66" s="2567">
        <f>UnosPod!O1047</f>
        <v>0</v>
      </c>
      <c r="AJ66" s="2567"/>
      <c r="AK66" s="2567"/>
      <c r="AL66" s="2567"/>
      <c r="AM66" s="2567"/>
      <c r="AN66" s="2567"/>
      <c r="AO66" s="2567"/>
      <c r="AP66" s="2567">
        <f>Prethodna_2024!B409</f>
        <v>0</v>
      </c>
      <c r="AQ66" s="2567"/>
      <c r="AR66" s="2567"/>
      <c r="AS66" s="2567"/>
      <c r="AT66" s="2567"/>
      <c r="AU66" s="2567"/>
      <c r="AV66" s="2567"/>
    </row>
    <row r="67" s="1224" customFormat="1" ht="21" customHeight="1" spans="1:48">
      <c r="A67" s="2562" t="str">
        <f>'Konta_Pozicije BOS'!A323</f>
        <v>3.4.</v>
      </c>
      <c r="B67" s="2562"/>
      <c r="C67" s="2562"/>
      <c r="D67" s="1436" t="str">
        <f>Text!B473</f>
        <v>Isplaćene dividende</v>
      </c>
      <c r="E67" s="1437"/>
      <c r="F67" s="1437"/>
      <c r="G67" s="1437"/>
      <c r="H67" s="1437"/>
      <c r="I67" s="1437"/>
      <c r="J67" s="1437"/>
      <c r="K67" s="1437"/>
      <c r="L67" s="1437"/>
      <c r="M67" s="1437"/>
      <c r="N67" s="1437"/>
      <c r="O67" s="1437"/>
      <c r="P67" s="1437"/>
      <c r="Q67" s="1437"/>
      <c r="R67" s="1437"/>
      <c r="S67" s="1437"/>
      <c r="T67" s="1437"/>
      <c r="U67" s="1437"/>
      <c r="V67" s="1437"/>
      <c r="W67" s="1437"/>
      <c r="X67" s="1437"/>
      <c r="Y67" s="2563"/>
      <c r="Z67" s="2564"/>
      <c r="AA67" s="2564"/>
      <c r="AB67" s="2564"/>
      <c r="AC67" s="2565" t="s">
        <v>5756</v>
      </c>
      <c r="AD67" s="2565"/>
      <c r="AE67" s="2565"/>
      <c r="AF67" s="1372" t="s">
        <v>4606</v>
      </c>
      <c r="AG67" s="2566"/>
      <c r="AH67" s="1404"/>
      <c r="AI67" s="2567">
        <f>(UnosPod!H1086+UnosPod!H1087)*-1</f>
        <v>0</v>
      </c>
      <c r="AJ67" s="2567"/>
      <c r="AK67" s="2567"/>
      <c r="AL67" s="2567"/>
      <c r="AM67" s="2567"/>
      <c r="AN67" s="2567"/>
      <c r="AO67" s="2567"/>
      <c r="AP67" s="2567">
        <f>Prethodna_2024!B410</f>
        <v>0</v>
      </c>
      <c r="AQ67" s="2567"/>
      <c r="AR67" s="2567"/>
      <c r="AS67" s="2567"/>
      <c r="AT67" s="2567"/>
      <c r="AU67" s="2567"/>
      <c r="AV67" s="2567"/>
    </row>
    <row r="68" s="1224" customFormat="1" ht="21" customHeight="1" spans="1:48">
      <c r="A68" s="2562" t="str">
        <f>'Konta_Pozicije BOS'!A324</f>
        <v>3.5.</v>
      </c>
      <c r="B68" s="2562"/>
      <c r="C68" s="2562"/>
      <c r="D68" s="1436" t="str">
        <f>Text!B474</f>
        <v>Prilivi od uzetih kredita</v>
      </c>
      <c r="E68" s="1437"/>
      <c r="F68" s="1437"/>
      <c r="G68" s="1437"/>
      <c r="H68" s="1437"/>
      <c r="I68" s="1437"/>
      <c r="J68" s="1437"/>
      <c r="K68" s="1437"/>
      <c r="L68" s="1437"/>
      <c r="M68" s="1437"/>
      <c r="N68" s="1437"/>
      <c r="O68" s="1437"/>
      <c r="P68" s="1437"/>
      <c r="Q68" s="1437"/>
      <c r="R68" s="1437"/>
      <c r="S68" s="1437"/>
      <c r="T68" s="1437"/>
      <c r="U68" s="1437"/>
      <c r="V68" s="1437"/>
      <c r="W68" s="1437"/>
      <c r="X68" s="1437"/>
      <c r="Y68" s="2563"/>
      <c r="Z68" s="2564"/>
      <c r="AA68" s="2564"/>
      <c r="AB68" s="2564"/>
      <c r="AC68" s="2565" t="s">
        <v>7134</v>
      </c>
      <c r="AD68" s="2565"/>
      <c r="AE68" s="2565"/>
      <c r="AF68" s="1372" t="s">
        <v>4607</v>
      </c>
      <c r="AG68" s="2566"/>
      <c r="AH68" s="1404"/>
      <c r="AI68" s="2567">
        <f>SUM(UnosPod!O1048:U1049)+SUM(UnosPod!O1052:U1054)</f>
        <v>0</v>
      </c>
      <c r="AJ68" s="2567"/>
      <c r="AK68" s="2567"/>
      <c r="AL68" s="2567"/>
      <c r="AM68" s="2567"/>
      <c r="AN68" s="2567"/>
      <c r="AO68" s="2567"/>
      <c r="AP68" s="2567">
        <f>Prethodna_2024!B411</f>
        <v>0</v>
      </c>
      <c r="AQ68" s="2567"/>
      <c r="AR68" s="2567"/>
      <c r="AS68" s="2567"/>
      <c r="AT68" s="2567"/>
      <c r="AU68" s="2567"/>
      <c r="AV68" s="2567"/>
    </row>
    <row r="69" s="1224" customFormat="1" ht="21" customHeight="1" spans="1:48">
      <c r="A69" s="2562" t="str">
        <f>'Konta_Pozicije BOS'!A325</f>
        <v>3.6.</v>
      </c>
      <c r="B69" s="2562"/>
      <c r="C69" s="2562"/>
      <c r="D69" s="1436" t="str">
        <f>Text!B475</f>
        <v>Otplata glavnice uzetih kredita</v>
      </c>
      <c r="E69" s="1437"/>
      <c r="F69" s="1437"/>
      <c r="G69" s="1437"/>
      <c r="H69" s="1437"/>
      <c r="I69" s="1437"/>
      <c r="J69" s="1437"/>
      <c r="K69" s="1437"/>
      <c r="L69" s="1437"/>
      <c r="M69" s="1437"/>
      <c r="N69" s="1437"/>
      <c r="O69" s="1437"/>
      <c r="P69" s="1437"/>
      <c r="Q69" s="1437"/>
      <c r="R69" s="1437"/>
      <c r="S69" s="1437"/>
      <c r="T69" s="1437"/>
      <c r="U69" s="1437"/>
      <c r="V69" s="1437"/>
      <c r="W69" s="1437"/>
      <c r="X69" s="1437"/>
      <c r="Y69" s="2563"/>
      <c r="Z69" s="2564"/>
      <c r="AA69" s="2564"/>
      <c r="AB69" s="2564"/>
      <c r="AC69" s="2565" t="s">
        <v>5756</v>
      </c>
      <c r="AD69" s="2565"/>
      <c r="AE69" s="2565"/>
      <c r="AF69" s="1372" t="s">
        <v>4608</v>
      </c>
      <c r="AG69" s="2566"/>
      <c r="AH69" s="1404"/>
      <c r="AI69" s="2567">
        <f>(SUM(UnosPod!H1048:N1049)+SUM(UnosPod!H1052:N1054))*-1</f>
        <v>0</v>
      </c>
      <c r="AJ69" s="2567"/>
      <c r="AK69" s="2567"/>
      <c r="AL69" s="2567"/>
      <c r="AM69" s="2567"/>
      <c r="AN69" s="2567"/>
      <c r="AO69" s="2567"/>
      <c r="AP69" s="2567">
        <f>Prethodna_2024!B412</f>
        <v>0</v>
      </c>
      <c r="AQ69" s="2567"/>
      <c r="AR69" s="2567"/>
      <c r="AS69" s="2567"/>
      <c r="AT69" s="2567"/>
      <c r="AU69" s="2567"/>
      <c r="AV69" s="2567"/>
    </row>
    <row r="70" s="1224" customFormat="1" ht="21" customHeight="1" spans="1:48">
      <c r="A70" s="2562" t="str">
        <f>'Konta_Pozicije BOS'!A326</f>
        <v>3.7.</v>
      </c>
      <c r="B70" s="2562"/>
      <c r="C70" s="2562"/>
      <c r="D70" s="1436" t="str">
        <f>Text!B476</f>
        <v>Otplata kamate po uzetim kreditima</v>
      </c>
      <c r="E70" s="1437"/>
      <c r="F70" s="1437"/>
      <c r="G70" s="1437"/>
      <c r="H70" s="1437"/>
      <c r="I70" s="1437"/>
      <c r="J70" s="1437"/>
      <c r="K70" s="1437"/>
      <c r="L70" s="1437"/>
      <c r="M70" s="1437"/>
      <c r="N70" s="1437"/>
      <c r="O70" s="1437"/>
      <c r="P70" s="1437"/>
      <c r="Q70" s="1437"/>
      <c r="R70" s="1437"/>
      <c r="S70" s="1437"/>
      <c r="T70" s="1437"/>
      <c r="U70" s="1437"/>
      <c r="V70" s="1437"/>
      <c r="W70" s="1437"/>
      <c r="X70" s="1437"/>
      <c r="Y70" s="2563"/>
      <c r="Z70" s="2564"/>
      <c r="AA70" s="2564"/>
      <c r="AB70" s="2564"/>
      <c r="AC70" s="2565" t="s">
        <v>5756</v>
      </c>
      <c r="AD70" s="2565"/>
      <c r="AE70" s="2565"/>
      <c r="AF70" s="1372" t="s">
        <v>4609</v>
      </c>
      <c r="AG70" s="2566"/>
      <c r="AH70" s="1404"/>
      <c r="AI70" s="2567">
        <f>(UnosPod!H1082+UnosPod!H1084+UnosPod!H1085)*-1</f>
        <v>0</v>
      </c>
      <c r="AJ70" s="2567"/>
      <c r="AK70" s="2567"/>
      <c r="AL70" s="2567"/>
      <c r="AM70" s="2567"/>
      <c r="AN70" s="2567"/>
      <c r="AO70" s="2567"/>
      <c r="AP70" s="2567">
        <f>Prethodna_2024!B413</f>
        <v>0</v>
      </c>
      <c r="AQ70" s="2567"/>
      <c r="AR70" s="2567"/>
      <c r="AS70" s="2567"/>
      <c r="AT70" s="2567"/>
      <c r="AU70" s="2567"/>
      <c r="AV70" s="2567"/>
    </row>
    <row r="74" ht="19.5" customHeight="1" spans="1:48">
      <c r="A74" s="874"/>
      <c r="B74" s="874"/>
    </row>
    <row r="75" s="1750" customFormat="1" ht="19.5" customHeight="1" spans="1:48">
      <c r="A75" s="2590">
        <v>1</v>
      </c>
      <c r="B75" s="2590"/>
      <c r="C75" s="2590"/>
      <c r="D75" s="2591">
        <v>2</v>
      </c>
      <c r="E75" s="2590"/>
      <c r="F75" s="2590"/>
      <c r="G75" s="2590"/>
      <c r="H75" s="2590"/>
      <c r="I75" s="2590"/>
      <c r="J75" s="2590"/>
      <c r="K75" s="2590"/>
      <c r="L75" s="2590"/>
      <c r="M75" s="2590"/>
      <c r="N75" s="2590"/>
      <c r="O75" s="2590"/>
      <c r="P75" s="2590"/>
      <c r="Q75" s="2590"/>
      <c r="R75" s="2590"/>
      <c r="S75" s="2590"/>
      <c r="T75" s="2590"/>
      <c r="U75" s="2590"/>
      <c r="V75" s="2590"/>
      <c r="W75" s="2590"/>
      <c r="X75" s="2590"/>
      <c r="Y75" s="2590"/>
      <c r="Z75" s="2590">
        <v>3</v>
      </c>
      <c r="AA75" s="2590"/>
      <c r="AB75" s="2590"/>
      <c r="AC75" s="2590">
        <v>4</v>
      </c>
      <c r="AD75" s="2590"/>
      <c r="AE75" s="2590"/>
      <c r="AF75" s="2590">
        <v>5</v>
      </c>
      <c r="AG75" s="2590"/>
      <c r="AH75" s="2590"/>
      <c r="AI75" s="2590">
        <v>6</v>
      </c>
      <c r="AJ75" s="2590"/>
      <c r="AK75" s="2590"/>
      <c r="AL75" s="2590"/>
      <c r="AM75" s="2590"/>
      <c r="AN75" s="2590"/>
      <c r="AO75" s="2590"/>
      <c r="AP75" s="2590">
        <v>7</v>
      </c>
      <c r="AQ75" s="2590"/>
      <c r="AR75" s="2590"/>
      <c r="AS75" s="2590"/>
      <c r="AT75" s="2590"/>
      <c r="AU75" s="2590"/>
      <c r="AV75" s="2590"/>
    </row>
    <row r="76" s="1224" customFormat="1" ht="21" customHeight="1" spans="1:48">
      <c r="A76" s="2562" t="str">
        <f>'Konta_Pozicije BOS'!A327</f>
        <v>3.8.</v>
      </c>
      <c r="B76" s="2562"/>
      <c r="C76" s="2562"/>
      <c r="D76" s="1436" t="str">
        <f>Text!B477</f>
        <v>Otplata glavnice po najmovima</v>
      </c>
      <c r="E76" s="1437"/>
      <c r="F76" s="1437"/>
      <c r="G76" s="1437"/>
      <c r="H76" s="1437"/>
      <c r="I76" s="1437"/>
      <c r="J76" s="1437"/>
      <c r="K76" s="1437"/>
      <c r="L76" s="1437"/>
      <c r="M76" s="1437"/>
      <c r="N76" s="1437"/>
      <c r="O76" s="1437"/>
      <c r="P76" s="1437"/>
      <c r="Q76" s="1437"/>
      <c r="R76" s="1437"/>
      <c r="S76" s="1437"/>
      <c r="T76" s="1437"/>
      <c r="U76" s="1437"/>
      <c r="V76" s="1437"/>
      <c r="W76" s="1437"/>
      <c r="X76" s="1437"/>
      <c r="Y76" s="2563"/>
      <c r="Z76" s="2564"/>
      <c r="AA76" s="2564"/>
      <c r="AB76" s="2564"/>
      <c r="AC76" s="2565" t="s">
        <v>5756</v>
      </c>
      <c r="AD76" s="2565"/>
      <c r="AE76" s="2565"/>
      <c r="AF76" s="1372" t="s">
        <v>4610</v>
      </c>
      <c r="AG76" s="2566"/>
      <c r="AH76" s="1404"/>
      <c r="AI76" s="2567">
        <f>(UnosPod!H1050+UnosPod!H1051)*-1</f>
        <v>0</v>
      </c>
      <c r="AJ76" s="2567"/>
      <c r="AK76" s="2567"/>
      <c r="AL76" s="2567"/>
      <c r="AM76" s="2567"/>
      <c r="AN76" s="2567"/>
      <c r="AO76" s="2567"/>
      <c r="AP76" s="2567">
        <f>Prethodna_2024!B414</f>
        <v>0</v>
      </c>
      <c r="AQ76" s="2567"/>
      <c r="AR76" s="2567"/>
      <c r="AS76" s="2567"/>
      <c r="AT76" s="2567"/>
      <c r="AU76" s="2567"/>
      <c r="AV76" s="2567"/>
    </row>
    <row r="77" s="1224" customFormat="1" ht="21" customHeight="1" spans="1:48">
      <c r="A77" s="2562" t="str">
        <f>'Konta_Pozicije BOS'!A328</f>
        <v>3.9.</v>
      </c>
      <c r="B77" s="2562"/>
      <c r="C77" s="2562"/>
      <c r="D77" s="1436" t="str">
        <f>Text!B478</f>
        <v>Otplata kamate po najmovima</v>
      </c>
      <c r="E77" s="1437"/>
      <c r="F77" s="1437"/>
      <c r="G77" s="1437"/>
      <c r="H77" s="1437"/>
      <c r="I77" s="1437"/>
      <c r="J77" s="1437"/>
      <c r="K77" s="1437"/>
      <c r="L77" s="1437"/>
      <c r="M77" s="1437"/>
      <c r="N77" s="1437"/>
      <c r="O77" s="1437"/>
      <c r="P77" s="1437"/>
      <c r="Q77" s="1437"/>
      <c r="R77" s="1437"/>
      <c r="S77" s="1437"/>
      <c r="T77" s="1437"/>
      <c r="U77" s="1437"/>
      <c r="V77" s="1437"/>
      <c r="W77" s="1437"/>
      <c r="X77" s="1437"/>
      <c r="Y77" s="2563"/>
      <c r="Z77" s="2564"/>
      <c r="AA77" s="2564"/>
      <c r="AB77" s="2564"/>
      <c r="AC77" s="2565" t="s">
        <v>5756</v>
      </c>
      <c r="AD77" s="2565"/>
      <c r="AE77" s="2565"/>
      <c r="AF77" s="1372" t="s">
        <v>4611</v>
      </c>
      <c r="AG77" s="2566"/>
      <c r="AH77" s="1404"/>
      <c r="AI77" s="2567">
        <f>UnosPod!H1083*-1</f>
        <v>0</v>
      </c>
      <c r="AJ77" s="2567"/>
      <c r="AK77" s="2567"/>
      <c r="AL77" s="2567"/>
      <c r="AM77" s="2567"/>
      <c r="AN77" s="2567"/>
      <c r="AO77" s="2567"/>
      <c r="AP77" s="2567">
        <f>Prethodna_2024!B415</f>
        <v>0</v>
      </c>
      <c r="AQ77" s="2567"/>
      <c r="AR77" s="2567"/>
      <c r="AS77" s="2567"/>
      <c r="AT77" s="2567"/>
      <c r="AU77" s="2567"/>
      <c r="AV77" s="2567"/>
    </row>
    <row r="78" s="1224" customFormat="1" ht="21.75" customHeight="1" spans="1:48">
      <c r="A78" s="2562" t="str">
        <f>'Konta_Pozicije BOS'!A329</f>
        <v>3.10.</v>
      </c>
      <c r="B78" s="2562"/>
      <c r="C78" s="2562"/>
      <c r="D78" s="1436" t="str">
        <f>Text!B479</f>
        <v>Prilivi po osnovu izdatih dužničkih instrumenata</v>
      </c>
      <c r="E78" s="1437"/>
      <c r="F78" s="1437"/>
      <c r="G78" s="1437"/>
      <c r="H78" s="1437"/>
      <c r="I78" s="1437"/>
      <c r="J78" s="1437"/>
      <c r="K78" s="1437"/>
      <c r="L78" s="1437"/>
      <c r="M78" s="1437"/>
      <c r="N78" s="1437"/>
      <c r="O78" s="1437"/>
      <c r="P78" s="1437"/>
      <c r="Q78" s="1437"/>
      <c r="R78" s="1437"/>
      <c r="S78" s="1437"/>
      <c r="T78" s="1437"/>
      <c r="U78" s="1437"/>
      <c r="V78" s="1437"/>
      <c r="W78" s="1437"/>
      <c r="X78" s="1437"/>
      <c r="Y78" s="2563"/>
      <c r="Z78" s="2564"/>
      <c r="AA78" s="2564"/>
      <c r="AB78" s="2564"/>
      <c r="AC78" s="2565" t="s">
        <v>7134</v>
      </c>
      <c r="AD78" s="2565"/>
      <c r="AE78" s="2565"/>
      <c r="AF78" s="1372" t="s">
        <v>4612</v>
      </c>
      <c r="AG78" s="2566"/>
      <c r="AH78" s="1404"/>
      <c r="AI78" s="2567">
        <f>UnosPod!O1004</f>
        <v>0</v>
      </c>
      <c r="AJ78" s="2567"/>
      <c r="AK78" s="2567"/>
      <c r="AL78" s="2567"/>
      <c r="AM78" s="2567"/>
      <c r="AN78" s="2567"/>
      <c r="AO78" s="2567"/>
      <c r="AP78" s="2567">
        <f>Prethodna_2024!B416</f>
        <v>0</v>
      </c>
      <c r="AQ78" s="2567"/>
      <c r="AR78" s="2567"/>
      <c r="AS78" s="2567"/>
      <c r="AT78" s="2567"/>
      <c r="AU78" s="2567"/>
      <c r="AV78" s="2567"/>
    </row>
    <row r="79" s="1224" customFormat="1" ht="21.75" customHeight="1" spans="1:48">
      <c r="A79" s="2562" t="str">
        <f>'Konta_Pozicije BOS'!A330</f>
        <v>3.11.</v>
      </c>
      <c r="B79" s="2562"/>
      <c r="C79" s="2562"/>
      <c r="D79" s="1436" t="str">
        <f>Text!B480</f>
        <v>Odlivi po osnovu otplate izdatih dužničkih instrumenata</v>
      </c>
      <c r="E79" s="1437"/>
      <c r="F79" s="1437"/>
      <c r="G79" s="1437"/>
      <c r="H79" s="1437"/>
      <c r="I79" s="1437"/>
      <c r="J79" s="1437"/>
      <c r="K79" s="1437"/>
      <c r="L79" s="1437"/>
      <c r="M79" s="1437"/>
      <c r="N79" s="1437"/>
      <c r="O79" s="1437"/>
      <c r="P79" s="1437"/>
      <c r="Q79" s="1437"/>
      <c r="R79" s="1437"/>
      <c r="S79" s="1437"/>
      <c r="T79" s="1437"/>
      <c r="U79" s="1437"/>
      <c r="V79" s="1437"/>
      <c r="W79" s="1437"/>
      <c r="X79" s="1437"/>
      <c r="Y79" s="2563"/>
      <c r="Z79" s="2564"/>
      <c r="AA79" s="2564"/>
      <c r="AB79" s="2564"/>
      <c r="AC79" s="2565" t="s">
        <v>5756</v>
      </c>
      <c r="AD79" s="2565"/>
      <c r="AE79" s="2565"/>
      <c r="AF79" s="1372" t="s">
        <v>4613</v>
      </c>
      <c r="AG79" s="2566"/>
      <c r="AH79" s="1404"/>
      <c r="AI79" s="2567">
        <f>UnosPod!H1004*-1</f>
        <v>0</v>
      </c>
      <c r="AJ79" s="2567"/>
      <c r="AK79" s="2567"/>
      <c r="AL79" s="2567"/>
      <c r="AM79" s="2567"/>
      <c r="AN79" s="2567"/>
      <c r="AO79" s="2567"/>
      <c r="AP79" s="2567">
        <f>Prethodna_2024!B417</f>
        <v>0</v>
      </c>
      <c r="AQ79" s="2567"/>
      <c r="AR79" s="2567"/>
      <c r="AS79" s="2567"/>
      <c r="AT79" s="2567"/>
      <c r="AU79" s="2567"/>
      <c r="AV79" s="2567"/>
    </row>
    <row r="80" s="1227" customFormat="1" ht="21.75" customHeight="1" spans="1:48">
      <c r="A80" s="2562" t="str">
        <f>'Konta_Pozicije BOS'!A331</f>
        <v>3.12.</v>
      </c>
      <c r="B80" s="2562"/>
      <c r="C80" s="2562"/>
      <c r="D80" s="1436" t="str">
        <f>Text!B481</f>
        <v>Ostali prilivi iz finansijskih aktivnosti</v>
      </c>
      <c r="E80" s="1437"/>
      <c r="F80" s="1437"/>
      <c r="G80" s="1437"/>
      <c r="H80" s="1437"/>
      <c r="I80" s="1437"/>
      <c r="J80" s="1437"/>
      <c r="K80" s="1437"/>
      <c r="L80" s="1437"/>
      <c r="M80" s="1437"/>
      <c r="N80" s="1437"/>
      <c r="O80" s="1437"/>
      <c r="P80" s="1437"/>
      <c r="Q80" s="1437"/>
      <c r="R80" s="1437"/>
      <c r="S80" s="1437"/>
      <c r="T80" s="1437"/>
      <c r="U80" s="1437"/>
      <c r="V80" s="1437"/>
      <c r="W80" s="1437"/>
      <c r="X80" s="1437"/>
      <c r="Y80" s="2563"/>
      <c r="Z80" s="2564"/>
      <c r="AA80" s="2564"/>
      <c r="AB80" s="2564"/>
      <c r="AC80" s="2565" t="s">
        <v>7134</v>
      </c>
      <c r="AD80" s="2565"/>
      <c r="AE80" s="2565"/>
      <c r="AF80" s="1372" t="s">
        <v>4614</v>
      </c>
      <c r="AG80" s="2566"/>
      <c r="AH80" s="1404"/>
      <c r="AI80" s="2567">
        <f>SUM(UnosPod!O1006:U1010)+SUM(UnosPod!O1034:U1036)+SUM(UnosPod!O1055:U1058)+UnosPod!O1107+UnosPod!O1109</f>
        <v>2280</v>
      </c>
      <c r="AJ80" s="2567"/>
      <c r="AK80" s="2567"/>
      <c r="AL80" s="2567"/>
      <c r="AM80" s="2567"/>
      <c r="AN80" s="2567"/>
      <c r="AO80" s="2567"/>
      <c r="AP80" s="2567">
        <f>Prethodna_2024!B418</f>
        <v>0</v>
      </c>
      <c r="AQ80" s="2567"/>
      <c r="AR80" s="2567"/>
      <c r="AS80" s="2567"/>
      <c r="AT80" s="2567"/>
      <c r="AU80" s="2567"/>
      <c r="AV80" s="2567"/>
    </row>
    <row r="81" s="1227" customFormat="1" ht="21.75" customHeight="1" spans="1:48">
      <c r="A81" s="2562" t="str">
        <f>'Konta_Pozicije BOS'!A332</f>
        <v>3.13.</v>
      </c>
      <c r="B81" s="2562"/>
      <c r="C81" s="2562"/>
      <c r="D81" s="1436" t="str">
        <f>Text!B482</f>
        <v>Ostali odlivi iz finansijskih aktivnosti</v>
      </c>
      <c r="E81" s="1437"/>
      <c r="F81" s="1437"/>
      <c r="G81" s="1437"/>
      <c r="H81" s="1437"/>
      <c r="I81" s="1437"/>
      <c r="J81" s="1437"/>
      <c r="K81" s="1437"/>
      <c r="L81" s="1437"/>
      <c r="M81" s="1437"/>
      <c r="N81" s="1437"/>
      <c r="O81" s="1437"/>
      <c r="P81" s="1437"/>
      <c r="Q81" s="1437"/>
      <c r="R81" s="1437"/>
      <c r="S81" s="1437"/>
      <c r="T81" s="1437"/>
      <c r="U81" s="1437"/>
      <c r="V81" s="1437"/>
      <c r="W81" s="1437"/>
      <c r="X81" s="1437"/>
      <c r="Y81" s="2563"/>
      <c r="Z81" s="2564"/>
      <c r="AA81" s="2564"/>
      <c r="AB81" s="2564"/>
      <c r="AC81" s="2565" t="s">
        <v>5756</v>
      </c>
      <c r="AD81" s="2565"/>
      <c r="AE81" s="2565"/>
      <c r="AF81" s="1372" t="s">
        <v>4615</v>
      </c>
      <c r="AG81" s="2566"/>
      <c r="AH81" s="1404"/>
      <c r="AI81" s="2567">
        <f>(SUM(UnosPod!H1006:N1010)+SUM(UnosPod!H1034:N1036)+SUM(UnosPod!H1055:N1059)+SUM(UnosPod!H1071:N1072)+UnosPod!H1107+UnosPod!H1109)*-1</f>
        <v>0</v>
      </c>
      <c r="AJ81" s="2567"/>
      <c r="AK81" s="2567"/>
      <c r="AL81" s="2567"/>
      <c r="AM81" s="2567"/>
      <c r="AN81" s="2567"/>
      <c r="AO81" s="2567"/>
      <c r="AP81" s="2567">
        <f>Prethodna_2024!B419</f>
        <v>0</v>
      </c>
      <c r="AQ81" s="2567"/>
      <c r="AR81" s="2567"/>
      <c r="AS81" s="2567"/>
      <c r="AT81" s="2567"/>
      <c r="AU81" s="2567"/>
      <c r="AV81" s="2567"/>
    </row>
    <row r="82" s="1227" customFormat="1" ht="24" customHeight="1" spans="1:48">
      <c r="A82" s="2558" t="str">
        <f>'Konta_Pozicije BOS'!A333</f>
        <v>C.</v>
      </c>
      <c r="B82" s="2558"/>
      <c r="C82" s="2558"/>
      <c r="D82" s="2611" t="str">
        <f>Text!B483</f>
        <v>Neto gotovinski tok koji je generisan / (korišten) u finansijskim aktivnostima (439 do 451)</v>
      </c>
      <c r="E82" s="2612"/>
      <c r="F82" s="2612"/>
      <c r="G82" s="2612"/>
      <c r="H82" s="2612"/>
      <c r="I82" s="2612"/>
      <c r="J82" s="2612"/>
      <c r="K82" s="2612"/>
      <c r="L82" s="2612"/>
      <c r="M82" s="2612"/>
      <c r="N82" s="2612"/>
      <c r="O82" s="2612"/>
      <c r="P82" s="2612"/>
      <c r="Q82" s="2612"/>
      <c r="R82" s="2612"/>
      <c r="S82" s="2612"/>
      <c r="T82" s="2612"/>
      <c r="U82" s="2612"/>
      <c r="V82" s="2612"/>
      <c r="W82" s="2612"/>
      <c r="X82" s="2612"/>
      <c r="Y82" s="2613"/>
      <c r="Z82" s="1392"/>
      <c r="AA82" s="1392"/>
      <c r="AB82" s="1392"/>
      <c r="AC82" s="2623" t="s">
        <v>7135</v>
      </c>
      <c r="AD82" s="2623"/>
      <c r="AE82" s="2623"/>
      <c r="AF82" s="1372" t="s">
        <v>4616</v>
      </c>
      <c r="AG82" s="2566"/>
      <c r="AH82" s="1404"/>
      <c r="AI82" s="2624">
        <f>SUM(AI64:AO70)+SUM(AI76:AO81)</f>
        <v>2280</v>
      </c>
      <c r="AJ82" s="2624"/>
      <c r="AK82" s="2624"/>
      <c r="AL82" s="2624"/>
      <c r="AM82" s="2624"/>
      <c r="AN82" s="2624"/>
      <c r="AO82" s="2624"/>
      <c r="AP82" s="2624">
        <f>SUM(AP64:AV70)+SUM(AP76:AV81)</f>
        <v>0</v>
      </c>
      <c r="AQ82" s="2624"/>
      <c r="AR82" s="2624"/>
      <c r="AS82" s="2624"/>
      <c r="AT82" s="2624"/>
      <c r="AU82" s="2624"/>
      <c r="AV82" s="2624"/>
    </row>
    <row r="83" s="1224" customFormat="1" ht="24" customHeight="1" spans="1:48">
      <c r="A83" s="2562" t="str">
        <f>'Konta_Pozicije BOS'!A334</f>
        <v>4.</v>
      </c>
      <c r="B83" s="2562"/>
      <c r="C83" s="2562"/>
      <c r="D83" s="2639" t="str">
        <f>Text!B484</f>
        <v>NETO POVEĆANJE / (SMANJENJE) GOTOVINE I GOTOVINSKIH EKVIVALENATA (A+B+C)</v>
      </c>
      <c r="E83" s="2640"/>
      <c r="F83" s="2640"/>
      <c r="G83" s="2640"/>
      <c r="H83" s="2640"/>
      <c r="I83" s="2640"/>
      <c r="J83" s="2640"/>
      <c r="K83" s="2640"/>
      <c r="L83" s="2640"/>
      <c r="M83" s="2640"/>
      <c r="N83" s="2640"/>
      <c r="O83" s="2640"/>
      <c r="P83" s="2640"/>
      <c r="Q83" s="2640"/>
      <c r="R83" s="2640"/>
      <c r="S83" s="2640"/>
      <c r="T83" s="2640"/>
      <c r="U83" s="2640"/>
      <c r="V83" s="2640"/>
      <c r="W83" s="2640"/>
      <c r="X83" s="2640"/>
      <c r="Y83" s="2641"/>
      <c r="Z83" s="2564"/>
      <c r="AA83" s="2564"/>
      <c r="AB83" s="2564"/>
      <c r="AC83" s="2565" t="s">
        <v>7135</v>
      </c>
      <c r="AD83" s="2565"/>
      <c r="AE83" s="2565"/>
      <c r="AF83" s="1372" t="s">
        <v>4617</v>
      </c>
      <c r="AG83" s="2566"/>
      <c r="AH83" s="1404"/>
      <c r="AI83" s="2567">
        <f>SUM(AI21:AO25)+AI26+AI27+AI62+AI82</f>
        <v>2280</v>
      </c>
      <c r="AJ83" s="2567"/>
      <c r="AK83" s="2567"/>
      <c r="AL83" s="2567"/>
      <c r="AM83" s="2567"/>
      <c r="AN83" s="2567"/>
      <c r="AO83" s="2567"/>
      <c r="AP83" s="2567">
        <f>SUM(AP21:AV25)+AP26+AP27+AP62+AP82</f>
        <v>0</v>
      </c>
      <c r="AQ83" s="2567"/>
      <c r="AR83" s="2567"/>
      <c r="AS83" s="2567"/>
      <c r="AT83" s="2567"/>
      <c r="AU83" s="2567"/>
      <c r="AV83" s="2567"/>
    </row>
    <row r="84" s="1224" customFormat="1" ht="21.75" customHeight="1" spans="1:48">
      <c r="A84" s="2562" t="str">
        <f>'Konta_Pozicije BOS'!A335</f>
        <v>5.</v>
      </c>
      <c r="B84" s="2562"/>
      <c r="C84" s="2562"/>
      <c r="D84" s="1402" t="str">
        <f>Text!B485</f>
        <v>GOTOVINA I GOTOVINSKI EKVIVALENTI NA POČETKU PERIODA</v>
      </c>
      <c r="E84" s="1403"/>
      <c r="F84" s="1403"/>
      <c r="G84" s="1403"/>
      <c r="H84" s="1403"/>
      <c r="I84" s="1403"/>
      <c r="J84" s="1403"/>
      <c r="K84" s="1403"/>
      <c r="L84" s="1403"/>
      <c r="M84" s="1403"/>
      <c r="N84" s="1403"/>
      <c r="O84" s="1403"/>
      <c r="P84" s="1403"/>
      <c r="Q84" s="1403"/>
      <c r="R84" s="1403"/>
      <c r="S84" s="1403"/>
      <c r="T84" s="1403"/>
      <c r="U84" s="1403"/>
      <c r="V84" s="1403"/>
      <c r="W84" s="1403"/>
      <c r="X84" s="1403"/>
      <c r="Y84" s="2559"/>
      <c r="Z84" s="2564"/>
      <c r="AA84" s="2564"/>
      <c r="AB84" s="2564"/>
      <c r="AC84" s="2565" t="s">
        <v>7135</v>
      </c>
      <c r="AD84" s="2565"/>
      <c r="AE84" s="2565"/>
      <c r="AF84" s="1372" t="s">
        <v>4618</v>
      </c>
      <c r="AG84" s="2566"/>
      <c r="AH84" s="1404"/>
      <c r="AI84" s="2567">
        <f>B_Stanja!AP80</f>
        <v>47</v>
      </c>
      <c r="AJ84" s="2567"/>
      <c r="AK84" s="2567"/>
      <c r="AL84" s="2567"/>
      <c r="AM84" s="2567"/>
      <c r="AN84" s="2567"/>
      <c r="AO84" s="2567"/>
      <c r="AP84" s="1409">
        <f>Prethodna_2024!B422</f>
        <v>0</v>
      </c>
      <c r="AQ84" s="1410"/>
      <c r="AR84" s="1410"/>
      <c r="AS84" s="1410"/>
      <c r="AT84" s="1410"/>
      <c r="AU84" s="1410"/>
      <c r="AV84" s="1411"/>
    </row>
    <row r="85" s="1224" customFormat="1" ht="21.75" customHeight="1" spans="1:48">
      <c r="A85" s="2562" t="str">
        <f>'Konta_Pozicije BOS'!A336</f>
        <v>6.</v>
      </c>
      <c r="B85" s="2562"/>
      <c r="C85" s="2562"/>
      <c r="D85" s="1402" t="str">
        <f>Text!B486</f>
        <v>EFEKTI PROMJENE DEVIZNIH KURSEVA GOTOVINE I GOTOVINSKIH EKVIVALENATA</v>
      </c>
      <c r="E85" s="1403"/>
      <c r="F85" s="1403"/>
      <c r="G85" s="1403"/>
      <c r="H85" s="1403"/>
      <c r="I85" s="1403"/>
      <c r="J85" s="1403"/>
      <c r="K85" s="1403"/>
      <c r="L85" s="1403"/>
      <c r="M85" s="1403"/>
      <c r="N85" s="1403"/>
      <c r="O85" s="1403"/>
      <c r="P85" s="1403"/>
      <c r="Q85" s="1403"/>
      <c r="R85" s="1403"/>
      <c r="S85" s="1403"/>
      <c r="T85" s="1403"/>
      <c r="U85" s="1403"/>
      <c r="V85" s="1403"/>
      <c r="W85" s="1403"/>
      <c r="X85" s="1403"/>
      <c r="Y85" s="2559"/>
      <c r="Z85" s="2564"/>
      <c r="AA85" s="2564"/>
      <c r="AB85" s="2564"/>
      <c r="AC85" s="2565" t="s">
        <v>7135</v>
      </c>
      <c r="AD85" s="2565"/>
      <c r="AE85" s="2565"/>
      <c r="AF85" s="1372" t="s">
        <v>4619</v>
      </c>
      <c r="AG85" s="2566"/>
      <c r="AH85" s="1404"/>
      <c r="AI85" s="2567">
        <f>UnosPod!O1104-UnosPod!H1105</f>
        <v>0</v>
      </c>
      <c r="AJ85" s="2567"/>
      <c r="AK85" s="2567"/>
      <c r="AL85" s="2567"/>
      <c r="AM85" s="2567"/>
      <c r="AN85" s="2567"/>
      <c r="AO85" s="2567"/>
      <c r="AP85" s="1409">
        <f>Prethodna_2024!B423</f>
        <v>0</v>
      </c>
      <c r="AQ85" s="1410"/>
      <c r="AR85" s="1410"/>
      <c r="AS85" s="1410"/>
      <c r="AT85" s="1410"/>
      <c r="AU85" s="1410"/>
      <c r="AV85" s="1411"/>
    </row>
    <row r="86" s="1224" customFormat="1" ht="21.75" customHeight="1" spans="1:48">
      <c r="A86" s="2562" t="str">
        <f>'Konta_Pozicije BOS'!A337</f>
        <v>7.</v>
      </c>
      <c r="B86" s="2562"/>
      <c r="C86" s="2562"/>
      <c r="D86" s="1402" t="str">
        <f>Text!B487</f>
        <v>GOTOVINA I GOTOVINSKI EKVIVALENTI NA KRAJU PERIODA (4+5+6)</v>
      </c>
      <c r="E86" s="1403"/>
      <c r="F86" s="1403"/>
      <c r="G86" s="1403"/>
      <c r="H86" s="1403"/>
      <c r="I86" s="1403"/>
      <c r="J86" s="1403"/>
      <c r="K86" s="1403"/>
      <c r="L86" s="1403"/>
      <c r="M86" s="1403"/>
      <c r="N86" s="1403"/>
      <c r="O86" s="1403"/>
      <c r="P86" s="1403"/>
      <c r="Q86" s="1403"/>
      <c r="R86" s="1403"/>
      <c r="S86" s="1403"/>
      <c r="T86" s="1403"/>
      <c r="U86" s="1403"/>
      <c r="V86" s="1403"/>
      <c r="W86" s="1403"/>
      <c r="X86" s="1403"/>
      <c r="Y86" s="2559"/>
      <c r="Z86" s="2564"/>
      <c r="AA86" s="2564"/>
      <c r="AB86" s="2564"/>
      <c r="AC86" s="2565" t="s">
        <v>7135</v>
      </c>
      <c r="AD86" s="2565"/>
      <c r="AE86" s="2565"/>
      <c r="AF86" s="1372" t="s">
        <v>4620</v>
      </c>
      <c r="AG86" s="2566"/>
      <c r="AH86" s="1404"/>
      <c r="AI86" s="2567">
        <f>B_Stanja!AI80</f>
        <v>2327</v>
      </c>
      <c r="AJ86" s="2567"/>
      <c r="AK86" s="2567"/>
      <c r="AL86" s="2567"/>
      <c r="AM86" s="2567"/>
      <c r="AN86" s="2567"/>
      <c r="AO86" s="2567"/>
      <c r="AP86" s="1409">
        <f>Prethodna_2024!B424</f>
        <v>0</v>
      </c>
      <c r="AQ86" s="1410"/>
      <c r="AR86" s="1410"/>
      <c r="AS86" s="1410"/>
      <c r="AT86" s="1410"/>
      <c r="AU86" s="1410"/>
      <c r="AV86" s="1411"/>
    </row>
    <row r="87" spans="1:48">
      <c r="A87" s="874"/>
      <c r="B87" s="874"/>
      <c r="AI87" s="2627">
        <f>AI86-AI85-AI84-AI83</f>
        <v>0</v>
      </c>
      <c r="AJ87" s="2542"/>
      <c r="AK87" s="2542"/>
      <c r="AL87" s="2542"/>
      <c r="AM87" s="2542"/>
      <c r="AN87" s="2542"/>
      <c r="AO87" s="2542"/>
      <c r="AP87" s="2627">
        <f>AP86-AP85-AP84-AP83</f>
        <v>0</v>
      </c>
      <c r="AQ87" s="2542"/>
      <c r="AR87" s="2542"/>
      <c r="AS87" s="2542"/>
      <c r="AT87" s="2542"/>
      <c r="AU87" s="2542"/>
      <c r="AV87" s="2542"/>
    </row>
    <row r="88" s="1750" customFormat="1" ht="15.75"/>
    <row r="89" s="1340" customFormat="1" ht="14.25" customHeight="1" spans="1:48">
      <c r="A89" s="1440" t="str">
        <f>Text!B43</f>
        <v>U</v>
      </c>
      <c r="B89" s="1440"/>
      <c r="C89" s="1340" t="str">
        <f>Sjedište</f>
        <v>Sarajevo-Stari Grad</v>
      </c>
      <c r="AM89" s="1244" t="str">
        <f>Text!B44</f>
        <v>Direktor</v>
      </c>
      <c r="AN89" s="1244"/>
      <c r="AO89" s="1244"/>
      <c r="AP89" s="1244"/>
      <c r="AQ89" s="1244"/>
      <c r="AR89" s="1244"/>
      <c r="AS89" s="1244"/>
      <c r="AT89" s="1244"/>
      <c r="AU89" s="1244"/>
      <c r="AV89" s="1244"/>
    </row>
    <row r="90" s="1340" customFormat="1" ht="14.25" customHeight="1" spans="1:48">
      <c r="A90" s="1440" t="str">
        <f>Text!B40</f>
        <v>Dana</v>
      </c>
      <c r="B90" s="1440"/>
      <c r="C90" s="1441" t="str">
        <f>UnosPod!AA22&amp;UnosPod!AB22&amp;"."&amp;UnosPod!AC22&amp;UnosPod!AD22&amp;"."&amp;UnosPod!AE22&amp;UnosPod!AF22&amp;UnosPod!AG22&amp;UnosPod!AH22&amp;"."&amp;Text!B31</f>
        <v>28.02.2026.godine</v>
      </c>
      <c r="D90" s="1441"/>
      <c r="E90" s="1441"/>
      <c r="F90" s="1441"/>
      <c r="G90" s="1441"/>
      <c r="O90" s="1440" t="str">
        <f>Text!B41</f>
        <v>Certificirani računovođa : </v>
      </c>
      <c r="P90" s="1442" t="str">
        <f>Racunovoda</f>
        <v>Elvira Žilić</v>
      </c>
      <c r="AI90" s="1340" t="s">
        <v>7039</v>
      </c>
      <c r="AN90" s="1443"/>
      <c r="AO90" s="1443"/>
      <c r="AP90" s="1443"/>
      <c r="AQ90" s="1443"/>
      <c r="AR90" s="1443"/>
      <c r="AS90" s="1443"/>
      <c r="AT90" s="1443"/>
      <c r="AU90" s="1443"/>
      <c r="AV90" s="1443"/>
    </row>
    <row r="91" s="1340" customFormat="1" ht="14.25" customHeight="1" spans="1:48">
      <c r="O91" s="1440" t="str">
        <f>Text!B42</f>
        <v>Broj dozvole : </v>
      </c>
      <c r="P91" s="1444" t="str">
        <f>UnosPod!AA3</f>
        <v>CR-8559/5</v>
      </c>
      <c r="Q91" s="1445"/>
      <c r="R91" s="1445"/>
      <c r="S91" s="1445"/>
      <c r="T91" s="1445"/>
      <c r="U91" s="1445"/>
      <c r="V91" s="1445"/>
      <c r="W91" s="1445"/>
      <c r="X91" s="1445"/>
      <c r="AM91" s="1446" t="str">
        <f>Direktor</f>
        <v>Nedim Vilogorac</v>
      </c>
      <c r="AN91" s="1446"/>
      <c r="AO91" s="1446"/>
      <c r="AP91" s="1446"/>
      <c r="AQ91" s="1446"/>
      <c r="AR91" s="1446"/>
      <c r="AS91" s="1446"/>
      <c r="AT91" s="1446"/>
      <c r="AU91" s="1446"/>
      <c r="AV91" s="1446"/>
    </row>
    <row r="92" s="1340" customFormat="1" ht="14.25" customHeight="1"/>
  </sheetData>
  <mergeCells count="461">
    <mergeCell ref="AM1:AV1"/>
    <mergeCell ref="AL2:AV2"/>
    <mergeCell ref="AM3:AV3"/>
    <mergeCell ref="AL4:AV4"/>
    <mergeCell ref="A8:J8"/>
    <mergeCell ref="AM8:AV8"/>
    <mergeCell ref="A10:J10"/>
    <mergeCell ref="A12:AV12"/>
    <mergeCell ref="A13:AV13"/>
    <mergeCell ref="A14:AV14"/>
    <mergeCell ref="A15:AV15"/>
    <mergeCell ref="AC17:AE17"/>
    <mergeCell ref="AF17:AH17"/>
    <mergeCell ref="AI17:AO17"/>
    <mergeCell ref="AP17:AV17"/>
    <mergeCell ref="AC18:AE18"/>
    <mergeCell ref="AF18:AH18"/>
    <mergeCell ref="AI18:AO18"/>
    <mergeCell ref="AP18:AV18"/>
    <mergeCell ref="A19:C19"/>
    <mergeCell ref="D19:Y19"/>
    <mergeCell ref="Z19:AB19"/>
    <mergeCell ref="AC19:AE19"/>
    <mergeCell ref="AF19:AH19"/>
    <mergeCell ref="AI19:AO19"/>
    <mergeCell ref="AP19:AV19"/>
    <mergeCell ref="A20:C20"/>
    <mergeCell ref="D20:Y20"/>
    <mergeCell ref="Z20:AB20"/>
    <mergeCell ref="AC20:AE20"/>
    <mergeCell ref="AI20:AO20"/>
    <mergeCell ref="AP20:AV20"/>
    <mergeCell ref="A21:C21"/>
    <mergeCell ref="D21:Y21"/>
    <mergeCell ref="Z21:AB21"/>
    <mergeCell ref="AC21:AE21"/>
    <mergeCell ref="AF21:AH21"/>
    <mergeCell ref="AI21:AO21"/>
    <mergeCell ref="AP21:AV21"/>
    <mergeCell ref="A22:C22"/>
    <mergeCell ref="D22:Y22"/>
    <mergeCell ref="Z22:AB22"/>
    <mergeCell ref="AC22:AE22"/>
    <mergeCell ref="AF22:AH22"/>
    <mergeCell ref="AI22:AO22"/>
    <mergeCell ref="AP22:AV22"/>
    <mergeCell ref="A23:C23"/>
    <mergeCell ref="D23:Y23"/>
    <mergeCell ref="Z23:AB23"/>
    <mergeCell ref="AC23:AE23"/>
    <mergeCell ref="AF23:AH23"/>
    <mergeCell ref="AI23:AO23"/>
    <mergeCell ref="AP23:AV23"/>
    <mergeCell ref="A24:C24"/>
    <mergeCell ref="D24:Y24"/>
    <mergeCell ref="Z24:AB24"/>
    <mergeCell ref="AC24:AE24"/>
    <mergeCell ref="AF24:AH24"/>
    <mergeCell ref="AI24:AO24"/>
    <mergeCell ref="AP24:AV24"/>
    <mergeCell ref="A25:C25"/>
    <mergeCell ref="D25:Y25"/>
    <mergeCell ref="Z25:AB25"/>
    <mergeCell ref="AC25:AE25"/>
    <mergeCell ref="AF25:AH25"/>
    <mergeCell ref="AI25:AO25"/>
    <mergeCell ref="AP25:AV25"/>
    <mergeCell ref="A26:C26"/>
    <mergeCell ref="D26:Y26"/>
    <mergeCell ref="Z26:AB26"/>
    <mergeCell ref="AC26:AE26"/>
    <mergeCell ref="AF26:AH26"/>
    <mergeCell ref="AI26:AO26"/>
    <mergeCell ref="AP26:AV26"/>
    <mergeCell ref="A27:C27"/>
    <mergeCell ref="D27:Y27"/>
    <mergeCell ref="Z27:AB27"/>
    <mergeCell ref="AC27:AE27"/>
    <mergeCell ref="AF27:AH27"/>
    <mergeCell ref="AI27:AO27"/>
    <mergeCell ref="AP27:AV27"/>
    <mergeCell ref="A28:C28"/>
    <mergeCell ref="D28:Y28"/>
    <mergeCell ref="Z28:AB28"/>
    <mergeCell ref="AC28:AE28"/>
    <mergeCell ref="AF28:AH28"/>
    <mergeCell ref="AI28:AO28"/>
    <mergeCell ref="AP28:AV28"/>
    <mergeCell ref="A29:C29"/>
    <mergeCell ref="D29:Y29"/>
    <mergeCell ref="Z29:AB29"/>
    <mergeCell ref="AC29:AE29"/>
    <mergeCell ref="AI29:AO29"/>
    <mergeCell ref="AP29:AV29"/>
    <mergeCell ref="A30:C30"/>
    <mergeCell ref="D30:Y30"/>
    <mergeCell ref="Z30:AB30"/>
    <mergeCell ref="AC30:AE30"/>
    <mergeCell ref="AF30:AH30"/>
    <mergeCell ref="AI30:AO30"/>
    <mergeCell ref="AP30:AV30"/>
    <mergeCell ref="A31:C31"/>
    <mergeCell ref="D31:Y31"/>
    <mergeCell ref="Z31:AB31"/>
    <mergeCell ref="AC31:AE31"/>
    <mergeCell ref="AF31:AH31"/>
    <mergeCell ref="AI31:AO31"/>
    <mergeCell ref="AP31:AV31"/>
    <mergeCell ref="A32:C32"/>
    <mergeCell ref="D32:Y32"/>
    <mergeCell ref="Z32:AB32"/>
    <mergeCell ref="AC32:AE32"/>
    <mergeCell ref="AF32:AH32"/>
    <mergeCell ref="AI32:AO32"/>
    <mergeCell ref="AP32:AV32"/>
    <mergeCell ref="A33:C33"/>
    <mergeCell ref="D33:Y33"/>
    <mergeCell ref="Z33:AB33"/>
    <mergeCell ref="AC33:AE33"/>
    <mergeCell ref="AF33:AH33"/>
    <mergeCell ref="AI33:AO33"/>
    <mergeCell ref="AP33:AV33"/>
    <mergeCell ref="A34:C34"/>
    <mergeCell ref="D34:Y34"/>
    <mergeCell ref="Z34:AB34"/>
    <mergeCell ref="AC34:AE34"/>
    <mergeCell ref="AF34:AH34"/>
    <mergeCell ref="AI34:AO34"/>
    <mergeCell ref="AP34:AV34"/>
    <mergeCell ref="A35:C35"/>
    <mergeCell ref="D35:Y35"/>
    <mergeCell ref="Z35:AB35"/>
    <mergeCell ref="AC35:AE35"/>
    <mergeCell ref="AF35:AH35"/>
    <mergeCell ref="AI35:AO35"/>
    <mergeCell ref="AP35:AV35"/>
    <mergeCell ref="A36:C36"/>
    <mergeCell ref="D36:Y36"/>
    <mergeCell ref="Z36:AB36"/>
    <mergeCell ref="AC36:AE36"/>
    <mergeCell ref="AF36:AH36"/>
    <mergeCell ref="AI36:AO36"/>
    <mergeCell ref="AP36:AV36"/>
    <mergeCell ref="A39:C39"/>
    <mergeCell ref="D39:Y39"/>
    <mergeCell ref="Z39:AB39"/>
    <mergeCell ref="AC39:AE39"/>
    <mergeCell ref="AF39:AH39"/>
    <mergeCell ref="AI39:AO39"/>
    <mergeCell ref="AP39:AV39"/>
    <mergeCell ref="A40:C40"/>
    <mergeCell ref="D40:Y40"/>
    <mergeCell ref="Z40:AB40"/>
    <mergeCell ref="AC40:AE40"/>
    <mergeCell ref="AF40:AH40"/>
    <mergeCell ref="AI40:AO40"/>
    <mergeCell ref="AP40:AV40"/>
    <mergeCell ref="A41:C41"/>
    <mergeCell ref="D41:Y41"/>
    <mergeCell ref="Z41:AB41"/>
    <mergeCell ref="AC41:AE41"/>
    <mergeCell ref="AF41:AH41"/>
    <mergeCell ref="AI41:AO41"/>
    <mergeCell ref="AP41:AV41"/>
    <mergeCell ref="A42:C42"/>
    <mergeCell ref="D42:Y42"/>
    <mergeCell ref="Z42:AB42"/>
    <mergeCell ref="AC42:AE42"/>
    <mergeCell ref="AF42:AH42"/>
    <mergeCell ref="AI42:AO42"/>
    <mergeCell ref="AP42:AV42"/>
    <mergeCell ref="A43:C43"/>
    <mergeCell ref="D43:Y43"/>
    <mergeCell ref="Z43:AB43"/>
    <mergeCell ref="AC43:AE43"/>
    <mergeCell ref="AF43:AH43"/>
    <mergeCell ref="AI43:AO43"/>
    <mergeCell ref="AP43:AV43"/>
    <mergeCell ref="A44:C44"/>
    <mergeCell ref="D44:Y44"/>
    <mergeCell ref="Z44:AB44"/>
    <mergeCell ref="AC44:AE44"/>
    <mergeCell ref="AF44:AH44"/>
    <mergeCell ref="AI44:AO44"/>
    <mergeCell ref="AP44:AV44"/>
    <mergeCell ref="A45:C45"/>
    <mergeCell ref="D45:Y45"/>
    <mergeCell ref="Z45:AB45"/>
    <mergeCell ref="AC45:AE45"/>
    <mergeCell ref="AF45:AH45"/>
    <mergeCell ref="AI45:AO45"/>
    <mergeCell ref="AP45:AV45"/>
    <mergeCell ref="A46:C46"/>
    <mergeCell ref="D46:Y46"/>
    <mergeCell ref="Z46:AB46"/>
    <mergeCell ref="AC46:AE46"/>
    <mergeCell ref="AF46:AH46"/>
    <mergeCell ref="AI46:AO46"/>
    <mergeCell ref="AP46:AV46"/>
    <mergeCell ref="A47:C47"/>
    <mergeCell ref="D47:Y47"/>
    <mergeCell ref="Z47:AB47"/>
    <mergeCell ref="AC47:AE47"/>
    <mergeCell ref="AF47:AH47"/>
    <mergeCell ref="AI47:AO47"/>
    <mergeCell ref="AP47:AV47"/>
    <mergeCell ref="A48:C48"/>
    <mergeCell ref="D48:Y48"/>
    <mergeCell ref="Z48:AB48"/>
    <mergeCell ref="AC48:AE48"/>
    <mergeCell ref="AF48:AH48"/>
    <mergeCell ref="AI48:AO48"/>
    <mergeCell ref="AP48:AV48"/>
    <mergeCell ref="A49:C49"/>
    <mergeCell ref="D49:Y49"/>
    <mergeCell ref="Z49:AB49"/>
    <mergeCell ref="AC49:AE49"/>
    <mergeCell ref="AF49:AH49"/>
    <mergeCell ref="AI49:AO49"/>
    <mergeCell ref="AP49:AV49"/>
    <mergeCell ref="A50:C50"/>
    <mergeCell ref="D50:Y50"/>
    <mergeCell ref="Z50:AB50"/>
    <mergeCell ref="AC50:AE50"/>
    <mergeCell ref="AF50:AH50"/>
    <mergeCell ref="AI50:AO50"/>
    <mergeCell ref="AP50:AV50"/>
    <mergeCell ref="A51:C51"/>
    <mergeCell ref="D51:Y51"/>
    <mergeCell ref="Z51:AB51"/>
    <mergeCell ref="AC51:AE51"/>
    <mergeCell ref="AF51:AH51"/>
    <mergeCell ref="AI51:AO51"/>
    <mergeCell ref="AP51:AV51"/>
    <mergeCell ref="A52:C52"/>
    <mergeCell ref="D52:Y52"/>
    <mergeCell ref="Z52:AB52"/>
    <mergeCell ref="AC52:AE52"/>
    <mergeCell ref="AF52:AH52"/>
    <mergeCell ref="AI52:AO52"/>
    <mergeCell ref="AP52:AV52"/>
    <mergeCell ref="A53:C53"/>
    <mergeCell ref="D53:Y53"/>
    <mergeCell ref="Z53:AB53"/>
    <mergeCell ref="AC53:AE53"/>
    <mergeCell ref="AF53:AH53"/>
    <mergeCell ref="AI53:AO53"/>
    <mergeCell ref="AP53:AV53"/>
    <mergeCell ref="A54:C54"/>
    <mergeCell ref="D54:Y54"/>
    <mergeCell ref="Z54:AB54"/>
    <mergeCell ref="AC54:AE54"/>
    <mergeCell ref="AF54:AH54"/>
    <mergeCell ref="AI54:AO54"/>
    <mergeCell ref="AP54:AV54"/>
    <mergeCell ref="A55:C55"/>
    <mergeCell ref="D55:Y55"/>
    <mergeCell ref="Z55:AB55"/>
    <mergeCell ref="AC55:AE55"/>
    <mergeCell ref="AF55:AH55"/>
    <mergeCell ref="AI55:AO55"/>
    <mergeCell ref="AP55:AV55"/>
    <mergeCell ref="A56:C56"/>
    <mergeCell ref="D56:Y56"/>
    <mergeCell ref="Z56:AB56"/>
    <mergeCell ref="AC56:AE56"/>
    <mergeCell ref="AF56:AH56"/>
    <mergeCell ref="AI56:AO56"/>
    <mergeCell ref="AP56:AV56"/>
    <mergeCell ref="A57:C57"/>
    <mergeCell ref="D57:Y57"/>
    <mergeCell ref="Z57:AB57"/>
    <mergeCell ref="AC57:AE57"/>
    <mergeCell ref="AF57:AH57"/>
    <mergeCell ref="AI57:AO57"/>
    <mergeCell ref="AP57:AV57"/>
    <mergeCell ref="A58:C58"/>
    <mergeCell ref="D58:Y58"/>
    <mergeCell ref="Z58:AB58"/>
    <mergeCell ref="AC58:AE58"/>
    <mergeCell ref="AF58:AH58"/>
    <mergeCell ref="AI58:AO58"/>
    <mergeCell ref="AP58:AV58"/>
    <mergeCell ref="A59:C59"/>
    <mergeCell ref="D59:Y59"/>
    <mergeCell ref="Z59:AB59"/>
    <mergeCell ref="AC59:AE59"/>
    <mergeCell ref="AF59:AH59"/>
    <mergeCell ref="AI59:AO59"/>
    <mergeCell ref="AP59:AV59"/>
    <mergeCell ref="A60:C60"/>
    <mergeCell ref="D60:Y60"/>
    <mergeCell ref="Z60:AB60"/>
    <mergeCell ref="AC60:AE60"/>
    <mergeCell ref="AF60:AH60"/>
    <mergeCell ref="AI60:AO60"/>
    <mergeCell ref="AP60:AV60"/>
    <mergeCell ref="A61:C61"/>
    <mergeCell ref="D61:Y61"/>
    <mergeCell ref="Z61:AB61"/>
    <mergeCell ref="AC61:AE61"/>
    <mergeCell ref="AF61:AH61"/>
    <mergeCell ref="AI61:AO61"/>
    <mergeCell ref="AP61:AV61"/>
    <mergeCell ref="A62:C62"/>
    <mergeCell ref="D62:Y62"/>
    <mergeCell ref="Z62:AB62"/>
    <mergeCell ref="AC62:AE62"/>
    <mergeCell ref="AF62:AH62"/>
    <mergeCell ref="AI62:AO62"/>
    <mergeCell ref="AP62:AV62"/>
    <mergeCell ref="A63:C63"/>
    <mergeCell ref="D63:Y63"/>
    <mergeCell ref="Z63:AB63"/>
    <mergeCell ref="AC63:AE63"/>
    <mergeCell ref="AI63:AO63"/>
    <mergeCell ref="AP63:AV63"/>
    <mergeCell ref="A64:C64"/>
    <mergeCell ref="D64:Y64"/>
    <mergeCell ref="Z64:AB64"/>
    <mergeCell ref="AC64:AE64"/>
    <mergeCell ref="AF64:AH64"/>
    <mergeCell ref="AI64:AO64"/>
    <mergeCell ref="AP64:AV64"/>
    <mergeCell ref="A65:C65"/>
    <mergeCell ref="D65:Y65"/>
    <mergeCell ref="Z65:AB65"/>
    <mergeCell ref="AC65:AE65"/>
    <mergeCell ref="AF65:AH65"/>
    <mergeCell ref="AI65:AO65"/>
    <mergeCell ref="AP65:AV65"/>
    <mergeCell ref="A66:C66"/>
    <mergeCell ref="D66:Y66"/>
    <mergeCell ref="Z66:AB66"/>
    <mergeCell ref="AC66:AE66"/>
    <mergeCell ref="AF66:AH66"/>
    <mergeCell ref="AI66:AO66"/>
    <mergeCell ref="AP66:AV66"/>
    <mergeCell ref="A67:C67"/>
    <mergeCell ref="D67:Y67"/>
    <mergeCell ref="Z67:AB67"/>
    <mergeCell ref="AC67:AE67"/>
    <mergeCell ref="AF67:AH67"/>
    <mergeCell ref="AI67:AO67"/>
    <mergeCell ref="AP67:AV67"/>
    <mergeCell ref="A68:C68"/>
    <mergeCell ref="D68:Y68"/>
    <mergeCell ref="Z68:AB68"/>
    <mergeCell ref="AC68:AE68"/>
    <mergeCell ref="AF68:AH68"/>
    <mergeCell ref="AI68:AO68"/>
    <mergeCell ref="AP68:AV68"/>
    <mergeCell ref="A69:C69"/>
    <mergeCell ref="D69:Y69"/>
    <mergeCell ref="Z69:AB69"/>
    <mergeCell ref="AC69:AE69"/>
    <mergeCell ref="AF69:AH69"/>
    <mergeCell ref="AI69:AO69"/>
    <mergeCell ref="AP69:AV69"/>
    <mergeCell ref="A70:C70"/>
    <mergeCell ref="D70:Y70"/>
    <mergeCell ref="Z70:AB70"/>
    <mergeCell ref="AC70:AE70"/>
    <mergeCell ref="AF70:AH70"/>
    <mergeCell ref="AI70:AO70"/>
    <mergeCell ref="AP70:AV70"/>
    <mergeCell ref="A75:C75"/>
    <mergeCell ref="D75:Y75"/>
    <mergeCell ref="Z75:AB75"/>
    <mergeCell ref="AC75:AE75"/>
    <mergeCell ref="AF75:AH75"/>
    <mergeCell ref="AI75:AO75"/>
    <mergeCell ref="AP75:AV75"/>
    <mergeCell ref="A76:C76"/>
    <mergeCell ref="D76:Y76"/>
    <mergeCell ref="Z76:AB76"/>
    <mergeCell ref="AC76:AE76"/>
    <mergeCell ref="AF76:AH76"/>
    <mergeCell ref="AI76:AO76"/>
    <mergeCell ref="AP76:AV76"/>
    <mergeCell ref="A77:C77"/>
    <mergeCell ref="D77:Y77"/>
    <mergeCell ref="Z77:AB77"/>
    <mergeCell ref="AC77:AE77"/>
    <mergeCell ref="AF77:AH77"/>
    <mergeCell ref="AI77:AO77"/>
    <mergeCell ref="AP77:AV77"/>
    <mergeCell ref="A78:C78"/>
    <mergeCell ref="D78:Y78"/>
    <mergeCell ref="Z78:AB78"/>
    <mergeCell ref="AC78:AE78"/>
    <mergeCell ref="AF78:AH78"/>
    <mergeCell ref="AI78:AO78"/>
    <mergeCell ref="AP78:AV78"/>
    <mergeCell ref="A79:C79"/>
    <mergeCell ref="D79:Y79"/>
    <mergeCell ref="Z79:AB79"/>
    <mergeCell ref="AC79:AE79"/>
    <mergeCell ref="AF79:AH79"/>
    <mergeCell ref="AI79:AO79"/>
    <mergeCell ref="AP79:AV79"/>
    <mergeCell ref="A80:C80"/>
    <mergeCell ref="D80:Y80"/>
    <mergeCell ref="Z80:AB80"/>
    <mergeCell ref="AC80:AE80"/>
    <mergeCell ref="AF80:AH80"/>
    <mergeCell ref="AI80:AO80"/>
    <mergeCell ref="AP80:AV80"/>
    <mergeCell ref="A81:C81"/>
    <mergeCell ref="D81:Y81"/>
    <mergeCell ref="Z81:AB81"/>
    <mergeCell ref="AC81:AE81"/>
    <mergeCell ref="AF81:AH81"/>
    <mergeCell ref="AI81:AO81"/>
    <mergeCell ref="AP81:AV81"/>
    <mergeCell ref="A82:C82"/>
    <mergeCell ref="D82:Y82"/>
    <mergeCell ref="Z82:AB82"/>
    <mergeCell ref="AC82:AE82"/>
    <mergeCell ref="AF82:AH82"/>
    <mergeCell ref="AI82:AO82"/>
    <mergeCell ref="AP82:AV82"/>
    <mergeCell ref="A83:C83"/>
    <mergeCell ref="D83:Y83"/>
    <mergeCell ref="Z83:AB83"/>
    <mergeCell ref="AC83:AE83"/>
    <mergeCell ref="AF83:AH83"/>
    <mergeCell ref="AI83:AO83"/>
    <mergeCell ref="AP83:AV83"/>
    <mergeCell ref="A84:C84"/>
    <mergeCell ref="D84:Y84"/>
    <mergeCell ref="Z84:AB84"/>
    <mergeCell ref="AC84:AE84"/>
    <mergeCell ref="AF84:AH84"/>
    <mergeCell ref="AI84:AO84"/>
    <mergeCell ref="AP84:AV84"/>
    <mergeCell ref="A85:C85"/>
    <mergeCell ref="D85:Y85"/>
    <mergeCell ref="Z85:AB85"/>
    <mergeCell ref="AC85:AE85"/>
    <mergeCell ref="AF85:AH85"/>
    <mergeCell ref="AI85:AO85"/>
    <mergeCell ref="AP85:AV85"/>
    <mergeCell ref="A86:C86"/>
    <mergeCell ref="D86:Y86"/>
    <mergeCell ref="Z86:AB86"/>
    <mergeCell ref="AC86:AE86"/>
    <mergeCell ref="AF86:AH86"/>
    <mergeCell ref="AI86:AO86"/>
    <mergeCell ref="AP86:AV86"/>
    <mergeCell ref="AI87:AO87"/>
    <mergeCell ref="AP87:AV87"/>
    <mergeCell ref="A89:B89"/>
    <mergeCell ref="AM89:AV89"/>
    <mergeCell ref="A90:B90"/>
    <mergeCell ref="C90:G90"/>
    <mergeCell ref="AM91:AV91"/>
    <mergeCell ref="D17:Y18"/>
    <mergeCell ref="Z17:AB18"/>
    <mergeCell ref="A17:C18"/>
    <mergeCell ref="A5:X6"/>
  </mergeCells>
  <conditionalFormatting sqref="AI21:AV86">
    <cfRule type="cellIs" dxfId="10" priority="1" operator="lessThan">
      <formula>0</formula>
    </cfRule>
  </conditionalFormatting>
  <dataValidations count="1">
    <dataValidation type="custom" allowBlank="1" showInputMessage="1" showErrorMessage="1" errorTitle="GodObr 12 2020." error="Godišnji obračun 12 2020." sqref="A12:AV15">
      <formula1>Baza!$C$7="DA"</formula1>
    </dataValidation>
  </dataValidations>
  <pageMargins left="0.708661417322835" right="0.511811023622047" top="0.354330708661417" bottom="0.354330708661417" header="0.31496062992126" footer="0.31496062992126"/>
  <pageSetup paperSize="9" scale="79" fitToHeight="0" orientation="landscape"/>
  <headerFooter>
    <oddFooter>&amp;R&amp;"Arial Narrow,Uobičajeno"Strana &amp;P</oddFooter>
  </headerFooter>
  <rowBreaks count="2" manualBreakCount="2">
    <brk id="37" max="16383" man="1"/>
    <brk id="73" max="1638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9">
    <tabColor rgb="FF0070C0"/>
    <pageSetUpPr fitToPage="1"/>
  </sheetPr>
  <dimension ref="A1:AV118"/>
  <sheetViews>
    <sheetView showGridLines="0" workbookViewId="0">
      <selection activeCell="BI117" sqref="BI117"/>
    </sheetView>
  </sheetViews>
  <sheetFormatPr defaultColWidth="3.71428571428571" defaultRowHeight="16.5"/>
  <cols>
    <col min="1" max="2" width="3.71428571428571" style="2533"/>
    <col min="3" max="16384" width="3.71428571428571" style="874"/>
  </cols>
  <sheetData>
    <row r="1" ht="18" spans="1:48">
      <c r="A1" s="879" t="str">
        <f>Firma</f>
        <v>LILIUM ASSET MANAGEMENT d.o.o. Sarajevo</v>
      </c>
      <c r="B1" s="874"/>
      <c r="AM1" s="1231" t="str">
        <f>IdBroj</f>
        <v>4201337670009</v>
      </c>
      <c r="AN1" s="1231"/>
      <c r="AO1" s="1231"/>
      <c r="AP1" s="1231"/>
      <c r="AQ1" s="1231"/>
      <c r="AR1" s="1231"/>
      <c r="AS1" s="1231"/>
      <c r="AT1" s="1231"/>
      <c r="AU1" s="1231"/>
      <c r="AV1" s="1231"/>
    </row>
    <row r="2" ht="15" customHeight="1" spans="1:48">
      <c r="A2" s="877" t="str">
        <f>Text!B2</f>
        <v>Naziv pravnog lica</v>
      </c>
      <c r="B2" s="874"/>
      <c r="AE2" s="874" t="s">
        <v>4636</v>
      </c>
      <c r="AL2" s="878" t="str">
        <f>Text!B4</f>
        <v>Identifikacioni broj za direktne poreze</v>
      </c>
      <c r="AM2" s="878"/>
      <c r="AN2" s="878"/>
      <c r="AO2" s="878"/>
      <c r="AP2" s="878"/>
      <c r="AQ2" s="878"/>
      <c r="AR2" s="878"/>
      <c r="AS2" s="878"/>
      <c r="AT2" s="878"/>
      <c r="AU2" s="878"/>
      <c r="AV2" s="878"/>
    </row>
    <row r="3" s="875" customFormat="1" ht="18.75" customHeight="1" spans="1:48">
      <c r="A3" s="882" t="str">
        <f>Sjedište&amp;", "&amp;Adresa</f>
        <v>Sarajevo-Stari Grad, Dženetića čikma br.8</v>
      </c>
      <c r="AE3" s="875" t="s">
        <v>4636</v>
      </c>
      <c r="AJ3" s="880"/>
      <c r="AK3" s="880"/>
      <c r="AL3" s="880"/>
      <c r="AM3" s="1231" t="str">
        <f>Pdv_Broj</f>
        <v>201337670009</v>
      </c>
      <c r="AN3" s="1231"/>
      <c r="AO3" s="1231"/>
      <c r="AP3" s="1231"/>
      <c r="AQ3" s="1231"/>
      <c r="AR3" s="1231"/>
      <c r="AS3" s="1231"/>
      <c r="AT3" s="1231"/>
      <c r="AU3" s="1231"/>
      <c r="AV3" s="1231"/>
    </row>
    <row r="4" ht="15" customHeight="1" spans="1:48">
      <c r="A4" s="877" t="str">
        <f>Text!B3</f>
        <v>Sjedište i adresa pravnog lica</v>
      </c>
      <c r="B4" s="874"/>
      <c r="AE4" s="874" t="s">
        <v>4636</v>
      </c>
      <c r="AL4" s="878" t="str">
        <f>Text!B5</f>
        <v>Identifikacioni  broj za indirektne poreze</v>
      </c>
      <c r="AM4" s="878"/>
      <c r="AN4" s="878"/>
      <c r="AO4" s="878"/>
      <c r="AP4" s="878"/>
      <c r="AQ4" s="878"/>
      <c r="AR4" s="878"/>
      <c r="AS4" s="878"/>
      <c r="AT4" s="878"/>
      <c r="AU4" s="878"/>
      <c r="AV4" s="878"/>
    </row>
    <row r="5" s="875" customFormat="1" ht="19.5" customHeight="1" spans="1:48">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AE5" s="875" t="s">
        <v>4636</v>
      </c>
      <c r="AK5" s="880"/>
      <c r="AL5" s="880"/>
    </row>
    <row r="6" s="876" customFormat="1" customHeight="1" spans="1:48">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AV6" s="1231" t="str">
        <f>Sif_Djelatn</f>
        <v>66.30</v>
      </c>
    </row>
    <row r="7" s="875" customFormat="1" customHeight="1" spans="1:48">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AV7" s="878" t="str">
        <f>Text!B22&amp;" KD BiH 2010"</f>
        <v>Šifra djelatnosti po KD BiH 2010</v>
      </c>
    </row>
    <row r="8" s="876" customFormat="1" customHeight="1" spans="1:48">
      <c r="A8" s="1232" t="str">
        <f>Banka</f>
        <v>Raiffeisen Bank d.d. BiH</v>
      </c>
      <c r="B8" s="1232"/>
      <c r="C8" s="1232"/>
      <c r="D8" s="1232"/>
      <c r="E8" s="1232"/>
      <c r="F8" s="1232"/>
      <c r="G8" s="1232"/>
      <c r="H8" s="1232"/>
      <c r="I8" s="1232"/>
      <c r="J8" s="1232"/>
      <c r="AM8" s="881" t="str">
        <f>Sifra_opcine</f>
        <v>109</v>
      </c>
      <c r="AN8" s="881"/>
      <c r="AO8" s="881"/>
      <c r="AP8" s="881"/>
      <c r="AQ8" s="881"/>
      <c r="AR8" s="881"/>
      <c r="AS8" s="881"/>
      <c r="AT8" s="881"/>
      <c r="AU8" s="881"/>
      <c r="AV8" s="881"/>
    </row>
    <row r="9" s="876" customFormat="1" customHeight="1" spans="1:48">
      <c r="A9" s="2379" t="str">
        <f>Text!B24</f>
        <v>Naziv banke</v>
      </c>
      <c r="B9" s="1450"/>
      <c r="C9" s="1450"/>
      <c r="D9" s="1450"/>
      <c r="E9" s="1450"/>
      <c r="F9" s="1450"/>
      <c r="G9" s="1450"/>
      <c r="H9" s="1450"/>
      <c r="I9" s="1450"/>
      <c r="Y9" s="1234"/>
      <c r="Z9" s="1234"/>
      <c r="AA9" s="1234"/>
      <c r="AB9" s="1234"/>
      <c r="AC9" s="1234"/>
      <c r="AD9" s="1234"/>
      <c r="AH9" s="880"/>
      <c r="AI9" s="880"/>
      <c r="AJ9" s="880"/>
      <c r="AK9" s="880"/>
      <c r="AL9" s="880"/>
      <c r="AV9" s="878" t="str">
        <f>Text!B26</f>
        <v>Šifra općine</v>
      </c>
    </row>
    <row r="10" s="876" customFormat="1" customHeight="1" spans="1:48">
      <c r="A10" s="1232" t="str">
        <f>Glavni_racun</f>
        <v>1610000189480005</v>
      </c>
      <c r="B10" s="1232"/>
      <c r="C10" s="1232"/>
      <c r="D10" s="1232"/>
      <c r="E10" s="1232"/>
      <c r="F10" s="1232"/>
      <c r="G10" s="1232"/>
      <c r="H10" s="1232"/>
      <c r="I10" s="1232"/>
      <c r="J10" s="1232"/>
      <c r="Y10" s="1234"/>
      <c r="Z10" s="1234"/>
      <c r="AA10" s="1234"/>
      <c r="AB10" s="1234"/>
      <c r="AC10" s="1234"/>
      <c r="AD10" s="1234"/>
      <c r="AM10" s="877"/>
      <c r="AN10" s="877"/>
      <c r="AO10" s="877"/>
      <c r="AP10" s="877"/>
      <c r="AQ10" s="877"/>
      <c r="AR10" s="877"/>
      <c r="AS10" s="877"/>
      <c r="AT10" s="877"/>
      <c r="AU10" s="877"/>
    </row>
    <row r="11" s="876" customFormat="1" customHeight="1" spans="1:48">
      <c r="A11" s="2379" t="str">
        <f>Text!B25</f>
        <v>Broj računa</v>
      </c>
    </row>
    <row r="12" ht="18" customHeight="1" spans="1:48">
      <c r="A12" s="2534" t="str">
        <f>Text!B491</f>
        <v>IZVJEŠTJ O TOKOVIMA GOTOVINE</v>
      </c>
      <c r="B12" s="2534"/>
      <c r="C12" s="2534"/>
      <c r="D12" s="2534"/>
      <c r="E12" s="2534"/>
      <c r="F12" s="2534"/>
      <c r="G12" s="2534"/>
      <c r="H12" s="2534"/>
      <c r="I12" s="2534"/>
      <c r="J12" s="2534"/>
      <c r="K12" s="2534"/>
      <c r="L12" s="2534"/>
      <c r="M12" s="2534"/>
      <c r="N12" s="2534"/>
      <c r="O12" s="2534"/>
      <c r="P12" s="2534"/>
      <c r="Q12" s="2534"/>
      <c r="R12" s="2534"/>
      <c r="S12" s="2534"/>
      <c r="T12" s="2534"/>
      <c r="U12" s="2534"/>
      <c r="V12" s="2534"/>
      <c r="W12" s="2534"/>
      <c r="X12" s="2534"/>
      <c r="Y12" s="2534"/>
      <c r="Z12" s="2534"/>
      <c r="AA12" s="2534"/>
      <c r="AB12" s="2534"/>
      <c r="AC12" s="2534"/>
      <c r="AD12" s="2534"/>
      <c r="AE12" s="2534"/>
      <c r="AF12" s="2534"/>
      <c r="AG12" s="2534"/>
      <c r="AH12" s="2534"/>
      <c r="AI12" s="2534"/>
      <c r="AJ12" s="2534"/>
      <c r="AK12" s="2534"/>
      <c r="AL12" s="2534"/>
      <c r="AM12" s="2534"/>
      <c r="AN12" s="2534"/>
      <c r="AO12" s="2534"/>
      <c r="AP12" s="2534"/>
      <c r="AQ12" s="2534"/>
      <c r="AR12" s="2534"/>
      <c r="AS12" s="2534"/>
      <c r="AT12" s="2534"/>
      <c r="AU12" s="2534"/>
      <c r="AV12" s="2534"/>
    </row>
    <row r="13" ht="18" customHeight="1" spans="1:48">
      <c r="A13" s="2534" t="str">
        <f>Text!B492</f>
        <v>(IZVJEŠTAJ O GOTOVINSKIM TOKOVIMA)</v>
      </c>
      <c r="B13" s="2534"/>
      <c r="C13" s="2534"/>
      <c r="D13" s="2534"/>
      <c r="E13" s="2534"/>
      <c r="F13" s="2534"/>
      <c r="G13" s="2534"/>
      <c r="H13" s="2534"/>
      <c r="I13" s="2534"/>
      <c r="J13" s="2534"/>
      <c r="K13" s="2534"/>
      <c r="L13" s="2534"/>
      <c r="M13" s="2534"/>
      <c r="N13" s="2534"/>
      <c r="O13" s="2534"/>
      <c r="P13" s="2534"/>
      <c r="Q13" s="2534"/>
      <c r="R13" s="2534"/>
      <c r="S13" s="2534"/>
      <c r="T13" s="2534"/>
      <c r="U13" s="2534"/>
      <c r="V13" s="2534"/>
      <c r="W13" s="2534"/>
      <c r="X13" s="2534"/>
      <c r="Y13" s="2534"/>
      <c r="Z13" s="2534"/>
      <c r="AA13" s="2534"/>
      <c r="AB13" s="2534"/>
      <c r="AC13" s="2534"/>
      <c r="AD13" s="2534"/>
      <c r="AE13" s="2534"/>
      <c r="AF13" s="2534"/>
      <c r="AG13" s="2534"/>
      <c r="AH13" s="2534"/>
      <c r="AI13" s="2534"/>
      <c r="AJ13" s="2534"/>
      <c r="AK13" s="2534"/>
      <c r="AL13" s="2534"/>
      <c r="AM13" s="2534"/>
      <c r="AN13" s="2534"/>
      <c r="AO13" s="2534"/>
      <c r="AP13" s="2534"/>
      <c r="AQ13" s="2534"/>
      <c r="AR13" s="2534"/>
      <c r="AS13" s="2534"/>
      <c r="AT13" s="2534"/>
      <c r="AU13" s="2534"/>
      <c r="AV13" s="2534"/>
    </row>
    <row r="14" ht="18" customHeight="1" spans="1:48">
      <c r="A14" s="2535" t="str">
        <f>Text!B493</f>
        <v>(Indirektna metoda)</v>
      </c>
      <c r="B14" s="2535"/>
      <c r="C14" s="2535"/>
      <c r="D14" s="2535"/>
      <c r="E14" s="2535"/>
      <c r="F14" s="2535"/>
      <c r="G14" s="2535"/>
      <c r="H14" s="2535"/>
      <c r="I14" s="2535"/>
      <c r="J14" s="2535"/>
      <c r="K14" s="2535"/>
      <c r="L14" s="2535"/>
      <c r="M14" s="2535"/>
      <c r="N14" s="2535"/>
      <c r="O14" s="2535"/>
      <c r="P14" s="2535"/>
      <c r="Q14" s="2535"/>
      <c r="R14" s="2535"/>
      <c r="S14" s="2535"/>
      <c r="T14" s="2535"/>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c r="AT14" s="2535"/>
      <c r="AU14" s="2535"/>
      <c r="AV14" s="2535"/>
    </row>
    <row r="15" customHeight="1" spans="1:48">
      <c r="A15" s="2535" t="str">
        <f ca="1">Text!B494</f>
        <v>za period od 01.01.2025. do 31.12.2025. godine</v>
      </c>
      <c r="B15" s="2535"/>
      <c r="C15" s="2535"/>
      <c r="D15" s="2535"/>
      <c r="E15" s="2535"/>
      <c r="F15" s="2535"/>
      <c r="G15" s="2535"/>
      <c r="H15" s="2535"/>
      <c r="I15" s="2535"/>
      <c r="J15" s="2535"/>
      <c r="K15" s="2535"/>
      <c r="L15" s="2535"/>
      <c r="M15" s="2535"/>
      <c r="N15" s="2535"/>
      <c r="O15" s="2535"/>
      <c r="P15" s="2535"/>
      <c r="Q15" s="2535"/>
      <c r="R15" s="2535"/>
      <c r="S15" s="2535"/>
      <c r="T15" s="2535"/>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c r="AT15" s="2535"/>
      <c r="AU15" s="2535"/>
      <c r="AV15" s="2535"/>
    </row>
    <row r="16" ht="12.75" customHeight="1" spans="1:48">
      <c r="AT16" s="1228" t="s">
        <v>6959</v>
      </c>
    </row>
    <row r="17" s="1750" customFormat="1" ht="17.25" customHeight="1" spans="1:48">
      <c r="A17" s="2536" t="str">
        <f>Text!B27</f>
        <v>Redni broj</v>
      </c>
      <c r="B17" s="2537"/>
      <c r="C17" s="2538"/>
      <c r="D17" s="2539" t="str">
        <f>Text!B28</f>
        <v>P O Z I C I J A</v>
      </c>
      <c r="E17" s="2539"/>
      <c r="F17" s="2539"/>
      <c r="G17" s="2539"/>
      <c r="H17" s="2539"/>
      <c r="I17" s="2539"/>
      <c r="J17" s="2539"/>
      <c r="K17" s="2539"/>
      <c r="L17" s="2539"/>
      <c r="M17" s="2539"/>
      <c r="N17" s="2539"/>
      <c r="O17" s="2539"/>
      <c r="P17" s="2539"/>
      <c r="Q17" s="2539"/>
      <c r="R17" s="2539"/>
      <c r="S17" s="2539"/>
      <c r="T17" s="2539"/>
      <c r="U17" s="2539"/>
      <c r="V17" s="2539"/>
      <c r="W17" s="2539"/>
      <c r="X17" s="2539"/>
      <c r="Y17" s="2540"/>
      <c r="Z17" s="2541" t="str">
        <f>Text!B30</f>
        <v>Bilješka</v>
      </c>
      <c r="AA17" s="2542"/>
      <c r="AB17" s="2543"/>
      <c r="AC17" s="2541" t="s">
        <v>7132</v>
      </c>
      <c r="AD17" s="2542"/>
      <c r="AE17" s="2543"/>
      <c r="AF17" s="2536" t="s">
        <v>5680</v>
      </c>
      <c r="AG17" s="2537"/>
      <c r="AH17" s="2538"/>
      <c r="AI17" s="2544" t="str">
        <f ca="1">PeriodOd&amp;" "&amp;Text!B34&amp;" "&amp;PeriodDo</f>
        <v>01.01.2025 do 31.12.2025</v>
      </c>
      <c r="AJ17" s="2544"/>
      <c r="AK17" s="2544"/>
      <c r="AL17" s="2544"/>
      <c r="AM17" s="2544"/>
      <c r="AN17" s="2544"/>
      <c r="AO17" s="2544"/>
      <c r="AP17" s="2544" t="str">
        <f>UnosPod!F6&amp;UnosPod!G6&amp;"."&amp;UnosPod!H6&amp;UnosPod!I6&amp;"."&amp;UnosPod!J6-1&amp;" "&amp;Text!B34&amp;" "&amp;UnosPod!M6&amp;UnosPod!N6&amp;"."&amp;UnosPod!O6&amp;UnosPod!P6&amp;"."&amp;UnosPod!Q6-1</f>
        <v>01.01.2024 do 31.12.2024</v>
      </c>
      <c r="AQ17" s="2544"/>
      <c r="AR17" s="2544"/>
      <c r="AS17" s="2544"/>
      <c r="AT17" s="2544"/>
      <c r="AU17" s="2544"/>
      <c r="AV17" s="2544"/>
    </row>
    <row r="18" s="1750" customFormat="1" ht="17.25" customHeight="1" spans="1:48">
      <c r="A18" s="2545"/>
      <c r="B18" s="2546"/>
      <c r="C18" s="2547"/>
      <c r="D18" s="2382"/>
      <c r="E18" s="2382"/>
      <c r="F18" s="2382"/>
      <c r="G18" s="2382"/>
      <c r="H18" s="2382"/>
      <c r="I18" s="2382"/>
      <c r="J18" s="2382"/>
      <c r="K18" s="2382"/>
      <c r="L18" s="2382"/>
      <c r="M18" s="2382"/>
      <c r="N18" s="2382"/>
      <c r="O18" s="2382"/>
      <c r="P18" s="2382"/>
      <c r="Q18" s="2382"/>
      <c r="R18" s="2382"/>
      <c r="S18" s="2382"/>
      <c r="T18" s="2382"/>
      <c r="U18" s="2382"/>
      <c r="V18" s="2382"/>
      <c r="W18" s="2382"/>
      <c r="X18" s="2382"/>
      <c r="Y18" s="2548"/>
      <c r="Z18" s="2549"/>
      <c r="AA18" s="2380"/>
      <c r="AB18" s="2550"/>
      <c r="AC18" s="2551" t="s">
        <v>7133</v>
      </c>
      <c r="AD18" s="2552"/>
      <c r="AE18" s="2553"/>
      <c r="AF18" s="2422" t="s">
        <v>5686</v>
      </c>
      <c r="AG18" s="2423"/>
      <c r="AH18" s="2424"/>
      <c r="AI18" s="2554" t="str">
        <f>Text!B32</f>
        <v>tekuće godine</v>
      </c>
      <c r="AJ18" s="2554"/>
      <c r="AK18" s="2554"/>
      <c r="AL18" s="2554"/>
      <c r="AM18" s="2554"/>
      <c r="AN18" s="2554"/>
      <c r="AO18" s="2554"/>
      <c r="AP18" s="2554" t="str">
        <f>Text!B33</f>
        <v>prethodne godine</v>
      </c>
      <c r="AQ18" s="2554"/>
      <c r="AR18" s="2554"/>
      <c r="AS18" s="2554"/>
      <c r="AT18" s="2554"/>
      <c r="AU18" s="2554"/>
      <c r="AV18" s="2554"/>
    </row>
    <row r="19" s="1750" customFormat="1" ht="17.25" customHeight="1" spans="1:48">
      <c r="A19" s="2555">
        <v>1</v>
      </c>
      <c r="B19" s="2555"/>
      <c r="C19" s="2555"/>
      <c r="D19" s="2556">
        <v>2</v>
      </c>
      <c r="E19" s="2555"/>
      <c r="F19" s="2555"/>
      <c r="G19" s="2555"/>
      <c r="H19" s="2555"/>
      <c r="I19" s="2555"/>
      <c r="J19" s="2555"/>
      <c r="K19" s="2555"/>
      <c r="L19" s="2555"/>
      <c r="M19" s="2555"/>
      <c r="N19" s="2555"/>
      <c r="O19" s="2555"/>
      <c r="P19" s="2555"/>
      <c r="Q19" s="2555"/>
      <c r="R19" s="2555"/>
      <c r="S19" s="2555"/>
      <c r="T19" s="2555"/>
      <c r="U19" s="2555"/>
      <c r="V19" s="2555"/>
      <c r="W19" s="2555"/>
      <c r="X19" s="2555"/>
      <c r="Y19" s="2555"/>
      <c r="Z19" s="2555">
        <v>3</v>
      </c>
      <c r="AA19" s="2555"/>
      <c r="AB19" s="2555"/>
      <c r="AC19" s="2555">
        <v>4</v>
      </c>
      <c r="AD19" s="2555"/>
      <c r="AE19" s="2555"/>
      <c r="AF19" s="2555">
        <v>5</v>
      </c>
      <c r="AG19" s="2555"/>
      <c r="AH19" s="2555"/>
      <c r="AI19" s="2555">
        <v>6</v>
      </c>
      <c r="AJ19" s="2555"/>
      <c r="AK19" s="2555"/>
      <c r="AL19" s="2555"/>
      <c r="AM19" s="2555"/>
      <c r="AN19" s="2555"/>
      <c r="AO19" s="2555"/>
      <c r="AP19" s="2555">
        <v>7</v>
      </c>
      <c r="AQ19" s="2555"/>
      <c r="AR19" s="2555"/>
      <c r="AS19" s="2555"/>
      <c r="AT19" s="2555"/>
      <c r="AU19" s="2555"/>
      <c r="AV19" s="2555"/>
    </row>
    <row r="20" s="1340" customFormat="1" ht="17.25" customHeight="1" spans="1:48">
      <c r="A20" s="2557" t="s">
        <v>3953</v>
      </c>
      <c r="B20" s="2557"/>
      <c r="C20" s="2558"/>
      <c r="D20" s="1402" t="str">
        <f>Text!B495</f>
        <v>GOTOVINSKI TOKOVI IZ POSLOVNIH AKTIVNOSTI</v>
      </c>
      <c r="E20" s="1403"/>
      <c r="F20" s="1403"/>
      <c r="G20" s="1403"/>
      <c r="H20" s="1403"/>
      <c r="I20" s="1403"/>
      <c r="J20" s="1403"/>
      <c r="K20" s="1403"/>
      <c r="L20" s="1403"/>
      <c r="M20" s="1403"/>
      <c r="N20" s="1403"/>
      <c r="O20" s="1403"/>
      <c r="P20" s="1403"/>
      <c r="Q20" s="1403"/>
      <c r="R20" s="1403"/>
      <c r="S20" s="1403"/>
      <c r="T20" s="1403"/>
      <c r="U20" s="1403"/>
      <c r="V20" s="1403"/>
      <c r="W20" s="1403"/>
      <c r="X20" s="1403"/>
      <c r="Y20" s="2559"/>
      <c r="Z20" s="1392"/>
      <c r="AA20" s="1392"/>
      <c r="AB20" s="1392"/>
      <c r="AC20" s="1392"/>
      <c r="AD20" s="1392"/>
      <c r="AE20" s="1392"/>
      <c r="AF20" s="1412"/>
      <c r="AG20" s="2560"/>
      <c r="AH20" s="1388"/>
      <c r="AI20" s="2561"/>
      <c r="AJ20" s="2561"/>
      <c r="AK20" s="2561"/>
      <c r="AL20" s="2561"/>
      <c r="AM20" s="2561"/>
      <c r="AN20" s="2561"/>
      <c r="AO20" s="2561"/>
      <c r="AP20" s="2561"/>
      <c r="AQ20" s="2561"/>
      <c r="AR20" s="2561"/>
      <c r="AS20" s="2561"/>
      <c r="AT20" s="2561"/>
      <c r="AU20" s="2561"/>
      <c r="AV20" s="2561"/>
    </row>
    <row r="21" s="1341" customFormat="1" ht="17.25" customHeight="1" spans="1:48">
      <c r="A21" s="2562" t="s">
        <v>3875</v>
      </c>
      <c r="B21" s="2562"/>
      <c r="C21" s="2562"/>
      <c r="D21" s="1436" t="str">
        <f>Text!B496</f>
        <v>Dobit/(gubitak) prije oporezivanja</v>
      </c>
      <c r="E21" s="1437"/>
      <c r="F21" s="1437"/>
      <c r="G21" s="1437"/>
      <c r="H21" s="1437"/>
      <c r="I21" s="1437"/>
      <c r="J21" s="1437"/>
      <c r="K21" s="1437"/>
      <c r="L21" s="1437"/>
      <c r="M21" s="1437"/>
      <c r="N21" s="1437"/>
      <c r="O21" s="1437"/>
      <c r="P21" s="1437"/>
      <c r="Q21" s="1437"/>
      <c r="R21" s="1437"/>
      <c r="S21" s="1437"/>
      <c r="T21" s="1437"/>
      <c r="U21" s="1437"/>
      <c r="V21" s="1437"/>
      <c r="W21" s="1437"/>
      <c r="X21" s="1437"/>
      <c r="Y21" s="2563"/>
      <c r="Z21" s="2564"/>
      <c r="AA21" s="2564"/>
      <c r="AB21" s="2564"/>
      <c r="AC21" s="2565" t="s">
        <v>7135</v>
      </c>
      <c r="AD21" s="2565"/>
      <c r="AE21" s="2565"/>
      <c r="AF21" s="1372" t="s">
        <v>3414</v>
      </c>
      <c r="AG21" s="2566"/>
      <c r="AH21" s="1404"/>
      <c r="AI21" s="2567">
        <f>UnosPod!H1149</f>
        <v>-59197</v>
      </c>
      <c r="AJ21" s="2567"/>
      <c r="AK21" s="2567"/>
      <c r="AL21" s="2567"/>
      <c r="AM21" s="2567"/>
      <c r="AN21" s="2567"/>
      <c r="AO21" s="2567"/>
      <c r="AP21" s="2567">
        <f>Prethodna_2024!B430</f>
        <v>99242</v>
      </c>
      <c r="AQ21" s="2567"/>
      <c r="AR21" s="2567"/>
      <c r="AS21" s="2567"/>
      <c r="AT21" s="2567"/>
      <c r="AU21" s="2567"/>
      <c r="AV21" s="2567"/>
    </row>
    <row r="22" s="1340" customFormat="1" ht="17.25" customHeight="1" spans="1:48">
      <c r="A22" s="2562" t="s">
        <v>3877</v>
      </c>
      <c r="B22" s="2562"/>
      <c r="C22" s="2562"/>
      <c r="D22" s="1436" t="str">
        <f>Text!B497</f>
        <v>Usklađenja:</v>
      </c>
      <c r="E22" s="1437"/>
      <c r="F22" s="1437"/>
      <c r="G22" s="1437"/>
      <c r="H22" s="1437"/>
      <c r="I22" s="1437"/>
      <c r="J22" s="1437"/>
      <c r="K22" s="1437"/>
      <c r="L22" s="1437"/>
      <c r="M22" s="1437"/>
      <c r="N22" s="1437"/>
      <c r="O22" s="1437"/>
      <c r="P22" s="1437"/>
      <c r="Q22" s="1437"/>
      <c r="R22" s="1437"/>
      <c r="S22" s="1437"/>
      <c r="T22" s="1437"/>
      <c r="U22" s="1437"/>
      <c r="V22" s="1437"/>
      <c r="W22" s="1437"/>
      <c r="X22" s="1437"/>
      <c r="Y22" s="2563"/>
      <c r="Z22" s="2564"/>
      <c r="AA22" s="2564"/>
      <c r="AB22" s="2564"/>
      <c r="AC22" s="2564"/>
      <c r="AD22" s="2564"/>
      <c r="AE22" s="2564"/>
      <c r="AF22" s="1401"/>
      <c r="AG22" s="2472"/>
      <c r="AH22" s="1373"/>
      <c r="AI22" s="2567"/>
      <c r="AJ22" s="2567"/>
      <c r="AK22" s="2567"/>
      <c r="AL22" s="2567"/>
      <c r="AM22" s="2567"/>
      <c r="AN22" s="2567"/>
      <c r="AO22" s="2567"/>
      <c r="AP22" s="2567"/>
      <c r="AQ22" s="2567"/>
      <c r="AR22" s="2567"/>
      <c r="AS22" s="2567"/>
      <c r="AT22" s="2567"/>
      <c r="AU22" s="2567"/>
      <c r="AV22" s="2567"/>
    </row>
    <row r="23" s="1340" customFormat="1" ht="17.25" customHeight="1" spans="1:48">
      <c r="A23" s="2568" t="s">
        <v>4242</v>
      </c>
      <c r="B23" s="2568"/>
      <c r="C23" s="2568"/>
      <c r="D23" s="2569" t="str">
        <f>Text!B498</f>
        <v>Amortizacija</v>
      </c>
      <c r="E23" s="2570"/>
      <c r="F23" s="2570"/>
      <c r="G23" s="2570"/>
      <c r="H23" s="2570"/>
      <c r="I23" s="2570"/>
      <c r="J23" s="2570"/>
      <c r="K23" s="2570"/>
      <c r="L23" s="2570"/>
      <c r="M23" s="2570"/>
      <c r="N23" s="2570"/>
      <c r="O23" s="2570"/>
      <c r="P23" s="2570"/>
      <c r="Q23" s="2570"/>
      <c r="R23" s="2570"/>
      <c r="S23" s="2570"/>
      <c r="T23" s="2570"/>
      <c r="U23" s="2570"/>
      <c r="V23" s="2570"/>
      <c r="W23" s="2570"/>
      <c r="X23" s="2570"/>
      <c r="Y23" s="2571"/>
      <c r="Z23" s="2572"/>
      <c r="AA23" s="2572"/>
      <c r="AB23" s="2572"/>
      <c r="AC23" s="2573" t="s">
        <v>7134</v>
      </c>
      <c r="AD23" s="2573"/>
      <c r="AE23" s="2573"/>
      <c r="AF23" s="1472" t="s">
        <v>3419</v>
      </c>
      <c r="AG23" s="2574"/>
      <c r="AH23" s="1473"/>
      <c r="AI23" s="2575">
        <f>UnosPod!H1151</f>
        <v>4549</v>
      </c>
      <c r="AJ23" s="2575"/>
      <c r="AK23" s="2575"/>
      <c r="AL23" s="2575"/>
      <c r="AM23" s="2575"/>
      <c r="AN23" s="2575"/>
      <c r="AO23" s="2575"/>
      <c r="AP23" s="2575">
        <f>Prethodna_2024!B432</f>
        <v>5172</v>
      </c>
      <c r="AQ23" s="2575"/>
      <c r="AR23" s="2575"/>
      <c r="AS23" s="2575"/>
      <c r="AT23" s="2575"/>
      <c r="AU23" s="2575"/>
      <c r="AV23" s="2575"/>
    </row>
    <row r="24" s="1340" customFormat="1" ht="17.25" customHeight="1" spans="1:48">
      <c r="A24" s="2576" t="s">
        <v>4244</v>
      </c>
      <c r="B24" s="2576"/>
      <c r="C24" s="2576"/>
      <c r="D24" s="2577" t="str">
        <f>Text!B499</f>
        <v>(Dobit)/gubitak od otuđenja nekretnina, postrojenja i opreme, neto</v>
      </c>
      <c r="E24" s="2578"/>
      <c r="F24" s="2578"/>
      <c r="G24" s="2578"/>
      <c r="H24" s="2578"/>
      <c r="I24" s="2578"/>
      <c r="J24" s="2578"/>
      <c r="K24" s="2578"/>
      <c r="L24" s="2578"/>
      <c r="M24" s="2578"/>
      <c r="N24" s="2578"/>
      <c r="O24" s="2578"/>
      <c r="P24" s="2578"/>
      <c r="Q24" s="2578"/>
      <c r="R24" s="2578"/>
      <c r="S24" s="2578"/>
      <c r="T24" s="2578"/>
      <c r="U24" s="2578"/>
      <c r="V24" s="2578"/>
      <c r="W24" s="2578"/>
      <c r="X24" s="2578"/>
      <c r="Y24" s="2579"/>
      <c r="Z24" s="2580"/>
      <c r="AA24" s="2580"/>
      <c r="AB24" s="2580"/>
      <c r="AC24" s="2581" t="s">
        <v>7135</v>
      </c>
      <c r="AD24" s="2581"/>
      <c r="AE24" s="2581"/>
      <c r="AF24" s="1487" t="s">
        <v>3420</v>
      </c>
      <c r="AG24" s="2582"/>
      <c r="AH24" s="1488"/>
      <c r="AI24" s="2583">
        <f>UnosPod!H1152</f>
        <v>0</v>
      </c>
      <c r="AJ24" s="2583"/>
      <c r="AK24" s="2583"/>
      <c r="AL24" s="2583"/>
      <c r="AM24" s="2583"/>
      <c r="AN24" s="2583"/>
      <c r="AO24" s="2583"/>
      <c r="AP24" s="2583">
        <f>Prethodna_2024!B433</f>
        <v>0</v>
      </c>
      <c r="AQ24" s="2583"/>
      <c r="AR24" s="2583"/>
      <c r="AS24" s="2583"/>
      <c r="AT24" s="2583"/>
      <c r="AU24" s="2583"/>
      <c r="AV24" s="2583"/>
    </row>
    <row r="25" s="1340" customFormat="1" ht="17.25" customHeight="1" spans="1:48">
      <c r="A25" s="2576" t="s">
        <v>4246</v>
      </c>
      <c r="B25" s="2576"/>
      <c r="C25" s="2576"/>
      <c r="D25" s="2577" t="str">
        <f>Text!B500</f>
        <v>(Dobit)/gubitak od otuđenja ulaganja u investicijske nekretnine, neto</v>
      </c>
      <c r="E25" s="2578"/>
      <c r="F25" s="2578"/>
      <c r="G25" s="2578"/>
      <c r="H25" s="2578"/>
      <c r="I25" s="2578"/>
      <c r="J25" s="2578"/>
      <c r="K25" s="2578"/>
      <c r="L25" s="2578"/>
      <c r="M25" s="2578"/>
      <c r="N25" s="2578"/>
      <c r="O25" s="2578"/>
      <c r="P25" s="2578"/>
      <c r="Q25" s="2578"/>
      <c r="R25" s="2578"/>
      <c r="S25" s="2578"/>
      <c r="T25" s="2578"/>
      <c r="U25" s="2578"/>
      <c r="V25" s="2578"/>
      <c r="W25" s="2578"/>
      <c r="X25" s="2578"/>
      <c r="Y25" s="2579"/>
      <c r="Z25" s="2580"/>
      <c r="AA25" s="2580"/>
      <c r="AB25" s="2580"/>
      <c r="AC25" s="2581" t="s">
        <v>7135</v>
      </c>
      <c r="AD25" s="2581"/>
      <c r="AE25" s="2581"/>
      <c r="AF25" s="1487" t="s">
        <v>3423</v>
      </c>
      <c r="AG25" s="2582"/>
      <c r="AH25" s="1488"/>
      <c r="AI25" s="2583">
        <f>UnosPod!H1153</f>
        <v>0</v>
      </c>
      <c r="AJ25" s="2583"/>
      <c r="AK25" s="2583"/>
      <c r="AL25" s="2583"/>
      <c r="AM25" s="2583"/>
      <c r="AN25" s="2583"/>
      <c r="AO25" s="2583"/>
      <c r="AP25" s="2583">
        <f>Prethodna_2024!B434</f>
        <v>0</v>
      </c>
      <c r="AQ25" s="2583"/>
      <c r="AR25" s="2583"/>
      <c r="AS25" s="2583"/>
      <c r="AT25" s="2583"/>
      <c r="AU25" s="2583"/>
      <c r="AV25" s="2583"/>
    </row>
    <row r="26" s="1340" customFormat="1" ht="17.25" customHeight="1" spans="1:48">
      <c r="A26" s="2576" t="s">
        <v>4247</v>
      </c>
      <c r="B26" s="2576"/>
      <c r="C26" s="2576"/>
      <c r="D26" s="2577" t="str">
        <f>Text!B501</f>
        <v>(Dobit)/gubitak od otuđenja nematerijalne imovine, neto</v>
      </c>
      <c r="E26" s="2578"/>
      <c r="F26" s="2578"/>
      <c r="G26" s="2578"/>
      <c r="H26" s="2578"/>
      <c r="I26" s="2578"/>
      <c r="J26" s="2578"/>
      <c r="K26" s="2578"/>
      <c r="L26" s="2578"/>
      <c r="M26" s="2578"/>
      <c r="N26" s="2578"/>
      <c r="O26" s="2578"/>
      <c r="P26" s="2578"/>
      <c r="Q26" s="2578"/>
      <c r="R26" s="2578"/>
      <c r="S26" s="2578"/>
      <c r="T26" s="2578"/>
      <c r="U26" s="2578"/>
      <c r="V26" s="2578"/>
      <c r="W26" s="2578"/>
      <c r="X26" s="2578"/>
      <c r="Y26" s="2579"/>
      <c r="Z26" s="2580"/>
      <c r="AA26" s="2580"/>
      <c r="AB26" s="2580"/>
      <c r="AC26" s="2581" t="s">
        <v>7135</v>
      </c>
      <c r="AD26" s="2581"/>
      <c r="AE26" s="2581"/>
      <c r="AF26" s="1487" t="s">
        <v>3426</v>
      </c>
      <c r="AG26" s="2582"/>
      <c r="AH26" s="1488"/>
      <c r="AI26" s="2583">
        <f>UnosPod!H1154</f>
        <v>0</v>
      </c>
      <c r="AJ26" s="2583"/>
      <c r="AK26" s="2583"/>
      <c r="AL26" s="2583"/>
      <c r="AM26" s="2583"/>
      <c r="AN26" s="2583"/>
      <c r="AO26" s="2583"/>
      <c r="AP26" s="2583">
        <f>Prethodna_2024!B435</f>
        <v>0</v>
      </c>
      <c r="AQ26" s="2583"/>
      <c r="AR26" s="2583"/>
      <c r="AS26" s="2583"/>
      <c r="AT26" s="2583"/>
      <c r="AU26" s="2583"/>
      <c r="AV26" s="2583"/>
    </row>
    <row r="27" s="1340" customFormat="1" ht="17.25" customHeight="1" spans="1:48">
      <c r="A27" s="2576" t="s">
        <v>4248</v>
      </c>
      <c r="B27" s="2576"/>
      <c r="C27" s="2576"/>
      <c r="D27" s="2577" t="str">
        <f>Text!B502</f>
        <v>(Dobit)/gubitak od dugoročne imovine namijenjene prodaji, neto</v>
      </c>
      <c r="E27" s="2578"/>
      <c r="F27" s="2578"/>
      <c r="G27" s="2578"/>
      <c r="H27" s="2578"/>
      <c r="I27" s="2578"/>
      <c r="J27" s="2578"/>
      <c r="K27" s="2578"/>
      <c r="L27" s="2578"/>
      <c r="M27" s="2578"/>
      <c r="N27" s="2578"/>
      <c r="O27" s="2578"/>
      <c r="P27" s="2578"/>
      <c r="Q27" s="2578"/>
      <c r="R27" s="2578"/>
      <c r="S27" s="2578"/>
      <c r="T27" s="2578"/>
      <c r="U27" s="2578"/>
      <c r="V27" s="2578"/>
      <c r="W27" s="2578"/>
      <c r="X27" s="2578"/>
      <c r="Y27" s="2579"/>
      <c r="Z27" s="2580"/>
      <c r="AA27" s="2580"/>
      <c r="AB27" s="2580"/>
      <c r="AC27" s="2581" t="s">
        <v>7135</v>
      </c>
      <c r="AD27" s="2581"/>
      <c r="AE27" s="2581"/>
      <c r="AF27" s="1487" t="s">
        <v>3429</v>
      </c>
      <c r="AG27" s="2582"/>
      <c r="AH27" s="1488"/>
      <c r="AI27" s="2583">
        <f>UnosPod!H1155</f>
        <v>0</v>
      </c>
      <c r="AJ27" s="2583"/>
      <c r="AK27" s="2583"/>
      <c r="AL27" s="2583"/>
      <c r="AM27" s="2583"/>
      <c r="AN27" s="2583"/>
      <c r="AO27" s="2583"/>
      <c r="AP27" s="2583">
        <f>Prethodna_2024!B436</f>
        <v>0</v>
      </c>
      <c r="AQ27" s="2583"/>
      <c r="AR27" s="2583"/>
      <c r="AS27" s="2583"/>
      <c r="AT27" s="2583"/>
      <c r="AU27" s="2583"/>
      <c r="AV27" s="2583"/>
    </row>
    <row r="28" s="1340" customFormat="1" ht="17.25" customHeight="1" spans="1:48">
      <c r="A28" s="2576" t="s">
        <v>4250</v>
      </c>
      <c r="B28" s="2576"/>
      <c r="C28" s="2576"/>
      <c r="D28" s="2577" t="str">
        <f>Text!B503</f>
        <v>Umanjenje vrijednosti nekretnina, postrojenja i opreme</v>
      </c>
      <c r="E28" s="2578"/>
      <c r="F28" s="2578"/>
      <c r="G28" s="2578"/>
      <c r="H28" s="2578"/>
      <c r="I28" s="2578"/>
      <c r="J28" s="2578"/>
      <c r="K28" s="2578"/>
      <c r="L28" s="2578"/>
      <c r="M28" s="2578"/>
      <c r="N28" s="2578"/>
      <c r="O28" s="2578"/>
      <c r="P28" s="2578"/>
      <c r="Q28" s="2578"/>
      <c r="R28" s="2578"/>
      <c r="S28" s="2578"/>
      <c r="T28" s="2578"/>
      <c r="U28" s="2578"/>
      <c r="V28" s="2578"/>
      <c r="W28" s="2578"/>
      <c r="X28" s="2578"/>
      <c r="Y28" s="2579"/>
      <c r="Z28" s="2580"/>
      <c r="AA28" s="2580"/>
      <c r="AB28" s="2580"/>
      <c r="AC28" s="2581" t="s">
        <v>7134</v>
      </c>
      <c r="AD28" s="2581"/>
      <c r="AE28" s="2581"/>
      <c r="AF28" s="1487" t="s">
        <v>3432</v>
      </c>
      <c r="AG28" s="2582"/>
      <c r="AH28" s="1488"/>
      <c r="AI28" s="2583">
        <f>UnosPod!H1156</f>
        <v>0</v>
      </c>
      <c r="AJ28" s="2583"/>
      <c r="AK28" s="2583"/>
      <c r="AL28" s="2583"/>
      <c r="AM28" s="2583"/>
      <c r="AN28" s="2583"/>
      <c r="AO28" s="2583"/>
      <c r="AP28" s="2583">
        <f>Prethodna_2024!B437</f>
        <v>0</v>
      </c>
      <c r="AQ28" s="2583"/>
      <c r="AR28" s="2583"/>
      <c r="AS28" s="2583"/>
      <c r="AT28" s="2583"/>
      <c r="AU28" s="2583"/>
      <c r="AV28" s="2583"/>
    </row>
    <row r="29" s="1340" customFormat="1" ht="17.25" customHeight="1" spans="1:48">
      <c r="A29" s="2576" t="s">
        <v>4252</v>
      </c>
      <c r="B29" s="2576"/>
      <c r="C29" s="2576"/>
      <c r="D29" s="2577" t="str">
        <f>Text!B504</f>
        <v>Umanjenje vrijednosti investicijskih nekretnina</v>
      </c>
      <c r="E29" s="2578"/>
      <c r="F29" s="2578"/>
      <c r="G29" s="2578"/>
      <c r="H29" s="2578"/>
      <c r="I29" s="2578"/>
      <c r="J29" s="2578"/>
      <c r="K29" s="2578"/>
      <c r="L29" s="2578"/>
      <c r="M29" s="2578"/>
      <c r="N29" s="2578"/>
      <c r="O29" s="2578"/>
      <c r="P29" s="2578"/>
      <c r="Q29" s="2578"/>
      <c r="R29" s="2578"/>
      <c r="S29" s="2578"/>
      <c r="T29" s="2578"/>
      <c r="U29" s="2578"/>
      <c r="V29" s="2578"/>
      <c r="W29" s="2578"/>
      <c r="X29" s="2578"/>
      <c r="Y29" s="2579"/>
      <c r="Z29" s="2580"/>
      <c r="AA29" s="2580"/>
      <c r="AB29" s="2580"/>
      <c r="AC29" s="2581" t="s">
        <v>7134</v>
      </c>
      <c r="AD29" s="2581"/>
      <c r="AE29" s="2581"/>
      <c r="AF29" s="1487" t="s">
        <v>3435</v>
      </c>
      <c r="AG29" s="2582"/>
      <c r="AH29" s="1488"/>
      <c r="AI29" s="2583">
        <f>UnosPod!H1157</f>
        <v>0</v>
      </c>
      <c r="AJ29" s="2583"/>
      <c r="AK29" s="2583"/>
      <c r="AL29" s="2583"/>
      <c r="AM29" s="2583"/>
      <c r="AN29" s="2583"/>
      <c r="AO29" s="2583"/>
      <c r="AP29" s="2583">
        <f>Prethodna_2024!B438</f>
        <v>0</v>
      </c>
      <c r="AQ29" s="2583"/>
      <c r="AR29" s="2583"/>
      <c r="AS29" s="2583"/>
      <c r="AT29" s="2583"/>
      <c r="AU29" s="2583"/>
      <c r="AV29" s="2583"/>
    </row>
    <row r="30" s="1340" customFormat="1" ht="17.25" customHeight="1" spans="1:48">
      <c r="A30" s="2576" t="s">
        <v>4253</v>
      </c>
      <c r="B30" s="2576"/>
      <c r="C30" s="2576"/>
      <c r="D30" s="2577" t="str">
        <f>Text!B505</f>
        <v>Umanjenje vrijednosti nematerijalne imovine</v>
      </c>
      <c r="E30" s="2578"/>
      <c r="F30" s="2578"/>
      <c r="G30" s="2578"/>
      <c r="H30" s="2578"/>
      <c r="I30" s="2578"/>
      <c r="J30" s="2578"/>
      <c r="K30" s="2578"/>
      <c r="L30" s="2578"/>
      <c r="M30" s="2578"/>
      <c r="N30" s="2578"/>
      <c r="O30" s="2578"/>
      <c r="P30" s="2578"/>
      <c r="Q30" s="2578"/>
      <c r="R30" s="2578"/>
      <c r="S30" s="2578"/>
      <c r="T30" s="2578"/>
      <c r="U30" s="2578"/>
      <c r="V30" s="2578"/>
      <c r="W30" s="2578"/>
      <c r="X30" s="2578"/>
      <c r="Y30" s="2579"/>
      <c r="Z30" s="2580"/>
      <c r="AA30" s="2580"/>
      <c r="AB30" s="2580"/>
      <c r="AC30" s="2581" t="s">
        <v>7134</v>
      </c>
      <c r="AD30" s="2581"/>
      <c r="AE30" s="2581"/>
      <c r="AF30" s="1487" t="s">
        <v>3438</v>
      </c>
      <c r="AG30" s="2582"/>
      <c r="AH30" s="1488"/>
      <c r="AI30" s="2583">
        <f>UnosPod!H1158</f>
        <v>0</v>
      </c>
      <c r="AJ30" s="2583"/>
      <c r="AK30" s="2583"/>
      <c r="AL30" s="2583"/>
      <c r="AM30" s="2583"/>
      <c r="AN30" s="2583"/>
      <c r="AO30" s="2583"/>
      <c r="AP30" s="2583">
        <f>Prethodna_2024!B439</f>
        <v>0</v>
      </c>
      <c r="AQ30" s="2583"/>
      <c r="AR30" s="2583"/>
      <c r="AS30" s="2583"/>
      <c r="AT30" s="2583"/>
      <c r="AU30" s="2583"/>
      <c r="AV30" s="2583"/>
    </row>
    <row r="31" s="1340" customFormat="1" ht="17.25" customHeight="1" spans="1:48">
      <c r="A31" s="2576" t="s">
        <v>4254</v>
      </c>
      <c r="B31" s="2576"/>
      <c r="C31" s="2576"/>
      <c r="D31" s="2577" t="str">
        <f>Text!B506</f>
        <v>Efekti promjene fer vrijednosti ulaganja u investicijske nekretnine, neto</v>
      </c>
      <c r="E31" s="2578"/>
      <c r="F31" s="2578"/>
      <c r="G31" s="2578"/>
      <c r="H31" s="2578"/>
      <c r="I31" s="2578"/>
      <c r="J31" s="2578"/>
      <c r="K31" s="2578"/>
      <c r="L31" s="2578"/>
      <c r="M31" s="2578"/>
      <c r="N31" s="2578"/>
      <c r="O31" s="2578"/>
      <c r="P31" s="2578"/>
      <c r="Q31" s="2578"/>
      <c r="R31" s="2578"/>
      <c r="S31" s="2578"/>
      <c r="T31" s="2578"/>
      <c r="U31" s="2578"/>
      <c r="V31" s="2578"/>
      <c r="W31" s="2578"/>
      <c r="X31" s="2578"/>
      <c r="Y31" s="2579"/>
      <c r="Z31" s="2580"/>
      <c r="AA31" s="2580"/>
      <c r="AB31" s="2580"/>
      <c r="AC31" s="2581" t="s">
        <v>7135</v>
      </c>
      <c r="AD31" s="2581"/>
      <c r="AE31" s="2581"/>
      <c r="AF31" s="1487" t="s">
        <v>3441</v>
      </c>
      <c r="AG31" s="2582"/>
      <c r="AH31" s="1488"/>
      <c r="AI31" s="2583">
        <f>UnosPod!H1159</f>
        <v>0</v>
      </c>
      <c r="AJ31" s="2583"/>
      <c r="AK31" s="2583"/>
      <c r="AL31" s="2583"/>
      <c r="AM31" s="2583"/>
      <c r="AN31" s="2583"/>
      <c r="AO31" s="2583"/>
      <c r="AP31" s="2583">
        <f>Prethodna_2024!B440</f>
        <v>0</v>
      </c>
      <c r="AQ31" s="2583"/>
      <c r="AR31" s="2583"/>
      <c r="AS31" s="2583"/>
      <c r="AT31" s="2583"/>
      <c r="AU31" s="2583"/>
      <c r="AV31" s="2583"/>
    </row>
    <row r="32" s="1340" customFormat="1" ht="17.25" customHeight="1" spans="1:48">
      <c r="A32" s="2576" t="s">
        <v>4256</v>
      </c>
      <c r="B32" s="2576"/>
      <c r="C32" s="2576"/>
      <c r="D32" s="2577" t="str">
        <f>Text!B507</f>
        <v>Efekti promjene fer vrijednosti biološke imovine, neto</v>
      </c>
      <c r="E32" s="2578"/>
      <c r="F32" s="2578"/>
      <c r="G32" s="2578"/>
      <c r="H32" s="2578"/>
      <c r="I32" s="2578"/>
      <c r="J32" s="2578"/>
      <c r="K32" s="2578"/>
      <c r="L32" s="2578"/>
      <c r="M32" s="2578"/>
      <c r="N32" s="2578"/>
      <c r="O32" s="2578"/>
      <c r="P32" s="2578"/>
      <c r="Q32" s="2578"/>
      <c r="R32" s="2578"/>
      <c r="S32" s="2578"/>
      <c r="T32" s="2578"/>
      <c r="U32" s="2578"/>
      <c r="V32" s="2578"/>
      <c r="W32" s="2578"/>
      <c r="X32" s="2578"/>
      <c r="Y32" s="2579"/>
      <c r="Z32" s="2580"/>
      <c r="AA32" s="2580"/>
      <c r="AB32" s="2580"/>
      <c r="AC32" s="2581" t="s">
        <v>7135</v>
      </c>
      <c r="AD32" s="2581"/>
      <c r="AE32" s="2581"/>
      <c r="AF32" s="1487" t="s">
        <v>3444</v>
      </c>
      <c r="AG32" s="2582"/>
      <c r="AH32" s="1488"/>
      <c r="AI32" s="2583">
        <f>UnosPod!H1160</f>
        <v>0</v>
      </c>
      <c r="AJ32" s="2583"/>
      <c r="AK32" s="2583"/>
      <c r="AL32" s="2583"/>
      <c r="AM32" s="2583"/>
      <c r="AN32" s="2583"/>
      <c r="AO32" s="2583"/>
      <c r="AP32" s="2583">
        <f>Prethodna_2024!B441</f>
        <v>0</v>
      </c>
      <c r="AQ32" s="2583"/>
      <c r="AR32" s="2583"/>
      <c r="AS32" s="2583"/>
      <c r="AT32" s="2583"/>
      <c r="AU32" s="2583"/>
      <c r="AV32" s="2583"/>
    </row>
    <row r="33" s="1340" customFormat="1" ht="17.25" customHeight="1" spans="1:48">
      <c r="A33" s="2576" t="s">
        <v>4257</v>
      </c>
      <c r="B33" s="2576"/>
      <c r="C33" s="2576"/>
      <c r="D33" s="2577" t="str">
        <f>Text!B508</f>
        <v>Efekti promjene vrijednosti instrumenata kapitala po fer vrijednosti kroz bilans uspjeha </v>
      </c>
      <c r="E33" s="2578"/>
      <c r="F33" s="2578"/>
      <c r="G33" s="2578"/>
      <c r="H33" s="2578"/>
      <c r="I33" s="2578"/>
      <c r="J33" s="2578"/>
      <c r="K33" s="2578"/>
      <c r="L33" s="2578"/>
      <c r="M33" s="2578"/>
      <c r="N33" s="2578"/>
      <c r="O33" s="2578"/>
      <c r="P33" s="2578"/>
      <c r="Q33" s="2578"/>
      <c r="R33" s="2578"/>
      <c r="S33" s="2578"/>
      <c r="T33" s="2578"/>
      <c r="U33" s="2578"/>
      <c r="V33" s="2578"/>
      <c r="W33" s="2578"/>
      <c r="X33" s="2578"/>
      <c r="Y33" s="2579"/>
      <c r="Z33" s="2580"/>
      <c r="AA33" s="2580"/>
      <c r="AB33" s="2580"/>
      <c r="AC33" s="2581" t="s">
        <v>7135</v>
      </c>
      <c r="AD33" s="2581"/>
      <c r="AE33" s="2581"/>
      <c r="AF33" s="1487" t="s">
        <v>3447</v>
      </c>
      <c r="AG33" s="2582"/>
      <c r="AH33" s="1488"/>
      <c r="AI33" s="2583">
        <f>UnosPod!H1161</f>
        <v>0</v>
      </c>
      <c r="AJ33" s="2583"/>
      <c r="AK33" s="2583"/>
      <c r="AL33" s="2583"/>
      <c r="AM33" s="2583"/>
      <c r="AN33" s="2583"/>
      <c r="AO33" s="2583"/>
      <c r="AP33" s="2583">
        <f>Prethodna_2024!B442</f>
        <v>0</v>
      </c>
      <c r="AQ33" s="2583"/>
      <c r="AR33" s="2583"/>
      <c r="AS33" s="2583"/>
      <c r="AT33" s="2583"/>
      <c r="AU33" s="2583"/>
      <c r="AV33" s="2583"/>
    </row>
    <row r="34" s="1341" customFormat="1" ht="33" customHeight="1" spans="1:48">
      <c r="A34" s="2576" t="s">
        <v>4258</v>
      </c>
      <c r="B34" s="2576"/>
      <c r="C34" s="2576"/>
      <c r="D34" s="2577" t="str">
        <f>Text!B509</f>
        <v>(Dobit)/gubitak od prodaje dužničkih instrumenata po fer vrijednosti kroz ostali ukupni rezultat, neto</v>
      </c>
      <c r="E34" s="2578"/>
      <c r="F34" s="2578"/>
      <c r="G34" s="2578"/>
      <c r="H34" s="2578"/>
      <c r="I34" s="2578"/>
      <c r="J34" s="2578"/>
      <c r="K34" s="2578"/>
      <c r="L34" s="2578"/>
      <c r="M34" s="2578"/>
      <c r="N34" s="2578"/>
      <c r="O34" s="2578"/>
      <c r="P34" s="2578"/>
      <c r="Q34" s="2578"/>
      <c r="R34" s="2578"/>
      <c r="S34" s="2578"/>
      <c r="T34" s="2578"/>
      <c r="U34" s="2578"/>
      <c r="V34" s="2578"/>
      <c r="W34" s="2578"/>
      <c r="X34" s="2578"/>
      <c r="Y34" s="2579"/>
      <c r="Z34" s="2580"/>
      <c r="AA34" s="2580"/>
      <c r="AB34" s="2580"/>
      <c r="AC34" s="2581" t="s">
        <v>7135</v>
      </c>
      <c r="AD34" s="2581"/>
      <c r="AE34" s="2581"/>
      <c r="AF34" s="1487" t="s">
        <v>3451</v>
      </c>
      <c r="AG34" s="2582"/>
      <c r="AH34" s="1488"/>
      <c r="AI34" s="2583">
        <f>UnosPod!H1162</f>
        <v>0</v>
      </c>
      <c r="AJ34" s="2583"/>
      <c r="AK34" s="2583"/>
      <c r="AL34" s="2583"/>
      <c r="AM34" s="2583"/>
      <c r="AN34" s="2583"/>
      <c r="AO34" s="2583"/>
      <c r="AP34" s="2583">
        <f>Prethodna_2024!B443</f>
        <v>0</v>
      </c>
      <c r="AQ34" s="2583"/>
      <c r="AR34" s="2583"/>
      <c r="AS34" s="2583"/>
      <c r="AT34" s="2583"/>
      <c r="AU34" s="2583"/>
      <c r="AV34" s="2583"/>
    </row>
    <row r="35" s="1340" customFormat="1" ht="33" customHeight="1" spans="1:48">
      <c r="A35" s="2576" t="s">
        <v>4259</v>
      </c>
      <c r="B35" s="2576"/>
      <c r="C35" s="2576"/>
      <c r="D35" s="2577" t="str">
        <f>Text!B510</f>
        <v>(Otpuštanje)/Ispravka vrijednosti za gubitke od dužničkih instrumenata po fer vrijednosti kroz ostali ukupni rezultat, neto</v>
      </c>
      <c r="E35" s="2578"/>
      <c r="F35" s="2578"/>
      <c r="G35" s="2578"/>
      <c r="H35" s="2578"/>
      <c r="I35" s="2578"/>
      <c r="J35" s="2578"/>
      <c r="K35" s="2578"/>
      <c r="L35" s="2578"/>
      <c r="M35" s="2578"/>
      <c r="N35" s="2578"/>
      <c r="O35" s="2578"/>
      <c r="P35" s="2578"/>
      <c r="Q35" s="2578"/>
      <c r="R35" s="2578"/>
      <c r="S35" s="2578"/>
      <c r="T35" s="2578"/>
      <c r="U35" s="2578"/>
      <c r="V35" s="2578"/>
      <c r="W35" s="2578"/>
      <c r="X35" s="2578"/>
      <c r="Y35" s="2579"/>
      <c r="Z35" s="2580"/>
      <c r="AA35" s="2580"/>
      <c r="AB35" s="2580"/>
      <c r="AC35" s="2581" t="s">
        <v>7135</v>
      </c>
      <c r="AD35" s="2581"/>
      <c r="AE35" s="2581"/>
      <c r="AF35" s="1487" t="s">
        <v>3454</v>
      </c>
      <c r="AG35" s="2582"/>
      <c r="AH35" s="1488"/>
      <c r="AI35" s="2583">
        <f>UnosPod!H1163</f>
        <v>0</v>
      </c>
      <c r="AJ35" s="2583"/>
      <c r="AK35" s="2583"/>
      <c r="AL35" s="2583"/>
      <c r="AM35" s="2583"/>
      <c r="AN35" s="2583"/>
      <c r="AO35" s="2583"/>
      <c r="AP35" s="2583">
        <f>Prethodna_2024!B444</f>
        <v>0</v>
      </c>
      <c r="AQ35" s="2583"/>
      <c r="AR35" s="2583"/>
      <c r="AS35" s="2583"/>
      <c r="AT35" s="2583"/>
      <c r="AU35" s="2583"/>
      <c r="AV35" s="2583"/>
    </row>
    <row r="36" s="1340" customFormat="1" ht="19.5" customHeight="1" spans="1:48">
      <c r="A36" s="2576" t="s">
        <v>4261</v>
      </c>
      <c r="B36" s="2576"/>
      <c r="C36" s="2576"/>
      <c r="D36" s="2577" t="str">
        <f>Text!B511</f>
        <v>(Otpuštanje)/Ispravka vrijednosti za gubitke od potraživanja od kupaca, neto</v>
      </c>
      <c r="E36" s="2578"/>
      <c r="F36" s="2578"/>
      <c r="G36" s="2578"/>
      <c r="H36" s="2578"/>
      <c r="I36" s="2578"/>
      <c r="J36" s="2578"/>
      <c r="K36" s="2578"/>
      <c r="L36" s="2578"/>
      <c r="M36" s="2578"/>
      <c r="N36" s="2578"/>
      <c r="O36" s="2578"/>
      <c r="P36" s="2578"/>
      <c r="Q36" s="2578"/>
      <c r="R36" s="2578"/>
      <c r="S36" s="2578"/>
      <c r="T36" s="2578"/>
      <c r="U36" s="2578"/>
      <c r="V36" s="2578"/>
      <c r="W36" s="2578"/>
      <c r="X36" s="2578"/>
      <c r="Y36" s="2579"/>
      <c r="Z36" s="2580"/>
      <c r="AA36" s="2580"/>
      <c r="AB36" s="2580"/>
      <c r="AC36" s="2581" t="s">
        <v>7135</v>
      </c>
      <c r="AD36" s="2581"/>
      <c r="AE36" s="2581"/>
      <c r="AF36" s="1487" t="s">
        <v>3458</v>
      </c>
      <c r="AG36" s="2582"/>
      <c r="AH36" s="1488"/>
      <c r="AI36" s="2583">
        <f>UnosPod!H1164</f>
        <v>0</v>
      </c>
      <c r="AJ36" s="2583"/>
      <c r="AK36" s="2583"/>
      <c r="AL36" s="2583"/>
      <c r="AM36" s="2583"/>
      <c r="AN36" s="2583"/>
      <c r="AO36" s="2583"/>
      <c r="AP36" s="2583">
        <f>Prethodna_2024!B445</f>
        <v>0</v>
      </c>
      <c r="AQ36" s="2583"/>
      <c r="AR36" s="2583"/>
      <c r="AS36" s="2583"/>
      <c r="AT36" s="2583"/>
      <c r="AU36" s="2583"/>
      <c r="AV36" s="2583"/>
    </row>
    <row r="37" s="1340" customFormat="1" ht="18" customHeight="1" spans="1:48">
      <c r="A37" s="2576" t="s">
        <v>4263</v>
      </c>
      <c r="B37" s="2576"/>
      <c r="C37" s="2576"/>
      <c r="D37" s="2577" t="str">
        <f>Text!B512</f>
        <v>(Otpuštanje)/Ispravka vrijednosti za gubitke od ugovorne imovine, neto</v>
      </c>
      <c r="E37" s="2578"/>
      <c r="F37" s="2578"/>
      <c r="G37" s="2578"/>
      <c r="H37" s="2578"/>
      <c r="I37" s="2578"/>
      <c r="J37" s="2578"/>
      <c r="K37" s="2578"/>
      <c r="L37" s="2578"/>
      <c r="M37" s="2578"/>
      <c r="N37" s="2578"/>
      <c r="O37" s="2578"/>
      <c r="P37" s="2578"/>
      <c r="Q37" s="2578"/>
      <c r="R37" s="2578"/>
      <c r="S37" s="2578"/>
      <c r="T37" s="2578"/>
      <c r="U37" s="2578"/>
      <c r="V37" s="2578"/>
      <c r="W37" s="2578"/>
      <c r="X37" s="2578"/>
      <c r="Y37" s="2579"/>
      <c r="Z37" s="2580"/>
      <c r="AA37" s="2580"/>
      <c r="AB37" s="2580"/>
      <c r="AC37" s="2581" t="s">
        <v>7135</v>
      </c>
      <c r="AD37" s="2581"/>
      <c r="AE37" s="2581"/>
      <c r="AF37" s="1487" t="s">
        <v>3462</v>
      </c>
      <c r="AG37" s="2582"/>
      <c r="AH37" s="1488"/>
      <c r="AI37" s="2583">
        <f>UnosPod!H1165</f>
        <v>0</v>
      </c>
      <c r="AJ37" s="2583"/>
      <c r="AK37" s="2583"/>
      <c r="AL37" s="2583"/>
      <c r="AM37" s="2583"/>
      <c r="AN37" s="2583"/>
      <c r="AO37" s="2583"/>
      <c r="AP37" s="2583">
        <f>Prethodna_2024!B446</f>
        <v>0</v>
      </c>
      <c r="AQ37" s="2583"/>
      <c r="AR37" s="2583"/>
      <c r="AS37" s="2583"/>
      <c r="AT37" s="2583"/>
      <c r="AU37" s="2583"/>
      <c r="AV37" s="2583"/>
    </row>
    <row r="38" s="1340" customFormat="1" ht="33" customHeight="1" spans="1:48">
      <c r="A38" s="2576" t="s">
        <v>4265</v>
      </c>
      <c r="B38" s="2576"/>
      <c r="C38" s="2576"/>
      <c r="D38" s="2577" t="str">
        <f>Text!B513</f>
        <v>(Otpuštanje)/Ispravka vrijednosti za gubitke od ostale finansijske imovine po amortizovanom trošku, neto</v>
      </c>
      <c r="E38" s="2578"/>
      <c r="F38" s="2578"/>
      <c r="G38" s="2578"/>
      <c r="H38" s="2578"/>
      <c r="I38" s="2578"/>
      <c r="J38" s="2578"/>
      <c r="K38" s="2578"/>
      <c r="L38" s="2578"/>
      <c r="M38" s="2578"/>
      <c r="N38" s="2578"/>
      <c r="O38" s="2578"/>
      <c r="P38" s="2578"/>
      <c r="Q38" s="2578"/>
      <c r="R38" s="2578"/>
      <c r="S38" s="2578"/>
      <c r="T38" s="2578"/>
      <c r="U38" s="2578"/>
      <c r="V38" s="2578"/>
      <c r="W38" s="2578"/>
      <c r="X38" s="2578"/>
      <c r="Y38" s="2579"/>
      <c r="Z38" s="2580"/>
      <c r="AA38" s="2580"/>
      <c r="AB38" s="2580"/>
      <c r="AC38" s="2581" t="s">
        <v>7135</v>
      </c>
      <c r="AD38" s="2581"/>
      <c r="AE38" s="2581"/>
      <c r="AF38" s="1487" t="s">
        <v>3466</v>
      </c>
      <c r="AG38" s="2582"/>
      <c r="AH38" s="1488"/>
      <c r="AI38" s="2583">
        <f>UnosPod!H1166</f>
        <v>0</v>
      </c>
      <c r="AJ38" s="2583"/>
      <c r="AK38" s="2583"/>
      <c r="AL38" s="2583"/>
      <c r="AM38" s="2583"/>
      <c r="AN38" s="2583"/>
      <c r="AO38" s="2583"/>
      <c r="AP38" s="2583">
        <f>Prethodna_2024!B447</f>
        <v>0</v>
      </c>
      <c r="AQ38" s="2583"/>
      <c r="AR38" s="2583"/>
      <c r="AS38" s="2583"/>
      <c r="AT38" s="2583"/>
      <c r="AU38" s="2583"/>
      <c r="AV38" s="2583"/>
    </row>
    <row r="39" s="1340" customFormat="1" ht="18" customHeight="1" spans="1:48">
      <c r="A39" s="1367" t="s">
        <v>4267</v>
      </c>
      <c r="B39" s="1367"/>
      <c r="C39" s="1367"/>
      <c r="D39" s="2584" t="str">
        <f>Text!B514</f>
        <v>Viškovi, manjkovi, otpisi i prilagođavanje vrijednosti zaliha, neto</v>
      </c>
      <c r="E39" s="2585"/>
      <c r="F39" s="2585"/>
      <c r="G39" s="2585"/>
      <c r="H39" s="2585"/>
      <c r="I39" s="2585"/>
      <c r="J39" s="2585"/>
      <c r="K39" s="2585"/>
      <c r="L39" s="2585"/>
      <c r="M39" s="2585"/>
      <c r="N39" s="2585"/>
      <c r="O39" s="2585"/>
      <c r="P39" s="2585"/>
      <c r="Q39" s="2585"/>
      <c r="R39" s="2585"/>
      <c r="S39" s="2585"/>
      <c r="T39" s="2585"/>
      <c r="U39" s="2585"/>
      <c r="V39" s="2585"/>
      <c r="W39" s="2585"/>
      <c r="X39" s="2585"/>
      <c r="Y39" s="2586"/>
      <c r="Z39" s="2587"/>
      <c r="AA39" s="2587"/>
      <c r="AB39" s="2587"/>
      <c r="AC39" s="2588" t="s">
        <v>7135</v>
      </c>
      <c r="AD39" s="2588"/>
      <c r="AE39" s="2588"/>
      <c r="AF39" s="1500" t="s">
        <v>3470</v>
      </c>
      <c r="AG39" s="1370"/>
      <c r="AH39" s="1371"/>
      <c r="AI39" s="2589">
        <f>UnosPod!H1167</f>
        <v>0</v>
      </c>
      <c r="AJ39" s="2589"/>
      <c r="AK39" s="2589"/>
      <c r="AL39" s="2589"/>
      <c r="AM39" s="2589"/>
      <c r="AN39" s="2589"/>
      <c r="AO39" s="2589"/>
      <c r="AP39" s="2589">
        <f>Prethodna_2024!B448</f>
        <v>0</v>
      </c>
      <c r="AQ39" s="2589"/>
      <c r="AR39" s="2589"/>
      <c r="AS39" s="2589"/>
      <c r="AT39" s="2589"/>
      <c r="AU39" s="2589"/>
      <c r="AV39" s="2589"/>
    </row>
    <row r="40" s="1754" customFormat="1" ht="18" customHeight="1"/>
    <row r="41" s="1754" customFormat="1" ht="18" customHeight="1"/>
    <row r="42" s="1750" customFormat="1" ht="15.75" customHeight="1" spans="1:48">
      <c r="A42" s="2590">
        <v>1</v>
      </c>
      <c r="B42" s="2590"/>
      <c r="C42" s="2590"/>
      <c r="D42" s="2591">
        <v>2</v>
      </c>
      <c r="E42" s="2590"/>
      <c r="F42" s="2590"/>
      <c r="G42" s="2590"/>
      <c r="H42" s="2590"/>
      <c r="I42" s="2590"/>
      <c r="J42" s="2590"/>
      <c r="K42" s="2590"/>
      <c r="L42" s="2590"/>
      <c r="M42" s="2590"/>
      <c r="N42" s="2590"/>
      <c r="O42" s="2590"/>
      <c r="P42" s="2590"/>
      <c r="Q42" s="2590"/>
      <c r="R42" s="2590"/>
      <c r="S42" s="2590"/>
      <c r="T42" s="2590"/>
      <c r="U42" s="2590"/>
      <c r="V42" s="2590"/>
      <c r="W42" s="2590"/>
      <c r="X42" s="2590"/>
      <c r="Y42" s="2590"/>
      <c r="Z42" s="2590">
        <v>3</v>
      </c>
      <c r="AA42" s="2590"/>
      <c r="AB42" s="2590"/>
      <c r="AC42" s="2590">
        <v>4</v>
      </c>
      <c r="AD42" s="2590"/>
      <c r="AE42" s="2590"/>
      <c r="AF42" s="2590">
        <v>5</v>
      </c>
      <c r="AG42" s="2590"/>
      <c r="AH42" s="2590"/>
      <c r="AI42" s="2590">
        <v>6</v>
      </c>
      <c r="AJ42" s="2590"/>
      <c r="AK42" s="2590"/>
      <c r="AL42" s="2590"/>
      <c r="AM42" s="2590"/>
      <c r="AN42" s="2590"/>
      <c r="AO42" s="2590"/>
      <c r="AP42" s="2590">
        <v>7</v>
      </c>
      <c r="AQ42" s="2590"/>
      <c r="AR42" s="2590"/>
      <c r="AS42" s="2590"/>
      <c r="AT42" s="2590"/>
      <c r="AU42" s="2590"/>
      <c r="AV42" s="2590"/>
    </row>
    <row r="43" s="1750" customFormat="1" ht="18" customHeight="1" spans="1:48">
      <c r="A43" s="2592" t="s">
        <v>4269</v>
      </c>
      <c r="B43" s="2592"/>
      <c r="C43" s="2592"/>
      <c r="D43" s="2569" t="str">
        <f>Text!B515</f>
        <v>Otpisane obaveze</v>
      </c>
      <c r="E43" s="2570"/>
      <c r="F43" s="2570"/>
      <c r="G43" s="2570"/>
      <c r="H43" s="2570"/>
      <c r="I43" s="2570"/>
      <c r="J43" s="2570"/>
      <c r="K43" s="2570"/>
      <c r="L43" s="2570"/>
      <c r="M43" s="2570"/>
      <c r="N43" s="2570"/>
      <c r="O43" s="2570"/>
      <c r="P43" s="2570"/>
      <c r="Q43" s="2570"/>
      <c r="R43" s="2570"/>
      <c r="S43" s="2570"/>
      <c r="T43" s="2570"/>
      <c r="U43" s="2570"/>
      <c r="V43" s="2570"/>
      <c r="W43" s="2570"/>
      <c r="X43" s="2570"/>
      <c r="Y43" s="2571"/>
      <c r="Z43" s="2593"/>
      <c r="AA43" s="2593"/>
      <c r="AB43" s="2593"/>
      <c r="AC43" s="2594" t="s">
        <v>5756</v>
      </c>
      <c r="AD43" s="2594"/>
      <c r="AE43" s="2594"/>
      <c r="AF43" s="1472" t="s">
        <v>3473</v>
      </c>
      <c r="AG43" s="2574"/>
      <c r="AH43" s="1473"/>
      <c r="AI43" s="2595">
        <f>UnosPod!H1168</f>
        <v>0</v>
      </c>
      <c r="AJ43" s="2595"/>
      <c r="AK43" s="2595"/>
      <c r="AL43" s="2595"/>
      <c r="AM43" s="2595"/>
      <c r="AN43" s="2595"/>
      <c r="AO43" s="2595"/>
      <c r="AP43" s="2596">
        <f>Prethodna_2024!B449</f>
        <v>-5382</v>
      </c>
      <c r="AQ43" s="2596"/>
      <c r="AR43" s="2596"/>
      <c r="AS43" s="2596"/>
      <c r="AT43" s="2596"/>
      <c r="AU43" s="2596"/>
      <c r="AV43" s="2596"/>
    </row>
    <row r="44" s="1750" customFormat="1" ht="18" customHeight="1" spans="1:48">
      <c r="A44" s="2597" t="s">
        <v>4271</v>
      </c>
      <c r="B44" s="2597"/>
      <c r="C44" s="2597"/>
      <c r="D44" s="2577" t="str">
        <f>Text!B516</f>
        <v>(Otpuštanje)/ dodatno priznata rezervisanja, neto</v>
      </c>
      <c r="E44" s="2578"/>
      <c r="F44" s="2578"/>
      <c r="G44" s="2578"/>
      <c r="H44" s="2578"/>
      <c r="I44" s="2578"/>
      <c r="J44" s="2578"/>
      <c r="K44" s="2578"/>
      <c r="L44" s="2578"/>
      <c r="M44" s="2578"/>
      <c r="N44" s="2578"/>
      <c r="O44" s="2578"/>
      <c r="P44" s="2578"/>
      <c r="Q44" s="2578"/>
      <c r="R44" s="2578"/>
      <c r="S44" s="2578"/>
      <c r="T44" s="2578"/>
      <c r="U44" s="2578"/>
      <c r="V44" s="2578"/>
      <c r="W44" s="2578"/>
      <c r="X44" s="2578"/>
      <c r="Y44" s="2579"/>
      <c r="Z44" s="2598"/>
      <c r="AA44" s="2598"/>
      <c r="AB44" s="2598"/>
      <c r="AC44" s="2599" t="s">
        <v>7135</v>
      </c>
      <c r="AD44" s="2599"/>
      <c r="AE44" s="2599"/>
      <c r="AF44" s="1487" t="s">
        <v>3477</v>
      </c>
      <c r="AG44" s="2582"/>
      <c r="AH44" s="1488"/>
      <c r="AI44" s="2596">
        <f>UnosPod!H1169</f>
        <v>0</v>
      </c>
      <c r="AJ44" s="2596"/>
      <c r="AK44" s="2596"/>
      <c r="AL44" s="2596"/>
      <c r="AM44" s="2596"/>
      <c r="AN44" s="2596"/>
      <c r="AO44" s="2596"/>
      <c r="AP44" s="2596">
        <f>Prethodna_2024!B450</f>
        <v>0</v>
      </c>
      <c r="AQ44" s="2596"/>
      <c r="AR44" s="2596"/>
      <c r="AS44" s="2596"/>
      <c r="AT44" s="2596"/>
      <c r="AU44" s="2596"/>
      <c r="AV44" s="2596"/>
    </row>
    <row r="45" s="1750" customFormat="1" ht="18" customHeight="1" spans="1:48">
      <c r="A45" s="2597" t="s">
        <v>4273</v>
      </c>
      <c r="B45" s="2597"/>
      <c r="C45" s="2597"/>
      <c r="D45" s="2577" t="str">
        <f>Text!B517</f>
        <v>Udio u rezultatu pridruženog društva i zajedničkog poduhvata</v>
      </c>
      <c r="E45" s="2578"/>
      <c r="F45" s="2578"/>
      <c r="G45" s="2578"/>
      <c r="H45" s="2578"/>
      <c r="I45" s="2578"/>
      <c r="J45" s="2578"/>
      <c r="K45" s="2578"/>
      <c r="L45" s="2578"/>
      <c r="M45" s="2578"/>
      <c r="N45" s="2578"/>
      <c r="O45" s="2578"/>
      <c r="P45" s="2578"/>
      <c r="Q45" s="2578"/>
      <c r="R45" s="2578"/>
      <c r="S45" s="2578"/>
      <c r="T45" s="2578"/>
      <c r="U45" s="2578"/>
      <c r="V45" s="2578"/>
      <c r="W45" s="2578"/>
      <c r="X45" s="2578"/>
      <c r="Y45" s="2579"/>
      <c r="Z45" s="2598"/>
      <c r="AA45" s="2598"/>
      <c r="AB45" s="2598"/>
      <c r="AC45" s="2599" t="s">
        <v>7135</v>
      </c>
      <c r="AD45" s="2599"/>
      <c r="AE45" s="2599"/>
      <c r="AF45" s="1487" t="s">
        <v>3481</v>
      </c>
      <c r="AG45" s="2582"/>
      <c r="AH45" s="1488"/>
      <c r="AI45" s="2596">
        <f>UnosPod!H1170</f>
        <v>0</v>
      </c>
      <c r="AJ45" s="2596"/>
      <c r="AK45" s="2596"/>
      <c r="AL45" s="2596"/>
      <c r="AM45" s="2596"/>
      <c r="AN45" s="2596"/>
      <c r="AO45" s="2596"/>
      <c r="AP45" s="2596">
        <f>Prethodna_2024!B451</f>
        <v>0</v>
      </c>
      <c r="AQ45" s="2596"/>
      <c r="AR45" s="2596"/>
      <c r="AS45" s="2596"/>
      <c r="AT45" s="2596"/>
      <c r="AU45" s="2596"/>
      <c r="AV45" s="2596"/>
    </row>
    <row r="46" s="1750" customFormat="1" ht="18" customHeight="1" spans="1:48">
      <c r="A46" s="2597" t="s">
        <v>4275</v>
      </c>
      <c r="B46" s="2597"/>
      <c r="C46" s="2597"/>
      <c r="D46" s="2577" t="str">
        <f>Text!B518</f>
        <v>Umanjenje vrijednosti goodwill-a</v>
      </c>
      <c r="E46" s="2578"/>
      <c r="F46" s="2578"/>
      <c r="G46" s="2578"/>
      <c r="H46" s="2578"/>
      <c r="I46" s="2578"/>
      <c r="J46" s="2578"/>
      <c r="K46" s="2578"/>
      <c r="L46" s="2578"/>
      <c r="M46" s="2578"/>
      <c r="N46" s="2578"/>
      <c r="O46" s="2578"/>
      <c r="P46" s="2578"/>
      <c r="Q46" s="2578"/>
      <c r="R46" s="2578"/>
      <c r="S46" s="2578"/>
      <c r="T46" s="2578"/>
      <c r="U46" s="2578"/>
      <c r="V46" s="2578"/>
      <c r="W46" s="2578"/>
      <c r="X46" s="2578"/>
      <c r="Y46" s="2579"/>
      <c r="Z46" s="2598"/>
      <c r="AA46" s="2598"/>
      <c r="AB46" s="2598"/>
      <c r="AC46" s="2599" t="s">
        <v>7134</v>
      </c>
      <c r="AD46" s="2599"/>
      <c r="AE46" s="2599"/>
      <c r="AF46" s="1487" t="s">
        <v>3484</v>
      </c>
      <c r="AG46" s="2582"/>
      <c r="AH46" s="1488"/>
      <c r="AI46" s="2596">
        <f>UnosPod!H1171</f>
        <v>0</v>
      </c>
      <c r="AJ46" s="2596"/>
      <c r="AK46" s="2596"/>
      <c r="AL46" s="2596"/>
      <c r="AM46" s="2596"/>
      <c r="AN46" s="2596"/>
      <c r="AO46" s="2596"/>
      <c r="AP46" s="2596">
        <f>Prethodna_2024!B452</f>
        <v>0</v>
      </c>
      <c r="AQ46" s="2596"/>
      <c r="AR46" s="2596"/>
      <c r="AS46" s="2596"/>
      <c r="AT46" s="2596"/>
      <c r="AU46" s="2596"/>
      <c r="AV46" s="2596"/>
    </row>
    <row r="47" s="1750" customFormat="1" ht="18" customHeight="1" spans="1:48">
      <c r="A47" s="2597" t="s">
        <v>4277</v>
      </c>
      <c r="B47" s="2597"/>
      <c r="C47" s="2597"/>
      <c r="D47" s="2577" t="str">
        <f>Text!B519</f>
        <v>Prihod od dividendi priznat u bilansu uspjeha</v>
      </c>
      <c r="E47" s="2578"/>
      <c r="F47" s="2578"/>
      <c r="G47" s="2578"/>
      <c r="H47" s="2578"/>
      <c r="I47" s="2578"/>
      <c r="J47" s="2578"/>
      <c r="K47" s="2578"/>
      <c r="L47" s="2578"/>
      <c r="M47" s="2578"/>
      <c r="N47" s="2578"/>
      <c r="O47" s="2578"/>
      <c r="P47" s="2578"/>
      <c r="Q47" s="2578"/>
      <c r="R47" s="2578"/>
      <c r="S47" s="2578"/>
      <c r="T47" s="2578"/>
      <c r="U47" s="2578"/>
      <c r="V47" s="2578"/>
      <c r="W47" s="2578"/>
      <c r="X47" s="2578"/>
      <c r="Y47" s="2579"/>
      <c r="Z47" s="2598"/>
      <c r="AA47" s="2598"/>
      <c r="AB47" s="2598"/>
      <c r="AC47" s="2599" t="s">
        <v>5756</v>
      </c>
      <c r="AD47" s="2599"/>
      <c r="AE47" s="2599"/>
      <c r="AF47" s="1487" t="s">
        <v>3486</v>
      </c>
      <c r="AG47" s="2582"/>
      <c r="AH47" s="1488"/>
      <c r="AI47" s="2596">
        <f>UnosPod!H1172</f>
        <v>0</v>
      </c>
      <c r="AJ47" s="2596"/>
      <c r="AK47" s="2596"/>
      <c r="AL47" s="2596"/>
      <c r="AM47" s="2596"/>
      <c r="AN47" s="2596"/>
      <c r="AO47" s="2596"/>
      <c r="AP47" s="2596">
        <f>Prethodna_2024!B453</f>
        <v>0</v>
      </c>
      <c r="AQ47" s="2596"/>
      <c r="AR47" s="2596"/>
      <c r="AS47" s="2596"/>
      <c r="AT47" s="2596"/>
      <c r="AU47" s="2596"/>
      <c r="AV47" s="2596"/>
    </row>
    <row r="48" s="1750" customFormat="1" ht="18" customHeight="1" spans="1:48">
      <c r="A48" s="2597" t="s">
        <v>4278</v>
      </c>
      <c r="B48" s="2597"/>
      <c r="C48" s="2597"/>
      <c r="D48" s="2577" t="str">
        <f>Text!B520</f>
        <v>Prihodi od kamata i finansijskog najma priznati u bilansu uspjeha</v>
      </c>
      <c r="E48" s="2578"/>
      <c r="F48" s="2578"/>
      <c r="G48" s="2578"/>
      <c r="H48" s="2578"/>
      <c r="I48" s="2578"/>
      <c r="J48" s="2578"/>
      <c r="K48" s="2578"/>
      <c r="L48" s="2578"/>
      <c r="M48" s="2578"/>
      <c r="N48" s="2578"/>
      <c r="O48" s="2578"/>
      <c r="P48" s="2578"/>
      <c r="Q48" s="2578"/>
      <c r="R48" s="2578"/>
      <c r="S48" s="2578"/>
      <c r="T48" s="2578"/>
      <c r="U48" s="2578"/>
      <c r="V48" s="2578"/>
      <c r="W48" s="2578"/>
      <c r="X48" s="2578"/>
      <c r="Y48" s="2579"/>
      <c r="Z48" s="2598"/>
      <c r="AA48" s="2598"/>
      <c r="AB48" s="2598"/>
      <c r="AC48" s="2599" t="s">
        <v>5756</v>
      </c>
      <c r="AD48" s="2599"/>
      <c r="AE48" s="2599"/>
      <c r="AF48" s="1487" t="s">
        <v>3490</v>
      </c>
      <c r="AG48" s="2582"/>
      <c r="AH48" s="1488"/>
      <c r="AI48" s="2596">
        <f>UnosPod!H1173</f>
        <v>-1319</v>
      </c>
      <c r="AJ48" s="2596"/>
      <c r="AK48" s="2596"/>
      <c r="AL48" s="2596"/>
      <c r="AM48" s="2596"/>
      <c r="AN48" s="2596"/>
      <c r="AO48" s="2596"/>
      <c r="AP48" s="2596">
        <f>Prethodna_2024!B454</f>
        <v>-3942</v>
      </c>
      <c r="AQ48" s="2596"/>
      <c r="AR48" s="2596"/>
      <c r="AS48" s="2596"/>
      <c r="AT48" s="2596"/>
      <c r="AU48" s="2596"/>
      <c r="AV48" s="2596"/>
    </row>
    <row r="49" s="1750" customFormat="1" ht="18" customHeight="1" spans="1:48">
      <c r="A49" s="2555" t="s">
        <v>4279</v>
      </c>
      <c r="B49" s="2555"/>
      <c r="C49" s="2555"/>
      <c r="D49" s="2584" t="str">
        <f>Text!B521</f>
        <v>Finansijski rashodi priznati u bilansu uspjeha</v>
      </c>
      <c r="E49" s="2585"/>
      <c r="F49" s="2585"/>
      <c r="G49" s="2585"/>
      <c r="H49" s="2585"/>
      <c r="I49" s="2585"/>
      <c r="J49" s="2585"/>
      <c r="K49" s="2585"/>
      <c r="L49" s="2585"/>
      <c r="M49" s="2585"/>
      <c r="N49" s="2585"/>
      <c r="O49" s="2585"/>
      <c r="P49" s="2585"/>
      <c r="Q49" s="2585"/>
      <c r="R49" s="2585"/>
      <c r="S49" s="2585"/>
      <c r="T49" s="2585"/>
      <c r="U49" s="2585"/>
      <c r="V49" s="2585"/>
      <c r="W49" s="2585"/>
      <c r="X49" s="2585"/>
      <c r="Y49" s="2586"/>
      <c r="Z49" s="2600"/>
      <c r="AA49" s="2600"/>
      <c r="AB49" s="2600"/>
      <c r="AC49" s="2601" t="s">
        <v>7134</v>
      </c>
      <c r="AD49" s="2601"/>
      <c r="AE49" s="2601"/>
      <c r="AF49" s="1500" t="s">
        <v>3494</v>
      </c>
      <c r="AG49" s="1370"/>
      <c r="AH49" s="1371"/>
      <c r="AI49" s="2602">
        <f>UnosPod!H1174</f>
        <v>0</v>
      </c>
      <c r="AJ49" s="2602"/>
      <c r="AK49" s="2602"/>
      <c r="AL49" s="2602"/>
      <c r="AM49" s="2602"/>
      <c r="AN49" s="2602"/>
      <c r="AO49" s="2602"/>
      <c r="AP49" s="2596">
        <f>Prethodna_2024!B455</f>
        <v>2038</v>
      </c>
      <c r="AQ49" s="2596"/>
      <c r="AR49" s="2596"/>
      <c r="AS49" s="2596"/>
      <c r="AT49" s="2596"/>
      <c r="AU49" s="2596"/>
      <c r="AV49" s="2596"/>
    </row>
    <row r="50" s="1750" customFormat="1" ht="18" customHeight="1" spans="1:48">
      <c r="A50" s="2590" t="s">
        <v>3880</v>
      </c>
      <c r="B50" s="2590"/>
      <c r="C50" s="2590"/>
      <c r="D50" s="1436" t="str">
        <f>Text!B522</f>
        <v>Promjene u obrtnom kapitalu</v>
      </c>
      <c r="E50" s="1437"/>
      <c r="F50" s="1437"/>
      <c r="G50" s="1437"/>
      <c r="H50" s="1437"/>
      <c r="I50" s="1437"/>
      <c r="J50" s="1437"/>
      <c r="K50" s="1437"/>
      <c r="L50" s="1437"/>
      <c r="M50" s="1437"/>
      <c r="N50" s="1437"/>
      <c r="O50" s="1437"/>
      <c r="P50" s="1437"/>
      <c r="Q50" s="1437"/>
      <c r="R50" s="1437"/>
      <c r="S50" s="1437"/>
      <c r="T50" s="1437"/>
      <c r="U50" s="1437"/>
      <c r="V50" s="1437"/>
      <c r="W50" s="1437"/>
      <c r="X50" s="1437"/>
      <c r="Y50" s="2563"/>
      <c r="Z50" s="2603"/>
      <c r="AA50" s="2603"/>
      <c r="AB50" s="2603"/>
      <c r="AC50" s="2603"/>
      <c r="AD50" s="2603"/>
      <c r="AE50" s="2603"/>
      <c r="AF50" s="2604"/>
      <c r="AG50" s="2605"/>
      <c r="AH50" s="2591"/>
      <c r="AI50" s="2606"/>
      <c r="AJ50" s="2607"/>
      <c r="AK50" s="2607"/>
      <c r="AL50" s="2607"/>
      <c r="AM50" s="2607"/>
      <c r="AN50" s="2607"/>
      <c r="AO50" s="2608"/>
      <c r="AP50" s="2609"/>
      <c r="AQ50" s="2609"/>
      <c r="AR50" s="2609"/>
      <c r="AS50" s="2609"/>
      <c r="AT50" s="2609"/>
      <c r="AU50" s="2609"/>
      <c r="AV50" s="2609"/>
    </row>
    <row r="51" s="1750" customFormat="1" ht="18" customHeight="1" spans="1:48">
      <c r="A51" s="2592" t="s">
        <v>4280</v>
      </c>
      <c r="B51" s="2592"/>
      <c r="C51" s="2592"/>
      <c r="D51" s="2569" t="str">
        <f>Text!B523</f>
        <v>Smanjenje/(povećanje) zaliha</v>
      </c>
      <c r="E51" s="2570"/>
      <c r="F51" s="2570"/>
      <c r="G51" s="2570"/>
      <c r="H51" s="2570"/>
      <c r="I51" s="2570"/>
      <c r="J51" s="2570"/>
      <c r="K51" s="2570"/>
      <c r="L51" s="2570"/>
      <c r="M51" s="2570"/>
      <c r="N51" s="2570"/>
      <c r="O51" s="2570"/>
      <c r="P51" s="2570"/>
      <c r="Q51" s="2570"/>
      <c r="R51" s="2570"/>
      <c r="S51" s="2570"/>
      <c r="T51" s="2570"/>
      <c r="U51" s="2570"/>
      <c r="V51" s="2570"/>
      <c r="W51" s="2570"/>
      <c r="X51" s="2570"/>
      <c r="Y51" s="2571"/>
      <c r="Z51" s="2593"/>
      <c r="AA51" s="2593"/>
      <c r="AB51" s="2593"/>
      <c r="AC51" s="2594" t="s">
        <v>7135</v>
      </c>
      <c r="AD51" s="2594"/>
      <c r="AE51" s="2594"/>
      <c r="AF51" s="1472" t="s">
        <v>3500</v>
      </c>
      <c r="AG51" s="2574"/>
      <c r="AH51" s="1473"/>
      <c r="AI51" s="2595">
        <f>UnosPod!H1176</f>
        <v>0</v>
      </c>
      <c r="AJ51" s="2595"/>
      <c r="AK51" s="2595"/>
      <c r="AL51" s="2595"/>
      <c r="AM51" s="2595"/>
      <c r="AN51" s="2595"/>
      <c r="AO51" s="2595"/>
      <c r="AP51" s="2596">
        <f>Prethodna_2024!B457</f>
        <v>18</v>
      </c>
      <c r="AQ51" s="2596"/>
      <c r="AR51" s="2596"/>
      <c r="AS51" s="2596"/>
      <c r="AT51" s="2596"/>
      <c r="AU51" s="2596"/>
      <c r="AV51" s="2596"/>
    </row>
    <row r="52" s="1750" customFormat="1" ht="18" customHeight="1" spans="1:48">
      <c r="A52" s="2597" t="s">
        <v>4282</v>
      </c>
      <c r="B52" s="2597"/>
      <c r="C52" s="2597"/>
      <c r="D52" s="2577" t="str">
        <f>Text!B524</f>
        <v>Smanjenje/(povećanje) potraživanja od kupaca</v>
      </c>
      <c r="E52" s="2578"/>
      <c r="F52" s="2578"/>
      <c r="G52" s="2578"/>
      <c r="H52" s="2578"/>
      <c r="I52" s="2578"/>
      <c r="J52" s="2578"/>
      <c r="K52" s="2578"/>
      <c r="L52" s="2578"/>
      <c r="M52" s="2578"/>
      <c r="N52" s="2578"/>
      <c r="O52" s="2578"/>
      <c r="P52" s="2578"/>
      <c r="Q52" s="2578"/>
      <c r="R52" s="2578"/>
      <c r="S52" s="2578"/>
      <c r="T52" s="2578"/>
      <c r="U52" s="2578"/>
      <c r="V52" s="2578"/>
      <c r="W52" s="2578"/>
      <c r="X52" s="2578"/>
      <c r="Y52" s="2579"/>
      <c r="Z52" s="2598"/>
      <c r="AA52" s="2598"/>
      <c r="AB52" s="2598"/>
      <c r="AC52" s="2599" t="s">
        <v>7135</v>
      </c>
      <c r="AD52" s="2599"/>
      <c r="AE52" s="2599"/>
      <c r="AF52" s="1487" t="s">
        <v>3503</v>
      </c>
      <c r="AG52" s="2582"/>
      <c r="AH52" s="1488"/>
      <c r="AI52" s="2596">
        <f>UnosPod!H1177-AI62-AI64-AI66-AI68-AI69</f>
        <v>861</v>
      </c>
      <c r="AJ52" s="2596"/>
      <c r="AK52" s="2596"/>
      <c r="AL52" s="2596"/>
      <c r="AM52" s="2596"/>
      <c r="AN52" s="2596"/>
      <c r="AO52" s="2596"/>
      <c r="AP52" s="2596">
        <f>Prethodna_2024!B458</f>
        <v>9142</v>
      </c>
      <c r="AQ52" s="2596"/>
      <c r="AR52" s="2596"/>
      <c r="AS52" s="2596"/>
      <c r="AT52" s="2596"/>
      <c r="AU52" s="2596"/>
      <c r="AV52" s="2596"/>
    </row>
    <row r="53" s="1750" customFormat="1" ht="18" customHeight="1" spans="1:48">
      <c r="A53" s="2597" t="s">
        <v>4283</v>
      </c>
      <c r="B53" s="2597"/>
      <c r="C53" s="2597"/>
      <c r="D53" s="2577" t="str">
        <f>Text!B525</f>
        <v>Smanjenje/(povećanje) ostale imovine i potraživanja</v>
      </c>
      <c r="E53" s="2578"/>
      <c r="F53" s="2578"/>
      <c r="G53" s="2578"/>
      <c r="H53" s="2578"/>
      <c r="I53" s="2578"/>
      <c r="J53" s="2578"/>
      <c r="K53" s="2578"/>
      <c r="L53" s="2578"/>
      <c r="M53" s="2578"/>
      <c r="N53" s="2578"/>
      <c r="O53" s="2578"/>
      <c r="P53" s="2578"/>
      <c r="Q53" s="2578"/>
      <c r="R53" s="2578"/>
      <c r="S53" s="2578"/>
      <c r="T53" s="2578"/>
      <c r="U53" s="2578"/>
      <c r="V53" s="2578"/>
      <c r="W53" s="2578"/>
      <c r="X53" s="2578"/>
      <c r="Y53" s="2579"/>
      <c r="Z53" s="2598"/>
      <c r="AA53" s="2598"/>
      <c r="AB53" s="2598"/>
      <c r="AC53" s="2599" t="s">
        <v>7135</v>
      </c>
      <c r="AD53" s="2599"/>
      <c r="AE53" s="2599"/>
      <c r="AF53" s="1487" t="s">
        <v>3506</v>
      </c>
      <c r="AG53" s="2582"/>
      <c r="AH53" s="1488"/>
      <c r="AI53" s="2596">
        <f>UnosPod!H1178</f>
        <v>-57791</v>
      </c>
      <c r="AJ53" s="2596"/>
      <c r="AK53" s="2596"/>
      <c r="AL53" s="2596"/>
      <c r="AM53" s="2596"/>
      <c r="AN53" s="2596"/>
      <c r="AO53" s="2596"/>
      <c r="AP53" s="2596">
        <f>Prethodna_2024!B459</f>
        <v>-59248</v>
      </c>
      <c r="AQ53" s="2596"/>
      <c r="AR53" s="2596"/>
      <c r="AS53" s="2596"/>
      <c r="AT53" s="2596"/>
      <c r="AU53" s="2596"/>
      <c r="AV53" s="2596"/>
    </row>
    <row r="54" s="1750" customFormat="1" ht="18" customHeight="1" spans="1:48">
      <c r="A54" s="2597" t="s">
        <v>4284</v>
      </c>
      <c r="B54" s="2597"/>
      <c r="C54" s="2597"/>
      <c r="D54" s="2577" t="str">
        <f>Text!B526</f>
        <v>Smanjenje/(povećanje) ugovorne imovine</v>
      </c>
      <c r="E54" s="2578"/>
      <c r="F54" s="2578"/>
      <c r="G54" s="2578"/>
      <c r="H54" s="2578"/>
      <c r="I54" s="2578"/>
      <c r="J54" s="2578"/>
      <c r="K54" s="2578"/>
      <c r="L54" s="2578"/>
      <c r="M54" s="2578"/>
      <c r="N54" s="2578"/>
      <c r="O54" s="2578"/>
      <c r="P54" s="2578"/>
      <c r="Q54" s="2578"/>
      <c r="R54" s="2578"/>
      <c r="S54" s="2578"/>
      <c r="T54" s="2578"/>
      <c r="U54" s="2578"/>
      <c r="V54" s="2578"/>
      <c r="W54" s="2578"/>
      <c r="X54" s="2578"/>
      <c r="Y54" s="2579"/>
      <c r="Z54" s="2598"/>
      <c r="AA54" s="2598"/>
      <c r="AB54" s="2598"/>
      <c r="AC54" s="2599" t="s">
        <v>7135</v>
      </c>
      <c r="AD54" s="2599"/>
      <c r="AE54" s="2599"/>
      <c r="AF54" s="1487" t="s">
        <v>3509</v>
      </c>
      <c r="AG54" s="2582"/>
      <c r="AH54" s="1488"/>
      <c r="AI54" s="2596">
        <f>UnosPod!H1179</f>
        <v>0</v>
      </c>
      <c r="AJ54" s="2596"/>
      <c r="AK54" s="2596"/>
      <c r="AL54" s="2596"/>
      <c r="AM54" s="2596"/>
      <c r="AN54" s="2596"/>
      <c r="AO54" s="2596"/>
      <c r="AP54" s="2596">
        <f>Prethodna_2024!B460</f>
        <v>0</v>
      </c>
      <c r="AQ54" s="2596"/>
      <c r="AR54" s="2596"/>
      <c r="AS54" s="2596"/>
      <c r="AT54" s="2596"/>
      <c r="AU54" s="2596"/>
      <c r="AV54" s="2596"/>
    </row>
    <row r="55" s="1750" customFormat="1" ht="18" customHeight="1" spans="1:48">
      <c r="A55" s="2597" t="s">
        <v>4285</v>
      </c>
      <c r="B55" s="2597"/>
      <c r="C55" s="2597"/>
      <c r="D55" s="2577" t="str">
        <f>Text!B527</f>
        <v>Povećanje/(smanjenje) obaveza prema dobavljačima </v>
      </c>
      <c r="E55" s="2578"/>
      <c r="F55" s="2578"/>
      <c r="G55" s="2578"/>
      <c r="H55" s="2578"/>
      <c r="I55" s="2578"/>
      <c r="J55" s="2578"/>
      <c r="K55" s="2578"/>
      <c r="L55" s="2578"/>
      <c r="M55" s="2578"/>
      <c r="N55" s="2578"/>
      <c r="O55" s="2578"/>
      <c r="P55" s="2578"/>
      <c r="Q55" s="2578"/>
      <c r="R55" s="2578"/>
      <c r="S55" s="2578"/>
      <c r="T55" s="2578"/>
      <c r="U55" s="2578"/>
      <c r="V55" s="2578"/>
      <c r="W55" s="2578"/>
      <c r="X55" s="2578"/>
      <c r="Y55" s="2579"/>
      <c r="Z55" s="2598"/>
      <c r="AA55" s="2598"/>
      <c r="AB55" s="2598"/>
      <c r="AC55" s="2599" t="s">
        <v>7135</v>
      </c>
      <c r="AD55" s="2599"/>
      <c r="AE55" s="2599"/>
      <c r="AF55" s="1487" t="s">
        <v>3512</v>
      </c>
      <c r="AG55" s="2582"/>
      <c r="AH55" s="1488"/>
      <c r="AI55" s="2596">
        <f>UnosPod!H1180-AI61-AI63-AI65-AI67</f>
        <v>-41326</v>
      </c>
      <c r="AJ55" s="2596"/>
      <c r="AK55" s="2596"/>
      <c r="AL55" s="2596"/>
      <c r="AM55" s="2596"/>
      <c r="AN55" s="2596"/>
      <c r="AO55" s="2596"/>
      <c r="AP55" s="2596">
        <f>Prethodna_2024!B461</f>
        <v>2051</v>
      </c>
      <c r="AQ55" s="2596"/>
      <c r="AR55" s="2596"/>
      <c r="AS55" s="2596"/>
      <c r="AT55" s="2596"/>
      <c r="AU55" s="2596"/>
      <c r="AV55" s="2596"/>
    </row>
    <row r="56" s="1750" customFormat="1" ht="18" customHeight="1" spans="1:48">
      <c r="A56" s="2597" t="s">
        <v>4286</v>
      </c>
      <c r="B56" s="2597"/>
      <c r="C56" s="2597"/>
      <c r="D56" s="2577" t="str">
        <f>Text!B528</f>
        <v>Povećanje/(smanjenje) ostalih obaveza</v>
      </c>
      <c r="E56" s="2578"/>
      <c r="F56" s="2578"/>
      <c r="G56" s="2578"/>
      <c r="H56" s="2578"/>
      <c r="I56" s="2578"/>
      <c r="J56" s="2578"/>
      <c r="K56" s="2578"/>
      <c r="L56" s="2578"/>
      <c r="M56" s="2578"/>
      <c r="N56" s="2578"/>
      <c r="O56" s="2578"/>
      <c r="P56" s="2578"/>
      <c r="Q56" s="2578"/>
      <c r="R56" s="2578"/>
      <c r="S56" s="2578"/>
      <c r="T56" s="2578"/>
      <c r="U56" s="2578"/>
      <c r="V56" s="2578"/>
      <c r="W56" s="2578"/>
      <c r="X56" s="2578"/>
      <c r="Y56" s="2579"/>
      <c r="Z56" s="2598"/>
      <c r="AA56" s="2598"/>
      <c r="AB56" s="2598"/>
      <c r="AC56" s="2599" t="s">
        <v>7135</v>
      </c>
      <c r="AD56" s="2599"/>
      <c r="AE56" s="2599"/>
      <c r="AF56" s="1487" t="s">
        <v>3516</v>
      </c>
      <c r="AG56" s="2582"/>
      <c r="AH56" s="1488"/>
      <c r="AI56" s="2596">
        <f>UnosPod!H1181+(UnosPod!O1266-UnosPod!H1266)</f>
        <v>156503</v>
      </c>
      <c r="AJ56" s="2596"/>
      <c r="AK56" s="2596"/>
      <c r="AL56" s="2596"/>
      <c r="AM56" s="2596"/>
      <c r="AN56" s="2596"/>
      <c r="AO56" s="2596"/>
      <c r="AP56" s="2596">
        <f>Prethodna_2024!B462</f>
        <v>-36417</v>
      </c>
      <c r="AQ56" s="2596"/>
      <c r="AR56" s="2596"/>
      <c r="AS56" s="2596"/>
      <c r="AT56" s="2596"/>
      <c r="AU56" s="2596"/>
      <c r="AV56" s="2596"/>
    </row>
    <row r="57" s="1750" customFormat="1" ht="18" customHeight="1" spans="1:48">
      <c r="A57" s="2555" t="s">
        <v>4287</v>
      </c>
      <c r="B57" s="2555"/>
      <c r="C57" s="2555"/>
      <c r="D57" s="2584" t="str">
        <f>Text!B529</f>
        <v>Povećanje/(smanjenje) ugovornih obaveza</v>
      </c>
      <c r="E57" s="2585"/>
      <c r="F57" s="2585"/>
      <c r="G57" s="2585"/>
      <c r="H57" s="2585"/>
      <c r="I57" s="2585"/>
      <c r="J57" s="2585"/>
      <c r="K57" s="2585"/>
      <c r="L57" s="2585"/>
      <c r="M57" s="2585"/>
      <c r="N57" s="2585"/>
      <c r="O57" s="2585"/>
      <c r="P57" s="2585"/>
      <c r="Q57" s="2585"/>
      <c r="R57" s="2585"/>
      <c r="S57" s="2585"/>
      <c r="T57" s="2585"/>
      <c r="U57" s="2585"/>
      <c r="V57" s="2585"/>
      <c r="W57" s="2585"/>
      <c r="X57" s="2585"/>
      <c r="Y57" s="2586"/>
      <c r="Z57" s="2600"/>
      <c r="AA57" s="2600"/>
      <c r="AB57" s="2600"/>
      <c r="AC57" s="2601" t="s">
        <v>7135</v>
      </c>
      <c r="AD57" s="2601"/>
      <c r="AE57" s="2601"/>
      <c r="AF57" s="1500" t="s">
        <v>3520</v>
      </c>
      <c r="AG57" s="1370"/>
      <c r="AH57" s="1371"/>
      <c r="AI57" s="2602">
        <f>UnosPod!H1182</f>
        <v>0</v>
      </c>
      <c r="AJ57" s="2602"/>
      <c r="AK57" s="2602"/>
      <c r="AL57" s="2602"/>
      <c r="AM57" s="2602"/>
      <c r="AN57" s="2602"/>
      <c r="AO57" s="2602"/>
      <c r="AP57" s="2596">
        <f>Prethodna_2024!B463</f>
        <v>0</v>
      </c>
      <c r="AQ57" s="2596"/>
      <c r="AR57" s="2596"/>
      <c r="AS57" s="2596"/>
      <c r="AT57" s="2596"/>
      <c r="AU57" s="2596"/>
      <c r="AV57" s="2596"/>
    </row>
    <row r="58" s="1750" customFormat="1" ht="18" customHeight="1" spans="1:48">
      <c r="A58" s="2590" t="s">
        <v>3883</v>
      </c>
      <c r="B58" s="2590"/>
      <c r="C58" s="2590"/>
      <c r="D58" s="1436" t="str">
        <f>Text!B530</f>
        <v>Plaćeni porez na dobit</v>
      </c>
      <c r="E58" s="1437"/>
      <c r="F58" s="1437"/>
      <c r="G58" s="1437"/>
      <c r="H58" s="1437"/>
      <c r="I58" s="1437"/>
      <c r="J58" s="1437"/>
      <c r="K58" s="1437"/>
      <c r="L58" s="1437"/>
      <c r="M58" s="1437"/>
      <c r="N58" s="1437"/>
      <c r="O58" s="1437"/>
      <c r="P58" s="1437"/>
      <c r="Q58" s="1437"/>
      <c r="R58" s="1437"/>
      <c r="S58" s="1437"/>
      <c r="T58" s="1437"/>
      <c r="U58" s="1437"/>
      <c r="V58" s="1437"/>
      <c r="W58" s="1437"/>
      <c r="X58" s="1437"/>
      <c r="Y58" s="2563"/>
      <c r="Z58" s="2603"/>
      <c r="AA58" s="2603"/>
      <c r="AB58" s="2603"/>
      <c r="AC58" s="2610" t="s">
        <v>5756</v>
      </c>
      <c r="AD58" s="2610"/>
      <c r="AE58" s="2610"/>
      <c r="AF58" s="1372" t="s">
        <v>3524</v>
      </c>
      <c r="AG58" s="2566"/>
      <c r="AH58" s="1404"/>
      <c r="AI58" s="2609">
        <f>UnosPod!H1183</f>
        <v>0</v>
      </c>
      <c r="AJ58" s="2609"/>
      <c r="AK58" s="2609"/>
      <c r="AL58" s="2609"/>
      <c r="AM58" s="2609"/>
      <c r="AN58" s="2609"/>
      <c r="AO58" s="2609"/>
      <c r="AP58" s="2609">
        <f>Prethodna_2024!B464</f>
        <v>0</v>
      </c>
      <c r="AQ58" s="2609"/>
      <c r="AR58" s="2609"/>
      <c r="AS58" s="2609"/>
      <c r="AT58" s="2609"/>
      <c r="AU58" s="2609"/>
      <c r="AV58" s="2609"/>
    </row>
    <row r="59" s="1341" customFormat="1" ht="24.75" customHeight="1" spans="1:48">
      <c r="A59" s="2558" t="s">
        <v>3872</v>
      </c>
      <c r="B59" s="2558"/>
      <c r="C59" s="2558"/>
      <c r="D59" s="2611" t="str">
        <f>Text!B531</f>
        <v>Neto gotovinski tok koji je generisan / (korišten) u poslovnim aktivnostima (501 do 533)</v>
      </c>
      <c r="E59" s="2612"/>
      <c r="F59" s="2612"/>
      <c r="G59" s="2612"/>
      <c r="H59" s="2612"/>
      <c r="I59" s="2612"/>
      <c r="J59" s="2612"/>
      <c r="K59" s="2612"/>
      <c r="L59" s="2612"/>
      <c r="M59" s="2612"/>
      <c r="N59" s="2612"/>
      <c r="O59" s="2612"/>
      <c r="P59" s="2612"/>
      <c r="Q59" s="2612"/>
      <c r="R59" s="2612"/>
      <c r="S59" s="2612"/>
      <c r="T59" s="2612"/>
      <c r="U59" s="2612"/>
      <c r="V59" s="2612"/>
      <c r="W59" s="2612"/>
      <c r="X59" s="2612"/>
      <c r="Y59" s="2613"/>
      <c r="Z59" s="1392"/>
      <c r="AA59" s="1392"/>
      <c r="AB59" s="1392"/>
      <c r="AC59" s="2565" t="s">
        <v>7135</v>
      </c>
      <c r="AD59" s="2565"/>
      <c r="AE59" s="2565"/>
      <c r="AF59" s="1372" t="s">
        <v>3527</v>
      </c>
      <c r="AG59" s="2566"/>
      <c r="AH59" s="1404"/>
      <c r="AI59" s="2614">
        <f>AI21+SUM(AI23:AO39)+SUM(AI43:AO58)</f>
        <v>2280</v>
      </c>
      <c r="AJ59" s="2614"/>
      <c r="AK59" s="2614"/>
      <c r="AL59" s="2614"/>
      <c r="AM59" s="2614"/>
      <c r="AN59" s="2614"/>
      <c r="AO59" s="2614"/>
      <c r="AP59" s="2614">
        <f>AP21+SUM(AP23:AV39)+SUM(AP43:AV58)</f>
        <v>12674</v>
      </c>
      <c r="AQ59" s="2614"/>
      <c r="AR59" s="2614"/>
      <c r="AS59" s="2614"/>
      <c r="AT59" s="2614"/>
      <c r="AU59" s="2614"/>
      <c r="AV59" s="2614"/>
    </row>
    <row r="60" s="1754" customFormat="1" ht="18" customHeight="1" spans="1:48">
      <c r="A60" s="2615" t="s">
        <v>3891</v>
      </c>
      <c r="B60" s="2615"/>
      <c r="C60" s="2615"/>
      <c r="D60" s="1374" t="str">
        <f>Text!B532</f>
        <v>GOTOVINSKI TOKOVI IZ ULAGAČKIH AKTIVNOSTI</v>
      </c>
      <c r="E60" s="1375"/>
      <c r="F60" s="1375"/>
      <c r="G60" s="1375"/>
      <c r="H60" s="1375"/>
      <c r="I60" s="1375"/>
      <c r="J60" s="1375"/>
      <c r="K60" s="1375"/>
      <c r="L60" s="1375"/>
      <c r="M60" s="1375"/>
      <c r="N60" s="1375"/>
      <c r="O60" s="1375"/>
      <c r="P60" s="1375"/>
      <c r="Q60" s="1375"/>
      <c r="R60" s="1375"/>
      <c r="S60" s="1375"/>
      <c r="T60" s="1375"/>
      <c r="U60" s="1375"/>
      <c r="V60" s="1375"/>
      <c r="W60" s="1375"/>
      <c r="X60" s="1375"/>
      <c r="Y60" s="2616"/>
      <c r="Z60" s="2617"/>
      <c r="AA60" s="2617"/>
      <c r="AB60" s="2617"/>
      <c r="AC60" s="2618"/>
      <c r="AD60" s="2618"/>
      <c r="AE60" s="2618"/>
      <c r="AF60" s="2619"/>
      <c r="AG60" s="2620"/>
      <c r="AH60" s="2621"/>
      <c r="AI60" s="2622"/>
      <c r="AJ60" s="2622"/>
      <c r="AK60" s="2622"/>
      <c r="AL60" s="2622"/>
      <c r="AM60" s="2622"/>
      <c r="AN60" s="2622"/>
      <c r="AO60" s="2622"/>
      <c r="AP60" s="2622"/>
      <c r="AQ60" s="2622"/>
      <c r="AR60" s="2622"/>
      <c r="AS60" s="2622"/>
      <c r="AT60" s="2622"/>
      <c r="AU60" s="2622"/>
      <c r="AV60" s="2622"/>
    </row>
    <row r="61" s="1754" customFormat="1" ht="18" customHeight="1" spans="1:48">
      <c r="A61" s="2590" t="s">
        <v>3893</v>
      </c>
      <c r="B61" s="2590"/>
      <c r="C61" s="2590"/>
      <c r="D61" s="1436" t="str">
        <f>Text!B533</f>
        <v>Odlivi po osnovu kupovine nekretnina, postrojenja i opreme</v>
      </c>
      <c r="E61" s="1437"/>
      <c r="F61" s="1437"/>
      <c r="G61" s="1437"/>
      <c r="H61" s="1437"/>
      <c r="I61" s="1437"/>
      <c r="J61" s="1437"/>
      <c r="K61" s="1437"/>
      <c r="L61" s="1437"/>
      <c r="M61" s="1437"/>
      <c r="N61" s="1437"/>
      <c r="O61" s="1437"/>
      <c r="P61" s="1437"/>
      <c r="Q61" s="1437"/>
      <c r="R61" s="1437"/>
      <c r="S61" s="1437"/>
      <c r="T61" s="1437"/>
      <c r="U61" s="1437"/>
      <c r="V61" s="1437"/>
      <c r="W61" s="1437"/>
      <c r="X61" s="1437"/>
      <c r="Y61" s="2563"/>
      <c r="Z61" s="2603"/>
      <c r="AA61" s="2603"/>
      <c r="AB61" s="2603"/>
      <c r="AC61" s="2610" t="s">
        <v>5756</v>
      </c>
      <c r="AD61" s="2610"/>
      <c r="AE61" s="2610"/>
      <c r="AF61" s="1372" t="s">
        <v>3530</v>
      </c>
      <c r="AG61" s="2566"/>
      <c r="AH61" s="1404"/>
      <c r="AI61" s="2609">
        <f>UnosPod!H1249*-1</f>
        <v>0</v>
      </c>
      <c r="AJ61" s="2609"/>
      <c r="AK61" s="2609"/>
      <c r="AL61" s="2609"/>
      <c r="AM61" s="2609"/>
      <c r="AN61" s="2609"/>
      <c r="AO61" s="2609"/>
      <c r="AP61" s="2609">
        <f>Prethodna_2024!B467</f>
        <v>0</v>
      </c>
      <c r="AQ61" s="2609"/>
      <c r="AR61" s="2609"/>
      <c r="AS61" s="2609"/>
      <c r="AT61" s="2609"/>
      <c r="AU61" s="2609"/>
      <c r="AV61" s="2609"/>
    </row>
    <row r="62" s="1750" customFormat="1" ht="18" customHeight="1" spans="1:48">
      <c r="A62" s="2590" t="s">
        <v>3896</v>
      </c>
      <c r="B62" s="2590"/>
      <c r="C62" s="2590"/>
      <c r="D62" s="1436" t="str">
        <f>Text!B534</f>
        <v>Prilivi po osnovu prodaje nekretnina, postrojenja i opreme</v>
      </c>
      <c r="E62" s="1437"/>
      <c r="F62" s="1437"/>
      <c r="G62" s="1437"/>
      <c r="H62" s="1437"/>
      <c r="I62" s="1437"/>
      <c r="J62" s="1437"/>
      <c r="K62" s="1437"/>
      <c r="L62" s="1437"/>
      <c r="M62" s="1437"/>
      <c r="N62" s="1437"/>
      <c r="O62" s="1437"/>
      <c r="P62" s="1437"/>
      <c r="Q62" s="1437"/>
      <c r="R62" s="1437"/>
      <c r="S62" s="1437"/>
      <c r="T62" s="1437"/>
      <c r="U62" s="1437"/>
      <c r="V62" s="1437"/>
      <c r="W62" s="1437"/>
      <c r="X62" s="1437"/>
      <c r="Y62" s="2563"/>
      <c r="Z62" s="2603"/>
      <c r="AA62" s="2603"/>
      <c r="AB62" s="2603"/>
      <c r="AC62" s="2610" t="s">
        <v>7134</v>
      </c>
      <c r="AD62" s="2610"/>
      <c r="AE62" s="2610"/>
      <c r="AF62" s="1372" t="s">
        <v>3531</v>
      </c>
      <c r="AG62" s="2566"/>
      <c r="AH62" s="1404"/>
      <c r="AI62" s="2609">
        <f>UnosPod!O1212</f>
        <v>0</v>
      </c>
      <c r="AJ62" s="2609"/>
      <c r="AK62" s="2609"/>
      <c r="AL62" s="2609"/>
      <c r="AM62" s="2609"/>
      <c r="AN62" s="2609"/>
      <c r="AO62" s="2609"/>
      <c r="AP62" s="2609">
        <f>Prethodna_2024!B468</f>
        <v>0</v>
      </c>
      <c r="AQ62" s="2609"/>
      <c r="AR62" s="2609"/>
      <c r="AS62" s="2609"/>
      <c r="AT62" s="2609"/>
      <c r="AU62" s="2609"/>
      <c r="AV62" s="2609"/>
    </row>
    <row r="63" ht="18" customHeight="1" spans="1:48">
      <c r="A63" s="2590" t="s">
        <v>3898</v>
      </c>
      <c r="B63" s="2590"/>
      <c r="C63" s="2590"/>
      <c r="D63" s="1436" t="str">
        <f>Text!B535</f>
        <v>Odlivi po osnovu kupovine investicijskih nekretnina</v>
      </c>
      <c r="E63" s="1437"/>
      <c r="F63" s="1437"/>
      <c r="G63" s="1437"/>
      <c r="H63" s="1437"/>
      <c r="I63" s="1437"/>
      <c r="J63" s="1437"/>
      <c r="K63" s="1437"/>
      <c r="L63" s="1437"/>
      <c r="M63" s="1437"/>
      <c r="N63" s="1437"/>
      <c r="O63" s="1437"/>
      <c r="P63" s="1437"/>
      <c r="Q63" s="1437"/>
      <c r="R63" s="1437"/>
      <c r="S63" s="1437"/>
      <c r="T63" s="1437"/>
      <c r="U63" s="1437"/>
      <c r="V63" s="1437"/>
      <c r="W63" s="1437"/>
      <c r="X63" s="1437"/>
      <c r="Y63" s="2563"/>
      <c r="Z63" s="2603"/>
      <c r="AA63" s="2603"/>
      <c r="AB63" s="2603"/>
      <c r="AC63" s="2610" t="s">
        <v>5756</v>
      </c>
      <c r="AD63" s="2610"/>
      <c r="AE63" s="2610"/>
      <c r="AF63" s="1372" t="s">
        <v>3532</v>
      </c>
      <c r="AG63" s="2566"/>
      <c r="AH63" s="1404"/>
      <c r="AI63" s="2609">
        <f>UnosPod!H1250*-1</f>
        <v>0</v>
      </c>
      <c r="AJ63" s="2609"/>
      <c r="AK63" s="2609"/>
      <c r="AL63" s="2609"/>
      <c r="AM63" s="2609"/>
      <c r="AN63" s="2609"/>
      <c r="AO63" s="2609"/>
      <c r="AP63" s="2609">
        <f>Prethodna_2024!B469</f>
        <v>0</v>
      </c>
      <c r="AQ63" s="2609"/>
      <c r="AR63" s="2609"/>
      <c r="AS63" s="2609"/>
      <c r="AT63" s="2609"/>
      <c r="AU63" s="2609"/>
      <c r="AV63" s="2609"/>
    </row>
    <row r="64" ht="18" customHeight="1" spans="1:48">
      <c r="A64" s="2590" t="s">
        <v>3900</v>
      </c>
      <c r="B64" s="2590"/>
      <c r="C64" s="2590"/>
      <c r="D64" s="1436" t="str">
        <f>Text!B536</f>
        <v>Prilivi po osnovu prodaje investicijskih nekretnina</v>
      </c>
      <c r="E64" s="1437"/>
      <c r="F64" s="1437"/>
      <c r="G64" s="1437"/>
      <c r="H64" s="1437"/>
      <c r="I64" s="1437"/>
      <c r="J64" s="1437"/>
      <c r="K64" s="1437"/>
      <c r="L64" s="1437"/>
      <c r="M64" s="1437"/>
      <c r="N64" s="1437"/>
      <c r="O64" s="1437"/>
      <c r="P64" s="1437"/>
      <c r="Q64" s="1437"/>
      <c r="R64" s="1437"/>
      <c r="S64" s="1437"/>
      <c r="T64" s="1437"/>
      <c r="U64" s="1437"/>
      <c r="V64" s="1437"/>
      <c r="W64" s="1437"/>
      <c r="X64" s="1437"/>
      <c r="Y64" s="2563"/>
      <c r="Z64" s="2603"/>
      <c r="AA64" s="2603"/>
      <c r="AB64" s="2603"/>
      <c r="AC64" s="2610" t="s">
        <v>7134</v>
      </c>
      <c r="AD64" s="2610"/>
      <c r="AE64" s="2610"/>
      <c r="AF64" s="1372" t="s">
        <v>3533</v>
      </c>
      <c r="AG64" s="2566"/>
      <c r="AH64" s="1404"/>
      <c r="AI64" s="2609">
        <f>UnosPod!O1213</f>
        <v>0</v>
      </c>
      <c r="AJ64" s="2609"/>
      <c r="AK64" s="2609"/>
      <c r="AL64" s="2609"/>
      <c r="AM64" s="2609"/>
      <c r="AN64" s="2609"/>
      <c r="AO64" s="2609"/>
      <c r="AP64" s="2609">
        <f>Prethodna_2024!B470</f>
        <v>0</v>
      </c>
      <c r="AQ64" s="2609"/>
      <c r="AR64" s="2609"/>
      <c r="AS64" s="2609"/>
      <c r="AT64" s="2609"/>
      <c r="AU64" s="2609"/>
      <c r="AV64" s="2609"/>
    </row>
    <row r="65" ht="18" customHeight="1" spans="1:48">
      <c r="A65" s="2590" t="s">
        <v>4089</v>
      </c>
      <c r="B65" s="2590"/>
      <c r="C65" s="2590"/>
      <c r="D65" s="1436" t="str">
        <f>Text!B537</f>
        <v>Odlivi po osnovu kupovine nematerijalne imovine </v>
      </c>
      <c r="E65" s="1437"/>
      <c r="F65" s="1437"/>
      <c r="G65" s="1437"/>
      <c r="H65" s="1437"/>
      <c r="I65" s="1437"/>
      <c r="J65" s="1437"/>
      <c r="K65" s="1437"/>
      <c r="L65" s="1437"/>
      <c r="M65" s="1437"/>
      <c r="N65" s="1437"/>
      <c r="O65" s="1437"/>
      <c r="P65" s="1437"/>
      <c r="Q65" s="1437"/>
      <c r="R65" s="1437"/>
      <c r="S65" s="1437"/>
      <c r="T65" s="1437"/>
      <c r="U65" s="1437"/>
      <c r="V65" s="1437"/>
      <c r="W65" s="1437"/>
      <c r="X65" s="1437"/>
      <c r="Y65" s="2563"/>
      <c r="Z65" s="2603"/>
      <c r="AA65" s="2603"/>
      <c r="AB65" s="2603"/>
      <c r="AC65" s="2610" t="s">
        <v>5756</v>
      </c>
      <c r="AD65" s="2610"/>
      <c r="AE65" s="2610"/>
      <c r="AF65" s="1372" t="s">
        <v>3534</v>
      </c>
      <c r="AG65" s="2566"/>
      <c r="AH65" s="1404"/>
      <c r="AI65" s="2609">
        <f>UnosPod!H1251*-1</f>
        <v>0</v>
      </c>
      <c r="AJ65" s="2609"/>
      <c r="AK65" s="2609"/>
      <c r="AL65" s="2609"/>
      <c r="AM65" s="2609"/>
      <c r="AN65" s="2609"/>
      <c r="AO65" s="2609"/>
      <c r="AP65" s="2609">
        <f>Prethodna_2024!B471</f>
        <v>0</v>
      </c>
      <c r="AQ65" s="2609"/>
      <c r="AR65" s="2609"/>
      <c r="AS65" s="2609"/>
      <c r="AT65" s="2609"/>
      <c r="AU65" s="2609"/>
      <c r="AV65" s="2609"/>
    </row>
    <row r="66" ht="18" customHeight="1" spans="1:48">
      <c r="A66" s="2590" t="s">
        <v>4091</v>
      </c>
      <c r="B66" s="2590"/>
      <c r="C66" s="2590"/>
      <c r="D66" s="1436" t="str">
        <f>Text!B538</f>
        <v>Prilivi po osnovu prodaje nematerijalne imovine</v>
      </c>
      <c r="E66" s="1437"/>
      <c r="F66" s="1437"/>
      <c r="G66" s="1437"/>
      <c r="H66" s="1437"/>
      <c r="I66" s="1437"/>
      <c r="J66" s="1437"/>
      <c r="K66" s="1437"/>
      <c r="L66" s="1437"/>
      <c r="M66" s="1437"/>
      <c r="N66" s="1437"/>
      <c r="O66" s="1437"/>
      <c r="P66" s="1437"/>
      <c r="Q66" s="1437"/>
      <c r="R66" s="1437"/>
      <c r="S66" s="1437"/>
      <c r="T66" s="1437"/>
      <c r="U66" s="1437"/>
      <c r="V66" s="1437"/>
      <c r="W66" s="1437"/>
      <c r="X66" s="1437"/>
      <c r="Y66" s="2563"/>
      <c r="Z66" s="2603"/>
      <c r="AA66" s="2603"/>
      <c r="AB66" s="2603"/>
      <c r="AC66" s="2610" t="s">
        <v>7134</v>
      </c>
      <c r="AD66" s="2610"/>
      <c r="AE66" s="2610"/>
      <c r="AF66" s="1372" t="s">
        <v>3537</v>
      </c>
      <c r="AG66" s="2566"/>
      <c r="AH66" s="1404"/>
      <c r="AI66" s="2609">
        <f>UnosPod!O1214</f>
        <v>0</v>
      </c>
      <c r="AJ66" s="2609"/>
      <c r="AK66" s="2609"/>
      <c r="AL66" s="2609"/>
      <c r="AM66" s="2609"/>
      <c r="AN66" s="2609"/>
      <c r="AO66" s="2609"/>
      <c r="AP66" s="2609">
        <f>Prethodna_2024!B472</f>
        <v>0</v>
      </c>
      <c r="AQ66" s="2609"/>
      <c r="AR66" s="2609"/>
      <c r="AS66" s="2609"/>
      <c r="AT66" s="2609"/>
      <c r="AU66" s="2609"/>
      <c r="AV66" s="2609"/>
    </row>
    <row r="67" ht="18" customHeight="1" spans="1:48">
      <c r="A67" s="2590" t="s">
        <v>4093</v>
      </c>
      <c r="B67" s="2590"/>
      <c r="C67" s="2590"/>
      <c r="D67" s="1436" t="str">
        <f>Text!B539</f>
        <v>Odlivi po osnovu kupovine biološke imovine</v>
      </c>
      <c r="E67" s="1437"/>
      <c r="F67" s="1437"/>
      <c r="G67" s="1437"/>
      <c r="H67" s="1437"/>
      <c r="I67" s="1437"/>
      <c r="J67" s="1437"/>
      <c r="K67" s="1437"/>
      <c r="L67" s="1437"/>
      <c r="M67" s="1437"/>
      <c r="N67" s="1437"/>
      <c r="O67" s="1437"/>
      <c r="P67" s="1437"/>
      <c r="Q67" s="1437"/>
      <c r="R67" s="1437"/>
      <c r="S67" s="1437"/>
      <c r="T67" s="1437"/>
      <c r="U67" s="1437"/>
      <c r="V67" s="1437"/>
      <c r="W67" s="1437"/>
      <c r="X67" s="1437"/>
      <c r="Y67" s="2563"/>
      <c r="Z67" s="2603"/>
      <c r="AA67" s="2603"/>
      <c r="AB67" s="2603"/>
      <c r="AC67" s="2610" t="s">
        <v>5756</v>
      </c>
      <c r="AD67" s="2610"/>
      <c r="AE67" s="2610"/>
      <c r="AF67" s="1372" t="s">
        <v>3538</v>
      </c>
      <c r="AG67" s="2566"/>
      <c r="AH67" s="1404"/>
      <c r="AI67" s="2609">
        <f>UnosPod!H1252*-1</f>
        <v>0</v>
      </c>
      <c r="AJ67" s="2609"/>
      <c r="AK67" s="2609"/>
      <c r="AL67" s="2609"/>
      <c r="AM67" s="2609"/>
      <c r="AN67" s="2609"/>
      <c r="AO67" s="2609"/>
      <c r="AP67" s="2609">
        <f>Prethodna_2024!B473</f>
        <v>0</v>
      </c>
      <c r="AQ67" s="2609"/>
      <c r="AR67" s="2609"/>
      <c r="AS67" s="2609"/>
      <c r="AT67" s="2609"/>
      <c r="AU67" s="2609"/>
      <c r="AV67" s="2609"/>
    </row>
    <row r="68" ht="18" customHeight="1" spans="1:48">
      <c r="A68" s="2590" t="s">
        <v>4095</v>
      </c>
      <c r="B68" s="2590"/>
      <c r="C68" s="2590"/>
      <c r="D68" s="1436" t="str">
        <f>Text!B540</f>
        <v>Prilivi po osnovu prodaje biološke imovine</v>
      </c>
      <c r="E68" s="1437"/>
      <c r="F68" s="1437"/>
      <c r="G68" s="1437"/>
      <c r="H68" s="1437"/>
      <c r="I68" s="1437"/>
      <c r="J68" s="1437"/>
      <c r="K68" s="1437"/>
      <c r="L68" s="1437"/>
      <c r="M68" s="1437"/>
      <c r="N68" s="1437"/>
      <c r="O68" s="1437"/>
      <c r="P68" s="1437"/>
      <c r="Q68" s="1437"/>
      <c r="R68" s="1437"/>
      <c r="S68" s="1437"/>
      <c r="T68" s="1437"/>
      <c r="U68" s="1437"/>
      <c r="V68" s="1437"/>
      <c r="W68" s="1437"/>
      <c r="X68" s="1437"/>
      <c r="Y68" s="2563"/>
      <c r="Z68" s="2603"/>
      <c r="AA68" s="2603"/>
      <c r="AB68" s="2603"/>
      <c r="AC68" s="2610" t="s">
        <v>7134</v>
      </c>
      <c r="AD68" s="2610"/>
      <c r="AE68" s="2610"/>
      <c r="AF68" s="1372" t="s">
        <v>3539</v>
      </c>
      <c r="AG68" s="2566"/>
      <c r="AH68" s="1404"/>
      <c r="AI68" s="2609">
        <f>UnosPod!O1215</f>
        <v>0</v>
      </c>
      <c r="AJ68" s="2609"/>
      <c r="AK68" s="2609"/>
      <c r="AL68" s="2609"/>
      <c r="AM68" s="2609"/>
      <c r="AN68" s="2609"/>
      <c r="AO68" s="2609"/>
      <c r="AP68" s="2609">
        <f>Prethodna_2024!B474</f>
        <v>0</v>
      </c>
      <c r="AQ68" s="2609"/>
      <c r="AR68" s="2609"/>
      <c r="AS68" s="2609"/>
      <c r="AT68" s="2609"/>
      <c r="AU68" s="2609"/>
      <c r="AV68" s="2609"/>
    </row>
    <row r="69" ht="18" customHeight="1" spans="1:48">
      <c r="A69" s="2590" t="s">
        <v>4097</v>
      </c>
      <c r="B69" s="2590"/>
      <c r="C69" s="2590"/>
      <c r="D69" s="1436" t="str">
        <f>Text!B541</f>
        <v>Prilivi po osnovu prodaje dugoročne imovine namijenjene prodaji</v>
      </c>
      <c r="E69" s="1437"/>
      <c r="F69" s="1437"/>
      <c r="G69" s="1437"/>
      <c r="H69" s="1437"/>
      <c r="I69" s="1437"/>
      <c r="J69" s="1437"/>
      <c r="K69" s="1437"/>
      <c r="L69" s="1437"/>
      <c r="M69" s="1437"/>
      <c r="N69" s="1437"/>
      <c r="O69" s="1437"/>
      <c r="P69" s="1437"/>
      <c r="Q69" s="1437"/>
      <c r="R69" s="1437"/>
      <c r="S69" s="1437"/>
      <c r="T69" s="1437"/>
      <c r="U69" s="1437"/>
      <c r="V69" s="1437"/>
      <c r="W69" s="1437"/>
      <c r="X69" s="1437"/>
      <c r="Y69" s="2563"/>
      <c r="Z69" s="2603"/>
      <c r="AA69" s="2603"/>
      <c r="AB69" s="2603"/>
      <c r="AC69" s="2610" t="s">
        <v>7134</v>
      </c>
      <c r="AD69" s="2610"/>
      <c r="AE69" s="2610"/>
      <c r="AF69" s="1372" t="s">
        <v>3540</v>
      </c>
      <c r="AG69" s="2566"/>
      <c r="AH69" s="1404"/>
      <c r="AI69" s="2609">
        <f>UnosPod!O1216</f>
        <v>0</v>
      </c>
      <c r="AJ69" s="2609"/>
      <c r="AK69" s="2609"/>
      <c r="AL69" s="2609"/>
      <c r="AM69" s="2609"/>
      <c r="AN69" s="2609"/>
      <c r="AO69" s="2609"/>
      <c r="AP69" s="2609">
        <f>Prethodna_2024!B475</f>
        <v>0</v>
      </c>
      <c r="AQ69" s="2609"/>
      <c r="AR69" s="2609"/>
      <c r="AS69" s="2609"/>
      <c r="AT69" s="2609"/>
      <c r="AU69" s="2609"/>
      <c r="AV69" s="2609"/>
    </row>
    <row r="70" ht="18" customHeight="1" spans="1:48">
      <c r="A70" s="2590" t="s">
        <v>4099</v>
      </c>
      <c r="B70" s="2590"/>
      <c r="C70" s="2590"/>
      <c r="D70" s="1436" t="str">
        <f>Text!B542</f>
        <v>Ulaganja u finansijsku imovinu po fer vrijednosti kroz ostali ukupni rezultat</v>
      </c>
      <c r="E70" s="1437"/>
      <c r="F70" s="1437"/>
      <c r="G70" s="1437"/>
      <c r="H70" s="1437"/>
      <c r="I70" s="1437"/>
      <c r="J70" s="1437"/>
      <c r="K70" s="1437"/>
      <c r="L70" s="1437"/>
      <c r="M70" s="1437"/>
      <c r="N70" s="1437"/>
      <c r="O70" s="1437"/>
      <c r="P70" s="1437"/>
      <c r="Q70" s="1437"/>
      <c r="R70" s="1437"/>
      <c r="S70" s="1437"/>
      <c r="T70" s="1437"/>
      <c r="U70" s="1437"/>
      <c r="V70" s="1437"/>
      <c r="W70" s="1437"/>
      <c r="X70" s="1437"/>
      <c r="Y70" s="2563"/>
      <c r="Z70" s="2603"/>
      <c r="AA70" s="2603"/>
      <c r="AB70" s="2603"/>
      <c r="AC70" s="2610" t="s">
        <v>5756</v>
      </c>
      <c r="AD70" s="2610"/>
      <c r="AE70" s="2610"/>
      <c r="AF70" s="1372" t="s">
        <v>3541</v>
      </c>
      <c r="AG70" s="2566"/>
      <c r="AH70" s="1404"/>
      <c r="AI70" s="2609">
        <f>UnosPod!H1205*-1</f>
        <v>0</v>
      </c>
      <c r="AJ70" s="2609"/>
      <c r="AK70" s="2609"/>
      <c r="AL70" s="2609"/>
      <c r="AM70" s="2609"/>
      <c r="AN70" s="2609"/>
      <c r="AO70" s="2609"/>
      <c r="AP70" s="2609">
        <f>Prethodna_2024!B476</f>
        <v>0</v>
      </c>
      <c r="AQ70" s="2609"/>
      <c r="AR70" s="2609"/>
      <c r="AS70" s="2609"/>
      <c r="AT70" s="2609"/>
      <c r="AU70" s="2609"/>
      <c r="AV70" s="2609"/>
    </row>
    <row r="71" ht="18" customHeight="1" spans="1:48">
      <c r="A71" s="2590" t="s">
        <v>4189</v>
      </c>
      <c r="B71" s="2590"/>
      <c r="C71" s="2590"/>
      <c r="D71" s="1436" t="str">
        <f>Text!B543</f>
        <v>Prilivi od finansijske imovine po fer vrijednosti kroz ostali ukupni rezultat</v>
      </c>
      <c r="E71" s="1437"/>
      <c r="F71" s="1437"/>
      <c r="G71" s="1437"/>
      <c r="H71" s="1437"/>
      <c r="I71" s="1437"/>
      <c r="J71" s="1437"/>
      <c r="K71" s="1437"/>
      <c r="L71" s="1437"/>
      <c r="M71" s="1437"/>
      <c r="N71" s="1437"/>
      <c r="O71" s="1437"/>
      <c r="P71" s="1437"/>
      <c r="Q71" s="1437"/>
      <c r="R71" s="1437"/>
      <c r="S71" s="1437"/>
      <c r="T71" s="1437"/>
      <c r="U71" s="1437"/>
      <c r="V71" s="1437"/>
      <c r="W71" s="1437"/>
      <c r="X71" s="1437"/>
      <c r="Y71" s="2563"/>
      <c r="Z71" s="2603"/>
      <c r="AA71" s="2603"/>
      <c r="AB71" s="2603"/>
      <c r="AC71" s="2610" t="s">
        <v>7134</v>
      </c>
      <c r="AD71" s="2610"/>
      <c r="AE71" s="2610"/>
      <c r="AF71" s="1372" t="s">
        <v>3542</v>
      </c>
      <c r="AG71" s="2566"/>
      <c r="AH71" s="1404"/>
      <c r="AI71" s="2609">
        <f>UnosPod!O1205</f>
        <v>0</v>
      </c>
      <c r="AJ71" s="2609"/>
      <c r="AK71" s="2609"/>
      <c r="AL71" s="2609"/>
      <c r="AM71" s="2609"/>
      <c r="AN71" s="2609"/>
      <c r="AO71" s="2609"/>
      <c r="AP71" s="2609">
        <f>Prethodna_2024!B477</f>
        <v>0</v>
      </c>
      <c r="AQ71" s="2609"/>
      <c r="AR71" s="2609"/>
      <c r="AS71" s="2609"/>
      <c r="AT71" s="2609"/>
      <c r="AU71" s="2609"/>
      <c r="AV71" s="2609"/>
    </row>
    <row r="72" ht="18" customHeight="1" spans="1:48">
      <c r="A72" s="2590" t="s">
        <v>4191</v>
      </c>
      <c r="B72" s="2590"/>
      <c r="C72" s="2590"/>
      <c r="D72" s="1436" t="str">
        <f>Text!B544</f>
        <v>Ulaganja u finansijsku imovinu po fer vrijednosti kroz bilans uspjeha</v>
      </c>
      <c r="E72" s="1437"/>
      <c r="F72" s="1437"/>
      <c r="G72" s="1437"/>
      <c r="H72" s="1437"/>
      <c r="I72" s="1437"/>
      <c r="J72" s="1437"/>
      <c r="K72" s="1437"/>
      <c r="L72" s="1437"/>
      <c r="M72" s="1437"/>
      <c r="N72" s="1437"/>
      <c r="O72" s="1437"/>
      <c r="P72" s="1437"/>
      <c r="Q72" s="1437"/>
      <c r="R72" s="1437"/>
      <c r="S72" s="1437"/>
      <c r="T72" s="1437"/>
      <c r="U72" s="1437"/>
      <c r="V72" s="1437"/>
      <c r="W72" s="1437"/>
      <c r="X72" s="1437"/>
      <c r="Y72" s="2563"/>
      <c r="Z72" s="2603"/>
      <c r="AA72" s="2603"/>
      <c r="AB72" s="2603"/>
      <c r="AC72" s="2610" t="s">
        <v>5756</v>
      </c>
      <c r="AD72" s="2610"/>
      <c r="AE72" s="2610"/>
      <c r="AF72" s="1372" t="s">
        <v>3543</v>
      </c>
      <c r="AG72" s="2566"/>
      <c r="AH72" s="1404"/>
      <c r="AI72" s="2609">
        <f>UnosPod!H1229*-1</f>
        <v>0</v>
      </c>
      <c r="AJ72" s="2609"/>
      <c r="AK72" s="2609"/>
      <c r="AL72" s="2609"/>
      <c r="AM72" s="2609"/>
      <c r="AN72" s="2609"/>
      <c r="AO72" s="2609"/>
      <c r="AP72" s="2609">
        <f>Prethodna_2024!B478</f>
        <v>0</v>
      </c>
      <c r="AQ72" s="2609"/>
      <c r="AR72" s="2609"/>
      <c r="AS72" s="2609"/>
      <c r="AT72" s="2609"/>
      <c r="AU72" s="2609"/>
      <c r="AV72" s="2609"/>
    </row>
    <row r="73" ht="18" customHeight="1" spans="1:48">
      <c r="A73" s="2590" t="s">
        <v>4192</v>
      </c>
      <c r="B73" s="2590"/>
      <c r="C73" s="2590"/>
      <c r="D73" s="1436" t="str">
        <f>Text!B545</f>
        <v>Prilivi od finansijske imovine po fer vrijednosti kroz bilans uspjeha</v>
      </c>
      <c r="E73" s="1437"/>
      <c r="F73" s="1437"/>
      <c r="G73" s="1437"/>
      <c r="H73" s="1437"/>
      <c r="I73" s="1437"/>
      <c r="J73" s="1437"/>
      <c r="K73" s="1437"/>
      <c r="L73" s="1437"/>
      <c r="M73" s="1437"/>
      <c r="N73" s="1437"/>
      <c r="O73" s="1437"/>
      <c r="P73" s="1437"/>
      <c r="Q73" s="1437"/>
      <c r="R73" s="1437"/>
      <c r="S73" s="1437"/>
      <c r="T73" s="1437"/>
      <c r="U73" s="1437"/>
      <c r="V73" s="1437"/>
      <c r="W73" s="1437"/>
      <c r="X73" s="1437"/>
      <c r="Y73" s="2563"/>
      <c r="Z73" s="2603"/>
      <c r="AA73" s="2603"/>
      <c r="AB73" s="2603"/>
      <c r="AC73" s="2610" t="s">
        <v>7134</v>
      </c>
      <c r="AD73" s="2610"/>
      <c r="AE73" s="2610"/>
      <c r="AF73" s="1372" t="s">
        <v>3545</v>
      </c>
      <c r="AG73" s="2566"/>
      <c r="AH73" s="1404"/>
      <c r="AI73" s="2609">
        <f>UnosPod!O1229</f>
        <v>0</v>
      </c>
      <c r="AJ73" s="2609"/>
      <c r="AK73" s="2609"/>
      <c r="AL73" s="2609"/>
      <c r="AM73" s="2609"/>
      <c r="AN73" s="2609"/>
      <c r="AO73" s="2609"/>
      <c r="AP73" s="2609">
        <f>Prethodna_2024!B479</f>
        <v>0</v>
      </c>
      <c r="AQ73" s="2609"/>
      <c r="AR73" s="2609"/>
      <c r="AS73" s="2609"/>
      <c r="AT73" s="2609"/>
      <c r="AU73" s="2609"/>
      <c r="AV73" s="2609"/>
    </row>
    <row r="74" ht="18" customHeight="1" spans="1:48">
      <c r="A74" s="2590" t="s">
        <v>4193</v>
      </c>
      <c r="B74" s="2590"/>
      <c r="C74" s="2590"/>
      <c r="D74" s="1436" t="str">
        <f>Text!B546</f>
        <v>Ulaganja u ostalu finansijsku imovinu po amortizovanom trošku</v>
      </c>
      <c r="E74" s="1437"/>
      <c r="F74" s="1437"/>
      <c r="G74" s="1437"/>
      <c r="H74" s="1437"/>
      <c r="I74" s="1437"/>
      <c r="J74" s="1437"/>
      <c r="K74" s="1437"/>
      <c r="L74" s="1437"/>
      <c r="M74" s="1437"/>
      <c r="N74" s="1437"/>
      <c r="O74" s="1437"/>
      <c r="P74" s="1437"/>
      <c r="Q74" s="1437"/>
      <c r="R74" s="1437"/>
      <c r="S74" s="1437"/>
      <c r="T74" s="1437"/>
      <c r="U74" s="1437"/>
      <c r="V74" s="1437"/>
      <c r="W74" s="1437"/>
      <c r="X74" s="1437"/>
      <c r="Y74" s="2563"/>
      <c r="Z74" s="2603"/>
      <c r="AA74" s="2603"/>
      <c r="AB74" s="2603"/>
      <c r="AC74" s="2610" t="s">
        <v>5756</v>
      </c>
      <c r="AD74" s="2610"/>
      <c r="AE74" s="2610"/>
      <c r="AF74" s="1372" t="s">
        <v>3547</v>
      </c>
      <c r="AG74" s="2566"/>
      <c r="AH74" s="1404"/>
      <c r="AI74" s="2609">
        <f>UnosPod!H1228*-1</f>
        <v>0</v>
      </c>
      <c r="AJ74" s="2609"/>
      <c r="AK74" s="2609"/>
      <c r="AL74" s="2609"/>
      <c r="AM74" s="2609"/>
      <c r="AN74" s="2609"/>
      <c r="AO74" s="2609"/>
      <c r="AP74" s="2609">
        <f>Prethodna_2024!B480</f>
        <v>0</v>
      </c>
      <c r="AQ74" s="2609"/>
      <c r="AR74" s="2609"/>
      <c r="AS74" s="2609"/>
      <c r="AT74" s="2609"/>
      <c r="AU74" s="2609"/>
      <c r="AV74" s="2609"/>
    </row>
    <row r="75" ht="18" customHeight="1" spans="1:48">
      <c r="A75" s="2590" t="s">
        <v>4194</v>
      </c>
      <c r="B75" s="2590"/>
      <c r="C75" s="2590"/>
      <c r="D75" s="1436" t="str">
        <f>Text!B547</f>
        <v>Prilivi od ostale finansijske imovine po amortizovanom trošku</v>
      </c>
      <c r="E75" s="1437"/>
      <c r="F75" s="1437"/>
      <c r="G75" s="1437"/>
      <c r="H75" s="1437"/>
      <c r="I75" s="1437"/>
      <c r="J75" s="1437"/>
      <c r="K75" s="1437"/>
      <c r="L75" s="1437"/>
      <c r="M75" s="1437"/>
      <c r="N75" s="1437"/>
      <c r="O75" s="1437"/>
      <c r="P75" s="1437"/>
      <c r="Q75" s="1437"/>
      <c r="R75" s="1437"/>
      <c r="S75" s="1437"/>
      <c r="T75" s="1437"/>
      <c r="U75" s="1437"/>
      <c r="V75" s="1437"/>
      <c r="W75" s="1437"/>
      <c r="X75" s="1437"/>
      <c r="Y75" s="2563"/>
      <c r="Z75" s="2603"/>
      <c r="AA75" s="2603"/>
      <c r="AB75" s="2603"/>
      <c r="AC75" s="2610" t="s">
        <v>7134</v>
      </c>
      <c r="AD75" s="2610"/>
      <c r="AE75" s="2610"/>
      <c r="AF75" s="1372" t="s">
        <v>3548</v>
      </c>
      <c r="AG75" s="2566"/>
      <c r="AH75" s="1404"/>
      <c r="AI75" s="2609">
        <f>UnosPod!O1228</f>
        <v>0</v>
      </c>
      <c r="AJ75" s="2609"/>
      <c r="AK75" s="2609"/>
      <c r="AL75" s="2609"/>
      <c r="AM75" s="2609"/>
      <c r="AN75" s="2609"/>
      <c r="AO75" s="2609"/>
      <c r="AP75" s="2609">
        <f>Prethodna_2024!B481</f>
        <v>0</v>
      </c>
      <c r="AQ75" s="2609"/>
      <c r="AR75" s="2609"/>
      <c r="AS75" s="2609"/>
      <c r="AT75" s="2609"/>
      <c r="AU75" s="2609"/>
      <c r="AV75" s="2609"/>
    </row>
    <row r="76" s="1757" customFormat="1" ht="18" customHeight="1" spans="1:48">
      <c r="A76" s="2590" t="s">
        <v>4195</v>
      </c>
      <c r="B76" s="2590"/>
      <c r="C76" s="2590"/>
      <c r="D76" s="1436" t="str">
        <f>Text!B548</f>
        <v>Primljena kamata i prihod od finansijskog najma</v>
      </c>
      <c r="E76" s="1437"/>
      <c r="F76" s="1437"/>
      <c r="G76" s="1437"/>
      <c r="H76" s="1437"/>
      <c r="I76" s="1437"/>
      <c r="J76" s="1437"/>
      <c r="K76" s="1437"/>
      <c r="L76" s="1437"/>
      <c r="M76" s="1437"/>
      <c r="N76" s="1437"/>
      <c r="O76" s="1437"/>
      <c r="P76" s="1437"/>
      <c r="Q76" s="1437"/>
      <c r="R76" s="1437"/>
      <c r="S76" s="1437"/>
      <c r="T76" s="1437"/>
      <c r="U76" s="1437"/>
      <c r="V76" s="1437"/>
      <c r="W76" s="1437"/>
      <c r="X76" s="1437"/>
      <c r="Y76" s="2563"/>
      <c r="Z76" s="2603"/>
      <c r="AA76" s="2603"/>
      <c r="AB76" s="2603"/>
      <c r="AC76" s="2610" t="s">
        <v>7134</v>
      </c>
      <c r="AD76" s="2610"/>
      <c r="AE76" s="2610"/>
      <c r="AF76" s="1372" t="s">
        <v>3549</v>
      </c>
      <c r="AG76" s="2566"/>
      <c r="AH76" s="1404"/>
      <c r="AI76" s="2609">
        <f>SUM(UnosPod!O1220:U1224)</f>
        <v>0</v>
      </c>
      <c r="AJ76" s="2609"/>
      <c r="AK76" s="2609"/>
      <c r="AL76" s="2609"/>
      <c r="AM76" s="2609"/>
      <c r="AN76" s="2609"/>
      <c r="AO76" s="2609"/>
      <c r="AP76" s="2609">
        <f>Prethodna_2024!B482</f>
        <v>0</v>
      </c>
      <c r="AQ76" s="2609"/>
      <c r="AR76" s="2609"/>
      <c r="AS76" s="2609"/>
      <c r="AT76" s="2609"/>
      <c r="AU76" s="2609"/>
      <c r="AV76" s="2609"/>
    </row>
    <row r="77" s="1757" customFormat="1" ht="18" customHeight="1" spans="1:48">
      <c r="A77" s="2590" t="s">
        <v>4197</v>
      </c>
      <c r="B77" s="2590"/>
      <c r="C77" s="2590"/>
      <c r="D77" s="1436" t="str">
        <f>Text!B549</f>
        <v>Naplaćena potraživanja od finansijskog najma</v>
      </c>
      <c r="E77" s="1437"/>
      <c r="F77" s="1437"/>
      <c r="G77" s="1437"/>
      <c r="H77" s="1437"/>
      <c r="I77" s="1437"/>
      <c r="J77" s="1437"/>
      <c r="K77" s="1437"/>
      <c r="L77" s="1437"/>
      <c r="M77" s="1437"/>
      <c r="N77" s="1437"/>
      <c r="O77" s="1437"/>
      <c r="P77" s="1437"/>
      <c r="Q77" s="1437"/>
      <c r="R77" s="1437"/>
      <c r="S77" s="1437"/>
      <c r="T77" s="1437"/>
      <c r="U77" s="1437"/>
      <c r="V77" s="1437"/>
      <c r="W77" s="1437"/>
      <c r="X77" s="1437"/>
      <c r="Y77" s="2563"/>
      <c r="Z77" s="2603"/>
      <c r="AA77" s="2603"/>
      <c r="AB77" s="2603"/>
      <c r="AC77" s="2610" t="s">
        <v>7134</v>
      </c>
      <c r="AD77" s="2610"/>
      <c r="AE77" s="2610"/>
      <c r="AF77" s="1372" t="s">
        <v>3550</v>
      </c>
      <c r="AG77" s="2566"/>
      <c r="AH77" s="1404"/>
      <c r="AI77" s="2609">
        <f>UnosPod!O1211+UnosPod!O1230</f>
        <v>0</v>
      </c>
      <c r="AJ77" s="2609"/>
      <c r="AK77" s="2609"/>
      <c r="AL77" s="2609"/>
      <c r="AM77" s="2609"/>
      <c r="AN77" s="2609"/>
      <c r="AO77" s="2609"/>
      <c r="AP77" s="2609">
        <f>Prethodna_2024!B483</f>
        <v>0</v>
      </c>
      <c r="AQ77" s="2609"/>
      <c r="AR77" s="2609"/>
      <c r="AS77" s="2609"/>
      <c r="AT77" s="2609"/>
      <c r="AU77" s="2609"/>
      <c r="AV77" s="2609"/>
    </row>
    <row r="78" ht="18" customHeight="1" spans="1:48">
      <c r="A78" s="2590" t="s">
        <v>4199</v>
      </c>
      <c r="B78" s="2590"/>
      <c r="C78" s="2590"/>
      <c r="D78" s="1436" t="str">
        <f>Text!B550</f>
        <v>Naplaćena potraživanja od finansijskog podnajma</v>
      </c>
      <c r="E78" s="1437"/>
      <c r="F78" s="1437"/>
      <c r="G78" s="1437"/>
      <c r="H78" s="1437"/>
      <c r="I78" s="1437"/>
      <c r="J78" s="1437"/>
      <c r="K78" s="1437"/>
      <c r="L78" s="1437"/>
      <c r="M78" s="1437"/>
      <c r="N78" s="1437"/>
      <c r="O78" s="1437"/>
      <c r="P78" s="1437"/>
      <c r="Q78" s="1437"/>
      <c r="R78" s="1437"/>
      <c r="S78" s="1437"/>
      <c r="T78" s="1437"/>
      <c r="U78" s="1437"/>
      <c r="V78" s="1437"/>
      <c r="W78" s="1437"/>
      <c r="X78" s="1437"/>
      <c r="Y78" s="2563"/>
      <c r="Z78" s="2603"/>
      <c r="AA78" s="2603"/>
      <c r="AB78" s="2603"/>
      <c r="AC78" s="2610" t="s">
        <v>7134</v>
      </c>
      <c r="AD78" s="2610"/>
      <c r="AE78" s="2610"/>
      <c r="AF78" s="1372" t="s">
        <v>3553</v>
      </c>
      <c r="AG78" s="2566"/>
      <c r="AH78" s="1404"/>
      <c r="AI78" s="2609">
        <f>+UnosPod!O1231</f>
        <v>0</v>
      </c>
      <c r="AJ78" s="2609"/>
      <c r="AK78" s="2609"/>
      <c r="AL78" s="2609"/>
      <c r="AM78" s="2609"/>
      <c r="AN78" s="2609"/>
      <c r="AO78" s="2609"/>
      <c r="AP78" s="2609">
        <f>Prethodna_2024!B484</f>
        <v>0</v>
      </c>
      <c r="AQ78" s="2609"/>
      <c r="AR78" s="2609"/>
      <c r="AS78" s="2609"/>
      <c r="AT78" s="2609"/>
      <c r="AU78" s="2609"/>
      <c r="AV78" s="2609"/>
    </row>
    <row r="79" ht="18" customHeight="1" spans="1:48">
      <c r="A79" s="2590" t="s">
        <v>4201</v>
      </c>
      <c r="B79" s="2590"/>
      <c r="C79" s="2590"/>
      <c r="D79" s="1436" t="str">
        <f>Text!B551</f>
        <v>Kupovina udjela u zavisnim društvima</v>
      </c>
      <c r="E79" s="1437"/>
      <c r="F79" s="1437"/>
      <c r="G79" s="1437"/>
      <c r="H79" s="1437"/>
      <c r="I79" s="1437"/>
      <c r="J79" s="1437"/>
      <c r="K79" s="1437"/>
      <c r="L79" s="1437"/>
      <c r="M79" s="1437"/>
      <c r="N79" s="1437"/>
      <c r="O79" s="1437"/>
      <c r="P79" s="1437"/>
      <c r="Q79" s="1437"/>
      <c r="R79" s="1437"/>
      <c r="S79" s="1437"/>
      <c r="T79" s="1437"/>
      <c r="U79" s="1437"/>
      <c r="V79" s="1437"/>
      <c r="W79" s="1437"/>
      <c r="X79" s="1437"/>
      <c r="Y79" s="2563"/>
      <c r="Z79" s="2603"/>
      <c r="AA79" s="2603"/>
      <c r="AB79" s="2603"/>
      <c r="AC79" s="2610" t="s">
        <v>5756</v>
      </c>
      <c r="AD79" s="2610"/>
      <c r="AE79" s="2610"/>
      <c r="AF79" s="1372" t="s">
        <v>3554</v>
      </c>
      <c r="AG79" s="2566"/>
      <c r="AH79" s="1404"/>
      <c r="AI79" s="2609">
        <f>UnosPod!H1200*-1</f>
        <v>0</v>
      </c>
      <c r="AJ79" s="2609"/>
      <c r="AK79" s="2609"/>
      <c r="AL79" s="2609"/>
      <c r="AM79" s="2609"/>
      <c r="AN79" s="2609"/>
      <c r="AO79" s="2609"/>
      <c r="AP79" s="2609">
        <f>Prethodna_2024!B485</f>
        <v>0</v>
      </c>
      <c r="AQ79" s="2609"/>
      <c r="AR79" s="2609"/>
      <c r="AS79" s="2609"/>
      <c r="AT79" s="2609"/>
      <c r="AU79" s="2609"/>
      <c r="AV79" s="2609"/>
    </row>
    <row r="80" ht="18" customHeight="1" spans="1:48">
      <c r="A80" s="2590" t="s">
        <v>4202</v>
      </c>
      <c r="B80" s="2590"/>
      <c r="C80" s="2590"/>
      <c r="D80" s="1436" t="str">
        <f>Text!B552</f>
        <v>Prilivi od otuđenja udjela u zavisnim društvima</v>
      </c>
      <c r="E80" s="1437"/>
      <c r="F80" s="1437"/>
      <c r="G80" s="1437"/>
      <c r="H80" s="1437"/>
      <c r="I80" s="1437"/>
      <c r="J80" s="1437"/>
      <c r="K80" s="1437"/>
      <c r="L80" s="1437"/>
      <c r="M80" s="1437"/>
      <c r="N80" s="1437"/>
      <c r="O80" s="1437"/>
      <c r="P80" s="1437"/>
      <c r="Q80" s="1437"/>
      <c r="R80" s="1437"/>
      <c r="S80" s="1437"/>
      <c r="T80" s="1437"/>
      <c r="U80" s="1437"/>
      <c r="V80" s="1437"/>
      <c r="W80" s="1437"/>
      <c r="X80" s="1437"/>
      <c r="Y80" s="2563"/>
      <c r="Z80" s="2603"/>
      <c r="AA80" s="2603"/>
      <c r="AB80" s="2603"/>
      <c r="AC80" s="2610" t="s">
        <v>7134</v>
      </c>
      <c r="AD80" s="2610"/>
      <c r="AE80" s="2610"/>
      <c r="AF80" s="1372" t="s">
        <v>3555</v>
      </c>
      <c r="AG80" s="2566"/>
      <c r="AH80" s="1404"/>
      <c r="AI80" s="2609">
        <f>UnosPod!O1200</f>
        <v>0</v>
      </c>
      <c r="AJ80" s="2609"/>
      <c r="AK80" s="2609"/>
      <c r="AL80" s="2609"/>
      <c r="AM80" s="2609"/>
      <c r="AN80" s="2609"/>
      <c r="AO80" s="2609"/>
      <c r="AP80" s="2609">
        <f>Prethodna_2024!B486</f>
        <v>0</v>
      </c>
      <c r="AQ80" s="2609"/>
      <c r="AR80" s="2609"/>
      <c r="AS80" s="2609"/>
      <c r="AT80" s="2609"/>
      <c r="AU80" s="2609"/>
      <c r="AV80" s="2609"/>
    </row>
    <row r="81" ht="18" customHeight="1" spans="1:48">
      <c r="A81" s="874"/>
      <c r="B81" s="874"/>
    </row>
    <row r="82" ht="18" customHeight="1" spans="1:48">
      <c r="A82" s="874"/>
      <c r="B82" s="874"/>
    </row>
    <row r="83" s="1750" customFormat="1" ht="15.75" customHeight="1" spans="1:48">
      <c r="A83" s="2590">
        <v>1</v>
      </c>
      <c r="B83" s="2590"/>
      <c r="C83" s="2590"/>
      <c r="D83" s="2591">
        <v>2</v>
      </c>
      <c r="E83" s="2590"/>
      <c r="F83" s="2590"/>
      <c r="G83" s="2590"/>
      <c r="H83" s="2590"/>
      <c r="I83" s="2590"/>
      <c r="J83" s="2590"/>
      <c r="K83" s="2590"/>
      <c r="L83" s="2590"/>
      <c r="M83" s="2590"/>
      <c r="N83" s="2590"/>
      <c r="O83" s="2590"/>
      <c r="P83" s="2590"/>
      <c r="Q83" s="2590"/>
      <c r="R83" s="2590"/>
      <c r="S83" s="2590"/>
      <c r="T83" s="2590"/>
      <c r="U83" s="2590"/>
      <c r="V83" s="2590"/>
      <c r="W83" s="2590"/>
      <c r="X83" s="2590"/>
      <c r="Y83" s="2590"/>
      <c r="Z83" s="2590">
        <v>3</v>
      </c>
      <c r="AA83" s="2590"/>
      <c r="AB83" s="2590"/>
      <c r="AC83" s="2590">
        <v>4</v>
      </c>
      <c r="AD83" s="2590"/>
      <c r="AE83" s="2590"/>
      <c r="AF83" s="2590">
        <v>5</v>
      </c>
      <c r="AG83" s="2590"/>
      <c r="AH83" s="2590"/>
      <c r="AI83" s="2590">
        <v>6</v>
      </c>
      <c r="AJ83" s="2590"/>
      <c r="AK83" s="2590"/>
      <c r="AL83" s="2590"/>
      <c r="AM83" s="2590"/>
      <c r="AN83" s="2590"/>
      <c r="AO83" s="2590"/>
      <c r="AP83" s="2590">
        <v>7</v>
      </c>
      <c r="AQ83" s="2590"/>
      <c r="AR83" s="2590"/>
      <c r="AS83" s="2590"/>
      <c r="AT83" s="2590"/>
      <c r="AU83" s="2590"/>
      <c r="AV83" s="2590"/>
    </row>
    <row r="84" ht="18" customHeight="1" spans="1:48">
      <c r="A84" s="2590" t="s">
        <v>4203</v>
      </c>
      <c r="B84" s="2590"/>
      <c r="C84" s="2590"/>
      <c r="D84" s="1436" t="str">
        <f>Text!B553</f>
        <v>Kupovina udjela u pridruženim društvima</v>
      </c>
      <c r="E84" s="1437"/>
      <c r="F84" s="1437"/>
      <c r="G84" s="1437"/>
      <c r="H84" s="1437"/>
      <c r="I84" s="1437"/>
      <c r="J84" s="1437"/>
      <c r="K84" s="1437"/>
      <c r="L84" s="1437"/>
      <c r="M84" s="1437"/>
      <c r="N84" s="1437"/>
      <c r="O84" s="1437"/>
      <c r="P84" s="1437"/>
      <c r="Q84" s="1437"/>
      <c r="R84" s="1437"/>
      <c r="S84" s="1437"/>
      <c r="T84" s="1437"/>
      <c r="U84" s="1437"/>
      <c r="V84" s="1437"/>
      <c r="W84" s="1437"/>
      <c r="X84" s="1437"/>
      <c r="Y84" s="2563"/>
      <c r="Z84" s="2603"/>
      <c r="AA84" s="2603"/>
      <c r="AB84" s="2603"/>
      <c r="AC84" s="2610" t="s">
        <v>5756</v>
      </c>
      <c r="AD84" s="2610"/>
      <c r="AE84" s="2610"/>
      <c r="AF84" s="1372" t="s">
        <v>597</v>
      </c>
      <c r="AG84" s="2566"/>
      <c r="AH84" s="1404"/>
      <c r="AI84" s="2609">
        <f>UnosPod!H1201*-1</f>
        <v>0</v>
      </c>
      <c r="AJ84" s="2609"/>
      <c r="AK84" s="2609"/>
      <c r="AL84" s="2609"/>
      <c r="AM84" s="2609"/>
      <c r="AN84" s="2609"/>
      <c r="AO84" s="2609"/>
      <c r="AP84" s="2609">
        <f>Prethodna_2024!B487</f>
        <v>0</v>
      </c>
      <c r="AQ84" s="2609"/>
      <c r="AR84" s="2609"/>
      <c r="AS84" s="2609"/>
      <c r="AT84" s="2609"/>
      <c r="AU84" s="2609"/>
      <c r="AV84" s="2609"/>
    </row>
    <row r="85" ht="18" customHeight="1" spans="1:48">
      <c r="A85" s="2590" t="s">
        <v>4204</v>
      </c>
      <c r="B85" s="2590"/>
      <c r="C85" s="2590"/>
      <c r="D85" s="1436" t="str">
        <f>Text!B554</f>
        <v>Prilivi od otuđenja udjela u pridruženim društvima</v>
      </c>
      <c r="E85" s="1437"/>
      <c r="F85" s="1437"/>
      <c r="G85" s="1437"/>
      <c r="H85" s="1437"/>
      <c r="I85" s="1437"/>
      <c r="J85" s="1437"/>
      <c r="K85" s="1437"/>
      <c r="L85" s="1437"/>
      <c r="M85" s="1437"/>
      <c r="N85" s="1437"/>
      <c r="O85" s="1437"/>
      <c r="P85" s="1437"/>
      <c r="Q85" s="1437"/>
      <c r="R85" s="1437"/>
      <c r="S85" s="1437"/>
      <c r="T85" s="1437"/>
      <c r="U85" s="1437"/>
      <c r="V85" s="1437"/>
      <c r="W85" s="1437"/>
      <c r="X85" s="1437"/>
      <c r="Y85" s="2563"/>
      <c r="Z85" s="2603"/>
      <c r="AA85" s="2603"/>
      <c r="AB85" s="2603"/>
      <c r="AC85" s="2610" t="s">
        <v>7134</v>
      </c>
      <c r="AD85" s="2610"/>
      <c r="AE85" s="2610"/>
      <c r="AF85" s="1372" t="s">
        <v>3556</v>
      </c>
      <c r="AG85" s="2566"/>
      <c r="AH85" s="1404"/>
      <c r="AI85" s="2609">
        <f>UnosPod!O1201</f>
        <v>0</v>
      </c>
      <c r="AJ85" s="2609"/>
      <c r="AK85" s="2609"/>
      <c r="AL85" s="2609"/>
      <c r="AM85" s="2609"/>
      <c r="AN85" s="2609"/>
      <c r="AO85" s="2609"/>
      <c r="AP85" s="2609">
        <f>Prethodna_2024!B488</f>
        <v>0</v>
      </c>
      <c r="AQ85" s="2609"/>
      <c r="AR85" s="2609"/>
      <c r="AS85" s="2609"/>
      <c r="AT85" s="2609"/>
      <c r="AU85" s="2609"/>
      <c r="AV85" s="2609"/>
    </row>
    <row r="86" ht="18" customHeight="1" spans="1:48">
      <c r="A86" s="2590" t="s">
        <v>4205</v>
      </c>
      <c r="B86" s="2590"/>
      <c r="C86" s="2590"/>
      <c r="D86" s="1436" t="str">
        <f>Text!B555</f>
        <v>Kupovina udjela u zajedničkim poduhvatima</v>
      </c>
      <c r="E86" s="1437"/>
      <c r="F86" s="1437"/>
      <c r="G86" s="1437"/>
      <c r="H86" s="1437"/>
      <c r="I86" s="1437"/>
      <c r="J86" s="1437"/>
      <c r="K86" s="1437"/>
      <c r="L86" s="1437"/>
      <c r="M86" s="1437"/>
      <c r="N86" s="1437"/>
      <c r="O86" s="1437"/>
      <c r="P86" s="1437"/>
      <c r="Q86" s="1437"/>
      <c r="R86" s="1437"/>
      <c r="S86" s="1437"/>
      <c r="T86" s="1437"/>
      <c r="U86" s="1437"/>
      <c r="V86" s="1437"/>
      <c r="W86" s="1437"/>
      <c r="X86" s="1437"/>
      <c r="Y86" s="2563"/>
      <c r="Z86" s="2603"/>
      <c r="AA86" s="2603"/>
      <c r="AB86" s="2603"/>
      <c r="AC86" s="2610" t="s">
        <v>5756</v>
      </c>
      <c r="AD86" s="2610"/>
      <c r="AE86" s="2610"/>
      <c r="AF86" s="1372" t="s">
        <v>3557</v>
      </c>
      <c r="AG86" s="2566"/>
      <c r="AH86" s="1404"/>
      <c r="AI86" s="2609">
        <f>UnosPod!H1202*-1</f>
        <v>0</v>
      </c>
      <c r="AJ86" s="2609"/>
      <c r="AK86" s="2609"/>
      <c r="AL86" s="2609"/>
      <c r="AM86" s="2609"/>
      <c r="AN86" s="2609"/>
      <c r="AO86" s="2609"/>
      <c r="AP86" s="2609">
        <f>Prethodna_2024!B489</f>
        <v>0</v>
      </c>
      <c r="AQ86" s="2609"/>
      <c r="AR86" s="2609"/>
      <c r="AS86" s="2609"/>
      <c r="AT86" s="2609"/>
      <c r="AU86" s="2609"/>
      <c r="AV86" s="2609"/>
    </row>
    <row r="87" ht="18" customHeight="1" spans="1:48">
      <c r="A87" s="2590" t="s">
        <v>4206</v>
      </c>
      <c r="B87" s="2590"/>
      <c r="C87" s="2590"/>
      <c r="D87" s="1436" t="str">
        <f>Text!B556</f>
        <v>Prilivi od otuđenja udjela u zajedničkim poduhvatima</v>
      </c>
      <c r="E87" s="1437"/>
      <c r="F87" s="1437"/>
      <c r="G87" s="1437"/>
      <c r="H87" s="1437"/>
      <c r="I87" s="1437"/>
      <c r="J87" s="1437"/>
      <c r="K87" s="1437"/>
      <c r="L87" s="1437"/>
      <c r="M87" s="1437"/>
      <c r="N87" s="1437"/>
      <c r="O87" s="1437"/>
      <c r="P87" s="1437"/>
      <c r="Q87" s="1437"/>
      <c r="R87" s="1437"/>
      <c r="S87" s="1437"/>
      <c r="T87" s="1437"/>
      <c r="U87" s="1437"/>
      <c r="V87" s="1437"/>
      <c r="W87" s="1437"/>
      <c r="X87" s="1437"/>
      <c r="Y87" s="2563"/>
      <c r="Z87" s="2603"/>
      <c r="AA87" s="2603"/>
      <c r="AB87" s="2603"/>
      <c r="AC87" s="2610" t="s">
        <v>7134</v>
      </c>
      <c r="AD87" s="2610"/>
      <c r="AE87" s="2610"/>
      <c r="AF87" s="1372" t="s">
        <v>3558</v>
      </c>
      <c r="AG87" s="2566"/>
      <c r="AH87" s="1404"/>
      <c r="AI87" s="2609">
        <f>UnosPod!O1202</f>
        <v>0</v>
      </c>
      <c r="AJ87" s="2609"/>
      <c r="AK87" s="2609"/>
      <c r="AL87" s="2609"/>
      <c r="AM87" s="2609"/>
      <c r="AN87" s="2609"/>
      <c r="AO87" s="2609"/>
      <c r="AP87" s="2609">
        <f>Prethodna_2024!B490</f>
        <v>0</v>
      </c>
      <c r="AQ87" s="2609"/>
      <c r="AR87" s="2609"/>
      <c r="AS87" s="2609"/>
      <c r="AT87" s="2609"/>
      <c r="AU87" s="2609"/>
      <c r="AV87" s="2609"/>
    </row>
    <row r="88" ht="18" customHeight="1" spans="1:48">
      <c r="A88" s="2590" t="s">
        <v>4207</v>
      </c>
      <c r="B88" s="2590"/>
      <c r="C88" s="2590"/>
      <c r="D88" s="1436" t="str">
        <f>Text!B557</f>
        <v>Primljene dividende</v>
      </c>
      <c r="E88" s="1437"/>
      <c r="F88" s="1437"/>
      <c r="G88" s="1437"/>
      <c r="H88" s="1437"/>
      <c r="I88" s="1437"/>
      <c r="J88" s="1437"/>
      <c r="K88" s="1437"/>
      <c r="L88" s="1437"/>
      <c r="M88" s="1437"/>
      <c r="N88" s="1437"/>
      <c r="O88" s="1437"/>
      <c r="P88" s="1437"/>
      <c r="Q88" s="1437"/>
      <c r="R88" s="1437"/>
      <c r="S88" s="1437"/>
      <c r="T88" s="1437"/>
      <c r="U88" s="1437"/>
      <c r="V88" s="1437"/>
      <c r="W88" s="1437"/>
      <c r="X88" s="1437"/>
      <c r="Y88" s="2563"/>
      <c r="Z88" s="2603"/>
      <c r="AA88" s="2603"/>
      <c r="AB88" s="2603"/>
      <c r="AC88" s="2610" t="s">
        <v>7134</v>
      </c>
      <c r="AD88" s="2610"/>
      <c r="AE88" s="2610"/>
      <c r="AF88" s="1372" t="s">
        <v>3559</v>
      </c>
      <c r="AG88" s="2566"/>
      <c r="AH88" s="1404"/>
      <c r="AI88" s="2609">
        <f>UnosPod!O1219</f>
        <v>0</v>
      </c>
      <c r="AJ88" s="2609"/>
      <c r="AK88" s="2609"/>
      <c r="AL88" s="2609"/>
      <c r="AM88" s="2609"/>
      <c r="AN88" s="2609"/>
      <c r="AO88" s="2609"/>
      <c r="AP88" s="2609">
        <f>Prethodna_2024!B491</f>
        <v>0</v>
      </c>
      <c r="AQ88" s="2609"/>
      <c r="AR88" s="2609"/>
      <c r="AS88" s="2609"/>
      <c r="AT88" s="2609"/>
      <c r="AU88" s="2609"/>
      <c r="AV88" s="2609"/>
    </row>
    <row r="89" ht="18" customHeight="1" spans="1:48">
      <c r="A89" s="2590" t="s">
        <v>4209</v>
      </c>
      <c r="B89" s="2590"/>
      <c r="C89" s="2590"/>
      <c r="D89" s="1436" t="str">
        <f>Text!B558</f>
        <v>Prilivi po osnovu trgovanja derivatnim finansijskim instrumentima</v>
      </c>
      <c r="E89" s="1437"/>
      <c r="F89" s="1437"/>
      <c r="G89" s="1437"/>
      <c r="H89" s="1437"/>
      <c r="I89" s="1437"/>
      <c r="J89" s="1437"/>
      <c r="K89" s="1437"/>
      <c r="L89" s="1437"/>
      <c r="M89" s="1437"/>
      <c r="N89" s="1437"/>
      <c r="O89" s="1437"/>
      <c r="P89" s="1437"/>
      <c r="Q89" s="1437"/>
      <c r="R89" s="1437"/>
      <c r="S89" s="1437"/>
      <c r="T89" s="1437"/>
      <c r="U89" s="1437"/>
      <c r="V89" s="1437"/>
      <c r="W89" s="1437"/>
      <c r="X89" s="1437"/>
      <c r="Y89" s="2563"/>
      <c r="Z89" s="2603"/>
      <c r="AA89" s="2603"/>
      <c r="AB89" s="2603"/>
      <c r="AC89" s="2610" t="s">
        <v>7134</v>
      </c>
      <c r="AD89" s="2610"/>
      <c r="AE89" s="2610"/>
      <c r="AF89" s="1372" t="s">
        <v>3560</v>
      </c>
      <c r="AG89" s="2566"/>
      <c r="AH89" s="1404"/>
      <c r="AI89" s="2609">
        <f>UnosPod!O1217</f>
        <v>0</v>
      </c>
      <c r="AJ89" s="2609"/>
      <c r="AK89" s="2609"/>
      <c r="AL89" s="2609"/>
      <c r="AM89" s="2609"/>
      <c r="AN89" s="2609"/>
      <c r="AO89" s="2609"/>
      <c r="AP89" s="2609">
        <f>Prethodna_2024!B492</f>
        <v>0</v>
      </c>
      <c r="AQ89" s="2609"/>
      <c r="AR89" s="2609"/>
      <c r="AS89" s="2609"/>
      <c r="AT89" s="2609"/>
      <c r="AU89" s="2609"/>
      <c r="AV89" s="2609"/>
    </row>
    <row r="90" ht="18" customHeight="1" spans="1:48">
      <c r="A90" s="2590" t="s">
        <v>4211</v>
      </c>
      <c r="B90" s="2590"/>
      <c r="C90" s="2590"/>
      <c r="D90" s="1436" t="str">
        <f>Text!B559</f>
        <v>Odlivi po osnovu trgovanja derivatnim finansijskim instrumentima</v>
      </c>
      <c r="E90" s="1437"/>
      <c r="F90" s="1437"/>
      <c r="G90" s="1437"/>
      <c r="H90" s="1437"/>
      <c r="I90" s="1437"/>
      <c r="J90" s="1437"/>
      <c r="K90" s="1437"/>
      <c r="L90" s="1437"/>
      <c r="M90" s="1437"/>
      <c r="N90" s="1437"/>
      <c r="O90" s="1437"/>
      <c r="P90" s="1437"/>
      <c r="Q90" s="1437"/>
      <c r="R90" s="1437"/>
      <c r="S90" s="1437"/>
      <c r="T90" s="1437"/>
      <c r="U90" s="1437"/>
      <c r="V90" s="1437"/>
      <c r="W90" s="1437"/>
      <c r="X90" s="1437"/>
      <c r="Y90" s="2563"/>
      <c r="Z90" s="2603"/>
      <c r="AA90" s="2603"/>
      <c r="AB90" s="2603"/>
      <c r="AC90" s="2610" t="s">
        <v>5756</v>
      </c>
      <c r="AD90" s="2610"/>
      <c r="AE90" s="2610"/>
      <c r="AF90" s="1372" t="s">
        <v>3561</v>
      </c>
      <c r="AG90" s="2566"/>
      <c r="AH90" s="1404"/>
      <c r="AI90" s="2609">
        <f>UnosPod!H1217*-1</f>
        <v>0</v>
      </c>
      <c r="AJ90" s="2609"/>
      <c r="AK90" s="2609"/>
      <c r="AL90" s="2609"/>
      <c r="AM90" s="2609"/>
      <c r="AN90" s="2609"/>
      <c r="AO90" s="2609"/>
      <c r="AP90" s="2609">
        <f>Prethodna_2024!B493</f>
        <v>0</v>
      </c>
      <c r="AQ90" s="2609"/>
      <c r="AR90" s="2609"/>
      <c r="AS90" s="2609"/>
      <c r="AT90" s="2609"/>
      <c r="AU90" s="2609"/>
      <c r="AV90" s="2609"/>
    </row>
    <row r="91" ht="18" customHeight="1" spans="1:48">
      <c r="A91" s="2590" t="s">
        <v>4213</v>
      </c>
      <c r="B91" s="2590"/>
      <c r="C91" s="2590"/>
      <c r="D91" s="1436" t="str">
        <f>Text!B560</f>
        <v>Ostali prilivi iz ulagačkih aktivnosti</v>
      </c>
      <c r="E91" s="1437"/>
      <c r="F91" s="1437"/>
      <c r="G91" s="1437"/>
      <c r="H91" s="1437"/>
      <c r="I91" s="1437"/>
      <c r="J91" s="1437"/>
      <c r="K91" s="1437"/>
      <c r="L91" s="1437"/>
      <c r="M91" s="1437"/>
      <c r="N91" s="1437"/>
      <c r="O91" s="1437"/>
      <c r="P91" s="1437"/>
      <c r="Q91" s="1437"/>
      <c r="R91" s="1437"/>
      <c r="S91" s="1437"/>
      <c r="T91" s="1437"/>
      <c r="U91" s="1437"/>
      <c r="V91" s="1437"/>
      <c r="W91" s="1437"/>
      <c r="X91" s="1437"/>
      <c r="Y91" s="2563"/>
      <c r="Z91" s="2603"/>
      <c r="AA91" s="2603"/>
      <c r="AB91" s="2603"/>
      <c r="AC91" s="2610" t="s">
        <v>7134</v>
      </c>
      <c r="AD91" s="2610"/>
      <c r="AE91" s="2610"/>
      <c r="AF91" s="1372" t="s">
        <v>3562</v>
      </c>
      <c r="AG91" s="2566"/>
      <c r="AH91" s="1404"/>
      <c r="AI91" s="2609">
        <f>UnosPod!O1203+UnosPod!O1218+UnosPod!O1263</f>
        <v>0</v>
      </c>
      <c r="AJ91" s="2609"/>
      <c r="AK91" s="2609"/>
      <c r="AL91" s="2609"/>
      <c r="AM91" s="2609"/>
      <c r="AN91" s="2609"/>
      <c r="AO91" s="2609"/>
      <c r="AP91" s="2609">
        <f>Prethodna_2024!B494</f>
        <v>0</v>
      </c>
      <c r="AQ91" s="2609"/>
      <c r="AR91" s="2609"/>
      <c r="AS91" s="2609"/>
      <c r="AT91" s="2609"/>
      <c r="AU91" s="2609"/>
      <c r="AV91" s="2609"/>
    </row>
    <row r="92" ht="18" customHeight="1" spans="1:48">
      <c r="A92" s="2590" t="s">
        <v>4214</v>
      </c>
      <c r="B92" s="2590"/>
      <c r="C92" s="2590"/>
      <c r="D92" s="1436" t="str">
        <f>Text!B561</f>
        <v>Ostali odlivi iz ulagačkih aktivnosti</v>
      </c>
      <c r="E92" s="1437"/>
      <c r="F92" s="1437"/>
      <c r="G92" s="1437"/>
      <c r="H92" s="1437"/>
      <c r="I92" s="1437"/>
      <c r="J92" s="1437"/>
      <c r="K92" s="1437"/>
      <c r="L92" s="1437"/>
      <c r="M92" s="1437"/>
      <c r="N92" s="1437"/>
      <c r="O92" s="1437"/>
      <c r="P92" s="1437"/>
      <c r="Q92" s="1437"/>
      <c r="R92" s="1437"/>
      <c r="S92" s="1437"/>
      <c r="T92" s="1437"/>
      <c r="U92" s="1437"/>
      <c r="V92" s="1437"/>
      <c r="W92" s="1437"/>
      <c r="X92" s="1437"/>
      <c r="Y92" s="2563"/>
      <c r="Z92" s="2603"/>
      <c r="AA92" s="2603"/>
      <c r="AB92" s="2603"/>
      <c r="AC92" s="2610" t="s">
        <v>5756</v>
      </c>
      <c r="AD92" s="2610"/>
      <c r="AE92" s="2610"/>
      <c r="AF92" s="1372" t="s">
        <v>3563</v>
      </c>
      <c r="AG92" s="2566"/>
      <c r="AH92" s="1404"/>
      <c r="AI92" s="2609">
        <f>(UnosPod!H1203+UnosPod!H1218+UnosPod!H1263)*-1</f>
        <v>0</v>
      </c>
      <c r="AJ92" s="2609"/>
      <c r="AK92" s="2609"/>
      <c r="AL92" s="2609"/>
      <c r="AM92" s="2609"/>
      <c r="AN92" s="2609"/>
      <c r="AO92" s="2609"/>
      <c r="AP92" s="2609">
        <f>Prethodna_2024!B495</f>
        <v>0</v>
      </c>
      <c r="AQ92" s="2609"/>
      <c r="AR92" s="2609"/>
      <c r="AS92" s="2609"/>
      <c r="AT92" s="2609"/>
      <c r="AU92" s="2609"/>
      <c r="AV92" s="2609"/>
    </row>
    <row r="93" s="1227" customFormat="1" ht="26.25" customHeight="1" spans="1:48">
      <c r="A93" s="2558" t="s">
        <v>3949</v>
      </c>
      <c r="B93" s="2558"/>
      <c r="C93" s="2558"/>
      <c r="D93" s="2611" t="str">
        <f>Text!B562</f>
        <v>Neto gotovinski tok koji je generisan/(korišten) u ulagačkim aktivnostima (535 do 563)</v>
      </c>
      <c r="E93" s="2612"/>
      <c r="F93" s="2612"/>
      <c r="G93" s="2612"/>
      <c r="H93" s="2612"/>
      <c r="I93" s="2612"/>
      <c r="J93" s="2612"/>
      <c r="K93" s="2612"/>
      <c r="L93" s="2612"/>
      <c r="M93" s="2612"/>
      <c r="N93" s="2612"/>
      <c r="O93" s="2612"/>
      <c r="P93" s="2612"/>
      <c r="Q93" s="2612"/>
      <c r="R93" s="2612"/>
      <c r="S93" s="2612"/>
      <c r="T93" s="2612"/>
      <c r="U93" s="2612"/>
      <c r="V93" s="2612"/>
      <c r="W93" s="2612"/>
      <c r="X93" s="2612"/>
      <c r="Y93" s="2613"/>
      <c r="Z93" s="1392"/>
      <c r="AA93" s="1392"/>
      <c r="AB93" s="1392"/>
      <c r="AC93" s="2623" t="s">
        <v>7135</v>
      </c>
      <c r="AD93" s="2623"/>
      <c r="AE93" s="2623"/>
      <c r="AF93" s="1372" t="s">
        <v>3564</v>
      </c>
      <c r="AG93" s="2566"/>
      <c r="AH93" s="1404"/>
      <c r="AI93" s="2624">
        <f>SUM(AI61:AO80)+SUM(AI84:AO92)</f>
        <v>0</v>
      </c>
      <c r="AJ93" s="2624"/>
      <c r="AK93" s="2624"/>
      <c r="AL93" s="2624"/>
      <c r="AM93" s="2624"/>
      <c r="AN93" s="2624"/>
      <c r="AO93" s="2624"/>
      <c r="AP93" s="2624">
        <f>SUM(AP61:AV80)+SUM(AP84:AV92)</f>
        <v>0</v>
      </c>
      <c r="AQ93" s="2624"/>
      <c r="AR93" s="2624"/>
      <c r="AS93" s="2624"/>
      <c r="AT93" s="2624"/>
      <c r="AU93" s="2624"/>
      <c r="AV93" s="2624"/>
    </row>
    <row r="94" s="1754" customFormat="1" ht="18" customHeight="1" spans="1:48">
      <c r="A94" s="2615" t="s">
        <v>3902</v>
      </c>
      <c r="B94" s="2615"/>
      <c r="C94" s="2615"/>
      <c r="D94" s="1374" t="str">
        <f>Text!B563</f>
        <v>GOTOVINSKI TOKOVI IZ FINANSIJSKIH AKTIVNOSTI</v>
      </c>
      <c r="E94" s="1375"/>
      <c r="F94" s="1375"/>
      <c r="G94" s="1375"/>
      <c r="H94" s="1375"/>
      <c r="I94" s="1375"/>
      <c r="J94" s="1375"/>
      <c r="K94" s="1375"/>
      <c r="L94" s="1375"/>
      <c r="M94" s="1375"/>
      <c r="N94" s="1375"/>
      <c r="O94" s="1375"/>
      <c r="P94" s="1375"/>
      <c r="Q94" s="1375"/>
      <c r="R94" s="1375"/>
      <c r="S94" s="1375"/>
      <c r="T94" s="1375"/>
      <c r="U94" s="1375"/>
      <c r="V94" s="1375"/>
      <c r="W94" s="1375"/>
      <c r="X94" s="1375"/>
      <c r="Y94" s="2616"/>
      <c r="Z94" s="2617"/>
      <c r="AA94" s="2617"/>
      <c r="AB94" s="2617"/>
      <c r="AC94" s="2617"/>
      <c r="AD94" s="2617"/>
      <c r="AE94" s="2617"/>
      <c r="AF94" s="2619"/>
      <c r="AG94" s="2620"/>
      <c r="AH94" s="2621"/>
      <c r="AI94" s="2622"/>
      <c r="AJ94" s="2622"/>
      <c r="AK94" s="2622"/>
      <c r="AL94" s="2622"/>
      <c r="AM94" s="2622"/>
      <c r="AN94" s="2622"/>
      <c r="AO94" s="2622"/>
      <c r="AP94" s="2622"/>
      <c r="AQ94" s="2622"/>
      <c r="AR94" s="2622"/>
      <c r="AS94" s="2622"/>
      <c r="AT94" s="2622"/>
      <c r="AU94" s="2622"/>
      <c r="AV94" s="2622"/>
    </row>
    <row r="95" ht="18" customHeight="1" spans="1:48">
      <c r="A95" s="2590" t="s">
        <v>3998</v>
      </c>
      <c r="B95" s="2590"/>
      <c r="C95" s="2590"/>
      <c r="D95" s="1436" t="str">
        <f>Text!B564</f>
        <v>Prilivi od emisije dionica / uplaćeni vlasnički kapital</v>
      </c>
      <c r="E95" s="1437"/>
      <c r="F95" s="1437"/>
      <c r="G95" s="1437"/>
      <c r="H95" s="1437"/>
      <c r="I95" s="1437"/>
      <c r="J95" s="1437"/>
      <c r="K95" s="1437"/>
      <c r="L95" s="1437"/>
      <c r="M95" s="1437"/>
      <c r="N95" s="1437"/>
      <c r="O95" s="1437"/>
      <c r="P95" s="1437"/>
      <c r="Q95" s="1437"/>
      <c r="R95" s="1437"/>
      <c r="S95" s="1437"/>
      <c r="T95" s="1437"/>
      <c r="U95" s="1437"/>
      <c r="V95" s="1437"/>
      <c r="W95" s="1437"/>
      <c r="X95" s="1437"/>
      <c r="Y95" s="2563"/>
      <c r="Z95" s="2603"/>
      <c r="AA95" s="2603"/>
      <c r="AB95" s="2603"/>
      <c r="AC95" s="2610" t="s">
        <v>7134</v>
      </c>
      <c r="AD95" s="2610"/>
      <c r="AE95" s="2610"/>
      <c r="AF95" s="1372" t="s">
        <v>3567</v>
      </c>
      <c r="AG95" s="2566"/>
      <c r="AH95" s="1404"/>
      <c r="AI95" s="2609">
        <f>SUM(UnosPod!O1232:U1235)</f>
        <v>0</v>
      </c>
      <c r="AJ95" s="2609"/>
      <c r="AK95" s="2609"/>
      <c r="AL95" s="2609"/>
      <c r="AM95" s="2609"/>
      <c r="AN95" s="2609"/>
      <c r="AO95" s="2609"/>
      <c r="AP95" s="2609">
        <f>Prethodna_2024!B498</f>
        <v>0</v>
      </c>
      <c r="AQ95" s="2609"/>
      <c r="AR95" s="2609"/>
      <c r="AS95" s="2609"/>
      <c r="AT95" s="2609"/>
      <c r="AU95" s="2609"/>
      <c r="AV95" s="2609"/>
    </row>
    <row r="96" ht="18" customHeight="1" spans="1:48">
      <c r="A96" s="2590" t="s">
        <v>4000</v>
      </c>
      <c r="B96" s="2590"/>
      <c r="C96" s="2590"/>
      <c r="D96" s="1436" t="str">
        <f>Text!B565</f>
        <v>Sticanje vlastitih dionica</v>
      </c>
      <c r="E96" s="1437"/>
      <c r="F96" s="1437"/>
      <c r="G96" s="1437"/>
      <c r="H96" s="1437"/>
      <c r="I96" s="1437"/>
      <c r="J96" s="1437"/>
      <c r="K96" s="1437"/>
      <c r="L96" s="1437"/>
      <c r="M96" s="1437"/>
      <c r="N96" s="1437"/>
      <c r="O96" s="1437"/>
      <c r="P96" s="1437"/>
      <c r="Q96" s="1437"/>
      <c r="R96" s="1437"/>
      <c r="S96" s="1437"/>
      <c r="T96" s="1437"/>
      <c r="U96" s="1437"/>
      <c r="V96" s="1437"/>
      <c r="W96" s="1437"/>
      <c r="X96" s="1437"/>
      <c r="Y96" s="2563"/>
      <c r="Z96" s="2603"/>
      <c r="AA96" s="2603"/>
      <c r="AB96" s="2603"/>
      <c r="AC96" s="2610" t="s">
        <v>5756</v>
      </c>
      <c r="AD96" s="2610"/>
      <c r="AE96" s="2610"/>
      <c r="AF96" s="1372" t="s">
        <v>3568</v>
      </c>
      <c r="AG96" s="2566"/>
      <c r="AH96" s="1404"/>
      <c r="AI96" s="2609">
        <f>UnosPod!H1236*-1</f>
        <v>0</v>
      </c>
      <c r="AJ96" s="2609"/>
      <c r="AK96" s="2609"/>
      <c r="AL96" s="2609"/>
      <c r="AM96" s="2609"/>
      <c r="AN96" s="2609"/>
      <c r="AO96" s="2609"/>
      <c r="AP96" s="2609">
        <f>Prethodna_2024!B499</f>
        <v>0</v>
      </c>
      <c r="AQ96" s="2609"/>
      <c r="AR96" s="2609"/>
      <c r="AS96" s="2609"/>
      <c r="AT96" s="2609"/>
      <c r="AU96" s="2609"/>
      <c r="AV96" s="2609"/>
    </row>
    <row r="97" ht="18" customHeight="1" spans="1:48">
      <c r="A97" s="2590" t="s">
        <v>4058</v>
      </c>
      <c r="B97" s="2590"/>
      <c r="C97" s="2590"/>
      <c r="D97" s="1436" t="str">
        <f>Text!B566</f>
        <v>Prilivi od prodaje stečenih vlastitih dionica</v>
      </c>
      <c r="E97" s="1437"/>
      <c r="F97" s="1437"/>
      <c r="G97" s="1437"/>
      <c r="H97" s="1437"/>
      <c r="I97" s="1437"/>
      <c r="J97" s="1437"/>
      <c r="K97" s="1437"/>
      <c r="L97" s="1437"/>
      <c r="M97" s="1437"/>
      <c r="N97" s="1437"/>
      <c r="O97" s="1437"/>
      <c r="P97" s="1437"/>
      <c r="Q97" s="1437"/>
      <c r="R97" s="1437"/>
      <c r="S97" s="1437"/>
      <c r="T97" s="1437"/>
      <c r="U97" s="1437"/>
      <c r="V97" s="1437"/>
      <c r="W97" s="1437"/>
      <c r="X97" s="1437"/>
      <c r="Y97" s="2563"/>
      <c r="Z97" s="2603"/>
      <c r="AA97" s="2603"/>
      <c r="AB97" s="2603"/>
      <c r="AC97" s="2610" t="s">
        <v>7134</v>
      </c>
      <c r="AD97" s="2610"/>
      <c r="AE97" s="2610"/>
      <c r="AF97" s="1372" t="s">
        <v>3569</v>
      </c>
      <c r="AG97" s="2566"/>
      <c r="AH97" s="1404"/>
      <c r="AI97" s="2609">
        <f>UnosPod!O1236</f>
        <v>0</v>
      </c>
      <c r="AJ97" s="2609"/>
      <c r="AK97" s="2609"/>
      <c r="AL97" s="2609"/>
      <c r="AM97" s="2609"/>
      <c r="AN97" s="2609"/>
      <c r="AO97" s="2609"/>
      <c r="AP97" s="2609">
        <f>Prethodna_2024!B500</f>
        <v>0</v>
      </c>
      <c r="AQ97" s="2609"/>
      <c r="AR97" s="2609"/>
      <c r="AS97" s="2609"/>
      <c r="AT97" s="2609"/>
      <c r="AU97" s="2609"/>
      <c r="AV97" s="2609"/>
    </row>
    <row r="98" ht="18" customHeight="1" spans="1:48">
      <c r="A98" s="2604" t="s">
        <v>4219</v>
      </c>
      <c r="B98" s="2605"/>
      <c r="C98" s="2591"/>
      <c r="D98" s="1436" t="str">
        <f>Text!B567</f>
        <v>Isplaćene dividende</v>
      </c>
      <c r="E98" s="1437"/>
      <c r="F98" s="1437"/>
      <c r="G98" s="1437"/>
      <c r="H98" s="1437"/>
      <c r="I98" s="1437"/>
      <c r="J98" s="1437"/>
      <c r="K98" s="1437"/>
      <c r="L98" s="1437"/>
      <c r="M98" s="1437"/>
      <c r="N98" s="1437"/>
      <c r="O98" s="1437"/>
      <c r="P98" s="1437"/>
      <c r="Q98" s="1437"/>
      <c r="R98" s="1437"/>
      <c r="S98" s="1437"/>
      <c r="T98" s="1437"/>
      <c r="U98" s="1437"/>
      <c r="V98" s="1437"/>
      <c r="W98" s="1437"/>
      <c r="X98" s="1437"/>
      <c r="Y98" s="2563"/>
      <c r="Z98" s="2603"/>
      <c r="AA98" s="2603"/>
      <c r="AB98" s="2603"/>
      <c r="AC98" s="2610" t="s">
        <v>5756</v>
      </c>
      <c r="AD98" s="2610"/>
      <c r="AE98" s="2610"/>
      <c r="AF98" s="1372" t="s">
        <v>3570</v>
      </c>
      <c r="AG98" s="2566"/>
      <c r="AH98" s="1404"/>
      <c r="AI98" s="2609">
        <f>(UnosPod!H1259+UnosPod!H1260)*-1</f>
        <v>0</v>
      </c>
      <c r="AJ98" s="2609"/>
      <c r="AK98" s="2609"/>
      <c r="AL98" s="2609"/>
      <c r="AM98" s="2609"/>
      <c r="AN98" s="2609"/>
      <c r="AO98" s="2609"/>
      <c r="AP98" s="2609">
        <f>Prethodna_2024!B501</f>
        <v>0</v>
      </c>
      <c r="AQ98" s="2609"/>
      <c r="AR98" s="2609"/>
      <c r="AS98" s="2609"/>
      <c r="AT98" s="2609"/>
      <c r="AU98" s="2609"/>
      <c r="AV98" s="2609"/>
    </row>
    <row r="99" ht="18" customHeight="1" spans="1:48">
      <c r="A99" s="2604" t="s">
        <v>4221</v>
      </c>
      <c r="B99" s="2605"/>
      <c r="C99" s="2591"/>
      <c r="D99" s="1436" t="str">
        <f>Text!B568</f>
        <v>Prilivi od uzetih kredita</v>
      </c>
      <c r="E99" s="1437"/>
      <c r="F99" s="1437"/>
      <c r="G99" s="1437"/>
      <c r="H99" s="1437"/>
      <c r="I99" s="1437"/>
      <c r="J99" s="1437"/>
      <c r="K99" s="1437"/>
      <c r="L99" s="1437"/>
      <c r="M99" s="1437"/>
      <c r="N99" s="1437"/>
      <c r="O99" s="1437"/>
      <c r="P99" s="1437"/>
      <c r="Q99" s="1437"/>
      <c r="R99" s="1437"/>
      <c r="S99" s="1437"/>
      <c r="T99" s="1437"/>
      <c r="U99" s="1437"/>
      <c r="V99" s="1437"/>
      <c r="W99" s="1437"/>
      <c r="X99" s="1437"/>
      <c r="Y99" s="2563"/>
      <c r="Z99" s="2603"/>
      <c r="AA99" s="2603"/>
      <c r="AB99" s="2603"/>
      <c r="AC99" s="2610" t="s">
        <v>7134</v>
      </c>
      <c r="AD99" s="2610"/>
      <c r="AE99" s="2610"/>
      <c r="AF99" s="1372" t="s">
        <v>3571</v>
      </c>
      <c r="AG99" s="2566"/>
      <c r="AH99" s="1404"/>
      <c r="AI99" s="2609">
        <f>SUM(UnosPod!O1237:U1238)+SUM(UnosPod!O1241:U1243)</f>
        <v>0</v>
      </c>
      <c r="AJ99" s="2609"/>
      <c r="AK99" s="2609"/>
      <c r="AL99" s="2609"/>
      <c r="AM99" s="2609"/>
      <c r="AN99" s="2609"/>
      <c r="AO99" s="2609"/>
      <c r="AP99" s="2609">
        <f>Prethodna_2024!B502</f>
        <v>0</v>
      </c>
      <c r="AQ99" s="2609"/>
      <c r="AR99" s="2609"/>
      <c r="AS99" s="2609"/>
      <c r="AT99" s="2609"/>
      <c r="AU99" s="2609"/>
      <c r="AV99" s="2609"/>
    </row>
    <row r="100" ht="18" customHeight="1" spans="1:48">
      <c r="A100" s="2604" t="s">
        <v>4223</v>
      </c>
      <c r="B100" s="2605"/>
      <c r="C100" s="2591"/>
      <c r="D100" s="1436" t="str">
        <f>Text!B569</f>
        <v>Otplata glavnice uzetih kredita</v>
      </c>
      <c r="E100" s="1437"/>
      <c r="F100" s="1437"/>
      <c r="G100" s="1437"/>
      <c r="H100" s="1437"/>
      <c r="I100" s="1437"/>
      <c r="J100" s="1437"/>
      <c r="K100" s="1437"/>
      <c r="L100" s="1437"/>
      <c r="M100" s="1437"/>
      <c r="N100" s="1437"/>
      <c r="O100" s="1437"/>
      <c r="P100" s="1437"/>
      <c r="Q100" s="1437"/>
      <c r="R100" s="1437"/>
      <c r="S100" s="1437"/>
      <c r="T100" s="1437"/>
      <c r="U100" s="1437"/>
      <c r="V100" s="1437"/>
      <c r="W100" s="1437"/>
      <c r="X100" s="1437"/>
      <c r="Y100" s="2563"/>
      <c r="Z100" s="2603"/>
      <c r="AA100" s="2603"/>
      <c r="AB100" s="2603"/>
      <c r="AC100" s="2610" t="s">
        <v>5756</v>
      </c>
      <c r="AD100" s="2610"/>
      <c r="AE100" s="2610"/>
      <c r="AF100" s="1372" t="s">
        <v>3572</v>
      </c>
      <c r="AG100" s="2566"/>
      <c r="AH100" s="1404"/>
      <c r="AI100" s="2609">
        <f>(SUM(UnosPod!H1237:N1238)+SUM(UnosPod!H1241:N1243))*-1</f>
        <v>0</v>
      </c>
      <c r="AJ100" s="2609"/>
      <c r="AK100" s="2609"/>
      <c r="AL100" s="2609"/>
      <c r="AM100" s="2609"/>
      <c r="AN100" s="2609"/>
      <c r="AO100" s="2609"/>
      <c r="AP100" s="2609">
        <f>Prethodna_2024!B503</f>
        <v>-13023</v>
      </c>
      <c r="AQ100" s="2609"/>
      <c r="AR100" s="2609"/>
      <c r="AS100" s="2609"/>
      <c r="AT100" s="2609"/>
      <c r="AU100" s="2609"/>
      <c r="AV100" s="2609"/>
    </row>
    <row r="101" ht="18" customHeight="1" spans="1:48">
      <c r="A101" s="2604" t="s">
        <v>4225</v>
      </c>
      <c r="B101" s="2605"/>
      <c r="C101" s="2591"/>
      <c r="D101" s="1436" t="str">
        <f>Text!B570</f>
        <v>Otplata kamate po uzetim kreditima</v>
      </c>
      <c r="E101" s="1437"/>
      <c r="F101" s="1437"/>
      <c r="G101" s="1437"/>
      <c r="H101" s="1437"/>
      <c r="I101" s="1437"/>
      <c r="J101" s="1437"/>
      <c r="K101" s="1437"/>
      <c r="L101" s="1437"/>
      <c r="M101" s="1437"/>
      <c r="N101" s="1437"/>
      <c r="O101" s="1437"/>
      <c r="P101" s="1437"/>
      <c r="Q101" s="1437"/>
      <c r="R101" s="1437"/>
      <c r="S101" s="1437"/>
      <c r="T101" s="1437"/>
      <c r="U101" s="1437"/>
      <c r="V101" s="1437"/>
      <c r="W101" s="1437"/>
      <c r="X101" s="1437"/>
      <c r="Y101" s="2563"/>
      <c r="Z101" s="2603"/>
      <c r="AA101" s="2603"/>
      <c r="AB101" s="2603"/>
      <c r="AC101" s="2610" t="s">
        <v>5756</v>
      </c>
      <c r="AD101" s="2610"/>
      <c r="AE101" s="2610"/>
      <c r="AF101" s="1372" t="s">
        <v>608</v>
      </c>
      <c r="AG101" s="2566"/>
      <c r="AH101" s="1404"/>
      <c r="AI101" s="2609">
        <f>(UnosPod!H1255+UnosPod!H1257+UnosPod!H1258)*-1</f>
        <v>0</v>
      </c>
      <c r="AJ101" s="2609"/>
      <c r="AK101" s="2609"/>
      <c r="AL101" s="2609"/>
      <c r="AM101" s="2609"/>
      <c r="AN101" s="2609"/>
      <c r="AO101" s="2609"/>
      <c r="AP101" s="2609">
        <f>Prethodna_2024!B504</f>
        <v>0</v>
      </c>
      <c r="AQ101" s="2609"/>
      <c r="AR101" s="2609"/>
      <c r="AS101" s="2609"/>
      <c r="AT101" s="2609"/>
      <c r="AU101" s="2609"/>
      <c r="AV101" s="2609"/>
    </row>
    <row r="102" ht="18" customHeight="1" spans="1:48">
      <c r="A102" s="2604" t="s">
        <v>4227</v>
      </c>
      <c r="B102" s="2605"/>
      <c r="C102" s="2591"/>
      <c r="D102" s="1436" t="str">
        <f>Text!B571</f>
        <v>Otplata glavnice po najmovima</v>
      </c>
      <c r="E102" s="1437"/>
      <c r="F102" s="1437"/>
      <c r="G102" s="1437"/>
      <c r="H102" s="1437"/>
      <c r="I102" s="1437"/>
      <c r="J102" s="1437"/>
      <c r="K102" s="1437"/>
      <c r="L102" s="1437"/>
      <c r="M102" s="1437"/>
      <c r="N102" s="1437"/>
      <c r="O102" s="1437"/>
      <c r="P102" s="1437"/>
      <c r="Q102" s="1437"/>
      <c r="R102" s="1437"/>
      <c r="S102" s="1437"/>
      <c r="T102" s="1437"/>
      <c r="U102" s="1437"/>
      <c r="V102" s="1437"/>
      <c r="W102" s="1437"/>
      <c r="X102" s="1437"/>
      <c r="Y102" s="2563"/>
      <c r="Z102" s="2603"/>
      <c r="AA102" s="2603"/>
      <c r="AB102" s="2603"/>
      <c r="AC102" s="2610" t="s">
        <v>5756</v>
      </c>
      <c r="AD102" s="2610"/>
      <c r="AE102" s="2610"/>
      <c r="AF102" s="1372" t="s">
        <v>620</v>
      </c>
      <c r="AG102" s="2566"/>
      <c r="AH102" s="1404"/>
      <c r="AI102" s="2609">
        <f>(UnosPod!H1239+UnosPod!H1240)*-1</f>
        <v>0</v>
      </c>
      <c r="AJ102" s="2609"/>
      <c r="AK102" s="2609"/>
      <c r="AL102" s="2609"/>
      <c r="AM102" s="2609"/>
      <c r="AN102" s="2609"/>
      <c r="AO102" s="2609"/>
      <c r="AP102" s="2609">
        <f>Prethodna_2024!B505</f>
        <v>0</v>
      </c>
      <c r="AQ102" s="2609"/>
      <c r="AR102" s="2609"/>
      <c r="AS102" s="2609"/>
      <c r="AT102" s="2609"/>
      <c r="AU102" s="2609"/>
      <c r="AV102" s="2609"/>
    </row>
    <row r="103" ht="18" customHeight="1" spans="1:48">
      <c r="A103" s="2590" t="s">
        <v>4229</v>
      </c>
      <c r="B103" s="2590"/>
      <c r="C103" s="2590"/>
      <c r="D103" s="1436" t="str">
        <f>Text!B572</f>
        <v>Otplata kamate po najmovima</v>
      </c>
      <c r="E103" s="1437"/>
      <c r="F103" s="1437"/>
      <c r="G103" s="1437"/>
      <c r="H103" s="1437"/>
      <c r="I103" s="1437"/>
      <c r="J103" s="1437"/>
      <c r="K103" s="1437"/>
      <c r="L103" s="1437"/>
      <c r="M103" s="1437"/>
      <c r="N103" s="1437"/>
      <c r="O103" s="1437"/>
      <c r="P103" s="1437"/>
      <c r="Q103" s="1437"/>
      <c r="R103" s="1437"/>
      <c r="S103" s="1437"/>
      <c r="T103" s="1437"/>
      <c r="U103" s="1437"/>
      <c r="V103" s="1437"/>
      <c r="W103" s="1437"/>
      <c r="X103" s="1437"/>
      <c r="Y103" s="2563"/>
      <c r="Z103" s="2603"/>
      <c r="AA103" s="2603"/>
      <c r="AB103" s="2603"/>
      <c r="AC103" s="2610" t="s">
        <v>5756</v>
      </c>
      <c r="AD103" s="2610"/>
      <c r="AE103" s="2610"/>
      <c r="AF103" s="1372" t="s">
        <v>3573</v>
      </c>
      <c r="AG103" s="2566"/>
      <c r="AH103" s="1404"/>
      <c r="AI103" s="2609">
        <f>UnosPod!H1256*-1</f>
        <v>0</v>
      </c>
      <c r="AJ103" s="2609"/>
      <c r="AK103" s="2609"/>
      <c r="AL103" s="2609"/>
      <c r="AM103" s="2609"/>
      <c r="AN103" s="2609"/>
      <c r="AO103" s="2609"/>
      <c r="AP103" s="2609">
        <f>Prethodna_2024!B506</f>
        <v>0</v>
      </c>
      <c r="AQ103" s="2609"/>
      <c r="AR103" s="2609"/>
      <c r="AS103" s="2609"/>
      <c r="AT103" s="2609"/>
      <c r="AU103" s="2609"/>
      <c r="AV103" s="2609"/>
    </row>
    <row r="104" ht="18" customHeight="1" spans="1:48">
      <c r="A104" s="2590" t="s">
        <v>4231</v>
      </c>
      <c r="B104" s="2590"/>
      <c r="C104" s="2590"/>
      <c r="D104" s="1436" t="str">
        <f>Text!B573</f>
        <v>Prilivi po osnovu izdatih dužničkih instrumenata</v>
      </c>
      <c r="E104" s="1437"/>
      <c r="F104" s="1437"/>
      <c r="G104" s="1437"/>
      <c r="H104" s="1437"/>
      <c r="I104" s="1437"/>
      <c r="J104" s="1437"/>
      <c r="K104" s="1437"/>
      <c r="L104" s="1437"/>
      <c r="M104" s="1437"/>
      <c r="N104" s="1437"/>
      <c r="O104" s="1437"/>
      <c r="P104" s="1437"/>
      <c r="Q104" s="1437"/>
      <c r="R104" s="1437"/>
      <c r="S104" s="1437"/>
      <c r="T104" s="1437"/>
      <c r="U104" s="1437"/>
      <c r="V104" s="1437"/>
      <c r="W104" s="1437"/>
      <c r="X104" s="1437"/>
      <c r="Y104" s="2563"/>
      <c r="Z104" s="2603"/>
      <c r="AA104" s="2603"/>
      <c r="AB104" s="2603"/>
      <c r="AC104" s="2610" t="s">
        <v>7134</v>
      </c>
      <c r="AD104" s="2610"/>
      <c r="AE104" s="2610"/>
      <c r="AF104" s="1372" t="s">
        <v>3574</v>
      </c>
      <c r="AG104" s="2566"/>
      <c r="AH104" s="1404"/>
      <c r="AI104" s="2609">
        <f>UnosPod!O1204</f>
        <v>0</v>
      </c>
      <c r="AJ104" s="2609"/>
      <c r="AK104" s="2609"/>
      <c r="AL104" s="2609"/>
      <c r="AM104" s="2609"/>
      <c r="AN104" s="2609"/>
      <c r="AO104" s="2609"/>
      <c r="AP104" s="2609">
        <f>Prethodna_2024!B507</f>
        <v>0</v>
      </c>
      <c r="AQ104" s="2609"/>
      <c r="AR104" s="2609"/>
      <c r="AS104" s="2609"/>
      <c r="AT104" s="2609"/>
      <c r="AU104" s="2609"/>
      <c r="AV104" s="2609"/>
    </row>
    <row r="105" ht="18" customHeight="1" spans="1:48">
      <c r="A105" s="2590" t="s">
        <v>4233</v>
      </c>
      <c r="B105" s="2590"/>
      <c r="C105" s="2590"/>
      <c r="D105" s="1436" t="str">
        <f>Text!B574</f>
        <v>Odlivi po osnovu otplate izdatih dužničkih instrumenata</v>
      </c>
      <c r="E105" s="1437"/>
      <c r="F105" s="1437"/>
      <c r="G105" s="1437"/>
      <c r="H105" s="1437"/>
      <c r="I105" s="1437"/>
      <c r="J105" s="1437"/>
      <c r="K105" s="1437"/>
      <c r="L105" s="1437"/>
      <c r="M105" s="1437"/>
      <c r="N105" s="1437"/>
      <c r="O105" s="1437"/>
      <c r="P105" s="1437"/>
      <c r="Q105" s="1437"/>
      <c r="R105" s="1437"/>
      <c r="S105" s="1437"/>
      <c r="T105" s="1437"/>
      <c r="U105" s="1437"/>
      <c r="V105" s="1437"/>
      <c r="W105" s="1437"/>
      <c r="X105" s="1437"/>
      <c r="Y105" s="2563"/>
      <c r="Z105" s="2603"/>
      <c r="AA105" s="2603"/>
      <c r="AB105" s="2603"/>
      <c r="AC105" s="2610" t="s">
        <v>5756</v>
      </c>
      <c r="AD105" s="2610"/>
      <c r="AE105" s="2610"/>
      <c r="AF105" s="1372" t="s">
        <v>3575</v>
      </c>
      <c r="AG105" s="2566"/>
      <c r="AH105" s="1404"/>
      <c r="AI105" s="2609">
        <f>UnosPod!H1204*-1</f>
        <v>0</v>
      </c>
      <c r="AJ105" s="2609"/>
      <c r="AK105" s="2609"/>
      <c r="AL105" s="2609"/>
      <c r="AM105" s="2609"/>
      <c r="AN105" s="2609"/>
      <c r="AO105" s="2609"/>
      <c r="AP105" s="2609">
        <f>Prethodna_2024!B508</f>
        <v>0</v>
      </c>
      <c r="AQ105" s="2609"/>
      <c r="AR105" s="2609"/>
      <c r="AS105" s="2609"/>
      <c r="AT105" s="2609"/>
      <c r="AU105" s="2609"/>
      <c r="AV105" s="2609"/>
    </row>
    <row r="106" ht="18" customHeight="1" spans="1:48">
      <c r="A106" s="2590" t="s">
        <v>4235</v>
      </c>
      <c r="B106" s="2590"/>
      <c r="C106" s="2590"/>
      <c r="D106" s="1436" t="str">
        <f>Text!B575</f>
        <v>Ostali prilivi iz finansijskih aktivnosti</v>
      </c>
      <c r="E106" s="1437"/>
      <c r="F106" s="1437"/>
      <c r="G106" s="1437"/>
      <c r="H106" s="1437"/>
      <c r="I106" s="1437"/>
      <c r="J106" s="1437"/>
      <c r="K106" s="1437"/>
      <c r="L106" s="1437"/>
      <c r="M106" s="1437"/>
      <c r="N106" s="1437"/>
      <c r="O106" s="1437"/>
      <c r="P106" s="1437"/>
      <c r="Q106" s="1437"/>
      <c r="R106" s="1437"/>
      <c r="S106" s="1437"/>
      <c r="T106" s="1437"/>
      <c r="U106" s="1437"/>
      <c r="V106" s="1437"/>
      <c r="W106" s="1437"/>
      <c r="X106" s="1437"/>
      <c r="Y106" s="2563"/>
      <c r="Z106" s="2603"/>
      <c r="AA106" s="2603"/>
      <c r="AB106" s="2603"/>
      <c r="AC106" s="2610" t="s">
        <v>7134</v>
      </c>
      <c r="AD106" s="2610"/>
      <c r="AE106" s="2610"/>
      <c r="AF106" s="1372" t="s">
        <v>3576</v>
      </c>
      <c r="AG106" s="2566"/>
      <c r="AH106" s="1404"/>
      <c r="AI106" s="2609">
        <f>SUM(UnosPod!O1206:U1210)+SUM(UnosPod!O1225:U1227)+SUM(UnosPod!O1244:U1247)+UnosPod!O1264</f>
        <v>0</v>
      </c>
      <c r="AJ106" s="2609"/>
      <c r="AK106" s="2609"/>
      <c r="AL106" s="2609"/>
      <c r="AM106" s="2609"/>
      <c r="AN106" s="2609"/>
      <c r="AO106" s="2609"/>
      <c r="AP106" s="2609">
        <f>Prethodna_2024!B509</f>
        <v>0</v>
      </c>
      <c r="AQ106" s="2609"/>
      <c r="AR106" s="2609"/>
      <c r="AS106" s="2609"/>
      <c r="AT106" s="2609"/>
      <c r="AU106" s="2609"/>
      <c r="AV106" s="2609"/>
    </row>
    <row r="107" ht="18" customHeight="1" spans="1:48">
      <c r="A107" s="2590" t="s">
        <v>4236</v>
      </c>
      <c r="B107" s="2590"/>
      <c r="C107" s="2590"/>
      <c r="D107" s="1436" t="str">
        <f>Text!B576</f>
        <v>Ostali odlivi iz finansijskih aktivnosti</v>
      </c>
      <c r="E107" s="1437"/>
      <c r="F107" s="1437"/>
      <c r="G107" s="1437"/>
      <c r="H107" s="1437"/>
      <c r="I107" s="1437"/>
      <c r="J107" s="1437"/>
      <c r="K107" s="1437"/>
      <c r="L107" s="1437"/>
      <c r="M107" s="1437"/>
      <c r="N107" s="1437"/>
      <c r="O107" s="1437"/>
      <c r="P107" s="1437"/>
      <c r="Q107" s="1437"/>
      <c r="R107" s="1437"/>
      <c r="S107" s="1437"/>
      <c r="T107" s="1437"/>
      <c r="U107" s="1437"/>
      <c r="V107" s="1437"/>
      <c r="W107" s="1437"/>
      <c r="X107" s="1437"/>
      <c r="Y107" s="2563"/>
      <c r="Z107" s="2603"/>
      <c r="AA107" s="2603"/>
      <c r="AB107" s="2603"/>
      <c r="AC107" s="2610" t="s">
        <v>5756</v>
      </c>
      <c r="AD107" s="2610"/>
      <c r="AE107" s="2610"/>
      <c r="AF107" s="1372" t="s">
        <v>3577</v>
      </c>
      <c r="AG107" s="2566"/>
      <c r="AH107" s="1404"/>
      <c r="AI107" s="2609">
        <f>(SUM(UnosPod!H1206:N1210)+SUM(UnosPod!H1225:N1227)+SUM(UnosPod!H1244:N1248)+SUM(UnosPod!H1253:N1254)+UnosPod!H1264)*-1</f>
        <v>0</v>
      </c>
      <c r="AJ107" s="2609"/>
      <c r="AK107" s="2609"/>
      <c r="AL107" s="2609"/>
      <c r="AM107" s="2609"/>
      <c r="AN107" s="2609"/>
      <c r="AO107" s="2609"/>
      <c r="AP107" s="2609">
        <f>Prethodna_2024!B510</f>
        <v>0</v>
      </c>
      <c r="AQ107" s="2609"/>
      <c r="AR107" s="2609"/>
      <c r="AS107" s="2609"/>
      <c r="AT107" s="2609"/>
      <c r="AU107" s="2609"/>
      <c r="AV107" s="2609"/>
    </row>
    <row r="108" s="1757" customFormat="1" ht="21" customHeight="1" spans="1:48">
      <c r="A108" s="2615" t="s">
        <v>3951</v>
      </c>
      <c r="B108" s="2615"/>
      <c r="C108" s="2615"/>
      <c r="D108" s="2611" t="str">
        <f>Text!B577</f>
        <v>Neto gotovinski tok koji je generisan/(korišten) u finansijskim aktivnostima (565 do 577)</v>
      </c>
      <c r="E108" s="2612"/>
      <c r="F108" s="2612"/>
      <c r="G108" s="2612"/>
      <c r="H108" s="2612"/>
      <c r="I108" s="2612"/>
      <c r="J108" s="2612"/>
      <c r="K108" s="2612"/>
      <c r="L108" s="2612"/>
      <c r="M108" s="2612"/>
      <c r="N108" s="2612"/>
      <c r="O108" s="2612"/>
      <c r="P108" s="2612"/>
      <c r="Q108" s="2612"/>
      <c r="R108" s="2612"/>
      <c r="S108" s="2612"/>
      <c r="T108" s="2612"/>
      <c r="U108" s="2612"/>
      <c r="V108" s="2612"/>
      <c r="W108" s="2612"/>
      <c r="X108" s="2612"/>
      <c r="Y108" s="2613"/>
      <c r="Z108" s="2617"/>
      <c r="AA108" s="2617"/>
      <c r="AB108" s="2617"/>
      <c r="AC108" s="2618" t="s">
        <v>7135</v>
      </c>
      <c r="AD108" s="2618"/>
      <c r="AE108" s="2618"/>
      <c r="AF108" s="1372" t="s">
        <v>3578</v>
      </c>
      <c r="AG108" s="2566"/>
      <c r="AH108" s="1404"/>
      <c r="AI108" s="2622">
        <f>SUM(AI95:AO107)</f>
        <v>0</v>
      </c>
      <c r="AJ108" s="2622"/>
      <c r="AK108" s="2622"/>
      <c r="AL108" s="2622"/>
      <c r="AM108" s="2622"/>
      <c r="AN108" s="2622"/>
      <c r="AO108" s="2622"/>
      <c r="AP108" s="2625">
        <f>SUM(AP95:AV107)</f>
        <v>-13023</v>
      </c>
      <c r="AQ108" s="2625"/>
      <c r="AR108" s="2625"/>
      <c r="AS108" s="2625"/>
      <c r="AT108" s="2625"/>
      <c r="AU108" s="2625"/>
      <c r="AV108" s="2625"/>
    </row>
    <row r="109" ht="21" customHeight="1" spans="1:48">
      <c r="A109" s="2590" t="s">
        <v>3905</v>
      </c>
      <c r="B109" s="2590"/>
      <c r="C109" s="2590"/>
      <c r="D109" s="1402" t="str">
        <f>Text!B578</f>
        <v>NETO POVEĆANJE / (SMANJENJE) GOTOVINE I GOTOVINSKIH EKVIVALENATA (A+B+C)</v>
      </c>
      <c r="E109" s="1403"/>
      <c r="F109" s="1403"/>
      <c r="G109" s="1403"/>
      <c r="H109" s="1403"/>
      <c r="I109" s="1403"/>
      <c r="J109" s="1403"/>
      <c r="K109" s="1403"/>
      <c r="L109" s="1403"/>
      <c r="M109" s="1403"/>
      <c r="N109" s="1403"/>
      <c r="O109" s="1403"/>
      <c r="P109" s="1403"/>
      <c r="Q109" s="1403"/>
      <c r="R109" s="1403"/>
      <c r="S109" s="1403"/>
      <c r="T109" s="1403"/>
      <c r="U109" s="1403"/>
      <c r="V109" s="1403"/>
      <c r="W109" s="1403"/>
      <c r="X109" s="1403"/>
      <c r="Y109" s="2559"/>
      <c r="Z109" s="2603"/>
      <c r="AA109" s="2603"/>
      <c r="AB109" s="2603"/>
      <c r="AC109" s="2610" t="s">
        <v>7135</v>
      </c>
      <c r="AD109" s="2610"/>
      <c r="AE109" s="2610"/>
      <c r="AF109" s="1372" t="s">
        <v>3582</v>
      </c>
      <c r="AG109" s="2566"/>
      <c r="AH109" s="1404"/>
      <c r="AI109" s="2609">
        <f>AI59+AI93+AI108</f>
        <v>2280</v>
      </c>
      <c r="AJ109" s="2609"/>
      <c r="AK109" s="2609"/>
      <c r="AL109" s="2609"/>
      <c r="AM109" s="2609"/>
      <c r="AN109" s="2609"/>
      <c r="AO109" s="2609"/>
      <c r="AP109" s="2626">
        <f>AP59+AP93+AP108</f>
        <v>-349</v>
      </c>
      <c r="AQ109" s="2626"/>
      <c r="AR109" s="2626"/>
      <c r="AS109" s="2626"/>
      <c r="AT109" s="2626"/>
      <c r="AU109" s="2626"/>
      <c r="AV109" s="2626"/>
    </row>
    <row r="110" ht="21" customHeight="1" spans="1:48">
      <c r="A110" s="2590" t="s">
        <v>3915</v>
      </c>
      <c r="B110" s="2590"/>
      <c r="C110" s="2590"/>
      <c r="D110" s="1402" t="str">
        <f>Text!B579</f>
        <v>GOTOVINA I GOTOVINSKI EKVIVALENTI NA POČETKU PERIODA</v>
      </c>
      <c r="E110" s="1403"/>
      <c r="F110" s="1403"/>
      <c r="G110" s="1403"/>
      <c r="H110" s="1403"/>
      <c r="I110" s="1403"/>
      <c r="J110" s="1403"/>
      <c r="K110" s="1403"/>
      <c r="L110" s="1403"/>
      <c r="M110" s="1403"/>
      <c r="N110" s="1403"/>
      <c r="O110" s="1403"/>
      <c r="P110" s="1403"/>
      <c r="Q110" s="1403"/>
      <c r="R110" s="1403"/>
      <c r="S110" s="1403"/>
      <c r="T110" s="1403"/>
      <c r="U110" s="1403"/>
      <c r="V110" s="1403"/>
      <c r="W110" s="1403"/>
      <c r="X110" s="1403"/>
      <c r="Y110" s="2559"/>
      <c r="Z110" s="2603"/>
      <c r="AA110" s="2603"/>
      <c r="AB110" s="2603"/>
      <c r="AC110" s="2610" t="s">
        <v>7135</v>
      </c>
      <c r="AD110" s="2610"/>
      <c r="AE110" s="2610"/>
      <c r="AF110" s="1372" t="s">
        <v>3583</v>
      </c>
      <c r="AG110" s="2566"/>
      <c r="AH110" s="1404"/>
      <c r="AI110" s="2609">
        <f>UnosPod!H1268</f>
        <v>47</v>
      </c>
      <c r="AJ110" s="2609"/>
      <c r="AK110" s="2609"/>
      <c r="AL110" s="2609"/>
      <c r="AM110" s="2609"/>
      <c r="AN110" s="2609"/>
      <c r="AO110" s="2609"/>
      <c r="AP110" s="2609">
        <f>Prethodna_2024!B513</f>
        <v>396</v>
      </c>
      <c r="AQ110" s="2609"/>
      <c r="AR110" s="2609"/>
      <c r="AS110" s="2609"/>
      <c r="AT110" s="2609"/>
      <c r="AU110" s="2609"/>
      <c r="AV110" s="2609"/>
    </row>
    <row r="111" ht="21" customHeight="1" spans="1:48">
      <c r="A111" s="2590" t="s">
        <v>3918</v>
      </c>
      <c r="B111" s="2590"/>
      <c r="C111" s="2590"/>
      <c r="D111" s="1402" t="str">
        <f>Text!B580</f>
        <v>EFEKTI PROMJENE DEVIZNIH KURSEVA GOTOVINE I GOTOVINSKIH EKVIVALENATA</v>
      </c>
      <c r="E111" s="1403"/>
      <c r="F111" s="1403"/>
      <c r="G111" s="1403"/>
      <c r="H111" s="1403"/>
      <c r="I111" s="1403"/>
      <c r="J111" s="1403"/>
      <c r="K111" s="1403"/>
      <c r="L111" s="1403"/>
      <c r="M111" s="1403"/>
      <c r="N111" s="1403"/>
      <c r="O111" s="1403"/>
      <c r="P111" s="1403"/>
      <c r="Q111" s="1403"/>
      <c r="R111" s="1403"/>
      <c r="S111" s="1403"/>
      <c r="T111" s="1403"/>
      <c r="U111" s="1403"/>
      <c r="V111" s="1403"/>
      <c r="W111" s="1403"/>
      <c r="X111" s="1403"/>
      <c r="Y111" s="2559"/>
      <c r="Z111" s="2603"/>
      <c r="AA111" s="2603"/>
      <c r="AB111" s="2603"/>
      <c r="AC111" s="2610" t="s">
        <v>7135</v>
      </c>
      <c r="AD111" s="2610"/>
      <c r="AE111" s="2610"/>
      <c r="AF111" s="1372" t="s">
        <v>3584</v>
      </c>
      <c r="AG111" s="2566"/>
      <c r="AH111" s="1404"/>
      <c r="AI111" s="2609">
        <f>UnosPod!O1261-UnosPod!H1262</f>
        <v>0</v>
      </c>
      <c r="AJ111" s="2609"/>
      <c r="AK111" s="2609"/>
      <c r="AL111" s="2609"/>
      <c r="AM111" s="2609"/>
      <c r="AN111" s="2609"/>
      <c r="AO111" s="2609"/>
      <c r="AP111" s="2609">
        <f>Prethodna_2024!B514</f>
        <v>0</v>
      </c>
      <c r="AQ111" s="2609"/>
      <c r="AR111" s="2609"/>
      <c r="AS111" s="2609"/>
      <c r="AT111" s="2609"/>
      <c r="AU111" s="2609"/>
      <c r="AV111" s="2609"/>
    </row>
    <row r="112" ht="21" customHeight="1" spans="1:48">
      <c r="A112" s="2590" t="s">
        <v>3920</v>
      </c>
      <c r="B112" s="2590"/>
      <c r="C112" s="2590"/>
      <c r="D112" s="1402" t="str">
        <f>Text!B581</f>
        <v>GOTOVINA I GOTOVINSKI EKVIVALENTI NA KRAJU PERIODA (4+5+6)</v>
      </c>
      <c r="E112" s="1403"/>
      <c r="F112" s="1403"/>
      <c r="G112" s="1403"/>
      <c r="H112" s="1403"/>
      <c r="I112" s="1403"/>
      <c r="J112" s="1403"/>
      <c r="K112" s="1403"/>
      <c r="L112" s="1403"/>
      <c r="M112" s="1403"/>
      <c r="N112" s="1403"/>
      <c r="O112" s="1403"/>
      <c r="P112" s="1403"/>
      <c r="Q112" s="1403"/>
      <c r="R112" s="1403"/>
      <c r="S112" s="1403"/>
      <c r="T112" s="1403"/>
      <c r="U112" s="1403"/>
      <c r="V112" s="1403"/>
      <c r="W112" s="1403"/>
      <c r="X112" s="1403"/>
      <c r="Y112" s="2559"/>
      <c r="Z112" s="2603"/>
      <c r="AA112" s="2603"/>
      <c r="AB112" s="2603"/>
      <c r="AC112" s="2610" t="s">
        <v>7135</v>
      </c>
      <c r="AD112" s="2610"/>
      <c r="AE112" s="2610"/>
      <c r="AF112" s="1372" t="s">
        <v>3585</v>
      </c>
      <c r="AG112" s="2566"/>
      <c r="AH112" s="1404"/>
      <c r="AI112" s="2609">
        <f>UnosPod!H1269</f>
        <v>2327</v>
      </c>
      <c r="AJ112" s="2609"/>
      <c r="AK112" s="2609"/>
      <c r="AL112" s="2609"/>
      <c r="AM112" s="2609"/>
      <c r="AN112" s="2609"/>
      <c r="AO112" s="2609"/>
      <c r="AP112" s="2609">
        <f>Prethodna_2024!B515</f>
        <v>47</v>
      </c>
      <c r="AQ112" s="2609"/>
      <c r="AR112" s="2609"/>
      <c r="AS112" s="2609"/>
      <c r="AT112" s="2609"/>
      <c r="AU112" s="2609"/>
      <c r="AV112" s="2609"/>
    </row>
    <row r="113" spans="1:48">
      <c r="A113" s="874"/>
      <c r="B113" s="874"/>
      <c r="AI113" s="2627">
        <f>AI112-AI111-AI110-AI109</f>
        <v>0</v>
      </c>
      <c r="AJ113" s="2542"/>
      <c r="AK113" s="2542"/>
      <c r="AL113" s="2542"/>
      <c r="AM113" s="2542"/>
      <c r="AN113" s="2542"/>
      <c r="AO113" s="2542"/>
      <c r="AP113" s="2627">
        <f>AP112-AP111-AP110-AP109</f>
        <v>0</v>
      </c>
      <c r="AQ113" s="2542"/>
      <c r="AR113" s="2542"/>
      <c r="AS113" s="2542"/>
      <c r="AT113" s="2542"/>
      <c r="AU113" s="2542"/>
      <c r="AV113" s="2542"/>
    </row>
    <row r="114" s="876" customFormat="1" spans="1:48">
      <c r="A114" s="886"/>
    </row>
    <row r="115" s="1340" customFormat="1" ht="14.25" customHeight="1" spans="1:48">
      <c r="A115" s="1440" t="str">
        <f>Text!B43</f>
        <v>U</v>
      </c>
      <c r="B115" s="1440"/>
      <c r="C115" s="1340" t="str">
        <f>Sjedište</f>
        <v>Sarajevo-Stari Grad</v>
      </c>
      <c r="AM115" s="1244" t="str">
        <f>Text!B44</f>
        <v>Direktor</v>
      </c>
      <c r="AN115" s="1244"/>
      <c r="AO115" s="1244"/>
      <c r="AP115" s="1244"/>
      <c r="AQ115" s="1244"/>
      <c r="AR115" s="1244"/>
      <c r="AS115" s="1244"/>
      <c r="AT115" s="1244"/>
      <c r="AU115" s="1244"/>
      <c r="AV115" s="1244"/>
    </row>
    <row r="116" s="1340" customFormat="1" ht="14.25" customHeight="1" spans="1:48">
      <c r="A116" s="1440" t="str">
        <f>Text!B40</f>
        <v>Dana</v>
      </c>
      <c r="B116" s="1440"/>
      <c r="C116" s="1441" t="str">
        <f>UnosPod!AA22&amp;UnosPod!AB22&amp;"."&amp;UnosPod!AC22&amp;UnosPod!AD22&amp;"."&amp;UnosPod!AE22&amp;UnosPod!AF22&amp;UnosPod!AG22&amp;UnosPod!AH22&amp;"."&amp;Text!B31</f>
        <v>28.02.2026.godine</v>
      </c>
      <c r="D116" s="1441"/>
      <c r="E116" s="1441"/>
      <c r="F116" s="1441"/>
      <c r="G116" s="1441"/>
      <c r="O116" s="1440" t="str">
        <f>Text!B41</f>
        <v>Certificirani računovođa : </v>
      </c>
      <c r="P116" s="1442" t="str">
        <f>Racunovoda</f>
        <v>Elvira Žilić</v>
      </c>
      <c r="AI116" s="1340" t="s">
        <v>7039</v>
      </c>
      <c r="AN116" s="1443"/>
      <c r="AO116" s="1443"/>
      <c r="AP116" s="1443"/>
      <c r="AQ116" s="1443"/>
      <c r="AR116" s="1443"/>
      <c r="AS116" s="1443"/>
      <c r="AT116" s="1443"/>
      <c r="AU116" s="1443"/>
      <c r="AV116" s="1443"/>
    </row>
    <row r="117" s="1340" customFormat="1" ht="14.25" customHeight="1" spans="1:48">
      <c r="O117" s="1440" t="str">
        <f>Text!B42</f>
        <v>Broj dozvole : </v>
      </c>
      <c r="P117" s="1444" t="str">
        <f>UnosPod!AA3</f>
        <v>CR-8559/5</v>
      </c>
      <c r="Q117" s="1445"/>
      <c r="R117" s="1445"/>
      <c r="S117" s="1445"/>
      <c r="T117" s="1445"/>
      <c r="U117" s="1445"/>
      <c r="V117" s="1445"/>
      <c r="W117" s="1445"/>
      <c r="X117" s="1445"/>
      <c r="AM117" s="1446" t="str">
        <f>Direktor</f>
        <v>Nedim Vilogorac</v>
      </c>
      <c r="AN117" s="1446"/>
      <c r="AO117" s="1446"/>
      <c r="AP117" s="1446"/>
      <c r="AQ117" s="1446"/>
      <c r="AR117" s="1446"/>
      <c r="AS117" s="1446"/>
      <c r="AT117" s="1446"/>
      <c r="AU117" s="1446"/>
      <c r="AV117" s="1446"/>
    </row>
    <row r="118" s="1340" customFormat="1" ht="14.25" customHeight="1"/>
  </sheetData>
  <mergeCells count="657">
    <mergeCell ref="AM1:AV1"/>
    <mergeCell ref="AL2:AV2"/>
    <mergeCell ref="AM3:AV3"/>
    <mergeCell ref="AL4:AV4"/>
    <mergeCell ref="A8:J8"/>
    <mergeCell ref="AM8:AV8"/>
    <mergeCell ref="A10:J10"/>
    <mergeCell ref="A12:AV12"/>
    <mergeCell ref="A13:AV13"/>
    <mergeCell ref="A14:AV14"/>
    <mergeCell ref="A15:AV15"/>
    <mergeCell ref="AC17:AE17"/>
    <mergeCell ref="AF17:AH17"/>
    <mergeCell ref="AI17:AO17"/>
    <mergeCell ref="AP17:AV17"/>
    <mergeCell ref="AC18:AE18"/>
    <mergeCell ref="AF18:AH18"/>
    <mergeCell ref="AI18:AO18"/>
    <mergeCell ref="AP18:AV18"/>
    <mergeCell ref="A19:C19"/>
    <mergeCell ref="D19:Y19"/>
    <mergeCell ref="Z19:AB19"/>
    <mergeCell ref="AC19:AE19"/>
    <mergeCell ref="AF19:AH19"/>
    <mergeCell ref="AI19:AO19"/>
    <mergeCell ref="AP19:AV19"/>
    <mergeCell ref="A20:C20"/>
    <mergeCell ref="D20:Y20"/>
    <mergeCell ref="Z20:AB20"/>
    <mergeCell ref="AC20:AE20"/>
    <mergeCell ref="AF20:AH20"/>
    <mergeCell ref="AI20:AO20"/>
    <mergeCell ref="AP20:AV20"/>
    <mergeCell ref="A21:C21"/>
    <mergeCell ref="D21:Y21"/>
    <mergeCell ref="Z21:AB21"/>
    <mergeCell ref="AC21:AE21"/>
    <mergeCell ref="AF21:AH21"/>
    <mergeCell ref="AI21:AO21"/>
    <mergeCell ref="AP21:AV21"/>
    <mergeCell ref="A22:C22"/>
    <mergeCell ref="D22:Y22"/>
    <mergeCell ref="Z22:AB22"/>
    <mergeCell ref="AC22:AE22"/>
    <mergeCell ref="AF22:AH22"/>
    <mergeCell ref="AI22:AO22"/>
    <mergeCell ref="AP22:AV22"/>
    <mergeCell ref="A23:C23"/>
    <mergeCell ref="D23:Y23"/>
    <mergeCell ref="Z23:AB23"/>
    <mergeCell ref="AC23:AE23"/>
    <mergeCell ref="AF23:AH23"/>
    <mergeCell ref="AI23:AO23"/>
    <mergeCell ref="AP23:AV23"/>
    <mergeCell ref="A24:C24"/>
    <mergeCell ref="D24:Y24"/>
    <mergeCell ref="Z24:AB24"/>
    <mergeCell ref="AC24:AE24"/>
    <mergeCell ref="AF24:AH24"/>
    <mergeCell ref="AI24:AO24"/>
    <mergeCell ref="AP24:AV24"/>
    <mergeCell ref="A25:C25"/>
    <mergeCell ref="D25:Y25"/>
    <mergeCell ref="Z25:AB25"/>
    <mergeCell ref="AC25:AE25"/>
    <mergeCell ref="AF25:AH25"/>
    <mergeCell ref="AI25:AO25"/>
    <mergeCell ref="AP25:AV25"/>
    <mergeCell ref="A26:C26"/>
    <mergeCell ref="D26:Y26"/>
    <mergeCell ref="Z26:AB26"/>
    <mergeCell ref="AC26:AE26"/>
    <mergeCell ref="AF26:AH26"/>
    <mergeCell ref="AI26:AO26"/>
    <mergeCell ref="AP26:AV26"/>
    <mergeCell ref="A27:C27"/>
    <mergeCell ref="D27:Y27"/>
    <mergeCell ref="Z27:AB27"/>
    <mergeCell ref="AC27:AE27"/>
    <mergeCell ref="AF27:AH27"/>
    <mergeCell ref="AI27:AO27"/>
    <mergeCell ref="AP27:AV27"/>
    <mergeCell ref="A28:C28"/>
    <mergeCell ref="D28:Y28"/>
    <mergeCell ref="Z28:AB28"/>
    <mergeCell ref="AC28:AE28"/>
    <mergeCell ref="AF28:AH28"/>
    <mergeCell ref="AI28:AO28"/>
    <mergeCell ref="AP28:AV28"/>
    <mergeCell ref="A29:C29"/>
    <mergeCell ref="D29:Y29"/>
    <mergeCell ref="Z29:AB29"/>
    <mergeCell ref="AC29:AE29"/>
    <mergeCell ref="AF29:AH29"/>
    <mergeCell ref="AI29:AO29"/>
    <mergeCell ref="AP29:AV29"/>
    <mergeCell ref="A30:C30"/>
    <mergeCell ref="D30:Y30"/>
    <mergeCell ref="Z30:AB30"/>
    <mergeCell ref="AC30:AE30"/>
    <mergeCell ref="AF30:AH30"/>
    <mergeCell ref="AI30:AO30"/>
    <mergeCell ref="AP30:AV30"/>
    <mergeCell ref="A31:C31"/>
    <mergeCell ref="D31:Y31"/>
    <mergeCell ref="Z31:AB31"/>
    <mergeCell ref="AC31:AE31"/>
    <mergeCell ref="AF31:AH31"/>
    <mergeCell ref="AI31:AO31"/>
    <mergeCell ref="AP31:AV31"/>
    <mergeCell ref="A32:C32"/>
    <mergeCell ref="D32:Y32"/>
    <mergeCell ref="Z32:AB32"/>
    <mergeCell ref="AC32:AE32"/>
    <mergeCell ref="AF32:AH32"/>
    <mergeCell ref="AI32:AO32"/>
    <mergeCell ref="AP32:AV32"/>
    <mergeCell ref="A33:C33"/>
    <mergeCell ref="D33:Y33"/>
    <mergeCell ref="Z33:AB33"/>
    <mergeCell ref="AC33:AE33"/>
    <mergeCell ref="AF33:AH33"/>
    <mergeCell ref="AI33:AO33"/>
    <mergeCell ref="AP33:AV33"/>
    <mergeCell ref="A34:C34"/>
    <mergeCell ref="D34:Y34"/>
    <mergeCell ref="Z34:AB34"/>
    <mergeCell ref="AC34:AE34"/>
    <mergeCell ref="AF34:AH34"/>
    <mergeCell ref="AI34:AO34"/>
    <mergeCell ref="AP34:AV34"/>
    <mergeCell ref="A35:C35"/>
    <mergeCell ref="D35:Y35"/>
    <mergeCell ref="Z35:AB35"/>
    <mergeCell ref="AC35:AE35"/>
    <mergeCell ref="AF35:AH35"/>
    <mergeCell ref="AI35:AO35"/>
    <mergeCell ref="AP35:AV35"/>
    <mergeCell ref="A36:C36"/>
    <mergeCell ref="D36:Y36"/>
    <mergeCell ref="Z36:AB36"/>
    <mergeCell ref="AC36:AE36"/>
    <mergeCell ref="AF36:AH36"/>
    <mergeCell ref="AI36:AO36"/>
    <mergeCell ref="AP36:AV36"/>
    <mergeCell ref="A37:C37"/>
    <mergeCell ref="D37:Y37"/>
    <mergeCell ref="Z37:AB37"/>
    <mergeCell ref="AC37:AE37"/>
    <mergeCell ref="AF37:AH37"/>
    <mergeCell ref="AI37:AO37"/>
    <mergeCell ref="AP37:AV37"/>
    <mergeCell ref="A38:C38"/>
    <mergeCell ref="D38:Y38"/>
    <mergeCell ref="Z38:AB38"/>
    <mergeCell ref="AC38:AE38"/>
    <mergeCell ref="AF38:AH38"/>
    <mergeCell ref="AI38:AO38"/>
    <mergeCell ref="AP38:AV38"/>
    <mergeCell ref="A39:C39"/>
    <mergeCell ref="D39:Y39"/>
    <mergeCell ref="Z39:AB39"/>
    <mergeCell ref="AC39:AE39"/>
    <mergeCell ref="AF39:AH39"/>
    <mergeCell ref="AI39:AO39"/>
    <mergeCell ref="AP39:AV39"/>
    <mergeCell ref="A42:C42"/>
    <mergeCell ref="D42:Y42"/>
    <mergeCell ref="Z42:AB42"/>
    <mergeCell ref="AC42:AE42"/>
    <mergeCell ref="AF42:AH42"/>
    <mergeCell ref="AI42:AO42"/>
    <mergeCell ref="AP42:AV42"/>
    <mergeCell ref="A43:C43"/>
    <mergeCell ref="D43:Y43"/>
    <mergeCell ref="Z43:AB43"/>
    <mergeCell ref="AC43:AE43"/>
    <mergeCell ref="AF43:AH43"/>
    <mergeCell ref="AI43:AO43"/>
    <mergeCell ref="AP43:AV43"/>
    <mergeCell ref="A44:C44"/>
    <mergeCell ref="D44:Y44"/>
    <mergeCell ref="Z44:AB44"/>
    <mergeCell ref="AC44:AE44"/>
    <mergeCell ref="AF44:AH44"/>
    <mergeCell ref="AI44:AO44"/>
    <mergeCell ref="AP44:AV44"/>
    <mergeCell ref="A45:C45"/>
    <mergeCell ref="D45:Y45"/>
    <mergeCell ref="Z45:AB45"/>
    <mergeCell ref="AC45:AE45"/>
    <mergeCell ref="AF45:AH45"/>
    <mergeCell ref="AI45:AO45"/>
    <mergeCell ref="AP45:AV45"/>
    <mergeCell ref="A46:C46"/>
    <mergeCell ref="D46:Y46"/>
    <mergeCell ref="Z46:AB46"/>
    <mergeCell ref="AC46:AE46"/>
    <mergeCell ref="AF46:AH46"/>
    <mergeCell ref="AI46:AO46"/>
    <mergeCell ref="AP46:AV46"/>
    <mergeCell ref="A47:C47"/>
    <mergeCell ref="D47:Y47"/>
    <mergeCell ref="Z47:AB47"/>
    <mergeCell ref="AC47:AE47"/>
    <mergeCell ref="AF47:AH47"/>
    <mergeCell ref="AI47:AO47"/>
    <mergeCell ref="AP47:AV47"/>
    <mergeCell ref="A48:C48"/>
    <mergeCell ref="D48:Y48"/>
    <mergeCell ref="Z48:AB48"/>
    <mergeCell ref="AC48:AE48"/>
    <mergeCell ref="AF48:AH48"/>
    <mergeCell ref="AI48:AO48"/>
    <mergeCell ref="AP48:AV48"/>
    <mergeCell ref="A49:C49"/>
    <mergeCell ref="D49:Y49"/>
    <mergeCell ref="Z49:AB49"/>
    <mergeCell ref="AC49:AE49"/>
    <mergeCell ref="AF49:AH49"/>
    <mergeCell ref="AI49:AO49"/>
    <mergeCell ref="AP49:AV49"/>
    <mergeCell ref="A50:C50"/>
    <mergeCell ref="D50:Y50"/>
    <mergeCell ref="Z50:AB50"/>
    <mergeCell ref="AC50:AE50"/>
    <mergeCell ref="AI50:AO50"/>
    <mergeCell ref="AP50:AV50"/>
    <mergeCell ref="A51:C51"/>
    <mergeCell ref="D51:Y51"/>
    <mergeCell ref="Z51:AB51"/>
    <mergeCell ref="AC51:AE51"/>
    <mergeCell ref="AF51:AH51"/>
    <mergeCell ref="AI51:AO51"/>
    <mergeCell ref="AP51:AV51"/>
    <mergeCell ref="A52:C52"/>
    <mergeCell ref="D52:Y52"/>
    <mergeCell ref="Z52:AB52"/>
    <mergeCell ref="AC52:AE52"/>
    <mergeCell ref="AF52:AH52"/>
    <mergeCell ref="AI52:AO52"/>
    <mergeCell ref="AP52:AV52"/>
    <mergeCell ref="A53:C53"/>
    <mergeCell ref="D53:Y53"/>
    <mergeCell ref="Z53:AB53"/>
    <mergeCell ref="AC53:AE53"/>
    <mergeCell ref="AF53:AH53"/>
    <mergeCell ref="AI53:AO53"/>
    <mergeCell ref="AP53:AV53"/>
    <mergeCell ref="A54:C54"/>
    <mergeCell ref="D54:Y54"/>
    <mergeCell ref="Z54:AB54"/>
    <mergeCell ref="AC54:AE54"/>
    <mergeCell ref="AF54:AH54"/>
    <mergeCell ref="AI54:AO54"/>
    <mergeCell ref="AP54:AV54"/>
    <mergeCell ref="A55:C55"/>
    <mergeCell ref="D55:Y55"/>
    <mergeCell ref="Z55:AB55"/>
    <mergeCell ref="AC55:AE55"/>
    <mergeCell ref="AF55:AH55"/>
    <mergeCell ref="AI55:AO55"/>
    <mergeCell ref="AP55:AV55"/>
    <mergeCell ref="A56:C56"/>
    <mergeCell ref="D56:Y56"/>
    <mergeCell ref="Z56:AB56"/>
    <mergeCell ref="AC56:AE56"/>
    <mergeCell ref="AF56:AH56"/>
    <mergeCell ref="AI56:AO56"/>
    <mergeCell ref="AP56:AV56"/>
    <mergeCell ref="A57:C57"/>
    <mergeCell ref="D57:Y57"/>
    <mergeCell ref="Z57:AB57"/>
    <mergeCell ref="AC57:AE57"/>
    <mergeCell ref="AF57:AH57"/>
    <mergeCell ref="AI57:AO57"/>
    <mergeCell ref="AP57:AV57"/>
    <mergeCell ref="A58:C58"/>
    <mergeCell ref="D58:Y58"/>
    <mergeCell ref="Z58:AB58"/>
    <mergeCell ref="AC58:AE58"/>
    <mergeCell ref="AF58:AH58"/>
    <mergeCell ref="AI58:AO58"/>
    <mergeCell ref="AP58:AV58"/>
    <mergeCell ref="A59:C59"/>
    <mergeCell ref="D59:Y59"/>
    <mergeCell ref="Z59:AB59"/>
    <mergeCell ref="AC59:AE59"/>
    <mergeCell ref="AF59:AH59"/>
    <mergeCell ref="AI59:AO59"/>
    <mergeCell ref="AP59:AV59"/>
    <mergeCell ref="A60:C60"/>
    <mergeCell ref="D60:Y60"/>
    <mergeCell ref="Z60:AB60"/>
    <mergeCell ref="AC60:AE60"/>
    <mergeCell ref="AI60:AO60"/>
    <mergeCell ref="AP60:AV60"/>
    <mergeCell ref="A61:C61"/>
    <mergeCell ref="D61:Y61"/>
    <mergeCell ref="Z61:AB61"/>
    <mergeCell ref="AC61:AE61"/>
    <mergeCell ref="AF61:AH61"/>
    <mergeCell ref="AI61:AO61"/>
    <mergeCell ref="AP61:AV61"/>
    <mergeCell ref="A62:C62"/>
    <mergeCell ref="D62:Y62"/>
    <mergeCell ref="Z62:AB62"/>
    <mergeCell ref="AC62:AE62"/>
    <mergeCell ref="AF62:AH62"/>
    <mergeCell ref="AI62:AO62"/>
    <mergeCell ref="AP62:AV62"/>
    <mergeCell ref="A63:C63"/>
    <mergeCell ref="D63:Y63"/>
    <mergeCell ref="Z63:AB63"/>
    <mergeCell ref="AC63:AE63"/>
    <mergeCell ref="AF63:AH63"/>
    <mergeCell ref="AI63:AO63"/>
    <mergeCell ref="AP63:AV63"/>
    <mergeCell ref="A64:C64"/>
    <mergeCell ref="D64:Y64"/>
    <mergeCell ref="Z64:AB64"/>
    <mergeCell ref="AC64:AE64"/>
    <mergeCell ref="AF64:AH64"/>
    <mergeCell ref="AI64:AO64"/>
    <mergeCell ref="AP64:AV64"/>
    <mergeCell ref="A65:C65"/>
    <mergeCell ref="D65:Y65"/>
    <mergeCell ref="Z65:AB65"/>
    <mergeCell ref="AC65:AE65"/>
    <mergeCell ref="AF65:AH65"/>
    <mergeCell ref="AI65:AO65"/>
    <mergeCell ref="AP65:AV65"/>
    <mergeCell ref="A66:C66"/>
    <mergeCell ref="D66:Y66"/>
    <mergeCell ref="Z66:AB66"/>
    <mergeCell ref="AC66:AE66"/>
    <mergeCell ref="AF66:AH66"/>
    <mergeCell ref="AI66:AO66"/>
    <mergeCell ref="AP66:AV66"/>
    <mergeCell ref="A67:C67"/>
    <mergeCell ref="D67:Y67"/>
    <mergeCell ref="Z67:AB67"/>
    <mergeCell ref="AC67:AE67"/>
    <mergeCell ref="AF67:AH67"/>
    <mergeCell ref="AI67:AO67"/>
    <mergeCell ref="AP67:AV67"/>
    <mergeCell ref="A68:C68"/>
    <mergeCell ref="D68:Y68"/>
    <mergeCell ref="Z68:AB68"/>
    <mergeCell ref="AC68:AE68"/>
    <mergeCell ref="AF68:AH68"/>
    <mergeCell ref="AI68:AO68"/>
    <mergeCell ref="AP68:AV68"/>
    <mergeCell ref="A69:C69"/>
    <mergeCell ref="D69:Y69"/>
    <mergeCell ref="Z69:AB69"/>
    <mergeCell ref="AC69:AE69"/>
    <mergeCell ref="AF69:AH69"/>
    <mergeCell ref="AI69:AO69"/>
    <mergeCell ref="AP69:AV69"/>
    <mergeCell ref="A70:C70"/>
    <mergeCell ref="D70:Y70"/>
    <mergeCell ref="Z70:AB70"/>
    <mergeCell ref="AC70:AE70"/>
    <mergeCell ref="AF70:AH70"/>
    <mergeCell ref="AI70:AO70"/>
    <mergeCell ref="AP70:AV70"/>
    <mergeCell ref="A71:C71"/>
    <mergeCell ref="D71:Y71"/>
    <mergeCell ref="Z71:AB71"/>
    <mergeCell ref="AC71:AE71"/>
    <mergeCell ref="AF71:AH71"/>
    <mergeCell ref="AI71:AO71"/>
    <mergeCell ref="AP71:AV71"/>
    <mergeCell ref="A72:C72"/>
    <mergeCell ref="D72:Y72"/>
    <mergeCell ref="Z72:AB72"/>
    <mergeCell ref="AC72:AE72"/>
    <mergeCell ref="AF72:AH72"/>
    <mergeCell ref="AI72:AO72"/>
    <mergeCell ref="AP72:AV72"/>
    <mergeCell ref="A73:C73"/>
    <mergeCell ref="D73:Y73"/>
    <mergeCell ref="Z73:AB73"/>
    <mergeCell ref="AC73:AE73"/>
    <mergeCell ref="AF73:AH73"/>
    <mergeCell ref="AI73:AO73"/>
    <mergeCell ref="AP73:AV73"/>
    <mergeCell ref="A74:C74"/>
    <mergeCell ref="D74:Y74"/>
    <mergeCell ref="Z74:AB74"/>
    <mergeCell ref="AC74:AE74"/>
    <mergeCell ref="AF74:AH74"/>
    <mergeCell ref="AI74:AO74"/>
    <mergeCell ref="AP74:AV74"/>
    <mergeCell ref="A75:C75"/>
    <mergeCell ref="D75:Y75"/>
    <mergeCell ref="Z75:AB75"/>
    <mergeCell ref="AC75:AE75"/>
    <mergeCell ref="AF75:AH75"/>
    <mergeCell ref="AI75:AO75"/>
    <mergeCell ref="AP75:AV75"/>
    <mergeCell ref="A76:C76"/>
    <mergeCell ref="D76:Y76"/>
    <mergeCell ref="Z76:AB76"/>
    <mergeCell ref="AC76:AE76"/>
    <mergeCell ref="AF76:AH76"/>
    <mergeCell ref="AI76:AO76"/>
    <mergeCell ref="AP76:AV76"/>
    <mergeCell ref="A77:C77"/>
    <mergeCell ref="D77:Y77"/>
    <mergeCell ref="Z77:AB77"/>
    <mergeCell ref="AC77:AE77"/>
    <mergeCell ref="AF77:AH77"/>
    <mergeCell ref="AI77:AO77"/>
    <mergeCell ref="AP77:AV77"/>
    <mergeCell ref="A78:C78"/>
    <mergeCell ref="D78:Y78"/>
    <mergeCell ref="Z78:AB78"/>
    <mergeCell ref="AC78:AE78"/>
    <mergeCell ref="AF78:AH78"/>
    <mergeCell ref="AI78:AO78"/>
    <mergeCell ref="AP78:AV78"/>
    <mergeCell ref="A79:C79"/>
    <mergeCell ref="D79:Y79"/>
    <mergeCell ref="Z79:AB79"/>
    <mergeCell ref="AC79:AE79"/>
    <mergeCell ref="AF79:AH79"/>
    <mergeCell ref="AI79:AO79"/>
    <mergeCell ref="AP79:AV79"/>
    <mergeCell ref="A80:C80"/>
    <mergeCell ref="D80:Y80"/>
    <mergeCell ref="Z80:AB80"/>
    <mergeCell ref="AC80:AE80"/>
    <mergeCell ref="AF80:AH80"/>
    <mergeCell ref="AI80:AO80"/>
    <mergeCell ref="AP80:AV80"/>
    <mergeCell ref="A83:C83"/>
    <mergeCell ref="D83:Y83"/>
    <mergeCell ref="Z83:AB83"/>
    <mergeCell ref="AC83:AE83"/>
    <mergeCell ref="AF83:AH83"/>
    <mergeCell ref="AI83:AO83"/>
    <mergeCell ref="AP83:AV83"/>
    <mergeCell ref="A84:C84"/>
    <mergeCell ref="D84:Y84"/>
    <mergeCell ref="Z84:AB84"/>
    <mergeCell ref="AC84:AE84"/>
    <mergeCell ref="AF84:AH84"/>
    <mergeCell ref="AI84:AO84"/>
    <mergeCell ref="AP84:AV84"/>
    <mergeCell ref="A85:C85"/>
    <mergeCell ref="D85:Y85"/>
    <mergeCell ref="Z85:AB85"/>
    <mergeCell ref="AC85:AE85"/>
    <mergeCell ref="AF85:AH85"/>
    <mergeCell ref="AI85:AO85"/>
    <mergeCell ref="AP85:AV85"/>
    <mergeCell ref="A86:C86"/>
    <mergeCell ref="D86:Y86"/>
    <mergeCell ref="Z86:AB86"/>
    <mergeCell ref="AC86:AE86"/>
    <mergeCell ref="AF86:AH86"/>
    <mergeCell ref="AI86:AO86"/>
    <mergeCell ref="AP86:AV86"/>
    <mergeCell ref="A87:C87"/>
    <mergeCell ref="D87:Y87"/>
    <mergeCell ref="Z87:AB87"/>
    <mergeCell ref="AC87:AE87"/>
    <mergeCell ref="AF87:AH87"/>
    <mergeCell ref="AI87:AO87"/>
    <mergeCell ref="AP87:AV87"/>
    <mergeCell ref="A88:C88"/>
    <mergeCell ref="D88:Y88"/>
    <mergeCell ref="Z88:AB88"/>
    <mergeCell ref="AC88:AE88"/>
    <mergeCell ref="AF88:AH88"/>
    <mergeCell ref="AI88:AO88"/>
    <mergeCell ref="AP88:AV88"/>
    <mergeCell ref="A89:C89"/>
    <mergeCell ref="D89:Y89"/>
    <mergeCell ref="Z89:AB89"/>
    <mergeCell ref="AC89:AE89"/>
    <mergeCell ref="AF89:AH89"/>
    <mergeCell ref="AI89:AO89"/>
    <mergeCell ref="AP89:AV89"/>
    <mergeCell ref="A90:C90"/>
    <mergeCell ref="D90:Y90"/>
    <mergeCell ref="Z90:AB90"/>
    <mergeCell ref="AC90:AE90"/>
    <mergeCell ref="AF90:AH90"/>
    <mergeCell ref="AI90:AO90"/>
    <mergeCell ref="AP90:AV90"/>
    <mergeCell ref="A91:C91"/>
    <mergeCell ref="D91:Y91"/>
    <mergeCell ref="Z91:AB91"/>
    <mergeCell ref="AC91:AE91"/>
    <mergeCell ref="AF91:AH91"/>
    <mergeCell ref="AI91:AO91"/>
    <mergeCell ref="AP91:AV91"/>
    <mergeCell ref="A92:C92"/>
    <mergeCell ref="D92:Y92"/>
    <mergeCell ref="Z92:AB92"/>
    <mergeCell ref="AC92:AE92"/>
    <mergeCell ref="AF92:AH92"/>
    <mergeCell ref="AI92:AO92"/>
    <mergeCell ref="AP92:AV92"/>
    <mergeCell ref="A93:C93"/>
    <mergeCell ref="D93:Y93"/>
    <mergeCell ref="Z93:AB93"/>
    <mergeCell ref="AC93:AE93"/>
    <mergeCell ref="AF93:AH93"/>
    <mergeCell ref="AI93:AO93"/>
    <mergeCell ref="AP93:AV93"/>
    <mergeCell ref="A94:C94"/>
    <mergeCell ref="D94:Y94"/>
    <mergeCell ref="Z94:AB94"/>
    <mergeCell ref="AC94:AE94"/>
    <mergeCell ref="AI94:AO94"/>
    <mergeCell ref="AP94:AV94"/>
    <mergeCell ref="A95:C95"/>
    <mergeCell ref="D95:Y95"/>
    <mergeCell ref="Z95:AB95"/>
    <mergeCell ref="AC95:AE95"/>
    <mergeCell ref="AF95:AH95"/>
    <mergeCell ref="AI95:AO95"/>
    <mergeCell ref="AP95:AV95"/>
    <mergeCell ref="A96:C96"/>
    <mergeCell ref="D96:Y96"/>
    <mergeCell ref="Z96:AB96"/>
    <mergeCell ref="AC96:AE96"/>
    <mergeCell ref="AF96:AH96"/>
    <mergeCell ref="AI96:AO96"/>
    <mergeCell ref="AP96:AV96"/>
    <mergeCell ref="A97:C97"/>
    <mergeCell ref="D97:Y97"/>
    <mergeCell ref="Z97:AB97"/>
    <mergeCell ref="AC97:AE97"/>
    <mergeCell ref="AF97:AH97"/>
    <mergeCell ref="AI97:AO97"/>
    <mergeCell ref="AP97:AV97"/>
    <mergeCell ref="A98:C98"/>
    <mergeCell ref="D98:Y98"/>
    <mergeCell ref="Z98:AB98"/>
    <mergeCell ref="AC98:AE98"/>
    <mergeCell ref="AF98:AH98"/>
    <mergeCell ref="AI98:AO98"/>
    <mergeCell ref="AP98:AV98"/>
    <mergeCell ref="A99:C99"/>
    <mergeCell ref="D99:Y99"/>
    <mergeCell ref="Z99:AB99"/>
    <mergeCell ref="AC99:AE99"/>
    <mergeCell ref="AF99:AH99"/>
    <mergeCell ref="AI99:AO99"/>
    <mergeCell ref="AP99:AV99"/>
    <mergeCell ref="A100:C100"/>
    <mergeCell ref="D100:Y100"/>
    <mergeCell ref="Z100:AB100"/>
    <mergeCell ref="AC100:AE100"/>
    <mergeCell ref="AF100:AH100"/>
    <mergeCell ref="AI100:AO100"/>
    <mergeCell ref="AP100:AV100"/>
    <mergeCell ref="A101:C101"/>
    <mergeCell ref="D101:Y101"/>
    <mergeCell ref="Z101:AB101"/>
    <mergeCell ref="AC101:AE101"/>
    <mergeCell ref="AF101:AH101"/>
    <mergeCell ref="AI101:AO101"/>
    <mergeCell ref="AP101:AV101"/>
    <mergeCell ref="A102:C102"/>
    <mergeCell ref="D102:Y102"/>
    <mergeCell ref="Z102:AB102"/>
    <mergeCell ref="AC102:AE102"/>
    <mergeCell ref="AF102:AH102"/>
    <mergeCell ref="AI102:AO102"/>
    <mergeCell ref="AP102:AV102"/>
    <mergeCell ref="A103:C103"/>
    <mergeCell ref="D103:Y103"/>
    <mergeCell ref="Z103:AB103"/>
    <mergeCell ref="AC103:AE103"/>
    <mergeCell ref="AF103:AH103"/>
    <mergeCell ref="AI103:AO103"/>
    <mergeCell ref="AP103:AV103"/>
    <mergeCell ref="A104:C104"/>
    <mergeCell ref="D104:Y104"/>
    <mergeCell ref="Z104:AB104"/>
    <mergeCell ref="AC104:AE104"/>
    <mergeCell ref="AF104:AH104"/>
    <mergeCell ref="AI104:AO104"/>
    <mergeCell ref="AP104:AV104"/>
    <mergeCell ref="A105:C105"/>
    <mergeCell ref="D105:Y105"/>
    <mergeCell ref="Z105:AB105"/>
    <mergeCell ref="AC105:AE105"/>
    <mergeCell ref="AF105:AH105"/>
    <mergeCell ref="AI105:AO105"/>
    <mergeCell ref="AP105:AV105"/>
    <mergeCell ref="A106:C106"/>
    <mergeCell ref="D106:Y106"/>
    <mergeCell ref="Z106:AB106"/>
    <mergeCell ref="AC106:AE106"/>
    <mergeCell ref="AF106:AH106"/>
    <mergeCell ref="AI106:AO106"/>
    <mergeCell ref="AP106:AV106"/>
    <mergeCell ref="A107:C107"/>
    <mergeCell ref="D107:Y107"/>
    <mergeCell ref="Z107:AB107"/>
    <mergeCell ref="AC107:AE107"/>
    <mergeCell ref="AF107:AH107"/>
    <mergeCell ref="AI107:AO107"/>
    <mergeCell ref="AP107:AV107"/>
    <mergeCell ref="A108:C108"/>
    <mergeCell ref="D108:Y108"/>
    <mergeCell ref="Z108:AB108"/>
    <mergeCell ref="AC108:AE108"/>
    <mergeCell ref="AF108:AH108"/>
    <mergeCell ref="AI108:AO108"/>
    <mergeCell ref="AP108:AV108"/>
    <mergeCell ref="A109:C109"/>
    <mergeCell ref="D109:Y109"/>
    <mergeCell ref="Z109:AB109"/>
    <mergeCell ref="AC109:AE109"/>
    <mergeCell ref="AF109:AH109"/>
    <mergeCell ref="AI109:AO109"/>
    <mergeCell ref="AP109:AV109"/>
    <mergeCell ref="A110:C110"/>
    <mergeCell ref="D110:Y110"/>
    <mergeCell ref="Z110:AB110"/>
    <mergeCell ref="AC110:AE110"/>
    <mergeCell ref="AF110:AH110"/>
    <mergeCell ref="AI110:AO110"/>
    <mergeCell ref="AP110:AV110"/>
    <mergeCell ref="A111:C111"/>
    <mergeCell ref="D111:Y111"/>
    <mergeCell ref="Z111:AB111"/>
    <mergeCell ref="AC111:AE111"/>
    <mergeCell ref="AF111:AH111"/>
    <mergeCell ref="AI111:AO111"/>
    <mergeCell ref="AP111:AV111"/>
    <mergeCell ref="A112:C112"/>
    <mergeCell ref="D112:Y112"/>
    <mergeCell ref="Z112:AB112"/>
    <mergeCell ref="AC112:AE112"/>
    <mergeCell ref="AF112:AH112"/>
    <mergeCell ref="AI112:AO112"/>
    <mergeCell ref="AP112:AV112"/>
    <mergeCell ref="AI113:AO113"/>
    <mergeCell ref="AP113:AV113"/>
    <mergeCell ref="A115:B115"/>
    <mergeCell ref="AM115:AV115"/>
    <mergeCell ref="A116:B116"/>
    <mergeCell ref="C116:G116"/>
    <mergeCell ref="AM117:AV117"/>
    <mergeCell ref="D17:Y18"/>
    <mergeCell ref="Z17:AB18"/>
    <mergeCell ref="A17:C18"/>
    <mergeCell ref="A5:X6"/>
  </mergeCells>
  <conditionalFormatting sqref="AI12:AV16;AI19:AV112;AI114:AV114;AI119:AV1048576">
    <cfRule type="cellIs" dxfId="10" priority="1" operator="lessThan">
      <formula>0</formula>
    </cfRule>
  </conditionalFormatting>
  <dataValidations count="1">
    <dataValidation type="custom" allowBlank="1" showInputMessage="1" showErrorMessage="1" errorTitle="GodObr 12 2020." error="Godišnji obračun 12 2020." sqref="A12:AV15">
      <formula1>Baza!$C$7="DA"</formula1>
    </dataValidation>
  </dataValidations>
  <pageMargins left="0.708661417322835" right="0.708661417322835" top="0.354330708661417" bottom="0.354330708661417" header="0.31496062992126" footer="0.31496062992126"/>
  <pageSetup paperSize="9" scale="75" fitToHeight="0" orientation="landscape"/>
  <headerFooter>
    <oddFooter>&amp;R&amp;"Arial Narrow,Uobičajeno"Strana &amp;P</oddFooter>
  </headerFooter>
  <rowBreaks count="2" manualBreakCount="2">
    <brk id="40" max="16383" man="1"/>
    <brk id="81" max="16383"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80">
    <tabColor rgb="FF0070C0"/>
    <pageSetUpPr fitToPage="1"/>
  </sheetPr>
  <dimension ref="A1:BV90"/>
  <sheetViews>
    <sheetView showGridLines="0" topLeftCell="A60" workbookViewId="0">
      <selection activeCell="CE94" sqref="CE94"/>
    </sheetView>
  </sheetViews>
  <sheetFormatPr defaultColWidth="3" defaultRowHeight="16.5"/>
  <cols>
    <col min="1" max="1" width="4.14285714285714" style="886" customWidth="1"/>
    <col min="2" max="21" width="3" style="876"/>
    <col min="22" max="24" width="3" style="2377"/>
    <col min="25" max="16384" width="3" style="876"/>
  </cols>
  <sheetData>
    <row r="1" s="874" customFormat="1" ht="18" spans="1:74">
      <c r="A1" s="879" t="str">
        <f>Firma</f>
        <v>LILIUM ASSET MANAGEMENT d.o.o. Sarajevo</v>
      </c>
      <c r="BM1" s="1231" t="str">
        <f>IdBroj</f>
        <v>4201337670009</v>
      </c>
      <c r="BN1" s="1231"/>
      <c r="BO1" s="1231"/>
      <c r="BP1" s="1231"/>
      <c r="BQ1" s="1231"/>
      <c r="BR1" s="1231"/>
      <c r="BS1" s="1231"/>
      <c r="BT1" s="1231"/>
      <c r="BU1" s="1231"/>
      <c r="BV1" s="1231"/>
    </row>
    <row r="2" s="874" customFormat="1" ht="15" customHeight="1" spans="1:74">
      <c r="A2" s="877" t="str">
        <f>Text!B2</f>
        <v>Naziv pravnog lica</v>
      </c>
      <c r="AE2" s="874" t="s">
        <v>4636</v>
      </c>
      <c r="BL2" s="878" t="str">
        <f>Text!B4</f>
        <v>Identifikacioni broj za direktne poreze</v>
      </c>
      <c r="BM2" s="878"/>
      <c r="BN2" s="878"/>
      <c r="BO2" s="878"/>
      <c r="BP2" s="878"/>
      <c r="BQ2" s="878"/>
      <c r="BR2" s="878"/>
      <c r="BS2" s="878"/>
      <c r="BT2" s="878"/>
      <c r="BU2" s="878"/>
      <c r="BV2" s="878"/>
    </row>
    <row r="3" s="875" customFormat="1" ht="18.75" customHeight="1" spans="1:74">
      <c r="A3" s="882" t="str">
        <f>Sjedište&amp;", "&amp;Adresa</f>
        <v>Sarajevo-Stari Grad, Dženetića čikma br.8</v>
      </c>
      <c r="AE3" s="875" t="s">
        <v>4636</v>
      </c>
      <c r="AJ3" s="880"/>
      <c r="AK3" s="880"/>
      <c r="BL3" s="880"/>
      <c r="BM3" s="1231" t="str">
        <f>Pdv_Broj</f>
        <v>201337670009</v>
      </c>
      <c r="BN3" s="1231"/>
      <c r="BO3" s="1231"/>
      <c r="BP3" s="1231"/>
      <c r="BQ3" s="1231"/>
      <c r="BR3" s="1231"/>
      <c r="BS3" s="1231"/>
      <c r="BT3" s="1231"/>
      <c r="BU3" s="1231"/>
      <c r="BV3" s="1231"/>
    </row>
    <row r="4" s="874" customFormat="1" ht="15" customHeight="1" spans="1:74">
      <c r="A4" s="877" t="str">
        <f>Text!B3</f>
        <v>Sjedište i adresa pravnog lica</v>
      </c>
      <c r="AE4" s="874" t="s">
        <v>4636</v>
      </c>
      <c r="BL4" s="878" t="str">
        <f>Text!B5</f>
        <v>Identifikacioni  broj za indirektne poreze</v>
      </c>
      <c r="BM4" s="878"/>
      <c r="BN4" s="878"/>
      <c r="BO4" s="878"/>
      <c r="BP4" s="878"/>
      <c r="BQ4" s="878"/>
      <c r="BR4" s="878"/>
      <c r="BS4" s="878"/>
      <c r="BT4" s="878"/>
      <c r="BU4" s="878"/>
      <c r="BV4" s="878"/>
    </row>
    <row r="5" s="875" customFormat="1" ht="19.5" customHeight="1" spans="1:74">
      <c r="A5" s="2378" t="str">
        <f>Djelatnost</f>
        <v>Djelatnosti upravljanja fondovima</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AE5" s="875" t="s">
        <v>4636</v>
      </c>
      <c r="AK5" s="880"/>
      <c r="BL5" s="880"/>
    </row>
    <row r="6" customHeight="1" spans="1:74">
      <c r="A6" s="2378"/>
      <c r="B6" s="2378"/>
      <c r="C6" s="2378"/>
      <c r="D6" s="2378"/>
      <c r="E6" s="2378"/>
      <c r="F6" s="2378"/>
      <c r="G6" s="2378"/>
      <c r="H6" s="2378"/>
      <c r="I6" s="2378"/>
      <c r="J6" s="2378"/>
      <c r="K6" s="2378"/>
      <c r="L6" s="2378"/>
      <c r="M6" s="2378"/>
      <c r="N6" s="2378"/>
      <c r="O6" s="2378"/>
      <c r="P6" s="2378"/>
      <c r="Q6" s="2378"/>
      <c r="R6" s="2378"/>
      <c r="S6" s="2378"/>
      <c r="T6" s="2378"/>
      <c r="U6" s="2378"/>
      <c r="V6" s="2378"/>
      <c r="W6" s="2378"/>
      <c r="X6" s="2378"/>
      <c r="BV6" s="1231" t="str">
        <f>Sif_Djelatn</f>
        <v>66.30</v>
      </c>
    </row>
    <row r="7" s="875" customFormat="1" customHeight="1" spans="1:74">
      <c r="A7" s="2379" t="str">
        <f>Text!B23</f>
        <v>Djelatnost</v>
      </c>
      <c r="B7" s="876"/>
      <c r="C7" s="876"/>
      <c r="D7" s="876"/>
      <c r="E7" s="876"/>
      <c r="F7" s="876"/>
      <c r="G7" s="876"/>
      <c r="H7" s="876"/>
      <c r="I7" s="876"/>
      <c r="J7" s="876"/>
      <c r="K7" s="876"/>
      <c r="L7" s="876"/>
      <c r="M7" s="876"/>
      <c r="N7" s="876"/>
      <c r="O7" s="876"/>
      <c r="P7" s="876"/>
      <c r="Q7" s="876"/>
      <c r="R7" s="876"/>
      <c r="S7" s="876"/>
      <c r="T7" s="876"/>
      <c r="U7" s="876"/>
      <c r="V7" s="876"/>
      <c r="W7" s="876"/>
      <c r="X7" s="876"/>
      <c r="BV7" s="878" t="str">
        <f>Text!B22&amp;" KD BiH 2010"</f>
        <v>Šifra djelatnosti po KD BiH 2010</v>
      </c>
    </row>
    <row r="8" customHeight="1" spans="1:74">
      <c r="A8" s="1232" t="str">
        <f>Banka</f>
        <v>Raiffeisen Bank d.d. BiH</v>
      </c>
      <c r="B8" s="1232"/>
      <c r="C8" s="1232"/>
      <c r="D8" s="1232"/>
      <c r="E8" s="1232"/>
      <c r="F8" s="1232"/>
      <c r="G8" s="1232"/>
      <c r="H8" s="1232"/>
      <c r="I8" s="1232"/>
      <c r="J8" s="1232"/>
      <c r="V8" s="876"/>
      <c r="W8" s="876"/>
      <c r="X8" s="876"/>
      <c r="BM8" s="881" t="str">
        <f>Sifra_opcine</f>
        <v>109</v>
      </c>
      <c r="BN8" s="881"/>
      <c r="BO8" s="881"/>
      <c r="BP8" s="881"/>
      <c r="BQ8" s="881"/>
      <c r="BR8" s="881"/>
      <c r="BS8" s="881"/>
      <c r="BT8" s="881"/>
      <c r="BU8" s="881"/>
      <c r="BV8" s="881"/>
    </row>
    <row r="9" customHeight="1" spans="1:74">
      <c r="A9" s="2379" t="str">
        <f>Text!B24</f>
        <v>Naziv banke</v>
      </c>
      <c r="B9" s="1450"/>
      <c r="C9" s="1450"/>
      <c r="D9" s="1450"/>
      <c r="E9" s="1450"/>
      <c r="F9" s="1450"/>
      <c r="G9" s="1450"/>
      <c r="H9" s="1450"/>
      <c r="I9" s="1450"/>
      <c r="V9" s="876"/>
      <c r="W9" s="876"/>
      <c r="X9" s="876"/>
      <c r="Y9" s="1234"/>
      <c r="Z9" s="1234"/>
      <c r="AA9" s="1234"/>
      <c r="AB9" s="1234"/>
      <c r="AC9" s="1234"/>
      <c r="AD9" s="1234"/>
      <c r="AH9" s="880"/>
      <c r="AI9" s="880"/>
      <c r="AJ9" s="880"/>
      <c r="AK9" s="880"/>
      <c r="BL9" s="880"/>
      <c r="BV9" s="878" t="str">
        <f>Text!B26</f>
        <v>Šifra općine</v>
      </c>
    </row>
    <row r="10" customHeight="1" spans="1:74">
      <c r="A10" s="1232" t="str">
        <f>Glavni_racun</f>
        <v>1610000189480005</v>
      </c>
      <c r="B10" s="1232"/>
      <c r="C10" s="1232"/>
      <c r="D10" s="1232"/>
      <c r="E10" s="1232"/>
      <c r="F10" s="1232"/>
      <c r="G10" s="1232"/>
      <c r="H10" s="1232"/>
      <c r="I10" s="1232"/>
      <c r="J10" s="1232"/>
      <c r="V10" s="876"/>
      <c r="W10" s="876"/>
      <c r="X10" s="876"/>
      <c r="Y10" s="1234"/>
      <c r="Z10" s="1234"/>
      <c r="AA10" s="1234"/>
      <c r="AB10" s="1234"/>
      <c r="AC10" s="1234"/>
      <c r="AD10" s="1234"/>
      <c r="AM10" s="877"/>
      <c r="AN10" s="877"/>
      <c r="AO10" s="877"/>
      <c r="AP10" s="877"/>
      <c r="AQ10" s="877"/>
      <c r="AR10" s="877"/>
      <c r="AS10" s="877"/>
      <c r="AT10" s="877"/>
      <c r="AU10" s="877"/>
    </row>
    <row r="11" customHeight="1" spans="1:74">
      <c r="A11" s="2379" t="str">
        <f>Text!B25</f>
        <v>Broj računa</v>
      </c>
      <c r="V11" s="876"/>
      <c r="W11" s="876"/>
      <c r="X11" s="876"/>
    </row>
    <row r="12" s="874" customFormat="1" ht="15.75" customHeight="1" spans="1:74">
      <c r="A12" s="1238"/>
      <c r="V12" s="2380"/>
      <c r="W12" s="2380"/>
      <c r="X12" s="2380"/>
      <c r="BL12" s="1447"/>
      <c r="BM12" s="1447"/>
      <c r="BN12" s="1447"/>
      <c r="BO12" s="1447"/>
      <c r="BP12" s="1447"/>
      <c r="BQ12" s="1447"/>
      <c r="BR12" s="1447"/>
      <c r="BS12" s="1447"/>
      <c r="BT12" s="1447"/>
      <c r="BU12" s="1447"/>
      <c r="BV12" s="1447"/>
    </row>
    <row r="13" s="874" customFormat="1" ht="15.75" customHeight="1" spans="1:74">
      <c r="A13" s="1238"/>
      <c r="V13" s="2380"/>
      <c r="W13" s="2380"/>
      <c r="X13" s="2380"/>
      <c r="BL13" s="1447"/>
      <c r="BM13" s="1447"/>
      <c r="BN13" s="1447"/>
      <c r="BO13" s="1447"/>
      <c r="BP13" s="1447"/>
      <c r="BQ13" s="1447"/>
      <c r="BR13" s="1447"/>
      <c r="BS13" s="1447"/>
      <c r="BT13" s="1447"/>
      <c r="BU13" s="1447"/>
      <c r="BV13" s="1447"/>
    </row>
    <row r="14" s="874" customFormat="1" ht="15.75" customHeight="1" spans="1:74">
      <c r="A14" s="1238"/>
      <c r="V14" s="2380"/>
      <c r="W14" s="2380"/>
      <c r="X14" s="2380"/>
      <c r="BL14" s="1447"/>
      <c r="BM14" s="1447"/>
      <c r="BN14" s="1447"/>
      <c r="BO14" s="1447"/>
      <c r="BP14" s="1447"/>
      <c r="BQ14" s="1447"/>
      <c r="BR14" s="1447"/>
      <c r="BS14" s="1447"/>
      <c r="BT14" s="1447"/>
      <c r="BU14" s="1447"/>
      <c r="BV14" s="1447"/>
    </row>
    <row r="15" s="874" customFormat="1" ht="15.75" customHeight="1" spans="1:74">
      <c r="A15" s="1238"/>
      <c r="V15" s="2380"/>
      <c r="W15" s="2380"/>
      <c r="X15" s="2380"/>
      <c r="BL15" s="1447"/>
      <c r="BM15" s="1447"/>
      <c r="BN15" s="1447"/>
      <c r="BO15" s="1447"/>
      <c r="BP15" s="1447"/>
      <c r="BQ15" s="1447"/>
      <c r="BR15" s="1447"/>
      <c r="BS15" s="1447"/>
      <c r="BT15" s="1447"/>
      <c r="BU15" s="1447"/>
      <c r="BV15" s="1447"/>
    </row>
    <row r="16" s="874" customFormat="1" ht="15.75" customHeight="1" spans="1:74">
      <c r="A16" s="1238"/>
      <c r="V16" s="2380"/>
      <c r="W16" s="2380"/>
      <c r="X16" s="2380"/>
      <c r="BL16" s="1447"/>
      <c r="BM16" s="1447"/>
      <c r="BN16" s="1447"/>
      <c r="BO16" s="1447"/>
      <c r="BP16" s="1447"/>
      <c r="BQ16" s="1447"/>
      <c r="BR16" s="1447"/>
      <c r="BS16" s="1447"/>
      <c r="BT16" s="1447"/>
      <c r="BU16" s="1447"/>
      <c r="BV16" s="1447"/>
    </row>
    <row r="17" s="874" customFormat="1" ht="15.75" customHeight="1" spans="1:74">
      <c r="A17" s="1238"/>
      <c r="V17" s="2380"/>
      <c r="W17" s="2380"/>
      <c r="X17" s="2380"/>
      <c r="BL17" s="1447"/>
      <c r="BM17" s="1447"/>
      <c r="BN17" s="1447"/>
      <c r="BO17" s="1447"/>
      <c r="BP17" s="1447"/>
      <c r="BQ17" s="1447"/>
      <c r="BR17" s="1447"/>
      <c r="BS17" s="1447"/>
      <c r="BT17" s="1447"/>
      <c r="BU17" s="1447"/>
      <c r="BV17" s="1447"/>
    </row>
    <row r="18" s="874" customFormat="1" ht="15.75" customHeight="1" spans="1:74">
      <c r="A18" s="1238"/>
      <c r="V18" s="2380"/>
      <c r="W18" s="2380"/>
      <c r="X18" s="2380"/>
      <c r="BL18" s="1447"/>
      <c r="BM18" s="1447"/>
      <c r="BN18" s="1447"/>
      <c r="BO18" s="1447"/>
      <c r="BP18" s="1447"/>
      <c r="BQ18" s="1447"/>
      <c r="BR18" s="1447"/>
      <c r="BS18" s="1447"/>
      <c r="BT18" s="1447"/>
      <c r="BU18" s="1447"/>
      <c r="BV18" s="1447"/>
    </row>
    <row r="19" s="874" customFormat="1" ht="15.75" customHeight="1" spans="1:74">
      <c r="A19" s="1238"/>
      <c r="V19" s="2380"/>
      <c r="W19" s="2380"/>
      <c r="X19" s="2380"/>
      <c r="BL19" s="1447"/>
      <c r="BM19" s="1447"/>
      <c r="BN19" s="1447"/>
      <c r="BO19" s="1447"/>
      <c r="BP19" s="1447"/>
      <c r="BQ19" s="1447"/>
      <c r="BR19" s="1447"/>
      <c r="BS19" s="1447"/>
      <c r="BT19" s="1447"/>
      <c r="BU19" s="1447"/>
      <c r="BV19" s="1447"/>
    </row>
    <row r="20" s="874" customFormat="1" ht="15.75" customHeight="1" spans="1:74">
      <c r="A20" s="1238"/>
      <c r="V20" s="2380"/>
      <c r="W20" s="2380"/>
      <c r="X20" s="2380"/>
      <c r="BL20" s="1447"/>
      <c r="BM20" s="1447"/>
      <c r="BN20" s="1447"/>
      <c r="BO20" s="1447"/>
      <c r="BP20" s="1447"/>
      <c r="BQ20" s="1447"/>
      <c r="BR20" s="1447"/>
      <c r="BS20" s="1447"/>
      <c r="BT20" s="1447"/>
      <c r="BU20" s="1447"/>
      <c r="BV20" s="1447"/>
    </row>
    <row r="21" s="874" customFormat="1" ht="15.75" customHeight="1" spans="1:74">
      <c r="A21" s="1238"/>
      <c r="V21" s="2380"/>
      <c r="W21" s="2380"/>
      <c r="X21" s="2380"/>
      <c r="BL21" s="1447"/>
      <c r="BM21" s="1447"/>
      <c r="BN21" s="1447"/>
      <c r="BO21" s="1447"/>
      <c r="BP21" s="1447"/>
      <c r="BQ21" s="1447"/>
      <c r="BR21" s="1447"/>
      <c r="BS21" s="1447"/>
      <c r="BT21" s="1447"/>
      <c r="BU21" s="1447"/>
      <c r="BV21" s="1447"/>
    </row>
    <row r="22" s="874" customFormat="1" ht="15.75" customHeight="1" spans="1:74">
      <c r="A22" s="1238"/>
      <c r="V22" s="2380"/>
      <c r="W22" s="2380"/>
      <c r="X22" s="2380"/>
      <c r="BL22" s="1447"/>
      <c r="BM22" s="1447"/>
      <c r="BN22" s="1447"/>
      <c r="BO22" s="1447"/>
      <c r="BP22" s="1447"/>
      <c r="BQ22" s="1447"/>
      <c r="BR22" s="1447"/>
      <c r="BS22" s="1447"/>
      <c r="BT22" s="1447"/>
      <c r="BU22" s="1447"/>
      <c r="BV22" s="1447"/>
    </row>
    <row r="23" ht="15" customHeight="1" spans="1:74">
      <c r="A23" s="1449"/>
      <c r="BL23" s="1450"/>
      <c r="BM23" s="1450"/>
      <c r="BN23" s="1450"/>
      <c r="BO23" s="1451"/>
      <c r="BP23" s="1451"/>
      <c r="BQ23" s="1451"/>
      <c r="BR23" s="1451"/>
      <c r="BS23" s="1451"/>
      <c r="BT23" s="1451"/>
      <c r="BU23" s="1451"/>
      <c r="BV23" s="1451"/>
    </row>
    <row r="24" ht="27.75" customHeight="1" spans="1:74">
      <c r="A24" s="2381" t="s">
        <v>7136</v>
      </c>
      <c r="B24" s="2381"/>
      <c r="C24" s="2381"/>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c r="AS24" s="2381"/>
      <c r="AT24" s="2381"/>
      <c r="AU24" s="2381"/>
      <c r="AV24" s="2381"/>
      <c r="AW24" s="2381"/>
      <c r="AX24" s="2381"/>
      <c r="AY24" s="2381"/>
      <c r="AZ24" s="2381"/>
      <c r="BA24" s="2381"/>
      <c r="BB24" s="2381"/>
      <c r="BC24" s="2381"/>
      <c r="BD24" s="2381"/>
      <c r="BE24" s="2381"/>
      <c r="BF24" s="2381"/>
      <c r="BG24" s="2381"/>
      <c r="BH24" s="2381"/>
      <c r="BI24" s="2381"/>
      <c r="BJ24" s="2381"/>
      <c r="BK24" s="2381"/>
      <c r="BL24" s="2381"/>
      <c r="BM24" s="2381"/>
      <c r="BN24" s="2381"/>
      <c r="BO24" s="2381"/>
      <c r="BP24" s="2381"/>
      <c r="BQ24" s="2381"/>
      <c r="BR24" s="2381"/>
      <c r="BS24" s="2381"/>
      <c r="BT24" s="2381"/>
      <c r="BU24" s="2381"/>
      <c r="BV24" s="2381"/>
    </row>
    <row r="25" ht="25.5" customHeight="1" spans="1:74">
      <c r="A25" s="1453" t="str">
        <f ca="1">"za period koji završava na dan "&amp;PeriodDo&amp;".godine"</f>
        <v>za period koji završava na dan 31.12.2025.godine</v>
      </c>
      <c r="B25" s="1453"/>
      <c r="C25" s="1453"/>
      <c r="D25" s="1453"/>
      <c r="E25" s="1453"/>
      <c r="F25" s="1453"/>
      <c r="G25" s="1453"/>
      <c r="H25" s="1453"/>
      <c r="I25" s="1453"/>
      <c r="J25" s="1453"/>
      <c r="K25" s="1453"/>
      <c r="L25" s="1453"/>
      <c r="M25" s="1453"/>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3"/>
      <c r="AL25" s="1453"/>
      <c r="AM25" s="1453"/>
      <c r="AN25" s="1453"/>
      <c r="AO25" s="1453"/>
      <c r="AP25" s="1453"/>
      <c r="AQ25" s="1453"/>
      <c r="AR25" s="1453"/>
      <c r="AS25" s="1453"/>
      <c r="AT25" s="1453"/>
      <c r="AU25" s="1453"/>
      <c r="AV25" s="1453"/>
      <c r="AW25" s="1453"/>
      <c r="AX25" s="1453"/>
      <c r="AY25" s="1453"/>
      <c r="AZ25" s="1453"/>
      <c r="BA25" s="1453"/>
      <c r="BB25" s="1453"/>
      <c r="BC25" s="1453"/>
      <c r="BD25" s="1453"/>
      <c r="BE25" s="1453"/>
      <c r="BF25" s="1453"/>
      <c r="BG25" s="1453"/>
      <c r="BH25" s="1453"/>
      <c r="BI25" s="1453"/>
      <c r="BJ25" s="1453"/>
      <c r="BK25" s="1453"/>
      <c r="BL25" s="1453"/>
      <c r="BM25" s="1453"/>
      <c r="BN25" s="1453"/>
      <c r="BO25" s="1453"/>
      <c r="BP25" s="1453"/>
      <c r="BQ25" s="1453"/>
      <c r="BR25" s="1453"/>
      <c r="BS25" s="1453"/>
      <c r="BT25" s="1453"/>
      <c r="BU25" s="1453"/>
      <c r="BV25" s="1453"/>
    </row>
    <row r="26" ht="12.75" customHeight="1" spans="1:74">
      <c r="BT26" s="1223"/>
      <c r="BV26" s="1330"/>
    </row>
    <row r="27" ht="12.75" customHeight="1" spans="1:74">
      <c r="BT27" s="1223"/>
      <c r="BV27" s="1330"/>
    </row>
    <row r="28" ht="12.75" customHeight="1" spans="1:74">
      <c r="BT28" s="1223"/>
      <c r="BV28" s="1330"/>
    </row>
    <row r="29" ht="12.75" customHeight="1" spans="1:74">
      <c r="BT29" s="1223"/>
      <c r="BV29" s="1330"/>
    </row>
    <row r="30" ht="12.75" customHeight="1" spans="1:74">
      <c r="BT30" s="1223"/>
      <c r="BV30" s="1330"/>
    </row>
    <row r="31" ht="12.75" customHeight="1" spans="1:74">
      <c r="BT31" s="1223"/>
      <c r="BV31" s="1330"/>
    </row>
    <row r="32" ht="12.75" customHeight="1" spans="1:74">
      <c r="BT32" s="1223"/>
      <c r="BV32" s="1330"/>
    </row>
    <row r="33" ht="12.75" customHeight="1" spans="1:74">
      <c r="BT33" s="1223"/>
      <c r="BV33" s="1330"/>
    </row>
    <row r="34" ht="12.75" customHeight="1" spans="1:74">
      <c r="BT34" s="1223"/>
      <c r="BV34" s="1330"/>
    </row>
    <row r="35" ht="12.75" customHeight="1" spans="1:74">
      <c r="BT35" s="1223"/>
      <c r="BV35" s="1330"/>
    </row>
    <row r="36" ht="12.75" customHeight="1" spans="1:74">
      <c r="BT36" s="1223"/>
      <c r="BV36" s="1330"/>
    </row>
    <row r="37" ht="12.75" customHeight="1" spans="1:74">
      <c r="BT37" s="1223"/>
      <c r="BV37" s="1330"/>
    </row>
    <row r="38" ht="12.75" customHeight="1" spans="1:74">
      <c r="BT38" s="1223"/>
      <c r="BV38" s="1330"/>
    </row>
    <row r="39" ht="12.75" customHeight="1" spans="1:74">
      <c r="BT39" s="1223"/>
      <c r="BV39" s="1330"/>
    </row>
    <row r="40" ht="12.75" customHeight="1" spans="1:74">
      <c r="BT40" s="1223"/>
      <c r="BV40" s="1330"/>
    </row>
    <row r="41" ht="12.75" customHeight="1" spans="1:74">
      <c r="BT41" s="1223"/>
      <c r="BV41" s="1330"/>
    </row>
    <row r="42" ht="12.75" customHeight="1" spans="1:74">
      <c r="BT42" s="1223"/>
      <c r="BV42" s="1330"/>
    </row>
    <row r="43" ht="12.75" customHeight="1" spans="1:74">
      <c r="BT43" s="1223"/>
      <c r="BV43" s="1330"/>
    </row>
    <row r="44" ht="12.75" customHeight="1" spans="1:74">
      <c r="BT44" s="1223"/>
      <c r="BV44" s="1330"/>
    </row>
    <row r="45" s="875" customFormat="1" ht="18" customHeight="1" spans="1:74">
      <c r="V45" s="880"/>
      <c r="W45" s="880"/>
      <c r="X45" s="880"/>
    </row>
    <row r="46" s="1750" customFormat="1" ht="15.75" spans="1:74">
      <c r="V46" s="2382"/>
      <c r="W46" s="2382"/>
      <c r="X46" s="2382"/>
    </row>
    <row r="47" s="1764" customFormat="1" ht="14.25" customHeight="1" spans="1:74">
      <c r="A47" s="1440" t="str">
        <f>Text!B43</f>
        <v>U</v>
      </c>
      <c r="B47" s="1440"/>
      <c r="C47" s="1340" t="str">
        <f>Sjedište</f>
        <v>Sarajevo-Stari Grad</v>
      </c>
      <c r="D47" s="1340"/>
      <c r="E47" s="1340"/>
      <c r="F47" s="1340"/>
      <c r="G47" s="1340"/>
      <c r="V47" s="2383"/>
      <c r="W47" s="2383"/>
      <c r="X47" s="2383"/>
    </row>
    <row r="48" s="1764" customFormat="1" ht="14.25" customHeight="1" spans="1:74">
      <c r="A48" s="1440" t="str">
        <f>Text!B40</f>
        <v>Dana</v>
      </c>
      <c r="B48" s="1440"/>
      <c r="C48" s="1441" t="str">
        <f>UnosPod!AA22&amp;UnosPod!AB22&amp;"."&amp;UnosPod!AC22&amp;UnosPod!AD22&amp;"."&amp;UnosPod!AE22&amp;UnosPod!AF22&amp;UnosPod!AG22&amp;UnosPod!AH22&amp;"."&amp;Text!B31</f>
        <v>28.02.2026.godine</v>
      </c>
      <c r="D48" s="1441"/>
      <c r="E48" s="1441"/>
      <c r="F48" s="1441"/>
      <c r="G48" s="1441"/>
      <c r="H48" s="2384"/>
      <c r="I48" s="2384"/>
      <c r="Q48" s="2385"/>
      <c r="V48" s="2383"/>
      <c r="W48" s="2383"/>
      <c r="X48" s="2383"/>
      <c r="Z48" s="2386" t="str">
        <f>Racunovoda</f>
        <v>Elvira Žilić</v>
      </c>
      <c r="AA48" s="2386"/>
      <c r="AB48" s="2386"/>
      <c r="AC48" s="2386"/>
      <c r="AD48" s="2386"/>
      <c r="AE48" s="2386"/>
      <c r="AF48" s="2386"/>
      <c r="AG48" s="2386"/>
      <c r="AH48" s="2386"/>
      <c r="AI48" s="2386"/>
      <c r="AJ48" s="2386"/>
      <c r="AK48" s="2386"/>
      <c r="AL48" s="2386"/>
      <c r="AM48" s="2386"/>
      <c r="AN48" s="2386"/>
      <c r="AO48" s="2386"/>
      <c r="AP48" s="2386"/>
      <c r="BC48" s="1764" t="s">
        <v>7039</v>
      </c>
      <c r="BG48" s="2387" t="str">
        <f>Direktor</f>
        <v>Nedim Vilogorac</v>
      </c>
      <c r="BH48" s="2387"/>
      <c r="BI48" s="2387"/>
      <c r="BJ48" s="2387"/>
      <c r="BK48" s="2387"/>
      <c r="BL48" s="2387"/>
      <c r="BM48" s="2387"/>
      <c r="BN48" s="2387"/>
      <c r="BO48" s="2387"/>
      <c r="BP48" s="2387"/>
    </row>
    <row r="49" s="1750" customFormat="1" ht="14.25" customHeight="1" spans="1:74">
      <c r="Z49" s="2388" t="str">
        <f>Text!B41</f>
        <v>Certificirani računovođa : </v>
      </c>
      <c r="AA49" s="2388"/>
      <c r="AB49" s="2388"/>
      <c r="AC49" s="2388"/>
      <c r="AD49" s="2388"/>
      <c r="AE49" s="2388"/>
      <c r="AF49" s="2388"/>
      <c r="AG49" s="2388"/>
      <c r="AH49" s="2388"/>
      <c r="AI49" s="2388"/>
      <c r="AJ49" s="2388"/>
      <c r="AK49" s="2388"/>
      <c r="AL49" s="2388"/>
      <c r="AM49" s="2388"/>
      <c r="AN49" s="2388"/>
      <c r="AO49" s="2388"/>
      <c r="AP49" s="2388"/>
      <c r="BG49" s="2389" t="str">
        <f>Text!B44</f>
        <v>Direktor</v>
      </c>
      <c r="BH49" s="2389"/>
      <c r="BI49" s="2389"/>
      <c r="BJ49" s="2389"/>
      <c r="BK49" s="2389"/>
      <c r="BL49" s="2389"/>
      <c r="BM49" s="2389"/>
      <c r="BN49" s="2389"/>
      <c r="BO49" s="2389"/>
      <c r="BP49" s="2389"/>
    </row>
    <row r="50" s="1750" customFormat="1" ht="14.25" customHeight="1" spans="1:74">
      <c r="Z50" s="2390" t="str">
        <f>UnosPod!AA3</f>
        <v>CR-8559/5</v>
      </c>
      <c r="AA50" s="2390"/>
      <c r="AB50" s="2390"/>
      <c r="AC50" s="2390"/>
      <c r="AD50" s="2390"/>
      <c r="AE50" s="2390"/>
      <c r="AF50" s="2390"/>
      <c r="AG50" s="2390"/>
      <c r="AH50" s="2390"/>
      <c r="AI50" s="2390"/>
      <c r="AJ50" s="2390"/>
      <c r="AK50" s="2390"/>
      <c r="AL50" s="2390"/>
      <c r="AM50" s="2390"/>
      <c r="AN50" s="2390"/>
      <c r="AO50" s="2390"/>
      <c r="AP50" s="2390"/>
    </row>
    <row r="51" spans="1:74">
      <c r="T51" s="1750"/>
      <c r="U51" s="1750"/>
      <c r="V51" s="2382"/>
      <c r="W51" s="2382"/>
      <c r="X51" s="2382"/>
      <c r="Z51" s="2388" t="str">
        <f>Text!B42</f>
        <v>Broj dozvole : </v>
      </c>
      <c r="AA51" s="2388"/>
      <c r="AB51" s="2388"/>
      <c r="AC51" s="2388"/>
      <c r="AD51" s="2388"/>
      <c r="AE51" s="2388"/>
      <c r="AF51" s="2388"/>
      <c r="AG51" s="2388"/>
      <c r="AH51" s="2388"/>
      <c r="AI51" s="2388"/>
      <c r="AJ51" s="2388"/>
      <c r="AK51" s="2388"/>
      <c r="AL51" s="2388"/>
      <c r="AM51" s="2388"/>
      <c r="AN51" s="2388"/>
      <c r="AO51" s="2388"/>
      <c r="AP51" s="2388"/>
    </row>
    <row r="52" spans="1:74">
      <c r="T52" s="1750"/>
      <c r="U52" s="1750"/>
      <c r="V52" s="2382"/>
      <c r="W52" s="2382"/>
      <c r="X52" s="2382"/>
      <c r="Y52" s="1750"/>
      <c r="Z52" s="2390" t="str">
        <f>UnosPod!AL3</f>
        <v>061/599-615</v>
      </c>
      <c r="AA52" s="2391"/>
      <c r="AB52" s="2391"/>
      <c r="AC52" s="2391"/>
      <c r="AD52" s="2391"/>
      <c r="AE52" s="2391"/>
      <c r="AF52" s="2391"/>
      <c r="AG52" s="2391"/>
      <c r="AH52" s="2391"/>
      <c r="AI52" s="2391"/>
      <c r="AJ52" s="2391"/>
      <c r="AK52" s="2391"/>
      <c r="AL52" s="2391"/>
      <c r="AM52" s="2391"/>
      <c r="AN52" s="2391"/>
      <c r="AO52" s="2391"/>
      <c r="AP52" s="2391"/>
    </row>
    <row r="53" spans="1:74">
      <c r="Z53" s="2388" t="s">
        <v>7137</v>
      </c>
      <c r="AA53" s="2388"/>
      <c r="AB53" s="2388"/>
      <c r="AC53" s="2388"/>
      <c r="AD53" s="2388"/>
      <c r="AE53" s="2388"/>
      <c r="AF53" s="2388"/>
      <c r="AG53" s="2388"/>
      <c r="AH53" s="2388"/>
      <c r="AI53" s="2388"/>
      <c r="AJ53" s="2388"/>
      <c r="AK53" s="2388"/>
      <c r="AL53" s="2388"/>
      <c r="AM53" s="2388"/>
      <c r="AN53" s="2388"/>
      <c r="AO53" s="2388"/>
      <c r="AP53" s="2388"/>
    </row>
    <row r="54" spans="1:74">
      <c r="Z54" s="2392"/>
      <c r="AA54" s="2392"/>
      <c r="AB54" s="2392"/>
      <c r="AC54" s="2392"/>
      <c r="AD54" s="2392"/>
      <c r="AE54" s="2392"/>
      <c r="AF54" s="2392"/>
      <c r="AG54" s="2392"/>
      <c r="AH54" s="2392"/>
      <c r="AI54" s="2392"/>
      <c r="AJ54" s="2392"/>
      <c r="AK54" s="2392"/>
      <c r="AL54" s="2392"/>
      <c r="AM54" s="2392"/>
      <c r="AN54" s="2392"/>
      <c r="AO54" s="2392"/>
      <c r="AP54" s="2392"/>
    </row>
    <row r="55" spans="1:74">
      <c r="Z55" s="2392"/>
      <c r="AA55" s="2392"/>
      <c r="AB55" s="2392"/>
      <c r="AC55" s="2392"/>
      <c r="AD55" s="2392"/>
      <c r="AE55" s="2392"/>
      <c r="AF55" s="2392"/>
      <c r="AG55" s="2392"/>
      <c r="AH55" s="2392"/>
      <c r="AI55" s="2392"/>
      <c r="AJ55" s="2392"/>
      <c r="AK55" s="2392"/>
      <c r="AL55" s="2392"/>
      <c r="AM55" s="2392"/>
      <c r="AN55" s="2392"/>
      <c r="AO55" s="2392"/>
      <c r="AP55" s="2392"/>
    </row>
    <row r="57" ht="25.5" spans="1:74">
      <c r="A57" s="2393" t="s">
        <v>7136</v>
      </c>
      <c r="B57" s="2393"/>
      <c r="C57" s="2393"/>
      <c r="D57" s="2393"/>
      <c r="E57" s="2393"/>
      <c r="F57" s="2393"/>
      <c r="G57" s="2393"/>
      <c r="H57" s="2393"/>
      <c r="I57" s="2393"/>
      <c r="J57" s="2393"/>
      <c r="K57" s="2393"/>
      <c r="L57" s="2393"/>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c r="AS57" s="2393"/>
      <c r="AT57" s="2393"/>
      <c r="AU57" s="2393"/>
      <c r="AV57" s="2393"/>
      <c r="AW57" s="2393"/>
      <c r="AX57" s="2393"/>
      <c r="AY57" s="2393"/>
      <c r="AZ57" s="2393"/>
      <c r="BA57" s="2393"/>
      <c r="BB57" s="2393"/>
      <c r="BC57" s="2393"/>
      <c r="BD57" s="2393"/>
      <c r="BE57" s="2393"/>
      <c r="BF57" s="2393"/>
      <c r="BG57" s="2393"/>
      <c r="BH57" s="2393"/>
      <c r="BI57" s="2393"/>
      <c r="BJ57" s="2393"/>
      <c r="BK57" s="2393"/>
      <c r="BL57" s="2393"/>
      <c r="BM57" s="2393"/>
      <c r="BN57" s="2393"/>
      <c r="BO57" s="2393"/>
      <c r="BP57" s="2393"/>
      <c r="BQ57" s="2393"/>
      <c r="BR57" s="2393"/>
      <c r="BS57" s="2393"/>
      <c r="BT57" s="2393"/>
      <c r="BU57" s="2393"/>
      <c r="BV57" s="2393"/>
    </row>
    <row r="58" ht="18" spans="1:74">
      <c r="A58" s="2394" t="str">
        <f ca="1">"za period koji završava na dan "&amp;PeriodDo&amp;".godine"</f>
        <v>za period koji završava na dan 31.12.2025.godine</v>
      </c>
      <c r="B58" s="2394"/>
      <c r="C58" s="2394"/>
      <c r="D58" s="2394"/>
      <c r="E58" s="2394"/>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c r="AS58" s="2394"/>
      <c r="AT58" s="2394"/>
      <c r="AU58" s="2394"/>
      <c r="AV58" s="2394"/>
      <c r="AW58" s="2394"/>
      <c r="AX58" s="2394"/>
      <c r="AY58" s="2394"/>
      <c r="AZ58" s="2394"/>
      <c r="BA58" s="2394"/>
      <c r="BB58" s="2394"/>
      <c r="BC58" s="2394"/>
      <c r="BD58" s="2394"/>
      <c r="BE58" s="2394"/>
      <c r="BF58" s="2394"/>
      <c r="BG58" s="2394"/>
      <c r="BH58" s="2394"/>
      <c r="BI58" s="2394"/>
      <c r="BJ58" s="2394"/>
      <c r="BK58" s="2394"/>
      <c r="BL58" s="2394"/>
      <c r="BM58" s="2394"/>
      <c r="BN58" s="2394"/>
      <c r="BO58" s="2394"/>
      <c r="BP58" s="2394"/>
      <c r="BQ58" s="2394"/>
      <c r="BR58" s="2394"/>
      <c r="BS58" s="2394"/>
      <c r="BT58" s="2394"/>
      <c r="BU58" s="2394"/>
      <c r="BV58" s="2394"/>
    </row>
    <row r="59" spans="1:74">
      <c r="BT59" s="1228" t="s">
        <v>6959</v>
      </c>
    </row>
    <row r="60" ht="23.25" customHeight="1" spans="1:74">
      <c r="A60" s="2395"/>
      <c r="B60" s="2396"/>
      <c r="C60" s="2397" t="s">
        <v>4636</v>
      </c>
      <c r="D60" s="2398"/>
      <c r="E60" s="2398"/>
      <c r="F60" s="2398"/>
      <c r="G60" s="2398"/>
      <c r="H60" s="2398"/>
      <c r="I60" s="2398"/>
      <c r="J60" s="2398"/>
      <c r="K60" s="2398"/>
      <c r="L60" s="2398"/>
      <c r="M60" s="2398"/>
      <c r="N60" s="2398"/>
      <c r="O60" s="2398"/>
      <c r="P60" s="2398"/>
      <c r="Q60" s="2398"/>
      <c r="R60" s="2398"/>
      <c r="S60" s="2398"/>
      <c r="T60" s="2398"/>
      <c r="U60" s="2398"/>
      <c r="V60" s="2399"/>
      <c r="W60" s="2400"/>
      <c r="X60" s="2401"/>
      <c r="Y60" s="1521" t="s">
        <v>5677</v>
      </c>
      <c r="Z60" s="1522"/>
      <c r="AA60" s="1522"/>
      <c r="AB60" s="1522"/>
      <c r="AC60" s="1522"/>
      <c r="AD60" s="1522"/>
      <c r="AE60" s="1522"/>
      <c r="AF60" s="1522"/>
      <c r="AG60" s="1522"/>
      <c r="AH60" s="1522"/>
      <c r="AI60" s="1522"/>
      <c r="AJ60" s="1522"/>
      <c r="AK60" s="1522"/>
      <c r="AL60" s="1522"/>
      <c r="AM60" s="1522"/>
      <c r="AN60" s="1522"/>
      <c r="AO60" s="1522"/>
      <c r="AP60" s="1522"/>
      <c r="AQ60" s="1522"/>
      <c r="AR60" s="1522"/>
      <c r="AS60" s="1522"/>
      <c r="AT60" s="1522"/>
      <c r="AU60" s="1522"/>
      <c r="AV60" s="1522"/>
      <c r="AW60" s="1522"/>
      <c r="AX60" s="1522"/>
      <c r="AY60" s="1522"/>
      <c r="AZ60" s="1522"/>
      <c r="BA60" s="1522"/>
      <c r="BB60" s="1522"/>
      <c r="BC60" s="1522"/>
      <c r="BD60" s="1522"/>
      <c r="BE60" s="1522"/>
      <c r="BF60" s="1522"/>
      <c r="BG60" s="1522"/>
      <c r="BH60" s="1522"/>
      <c r="BI60" s="1522"/>
      <c r="BJ60" s="1522"/>
      <c r="BK60" s="1522"/>
      <c r="BL60" s="1522"/>
      <c r="BM60" s="2402"/>
      <c r="BN60" s="2400"/>
      <c r="BO60" s="2400"/>
      <c r="BP60" s="2400"/>
      <c r="BQ60" s="2400"/>
      <c r="BR60" s="2399"/>
      <c r="BS60" s="2400"/>
      <c r="BT60" s="2403"/>
      <c r="BU60" s="2400"/>
      <c r="BV60" s="2404"/>
    </row>
    <row r="61" ht="28.5" customHeight="1" spans="1:74">
      <c r="A61" s="2405"/>
      <c r="B61" s="2406"/>
      <c r="C61" s="2407" t="s">
        <v>4636</v>
      </c>
      <c r="D61" s="2408"/>
      <c r="E61" s="2408"/>
      <c r="F61" s="2408"/>
      <c r="G61" s="2408"/>
      <c r="H61" s="2408"/>
      <c r="I61" s="2408"/>
      <c r="J61" s="2408"/>
      <c r="K61" s="2408"/>
      <c r="L61" s="2408"/>
      <c r="M61" s="2408"/>
      <c r="N61" s="2408"/>
      <c r="O61" s="2408"/>
      <c r="P61" s="2408"/>
      <c r="Q61" s="2408"/>
      <c r="R61" s="2408"/>
      <c r="S61" s="2408"/>
      <c r="T61" s="2408"/>
      <c r="U61" s="2408"/>
      <c r="V61" s="2409"/>
      <c r="W61" s="2410"/>
      <c r="X61" s="2411"/>
      <c r="Y61" s="2412"/>
      <c r="Z61" s="2413"/>
      <c r="AA61" s="2413"/>
      <c r="AB61" s="2413"/>
      <c r="AC61" s="2414"/>
      <c r="AD61" s="2412"/>
      <c r="AE61" s="2413"/>
      <c r="AF61" s="2413"/>
      <c r="AG61" s="2413"/>
      <c r="AH61" s="2414"/>
      <c r="AI61" s="2412"/>
      <c r="AJ61" s="2413"/>
      <c r="AK61" s="2413"/>
      <c r="AL61" s="2413"/>
      <c r="AM61" s="2414"/>
      <c r="AN61" s="2412"/>
      <c r="AO61" s="2413"/>
      <c r="AP61" s="2413"/>
      <c r="AQ61" s="2413"/>
      <c r="AR61" s="2414"/>
      <c r="AS61" s="2415" t="s">
        <v>5678</v>
      </c>
      <c r="AT61" s="2416"/>
      <c r="AU61" s="2416"/>
      <c r="AV61" s="2416"/>
      <c r="AW61" s="2417"/>
      <c r="AX61" s="2412"/>
      <c r="AY61" s="2413"/>
      <c r="AZ61" s="2413"/>
      <c r="BA61" s="2413"/>
      <c r="BB61" s="2414"/>
      <c r="BC61" s="2412"/>
      <c r="BD61" s="2413"/>
      <c r="BE61" s="2413"/>
      <c r="BF61" s="2413"/>
      <c r="BG61" s="2414"/>
      <c r="BH61" s="2412"/>
      <c r="BI61" s="2413"/>
      <c r="BJ61" s="2413"/>
      <c r="BK61" s="2413"/>
      <c r="BL61" s="2413"/>
      <c r="BM61" s="2418"/>
      <c r="BN61" s="2416"/>
      <c r="BO61" s="2416"/>
      <c r="BP61" s="2416"/>
      <c r="BQ61" s="2417"/>
      <c r="BR61" s="2415"/>
      <c r="BS61" s="2416"/>
      <c r="BT61" s="2416"/>
      <c r="BU61" s="2416"/>
      <c r="BV61" s="2419"/>
    </row>
    <row r="62" ht="30" customHeight="1" spans="1:74">
      <c r="A62" s="2420" t="s">
        <v>5679</v>
      </c>
      <c r="B62" s="2394"/>
      <c r="C62" s="2394"/>
      <c r="D62" s="2394"/>
      <c r="E62" s="2394"/>
      <c r="F62" s="2394"/>
      <c r="G62" s="2394"/>
      <c r="H62" s="2394"/>
      <c r="I62" s="2394"/>
      <c r="J62" s="2394"/>
      <c r="K62" s="2394"/>
      <c r="L62" s="2394"/>
      <c r="M62" s="2394"/>
      <c r="N62" s="2394"/>
      <c r="O62" s="2394"/>
      <c r="P62" s="2394"/>
      <c r="Q62" s="2394"/>
      <c r="R62" s="2394"/>
      <c r="S62" s="2394"/>
      <c r="T62" s="2394"/>
      <c r="U62" s="2421"/>
      <c r="V62" s="2422" t="s">
        <v>5680</v>
      </c>
      <c r="W62" s="2423"/>
      <c r="X62" s="2424"/>
      <c r="Y62" s="2415" t="s">
        <v>5681</v>
      </c>
      <c r="Z62" s="2416"/>
      <c r="AA62" s="2416"/>
      <c r="AB62" s="2416"/>
      <c r="AC62" s="2417"/>
      <c r="AD62" s="2415" t="s">
        <v>2694</v>
      </c>
      <c r="AE62" s="2416"/>
      <c r="AF62" s="2416"/>
      <c r="AG62" s="2416"/>
      <c r="AH62" s="2417"/>
      <c r="AI62" s="2425" t="s">
        <v>3997</v>
      </c>
      <c r="AJ62" s="2426"/>
      <c r="AK62" s="2426"/>
      <c r="AL62" s="2426"/>
      <c r="AM62" s="2427"/>
      <c r="AN62" s="2415" t="s">
        <v>5678</v>
      </c>
      <c r="AO62" s="2416"/>
      <c r="AP62" s="2416"/>
      <c r="AQ62" s="2416"/>
      <c r="AR62" s="2417"/>
      <c r="AS62" s="2415" t="s">
        <v>5682</v>
      </c>
      <c r="AT62" s="2416"/>
      <c r="AU62" s="2416"/>
      <c r="AV62" s="2416"/>
      <c r="AW62" s="2417"/>
      <c r="AX62" s="2415" t="s">
        <v>5683</v>
      </c>
      <c r="AY62" s="2416"/>
      <c r="AZ62" s="2416"/>
      <c r="BA62" s="2416"/>
      <c r="BB62" s="2417"/>
      <c r="BC62" s="2415" t="s">
        <v>5684</v>
      </c>
      <c r="BD62" s="2416"/>
      <c r="BE62" s="2416"/>
      <c r="BF62" s="2416"/>
      <c r="BG62" s="2417"/>
      <c r="BH62" s="2415" t="s">
        <v>5685</v>
      </c>
      <c r="BI62" s="2416"/>
      <c r="BJ62" s="2416"/>
      <c r="BK62" s="2416"/>
      <c r="BL62" s="2416"/>
      <c r="BM62" s="2418" t="s">
        <v>7138</v>
      </c>
      <c r="BN62" s="2416"/>
      <c r="BO62" s="2416"/>
      <c r="BP62" s="2416"/>
      <c r="BQ62" s="2417"/>
      <c r="BR62" s="2415" t="s">
        <v>4016</v>
      </c>
      <c r="BS62" s="2416"/>
      <c r="BT62" s="2416"/>
      <c r="BU62" s="2416"/>
      <c r="BV62" s="2419"/>
    </row>
    <row r="63" ht="28.5" customHeight="1" spans="1:74">
      <c r="A63" s="2428"/>
      <c r="B63" s="2429"/>
      <c r="C63" s="2429"/>
      <c r="D63" s="2429"/>
      <c r="E63" s="2429"/>
      <c r="F63" s="2429"/>
      <c r="G63" s="2429"/>
      <c r="H63" s="2429"/>
      <c r="I63" s="2429"/>
      <c r="J63" s="2429"/>
      <c r="K63" s="2429"/>
      <c r="L63" s="2429"/>
      <c r="M63" s="2429"/>
      <c r="N63" s="2429"/>
      <c r="O63" s="2429"/>
      <c r="P63" s="2429"/>
      <c r="Q63" s="2429"/>
      <c r="R63" s="2429"/>
      <c r="S63" s="2429"/>
      <c r="T63" s="2429"/>
      <c r="U63" s="2407"/>
      <c r="V63" s="2422" t="s">
        <v>5686</v>
      </c>
      <c r="W63" s="2423"/>
      <c r="X63" s="2424"/>
      <c r="Y63" s="2415" t="s">
        <v>5687</v>
      </c>
      <c r="Z63" s="2416"/>
      <c r="AA63" s="2416"/>
      <c r="AB63" s="2416"/>
      <c r="AC63" s="2417"/>
      <c r="AD63" s="2415"/>
      <c r="AE63" s="2416"/>
      <c r="AF63" s="2416"/>
      <c r="AG63" s="2416"/>
      <c r="AH63" s="2417"/>
      <c r="AI63" s="2415"/>
      <c r="AJ63" s="2416"/>
      <c r="AK63" s="2416"/>
      <c r="AL63" s="2416"/>
      <c r="AM63" s="2417"/>
      <c r="AN63" s="2415" t="s">
        <v>5688</v>
      </c>
      <c r="AO63" s="2416"/>
      <c r="AP63" s="2416"/>
      <c r="AQ63" s="2416"/>
      <c r="AR63" s="2417"/>
      <c r="AS63" s="2415" t="s">
        <v>5689</v>
      </c>
      <c r="AT63" s="2416"/>
      <c r="AU63" s="2416"/>
      <c r="AV63" s="2416"/>
      <c r="AW63" s="2417"/>
      <c r="AX63" s="2425" t="s">
        <v>5690</v>
      </c>
      <c r="AY63" s="2426"/>
      <c r="AZ63" s="2426"/>
      <c r="BA63" s="2426"/>
      <c r="BB63" s="2427"/>
      <c r="BC63" s="2415" t="s">
        <v>5691</v>
      </c>
      <c r="BD63" s="2416"/>
      <c r="BE63" s="2416"/>
      <c r="BF63" s="2416"/>
      <c r="BG63" s="2417"/>
      <c r="BH63" s="2430"/>
      <c r="BI63" s="2431"/>
      <c r="BJ63" s="2431"/>
      <c r="BK63" s="2431"/>
      <c r="BL63" s="2431"/>
      <c r="BM63" s="2418" t="s">
        <v>7139</v>
      </c>
      <c r="BN63" s="2416"/>
      <c r="BO63" s="2416"/>
      <c r="BP63" s="2416"/>
      <c r="BQ63" s="2417"/>
      <c r="BR63" s="2425" t="s">
        <v>7140</v>
      </c>
      <c r="BS63" s="2426"/>
      <c r="BT63" s="2426"/>
      <c r="BU63" s="2426"/>
      <c r="BV63" s="2432"/>
    </row>
    <row r="64" ht="32.25" customHeight="1" spans="1:74">
      <c r="A64" s="2433"/>
      <c r="B64" s="2434"/>
      <c r="C64" s="2435"/>
      <c r="D64" s="2436"/>
      <c r="E64" s="2436"/>
      <c r="F64" s="2436"/>
      <c r="G64" s="2436"/>
      <c r="H64" s="2436"/>
      <c r="I64" s="2436"/>
      <c r="J64" s="2436"/>
      <c r="K64" s="2436"/>
      <c r="L64" s="2436"/>
      <c r="M64" s="2436"/>
      <c r="N64" s="2436"/>
      <c r="O64" s="2436"/>
      <c r="P64" s="2436"/>
      <c r="Q64" s="2436"/>
      <c r="R64" s="2436"/>
      <c r="S64" s="2436"/>
      <c r="T64" s="2436"/>
      <c r="U64" s="2436"/>
      <c r="V64" s="2437"/>
      <c r="W64" s="2438"/>
      <c r="X64" s="2439"/>
      <c r="Y64" s="2425"/>
      <c r="Z64" s="2426"/>
      <c r="AA64" s="2426"/>
      <c r="AB64" s="2426"/>
      <c r="AC64" s="2427"/>
      <c r="AD64" s="2425"/>
      <c r="AE64" s="2426"/>
      <c r="AF64" s="2426"/>
      <c r="AG64" s="2426"/>
      <c r="AH64" s="2427"/>
      <c r="AI64" s="2425"/>
      <c r="AJ64" s="2426"/>
      <c r="AK64" s="2426"/>
      <c r="AL64" s="2426"/>
      <c r="AM64" s="2427"/>
      <c r="AN64" s="2425" t="s">
        <v>5692</v>
      </c>
      <c r="AO64" s="2426"/>
      <c r="AP64" s="2426"/>
      <c r="AQ64" s="2426"/>
      <c r="AR64" s="2427"/>
      <c r="AS64" s="2425" t="s">
        <v>5693</v>
      </c>
      <c r="AT64" s="2426"/>
      <c r="AU64" s="2426"/>
      <c r="AV64" s="2426"/>
      <c r="AW64" s="2427"/>
      <c r="AX64" s="2425"/>
      <c r="AY64" s="2426"/>
      <c r="AZ64" s="2426"/>
      <c r="BA64" s="2426"/>
      <c r="BB64" s="2427"/>
      <c r="BC64" s="2425" t="s">
        <v>5694</v>
      </c>
      <c r="BD64" s="2426"/>
      <c r="BE64" s="2426"/>
      <c r="BF64" s="2426"/>
      <c r="BG64" s="2427"/>
      <c r="BH64" s="2425"/>
      <c r="BI64" s="2426"/>
      <c r="BJ64" s="2426"/>
      <c r="BK64" s="2426"/>
      <c r="BL64" s="2426"/>
      <c r="BM64" s="2440" t="s">
        <v>7141</v>
      </c>
      <c r="BN64" s="2426"/>
      <c r="BO64" s="2426"/>
      <c r="BP64" s="2426"/>
      <c r="BQ64" s="2427"/>
      <c r="BR64" s="2425"/>
      <c r="BS64" s="2426"/>
      <c r="BT64" s="2426"/>
      <c r="BU64" s="2426"/>
      <c r="BV64" s="2432"/>
    </row>
    <row r="65" s="1764" customFormat="1" spans="1:74">
      <c r="A65" s="2441"/>
      <c r="B65" s="2442"/>
      <c r="C65" s="2443">
        <v>1</v>
      </c>
      <c r="D65" s="2444"/>
      <c r="E65" s="2444"/>
      <c r="F65" s="2444"/>
      <c r="G65" s="2444"/>
      <c r="H65" s="2444"/>
      <c r="I65" s="2444"/>
      <c r="J65" s="2444"/>
      <c r="K65" s="2444"/>
      <c r="L65" s="2444"/>
      <c r="M65" s="2444"/>
      <c r="N65" s="2444"/>
      <c r="O65" s="2444"/>
      <c r="P65" s="2444"/>
      <c r="Q65" s="2444"/>
      <c r="R65" s="2444"/>
      <c r="S65" s="2444"/>
      <c r="T65" s="2444"/>
      <c r="U65" s="2444"/>
      <c r="V65" s="2442">
        <v>2</v>
      </c>
      <c r="W65" s="2445"/>
      <c r="X65" s="2443"/>
      <c r="Y65" s="2446">
        <v>3</v>
      </c>
      <c r="Z65" s="2447"/>
      <c r="AA65" s="2447"/>
      <c r="AB65" s="2447"/>
      <c r="AC65" s="2447"/>
      <c r="AD65" s="2446">
        <v>4</v>
      </c>
      <c r="AE65" s="2447"/>
      <c r="AF65" s="2447"/>
      <c r="AG65" s="2447"/>
      <c r="AH65" s="2447"/>
      <c r="AI65" s="2446">
        <v>5</v>
      </c>
      <c r="AJ65" s="2447"/>
      <c r="AK65" s="2447"/>
      <c r="AL65" s="2447"/>
      <c r="AM65" s="2447"/>
      <c r="AN65" s="2446">
        <v>6</v>
      </c>
      <c r="AO65" s="2447"/>
      <c r="AP65" s="2447"/>
      <c r="AQ65" s="2447"/>
      <c r="AR65" s="2447"/>
      <c r="AS65" s="2446">
        <v>7</v>
      </c>
      <c r="AT65" s="2447"/>
      <c r="AU65" s="2447"/>
      <c r="AV65" s="2447"/>
      <c r="AW65" s="2447"/>
      <c r="AX65" s="2446">
        <v>8</v>
      </c>
      <c r="AY65" s="2447"/>
      <c r="AZ65" s="2447"/>
      <c r="BA65" s="2447"/>
      <c r="BB65" s="2447"/>
      <c r="BC65" s="2446">
        <v>9</v>
      </c>
      <c r="BD65" s="2447"/>
      <c r="BE65" s="2447"/>
      <c r="BF65" s="2447"/>
      <c r="BG65" s="2447"/>
      <c r="BH65" s="2446">
        <v>10</v>
      </c>
      <c r="BI65" s="2447"/>
      <c r="BJ65" s="2447"/>
      <c r="BK65" s="2447"/>
      <c r="BL65" s="2448"/>
      <c r="BM65" s="2449">
        <v>11</v>
      </c>
      <c r="BN65" s="2447"/>
      <c r="BO65" s="2447"/>
      <c r="BP65" s="2447"/>
      <c r="BQ65" s="2447"/>
      <c r="BR65" s="2446">
        <v>12</v>
      </c>
      <c r="BS65" s="2447"/>
      <c r="BT65" s="2447"/>
      <c r="BU65" s="2447"/>
      <c r="BV65" s="2450"/>
    </row>
    <row r="66" s="1341" customFormat="1" ht="20.25" customHeight="1" spans="1:74">
      <c r="A66" s="2451" t="s">
        <v>3953</v>
      </c>
      <c r="B66" s="2452" t="str">
        <f ca="1">"Stanje na dan 31/12/"&amp;PoslGod-2&amp;".godine"</f>
        <v>Stanje na dan 31/12/2023.godine</v>
      </c>
      <c r="C66" s="2452"/>
      <c r="D66" s="2452"/>
      <c r="E66" s="2452"/>
      <c r="F66" s="2452"/>
      <c r="G66" s="2452"/>
      <c r="H66" s="2452"/>
      <c r="I66" s="2452"/>
      <c r="J66" s="2452"/>
      <c r="K66" s="2452"/>
      <c r="L66" s="2452"/>
      <c r="M66" s="2452"/>
      <c r="N66" s="2452"/>
      <c r="O66" s="2452"/>
      <c r="P66" s="2452"/>
      <c r="Q66" s="2452"/>
      <c r="R66" s="2452"/>
      <c r="S66" s="2452"/>
      <c r="T66" s="2452"/>
      <c r="U66" s="2453"/>
      <c r="V66" s="2454">
        <v>901</v>
      </c>
      <c r="W66" s="2455"/>
      <c r="X66" s="2456"/>
      <c r="Y66" s="2457">
        <f>UnosPod!O949</f>
        <v>350000</v>
      </c>
      <c r="Z66" s="2457"/>
      <c r="AA66" s="2457"/>
      <c r="AB66" s="2457"/>
      <c r="AC66" s="2457"/>
      <c r="AD66" s="2457">
        <f>UnosPod!T949</f>
        <v>0</v>
      </c>
      <c r="AE66" s="2457"/>
      <c r="AF66" s="2457"/>
      <c r="AG66" s="2457"/>
      <c r="AH66" s="2457"/>
      <c r="AI66" s="2457">
        <f>UnosPod!Y949</f>
        <v>18461</v>
      </c>
      <c r="AJ66" s="2457"/>
      <c r="AK66" s="2457"/>
      <c r="AL66" s="2457"/>
      <c r="AM66" s="2457"/>
      <c r="AN66" s="2457">
        <f>UnosPod!AD949</f>
        <v>0</v>
      </c>
      <c r="AO66" s="2457"/>
      <c r="AP66" s="2457"/>
      <c r="AQ66" s="2457"/>
      <c r="AR66" s="2457"/>
      <c r="AS66" s="2457">
        <f>UnosPod!AI949</f>
        <v>0</v>
      </c>
      <c r="AT66" s="2457"/>
      <c r="AU66" s="2457"/>
      <c r="AV66" s="2457"/>
      <c r="AW66" s="2457"/>
      <c r="AX66" s="2457">
        <f>UnosPod!AN949</f>
        <v>0</v>
      </c>
      <c r="AY66" s="2457"/>
      <c r="AZ66" s="2457"/>
      <c r="BA66" s="2457"/>
      <c r="BB66" s="2457"/>
      <c r="BC66" s="2457">
        <f>UnosPod!AS949</f>
        <v>0</v>
      </c>
      <c r="BD66" s="2457"/>
      <c r="BE66" s="2457"/>
      <c r="BF66" s="2457"/>
      <c r="BG66" s="2457"/>
      <c r="BH66" s="2457">
        <f>SUM(Y66:BG66)</f>
        <v>368461</v>
      </c>
      <c r="BI66" s="2457"/>
      <c r="BJ66" s="2457"/>
      <c r="BK66" s="2457"/>
      <c r="BL66" s="2458"/>
      <c r="BM66" s="2459"/>
      <c r="BN66" s="2457"/>
      <c r="BO66" s="2457"/>
      <c r="BP66" s="2457"/>
      <c r="BQ66" s="2457"/>
      <c r="BR66" s="2457"/>
      <c r="BS66" s="2457"/>
      <c r="BT66" s="2457"/>
      <c r="BU66" s="2457"/>
      <c r="BV66" s="2460"/>
    </row>
    <row r="67" s="1340" customFormat="1" ht="20.25" customHeight="1" spans="1:74">
      <c r="A67" s="2461" t="s">
        <v>3891</v>
      </c>
      <c r="B67" s="2462" t="s">
        <v>5706</v>
      </c>
      <c r="C67" s="2462"/>
      <c r="D67" s="2462"/>
      <c r="E67" s="2462"/>
      <c r="F67" s="2462"/>
      <c r="G67" s="2462"/>
      <c r="H67" s="2462"/>
      <c r="I67" s="2462"/>
      <c r="J67" s="2462"/>
      <c r="K67" s="2462"/>
      <c r="L67" s="2462"/>
      <c r="M67" s="2462"/>
      <c r="N67" s="2462"/>
      <c r="O67" s="2462"/>
      <c r="P67" s="2462"/>
      <c r="Q67" s="2462"/>
      <c r="R67" s="2462"/>
      <c r="S67" s="2462"/>
      <c r="T67" s="2462"/>
      <c r="U67" s="2463"/>
      <c r="V67" s="1521">
        <v>902</v>
      </c>
      <c r="W67" s="1522"/>
      <c r="X67" s="2464"/>
      <c r="Y67" s="2465">
        <f>UnosPod!O950</f>
        <v>0</v>
      </c>
      <c r="Z67" s="2465"/>
      <c r="AA67" s="2465"/>
      <c r="AB67" s="2465"/>
      <c r="AC67" s="2465"/>
      <c r="AD67" s="2465">
        <f>UnosPod!T950</f>
        <v>0</v>
      </c>
      <c r="AE67" s="2465"/>
      <c r="AF67" s="2465"/>
      <c r="AG67" s="2465"/>
      <c r="AH67" s="2465"/>
      <c r="AI67" s="2465">
        <f>UnosPod!Y950</f>
        <v>0</v>
      </c>
      <c r="AJ67" s="2465"/>
      <c r="AK67" s="2465"/>
      <c r="AL67" s="2465"/>
      <c r="AM67" s="2465"/>
      <c r="AN67" s="2465">
        <f>UnosPod!AD950</f>
        <v>0</v>
      </c>
      <c r="AO67" s="2465"/>
      <c r="AP67" s="2465"/>
      <c r="AQ67" s="2465"/>
      <c r="AR67" s="2465"/>
      <c r="AS67" s="2465">
        <f>UnosPod!AI950</f>
        <v>0</v>
      </c>
      <c r="AT67" s="2465"/>
      <c r="AU67" s="2465"/>
      <c r="AV67" s="2465"/>
      <c r="AW67" s="2465"/>
      <c r="AX67" s="2465">
        <f>UnosPod!AN950</f>
        <v>0</v>
      </c>
      <c r="AY67" s="2465"/>
      <c r="AZ67" s="2465"/>
      <c r="BA67" s="2465"/>
      <c r="BB67" s="2465"/>
      <c r="BC67" s="2465">
        <f>UnosPod!AS950</f>
        <v>0</v>
      </c>
      <c r="BD67" s="2465"/>
      <c r="BE67" s="2465"/>
      <c r="BF67" s="2465"/>
      <c r="BG67" s="2465"/>
      <c r="BH67" s="2465">
        <f>SUM(Y67:BG67)</f>
        <v>0</v>
      </c>
      <c r="BI67" s="2465"/>
      <c r="BJ67" s="2465"/>
      <c r="BK67" s="2465"/>
      <c r="BL67" s="2466"/>
      <c r="BM67" s="2467"/>
      <c r="BN67" s="2465"/>
      <c r="BO67" s="2465"/>
      <c r="BP67" s="2465"/>
      <c r="BQ67" s="2465"/>
      <c r="BR67" s="2465"/>
      <c r="BS67" s="2465"/>
      <c r="BT67" s="2465"/>
      <c r="BU67" s="2465"/>
      <c r="BV67" s="2468"/>
    </row>
    <row r="68" s="1340" customFormat="1" ht="20.25" customHeight="1" spans="1:74">
      <c r="A68" s="2469" t="s">
        <v>3902</v>
      </c>
      <c r="B68" s="2470" t="s">
        <v>5696</v>
      </c>
      <c r="C68" s="2470"/>
      <c r="D68" s="2470"/>
      <c r="E68" s="2470"/>
      <c r="F68" s="2470"/>
      <c r="G68" s="2470"/>
      <c r="H68" s="2470"/>
      <c r="I68" s="2470"/>
      <c r="J68" s="2470"/>
      <c r="K68" s="2470"/>
      <c r="L68" s="2470"/>
      <c r="M68" s="2470"/>
      <c r="N68" s="2470"/>
      <c r="O68" s="2470"/>
      <c r="P68" s="2470"/>
      <c r="Q68" s="2470"/>
      <c r="R68" s="2470"/>
      <c r="S68" s="2470"/>
      <c r="T68" s="2470"/>
      <c r="U68" s="2471"/>
      <c r="V68" s="1401">
        <v>903</v>
      </c>
      <c r="W68" s="2472"/>
      <c r="X68" s="1373"/>
      <c r="Y68" s="2473">
        <f>UnosPod!O951</f>
        <v>0</v>
      </c>
      <c r="Z68" s="2473"/>
      <c r="AA68" s="2473"/>
      <c r="AB68" s="2473"/>
      <c r="AC68" s="2473"/>
      <c r="AD68" s="2473">
        <f>UnosPod!T951</f>
        <v>0</v>
      </c>
      <c r="AE68" s="2473"/>
      <c r="AF68" s="2473"/>
      <c r="AG68" s="2473"/>
      <c r="AH68" s="2473"/>
      <c r="AI68" s="2473">
        <f>UnosPod!Y951</f>
        <v>0</v>
      </c>
      <c r="AJ68" s="2473"/>
      <c r="AK68" s="2473"/>
      <c r="AL68" s="2473"/>
      <c r="AM68" s="2473"/>
      <c r="AN68" s="2473">
        <f>UnosPod!AD951</f>
        <v>0</v>
      </c>
      <c r="AO68" s="2473"/>
      <c r="AP68" s="2473"/>
      <c r="AQ68" s="2473"/>
      <c r="AR68" s="2473"/>
      <c r="AS68" s="2473">
        <f>UnosPod!AI951</f>
        <v>0</v>
      </c>
      <c r="AT68" s="2473"/>
      <c r="AU68" s="2473"/>
      <c r="AV68" s="2473"/>
      <c r="AW68" s="2473"/>
      <c r="AX68" s="2473">
        <f>UnosPod!AN951</f>
        <v>0</v>
      </c>
      <c r="AY68" s="2473"/>
      <c r="AZ68" s="2473"/>
      <c r="BA68" s="2473"/>
      <c r="BB68" s="2473"/>
      <c r="BC68" s="2473">
        <f>UnosPod!AS951</f>
        <v>0</v>
      </c>
      <c r="BD68" s="2473"/>
      <c r="BE68" s="2473"/>
      <c r="BF68" s="2473"/>
      <c r="BG68" s="2473"/>
      <c r="BH68" s="2473">
        <f t="shared" ref="BH68:BH90" si="0">SUM(Y68:BG68)</f>
        <v>0</v>
      </c>
      <c r="BI68" s="2473"/>
      <c r="BJ68" s="2473"/>
      <c r="BK68" s="2473"/>
      <c r="BL68" s="2474"/>
      <c r="BM68" s="2475"/>
      <c r="BN68" s="2473"/>
      <c r="BO68" s="2473"/>
      <c r="BP68" s="2473"/>
      <c r="BQ68" s="2473"/>
      <c r="BR68" s="2473"/>
      <c r="BS68" s="2473"/>
      <c r="BT68" s="2473"/>
      <c r="BU68" s="2473"/>
      <c r="BV68" s="2476"/>
    </row>
    <row r="69" s="1341" customFormat="1" ht="33" customHeight="1" spans="1:74">
      <c r="A69" s="2477" t="s">
        <v>3905</v>
      </c>
      <c r="B69" s="2478" t="str">
        <f ca="1">"Ponovno iskazano stanje na početku perioda 01.01."&amp;PoslGod-1&amp;".god. (901+902+903)"</f>
        <v>Ponovno iskazano stanje na početku perioda 01.01.2024.god. (901+902+903)</v>
      </c>
      <c r="C69" s="2478"/>
      <c r="D69" s="2478"/>
      <c r="E69" s="2478"/>
      <c r="F69" s="2478"/>
      <c r="G69" s="2478"/>
      <c r="H69" s="2478"/>
      <c r="I69" s="2478"/>
      <c r="J69" s="2478"/>
      <c r="K69" s="2478"/>
      <c r="L69" s="2478"/>
      <c r="M69" s="2478"/>
      <c r="N69" s="2478"/>
      <c r="O69" s="2478"/>
      <c r="P69" s="2478"/>
      <c r="Q69" s="2478"/>
      <c r="R69" s="2478"/>
      <c r="S69" s="2478"/>
      <c r="T69" s="2478"/>
      <c r="U69" s="2479"/>
      <c r="V69" s="2480">
        <v>904</v>
      </c>
      <c r="W69" s="2481"/>
      <c r="X69" s="2482"/>
      <c r="Y69" s="2483">
        <f>Y66+Y67+Y68</f>
        <v>350000</v>
      </c>
      <c r="Z69" s="2483"/>
      <c r="AA69" s="2483"/>
      <c r="AB69" s="2483"/>
      <c r="AC69" s="2483"/>
      <c r="AD69" s="2483">
        <f t="shared" ref="AD69" si="1">AD66+AD67+AD68</f>
        <v>0</v>
      </c>
      <c r="AE69" s="2483"/>
      <c r="AF69" s="2483"/>
      <c r="AG69" s="2483"/>
      <c r="AH69" s="2483"/>
      <c r="AI69" s="2483">
        <f t="shared" ref="AI69" si="2">AI66+AI67+AI68</f>
        <v>18461</v>
      </c>
      <c r="AJ69" s="2483"/>
      <c r="AK69" s="2483"/>
      <c r="AL69" s="2483"/>
      <c r="AM69" s="2483"/>
      <c r="AN69" s="2483">
        <f t="shared" ref="AN69" si="3">AN66+AN67+AN68</f>
        <v>0</v>
      </c>
      <c r="AO69" s="2483"/>
      <c r="AP69" s="2483"/>
      <c r="AQ69" s="2483"/>
      <c r="AR69" s="2483"/>
      <c r="AS69" s="2483">
        <f t="shared" ref="AS69" si="4">AS66+AS67+AS68</f>
        <v>0</v>
      </c>
      <c r="AT69" s="2483"/>
      <c r="AU69" s="2483"/>
      <c r="AV69" s="2483"/>
      <c r="AW69" s="2483"/>
      <c r="AX69" s="2483">
        <f t="shared" ref="AX69" si="5">AX66+AX67+AX68</f>
        <v>0</v>
      </c>
      <c r="AY69" s="2483"/>
      <c r="AZ69" s="2483"/>
      <c r="BA69" s="2483"/>
      <c r="BB69" s="2483"/>
      <c r="BC69" s="2483">
        <f t="shared" ref="BC69" si="6">BC66+BC67+BC68</f>
        <v>0</v>
      </c>
      <c r="BD69" s="2483"/>
      <c r="BE69" s="2483"/>
      <c r="BF69" s="2483"/>
      <c r="BG69" s="2483"/>
      <c r="BH69" s="2483">
        <f t="shared" si="0"/>
        <v>368461</v>
      </c>
      <c r="BI69" s="2483"/>
      <c r="BJ69" s="2483"/>
      <c r="BK69" s="2483"/>
      <c r="BL69" s="2484"/>
      <c r="BM69" s="2485"/>
      <c r="BN69" s="2483"/>
      <c r="BO69" s="2483"/>
      <c r="BP69" s="2483"/>
      <c r="BQ69" s="2483"/>
      <c r="BR69" s="2483"/>
      <c r="BS69" s="2483"/>
      <c r="BT69" s="2483"/>
      <c r="BU69" s="2483"/>
      <c r="BV69" s="2486"/>
    </row>
    <row r="70" s="1340" customFormat="1" ht="20.25" customHeight="1" spans="1:74">
      <c r="A70" s="2461" t="s">
        <v>3915</v>
      </c>
      <c r="B70" s="2462" t="s">
        <v>5697</v>
      </c>
      <c r="C70" s="2462"/>
      <c r="D70" s="2462"/>
      <c r="E70" s="2462"/>
      <c r="F70" s="2462"/>
      <c r="G70" s="2462"/>
      <c r="H70" s="2462"/>
      <c r="I70" s="2462"/>
      <c r="J70" s="2462"/>
      <c r="K70" s="2462"/>
      <c r="L70" s="2462"/>
      <c r="M70" s="2462"/>
      <c r="N70" s="2462"/>
      <c r="O70" s="2462"/>
      <c r="P70" s="2462"/>
      <c r="Q70" s="2462"/>
      <c r="R70" s="2462"/>
      <c r="S70" s="2462"/>
      <c r="T70" s="2462"/>
      <c r="U70" s="2463"/>
      <c r="V70" s="1521">
        <v>905</v>
      </c>
      <c r="W70" s="1522"/>
      <c r="X70" s="2464"/>
      <c r="Y70" s="2465">
        <f>UnosPod!O953</f>
        <v>0</v>
      </c>
      <c r="Z70" s="2465"/>
      <c r="AA70" s="2465"/>
      <c r="AB70" s="2465"/>
      <c r="AC70" s="2465"/>
      <c r="AD70" s="2465">
        <f>UnosPod!T953</f>
        <v>0</v>
      </c>
      <c r="AE70" s="2465"/>
      <c r="AF70" s="2465"/>
      <c r="AG70" s="2465"/>
      <c r="AH70" s="2465"/>
      <c r="AI70" s="2465">
        <f>UnosPod!Y953</f>
        <v>0</v>
      </c>
      <c r="AJ70" s="2465"/>
      <c r="AK70" s="2465"/>
      <c r="AL70" s="2465"/>
      <c r="AM70" s="2465"/>
      <c r="AN70" s="2465">
        <f>UnosPod!AD953</f>
        <v>0</v>
      </c>
      <c r="AO70" s="2465"/>
      <c r="AP70" s="2465"/>
      <c r="AQ70" s="2465"/>
      <c r="AR70" s="2465"/>
      <c r="AS70" s="2465">
        <f>UnosPod!AI953</f>
        <v>0</v>
      </c>
      <c r="AT70" s="2465"/>
      <c r="AU70" s="2465"/>
      <c r="AV70" s="2465"/>
      <c r="AW70" s="2465"/>
      <c r="AX70" s="2465">
        <f>UnosPod!AN953</f>
        <v>0</v>
      </c>
      <c r="AY70" s="2465"/>
      <c r="AZ70" s="2465"/>
      <c r="BA70" s="2465"/>
      <c r="BB70" s="2465"/>
      <c r="BC70" s="2465">
        <f>UnosPod!AS953</f>
        <v>91307</v>
      </c>
      <c r="BD70" s="2465"/>
      <c r="BE70" s="2465"/>
      <c r="BF70" s="2465"/>
      <c r="BG70" s="2465"/>
      <c r="BH70" s="2465">
        <f t="shared" si="0"/>
        <v>91307</v>
      </c>
      <c r="BI70" s="2465"/>
      <c r="BJ70" s="2465"/>
      <c r="BK70" s="2465"/>
      <c r="BL70" s="2466"/>
      <c r="BM70" s="2467"/>
      <c r="BN70" s="2465"/>
      <c r="BO70" s="2465"/>
      <c r="BP70" s="2465"/>
      <c r="BQ70" s="2465"/>
      <c r="BR70" s="2465"/>
      <c r="BS70" s="2465"/>
      <c r="BT70" s="2465"/>
      <c r="BU70" s="2465"/>
      <c r="BV70" s="2468"/>
    </row>
    <row r="71" s="1340" customFormat="1" ht="20.25" customHeight="1" spans="1:74">
      <c r="A71" s="2469" t="s">
        <v>3918</v>
      </c>
      <c r="B71" s="2470" t="s">
        <v>5698</v>
      </c>
      <c r="C71" s="2470"/>
      <c r="D71" s="2470"/>
      <c r="E71" s="2470"/>
      <c r="F71" s="2470"/>
      <c r="G71" s="2470"/>
      <c r="H71" s="2470"/>
      <c r="I71" s="2470"/>
      <c r="J71" s="2470"/>
      <c r="K71" s="2470"/>
      <c r="L71" s="2470"/>
      <c r="M71" s="2470"/>
      <c r="N71" s="2470"/>
      <c r="O71" s="2470"/>
      <c r="P71" s="2470"/>
      <c r="Q71" s="2470"/>
      <c r="R71" s="2470"/>
      <c r="S71" s="2470"/>
      <c r="T71" s="2470"/>
      <c r="U71" s="2471"/>
      <c r="V71" s="1401">
        <v>906</v>
      </c>
      <c r="W71" s="2472"/>
      <c r="X71" s="1373"/>
      <c r="Y71" s="2473">
        <f>UnosPod!O954</f>
        <v>0</v>
      </c>
      <c r="Z71" s="2473"/>
      <c r="AA71" s="2473"/>
      <c r="AB71" s="2473"/>
      <c r="AC71" s="2473"/>
      <c r="AD71" s="2473">
        <f>UnosPod!T954</f>
        <v>0</v>
      </c>
      <c r="AE71" s="2473"/>
      <c r="AF71" s="2473"/>
      <c r="AG71" s="2473"/>
      <c r="AH71" s="2473"/>
      <c r="AI71" s="2473">
        <f>UnosPod!Y954</f>
        <v>0</v>
      </c>
      <c r="AJ71" s="2473"/>
      <c r="AK71" s="2473"/>
      <c r="AL71" s="2473"/>
      <c r="AM71" s="2473"/>
      <c r="AN71" s="2473">
        <f>UnosPod!AD954</f>
        <v>0</v>
      </c>
      <c r="AO71" s="2473"/>
      <c r="AP71" s="2473"/>
      <c r="AQ71" s="2473"/>
      <c r="AR71" s="2473"/>
      <c r="AS71" s="2473">
        <f>UnosPod!AI954</f>
        <v>0</v>
      </c>
      <c r="AT71" s="2473"/>
      <c r="AU71" s="2473"/>
      <c r="AV71" s="2473"/>
      <c r="AW71" s="2473"/>
      <c r="AX71" s="2473">
        <f>UnosPod!AN954</f>
        <v>0</v>
      </c>
      <c r="AY71" s="2473"/>
      <c r="AZ71" s="2473"/>
      <c r="BA71" s="2473"/>
      <c r="BB71" s="2473"/>
      <c r="BC71" s="2473">
        <f>UnosPod!AS954</f>
        <v>0</v>
      </c>
      <c r="BD71" s="2473"/>
      <c r="BE71" s="2473"/>
      <c r="BF71" s="2473"/>
      <c r="BG71" s="2473"/>
      <c r="BH71" s="2473">
        <f t="shared" si="0"/>
        <v>0</v>
      </c>
      <c r="BI71" s="2473"/>
      <c r="BJ71" s="2473"/>
      <c r="BK71" s="2473"/>
      <c r="BL71" s="2474"/>
      <c r="BM71" s="2475"/>
      <c r="BN71" s="2473"/>
      <c r="BO71" s="2473"/>
      <c r="BP71" s="2473"/>
      <c r="BQ71" s="2473"/>
      <c r="BR71" s="2473"/>
      <c r="BS71" s="2473"/>
      <c r="BT71" s="2473"/>
      <c r="BU71" s="2473"/>
      <c r="BV71" s="2476"/>
    </row>
    <row r="72" s="1341" customFormat="1" ht="20.25" customHeight="1" spans="1:74">
      <c r="A72" s="2487" t="s">
        <v>3920</v>
      </c>
      <c r="B72" s="2488" t="s">
        <v>7142</v>
      </c>
      <c r="C72" s="2488"/>
      <c r="D72" s="2488"/>
      <c r="E72" s="2488"/>
      <c r="F72" s="2488"/>
      <c r="G72" s="2488"/>
      <c r="H72" s="2488"/>
      <c r="I72" s="2488"/>
      <c r="J72" s="2488"/>
      <c r="K72" s="2488"/>
      <c r="L72" s="2488"/>
      <c r="M72" s="2488"/>
      <c r="N72" s="2488"/>
      <c r="O72" s="2488"/>
      <c r="P72" s="2488"/>
      <c r="Q72" s="2488"/>
      <c r="R72" s="2488"/>
      <c r="S72" s="2488"/>
      <c r="T72" s="2488"/>
      <c r="U72" s="2489"/>
      <c r="V72" s="2490">
        <v>907</v>
      </c>
      <c r="W72" s="2491"/>
      <c r="X72" s="2492"/>
      <c r="Y72" s="2493">
        <f>Y70+Y71</f>
        <v>0</v>
      </c>
      <c r="Z72" s="2493"/>
      <c r="AA72" s="2493"/>
      <c r="AB72" s="2493"/>
      <c r="AC72" s="2493"/>
      <c r="AD72" s="2493">
        <f t="shared" ref="AD72" si="7">AD70+AD71</f>
        <v>0</v>
      </c>
      <c r="AE72" s="2493"/>
      <c r="AF72" s="2493"/>
      <c r="AG72" s="2493"/>
      <c r="AH72" s="2493"/>
      <c r="AI72" s="2493">
        <f t="shared" ref="AI72" si="8">AI70+AI71</f>
        <v>0</v>
      </c>
      <c r="AJ72" s="2493"/>
      <c r="AK72" s="2493"/>
      <c r="AL72" s="2493"/>
      <c r="AM72" s="2493"/>
      <c r="AN72" s="2493">
        <f t="shared" ref="AN72" si="9">AN70+AN71</f>
        <v>0</v>
      </c>
      <c r="AO72" s="2493"/>
      <c r="AP72" s="2493"/>
      <c r="AQ72" s="2493"/>
      <c r="AR72" s="2493"/>
      <c r="AS72" s="2493">
        <f t="shared" ref="AS72" si="10">AS70+AS71</f>
        <v>0</v>
      </c>
      <c r="AT72" s="2493"/>
      <c r="AU72" s="2493"/>
      <c r="AV72" s="2493"/>
      <c r="AW72" s="2493"/>
      <c r="AX72" s="2493">
        <f t="shared" ref="AX72" si="11">AX70+AX71</f>
        <v>0</v>
      </c>
      <c r="AY72" s="2493"/>
      <c r="AZ72" s="2493"/>
      <c r="BA72" s="2493"/>
      <c r="BB72" s="2493"/>
      <c r="BC72" s="2493">
        <f t="shared" ref="BC72" si="12">BC70+BC71</f>
        <v>91307</v>
      </c>
      <c r="BD72" s="2493"/>
      <c r="BE72" s="2493"/>
      <c r="BF72" s="2493"/>
      <c r="BG72" s="2493"/>
      <c r="BH72" s="2493">
        <f t="shared" si="0"/>
        <v>91307</v>
      </c>
      <c r="BI72" s="2493"/>
      <c r="BJ72" s="2493"/>
      <c r="BK72" s="2493"/>
      <c r="BL72" s="2494"/>
      <c r="BM72" s="2495"/>
      <c r="BN72" s="2493"/>
      <c r="BO72" s="2493"/>
      <c r="BP72" s="2493"/>
      <c r="BQ72" s="2493"/>
      <c r="BR72" s="2493"/>
      <c r="BS72" s="2493"/>
      <c r="BT72" s="2493"/>
      <c r="BU72" s="2493"/>
      <c r="BV72" s="2496"/>
    </row>
    <row r="73" s="1340" customFormat="1" ht="33.75" customHeight="1" spans="1:74">
      <c r="A73" s="2497" t="s">
        <v>3923</v>
      </c>
      <c r="B73" s="2498" t="s">
        <v>5700</v>
      </c>
      <c r="C73" s="2498"/>
      <c r="D73" s="2498"/>
      <c r="E73" s="2498"/>
      <c r="F73" s="2498"/>
      <c r="G73" s="2498"/>
      <c r="H73" s="2498"/>
      <c r="I73" s="2498"/>
      <c r="J73" s="2498"/>
      <c r="K73" s="2498"/>
      <c r="L73" s="2498"/>
      <c r="M73" s="2498"/>
      <c r="N73" s="2498"/>
      <c r="O73" s="2498"/>
      <c r="P73" s="2498"/>
      <c r="Q73" s="2498"/>
      <c r="R73" s="2498"/>
      <c r="S73" s="2498"/>
      <c r="T73" s="2498"/>
      <c r="U73" s="2499"/>
      <c r="V73" s="2500">
        <v>908</v>
      </c>
      <c r="W73" s="2501"/>
      <c r="X73" s="2502"/>
      <c r="Y73" s="2503">
        <f>UnosPod!O956</f>
        <v>0</v>
      </c>
      <c r="Z73" s="2503"/>
      <c r="AA73" s="2503"/>
      <c r="AB73" s="2503"/>
      <c r="AC73" s="2503"/>
      <c r="AD73" s="2503">
        <f>UnosPod!T956</f>
        <v>0</v>
      </c>
      <c r="AE73" s="2503"/>
      <c r="AF73" s="2503"/>
      <c r="AG73" s="2503"/>
      <c r="AH73" s="2503"/>
      <c r="AI73" s="2503">
        <f>UnosPod!Y956</f>
        <v>0</v>
      </c>
      <c r="AJ73" s="2503"/>
      <c r="AK73" s="2503"/>
      <c r="AL73" s="2503"/>
      <c r="AM73" s="2503"/>
      <c r="AN73" s="2503">
        <f>UnosPod!AD956</f>
        <v>0</v>
      </c>
      <c r="AO73" s="2503"/>
      <c r="AP73" s="2503"/>
      <c r="AQ73" s="2503"/>
      <c r="AR73" s="2503"/>
      <c r="AS73" s="2503">
        <f>UnosPod!AI956</f>
        <v>0</v>
      </c>
      <c r="AT73" s="2503"/>
      <c r="AU73" s="2503"/>
      <c r="AV73" s="2503"/>
      <c r="AW73" s="2503"/>
      <c r="AX73" s="2503">
        <f>UnosPod!AN956</f>
        <v>0</v>
      </c>
      <c r="AY73" s="2503"/>
      <c r="AZ73" s="2503"/>
      <c r="BA73" s="2503"/>
      <c r="BB73" s="2503"/>
      <c r="BC73" s="2503">
        <f>UnosPod!AS956</f>
        <v>0</v>
      </c>
      <c r="BD73" s="2503"/>
      <c r="BE73" s="2503"/>
      <c r="BF73" s="2503"/>
      <c r="BG73" s="2503"/>
      <c r="BH73" s="2503">
        <f t="shared" si="0"/>
        <v>0</v>
      </c>
      <c r="BI73" s="2503"/>
      <c r="BJ73" s="2503"/>
      <c r="BK73" s="2503"/>
      <c r="BL73" s="2504"/>
      <c r="BM73" s="2505"/>
      <c r="BN73" s="2503"/>
      <c r="BO73" s="2503"/>
      <c r="BP73" s="2503"/>
      <c r="BQ73" s="2503"/>
      <c r="BR73" s="2503"/>
      <c r="BS73" s="2503"/>
      <c r="BT73" s="2503"/>
      <c r="BU73" s="2503"/>
      <c r="BV73" s="2506"/>
    </row>
    <row r="74" s="1340" customFormat="1" ht="33.75" customHeight="1" spans="1:74">
      <c r="A74" s="2507" t="s">
        <v>3925</v>
      </c>
      <c r="B74" s="2508" t="s">
        <v>5701</v>
      </c>
      <c r="C74" s="2508"/>
      <c r="D74" s="2508"/>
      <c r="E74" s="2508"/>
      <c r="F74" s="2508"/>
      <c r="G74" s="2508"/>
      <c r="H74" s="2508"/>
      <c r="I74" s="2508"/>
      <c r="J74" s="2508"/>
      <c r="K74" s="2508"/>
      <c r="L74" s="2508"/>
      <c r="M74" s="2508"/>
      <c r="N74" s="2508"/>
      <c r="O74" s="2508"/>
      <c r="P74" s="2508"/>
      <c r="Q74" s="2508"/>
      <c r="R74" s="2508"/>
      <c r="S74" s="2508"/>
      <c r="T74" s="2508"/>
      <c r="U74" s="2509"/>
      <c r="V74" s="1401">
        <v>909</v>
      </c>
      <c r="W74" s="2472"/>
      <c r="X74" s="1373"/>
      <c r="Y74" s="2473">
        <f>UnosPod!O957</f>
        <v>0</v>
      </c>
      <c r="Z74" s="2473"/>
      <c r="AA74" s="2473"/>
      <c r="AB74" s="2473"/>
      <c r="AC74" s="2473"/>
      <c r="AD74" s="2473">
        <f>UnosPod!T957</f>
        <v>0</v>
      </c>
      <c r="AE74" s="2473"/>
      <c r="AF74" s="2473"/>
      <c r="AG74" s="2473"/>
      <c r="AH74" s="2473"/>
      <c r="AI74" s="2473">
        <f>UnosPod!Y957</f>
        <v>0</v>
      </c>
      <c r="AJ74" s="2473"/>
      <c r="AK74" s="2473"/>
      <c r="AL74" s="2473"/>
      <c r="AM74" s="2473"/>
      <c r="AN74" s="2473">
        <f>UnosPod!AD957</f>
        <v>0</v>
      </c>
      <c r="AO74" s="2473"/>
      <c r="AP74" s="2473"/>
      <c r="AQ74" s="2473"/>
      <c r="AR74" s="2473"/>
      <c r="AS74" s="2473">
        <f>UnosPod!AI957</f>
        <v>0</v>
      </c>
      <c r="AT74" s="2473"/>
      <c r="AU74" s="2473"/>
      <c r="AV74" s="2473"/>
      <c r="AW74" s="2473"/>
      <c r="AX74" s="2473">
        <f>UnosPod!AN957</f>
        <v>0</v>
      </c>
      <c r="AY74" s="2473"/>
      <c r="AZ74" s="2473"/>
      <c r="BA74" s="2473"/>
      <c r="BB74" s="2473"/>
      <c r="BC74" s="2473">
        <f>UnosPod!AS957</f>
        <v>0</v>
      </c>
      <c r="BD74" s="2473"/>
      <c r="BE74" s="2473"/>
      <c r="BF74" s="2473"/>
      <c r="BG74" s="2473"/>
      <c r="BH74" s="2473">
        <f t="shared" si="0"/>
        <v>0</v>
      </c>
      <c r="BI74" s="2473"/>
      <c r="BJ74" s="2473"/>
      <c r="BK74" s="2473"/>
      <c r="BL74" s="2474"/>
      <c r="BM74" s="2475"/>
      <c r="BN74" s="2473"/>
      <c r="BO74" s="2473"/>
      <c r="BP74" s="2473"/>
      <c r="BQ74" s="2473"/>
      <c r="BR74" s="2473"/>
      <c r="BS74" s="2473"/>
      <c r="BT74" s="2473"/>
      <c r="BU74" s="2473"/>
      <c r="BV74" s="2476"/>
    </row>
    <row r="75" s="1340" customFormat="1" ht="20.25" customHeight="1" spans="1:74">
      <c r="A75" s="2469" t="s">
        <v>3928</v>
      </c>
      <c r="B75" s="2470" t="s">
        <v>5702</v>
      </c>
      <c r="C75" s="2470"/>
      <c r="D75" s="2470"/>
      <c r="E75" s="2470"/>
      <c r="F75" s="2470"/>
      <c r="G75" s="2470"/>
      <c r="H75" s="2470"/>
      <c r="I75" s="2470"/>
      <c r="J75" s="2470"/>
      <c r="K75" s="2470"/>
      <c r="L75" s="2470"/>
      <c r="M75" s="2470"/>
      <c r="N75" s="2470"/>
      <c r="O75" s="2470"/>
      <c r="P75" s="2470"/>
      <c r="Q75" s="2470"/>
      <c r="R75" s="2470"/>
      <c r="S75" s="2470"/>
      <c r="T75" s="2470"/>
      <c r="U75" s="2471"/>
      <c r="V75" s="1401">
        <v>910</v>
      </c>
      <c r="W75" s="2472"/>
      <c r="X75" s="1373"/>
      <c r="Y75" s="2473">
        <f>UnosPod!O958</f>
        <v>0</v>
      </c>
      <c r="Z75" s="2473"/>
      <c r="AA75" s="2473"/>
      <c r="AB75" s="2473"/>
      <c r="AC75" s="2473"/>
      <c r="AD75" s="2473">
        <f>UnosPod!T958</f>
        <v>0</v>
      </c>
      <c r="AE75" s="2473"/>
      <c r="AF75" s="2473"/>
      <c r="AG75" s="2473"/>
      <c r="AH75" s="2473"/>
      <c r="AI75" s="2473">
        <f>UnosPod!Y958</f>
        <v>0</v>
      </c>
      <c r="AJ75" s="2473"/>
      <c r="AK75" s="2473"/>
      <c r="AL75" s="2473"/>
      <c r="AM75" s="2473"/>
      <c r="AN75" s="2473">
        <f>UnosPod!AD958</f>
        <v>0</v>
      </c>
      <c r="AO75" s="2473"/>
      <c r="AP75" s="2473"/>
      <c r="AQ75" s="2473"/>
      <c r="AR75" s="2473"/>
      <c r="AS75" s="2473">
        <f>UnosPod!AI958</f>
        <v>0</v>
      </c>
      <c r="AT75" s="2473"/>
      <c r="AU75" s="2473"/>
      <c r="AV75" s="2473"/>
      <c r="AW75" s="2473"/>
      <c r="AX75" s="2473">
        <f>UnosPod!AN958</f>
        <v>0</v>
      </c>
      <c r="AY75" s="2473"/>
      <c r="AZ75" s="2473"/>
      <c r="BA75" s="2473"/>
      <c r="BB75" s="2473"/>
      <c r="BC75" s="2473">
        <f>UnosPod!AS958</f>
        <v>0</v>
      </c>
      <c r="BD75" s="2473"/>
      <c r="BE75" s="2473"/>
      <c r="BF75" s="2473"/>
      <c r="BG75" s="2473"/>
      <c r="BH75" s="2473">
        <f t="shared" si="0"/>
        <v>0</v>
      </c>
      <c r="BI75" s="2473"/>
      <c r="BJ75" s="2473"/>
      <c r="BK75" s="2473"/>
      <c r="BL75" s="2474"/>
      <c r="BM75" s="2475"/>
      <c r="BN75" s="2473"/>
      <c r="BO75" s="2473"/>
      <c r="BP75" s="2473"/>
      <c r="BQ75" s="2473"/>
      <c r="BR75" s="2473"/>
      <c r="BS75" s="2473"/>
      <c r="BT75" s="2473"/>
      <c r="BU75" s="2473"/>
      <c r="BV75" s="2476"/>
    </row>
    <row r="76" s="1340" customFormat="1" ht="20.25" customHeight="1" spans="1:74">
      <c r="A76" s="2469" t="s">
        <v>3934</v>
      </c>
      <c r="B76" s="2470" t="s">
        <v>5703</v>
      </c>
      <c r="C76" s="2470"/>
      <c r="D76" s="2470"/>
      <c r="E76" s="2470"/>
      <c r="F76" s="2470"/>
      <c r="G76" s="2470"/>
      <c r="H76" s="2470"/>
      <c r="I76" s="2470"/>
      <c r="J76" s="2470"/>
      <c r="K76" s="2470"/>
      <c r="L76" s="2470"/>
      <c r="M76" s="2470"/>
      <c r="N76" s="2470"/>
      <c r="O76" s="2470"/>
      <c r="P76" s="2470"/>
      <c r="Q76" s="2470"/>
      <c r="R76" s="2470"/>
      <c r="S76" s="2470"/>
      <c r="T76" s="2470"/>
      <c r="U76" s="2471"/>
      <c r="V76" s="1401">
        <v>911</v>
      </c>
      <c r="W76" s="2472"/>
      <c r="X76" s="1373"/>
      <c r="Y76" s="2473">
        <f>UnosPod!O959</f>
        <v>0</v>
      </c>
      <c r="Z76" s="2473"/>
      <c r="AA76" s="2473"/>
      <c r="AB76" s="2473"/>
      <c r="AC76" s="2473"/>
      <c r="AD76" s="2473">
        <f>UnosPod!T959</f>
        <v>0</v>
      </c>
      <c r="AE76" s="2473"/>
      <c r="AF76" s="2473"/>
      <c r="AG76" s="2473"/>
      <c r="AH76" s="2473"/>
      <c r="AI76" s="2473">
        <f>UnosPod!Y959</f>
        <v>0</v>
      </c>
      <c r="AJ76" s="2473"/>
      <c r="AK76" s="2473"/>
      <c r="AL76" s="2473"/>
      <c r="AM76" s="2473"/>
      <c r="AN76" s="2473">
        <f>UnosPod!AD959</f>
        <v>0</v>
      </c>
      <c r="AO76" s="2473"/>
      <c r="AP76" s="2473"/>
      <c r="AQ76" s="2473"/>
      <c r="AR76" s="2473"/>
      <c r="AS76" s="2473">
        <f>UnosPod!AI959</f>
        <v>0</v>
      </c>
      <c r="AT76" s="2473"/>
      <c r="AU76" s="2473"/>
      <c r="AV76" s="2473"/>
      <c r="AW76" s="2473"/>
      <c r="AX76" s="2473">
        <f>UnosPod!AN959</f>
        <v>0</v>
      </c>
      <c r="AY76" s="2473"/>
      <c r="AZ76" s="2473"/>
      <c r="BA76" s="2473"/>
      <c r="BB76" s="2473"/>
      <c r="BC76" s="2473">
        <f>UnosPod!AS959</f>
        <v>0</v>
      </c>
      <c r="BD76" s="2473"/>
      <c r="BE76" s="2473"/>
      <c r="BF76" s="2473"/>
      <c r="BG76" s="2473"/>
      <c r="BH76" s="2473">
        <f t="shared" si="0"/>
        <v>0</v>
      </c>
      <c r="BI76" s="2473"/>
      <c r="BJ76" s="2473"/>
      <c r="BK76" s="2473"/>
      <c r="BL76" s="2474"/>
      <c r="BM76" s="2475"/>
      <c r="BN76" s="2473"/>
      <c r="BO76" s="2473"/>
      <c r="BP76" s="2473"/>
      <c r="BQ76" s="2473"/>
      <c r="BR76" s="2473"/>
      <c r="BS76" s="2473"/>
      <c r="BT76" s="2473"/>
      <c r="BU76" s="2473"/>
      <c r="BV76" s="2476"/>
    </row>
    <row r="77" s="1340" customFormat="1" ht="20.25" customHeight="1" spans="1:74">
      <c r="A77" s="2510" t="s">
        <v>3945</v>
      </c>
      <c r="B77" s="2511" t="s">
        <v>5704</v>
      </c>
      <c r="C77" s="2511"/>
      <c r="D77" s="2511"/>
      <c r="E77" s="2511"/>
      <c r="F77" s="2511"/>
      <c r="G77" s="2511"/>
      <c r="H77" s="2511"/>
      <c r="I77" s="2511"/>
      <c r="J77" s="2511"/>
      <c r="K77" s="2511"/>
      <c r="L77" s="2511"/>
      <c r="M77" s="2511"/>
      <c r="N77" s="2511"/>
      <c r="O77" s="2511"/>
      <c r="P77" s="2511"/>
      <c r="Q77" s="2511"/>
      <c r="R77" s="2511"/>
      <c r="S77" s="2511"/>
      <c r="T77" s="2511"/>
      <c r="U77" s="2512"/>
      <c r="V77" s="2480">
        <v>912</v>
      </c>
      <c r="W77" s="2481"/>
      <c r="X77" s="2482"/>
      <c r="Y77" s="2513">
        <f>UnosPod!O960</f>
        <v>0</v>
      </c>
      <c r="Z77" s="2513"/>
      <c r="AA77" s="2513"/>
      <c r="AB77" s="2513"/>
      <c r="AC77" s="2513"/>
      <c r="AD77" s="2513">
        <f>UnosPod!T960</f>
        <v>0</v>
      </c>
      <c r="AE77" s="2513"/>
      <c r="AF77" s="2513"/>
      <c r="AG77" s="2513"/>
      <c r="AH77" s="2513"/>
      <c r="AI77" s="2513">
        <f>UnosPod!Y960</f>
        <v>0</v>
      </c>
      <c r="AJ77" s="2513"/>
      <c r="AK77" s="2513"/>
      <c r="AL77" s="2513"/>
      <c r="AM77" s="2513"/>
      <c r="AN77" s="2513">
        <f>UnosPod!AD960</f>
        <v>0</v>
      </c>
      <c r="AO77" s="2513"/>
      <c r="AP77" s="2513"/>
      <c r="AQ77" s="2513"/>
      <c r="AR77" s="2513"/>
      <c r="AS77" s="2513">
        <f>UnosPod!AI960</f>
        <v>0</v>
      </c>
      <c r="AT77" s="2513"/>
      <c r="AU77" s="2513"/>
      <c r="AV77" s="2513"/>
      <c r="AW77" s="2513"/>
      <c r="AX77" s="2513">
        <f>UnosPod!AN960</f>
        <v>0</v>
      </c>
      <c r="AY77" s="2513"/>
      <c r="AZ77" s="2513"/>
      <c r="BA77" s="2513"/>
      <c r="BB77" s="2513"/>
      <c r="BC77" s="2513">
        <f>UnosPod!AS960</f>
        <v>0</v>
      </c>
      <c r="BD77" s="2513"/>
      <c r="BE77" s="2513"/>
      <c r="BF77" s="2513"/>
      <c r="BG77" s="2513"/>
      <c r="BH77" s="2513">
        <f t="shared" si="0"/>
        <v>0</v>
      </c>
      <c r="BI77" s="2513"/>
      <c r="BJ77" s="2513"/>
      <c r="BK77" s="2513"/>
      <c r="BL77" s="2514"/>
      <c r="BM77" s="2515"/>
      <c r="BN77" s="2513"/>
      <c r="BO77" s="2513"/>
      <c r="BP77" s="2513"/>
      <c r="BQ77" s="2513"/>
      <c r="BR77" s="2513"/>
      <c r="BS77" s="2513"/>
      <c r="BT77" s="2513"/>
      <c r="BU77" s="2513"/>
      <c r="BV77" s="2516"/>
    </row>
    <row r="78" s="2376" customFormat="1" ht="26.25" customHeight="1" spans="1:74">
      <c r="A78" s="2517" t="s">
        <v>3947</v>
      </c>
      <c r="B78" s="2518" t="str">
        <f ca="1">"Stanje na dan 31/12/"&amp;PoslGod-1&amp;".godine (904+907+908+909+910+911+912)"</f>
        <v>Stanje na dan 31/12/2024.godine (904+907+908+909+910+911+912)</v>
      </c>
      <c r="C78" s="2518"/>
      <c r="D78" s="2518"/>
      <c r="E78" s="2518"/>
      <c r="F78" s="2518"/>
      <c r="G78" s="2518"/>
      <c r="H78" s="2518"/>
      <c r="I78" s="2518"/>
      <c r="J78" s="2518"/>
      <c r="K78" s="2518"/>
      <c r="L78" s="2518"/>
      <c r="M78" s="2518"/>
      <c r="N78" s="2518"/>
      <c r="O78" s="2518"/>
      <c r="P78" s="2518"/>
      <c r="Q78" s="2518"/>
      <c r="R78" s="2518"/>
      <c r="S78" s="2518"/>
      <c r="T78" s="2518"/>
      <c r="U78" s="2519"/>
      <c r="V78" s="2520">
        <v>913</v>
      </c>
      <c r="W78" s="2521"/>
      <c r="X78" s="2522"/>
      <c r="Y78" s="2523">
        <f>UnosPod!O961</f>
        <v>350000</v>
      </c>
      <c r="Z78" s="2523"/>
      <c r="AA78" s="2523"/>
      <c r="AB78" s="2523"/>
      <c r="AC78" s="2523"/>
      <c r="AD78" s="2523">
        <f>UnosPod!T961</f>
        <v>0</v>
      </c>
      <c r="AE78" s="2523"/>
      <c r="AF78" s="2523"/>
      <c r="AG78" s="2523"/>
      <c r="AH78" s="2523"/>
      <c r="AI78" s="2523">
        <f>UnosPod!Y961</f>
        <v>18461</v>
      </c>
      <c r="AJ78" s="2523"/>
      <c r="AK78" s="2523"/>
      <c r="AL78" s="2523"/>
      <c r="AM78" s="2523"/>
      <c r="AN78" s="2523">
        <f>UnosPod!AD961</f>
        <v>0</v>
      </c>
      <c r="AO78" s="2523"/>
      <c r="AP78" s="2523"/>
      <c r="AQ78" s="2523"/>
      <c r="AR78" s="2523"/>
      <c r="AS78" s="2523">
        <f>UnosPod!AI961</f>
        <v>0</v>
      </c>
      <c r="AT78" s="2523"/>
      <c r="AU78" s="2523"/>
      <c r="AV78" s="2523"/>
      <c r="AW78" s="2523"/>
      <c r="AX78" s="2523">
        <f>UnosPod!AN961</f>
        <v>0</v>
      </c>
      <c r="AY78" s="2523"/>
      <c r="AZ78" s="2523"/>
      <c r="BA78" s="2523"/>
      <c r="BB78" s="2523"/>
      <c r="BC78" s="2523">
        <f>UnosPod!AS961</f>
        <v>91307</v>
      </c>
      <c r="BD78" s="2523"/>
      <c r="BE78" s="2523"/>
      <c r="BF78" s="2523"/>
      <c r="BG78" s="2523"/>
      <c r="BH78" s="2523">
        <f t="shared" si="0"/>
        <v>459768</v>
      </c>
      <c r="BI78" s="2523"/>
      <c r="BJ78" s="2523"/>
      <c r="BK78" s="2523"/>
      <c r="BL78" s="2524"/>
      <c r="BM78" s="2525"/>
      <c r="BN78" s="2523"/>
      <c r="BO78" s="2523"/>
      <c r="BP78" s="2523"/>
      <c r="BQ78" s="2523"/>
      <c r="BR78" s="2523"/>
      <c r="BS78" s="2523"/>
      <c r="BT78" s="2523"/>
      <c r="BU78" s="2523"/>
      <c r="BV78" s="2526"/>
    </row>
    <row r="79" s="1340" customFormat="1" ht="18.75" customHeight="1" spans="1:74">
      <c r="A79" s="2527" t="s">
        <v>5705</v>
      </c>
      <c r="B79" s="2528" t="s">
        <v>5706</v>
      </c>
      <c r="C79" s="2528"/>
      <c r="D79" s="2528"/>
      <c r="E79" s="2528"/>
      <c r="F79" s="2528"/>
      <c r="G79" s="2528"/>
      <c r="H79" s="2528"/>
      <c r="I79" s="2528"/>
      <c r="J79" s="2528"/>
      <c r="K79" s="2528"/>
      <c r="L79" s="2528"/>
      <c r="M79" s="2528"/>
      <c r="N79" s="2528"/>
      <c r="O79" s="2528"/>
      <c r="P79" s="2528"/>
      <c r="Q79" s="2528"/>
      <c r="R79" s="2528"/>
      <c r="S79" s="2528"/>
      <c r="T79" s="2528"/>
      <c r="U79" s="2529"/>
      <c r="V79" s="2500">
        <v>914</v>
      </c>
      <c r="W79" s="2501"/>
      <c r="X79" s="2502"/>
      <c r="Y79" s="2503">
        <f>UnosPod!O962</f>
        <v>0</v>
      </c>
      <c r="Z79" s="2503"/>
      <c r="AA79" s="2503"/>
      <c r="AB79" s="2503"/>
      <c r="AC79" s="2503"/>
      <c r="AD79" s="2503">
        <f>UnosPod!T962</f>
        <v>0</v>
      </c>
      <c r="AE79" s="2503"/>
      <c r="AF79" s="2503"/>
      <c r="AG79" s="2503"/>
      <c r="AH79" s="2503"/>
      <c r="AI79" s="2503">
        <f>UnosPod!Y962</f>
        <v>0</v>
      </c>
      <c r="AJ79" s="2503"/>
      <c r="AK79" s="2503"/>
      <c r="AL79" s="2503"/>
      <c r="AM79" s="2503"/>
      <c r="AN79" s="2503">
        <f>UnosPod!AD962</f>
        <v>0</v>
      </c>
      <c r="AO79" s="2503"/>
      <c r="AP79" s="2503"/>
      <c r="AQ79" s="2503"/>
      <c r="AR79" s="2503"/>
      <c r="AS79" s="2503">
        <f>UnosPod!AI962</f>
        <v>0</v>
      </c>
      <c r="AT79" s="2503"/>
      <c r="AU79" s="2503"/>
      <c r="AV79" s="2503"/>
      <c r="AW79" s="2503"/>
      <c r="AX79" s="2503">
        <f>UnosPod!AN962</f>
        <v>0</v>
      </c>
      <c r="AY79" s="2503"/>
      <c r="AZ79" s="2503"/>
      <c r="BA79" s="2503"/>
      <c r="BB79" s="2503"/>
      <c r="BC79" s="2503">
        <f>UnosPod!AS962</f>
        <v>0</v>
      </c>
      <c r="BD79" s="2503"/>
      <c r="BE79" s="2503"/>
      <c r="BF79" s="2503"/>
      <c r="BG79" s="2503"/>
      <c r="BH79" s="2503">
        <f t="shared" si="0"/>
        <v>0</v>
      </c>
      <c r="BI79" s="2503"/>
      <c r="BJ79" s="2503"/>
      <c r="BK79" s="2503"/>
      <c r="BL79" s="2504"/>
      <c r="BM79" s="2505"/>
      <c r="BN79" s="2503"/>
      <c r="BO79" s="2503"/>
      <c r="BP79" s="2503"/>
      <c r="BQ79" s="2503"/>
      <c r="BR79" s="2503"/>
      <c r="BS79" s="2503"/>
      <c r="BT79" s="2503"/>
      <c r="BU79" s="2503"/>
      <c r="BV79" s="2506"/>
    </row>
    <row r="80" s="1340" customFormat="1" ht="18.75" customHeight="1" spans="1:74">
      <c r="A80" s="2469" t="s">
        <v>5707</v>
      </c>
      <c r="B80" s="2470" t="s">
        <v>5696</v>
      </c>
      <c r="C80" s="2470"/>
      <c r="D80" s="2470"/>
      <c r="E80" s="2470"/>
      <c r="F80" s="2470"/>
      <c r="G80" s="2470"/>
      <c r="H80" s="2470"/>
      <c r="I80" s="2470"/>
      <c r="J80" s="2470"/>
      <c r="K80" s="2470"/>
      <c r="L80" s="2470"/>
      <c r="M80" s="2470"/>
      <c r="N80" s="2470"/>
      <c r="O80" s="2470"/>
      <c r="P80" s="2470"/>
      <c r="Q80" s="2470"/>
      <c r="R80" s="2470"/>
      <c r="S80" s="2470"/>
      <c r="T80" s="2470"/>
      <c r="U80" s="2471"/>
      <c r="V80" s="1401">
        <v>915</v>
      </c>
      <c r="W80" s="2472"/>
      <c r="X80" s="1373"/>
      <c r="Y80" s="2473">
        <f>UnosPod!O963</f>
        <v>0</v>
      </c>
      <c r="Z80" s="2473"/>
      <c r="AA80" s="2473"/>
      <c r="AB80" s="2473"/>
      <c r="AC80" s="2473"/>
      <c r="AD80" s="2473">
        <f>UnosPod!T963</f>
        <v>0</v>
      </c>
      <c r="AE80" s="2473"/>
      <c r="AF80" s="2473"/>
      <c r="AG80" s="2473"/>
      <c r="AH80" s="2473"/>
      <c r="AI80" s="2473">
        <f>UnosPod!Y963</f>
        <v>0</v>
      </c>
      <c r="AJ80" s="2473"/>
      <c r="AK80" s="2473"/>
      <c r="AL80" s="2473"/>
      <c r="AM80" s="2473"/>
      <c r="AN80" s="2473">
        <f>UnosPod!AD963</f>
        <v>0</v>
      </c>
      <c r="AO80" s="2473"/>
      <c r="AP80" s="2473"/>
      <c r="AQ80" s="2473"/>
      <c r="AR80" s="2473"/>
      <c r="AS80" s="2473">
        <f>UnosPod!AI963</f>
        <v>0</v>
      </c>
      <c r="AT80" s="2473"/>
      <c r="AU80" s="2473"/>
      <c r="AV80" s="2473"/>
      <c r="AW80" s="2473"/>
      <c r="AX80" s="2473">
        <f>UnosPod!AN963</f>
        <v>0</v>
      </c>
      <c r="AY80" s="2473"/>
      <c r="AZ80" s="2473"/>
      <c r="BA80" s="2473"/>
      <c r="BB80" s="2473"/>
      <c r="BC80" s="2473">
        <f>UnosPod!AS963</f>
        <v>0</v>
      </c>
      <c r="BD80" s="2473"/>
      <c r="BE80" s="2473"/>
      <c r="BF80" s="2473"/>
      <c r="BG80" s="2473"/>
      <c r="BH80" s="2473">
        <f t="shared" si="0"/>
        <v>0</v>
      </c>
      <c r="BI80" s="2473"/>
      <c r="BJ80" s="2473"/>
      <c r="BK80" s="2473"/>
      <c r="BL80" s="2474"/>
      <c r="BM80" s="2475"/>
      <c r="BN80" s="2473"/>
      <c r="BO80" s="2473"/>
      <c r="BP80" s="2473"/>
      <c r="BQ80" s="2473"/>
      <c r="BR80" s="2473"/>
      <c r="BS80" s="2473"/>
      <c r="BT80" s="2473"/>
      <c r="BU80" s="2473"/>
      <c r="BV80" s="2476"/>
    </row>
    <row r="81" s="1341" customFormat="1" ht="24.75" customHeight="1" spans="1:74">
      <c r="A81" s="2477" t="s">
        <v>5708</v>
      </c>
      <c r="B81" s="2478" t="str">
        <f ca="1">"Ponovno iskazano stanje na  01.01."&amp;PoslGod&amp;".godine (913+914+915)"</f>
        <v>Ponovno iskazano stanje na  01.01.2025.godine (913+914+915)</v>
      </c>
      <c r="C81" s="2478"/>
      <c r="D81" s="2478"/>
      <c r="E81" s="2478"/>
      <c r="F81" s="2478"/>
      <c r="G81" s="2478"/>
      <c r="H81" s="2478"/>
      <c r="I81" s="2478"/>
      <c r="J81" s="2478"/>
      <c r="K81" s="2478"/>
      <c r="L81" s="2478"/>
      <c r="M81" s="2478"/>
      <c r="N81" s="2478"/>
      <c r="O81" s="2478"/>
      <c r="P81" s="2478"/>
      <c r="Q81" s="2478"/>
      <c r="R81" s="2478"/>
      <c r="S81" s="2478"/>
      <c r="T81" s="2478"/>
      <c r="U81" s="2479"/>
      <c r="V81" s="2480">
        <v>916</v>
      </c>
      <c r="W81" s="2481"/>
      <c r="X81" s="2482"/>
      <c r="Y81" s="2483">
        <f>Y78+Y79+Y80</f>
        <v>350000</v>
      </c>
      <c r="Z81" s="2483"/>
      <c r="AA81" s="2483"/>
      <c r="AB81" s="2483"/>
      <c r="AC81" s="2483"/>
      <c r="AD81" s="2483">
        <f t="shared" ref="AD81" si="13">AD78+AD79+AD80</f>
        <v>0</v>
      </c>
      <c r="AE81" s="2483"/>
      <c r="AF81" s="2483"/>
      <c r="AG81" s="2483"/>
      <c r="AH81" s="2483"/>
      <c r="AI81" s="2483">
        <f t="shared" ref="AI81" si="14">AI78+AI79+AI80</f>
        <v>18461</v>
      </c>
      <c r="AJ81" s="2483"/>
      <c r="AK81" s="2483"/>
      <c r="AL81" s="2483"/>
      <c r="AM81" s="2483"/>
      <c r="AN81" s="2483">
        <f t="shared" ref="AN81" si="15">AN78+AN79+AN80</f>
        <v>0</v>
      </c>
      <c r="AO81" s="2483"/>
      <c r="AP81" s="2483"/>
      <c r="AQ81" s="2483"/>
      <c r="AR81" s="2483"/>
      <c r="AS81" s="2483">
        <f t="shared" ref="AS81" si="16">AS78+AS79+AS80</f>
        <v>0</v>
      </c>
      <c r="AT81" s="2483"/>
      <c r="AU81" s="2483"/>
      <c r="AV81" s="2483"/>
      <c r="AW81" s="2483"/>
      <c r="AX81" s="2483">
        <f t="shared" ref="AX81" si="17">AX78+AX79+AX80</f>
        <v>0</v>
      </c>
      <c r="AY81" s="2483"/>
      <c r="AZ81" s="2483"/>
      <c r="BA81" s="2483"/>
      <c r="BB81" s="2483"/>
      <c r="BC81" s="2483">
        <f t="shared" ref="BC81" si="18">BC78+BC79+BC80</f>
        <v>91307</v>
      </c>
      <c r="BD81" s="2483"/>
      <c r="BE81" s="2483"/>
      <c r="BF81" s="2483"/>
      <c r="BG81" s="2483"/>
      <c r="BH81" s="2483">
        <f t="shared" si="0"/>
        <v>459768</v>
      </c>
      <c r="BI81" s="2483"/>
      <c r="BJ81" s="2483"/>
      <c r="BK81" s="2483"/>
      <c r="BL81" s="2484"/>
      <c r="BM81" s="2485"/>
      <c r="BN81" s="2483"/>
      <c r="BO81" s="2483"/>
      <c r="BP81" s="2483"/>
      <c r="BQ81" s="2483"/>
      <c r="BR81" s="2483"/>
      <c r="BS81" s="2483"/>
      <c r="BT81" s="2483"/>
      <c r="BU81" s="2483"/>
      <c r="BV81" s="2486"/>
    </row>
    <row r="82" s="1340" customFormat="1" ht="19.5" customHeight="1" spans="1:74">
      <c r="A82" s="2461" t="s">
        <v>5709</v>
      </c>
      <c r="B82" s="2462" t="s">
        <v>5697</v>
      </c>
      <c r="C82" s="2462"/>
      <c r="D82" s="2462"/>
      <c r="E82" s="2462"/>
      <c r="F82" s="2462"/>
      <c r="G82" s="2462"/>
      <c r="H82" s="2462"/>
      <c r="I82" s="2462"/>
      <c r="J82" s="2462"/>
      <c r="K82" s="2462"/>
      <c r="L82" s="2462"/>
      <c r="M82" s="2462"/>
      <c r="N82" s="2462"/>
      <c r="O82" s="2462"/>
      <c r="P82" s="2462"/>
      <c r="Q82" s="2462"/>
      <c r="R82" s="2462"/>
      <c r="S82" s="2462"/>
      <c r="T82" s="2462"/>
      <c r="U82" s="2463"/>
      <c r="V82" s="1521">
        <v>917</v>
      </c>
      <c r="W82" s="1522"/>
      <c r="X82" s="2464"/>
      <c r="Y82" s="2465">
        <f>UnosPod!O965</f>
        <v>0</v>
      </c>
      <c r="Z82" s="2465"/>
      <c r="AA82" s="2465"/>
      <c r="AB82" s="2465"/>
      <c r="AC82" s="2465"/>
      <c r="AD82" s="2465">
        <f>UnosPod!T965</f>
        <v>0</v>
      </c>
      <c r="AE82" s="2465"/>
      <c r="AF82" s="2465"/>
      <c r="AG82" s="2465"/>
      <c r="AH82" s="2465"/>
      <c r="AI82" s="2465">
        <f>UnosPod!Y965</f>
        <v>0</v>
      </c>
      <c r="AJ82" s="2465"/>
      <c r="AK82" s="2465"/>
      <c r="AL82" s="2465"/>
      <c r="AM82" s="2465"/>
      <c r="AN82" s="2465">
        <f>UnosPod!AD965</f>
        <v>0</v>
      </c>
      <c r="AO82" s="2465"/>
      <c r="AP82" s="2465"/>
      <c r="AQ82" s="2465"/>
      <c r="AR82" s="2465"/>
      <c r="AS82" s="2465">
        <f>UnosPod!AI965</f>
        <v>0</v>
      </c>
      <c r="AT82" s="2465"/>
      <c r="AU82" s="2465"/>
      <c r="AV82" s="2465"/>
      <c r="AW82" s="2465"/>
      <c r="AX82" s="2465">
        <f>UnosPod!AN965</f>
        <v>0</v>
      </c>
      <c r="AY82" s="2465"/>
      <c r="AZ82" s="2465"/>
      <c r="BA82" s="2465"/>
      <c r="BB82" s="2465"/>
      <c r="BC82" s="2465">
        <f>UnosPod!AS965</f>
        <v>-59197</v>
      </c>
      <c r="BD82" s="2465"/>
      <c r="BE82" s="2465"/>
      <c r="BF82" s="2465"/>
      <c r="BG82" s="2465"/>
      <c r="BH82" s="2465">
        <f t="shared" si="0"/>
        <v>-59197</v>
      </c>
      <c r="BI82" s="2465"/>
      <c r="BJ82" s="2465"/>
      <c r="BK82" s="2465"/>
      <c r="BL82" s="2466"/>
      <c r="BM82" s="2467"/>
      <c r="BN82" s="2465"/>
      <c r="BO82" s="2465"/>
      <c r="BP82" s="2465"/>
      <c r="BQ82" s="2465"/>
      <c r="BR82" s="2465"/>
      <c r="BS82" s="2465"/>
      <c r="BT82" s="2465"/>
      <c r="BU82" s="2465"/>
      <c r="BV82" s="2468"/>
    </row>
    <row r="83" s="1340" customFormat="1" ht="19.5" customHeight="1" spans="1:74">
      <c r="A83" s="2469" t="s">
        <v>5710</v>
      </c>
      <c r="B83" s="2470" t="s">
        <v>5698</v>
      </c>
      <c r="C83" s="2470"/>
      <c r="D83" s="2470"/>
      <c r="E83" s="2470"/>
      <c r="F83" s="2470"/>
      <c r="G83" s="2470"/>
      <c r="H83" s="2470"/>
      <c r="I83" s="2470"/>
      <c r="J83" s="2470"/>
      <c r="K83" s="2470"/>
      <c r="L83" s="2470"/>
      <c r="M83" s="2470"/>
      <c r="N83" s="2470"/>
      <c r="O83" s="2470"/>
      <c r="P83" s="2470"/>
      <c r="Q83" s="2470"/>
      <c r="R83" s="2470"/>
      <c r="S83" s="2470"/>
      <c r="T83" s="2470"/>
      <c r="U83" s="2471"/>
      <c r="V83" s="1401">
        <v>918</v>
      </c>
      <c r="W83" s="2472"/>
      <c r="X83" s="1373"/>
      <c r="Y83" s="2473">
        <f>UnosPod!O966</f>
        <v>0</v>
      </c>
      <c r="Z83" s="2473"/>
      <c r="AA83" s="2473"/>
      <c r="AB83" s="2473"/>
      <c r="AC83" s="2473"/>
      <c r="AD83" s="2473">
        <f>UnosPod!T966</f>
        <v>0</v>
      </c>
      <c r="AE83" s="2473"/>
      <c r="AF83" s="2473"/>
      <c r="AG83" s="2473"/>
      <c r="AH83" s="2473"/>
      <c r="AI83" s="2473">
        <f>UnosPod!Y966</f>
        <v>0</v>
      </c>
      <c r="AJ83" s="2473"/>
      <c r="AK83" s="2473"/>
      <c r="AL83" s="2473"/>
      <c r="AM83" s="2473"/>
      <c r="AN83" s="2473">
        <f>UnosPod!AD966</f>
        <v>0</v>
      </c>
      <c r="AO83" s="2473"/>
      <c r="AP83" s="2473"/>
      <c r="AQ83" s="2473"/>
      <c r="AR83" s="2473"/>
      <c r="AS83" s="2473">
        <f>UnosPod!AI966</f>
        <v>0</v>
      </c>
      <c r="AT83" s="2473"/>
      <c r="AU83" s="2473"/>
      <c r="AV83" s="2473"/>
      <c r="AW83" s="2473"/>
      <c r="AX83" s="2473">
        <f>UnosPod!AN966</f>
        <v>0</v>
      </c>
      <c r="AY83" s="2473"/>
      <c r="AZ83" s="2473"/>
      <c r="BA83" s="2473"/>
      <c r="BB83" s="2473"/>
      <c r="BC83" s="2473">
        <f>UnosPod!AS966</f>
        <v>0</v>
      </c>
      <c r="BD83" s="2473"/>
      <c r="BE83" s="2473"/>
      <c r="BF83" s="2473"/>
      <c r="BG83" s="2473"/>
      <c r="BH83" s="2473">
        <f t="shared" si="0"/>
        <v>0</v>
      </c>
      <c r="BI83" s="2473"/>
      <c r="BJ83" s="2473"/>
      <c r="BK83" s="2473"/>
      <c r="BL83" s="2474"/>
      <c r="BM83" s="2475"/>
      <c r="BN83" s="2473"/>
      <c r="BO83" s="2473"/>
      <c r="BP83" s="2473"/>
      <c r="BQ83" s="2473"/>
      <c r="BR83" s="2473"/>
      <c r="BS83" s="2473"/>
      <c r="BT83" s="2473"/>
      <c r="BU83" s="2473"/>
      <c r="BV83" s="2476"/>
    </row>
    <row r="84" s="1341" customFormat="1" ht="19.5" customHeight="1" spans="1:74">
      <c r="A84" s="2487" t="s">
        <v>5711</v>
      </c>
      <c r="B84" s="2488" t="s">
        <v>7143</v>
      </c>
      <c r="C84" s="2488"/>
      <c r="D84" s="2488"/>
      <c r="E84" s="2488"/>
      <c r="F84" s="2488"/>
      <c r="G84" s="2488"/>
      <c r="H84" s="2488"/>
      <c r="I84" s="2488"/>
      <c r="J84" s="2488"/>
      <c r="K84" s="2488"/>
      <c r="L84" s="2488"/>
      <c r="M84" s="2488"/>
      <c r="N84" s="2488"/>
      <c r="O84" s="2488"/>
      <c r="P84" s="2488"/>
      <c r="Q84" s="2488"/>
      <c r="R84" s="2488"/>
      <c r="S84" s="2488"/>
      <c r="T84" s="2488"/>
      <c r="U84" s="2489"/>
      <c r="V84" s="2490">
        <v>919</v>
      </c>
      <c r="W84" s="2491"/>
      <c r="X84" s="2492"/>
      <c r="Y84" s="2493">
        <f>Y82+Y83</f>
        <v>0</v>
      </c>
      <c r="Z84" s="2493"/>
      <c r="AA84" s="2493"/>
      <c r="AB84" s="2493"/>
      <c r="AC84" s="2493"/>
      <c r="AD84" s="2493">
        <f t="shared" ref="AD84" si="19">AD82+AD83</f>
        <v>0</v>
      </c>
      <c r="AE84" s="2493"/>
      <c r="AF84" s="2493"/>
      <c r="AG84" s="2493"/>
      <c r="AH84" s="2493"/>
      <c r="AI84" s="2493">
        <f t="shared" ref="AI84" si="20">AI82+AI83</f>
        <v>0</v>
      </c>
      <c r="AJ84" s="2493"/>
      <c r="AK84" s="2493"/>
      <c r="AL84" s="2493"/>
      <c r="AM84" s="2493"/>
      <c r="AN84" s="2493">
        <f t="shared" ref="AN84" si="21">AN82+AN83</f>
        <v>0</v>
      </c>
      <c r="AO84" s="2493"/>
      <c r="AP84" s="2493"/>
      <c r="AQ84" s="2493"/>
      <c r="AR84" s="2493"/>
      <c r="AS84" s="2493">
        <f t="shared" ref="AS84" si="22">AS82+AS83</f>
        <v>0</v>
      </c>
      <c r="AT84" s="2493"/>
      <c r="AU84" s="2493"/>
      <c r="AV84" s="2493"/>
      <c r="AW84" s="2493"/>
      <c r="AX84" s="2493">
        <f t="shared" ref="AX84" si="23">AX82+AX83</f>
        <v>0</v>
      </c>
      <c r="AY84" s="2493"/>
      <c r="AZ84" s="2493"/>
      <c r="BA84" s="2493"/>
      <c r="BB84" s="2493"/>
      <c r="BC84" s="2493">
        <f t="shared" ref="BC84" si="24">BC82+BC83</f>
        <v>-59197</v>
      </c>
      <c r="BD84" s="2493"/>
      <c r="BE84" s="2493"/>
      <c r="BF84" s="2493"/>
      <c r="BG84" s="2493"/>
      <c r="BH84" s="2493">
        <f t="shared" si="0"/>
        <v>-59197</v>
      </c>
      <c r="BI84" s="2493"/>
      <c r="BJ84" s="2493"/>
      <c r="BK84" s="2493"/>
      <c r="BL84" s="2494"/>
      <c r="BM84" s="2495"/>
      <c r="BN84" s="2493"/>
      <c r="BO84" s="2493"/>
      <c r="BP84" s="2493"/>
      <c r="BQ84" s="2493"/>
      <c r="BR84" s="2493"/>
      <c r="BS84" s="2493"/>
      <c r="BT84" s="2493"/>
      <c r="BU84" s="2493"/>
      <c r="BV84" s="2496"/>
    </row>
    <row r="85" s="1340" customFormat="1" ht="33.75" customHeight="1" spans="1:74">
      <c r="A85" s="2497" t="s">
        <v>5713</v>
      </c>
      <c r="B85" s="2498" t="s">
        <v>5700</v>
      </c>
      <c r="C85" s="2498"/>
      <c r="D85" s="2498"/>
      <c r="E85" s="2498"/>
      <c r="F85" s="2498"/>
      <c r="G85" s="2498"/>
      <c r="H85" s="2498"/>
      <c r="I85" s="2498"/>
      <c r="J85" s="2498"/>
      <c r="K85" s="2498"/>
      <c r="L85" s="2498"/>
      <c r="M85" s="2498"/>
      <c r="N85" s="2498"/>
      <c r="O85" s="2498"/>
      <c r="P85" s="2498"/>
      <c r="Q85" s="2498"/>
      <c r="R85" s="2498"/>
      <c r="S85" s="2498"/>
      <c r="T85" s="2498"/>
      <c r="U85" s="2499"/>
      <c r="V85" s="2500">
        <v>920</v>
      </c>
      <c r="W85" s="2501"/>
      <c r="X85" s="2502"/>
      <c r="Y85" s="2503">
        <f>UnosPod!O968</f>
        <v>0</v>
      </c>
      <c r="Z85" s="2503"/>
      <c r="AA85" s="2503"/>
      <c r="AB85" s="2503"/>
      <c r="AC85" s="2503"/>
      <c r="AD85" s="2503">
        <f>UnosPod!T968</f>
        <v>0</v>
      </c>
      <c r="AE85" s="2503"/>
      <c r="AF85" s="2503"/>
      <c r="AG85" s="2503"/>
      <c r="AH85" s="2503"/>
      <c r="AI85" s="2503">
        <f>UnosPod!Y968</f>
        <v>0</v>
      </c>
      <c r="AJ85" s="2503"/>
      <c r="AK85" s="2503"/>
      <c r="AL85" s="2503"/>
      <c r="AM85" s="2503"/>
      <c r="AN85" s="2503">
        <f>UnosPod!AD968</f>
        <v>0</v>
      </c>
      <c r="AO85" s="2503"/>
      <c r="AP85" s="2503"/>
      <c r="AQ85" s="2503"/>
      <c r="AR85" s="2503"/>
      <c r="AS85" s="2503">
        <f>UnosPod!AI968</f>
        <v>0</v>
      </c>
      <c r="AT85" s="2503"/>
      <c r="AU85" s="2503"/>
      <c r="AV85" s="2503"/>
      <c r="AW85" s="2503"/>
      <c r="AX85" s="2503">
        <f>UnosPod!AN968</f>
        <v>0</v>
      </c>
      <c r="AY85" s="2503"/>
      <c r="AZ85" s="2503"/>
      <c r="BA85" s="2503"/>
      <c r="BB85" s="2503"/>
      <c r="BC85" s="2503">
        <f>UnosPod!AS968</f>
        <v>0</v>
      </c>
      <c r="BD85" s="2503"/>
      <c r="BE85" s="2503"/>
      <c r="BF85" s="2503"/>
      <c r="BG85" s="2503"/>
      <c r="BH85" s="2503">
        <f t="shared" si="0"/>
        <v>0</v>
      </c>
      <c r="BI85" s="2503"/>
      <c r="BJ85" s="2503"/>
      <c r="BK85" s="2503"/>
      <c r="BL85" s="2504"/>
      <c r="BM85" s="2505"/>
      <c r="BN85" s="2503"/>
      <c r="BO85" s="2503"/>
      <c r="BP85" s="2503"/>
      <c r="BQ85" s="2503"/>
      <c r="BR85" s="2503"/>
      <c r="BS85" s="2503"/>
      <c r="BT85" s="2503"/>
      <c r="BU85" s="2503"/>
      <c r="BV85" s="2506"/>
    </row>
    <row r="86" s="1340" customFormat="1" ht="33.75" customHeight="1" spans="1:74">
      <c r="A86" s="2507" t="s">
        <v>5714</v>
      </c>
      <c r="B86" s="2508" t="s">
        <v>5701</v>
      </c>
      <c r="C86" s="2508"/>
      <c r="D86" s="2508"/>
      <c r="E86" s="2508"/>
      <c r="F86" s="2508"/>
      <c r="G86" s="2508"/>
      <c r="H86" s="2508"/>
      <c r="I86" s="2508"/>
      <c r="J86" s="2508"/>
      <c r="K86" s="2508"/>
      <c r="L86" s="2508"/>
      <c r="M86" s="2508"/>
      <c r="N86" s="2508"/>
      <c r="O86" s="2508"/>
      <c r="P86" s="2508"/>
      <c r="Q86" s="2508"/>
      <c r="R86" s="2508"/>
      <c r="S86" s="2508"/>
      <c r="T86" s="2508"/>
      <c r="U86" s="2509"/>
      <c r="V86" s="1401">
        <v>921</v>
      </c>
      <c r="W86" s="2472"/>
      <c r="X86" s="1373"/>
      <c r="Y86" s="2473">
        <f>UnosPod!O969</f>
        <v>0</v>
      </c>
      <c r="Z86" s="2473"/>
      <c r="AA86" s="2473"/>
      <c r="AB86" s="2473"/>
      <c r="AC86" s="2473"/>
      <c r="AD86" s="2473">
        <f>UnosPod!T969</f>
        <v>0</v>
      </c>
      <c r="AE86" s="2473"/>
      <c r="AF86" s="2473"/>
      <c r="AG86" s="2473"/>
      <c r="AH86" s="2473"/>
      <c r="AI86" s="2473">
        <f>UnosPod!Y969</f>
        <v>0</v>
      </c>
      <c r="AJ86" s="2473"/>
      <c r="AK86" s="2473"/>
      <c r="AL86" s="2473"/>
      <c r="AM86" s="2473"/>
      <c r="AN86" s="2473">
        <f>UnosPod!AD969</f>
        <v>0</v>
      </c>
      <c r="AO86" s="2473"/>
      <c r="AP86" s="2473"/>
      <c r="AQ86" s="2473"/>
      <c r="AR86" s="2473"/>
      <c r="AS86" s="2473">
        <f>UnosPod!AI969</f>
        <v>0</v>
      </c>
      <c r="AT86" s="2473"/>
      <c r="AU86" s="2473"/>
      <c r="AV86" s="2473"/>
      <c r="AW86" s="2473"/>
      <c r="AX86" s="2473">
        <f>UnosPod!AN969</f>
        <v>0</v>
      </c>
      <c r="AY86" s="2473"/>
      <c r="AZ86" s="2473"/>
      <c r="BA86" s="2473"/>
      <c r="BB86" s="2473"/>
      <c r="BC86" s="2473">
        <f>UnosPod!AS969</f>
        <v>0</v>
      </c>
      <c r="BD86" s="2473"/>
      <c r="BE86" s="2473"/>
      <c r="BF86" s="2473"/>
      <c r="BG86" s="2473"/>
      <c r="BH86" s="2473">
        <f t="shared" si="0"/>
        <v>0</v>
      </c>
      <c r="BI86" s="2473"/>
      <c r="BJ86" s="2473"/>
      <c r="BK86" s="2473"/>
      <c r="BL86" s="2474"/>
      <c r="BM86" s="2475"/>
      <c r="BN86" s="2473"/>
      <c r="BO86" s="2473"/>
      <c r="BP86" s="2473"/>
      <c r="BQ86" s="2473"/>
      <c r="BR86" s="2473"/>
      <c r="BS86" s="2473"/>
      <c r="BT86" s="2473"/>
      <c r="BU86" s="2473"/>
      <c r="BV86" s="2476"/>
    </row>
    <row r="87" s="1340" customFormat="1" ht="20.25" customHeight="1" spans="1:74">
      <c r="A87" s="2469" t="s">
        <v>5715</v>
      </c>
      <c r="B87" s="2470" t="s">
        <v>5702</v>
      </c>
      <c r="C87" s="2470"/>
      <c r="D87" s="2470"/>
      <c r="E87" s="2470"/>
      <c r="F87" s="2470"/>
      <c r="G87" s="2470"/>
      <c r="H87" s="2470"/>
      <c r="I87" s="2470"/>
      <c r="J87" s="2470"/>
      <c r="K87" s="2470"/>
      <c r="L87" s="2470"/>
      <c r="M87" s="2470"/>
      <c r="N87" s="2470"/>
      <c r="O87" s="2470"/>
      <c r="P87" s="2470"/>
      <c r="Q87" s="2470"/>
      <c r="R87" s="2470"/>
      <c r="S87" s="2470"/>
      <c r="T87" s="2470"/>
      <c r="U87" s="2471"/>
      <c r="V87" s="1401">
        <v>922</v>
      </c>
      <c r="W87" s="2472"/>
      <c r="X87" s="1373"/>
      <c r="Y87" s="2473">
        <f>UnosPod!O970</f>
        <v>0</v>
      </c>
      <c r="Z87" s="2473"/>
      <c r="AA87" s="2473"/>
      <c r="AB87" s="2473"/>
      <c r="AC87" s="2473"/>
      <c r="AD87" s="2473">
        <f>UnosPod!T970</f>
        <v>0</v>
      </c>
      <c r="AE87" s="2473"/>
      <c r="AF87" s="2473"/>
      <c r="AG87" s="2473"/>
      <c r="AH87" s="2473"/>
      <c r="AI87" s="2473">
        <f>UnosPod!Y970</f>
        <v>0</v>
      </c>
      <c r="AJ87" s="2473"/>
      <c r="AK87" s="2473"/>
      <c r="AL87" s="2473"/>
      <c r="AM87" s="2473"/>
      <c r="AN87" s="2473">
        <f>UnosPod!AD970</f>
        <v>0</v>
      </c>
      <c r="AO87" s="2473"/>
      <c r="AP87" s="2473"/>
      <c r="AQ87" s="2473"/>
      <c r="AR87" s="2473"/>
      <c r="AS87" s="2473">
        <f>UnosPod!AI970</f>
        <v>0</v>
      </c>
      <c r="AT87" s="2473"/>
      <c r="AU87" s="2473"/>
      <c r="AV87" s="2473"/>
      <c r="AW87" s="2473"/>
      <c r="AX87" s="2473">
        <f>UnosPod!AN970</f>
        <v>0</v>
      </c>
      <c r="AY87" s="2473"/>
      <c r="AZ87" s="2473"/>
      <c r="BA87" s="2473"/>
      <c r="BB87" s="2473"/>
      <c r="BC87" s="2473">
        <f>UnosPod!AS970</f>
        <v>0</v>
      </c>
      <c r="BD87" s="2473"/>
      <c r="BE87" s="2473"/>
      <c r="BF87" s="2473"/>
      <c r="BG87" s="2473"/>
      <c r="BH87" s="2473">
        <f t="shared" si="0"/>
        <v>0</v>
      </c>
      <c r="BI87" s="2473"/>
      <c r="BJ87" s="2473"/>
      <c r="BK87" s="2473"/>
      <c r="BL87" s="2474"/>
      <c r="BM87" s="2475"/>
      <c r="BN87" s="2473"/>
      <c r="BO87" s="2473"/>
      <c r="BP87" s="2473"/>
      <c r="BQ87" s="2473"/>
      <c r="BR87" s="2473"/>
      <c r="BS87" s="2473"/>
      <c r="BT87" s="2473"/>
      <c r="BU87" s="2473"/>
      <c r="BV87" s="2476"/>
    </row>
    <row r="88" s="1340" customFormat="1" ht="20.25" customHeight="1" spans="1:74">
      <c r="A88" s="2469" t="s">
        <v>5716</v>
      </c>
      <c r="B88" s="2470" t="s">
        <v>5703</v>
      </c>
      <c r="C88" s="2470"/>
      <c r="D88" s="2470"/>
      <c r="E88" s="2470"/>
      <c r="F88" s="2470"/>
      <c r="G88" s="2470"/>
      <c r="H88" s="2470"/>
      <c r="I88" s="2470"/>
      <c r="J88" s="2470"/>
      <c r="K88" s="2470"/>
      <c r="L88" s="2470"/>
      <c r="M88" s="2470"/>
      <c r="N88" s="2470"/>
      <c r="O88" s="2470"/>
      <c r="P88" s="2470"/>
      <c r="Q88" s="2470"/>
      <c r="R88" s="2470"/>
      <c r="S88" s="2470"/>
      <c r="T88" s="2470"/>
      <c r="U88" s="2471"/>
      <c r="V88" s="1401">
        <v>923</v>
      </c>
      <c r="W88" s="2472"/>
      <c r="X88" s="1373"/>
      <c r="Y88" s="2473">
        <f>UnosPod!O971</f>
        <v>0</v>
      </c>
      <c r="Z88" s="2473"/>
      <c r="AA88" s="2473"/>
      <c r="AB88" s="2473"/>
      <c r="AC88" s="2473"/>
      <c r="AD88" s="2473">
        <f>UnosPod!T971</f>
        <v>0</v>
      </c>
      <c r="AE88" s="2473"/>
      <c r="AF88" s="2473"/>
      <c r="AG88" s="2473"/>
      <c r="AH88" s="2473"/>
      <c r="AI88" s="2473">
        <f>UnosPod!Y971</f>
        <v>0</v>
      </c>
      <c r="AJ88" s="2473"/>
      <c r="AK88" s="2473"/>
      <c r="AL88" s="2473"/>
      <c r="AM88" s="2473"/>
      <c r="AN88" s="2473">
        <f>UnosPod!AD971</f>
        <v>0</v>
      </c>
      <c r="AO88" s="2473"/>
      <c r="AP88" s="2473"/>
      <c r="AQ88" s="2473"/>
      <c r="AR88" s="2473"/>
      <c r="AS88" s="2473">
        <f>UnosPod!AI971</f>
        <v>0</v>
      </c>
      <c r="AT88" s="2473"/>
      <c r="AU88" s="2473"/>
      <c r="AV88" s="2473"/>
      <c r="AW88" s="2473"/>
      <c r="AX88" s="2473">
        <f>UnosPod!AN971</f>
        <v>0</v>
      </c>
      <c r="AY88" s="2473"/>
      <c r="AZ88" s="2473"/>
      <c r="BA88" s="2473"/>
      <c r="BB88" s="2473"/>
      <c r="BC88" s="2473">
        <f>UnosPod!AS971</f>
        <v>-91307</v>
      </c>
      <c r="BD88" s="2473"/>
      <c r="BE88" s="2473"/>
      <c r="BF88" s="2473"/>
      <c r="BG88" s="2473"/>
      <c r="BH88" s="2473">
        <f t="shared" si="0"/>
        <v>-91307</v>
      </c>
      <c r="BI88" s="2473"/>
      <c r="BJ88" s="2473"/>
      <c r="BK88" s="2473"/>
      <c r="BL88" s="2474"/>
      <c r="BM88" s="2475"/>
      <c r="BN88" s="2473"/>
      <c r="BO88" s="2473"/>
      <c r="BP88" s="2473"/>
      <c r="BQ88" s="2473"/>
      <c r="BR88" s="2473"/>
      <c r="BS88" s="2473"/>
      <c r="BT88" s="2473"/>
      <c r="BU88" s="2473"/>
      <c r="BV88" s="2476"/>
    </row>
    <row r="89" s="1340" customFormat="1" ht="20.25" customHeight="1" spans="1:74">
      <c r="A89" s="2510" t="s">
        <v>5717</v>
      </c>
      <c r="B89" s="2511" t="s">
        <v>5704</v>
      </c>
      <c r="C89" s="2511"/>
      <c r="D89" s="2511"/>
      <c r="E89" s="2511"/>
      <c r="F89" s="2511"/>
      <c r="G89" s="2511"/>
      <c r="H89" s="2511"/>
      <c r="I89" s="2511"/>
      <c r="J89" s="2511"/>
      <c r="K89" s="2511"/>
      <c r="L89" s="2511"/>
      <c r="M89" s="2511"/>
      <c r="N89" s="2511"/>
      <c r="O89" s="2511"/>
      <c r="P89" s="2511"/>
      <c r="Q89" s="2511"/>
      <c r="R89" s="2511"/>
      <c r="S89" s="2511"/>
      <c r="T89" s="2511"/>
      <c r="U89" s="2512"/>
      <c r="V89" s="2480">
        <v>924</v>
      </c>
      <c r="W89" s="2481"/>
      <c r="X89" s="2482"/>
      <c r="Y89" s="2513">
        <f>UnosPod!O972</f>
        <v>0</v>
      </c>
      <c r="Z89" s="2513"/>
      <c r="AA89" s="2513"/>
      <c r="AB89" s="2513"/>
      <c r="AC89" s="2513"/>
      <c r="AD89" s="2513">
        <f>UnosPod!T972</f>
        <v>0</v>
      </c>
      <c r="AE89" s="2513"/>
      <c r="AF89" s="2513"/>
      <c r="AG89" s="2513"/>
      <c r="AH89" s="2513"/>
      <c r="AI89" s="2513">
        <f>UnosPod!Y972</f>
        <v>1</v>
      </c>
      <c r="AJ89" s="2513"/>
      <c r="AK89" s="2513"/>
      <c r="AL89" s="2513"/>
      <c r="AM89" s="2513"/>
      <c r="AN89" s="2513">
        <f>UnosPod!AD972</f>
        <v>0</v>
      </c>
      <c r="AO89" s="2513"/>
      <c r="AP89" s="2513"/>
      <c r="AQ89" s="2513"/>
      <c r="AR89" s="2513"/>
      <c r="AS89" s="2513">
        <f>UnosPod!AI972</f>
        <v>0</v>
      </c>
      <c r="AT89" s="2513"/>
      <c r="AU89" s="2513"/>
      <c r="AV89" s="2513"/>
      <c r="AW89" s="2513"/>
      <c r="AX89" s="2513">
        <f>UnosPod!AN972</f>
        <v>0</v>
      </c>
      <c r="AY89" s="2513"/>
      <c r="AZ89" s="2513"/>
      <c r="BA89" s="2513"/>
      <c r="BB89" s="2513"/>
      <c r="BC89" s="2513">
        <f>UnosPod!AS972</f>
        <v>0</v>
      </c>
      <c r="BD89" s="2513"/>
      <c r="BE89" s="2513"/>
      <c r="BF89" s="2513"/>
      <c r="BG89" s="2513"/>
      <c r="BH89" s="2513">
        <f t="shared" si="0"/>
        <v>1</v>
      </c>
      <c r="BI89" s="2513"/>
      <c r="BJ89" s="2513"/>
      <c r="BK89" s="2513"/>
      <c r="BL89" s="2514"/>
      <c r="BM89" s="2515"/>
      <c r="BN89" s="2513"/>
      <c r="BO89" s="2513"/>
      <c r="BP89" s="2513"/>
      <c r="BQ89" s="2513"/>
      <c r="BR89" s="2513"/>
      <c r="BS89" s="2513"/>
      <c r="BT89" s="2513"/>
      <c r="BU89" s="2513"/>
      <c r="BV89" s="2516"/>
    </row>
    <row r="90" s="1341" customFormat="1" ht="26.25" customHeight="1" spans="1:74">
      <c r="A90" s="2530" t="s">
        <v>5718</v>
      </c>
      <c r="B90" s="2531" t="str">
        <f ca="1">"Stanje na dan 31/12/"&amp;PoslGod&amp;".godine (916+919+920+921+922+923+924)"</f>
        <v>Stanje na dan 31/12/2025.godine (916+919+920+921+922+923+924)</v>
      </c>
      <c r="C90" s="2531"/>
      <c r="D90" s="2531"/>
      <c r="E90" s="2531"/>
      <c r="F90" s="2531"/>
      <c r="G90" s="2531"/>
      <c r="H90" s="2531"/>
      <c r="I90" s="2531"/>
      <c r="J90" s="2531"/>
      <c r="K90" s="2531"/>
      <c r="L90" s="2531"/>
      <c r="M90" s="2531"/>
      <c r="N90" s="2531"/>
      <c r="O90" s="2531"/>
      <c r="P90" s="2531"/>
      <c r="Q90" s="2531"/>
      <c r="R90" s="2531"/>
      <c r="S90" s="2531"/>
      <c r="T90" s="2531"/>
      <c r="U90" s="2532"/>
      <c r="V90" s="2520">
        <v>925</v>
      </c>
      <c r="W90" s="2521"/>
      <c r="X90" s="2522"/>
      <c r="Y90" s="2523">
        <f>UnosPod!O973</f>
        <v>350000</v>
      </c>
      <c r="Z90" s="2523"/>
      <c r="AA90" s="2523"/>
      <c r="AB90" s="2523"/>
      <c r="AC90" s="2523"/>
      <c r="AD90" s="2523">
        <f>UnosPod!T973</f>
        <v>0</v>
      </c>
      <c r="AE90" s="2523"/>
      <c r="AF90" s="2523"/>
      <c r="AG90" s="2523"/>
      <c r="AH90" s="2523"/>
      <c r="AI90" s="2523">
        <f>UnosPod!Y973</f>
        <v>18462</v>
      </c>
      <c r="AJ90" s="2523"/>
      <c r="AK90" s="2523"/>
      <c r="AL90" s="2523"/>
      <c r="AM90" s="2523"/>
      <c r="AN90" s="2523">
        <f>UnosPod!AD973</f>
        <v>0</v>
      </c>
      <c r="AO90" s="2523"/>
      <c r="AP90" s="2523"/>
      <c r="AQ90" s="2523"/>
      <c r="AR90" s="2523"/>
      <c r="AS90" s="2523">
        <f>UnosPod!AI973</f>
        <v>0</v>
      </c>
      <c r="AT90" s="2523"/>
      <c r="AU90" s="2523"/>
      <c r="AV90" s="2523"/>
      <c r="AW90" s="2523"/>
      <c r="AX90" s="2523">
        <f>UnosPod!AN973</f>
        <v>0</v>
      </c>
      <c r="AY90" s="2523"/>
      <c r="AZ90" s="2523"/>
      <c r="BA90" s="2523"/>
      <c r="BB90" s="2523"/>
      <c r="BC90" s="2523">
        <f>UnosPod!AS973</f>
        <v>-59197</v>
      </c>
      <c r="BD90" s="2523"/>
      <c r="BE90" s="2523"/>
      <c r="BF90" s="2523"/>
      <c r="BG90" s="2523"/>
      <c r="BH90" s="2523">
        <f t="shared" si="0"/>
        <v>309265</v>
      </c>
      <c r="BI90" s="2523"/>
      <c r="BJ90" s="2523"/>
      <c r="BK90" s="2523"/>
      <c r="BL90" s="2524"/>
      <c r="BM90" s="2525"/>
      <c r="BN90" s="2523"/>
      <c r="BO90" s="2523"/>
      <c r="BP90" s="2523"/>
      <c r="BQ90" s="2523"/>
      <c r="BR90" s="2523"/>
      <c r="BS90" s="2523"/>
      <c r="BT90" s="2523"/>
      <c r="BU90" s="2523"/>
      <c r="BV90" s="2526"/>
    </row>
  </sheetData>
  <mergeCells count="387">
    <mergeCell ref="BM1:BV1"/>
    <mergeCell ref="BL2:BV2"/>
    <mergeCell ref="BM3:BV3"/>
    <mergeCell ref="BL4:BV4"/>
    <mergeCell ref="A8:J8"/>
    <mergeCell ref="BM8:BV8"/>
    <mergeCell ref="A10:J10"/>
    <mergeCell ref="A24:BV24"/>
    <mergeCell ref="A25:BV25"/>
    <mergeCell ref="A47:B47"/>
    <mergeCell ref="A48:B48"/>
    <mergeCell ref="C48:G48"/>
    <mergeCell ref="Z48:AP48"/>
    <mergeCell ref="BG48:BP48"/>
    <mergeCell ref="Z49:AP49"/>
    <mergeCell ref="BG49:BP49"/>
    <mergeCell ref="Z50:AP50"/>
    <mergeCell ref="Z51:AP51"/>
    <mergeCell ref="Z52:AP52"/>
    <mergeCell ref="Z53:AP53"/>
    <mergeCell ref="A57:BV57"/>
    <mergeCell ref="A58:BV58"/>
    <mergeCell ref="A60:B60"/>
    <mergeCell ref="C60:U60"/>
    <mergeCell ref="Y60:BL60"/>
    <mergeCell ref="A61:B61"/>
    <mergeCell ref="C61:U61"/>
    <mergeCell ref="Y61:AC61"/>
    <mergeCell ref="AD61:AH61"/>
    <mergeCell ref="AI61:AM61"/>
    <mergeCell ref="AN61:AR61"/>
    <mergeCell ref="AS61:AW61"/>
    <mergeCell ref="AX61:BB61"/>
    <mergeCell ref="BC61:BG61"/>
    <mergeCell ref="BH61:BL61"/>
    <mergeCell ref="BM61:BQ61"/>
    <mergeCell ref="BR61:BV61"/>
    <mergeCell ref="A62:U62"/>
    <mergeCell ref="V62:X62"/>
    <mergeCell ref="Y62:AC62"/>
    <mergeCell ref="AD62:AH62"/>
    <mergeCell ref="AI62:AM62"/>
    <mergeCell ref="AN62:AR62"/>
    <mergeCell ref="AS62:AW62"/>
    <mergeCell ref="AX62:BB62"/>
    <mergeCell ref="BC62:BG62"/>
    <mergeCell ref="BH62:BL62"/>
    <mergeCell ref="BM62:BQ62"/>
    <mergeCell ref="BR62:BV62"/>
    <mergeCell ref="A63:U63"/>
    <mergeCell ref="V63:X63"/>
    <mergeCell ref="Y63:AC63"/>
    <mergeCell ref="AD63:AH63"/>
    <mergeCell ref="AI63:AM63"/>
    <mergeCell ref="AN63:AR63"/>
    <mergeCell ref="AS63:AW63"/>
    <mergeCell ref="AX63:BB63"/>
    <mergeCell ref="BC63:BG63"/>
    <mergeCell ref="BH63:BL63"/>
    <mergeCell ref="BM63:BQ63"/>
    <mergeCell ref="BR63:BV63"/>
    <mergeCell ref="A64:B64"/>
    <mergeCell ref="C64:U64"/>
    <mergeCell ref="Y64:AC64"/>
    <mergeCell ref="AD64:AH64"/>
    <mergeCell ref="AI64:AM64"/>
    <mergeCell ref="AN64:AR64"/>
    <mergeCell ref="AS64:AW64"/>
    <mergeCell ref="AX64:BB64"/>
    <mergeCell ref="BC64:BG64"/>
    <mergeCell ref="BH64:BL64"/>
    <mergeCell ref="BM64:BQ64"/>
    <mergeCell ref="BR64:BV64"/>
    <mergeCell ref="A65:B65"/>
    <mergeCell ref="C65:U65"/>
    <mergeCell ref="V65:X65"/>
    <mergeCell ref="Y65:AC65"/>
    <mergeCell ref="AD65:AH65"/>
    <mergeCell ref="AI65:AM65"/>
    <mergeCell ref="AN65:AR65"/>
    <mergeCell ref="AS65:AW65"/>
    <mergeCell ref="AX65:BB65"/>
    <mergeCell ref="BC65:BG65"/>
    <mergeCell ref="BH65:BL65"/>
    <mergeCell ref="BM65:BQ65"/>
    <mergeCell ref="BR65:BV65"/>
    <mergeCell ref="B66:U66"/>
    <mergeCell ref="V66:X66"/>
    <mergeCell ref="Y66:AC66"/>
    <mergeCell ref="AD66:AH66"/>
    <mergeCell ref="AI66:AM66"/>
    <mergeCell ref="AN66:AR66"/>
    <mergeCell ref="AS66:AW66"/>
    <mergeCell ref="AX66:BB66"/>
    <mergeCell ref="BC66:BG66"/>
    <mergeCell ref="BH66:BL66"/>
    <mergeCell ref="BM66:BQ66"/>
    <mergeCell ref="BR66:BV66"/>
    <mergeCell ref="B67:U67"/>
    <mergeCell ref="V67:X67"/>
    <mergeCell ref="Y67:AC67"/>
    <mergeCell ref="AD67:AH67"/>
    <mergeCell ref="AI67:AM67"/>
    <mergeCell ref="AN67:AR67"/>
    <mergeCell ref="AS67:AW67"/>
    <mergeCell ref="AX67:BB67"/>
    <mergeCell ref="BC67:BG67"/>
    <mergeCell ref="BH67:BL67"/>
    <mergeCell ref="BM67:BQ67"/>
    <mergeCell ref="BR67:BV67"/>
    <mergeCell ref="B68:U68"/>
    <mergeCell ref="V68:X68"/>
    <mergeCell ref="Y68:AC68"/>
    <mergeCell ref="AD68:AH68"/>
    <mergeCell ref="AI68:AM68"/>
    <mergeCell ref="AN68:AR68"/>
    <mergeCell ref="AS68:AW68"/>
    <mergeCell ref="AX68:BB68"/>
    <mergeCell ref="BC68:BG68"/>
    <mergeCell ref="BH68:BL68"/>
    <mergeCell ref="BM68:BQ68"/>
    <mergeCell ref="BR68:BV68"/>
    <mergeCell ref="B69:U69"/>
    <mergeCell ref="V69:X69"/>
    <mergeCell ref="Y69:AC69"/>
    <mergeCell ref="AD69:AH69"/>
    <mergeCell ref="AI69:AM69"/>
    <mergeCell ref="AN69:AR69"/>
    <mergeCell ref="AS69:AW69"/>
    <mergeCell ref="AX69:BB69"/>
    <mergeCell ref="BC69:BG69"/>
    <mergeCell ref="BH69:BL69"/>
    <mergeCell ref="BM69:BQ69"/>
    <mergeCell ref="BR69:BV69"/>
    <mergeCell ref="B70:U70"/>
    <mergeCell ref="V70:X70"/>
    <mergeCell ref="Y70:AC70"/>
    <mergeCell ref="AD70:AH70"/>
    <mergeCell ref="AI70:AM70"/>
    <mergeCell ref="AN70:AR70"/>
    <mergeCell ref="AS70:AW70"/>
    <mergeCell ref="AX70:BB70"/>
    <mergeCell ref="BC70:BG70"/>
    <mergeCell ref="BH70:BL70"/>
    <mergeCell ref="BM70:BQ70"/>
    <mergeCell ref="BR70:BV70"/>
    <mergeCell ref="B71:U71"/>
    <mergeCell ref="V71:X71"/>
    <mergeCell ref="Y71:AC71"/>
    <mergeCell ref="AD71:AH71"/>
    <mergeCell ref="AI71:AM71"/>
    <mergeCell ref="AN71:AR71"/>
    <mergeCell ref="AS71:AW71"/>
    <mergeCell ref="AX71:BB71"/>
    <mergeCell ref="BC71:BG71"/>
    <mergeCell ref="BH71:BL71"/>
    <mergeCell ref="BM71:BQ71"/>
    <mergeCell ref="BR71:BV71"/>
    <mergeCell ref="B72:U72"/>
    <mergeCell ref="V72:X72"/>
    <mergeCell ref="Y72:AC72"/>
    <mergeCell ref="AD72:AH72"/>
    <mergeCell ref="AI72:AM72"/>
    <mergeCell ref="AN72:AR72"/>
    <mergeCell ref="AS72:AW72"/>
    <mergeCell ref="AX72:BB72"/>
    <mergeCell ref="BC72:BG72"/>
    <mergeCell ref="BH72:BL72"/>
    <mergeCell ref="BM72:BQ72"/>
    <mergeCell ref="BR72:BV72"/>
    <mergeCell ref="B73:U73"/>
    <mergeCell ref="V73:X73"/>
    <mergeCell ref="Y73:AC73"/>
    <mergeCell ref="AD73:AH73"/>
    <mergeCell ref="AI73:AM73"/>
    <mergeCell ref="AN73:AR73"/>
    <mergeCell ref="AS73:AW73"/>
    <mergeCell ref="AX73:BB73"/>
    <mergeCell ref="BC73:BG73"/>
    <mergeCell ref="BH73:BL73"/>
    <mergeCell ref="BM73:BQ73"/>
    <mergeCell ref="BR73:BV73"/>
    <mergeCell ref="B74:U74"/>
    <mergeCell ref="V74:X74"/>
    <mergeCell ref="Y74:AC74"/>
    <mergeCell ref="AD74:AH74"/>
    <mergeCell ref="AI74:AM74"/>
    <mergeCell ref="AN74:AR74"/>
    <mergeCell ref="AS74:AW74"/>
    <mergeCell ref="AX74:BB74"/>
    <mergeCell ref="BC74:BG74"/>
    <mergeCell ref="BH74:BL74"/>
    <mergeCell ref="BM74:BQ74"/>
    <mergeCell ref="BR74:BV74"/>
    <mergeCell ref="B75:U75"/>
    <mergeCell ref="V75:X75"/>
    <mergeCell ref="Y75:AC75"/>
    <mergeCell ref="AD75:AH75"/>
    <mergeCell ref="AI75:AM75"/>
    <mergeCell ref="AN75:AR75"/>
    <mergeCell ref="AS75:AW75"/>
    <mergeCell ref="AX75:BB75"/>
    <mergeCell ref="BC75:BG75"/>
    <mergeCell ref="BH75:BL75"/>
    <mergeCell ref="BM75:BQ75"/>
    <mergeCell ref="BR75:BV75"/>
    <mergeCell ref="B76:U76"/>
    <mergeCell ref="V76:X76"/>
    <mergeCell ref="Y76:AC76"/>
    <mergeCell ref="AD76:AH76"/>
    <mergeCell ref="AI76:AM76"/>
    <mergeCell ref="AN76:AR76"/>
    <mergeCell ref="AS76:AW76"/>
    <mergeCell ref="AX76:BB76"/>
    <mergeCell ref="BC76:BG76"/>
    <mergeCell ref="BH76:BL76"/>
    <mergeCell ref="BM76:BQ76"/>
    <mergeCell ref="BR76:BV76"/>
    <mergeCell ref="B77:U77"/>
    <mergeCell ref="V77:X77"/>
    <mergeCell ref="Y77:AC77"/>
    <mergeCell ref="AD77:AH77"/>
    <mergeCell ref="AI77:AM77"/>
    <mergeCell ref="AN77:AR77"/>
    <mergeCell ref="AS77:AW77"/>
    <mergeCell ref="AX77:BB77"/>
    <mergeCell ref="BC77:BG77"/>
    <mergeCell ref="BH77:BL77"/>
    <mergeCell ref="BM77:BQ77"/>
    <mergeCell ref="BR77:BV77"/>
    <mergeCell ref="B78:U78"/>
    <mergeCell ref="V78:X78"/>
    <mergeCell ref="Y78:AC78"/>
    <mergeCell ref="AD78:AH78"/>
    <mergeCell ref="AI78:AM78"/>
    <mergeCell ref="AN78:AR78"/>
    <mergeCell ref="AS78:AW78"/>
    <mergeCell ref="AX78:BB78"/>
    <mergeCell ref="BC78:BG78"/>
    <mergeCell ref="BH78:BL78"/>
    <mergeCell ref="BM78:BQ78"/>
    <mergeCell ref="BR78:BV78"/>
    <mergeCell ref="B79:U79"/>
    <mergeCell ref="V79:X79"/>
    <mergeCell ref="Y79:AC79"/>
    <mergeCell ref="AD79:AH79"/>
    <mergeCell ref="AI79:AM79"/>
    <mergeCell ref="AN79:AR79"/>
    <mergeCell ref="AS79:AW79"/>
    <mergeCell ref="AX79:BB79"/>
    <mergeCell ref="BC79:BG79"/>
    <mergeCell ref="BH79:BL79"/>
    <mergeCell ref="BM79:BQ79"/>
    <mergeCell ref="BR79:BV79"/>
    <mergeCell ref="B80:U80"/>
    <mergeCell ref="V80:X80"/>
    <mergeCell ref="Y80:AC80"/>
    <mergeCell ref="AD80:AH80"/>
    <mergeCell ref="AI80:AM80"/>
    <mergeCell ref="AN80:AR80"/>
    <mergeCell ref="AS80:AW80"/>
    <mergeCell ref="AX80:BB80"/>
    <mergeCell ref="BC80:BG80"/>
    <mergeCell ref="BH80:BL80"/>
    <mergeCell ref="BM80:BQ80"/>
    <mergeCell ref="BR80:BV80"/>
    <mergeCell ref="B81:U81"/>
    <mergeCell ref="V81:X81"/>
    <mergeCell ref="Y81:AC81"/>
    <mergeCell ref="AD81:AH81"/>
    <mergeCell ref="AI81:AM81"/>
    <mergeCell ref="AN81:AR81"/>
    <mergeCell ref="AS81:AW81"/>
    <mergeCell ref="AX81:BB81"/>
    <mergeCell ref="BC81:BG81"/>
    <mergeCell ref="BH81:BL81"/>
    <mergeCell ref="BM81:BQ81"/>
    <mergeCell ref="BR81:BV81"/>
    <mergeCell ref="B82:U82"/>
    <mergeCell ref="V82:X82"/>
    <mergeCell ref="Y82:AC82"/>
    <mergeCell ref="AD82:AH82"/>
    <mergeCell ref="AI82:AM82"/>
    <mergeCell ref="AN82:AR82"/>
    <mergeCell ref="AS82:AW82"/>
    <mergeCell ref="AX82:BB82"/>
    <mergeCell ref="BC82:BG82"/>
    <mergeCell ref="BH82:BL82"/>
    <mergeCell ref="BM82:BQ82"/>
    <mergeCell ref="BR82:BV82"/>
    <mergeCell ref="B83:U83"/>
    <mergeCell ref="V83:X83"/>
    <mergeCell ref="Y83:AC83"/>
    <mergeCell ref="AD83:AH83"/>
    <mergeCell ref="AI83:AM83"/>
    <mergeCell ref="AN83:AR83"/>
    <mergeCell ref="AS83:AW83"/>
    <mergeCell ref="AX83:BB83"/>
    <mergeCell ref="BC83:BG83"/>
    <mergeCell ref="BH83:BL83"/>
    <mergeCell ref="BM83:BQ83"/>
    <mergeCell ref="BR83:BV83"/>
    <mergeCell ref="B84:U84"/>
    <mergeCell ref="V84:X84"/>
    <mergeCell ref="Y84:AC84"/>
    <mergeCell ref="AD84:AH84"/>
    <mergeCell ref="AI84:AM84"/>
    <mergeCell ref="AN84:AR84"/>
    <mergeCell ref="AS84:AW84"/>
    <mergeCell ref="AX84:BB84"/>
    <mergeCell ref="BC84:BG84"/>
    <mergeCell ref="BH84:BL84"/>
    <mergeCell ref="BM84:BQ84"/>
    <mergeCell ref="BR84:BV84"/>
    <mergeCell ref="B85:U85"/>
    <mergeCell ref="V85:X85"/>
    <mergeCell ref="Y85:AC85"/>
    <mergeCell ref="AD85:AH85"/>
    <mergeCell ref="AI85:AM85"/>
    <mergeCell ref="AN85:AR85"/>
    <mergeCell ref="AS85:AW85"/>
    <mergeCell ref="AX85:BB85"/>
    <mergeCell ref="BC85:BG85"/>
    <mergeCell ref="BH85:BL85"/>
    <mergeCell ref="BM85:BQ85"/>
    <mergeCell ref="BR85:BV85"/>
    <mergeCell ref="B86:U86"/>
    <mergeCell ref="V86:X86"/>
    <mergeCell ref="Y86:AC86"/>
    <mergeCell ref="AD86:AH86"/>
    <mergeCell ref="AI86:AM86"/>
    <mergeCell ref="AN86:AR86"/>
    <mergeCell ref="AS86:AW86"/>
    <mergeCell ref="AX86:BB86"/>
    <mergeCell ref="BC86:BG86"/>
    <mergeCell ref="BH86:BL86"/>
    <mergeCell ref="BM86:BQ86"/>
    <mergeCell ref="BR86:BV86"/>
    <mergeCell ref="B87:U87"/>
    <mergeCell ref="V87:X87"/>
    <mergeCell ref="Y87:AC87"/>
    <mergeCell ref="AD87:AH87"/>
    <mergeCell ref="AI87:AM87"/>
    <mergeCell ref="AN87:AR87"/>
    <mergeCell ref="AS87:AW87"/>
    <mergeCell ref="AX87:BB87"/>
    <mergeCell ref="BC87:BG87"/>
    <mergeCell ref="BH87:BL87"/>
    <mergeCell ref="BM87:BQ87"/>
    <mergeCell ref="BR87:BV87"/>
    <mergeCell ref="B88:U88"/>
    <mergeCell ref="V88:X88"/>
    <mergeCell ref="Y88:AC88"/>
    <mergeCell ref="AD88:AH88"/>
    <mergeCell ref="AI88:AM88"/>
    <mergeCell ref="AN88:AR88"/>
    <mergeCell ref="AS88:AW88"/>
    <mergeCell ref="AX88:BB88"/>
    <mergeCell ref="BC88:BG88"/>
    <mergeCell ref="BH88:BL88"/>
    <mergeCell ref="BM88:BQ88"/>
    <mergeCell ref="BR88:BV88"/>
    <mergeCell ref="B89:U89"/>
    <mergeCell ref="V89:X89"/>
    <mergeCell ref="Y89:AC89"/>
    <mergeCell ref="AD89:AH89"/>
    <mergeCell ref="AI89:AM89"/>
    <mergeCell ref="AN89:AR89"/>
    <mergeCell ref="AS89:AW89"/>
    <mergeCell ref="AX89:BB89"/>
    <mergeCell ref="BC89:BG89"/>
    <mergeCell ref="BH89:BL89"/>
    <mergeCell ref="BM89:BQ89"/>
    <mergeCell ref="BR89:BV89"/>
    <mergeCell ref="B90:U90"/>
    <mergeCell ref="V90:X90"/>
    <mergeCell ref="Y90:AC90"/>
    <mergeCell ref="AD90:AH90"/>
    <mergeCell ref="AI90:AM90"/>
    <mergeCell ref="AN90:AR90"/>
    <mergeCell ref="AS90:AW90"/>
    <mergeCell ref="AX90:BB90"/>
    <mergeCell ref="BC90:BG90"/>
    <mergeCell ref="BH90:BL90"/>
    <mergeCell ref="BM90:BQ90"/>
    <mergeCell ref="BR90:BV90"/>
    <mergeCell ref="A5:X6"/>
  </mergeCells>
  <pageMargins left="0.511811023622047" right="0.31496062992126" top="0.551181102362205" bottom="0.551181102362205" header="0.31496062992126" footer="0.31496062992126"/>
  <pageSetup paperSize="9" scale="63" fitToHeight="0" orientation="landscape"/>
  <headerFooter>
    <oddFooter>&amp;L&amp;"Arial Narrow,Uobičajeno"ekonomika.doo@bih.net.ba - 037/511-739&amp;R&amp;"Arial Narrow,Uobičajeno"Strana &amp;P</oddFooter>
  </headerFooter>
  <rowBreaks count="2" manualBreakCount="2">
    <brk id="55" max="16383" man="1"/>
    <brk id="90" max="16383"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1">
    <tabColor rgb="FF0070C0"/>
    <pageSetUpPr fitToPage="1"/>
  </sheetPr>
  <dimension ref="A1:AJ81"/>
  <sheetViews>
    <sheetView showGridLines="0" topLeftCell="B1" workbookViewId="0">
      <selection activeCell="R3" sqref="R3"/>
    </sheetView>
  </sheetViews>
  <sheetFormatPr defaultColWidth="9" defaultRowHeight="12.75"/>
  <cols>
    <col min="1" max="1" width="1.71428571428571" style="572" customWidth="1"/>
    <col min="2" max="2" width="5.28571428571429" style="572" customWidth="1"/>
    <col min="3" max="5" width="3.14285714285714" style="572" customWidth="1"/>
    <col min="6" max="6" width="3" style="572" customWidth="1"/>
    <col min="7" max="7" width="3.28571428571429" style="572" customWidth="1"/>
    <col min="8" max="8" width="3.14285714285714" style="572" customWidth="1"/>
    <col min="9" max="11" width="3" style="572" customWidth="1"/>
    <col min="12" max="12" width="3.14285714285714" style="572" customWidth="1"/>
    <col min="13" max="13" width="2.85714285714286" style="572" customWidth="1"/>
    <col min="14" max="14" width="2.71428571428571" style="572" customWidth="1"/>
    <col min="15" max="15" width="2.28571428571429" style="572" customWidth="1"/>
    <col min="16" max="17" width="2.85714285714286" style="572" customWidth="1"/>
    <col min="18" max="18" width="3" style="572" customWidth="1"/>
    <col min="19" max="20" width="2.85714285714286" style="572" customWidth="1"/>
    <col min="21" max="21" width="3" style="572" customWidth="1"/>
    <col min="22" max="22" width="2.57142857142857" style="572" customWidth="1"/>
    <col min="23" max="23" width="3" style="572" customWidth="1"/>
    <col min="24" max="24" width="3.14285714285714" style="572" customWidth="1"/>
    <col min="25" max="25" width="2.85714285714286" style="572" customWidth="1"/>
    <col min="26" max="26" width="3" style="572" customWidth="1"/>
    <col min="27" max="27" width="2.85714285714286" style="572" customWidth="1"/>
    <col min="28" max="28" width="3" style="572" customWidth="1"/>
    <col min="29" max="29" width="2.85714285714286" style="572" customWidth="1"/>
    <col min="30" max="31" width="2.71428571428571" style="572" customWidth="1"/>
    <col min="32" max="36" width="2.57142857142857" style="572" customWidth="1"/>
    <col min="37" max="37" width="3.14285714285714" style="572" customWidth="1"/>
    <col min="38" max="39" width="3" style="572" customWidth="1"/>
    <col min="40" max="40" width="2.57142857142857" style="572" customWidth="1"/>
    <col min="41" max="41" width="2.71428571428571" style="572" customWidth="1"/>
    <col min="42" max="83" width="2.42857142857143" style="572" customWidth="1"/>
    <col min="84" max="16384" width="9.14285714285714" style="572"/>
  </cols>
  <sheetData>
    <row r="1" spans="1:33">
      <c r="D1" s="2302" t="s">
        <v>6490</v>
      </c>
      <c r="E1" s="2302"/>
      <c r="F1" s="2302"/>
      <c r="G1" s="2302"/>
      <c r="H1" s="2302"/>
      <c r="I1" s="2302"/>
      <c r="J1" s="2302"/>
      <c r="K1" s="2302"/>
      <c r="L1" s="2302"/>
      <c r="M1" s="2302"/>
      <c r="N1" s="2302"/>
      <c r="O1" s="2302"/>
      <c r="T1" s="2302" t="s">
        <v>7144</v>
      </c>
      <c r="U1" s="2302"/>
      <c r="V1" s="2302"/>
      <c r="W1" s="2302"/>
      <c r="X1" s="2302"/>
      <c r="Y1" s="2302"/>
      <c r="Z1" s="2302"/>
      <c r="AA1" s="2302"/>
      <c r="AB1" s="2302"/>
      <c r="AC1" s="2302"/>
      <c r="AD1" s="2302"/>
      <c r="AE1" s="2302"/>
      <c r="AF1" s="2302"/>
      <c r="AG1" s="2302"/>
    </row>
    <row r="2" spans="1:33">
      <c r="D2" s="2303" t="s">
        <v>6055</v>
      </c>
      <c r="E2" s="2303"/>
      <c r="F2" s="2303"/>
      <c r="G2" s="2303"/>
      <c r="H2" s="2303"/>
      <c r="I2" s="2303"/>
      <c r="J2" s="2303"/>
      <c r="K2" s="2303"/>
      <c r="L2" s="2303"/>
      <c r="M2" s="2303"/>
      <c r="N2" s="2303"/>
      <c r="O2" s="2303"/>
      <c r="T2" s="2304" t="s">
        <v>6056</v>
      </c>
      <c r="U2" s="2305"/>
      <c r="V2" s="2305"/>
      <c r="W2" s="2305"/>
      <c r="X2" s="2305"/>
      <c r="Y2" s="2305"/>
      <c r="Z2" s="2305"/>
      <c r="AA2" s="2305"/>
      <c r="AB2" s="2305"/>
      <c r="AC2" s="2305"/>
      <c r="AD2" s="2305"/>
      <c r="AE2" s="2305"/>
      <c r="AF2" s="2305"/>
      <c r="AG2" s="2306"/>
    </row>
    <row r="3" spans="1:33">
      <c r="D3" s="2303" t="s">
        <v>6057</v>
      </c>
      <c r="E3" s="2303"/>
      <c r="F3" s="2303"/>
      <c r="G3" s="2303"/>
      <c r="H3" s="2303"/>
      <c r="I3" s="2303"/>
      <c r="J3" s="2303"/>
      <c r="K3" s="2303"/>
      <c r="L3" s="2303"/>
      <c r="M3" s="2303"/>
      <c r="N3" s="2303"/>
      <c r="O3" s="2303"/>
      <c r="T3" s="455" t="s">
        <v>7145</v>
      </c>
      <c r="U3" s="2307"/>
      <c r="V3" s="2307"/>
      <c r="W3" s="2307"/>
      <c r="X3" s="2307"/>
      <c r="Y3" s="2307"/>
      <c r="Z3" s="2307"/>
      <c r="AA3" s="2307"/>
      <c r="AB3" s="2307"/>
      <c r="AC3" s="2307"/>
      <c r="AD3" s="2307"/>
      <c r="AE3" s="2307"/>
      <c r="AF3" s="2307"/>
      <c r="AG3" s="2308"/>
    </row>
    <row r="4" spans="1:33">
      <c r="D4" s="2303" t="s">
        <v>7146</v>
      </c>
      <c r="E4" s="2303"/>
      <c r="F4" s="2303"/>
      <c r="G4" s="2303"/>
      <c r="H4" s="2303"/>
      <c r="I4" s="2303"/>
      <c r="J4" s="2303"/>
      <c r="K4" s="2303"/>
      <c r="L4" s="2303"/>
      <c r="M4" s="2303"/>
      <c r="N4" s="2303"/>
      <c r="O4" s="2303"/>
      <c r="T4" s="2013"/>
      <c r="U4" s="2013"/>
      <c r="V4" s="2013"/>
      <c r="W4" s="2013"/>
      <c r="X4" s="2013"/>
      <c r="Y4" s="2013"/>
      <c r="Z4" s="2013"/>
      <c r="AA4" s="2013"/>
      <c r="AB4" s="2013"/>
      <c r="AC4" s="2013"/>
      <c r="AD4" s="2013"/>
      <c r="AE4" s="2013"/>
      <c r="AF4" s="2013"/>
      <c r="AG4" s="2013"/>
    </row>
    <row r="5" spans="1:33">
      <c r="B5" s="2085"/>
    </row>
    <row r="6" ht="15.75" spans="1:33">
      <c r="B6" s="2085"/>
      <c r="D6" s="575" t="str">
        <f ca="1">"GODIŠNJI IZVJEŠTAJ O INVESTICIJAMA ZA "&amp;PoslGod&amp;". GODINU"</f>
        <v>GODIŠNJI IZVJEŠTAJ O INVESTICIJAMA ZA 2025. GODINU</v>
      </c>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row>
    <row r="7" ht="10.5" customHeight="1" spans="1:33">
      <c r="B7" s="2085"/>
      <c r="J7" s="2085"/>
    </row>
    <row r="8" ht="48" customHeight="1" spans="1:33">
      <c r="A8" s="2309"/>
      <c r="B8" s="2310" t="s">
        <v>7147</v>
      </c>
      <c r="C8" s="2311"/>
      <c r="D8" s="2311"/>
      <c r="E8" s="2311"/>
      <c r="F8" s="2311"/>
      <c r="G8" s="2311"/>
      <c r="H8" s="2311"/>
      <c r="I8" s="2311"/>
      <c r="J8" s="2311"/>
      <c r="K8" s="2311"/>
      <c r="L8" s="2311"/>
      <c r="M8" s="2311"/>
      <c r="N8" s="2311"/>
      <c r="O8" s="2311"/>
      <c r="P8" s="2311"/>
      <c r="Q8" s="2311"/>
      <c r="R8" s="2311"/>
      <c r="S8" s="2311"/>
      <c r="T8" s="2311"/>
      <c r="U8" s="2311"/>
      <c r="V8" s="2311"/>
      <c r="W8" s="2311"/>
      <c r="X8" s="2311"/>
      <c r="Y8" s="2311"/>
      <c r="Z8" s="2311"/>
      <c r="AA8" s="2311"/>
      <c r="AB8" s="2311"/>
      <c r="AC8" s="2311"/>
      <c r="AD8" s="2311"/>
      <c r="AE8" s="2311"/>
      <c r="AF8" s="2311"/>
      <c r="AG8" s="2312"/>
    </row>
    <row r="9" ht="8.25" customHeight="1" spans="1:33">
      <c r="B9" s="2085"/>
      <c r="J9" s="2085"/>
    </row>
    <row r="10" s="1" customFormat="1" ht="15.75" spans="1:33">
      <c r="B10" s="2085" t="s">
        <v>6063</v>
      </c>
      <c r="J10" s="2313" t="str">
        <f>UnosPod!F8</f>
        <v>LILIUM ASSET MANAGEMENT d.o.o. Sarajevo</v>
      </c>
    </row>
    <row r="11" spans="1:33">
      <c r="B11" s="2085"/>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row>
    <row r="12" spans="1:33">
      <c r="B12" s="2085" t="s">
        <v>7148</v>
      </c>
      <c r="H12" s="2314"/>
      <c r="I12" s="2314"/>
      <c r="J12" s="2314"/>
      <c r="K12" s="2314"/>
      <c r="L12" s="2314"/>
      <c r="M12" s="2314"/>
      <c r="N12" s="2314"/>
      <c r="O12" s="2314"/>
      <c r="P12" s="2314"/>
      <c r="Q12" s="2314"/>
      <c r="R12" s="2314"/>
      <c r="S12" s="2314"/>
      <c r="U12" s="2023">
        <f>UnosPod!AA8</f>
        <v>4</v>
      </c>
      <c r="V12" s="2023">
        <f>UnosPod!AB8</f>
        <v>2</v>
      </c>
      <c r="W12" s="2023">
        <f>UnosPod!AC8</f>
        <v>0</v>
      </c>
      <c r="X12" s="2023">
        <f>UnosPod!AD8</f>
        <v>1</v>
      </c>
      <c r="Y12" s="2023">
        <f>UnosPod!AE8</f>
        <v>3</v>
      </c>
      <c r="Z12" s="2023">
        <f>UnosPod!AF8</f>
        <v>3</v>
      </c>
      <c r="AA12" s="2023">
        <f>UnosPod!AG8</f>
        <v>7</v>
      </c>
      <c r="AB12" s="2023">
        <f>UnosPod!AH8</f>
        <v>6</v>
      </c>
      <c r="AC12" s="2023">
        <f>UnosPod!AI8</f>
        <v>7</v>
      </c>
      <c r="AD12" s="2023">
        <f>UnosPod!AJ8</f>
        <v>0</v>
      </c>
      <c r="AE12" s="2023">
        <f>UnosPod!AK8</f>
        <v>0</v>
      </c>
      <c r="AF12" s="2023">
        <f>UnosPod!AL8</f>
        <v>0</v>
      </c>
      <c r="AG12" s="2023">
        <f>UnosPod!AM8</f>
        <v>9</v>
      </c>
    </row>
    <row r="13" ht="8.25" customHeight="1" spans="1:33">
      <c r="B13" s="2085"/>
      <c r="J13" s="2085"/>
    </row>
    <row r="14" spans="1:33">
      <c r="B14" s="2085" t="s">
        <v>7149</v>
      </c>
      <c r="F14" s="2315" t="str">
        <f>UnosPod!F11</f>
        <v>Sarajevo</v>
      </c>
      <c r="G14" s="2014"/>
      <c r="H14" s="2014"/>
      <c r="I14" s="2014"/>
      <c r="J14" s="2316"/>
      <c r="K14" s="2014"/>
      <c r="L14" s="2014"/>
      <c r="M14" s="2014"/>
      <c r="N14" s="2014"/>
      <c r="O14" s="2085"/>
      <c r="P14" s="2085" t="s">
        <v>7150</v>
      </c>
      <c r="Q14" s="2085"/>
      <c r="T14" s="2317" t="str">
        <f>Baza!I21</f>
        <v>Sarajevo-Stari Grad</v>
      </c>
      <c r="U14" s="2317"/>
      <c r="V14" s="2317"/>
      <c r="W14" s="2317"/>
      <c r="X14" s="2317"/>
      <c r="Y14" s="2317"/>
      <c r="Z14" s="2317"/>
      <c r="AA14" s="2317"/>
    </row>
    <row r="15" ht="9" customHeight="1" spans="1:33">
      <c r="B15" s="2085"/>
      <c r="J15" s="2085"/>
    </row>
    <row r="16" spans="1:33">
      <c r="B16" s="572" t="s">
        <v>7151</v>
      </c>
      <c r="F16" s="2317" t="str">
        <f>UnosPod!F10</f>
        <v>Dženetića čikma br.8</v>
      </c>
      <c r="G16" s="2317"/>
      <c r="H16" s="2317"/>
      <c r="I16" s="2317"/>
      <c r="J16" s="2317"/>
      <c r="K16" s="2317"/>
      <c r="L16" s="2317"/>
      <c r="M16" s="2317"/>
      <c r="N16" s="2317"/>
      <c r="P16" s="572" t="s">
        <v>7152</v>
      </c>
      <c r="T16" s="2317"/>
      <c r="U16" s="2317"/>
      <c r="V16" s="2317"/>
      <c r="W16" s="2317"/>
      <c r="X16" s="2317"/>
      <c r="Y16" s="2317"/>
      <c r="Z16" s="2317"/>
      <c r="AA16" s="2317"/>
    </row>
    <row r="17" spans="2:35">
      <c r="B17" s="2085"/>
    </row>
    <row r="18" spans="2:35">
      <c r="B18" s="585" t="s">
        <v>7153</v>
      </c>
      <c r="C18" s="585"/>
      <c r="D18" s="585"/>
      <c r="P18" s="2318"/>
      <c r="Q18" s="2318"/>
      <c r="R18" s="2318"/>
      <c r="S18" s="2318"/>
      <c r="T18" s="2318"/>
      <c r="U18" s="2318"/>
      <c r="V18" s="2318"/>
      <c r="W18" s="2318"/>
      <c r="X18" s="2318"/>
      <c r="Y18" s="2318"/>
      <c r="Z18" s="2318"/>
      <c r="AA18" s="2318"/>
      <c r="AD18" s="2023">
        <f>UnosPod!AA10</f>
        <v>6</v>
      </c>
      <c r="AE18" s="2023">
        <f>UnosPod!AB10</f>
        <v>6</v>
      </c>
      <c r="AF18" s="2023">
        <f>UnosPod!AC10</f>
        <v>3</v>
      </c>
      <c r="AG18" s="2023">
        <f>UnosPod!AD10</f>
        <v>0</v>
      </c>
      <c r="AI18" s="572" t="s">
        <v>5765</v>
      </c>
    </row>
    <row r="19" ht="9.75" customHeight="1" spans="2:35">
      <c r="B19" s="2085"/>
      <c r="AG19" s="2013"/>
    </row>
    <row r="20" spans="2:35">
      <c r="B20" s="2319" t="str">
        <f ca="1">"TABELA 1. IZVRŠENE ISPLATE ZA INVESTICIJE U STALNA SREDSTVA PO IZVORIMA FINANSIRANJA U "&amp;PoslGod&amp;".GODINI 1)2)"</f>
        <v>TABELA 1. IZVRŠENE ISPLATE ZA INVESTICIJE U STALNA SREDSTVA PO IZVORIMA FINANSIRANJA U 2025.GODINI 1)2)</v>
      </c>
    </row>
    <row r="21" spans="2:35">
      <c r="B21" s="2320"/>
      <c r="D21" s="324" t="s">
        <v>5608</v>
      </c>
    </row>
    <row r="22" spans="2:35">
      <c r="B22" s="2321" t="s">
        <v>7095</v>
      </c>
      <c r="C22" s="2322"/>
      <c r="D22" s="2322"/>
      <c r="E22" s="2322"/>
      <c r="F22" s="2322"/>
      <c r="G22" s="2322"/>
      <c r="H22" s="2322"/>
      <c r="I22" s="2322"/>
      <c r="J22" s="2322"/>
      <c r="K22" s="2322"/>
      <c r="L22" s="2322"/>
      <c r="M22" s="2322"/>
      <c r="N22" s="2322"/>
      <c r="O22" s="2322"/>
      <c r="P22" s="2322"/>
      <c r="Q22" s="2322"/>
      <c r="R22" s="2322"/>
      <c r="S22" s="2322"/>
      <c r="T22" s="2322"/>
      <c r="U22" s="2322"/>
      <c r="V22" s="2322"/>
      <c r="W22" s="2322"/>
      <c r="X22" s="2322"/>
      <c r="Y22" s="2322"/>
      <c r="Z22" s="2322"/>
      <c r="AA22" s="2322"/>
      <c r="AB22" s="2323" t="s">
        <v>5800</v>
      </c>
      <c r="AC22" s="2322"/>
      <c r="AD22" s="2322"/>
      <c r="AE22" s="2322"/>
      <c r="AF22" s="2322"/>
      <c r="AG22" s="2324"/>
    </row>
    <row r="23" spans="2:35">
      <c r="B23" s="2325" t="s">
        <v>7076</v>
      </c>
      <c r="C23" s="2012"/>
      <c r="D23" s="2012"/>
      <c r="E23" s="2012"/>
      <c r="F23" s="2012"/>
      <c r="G23" s="2012"/>
      <c r="H23" s="2012"/>
      <c r="I23" s="2012"/>
      <c r="J23" s="2012"/>
      <c r="K23" s="2012"/>
      <c r="L23" s="2012"/>
      <c r="M23" s="2012"/>
      <c r="N23" s="2012"/>
      <c r="O23" s="2012"/>
      <c r="P23" s="2012"/>
      <c r="Q23" s="2012"/>
      <c r="R23" s="2012"/>
      <c r="S23" s="2012"/>
      <c r="T23" s="2012"/>
      <c r="U23" s="2012"/>
      <c r="V23" s="2012"/>
      <c r="W23" s="2012"/>
      <c r="X23" s="2012"/>
      <c r="Y23" s="2012"/>
      <c r="Z23" s="2012"/>
      <c r="AA23" s="2012"/>
      <c r="AB23" s="2326"/>
      <c r="AC23" s="2012"/>
      <c r="AD23" s="2012"/>
      <c r="AE23" s="2012"/>
      <c r="AF23" s="2012"/>
      <c r="AG23" s="2327"/>
    </row>
    <row r="24" spans="2:35">
      <c r="B24" s="2328" t="s">
        <v>3953</v>
      </c>
      <c r="C24" s="2329" t="str">
        <f ca="1">"Isplaćeno za investicije po izvorima u "&amp;PoslGod&amp;". godini"</f>
        <v>Isplaćeno za investicije po izvorima u 2025. godini</v>
      </c>
      <c r="D24" s="2076"/>
      <c r="E24" s="2076"/>
      <c r="F24" s="2076"/>
      <c r="G24" s="2076"/>
      <c r="H24" s="2076"/>
      <c r="I24" s="2076"/>
      <c r="J24" s="2076"/>
      <c r="K24" s="2076"/>
      <c r="L24" s="2076"/>
      <c r="M24" s="2076"/>
      <c r="N24" s="2076"/>
      <c r="O24" s="2076"/>
      <c r="P24" s="2076"/>
      <c r="Q24" s="2076"/>
      <c r="R24" s="2076"/>
      <c r="S24" s="2076"/>
      <c r="T24" s="2076"/>
      <c r="U24" s="2076"/>
      <c r="V24" s="2076"/>
      <c r="W24" s="2076"/>
      <c r="X24" s="2076"/>
      <c r="Y24" s="2076"/>
      <c r="Z24" s="2076"/>
      <c r="AA24" s="2076"/>
      <c r="AB24" s="2330">
        <f>AB26+AB27+AB30+AB34+AB35+AB36</f>
        <v>0</v>
      </c>
      <c r="AC24" s="2331"/>
      <c r="AD24" s="2331"/>
      <c r="AE24" s="2331"/>
      <c r="AF24" s="2331"/>
      <c r="AG24" s="2332"/>
    </row>
    <row r="25" spans="2:35">
      <c r="B25" s="2333"/>
      <c r="D25" s="572" t="s">
        <v>7154</v>
      </c>
      <c r="AB25" s="2334"/>
      <c r="AC25" s="2335"/>
      <c r="AD25" s="2335"/>
      <c r="AE25" s="2335"/>
      <c r="AF25" s="2335"/>
      <c r="AG25" s="2336"/>
    </row>
    <row r="26" spans="2:35">
      <c r="B26" s="2337" t="s">
        <v>7155</v>
      </c>
      <c r="C26" s="2338"/>
      <c r="D26" s="2338" t="s">
        <v>7156</v>
      </c>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40">
        <f>UnosPod!O863</f>
        <v>0</v>
      </c>
      <c r="AC26" s="2341"/>
      <c r="AD26" s="2341"/>
      <c r="AE26" s="2341"/>
      <c r="AF26" s="2341"/>
      <c r="AG26" s="2342"/>
    </row>
    <row r="27" spans="2:35">
      <c r="B27" s="2337" t="s">
        <v>7157</v>
      </c>
      <c r="C27" s="2338"/>
      <c r="D27" s="2338" t="s">
        <v>7158</v>
      </c>
      <c r="E27" s="2339"/>
      <c r="F27" s="2339"/>
      <c r="G27" s="2339"/>
      <c r="H27" s="2339"/>
      <c r="I27" s="2339"/>
      <c r="J27" s="2339"/>
      <c r="K27" s="2339" t="s">
        <v>7159</v>
      </c>
      <c r="L27" s="2339"/>
      <c r="M27" s="2339"/>
      <c r="N27" s="2339"/>
      <c r="O27" s="2339"/>
      <c r="P27" s="2339"/>
      <c r="Q27" s="2339"/>
      <c r="R27" s="2339"/>
      <c r="S27" s="2339"/>
      <c r="T27" s="2339"/>
      <c r="U27" s="2339"/>
      <c r="V27" s="2339"/>
      <c r="W27" s="2339"/>
      <c r="X27" s="2339"/>
      <c r="Y27" s="2339"/>
      <c r="Z27" s="2339"/>
      <c r="AA27" s="2339"/>
      <c r="AB27" s="2340">
        <f>SUM(AB28:AG29)</f>
        <v>0</v>
      </c>
      <c r="AC27" s="2341"/>
      <c r="AD27" s="2341"/>
      <c r="AE27" s="2341"/>
      <c r="AF27" s="2341"/>
      <c r="AG27" s="2342"/>
    </row>
    <row r="28" spans="2:35">
      <c r="B28" s="2325" t="s">
        <v>7160</v>
      </c>
      <c r="C28" s="2014"/>
      <c r="D28" s="2014"/>
      <c r="E28" s="2014" t="s">
        <v>7161</v>
      </c>
      <c r="F28" s="2014"/>
      <c r="G28" s="2014"/>
      <c r="H28" s="2014"/>
      <c r="I28" s="2014"/>
      <c r="J28" s="2014"/>
      <c r="K28" s="2014"/>
      <c r="L28" s="2014"/>
      <c r="M28" s="2014"/>
      <c r="N28" s="2014"/>
      <c r="O28" s="2014"/>
      <c r="P28" s="2014"/>
      <c r="Q28" s="2014"/>
      <c r="R28" s="2014"/>
      <c r="S28" s="2014"/>
      <c r="T28" s="2014"/>
      <c r="U28" s="2014"/>
      <c r="V28" s="2014"/>
      <c r="W28" s="2014"/>
      <c r="X28" s="2014"/>
      <c r="Y28" s="2014"/>
      <c r="Z28" s="2014"/>
      <c r="AA28" s="2014"/>
      <c r="AB28" s="2343">
        <f>UnosPod!O864</f>
        <v>0</v>
      </c>
      <c r="AC28" s="2344"/>
      <c r="AD28" s="2344"/>
      <c r="AE28" s="2344"/>
      <c r="AF28" s="2344"/>
      <c r="AG28" s="2345"/>
    </row>
    <row r="29" spans="2:35">
      <c r="B29" s="2346" t="s">
        <v>7162</v>
      </c>
      <c r="C29" s="2076"/>
      <c r="D29" s="2076"/>
      <c r="E29" s="2076" t="s">
        <v>7163</v>
      </c>
      <c r="F29" s="2076"/>
      <c r="G29" s="2076"/>
      <c r="H29" s="2076"/>
      <c r="I29" s="2076"/>
      <c r="J29" s="2076"/>
      <c r="K29" s="2076"/>
      <c r="L29" s="2076"/>
      <c r="M29" s="2076"/>
      <c r="N29" s="2076"/>
      <c r="O29" s="2076"/>
      <c r="P29" s="2076"/>
      <c r="Q29" s="2076"/>
      <c r="R29" s="2076"/>
      <c r="S29" s="2076"/>
      <c r="T29" s="2076"/>
      <c r="U29" s="2076"/>
      <c r="V29" s="2076"/>
      <c r="W29" s="2076"/>
      <c r="X29" s="2076"/>
      <c r="Y29" s="2076"/>
      <c r="Z29" s="2076"/>
      <c r="AA29" s="2076"/>
      <c r="AB29" s="2343">
        <f>UnosPod!O865</f>
        <v>0</v>
      </c>
      <c r="AC29" s="2344"/>
      <c r="AD29" s="2344"/>
      <c r="AE29" s="2344"/>
      <c r="AF29" s="2344"/>
      <c r="AG29" s="2345"/>
    </row>
    <row r="30" spans="2:35">
      <c r="B30" s="2337" t="s">
        <v>7164</v>
      </c>
      <c r="C30" s="2339"/>
      <c r="D30" s="2338" t="s">
        <v>7165</v>
      </c>
      <c r="E30" s="2339"/>
      <c r="F30" s="2339"/>
      <c r="G30" s="2339"/>
      <c r="H30" s="2339"/>
      <c r="I30" s="2339"/>
      <c r="J30" s="2339"/>
      <c r="K30" s="2339"/>
      <c r="L30" s="2339" t="s">
        <v>7166</v>
      </c>
      <c r="M30" s="2339"/>
      <c r="N30" s="2339"/>
      <c r="O30" s="2339"/>
      <c r="P30" s="2339"/>
      <c r="Q30" s="2339"/>
      <c r="R30" s="2339"/>
      <c r="S30" s="2339"/>
      <c r="T30" s="2339"/>
      <c r="U30" s="2339"/>
      <c r="V30" s="2339"/>
      <c r="W30" s="2339"/>
      <c r="X30" s="2339"/>
      <c r="Y30" s="2339"/>
      <c r="Z30" s="2339"/>
      <c r="AA30" s="2339"/>
      <c r="AB30" s="2340">
        <f>SUM(AB31:AG33)</f>
        <v>0</v>
      </c>
      <c r="AC30" s="2341"/>
      <c r="AD30" s="2341"/>
      <c r="AE30" s="2341"/>
      <c r="AF30" s="2341"/>
      <c r="AG30" s="2342"/>
    </row>
    <row r="31" spans="2:35">
      <c r="B31" s="2325" t="s">
        <v>7167</v>
      </c>
      <c r="C31" s="2014"/>
      <c r="D31" s="2014"/>
      <c r="E31" s="2014" t="s">
        <v>7168</v>
      </c>
      <c r="F31" s="2014"/>
      <c r="G31" s="2014"/>
      <c r="H31" s="2014"/>
      <c r="I31" s="2014"/>
      <c r="J31" s="2014"/>
      <c r="K31" s="2014"/>
      <c r="L31" s="2014"/>
      <c r="M31" s="2014"/>
      <c r="N31" s="2014"/>
      <c r="O31" s="2014"/>
      <c r="P31" s="2014"/>
      <c r="Q31" s="2014"/>
      <c r="R31" s="2014"/>
      <c r="S31" s="2014"/>
      <c r="T31" s="2014"/>
      <c r="U31" s="2014"/>
      <c r="V31" s="2014"/>
      <c r="W31" s="2014"/>
      <c r="X31" s="2014"/>
      <c r="Y31" s="2014"/>
      <c r="Z31" s="2014"/>
      <c r="AA31" s="2014"/>
      <c r="AB31" s="2343">
        <f>UnosPod!O866</f>
        <v>0</v>
      </c>
      <c r="AC31" s="2344"/>
      <c r="AD31" s="2344"/>
      <c r="AE31" s="2344"/>
      <c r="AF31" s="2344"/>
      <c r="AG31" s="2345"/>
    </row>
    <row r="32" spans="2:35">
      <c r="B32" s="2347" t="s">
        <v>7169</v>
      </c>
      <c r="C32" s="938"/>
      <c r="D32" s="938"/>
      <c r="E32" s="938" t="s">
        <v>7170</v>
      </c>
      <c r="F32" s="938"/>
      <c r="G32" s="938"/>
      <c r="H32" s="938"/>
      <c r="I32" s="938"/>
      <c r="J32" s="938"/>
      <c r="K32" s="938"/>
      <c r="L32" s="938"/>
      <c r="M32" s="938"/>
      <c r="N32" s="938"/>
      <c r="O32" s="938"/>
      <c r="P32" s="938"/>
      <c r="Q32" s="938"/>
      <c r="R32" s="938"/>
      <c r="S32" s="938"/>
      <c r="T32" s="938"/>
      <c r="U32" s="938"/>
      <c r="V32" s="938"/>
      <c r="W32" s="938"/>
      <c r="X32" s="938"/>
      <c r="Y32" s="938"/>
      <c r="Z32" s="938"/>
      <c r="AA32" s="938"/>
      <c r="AB32" s="2343">
        <f>UnosPod!O867</f>
        <v>0</v>
      </c>
      <c r="AC32" s="2344"/>
      <c r="AD32" s="2344"/>
      <c r="AE32" s="2344"/>
      <c r="AF32" s="2344"/>
      <c r="AG32" s="2345"/>
    </row>
    <row r="33" spans="2:33">
      <c r="B33" s="2346" t="s">
        <v>7171</v>
      </c>
      <c r="C33" s="2076"/>
      <c r="D33" s="2076"/>
      <c r="E33" s="2076" t="s">
        <v>7172</v>
      </c>
      <c r="F33" s="2076"/>
      <c r="G33" s="2076"/>
      <c r="H33" s="2076"/>
      <c r="I33" s="2076"/>
      <c r="J33" s="2076"/>
      <c r="K33" s="2076"/>
      <c r="L33" s="2076"/>
      <c r="M33" s="2076"/>
      <c r="N33" s="2076"/>
      <c r="O33" s="2076"/>
      <c r="P33" s="2076"/>
      <c r="Q33" s="2076"/>
      <c r="R33" s="2076"/>
      <c r="S33" s="2076"/>
      <c r="T33" s="2076"/>
      <c r="U33" s="2076"/>
      <c r="V33" s="2076"/>
      <c r="W33" s="2076"/>
      <c r="X33" s="2076"/>
      <c r="Y33" s="2076"/>
      <c r="Z33" s="2076"/>
      <c r="AA33" s="2076"/>
      <c r="AB33" s="2343">
        <f>UnosPod!O868</f>
        <v>0</v>
      </c>
      <c r="AC33" s="2344"/>
      <c r="AD33" s="2344"/>
      <c r="AE33" s="2344"/>
      <c r="AF33" s="2344"/>
      <c r="AG33" s="2345"/>
    </row>
    <row r="34" spans="2:33">
      <c r="B34" s="2337" t="s">
        <v>7173</v>
      </c>
      <c r="C34" s="2339"/>
      <c r="D34" s="2338" t="s">
        <v>7174</v>
      </c>
      <c r="E34" s="2339"/>
      <c r="F34" s="2339"/>
      <c r="G34" s="2339"/>
      <c r="H34" s="2339"/>
      <c r="I34" s="2339"/>
      <c r="J34" s="2339"/>
      <c r="K34" s="2339"/>
      <c r="L34" s="2339"/>
      <c r="M34" s="2339"/>
      <c r="N34" s="2339"/>
      <c r="O34" s="2339"/>
      <c r="P34" s="2339"/>
      <c r="Q34" s="2339"/>
      <c r="R34" s="2339"/>
      <c r="S34" s="2339"/>
      <c r="T34" s="2339"/>
      <c r="U34" s="2339"/>
      <c r="V34" s="2339"/>
      <c r="W34" s="2339"/>
      <c r="X34" s="2339"/>
      <c r="Y34" s="2339"/>
      <c r="Z34" s="2339"/>
      <c r="AA34" s="2339"/>
      <c r="AB34" s="2340">
        <f>UnosPod!O869</f>
        <v>0</v>
      </c>
      <c r="AC34" s="2341"/>
      <c r="AD34" s="2341"/>
      <c r="AE34" s="2341"/>
      <c r="AF34" s="2341"/>
      <c r="AG34" s="2342"/>
    </row>
    <row r="35" spans="2:33">
      <c r="B35" s="2337" t="s">
        <v>7175</v>
      </c>
      <c r="C35" s="2339"/>
      <c r="D35" s="2338" t="s">
        <v>7176</v>
      </c>
      <c r="E35" s="2339"/>
      <c r="F35" s="2339"/>
      <c r="G35" s="2339"/>
      <c r="H35" s="2339"/>
      <c r="I35" s="2339"/>
      <c r="J35" s="2339"/>
      <c r="K35" s="2339"/>
      <c r="L35" s="2339"/>
      <c r="M35" s="2339"/>
      <c r="N35" s="2339"/>
      <c r="O35" s="2339"/>
      <c r="P35" s="2339"/>
      <c r="Q35" s="2339"/>
      <c r="R35" s="2339"/>
      <c r="S35" s="2339"/>
      <c r="T35" s="2339"/>
      <c r="U35" s="2339"/>
      <c r="V35" s="2339"/>
      <c r="W35" s="2339"/>
      <c r="X35" s="2339"/>
      <c r="Y35" s="2339"/>
      <c r="Z35" s="2339"/>
      <c r="AA35" s="2339"/>
      <c r="AB35" s="2340">
        <f>UnosPod!O870</f>
        <v>0</v>
      </c>
      <c r="AC35" s="2341"/>
      <c r="AD35" s="2341"/>
      <c r="AE35" s="2341"/>
      <c r="AF35" s="2341"/>
      <c r="AG35" s="2342"/>
    </row>
    <row r="36" spans="2:33">
      <c r="B36" s="2348" t="s">
        <v>7177</v>
      </c>
      <c r="C36" s="2297"/>
      <c r="D36" s="2349" t="s">
        <v>7178</v>
      </c>
      <c r="E36" s="2297"/>
      <c r="F36" s="2297"/>
      <c r="G36" s="2297"/>
      <c r="H36" s="2297"/>
      <c r="I36" s="2297"/>
      <c r="J36" s="2297"/>
      <c r="K36" s="2297"/>
      <c r="L36" s="2297"/>
      <c r="M36" s="2297"/>
      <c r="N36" s="2297"/>
      <c r="O36" s="2297"/>
      <c r="P36" s="2297"/>
      <c r="Q36" s="2297"/>
      <c r="R36" s="2297"/>
      <c r="S36" s="2297"/>
      <c r="T36" s="2297"/>
      <c r="U36" s="2297"/>
      <c r="V36" s="2297"/>
      <c r="W36" s="2297"/>
      <c r="X36" s="2297"/>
      <c r="Y36" s="2297"/>
      <c r="Z36" s="2297"/>
      <c r="AA36" s="2297"/>
      <c r="AB36" s="2350">
        <f>UnosPod!O871</f>
        <v>0</v>
      </c>
      <c r="AC36" s="2351"/>
      <c r="AD36" s="2351"/>
      <c r="AE36" s="2351"/>
      <c r="AF36" s="2351"/>
      <c r="AG36" s="2352"/>
    </row>
    <row r="37" spans="2:33">
      <c r="B37" s="2353"/>
      <c r="C37" s="2211"/>
      <c r="D37" s="2354" t="s">
        <v>7179</v>
      </c>
      <c r="E37" s="2211"/>
      <c r="F37" s="2211"/>
      <c r="G37" s="2211"/>
      <c r="H37" s="2211"/>
      <c r="I37" s="2211"/>
      <c r="J37" s="2211"/>
      <c r="K37" s="2211"/>
      <c r="L37" s="2211"/>
      <c r="M37" s="2211"/>
      <c r="N37" s="2211"/>
      <c r="O37" s="2211"/>
      <c r="P37" s="2211"/>
      <c r="Q37" s="2211"/>
      <c r="R37" s="2211"/>
      <c r="S37" s="2211"/>
      <c r="T37" s="2211"/>
      <c r="U37" s="2211"/>
      <c r="V37" s="2211"/>
      <c r="W37" s="2211"/>
      <c r="X37" s="2211"/>
      <c r="Y37" s="2211"/>
      <c r="Z37" s="2211"/>
      <c r="AA37" s="2211"/>
      <c r="AB37" s="2355"/>
      <c r="AC37" s="2356"/>
      <c r="AD37" s="2356"/>
      <c r="AE37" s="2356"/>
      <c r="AF37" s="2356"/>
      <c r="AG37" s="2357"/>
    </row>
    <row r="38" spans="2:33">
      <c r="B38" s="2358" t="s">
        <v>7180</v>
      </c>
      <c r="C38" s="2211"/>
      <c r="D38" s="2211"/>
      <c r="E38" s="2211" t="s">
        <v>7181</v>
      </c>
      <c r="F38" s="2211"/>
      <c r="G38" s="2211"/>
      <c r="H38" s="2211"/>
      <c r="I38" s="2211"/>
      <c r="J38" s="2211"/>
      <c r="K38" s="2211"/>
      <c r="L38" s="2211"/>
      <c r="M38" s="2211"/>
      <c r="N38" s="2211"/>
      <c r="O38" s="2211"/>
      <c r="P38" s="2211"/>
      <c r="Q38" s="2211"/>
      <c r="R38" s="2211"/>
      <c r="S38" s="2211"/>
      <c r="T38" s="2211"/>
      <c r="U38" s="2211"/>
      <c r="V38" s="2211"/>
      <c r="W38" s="2211"/>
      <c r="X38" s="2211"/>
      <c r="Y38" s="2211"/>
      <c r="Z38" s="2211"/>
      <c r="AA38" s="2211"/>
      <c r="AB38" s="2359">
        <f>UnosPod!O872</f>
        <v>0</v>
      </c>
      <c r="AC38" s="2360"/>
      <c r="AD38" s="2360"/>
      <c r="AE38" s="2360"/>
      <c r="AF38" s="2360"/>
      <c r="AG38" s="2361"/>
    </row>
    <row r="39" s="424" customFormat="1" ht="11.25" spans="2:33">
      <c r="B39" s="2289" t="s">
        <v>7182</v>
      </c>
    </row>
    <row r="40" s="424" customFormat="1" ht="11.25" spans="2:33">
      <c r="B40" s="2289" t="s">
        <v>7183</v>
      </c>
    </row>
    <row r="41" s="424" customFormat="1" ht="11.25" spans="2:33">
      <c r="B41" s="2289" t="s">
        <v>7184</v>
      </c>
    </row>
    <row r="42" s="424" customFormat="1" ht="11.25" spans="2:33">
      <c r="B42" s="2289" t="s">
        <v>7185</v>
      </c>
    </row>
    <row r="43" s="424" customFormat="1" ht="11.25" spans="2:33">
      <c r="B43" s="2289" t="s">
        <v>7186</v>
      </c>
    </row>
    <row r="44" s="424" customFormat="1" ht="11.25" spans="2:33">
      <c r="B44" s="2289" t="s">
        <v>7187</v>
      </c>
    </row>
    <row r="45" ht="18" customHeight="1" spans="2:33">
      <c r="B45" s="2362" t="s">
        <v>7188</v>
      </c>
    </row>
    <row r="46" spans="2:33">
      <c r="B46" s="2363"/>
      <c r="D46" s="402" t="str">
        <f ca="1">"SA STANJEM 31.12."&amp;PoslGod&amp;". GODINE"</f>
        <v>SA STANJEM 31.12.2025. GODINE</v>
      </c>
    </row>
    <row r="47" ht="11.25" customHeight="1" spans="2:33">
      <c r="B47" s="2321" t="s">
        <v>7095</v>
      </c>
      <c r="C47" s="2322"/>
      <c r="D47" s="2322"/>
      <c r="E47" s="2322"/>
      <c r="F47" s="2322"/>
      <c r="G47" s="2322"/>
      <c r="H47" s="2322"/>
      <c r="I47" s="2322"/>
      <c r="J47" s="2322"/>
      <c r="K47" s="2322"/>
      <c r="L47" s="2322"/>
      <c r="M47" s="2322"/>
      <c r="N47" s="2322"/>
      <c r="O47" s="2322"/>
      <c r="P47" s="2322"/>
      <c r="Q47" s="2322"/>
      <c r="R47" s="2322"/>
      <c r="S47" s="2322"/>
      <c r="T47" s="2322"/>
      <c r="U47" s="2322"/>
      <c r="V47" s="2322"/>
      <c r="W47" s="2322"/>
      <c r="X47" s="2322"/>
      <c r="Y47" s="2322"/>
      <c r="Z47" s="2322"/>
      <c r="AA47" s="2322"/>
      <c r="AB47" s="2323" t="s">
        <v>5800</v>
      </c>
      <c r="AC47" s="2322"/>
      <c r="AD47" s="2322"/>
      <c r="AE47" s="2322"/>
      <c r="AF47" s="2322"/>
      <c r="AG47" s="2324"/>
    </row>
    <row r="48" ht="11.25" customHeight="1" spans="2:33">
      <c r="B48" s="2364" t="s">
        <v>7076</v>
      </c>
      <c r="C48" s="2013"/>
      <c r="D48" s="2013"/>
      <c r="E48" s="2013"/>
      <c r="F48" s="2013"/>
      <c r="G48" s="2013"/>
      <c r="H48" s="2013"/>
      <c r="I48" s="2013"/>
      <c r="J48" s="2013"/>
      <c r="K48" s="2013"/>
      <c r="L48" s="2013"/>
      <c r="M48" s="2013"/>
      <c r="N48" s="2013"/>
      <c r="O48" s="2013"/>
      <c r="P48" s="2013"/>
      <c r="Q48" s="2013"/>
      <c r="R48" s="2013"/>
      <c r="S48" s="2013"/>
      <c r="T48" s="2013"/>
      <c r="U48" s="2013"/>
      <c r="V48" s="2013"/>
      <c r="W48" s="2013"/>
      <c r="X48" s="2013"/>
      <c r="Y48" s="2013"/>
      <c r="Z48" s="2013"/>
      <c r="AA48" s="2013"/>
      <c r="AB48" s="2098"/>
      <c r="AC48" s="2013"/>
      <c r="AD48" s="2013"/>
      <c r="AE48" s="2013"/>
      <c r="AF48" s="2013"/>
      <c r="AG48" s="2208"/>
    </row>
    <row r="49" spans="2:33">
      <c r="B49" s="2365" t="s">
        <v>7189</v>
      </c>
      <c r="C49" s="2297" t="str">
        <f ca="1">"Isplaćeno za investicije u toku "&amp;PoslGod&amp;". godine"</f>
        <v>Isplaćeno za investicije u toku 2025. godine</v>
      </c>
      <c r="D49" s="2297"/>
      <c r="E49" s="2297"/>
      <c r="F49" s="2297"/>
      <c r="G49" s="2297"/>
      <c r="H49" s="2297"/>
      <c r="I49" s="2297"/>
      <c r="J49" s="2297"/>
      <c r="K49" s="2297"/>
      <c r="L49" s="2297"/>
      <c r="M49" s="2297"/>
      <c r="N49" s="2297"/>
      <c r="O49" s="2297"/>
      <c r="P49" s="2297"/>
      <c r="Q49" s="2297"/>
      <c r="R49" s="2297"/>
      <c r="S49" s="2297"/>
      <c r="T49" s="2297"/>
      <c r="U49" s="2297"/>
      <c r="V49" s="2297"/>
      <c r="W49" s="2297"/>
      <c r="X49" s="2297"/>
      <c r="Y49" s="2297"/>
      <c r="Z49" s="2297"/>
      <c r="AA49" s="2297"/>
      <c r="AB49" s="2350">
        <f>AB51+AB52</f>
        <v>0</v>
      </c>
      <c r="AC49" s="2351"/>
      <c r="AD49" s="2351"/>
      <c r="AE49" s="2351"/>
      <c r="AF49" s="2351"/>
      <c r="AG49" s="2352"/>
    </row>
    <row r="50" spans="2:33">
      <c r="B50" s="2366"/>
      <c r="C50" s="2211"/>
      <c r="D50" s="2211" t="s">
        <v>7190</v>
      </c>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355"/>
      <c r="AC50" s="2356"/>
      <c r="AD50" s="2356"/>
      <c r="AE50" s="2356"/>
      <c r="AF50" s="2356"/>
      <c r="AG50" s="2357"/>
    </row>
    <row r="51" ht="14.25" customHeight="1" spans="2:33">
      <c r="B51" s="2367" t="s">
        <v>7191</v>
      </c>
      <c r="C51" s="2013" t="s">
        <v>2426</v>
      </c>
      <c r="D51" s="572" t="str">
        <f ca="1">"za izvršene radove i nabavke u toku "&amp;PoslGod&amp;". godine 6)"</f>
        <v>za izvršene radove i nabavke u toku 2025. godine 6)</v>
      </c>
      <c r="AB51" s="2343">
        <f>UnosPod!O877</f>
        <v>0</v>
      </c>
      <c r="AC51" s="2344"/>
      <c r="AD51" s="2344"/>
      <c r="AE51" s="2344"/>
      <c r="AF51" s="2344"/>
      <c r="AG51" s="2345"/>
    </row>
    <row r="52" spans="2:33">
      <c r="B52" s="2368" t="s">
        <v>7192</v>
      </c>
      <c r="C52" s="2073" t="s">
        <v>2426</v>
      </c>
      <c r="D52" s="2076" t="str">
        <f ca="1">"za izmirenje obaveza iz "&amp;PoslGod-1&amp;".g.i ranije prema izvođačima radova i isporučiocima "</f>
        <v>za izmirenje obaveza iz 2024.g.i ranije prema izvođačima radova i isporučiocima </v>
      </c>
      <c r="E52" s="2076"/>
      <c r="F52" s="2076"/>
      <c r="G52" s="2076"/>
      <c r="H52" s="2076"/>
      <c r="I52" s="2076"/>
      <c r="J52" s="2076"/>
      <c r="K52" s="2076"/>
      <c r="L52" s="2076"/>
      <c r="M52" s="2076"/>
      <c r="N52" s="2076"/>
      <c r="O52" s="2076"/>
      <c r="P52" s="2076"/>
      <c r="Q52" s="2076"/>
      <c r="R52" s="2076"/>
      <c r="S52" s="2076"/>
      <c r="T52" s="2076"/>
      <c r="U52" s="2076"/>
      <c r="V52" s="2076"/>
      <c r="W52" s="2076"/>
      <c r="X52" s="2076"/>
      <c r="Y52" s="2076"/>
      <c r="Z52" s="2076"/>
      <c r="AA52" s="2076"/>
      <c r="AB52" s="2330">
        <f>UnosPod!O878</f>
        <v>0</v>
      </c>
      <c r="AC52" s="2331"/>
      <c r="AD52" s="2331"/>
      <c r="AE52" s="2331"/>
      <c r="AF52" s="2331"/>
      <c r="AG52" s="2332"/>
    </row>
    <row r="53" spans="2:33">
      <c r="B53" s="2369"/>
      <c r="D53" s="572" t="s">
        <v>7193</v>
      </c>
      <c r="AB53" s="2330"/>
      <c r="AC53" s="2331"/>
      <c r="AD53" s="2331"/>
      <c r="AE53" s="2331"/>
      <c r="AF53" s="2331"/>
      <c r="AG53" s="2332"/>
    </row>
    <row r="54" spans="2:33">
      <c r="B54" s="2369"/>
      <c r="D54" s="572" t="str">
        <f ca="1">PoslGod-1&amp;".godini i ranije kod preduzeća u zemlji i inozemnih preduzeća; za avanse date "</f>
        <v>2024.godini i ranije kod preduzeća u zemlji i inozemnih preduzeća; za avanse date </v>
      </c>
      <c r="AB54" s="2330"/>
      <c r="AC54" s="2331"/>
      <c r="AD54" s="2331"/>
      <c r="AE54" s="2331"/>
      <c r="AF54" s="2331"/>
      <c r="AG54" s="2332"/>
    </row>
    <row r="55" spans="2:33">
      <c r="B55" s="2370"/>
      <c r="C55" s="2014"/>
      <c r="D55" s="2014" t="str">
        <f ca="1">"u "&amp;PoslGod&amp;". godini po odbitku obračunatog dijela pod 2.11"</f>
        <v>u 2025. godini po odbitku obračunatog dijela pod 2.11</v>
      </c>
      <c r="E55" s="2014"/>
      <c r="F55" s="2014"/>
      <c r="G55" s="2014"/>
      <c r="H55" s="2014"/>
      <c r="I55" s="2014"/>
      <c r="J55" s="2014"/>
      <c r="K55" s="2014"/>
      <c r="L55" s="2014"/>
      <c r="M55" s="2014"/>
      <c r="N55" s="2014"/>
      <c r="O55" s="2014"/>
      <c r="P55" s="2014"/>
      <c r="Q55" s="2014"/>
      <c r="R55" s="2014"/>
      <c r="S55" s="2014"/>
      <c r="T55" s="2014"/>
      <c r="U55" s="2014"/>
      <c r="V55" s="2014"/>
      <c r="W55" s="2014"/>
      <c r="X55" s="2014"/>
      <c r="Y55" s="2014"/>
      <c r="Z55" s="2014"/>
      <c r="AA55" s="2014"/>
      <c r="AB55" s="2330"/>
      <c r="AC55" s="2331"/>
      <c r="AD55" s="2331"/>
      <c r="AE55" s="2331"/>
      <c r="AF55" s="2331"/>
      <c r="AG55" s="2332"/>
    </row>
    <row r="56" spans="2:33">
      <c r="B56" s="2371" t="s">
        <v>7194</v>
      </c>
      <c r="C56" s="572" t="str">
        <f ca="1">"Izvršeni a neplaćeni radovi i nabavke u toku "&amp;PoslGod&amp;".godine"</f>
        <v>Izvršeni a neplaćeni radovi i nabavke u toku 2025.godine</v>
      </c>
      <c r="AB56" s="2330">
        <f>UnosPod!O879</f>
        <v>0</v>
      </c>
      <c r="AC56" s="2331"/>
      <c r="AD56" s="2331"/>
      <c r="AE56" s="2331"/>
      <c r="AF56" s="2331"/>
      <c r="AG56" s="2332"/>
    </row>
    <row r="57" spans="2:33">
      <c r="B57" s="2372"/>
      <c r="C57" s="2013" t="s">
        <v>2426</v>
      </c>
      <c r="D57" s="572" t="str">
        <f ca="1">"neizmirene obaveze iz ostvarenih investicija u toku "&amp;PoslGod&amp;".godine prema izvođačima"</f>
        <v>neizmirene obaveze iz ostvarenih investicija u toku 2025.godine prema izvođačima</v>
      </c>
      <c r="AB57" s="2330"/>
      <c r="AC57" s="2331"/>
      <c r="AD57" s="2331"/>
      <c r="AE57" s="2331"/>
      <c r="AF57" s="2331"/>
      <c r="AG57" s="2332"/>
    </row>
    <row r="58" spans="2:33">
      <c r="B58" s="2372"/>
      <c r="D58" s="572" t="s">
        <v>7195</v>
      </c>
      <c r="AB58" s="2330"/>
      <c r="AC58" s="2331"/>
      <c r="AD58" s="2331"/>
      <c r="AE58" s="2331"/>
      <c r="AF58" s="2331"/>
      <c r="AG58" s="2332"/>
    </row>
    <row r="59" spans="2:33">
      <c r="B59" s="2372"/>
      <c r="D59" s="572" t="str">
        <f ca="1">"investicije u toku "&amp;PoslGod&amp;".godine kod peduzeća u zemlji i inozemnih preduzeća;"</f>
        <v>investicije u toku 2025.godine kod peduzeća u zemlji i inozemnih preduzeća;</v>
      </c>
      <c r="AB59" s="2330"/>
      <c r="AC59" s="2331"/>
      <c r="AD59" s="2331"/>
      <c r="AE59" s="2331"/>
      <c r="AF59" s="2331"/>
      <c r="AG59" s="2332"/>
    </row>
    <row r="60" spans="2:33">
      <c r="B60" s="2372"/>
      <c r="D60" s="572" t="str">
        <f ca="1">"plaćeni avansi u ranijim godinama, a obračunati u toku "&amp;PoslGod&amp;". godine za izvršene2"</f>
        <v>plaćeni avansi u ranijim godinama, a obračunati u toku 2025. godine za izvršene2</v>
      </c>
      <c r="AB60" s="2330"/>
      <c r="AC60" s="2331"/>
      <c r="AD60" s="2331"/>
      <c r="AE60" s="2331"/>
      <c r="AF60" s="2331"/>
      <c r="AG60" s="2332"/>
    </row>
    <row r="61" spans="2:33">
      <c r="B61" s="2373"/>
      <c r="D61" s="572" t="str">
        <f ca="1">"radove i isporučenu opremu u "&amp;PoslGod&amp;". godini."</f>
        <v>radove i isporučenu opremu u 2025. godini.</v>
      </c>
      <c r="AB61" s="2334"/>
      <c r="AC61" s="2335"/>
      <c r="AD61" s="2335"/>
      <c r="AE61" s="2335"/>
      <c r="AF61" s="2335"/>
      <c r="AG61" s="2336"/>
    </row>
    <row r="62" ht="17.25" customHeight="1" spans="2:33">
      <c r="B62" s="2374" t="s">
        <v>7196</v>
      </c>
      <c r="C62" s="2339" t="str">
        <f ca="1">"Vrijednost ostvarenih investicija u toku "&amp;PoslGod&amp;". godine (2.11+2.2)=Tab.,Red.br.3.,Kol.3."</f>
        <v>Vrijednost ostvarenih investicija u toku 2025. godine (2.11+2.2)=Tab.,Red.br.3.,Kol.3.</v>
      </c>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40">
        <f>AB51+AB56</f>
        <v>0</v>
      </c>
      <c r="AC62" s="2341"/>
      <c r="AD62" s="2341"/>
      <c r="AE62" s="2341"/>
      <c r="AF62" s="2341"/>
      <c r="AG62" s="2342"/>
    </row>
    <row r="63" spans="2:33">
      <c r="B63" s="2289" t="s">
        <v>7197</v>
      </c>
      <c r="AB63" s="2322"/>
      <c r="AC63" s="2322"/>
      <c r="AD63" s="2322"/>
      <c r="AE63" s="2322"/>
      <c r="AF63" s="2322"/>
      <c r="AG63" s="2322"/>
    </row>
    <row r="64" spans="2:33">
      <c r="B64" s="2375"/>
      <c r="C64" s="2211"/>
      <c r="D64" s="2211"/>
      <c r="E64" s="2211"/>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row>
    <row r="66" ht="14.25" spans="1:36">
      <c r="A66" s="325"/>
      <c r="B66" s="356"/>
      <c r="C66" s="356"/>
      <c r="D66" s="356"/>
      <c r="E66" s="356"/>
      <c r="F66" s="356"/>
      <c r="G66" s="356"/>
      <c r="H66" s="356"/>
      <c r="I66" s="356"/>
      <c r="J66" s="356"/>
      <c r="K66" s="356"/>
      <c r="L66" s="356"/>
      <c r="M66" s="356"/>
      <c r="N66" s="356"/>
      <c r="O66" s="356"/>
      <c r="P66" s="2179"/>
      <c r="Q66" s="2179"/>
      <c r="R66" s="2179"/>
      <c r="S66" s="2179"/>
      <c r="T66" s="2179"/>
      <c r="U66" s="2179"/>
      <c r="V66" s="2179"/>
      <c r="W66" s="2179"/>
      <c r="X66" s="2179"/>
      <c r="Y66" s="2179"/>
      <c r="Z66" s="2179"/>
      <c r="AA66" s="2179"/>
      <c r="AB66" s="2179"/>
      <c r="AC66" s="2179"/>
      <c r="AD66" s="2179"/>
      <c r="AE66" s="2179"/>
      <c r="AF66" s="2179"/>
      <c r="AG66" s="2179"/>
      <c r="AH66" s="2179"/>
      <c r="AI66" s="2179"/>
      <c r="AJ66" s="2179"/>
    </row>
    <row r="67" ht="14.25" spans="1:36">
      <c r="A67" s="325"/>
      <c r="B67" s="356"/>
      <c r="C67" s="356"/>
      <c r="D67" s="356"/>
      <c r="E67" s="356"/>
      <c r="F67" s="356"/>
      <c r="G67" s="356"/>
      <c r="H67" s="356"/>
      <c r="I67" s="356"/>
      <c r="J67" s="356"/>
      <c r="K67" s="356"/>
      <c r="L67" s="356"/>
      <c r="M67" s="356"/>
      <c r="N67" s="356"/>
      <c r="O67" s="356"/>
      <c r="P67" s="2179"/>
      <c r="Q67" s="2179"/>
      <c r="R67" s="2179"/>
      <c r="S67" s="2179"/>
      <c r="T67" s="2179"/>
      <c r="U67" s="2179"/>
      <c r="V67" s="2179"/>
      <c r="W67" s="2179"/>
      <c r="X67" s="2179"/>
      <c r="Y67" s="2179"/>
      <c r="Z67" s="2179"/>
      <c r="AA67" s="2179"/>
      <c r="AB67" s="2179"/>
      <c r="AC67" s="2179"/>
      <c r="AD67" s="2179"/>
      <c r="AE67" s="2179"/>
      <c r="AF67" s="2179"/>
      <c r="AG67" s="2179"/>
      <c r="AH67" s="2179"/>
      <c r="AI67" s="2179"/>
      <c r="AJ67" s="2179"/>
    </row>
    <row r="68" ht="14.25" spans="1:36">
      <c r="A68" s="325"/>
      <c r="B68" s="356"/>
      <c r="C68" s="356"/>
      <c r="D68" s="356"/>
      <c r="E68" s="356"/>
      <c r="F68" s="356"/>
      <c r="G68" s="356"/>
      <c r="H68" s="356"/>
      <c r="I68" s="356"/>
      <c r="J68" s="356"/>
      <c r="K68" s="356"/>
      <c r="L68" s="356"/>
      <c r="M68" s="356"/>
      <c r="N68" s="356"/>
      <c r="O68" s="356"/>
      <c r="P68" s="2179"/>
      <c r="Q68" s="2179"/>
      <c r="R68" s="2179"/>
      <c r="S68" s="2179"/>
      <c r="T68" s="2179"/>
      <c r="U68" s="2179"/>
      <c r="V68" s="2179"/>
      <c r="W68" s="2179"/>
      <c r="X68" s="2179"/>
      <c r="Y68" s="2179"/>
      <c r="Z68" s="2179"/>
      <c r="AA68" s="2179"/>
      <c r="AB68" s="2179"/>
      <c r="AC68" s="2179"/>
      <c r="AD68" s="2179"/>
      <c r="AE68" s="2179"/>
      <c r="AF68" s="2179"/>
      <c r="AG68" s="2179"/>
      <c r="AH68" s="2179"/>
      <c r="AI68" s="2179"/>
      <c r="AJ68" s="2179"/>
    </row>
    <row r="69" ht="14.25" spans="1:36">
      <c r="A69" s="325"/>
      <c r="B69" s="356"/>
      <c r="C69" s="356"/>
      <c r="D69" s="356"/>
      <c r="E69" s="356"/>
      <c r="F69" s="356"/>
      <c r="G69" s="356"/>
      <c r="H69" s="356"/>
      <c r="I69" s="356"/>
      <c r="J69" s="356"/>
      <c r="K69" s="356"/>
      <c r="L69" s="356"/>
      <c r="M69" s="356"/>
      <c r="N69" s="356"/>
      <c r="O69" s="356"/>
      <c r="P69" s="2179"/>
      <c r="Q69" s="2179"/>
      <c r="R69" s="2179"/>
      <c r="S69" s="2179"/>
      <c r="T69" s="2179"/>
      <c r="U69" s="2179"/>
      <c r="V69" s="2179"/>
      <c r="W69" s="2179"/>
      <c r="X69" s="2179"/>
      <c r="Y69" s="2179"/>
      <c r="Z69" s="2179"/>
      <c r="AA69" s="2179"/>
      <c r="AB69" s="2179"/>
      <c r="AC69" s="2179"/>
      <c r="AD69" s="2179"/>
      <c r="AE69" s="2179"/>
      <c r="AF69" s="2179"/>
      <c r="AG69" s="2179"/>
      <c r="AH69" s="2179"/>
      <c r="AI69" s="2179"/>
      <c r="AJ69" s="2179"/>
    </row>
    <row r="70" ht="14.25" spans="1:36">
      <c r="A70" s="325"/>
      <c r="B70" s="356"/>
      <c r="C70" s="356"/>
      <c r="D70" s="356"/>
      <c r="E70" s="356"/>
      <c r="F70" s="356"/>
      <c r="G70" s="356"/>
      <c r="H70" s="356"/>
      <c r="I70" s="356"/>
      <c r="J70" s="356"/>
      <c r="K70" s="356"/>
      <c r="L70" s="356"/>
      <c r="M70" s="356"/>
      <c r="N70" s="356"/>
      <c r="O70" s="356"/>
      <c r="P70" s="2179"/>
      <c r="Q70" s="2179"/>
      <c r="R70" s="2179"/>
      <c r="S70" s="2179"/>
      <c r="T70" s="2179"/>
      <c r="U70" s="2179"/>
      <c r="V70" s="2179"/>
      <c r="W70" s="2179"/>
      <c r="X70" s="2179"/>
      <c r="Y70" s="2179"/>
      <c r="Z70" s="2179"/>
      <c r="AA70" s="2179"/>
      <c r="AB70" s="2179"/>
      <c r="AC70" s="2179"/>
      <c r="AD70" s="2179"/>
      <c r="AE70" s="2179"/>
      <c r="AF70" s="2179"/>
      <c r="AG70" s="2179"/>
      <c r="AH70" s="2179"/>
      <c r="AI70" s="2179"/>
      <c r="AJ70" s="2179"/>
    </row>
    <row r="71" ht="14.25" spans="1:36">
      <c r="A71" s="325"/>
      <c r="B71" s="356"/>
      <c r="C71" s="356"/>
      <c r="D71" s="356"/>
      <c r="E71" s="356"/>
      <c r="F71" s="356"/>
      <c r="G71" s="356"/>
      <c r="H71" s="356"/>
      <c r="I71" s="356"/>
      <c r="J71" s="356"/>
      <c r="K71" s="356"/>
      <c r="L71" s="356"/>
      <c r="M71" s="356"/>
      <c r="N71" s="356"/>
      <c r="O71" s="356"/>
      <c r="P71" s="2179"/>
      <c r="Q71" s="2179"/>
      <c r="R71" s="2179"/>
      <c r="S71" s="2179"/>
      <c r="T71" s="2179"/>
      <c r="U71" s="2179"/>
      <c r="V71" s="2179"/>
      <c r="W71" s="2179"/>
      <c r="X71" s="2179"/>
      <c r="Y71" s="2179"/>
      <c r="Z71" s="2179"/>
      <c r="AA71" s="2179"/>
      <c r="AB71" s="2179"/>
      <c r="AC71" s="2179"/>
      <c r="AD71" s="2179"/>
      <c r="AE71" s="2179"/>
      <c r="AF71" s="2179"/>
      <c r="AG71" s="2179"/>
      <c r="AH71" s="2179"/>
      <c r="AI71" s="2179"/>
      <c r="AJ71" s="2179"/>
    </row>
    <row r="72" ht="14.25" spans="1:36">
      <c r="A72" s="325"/>
      <c r="B72" s="356"/>
      <c r="C72" s="356"/>
      <c r="D72" s="356"/>
      <c r="E72" s="356"/>
      <c r="F72" s="356"/>
      <c r="G72" s="356"/>
      <c r="H72" s="356"/>
      <c r="I72" s="356"/>
      <c r="J72" s="356"/>
      <c r="K72" s="356"/>
      <c r="L72" s="356"/>
      <c r="M72" s="356"/>
      <c r="N72" s="356"/>
      <c r="O72" s="356"/>
      <c r="P72" s="2179"/>
      <c r="Q72" s="2179"/>
      <c r="R72" s="2179"/>
      <c r="S72" s="2179"/>
      <c r="T72" s="2179"/>
      <c r="U72" s="2179"/>
      <c r="V72" s="2179"/>
      <c r="W72" s="2179"/>
      <c r="X72" s="2179"/>
      <c r="Y72" s="2179"/>
      <c r="Z72" s="2179"/>
      <c r="AA72" s="2179"/>
      <c r="AB72" s="2179"/>
      <c r="AC72" s="2179"/>
      <c r="AD72" s="2179"/>
      <c r="AE72" s="2179"/>
      <c r="AF72" s="2179"/>
      <c r="AG72" s="2179"/>
      <c r="AH72" s="2179"/>
      <c r="AI72" s="2179"/>
      <c r="AJ72" s="2179"/>
    </row>
    <row r="73" ht="14.25" spans="1:36">
      <c r="A73" s="325"/>
      <c r="B73" s="356"/>
      <c r="C73" s="356"/>
      <c r="D73" s="356"/>
      <c r="E73" s="356"/>
      <c r="F73" s="356"/>
      <c r="G73" s="356"/>
      <c r="H73" s="356"/>
      <c r="I73" s="356"/>
      <c r="J73" s="356"/>
      <c r="K73" s="356"/>
      <c r="L73" s="356"/>
      <c r="M73" s="356"/>
      <c r="N73" s="356"/>
      <c r="O73" s="356"/>
      <c r="P73" s="2179"/>
      <c r="Q73" s="2179"/>
      <c r="R73" s="2179"/>
      <c r="S73" s="2179"/>
      <c r="T73" s="2179"/>
      <c r="U73" s="2179"/>
      <c r="V73" s="2179"/>
      <c r="W73" s="2179"/>
      <c r="X73" s="2179"/>
      <c r="Y73" s="2179"/>
      <c r="Z73" s="2179"/>
      <c r="AA73" s="2179"/>
      <c r="AB73" s="2179"/>
      <c r="AC73" s="2179"/>
      <c r="AD73" s="2179"/>
      <c r="AE73" s="2179"/>
      <c r="AF73" s="2179"/>
      <c r="AG73" s="2179"/>
      <c r="AH73" s="2179"/>
      <c r="AI73" s="2179"/>
      <c r="AJ73" s="2179"/>
    </row>
    <row r="74" ht="14.25" spans="1:36">
      <c r="A74" s="325"/>
      <c r="B74" s="356"/>
      <c r="C74" s="356"/>
      <c r="D74" s="356"/>
      <c r="E74" s="356"/>
      <c r="F74" s="356"/>
      <c r="G74" s="356"/>
      <c r="H74" s="356"/>
      <c r="I74" s="356"/>
      <c r="J74" s="356"/>
      <c r="K74" s="356"/>
      <c r="L74" s="356"/>
      <c r="M74" s="356"/>
      <c r="N74" s="356"/>
      <c r="O74" s="356"/>
      <c r="P74" s="2179"/>
      <c r="Q74" s="2179"/>
      <c r="R74" s="2179"/>
      <c r="S74" s="2179"/>
      <c r="T74" s="2179"/>
      <c r="U74" s="2179"/>
      <c r="V74" s="2179"/>
      <c r="W74" s="2179"/>
      <c r="X74" s="2179"/>
      <c r="Y74" s="2179"/>
      <c r="Z74" s="2179"/>
      <c r="AA74" s="2179"/>
      <c r="AB74" s="2179"/>
      <c r="AC74" s="2179"/>
      <c r="AD74" s="2179"/>
      <c r="AE74" s="2179"/>
      <c r="AF74" s="2179"/>
      <c r="AG74" s="2179"/>
      <c r="AH74" s="2179"/>
      <c r="AI74" s="2179"/>
      <c r="AJ74" s="2179"/>
    </row>
    <row r="75" ht="14.25" spans="1:36">
      <c r="A75" s="325"/>
      <c r="B75" s="356"/>
      <c r="C75" s="356"/>
      <c r="D75" s="356"/>
      <c r="E75" s="356"/>
      <c r="F75" s="356"/>
      <c r="G75" s="356"/>
      <c r="H75" s="356"/>
      <c r="I75" s="356"/>
      <c r="J75" s="356"/>
      <c r="K75" s="356"/>
      <c r="L75" s="356"/>
      <c r="M75" s="356"/>
      <c r="N75" s="356"/>
      <c r="O75" s="356"/>
      <c r="P75" s="2179"/>
      <c r="Q75" s="2179"/>
      <c r="R75" s="2179"/>
      <c r="S75" s="2179"/>
      <c r="T75" s="2179"/>
      <c r="U75" s="2179"/>
      <c r="V75" s="2179"/>
      <c r="W75" s="2179"/>
      <c r="X75" s="2179"/>
      <c r="Y75" s="2179"/>
      <c r="Z75" s="2179"/>
      <c r="AA75" s="2179"/>
      <c r="AB75" s="2179"/>
      <c r="AC75" s="2179"/>
      <c r="AD75" s="2179"/>
      <c r="AE75" s="2179"/>
      <c r="AF75" s="2179"/>
      <c r="AG75" s="2179"/>
      <c r="AH75" s="2179"/>
      <c r="AI75" s="2179"/>
      <c r="AJ75" s="2179"/>
    </row>
    <row r="76" ht="14.25" spans="1:36">
      <c r="A76" s="325"/>
      <c r="B76" s="356"/>
      <c r="C76" s="356"/>
      <c r="D76" s="356"/>
      <c r="E76" s="356"/>
      <c r="F76" s="356"/>
      <c r="G76" s="356"/>
      <c r="H76" s="356"/>
      <c r="I76" s="356"/>
      <c r="J76" s="356"/>
      <c r="K76" s="356"/>
      <c r="L76" s="356"/>
      <c r="M76" s="356"/>
      <c r="N76" s="356"/>
      <c r="O76" s="356"/>
      <c r="P76" s="2179"/>
      <c r="Q76" s="2179"/>
      <c r="R76" s="2179"/>
      <c r="S76" s="2179"/>
      <c r="T76" s="2179"/>
      <c r="U76" s="2179"/>
      <c r="V76" s="2179"/>
      <c r="W76" s="2179"/>
      <c r="X76" s="2179"/>
      <c r="Y76" s="2179"/>
      <c r="Z76" s="2179"/>
      <c r="AA76" s="2179"/>
      <c r="AB76" s="2179"/>
      <c r="AC76" s="2179"/>
      <c r="AD76" s="2179"/>
      <c r="AE76" s="2179"/>
      <c r="AF76" s="2179"/>
      <c r="AG76" s="2179"/>
      <c r="AH76" s="2179"/>
      <c r="AI76" s="2179"/>
      <c r="AJ76" s="2179"/>
    </row>
    <row r="77" ht="14.25" spans="1:36">
      <c r="A77" s="325"/>
      <c r="B77" s="356"/>
      <c r="C77" s="356"/>
      <c r="D77" s="356"/>
      <c r="E77" s="356"/>
      <c r="F77" s="356"/>
      <c r="G77" s="356"/>
      <c r="H77" s="356"/>
      <c r="I77" s="356"/>
      <c r="J77" s="356"/>
      <c r="K77" s="356"/>
      <c r="L77" s="356"/>
      <c r="M77" s="356"/>
      <c r="N77" s="356"/>
      <c r="O77" s="356"/>
      <c r="P77" s="2179"/>
      <c r="Q77" s="2179"/>
      <c r="R77" s="2179"/>
      <c r="S77" s="2179"/>
      <c r="T77" s="2179"/>
      <c r="U77" s="2179"/>
      <c r="V77" s="2179"/>
      <c r="W77" s="2179"/>
      <c r="X77" s="2179"/>
      <c r="Y77" s="2179"/>
      <c r="Z77" s="2179"/>
      <c r="AA77" s="2179"/>
      <c r="AB77" s="2179"/>
      <c r="AC77" s="2179"/>
      <c r="AD77" s="2179"/>
      <c r="AE77" s="2179"/>
      <c r="AF77" s="2179"/>
      <c r="AG77" s="2179"/>
      <c r="AH77" s="2179"/>
      <c r="AI77" s="2179"/>
      <c r="AJ77" s="2179"/>
    </row>
    <row r="78" ht="14.25" spans="1:36">
      <c r="A78" s="325"/>
      <c r="B78" s="356"/>
      <c r="C78" s="356"/>
      <c r="D78" s="356"/>
      <c r="E78" s="356"/>
      <c r="F78" s="356"/>
      <c r="G78" s="356"/>
      <c r="H78" s="356"/>
      <c r="I78" s="356"/>
      <c r="J78" s="356"/>
      <c r="K78" s="356"/>
      <c r="L78" s="356"/>
      <c r="M78" s="356"/>
      <c r="N78" s="356"/>
      <c r="O78" s="356"/>
      <c r="P78" s="2179"/>
      <c r="Q78" s="2179"/>
      <c r="R78" s="2179"/>
      <c r="S78" s="2179"/>
      <c r="T78" s="2179"/>
      <c r="U78" s="2179"/>
      <c r="V78" s="2179"/>
      <c r="W78" s="2179"/>
      <c r="X78" s="2179"/>
      <c r="Y78" s="2179"/>
      <c r="Z78" s="2179"/>
      <c r="AA78" s="2179"/>
      <c r="AB78" s="2179"/>
      <c r="AC78" s="2179"/>
      <c r="AD78" s="2179"/>
      <c r="AE78" s="2179"/>
      <c r="AF78" s="2179"/>
      <c r="AG78" s="2179"/>
      <c r="AH78" s="2179"/>
      <c r="AI78" s="2179"/>
      <c r="AJ78" s="2179"/>
    </row>
    <row r="79" ht="14.25" spans="1:36">
      <c r="A79" s="325"/>
      <c r="B79" s="356"/>
      <c r="C79" s="356"/>
      <c r="D79" s="356"/>
      <c r="E79" s="356"/>
      <c r="F79" s="356"/>
      <c r="G79" s="356"/>
      <c r="H79" s="356"/>
      <c r="I79" s="356"/>
      <c r="J79" s="356"/>
      <c r="K79" s="356"/>
      <c r="L79" s="356"/>
      <c r="M79" s="356"/>
      <c r="N79" s="356"/>
      <c r="O79" s="356"/>
      <c r="P79" s="2179"/>
      <c r="Q79" s="2179"/>
      <c r="R79" s="2179"/>
      <c r="S79" s="2179"/>
      <c r="T79" s="2179"/>
      <c r="U79" s="2179"/>
      <c r="V79" s="2179"/>
      <c r="W79" s="2179"/>
      <c r="X79" s="2179"/>
      <c r="Y79" s="2179"/>
      <c r="Z79" s="2179"/>
      <c r="AA79" s="2179"/>
      <c r="AB79" s="2179"/>
      <c r="AC79" s="2179"/>
      <c r="AD79" s="2179"/>
      <c r="AE79" s="2179"/>
      <c r="AF79" s="2179"/>
      <c r="AG79" s="2179"/>
      <c r="AH79" s="2179"/>
      <c r="AI79" s="2179"/>
      <c r="AJ79" s="2179"/>
    </row>
    <row r="80" ht="14.25" spans="1:36">
      <c r="A80" s="325"/>
      <c r="B80" s="356"/>
      <c r="C80" s="356"/>
      <c r="D80" s="356"/>
      <c r="E80" s="356"/>
      <c r="F80" s="356"/>
      <c r="G80" s="356"/>
      <c r="H80" s="356"/>
      <c r="I80" s="356"/>
      <c r="J80" s="356"/>
      <c r="K80" s="356"/>
      <c r="L80" s="356"/>
      <c r="M80" s="356"/>
      <c r="N80" s="356"/>
      <c r="O80" s="356"/>
      <c r="P80" s="2179"/>
      <c r="Q80" s="2179"/>
      <c r="R80" s="2179"/>
      <c r="S80" s="2179"/>
      <c r="T80" s="2179"/>
      <c r="U80" s="2179"/>
      <c r="V80" s="2179"/>
      <c r="W80" s="2179"/>
      <c r="X80" s="2179"/>
      <c r="Y80" s="2179"/>
      <c r="Z80" s="2179"/>
      <c r="AA80" s="2179"/>
      <c r="AB80" s="2179"/>
      <c r="AC80" s="2179"/>
      <c r="AD80" s="2179"/>
      <c r="AE80" s="2179"/>
      <c r="AF80" s="2179"/>
      <c r="AG80" s="2179"/>
      <c r="AH80" s="2179"/>
      <c r="AI80" s="2179"/>
      <c r="AJ80" s="2179"/>
    </row>
    <row r="81" ht="14.25" spans="1:36">
      <c r="A81" s="325"/>
      <c r="B81" s="356"/>
      <c r="C81" s="356"/>
      <c r="D81" s="356"/>
      <c r="E81" s="356"/>
      <c r="F81" s="356"/>
      <c r="G81" s="356"/>
      <c r="H81" s="356"/>
      <c r="I81" s="356"/>
      <c r="J81" s="356"/>
      <c r="K81" s="356"/>
      <c r="L81" s="356"/>
      <c r="M81" s="356"/>
      <c r="N81" s="356"/>
      <c r="O81" s="356"/>
      <c r="P81" s="2179"/>
      <c r="Q81" s="2179"/>
      <c r="R81" s="2179"/>
      <c r="S81" s="2179"/>
      <c r="T81" s="2179"/>
      <c r="U81" s="2179"/>
      <c r="V81" s="2179"/>
      <c r="W81" s="2179"/>
      <c r="X81" s="2179"/>
      <c r="Y81" s="2179"/>
      <c r="Z81" s="2179"/>
      <c r="AA81" s="2179"/>
      <c r="AB81" s="2179"/>
      <c r="AC81" s="2179"/>
      <c r="AD81" s="2179"/>
      <c r="AE81" s="2179"/>
      <c r="AF81" s="2179"/>
      <c r="AG81" s="2179"/>
      <c r="AH81" s="2179"/>
      <c r="AI81" s="2179"/>
      <c r="AJ81" s="2179"/>
    </row>
  </sheetData>
  <customSheetViews>
    <customSheetView guid="{7A886FB3-8F08-4D3E-B7EB-0851AD05C3C6}" showGridLines="0" fitToPage="1">
      <selection activeCell="AK12" sqref="AK12"/>
      <pageMargins left="0.590551181102362" right="0.748031496062992" top="0.393700787401575" bottom="0.433070866141732" header="0.275590551181102" footer="0.236220472440945"/>
      <pageSetup paperSize="9" scale="93" orientation="portrait"/>
      <headerFooter alignWithMargins="0">
        <oddFooter>&amp;L&amp;8   Federalni zavod za statistiku, Zelenih beretki 26 Sarajevo: tel.033 20 64 52, faks 033 22 61 51, e-mail: fedstat@fzs.ba; www.fzs.ba</oddFooter>
      </headerFooter>
    </customSheetView>
  </customSheetViews>
  <mergeCells count="35">
    <mergeCell ref="D1:O1"/>
    <mergeCell ref="T1:AG1"/>
    <mergeCell ref="D2:O2"/>
    <mergeCell ref="T2:AG2"/>
    <mergeCell ref="D3:O3"/>
    <mergeCell ref="T3:AG3"/>
    <mergeCell ref="D4:O4"/>
    <mergeCell ref="D6:AD6"/>
    <mergeCell ref="B8:AG8"/>
    <mergeCell ref="AB26:AG26"/>
    <mergeCell ref="AB27:AG27"/>
    <mergeCell ref="AB28:AG28"/>
    <mergeCell ref="AB29:AG29"/>
    <mergeCell ref="AB30:AG30"/>
    <mergeCell ref="AB31:AG31"/>
    <mergeCell ref="AB32:AG32"/>
    <mergeCell ref="AB33:AG33"/>
    <mergeCell ref="AB34:AG34"/>
    <mergeCell ref="AB35:AG35"/>
    <mergeCell ref="AB38:AG38"/>
    <mergeCell ref="AB51:AG51"/>
    <mergeCell ref="AB62:AG62"/>
    <mergeCell ref="AB63:AG63"/>
    <mergeCell ref="B49:B50"/>
    <mergeCell ref="B52:B55"/>
    <mergeCell ref="B56:B61"/>
    <mergeCell ref="C22:AA23"/>
    <mergeCell ref="AB22:AG23"/>
    <mergeCell ref="AB24:AG25"/>
    <mergeCell ref="AB56:AG61"/>
    <mergeCell ref="C47:AA48"/>
    <mergeCell ref="AB47:AG48"/>
    <mergeCell ref="AB49:AG50"/>
    <mergeCell ref="AB36:AG37"/>
    <mergeCell ref="AB52:AG55"/>
  </mergeCells>
  <pageMargins left="0.590551181102362" right="0.748031496062992" top="0.393700787401575" bottom="0.433070866141732" header="0.275590551181102" footer="0.236220472440945"/>
  <pageSetup paperSize="9" scale="88" orientation="portrait"/>
  <headerFooter alignWithMargins="0">
    <oddFooter>&amp;L&amp;8   Federalni zavod za statistiku, Zelenih beretki 26 Sarajevo: tel.033 20 64 52, faks 033 22 61 51, e-mail: fedstat@fzs.ba; www.fzs.ba</oddFoot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2">
    <tabColor rgb="FF0070C0"/>
    <pageSetUpPr fitToPage="1"/>
  </sheetPr>
  <dimension ref="A1:BK91"/>
  <sheetViews>
    <sheetView showGridLines="0" workbookViewId="0">
      <selection activeCell="A54" sqref="A54"/>
    </sheetView>
  </sheetViews>
  <sheetFormatPr defaultColWidth="9" defaultRowHeight="12.75"/>
  <cols>
    <col min="1" max="1" width="6.57142857142857" style="2085" customWidth="1"/>
    <col min="2" max="37" width="3.57142857142857" style="572" customWidth="1"/>
    <col min="38" max="61" width="2.85714285714286" style="572" customWidth="1"/>
    <col min="62" max="98" width="2.42857142857143" style="572" customWidth="1"/>
    <col min="99" max="16384" width="9.14285714285714" style="572"/>
  </cols>
  <sheetData>
    <row r="1" ht="15.75" customHeight="1" spans="1:61">
      <c r="A1" s="2086" t="str">
        <f ca="1">"TABELA 3. TEHNIČKA STRUKTURA OSTVARENIH INVESTICIJA U STALNA SREDSTVA U "&amp;PoslGod&amp;". GODINI"</f>
        <v>TABELA 3. TEHNIČKA STRUKTURA OSTVARENIH INVESTICIJA U STALNA SREDSTVA U 2025. GODINI</v>
      </c>
      <c r="AI1" s="2087"/>
      <c r="BE1" s="572" t="s">
        <v>7198</v>
      </c>
    </row>
    <row r="2" spans="1:61">
      <c r="A2" s="2088" t="s">
        <v>5787</v>
      </c>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90" t="s">
        <v>7199</v>
      </c>
      <c r="AM2" s="2089"/>
      <c r="AN2" s="2089"/>
      <c r="AO2" s="2089"/>
      <c r="AP2" s="2089"/>
      <c r="AQ2" s="2091"/>
      <c r="AR2" s="2092" t="s">
        <v>7200</v>
      </c>
      <c r="AS2" s="2093"/>
      <c r="AT2" s="2093"/>
      <c r="AU2" s="2093"/>
      <c r="AV2" s="2093"/>
      <c r="AW2" s="2094"/>
      <c r="AX2" s="2092" t="s">
        <v>7201</v>
      </c>
      <c r="AY2" s="2093"/>
      <c r="AZ2" s="2093"/>
      <c r="BA2" s="2093"/>
      <c r="BB2" s="2093"/>
      <c r="BC2" s="2094"/>
      <c r="BD2" s="2095" t="s">
        <v>7202</v>
      </c>
      <c r="BE2" s="2089"/>
      <c r="BF2" s="2089"/>
      <c r="BG2" s="2089"/>
      <c r="BH2" s="2089"/>
      <c r="BI2" s="2096"/>
    </row>
    <row r="3" spans="1:61">
      <c r="A3" s="2097" t="s">
        <v>5791</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98" t="s">
        <v>7203</v>
      </c>
      <c r="AM3" s="2013"/>
      <c r="AN3" s="2013"/>
      <c r="AO3" s="2013"/>
      <c r="AP3" s="2013"/>
      <c r="AQ3" s="2099"/>
      <c r="AR3" s="2100" t="s">
        <v>7204</v>
      </c>
      <c r="AS3" s="325"/>
      <c r="AT3" s="325"/>
      <c r="AU3" s="325"/>
      <c r="AV3" s="325"/>
      <c r="AW3" s="2101"/>
      <c r="AX3" s="2100" t="s">
        <v>7205</v>
      </c>
      <c r="AY3" s="325"/>
      <c r="AZ3" s="325"/>
      <c r="BA3" s="325"/>
      <c r="BB3" s="325"/>
      <c r="BC3" s="2101"/>
      <c r="BD3" s="2102" t="s">
        <v>7206</v>
      </c>
      <c r="BE3" s="2013"/>
      <c r="BF3" s="2013"/>
      <c r="BG3" s="2013"/>
      <c r="BH3" s="2013"/>
      <c r="BI3" s="2103"/>
    </row>
    <row r="4" ht="12" customHeight="1" spans="1:61">
      <c r="A4" s="2104" t="s">
        <v>5336</v>
      </c>
      <c r="B4" s="2105">
        <v>2</v>
      </c>
      <c r="C4" s="2105"/>
      <c r="D4" s="2105"/>
      <c r="E4" s="2105"/>
      <c r="F4" s="2105"/>
      <c r="G4" s="2105"/>
      <c r="H4" s="2105"/>
      <c r="I4" s="2105"/>
      <c r="J4" s="2105"/>
      <c r="K4" s="2105"/>
      <c r="L4" s="2105"/>
      <c r="M4" s="2105"/>
      <c r="N4" s="2105"/>
      <c r="O4" s="2105"/>
      <c r="P4" s="2105"/>
      <c r="Q4" s="2105"/>
      <c r="R4" s="2105"/>
      <c r="S4" s="2105"/>
      <c r="T4" s="2105"/>
      <c r="U4" s="2105"/>
      <c r="V4" s="2105"/>
      <c r="W4" s="2105"/>
      <c r="X4" s="2105"/>
      <c r="Y4" s="2105"/>
      <c r="Z4" s="2105"/>
      <c r="AA4" s="2105"/>
      <c r="AB4" s="2105"/>
      <c r="AC4" s="2105"/>
      <c r="AD4" s="2105"/>
      <c r="AE4" s="2105"/>
      <c r="AF4" s="2105"/>
      <c r="AG4" s="2105"/>
      <c r="AH4" s="2105"/>
      <c r="AI4" s="2105"/>
      <c r="AJ4" s="2105"/>
      <c r="AK4" s="2105"/>
      <c r="AL4" s="2106">
        <v>3</v>
      </c>
      <c r="AM4" s="2105"/>
      <c r="AN4" s="2105"/>
      <c r="AO4" s="2105"/>
      <c r="AP4" s="2105"/>
      <c r="AQ4" s="2107"/>
      <c r="AR4" s="2108">
        <v>4</v>
      </c>
      <c r="AS4" s="2109"/>
      <c r="AT4" s="2109"/>
      <c r="AU4" s="2109"/>
      <c r="AV4" s="2109"/>
      <c r="AW4" s="2110"/>
      <c r="AX4" s="2108">
        <v>5</v>
      </c>
      <c r="AY4" s="2109"/>
      <c r="AZ4" s="2109"/>
      <c r="BA4" s="2109"/>
      <c r="BB4" s="2109"/>
      <c r="BC4" s="2110"/>
      <c r="BD4" s="2111">
        <v>6</v>
      </c>
      <c r="BE4" s="2105"/>
      <c r="BF4" s="2105"/>
      <c r="BG4" s="2105"/>
      <c r="BH4" s="2105"/>
      <c r="BI4" s="2112"/>
    </row>
    <row r="5" s="2084" customFormat="1" ht="27" customHeight="1" spans="1:61">
      <c r="A5" s="2113" t="s">
        <v>3902</v>
      </c>
      <c r="B5" s="2114" t="str">
        <f ca="1">"Vrijednost ostvarenih investicija u stalna sredstva 7) "&amp;PoslGod&amp;". godini = Tabela 2., Red. broj 2.3 = (zbir 3.1 + 3.3 + 3.5 + 3.6 + 3.7)"</f>
        <v>Vrijednost ostvarenih investicija u stalna sredstva 7) 2025. godini = Tabela 2., Red. broj 2.3 = (zbir 3.1 + 3.3 + 3.5 + 3.6 + 3.7)</v>
      </c>
      <c r="C5" s="2115"/>
      <c r="D5" s="2115"/>
      <c r="E5" s="2115"/>
      <c r="F5" s="2115"/>
      <c r="G5" s="2115"/>
      <c r="H5" s="2115"/>
      <c r="I5" s="2115"/>
      <c r="J5" s="2115"/>
      <c r="K5" s="2115"/>
      <c r="L5" s="2115"/>
      <c r="M5" s="2115"/>
      <c r="N5" s="2115"/>
      <c r="O5" s="2115"/>
      <c r="P5" s="2115"/>
      <c r="Q5" s="2115"/>
      <c r="R5" s="2115"/>
      <c r="S5" s="2115"/>
      <c r="T5" s="2115"/>
      <c r="U5" s="2115"/>
      <c r="V5" s="2115"/>
      <c r="W5" s="2115"/>
      <c r="X5" s="2115"/>
      <c r="Y5" s="2115"/>
      <c r="Z5" s="2115"/>
      <c r="AA5" s="2115"/>
      <c r="AB5" s="2115"/>
      <c r="AC5" s="2115"/>
      <c r="AD5" s="2115"/>
      <c r="AE5" s="2115"/>
      <c r="AF5" s="2115"/>
      <c r="AG5" s="2115"/>
      <c r="AH5" s="2115"/>
      <c r="AI5" s="2115"/>
      <c r="AJ5" s="2115"/>
      <c r="AK5" s="2116"/>
      <c r="AL5" s="2117">
        <f t="shared" ref="AL5:AL9" si="0">AR5+AX5</f>
        <v>0</v>
      </c>
      <c r="AM5" s="2118"/>
      <c r="AN5" s="2118"/>
      <c r="AO5" s="2118"/>
      <c r="AP5" s="2118"/>
      <c r="AQ5" s="2119"/>
      <c r="AR5" s="2117">
        <f>AR6+AR12+AR28+AR31+AR41</f>
        <v>0</v>
      </c>
      <c r="AS5" s="2118"/>
      <c r="AT5" s="2118"/>
      <c r="AU5" s="2118"/>
      <c r="AV5" s="2118"/>
      <c r="AW5" s="2119"/>
      <c r="AX5" s="2117">
        <f>AX6+AX12+AX28+AX31</f>
        <v>0</v>
      </c>
      <c r="AY5" s="2118"/>
      <c r="AZ5" s="2118"/>
      <c r="BA5" s="2118"/>
      <c r="BB5" s="2118"/>
      <c r="BC5" s="2119"/>
      <c r="BD5" s="2117">
        <f>BD6+BD12+BD28+BD31</f>
        <v>0</v>
      </c>
      <c r="BE5" s="2118"/>
      <c r="BF5" s="2118"/>
      <c r="BG5" s="2118"/>
      <c r="BH5" s="2118"/>
      <c r="BI5" s="2120"/>
    </row>
    <row r="6" ht="15" spans="1:61">
      <c r="A6" s="2121" t="s">
        <v>7207</v>
      </c>
      <c r="B6" s="2122" t="s">
        <v>7208</v>
      </c>
      <c r="C6" s="2122"/>
      <c r="D6" s="2122"/>
      <c r="E6" s="2122"/>
      <c r="F6" s="2122"/>
      <c r="G6" s="2122"/>
      <c r="H6" s="2122"/>
      <c r="I6" s="2122"/>
      <c r="J6" s="2122"/>
      <c r="K6" s="2122"/>
      <c r="L6" s="2122"/>
      <c r="M6" s="2122"/>
      <c r="N6" s="2122"/>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3">
        <f t="shared" si="0"/>
        <v>0</v>
      </c>
      <c r="AM6" s="2124"/>
      <c r="AN6" s="2124"/>
      <c r="AO6" s="2124"/>
      <c r="AP6" s="2124"/>
      <c r="AQ6" s="2125"/>
      <c r="AR6" s="2123">
        <f>AR7+AR8</f>
        <v>0</v>
      </c>
      <c r="AS6" s="2124"/>
      <c r="AT6" s="2124"/>
      <c r="AU6" s="2124"/>
      <c r="AV6" s="2124"/>
      <c r="AW6" s="2125"/>
      <c r="AX6" s="2123">
        <f>AX7+AX8</f>
        <v>0</v>
      </c>
      <c r="AY6" s="2124"/>
      <c r="AZ6" s="2124"/>
      <c r="BA6" s="2124"/>
      <c r="BB6" s="2124"/>
      <c r="BC6" s="2125"/>
      <c r="BD6" s="2126">
        <f>BD7+BD8</f>
        <v>0</v>
      </c>
      <c r="BE6" s="2124"/>
      <c r="BF6" s="2124"/>
      <c r="BG6" s="2124"/>
      <c r="BH6" s="2124"/>
      <c r="BI6" s="2127"/>
    </row>
    <row r="7" ht="14.25" spans="1:61">
      <c r="A7" s="2128" t="s">
        <v>7209</v>
      </c>
      <c r="B7" s="2129" t="s">
        <v>2426</v>
      </c>
      <c r="C7" s="2130" t="s">
        <v>7210</v>
      </c>
      <c r="D7" s="2130"/>
      <c r="E7" s="2130"/>
      <c r="F7" s="2130"/>
      <c r="G7" s="2130"/>
      <c r="H7" s="2130"/>
      <c r="I7" s="2130"/>
      <c r="J7" s="2130"/>
      <c r="K7" s="2130"/>
      <c r="L7" s="2130"/>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0"/>
      <c r="AK7" s="2130"/>
      <c r="AL7" s="2131">
        <f t="shared" si="0"/>
        <v>0</v>
      </c>
      <c r="AM7" s="2132"/>
      <c r="AN7" s="2132"/>
      <c r="AO7" s="2132"/>
      <c r="AP7" s="2132"/>
      <c r="AQ7" s="2133"/>
      <c r="AR7" s="2131">
        <f>UnosPod!U886</f>
        <v>0</v>
      </c>
      <c r="AS7" s="2132"/>
      <c r="AT7" s="2132"/>
      <c r="AU7" s="2132"/>
      <c r="AV7" s="2132"/>
      <c r="AW7" s="2133"/>
      <c r="AX7" s="2131">
        <f>UnosPod!AA886</f>
        <v>0</v>
      </c>
      <c r="AY7" s="2132"/>
      <c r="AZ7" s="2132"/>
      <c r="BA7" s="2132"/>
      <c r="BB7" s="2132"/>
      <c r="BC7" s="2133"/>
      <c r="BD7" s="2134">
        <f>UnosPod!AG886</f>
        <v>0</v>
      </c>
      <c r="BE7" s="2132"/>
      <c r="BF7" s="2132"/>
      <c r="BG7" s="2132"/>
      <c r="BH7" s="2132"/>
      <c r="BI7" s="2135"/>
    </row>
    <row r="8" ht="15" spans="1:61">
      <c r="A8" s="2128" t="s">
        <v>7211</v>
      </c>
      <c r="B8" s="2122" t="s">
        <v>7212</v>
      </c>
      <c r="C8" s="2122"/>
      <c r="D8" s="2122"/>
      <c r="E8" s="2122"/>
      <c r="F8" s="2122"/>
      <c r="G8" s="2122"/>
      <c r="H8" s="2122"/>
      <c r="I8" s="2122"/>
      <c r="J8" s="2122"/>
      <c r="K8" s="212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3">
        <f t="shared" si="0"/>
        <v>0</v>
      </c>
      <c r="AM8" s="2124"/>
      <c r="AN8" s="2124"/>
      <c r="AO8" s="2124"/>
      <c r="AP8" s="2124"/>
      <c r="AQ8" s="2125"/>
      <c r="AR8" s="2123">
        <f>SUM(AR9:AW11)</f>
        <v>0</v>
      </c>
      <c r="AS8" s="2124"/>
      <c r="AT8" s="2124"/>
      <c r="AU8" s="2124"/>
      <c r="AV8" s="2124"/>
      <c r="AW8" s="2125"/>
      <c r="AX8" s="2123">
        <f>SUM(AX9:BC11)</f>
        <v>0</v>
      </c>
      <c r="AY8" s="2124"/>
      <c r="AZ8" s="2124"/>
      <c r="BA8" s="2124"/>
      <c r="BB8" s="2124"/>
      <c r="BC8" s="2125"/>
      <c r="BD8" s="2126">
        <f>SUM(BD9:BI11)</f>
        <v>0</v>
      </c>
      <c r="BE8" s="2124"/>
      <c r="BF8" s="2124"/>
      <c r="BG8" s="2124"/>
      <c r="BH8" s="2124"/>
      <c r="BI8" s="2127"/>
    </row>
    <row r="9" ht="25.5" customHeight="1" spans="1:61">
      <c r="A9" s="2136" t="s">
        <v>7213</v>
      </c>
      <c r="B9" s="2137" t="s">
        <v>2426</v>
      </c>
      <c r="C9" s="2138" t="s">
        <v>7214</v>
      </c>
      <c r="D9" s="2138"/>
      <c r="E9" s="2138"/>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9"/>
      <c r="AL9" s="2131">
        <f t="shared" si="0"/>
        <v>0</v>
      </c>
      <c r="AM9" s="2132"/>
      <c r="AN9" s="2132"/>
      <c r="AO9" s="2132"/>
      <c r="AP9" s="2132"/>
      <c r="AQ9" s="2133"/>
      <c r="AR9" s="2131">
        <f>UnosPod!U887</f>
        <v>0</v>
      </c>
      <c r="AS9" s="2132"/>
      <c r="AT9" s="2132"/>
      <c r="AU9" s="2132"/>
      <c r="AV9" s="2132"/>
      <c r="AW9" s="2133"/>
      <c r="AX9" s="2131">
        <f>UnosPod!AA887</f>
        <v>0</v>
      </c>
      <c r="AY9" s="2132"/>
      <c r="AZ9" s="2132"/>
      <c r="BA9" s="2132"/>
      <c r="BB9" s="2132"/>
      <c r="BC9" s="2133"/>
      <c r="BD9" s="2134">
        <f>UnosPod!AG887</f>
        <v>0</v>
      </c>
      <c r="BE9" s="2132"/>
      <c r="BF9" s="2132"/>
      <c r="BG9" s="2132"/>
      <c r="BH9" s="2132"/>
      <c r="BI9" s="2135"/>
    </row>
    <row r="10" ht="29.25" customHeight="1" spans="1:61">
      <c r="A10" s="2140" t="s">
        <v>7215</v>
      </c>
      <c r="B10" s="2129" t="s">
        <v>2426</v>
      </c>
      <c r="C10" s="2141" t="s">
        <v>7216</v>
      </c>
      <c r="D10" s="2141"/>
      <c r="E10" s="2141"/>
      <c r="F10" s="2141"/>
      <c r="G10" s="2141"/>
      <c r="H10" s="2141"/>
      <c r="I10" s="2141"/>
      <c r="J10" s="2141"/>
      <c r="K10" s="2141"/>
      <c r="L10" s="2141"/>
      <c r="M10" s="2141"/>
      <c r="N10" s="2141"/>
      <c r="O10" s="2141"/>
      <c r="P10" s="2141"/>
      <c r="Q10" s="2141"/>
      <c r="R10" s="2141"/>
      <c r="S10" s="2141"/>
      <c r="T10" s="2141"/>
      <c r="U10" s="2141"/>
      <c r="V10" s="2141"/>
      <c r="W10" s="2141"/>
      <c r="X10" s="2141"/>
      <c r="Y10" s="2141"/>
      <c r="Z10" s="2141"/>
      <c r="AA10" s="2141"/>
      <c r="AB10" s="2141"/>
      <c r="AC10" s="2141"/>
      <c r="AD10" s="2141"/>
      <c r="AE10" s="2141"/>
      <c r="AF10" s="2141"/>
      <c r="AG10" s="2141"/>
      <c r="AH10" s="2141"/>
      <c r="AI10" s="2141"/>
      <c r="AJ10" s="2141"/>
      <c r="AK10" s="2142"/>
      <c r="AL10" s="2131">
        <f t="shared" ref="AL10:AL40" si="1">AR10+AX10</f>
        <v>0</v>
      </c>
      <c r="AM10" s="2132"/>
      <c r="AN10" s="2132"/>
      <c r="AO10" s="2132"/>
      <c r="AP10" s="2132"/>
      <c r="AQ10" s="2133"/>
      <c r="AR10" s="2131">
        <f>UnosPod!U888</f>
        <v>0</v>
      </c>
      <c r="AS10" s="2132"/>
      <c r="AT10" s="2132"/>
      <c r="AU10" s="2132"/>
      <c r="AV10" s="2132"/>
      <c r="AW10" s="2133"/>
      <c r="AX10" s="2131">
        <f>UnosPod!AA888</f>
        <v>0</v>
      </c>
      <c r="AY10" s="2132"/>
      <c r="AZ10" s="2132"/>
      <c r="BA10" s="2132"/>
      <c r="BB10" s="2132"/>
      <c r="BC10" s="2133"/>
      <c r="BD10" s="2134">
        <f>UnosPod!AG888</f>
        <v>0</v>
      </c>
      <c r="BE10" s="2132"/>
      <c r="BF10" s="2132"/>
      <c r="BG10" s="2132"/>
      <c r="BH10" s="2132"/>
      <c r="BI10" s="2135"/>
    </row>
    <row r="11" ht="15.75" customHeight="1" spans="1:61">
      <c r="A11" s="2128" t="s">
        <v>7217</v>
      </c>
      <c r="B11" s="2129" t="s">
        <v>2426</v>
      </c>
      <c r="C11" s="2138" t="s">
        <v>7218</v>
      </c>
      <c r="D11" s="2138"/>
      <c r="E11" s="2138"/>
      <c r="F11" s="2138"/>
      <c r="G11" s="2138"/>
      <c r="H11" s="2138"/>
      <c r="I11" s="2138"/>
      <c r="J11" s="2138"/>
      <c r="K11" s="2138"/>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c r="AH11" s="2138"/>
      <c r="AI11" s="2138"/>
      <c r="AJ11" s="2138"/>
      <c r="AK11" s="2139"/>
      <c r="AL11" s="2131">
        <f>AR11</f>
        <v>0</v>
      </c>
      <c r="AM11" s="2132"/>
      <c r="AN11" s="2132"/>
      <c r="AO11" s="2132"/>
      <c r="AP11" s="2132"/>
      <c r="AQ11" s="2133"/>
      <c r="AR11" s="2131">
        <f>UnosPod!U889</f>
        <v>0</v>
      </c>
      <c r="AS11" s="2132"/>
      <c r="AT11" s="2132"/>
      <c r="AU11" s="2132"/>
      <c r="AV11" s="2132"/>
      <c r="AW11" s="2133"/>
      <c r="AX11" s="2131" t="s">
        <v>7219</v>
      </c>
      <c r="AY11" s="2132"/>
      <c r="AZ11" s="2132"/>
      <c r="BA11" s="2132"/>
      <c r="BB11" s="2132"/>
      <c r="BC11" s="2133"/>
      <c r="BD11" s="2134" t="s">
        <v>7219</v>
      </c>
      <c r="BE11" s="2132"/>
      <c r="BF11" s="2132"/>
      <c r="BG11" s="2132"/>
      <c r="BH11" s="2132"/>
      <c r="BI11" s="2135"/>
    </row>
    <row r="12" ht="15" customHeight="1" spans="1:61">
      <c r="A12" s="2121" t="s">
        <v>7220</v>
      </c>
      <c r="B12" s="2143" t="s">
        <v>7221</v>
      </c>
      <c r="C12" s="2143"/>
      <c r="D12" s="2143"/>
      <c r="E12" s="2143"/>
      <c r="F12" s="2143"/>
      <c r="G12" s="2143"/>
      <c r="H12" s="2143"/>
      <c r="I12" s="2143"/>
      <c r="J12" s="2143"/>
      <c r="K12" s="2143"/>
      <c r="L12" s="2143"/>
      <c r="M12" s="2143"/>
      <c r="N12" s="2143"/>
      <c r="O12" s="2143"/>
      <c r="P12" s="2143"/>
      <c r="Q12" s="2143"/>
      <c r="R12" s="2143"/>
      <c r="S12" s="2143"/>
      <c r="T12" s="2143"/>
      <c r="U12" s="2143"/>
      <c r="V12" s="2143"/>
      <c r="W12" s="2143"/>
      <c r="X12" s="2143"/>
      <c r="Y12" s="2143"/>
      <c r="Z12" s="2143"/>
      <c r="AA12" s="2143"/>
      <c r="AB12" s="2143"/>
      <c r="AC12" s="2143"/>
      <c r="AD12" s="2143"/>
      <c r="AE12" s="2143"/>
      <c r="AF12" s="2143"/>
      <c r="AG12" s="2143"/>
      <c r="AH12" s="2143"/>
      <c r="AI12" s="2143"/>
      <c r="AJ12" s="2143"/>
      <c r="AK12" s="2144"/>
      <c r="AL12" s="2123">
        <f t="shared" si="1"/>
        <v>0</v>
      </c>
      <c r="AM12" s="2124"/>
      <c r="AN12" s="2124"/>
      <c r="AO12" s="2124"/>
      <c r="AP12" s="2124"/>
      <c r="AQ12" s="2125"/>
      <c r="AR12" s="2123">
        <f>AR13+AR23</f>
        <v>0</v>
      </c>
      <c r="AS12" s="2124"/>
      <c r="AT12" s="2124"/>
      <c r="AU12" s="2124"/>
      <c r="AV12" s="2124"/>
      <c r="AW12" s="2125"/>
      <c r="AX12" s="2123">
        <f>AX13+AX23</f>
        <v>0</v>
      </c>
      <c r="AY12" s="2124"/>
      <c r="AZ12" s="2124"/>
      <c r="BA12" s="2124"/>
      <c r="BB12" s="2124"/>
      <c r="BC12" s="2125"/>
      <c r="BD12" s="2126">
        <f>BD13+BD23</f>
        <v>0</v>
      </c>
      <c r="BE12" s="2124"/>
      <c r="BF12" s="2124"/>
      <c r="BG12" s="2124"/>
      <c r="BH12" s="2124"/>
      <c r="BI12" s="2127"/>
    </row>
    <row r="13" ht="15" customHeight="1" spans="1:61">
      <c r="A13" s="2145" t="s">
        <v>7222</v>
      </c>
      <c r="B13" s="2122" t="s">
        <v>7223</v>
      </c>
      <c r="C13" s="2122"/>
      <c r="D13" s="2122"/>
      <c r="E13" s="2122"/>
      <c r="F13" s="2122"/>
      <c r="G13" s="2122"/>
      <c r="H13" s="2122"/>
      <c r="I13" s="2122"/>
      <c r="J13" s="2122"/>
      <c r="K13" s="2122"/>
      <c r="L13" s="2122"/>
      <c r="M13" s="2122"/>
      <c r="N13" s="2122"/>
      <c r="O13" s="2122"/>
      <c r="P13" s="2122"/>
      <c r="Q13" s="2122"/>
      <c r="R13" s="2122"/>
      <c r="S13" s="2122"/>
      <c r="T13" s="2122"/>
      <c r="U13" s="2122"/>
      <c r="V13" s="2122"/>
      <c r="W13" s="2122"/>
      <c r="X13" s="2122"/>
      <c r="Y13" s="2122"/>
      <c r="Z13" s="2122"/>
      <c r="AA13" s="2122"/>
      <c r="AB13" s="2122"/>
      <c r="AC13" s="2122"/>
      <c r="AD13" s="2122"/>
      <c r="AE13" s="2122"/>
      <c r="AF13" s="2122"/>
      <c r="AG13" s="2122"/>
      <c r="AH13" s="2122"/>
      <c r="AI13" s="2122"/>
      <c r="AJ13" s="2122"/>
      <c r="AK13" s="2122"/>
      <c r="AL13" s="2123">
        <f t="shared" si="1"/>
        <v>0</v>
      </c>
      <c r="AM13" s="2124"/>
      <c r="AN13" s="2124"/>
      <c r="AO13" s="2124"/>
      <c r="AP13" s="2124"/>
      <c r="AQ13" s="2125"/>
      <c r="AR13" s="2123">
        <f>SUM(AR14:AW22)</f>
        <v>0</v>
      </c>
      <c r="AS13" s="2124"/>
      <c r="AT13" s="2124"/>
      <c r="AU13" s="2124"/>
      <c r="AV13" s="2124"/>
      <c r="AW13" s="2125"/>
      <c r="AX13" s="2123">
        <f>SUM(AX14:BC22)</f>
        <v>0</v>
      </c>
      <c r="AY13" s="2124"/>
      <c r="AZ13" s="2124"/>
      <c r="BA13" s="2124"/>
      <c r="BB13" s="2124"/>
      <c r="BC13" s="2125"/>
      <c r="BD13" s="2126">
        <f>SUM(BD14:BI22)</f>
        <v>0</v>
      </c>
      <c r="BE13" s="2124"/>
      <c r="BF13" s="2124"/>
      <c r="BG13" s="2124"/>
      <c r="BH13" s="2124"/>
      <c r="BI13" s="2127"/>
    </row>
    <row r="14" ht="26.25" customHeight="1" spans="1:61">
      <c r="A14" s="2146" t="s">
        <v>7224</v>
      </c>
      <c r="B14" s="2137" t="s">
        <v>2426</v>
      </c>
      <c r="C14" s="2138" t="s">
        <v>7225</v>
      </c>
      <c r="D14" s="2138"/>
      <c r="E14" s="2138"/>
      <c r="F14" s="2138"/>
      <c r="G14" s="2138"/>
      <c r="H14" s="2138"/>
      <c r="I14" s="2138"/>
      <c r="J14" s="2138"/>
      <c r="K14" s="2138"/>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c r="AH14" s="2138"/>
      <c r="AI14" s="2138"/>
      <c r="AJ14" s="2138"/>
      <c r="AK14" s="2139"/>
      <c r="AL14" s="2131">
        <f t="shared" si="1"/>
        <v>0</v>
      </c>
      <c r="AM14" s="2132"/>
      <c r="AN14" s="2132"/>
      <c r="AO14" s="2132"/>
      <c r="AP14" s="2132"/>
      <c r="AQ14" s="2133"/>
      <c r="AR14" s="2131">
        <f>UnosPod!U891</f>
        <v>0</v>
      </c>
      <c r="AS14" s="2132"/>
      <c r="AT14" s="2132"/>
      <c r="AU14" s="2132"/>
      <c r="AV14" s="2132"/>
      <c r="AW14" s="2133"/>
      <c r="AX14" s="2131">
        <f>UnosPod!AA891</f>
        <v>0</v>
      </c>
      <c r="AY14" s="2132"/>
      <c r="AZ14" s="2132"/>
      <c r="BA14" s="2132"/>
      <c r="BB14" s="2132"/>
      <c r="BC14" s="2133"/>
      <c r="BD14" s="2134">
        <f>UnosPod!AG891</f>
        <v>0</v>
      </c>
      <c r="BE14" s="2132"/>
      <c r="BF14" s="2132"/>
      <c r="BG14" s="2132"/>
      <c r="BH14" s="2132"/>
      <c r="BI14" s="2135"/>
    </row>
    <row r="15" ht="28.5" customHeight="1" spans="1:61">
      <c r="A15" s="2146" t="s">
        <v>7226</v>
      </c>
      <c r="B15" s="2137" t="s">
        <v>2426</v>
      </c>
      <c r="C15" s="2138" t="s">
        <v>7227</v>
      </c>
      <c r="D15" s="2138"/>
      <c r="E15" s="2138"/>
      <c r="F15" s="2138"/>
      <c r="G15" s="2138"/>
      <c r="H15" s="2138"/>
      <c r="I15" s="2138"/>
      <c r="J15" s="2138"/>
      <c r="K15" s="2138"/>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9"/>
      <c r="AL15" s="2131">
        <f t="shared" si="1"/>
        <v>0</v>
      </c>
      <c r="AM15" s="2132"/>
      <c r="AN15" s="2132"/>
      <c r="AO15" s="2132"/>
      <c r="AP15" s="2132"/>
      <c r="AQ15" s="2133"/>
      <c r="AR15" s="2131">
        <f>UnosPod!U892</f>
        <v>0</v>
      </c>
      <c r="AS15" s="2132"/>
      <c r="AT15" s="2132"/>
      <c r="AU15" s="2132"/>
      <c r="AV15" s="2132"/>
      <c r="AW15" s="2133"/>
      <c r="AX15" s="2131">
        <f>UnosPod!AA892</f>
        <v>0</v>
      </c>
      <c r="AY15" s="2132"/>
      <c r="AZ15" s="2132"/>
      <c r="BA15" s="2132"/>
      <c r="BB15" s="2132"/>
      <c r="BC15" s="2133"/>
      <c r="BD15" s="2134">
        <f>UnosPod!AG892</f>
        <v>0</v>
      </c>
      <c r="BE15" s="2132"/>
      <c r="BF15" s="2132"/>
      <c r="BG15" s="2132"/>
      <c r="BH15" s="2132"/>
      <c r="BI15" s="2135"/>
    </row>
    <row r="16" ht="27" customHeight="1" spans="1:61">
      <c r="A16" s="2146" t="s">
        <v>7228</v>
      </c>
      <c r="B16" s="2137" t="s">
        <v>2426</v>
      </c>
      <c r="C16" s="2138" t="s">
        <v>7229</v>
      </c>
      <c r="D16" s="2138"/>
      <c r="E16" s="2138"/>
      <c r="F16" s="2138"/>
      <c r="G16" s="2138"/>
      <c r="H16" s="2138"/>
      <c r="I16" s="2138"/>
      <c r="J16" s="2138"/>
      <c r="K16" s="2138"/>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8"/>
      <c r="AK16" s="2139"/>
      <c r="AL16" s="2131">
        <f t="shared" si="1"/>
        <v>0</v>
      </c>
      <c r="AM16" s="2132"/>
      <c r="AN16" s="2132"/>
      <c r="AO16" s="2132"/>
      <c r="AP16" s="2132"/>
      <c r="AQ16" s="2133"/>
      <c r="AR16" s="2131">
        <f>UnosPod!U893</f>
        <v>0</v>
      </c>
      <c r="AS16" s="2132"/>
      <c r="AT16" s="2132"/>
      <c r="AU16" s="2132"/>
      <c r="AV16" s="2132"/>
      <c r="AW16" s="2133"/>
      <c r="AX16" s="2131">
        <f>UnosPod!AA893</f>
        <v>0</v>
      </c>
      <c r="AY16" s="2132"/>
      <c r="AZ16" s="2132"/>
      <c r="BA16" s="2132"/>
      <c r="BB16" s="2132"/>
      <c r="BC16" s="2133"/>
      <c r="BD16" s="2134">
        <f>UnosPod!AG893</f>
        <v>0</v>
      </c>
      <c r="BE16" s="2132"/>
      <c r="BF16" s="2132"/>
      <c r="BG16" s="2132"/>
      <c r="BH16" s="2132"/>
      <c r="BI16" s="2135"/>
    </row>
    <row r="17" ht="15" customHeight="1" spans="1:61">
      <c r="A17" s="2146" t="s">
        <v>7230</v>
      </c>
      <c r="B17" s="2137" t="s">
        <v>2426</v>
      </c>
      <c r="C17" s="2138" t="s">
        <v>7231</v>
      </c>
      <c r="D17" s="2138"/>
      <c r="E17" s="2138"/>
      <c r="F17" s="2138"/>
      <c r="G17" s="2138"/>
      <c r="H17" s="2138"/>
      <c r="I17" s="2138"/>
      <c r="J17" s="2138"/>
      <c r="K17" s="2138"/>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9"/>
      <c r="AL17" s="2131">
        <f t="shared" si="1"/>
        <v>0</v>
      </c>
      <c r="AM17" s="2132"/>
      <c r="AN17" s="2132"/>
      <c r="AO17" s="2132"/>
      <c r="AP17" s="2132"/>
      <c r="AQ17" s="2133"/>
      <c r="AR17" s="2131">
        <f>UnosPod!U894</f>
        <v>0</v>
      </c>
      <c r="AS17" s="2132"/>
      <c r="AT17" s="2132"/>
      <c r="AU17" s="2132"/>
      <c r="AV17" s="2132"/>
      <c r="AW17" s="2133"/>
      <c r="AX17" s="2131">
        <f>UnosPod!AA894</f>
        <v>0</v>
      </c>
      <c r="AY17" s="2132"/>
      <c r="AZ17" s="2132"/>
      <c r="BA17" s="2132"/>
      <c r="BB17" s="2132"/>
      <c r="BC17" s="2133"/>
      <c r="BD17" s="2134">
        <f>UnosPod!AG894</f>
        <v>0</v>
      </c>
      <c r="BE17" s="2132"/>
      <c r="BF17" s="2132"/>
      <c r="BG17" s="2132"/>
      <c r="BH17" s="2132"/>
      <c r="BI17" s="2135"/>
    </row>
    <row r="18" ht="27" customHeight="1" spans="1:61">
      <c r="A18" s="2147" t="s">
        <v>7232</v>
      </c>
      <c r="B18" s="2137" t="s">
        <v>2426</v>
      </c>
      <c r="C18" s="2138" t="s">
        <v>7233</v>
      </c>
      <c r="D18" s="2138"/>
      <c r="E18" s="2138"/>
      <c r="F18" s="2138"/>
      <c r="G18" s="2138"/>
      <c r="H18" s="2138"/>
      <c r="I18" s="2138"/>
      <c r="J18" s="2138"/>
      <c r="K18" s="2138"/>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9"/>
      <c r="AL18" s="2131">
        <f t="shared" si="1"/>
        <v>0</v>
      </c>
      <c r="AM18" s="2132"/>
      <c r="AN18" s="2132"/>
      <c r="AO18" s="2132"/>
      <c r="AP18" s="2132"/>
      <c r="AQ18" s="2133"/>
      <c r="AR18" s="2131">
        <f>UnosPod!U895</f>
        <v>0</v>
      </c>
      <c r="AS18" s="2132"/>
      <c r="AT18" s="2132"/>
      <c r="AU18" s="2132"/>
      <c r="AV18" s="2132"/>
      <c r="AW18" s="2133"/>
      <c r="AX18" s="2131">
        <f>UnosPod!AA895</f>
        <v>0</v>
      </c>
      <c r="AY18" s="2132"/>
      <c r="AZ18" s="2132"/>
      <c r="BA18" s="2132"/>
      <c r="BB18" s="2132"/>
      <c r="BC18" s="2133"/>
      <c r="BD18" s="2134">
        <f>UnosPod!AG895</f>
        <v>0</v>
      </c>
      <c r="BE18" s="2132"/>
      <c r="BF18" s="2132"/>
      <c r="BG18" s="2132"/>
      <c r="BH18" s="2132"/>
      <c r="BI18" s="2135"/>
    </row>
    <row r="19" ht="27" customHeight="1" spans="1:61">
      <c r="A19" s="2146" t="s">
        <v>7234</v>
      </c>
      <c r="B19" s="2137" t="s">
        <v>2426</v>
      </c>
      <c r="C19" s="2138" t="s">
        <v>7235</v>
      </c>
      <c r="D19" s="2138"/>
      <c r="E19" s="2138"/>
      <c r="F19" s="2138"/>
      <c r="G19" s="2138"/>
      <c r="H19" s="2138"/>
      <c r="I19" s="2138"/>
      <c r="J19" s="2138"/>
      <c r="K19" s="2138"/>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9"/>
      <c r="AL19" s="2131">
        <f t="shared" si="1"/>
        <v>0</v>
      </c>
      <c r="AM19" s="2132"/>
      <c r="AN19" s="2132"/>
      <c r="AO19" s="2132"/>
      <c r="AP19" s="2132"/>
      <c r="AQ19" s="2133"/>
      <c r="AR19" s="2131">
        <f>UnosPod!U896</f>
        <v>0</v>
      </c>
      <c r="AS19" s="2132"/>
      <c r="AT19" s="2132"/>
      <c r="AU19" s="2132"/>
      <c r="AV19" s="2132"/>
      <c r="AW19" s="2133"/>
      <c r="AX19" s="2131">
        <f>UnosPod!AA896</f>
        <v>0</v>
      </c>
      <c r="AY19" s="2132"/>
      <c r="AZ19" s="2132"/>
      <c r="BA19" s="2132"/>
      <c r="BB19" s="2132"/>
      <c r="BC19" s="2133"/>
      <c r="BD19" s="2134">
        <f>UnosPod!AG896</f>
        <v>0</v>
      </c>
      <c r="BE19" s="2132"/>
      <c r="BF19" s="2132"/>
      <c r="BG19" s="2132"/>
      <c r="BH19" s="2132"/>
      <c r="BI19" s="2135"/>
    </row>
    <row r="20" ht="14.25" customHeight="1" spans="1:61">
      <c r="A20" s="2148" t="s">
        <v>7236</v>
      </c>
      <c r="B20" s="2137" t="s">
        <v>2426</v>
      </c>
      <c r="C20" s="2138" t="s">
        <v>7237</v>
      </c>
      <c r="D20" s="2138"/>
      <c r="E20" s="2138"/>
      <c r="F20" s="2138"/>
      <c r="G20" s="2138"/>
      <c r="H20" s="2138"/>
      <c r="I20" s="2138"/>
      <c r="J20" s="2138"/>
      <c r="K20" s="2138"/>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9"/>
      <c r="AL20" s="2131">
        <f t="shared" si="1"/>
        <v>0</v>
      </c>
      <c r="AM20" s="2132"/>
      <c r="AN20" s="2132"/>
      <c r="AO20" s="2132"/>
      <c r="AP20" s="2132"/>
      <c r="AQ20" s="2133"/>
      <c r="AR20" s="2131">
        <f>UnosPod!U897</f>
        <v>0</v>
      </c>
      <c r="AS20" s="2132"/>
      <c r="AT20" s="2132"/>
      <c r="AU20" s="2132"/>
      <c r="AV20" s="2132"/>
      <c r="AW20" s="2133"/>
      <c r="AX20" s="2131">
        <f>UnosPod!AA897</f>
        <v>0</v>
      </c>
      <c r="AY20" s="2132"/>
      <c r="AZ20" s="2132"/>
      <c r="BA20" s="2132"/>
      <c r="BB20" s="2132"/>
      <c r="BC20" s="2133"/>
      <c r="BD20" s="2134">
        <f>UnosPod!AG897</f>
        <v>0</v>
      </c>
      <c r="BE20" s="2132"/>
      <c r="BF20" s="2132"/>
      <c r="BG20" s="2132"/>
      <c r="BH20" s="2132"/>
      <c r="BI20" s="2135"/>
    </row>
    <row r="21" ht="24.75" customHeight="1" spans="1:61">
      <c r="A21" s="2146" t="s">
        <v>7238</v>
      </c>
      <c r="B21" s="2137" t="s">
        <v>2426</v>
      </c>
      <c r="C21" s="2138" t="s">
        <v>7239</v>
      </c>
      <c r="D21" s="2138"/>
      <c r="E21" s="2138"/>
      <c r="F21" s="2138"/>
      <c r="G21" s="2138"/>
      <c r="H21" s="2138"/>
      <c r="I21" s="2138"/>
      <c r="J21" s="2138"/>
      <c r="K21" s="2138"/>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9"/>
      <c r="AL21" s="2131">
        <f t="shared" si="1"/>
        <v>0</v>
      </c>
      <c r="AM21" s="2132"/>
      <c r="AN21" s="2132"/>
      <c r="AO21" s="2132"/>
      <c r="AP21" s="2132"/>
      <c r="AQ21" s="2133"/>
      <c r="AR21" s="2131">
        <f>UnosPod!U898</f>
        <v>0</v>
      </c>
      <c r="AS21" s="2132"/>
      <c r="AT21" s="2132"/>
      <c r="AU21" s="2132"/>
      <c r="AV21" s="2132"/>
      <c r="AW21" s="2133"/>
      <c r="AX21" s="2131">
        <f>UnosPod!AA898</f>
        <v>0</v>
      </c>
      <c r="AY21" s="2132"/>
      <c r="AZ21" s="2132"/>
      <c r="BA21" s="2132"/>
      <c r="BB21" s="2132"/>
      <c r="BC21" s="2133"/>
      <c r="BD21" s="2134">
        <f>UnosPod!AG898</f>
        <v>0</v>
      </c>
      <c r="BE21" s="2132"/>
      <c r="BF21" s="2132"/>
      <c r="BG21" s="2132"/>
      <c r="BH21" s="2132"/>
      <c r="BI21" s="2135"/>
    </row>
    <row r="22" ht="15" customHeight="1" spans="1:61">
      <c r="A22" s="2148" t="s">
        <v>7240</v>
      </c>
      <c r="B22" s="2129" t="s">
        <v>2426</v>
      </c>
      <c r="C22" s="2138" t="s">
        <v>7241</v>
      </c>
      <c r="D22" s="2138"/>
      <c r="E22" s="2138"/>
      <c r="F22" s="2138"/>
      <c r="G22" s="2138"/>
      <c r="H22" s="2138"/>
      <c r="I22" s="2138"/>
      <c r="J22" s="2138"/>
      <c r="K22" s="2138"/>
      <c r="L22" s="2138"/>
      <c r="M22" s="2138"/>
      <c r="N22" s="2138"/>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9"/>
      <c r="AL22" s="2131">
        <f t="shared" si="1"/>
        <v>0</v>
      </c>
      <c r="AM22" s="2132"/>
      <c r="AN22" s="2132"/>
      <c r="AO22" s="2132"/>
      <c r="AP22" s="2132"/>
      <c r="AQ22" s="2133"/>
      <c r="AR22" s="2131">
        <f>UnosPod!U899</f>
        <v>0</v>
      </c>
      <c r="AS22" s="2132"/>
      <c r="AT22" s="2132"/>
      <c r="AU22" s="2132"/>
      <c r="AV22" s="2132"/>
      <c r="AW22" s="2133"/>
      <c r="AX22" s="2131">
        <f>UnosPod!AA899</f>
        <v>0</v>
      </c>
      <c r="AY22" s="2132"/>
      <c r="AZ22" s="2132"/>
      <c r="BA22" s="2132"/>
      <c r="BB22" s="2132"/>
      <c r="BC22" s="2133"/>
      <c r="BD22" s="2134">
        <f>UnosPod!AG899</f>
        <v>0</v>
      </c>
      <c r="BE22" s="2132"/>
      <c r="BF22" s="2132"/>
      <c r="BG22" s="2132"/>
      <c r="BH22" s="2132"/>
      <c r="BI22" s="2135"/>
    </row>
    <row r="23" ht="15" spans="1:61">
      <c r="A23" s="2145" t="s">
        <v>7242</v>
      </c>
      <c r="B23" s="2122" t="s">
        <v>7243</v>
      </c>
      <c r="C23" s="2122"/>
      <c r="D23" s="2122"/>
      <c r="E23" s="2122"/>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49"/>
      <c r="AL23" s="2123">
        <f t="shared" si="1"/>
        <v>0</v>
      </c>
      <c r="AM23" s="2124"/>
      <c r="AN23" s="2124"/>
      <c r="AO23" s="2124"/>
      <c r="AP23" s="2124"/>
      <c r="AQ23" s="2125"/>
      <c r="AR23" s="2123">
        <f>SUM(AR24:AW26)</f>
        <v>0</v>
      </c>
      <c r="AS23" s="2124"/>
      <c r="AT23" s="2124"/>
      <c r="AU23" s="2124"/>
      <c r="AV23" s="2124"/>
      <c r="AW23" s="2125"/>
      <c r="AX23" s="2123">
        <f>SUM(AX24:BC26)</f>
        <v>0</v>
      </c>
      <c r="AY23" s="2124"/>
      <c r="AZ23" s="2124"/>
      <c r="BA23" s="2124"/>
      <c r="BB23" s="2124"/>
      <c r="BC23" s="2125"/>
      <c r="BD23" s="2126">
        <f>SUM(BD24:BI26)</f>
        <v>0</v>
      </c>
      <c r="BE23" s="2124"/>
      <c r="BF23" s="2124"/>
      <c r="BG23" s="2124"/>
      <c r="BH23" s="2124"/>
      <c r="BI23" s="2127"/>
    </row>
    <row r="24" ht="13.5" customHeight="1" spans="1:61">
      <c r="A24" s="2148" t="s">
        <v>7244</v>
      </c>
      <c r="B24" s="2129" t="s">
        <v>2426</v>
      </c>
      <c r="C24" s="2138" t="s">
        <v>7245</v>
      </c>
      <c r="D24" s="2138"/>
      <c r="E24" s="2138"/>
      <c r="F24" s="2138"/>
      <c r="G24" s="2138"/>
      <c r="H24" s="2138"/>
      <c r="I24" s="2138"/>
      <c r="J24" s="2138"/>
      <c r="K24" s="2138"/>
      <c r="L24" s="2138"/>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9"/>
      <c r="AL24" s="2131">
        <f t="shared" si="1"/>
        <v>0</v>
      </c>
      <c r="AM24" s="2132"/>
      <c r="AN24" s="2132"/>
      <c r="AO24" s="2132"/>
      <c r="AP24" s="2132"/>
      <c r="AQ24" s="2133"/>
      <c r="AR24" s="2131">
        <f>UnosPod!U901</f>
        <v>0</v>
      </c>
      <c r="AS24" s="2132"/>
      <c r="AT24" s="2132"/>
      <c r="AU24" s="2132"/>
      <c r="AV24" s="2132"/>
      <c r="AW24" s="2133"/>
      <c r="AX24" s="2131">
        <f>UnosPod!AA901</f>
        <v>0</v>
      </c>
      <c r="AY24" s="2132"/>
      <c r="AZ24" s="2132"/>
      <c r="BA24" s="2132"/>
      <c r="BB24" s="2132"/>
      <c r="BC24" s="2133"/>
      <c r="BD24" s="2134">
        <f>UnosPod!AG901</f>
        <v>0</v>
      </c>
      <c r="BE24" s="2132"/>
      <c r="BF24" s="2132"/>
      <c r="BG24" s="2132"/>
      <c r="BH24" s="2132"/>
      <c r="BI24" s="2135"/>
    </row>
    <row r="25" customHeight="1" spans="1:61">
      <c r="A25" s="2148" t="s">
        <v>7246</v>
      </c>
      <c r="B25" s="2129" t="s">
        <v>2426</v>
      </c>
      <c r="C25" s="2138" t="s">
        <v>7247</v>
      </c>
      <c r="D25" s="2138"/>
      <c r="E25" s="2138"/>
      <c r="F25" s="2138"/>
      <c r="G25" s="2138"/>
      <c r="H25" s="2138"/>
      <c r="I25" s="2138"/>
      <c r="J25" s="2138"/>
      <c r="K25" s="2138"/>
      <c r="L25" s="2138"/>
      <c r="M25" s="2138"/>
      <c r="N25" s="2138"/>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9"/>
      <c r="AL25" s="2131">
        <f t="shared" si="1"/>
        <v>0</v>
      </c>
      <c r="AM25" s="2132"/>
      <c r="AN25" s="2132"/>
      <c r="AO25" s="2132"/>
      <c r="AP25" s="2132"/>
      <c r="AQ25" s="2133"/>
      <c r="AR25" s="2131">
        <f>UnosPod!U902</f>
        <v>0</v>
      </c>
      <c r="AS25" s="2132"/>
      <c r="AT25" s="2132"/>
      <c r="AU25" s="2132"/>
      <c r="AV25" s="2132"/>
      <c r="AW25" s="2133"/>
      <c r="AX25" s="2131">
        <f>UnosPod!AA902</f>
        <v>0</v>
      </c>
      <c r="AY25" s="2132"/>
      <c r="AZ25" s="2132"/>
      <c r="BA25" s="2132"/>
      <c r="BB25" s="2132"/>
      <c r="BC25" s="2133"/>
      <c r="BD25" s="2134">
        <f>UnosPod!AG902</f>
        <v>0</v>
      </c>
      <c r="BE25" s="2132"/>
      <c r="BF25" s="2132"/>
      <c r="BG25" s="2132"/>
      <c r="BH25" s="2132"/>
      <c r="BI25" s="2135"/>
    </row>
    <row r="26" ht="14.25" spans="1:61">
      <c r="A26" s="2148" t="s">
        <v>7248</v>
      </c>
      <c r="B26" s="2129" t="s">
        <v>2426</v>
      </c>
      <c r="C26" s="2138" t="s">
        <v>7249</v>
      </c>
      <c r="D26" s="2138"/>
      <c r="E26" s="2138"/>
      <c r="F26" s="2138"/>
      <c r="G26" s="2138"/>
      <c r="H26" s="2138"/>
      <c r="I26" s="2138"/>
      <c r="J26" s="2138"/>
      <c r="K26" s="2138"/>
      <c r="L26" s="2138"/>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9"/>
      <c r="AL26" s="2131">
        <f t="shared" si="1"/>
        <v>0</v>
      </c>
      <c r="AM26" s="2132"/>
      <c r="AN26" s="2132"/>
      <c r="AO26" s="2132"/>
      <c r="AP26" s="2132"/>
      <c r="AQ26" s="2133"/>
      <c r="AR26" s="2131">
        <f>UnosPod!U903</f>
        <v>0</v>
      </c>
      <c r="AS26" s="2132"/>
      <c r="AT26" s="2132"/>
      <c r="AU26" s="2132"/>
      <c r="AV26" s="2132"/>
      <c r="AW26" s="2133"/>
      <c r="AX26" s="2131">
        <f>UnosPod!AA903</f>
        <v>0</v>
      </c>
      <c r="AY26" s="2132"/>
      <c r="AZ26" s="2132"/>
      <c r="BA26" s="2132"/>
      <c r="BB26" s="2132"/>
      <c r="BC26" s="2133"/>
      <c r="BD26" s="2134">
        <f>UnosPod!AG903</f>
        <v>0</v>
      </c>
      <c r="BE26" s="2132"/>
      <c r="BF26" s="2132"/>
      <c r="BG26" s="2132"/>
      <c r="BH26" s="2132"/>
      <c r="BI26" s="2135"/>
    </row>
    <row r="27" ht="14.25" customHeight="1" spans="1:61">
      <c r="A27" s="2145" t="s">
        <v>7250</v>
      </c>
      <c r="B27" s="2143" t="s">
        <v>7251</v>
      </c>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4"/>
      <c r="AL27" s="2131">
        <f>AR27</f>
        <v>0</v>
      </c>
      <c r="AM27" s="2132"/>
      <c r="AN27" s="2132"/>
      <c r="AO27" s="2132"/>
      <c r="AP27" s="2132"/>
      <c r="AQ27" s="2133"/>
      <c r="AR27" s="2131">
        <f>UnosPod!U904</f>
        <v>0</v>
      </c>
      <c r="AS27" s="2132"/>
      <c r="AT27" s="2132"/>
      <c r="AU27" s="2132"/>
      <c r="AV27" s="2132"/>
      <c r="AW27" s="2133"/>
      <c r="AX27" s="2131" t="s">
        <v>7219</v>
      </c>
      <c r="AY27" s="2132"/>
      <c r="AZ27" s="2132"/>
      <c r="BA27" s="2132"/>
      <c r="BB27" s="2132"/>
      <c r="BC27" s="2133"/>
      <c r="BD27" s="2134" t="s">
        <v>7219</v>
      </c>
      <c r="BE27" s="2132"/>
      <c r="BF27" s="2132"/>
      <c r="BG27" s="2132"/>
      <c r="BH27" s="2132"/>
      <c r="BI27" s="2135"/>
    </row>
    <row r="28" customHeight="1" spans="1:61">
      <c r="A28" s="2145" t="s">
        <v>7252</v>
      </c>
      <c r="B28" s="2143" t="s">
        <v>7253</v>
      </c>
      <c r="C28" s="2143"/>
      <c r="D28" s="2143"/>
      <c r="E28" s="2143"/>
      <c r="F28" s="2143"/>
      <c r="G28" s="2143"/>
      <c r="H28" s="2143"/>
      <c r="I28" s="2143"/>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4"/>
      <c r="AL28" s="2123">
        <f t="shared" si="1"/>
        <v>0</v>
      </c>
      <c r="AM28" s="2124"/>
      <c r="AN28" s="2124"/>
      <c r="AO28" s="2124"/>
      <c r="AP28" s="2124"/>
      <c r="AQ28" s="2125"/>
      <c r="AR28" s="2123">
        <f>SUM(AR29:AW30)</f>
        <v>0</v>
      </c>
      <c r="AS28" s="2124"/>
      <c r="AT28" s="2124"/>
      <c r="AU28" s="2124"/>
      <c r="AV28" s="2124"/>
      <c r="AW28" s="2125"/>
      <c r="AX28" s="2123">
        <f>SUM(AX29:BC30)</f>
        <v>0</v>
      </c>
      <c r="AY28" s="2124"/>
      <c r="AZ28" s="2124"/>
      <c r="BA28" s="2124"/>
      <c r="BB28" s="2124"/>
      <c r="BC28" s="2125"/>
      <c r="BD28" s="2126">
        <f>SUM(BD29:BI30)</f>
        <v>0</v>
      </c>
      <c r="BE28" s="2124"/>
      <c r="BF28" s="2124"/>
      <c r="BG28" s="2124"/>
      <c r="BH28" s="2124"/>
      <c r="BI28" s="2127"/>
    </row>
    <row r="29" ht="14.25" customHeight="1" spans="1:61">
      <c r="A29" s="2148" t="s">
        <v>7254</v>
      </c>
      <c r="B29" s="2129" t="s">
        <v>2426</v>
      </c>
      <c r="C29" s="2138" t="s">
        <v>7255</v>
      </c>
      <c r="D29" s="2138"/>
      <c r="E29" s="2138"/>
      <c r="F29" s="2138"/>
      <c r="G29" s="2138"/>
      <c r="H29" s="2138"/>
      <c r="I29" s="2138"/>
      <c r="J29" s="2138"/>
      <c r="K29" s="2138"/>
      <c r="L29" s="2138"/>
      <c r="M29" s="2138"/>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9"/>
      <c r="AL29" s="2131">
        <f t="shared" si="1"/>
        <v>0</v>
      </c>
      <c r="AM29" s="2132"/>
      <c r="AN29" s="2132"/>
      <c r="AO29" s="2132"/>
      <c r="AP29" s="2132"/>
      <c r="AQ29" s="2133"/>
      <c r="AR29" s="2134">
        <f>UnosPod!U906</f>
        <v>0</v>
      </c>
      <c r="AS29" s="2132"/>
      <c r="AT29" s="2132"/>
      <c r="AU29" s="2132"/>
      <c r="AV29" s="2132"/>
      <c r="AW29" s="2133"/>
      <c r="AX29" s="2134">
        <f>UnosPod!AA906</f>
        <v>0</v>
      </c>
      <c r="AY29" s="2132"/>
      <c r="AZ29" s="2132"/>
      <c r="BA29" s="2132"/>
      <c r="BB29" s="2132"/>
      <c r="BC29" s="2133"/>
      <c r="BD29" s="2134">
        <f>UnosPod!AG906</f>
        <v>0</v>
      </c>
      <c r="BE29" s="2132"/>
      <c r="BF29" s="2132"/>
      <c r="BG29" s="2132"/>
      <c r="BH29" s="2132"/>
      <c r="BI29" s="2135"/>
    </row>
    <row r="30" ht="14.25" spans="1:61">
      <c r="A30" s="2148" t="s">
        <v>7256</v>
      </c>
      <c r="B30" s="2129" t="s">
        <v>2426</v>
      </c>
      <c r="C30" s="2138" t="s">
        <v>7257</v>
      </c>
      <c r="D30" s="2138"/>
      <c r="E30" s="2138"/>
      <c r="F30" s="2138"/>
      <c r="G30" s="2138"/>
      <c r="H30" s="2138"/>
      <c r="I30" s="2138"/>
      <c r="J30" s="2138"/>
      <c r="K30" s="2138"/>
      <c r="L30" s="2138"/>
      <c r="M30" s="2138"/>
      <c r="N30" s="2138"/>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9"/>
      <c r="AL30" s="2131">
        <f t="shared" si="1"/>
        <v>0</v>
      </c>
      <c r="AM30" s="2132"/>
      <c r="AN30" s="2132"/>
      <c r="AO30" s="2132"/>
      <c r="AP30" s="2132"/>
      <c r="AQ30" s="2133"/>
      <c r="AR30" s="2134">
        <f>UnosPod!U907</f>
        <v>0</v>
      </c>
      <c r="AS30" s="2132"/>
      <c r="AT30" s="2132"/>
      <c r="AU30" s="2132"/>
      <c r="AV30" s="2132"/>
      <c r="AW30" s="2133"/>
      <c r="AX30" s="2134">
        <f>UnosPod!AA907</f>
        <v>0</v>
      </c>
      <c r="AY30" s="2132"/>
      <c r="AZ30" s="2132"/>
      <c r="BA30" s="2132"/>
      <c r="BB30" s="2132"/>
      <c r="BC30" s="2133"/>
      <c r="BD30" s="2134">
        <f>UnosPod!AG907</f>
        <v>0</v>
      </c>
      <c r="BE30" s="2132"/>
      <c r="BF30" s="2132"/>
      <c r="BG30" s="2132"/>
      <c r="BH30" s="2132"/>
      <c r="BI30" s="2135"/>
    </row>
    <row r="31" customHeight="1" spans="1:61">
      <c r="A31" s="2145" t="s">
        <v>7258</v>
      </c>
      <c r="B31" s="2143" t="s">
        <v>7259</v>
      </c>
      <c r="C31" s="2143"/>
      <c r="D31" s="2143"/>
      <c r="E31" s="2143"/>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4"/>
      <c r="AL31" s="2123">
        <f>AL32</f>
        <v>0</v>
      </c>
      <c r="AM31" s="2124"/>
      <c r="AN31" s="2124"/>
      <c r="AO31" s="2124"/>
      <c r="AP31" s="2124"/>
      <c r="AQ31" s="2125"/>
      <c r="AR31" s="2123">
        <f>SUM(AR32:AW34)+SUM(AR39:AW40)</f>
        <v>0</v>
      </c>
      <c r="AS31" s="2124"/>
      <c r="AT31" s="2124"/>
      <c r="AU31" s="2124"/>
      <c r="AV31" s="2124"/>
      <c r="AW31" s="2125"/>
      <c r="AX31" s="2123">
        <f t="shared" ref="AX31" si="2">SUM(AX32:BC34)+SUM(AX39:BC40)</f>
        <v>0</v>
      </c>
      <c r="AY31" s="2124"/>
      <c r="AZ31" s="2124"/>
      <c r="BA31" s="2124"/>
      <c r="BB31" s="2124"/>
      <c r="BC31" s="2125"/>
      <c r="BD31" s="2123">
        <f t="shared" ref="BD31" si="3">SUM(BD32:BI34)+SUM(BD39:BI40)</f>
        <v>0</v>
      </c>
      <c r="BE31" s="2124"/>
      <c r="BF31" s="2124"/>
      <c r="BG31" s="2124"/>
      <c r="BH31" s="2124"/>
      <c r="BI31" s="2127"/>
    </row>
    <row r="32" ht="14.25" spans="1:61">
      <c r="A32" s="2148" t="s">
        <v>7260</v>
      </c>
      <c r="B32" s="2129" t="s">
        <v>2426</v>
      </c>
      <c r="C32" s="2138" t="s">
        <v>7261</v>
      </c>
      <c r="D32" s="2138"/>
      <c r="E32" s="2138"/>
      <c r="F32" s="2138"/>
      <c r="G32" s="2138"/>
      <c r="H32" s="2138"/>
      <c r="I32" s="2138"/>
      <c r="J32" s="2138"/>
      <c r="K32" s="2138"/>
      <c r="L32" s="2138"/>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9"/>
      <c r="AL32" s="2131">
        <f>AR32+AX32</f>
        <v>0</v>
      </c>
      <c r="AM32" s="2132"/>
      <c r="AN32" s="2132"/>
      <c r="AO32" s="2132"/>
      <c r="AP32" s="2132"/>
      <c r="AQ32" s="2133"/>
      <c r="AR32" s="2131">
        <f>UnosPod!U909</f>
        <v>0</v>
      </c>
      <c r="AS32" s="2132"/>
      <c r="AT32" s="2132"/>
      <c r="AU32" s="2132"/>
      <c r="AV32" s="2132"/>
      <c r="AW32" s="2133"/>
      <c r="AX32" s="2131">
        <f>UnosPod!AA909</f>
        <v>0</v>
      </c>
      <c r="AY32" s="2132"/>
      <c r="AZ32" s="2132"/>
      <c r="BA32" s="2132"/>
      <c r="BB32" s="2132"/>
      <c r="BC32" s="2133"/>
      <c r="BD32" s="2134">
        <f>UnosPod!AG909</f>
        <v>0</v>
      </c>
      <c r="BE32" s="2132"/>
      <c r="BF32" s="2132"/>
      <c r="BG32" s="2132"/>
      <c r="BH32" s="2132"/>
      <c r="BI32" s="2135"/>
    </row>
    <row r="33" ht="14.25" spans="1:61">
      <c r="A33" s="2148" t="s">
        <v>7262</v>
      </c>
      <c r="B33" s="2129" t="s">
        <v>2426</v>
      </c>
      <c r="C33" s="2138" t="s">
        <v>7263</v>
      </c>
      <c r="D33" s="2138"/>
      <c r="E33" s="2138"/>
      <c r="F33" s="2138"/>
      <c r="G33" s="2138"/>
      <c r="H33" s="2138"/>
      <c r="I33" s="2138"/>
      <c r="J33" s="2138"/>
      <c r="K33" s="2138"/>
      <c r="L33" s="2138"/>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9"/>
      <c r="AL33" s="2131">
        <f>AR33+AX33</f>
        <v>0</v>
      </c>
      <c r="AM33" s="2132"/>
      <c r="AN33" s="2132"/>
      <c r="AO33" s="2132"/>
      <c r="AP33" s="2132"/>
      <c r="AQ33" s="2133"/>
      <c r="AR33" s="2131">
        <f>UnosPod!U910</f>
        <v>0</v>
      </c>
      <c r="AS33" s="2132"/>
      <c r="AT33" s="2132"/>
      <c r="AU33" s="2132"/>
      <c r="AV33" s="2132"/>
      <c r="AW33" s="2133"/>
      <c r="AX33" s="2131">
        <f>UnosPod!AA910</f>
        <v>0</v>
      </c>
      <c r="AY33" s="2132"/>
      <c r="AZ33" s="2132"/>
      <c r="BA33" s="2132"/>
      <c r="BB33" s="2132"/>
      <c r="BC33" s="2133"/>
      <c r="BD33" s="2134">
        <f>UnosPod!AG910</f>
        <v>0</v>
      </c>
      <c r="BE33" s="2132"/>
      <c r="BF33" s="2132"/>
      <c r="BG33" s="2132"/>
      <c r="BH33" s="2132"/>
      <c r="BI33" s="2135"/>
    </row>
    <row r="34" ht="14.25" spans="1:61">
      <c r="A34" s="2148" t="s">
        <v>7264</v>
      </c>
      <c r="B34" s="2129" t="s">
        <v>2426</v>
      </c>
      <c r="C34" s="2138" t="s">
        <v>7265</v>
      </c>
      <c r="D34" s="2138"/>
      <c r="E34" s="2138"/>
      <c r="F34" s="2138"/>
      <c r="G34" s="2138"/>
      <c r="H34" s="2138"/>
      <c r="I34" s="2138"/>
      <c r="J34" s="2138"/>
      <c r="K34" s="2138"/>
      <c r="L34" s="2138"/>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9"/>
      <c r="AL34" s="2131">
        <f t="shared" si="1"/>
        <v>0</v>
      </c>
      <c r="AM34" s="2132"/>
      <c r="AN34" s="2132"/>
      <c r="AO34" s="2132"/>
      <c r="AP34" s="2132"/>
      <c r="AQ34" s="2133"/>
      <c r="AR34" s="2131">
        <f>SUM(AR35:AW38)</f>
        <v>0</v>
      </c>
      <c r="AS34" s="2132"/>
      <c r="AT34" s="2132"/>
      <c r="AU34" s="2132"/>
      <c r="AV34" s="2132"/>
      <c r="AW34" s="2133"/>
      <c r="AX34" s="2131">
        <f t="shared" ref="AX34" si="4">SUM(AX35:BC38)</f>
        <v>0</v>
      </c>
      <c r="AY34" s="2132"/>
      <c r="AZ34" s="2132"/>
      <c r="BA34" s="2132"/>
      <c r="BB34" s="2132"/>
      <c r="BC34" s="2133"/>
      <c r="BD34" s="2131">
        <f t="shared" ref="BD34" si="5">SUM(BD35:BI38)</f>
        <v>0</v>
      </c>
      <c r="BE34" s="2132"/>
      <c r="BF34" s="2132"/>
      <c r="BG34" s="2132"/>
      <c r="BH34" s="2132"/>
      <c r="BI34" s="2135"/>
    </row>
    <row r="35" ht="15" spans="1:61">
      <c r="A35" s="2148" t="s">
        <v>7266</v>
      </c>
      <c r="B35" s="2129"/>
      <c r="C35" s="2150" t="s">
        <v>2426</v>
      </c>
      <c r="D35" s="2151" t="s">
        <v>5657</v>
      </c>
      <c r="E35" s="2138"/>
      <c r="F35" s="2138"/>
      <c r="G35" s="2138"/>
      <c r="H35" s="2138"/>
      <c r="I35" s="2138"/>
      <c r="J35" s="2138"/>
      <c r="K35" s="2138"/>
      <c r="L35" s="2138"/>
      <c r="M35" s="2138"/>
      <c r="N35" s="2138"/>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9"/>
      <c r="AL35" s="2131">
        <f t="shared" ref="AL35:AL38" si="6">AR35+AX35</f>
        <v>0</v>
      </c>
      <c r="AM35" s="2132"/>
      <c r="AN35" s="2132"/>
      <c r="AO35" s="2132"/>
      <c r="AP35" s="2132"/>
      <c r="AQ35" s="2133"/>
      <c r="AR35" s="2123">
        <f>UnosPod!U911</f>
        <v>0</v>
      </c>
      <c r="AS35" s="2124"/>
      <c r="AT35" s="2124"/>
      <c r="AU35" s="2124"/>
      <c r="AV35" s="2124"/>
      <c r="AW35" s="2125"/>
      <c r="AX35" s="2123">
        <f>UnosPod!AA911</f>
        <v>0</v>
      </c>
      <c r="AY35" s="2124"/>
      <c r="AZ35" s="2124"/>
      <c r="BA35" s="2124"/>
      <c r="BB35" s="2124"/>
      <c r="BC35" s="2125"/>
      <c r="BD35" s="2123">
        <f>UnosPod!AG911</f>
        <v>0</v>
      </c>
      <c r="BE35" s="2124"/>
      <c r="BF35" s="2124"/>
      <c r="BG35" s="2124"/>
      <c r="BH35" s="2124"/>
      <c r="BI35" s="2127"/>
    </row>
    <row r="36" ht="15" spans="1:61">
      <c r="A36" s="2148" t="s">
        <v>7267</v>
      </c>
      <c r="B36" s="2129"/>
      <c r="C36" s="2150" t="s">
        <v>2426</v>
      </c>
      <c r="D36" s="2151" t="s">
        <v>5658</v>
      </c>
      <c r="E36" s="2138"/>
      <c r="F36" s="2138"/>
      <c r="G36" s="2138"/>
      <c r="H36" s="2138"/>
      <c r="I36" s="2138"/>
      <c r="J36" s="2138"/>
      <c r="K36" s="2138"/>
      <c r="L36" s="2138"/>
      <c r="M36" s="2138"/>
      <c r="N36" s="2138"/>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9"/>
      <c r="AL36" s="2131">
        <f t="shared" si="6"/>
        <v>0</v>
      </c>
      <c r="AM36" s="2132"/>
      <c r="AN36" s="2132"/>
      <c r="AO36" s="2132"/>
      <c r="AP36" s="2132"/>
      <c r="AQ36" s="2133"/>
      <c r="AR36" s="2123">
        <f>UnosPod!U912</f>
        <v>0</v>
      </c>
      <c r="AS36" s="2124"/>
      <c r="AT36" s="2124"/>
      <c r="AU36" s="2124"/>
      <c r="AV36" s="2124"/>
      <c r="AW36" s="2125"/>
      <c r="AX36" s="2123">
        <f>UnosPod!AA912</f>
        <v>0</v>
      </c>
      <c r="AY36" s="2124"/>
      <c r="AZ36" s="2124"/>
      <c r="BA36" s="2124"/>
      <c r="BB36" s="2124"/>
      <c r="BC36" s="2125"/>
      <c r="BD36" s="2123">
        <f>UnosPod!AG912</f>
        <v>0</v>
      </c>
      <c r="BE36" s="2124"/>
      <c r="BF36" s="2124"/>
      <c r="BG36" s="2124"/>
      <c r="BH36" s="2124"/>
      <c r="BI36" s="2127"/>
    </row>
    <row r="37" ht="15" spans="1:61">
      <c r="A37" s="2148" t="s">
        <v>7268</v>
      </c>
      <c r="B37" s="2129"/>
      <c r="C37" s="2150" t="s">
        <v>2426</v>
      </c>
      <c r="D37" s="2151" t="s">
        <v>5659</v>
      </c>
      <c r="E37" s="2138"/>
      <c r="F37" s="2138"/>
      <c r="G37" s="2138"/>
      <c r="H37" s="2138"/>
      <c r="I37" s="2138"/>
      <c r="J37" s="2138"/>
      <c r="K37" s="2138"/>
      <c r="L37" s="2138"/>
      <c r="M37" s="2138"/>
      <c r="N37" s="2138"/>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9"/>
      <c r="AL37" s="2131">
        <f t="shared" si="6"/>
        <v>0</v>
      </c>
      <c r="AM37" s="2132"/>
      <c r="AN37" s="2132"/>
      <c r="AO37" s="2132"/>
      <c r="AP37" s="2132"/>
      <c r="AQ37" s="2133"/>
      <c r="AR37" s="2123">
        <f>UnosPod!U913</f>
        <v>0</v>
      </c>
      <c r="AS37" s="2124"/>
      <c r="AT37" s="2124"/>
      <c r="AU37" s="2124"/>
      <c r="AV37" s="2124"/>
      <c r="AW37" s="2125"/>
      <c r="AX37" s="2123">
        <f>UnosPod!AA913</f>
        <v>0</v>
      </c>
      <c r="AY37" s="2124"/>
      <c r="AZ37" s="2124"/>
      <c r="BA37" s="2124"/>
      <c r="BB37" s="2124"/>
      <c r="BC37" s="2125"/>
      <c r="BD37" s="2123">
        <f>UnosPod!AG913</f>
        <v>0</v>
      </c>
      <c r="BE37" s="2124"/>
      <c r="BF37" s="2124"/>
      <c r="BG37" s="2124"/>
      <c r="BH37" s="2124"/>
      <c r="BI37" s="2127"/>
    </row>
    <row r="38" ht="15" spans="1:61">
      <c r="A38" s="2148" t="s">
        <v>7269</v>
      </c>
      <c r="B38" s="2129"/>
      <c r="C38" s="2150" t="s">
        <v>2426</v>
      </c>
      <c r="D38" s="2151" t="s">
        <v>5660</v>
      </c>
      <c r="E38" s="2138"/>
      <c r="F38" s="2138"/>
      <c r="G38" s="2138"/>
      <c r="H38" s="2138"/>
      <c r="I38" s="2138"/>
      <c r="J38" s="2138"/>
      <c r="K38" s="2138"/>
      <c r="L38" s="2138"/>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9"/>
      <c r="AL38" s="2131">
        <f t="shared" si="6"/>
        <v>0</v>
      </c>
      <c r="AM38" s="2132"/>
      <c r="AN38" s="2132"/>
      <c r="AO38" s="2132"/>
      <c r="AP38" s="2132"/>
      <c r="AQ38" s="2133"/>
      <c r="AR38" s="2123">
        <f>UnosPod!U914</f>
        <v>0</v>
      </c>
      <c r="AS38" s="2124"/>
      <c r="AT38" s="2124"/>
      <c r="AU38" s="2124"/>
      <c r="AV38" s="2124"/>
      <c r="AW38" s="2125"/>
      <c r="AX38" s="2123">
        <f>UnosPod!AA914</f>
        <v>0</v>
      </c>
      <c r="AY38" s="2124"/>
      <c r="AZ38" s="2124"/>
      <c r="BA38" s="2124"/>
      <c r="BB38" s="2124"/>
      <c r="BC38" s="2125"/>
      <c r="BD38" s="2123">
        <f>UnosPod!AG914</f>
        <v>0</v>
      </c>
      <c r="BE38" s="2124"/>
      <c r="BF38" s="2124"/>
      <c r="BG38" s="2124"/>
      <c r="BH38" s="2124"/>
      <c r="BI38" s="2127"/>
    </row>
    <row r="39" ht="14.25" spans="1:61">
      <c r="A39" s="2148" t="s">
        <v>7270</v>
      </c>
      <c r="B39" s="2129" t="s">
        <v>2426</v>
      </c>
      <c r="C39" s="2138" t="s">
        <v>7271</v>
      </c>
      <c r="D39" s="2138"/>
      <c r="E39" s="2138"/>
      <c r="F39" s="2138"/>
      <c r="G39" s="2138"/>
      <c r="H39" s="2138"/>
      <c r="I39" s="2138"/>
      <c r="J39" s="2138"/>
      <c r="K39" s="2138"/>
      <c r="L39" s="2138"/>
      <c r="M39" s="2138"/>
      <c r="N39" s="2138"/>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9"/>
      <c r="AL39" s="2131">
        <f t="shared" si="1"/>
        <v>0</v>
      </c>
      <c r="AM39" s="2132"/>
      <c r="AN39" s="2132"/>
      <c r="AO39" s="2132"/>
      <c r="AP39" s="2132"/>
      <c r="AQ39" s="2133"/>
      <c r="AR39" s="2131">
        <f>UnosPod!U915</f>
        <v>0</v>
      </c>
      <c r="AS39" s="2132"/>
      <c r="AT39" s="2132"/>
      <c r="AU39" s="2132"/>
      <c r="AV39" s="2132"/>
      <c r="AW39" s="2133"/>
      <c r="AX39" s="2131">
        <f>UnosPod!AA915</f>
        <v>0</v>
      </c>
      <c r="AY39" s="2132"/>
      <c r="AZ39" s="2132"/>
      <c r="BA39" s="2132"/>
      <c r="BB39" s="2132"/>
      <c r="BC39" s="2133"/>
      <c r="BD39" s="2134">
        <f>UnosPod!AG915</f>
        <v>0</v>
      </c>
      <c r="BE39" s="2132"/>
      <c r="BF39" s="2132"/>
      <c r="BG39" s="2132"/>
      <c r="BH39" s="2132"/>
      <c r="BI39" s="2135"/>
    </row>
    <row r="40" ht="14.25" spans="1:61">
      <c r="A40" s="2148" t="s">
        <v>7272</v>
      </c>
      <c r="B40" s="2129" t="s">
        <v>2426</v>
      </c>
      <c r="C40" s="2138" t="s">
        <v>7273</v>
      </c>
      <c r="D40" s="2138"/>
      <c r="E40" s="2138"/>
      <c r="F40" s="2138"/>
      <c r="G40" s="2138"/>
      <c r="H40" s="2138"/>
      <c r="I40" s="2138"/>
      <c r="J40" s="2138"/>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9"/>
      <c r="AL40" s="2131">
        <f t="shared" si="1"/>
        <v>0</v>
      </c>
      <c r="AM40" s="2132"/>
      <c r="AN40" s="2132"/>
      <c r="AO40" s="2132"/>
      <c r="AP40" s="2132"/>
      <c r="AQ40" s="2133"/>
      <c r="AR40" s="2131">
        <f>UnosPod!U916</f>
        <v>0</v>
      </c>
      <c r="AS40" s="2132"/>
      <c r="AT40" s="2132"/>
      <c r="AU40" s="2132"/>
      <c r="AV40" s="2132"/>
      <c r="AW40" s="2133"/>
      <c r="AX40" s="2131">
        <f>UnosPod!AA916</f>
        <v>0</v>
      </c>
      <c r="AY40" s="2132"/>
      <c r="AZ40" s="2132"/>
      <c r="BA40" s="2132"/>
      <c r="BB40" s="2132"/>
      <c r="BC40" s="2133"/>
      <c r="BD40" s="2134">
        <f>UnosPod!AG916</f>
        <v>0</v>
      </c>
      <c r="BE40" s="2132"/>
      <c r="BF40" s="2132"/>
      <c r="BG40" s="2132"/>
      <c r="BH40" s="2132"/>
      <c r="BI40" s="2135"/>
    </row>
    <row r="41" ht="13.5" customHeight="1" spans="1:61">
      <c r="A41" s="2152" t="s">
        <v>7274</v>
      </c>
      <c r="B41" s="2153" t="s">
        <v>7275</v>
      </c>
      <c r="C41" s="2154"/>
      <c r="D41" s="2154"/>
      <c r="E41" s="2154"/>
      <c r="F41" s="2154"/>
      <c r="G41" s="2154"/>
      <c r="H41" s="2154"/>
      <c r="I41" s="2154"/>
      <c r="J41" s="2154"/>
      <c r="K41" s="2154"/>
      <c r="L41" s="2154"/>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4"/>
      <c r="AI41" s="2154"/>
      <c r="AJ41" s="2154"/>
      <c r="AK41" s="2155"/>
      <c r="AL41" s="2156">
        <f>AR41</f>
        <v>0</v>
      </c>
      <c r="AM41" s="2157"/>
      <c r="AN41" s="2157"/>
      <c r="AO41" s="2157"/>
      <c r="AP41" s="2157"/>
      <c r="AQ41" s="2158"/>
      <c r="AR41" s="2159">
        <f>UnosPod!U917</f>
        <v>0</v>
      </c>
      <c r="AS41" s="2160"/>
      <c r="AT41" s="2160"/>
      <c r="AU41" s="2160"/>
      <c r="AV41" s="2160"/>
      <c r="AW41" s="2161"/>
      <c r="AX41" s="2162" t="s">
        <v>7219</v>
      </c>
      <c r="AY41" s="2157"/>
      <c r="AZ41" s="2157"/>
      <c r="BA41" s="2157"/>
      <c r="BB41" s="2157"/>
      <c r="BC41" s="2158"/>
      <c r="BD41" s="2162" t="s">
        <v>7219</v>
      </c>
      <c r="BE41" s="2157"/>
      <c r="BF41" s="2157"/>
      <c r="BG41" s="2157"/>
      <c r="BH41" s="2157"/>
      <c r="BI41" s="2163"/>
    </row>
    <row r="42" ht="7.5" customHeight="1" spans="1:61">
      <c r="A42" s="2164"/>
      <c r="B42" s="2013"/>
      <c r="C42" s="2013"/>
      <c r="D42" s="2013"/>
      <c r="E42" s="2013"/>
      <c r="F42" s="2013"/>
      <c r="G42" s="2013"/>
      <c r="H42" s="2013"/>
      <c r="I42" s="2013"/>
      <c r="J42" s="2013"/>
      <c r="K42" s="2013"/>
      <c r="L42" s="2013"/>
      <c r="M42" s="2013"/>
      <c r="N42" s="2013"/>
      <c r="O42" s="2013"/>
      <c r="P42" s="2013"/>
      <c r="Q42" s="2013"/>
      <c r="R42" s="2013"/>
      <c r="S42" s="2013"/>
      <c r="T42" s="2013"/>
      <c r="U42" s="2013"/>
      <c r="V42" s="2013"/>
      <c r="W42" s="2013"/>
      <c r="X42" s="2013"/>
      <c r="Y42" s="2013"/>
      <c r="Z42" s="2013"/>
      <c r="AA42" s="2013"/>
      <c r="AB42" s="2013"/>
      <c r="AC42" s="2013"/>
      <c r="AD42" s="2013"/>
      <c r="AE42" s="2013"/>
      <c r="AF42" s="2013"/>
      <c r="AG42" s="2013"/>
      <c r="AH42" s="2013"/>
      <c r="AI42" s="2013"/>
      <c r="AJ42" s="2013"/>
      <c r="AK42" s="2013"/>
      <c r="AL42" s="1003"/>
      <c r="AM42" s="1003"/>
      <c r="AN42" s="1003"/>
      <c r="AO42" s="1003"/>
      <c r="AP42" s="1003"/>
      <c r="AQ42" s="1003"/>
      <c r="AR42" s="1003"/>
      <c r="AS42" s="1003"/>
      <c r="AT42" s="1003"/>
      <c r="AU42" s="1003"/>
      <c r="AV42" s="1003"/>
      <c r="AW42" s="1003"/>
      <c r="AX42" s="1003"/>
      <c r="AY42" s="1003"/>
      <c r="AZ42" s="1003"/>
      <c r="BA42" s="1003"/>
      <c r="BB42" s="1003"/>
      <c r="BC42" s="1003"/>
      <c r="BD42" s="1003"/>
      <c r="BE42" s="1003"/>
      <c r="BF42" s="1003"/>
      <c r="BG42" s="1003"/>
      <c r="BH42" s="1003"/>
      <c r="BI42" s="1003"/>
    </row>
    <row r="43" ht="27" customHeight="1" spans="1:61">
      <c r="A43" s="2165" t="s">
        <v>7276</v>
      </c>
      <c r="B43" s="2166" t="s">
        <v>7277</v>
      </c>
      <c r="C43" s="2167"/>
      <c r="D43" s="2167"/>
      <c r="E43" s="2167"/>
      <c r="F43" s="2167"/>
      <c r="G43" s="2167"/>
      <c r="H43" s="2167"/>
      <c r="I43" s="2167"/>
      <c r="J43" s="2167"/>
      <c r="K43" s="2167"/>
      <c r="L43" s="2167"/>
      <c r="M43" s="2167"/>
      <c r="N43" s="2167"/>
      <c r="O43" s="2167"/>
      <c r="P43" s="2167"/>
      <c r="Q43" s="2167"/>
      <c r="R43" s="2167"/>
      <c r="S43" s="2167"/>
      <c r="T43" s="2167"/>
      <c r="U43" s="2167"/>
      <c r="V43" s="2167"/>
      <c r="W43" s="2167"/>
      <c r="X43" s="2167"/>
      <c r="Y43" s="2167"/>
      <c r="Z43" s="2167"/>
      <c r="AA43" s="2167"/>
      <c r="AB43" s="2167"/>
      <c r="AC43" s="2167"/>
      <c r="AD43" s="2167"/>
      <c r="AE43" s="2167"/>
      <c r="AF43" s="2167"/>
      <c r="AG43" s="2167"/>
      <c r="AH43" s="2167"/>
      <c r="AI43" s="2167"/>
      <c r="AJ43" s="2167"/>
      <c r="AK43" s="2168"/>
      <c r="AL43" s="2169">
        <f>AR43+AX43</f>
        <v>0</v>
      </c>
      <c r="AM43" s="2170"/>
      <c r="AN43" s="2170"/>
      <c r="AO43" s="2170"/>
      <c r="AP43" s="2170"/>
      <c r="AQ43" s="2171"/>
      <c r="AR43" s="2169">
        <f>UnosPod!U918</f>
        <v>0</v>
      </c>
      <c r="AS43" s="2170"/>
      <c r="AT43" s="2170"/>
      <c r="AU43" s="2170"/>
      <c r="AV43" s="2170"/>
      <c r="AW43" s="2171"/>
      <c r="AX43" s="2169">
        <f>UnosPod!AA918</f>
        <v>0</v>
      </c>
      <c r="AY43" s="2170"/>
      <c r="AZ43" s="2170"/>
      <c r="BA43" s="2170"/>
      <c r="BB43" s="2170"/>
      <c r="BC43" s="2171"/>
      <c r="BD43" s="2172">
        <f>UnosPod!AG918</f>
        <v>0</v>
      </c>
      <c r="BE43" s="2170"/>
      <c r="BF43" s="2170"/>
      <c r="BG43" s="2170"/>
      <c r="BH43" s="2170"/>
      <c r="BI43" s="2173"/>
    </row>
    <row r="44" ht="15" spans="1:61">
      <c r="A44" s="2145" t="s">
        <v>7278</v>
      </c>
      <c r="B44" s="2174" t="s">
        <v>7279</v>
      </c>
      <c r="C44" s="2143"/>
      <c r="D44" s="2143"/>
      <c r="E44" s="2143"/>
      <c r="F44" s="2143"/>
      <c r="G44" s="2143"/>
      <c r="H44" s="2143"/>
      <c r="I44" s="2143"/>
      <c r="J44" s="2143"/>
      <c r="K44" s="2143"/>
      <c r="L44" s="2143"/>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4"/>
      <c r="AL44" s="2123">
        <f>AR44+AX44</f>
        <v>0</v>
      </c>
      <c r="AM44" s="2124"/>
      <c r="AN44" s="2124"/>
      <c r="AO44" s="2124"/>
      <c r="AP44" s="2124"/>
      <c r="AQ44" s="2125"/>
      <c r="AR44" s="2123">
        <f>UnosPod!U919</f>
        <v>0</v>
      </c>
      <c r="AS44" s="2124"/>
      <c r="AT44" s="2124"/>
      <c r="AU44" s="2124"/>
      <c r="AV44" s="2124"/>
      <c r="AW44" s="2125"/>
      <c r="AX44" s="2123">
        <f>UnosPod!AA919</f>
        <v>0</v>
      </c>
      <c r="AY44" s="2124"/>
      <c r="AZ44" s="2124"/>
      <c r="BA44" s="2124"/>
      <c r="BB44" s="2124"/>
      <c r="BC44" s="2125"/>
      <c r="BD44" s="2126">
        <f>UnosPod!AG919</f>
        <v>0</v>
      </c>
      <c r="BE44" s="2124"/>
      <c r="BF44" s="2124"/>
      <c r="BG44" s="2124"/>
      <c r="BH44" s="2124"/>
      <c r="BI44" s="2127"/>
    </row>
    <row r="45" ht="15.75" spans="1:61">
      <c r="A45" s="2152" t="s">
        <v>7280</v>
      </c>
      <c r="B45" s="2153" t="s">
        <v>7281</v>
      </c>
      <c r="C45" s="2154"/>
      <c r="D45" s="2154"/>
      <c r="E45" s="2154"/>
      <c r="F45" s="2154"/>
      <c r="G45" s="2154"/>
      <c r="H45" s="2154"/>
      <c r="I45" s="2154"/>
      <c r="J45" s="2154"/>
      <c r="K45" s="2154"/>
      <c r="L45" s="2154"/>
      <c r="M45" s="2154"/>
      <c r="N45" s="2154"/>
      <c r="O45" s="2154"/>
      <c r="P45" s="2154"/>
      <c r="Q45" s="2154"/>
      <c r="R45" s="2154"/>
      <c r="S45" s="2154"/>
      <c r="T45" s="2154"/>
      <c r="U45" s="2154"/>
      <c r="V45" s="2154"/>
      <c r="W45" s="2154"/>
      <c r="X45" s="2154"/>
      <c r="Y45" s="2154"/>
      <c r="Z45" s="2154"/>
      <c r="AA45" s="2154"/>
      <c r="AB45" s="2154"/>
      <c r="AC45" s="2154"/>
      <c r="AD45" s="2154"/>
      <c r="AE45" s="2154"/>
      <c r="AF45" s="2154"/>
      <c r="AG45" s="2154"/>
      <c r="AH45" s="2154"/>
      <c r="AI45" s="2154"/>
      <c r="AJ45" s="2154"/>
      <c r="AK45" s="2155"/>
      <c r="AL45" s="2175">
        <f>AX45</f>
        <v>0</v>
      </c>
      <c r="AM45" s="2160"/>
      <c r="AN45" s="2160"/>
      <c r="AO45" s="2160"/>
      <c r="AP45" s="2160"/>
      <c r="AQ45" s="2161"/>
      <c r="AR45" s="2162" t="s">
        <v>7219</v>
      </c>
      <c r="AS45" s="2157"/>
      <c r="AT45" s="2157"/>
      <c r="AU45" s="2157"/>
      <c r="AV45" s="2157"/>
      <c r="AW45" s="2158"/>
      <c r="AX45" s="2175">
        <f>UnosPod!AA920</f>
        <v>0</v>
      </c>
      <c r="AY45" s="2160"/>
      <c r="AZ45" s="2160"/>
      <c r="BA45" s="2160"/>
      <c r="BB45" s="2160"/>
      <c r="BC45" s="2161"/>
      <c r="BD45" s="2159">
        <f>UnosPod!AG920</f>
        <v>0</v>
      </c>
      <c r="BE45" s="2160"/>
      <c r="BF45" s="2160"/>
      <c r="BG45" s="2160"/>
      <c r="BH45" s="2160"/>
      <c r="BI45" s="2176"/>
    </row>
    <row r="46" ht="10.5" customHeight="1" spans="1:61">
      <c r="B46" s="2177" t="s">
        <v>7282</v>
      </c>
      <c r="C46" s="2178" t="s">
        <v>7283</v>
      </c>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2179"/>
      <c r="AM46" s="2179"/>
      <c r="AN46" s="2180" t="s">
        <v>7284</v>
      </c>
      <c r="AO46" s="2181" t="s">
        <v>7285</v>
      </c>
      <c r="AP46" s="2182"/>
      <c r="AQ46" s="2182"/>
      <c r="AR46" s="2182"/>
      <c r="AS46" s="2182"/>
      <c r="AT46" s="2182"/>
      <c r="AU46" s="2182"/>
      <c r="AV46" s="2182"/>
      <c r="AW46" s="2182"/>
      <c r="AX46" s="2182"/>
      <c r="AY46" s="2182"/>
      <c r="AZ46" s="2182"/>
      <c r="BA46" s="2182"/>
      <c r="BB46" s="2182"/>
      <c r="BC46" s="2182"/>
      <c r="BD46" s="2182"/>
      <c r="BE46" s="2182"/>
      <c r="BF46" s="2182"/>
      <c r="BG46" s="2182"/>
      <c r="BH46" s="2182"/>
      <c r="BI46" s="2182"/>
    </row>
    <row r="47" ht="10.5" customHeight="1" spans="1:61">
      <c r="B47" s="2177" t="s">
        <v>6346</v>
      </c>
      <c r="C47" s="2178" t="s">
        <v>7286</v>
      </c>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2179"/>
      <c r="AM47" s="2179"/>
      <c r="AN47" s="2182"/>
      <c r="AO47" s="2181" t="s">
        <v>7287</v>
      </c>
      <c r="AP47" s="2182"/>
      <c r="AQ47" s="2182"/>
      <c r="AR47" s="2182"/>
      <c r="AS47" s="2182"/>
      <c r="AT47" s="2182"/>
      <c r="AU47" s="2182"/>
      <c r="AV47" s="2182"/>
      <c r="AW47" s="2182"/>
      <c r="AX47" s="2182"/>
      <c r="AY47" s="2182"/>
      <c r="AZ47" s="2182"/>
      <c r="BA47" s="2182"/>
      <c r="BB47" s="2182"/>
      <c r="BC47" s="2182"/>
      <c r="BD47" s="2182"/>
      <c r="BE47" s="2182"/>
      <c r="BF47" s="2182"/>
      <c r="BG47" s="2182"/>
      <c r="BH47" s="2182"/>
      <c r="BI47" s="2182"/>
    </row>
    <row r="48" ht="10.5" customHeight="1" spans="1:61">
      <c r="B48" s="325"/>
      <c r="C48" s="2178" t="s">
        <v>7288</v>
      </c>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2179"/>
      <c r="AM48" s="2179"/>
      <c r="AN48" s="2182" t="s">
        <v>7289</v>
      </c>
      <c r="AO48" s="2181" t="s">
        <v>7290</v>
      </c>
      <c r="AP48" s="2182"/>
      <c r="AQ48" s="2182"/>
      <c r="AR48" s="2182"/>
      <c r="AS48" s="2182"/>
      <c r="AT48" s="2182"/>
      <c r="AU48" s="2182"/>
      <c r="AV48" s="2182"/>
      <c r="AW48" s="2182"/>
      <c r="AX48" s="2182"/>
      <c r="AY48" s="2182"/>
      <c r="AZ48" s="2182"/>
      <c r="BA48" s="2182"/>
      <c r="BB48" s="2182"/>
      <c r="BC48" s="2182"/>
      <c r="BD48" s="2182"/>
      <c r="BE48" s="2182"/>
      <c r="BF48" s="2182"/>
      <c r="BG48" s="2182"/>
      <c r="BH48" s="2182"/>
      <c r="BI48" s="2182"/>
    </row>
    <row r="49" ht="10.5" customHeight="1" spans="1:61">
      <c r="B49" s="325"/>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2179"/>
      <c r="AM49" s="2179"/>
      <c r="AN49" s="2182"/>
      <c r="AO49" s="2181" t="s">
        <v>7291</v>
      </c>
      <c r="AP49" s="2182"/>
      <c r="AQ49" s="2182"/>
      <c r="AR49" s="2182"/>
      <c r="AS49" s="2182"/>
      <c r="AT49" s="2182"/>
      <c r="AU49" s="2182"/>
      <c r="AV49" s="2182"/>
      <c r="AW49" s="2182"/>
      <c r="AX49" s="2182"/>
      <c r="AY49" s="2182"/>
      <c r="AZ49" s="2182"/>
      <c r="BA49" s="2182"/>
      <c r="BB49" s="2182"/>
      <c r="BC49" s="2182"/>
      <c r="BD49" s="2182"/>
      <c r="BE49" s="2182"/>
      <c r="BF49" s="2182"/>
      <c r="BG49" s="2182"/>
      <c r="BH49" s="2182"/>
      <c r="BI49" s="2182"/>
    </row>
    <row r="50" ht="10.5" customHeight="1" spans="1:61">
      <c r="AN50" s="424"/>
      <c r="AO50" s="424" t="s">
        <v>7292</v>
      </c>
      <c r="AP50" s="424"/>
      <c r="AQ50" s="424"/>
      <c r="AR50" s="424"/>
      <c r="AS50" s="424"/>
      <c r="AT50" s="424"/>
      <c r="AU50" s="424"/>
      <c r="AV50" s="424"/>
      <c r="AW50" s="424"/>
      <c r="AX50" s="424"/>
      <c r="AY50" s="424"/>
      <c r="AZ50" s="424"/>
      <c r="BA50" s="424"/>
      <c r="BB50" s="424"/>
      <c r="BC50" s="424"/>
      <c r="BD50" s="424"/>
      <c r="BE50" s="424"/>
      <c r="BF50" s="424"/>
      <c r="BG50" s="424"/>
      <c r="BH50" s="424"/>
      <c r="BI50" s="424"/>
    </row>
    <row r="51" ht="10.5" customHeight="1"/>
    <row r="52" ht="10.5" customHeight="1"/>
    <row r="53" ht="10.5" customHeight="1"/>
    <row r="54" ht="10.5" customHeight="1"/>
    <row r="55" ht="10.5" customHeight="1"/>
    <row r="56" spans="1:61">
      <c r="I56" s="2085"/>
    </row>
    <row r="57" ht="13.5" spans="1:61">
      <c r="A57" s="2183" t="str">
        <f ca="1">"TABELA 4. INVESTICIJE U NOVA STALNA SREDSTVA PO NAMJENI ULAGANJA I TERITORIJI U "&amp;Baza!C6&amp;".GODINI"</f>
        <v>TABELA 4. INVESTICIJE U NOVA STALNA SREDSTVA PO NAMJENI ULAGANJA I TERITORIJI U 2025.GODINI</v>
      </c>
    </row>
    <row r="58" spans="1:61">
      <c r="A58" s="2088"/>
      <c r="B58" s="2184"/>
      <c r="C58" s="2184"/>
      <c r="D58" s="2184"/>
      <c r="E58" s="2184"/>
      <c r="F58" s="2184"/>
      <c r="G58" s="2184"/>
      <c r="H58" s="2184"/>
      <c r="I58" s="2184"/>
      <c r="J58" s="2184"/>
      <c r="K58" s="2184"/>
      <c r="L58" s="2184"/>
      <c r="M58" s="2184"/>
      <c r="N58" s="2184"/>
      <c r="O58" s="2184"/>
      <c r="P58" s="2184"/>
      <c r="Q58" s="2184"/>
      <c r="R58" s="2184"/>
      <c r="S58" s="2184"/>
      <c r="T58" s="2184"/>
      <c r="U58" s="2185"/>
      <c r="V58" s="2186" t="s">
        <v>5793</v>
      </c>
      <c r="W58" s="2187"/>
      <c r="X58" s="2187"/>
      <c r="Y58" s="2187"/>
      <c r="Z58" s="2187"/>
      <c r="AA58" s="2187"/>
      <c r="AB58" s="2187"/>
      <c r="AC58" s="2187"/>
      <c r="AD58" s="2187"/>
      <c r="AE58" s="2188"/>
      <c r="AF58" s="2186" t="s">
        <v>7293</v>
      </c>
      <c r="AG58" s="2187"/>
      <c r="AH58" s="2187"/>
      <c r="AI58" s="2187"/>
      <c r="AJ58" s="2187"/>
      <c r="AK58" s="2187"/>
      <c r="AL58" s="2187"/>
      <c r="AM58" s="2187"/>
      <c r="AN58" s="2187"/>
      <c r="AO58" s="2187"/>
      <c r="AP58" s="2187"/>
      <c r="AQ58" s="2187"/>
      <c r="AR58" s="2187"/>
      <c r="AS58" s="2187"/>
      <c r="AT58" s="2187"/>
      <c r="AU58" s="2187"/>
      <c r="AV58" s="2187"/>
      <c r="AW58" s="2187"/>
      <c r="AX58" s="2187"/>
      <c r="AY58" s="2187"/>
      <c r="AZ58" s="2187"/>
      <c r="BA58" s="2187"/>
      <c r="BB58" s="2187"/>
      <c r="BC58" s="2187"/>
      <c r="BD58" s="2187"/>
      <c r="BE58" s="2187"/>
      <c r="BF58" s="2187"/>
      <c r="BG58" s="2187"/>
      <c r="BH58" s="2187"/>
      <c r="BI58" s="2189"/>
    </row>
    <row r="59" spans="1:61">
      <c r="A59" s="2097"/>
      <c r="U59" s="2190"/>
      <c r="V59" s="2191" t="s">
        <v>7294</v>
      </c>
      <c r="W59" s="424"/>
      <c r="X59" s="424"/>
      <c r="Y59" s="424"/>
      <c r="Z59" s="2192"/>
      <c r="AA59" s="2192"/>
      <c r="AB59" s="2192"/>
      <c r="AC59" s="2192"/>
      <c r="AD59" s="2192"/>
      <c r="AE59" s="2193"/>
      <c r="AF59" s="2191" t="s">
        <v>7294</v>
      </c>
      <c r="AG59" s="424"/>
      <c r="AH59" s="424"/>
      <c r="AI59" s="424"/>
      <c r="AJ59" s="2192">
        <f>UnosPod!AA10</f>
        <v>6</v>
      </c>
      <c r="AK59" s="2192">
        <f>UnosPod!AB10</f>
        <v>6</v>
      </c>
      <c r="AL59" s="2194" t="s">
        <v>7295</v>
      </c>
      <c r="AM59" s="2192">
        <f>UnosPod!AC10</f>
        <v>3</v>
      </c>
      <c r="AN59" s="2192">
        <f>UnosPod!AD10</f>
        <v>0</v>
      </c>
      <c r="AO59" s="2193"/>
      <c r="AP59" s="2191" t="s">
        <v>7294</v>
      </c>
      <c r="AQ59" s="424"/>
      <c r="AR59" s="424"/>
      <c r="AS59" s="424"/>
      <c r="AT59" s="424"/>
      <c r="AU59" s="424"/>
      <c r="AV59" s="2192"/>
      <c r="AW59" s="2192"/>
      <c r="AX59" s="2192"/>
      <c r="AY59" s="2193"/>
      <c r="AZ59" s="2191" t="s">
        <v>7294</v>
      </c>
      <c r="BA59" s="424"/>
      <c r="BB59" s="424"/>
      <c r="BC59" s="424"/>
      <c r="BD59" s="424"/>
      <c r="BE59" s="424"/>
      <c r="BF59" s="2192"/>
      <c r="BG59" s="2192"/>
      <c r="BH59" s="2192"/>
      <c r="BI59" s="2195"/>
    </row>
    <row r="60" spans="1:61">
      <c r="A60" s="2097"/>
      <c r="U60" s="2190"/>
      <c r="V60" s="2196" t="str">
        <f>Baza!D20</f>
        <v>Djelatnosti upravljanja fondovima</v>
      </c>
      <c r="W60" s="2192"/>
      <c r="X60" s="2192"/>
      <c r="Y60" s="2192"/>
      <c r="Z60" s="2192"/>
      <c r="AA60" s="2192"/>
      <c r="AB60" s="2192"/>
      <c r="AC60" s="2192"/>
      <c r="AD60" s="2192"/>
      <c r="AE60" s="2193"/>
      <c r="AF60" s="2197" t="str">
        <f>V60</f>
        <v>Djelatnosti upravljanja fondovima</v>
      </c>
      <c r="AG60" s="2192"/>
      <c r="AH60" s="2192"/>
      <c r="AI60" s="2192"/>
      <c r="AJ60" s="2192"/>
      <c r="AK60" s="2192"/>
      <c r="AL60" s="2192"/>
      <c r="AM60" s="2192"/>
      <c r="AN60" s="2192"/>
      <c r="AO60" s="2193"/>
      <c r="AP60" s="2198" t="s">
        <v>4636</v>
      </c>
      <c r="AQ60" s="2192"/>
      <c r="AR60" s="2192"/>
      <c r="AS60" s="2192"/>
      <c r="AT60" s="2192"/>
      <c r="AU60" s="2192"/>
      <c r="AV60" s="2192"/>
      <c r="AW60" s="2192"/>
      <c r="AX60" s="2192"/>
      <c r="AY60" s="2193"/>
      <c r="AZ60" s="2197"/>
      <c r="BA60" s="2192"/>
      <c r="BB60" s="2192"/>
      <c r="BC60" s="2192"/>
      <c r="BD60" s="2192"/>
      <c r="BE60" s="2192"/>
      <c r="BF60" s="2192"/>
      <c r="BG60" s="2192"/>
      <c r="BH60" s="2192"/>
      <c r="BI60" s="2195"/>
    </row>
    <row r="61" spans="1:61">
      <c r="A61" s="2097" t="s">
        <v>7074</v>
      </c>
      <c r="F61" s="2013"/>
      <c r="G61" s="2013"/>
      <c r="H61" s="2013"/>
      <c r="I61" s="2013"/>
      <c r="J61" s="2013"/>
      <c r="K61" s="2013"/>
      <c r="L61" s="2013"/>
      <c r="M61" s="2013"/>
      <c r="N61" s="2013"/>
      <c r="O61" s="2013"/>
      <c r="P61" s="2013"/>
      <c r="Q61" s="2013"/>
      <c r="R61" s="2013"/>
      <c r="U61" s="2190"/>
      <c r="V61" s="2191" t="s">
        <v>7296</v>
      </c>
      <c r="W61" s="424"/>
      <c r="Y61" s="939" t="str">
        <f>Baza!I21</f>
        <v>Sarajevo-Stari Grad</v>
      </c>
      <c r="Z61" s="939"/>
      <c r="AA61" s="939"/>
      <c r="AB61" s="939"/>
      <c r="AC61" s="939"/>
      <c r="AD61" s="939"/>
      <c r="AE61" s="2199"/>
      <c r="AF61" s="2191" t="s">
        <v>7296</v>
      </c>
      <c r="AG61" s="424"/>
      <c r="AI61" s="939" t="str">
        <f>Y61</f>
        <v>Sarajevo-Stari Grad</v>
      </c>
      <c r="AJ61" s="939"/>
      <c r="AK61" s="939"/>
      <c r="AL61" s="939"/>
      <c r="AM61" s="939"/>
      <c r="AN61" s="939"/>
      <c r="AO61" s="2199"/>
      <c r="AP61" s="2191" t="s">
        <v>7296</v>
      </c>
      <c r="AQ61" s="424"/>
      <c r="AS61" s="939"/>
      <c r="AT61" s="939"/>
      <c r="AU61" s="939"/>
      <c r="AV61" s="939"/>
      <c r="AW61" s="939"/>
      <c r="AX61" s="939"/>
      <c r="AY61" s="2199"/>
      <c r="AZ61" s="2191" t="s">
        <v>7296</v>
      </c>
      <c r="BA61" s="424"/>
      <c r="BC61" s="939"/>
      <c r="BD61" s="939"/>
      <c r="BE61" s="939"/>
      <c r="BF61" s="939"/>
      <c r="BG61" s="939"/>
      <c r="BH61" s="939"/>
      <c r="BI61" s="2200"/>
    </row>
    <row r="62" spans="1:61">
      <c r="A62" s="2097"/>
      <c r="U62" s="2190"/>
      <c r="V62" s="2191" t="s">
        <v>7297</v>
      </c>
      <c r="W62" s="424"/>
      <c r="X62" s="424"/>
      <c r="Y62" s="939" t="s">
        <v>7298</v>
      </c>
      <c r="Z62" s="939"/>
      <c r="AA62" s="939"/>
      <c r="AB62" s="939"/>
      <c r="AC62" s="939"/>
      <c r="AD62" s="939"/>
      <c r="AE62" s="2199"/>
      <c r="AF62" s="2191" t="s">
        <v>7297</v>
      </c>
      <c r="AG62" s="424"/>
      <c r="AH62" s="424"/>
      <c r="AI62" s="939" t="str">
        <f>Y62</f>
        <v>F BiH</v>
      </c>
      <c r="AJ62" s="939"/>
      <c r="AK62" s="939"/>
      <c r="AL62" s="939"/>
      <c r="AM62" s="939"/>
      <c r="AN62" s="939"/>
      <c r="AO62" s="2199"/>
      <c r="AP62" s="2191" t="s">
        <v>7297</v>
      </c>
      <c r="AQ62" s="424"/>
      <c r="AR62" s="424"/>
      <c r="AS62" s="939"/>
      <c r="AT62" s="939"/>
      <c r="AU62" s="939"/>
      <c r="AV62" s="939"/>
      <c r="AW62" s="939"/>
      <c r="AX62" s="939"/>
      <c r="AY62" s="2199"/>
      <c r="AZ62" s="2191" t="s">
        <v>7297</v>
      </c>
      <c r="BA62" s="424"/>
      <c r="BB62" s="424"/>
      <c r="BC62" s="939"/>
      <c r="BD62" s="939"/>
      <c r="BE62" s="939"/>
      <c r="BF62" s="939"/>
      <c r="BG62" s="939"/>
      <c r="BH62" s="939"/>
      <c r="BI62" s="2200"/>
    </row>
    <row r="63" spans="1:61">
      <c r="A63" s="2097" t="s">
        <v>7076</v>
      </c>
      <c r="U63" s="2190"/>
      <c r="V63" s="2191"/>
      <c r="W63" s="424"/>
      <c r="X63" s="424"/>
      <c r="Y63" s="424"/>
      <c r="Z63" s="424"/>
      <c r="AA63" s="424"/>
      <c r="AB63" s="424"/>
      <c r="AC63" s="424"/>
      <c r="AD63" s="424"/>
      <c r="AE63" s="2193"/>
      <c r="AF63" s="2191"/>
      <c r="AG63" s="424"/>
      <c r="AH63" s="424"/>
      <c r="AI63" s="424"/>
      <c r="AJ63" s="424"/>
      <c r="AK63" s="424"/>
      <c r="AL63" s="424"/>
      <c r="AM63" s="424"/>
      <c r="AN63" s="424"/>
      <c r="AO63" s="2193"/>
      <c r="AP63" s="2191"/>
      <c r="AQ63" s="424"/>
      <c r="AR63" s="424"/>
      <c r="AS63" s="424"/>
      <c r="AT63" s="424"/>
      <c r="AU63" s="424"/>
      <c r="AV63" s="424"/>
      <c r="AW63" s="424"/>
      <c r="AX63" s="424"/>
      <c r="AY63" s="2193"/>
      <c r="AZ63" s="2191"/>
      <c r="BA63" s="424"/>
      <c r="BB63" s="424"/>
      <c r="BC63" s="424"/>
      <c r="BD63" s="424"/>
      <c r="BE63" s="424"/>
      <c r="BF63" s="424"/>
      <c r="BG63" s="424"/>
      <c r="BH63" s="424"/>
      <c r="BI63" s="2195"/>
    </row>
    <row r="64" spans="1:61">
      <c r="A64" s="2097"/>
      <c r="U64" s="2190"/>
      <c r="V64" s="2201" t="s">
        <v>7299</v>
      </c>
      <c r="W64" s="2202"/>
      <c r="X64" s="2202"/>
      <c r="Y64" s="2202"/>
      <c r="Z64" s="2202"/>
      <c r="AA64" s="2202"/>
      <c r="AB64" s="2202"/>
      <c r="AC64" s="2202"/>
      <c r="AD64" s="2202"/>
      <c r="AE64" s="2203"/>
      <c r="AF64" s="2201" t="s">
        <v>7299</v>
      </c>
      <c r="AG64" s="2202"/>
      <c r="AH64" s="2202"/>
      <c r="AI64" s="2202"/>
      <c r="AJ64" s="2202"/>
      <c r="AK64" s="2202"/>
      <c r="AL64" s="2202"/>
      <c r="AM64" s="2202"/>
      <c r="AN64" s="2202"/>
      <c r="AO64" s="2203"/>
      <c r="AP64" s="2201" t="s">
        <v>7299</v>
      </c>
      <c r="AQ64" s="2202"/>
      <c r="AR64" s="2202"/>
      <c r="AS64" s="2202"/>
      <c r="AT64" s="2202"/>
      <c r="AU64" s="2202"/>
      <c r="AV64" s="2202"/>
      <c r="AW64" s="2202"/>
      <c r="AX64" s="2202"/>
      <c r="AY64" s="2203"/>
      <c r="AZ64" s="2201" t="s">
        <v>7299</v>
      </c>
      <c r="BA64" s="2202"/>
      <c r="BB64" s="2202"/>
      <c r="BC64" s="2202"/>
      <c r="BD64" s="2202"/>
      <c r="BE64" s="2202"/>
      <c r="BF64" s="2202"/>
      <c r="BG64" s="2202"/>
      <c r="BH64" s="2202"/>
      <c r="BI64" s="2204"/>
    </row>
    <row r="65" spans="1:63">
      <c r="A65" s="2097"/>
      <c r="U65" s="2190"/>
      <c r="V65" s="2191"/>
      <c r="W65" s="2205"/>
      <c r="X65" s="2205"/>
      <c r="Y65" s="424"/>
      <c r="Z65" s="2206"/>
      <c r="AA65" s="2206"/>
      <c r="AB65" s="2206"/>
      <c r="AC65" s="2206"/>
      <c r="AD65" s="2206"/>
      <c r="AE65" s="2199"/>
      <c r="AF65" s="2191"/>
      <c r="AG65" s="2205"/>
      <c r="AH65" s="2205"/>
      <c r="AI65" s="424"/>
      <c r="AJ65" s="2206">
        <f>Z65</f>
        <v>0</v>
      </c>
      <c r="AK65" s="2206">
        <f>AA65</f>
        <v>0</v>
      </c>
      <c r="AL65" s="2206">
        <f>AB65</f>
        <v>0</v>
      </c>
      <c r="AM65" s="2206">
        <f>AC65</f>
        <v>0</v>
      </c>
      <c r="AN65" s="2206">
        <f>AD65</f>
        <v>0</v>
      </c>
      <c r="AO65" s="2199"/>
      <c r="AP65" s="2191"/>
      <c r="AQ65" s="2205"/>
      <c r="AR65" s="2205"/>
      <c r="AS65" s="424"/>
      <c r="AT65" s="2206"/>
      <c r="AU65" s="2206"/>
      <c r="AV65" s="2206"/>
      <c r="AW65" s="2206"/>
      <c r="AX65" s="2206"/>
      <c r="AY65" s="2199"/>
      <c r="AZ65" s="2191"/>
      <c r="BA65" s="2205"/>
      <c r="BB65" s="2205"/>
      <c r="BC65" s="424"/>
      <c r="BD65" s="2206"/>
      <c r="BE65" s="2206"/>
      <c r="BF65" s="2206"/>
      <c r="BG65" s="2206"/>
      <c r="BH65" s="2206"/>
      <c r="BI65" s="2200"/>
    </row>
    <row r="66" spans="1:63">
      <c r="A66" s="2097"/>
      <c r="U66" s="2190"/>
      <c r="V66" s="2191" t="s">
        <v>7300</v>
      </c>
      <c r="W66" s="424"/>
      <c r="X66" s="424"/>
      <c r="Y66" s="424"/>
      <c r="Z66" s="334" t="s">
        <v>7294</v>
      </c>
      <c r="AA66" s="334"/>
      <c r="AB66" s="334"/>
      <c r="AC66" s="334"/>
      <c r="AD66" s="334"/>
      <c r="AE66" s="2199"/>
      <c r="AF66" s="2191" t="s">
        <v>7300</v>
      </c>
      <c r="AG66" s="424"/>
      <c r="AH66" s="424"/>
      <c r="AI66" s="424"/>
      <c r="AJ66" s="334" t="s">
        <v>7294</v>
      </c>
      <c r="AK66" s="334"/>
      <c r="AL66" s="334"/>
      <c r="AM66" s="334"/>
      <c r="AN66" s="334"/>
      <c r="AO66" s="2199"/>
      <c r="AP66" s="2191" t="s">
        <v>7300</v>
      </c>
      <c r="AQ66" s="424"/>
      <c r="AR66" s="424"/>
      <c r="AS66" s="424"/>
      <c r="AT66" s="334" t="s">
        <v>7294</v>
      </c>
      <c r="AU66" s="334"/>
      <c r="AV66" s="334"/>
      <c r="AW66" s="334"/>
      <c r="AX66" s="334"/>
      <c r="AY66" s="2199"/>
      <c r="AZ66" s="2191" t="s">
        <v>7300</v>
      </c>
      <c r="BA66" s="424"/>
      <c r="BB66" s="424"/>
      <c r="BC66" s="424"/>
      <c r="BD66" s="334" t="s">
        <v>7294</v>
      </c>
      <c r="BE66" s="334"/>
      <c r="BF66" s="334"/>
      <c r="BG66" s="334"/>
      <c r="BH66" s="334"/>
      <c r="BI66" s="2200"/>
    </row>
    <row r="67" spans="1:63">
      <c r="A67" s="2097"/>
      <c r="U67" s="2190"/>
      <c r="V67" s="2191" t="s">
        <v>7301</v>
      </c>
      <c r="W67" s="424"/>
      <c r="X67" s="424"/>
      <c r="Y67" s="424"/>
      <c r="Z67" s="2194"/>
      <c r="AA67" s="2194"/>
      <c r="AB67" s="2194"/>
      <c r="AC67" s="2194"/>
      <c r="AD67" s="2194"/>
      <c r="AE67" s="2199"/>
      <c r="AF67" s="2191" t="s">
        <v>7301</v>
      </c>
      <c r="AG67" s="424"/>
      <c r="AH67" s="424"/>
      <c r="AI67" s="424"/>
      <c r="AJ67" s="2194"/>
      <c r="AK67" s="2194"/>
      <c r="AL67" s="2194"/>
      <c r="AM67" s="2194"/>
      <c r="AN67" s="2194"/>
      <c r="AO67" s="2199"/>
      <c r="AP67" s="2191" t="s">
        <v>7301</v>
      </c>
      <c r="AQ67" s="424"/>
      <c r="AR67" s="424"/>
      <c r="AS67" s="424"/>
      <c r="AT67" s="2194"/>
      <c r="AU67" s="2194"/>
      <c r="AV67" s="2194"/>
      <c r="AW67" s="2194"/>
      <c r="AX67" s="2194"/>
      <c r="AY67" s="2199"/>
      <c r="AZ67" s="2191" t="s">
        <v>7301</v>
      </c>
      <c r="BA67" s="424"/>
      <c r="BB67" s="424"/>
      <c r="BC67" s="424"/>
      <c r="BD67" s="2194"/>
      <c r="BE67" s="2194"/>
      <c r="BF67" s="2194"/>
      <c r="BG67" s="2194"/>
      <c r="BH67" s="2194"/>
      <c r="BI67" s="2200"/>
    </row>
    <row r="68" spans="1:63">
      <c r="A68" s="2207"/>
      <c r="B68" s="2013"/>
      <c r="C68" s="2013"/>
      <c r="D68" s="2013"/>
      <c r="E68" s="2013"/>
      <c r="F68" s="2013"/>
      <c r="G68" s="2013"/>
      <c r="H68" s="2013"/>
      <c r="I68" s="2013"/>
      <c r="J68" s="2013"/>
      <c r="K68" s="2013"/>
      <c r="L68" s="2013"/>
      <c r="M68" s="2013"/>
      <c r="N68" s="2013"/>
      <c r="O68" s="2013"/>
      <c r="P68" s="2013"/>
      <c r="Q68" s="2013"/>
      <c r="R68" s="2013"/>
      <c r="S68" s="2013"/>
      <c r="T68" s="2013"/>
      <c r="U68" s="2208"/>
      <c r="V68" s="2209"/>
      <c r="W68" s="2206"/>
      <c r="X68" s="2206"/>
      <c r="Y68" s="334"/>
      <c r="Z68" s="2206"/>
      <c r="AA68" s="2206"/>
      <c r="AB68" s="2206"/>
      <c r="AC68" s="2206"/>
      <c r="AD68" s="2206"/>
      <c r="AE68" s="2199"/>
      <c r="AF68" s="2209"/>
      <c r="AG68" s="2206"/>
      <c r="AH68" s="2206"/>
      <c r="AI68" s="334"/>
      <c r="AJ68" s="2206"/>
      <c r="AK68" s="2206"/>
      <c r="AL68" s="2206"/>
      <c r="AM68" s="2206"/>
      <c r="AN68" s="2206"/>
      <c r="AO68" s="2199"/>
      <c r="AP68" s="2209"/>
      <c r="AQ68" s="2206"/>
      <c r="AR68" s="2206"/>
      <c r="AS68" s="334"/>
      <c r="AT68" s="2206"/>
      <c r="AU68" s="2206"/>
      <c r="AV68" s="2206"/>
      <c r="AW68" s="2206"/>
      <c r="AX68" s="2206"/>
      <c r="AY68" s="2199"/>
      <c r="AZ68" s="2209"/>
      <c r="BA68" s="2206"/>
      <c r="BB68" s="2206"/>
      <c r="BC68" s="334"/>
      <c r="BD68" s="2206"/>
      <c r="BE68" s="2206"/>
      <c r="BF68" s="2206"/>
      <c r="BG68" s="2206"/>
      <c r="BH68" s="2206"/>
      <c r="BI68" s="2200"/>
      <c r="BJ68" s="2013"/>
      <c r="BK68" s="2013"/>
    </row>
    <row r="69" spans="1:63">
      <c r="A69" s="2210"/>
      <c r="B69" s="2211"/>
      <c r="C69" s="2211"/>
      <c r="D69" s="2211"/>
      <c r="E69" s="2211"/>
      <c r="F69" s="2211"/>
      <c r="G69" s="2211"/>
      <c r="H69" s="2211"/>
      <c r="I69" s="2211"/>
      <c r="J69" s="2211"/>
      <c r="K69" s="2211"/>
      <c r="L69" s="2211"/>
      <c r="M69" s="2211"/>
      <c r="N69" s="2211"/>
      <c r="O69" s="2211"/>
      <c r="P69" s="2211"/>
      <c r="Q69" s="2211"/>
      <c r="R69" s="2211"/>
      <c r="S69" s="2211"/>
      <c r="T69" s="2211"/>
      <c r="U69" s="2212"/>
      <c r="V69" s="2213"/>
      <c r="W69" s="2214" t="s">
        <v>7297</v>
      </c>
      <c r="X69" s="2214"/>
      <c r="Y69" s="2214"/>
      <c r="Z69" s="2215" t="s">
        <v>7296</v>
      </c>
      <c r="AA69" s="2215"/>
      <c r="AB69" s="2215"/>
      <c r="AC69" s="2215"/>
      <c r="AD69" s="2215"/>
      <c r="AE69" s="2216"/>
      <c r="AF69" s="2213"/>
      <c r="AG69" s="2214" t="s">
        <v>7297</v>
      </c>
      <c r="AH69" s="2214"/>
      <c r="AI69" s="2214"/>
      <c r="AJ69" s="2215" t="s">
        <v>7296</v>
      </c>
      <c r="AK69" s="2215"/>
      <c r="AL69" s="2215"/>
      <c r="AM69" s="2215"/>
      <c r="AN69" s="2215"/>
      <c r="AO69" s="2216"/>
      <c r="AP69" s="2213"/>
      <c r="AQ69" s="2214" t="s">
        <v>7297</v>
      </c>
      <c r="AR69" s="2214"/>
      <c r="AS69" s="2214"/>
      <c r="AT69" s="2215" t="s">
        <v>7296</v>
      </c>
      <c r="AU69" s="2215"/>
      <c r="AV69" s="2215"/>
      <c r="AW69" s="2215"/>
      <c r="AX69" s="2215"/>
      <c r="AY69" s="2216"/>
      <c r="AZ69" s="2213"/>
      <c r="BA69" s="2214" t="s">
        <v>7297</v>
      </c>
      <c r="BB69" s="2214"/>
      <c r="BC69" s="2214"/>
      <c r="BD69" s="2215" t="s">
        <v>7296</v>
      </c>
      <c r="BE69" s="2215"/>
      <c r="BF69" s="2215"/>
      <c r="BG69" s="2215"/>
      <c r="BH69" s="2215"/>
      <c r="BI69" s="2217"/>
    </row>
    <row r="70" ht="22.5" customHeight="1" spans="1:63">
      <c r="A70" s="2218" t="s">
        <v>7302</v>
      </c>
      <c r="B70" s="2219" t="str">
        <f ca="1">"Ostvarene investicije u nova stalna sredstva u "&amp;PoslGod&amp;". god. po karakteru izgradnje (Tabela 3., Kolona 4.)"</f>
        <v>Ostvarene investicije u nova stalna sredstva u 2025. god. po karakteru izgradnje (Tabela 3., Kolona 4.)</v>
      </c>
      <c r="C70" s="2219"/>
      <c r="D70" s="2219"/>
      <c r="E70" s="2219"/>
      <c r="F70" s="2219"/>
      <c r="G70" s="2220"/>
      <c r="H70" s="2221" t="s">
        <v>7303</v>
      </c>
      <c r="I70" s="2222"/>
      <c r="J70" s="2222"/>
      <c r="K70" s="2222"/>
      <c r="L70" s="2222"/>
      <c r="M70" s="2222"/>
      <c r="N70" s="2222"/>
      <c r="O70" s="2222"/>
      <c r="P70" s="2222"/>
      <c r="Q70" s="2222"/>
      <c r="R70" s="2222"/>
      <c r="S70" s="2222"/>
      <c r="T70" s="2222"/>
      <c r="U70" s="2223"/>
      <c r="V70" s="2224" t="s">
        <v>5267</v>
      </c>
      <c r="W70" s="2225">
        <f>UnosPod!O926</f>
        <v>0</v>
      </c>
      <c r="X70" s="2226"/>
      <c r="Y70" s="2226"/>
      <c r="Z70" s="2226"/>
      <c r="AA70" s="2226"/>
      <c r="AB70" s="2226"/>
      <c r="AC70" s="2226"/>
      <c r="AD70" s="2226"/>
      <c r="AE70" s="2227"/>
      <c r="AF70" s="2224" t="s">
        <v>5275</v>
      </c>
      <c r="AG70" s="2225">
        <f t="shared" ref="AG70:AG82" si="7">W70</f>
        <v>0</v>
      </c>
      <c r="AH70" s="2226"/>
      <c r="AI70" s="2226"/>
      <c r="AJ70" s="2226"/>
      <c r="AK70" s="2226"/>
      <c r="AL70" s="2226"/>
      <c r="AM70" s="2226"/>
      <c r="AN70" s="2226"/>
      <c r="AO70" s="2227"/>
      <c r="AP70" s="2224" t="s">
        <v>5275</v>
      </c>
      <c r="AQ70" s="2225">
        <v>0</v>
      </c>
      <c r="AR70" s="2226"/>
      <c r="AS70" s="2226"/>
      <c r="AT70" s="2226"/>
      <c r="AU70" s="2226"/>
      <c r="AV70" s="2226"/>
      <c r="AW70" s="2226"/>
      <c r="AX70" s="2226"/>
      <c r="AY70" s="2227"/>
      <c r="AZ70" s="2224" t="s">
        <v>5275</v>
      </c>
      <c r="BA70" s="2225">
        <v>0</v>
      </c>
      <c r="BB70" s="2226"/>
      <c r="BC70" s="2226"/>
      <c r="BD70" s="2226"/>
      <c r="BE70" s="2226"/>
      <c r="BF70" s="2226"/>
      <c r="BG70" s="2226"/>
      <c r="BH70" s="2226"/>
      <c r="BI70" s="2228"/>
    </row>
    <row r="71" ht="22.5" customHeight="1" spans="1:63">
      <c r="A71" s="2229" t="s">
        <v>7304</v>
      </c>
      <c r="B71" s="2230"/>
      <c r="C71" s="2230"/>
      <c r="D71" s="2230"/>
      <c r="E71" s="2230"/>
      <c r="F71" s="2230"/>
      <c r="G71" s="2231"/>
      <c r="H71" s="2232" t="s">
        <v>7305</v>
      </c>
      <c r="I71" s="2233"/>
      <c r="J71" s="2233"/>
      <c r="K71" s="2233"/>
      <c r="L71" s="2233"/>
      <c r="M71" s="2233"/>
      <c r="N71" s="2233"/>
      <c r="O71" s="2233"/>
      <c r="P71" s="2233"/>
      <c r="Q71" s="2233"/>
      <c r="R71" s="2233"/>
      <c r="S71" s="2233"/>
      <c r="T71" s="2233"/>
      <c r="U71" s="2234"/>
      <c r="V71" s="1912"/>
      <c r="W71" s="2235">
        <f>UnosPod!O927</f>
        <v>0</v>
      </c>
      <c r="X71" s="2236"/>
      <c r="Y71" s="2236"/>
      <c r="Z71" s="2236"/>
      <c r="AA71" s="2236"/>
      <c r="AB71" s="2236"/>
      <c r="AC71" s="2236"/>
      <c r="AD71" s="2236"/>
      <c r="AE71" s="2237"/>
      <c r="AF71" s="1912"/>
      <c r="AG71" s="2235">
        <f t="shared" si="7"/>
        <v>0</v>
      </c>
      <c r="AH71" s="2236"/>
      <c r="AI71" s="2236"/>
      <c r="AJ71" s="2236"/>
      <c r="AK71" s="2236"/>
      <c r="AL71" s="2236"/>
      <c r="AM71" s="2236"/>
      <c r="AN71" s="2236"/>
      <c r="AO71" s="2237"/>
      <c r="AP71" s="1912"/>
      <c r="AQ71" s="2235">
        <f>AQ74</f>
        <v>0</v>
      </c>
      <c r="AR71" s="2236"/>
      <c r="AS71" s="2236"/>
      <c r="AT71" s="2236"/>
      <c r="AU71" s="2236"/>
      <c r="AV71" s="2236"/>
      <c r="AW71" s="2236"/>
      <c r="AX71" s="2236"/>
      <c r="AY71" s="2237"/>
      <c r="AZ71" s="2238"/>
      <c r="BA71" s="2235">
        <f>BA74</f>
        <v>0</v>
      </c>
      <c r="BB71" s="2236"/>
      <c r="BC71" s="2236"/>
      <c r="BD71" s="2236"/>
      <c r="BE71" s="2236"/>
      <c r="BF71" s="2236"/>
      <c r="BG71" s="2236"/>
      <c r="BH71" s="2236"/>
      <c r="BI71" s="2239"/>
    </row>
    <row r="72" ht="22.5" customHeight="1" spans="1:63">
      <c r="A72" s="2229" t="s">
        <v>7306</v>
      </c>
      <c r="B72" s="2240"/>
      <c r="C72" s="2240"/>
      <c r="D72" s="2240"/>
      <c r="E72" s="2240"/>
      <c r="F72" s="2240"/>
      <c r="G72" s="2241"/>
      <c r="H72" s="2232" t="s">
        <v>7307</v>
      </c>
      <c r="I72" s="2233"/>
      <c r="J72" s="2233"/>
      <c r="K72" s="2233"/>
      <c r="L72" s="2233"/>
      <c r="M72" s="2233"/>
      <c r="N72" s="2233"/>
      <c r="O72" s="2233"/>
      <c r="P72" s="2233"/>
      <c r="Q72" s="2233"/>
      <c r="R72" s="2233"/>
      <c r="S72" s="2233"/>
      <c r="T72" s="2233"/>
      <c r="U72" s="2234"/>
      <c r="V72" s="1912"/>
      <c r="W72" s="2235">
        <f>UnosPod!O928</f>
        <v>0</v>
      </c>
      <c r="X72" s="2236"/>
      <c r="Y72" s="2236"/>
      <c r="Z72" s="2236"/>
      <c r="AA72" s="2236"/>
      <c r="AB72" s="2236"/>
      <c r="AC72" s="2236"/>
      <c r="AD72" s="2236"/>
      <c r="AE72" s="2237"/>
      <c r="AF72" s="1912"/>
      <c r="AG72" s="2235">
        <f t="shared" si="7"/>
        <v>0</v>
      </c>
      <c r="AH72" s="2236"/>
      <c r="AI72" s="2236"/>
      <c r="AJ72" s="2236"/>
      <c r="AK72" s="2236"/>
      <c r="AL72" s="2236"/>
      <c r="AM72" s="2236"/>
      <c r="AN72" s="2236"/>
      <c r="AO72" s="2237"/>
      <c r="AP72" s="1912"/>
      <c r="AQ72" s="2235">
        <v>0</v>
      </c>
      <c r="AR72" s="2236"/>
      <c r="AS72" s="2236"/>
      <c r="AT72" s="2236"/>
      <c r="AU72" s="2236"/>
      <c r="AV72" s="2236"/>
      <c r="AW72" s="2236"/>
      <c r="AX72" s="2236"/>
      <c r="AY72" s="2237"/>
      <c r="AZ72" s="2238"/>
      <c r="BA72" s="2235">
        <v>0</v>
      </c>
      <c r="BB72" s="2236"/>
      <c r="BC72" s="2236"/>
      <c r="BD72" s="2236"/>
      <c r="BE72" s="2236"/>
      <c r="BF72" s="2236"/>
      <c r="BG72" s="2236"/>
      <c r="BH72" s="2236"/>
      <c r="BI72" s="2239"/>
    </row>
    <row r="73" ht="22.5" customHeight="1" spans="1:63">
      <c r="A73" s="2229" t="s">
        <v>7308</v>
      </c>
      <c r="B73" s="2242" t="s">
        <v>7309</v>
      </c>
      <c r="C73" s="2243"/>
      <c r="D73" s="2243"/>
      <c r="E73" s="2243"/>
      <c r="F73" s="2243"/>
      <c r="G73" s="2243"/>
      <c r="H73" s="2243"/>
      <c r="I73" s="2243"/>
      <c r="J73" s="2243"/>
      <c r="K73" s="2243"/>
      <c r="L73" s="2243"/>
      <c r="M73" s="2243"/>
      <c r="N73" s="2243"/>
      <c r="O73" s="2243"/>
      <c r="P73" s="2243"/>
      <c r="Q73" s="2243"/>
      <c r="R73" s="2243"/>
      <c r="S73" s="2243"/>
      <c r="T73" s="2243"/>
      <c r="U73" s="2244"/>
      <c r="V73" s="1912"/>
      <c r="W73" s="2235">
        <f>UnosPod!O929</f>
        <v>0</v>
      </c>
      <c r="X73" s="2236"/>
      <c r="Y73" s="2236"/>
      <c r="Z73" s="2236"/>
      <c r="AA73" s="2236"/>
      <c r="AB73" s="2236"/>
      <c r="AC73" s="2236"/>
      <c r="AD73" s="2236"/>
      <c r="AE73" s="2237"/>
      <c r="AF73" s="1912"/>
      <c r="AG73" s="2235">
        <f t="shared" si="7"/>
        <v>0</v>
      </c>
      <c r="AH73" s="2236"/>
      <c r="AI73" s="2236"/>
      <c r="AJ73" s="2236"/>
      <c r="AK73" s="2236"/>
      <c r="AL73" s="2236"/>
      <c r="AM73" s="2236"/>
      <c r="AN73" s="2236"/>
      <c r="AO73" s="2237"/>
      <c r="AP73" s="1912"/>
      <c r="AQ73" s="2235">
        <v>0</v>
      </c>
      <c r="AR73" s="2236"/>
      <c r="AS73" s="2236"/>
      <c r="AT73" s="2236"/>
      <c r="AU73" s="2236"/>
      <c r="AV73" s="2236"/>
      <c r="AW73" s="2236"/>
      <c r="AX73" s="2236"/>
      <c r="AY73" s="2237"/>
      <c r="AZ73" s="2238"/>
      <c r="BA73" s="2235">
        <v>0</v>
      </c>
      <c r="BB73" s="2236"/>
      <c r="BC73" s="2236"/>
      <c r="BD73" s="2236"/>
      <c r="BE73" s="2236"/>
      <c r="BF73" s="2236"/>
      <c r="BG73" s="2236"/>
      <c r="BH73" s="2236"/>
      <c r="BI73" s="2239"/>
    </row>
    <row r="74" ht="30" customHeight="1" spans="1:63">
      <c r="A74" s="2245" t="s">
        <v>7310</v>
      </c>
      <c r="B74" s="2246" t="str">
        <f ca="1">"Ostvarene investicije u nova stalna sredstva u "&amp;PoslGod&amp;".g   (4.11 do 4.13)=(4.14 do 4.19)=(Tabela 3.,Red. br. 3.,Kolona 4.))"</f>
        <v>Ostvarene investicije u nova stalna sredstva u 2025.g   (4.11 do 4.13)=(4.14 do 4.19)=(Tabela 3.,Red. br. 3.,Kolona 4.))</v>
      </c>
      <c r="C74" s="2247"/>
      <c r="D74" s="2247"/>
      <c r="E74" s="2247"/>
      <c r="F74" s="2247"/>
      <c r="G74" s="2247"/>
      <c r="H74" s="2247"/>
      <c r="I74" s="2247"/>
      <c r="J74" s="2247"/>
      <c r="K74" s="2247"/>
      <c r="L74" s="2247"/>
      <c r="M74" s="2247"/>
      <c r="N74" s="2247"/>
      <c r="O74" s="2247"/>
      <c r="P74" s="2247"/>
      <c r="Q74" s="2247"/>
      <c r="R74" s="2247"/>
      <c r="S74" s="2247"/>
      <c r="T74" s="2247"/>
      <c r="U74" s="2248"/>
      <c r="V74" s="1912"/>
      <c r="W74" s="2249">
        <f>W70+W71+W72</f>
        <v>0</v>
      </c>
      <c r="X74" s="1193"/>
      <c r="Y74" s="1193"/>
      <c r="Z74" s="1193"/>
      <c r="AA74" s="1193"/>
      <c r="AB74" s="1193"/>
      <c r="AC74" s="1193"/>
      <c r="AD74" s="1193"/>
      <c r="AE74" s="2250"/>
      <c r="AF74" s="1912"/>
      <c r="AG74" s="2251">
        <f t="shared" si="7"/>
        <v>0</v>
      </c>
      <c r="AH74" s="2252"/>
      <c r="AI74" s="2252"/>
      <c r="AJ74" s="2252"/>
      <c r="AK74" s="2252"/>
      <c r="AL74" s="2252"/>
      <c r="AM74" s="2252"/>
      <c r="AN74" s="2252"/>
      <c r="AO74" s="2253"/>
      <c r="AP74" s="1912"/>
      <c r="AQ74" s="2249">
        <f>SUM(AT76:AX80)</f>
        <v>0</v>
      </c>
      <c r="AR74" s="1193"/>
      <c r="AS74" s="1193"/>
      <c r="AT74" s="1193"/>
      <c r="AU74" s="1193"/>
      <c r="AV74" s="1193"/>
      <c r="AW74" s="1193"/>
      <c r="AX74" s="1193"/>
      <c r="AY74" s="2250"/>
      <c r="AZ74" s="2238"/>
      <c r="BA74" s="2251">
        <f>SUM(BD76:BH80)</f>
        <v>0</v>
      </c>
      <c r="BB74" s="2252"/>
      <c r="BC74" s="2252"/>
      <c r="BD74" s="2252"/>
      <c r="BE74" s="2252"/>
      <c r="BF74" s="2252"/>
      <c r="BG74" s="2252"/>
      <c r="BH74" s="2252"/>
      <c r="BI74" s="2254"/>
    </row>
    <row r="75" ht="18" customHeight="1" spans="1:63">
      <c r="A75" s="2255" t="s">
        <v>7311</v>
      </c>
      <c r="B75" s="2256" t="s">
        <v>7312</v>
      </c>
      <c r="C75" s="2256"/>
      <c r="D75" s="2256"/>
      <c r="E75" s="2256"/>
      <c r="F75" s="2256"/>
      <c r="G75" s="2257"/>
      <c r="H75" s="2258" t="s">
        <v>7313</v>
      </c>
      <c r="I75" s="2259"/>
      <c r="J75" s="2259"/>
      <c r="K75" s="2259"/>
      <c r="L75" s="2259"/>
      <c r="M75" s="2259"/>
      <c r="N75" s="2259"/>
      <c r="O75" s="2259"/>
      <c r="P75" s="2259"/>
      <c r="Q75" s="2259"/>
      <c r="R75" s="2259"/>
      <c r="S75" s="2259"/>
      <c r="T75" s="2259"/>
      <c r="U75" s="2259"/>
      <c r="V75" s="2260"/>
      <c r="W75" s="2261">
        <f>'INV 2'!AR7</f>
        <v>0</v>
      </c>
      <c r="X75" s="2262"/>
      <c r="Y75" s="2262"/>
      <c r="Z75" s="2262"/>
      <c r="AA75" s="2262"/>
      <c r="AB75" s="2262"/>
      <c r="AC75" s="2262"/>
      <c r="AD75" s="2262"/>
      <c r="AE75" s="2263"/>
      <c r="AF75" s="2260"/>
      <c r="AG75" s="2261">
        <f t="shared" si="7"/>
        <v>0</v>
      </c>
      <c r="AH75" s="2262"/>
      <c r="AI75" s="2262"/>
      <c r="AJ75" s="2262"/>
      <c r="AK75" s="2262"/>
      <c r="AL75" s="2262"/>
      <c r="AM75" s="2262"/>
      <c r="AN75" s="2262"/>
      <c r="AO75" s="2263"/>
      <c r="AP75" s="2260"/>
      <c r="AQ75" s="2261"/>
      <c r="AR75" s="2262"/>
      <c r="AS75" s="2262"/>
      <c r="AT75" s="2262"/>
      <c r="AU75" s="2262"/>
      <c r="AV75" s="2262"/>
      <c r="AW75" s="2262"/>
      <c r="AX75" s="2262"/>
      <c r="AY75" s="2263"/>
      <c r="AZ75" s="2264"/>
      <c r="BA75" s="2261"/>
      <c r="BB75" s="2262"/>
      <c r="BC75" s="2262"/>
      <c r="BD75" s="2262"/>
      <c r="BE75" s="2262"/>
      <c r="BF75" s="2262"/>
      <c r="BG75" s="2262"/>
      <c r="BH75" s="2262"/>
      <c r="BI75" s="2265"/>
    </row>
    <row r="76" ht="18" customHeight="1" spans="1:63">
      <c r="A76" s="2229" t="s">
        <v>7314</v>
      </c>
      <c r="B76" s="325" t="s">
        <v>7315</v>
      </c>
      <c r="C76" s="325"/>
      <c r="D76" s="325"/>
      <c r="E76" s="325"/>
      <c r="F76" s="325"/>
      <c r="G76" s="2266"/>
      <c r="H76" s="2267" t="s">
        <v>7316</v>
      </c>
      <c r="I76" s="2268"/>
      <c r="J76" s="2268"/>
      <c r="K76" s="2268"/>
      <c r="L76" s="2268"/>
      <c r="M76" s="2268"/>
      <c r="N76" s="2268"/>
      <c r="O76" s="2268"/>
      <c r="P76" s="2268"/>
      <c r="Q76" s="2268"/>
      <c r="R76" s="2268"/>
      <c r="S76" s="2268"/>
      <c r="T76" s="2268"/>
      <c r="U76" s="2268"/>
      <c r="V76" s="1912"/>
      <c r="W76" s="2235">
        <f>'INV 2'!AR8</f>
        <v>0</v>
      </c>
      <c r="X76" s="2236"/>
      <c r="Y76" s="2236"/>
      <c r="Z76" s="2236"/>
      <c r="AA76" s="2236"/>
      <c r="AB76" s="2236"/>
      <c r="AC76" s="2236"/>
      <c r="AD76" s="2236"/>
      <c r="AE76" s="2237"/>
      <c r="AF76" s="1912"/>
      <c r="AG76" s="2235">
        <f t="shared" si="7"/>
        <v>0</v>
      </c>
      <c r="AH76" s="2236"/>
      <c r="AI76" s="2236"/>
      <c r="AJ76" s="2236"/>
      <c r="AK76" s="2236"/>
      <c r="AL76" s="2236"/>
      <c r="AM76" s="2236"/>
      <c r="AN76" s="2236"/>
      <c r="AO76" s="2237"/>
      <c r="AP76" s="1912"/>
      <c r="AQ76" s="2235"/>
      <c r="AR76" s="2236"/>
      <c r="AS76" s="2236"/>
      <c r="AT76" s="2236"/>
      <c r="AU76" s="2236"/>
      <c r="AV76" s="2236"/>
      <c r="AW76" s="2236"/>
      <c r="AX76" s="2236"/>
      <c r="AY76" s="2237"/>
      <c r="AZ76" s="2238"/>
      <c r="BA76" s="2235"/>
      <c r="BB76" s="2236"/>
      <c r="BC76" s="2236"/>
      <c r="BD76" s="2236"/>
      <c r="BE76" s="2236"/>
      <c r="BF76" s="2236"/>
      <c r="BG76" s="2236"/>
      <c r="BH76" s="2236"/>
      <c r="BI76" s="2239"/>
    </row>
    <row r="77" ht="18" customHeight="1" spans="1:63">
      <c r="A77" s="2229" t="s">
        <v>7317</v>
      </c>
      <c r="B77" s="325" t="s">
        <v>7318</v>
      </c>
      <c r="C77" s="325"/>
      <c r="D77" s="325"/>
      <c r="E77" s="325"/>
      <c r="F77" s="325"/>
      <c r="G77" s="2266"/>
      <c r="H77" s="2267" t="s">
        <v>7319</v>
      </c>
      <c r="I77" s="2268"/>
      <c r="J77" s="2268"/>
      <c r="K77" s="2268"/>
      <c r="L77" s="2268"/>
      <c r="M77" s="2268"/>
      <c r="N77" s="2268"/>
      <c r="O77" s="2268"/>
      <c r="P77" s="2268"/>
      <c r="Q77" s="2268"/>
      <c r="R77" s="2268"/>
      <c r="S77" s="2268"/>
      <c r="T77" s="2268"/>
      <c r="U77" s="2268"/>
      <c r="V77" s="1912"/>
      <c r="W77" s="2235">
        <f>'INV 2'!AR12</f>
        <v>0</v>
      </c>
      <c r="X77" s="2236"/>
      <c r="Y77" s="2236"/>
      <c r="Z77" s="2236"/>
      <c r="AA77" s="2236"/>
      <c r="AB77" s="2236"/>
      <c r="AC77" s="2236"/>
      <c r="AD77" s="2236"/>
      <c r="AE77" s="2237"/>
      <c r="AF77" s="1912"/>
      <c r="AG77" s="2235">
        <f t="shared" si="7"/>
        <v>0</v>
      </c>
      <c r="AH77" s="2236"/>
      <c r="AI77" s="2236"/>
      <c r="AJ77" s="2236"/>
      <c r="AK77" s="2236"/>
      <c r="AL77" s="2236"/>
      <c r="AM77" s="2236"/>
      <c r="AN77" s="2236"/>
      <c r="AO77" s="2237"/>
      <c r="AP77" s="1912"/>
      <c r="AQ77" s="2235"/>
      <c r="AR77" s="2236"/>
      <c r="AS77" s="2236"/>
      <c r="AT77" s="2236"/>
      <c r="AU77" s="2236"/>
      <c r="AV77" s="2236"/>
      <c r="AW77" s="2236"/>
      <c r="AX77" s="2236"/>
      <c r="AY77" s="2237"/>
      <c r="AZ77" s="2238"/>
      <c r="BA77" s="2235"/>
      <c r="BB77" s="2236"/>
      <c r="BC77" s="2236"/>
      <c r="BD77" s="2236"/>
      <c r="BE77" s="2236"/>
      <c r="BF77" s="2236"/>
      <c r="BG77" s="2236"/>
      <c r="BH77" s="2236"/>
      <c r="BI77" s="2239"/>
    </row>
    <row r="78" ht="18" customHeight="1" spans="1:63">
      <c r="A78" s="2229" t="s">
        <v>7320</v>
      </c>
      <c r="B78" s="325" t="str">
        <f ca="1">"u "&amp;PoslGod&amp;". godini"</f>
        <v>u 2025. godini</v>
      </c>
      <c r="C78" s="325"/>
      <c r="D78" s="325"/>
      <c r="E78" s="325"/>
      <c r="F78" s="325"/>
      <c r="G78" s="2266"/>
      <c r="H78" s="2267" t="s">
        <v>7321</v>
      </c>
      <c r="I78" s="2268"/>
      <c r="J78" s="2268"/>
      <c r="K78" s="2268"/>
      <c r="L78" s="2268"/>
      <c r="M78" s="2268"/>
      <c r="N78" s="2268"/>
      <c r="O78" s="2268"/>
      <c r="P78" s="2268"/>
      <c r="Q78" s="2268"/>
      <c r="R78" s="2268"/>
      <c r="S78" s="2268"/>
      <c r="T78" s="2268"/>
      <c r="U78" s="2268"/>
      <c r="V78" s="1912"/>
      <c r="W78" s="2235">
        <f>'INV 2'!AR28</f>
        <v>0</v>
      </c>
      <c r="X78" s="2236"/>
      <c r="Y78" s="2236"/>
      <c r="Z78" s="2236"/>
      <c r="AA78" s="2236"/>
      <c r="AB78" s="2236"/>
      <c r="AC78" s="2236"/>
      <c r="AD78" s="2236"/>
      <c r="AE78" s="2237"/>
      <c r="AF78" s="1912"/>
      <c r="AG78" s="2235">
        <f t="shared" si="7"/>
        <v>0</v>
      </c>
      <c r="AH78" s="2236"/>
      <c r="AI78" s="2236"/>
      <c r="AJ78" s="2236"/>
      <c r="AK78" s="2236"/>
      <c r="AL78" s="2236"/>
      <c r="AM78" s="2236"/>
      <c r="AN78" s="2236"/>
      <c r="AO78" s="2237"/>
      <c r="AP78" s="1912"/>
      <c r="AQ78" s="2235">
        <v>0</v>
      </c>
      <c r="AR78" s="2236"/>
      <c r="AS78" s="2236"/>
      <c r="AT78" s="2236"/>
      <c r="AU78" s="2236"/>
      <c r="AV78" s="2236"/>
      <c r="AW78" s="2236"/>
      <c r="AX78" s="2236"/>
      <c r="AY78" s="2237"/>
      <c r="AZ78" s="2238"/>
      <c r="BA78" s="2235">
        <v>0</v>
      </c>
      <c r="BB78" s="2236"/>
      <c r="BC78" s="2236"/>
      <c r="BD78" s="2236"/>
      <c r="BE78" s="2236"/>
      <c r="BF78" s="2236"/>
      <c r="BG78" s="2236"/>
      <c r="BH78" s="2236"/>
      <c r="BI78" s="2239"/>
    </row>
    <row r="79" ht="18" customHeight="1" spans="1:63">
      <c r="A79" s="2229" t="s">
        <v>7322</v>
      </c>
      <c r="B79" s="325" t="s">
        <v>7323</v>
      </c>
      <c r="C79" s="325"/>
      <c r="D79" s="325"/>
      <c r="E79" s="325"/>
      <c r="F79" s="325"/>
      <c r="G79" s="2266"/>
      <c r="H79" s="2267" t="s">
        <v>7324</v>
      </c>
      <c r="I79" s="2268"/>
      <c r="J79" s="2268"/>
      <c r="K79" s="2268"/>
      <c r="L79" s="2268"/>
      <c r="M79" s="2268"/>
      <c r="N79" s="2268"/>
      <c r="O79" s="2268"/>
      <c r="P79" s="2268"/>
      <c r="Q79" s="2268"/>
      <c r="R79" s="2268"/>
      <c r="S79" s="2268"/>
      <c r="T79" s="2268"/>
      <c r="U79" s="2268"/>
      <c r="V79" s="1912"/>
      <c r="W79" s="2235">
        <f>'INV 2'!AR31</f>
        <v>0</v>
      </c>
      <c r="X79" s="2236"/>
      <c r="Y79" s="2236"/>
      <c r="Z79" s="2236"/>
      <c r="AA79" s="2236"/>
      <c r="AB79" s="2236"/>
      <c r="AC79" s="2236"/>
      <c r="AD79" s="2236"/>
      <c r="AE79" s="2237"/>
      <c r="AF79" s="1912"/>
      <c r="AG79" s="2235">
        <f t="shared" si="7"/>
        <v>0</v>
      </c>
      <c r="AH79" s="2236"/>
      <c r="AI79" s="2236"/>
      <c r="AJ79" s="2236"/>
      <c r="AK79" s="2236"/>
      <c r="AL79" s="2236"/>
      <c r="AM79" s="2236"/>
      <c r="AN79" s="2236"/>
      <c r="AO79" s="2237"/>
      <c r="AP79" s="1912"/>
      <c r="AQ79" s="2235"/>
      <c r="AR79" s="2236"/>
      <c r="AS79" s="2236"/>
      <c r="AT79" s="2236"/>
      <c r="AU79" s="2236"/>
      <c r="AV79" s="2236"/>
      <c r="AW79" s="2236"/>
      <c r="AX79" s="2236"/>
      <c r="AY79" s="2237"/>
      <c r="AZ79" s="2238"/>
      <c r="BA79" s="2235"/>
      <c r="BB79" s="2236"/>
      <c r="BC79" s="2236"/>
      <c r="BD79" s="2236"/>
      <c r="BE79" s="2236"/>
      <c r="BF79" s="2236"/>
      <c r="BG79" s="2236"/>
      <c r="BH79" s="2236"/>
      <c r="BI79" s="2239"/>
    </row>
    <row r="80" ht="18" customHeight="1" spans="1:63">
      <c r="A80" s="2269" t="s">
        <v>7325</v>
      </c>
      <c r="B80" s="2270" t="s">
        <v>7326</v>
      </c>
      <c r="C80" s="2270"/>
      <c r="D80" s="2270"/>
      <c r="E80" s="2270"/>
      <c r="F80" s="2270"/>
      <c r="G80" s="2271"/>
      <c r="H80" s="2272" t="s">
        <v>7327</v>
      </c>
      <c r="I80" s="2273"/>
      <c r="J80" s="2273"/>
      <c r="K80" s="2273"/>
      <c r="L80" s="2273"/>
      <c r="M80" s="2273"/>
      <c r="N80" s="2273"/>
      <c r="O80" s="2273"/>
      <c r="P80" s="2273"/>
      <c r="Q80" s="2273"/>
      <c r="R80" s="2273"/>
      <c r="S80" s="2273"/>
      <c r="T80" s="2273"/>
      <c r="U80" s="2273"/>
      <c r="V80" s="2274"/>
      <c r="W80" s="2251">
        <f>'INV 2'!AR41</f>
        <v>0</v>
      </c>
      <c r="X80" s="2252"/>
      <c r="Y80" s="2252"/>
      <c r="Z80" s="2252"/>
      <c r="AA80" s="2252"/>
      <c r="AB80" s="2252"/>
      <c r="AC80" s="2252"/>
      <c r="AD80" s="2252"/>
      <c r="AE80" s="2253"/>
      <c r="AF80" s="2274"/>
      <c r="AG80" s="2235">
        <f t="shared" si="7"/>
        <v>0</v>
      </c>
      <c r="AH80" s="2236"/>
      <c r="AI80" s="2236"/>
      <c r="AJ80" s="2236"/>
      <c r="AK80" s="2236"/>
      <c r="AL80" s="2236"/>
      <c r="AM80" s="2236"/>
      <c r="AN80" s="2236"/>
      <c r="AO80" s="2237"/>
      <c r="AP80" s="2274"/>
      <c r="AQ80" s="2251">
        <v>0</v>
      </c>
      <c r="AR80" s="2252"/>
      <c r="AS80" s="2252"/>
      <c r="AT80" s="2252"/>
      <c r="AU80" s="2252"/>
      <c r="AV80" s="2252"/>
      <c r="AW80" s="2252"/>
      <c r="AX80" s="2252"/>
      <c r="AY80" s="2253"/>
      <c r="AZ80" s="2275"/>
      <c r="BA80" s="2251">
        <v>0</v>
      </c>
      <c r="BB80" s="2252"/>
      <c r="BC80" s="2252"/>
      <c r="BD80" s="2252"/>
      <c r="BE80" s="2252"/>
      <c r="BF80" s="2252"/>
      <c r="BG80" s="2252"/>
      <c r="BH80" s="2252"/>
      <c r="BI80" s="2254"/>
    </row>
    <row r="81" ht="18" customHeight="1" spans="1:61">
      <c r="A81" s="2276" t="s">
        <v>7328</v>
      </c>
      <c r="B81" s="2277" t="str">
        <f ca="1">"Vrijednost aktiviranih stalnih sredstava u toku "&amp;PoslGod&amp;". godine"</f>
        <v>Vrijednost aktiviranih stalnih sredstava u toku 2025. godine</v>
      </c>
      <c r="C81" s="2277"/>
      <c r="D81" s="2277"/>
      <c r="E81" s="2277"/>
      <c r="F81" s="2277"/>
      <c r="G81" s="2277"/>
      <c r="H81" s="2277"/>
      <c r="I81" s="2277"/>
      <c r="J81" s="2277"/>
      <c r="K81" s="2277"/>
      <c r="L81" s="2277"/>
      <c r="M81" s="2277"/>
      <c r="N81" s="2277"/>
      <c r="O81" s="2277"/>
      <c r="P81" s="2277"/>
      <c r="Q81" s="2277"/>
      <c r="R81" s="2277"/>
      <c r="S81" s="2277"/>
      <c r="T81" s="2277"/>
      <c r="U81" s="2278"/>
      <c r="V81" s="1912"/>
      <c r="W81" s="2261">
        <f>UnosPod!O930</f>
        <v>0</v>
      </c>
      <c r="X81" s="2262"/>
      <c r="Y81" s="2262"/>
      <c r="Z81" s="2262"/>
      <c r="AA81" s="2262"/>
      <c r="AB81" s="2262"/>
      <c r="AC81" s="2262"/>
      <c r="AD81" s="2262"/>
      <c r="AE81" s="2263"/>
      <c r="AF81" s="1912"/>
      <c r="AG81" s="2261">
        <f t="shared" si="7"/>
        <v>0</v>
      </c>
      <c r="AH81" s="2262"/>
      <c r="AI81" s="2262"/>
      <c r="AJ81" s="2262"/>
      <c r="AK81" s="2262"/>
      <c r="AL81" s="2262"/>
      <c r="AM81" s="2262"/>
      <c r="AN81" s="2262"/>
      <c r="AO81" s="2263"/>
      <c r="AP81" s="1912"/>
      <c r="AQ81" s="2261"/>
      <c r="AR81" s="2262"/>
      <c r="AS81" s="2262"/>
      <c r="AT81" s="2262"/>
      <c r="AU81" s="2262"/>
      <c r="AV81" s="2262"/>
      <c r="AW81" s="2262"/>
      <c r="AX81" s="2262"/>
      <c r="AY81" s="2263"/>
      <c r="AZ81" s="2238"/>
      <c r="BA81" s="2261"/>
      <c r="BB81" s="2262"/>
      <c r="BC81" s="2262"/>
      <c r="BD81" s="2262"/>
      <c r="BE81" s="2262"/>
      <c r="BF81" s="2262"/>
      <c r="BG81" s="2262"/>
      <c r="BH81" s="2262"/>
      <c r="BI81" s="2265"/>
    </row>
    <row r="82" ht="18" customHeight="1" spans="1:61">
      <c r="A82" s="2279" t="s">
        <v>7329</v>
      </c>
      <c r="B82" s="2280" t="str">
        <f ca="1">"Stalna sredstva u izgradnji (pripremi) krajem "&amp;PoslGod&amp;". godine"</f>
        <v>Stalna sredstva u izgradnji (pripremi) krajem 2025. godine</v>
      </c>
      <c r="C82" s="2281"/>
      <c r="D82" s="2281"/>
      <c r="E82" s="2281"/>
      <c r="F82" s="2281"/>
      <c r="G82" s="2281"/>
      <c r="H82" s="2281"/>
      <c r="I82" s="2281"/>
      <c r="J82" s="2281"/>
      <c r="K82" s="2281"/>
      <c r="L82" s="2281"/>
      <c r="M82" s="2281"/>
      <c r="N82" s="2281"/>
      <c r="O82" s="2281"/>
      <c r="P82" s="2281"/>
      <c r="Q82" s="2281"/>
      <c r="R82" s="2281"/>
      <c r="S82" s="2281"/>
      <c r="T82" s="2281"/>
      <c r="U82" s="2282"/>
      <c r="V82" s="2283"/>
      <c r="W82" s="2284">
        <f>UnosPod!O931</f>
        <v>0</v>
      </c>
      <c r="X82" s="2285"/>
      <c r="Y82" s="2285"/>
      <c r="Z82" s="2285"/>
      <c r="AA82" s="2285"/>
      <c r="AB82" s="2285"/>
      <c r="AC82" s="2285"/>
      <c r="AD82" s="2285"/>
      <c r="AE82" s="2286"/>
      <c r="AF82" s="2283"/>
      <c r="AG82" s="2284">
        <f t="shared" si="7"/>
        <v>0</v>
      </c>
      <c r="AH82" s="2285"/>
      <c r="AI82" s="2285"/>
      <c r="AJ82" s="2285"/>
      <c r="AK82" s="2285"/>
      <c r="AL82" s="2285"/>
      <c r="AM82" s="2285"/>
      <c r="AN82" s="2285"/>
      <c r="AO82" s="2286"/>
      <c r="AP82" s="2283"/>
      <c r="AQ82" s="2284">
        <v>0</v>
      </c>
      <c r="AR82" s="2285"/>
      <c r="AS82" s="2285"/>
      <c r="AT82" s="2285"/>
      <c r="AU82" s="2285"/>
      <c r="AV82" s="2285"/>
      <c r="AW82" s="2285"/>
      <c r="AX82" s="2285"/>
      <c r="AY82" s="2286"/>
      <c r="AZ82" s="2287"/>
      <c r="BA82" s="2284">
        <v>0</v>
      </c>
      <c r="BB82" s="2285"/>
      <c r="BC82" s="2285"/>
      <c r="BD82" s="2285"/>
      <c r="BE82" s="2285"/>
      <c r="BF82" s="2285"/>
      <c r="BG82" s="2285"/>
      <c r="BH82" s="2285"/>
      <c r="BI82" s="2288"/>
    </row>
    <row r="83" spans="1:61">
      <c r="A83" s="2289" t="s">
        <v>7330</v>
      </c>
    </row>
    <row r="84" spans="1:61">
      <c r="A84" s="2289"/>
    </row>
    <row r="85" spans="1:61">
      <c r="A85" s="2289"/>
    </row>
    <row r="86" spans="1:61">
      <c r="A86" s="2085" t="s">
        <v>7331</v>
      </c>
      <c r="AT86" s="2290" t="s">
        <v>7332</v>
      </c>
      <c r="AU86" s="2290"/>
      <c r="AV86" s="2290"/>
      <c r="AW86" s="2290"/>
      <c r="AX86" s="2290"/>
      <c r="AY86" s="2290"/>
      <c r="AZ86" s="2290"/>
      <c r="BA86" s="2290"/>
      <c r="BB86" s="2290"/>
    </row>
    <row r="87" spans="1:61">
      <c r="A87" s="2291" t="str">
        <f>UnosPod!F3</f>
        <v>Elvira Žilić</v>
      </c>
      <c r="B87" s="578"/>
      <c r="C87" s="578"/>
      <c r="D87" s="578"/>
      <c r="E87" s="578"/>
      <c r="F87" s="578"/>
      <c r="O87" s="2292" t="s">
        <v>7333</v>
      </c>
      <c r="P87" s="2292"/>
      <c r="Q87" s="2292"/>
      <c r="R87" s="2292"/>
      <c r="S87" s="2293" t="str">
        <f>UnosPod!AL3</f>
        <v>061/599-615</v>
      </c>
      <c r="T87" s="2294"/>
      <c r="U87" s="2294"/>
      <c r="V87" s="2294"/>
      <c r="W87" s="2294"/>
      <c r="X87" s="2294"/>
      <c r="Y87" s="2294"/>
      <c r="Z87" s="2294"/>
      <c r="AA87"/>
      <c r="AB87"/>
      <c r="AC87"/>
      <c r="AD87"/>
      <c r="AE87"/>
      <c r="AF87"/>
      <c r="AG87"/>
      <c r="AH87"/>
      <c r="AP87" s="572" t="s">
        <v>7039</v>
      </c>
      <c r="AT87" s="2295" t="str">
        <f>Baza!C10</f>
        <v>Nedim Vilogorac</v>
      </c>
      <c r="AU87" s="2295"/>
      <c r="AV87" s="2295"/>
      <c r="AW87" s="2295"/>
      <c r="AX87" s="2295"/>
      <c r="AY87" s="2295"/>
      <c r="AZ87" s="2295"/>
      <c r="BA87" s="2295"/>
      <c r="BB87" s="2295"/>
      <c r="BC87" s="2295"/>
      <c r="BD87" s="2211"/>
    </row>
    <row r="88" spans="1:61">
      <c r="A88" s="2296" t="s">
        <v>7334</v>
      </c>
      <c r="B88" s="2297"/>
      <c r="C88" s="2297"/>
      <c r="D88" s="2297"/>
      <c r="E88" s="2297"/>
      <c r="F88" s="2297"/>
      <c r="G88" s="2297"/>
      <c r="O88" s="2292" t="s">
        <v>7335</v>
      </c>
      <c r="P88" s="2292"/>
      <c r="Q88" s="2292"/>
      <c r="R88" s="2292"/>
      <c r="S88" s="2298" t="str">
        <f>UnosPod!AE4</f>
        <v>xxxxxxxxxo@gmail.com</v>
      </c>
      <c r="T88" s="948"/>
      <c r="U88" s="948"/>
      <c r="V88" s="948"/>
      <c r="W88" s="948"/>
      <c r="X88" s="948"/>
      <c r="Y88" s="948"/>
      <c r="Z88" s="948"/>
      <c r="AA88"/>
      <c r="AB88"/>
      <c r="AC88"/>
      <c r="AD88"/>
      <c r="AE88"/>
      <c r="AF88"/>
      <c r="AG88"/>
      <c r="AH88"/>
    </row>
    <row r="89" spans="1:61">
      <c r="O89" s="2292" t="s">
        <v>7336</v>
      </c>
      <c r="P89" s="2292"/>
      <c r="Q89" s="2292"/>
      <c r="R89" s="2292"/>
      <c r="S89" s="2299" t="str">
        <f>UnosPod!AA22&amp;UnosPod!AB22&amp;"."&amp;UnosPod!AC22&amp;UnosPod!AD22&amp;"."&amp;UnosPod!AE22&amp;UnosPod!AF22&amp;UnosPod!AG22&amp;UnosPod!AH22&amp;".godine"</f>
        <v>28.02.2026.godine</v>
      </c>
      <c r="T89" s="948"/>
      <c r="U89" s="948"/>
      <c r="V89" s="2300"/>
      <c r="W89" s="948"/>
      <c r="X89" s="948"/>
      <c r="Y89" s="948"/>
      <c r="Z89" s="948"/>
      <c r="AA89"/>
      <c r="AB89"/>
      <c r="AC89"/>
      <c r="AD89"/>
      <c r="AE89"/>
      <c r="AF89"/>
      <c r="AG89"/>
      <c r="AH89"/>
    </row>
    <row r="91" spans="1:61">
      <c r="A91" s="2301"/>
    </row>
  </sheetData>
  <customSheetViews>
    <customSheetView guid="{7A886FB3-8F08-4D3E-B7EB-0851AD05C3C6}" showGridLines="0" fitToPage="1">
      <selection activeCell="W1" sqref="W1"/>
      <pageMargins left="0.393700787401575" right="0.236220472440945" top="0.354330708661417" bottom="0.236220472440945" header="0.236220472440945" footer="0.15748031496063"/>
      <pageSetup paperSize="9" scale="76" fitToHeight="0" orientation="landscape"/>
      <headerFooter alignWithMargins="0"/>
    </customSheetView>
  </customSheetViews>
  <mergeCells count="303">
    <mergeCell ref="B2:AK2"/>
    <mergeCell ref="AL2:AQ2"/>
    <mergeCell ref="AR2:AW2"/>
    <mergeCell ref="AX2:BC2"/>
    <mergeCell ref="BD2:BI2"/>
    <mergeCell ref="B3:AK3"/>
    <mergeCell ref="AL3:AQ3"/>
    <mergeCell ref="AR3:AW3"/>
    <mergeCell ref="AX3:BC3"/>
    <mergeCell ref="BD3:BI3"/>
    <mergeCell ref="B4:AK4"/>
    <mergeCell ref="AL4:AQ4"/>
    <mergeCell ref="AR4:AW4"/>
    <mergeCell ref="AX4:BC4"/>
    <mergeCell ref="BD4:BI4"/>
    <mergeCell ref="B5:AK5"/>
    <mergeCell ref="AL5:AQ5"/>
    <mergeCell ref="AR5:AW5"/>
    <mergeCell ref="AX5:BC5"/>
    <mergeCell ref="BD5:BI5"/>
    <mergeCell ref="B6:AK6"/>
    <mergeCell ref="AL6:AQ6"/>
    <mergeCell ref="AR6:AW6"/>
    <mergeCell ref="AX6:BC6"/>
    <mergeCell ref="BD6:BI6"/>
    <mergeCell ref="C7:AK7"/>
    <mergeCell ref="AL7:AQ7"/>
    <mergeCell ref="AR7:AW7"/>
    <mergeCell ref="AX7:BC7"/>
    <mergeCell ref="BD7:BI7"/>
    <mergeCell ref="B8:AK8"/>
    <mergeCell ref="AL8:AQ8"/>
    <mergeCell ref="AR8:AW8"/>
    <mergeCell ref="AX8:BC8"/>
    <mergeCell ref="BD8:BI8"/>
    <mergeCell ref="C9:AK9"/>
    <mergeCell ref="AL9:AQ9"/>
    <mergeCell ref="AR9:AW9"/>
    <mergeCell ref="AX9:BC9"/>
    <mergeCell ref="BD9:BI9"/>
    <mergeCell ref="C10:AK10"/>
    <mergeCell ref="AL10:AQ10"/>
    <mergeCell ref="AR10:AW10"/>
    <mergeCell ref="AX10:BC10"/>
    <mergeCell ref="BD10:BI10"/>
    <mergeCell ref="C11:AK11"/>
    <mergeCell ref="AL11:AQ11"/>
    <mergeCell ref="AR11:AW11"/>
    <mergeCell ref="AX11:BC11"/>
    <mergeCell ref="BD11:BI11"/>
    <mergeCell ref="B12:AK12"/>
    <mergeCell ref="AL12:AQ12"/>
    <mergeCell ref="AR12:AW12"/>
    <mergeCell ref="AX12:BC12"/>
    <mergeCell ref="BD12:BI12"/>
    <mergeCell ref="B13:AK13"/>
    <mergeCell ref="AL13:AQ13"/>
    <mergeCell ref="AR13:AW13"/>
    <mergeCell ref="AX13:BC13"/>
    <mergeCell ref="BD13:BI13"/>
    <mergeCell ref="C14:AK14"/>
    <mergeCell ref="AL14:AQ14"/>
    <mergeCell ref="AR14:AW14"/>
    <mergeCell ref="AX14:BC14"/>
    <mergeCell ref="BD14:BI14"/>
    <mergeCell ref="C15:AK15"/>
    <mergeCell ref="AL15:AQ15"/>
    <mergeCell ref="AR15:AW15"/>
    <mergeCell ref="AX15:BC15"/>
    <mergeCell ref="BD15:BI15"/>
    <mergeCell ref="C16:AK16"/>
    <mergeCell ref="AL16:AQ16"/>
    <mergeCell ref="AR16:AW16"/>
    <mergeCell ref="AX16:BC16"/>
    <mergeCell ref="BD16:BI16"/>
    <mergeCell ref="C17:AK17"/>
    <mergeCell ref="AL17:AQ17"/>
    <mergeCell ref="AR17:AW17"/>
    <mergeCell ref="AX17:BC17"/>
    <mergeCell ref="BD17:BI17"/>
    <mergeCell ref="C18:AK18"/>
    <mergeCell ref="AL18:AQ18"/>
    <mergeCell ref="AR18:AW18"/>
    <mergeCell ref="AX18:BC18"/>
    <mergeCell ref="BD18:BI18"/>
    <mergeCell ref="C19:AK19"/>
    <mergeCell ref="AL19:AQ19"/>
    <mergeCell ref="AR19:AW19"/>
    <mergeCell ref="AX19:BC19"/>
    <mergeCell ref="BD19:BI19"/>
    <mergeCell ref="C20:AK20"/>
    <mergeCell ref="AL20:AQ20"/>
    <mergeCell ref="AR20:AW20"/>
    <mergeCell ref="AX20:BC20"/>
    <mergeCell ref="BD20:BI20"/>
    <mergeCell ref="C21:AK21"/>
    <mergeCell ref="AL21:AQ21"/>
    <mergeCell ref="AR21:AW21"/>
    <mergeCell ref="AX21:BC21"/>
    <mergeCell ref="BD21:BI21"/>
    <mergeCell ref="C22:AK22"/>
    <mergeCell ref="AL22:AQ22"/>
    <mergeCell ref="AR22:AW22"/>
    <mergeCell ref="AX22:BC22"/>
    <mergeCell ref="BD22:BI22"/>
    <mergeCell ref="B23:AK23"/>
    <mergeCell ref="AL23:AQ23"/>
    <mergeCell ref="AR23:AW23"/>
    <mergeCell ref="AX23:BC23"/>
    <mergeCell ref="BD23:BI23"/>
    <mergeCell ref="C24:AK24"/>
    <mergeCell ref="AL24:AQ24"/>
    <mergeCell ref="AR24:AW24"/>
    <mergeCell ref="AX24:BC24"/>
    <mergeCell ref="BD24:BI24"/>
    <mergeCell ref="C25:AK25"/>
    <mergeCell ref="AL25:AQ25"/>
    <mergeCell ref="AR25:AW25"/>
    <mergeCell ref="AX25:BC25"/>
    <mergeCell ref="BD25:BI25"/>
    <mergeCell ref="C26:AK26"/>
    <mergeCell ref="AL26:AQ26"/>
    <mergeCell ref="AR26:AW26"/>
    <mergeCell ref="AX26:BC26"/>
    <mergeCell ref="BD26:BI26"/>
    <mergeCell ref="B27:AK27"/>
    <mergeCell ref="AL27:AQ27"/>
    <mergeCell ref="AR27:AW27"/>
    <mergeCell ref="AX27:BC27"/>
    <mergeCell ref="BD27:BI27"/>
    <mergeCell ref="B28:AK28"/>
    <mergeCell ref="AL28:AQ28"/>
    <mergeCell ref="AR28:AW28"/>
    <mergeCell ref="AX28:BC28"/>
    <mergeCell ref="BD28:BI28"/>
    <mergeCell ref="C29:AK29"/>
    <mergeCell ref="AL29:AQ29"/>
    <mergeCell ref="AR29:AW29"/>
    <mergeCell ref="AX29:BC29"/>
    <mergeCell ref="BD29:BI29"/>
    <mergeCell ref="C30:AK30"/>
    <mergeCell ref="AL30:AQ30"/>
    <mergeCell ref="AR30:AW30"/>
    <mergeCell ref="AX30:BC30"/>
    <mergeCell ref="BD30:BI30"/>
    <mergeCell ref="B31:AK31"/>
    <mergeCell ref="AL31:AQ31"/>
    <mergeCell ref="AR31:AW31"/>
    <mergeCell ref="AX31:BC31"/>
    <mergeCell ref="BD31:BI31"/>
    <mergeCell ref="C32:AK32"/>
    <mergeCell ref="AL32:AQ32"/>
    <mergeCell ref="AR32:AW32"/>
    <mergeCell ref="AX32:BC32"/>
    <mergeCell ref="BD32:BI32"/>
    <mergeCell ref="C33:AK33"/>
    <mergeCell ref="AL33:AQ33"/>
    <mergeCell ref="AR33:AW33"/>
    <mergeCell ref="AX33:BC33"/>
    <mergeCell ref="BD33:BI33"/>
    <mergeCell ref="C34:AK34"/>
    <mergeCell ref="AL34:AQ34"/>
    <mergeCell ref="AR34:AW34"/>
    <mergeCell ref="AX34:BC34"/>
    <mergeCell ref="BD34:BI34"/>
    <mergeCell ref="AL35:AQ35"/>
    <mergeCell ref="AR35:AW35"/>
    <mergeCell ref="AX35:BC35"/>
    <mergeCell ref="BD35:BI35"/>
    <mergeCell ref="AL36:AQ36"/>
    <mergeCell ref="AR36:AW36"/>
    <mergeCell ref="AX36:BC36"/>
    <mergeCell ref="BD36:BI36"/>
    <mergeCell ref="AL37:AQ37"/>
    <mergeCell ref="AR37:AW37"/>
    <mergeCell ref="AX37:BC37"/>
    <mergeCell ref="BD37:BI37"/>
    <mergeCell ref="AL38:AQ38"/>
    <mergeCell ref="AR38:AW38"/>
    <mergeCell ref="AX38:BC38"/>
    <mergeCell ref="BD38:BI38"/>
    <mergeCell ref="C39:AK39"/>
    <mergeCell ref="AL39:AQ39"/>
    <mergeCell ref="AR39:AW39"/>
    <mergeCell ref="AX39:BC39"/>
    <mergeCell ref="BD39:BI39"/>
    <mergeCell ref="C40:AK40"/>
    <mergeCell ref="AL40:AQ40"/>
    <mergeCell ref="AR40:AW40"/>
    <mergeCell ref="AX40:BC40"/>
    <mergeCell ref="BD40:BI40"/>
    <mergeCell ref="B41:AK41"/>
    <mergeCell ref="AL41:AQ41"/>
    <mergeCell ref="AR41:AW41"/>
    <mergeCell ref="AX41:BC41"/>
    <mergeCell ref="BD41:BI41"/>
    <mergeCell ref="B43:AK43"/>
    <mergeCell ref="AL43:AQ43"/>
    <mergeCell ref="AR43:AW43"/>
    <mergeCell ref="AX43:BC43"/>
    <mergeCell ref="BD43:BI43"/>
    <mergeCell ref="B44:AK44"/>
    <mergeCell ref="AL44:AQ44"/>
    <mergeCell ref="AR44:AW44"/>
    <mergeCell ref="AX44:BC44"/>
    <mergeCell ref="BD44:BI44"/>
    <mergeCell ref="B45:AK45"/>
    <mergeCell ref="AL45:AQ45"/>
    <mergeCell ref="AR45:AW45"/>
    <mergeCell ref="AX45:BC45"/>
    <mergeCell ref="BD45:BI45"/>
    <mergeCell ref="V58:AD58"/>
    <mergeCell ref="AF58:BI58"/>
    <mergeCell ref="Y61:AD61"/>
    <mergeCell ref="AI61:AN61"/>
    <mergeCell ref="AS61:AX61"/>
    <mergeCell ref="BC61:BH61"/>
    <mergeCell ref="Y62:AD62"/>
    <mergeCell ref="AI62:AN62"/>
    <mergeCell ref="AS62:AX62"/>
    <mergeCell ref="BC62:BH62"/>
    <mergeCell ref="V64:AD64"/>
    <mergeCell ref="AF64:AN64"/>
    <mergeCell ref="AP64:AX64"/>
    <mergeCell ref="AZ64:BH64"/>
    <mergeCell ref="Z66:AD66"/>
    <mergeCell ref="AJ66:AN66"/>
    <mergeCell ref="AT66:AX66"/>
    <mergeCell ref="BD66:BH66"/>
    <mergeCell ref="Z69:AD69"/>
    <mergeCell ref="AJ69:AN69"/>
    <mergeCell ref="AT69:AX69"/>
    <mergeCell ref="BD69:BH69"/>
    <mergeCell ref="W70:AE70"/>
    <mergeCell ref="AG70:AO70"/>
    <mergeCell ref="AQ70:AY70"/>
    <mergeCell ref="BA70:BI70"/>
    <mergeCell ref="W71:AE71"/>
    <mergeCell ref="AG71:AO71"/>
    <mergeCell ref="AQ71:AY71"/>
    <mergeCell ref="BA71:BI71"/>
    <mergeCell ref="W72:AE72"/>
    <mergeCell ref="AG72:AO72"/>
    <mergeCell ref="AQ72:AY72"/>
    <mergeCell ref="BA72:BI72"/>
    <mergeCell ref="B73:U73"/>
    <mergeCell ref="W73:AE73"/>
    <mergeCell ref="AG73:AO73"/>
    <mergeCell ref="AQ73:AY73"/>
    <mergeCell ref="BA73:BI73"/>
    <mergeCell ref="B74:U74"/>
    <mergeCell ref="W74:AE74"/>
    <mergeCell ref="AG74:AO74"/>
    <mergeCell ref="AQ74:AY74"/>
    <mergeCell ref="BA74:BI74"/>
    <mergeCell ref="B75:G75"/>
    <mergeCell ref="H75:U75"/>
    <mergeCell ref="W75:AE75"/>
    <mergeCell ref="AG75:AO75"/>
    <mergeCell ref="AQ75:AY75"/>
    <mergeCell ref="BA75:BI75"/>
    <mergeCell ref="B76:G76"/>
    <mergeCell ref="H76:U76"/>
    <mergeCell ref="W76:AE76"/>
    <mergeCell ref="AG76:AO76"/>
    <mergeCell ref="AQ76:AY76"/>
    <mergeCell ref="BA76:BI76"/>
    <mergeCell ref="B77:G77"/>
    <mergeCell ref="H77:U77"/>
    <mergeCell ref="W77:AE77"/>
    <mergeCell ref="AG77:AO77"/>
    <mergeCell ref="AQ77:AY77"/>
    <mergeCell ref="BA77:BI77"/>
    <mergeCell ref="B78:G78"/>
    <mergeCell ref="H78:U78"/>
    <mergeCell ref="W78:AE78"/>
    <mergeCell ref="AG78:AO78"/>
    <mergeCell ref="AQ78:AY78"/>
    <mergeCell ref="BA78:BI78"/>
    <mergeCell ref="B79:G79"/>
    <mergeCell ref="H79:U79"/>
    <mergeCell ref="W79:AE79"/>
    <mergeCell ref="AG79:AO79"/>
    <mergeCell ref="AQ79:AY79"/>
    <mergeCell ref="BA79:BI79"/>
    <mergeCell ref="B80:G80"/>
    <mergeCell ref="H80:U80"/>
    <mergeCell ref="W80:AE80"/>
    <mergeCell ref="AG80:AO80"/>
    <mergeCell ref="AQ80:AY80"/>
    <mergeCell ref="BA80:BI80"/>
    <mergeCell ref="B81:U81"/>
    <mergeCell ref="W81:AE81"/>
    <mergeCell ref="AG81:AO81"/>
    <mergeCell ref="AQ81:AY81"/>
    <mergeCell ref="BA81:BI81"/>
    <mergeCell ref="B82:U82"/>
    <mergeCell ref="W82:AE82"/>
    <mergeCell ref="AG82:AO82"/>
    <mergeCell ref="AQ82:AY82"/>
    <mergeCell ref="BA82:BI82"/>
    <mergeCell ref="AT86:BB86"/>
    <mergeCell ref="B70:G72"/>
  </mergeCells>
  <pageMargins left="0.590551181102362" right="0.62992125984252" top="0.354330708661417" bottom="0.236220472440945" header="0.236220472440945" footer="0.15748031496063"/>
  <pageSetup paperSize="9" scale="67" fitToHeight="0" orientation="landscape"/>
  <headerFooter alignWithMargins="0"/>
  <rowBreaks count="1" manualBreakCount="1">
    <brk id="5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
    <tabColor rgb="FFFFFF00"/>
  </sheetPr>
  <dimension ref="A1:CX511"/>
  <sheetViews>
    <sheetView showGridLines="0" zoomScale="101" zoomScaleNormal="101" workbookViewId="0">
      <selection activeCell="C2" sqref="C2"/>
    </sheetView>
  </sheetViews>
  <sheetFormatPr defaultColWidth="4.42857142857143" defaultRowHeight="12.75"/>
  <cols>
    <col min="1" max="1" width="6.71428571428571" customWidth="1"/>
    <col min="2" max="2" width="86" customWidth="1"/>
    <col min="3" max="3" width="20.7142857142857" style="1112" customWidth="1"/>
    <col min="4" max="4" width="15.7142857142857" style="1112" customWidth="1"/>
    <col min="5" max="5" width="14.2857142857143" customWidth="1"/>
    <col min="6" max="6" width="14.4285714285714" customWidth="1"/>
    <col min="7" max="7" width="13.4285714285714" customWidth="1"/>
    <col min="8" max="9" width="13.5714285714286" customWidth="1"/>
    <col min="10" max="11" width="11.5714285714286" customWidth="1"/>
    <col min="12" max="12" width="8.57142857142857" customWidth="1"/>
    <col min="16" max="16" width="38.5714285714286" customWidth="1"/>
    <col min="17" max="18" width="2.57142857142857" customWidth="1"/>
    <col min="19" max="19" width="16.4285714285714" customWidth="1"/>
    <col min="20" max="20" width="11.8571428571429" customWidth="1"/>
    <col min="21" max="21" width="10.5714285714286" customWidth="1"/>
    <col min="22" max="22" width="2.57142857142857" customWidth="1"/>
    <col min="23" max="23" width="8.28571428571429" customWidth="1"/>
    <col min="24" max="24" width="8.85714285714286" customWidth="1"/>
    <col min="25" max="37" width="2.57142857142857" customWidth="1"/>
  </cols>
  <sheetData>
    <row r="1" spans="1:16">
      <c r="A1" s="5365"/>
      <c r="B1" s="5365"/>
      <c r="C1" s="5365"/>
      <c r="D1" s="5365"/>
      <c r="E1" s="5365"/>
      <c r="F1" s="5365"/>
      <c r="G1" s="5365"/>
      <c r="H1" s="5365"/>
      <c r="I1" s="5365"/>
      <c r="J1" s="5365"/>
      <c r="K1" s="5365"/>
      <c r="L1" s="5365"/>
      <c r="M1" s="5365"/>
      <c r="N1" s="5365"/>
      <c r="O1" s="5365"/>
      <c r="P1" s="5365"/>
    </row>
    <row r="2" ht="15" customHeight="1" spans="1:16">
      <c r="A2" s="5365"/>
      <c r="B2" s="5365"/>
      <c r="C2" s="5366"/>
      <c r="D2" s="5365"/>
      <c r="E2" s="5365"/>
      <c r="F2" s="5365"/>
      <c r="G2" s="5365"/>
      <c r="H2" s="5365"/>
      <c r="I2" s="5365"/>
      <c r="J2" s="5365"/>
      <c r="K2" s="5365"/>
      <c r="L2" s="5365"/>
      <c r="M2" s="5365"/>
      <c r="N2" s="5365"/>
      <c r="O2" s="5365"/>
      <c r="P2" s="5365"/>
    </row>
    <row r="3" spans="1:16">
      <c r="A3" s="5365"/>
      <c r="B3" s="5365"/>
      <c r="C3" s="5365"/>
      <c r="D3" s="5365"/>
      <c r="E3" s="5365"/>
      <c r="F3" s="5365"/>
      <c r="G3" s="5365"/>
      <c r="H3" s="5365"/>
      <c r="I3" s="5365"/>
      <c r="J3" s="5365"/>
      <c r="K3" s="5365"/>
      <c r="L3" s="5365"/>
      <c r="M3" s="5365"/>
      <c r="N3" s="5365"/>
      <c r="O3" s="5365"/>
      <c r="P3" s="5365"/>
    </row>
    <row r="4" ht="18" spans="1:16">
      <c r="A4" s="5367"/>
      <c r="B4" s="5368" t="s">
        <v>2272</v>
      </c>
      <c r="C4" s="5369">
        <v>2025</v>
      </c>
      <c r="D4" s="5370" t="s">
        <v>1</v>
      </c>
      <c r="E4" s="5370"/>
      <c r="F4" s="5371">
        <v>2026</v>
      </c>
      <c r="G4" s="5371">
        <v>12</v>
      </c>
      <c r="H4" s="5371">
        <v>30</v>
      </c>
      <c r="I4" s="5372" t="str">
        <f ca="1">IF(TODAY()&gt;DATE(F4,G4,H4),"Neovlašteno korištenje","")</f>
        <v/>
      </c>
      <c r="J4" s="5373"/>
      <c r="K4" s="5373"/>
      <c r="L4" s="5373"/>
      <c r="M4" s="5365"/>
      <c r="N4" s="5365"/>
      <c r="O4" s="5365"/>
      <c r="P4" s="5365"/>
    </row>
    <row r="5" ht="18" spans="1:16">
      <c r="A5" s="5374"/>
      <c r="B5" s="5375" t="s">
        <v>2273</v>
      </c>
      <c r="C5" s="5376">
        <f>UnosPod!P1</f>
        <v>2025</v>
      </c>
      <c r="D5" s="5377"/>
      <c r="E5" s="903"/>
      <c r="F5" s="5378" t="s">
        <v>3</v>
      </c>
      <c r="G5" s="5378" t="s">
        <v>4</v>
      </c>
      <c r="H5" s="5378" t="s">
        <v>5</v>
      </c>
      <c r="I5" s="5372" t="str">
        <f ca="1">IF(TODAY()&gt;DATE(2015,1,25),"Neovlašteno korištenje","")</f>
        <v>Neovlašteno korištenje</v>
      </c>
      <c r="J5" s="5373"/>
      <c r="K5" s="5373"/>
      <c r="L5" s="5373"/>
      <c r="M5" s="5365"/>
      <c r="N5" s="5365"/>
      <c r="O5" s="5365"/>
      <c r="P5" s="5365"/>
    </row>
    <row r="6" ht="20.25" spans="1:16">
      <c r="A6" s="5379"/>
      <c r="B6" s="5380" t="s">
        <v>2274</v>
      </c>
      <c r="C6" s="5381">
        <f ca="1">IF(TODAY()&gt;DATE(F4,G4,H4),C4,C5)</f>
        <v>2025</v>
      </c>
      <c r="D6" s="5382"/>
      <c r="E6" s="5365"/>
      <c r="F6" s="5365"/>
      <c r="G6" s="5383"/>
      <c r="H6" s="5365"/>
      <c r="I6" s="5365"/>
      <c r="J6" s="5365"/>
      <c r="K6" s="5365"/>
      <c r="L6" s="5365"/>
      <c r="M6" s="5365"/>
      <c r="N6" s="5365"/>
      <c r="O6" s="5365"/>
      <c r="P6" s="5365"/>
    </row>
    <row r="7" ht="18.75" customHeight="1" spans="1:16">
      <c r="A7" s="5379"/>
      <c r="B7" s="5380" t="s">
        <v>2275</v>
      </c>
      <c r="C7" s="5384" t="str">
        <f ca="1">IF(TODAY()&gt;DATE(F4,G4,H4),"NE","DA")</f>
        <v>DA</v>
      </c>
      <c r="D7" s="5385">
        <f ca="1">IF(C7="DA",0,1)</f>
        <v>0</v>
      </c>
      <c r="E7" s="5365"/>
      <c r="F7" s="5365"/>
      <c r="G7" s="5365"/>
      <c r="H7" s="5365"/>
      <c r="I7" s="5365"/>
      <c r="J7" s="5365"/>
      <c r="K7" s="5365"/>
      <c r="L7" s="5365"/>
      <c r="M7" s="5365"/>
      <c r="N7" s="5365"/>
      <c r="O7" s="5365"/>
      <c r="P7" s="5365"/>
    </row>
    <row r="8" ht="18" spans="1:16">
      <c r="A8" s="5379"/>
      <c r="B8" s="5380" t="s">
        <v>2276</v>
      </c>
      <c r="C8" s="5385">
        <f>B_Uspjeha!AI76+B_Uspjeha!AI140+B_Stanja!AI83+B_Stanja!AI150</f>
        <v>1753339</v>
      </c>
      <c r="D8" s="5385">
        <f>IF(C8&lt;1,1,0)</f>
        <v>0</v>
      </c>
      <c r="E8" s="5365"/>
      <c r="F8" s="5365"/>
      <c r="G8" s="5365"/>
      <c r="H8" s="5365"/>
      <c r="I8" s="5365"/>
      <c r="J8" s="5365"/>
      <c r="K8" s="5365"/>
      <c r="L8" s="5365"/>
      <c r="M8" s="5365"/>
      <c r="N8" s="5365"/>
      <c r="O8" s="5365"/>
      <c r="P8" s="5365"/>
    </row>
    <row r="9" ht="18.75" customHeight="1" spans="1:16">
      <c r="A9" s="5379"/>
      <c r="B9" s="5380"/>
      <c r="C9" s="5386"/>
      <c r="D9" s="5385">
        <f ca="1">SUM(D7:D8)</f>
        <v>0</v>
      </c>
      <c r="E9" s="5365"/>
      <c r="F9" s="5365"/>
      <c r="G9" s="5365"/>
      <c r="H9" s="5365"/>
      <c r="I9" s="5365"/>
      <c r="J9" s="5365"/>
      <c r="K9" s="5365"/>
      <c r="L9" s="5365"/>
      <c r="M9" s="5365"/>
      <c r="N9" s="5365"/>
      <c r="O9" s="5365"/>
      <c r="P9" s="5387"/>
    </row>
    <row r="10" s="2" customFormat="1" ht="18.75" customHeight="1" spans="1:16">
      <c r="A10" s="5388"/>
      <c r="B10" s="5389" t="s">
        <v>2277</v>
      </c>
      <c r="C10" s="5390" t="str">
        <f>UnosPod!F13</f>
        <v>Nedim Vilogorac</v>
      </c>
      <c r="D10" s="5391"/>
      <c r="E10" s="5392"/>
      <c r="F10" s="5392"/>
      <c r="G10" s="5392"/>
      <c r="H10" s="5392"/>
      <c r="I10" s="5392"/>
      <c r="J10" s="5392"/>
      <c r="K10" s="5392"/>
      <c r="L10" s="5392"/>
      <c r="M10" s="5392"/>
      <c r="N10" s="5392"/>
      <c r="O10" s="5392"/>
      <c r="P10" s="5392"/>
    </row>
    <row r="11" ht="18" spans="1:16">
      <c r="A11" s="5379"/>
      <c r="B11" s="5380" t="s">
        <v>2278</v>
      </c>
      <c r="C11" s="5393">
        <f ca="1">NOW()</f>
        <v>46120.4752662037</v>
      </c>
      <c r="D11" s="5394"/>
      <c r="E11" s="5365"/>
      <c r="F11" s="5365"/>
      <c r="G11" s="5365"/>
      <c r="H11" s="5365"/>
      <c r="I11" s="5365"/>
      <c r="J11" s="5365"/>
      <c r="K11" s="5365"/>
      <c r="L11" s="5365"/>
      <c r="M11" s="5365"/>
      <c r="N11" s="5365"/>
      <c r="O11" s="5365"/>
      <c r="P11" s="5365"/>
    </row>
    <row r="12" ht="16.5" customHeight="1" spans="1:16">
      <c r="A12" s="5379"/>
      <c r="B12" s="5380" t="s">
        <v>2279</v>
      </c>
      <c r="C12" s="5395" t="str">
        <f>UnosPod!O6&amp;UnosPod!P6</f>
        <v>12</v>
      </c>
      <c r="D12" s="5396"/>
      <c r="E12" s="5365"/>
      <c r="F12" s="5365"/>
      <c r="G12" s="5365"/>
      <c r="H12" s="5365"/>
      <c r="I12" s="5365"/>
      <c r="J12" s="5365"/>
      <c r="K12" s="5365"/>
      <c r="L12" s="5365"/>
      <c r="M12" s="5365"/>
      <c r="N12" s="5365"/>
      <c r="O12" s="5365"/>
      <c r="P12" s="5365"/>
    </row>
    <row r="13" ht="16.5" customHeight="1" spans="1:16">
      <c r="A13" s="5379"/>
      <c r="B13" s="5380" t="s">
        <v>2280</v>
      </c>
      <c r="C13" s="5397" t="str">
        <f>UnosPod!F6&amp;UnosPod!G6&amp;"."&amp;UnosPod!H6&amp;UnosPod!I6&amp;"."&amp;UnosPod!J6</f>
        <v>01.01.2025</v>
      </c>
      <c r="D13" s="5365"/>
      <c r="E13" s="5365"/>
      <c r="F13" s="5365"/>
      <c r="G13" s="5365"/>
      <c r="H13" s="5365"/>
      <c r="I13" s="5365"/>
      <c r="J13" s="5365"/>
      <c r="K13" s="5365"/>
      <c r="L13" s="5365"/>
      <c r="M13" s="5365"/>
      <c r="N13" s="5365"/>
      <c r="O13" s="5365"/>
      <c r="P13" s="5365"/>
    </row>
    <row r="14" ht="16.5" customHeight="1" spans="1:16">
      <c r="A14" s="5379"/>
      <c r="B14" s="5380" t="s">
        <v>2281</v>
      </c>
      <c r="C14" s="5398" t="str">
        <f ca="1">UnosPod!M6&amp;UnosPod!N6&amp;"."&amp;UnosPod!O6&amp;UnosPod!P6&amp;"."&amp;PoslGod</f>
        <v>31.12.2025</v>
      </c>
      <c r="D14" s="5365"/>
      <c r="E14" s="5365"/>
      <c r="F14" s="5365"/>
      <c r="G14" s="5365"/>
      <c r="H14" s="5365"/>
      <c r="I14" s="5365"/>
      <c r="J14" s="5365"/>
      <c r="K14" s="5365"/>
      <c r="L14" s="5365"/>
      <c r="M14" s="5365"/>
      <c r="N14" s="5365"/>
      <c r="O14" s="5365"/>
      <c r="P14" s="5365"/>
    </row>
    <row r="15" ht="21" customHeight="1" spans="1:16">
      <c r="A15" s="5379"/>
      <c r="B15" s="5380" t="s">
        <v>2282</v>
      </c>
      <c r="C15" s="5399" t="str">
        <f>UnosPod!AA8&amp;UnosPod!AB8&amp;UnosPod!AC8&amp;UnosPod!AD8&amp;UnosPod!AE8&amp;UnosPod!AF8&amp;UnosPod!AG8&amp;UnosPod!AH8&amp;UnosPod!AI8&amp;UnosPod!AJ8&amp;UnosPod!AK8&amp;UnosPod!AL8&amp;UnosPod!AM8</f>
        <v>4201337670009</v>
      </c>
      <c r="D15" s="5365"/>
      <c r="E15" s="5365"/>
      <c r="F15" s="5365"/>
      <c r="G15" s="5365"/>
      <c r="H15" s="5365"/>
      <c r="I15" s="5365"/>
      <c r="J15" s="5365"/>
      <c r="K15" s="5365"/>
      <c r="L15" s="5365"/>
      <c r="M15" s="5365"/>
      <c r="N15" s="5365"/>
      <c r="O15" s="5365"/>
      <c r="P15" s="5365"/>
    </row>
    <row r="16" ht="21" customHeight="1" spans="1:16">
      <c r="A16" s="5379"/>
      <c r="B16" s="5400" t="s">
        <v>2283</v>
      </c>
      <c r="C16" s="5401" t="str">
        <f>IF(UnosPod!AT9="NE","-",UnosPod!AA9&amp;UnosPod!AB9&amp;UnosPod!AC9&amp;UnosPod!AD9&amp;UnosPod!AE9&amp;UnosPod!AF9&amp;UnosPod!AG9&amp;UnosPod!AH9&amp;UnosPod!AI9&amp;UnosPod!AJ9&amp;UnosPod!AK9&amp;UnosPod!AL9)</f>
        <v>201337670009</v>
      </c>
      <c r="D16" s="5365"/>
      <c r="E16" s="5365"/>
      <c r="F16" s="5365"/>
      <c r="G16" s="5365"/>
      <c r="H16" s="5365"/>
      <c r="I16" s="5365"/>
      <c r="J16" s="5365"/>
      <c r="K16" s="5365"/>
      <c r="L16" s="5365"/>
      <c r="M16" s="5365"/>
      <c r="N16" s="5365"/>
      <c r="O16" s="5365"/>
      <c r="P16" s="5365"/>
    </row>
    <row r="17" s="2" customFormat="1" ht="21" customHeight="1" spans="1:19">
      <c r="A17" s="5388"/>
      <c r="B17" s="5402" t="s">
        <v>2284</v>
      </c>
      <c r="C17" s="5403" t="str">
        <f>UnosPod!AA12&amp;UnosPod!AB12&amp;UnosPod!AC12&amp;UnosPod!AD12&amp;UnosPod!AE12&amp;UnosPod!AF12&amp;UnosPod!AG12&amp;UnosPod!AH12&amp;UnosPod!AI12&amp;UnosPod!AJ12&amp;UnosPod!AK12&amp;UnosPod!AL12&amp;UnosPod!AM12&amp;UnosPod!AN12&amp;UnosPod!AO12&amp;UnosPod!AP12</f>
        <v>1610000189480005</v>
      </c>
      <c r="D17" s="5392"/>
      <c r="E17" s="5392"/>
      <c r="F17" s="5392"/>
      <c r="G17" s="5392"/>
      <c r="H17" s="5392"/>
      <c r="I17" s="5392"/>
      <c r="J17" s="5392"/>
      <c r="K17" s="5392"/>
      <c r="L17" s="5392"/>
      <c r="M17" s="5392"/>
      <c r="N17" s="5392"/>
      <c r="O17" s="5392"/>
      <c r="P17" s="5392"/>
    </row>
    <row r="18" s="5364" customFormat="1" ht="21" customHeight="1" spans="1:19">
      <c r="A18" s="5404"/>
      <c r="B18" s="5402" t="s">
        <v>2285</v>
      </c>
      <c r="C18" s="5405" t="str">
        <f>IFERROR(IF(ISERROR(VLOOKUP(LEFT(Glavni_racun,3),'#Konverter'!Q2:R18,2,FALSE)),"",VLOOKUP(LEFT(Glavni_racun,3),'#Konverter'!Q2:R18,2,FALSE)),"Upiši broj glavnog računa")</f>
        <v>Raiffeisen Bank d.d. BiH</v>
      </c>
      <c r="D18" s="5405"/>
      <c r="E18" s="5406"/>
      <c r="F18" s="5406"/>
      <c r="G18" s="5406"/>
      <c r="H18" s="5406"/>
      <c r="I18" s="5406"/>
      <c r="J18" s="5406"/>
      <c r="K18" s="5406"/>
      <c r="L18" s="5406"/>
      <c r="M18" s="5406"/>
      <c r="N18" s="5406"/>
      <c r="O18" s="5406"/>
      <c r="P18" s="5406"/>
    </row>
    <row r="19" s="2" customFormat="1" ht="21" customHeight="1" spans="1:19">
      <c r="A19" s="5388"/>
      <c r="B19" s="5402" t="s">
        <v>2286</v>
      </c>
      <c r="C19" s="5407" t="str">
        <f>UnosPod!F3&amp;"; licenca br. "&amp;UnosPod!AA3</f>
        <v>Elvira Žilić; licenca br. CR-8559/5</v>
      </c>
      <c r="D19" s="5408"/>
      <c r="E19" s="5408"/>
      <c r="F19" s="5392"/>
      <c r="G19" s="5392"/>
      <c r="H19" s="5392"/>
      <c r="I19" s="5392"/>
      <c r="J19" s="5392"/>
      <c r="K19" s="5392"/>
      <c r="L19" s="5392"/>
      <c r="M19" s="5392"/>
      <c r="N19" s="5392"/>
      <c r="O19" s="5392"/>
      <c r="P19" s="5392"/>
    </row>
    <row r="20" s="2" customFormat="1" ht="21" customHeight="1" spans="1:19">
      <c r="A20" s="5379"/>
      <c r="B20" s="5389" t="s">
        <v>2287</v>
      </c>
      <c r="C20" s="5409" t="str">
        <f>UnosPod!AA10&amp;UnosPod!AB10&amp;"."&amp;UnosPod!AC10&amp;UnosPod!AD10</f>
        <v>66.30</v>
      </c>
      <c r="D20" s="5410" t="str">
        <f>IFERROR(INDEX('#Konverter'!$J$2:$J$824,MATCH(Baza!$C$20,'#Konverter'!$I$2:$I$824,0)),"Upiši šifru djelatnosti")</f>
        <v>Djelatnosti upravljanja fondovima</v>
      </c>
      <c r="E20" s="5411"/>
      <c r="F20" s="5411"/>
      <c r="G20" s="5411"/>
      <c r="H20" s="5411"/>
      <c r="I20" s="5411"/>
      <c r="J20" s="5411"/>
      <c r="K20" s="5411"/>
      <c r="L20" s="5411"/>
      <c r="M20" s="5411"/>
      <c r="N20" s="5392"/>
      <c r="O20" s="5392"/>
      <c r="P20" s="5392"/>
      <c r="Q20"/>
      <c r="R20"/>
      <c r="S20"/>
    </row>
    <row r="21" s="2" customFormat="1" ht="21" customHeight="1" spans="1:19">
      <c r="A21" s="5388"/>
      <c r="B21" s="5389" t="s">
        <v>2288</v>
      </c>
      <c r="C21" s="5412" t="str">
        <f>UnosPod!AA11&amp;UnosPod!AB11&amp;UnosPod!AC11</f>
        <v>109</v>
      </c>
      <c r="D21" s="5413" t="str">
        <f>IFERROR(INDEX('#Konverter'!$D$2:$D$80,MATCH(C21,'#Konverter'!$B$2:$B$80,0)),"Upiši šifru općine")</f>
        <v>Sarajevo-Stari Grad</v>
      </c>
      <c r="E21" s="5414"/>
      <c r="F21" s="5414"/>
      <c r="G21" s="5414"/>
      <c r="H21" s="5414"/>
      <c r="I21" s="5414" t="str">
        <f>Opcina</f>
        <v>Sarajevo-Stari Grad</v>
      </c>
      <c r="J21" s="5414"/>
      <c r="K21" s="5414"/>
      <c r="L21" s="5414"/>
      <c r="M21" s="5414"/>
      <c r="N21" s="5392"/>
      <c r="O21" s="5392"/>
      <c r="P21" s="5392"/>
    </row>
    <row r="22" ht="21" customHeight="1" spans="1:19">
      <c r="A22" s="5379"/>
      <c r="B22" s="5415" t="s">
        <v>2289</v>
      </c>
      <c r="C22" s="5416" t="str">
        <f>UnosPod!AT4</f>
        <v>bosanski</v>
      </c>
      <c r="D22" s="5365"/>
      <c r="E22" s="5365"/>
      <c r="F22" s="5365"/>
      <c r="G22" s="5365"/>
      <c r="H22" s="5365"/>
      <c r="I22" s="5365"/>
      <c r="J22" s="5365"/>
      <c r="K22" s="5365"/>
      <c r="L22" s="5365"/>
      <c r="M22" s="5365"/>
      <c r="N22" s="5365"/>
      <c r="O22" s="5365"/>
      <c r="P22" s="5365"/>
    </row>
    <row r="23" ht="15" customHeight="1" spans="1:19">
      <c r="A23" s="5365"/>
      <c r="B23" s="5365"/>
      <c r="C23" s="5365"/>
      <c r="D23" s="5365"/>
      <c r="E23" s="5365"/>
      <c r="F23" s="5365"/>
      <c r="G23" s="5365"/>
      <c r="H23" s="5365"/>
      <c r="I23" s="5365"/>
      <c r="J23" s="5365"/>
      <c r="K23" s="5365"/>
      <c r="L23" s="5365"/>
      <c r="M23" s="5365"/>
      <c r="N23" s="5365"/>
      <c r="O23" s="5365"/>
      <c r="P23" s="5365"/>
    </row>
    <row r="24" ht="15" customHeight="1" spans="1:19">
      <c r="A24" s="5365"/>
      <c r="B24" s="5365"/>
      <c r="C24" s="5365"/>
      <c r="D24" s="5365"/>
      <c r="E24" s="5365"/>
      <c r="F24" s="5365"/>
      <c r="G24" s="5365"/>
      <c r="H24" s="5365"/>
      <c r="I24" s="5365"/>
      <c r="J24" s="5365"/>
      <c r="K24" s="5365"/>
      <c r="L24" s="5365"/>
      <c r="M24" s="5365"/>
      <c r="N24" s="5365"/>
      <c r="O24" s="5365"/>
      <c r="P24" s="5365"/>
    </row>
    <row r="25" ht="15" customHeight="1" spans="1:19">
      <c r="A25" s="5417" t="s">
        <v>14</v>
      </c>
      <c r="B25" s="5418"/>
      <c r="C25" s="5419"/>
      <c r="D25" s="5394"/>
      <c r="E25" s="5365"/>
      <c r="F25" s="5365"/>
      <c r="G25" s="5365"/>
      <c r="H25" s="5365"/>
      <c r="I25" s="5365"/>
      <c r="J25" s="5365"/>
      <c r="K25" s="5365"/>
      <c r="L25" s="5365"/>
      <c r="M25" s="5365"/>
      <c r="N25" s="5365"/>
      <c r="O25" s="5365"/>
      <c r="P25" s="5365"/>
    </row>
    <row r="26" ht="15" customHeight="1" spans="1:19">
      <c r="A26" s="5420"/>
      <c r="B26" s="5420" t="s">
        <v>15</v>
      </c>
      <c r="C26" s="5421" t="s">
        <v>16</v>
      </c>
      <c r="D26" s="5421" t="s">
        <v>17</v>
      </c>
      <c r="E26" s="5422" t="s">
        <v>18</v>
      </c>
      <c r="F26" s="5422" t="s">
        <v>19</v>
      </c>
      <c r="G26" s="5422" t="s">
        <v>20</v>
      </c>
      <c r="H26" s="5422"/>
      <c r="I26" s="5365"/>
      <c r="J26" s="5365"/>
      <c r="K26" s="5365"/>
      <c r="L26" s="5365"/>
      <c r="M26" s="5365"/>
      <c r="N26" s="5365"/>
      <c r="O26" s="5365"/>
      <c r="P26" s="5365"/>
    </row>
    <row r="27" ht="15" customHeight="1" spans="1:19">
      <c r="A27" s="5423" t="str">
        <f>IF(C27=0,"-","P1")</f>
        <v>P1</v>
      </c>
      <c r="B27" s="5424" t="str">
        <f>INDEX($B$38:$B$87,MATCH(C27,$C$38:$C$87,0))</f>
        <v>Prihodi od pruženih usluga na domaćem tržištu (AOP 209)</v>
      </c>
      <c r="C27" s="5425">
        <f>MAX($C$38:$C$56)</f>
        <v>245707</v>
      </c>
      <c r="D27" s="5425">
        <f>INDEX($D$38:$D$56,MATCH(C27,$C$38:$C$56,0))</f>
        <v>308500</v>
      </c>
      <c r="E27" s="5425">
        <f t="shared" ref="E27:E34" si="0">C27-D27</f>
        <v>-62793</v>
      </c>
      <c r="F27" s="5426">
        <f t="shared" ref="F27:F34" si="1">IF(E27&lt;0,E27*-1,E27)</f>
        <v>62793</v>
      </c>
      <c r="G27" s="5427">
        <f t="shared" ref="G27:G34" si="2">IFERROR(F27/D27,0)</f>
        <v>0.203542949756888</v>
      </c>
      <c r="H27" s="5425" t="str">
        <f t="shared" ref="H27:H34" si="3">IF(E27&lt;=0,"SMANJENJE","POVEĆANJE")</f>
        <v>SMANJENJE</v>
      </c>
      <c r="I27" s="5365">
        <f>INDEX($F$38:$F$56,MATCH(C27,$C$38:$C$56,0))</f>
        <v>0</v>
      </c>
      <c r="J27" s="5365"/>
      <c r="K27" s="5365"/>
      <c r="L27" s="5365"/>
      <c r="M27" s="5365"/>
      <c r="N27" s="5365"/>
      <c r="O27" s="5365"/>
      <c r="P27" s="5365"/>
    </row>
    <row r="28" ht="15" customHeight="1" spans="1:19">
      <c r="A28" s="5428" t="str">
        <f>IF(C28=0,"-","P2")</f>
        <v>P2</v>
      </c>
      <c r="B28" s="5429" t="str">
        <f>INDEX($B$38:$B$87,MATCH(C28,$C$38:$C$87,0))</f>
        <v>Finansijski rashodi (AOP 247)</v>
      </c>
      <c r="C28" s="5430">
        <f>LARGE($C$38:$C$56,2)</f>
        <v>1319</v>
      </c>
      <c r="D28" s="5430">
        <f>INDEX($D$38:$D$56,MATCH(C28,$C$38:$C$56,0))</f>
        <v>3942</v>
      </c>
      <c r="E28" s="5430">
        <f t="shared" si="0"/>
        <v>-2623</v>
      </c>
      <c r="F28" s="5431">
        <f t="shared" si="1"/>
        <v>2623</v>
      </c>
      <c r="G28" s="5432">
        <f t="shared" si="2"/>
        <v>0.665398274987316</v>
      </c>
      <c r="H28" s="5430" t="str">
        <f t="shared" si="3"/>
        <v>SMANJENJE</v>
      </c>
      <c r="I28" s="5365">
        <f>INDEX($F$38:$F$56,MATCH(C28,$C$38:$C$56,0))</f>
        <v>0</v>
      </c>
      <c r="J28" s="5365"/>
      <c r="K28" s="5365"/>
      <c r="L28" s="5365"/>
      <c r="M28" s="5365"/>
      <c r="N28" s="5365"/>
      <c r="O28" s="5365"/>
      <c r="P28" s="5365"/>
    </row>
    <row r="29" ht="15" customHeight="1" spans="1:19">
      <c r="A29" s="5428" t="str">
        <f>IF(C29=0,"-","P3")</f>
        <v>P3</v>
      </c>
      <c r="B29" s="5429" t="str">
        <f>INDEX($B$38:$B$87,MATCH(C29,$C$38:$C$87,0))</f>
        <v>Ostali prihodi i dobici (AOP 251)</v>
      </c>
      <c r="C29" s="5430">
        <f>LARGE($C$38:$C$56,3)</f>
        <v>746</v>
      </c>
      <c r="D29" s="5430">
        <f>INDEX($D$38:$D$56,MATCH(C29,$C$38:$C$56,0))</f>
        <v>8190</v>
      </c>
      <c r="E29" s="5430">
        <f t="shared" si="0"/>
        <v>-7444</v>
      </c>
      <c r="F29" s="5431">
        <f t="shared" si="1"/>
        <v>7444</v>
      </c>
      <c r="G29" s="5432">
        <f t="shared" si="2"/>
        <v>0.908913308913309</v>
      </c>
      <c r="H29" s="5430" t="str">
        <f t="shared" si="3"/>
        <v>SMANJENJE</v>
      </c>
      <c r="I29" s="5365">
        <f>INDEX($F$38:$F$56,MATCH(C29,$C$38:$C$56,0))</f>
        <v>0</v>
      </c>
      <c r="J29" s="5365"/>
      <c r="K29" s="5365"/>
      <c r="L29" s="5365"/>
      <c r="M29" s="5365"/>
      <c r="N29" s="5365"/>
      <c r="O29" s="5365"/>
      <c r="P29" s="5365"/>
    </row>
    <row r="30" ht="15" customHeight="1" spans="1:19">
      <c r="A30" s="5428" t="str">
        <f>IF(C30=0,"-","P4")</f>
        <v>-</v>
      </c>
      <c r="B30" s="5429" t="str">
        <f>INDEX($B$38:$B$87,MATCH(C30,$C$38:$C$87,0))</f>
        <v>Prihodi od prodaje robe povezanim stranama (AOP 203)</v>
      </c>
      <c r="C30" s="5430">
        <f>LARGE($C$38:$C$56,4)</f>
        <v>0</v>
      </c>
      <c r="D30" s="5430">
        <f>INDEX($D$38:$D$56,MATCH(C30,$C$38:$C$56,0))</f>
        <v>0</v>
      </c>
      <c r="E30" s="5430">
        <f t="shared" si="0"/>
        <v>0</v>
      </c>
      <c r="F30" s="5431">
        <f t="shared" si="1"/>
        <v>0</v>
      </c>
      <c r="G30" s="5432">
        <f t="shared" si="2"/>
        <v>0</v>
      </c>
      <c r="H30" s="5430" t="str">
        <f t="shared" si="3"/>
        <v>SMANJENJE</v>
      </c>
      <c r="I30" s="5365">
        <f>INDEX($F$38:$F$56,MATCH(C30,$C$38:$C$56,0))</f>
        <v>0</v>
      </c>
      <c r="J30" s="5365"/>
      <c r="K30" s="5365"/>
      <c r="L30" s="5365"/>
      <c r="M30" s="5365"/>
      <c r="N30" s="5365"/>
      <c r="O30" s="5365"/>
      <c r="P30" s="5365"/>
    </row>
    <row r="31" ht="15" customHeight="1" spans="1:19">
      <c r="A31" s="5428"/>
      <c r="B31" s="5429" t="str">
        <f>INDEX($B$38:$B$87,MATCH(C31,$C$38:$C$87,0))</f>
        <v>Prihodi od prodaje robe povezanim stranama (AOP 203)</v>
      </c>
      <c r="C31" s="5430">
        <f>LARGE($C$38:$C$56,5)</f>
        <v>0</v>
      </c>
      <c r="D31" s="5430">
        <f>INDEX($D$38:$D$56,MATCH(C31,$C$38:$C$56,0))</f>
        <v>0</v>
      </c>
      <c r="E31" s="5430">
        <f t="shared" si="0"/>
        <v>0</v>
      </c>
      <c r="F31" s="5431">
        <f t="shared" si="1"/>
        <v>0</v>
      </c>
      <c r="G31" s="5432">
        <f t="shared" si="2"/>
        <v>0</v>
      </c>
      <c r="H31" s="5430" t="str">
        <f t="shared" si="3"/>
        <v>SMANJENJE</v>
      </c>
      <c r="I31" s="5365"/>
      <c r="J31" s="5365"/>
      <c r="K31" s="5365"/>
      <c r="L31" s="5365"/>
      <c r="M31" s="5365"/>
      <c r="N31" s="5365"/>
      <c r="O31" s="5365"/>
      <c r="P31" s="5365"/>
    </row>
    <row r="32" ht="15" customHeight="1" spans="1:19">
      <c r="A32" s="5433"/>
      <c r="B32" s="5434" t="s">
        <v>2290</v>
      </c>
      <c r="C32" s="5435">
        <f>C33-SUM(C27:C31)</f>
        <v>0</v>
      </c>
      <c r="D32" s="5436">
        <f>D33-SUM(D27:D31)</f>
        <v>63891</v>
      </c>
      <c r="E32" s="5436">
        <f t="shared" si="0"/>
        <v>-63891</v>
      </c>
      <c r="F32" s="5437">
        <f t="shared" si="1"/>
        <v>63891</v>
      </c>
      <c r="G32" s="5438">
        <f t="shared" si="2"/>
        <v>1</v>
      </c>
      <c r="H32" s="5435" t="str">
        <f t="shared" si="3"/>
        <v>SMANJENJE</v>
      </c>
      <c r="I32" s="5365"/>
      <c r="J32" s="5365"/>
      <c r="K32" s="5365"/>
      <c r="L32" s="5365"/>
      <c r="M32" s="5365"/>
      <c r="N32" s="5365"/>
      <c r="O32" s="5365"/>
      <c r="P32" s="5365"/>
    </row>
    <row r="33" ht="15" customHeight="1" spans="1:16">
      <c r="A33" s="5439"/>
      <c r="B33" s="5440" t="s">
        <v>22</v>
      </c>
      <c r="C33" s="5441">
        <f>B_Uspjeha!AI76</f>
        <v>247772</v>
      </c>
      <c r="D33" s="5441">
        <f>B_Uspjeha!AP76</f>
        <v>384523</v>
      </c>
      <c r="E33" s="5441">
        <f t="shared" si="0"/>
        <v>-136751</v>
      </c>
      <c r="F33" s="5442">
        <f t="shared" si="1"/>
        <v>136751</v>
      </c>
      <c r="G33" s="5443">
        <f t="shared" si="2"/>
        <v>0.355638024253426</v>
      </c>
      <c r="H33" s="5441" t="str">
        <f t="shared" si="3"/>
        <v>SMANJENJE</v>
      </c>
      <c r="I33" s="5365"/>
      <c r="J33" s="5365"/>
      <c r="K33" s="5365"/>
      <c r="L33" s="5365"/>
      <c r="M33" s="5365"/>
      <c r="N33" s="5365"/>
      <c r="O33" s="5365"/>
      <c r="P33" s="5365"/>
    </row>
    <row r="34" ht="15" customHeight="1" spans="1:16">
      <c r="A34" s="5444"/>
      <c r="B34" s="5424" t="s">
        <v>23</v>
      </c>
      <c r="C34" s="5425">
        <f>B_Uspjeha!AI21</f>
        <v>245707</v>
      </c>
      <c r="D34" s="5425">
        <f>B_Uspjeha!AP21</f>
        <v>308500</v>
      </c>
      <c r="E34" s="5425">
        <f t="shared" si="0"/>
        <v>-62793</v>
      </c>
      <c r="F34" s="5445">
        <f t="shared" si="1"/>
        <v>62793</v>
      </c>
      <c r="G34" s="5446">
        <f t="shared" si="2"/>
        <v>0.203542949756888</v>
      </c>
      <c r="H34" s="5447" t="str">
        <f t="shared" si="3"/>
        <v>SMANJENJE</v>
      </c>
      <c r="I34" s="5365"/>
      <c r="J34" s="5365"/>
      <c r="K34" s="5365"/>
      <c r="L34" s="5365"/>
      <c r="M34" s="5365"/>
      <c r="N34" s="5365"/>
      <c r="O34" s="5365"/>
      <c r="P34" s="5365"/>
    </row>
    <row r="35" ht="15" customHeight="1" spans="1:16">
      <c r="A35" s="5448"/>
      <c r="B35" s="5429" t="s">
        <v>24</v>
      </c>
      <c r="C35" s="5449">
        <f>IFERROR(C34/C33,0)</f>
        <v>0.991665724940671</v>
      </c>
      <c r="D35" s="5449">
        <f>IFERROR(D34/D33,0)</f>
        <v>0.802292710709112</v>
      </c>
      <c r="E35" s="5430"/>
      <c r="F35" s="5431"/>
      <c r="G35" s="5432"/>
      <c r="H35" s="5430"/>
      <c r="I35" s="5365"/>
      <c r="J35" s="5365"/>
      <c r="K35" s="5365"/>
      <c r="L35" s="5365"/>
      <c r="M35" s="5365"/>
      <c r="N35" s="5365"/>
      <c r="O35" s="5365"/>
      <c r="P35" s="5365"/>
    </row>
    <row r="36" ht="15" customHeight="1" spans="1:16">
      <c r="A36" s="5418"/>
      <c r="B36" s="5418"/>
      <c r="C36" s="5419"/>
      <c r="D36" s="5394"/>
      <c r="E36" s="5365"/>
      <c r="F36" s="5365"/>
      <c r="G36" s="5365"/>
      <c r="H36" s="5365"/>
      <c r="I36" s="5365"/>
      <c r="J36" s="5365"/>
      <c r="K36" s="5365"/>
      <c r="L36" s="5365"/>
      <c r="M36" s="5365"/>
      <c r="N36" s="5365"/>
      <c r="O36" s="5365"/>
      <c r="P36" s="5365"/>
    </row>
    <row r="37" ht="18" customHeight="1" spans="1:16">
      <c r="A37" s="5420"/>
      <c r="B37" s="5420" t="s">
        <v>15</v>
      </c>
      <c r="C37" s="5421" t="s">
        <v>16</v>
      </c>
      <c r="D37" s="5421" t="s">
        <v>17</v>
      </c>
      <c r="E37" s="5421" t="s">
        <v>25</v>
      </c>
      <c r="F37" s="5365"/>
      <c r="G37" s="5365"/>
      <c r="H37" s="5365"/>
      <c r="I37" s="5365"/>
      <c r="J37" s="5365"/>
      <c r="K37" s="5365"/>
      <c r="L37" s="5365"/>
      <c r="M37" s="5365"/>
      <c r="N37" s="5365"/>
      <c r="O37" s="5365"/>
      <c r="P37" s="5365"/>
    </row>
    <row r="38" ht="15.75" spans="1:16">
      <c r="A38" s="1054"/>
      <c r="B38" s="1746" t="s">
        <v>2291</v>
      </c>
      <c r="C38" s="5450">
        <f>B_Uspjeha!AI23</f>
        <v>0</v>
      </c>
      <c r="D38" s="5450">
        <f>B_Uspjeha!AP23</f>
        <v>0</v>
      </c>
      <c r="E38" s="5451" t="str">
        <f t="shared" ref="E38:E48" si="4">IFERROR(INDEX($A$27:$A$30,MATCH(C38,$C$27:$C$30,0)),"-")</f>
        <v>-</v>
      </c>
      <c r="F38" s="5383"/>
      <c r="G38" s="5365"/>
      <c r="H38" s="5365"/>
      <c r="I38" s="5365"/>
      <c r="J38" s="5365"/>
      <c r="K38" s="5365"/>
      <c r="L38" s="5365"/>
      <c r="M38" s="5365"/>
      <c r="N38" s="5365"/>
      <c r="O38" s="5365"/>
      <c r="P38" s="5365"/>
    </row>
    <row r="39" ht="15.75" spans="1:16">
      <c r="A39" s="1054"/>
      <c r="B39" s="1746" t="s">
        <v>2292</v>
      </c>
      <c r="C39" s="5450">
        <f>B_Uspjeha!AI24</f>
        <v>0</v>
      </c>
      <c r="D39" s="5450">
        <f>B_Uspjeha!AP24</f>
        <v>0</v>
      </c>
      <c r="E39" s="5451" t="str">
        <f t="shared" si="4"/>
        <v>-</v>
      </c>
      <c r="F39" s="5383"/>
      <c r="G39" s="5365"/>
      <c r="H39" s="5365"/>
      <c r="I39" s="5365"/>
      <c r="J39" s="5365"/>
      <c r="K39" s="5365"/>
      <c r="L39" s="5365"/>
      <c r="M39" s="5365"/>
      <c r="N39" s="5365"/>
      <c r="O39" s="5365"/>
      <c r="P39" s="5365"/>
    </row>
    <row r="40" ht="15.75" spans="1:16">
      <c r="A40" s="1054"/>
      <c r="B40" s="1746" t="s">
        <v>2293</v>
      </c>
      <c r="C40" s="5450">
        <f>B_Uspjeha!AI25</f>
        <v>0</v>
      </c>
      <c r="D40" s="5450">
        <f>B_Uspjeha!AP25</f>
        <v>0</v>
      </c>
      <c r="E40" s="5451" t="str">
        <f t="shared" si="4"/>
        <v>-</v>
      </c>
      <c r="F40" s="5383"/>
      <c r="G40" s="5365"/>
      <c r="H40" s="5365"/>
      <c r="I40" s="5365"/>
      <c r="J40" s="5365"/>
      <c r="K40" s="5365"/>
      <c r="L40" s="5365"/>
      <c r="M40" s="5365"/>
      <c r="N40" s="5365"/>
      <c r="O40" s="5365"/>
      <c r="P40" s="5365"/>
    </row>
    <row r="41" ht="15.75" spans="1:16">
      <c r="A41" s="1054"/>
      <c r="B41" s="1746" t="s">
        <v>2294</v>
      </c>
      <c r="C41" s="5450">
        <f>B_Uspjeha!AI27</f>
        <v>0</v>
      </c>
      <c r="D41" s="5450">
        <f>B_Uspjeha!AP27</f>
        <v>0</v>
      </c>
      <c r="E41" s="5451" t="str">
        <f t="shared" si="4"/>
        <v>-</v>
      </c>
      <c r="F41" s="5365"/>
      <c r="G41" s="5365"/>
      <c r="H41" s="5365"/>
      <c r="I41" s="5365"/>
      <c r="J41" s="5365"/>
      <c r="K41" s="5365"/>
      <c r="L41" s="5365"/>
      <c r="M41" s="5365"/>
      <c r="N41" s="5365"/>
      <c r="O41" s="5365"/>
      <c r="P41" s="5365"/>
    </row>
    <row r="42" ht="15.75" spans="1:16">
      <c r="A42" s="1054"/>
      <c r="B42" s="1746" t="s">
        <v>2295</v>
      </c>
      <c r="C42" s="5450">
        <f>B_Uspjeha!AI28</f>
        <v>0</v>
      </c>
      <c r="D42" s="5450">
        <f>B_Uspjeha!AP28</f>
        <v>0</v>
      </c>
      <c r="E42" s="5451" t="str">
        <f t="shared" si="4"/>
        <v>-</v>
      </c>
      <c r="F42" s="5383"/>
      <c r="G42" s="5365"/>
      <c r="H42" s="5365"/>
      <c r="I42" s="5365"/>
      <c r="J42" s="5365"/>
      <c r="K42" s="5365"/>
      <c r="L42" s="5365"/>
      <c r="M42" s="5365"/>
      <c r="N42" s="5365"/>
      <c r="O42" s="5365"/>
      <c r="P42" s="5365"/>
    </row>
    <row r="43" ht="15.75" spans="1:16">
      <c r="A43" s="1054"/>
      <c r="B43" s="1746" t="s">
        <v>2296</v>
      </c>
      <c r="C43" s="5450">
        <f>B_Uspjeha!AI29</f>
        <v>245707</v>
      </c>
      <c r="D43" s="5450">
        <f>B_Uspjeha!AP29</f>
        <v>308500</v>
      </c>
      <c r="E43" s="5451" t="str">
        <f t="shared" si="4"/>
        <v>P1</v>
      </c>
      <c r="F43" s="5365"/>
      <c r="G43" s="5365"/>
      <c r="H43" s="5365"/>
      <c r="I43" s="5365"/>
      <c r="J43" s="5365"/>
      <c r="K43" s="5365"/>
      <c r="L43" s="5365"/>
      <c r="M43" s="5365"/>
      <c r="N43" s="5365"/>
      <c r="O43" s="5365"/>
      <c r="P43" s="5365"/>
    </row>
    <row r="44" ht="15.75" spans="1:16">
      <c r="A44" s="1054"/>
      <c r="B44" s="1746" t="s">
        <v>2297</v>
      </c>
      <c r="C44" s="5450">
        <f>B_Uspjeha!AI31</f>
        <v>0</v>
      </c>
      <c r="D44" s="5450">
        <f>B_Uspjeha!AP31</f>
        <v>0</v>
      </c>
      <c r="E44" s="5451" t="str">
        <f t="shared" si="4"/>
        <v>-</v>
      </c>
      <c r="F44" s="5365"/>
      <c r="G44" s="5365"/>
      <c r="H44" s="5365"/>
      <c r="I44" s="5365"/>
      <c r="J44" s="5365"/>
      <c r="K44" s="5365"/>
      <c r="L44" s="5365"/>
      <c r="M44" s="5365"/>
      <c r="N44" s="5365"/>
      <c r="O44" s="5365"/>
      <c r="P44" s="5365"/>
    </row>
    <row r="45" ht="15.75" spans="1:16">
      <c r="A45" s="1054"/>
      <c r="B45" s="1746" t="s">
        <v>2298</v>
      </c>
      <c r="C45" s="5450">
        <f>B_Uspjeha!AI32</f>
        <v>0</v>
      </c>
      <c r="D45" s="5450">
        <f>B_Uspjeha!AP32</f>
        <v>0</v>
      </c>
      <c r="E45" s="5451" t="str">
        <f t="shared" si="4"/>
        <v>-</v>
      </c>
      <c r="F45" s="5365"/>
      <c r="G45" s="5365"/>
      <c r="H45" s="5365"/>
      <c r="I45" s="5365"/>
      <c r="J45" s="5365"/>
      <c r="K45" s="5365"/>
      <c r="L45" s="5365"/>
      <c r="M45" s="5365"/>
      <c r="N45" s="5365"/>
      <c r="O45" s="5365"/>
      <c r="P45" s="5365"/>
    </row>
    <row r="46" ht="15.75" spans="1:16">
      <c r="A46" s="1054"/>
      <c r="B46" s="1746" t="s">
        <v>2299</v>
      </c>
      <c r="C46" s="5450">
        <f>B_Uspjeha!AI33</f>
        <v>0</v>
      </c>
      <c r="D46" s="5450">
        <f>B_Uspjeha!AP33</f>
        <v>0</v>
      </c>
      <c r="E46" s="5451" t="str">
        <f t="shared" si="4"/>
        <v>-</v>
      </c>
      <c r="F46" s="5365"/>
      <c r="G46" s="5365"/>
      <c r="H46" s="5365"/>
      <c r="I46" s="5365"/>
      <c r="J46" s="5365"/>
      <c r="K46" s="5365"/>
      <c r="L46" s="5365"/>
      <c r="M46" s="5365"/>
      <c r="N46" s="5365"/>
      <c r="O46" s="5365"/>
      <c r="P46" s="5365"/>
    </row>
    <row r="47" ht="15.75" spans="1:16">
      <c r="A47" s="1054"/>
      <c r="B47" s="1746" t="s">
        <v>2300</v>
      </c>
      <c r="C47" s="5450">
        <f>B_Uspjeha!AI35</f>
        <v>0</v>
      </c>
      <c r="D47" s="5450">
        <f>B_Uspjeha!AP35</f>
        <v>63891</v>
      </c>
      <c r="E47" s="5451" t="str">
        <f t="shared" si="4"/>
        <v>-</v>
      </c>
      <c r="F47" s="5365"/>
      <c r="G47" s="5365"/>
      <c r="H47" s="5365"/>
      <c r="I47" s="5365"/>
      <c r="J47" s="5365"/>
      <c r="K47" s="5365"/>
      <c r="L47" s="5365"/>
      <c r="M47" s="5365"/>
      <c r="N47" s="5365"/>
      <c r="O47" s="5365"/>
      <c r="P47" s="5365"/>
    </row>
    <row r="48" ht="15.75" spans="1:16">
      <c r="A48" s="1054"/>
      <c r="B48" s="1746" t="s">
        <v>2301</v>
      </c>
      <c r="C48" s="5450">
        <f>B_Uspjeha!AI54</f>
        <v>0</v>
      </c>
      <c r="D48" s="5450">
        <f>B_Uspjeha!AP54</f>
        <v>0</v>
      </c>
      <c r="E48" s="5451" t="str">
        <f t="shared" si="4"/>
        <v>-</v>
      </c>
      <c r="F48" s="5365"/>
      <c r="G48" s="5365"/>
      <c r="H48" s="5365"/>
      <c r="I48" s="5365"/>
      <c r="J48" s="5365"/>
      <c r="K48" s="5365"/>
      <c r="L48" s="5365"/>
      <c r="M48" s="5365"/>
      <c r="N48" s="5365"/>
      <c r="O48" s="5365"/>
      <c r="P48" s="5365"/>
    </row>
    <row r="49" ht="15.75" spans="1:16">
      <c r="A49" s="651"/>
      <c r="B49" s="1746" t="s">
        <v>2302</v>
      </c>
      <c r="C49" s="5450">
        <f>B_Uspjeha!AI65</f>
        <v>0</v>
      </c>
      <c r="D49" s="5450">
        <f>B_Uspjeha!AP65</f>
        <v>0</v>
      </c>
      <c r="E49" s="5451" t="str">
        <f t="shared" ref="E49:E56" si="5">IFERROR(INDEX($A$27:$A$30,MATCH(C49,$C$27:$C$30,0)),"-")</f>
        <v>-</v>
      </c>
      <c r="F49" s="5365"/>
      <c r="G49" s="5365"/>
      <c r="H49" s="5365"/>
      <c r="I49" s="5365"/>
      <c r="J49" s="5365"/>
      <c r="K49" s="5365"/>
      <c r="L49" s="5365"/>
      <c r="M49" s="5365"/>
      <c r="N49" s="5365"/>
      <c r="O49" s="5365"/>
      <c r="P49" s="5365"/>
    </row>
    <row r="50" ht="15.75" spans="1:16">
      <c r="A50" s="651"/>
      <c r="B50" s="1746" t="s">
        <v>2303</v>
      </c>
      <c r="C50" s="5450">
        <f>B_Uspjeha!AI66</f>
        <v>0</v>
      </c>
      <c r="D50" s="5450">
        <f>B_Uspjeha!AP66</f>
        <v>0</v>
      </c>
      <c r="E50" s="5451" t="str">
        <f t="shared" si="5"/>
        <v>-</v>
      </c>
      <c r="F50" s="5365"/>
      <c r="G50" s="5365"/>
      <c r="H50" s="5365"/>
      <c r="I50" s="5365"/>
      <c r="J50" s="5365"/>
      <c r="K50" s="5365"/>
      <c r="L50" s="5365"/>
      <c r="M50" s="5365"/>
      <c r="N50" s="5365"/>
      <c r="O50" s="5365"/>
      <c r="P50" s="5365"/>
    </row>
    <row r="51" ht="15.75" spans="1:16">
      <c r="A51" s="651"/>
      <c r="B51" s="1746" t="s">
        <v>2304</v>
      </c>
      <c r="C51" s="5450">
        <f>B_Uspjeha!AI67</f>
        <v>0</v>
      </c>
      <c r="D51" s="5450">
        <f>B_Uspjeha!AP67</f>
        <v>0</v>
      </c>
      <c r="E51" s="5451" t="str">
        <f t="shared" si="5"/>
        <v>-</v>
      </c>
      <c r="F51" s="5365"/>
      <c r="G51" s="5365"/>
      <c r="H51" s="5365"/>
      <c r="I51" s="5365"/>
      <c r="J51" s="5365"/>
      <c r="K51" s="5365"/>
      <c r="L51" s="5365"/>
      <c r="M51" s="5365"/>
      <c r="N51" s="5365"/>
      <c r="O51" s="5365"/>
      <c r="P51" s="5365"/>
    </row>
    <row r="52" ht="15.75" spans="1:16">
      <c r="A52" s="651"/>
      <c r="B52" s="1746" t="s">
        <v>2305</v>
      </c>
      <c r="C52" s="5450">
        <f>B_Uspjeha!AI68</f>
        <v>0</v>
      </c>
      <c r="D52" s="5450">
        <f>B_Uspjeha!AP68</f>
        <v>0</v>
      </c>
      <c r="E52" s="5451" t="str">
        <f t="shared" si="5"/>
        <v>-</v>
      </c>
      <c r="F52" s="5365"/>
      <c r="G52" s="5365"/>
      <c r="H52" s="5365"/>
      <c r="I52" s="5365"/>
      <c r="J52" s="5365"/>
      <c r="K52" s="5365"/>
      <c r="L52" s="5365"/>
      <c r="M52" s="5365"/>
      <c r="N52" s="5365"/>
      <c r="O52" s="5365"/>
      <c r="P52" s="5365"/>
    </row>
    <row r="53" ht="15.75" spans="1:16">
      <c r="A53" s="651"/>
      <c r="B53" s="1746" t="s">
        <v>2306</v>
      </c>
      <c r="C53" s="5450">
        <f>B_Uspjeha!AI69</f>
        <v>0</v>
      </c>
      <c r="D53" s="5450">
        <f>B_Uspjeha!AP69</f>
        <v>0</v>
      </c>
      <c r="E53" s="5451" t="str">
        <f t="shared" si="5"/>
        <v>-</v>
      </c>
      <c r="F53" s="5365"/>
      <c r="G53" s="5365"/>
      <c r="H53" s="5365"/>
      <c r="I53" s="5365"/>
      <c r="J53" s="5365"/>
      <c r="K53" s="5365"/>
      <c r="L53" s="5365"/>
      <c r="M53" s="5365"/>
      <c r="N53" s="5365"/>
      <c r="O53" s="5365"/>
      <c r="P53" s="5365"/>
    </row>
    <row r="54" ht="15.75" spans="1:16">
      <c r="A54" s="651"/>
      <c r="B54" s="1746" t="s">
        <v>2307</v>
      </c>
      <c r="C54" s="5450">
        <f>B_Uspjeha!AI70</f>
        <v>0</v>
      </c>
      <c r="D54" s="5450">
        <f>B_Uspjeha!AP70</f>
        <v>0</v>
      </c>
      <c r="E54" s="5451" t="str">
        <f t="shared" si="5"/>
        <v>-</v>
      </c>
      <c r="F54" s="5365"/>
      <c r="G54" s="5365"/>
      <c r="H54" s="5365"/>
      <c r="I54" s="5365"/>
      <c r="J54" s="5365"/>
      <c r="K54" s="5365"/>
      <c r="L54" s="5365"/>
      <c r="M54" s="5365"/>
      <c r="N54" s="5365"/>
      <c r="O54" s="5365"/>
      <c r="P54" s="5365"/>
    </row>
    <row r="55" ht="15.75" spans="1:16">
      <c r="A55" s="651"/>
      <c r="B55" s="1746" t="s">
        <v>2308</v>
      </c>
      <c r="C55" s="5450">
        <f>B_Uspjeha!AI72</f>
        <v>1319</v>
      </c>
      <c r="D55" s="5450">
        <f>B_Uspjeha!AP71</f>
        <v>3942</v>
      </c>
      <c r="E55" s="5451" t="str">
        <f t="shared" si="5"/>
        <v>P2</v>
      </c>
      <c r="F55" s="5365"/>
      <c r="G55" s="5365"/>
      <c r="H55" s="5365"/>
      <c r="I55" s="5365"/>
      <c r="J55" s="5365"/>
      <c r="K55" s="5365"/>
      <c r="L55" s="5365"/>
      <c r="M55" s="5365"/>
      <c r="N55" s="5365"/>
      <c r="O55" s="5365"/>
      <c r="P55" s="5365"/>
    </row>
    <row r="56" ht="15.75" spans="1:16">
      <c r="A56" s="651"/>
      <c r="B56" s="1746" t="s">
        <v>2309</v>
      </c>
      <c r="C56" s="5450">
        <f>B_Uspjeha!AI75</f>
        <v>746</v>
      </c>
      <c r="D56" s="5450">
        <f>B_Uspjeha!AP75</f>
        <v>8190</v>
      </c>
      <c r="E56" s="5451" t="str">
        <f t="shared" si="5"/>
        <v>P3</v>
      </c>
      <c r="F56" s="5365"/>
      <c r="G56" s="5365"/>
      <c r="H56" s="5365"/>
      <c r="I56" s="5365"/>
      <c r="J56" s="5365"/>
      <c r="K56" s="5365"/>
      <c r="L56" s="5365"/>
      <c r="M56" s="5365"/>
      <c r="N56" s="5365"/>
      <c r="O56" s="5365"/>
      <c r="P56" s="5365"/>
    </row>
    <row r="57" spans="1:16">
      <c r="A57" s="5365"/>
      <c r="B57" s="5365"/>
      <c r="C57" s="5365"/>
      <c r="D57" s="5365"/>
      <c r="E57" s="5365"/>
      <c r="F57" s="5365"/>
      <c r="G57" s="5365"/>
      <c r="H57" s="5365"/>
      <c r="I57" s="5365"/>
      <c r="J57" s="5365"/>
      <c r="K57" s="5365"/>
      <c r="L57" s="5365"/>
      <c r="M57" s="5365"/>
      <c r="N57" s="5365"/>
      <c r="O57" s="5365"/>
      <c r="P57" s="5365"/>
    </row>
    <row r="58" spans="1:16">
      <c r="A58" s="5365"/>
      <c r="B58" s="5365"/>
      <c r="C58" s="5365"/>
      <c r="D58" s="5365"/>
      <c r="E58" s="5365"/>
      <c r="F58" s="5365"/>
      <c r="G58" s="5365"/>
      <c r="H58" s="5365"/>
      <c r="I58" s="5365"/>
      <c r="J58" s="5365"/>
      <c r="K58" s="5365"/>
      <c r="L58" s="5365"/>
      <c r="M58" s="5365"/>
      <c r="N58" s="5365"/>
      <c r="O58" s="5365"/>
      <c r="P58" s="5365"/>
    </row>
    <row r="59" spans="1:16">
      <c r="A59" s="5365"/>
      <c r="B59" s="5365"/>
      <c r="C59" s="5365"/>
      <c r="D59" s="5365"/>
      <c r="E59" s="5365"/>
      <c r="F59" s="5365"/>
      <c r="G59" s="5365"/>
      <c r="H59" s="5365"/>
      <c r="I59" s="5365"/>
      <c r="J59" s="5365"/>
      <c r="K59" s="5365"/>
      <c r="L59" s="5365"/>
      <c r="M59" s="5365"/>
      <c r="N59" s="5365"/>
      <c r="O59" s="5365"/>
      <c r="P59" s="5365"/>
    </row>
    <row r="60" ht="15" spans="1:16">
      <c r="A60" s="5417" t="s">
        <v>61</v>
      </c>
      <c r="B60" s="5365"/>
      <c r="C60" s="5365"/>
      <c r="D60" s="5365"/>
      <c r="E60" s="5365"/>
      <c r="F60" s="5365"/>
      <c r="G60" s="5365"/>
      <c r="H60" s="5365"/>
      <c r="I60" s="5365"/>
      <c r="J60" s="5365"/>
      <c r="K60" s="5365"/>
      <c r="L60" s="5365"/>
      <c r="M60" s="5365"/>
      <c r="N60" s="5365"/>
      <c r="O60" s="5365"/>
      <c r="P60" s="5365"/>
    </row>
    <row r="61" ht="17.25" customHeight="1" spans="1:16">
      <c r="A61" s="5420"/>
      <c r="B61" s="5420" t="s">
        <v>62</v>
      </c>
      <c r="C61" s="5421" t="s">
        <v>16</v>
      </c>
      <c r="D61" s="5421" t="s">
        <v>17</v>
      </c>
      <c r="E61" s="5422" t="s">
        <v>18</v>
      </c>
      <c r="F61" s="5422" t="s">
        <v>19</v>
      </c>
      <c r="G61" s="5422" t="s">
        <v>20</v>
      </c>
      <c r="H61" s="5422"/>
      <c r="I61" s="5365"/>
      <c r="J61" s="5365"/>
      <c r="K61" s="5365"/>
      <c r="L61" s="5365"/>
      <c r="M61" s="5365"/>
      <c r="N61" s="5365"/>
      <c r="O61" s="5365"/>
      <c r="P61" s="5365"/>
    </row>
    <row r="62" ht="14.25" customHeight="1" spans="1:16">
      <c r="A62" s="5428" t="str">
        <f>IF(C62=0,"-","R1")</f>
        <v>R1</v>
      </c>
      <c r="B62" s="5424" t="str">
        <f t="shared" ref="B62:B71" si="6">INDEX($B$79:$B$96,MATCH(C62,$C$79:$C$96,0))</f>
        <v>Troškovi plaća i ostalih ličnih primanja (AOP 258)</v>
      </c>
      <c r="C62" s="5425">
        <f>MAX($C$79:$C$96)</f>
        <v>206367</v>
      </c>
      <c r="D62" s="5425">
        <f t="shared" ref="D62:D71" si="7">INDEX($D$79:$D$96,MATCH(C62,$C$79:$C$96,0))</f>
        <v>197520</v>
      </c>
      <c r="E62" s="5425">
        <f t="shared" ref="E62:E74" si="8">C62-D62</f>
        <v>8847</v>
      </c>
      <c r="F62" s="5426">
        <f t="shared" ref="F62:F74" si="9">IF(E62&lt;0,E62*-1,E62)</f>
        <v>8847</v>
      </c>
      <c r="G62" s="5427">
        <f t="shared" ref="G62:G74" si="10">IFERROR(F62/D62,0)</f>
        <v>0.0447904009720535</v>
      </c>
      <c r="H62" s="5425" t="str">
        <f t="shared" ref="H62:H73" si="11">IF(E62&lt;0,"SMANJENJE","POVEĆANJE")</f>
        <v>POVEĆANJE</v>
      </c>
      <c r="I62" s="5365" t="str">
        <f t="shared" ref="I62:I67" si="12">INDEX($F$79:$F$96,MATCH(C62,$C$79:$C$96,0))</f>
        <v>MSFI za MSS Odjeljak 5 Izvještaj o sveobuhvatnoj dobiti i Bilans uspjeha</v>
      </c>
      <c r="J62" s="5365"/>
      <c r="K62" s="5365"/>
      <c r="L62" s="5365"/>
      <c r="M62" s="5365"/>
      <c r="N62" s="5365"/>
      <c r="O62" s="5365"/>
      <c r="P62" s="5365"/>
    </row>
    <row r="63" ht="14.25" customHeight="1" spans="1:16">
      <c r="A63" s="5428" t="str">
        <f>IF(C63=0,"-","R2")</f>
        <v>R2</v>
      </c>
      <c r="B63" s="5429" t="str">
        <f t="shared" si="6"/>
        <v>Ostali poslovni rashodi i troškovi (AOP 270)</v>
      </c>
      <c r="C63" s="5430">
        <f>LARGE($C$79:$C$96,2)</f>
        <v>41433</v>
      </c>
      <c r="D63" s="5430">
        <f t="shared" si="7"/>
        <v>19196</v>
      </c>
      <c r="E63" s="5430">
        <f t="shared" si="8"/>
        <v>22237</v>
      </c>
      <c r="F63" s="5431">
        <f t="shared" si="9"/>
        <v>22237</v>
      </c>
      <c r="G63" s="5432">
        <f t="shared" si="10"/>
        <v>1.15841842050427</v>
      </c>
      <c r="H63" s="5430" t="str">
        <f t="shared" si="11"/>
        <v>POVEĆANJE</v>
      </c>
      <c r="I63" s="5365">
        <f t="shared" si="12"/>
        <v>0</v>
      </c>
      <c r="J63" s="5365"/>
      <c r="K63" s="5365"/>
      <c r="L63" s="5365"/>
      <c r="M63" s="5365"/>
      <c r="N63" s="5365"/>
      <c r="O63" s="5365"/>
      <c r="P63" s="5365"/>
    </row>
    <row r="64" ht="14.25" customHeight="1" spans="1:16">
      <c r="A64" s="5428" t="str">
        <f>IF(C64=0,"-","R3")</f>
        <v>R3</v>
      </c>
      <c r="B64" s="5429" t="str">
        <f t="shared" si="6"/>
        <v>Troškovi primljenih usluga (AOP 269)</v>
      </c>
      <c r="C64" s="5430">
        <f>LARGE($C$79:$C$96,3)</f>
        <v>31427</v>
      </c>
      <c r="D64" s="5430">
        <f t="shared" si="7"/>
        <v>51263</v>
      </c>
      <c r="E64" s="5430">
        <f t="shared" si="8"/>
        <v>-19836</v>
      </c>
      <c r="F64" s="5431">
        <f t="shared" si="9"/>
        <v>19836</v>
      </c>
      <c r="G64" s="5432">
        <f t="shared" si="10"/>
        <v>0.386945750346254</v>
      </c>
      <c r="H64" s="5430" t="str">
        <f t="shared" si="11"/>
        <v>SMANJENJE</v>
      </c>
      <c r="I64" s="5365">
        <f t="shared" si="12"/>
        <v>0</v>
      </c>
      <c r="J64" s="5365"/>
      <c r="K64" s="5365"/>
      <c r="L64" s="5365"/>
      <c r="M64" s="5365"/>
      <c r="N64" s="5365"/>
      <c r="O64" s="5365"/>
      <c r="P64" s="5365"/>
    </row>
    <row r="65" ht="14.25" customHeight="1" spans="1:16">
      <c r="A65" s="5428" t="str">
        <f>IF(C65=0,"-","R4")</f>
        <v>R4</v>
      </c>
      <c r="B65" s="5429" t="str">
        <f t="shared" si="6"/>
        <v>Ostali rashodi i gubici (AOP 308)</v>
      </c>
      <c r="C65" s="5430">
        <f>LARGE($C$79:$C$96,4)</f>
        <v>14798</v>
      </c>
      <c r="D65" s="5430">
        <f t="shared" si="7"/>
        <v>436</v>
      </c>
      <c r="E65" s="5430">
        <f t="shared" si="8"/>
        <v>14362</v>
      </c>
      <c r="F65" s="5431">
        <f t="shared" si="9"/>
        <v>14362</v>
      </c>
      <c r="G65" s="5432">
        <f t="shared" si="10"/>
        <v>32.9403669724771</v>
      </c>
      <c r="H65" s="5430" t="str">
        <f t="shared" si="11"/>
        <v>POVEĆANJE</v>
      </c>
      <c r="I65" s="5365">
        <f t="shared" si="12"/>
        <v>0</v>
      </c>
      <c r="J65" s="5365"/>
      <c r="K65" s="5365"/>
      <c r="L65" s="5365"/>
      <c r="M65" s="5365"/>
      <c r="N65" s="5365"/>
      <c r="O65" s="5365"/>
      <c r="P65" s="5365"/>
    </row>
    <row r="66" ht="14.25" customHeight="1" spans="1:16">
      <c r="A66" s="5428" t="str">
        <f>IF(C66=0,"-","R5")</f>
        <v>R5</v>
      </c>
      <c r="B66" s="5429" t="str">
        <f t="shared" si="6"/>
        <v>Troškovi energije i goriva (AOP 257)</v>
      </c>
      <c r="C66" s="5430">
        <f>LARGE($C$79:$C$96,5)</f>
        <v>7591</v>
      </c>
      <c r="D66" s="5430">
        <f t="shared" si="7"/>
        <v>9093</v>
      </c>
      <c r="E66" s="5430">
        <f t="shared" si="8"/>
        <v>-1502</v>
      </c>
      <c r="F66" s="5431">
        <f t="shared" si="9"/>
        <v>1502</v>
      </c>
      <c r="G66" s="5432">
        <f t="shared" si="10"/>
        <v>0.165182008138128</v>
      </c>
      <c r="H66" s="5430" t="str">
        <f t="shared" si="11"/>
        <v>SMANJENJE</v>
      </c>
      <c r="I66" s="5365" t="str">
        <f t="shared" si="12"/>
        <v>MSFI za MSS Odjeljak 5 Izvještaj o sveobuhvatnoj dobiti i Bilans uspjeha</v>
      </c>
      <c r="J66" s="5365"/>
      <c r="K66" s="5365"/>
      <c r="L66" s="5365"/>
      <c r="M66" s="5365"/>
      <c r="N66" s="5365"/>
      <c r="O66" s="5365"/>
      <c r="P66" s="5365"/>
    </row>
    <row r="67" ht="14.25" customHeight="1" spans="1:16">
      <c r="A67" s="5428" t="str">
        <f>IF(C67=0,"-","R6")</f>
        <v>R6</v>
      </c>
      <c r="B67" s="5429" t="str">
        <f t="shared" si="6"/>
        <v>Amortizacija (AOP 262)</v>
      </c>
      <c r="C67" s="5430">
        <f>LARGE($C$79:$C$96,6)</f>
        <v>4549</v>
      </c>
      <c r="D67" s="5430">
        <f t="shared" si="7"/>
        <v>5172</v>
      </c>
      <c r="E67" s="5430">
        <f t="shared" si="8"/>
        <v>-623</v>
      </c>
      <c r="F67" s="5431">
        <f t="shared" si="9"/>
        <v>623</v>
      </c>
      <c r="G67" s="5432">
        <f t="shared" si="10"/>
        <v>0.12045630317092</v>
      </c>
      <c r="H67" s="5430" t="str">
        <f t="shared" si="11"/>
        <v>SMANJENJE</v>
      </c>
      <c r="I67" s="5365" t="str">
        <f t="shared" si="12"/>
        <v>MSFI za MSS Odjeljak 5 Izvještaj o sveobuhvatnoj dobiti i Bilans uspjeha</v>
      </c>
      <c r="J67" s="5365"/>
      <c r="K67" s="5365"/>
      <c r="L67" s="5365"/>
      <c r="M67" s="5365"/>
      <c r="N67" s="5365"/>
      <c r="O67" s="5365"/>
      <c r="P67" s="5365"/>
    </row>
    <row r="68" ht="14.25" customHeight="1" spans="1:16">
      <c r="A68" s="5428" t="str">
        <f>IF(C68=0,"-","R7")</f>
        <v>R7</v>
      </c>
      <c r="B68" s="5429" t="str">
        <f t="shared" si="6"/>
        <v>Troškovi sirovina i materijala (AOP 256)</v>
      </c>
      <c r="C68" s="5430">
        <f>LARGE($C$79:$C$96,7)</f>
        <v>804</v>
      </c>
      <c r="D68" s="5430">
        <f t="shared" si="7"/>
        <v>563</v>
      </c>
      <c r="E68" s="5430">
        <f t="shared" si="8"/>
        <v>241</v>
      </c>
      <c r="F68" s="5431">
        <f t="shared" si="9"/>
        <v>241</v>
      </c>
      <c r="G68" s="5432">
        <f t="shared" si="10"/>
        <v>0.428063943161634</v>
      </c>
      <c r="H68" s="5430" t="str">
        <f t="shared" si="11"/>
        <v>POVEĆANJE</v>
      </c>
      <c r="I68" s="5365"/>
      <c r="J68" s="5365"/>
      <c r="K68" s="5365"/>
      <c r="L68" s="5365"/>
      <c r="M68" s="5365"/>
      <c r="N68" s="5365"/>
      <c r="O68" s="5365"/>
      <c r="P68" s="5365"/>
    </row>
    <row r="69" ht="14.25" customHeight="1" spans="1:16">
      <c r="A69" s="5428" t="str">
        <f>IF(C69=0,"-","R8")</f>
        <v>-</v>
      </c>
      <c r="B69" s="5429" t="str">
        <f t="shared" si="6"/>
        <v>Nabavna vrijednost prodate robe (AOP 254)</v>
      </c>
      <c r="C69" s="5430">
        <f>LARGE($C$79:$C$96,8)</f>
        <v>0</v>
      </c>
      <c r="D69" s="5430">
        <f t="shared" si="7"/>
        <v>0</v>
      </c>
      <c r="E69" s="5430">
        <f t="shared" si="8"/>
        <v>0</v>
      </c>
      <c r="F69" s="5431">
        <f t="shared" si="9"/>
        <v>0</v>
      </c>
      <c r="G69" s="5432">
        <f t="shared" si="10"/>
        <v>0</v>
      </c>
      <c r="H69" s="5430" t="str">
        <f t="shared" si="11"/>
        <v>POVEĆANJE</v>
      </c>
      <c r="I69" s="5365"/>
      <c r="J69" s="5365"/>
      <c r="K69" s="5365"/>
      <c r="L69" s="5365"/>
      <c r="M69" s="5365"/>
      <c r="N69" s="5365"/>
      <c r="O69" s="5365"/>
      <c r="P69" s="5365"/>
    </row>
    <row r="70" ht="14.25" customHeight="1" spans="1:16">
      <c r="A70" s="5428" t="str">
        <f>IF(C70=0,"-","R9")</f>
        <v>-</v>
      </c>
      <c r="B70" s="5429" t="str">
        <f t="shared" si="6"/>
        <v>Nabavna vrijednost prodate robe (AOP 254)</v>
      </c>
      <c r="C70" s="5430">
        <f>LARGE($C$79:$C$96,9)</f>
        <v>0</v>
      </c>
      <c r="D70" s="5430">
        <f t="shared" si="7"/>
        <v>0</v>
      </c>
      <c r="E70" s="5430">
        <f t="shared" si="8"/>
        <v>0</v>
      </c>
      <c r="F70" s="5431">
        <f t="shared" si="9"/>
        <v>0</v>
      </c>
      <c r="G70" s="5432">
        <f t="shared" si="10"/>
        <v>0</v>
      </c>
      <c r="H70" s="5430" t="str">
        <f t="shared" si="11"/>
        <v>POVEĆANJE</v>
      </c>
      <c r="I70" s="5365"/>
      <c r="J70" s="5365"/>
      <c r="K70" s="5365"/>
      <c r="L70" s="5365"/>
      <c r="M70" s="5365"/>
      <c r="N70" s="5365"/>
      <c r="O70" s="5365"/>
      <c r="P70" s="5365"/>
    </row>
    <row r="71" ht="14.25" customHeight="1" spans="1:16">
      <c r="A71" s="5428" t="str">
        <f>IF(C71=0,"-","R10")</f>
        <v>-</v>
      </c>
      <c r="B71" s="5429" t="str">
        <f t="shared" si="6"/>
        <v>Nabavna vrijednost prodate robe (AOP 254)</v>
      </c>
      <c r="C71" s="5430">
        <f>LARGE($C$79:$C$96,10)</f>
        <v>0</v>
      </c>
      <c r="D71" s="5430">
        <f t="shared" si="7"/>
        <v>0</v>
      </c>
      <c r="E71" s="5430">
        <f t="shared" si="8"/>
        <v>0</v>
      </c>
      <c r="F71" s="5431">
        <f t="shared" si="9"/>
        <v>0</v>
      </c>
      <c r="G71" s="5432">
        <f t="shared" si="10"/>
        <v>0</v>
      </c>
      <c r="H71" s="5430" t="str">
        <f t="shared" si="11"/>
        <v>POVEĆANJE</v>
      </c>
      <c r="I71" s="5365"/>
      <c r="J71" s="5365"/>
      <c r="K71" s="5365"/>
      <c r="L71" s="5365"/>
      <c r="M71" s="5365"/>
      <c r="N71" s="5365"/>
      <c r="O71" s="5365"/>
      <c r="P71" s="5365"/>
    </row>
    <row r="72" ht="14.25" customHeight="1" spans="1:16">
      <c r="A72" s="5428"/>
      <c r="B72" s="5434" t="s">
        <v>2310</v>
      </c>
      <c r="C72" s="5435">
        <f>C73-SUM(C62:C71)</f>
        <v>0</v>
      </c>
      <c r="D72" s="5436">
        <f>D73-SUM(D62:D71)</f>
        <v>2038</v>
      </c>
      <c r="E72" s="5436">
        <f t="shared" si="8"/>
        <v>-2038</v>
      </c>
      <c r="F72" s="5437">
        <f t="shared" si="9"/>
        <v>2038</v>
      </c>
      <c r="G72" s="5438">
        <f t="shared" si="10"/>
        <v>1</v>
      </c>
      <c r="H72" s="5435" t="str">
        <f t="shared" si="11"/>
        <v>SMANJENJE</v>
      </c>
      <c r="I72" s="5365"/>
      <c r="J72" s="5365"/>
      <c r="K72" s="5365"/>
      <c r="L72" s="5365"/>
      <c r="M72" s="5365"/>
      <c r="N72" s="5365"/>
      <c r="O72" s="5365"/>
      <c r="P72" s="5365"/>
    </row>
    <row r="73" ht="18" customHeight="1" spans="1:16">
      <c r="A73" s="5452"/>
      <c r="B73" s="5440" t="s">
        <v>64</v>
      </c>
      <c r="C73" s="5441">
        <f>B_Uspjeha!AI140</f>
        <v>306969</v>
      </c>
      <c r="D73" s="5441">
        <f>B_Uspjeha!AP140</f>
        <v>285281</v>
      </c>
      <c r="E73" s="5441">
        <f t="shared" si="8"/>
        <v>21688</v>
      </c>
      <c r="F73" s="5442">
        <f t="shared" si="9"/>
        <v>21688</v>
      </c>
      <c r="G73" s="5443">
        <f t="shared" si="10"/>
        <v>0.0760232893182511</v>
      </c>
      <c r="H73" s="5441" t="str">
        <f t="shared" si="11"/>
        <v>POVEĆANJE</v>
      </c>
      <c r="I73" s="5365"/>
      <c r="J73" s="5365"/>
      <c r="K73" s="5365"/>
      <c r="L73" s="5365"/>
      <c r="M73" s="5365"/>
      <c r="N73" s="5365"/>
      <c r="O73" s="5365"/>
      <c r="P73" s="5365"/>
    </row>
    <row r="74" spans="1:16">
      <c r="A74" s="5444"/>
      <c r="B74" s="5424" t="s">
        <v>65</v>
      </c>
      <c r="C74" s="5425">
        <f>B_Uspjeha!AI80</f>
        <v>292171</v>
      </c>
      <c r="D74" s="5425">
        <f>B_Uspjeha!AP80</f>
        <v>282807</v>
      </c>
      <c r="E74" s="5425">
        <f t="shared" si="8"/>
        <v>9364</v>
      </c>
      <c r="F74" s="5445">
        <f t="shared" si="9"/>
        <v>9364</v>
      </c>
      <c r="G74" s="5446">
        <f t="shared" si="10"/>
        <v>0.0331109201681712</v>
      </c>
      <c r="H74" s="5447" t="str">
        <f>IF(E74&lt;=0,"SMANJENJE","POVEĆANJE")</f>
        <v>POVEĆANJE</v>
      </c>
      <c r="I74" s="5365"/>
      <c r="J74" s="5365"/>
      <c r="K74" s="5365"/>
      <c r="L74" s="5365"/>
      <c r="M74" s="5365"/>
      <c r="N74" s="5365"/>
      <c r="O74" s="5365"/>
      <c r="P74" s="5365"/>
    </row>
    <row r="75" spans="1:16">
      <c r="A75" s="5448"/>
      <c r="B75" s="5429" t="s">
        <v>66</v>
      </c>
      <c r="C75" s="5449">
        <f>IFERROR(C74/C73,0)</f>
        <v>0.951793177812743</v>
      </c>
      <c r="D75" s="5449">
        <f>IFERROR(D74/D73,0)</f>
        <v>0.991327848682527</v>
      </c>
      <c r="E75" s="5430"/>
      <c r="F75" s="5431"/>
      <c r="G75" s="5432"/>
      <c r="H75" s="5430"/>
      <c r="I75" s="5365"/>
      <c r="J75" s="5365"/>
      <c r="K75" s="5365"/>
      <c r="L75" s="5365"/>
      <c r="M75" s="5365"/>
      <c r="N75" s="5365"/>
      <c r="O75" s="5365"/>
      <c r="P75" s="5365"/>
    </row>
    <row r="76" spans="1:16">
      <c r="A76" s="5365"/>
      <c r="B76" s="5365"/>
      <c r="C76" s="5365"/>
      <c r="D76" s="5365"/>
      <c r="E76" s="5365"/>
      <c r="F76" s="5365"/>
      <c r="G76" s="5365"/>
      <c r="H76" s="5365"/>
      <c r="I76" s="5365"/>
      <c r="J76" s="5365"/>
      <c r="K76" s="5365"/>
      <c r="L76" s="5365"/>
      <c r="M76" s="5365"/>
      <c r="N76" s="5365"/>
      <c r="O76" s="5365"/>
      <c r="P76" s="5365"/>
    </row>
    <row r="77" spans="1:16">
      <c r="A77" s="5365"/>
      <c r="B77" s="5365"/>
      <c r="C77" s="5365"/>
      <c r="D77" s="5365"/>
      <c r="E77" s="5365"/>
      <c r="F77" s="5365"/>
      <c r="G77" s="5365"/>
      <c r="H77" s="5365"/>
      <c r="I77" s="5365"/>
      <c r="J77" s="5365"/>
      <c r="K77" s="5365"/>
      <c r="L77" s="5365"/>
      <c r="M77" s="5365"/>
      <c r="N77" s="5365"/>
      <c r="O77" s="5365"/>
      <c r="P77" s="5365"/>
    </row>
    <row r="78" ht="15.75" customHeight="1" spans="1:16">
      <c r="A78" s="5420"/>
      <c r="B78" s="5420" t="s">
        <v>62</v>
      </c>
      <c r="C78" s="5421" t="s">
        <v>16</v>
      </c>
      <c r="D78" s="5421" t="s">
        <v>17</v>
      </c>
      <c r="E78" s="5421" t="s">
        <v>25</v>
      </c>
      <c r="F78" s="5383"/>
      <c r="G78" s="5383"/>
      <c r="H78" s="5383"/>
      <c r="I78" s="5383"/>
      <c r="J78" s="5365"/>
      <c r="K78" s="5365"/>
      <c r="L78" s="5365"/>
      <c r="M78" s="5365"/>
      <c r="N78" s="5365"/>
      <c r="O78" s="5365"/>
      <c r="P78" s="5365"/>
    </row>
    <row r="79" s="491" customFormat="1" ht="15" spans="1:16">
      <c r="A79" s="503"/>
      <c r="B79" s="491" t="s">
        <v>2311</v>
      </c>
      <c r="C79" s="5453">
        <f>B_Uspjeha!AI81</f>
        <v>0</v>
      </c>
      <c r="D79" s="5453">
        <f>B_Uspjeha!AP81</f>
        <v>0</v>
      </c>
      <c r="E79" s="503" t="str">
        <f t="shared" ref="E79:E96" si="13">IFERROR(INDEX($A$62:$A$67,MATCH(C79,$C$62:$C$67,0)),"-")</f>
        <v>-</v>
      </c>
      <c r="F79" s="5454" t="str">
        <f>IF(Baza!$C$482="DA","MSFI za MSS Odjeljak 5 Izvještaj o sveobuhvatnoj dobiti i Bilans uspjeha","MRS 1 - Prezentacija finansijskih izvještaja")</f>
        <v>MSFI za MSS Odjeljak 5 Izvještaj o sveobuhvatnoj dobiti i Bilans uspjeha</v>
      </c>
      <c r="G79" s="5454"/>
      <c r="H79" s="5454"/>
      <c r="I79" s="5454"/>
      <c r="J79" s="5454"/>
      <c r="K79" s="5454"/>
      <c r="L79" s="5454"/>
      <c r="M79" s="5454"/>
      <c r="N79" s="5454"/>
      <c r="O79" s="5454"/>
      <c r="P79" s="5454"/>
    </row>
    <row r="80" s="491" customFormat="1" ht="15" spans="1:16">
      <c r="A80" s="503"/>
      <c r="B80" s="491" t="s">
        <v>2312</v>
      </c>
      <c r="C80" s="5453">
        <f>B_Uspjeha!AI82</f>
        <v>0</v>
      </c>
      <c r="D80" s="5453">
        <f>B_Uspjeha!AP82</f>
        <v>0</v>
      </c>
      <c r="E80" s="503" t="str">
        <f t="shared" si="13"/>
        <v>-</v>
      </c>
      <c r="F80" s="5454" t="str">
        <f>IF(Baza!$C$482="DA","MSFI za MSS Odjeljak 5 Izvještaj o sveobuhvatnoj dobiti i Bilans uspjeha","MRS 1 - Prezentacija finansijskih izvještaja")</f>
        <v>MSFI za MSS Odjeljak 5 Izvještaj o sveobuhvatnoj dobiti i Bilans uspjeha</v>
      </c>
      <c r="G80" s="5454"/>
      <c r="H80" s="5454"/>
      <c r="I80" s="5454"/>
      <c r="J80" s="5454"/>
      <c r="K80" s="5454"/>
      <c r="L80" s="5454"/>
      <c r="M80" s="5454"/>
      <c r="N80" s="5454"/>
      <c r="O80" s="5454"/>
      <c r="P80" s="5454"/>
    </row>
    <row r="81" s="491" customFormat="1" ht="15" spans="1:16">
      <c r="A81" s="503"/>
      <c r="B81" s="491" t="s">
        <v>2313</v>
      </c>
      <c r="C81" s="5453">
        <f>B_Uspjeha!AI83</f>
        <v>804</v>
      </c>
      <c r="D81" s="5453">
        <f>B_Uspjeha!AP83</f>
        <v>563</v>
      </c>
      <c r="E81" s="503" t="str">
        <f t="shared" si="13"/>
        <v>-</v>
      </c>
      <c r="F81" s="5454" t="str">
        <f>IF(Baza!$C$482="DA","MSFI za MSS Odjeljak 5 Izvještaj o sveobuhvatnoj dobiti i Bilans uspjeha","MRS 1 - Prezentacija finansijskih izvještaja")</f>
        <v>MSFI za MSS Odjeljak 5 Izvještaj o sveobuhvatnoj dobiti i Bilans uspjeha</v>
      </c>
      <c r="G81" s="5454"/>
      <c r="H81" s="5454"/>
      <c r="I81" s="5454"/>
      <c r="J81" s="5454"/>
      <c r="K81" s="5454"/>
      <c r="L81" s="5454"/>
      <c r="M81" s="5454"/>
      <c r="N81" s="5454"/>
      <c r="O81" s="5454"/>
      <c r="P81" s="5454"/>
    </row>
    <row r="82" s="491" customFormat="1" ht="15" spans="1:16">
      <c r="A82" s="503"/>
      <c r="B82" s="491" t="s">
        <v>2314</v>
      </c>
      <c r="C82" s="5453">
        <f>B_Uspjeha!AI84</f>
        <v>7591</v>
      </c>
      <c r="D82" s="5453">
        <f>B_Uspjeha!AP84</f>
        <v>9093</v>
      </c>
      <c r="E82" s="503" t="str">
        <f t="shared" si="13"/>
        <v>R5</v>
      </c>
      <c r="F82" s="5454" t="str">
        <f>IF(Baza!$C$482="DA","MSFI za MSS Odjeljak 5 Izvještaj o sveobuhvatnoj dobiti i Bilans uspjeha","MRS 1 - Prezentacija finansijskih izvještaja")</f>
        <v>MSFI za MSS Odjeljak 5 Izvještaj o sveobuhvatnoj dobiti i Bilans uspjeha</v>
      </c>
      <c r="G82" s="5454"/>
      <c r="H82" s="5454"/>
      <c r="I82" s="5454"/>
      <c r="J82" s="5454"/>
      <c r="K82" s="5454"/>
      <c r="L82" s="5454"/>
      <c r="M82" s="5454"/>
      <c r="N82" s="5454"/>
      <c r="O82" s="5454"/>
      <c r="P82" s="5454"/>
    </row>
    <row r="83" s="491" customFormat="1" ht="15" spans="1:16">
      <c r="A83" s="503"/>
      <c r="B83" s="491" t="s">
        <v>2315</v>
      </c>
      <c r="C83" s="5453">
        <f>B_Uspjeha!AI85</f>
        <v>206367</v>
      </c>
      <c r="D83" s="5453">
        <f>B_Uspjeha!AP85</f>
        <v>197520</v>
      </c>
      <c r="E83" s="503" t="str">
        <f t="shared" si="13"/>
        <v>R1</v>
      </c>
      <c r="F83" s="5454" t="str">
        <f>IF(Baza!$C$482="DA","MSFI za MSS Odjeljak 5 Izvještaj o sveobuhvatnoj dobiti i Bilans uspjeha","MRS 1 - Prezentacija finansijskih izvještaja")</f>
        <v>MSFI za MSS Odjeljak 5 Izvještaj o sveobuhvatnoj dobiti i Bilans uspjeha</v>
      </c>
      <c r="G83" s="5454"/>
      <c r="H83" s="5454"/>
      <c r="I83" s="5454"/>
      <c r="J83" s="5454"/>
      <c r="K83" s="5454"/>
      <c r="L83" s="5454"/>
      <c r="M83" s="5454"/>
      <c r="N83" s="5454"/>
      <c r="O83" s="5454"/>
      <c r="P83" s="5454"/>
    </row>
    <row r="84" s="491" customFormat="1" ht="15" spans="1:16">
      <c r="A84" s="503"/>
      <c r="B84" s="491" t="s">
        <v>2316</v>
      </c>
      <c r="C84" s="5453">
        <f>B_Uspjeha!AI89</f>
        <v>4549</v>
      </c>
      <c r="D84" s="5453">
        <f>B_Uspjeha!AP89</f>
        <v>5172</v>
      </c>
      <c r="E84" s="503" t="str">
        <f t="shared" si="13"/>
        <v>R6</v>
      </c>
      <c r="F84" s="5454" t="str">
        <f>IF(Baza!$C$482="DA","MSFI za MSS Odjeljak 5 Izvještaj o sveobuhvatnoj dobiti i Bilans uspjeha","MRS 1 - Prezentacija finansijskih izvještaja")</f>
        <v>MSFI za MSS Odjeljak 5 Izvještaj o sveobuhvatnoj dobiti i Bilans uspjeha</v>
      </c>
      <c r="G84" s="5454"/>
      <c r="H84" s="5454"/>
      <c r="I84" s="5454"/>
      <c r="J84" s="5454"/>
      <c r="K84" s="5454"/>
      <c r="L84" s="5454"/>
      <c r="M84" s="5454"/>
      <c r="N84" s="5454"/>
      <c r="O84" s="5454"/>
      <c r="P84" s="5454"/>
    </row>
    <row r="85" s="491" customFormat="1" ht="15" spans="1:16">
      <c r="A85" s="503"/>
      <c r="B85" s="491" t="s">
        <v>2317</v>
      </c>
      <c r="C85" s="5453">
        <f>B_Uspjeha!AI96</f>
        <v>31427</v>
      </c>
      <c r="D85" s="5453">
        <f>B_Uspjeha!AP96</f>
        <v>51263</v>
      </c>
      <c r="E85" s="503" t="str">
        <f t="shared" si="13"/>
        <v>R3</v>
      </c>
      <c r="F85" s="5454"/>
      <c r="G85" s="5454"/>
      <c r="H85" s="5454"/>
      <c r="I85" s="5454"/>
      <c r="J85" s="5454"/>
      <c r="K85" s="5454"/>
      <c r="L85" s="5454"/>
      <c r="M85" s="5454"/>
      <c r="N85" s="5454"/>
      <c r="O85" s="5454"/>
      <c r="P85" s="5454"/>
    </row>
    <row r="86" s="491" customFormat="1" ht="15" spans="1:16">
      <c r="A86" s="503"/>
      <c r="B86" s="491" t="s">
        <v>2318</v>
      </c>
      <c r="C86" s="5453">
        <f>B_Uspjeha!AI97</f>
        <v>41433</v>
      </c>
      <c r="D86" s="5453">
        <f>B_Uspjeha!AP97</f>
        <v>19196</v>
      </c>
      <c r="E86" s="503" t="str">
        <f t="shared" si="13"/>
        <v>R2</v>
      </c>
      <c r="F86" s="5454"/>
      <c r="G86" s="5454"/>
      <c r="H86" s="5454"/>
      <c r="I86" s="5454"/>
      <c r="J86" s="5454"/>
      <c r="K86" s="5454"/>
      <c r="L86" s="5454"/>
      <c r="M86" s="5454"/>
      <c r="N86" s="5454"/>
      <c r="O86" s="5454"/>
      <c r="P86" s="5454"/>
    </row>
    <row r="87" s="491" customFormat="1" ht="15" spans="1:16">
      <c r="A87" s="503"/>
      <c r="B87" s="491" t="s">
        <v>2319</v>
      </c>
      <c r="C87" s="5453">
        <f>B_Uspjeha!AI99</f>
        <v>0</v>
      </c>
      <c r="D87" s="5453">
        <f>B_Uspjeha!AP99</f>
        <v>0</v>
      </c>
      <c r="E87" s="503" t="str">
        <f t="shared" si="13"/>
        <v>-</v>
      </c>
      <c r="F87" s="5454"/>
      <c r="G87" s="5454"/>
      <c r="H87" s="5454"/>
      <c r="I87" s="5454"/>
      <c r="J87" s="5454"/>
      <c r="K87" s="5454"/>
      <c r="L87" s="5454"/>
      <c r="M87" s="5454"/>
      <c r="N87" s="5454"/>
      <c r="O87" s="5454"/>
      <c r="P87" s="5454"/>
    </row>
    <row r="88" s="491" customFormat="1" ht="15" spans="1:16">
      <c r="A88" s="503"/>
      <c r="B88" s="491" t="s">
        <v>2320</v>
      </c>
      <c r="C88" s="5453">
        <f>B_Uspjeha!AI118</f>
        <v>0</v>
      </c>
      <c r="D88" s="5453">
        <f>B_Uspjeha!AP118</f>
        <v>0</v>
      </c>
      <c r="E88" s="503" t="str">
        <f t="shared" si="13"/>
        <v>-</v>
      </c>
      <c r="F88" s="5454"/>
      <c r="G88" s="5454"/>
      <c r="H88" s="5454"/>
      <c r="I88" s="5454"/>
      <c r="J88" s="5454"/>
      <c r="K88" s="5454"/>
      <c r="L88" s="5454"/>
      <c r="M88" s="5454"/>
      <c r="N88" s="5454"/>
      <c r="O88" s="5454"/>
      <c r="P88" s="5454"/>
    </row>
    <row r="89" s="491" customFormat="1" ht="15" spans="1:16">
      <c r="A89" s="503"/>
      <c r="B89" s="491" t="s">
        <v>2321</v>
      </c>
      <c r="C89" s="5453">
        <f>B_Uspjeha!AI129</f>
        <v>0</v>
      </c>
      <c r="D89" s="5453">
        <f>B_Uspjeha!AP129</f>
        <v>0</v>
      </c>
      <c r="E89" s="503" t="str">
        <f t="shared" si="13"/>
        <v>-</v>
      </c>
      <c r="F89" s="5454"/>
      <c r="G89" s="5454"/>
      <c r="H89" s="5454"/>
      <c r="I89" s="5454"/>
      <c r="J89" s="5454"/>
      <c r="K89" s="5454"/>
      <c r="L89" s="5454"/>
      <c r="M89" s="5454"/>
      <c r="N89" s="5454"/>
      <c r="O89" s="5454"/>
      <c r="P89" s="5454"/>
    </row>
    <row r="90" s="491" customFormat="1" ht="15" spans="1:16">
      <c r="A90" s="503"/>
      <c r="B90" s="491" t="s">
        <v>2322</v>
      </c>
      <c r="C90" s="5453">
        <f>B_Uspjeha!AI130</f>
        <v>0</v>
      </c>
      <c r="D90" s="5453">
        <f>B_Uspjeha!AP130</f>
        <v>0</v>
      </c>
      <c r="E90" s="503" t="str">
        <f t="shared" si="13"/>
        <v>-</v>
      </c>
      <c r="F90" s="5454"/>
      <c r="G90" s="5454"/>
      <c r="H90" s="5454"/>
      <c r="I90" s="5454"/>
      <c r="J90" s="5454"/>
      <c r="K90" s="5454"/>
      <c r="L90" s="5454"/>
      <c r="M90" s="5454"/>
      <c r="N90" s="5454"/>
      <c r="O90" s="5454"/>
      <c r="P90" s="5454"/>
    </row>
    <row r="91" s="491" customFormat="1" ht="15" spans="1:16">
      <c r="A91" s="503"/>
      <c r="B91" s="491" t="s">
        <v>2323</v>
      </c>
      <c r="C91" s="5453">
        <f>B_Uspjeha!AI131</f>
        <v>0</v>
      </c>
      <c r="D91" s="5453">
        <f>B_Uspjeha!AP131</f>
        <v>0</v>
      </c>
      <c r="E91" s="503" t="str">
        <f t="shared" si="13"/>
        <v>-</v>
      </c>
      <c r="F91" s="5454"/>
      <c r="G91" s="5454"/>
      <c r="H91" s="5454"/>
      <c r="I91" s="5454"/>
      <c r="J91" s="5454"/>
      <c r="K91" s="5454"/>
      <c r="L91" s="5454"/>
      <c r="M91" s="5454"/>
      <c r="N91" s="5454"/>
      <c r="O91" s="5454"/>
      <c r="P91" s="5454"/>
    </row>
    <row r="92" s="491" customFormat="1" ht="15" spans="1:16">
      <c r="A92" s="503"/>
      <c r="B92" s="491" t="s">
        <v>2324</v>
      </c>
      <c r="C92" s="5453">
        <f>B_Uspjeha!AI132</f>
        <v>0</v>
      </c>
      <c r="D92" s="5453">
        <f>B_Uspjeha!AP132</f>
        <v>0</v>
      </c>
      <c r="E92" s="503" t="str">
        <f t="shared" si="13"/>
        <v>-</v>
      </c>
      <c r="F92" s="5454"/>
      <c r="G92" s="5454"/>
      <c r="H92" s="5454"/>
      <c r="I92" s="5454"/>
      <c r="J92" s="5454"/>
      <c r="K92" s="5454"/>
      <c r="L92" s="5454"/>
      <c r="M92" s="5454"/>
      <c r="N92" s="5454"/>
      <c r="O92" s="5454"/>
      <c r="P92" s="5454"/>
    </row>
    <row r="93" s="491" customFormat="1" ht="15" spans="1:16">
      <c r="A93" s="503"/>
      <c r="B93" s="491" t="s">
        <v>2325</v>
      </c>
      <c r="C93" s="5453">
        <f>B_Uspjeha!AI133</f>
        <v>0</v>
      </c>
      <c r="D93" s="5453">
        <f>B_Uspjeha!AP133</f>
        <v>0</v>
      </c>
      <c r="E93" s="503" t="str">
        <f t="shared" si="13"/>
        <v>-</v>
      </c>
      <c r="F93" s="5454"/>
      <c r="G93" s="5454"/>
      <c r="H93" s="5454"/>
      <c r="I93" s="5454"/>
      <c r="J93" s="5454"/>
      <c r="K93" s="5454"/>
      <c r="L93" s="5454"/>
      <c r="M93" s="5454"/>
      <c r="N93" s="5454"/>
      <c r="O93" s="5454"/>
      <c r="P93" s="5454"/>
    </row>
    <row r="94" s="491" customFormat="1" ht="15" spans="1:16">
      <c r="A94" s="503"/>
      <c r="B94" s="491" t="s">
        <v>2326</v>
      </c>
      <c r="C94" s="5453">
        <f>B_Uspjeha!AI134</f>
        <v>0</v>
      </c>
      <c r="D94" s="5453">
        <f>B_Uspjeha!AP134</f>
        <v>0</v>
      </c>
      <c r="E94" s="503" t="str">
        <f t="shared" si="13"/>
        <v>-</v>
      </c>
      <c r="F94" s="5454"/>
      <c r="G94" s="5454"/>
      <c r="H94" s="5454"/>
      <c r="I94" s="5454"/>
      <c r="J94" s="5454"/>
      <c r="K94" s="5454"/>
      <c r="L94" s="5454"/>
      <c r="M94" s="5454"/>
      <c r="N94" s="5454"/>
      <c r="O94" s="5454"/>
      <c r="P94" s="5454"/>
    </row>
    <row r="95" s="491" customFormat="1" ht="15" spans="1:16">
      <c r="A95" s="503"/>
      <c r="B95" s="491" t="s">
        <v>2327</v>
      </c>
      <c r="C95" s="5453">
        <f>B_Uspjeha!AI135</f>
        <v>0</v>
      </c>
      <c r="D95" s="5453">
        <f>B_Uspjeha!AP135</f>
        <v>2038</v>
      </c>
      <c r="E95" s="503" t="str">
        <f t="shared" si="13"/>
        <v>-</v>
      </c>
      <c r="F95" s="5454"/>
      <c r="G95" s="5454"/>
      <c r="H95" s="5454"/>
      <c r="I95" s="5454"/>
      <c r="J95" s="5454"/>
      <c r="K95" s="5454"/>
      <c r="L95" s="5454"/>
      <c r="M95" s="5454"/>
      <c r="N95" s="5454"/>
      <c r="O95" s="5454"/>
      <c r="P95" s="5454"/>
    </row>
    <row r="96" s="491" customFormat="1" ht="15" spans="1:16">
      <c r="A96" s="503"/>
      <c r="B96" s="491" t="s">
        <v>2328</v>
      </c>
      <c r="C96" s="5453">
        <f>B_Uspjeha!AI139</f>
        <v>14798</v>
      </c>
      <c r="D96" s="5453">
        <f>B_Uspjeha!AP139</f>
        <v>436</v>
      </c>
      <c r="E96" s="503" t="str">
        <f t="shared" si="13"/>
        <v>R4</v>
      </c>
      <c r="F96" s="5454"/>
      <c r="G96" s="5454"/>
      <c r="H96" s="5454"/>
      <c r="I96" s="5454"/>
      <c r="J96" s="5454"/>
      <c r="K96" s="5454"/>
      <c r="L96" s="5454"/>
      <c r="M96" s="5454"/>
      <c r="N96" s="5454"/>
      <c r="O96" s="5454"/>
      <c r="P96" s="5454"/>
    </row>
    <row r="97" spans="1:16">
      <c r="A97" s="5365"/>
      <c r="B97" s="5365"/>
      <c r="C97" s="5365"/>
      <c r="D97" s="5365"/>
      <c r="E97" s="5365"/>
      <c r="F97" s="5365"/>
      <c r="G97" s="5365"/>
      <c r="H97" s="5365"/>
      <c r="I97" s="5365"/>
      <c r="J97" s="5365"/>
      <c r="K97" s="5365"/>
      <c r="L97" s="5365"/>
      <c r="M97" s="5365"/>
      <c r="N97" s="5365"/>
      <c r="O97" s="5365"/>
      <c r="P97" s="5365"/>
    </row>
    <row r="98" spans="1:16">
      <c r="A98" s="5365"/>
      <c r="B98" s="5365"/>
      <c r="C98" s="5365"/>
      <c r="D98" s="5365"/>
      <c r="E98" s="5365"/>
      <c r="F98" s="5365"/>
      <c r="G98" s="5365"/>
      <c r="H98" s="5365"/>
      <c r="I98" s="5365"/>
      <c r="J98" s="5365"/>
      <c r="K98" s="5365"/>
      <c r="L98" s="5365"/>
      <c r="M98" s="5365"/>
      <c r="N98" s="5365"/>
      <c r="O98" s="5365"/>
      <c r="P98" s="5365"/>
    </row>
    <row r="99" spans="1:16">
      <c r="A99" s="5365"/>
      <c r="B99" s="5365"/>
      <c r="C99" s="5365"/>
      <c r="D99" s="5365"/>
      <c r="E99" s="5365"/>
      <c r="F99" s="5365"/>
      <c r="G99" s="5365"/>
      <c r="H99" s="5365"/>
      <c r="I99" s="5365"/>
      <c r="J99" s="5365"/>
      <c r="K99" s="5365"/>
      <c r="L99" s="5365"/>
      <c r="M99" s="5365"/>
      <c r="N99" s="5365"/>
      <c r="O99" s="5365"/>
      <c r="P99" s="5365"/>
    </row>
    <row r="100" ht="17.25" customHeight="1" spans="1:16">
      <c r="A100" s="5420"/>
      <c r="B100" s="5420" t="s">
        <v>103</v>
      </c>
      <c r="C100" s="5422" t="s">
        <v>104</v>
      </c>
      <c r="D100" s="5422" t="s">
        <v>105</v>
      </c>
      <c r="E100" s="5422" t="s">
        <v>106</v>
      </c>
      <c r="F100" s="5422" t="s">
        <v>107</v>
      </c>
      <c r="G100" s="5421" t="s">
        <v>17</v>
      </c>
      <c r="H100" s="5422" t="s">
        <v>18</v>
      </c>
      <c r="I100" s="5422" t="s">
        <v>19</v>
      </c>
      <c r="J100" s="5422" t="s">
        <v>108</v>
      </c>
      <c r="K100" s="5422" t="s">
        <v>109</v>
      </c>
      <c r="L100" s="5422" t="s">
        <v>110</v>
      </c>
      <c r="M100" s="5365"/>
      <c r="N100" s="5365"/>
      <c r="O100" s="5365"/>
      <c r="P100" s="5365"/>
    </row>
    <row r="101" ht="14.25" customHeight="1" spans="1:16">
      <c r="A101" s="5423" t="str">
        <f>IF(C101=0,"-","A1.")</f>
        <v>A1.</v>
      </c>
      <c r="B101" s="5455" t="str">
        <f>INDEX($B$151:$B$188,MATCH(C101,$D$151:$D$188,0))</f>
        <v>Transportna sredstva (AOP 006)</v>
      </c>
      <c r="C101" s="5425">
        <f>MAX($D$151:$D$166)</f>
        <v>22107</v>
      </c>
      <c r="D101" s="5425"/>
      <c r="E101" s="5456"/>
      <c r="F101" s="5425"/>
      <c r="G101" s="5425">
        <f>INDEX($E$151:$E$166,MATCH(C101,$D$151:$D$166,0))</f>
        <v>26656</v>
      </c>
      <c r="H101" s="5425">
        <f t="shared" ref="H101:H107" si="14">C101-G101</f>
        <v>-4549</v>
      </c>
      <c r="I101" s="5426">
        <f t="shared" ref="I101:I107" si="15">IF(H101&lt;0,H101*-1,H101)</f>
        <v>4549</v>
      </c>
      <c r="J101" s="5427">
        <f>IFERROR(C101/$C$107,0)</f>
        <v>1</v>
      </c>
      <c r="K101" s="5425" t="str">
        <f t="shared" ref="K101:K107" si="16">IF(H101&lt;0,"SMANJENJE","POVEĆANJE")</f>
        <v>SMANJENJE</v>
      </c>
      <c r="L101" s="5365" t="str">
        <f>INDEX($G$151:$G$168,MATCH(C101,$D$151:$D$198,0))</f>
        <v>MSFI za MSS - Odjeljak 18 Nematerijalna imovina osim goodwilla -tačka 27 do 29 </v>
      </c>
      <c r="M101" s="5365"/>
      <c r="N101" s="5365"/>
      <c r="O101" s="5365"/>
      <c r="P101" s="5365"/>
    </row>
    <row r="102" ht="14.25" customHeight="1" spans="1:16">
      <c r="A102" s="5428"/>
      <c r="B102" s="5457" t="str">
        <f>INDEX($B$151:$B$188,MATCH(C102,$D$151:$D$188,0))</f>
        <v>Zemljište (AOP 003)</v>
      </c>
      <c r="C102" s="5430">
        <f>LARGE($D$151:$D$166,2)</f>
        <v>0</v>
      </c>
      <c r="D102" s="5430"/>
      <c r="E102" s="5449"/>
      <c r="F102" s="5430"/>
      <c r="G102" s="5430">
        <f>INDEX($E$151:$E$166,MATCH(C102,$D$151:$D$166,0))</f>
        <v>0</v>
      </c>
      <c r="H102" s="5430">
        <f t="shared" si="14"/>
        <v>0</v>
      </c>
      <c r="I102" s="5431">
        <f t="shared" si="15"/>
        <v>0</v>
      </c>
      <c r="J102" s="5432">
        <f t="shared" ref="J102:J107" si="17">IFERROR(C102/$C$107,0)</f>
        <v>0</v>
      </c>
      <c r="K102" s="5430" t="str">
        <f t="shared" si="16"/>
        <v>POVEĆANJE</v>
      </c>
      <c r="L102" s="5365" t="str">
        <f>INDEX($G$151:$G$168,MATCH(C102,$D$151:$D$198,0))</f>
        <v>MSFI za MSS - Odjeljak 18 Nematerijalna imovina osim goodwilla -tačka 27 do 29 </v>
      </c>
      <c r="M102" s="5365"/>
      <c r="N102" s="5365"/>
      <c r="O102" s="5365"/>
      <c r="P102" s="5365"/>
    </row>
    <row r="103" spans="1:16">
      <c r="A103" s="5458"/>
      <c r="B103" s="5457" t="str">
        <f>INDEX($B$151:$B$188,MATCH(C103,$D$151:$D$188,0))</f>
        <v>Zemljište (AOP 003)</v>
      </c>
      <c r="C103" s="5430">
        <f>LARGE($D$151:$D$166,3)</f>
        <v>0</v>
      </c>
      <c r="D103" s="5430"/>
      <c r="E103" s="5449"/>
      <c r="F103" s="5430"/>
      <c r="G103" s="5430">
        <f>INDEX($E$151:$E$166,MATCH(C103,$D$151:$D$166,0))</f>
        <v>0</v>
      </c>
      <c r="H103" s="5430">
        <f t="shared" si="14"/>
        <v>0</v>
      </c>
      <c r="I103" s="5431">
        <f t="shared" si="15"/>
        <v>0</v>
      </c>
      <c r="J103" s="5432">
        <f t="shared" si="17"/>
        <v>0</v>
      </c>
      <c r="K103" s="5430" t="str">
        <f t="shared" si="16"/>
        <v>POVEĆANJE</v>
      </c>
      <c r="L103" s="5365" t="str">
        <f>INDEX($G$151:$G$168,MATCH(C103,$D$151:$D$198,0))</f>
        <v>MSFI za MSS - Odjeljak 18 Nematerijalna imovina osim goodwilla -tačka 27 do 29 </v>
      </c>
      <c r="M103" s="5365"/>
      <c r="N103" s="5365"/>
      <c r="O103" s="5365"/>
      <c r="P103" s="5365"/>
    </row>
    <row r="104" spans="1:16">
      <c r="A104" s="5458"/>
      <c r="B104" s="5457" t="str">
        <f>INDEX($B$151:$B$188,MATCH(C104,$D$151:$D$188,0))</f>
        <v>Zemljište (AOP 003)</v>
      </c>
      <c r="C104" s="5430">
        <f>LARGE($D$151:$D$166,4)</f>
        <v>0</v>
      </c>
      <c r="D104" s="5430"/>
      <c r="E104" s="5449"/>
      <c r="F104" s="5430"/>
      <c r="G104" s="5430">
        <f>INDEX($E$151:$E$166,MATCH(C104,$D$151:$D$166,0))</f>
        <v>0</v>
      </c>
      <c r="H104" s="5430">
        <f t="shared" si="14"/>
        <v>0</v>
      </c>
      <c r="I104" s="5431">
        <f t="shared" si="15"/>
        <v>0</v>
      </c>
      <c r="J104" s="5432">
        <f t="shared" si="17"/>
        <v>0</v>
      </c>
      <c r="K104" s="5430" t="str">
        <f t="shared" si="16"/>
        <v>POVEĆANJE</v>
      </c>
      <c r="L104" s="5365" t="str">
        <f>INDEX($G$151:$G$168,MATCH(C104,$D$151:$D$198,0))</f>
        <v>MSFI za MSS - Odjeljak 18 Nematerijalna imovina osim goodwilla -tačka 27 do 29 </v>
      </c>
      <c r="M104" s="5365"/>
      <c r="N104" s="5365"/>
      <c r="O104" s="5365"/>
      <c r="P104" s="5365"/>
    </row>
    <row r="105" spans="1:16">
      <c r="A105" s="5458"/>
      <c r="B105" s="5457" t="str">
        <f>INDEX($B$151:$B$188,MATCH(C105,$D$151:$D$188,0))</f>
        <v>Zemljište (AOP 003)</v>
      </c>
      <c r="C105" s="5430">
        <f>LARGE($D$151:$D$166,5)</f>
        <v>0</v>
      </c>
      <c r="D105" s="5430"/>
      <c r="E105" s="5449"/>
      <c r="F105" s="5430"/>
      <c r="G105" s="5430">
        <f>INDEX($E$151:$E$166,MATCH(C105,$D$151:$D$166,0))</f>
        <v>0</v>
      </c>
      <c r="H105" s="5430">
        <f t="shared" si="14"/>
        <v>0</v>
      </c>
      <c r="I105" s="5431">
        <f t="shared" si="15"/>
        <v>0</v>
      </c>
      <c r="J105" s="5432">
        <f t="shared" si="17"/>
        <v>0</v>
      </c>
      <c r="K105" s="5430" t="str">
        <f t="shared" si="16"/>
        <v>POVEĆANJE</v>
      </c>
      <c r="L105" s="5365" t="str">
        <f>INDEX($G$151:$G$168,MATCH(C105,$D$151:$D$198,0))</f>
        <v>MSFI za MSS - Odjeljak 18 Nematerijalna imovina osim goodwilla -tačka 27 do 29 </v>
      </c>
      <c r="M105" s="5365"/>
      <c r="N105" s="5365"/>
      <c r="O105" s="5365"/>
      <c r="P105" s="5365"/>
    </row>
    <row r="106" spans="1:16">
      <c r="A106" s="5458"/>
      <c r="B106" s="5429" t="s">
        <v>2329</v>
      </c>
      <c r="C106" s="5430">
        <f>C107-SUM(C101:C105)</f>
        <v>0</v>
      </c>
      <c r="D106" s="5430"/>
      <c r="E106" s="5449"/>
      <c r="F106" s="5430"/>
      <c r="G106" s="5430">
        <f>G107-SUM(G101:G105)</f>
        <v>0</v>
      </c>
      <c r="H106" s="5430">
        <f t="shared" si="14"/>
        <v>0</v>
      </c>
      <c r="I106" s="5431">
        <f t="shared" si="15"/>
        <v>0</v>
      </c>
      <c r="J106" s="5432">
        <f t="shared" si="17"/>
        <v>0</v>
      </c>
      <c r="K106" s="5430" t="str">
        <f t="shared" si="16"/>
        <v>POVEĆANJE</v>
      </c>
      <c r="L106" s="5365"/>
      <c r="M106" s="5365"/>
      <c r="N106" s="5365"/>
      <c r="O106" s="5365"/>
      <c r="P106" s="5365"/>
    </row>
    <row r="107" spans="1:16">
      <c r="A107" s="5459"/>
      <c r="B107" s="5460" t="s">
        <v>112</v>
      </c>
      <c r="C107" s="5461">
        <f>SUM(D151:D166)</f>
        <v>22107</v>
      </c>
      <c r="D107" s="5436"/>
      <c r="E107" s="5462"/>
      <c r="F107" s="5461"/>
      <c r="G107" s="5461">
        <f>SUM(E151:E166)</f>
        <v>26656</v>
      </c>
      <c r="H107" s="5436">
        <f t="shared" si="14"/>
        <v>-4549</v>
      </c>
      <c r="I107" s="5463">
        <f t="shared" si="15"/>
        <v>4549</v>
      </c>
      <c r="J107" s="5432">
        <f t="shared" si="17"/>
        <v>1</v>
      </c>
      <c r="K107" s="5436" t="str">
        <f t="shared" si="16"/>
        <v>SMANJENJE</v>
      </c>
      <c r="L107" s="5365"/>
      <c r="M107" s="5365"/>
      <c r="N107" s="5365"/>
      <c r="O107" s="5365"/>
      <c r="P107" s="5365"/>
    </row>
    <row r="108" spans="1:16">
      <c r="A108" s="5365"/>
      <c r="B108" s="5365"/>
      <c r="C108" s="5365"/>
      <c r="D108" s="5365"/>
      <c r="E108" s="5365"/>
      <c r="F108" s="5365"/>
      <c r="G108" s="5365"/>
      <c r="H108" s="5365"/>
      <c r="I108" s="5365"/>
      <c r="J108" s="5365"/>
      <c r="K108" s="5365"/>
      <c r="L108" s="5365"/>
      <c r="M108" s="5365"/>
      <c r="N108" s="5365"/>
      <c r="O108" s="5365"/>
      <c r="P108" s="5365"/>
    </row>
    <row r="109" ht="17.25" customHeight="1" spans="1:16">
      <c r="A109" s="5420"/>
      <c r="B109" s="5420" t="s">
        <v>113</v>
      </c>
      <c r="C109" s="5422" t="s">
        <v>104</v>
      </c>
      <c r="D109" s="5422" t="s">
        <v>105</v>
      </c>
      <c r="E109" s="5422" t="s">
        <v>106</v>
      </c>
      <c r="F109" s="5422" t="s">
        <v>107</v>
      </c>
      <c r="G109" s="5421" t="s">
        <v>17</v>
      </c>
      <c r="H109" s="5422" t="s">
        <v>18</v>
      </c>
      <c r="I109" s="5422" t="s">
        <v>19</v>
      </c>
      <c r="J109" s="5422" t="s">
        <v>108</v>
      </c>
      <c r="K109" s="5422" t="s">
        <v>109</v>
      </c>
      <c r="L109" s="5422" t="s">
        <v>110</v>
      </c>
      <c r="M109" s="5365"/>
      <c r="N109" s="5365"/>
      <c r="O109" s="5365"/>
      <c r="P109" s="5365"/>
    </row>
    <row r="110" ht="14.25" customHeight="1" spans="1:16">
      <c r="A110" s="5428" t="str">
        <f>IF(C110=0,"-","-")</f>
        <v>-</v>
      </c>
      <c r="B110" s="5455" t="str">
        <f>INDEX($B$167:$B$188,MATCH(C110,$D$167:$D$188,0))</f>
        <v>Ulaganja u zavisne subjekte (AOP 021)</v>
      </c>
      <c r="C110" s="5425">
        <f>MAX($D$167:$D$170)</f>
        <v>0</v>
      </c>
      <c r="D110" s="5425"/>
      <c r="E110" s="5456">
        <f>IFERROR(D110/F110,0)</f>
        <v>0</v>
      </c>
      <c r="F110" s="5425"/>
      <c r="G110" s="5425">
        <f>INDEX($E$151:$E$170,MATCH(C110,$D$151:$D$170,0))</f>
        <v>0</v>
      </c>
      <c r="H110" s="5425">
        <f t="shared" ref="H110:H113" si="18">C110-G110</f>
        <v>0</v>
      </c>
      <c r="I110" s="5426">
        <f t="shared" ref="I110:I113" si="19">IF(H110&lt;0,H110*-1,H110)</f>
        <v>0</v>
      </c>
      <c r="J110" s="5432">
        <f t="shared" ref="J110:J113" si="20">IFERROR(I110/G110,0)</f>
        <v>0</v>
      </c>
      <c r="K110" s="5425" t="str">
        <f t="shared" ref="K110:K113" si="21">IF(H110&lt;0,"SMANJENJE","POVEĆANJE")</f>
        <v>POVEĆANJE</v>
      </c>
      <c r="L110" s="5365"/>
      <c r="M110" s="5365"/>
      <c r="N110" s="5365"/>
      <c r="O110" s="5365"/>
      <c r="P110" s="5365"/>
    </row>
    <row r="111" ht="14.25" customHeight="1" spans="1:16">
      <c r="A111" s="5428" t="str">
        <f>IF(C111=0,"-","-")</f>
        <v>-</v>
      </c>
      <c r="B111" s="5457" t="str">
        <f>INDEX($B$151:$B$188,MATCH(C111,$D$151:$D$188,0))</f>
        <v>Zemljište (AOP 003)</v>
      </c>
      <c r="C111" s="5430">
        <f>LARGE($D$167:$D$170,2)</f>
        <v>0</v>
      </c>
      <c r="D111" s="5430"/>
      <c r="E111" s="5449">
        <f t="shared" ref="E111:E113" si="22">IFERROR(D111/F111,0)</f>
        <v>0</v>
      </c>
      <c r="F111" s="5430"/>
      <c r="G111" s="5430">
        <f>INDEX($E$151:$E$170,MATCH(C111,$D$151:$D$170,0))</f>
        <v>0</v>
      </c>
      <c r="H111" s="5430">
        <f t="shared" si="18"/>
        <v>0</v>
      </c>
      <c r="I111" s="5431">
        <f t="shared" si="19"/>
        <v>0</v>
      </c>
      <c r="J111" s="5432">
        <f t="shared" si="20"/>
        <v>0</v>
      </c>
      <c r="K111" s="5430" t="str">
        <f t="shared" si="21"/>
        <v>POVEĆANJE</v>
      </c>
      <c r="L111" s="5365"/>
      <c r="M111" s="5365"/>
      <c r="N111" s="5365"/>
      <c r="O111" s="5365"/>
      <c r="P111" s="5365"/>
    </row>
    <row r="112" spans="1:16">
      <c r="A112" s="5428" t="str">
        <f>IF(C112=0,"-","-")</f>
        <v>-</v>
      </c>
      <c r="B112" s="5457" t="s">
        <v>114</v>
      </c>
      <c r="C112" s="5430">
        <f>C113-SUM(C110:C111)</f>
        <v>0</v>
      </c>
      <c r="D112" s="5430"/>
      <c r="E112" s="5449">
        <f t="shared" si="22"/>
        <v>0</v>
      </c>
      <c r="F112" s="5430"/>
      <c r="G112" s="5430">
        <f>G113-SUM(G110:G111)</f>
        <v>125000</v>
      </c>
      <c r="H112" s="5430">
        <f t="shared" si="18"/>
        <v>-125000</v>
      </c>
      <c r="I112" s="5431">
        <f t="shared" si="19"/>
        <v>125000</v>
      </c>
      <c r="J112" s="5432">
        <f t="shared" si="20"/>
        <v>1</v>
      </c>
      <c r="K112" s="5430" t="str">
        <f t="shared" si="21"/>
        <v>SMANJENJE</v>
      </c>
      <c r="L112" s="5365"/>
      <c r="M112" s="5365"/>
      <c r="N112" s="5365"/>
      <c r="O112" s="5365"/>
      <c r="P112" s="5365"/>
    </row>
    <row r="113" spans="1:16">
      <c r="A113" s="5459"/>
      <c r="B113" s="5464" t="s">
        <v>115</v>
      </c>
      <c r="C113" s="5461">
        <f>SUM(D167:D179)</f>
        <v>0</v>
      </c>
      <c r="D113" s="5436"/>
      <c r="E113" s="5462">
        <f t="shared" si="22"/>
        <v>0</v>
      </c>
      <c r="F113" s="5461"/>
      <c r="G113" s="5461">
        <f>SUM(E167:E179)</f>
        <v>125000</v>
      </c>
      <c r="H113" s="5436">
        <f t="shared" si="18"/>
        <v>-125000</v>
      </c>
      <c r="I113" s="5463">
        <f t="shared" si="19"/>
        <v>125000</v>
      </c>
      <c r="J113" s="5432">
        <f t="shared" si="20"/>
        <v>1</v>
      </c>
      <c r="K113" s="5436" t="str">
        <f t="shared" si="21"/>
        <v>SMANJENJE</v>
      </c>
      <c r="L113" s="5365"/>
      <c r="M113" s="5365"/>
      <c r="N113" s="5365"/>
      <c r="O113" s="5365"/>
      <c r="P113" s="5365"/>
    </row>
    <row r="114" spans="1:16">
      <c r="A114" s="5365"/>
      <c r="B114" s="5365"/>
      <c r="C114" s="5365"/>
      <c r="D114" s="5365"/>
      <c r="E114" s="5365"/>
      <c r="F114" s="5365"/>
      <c r="G114" s="5365"/>
      <c r="H114" s="5365"/>
      <c r="I114" s="5365"/>
      <c r="J114" s="5365"/>
      <c r="K114" s="5365"/>
      <c r="L114" s="5365"/>
      <c r="M114" s="5365"/>
      <c r="N114" s="5365"/>
      <c r="O114" s="5365"/>
      <c r="P114" s="5365"/>
    </row>
    <row r="115" spans="1:16">
      <c r="A115" s="5365"/>
      <c r="B115" s="5365"/>
      <c r="C115" s="5365"/>
      <c r="D115" s="5365"/>
      <c r="E115" s="5365"/>
      <c r="F115" s="5365"/>
      <c r="G115" s="5365"/>
      <c r="H115" s="5365"/>
      <c r="I115" s="5365"/>
      <c r="J115" s="5365"/>
      <c r="K115" s="5365"/>
      <c r="L115" s="5365"/>
      <c r="M115" s="5365"/>
      <c r="N115" s="5365"/>
      <c r="O115" s="5365"/>
      <c r="P115" s="5365"/>
    </row>
    <row r="116" ht="17.25" customHeight="1" spans="1:16">
      <c r="A116" s="5420"/>
      <c r="B116" s="5420" t="s">
        <v>116</v>
      </c>
      <c r="C116" s="5421" t="s">
        <v>16</v>
      </c>
      <c r="D116" s="5421" t="s">
        <v>17</v>
      </c>
      <c r="E116" s="5422" t="s">
        <v>18</v>
      </c>
      <c r="F116" s="5422" t="s">
        <v>19</v>
      </c>
      <c r="G116" s="5422" t="s">
        <v>20</v>
      </c>
      <c r="H116" s="5422"/>
      <c r="I116" s="5465" t="s">
        <v>117</v>
      </c>
      <c r="J116" s="5466" t="s">
        <v>118</v>
      </c>
      <c r="K116" s="5466" t="s">
        <v>119</v>
      </c>
      <c r="L116" s="5365"/>
      <c r="M116" s="5365"/>
      <c r="N116" s="5365"/>
      <c r="O116" s="5365"/>
      <c r="P116" s="5365"/>
    </row>
    <row r="117" ht="14.25" customHeight="1" spans="1:16">
      <c r="A117" s="5428" t="str">
        <f>IF(C117=0,"-","A2.")</f>
        <v>A2.</v>
      </c>
      <c r="B117" s="5424" t="str">
        <f>INDEX($B$180:$B$198,MATCH(C117,$D$180:$D$198,0))</f>
        <v>Dati krediti  (AOP 051)</v>
      </c>
      <c r="C117" s="5467">
        <f>MAX($D$180:$D$198)</f>
        <v>427682</v>
      </c>
      <c r="D117" s="5468">
        <f>INDEX($E$180:$E$198,MATCH(C117,$D$180:$D$198,0))</f>
        <v>526925</v>
      </c>
      <c r="E117" s="5425">
        <f t="shared" ref="E117:E123" si="23">C117-D117</f>
        <v>-99243</v>
      </c>
      <c r="F117" s="5426">
        <f t="shared" ref="F117:F123" si="24">IF(E117&lt;0,E117*-1,E117)</f>
        <v>99243</v>
      </c>
      <c r="G117" s="5427">
        <f t="shared" ref="G117:G123" si="25">IFERROR(F117/D117,0)</f>
        <v>0.188343692176306</v>
      </c>
      <c r="H117" s="5425" t="str">
        <f t="shared" ref="H117:H123" si="26">IF(E117&lt;0,"SMANJENJE","POVEĆANJE")</f>
        <v>SMANJENJE</v>
      </c>
      <c r="I117" s="5425">
        <f t="shared" ref="I117:I123" si="27">(C117+D117)/2</f>
        <v>477303.5</v>
      </c>
      <c r="J117" s="5469">
        <f>IFERROR((B_Uspjeha!$AI$76/Baza!$C$12*12)/I117,0)</f>
        <v>0.519107863235866</v>
      </c>
      <c r="K117" s="5425">
        <f t="shared" ref="K117:K123" si="28">IFERROR(ROUND(365/J117,0),0)</f>
        <v>703</v>
      </c>
      <c r="L117" s="5365"/>
      <c r="M117" s="5365"/>
      <c r="N117" s="5365"/>
      <c r="O117" s="5365"/>
      <c r="P117" s="5365"/>
    </row>
    <row r="118" ht="14.25" customHeight="1" spans="1:16">
      <c r="A118" s="5428" t="str">
        <f>IF(C118=0,"-","A3.")</f>
        <v>A3.</v>
      </c>
      <c r="B118" s="5429" t="str">
        <f>INDEX($B$180:$B$198,MATCH(C118,$D$180:$D$198,0))</f>
        <v>Ostala imovina i potraživanja, uključujući i razgraničenja (AOP 059)</v>
      </c>
      <c r="C118" s="5470">
        <f>LARGE($D$180:$D$198,2)</f>
        <v>126871</v>
      </c>
      <c r="D118" s="5471">
        <f>INDEX($E$180:$E$198,MATCH(C118,$D$180:$D$198,0))</f>
        <v>69080</v>
      </c>
      <c r="E118" s="5430">
        <f t="shared" si="23"/>
        <v>57791</v>
      </c>
      <c r="F118" s="5431">
        <f t="shared" si="24"/>
        <v>57791</v>
      </c>
      <c r="G118" s="5432">
        <f t="shared" si="25"/>
        <v>0.836580775911986</v>
      </c>
      <c r="H118" s="5430" t="str">
        <f t="shared" si="26"/>
        <v>POVEĆANJE</v>
      </c>
      <c r="I118" s="5430">
        <f t="shared" si="27"/>
        <v>97975.5</v>
      </c>
      <c r="J118" s="5472">
        <f>IFERROR((B_Uspjeha!$AI$76/Baza!$C$12*12)/I118,0)</f>
        <v>2.52891794377166</v>
      </c>
      <c r="K118" s="5430">
        <f t="shared" si="28"/>
        <v>144</v>
      </c>
      <c r="L118" s="5365"/>
      <c r="M118" s="5365"/>
      <c r="N118" s="5365"/>
      <c r="O118" s="5365"/>
      <c r="P118" s="5365"/>
    </row>
    <row r="119" spans="1:16">
      <c r="A119" s="5428" t="str">
        <f>IF(C119=0,"-","A4.")</f>
        <v>A4.</v>
      </c>
      <c r="B119" s="5429" t="str">
        <f>INDEX($B$180:$B$198,MATCH(C119,$D$180:$D$198,0))</f>
        <v>Kupci u zemlji (AOP 047)</v>
      </c>
      <c r="C119" s="5470">
        <f>LARGE($D$180:$D$198,3)</f>
        <v>20312</v>
      </c>
      <c r="D119" s="5471">
        <f>INDEX($E$180:$E$198,MATCH(C119,$D$180:$D$198,0))</f>
        <v>21173</v>
      </c>
      <c r="E119" s="5430">
        <f t="shared" si="23"/>
        <v>-861</v>
      </c>
      <c r="F119" s="5431">
        <f t="shared" si="24"/>
        <v>861</v>
      </c>
      <c r="G119" s="5432">
        <f t="shared" si="25"/>
        <v>0.0406649978746517</v>
      </c>
      <c r="H119" s="5430" t="str">
        <f t="shared" si="26"/>
        <v>SMANJENJE</v>
      </c>
      <c r="I119" s="5430">
        <f t="shared" si="27"/>
        <v>20742.5</v>
      </c>
      <c r="J119" s="5472">
        <f>IFERROR((B_Uspjeha!$AI$76/Baza!$C$12*12)/I119,0)</f>
        <v>11.9451367964324</v>
      </c>
      <c r="K119" s="5430">
        <f t="shared" si="28"/>
        <v>31</v>
      </c>
      <c r="L119" s="5365"/>
      <c r="M119" s="5365"/>
      <c r="N119" s="5365"/>
      <c r="O119" s="5365"/>
      <c r="P119" s="5365"/>
    </row>
    <row r="120" spans="1:16">
      <c r="A120" s="5428"/>
      <c r="B120" s="5429" t="str">
        <f>INDEX($B$180:$B$198,MATCH(C120,$D$180:$D$198,0))</f>
        <v>Sirovine, materijal, rezervni dijelovi i sitan inventar (AOP 038)</v>
      </c>
      <c r="C120" s="5470">
        <f>LARGE($D$180:$D$198,4)</f>
        <v>0</v>
      </c>
      <c r="D120" s="5471">
        <f>INDEX($E$180:$E$198,MATCH(C120,$D$180:$D$198,0))</f>
        <v>0</v>
      </c>
      <c r="E120" s="5430">
        <f t="shared" si="23"/>
        <v>0</v>
      </c>
      <c r="F120" s="5431">
        <f t="shared" si="24"/>
        <v>0</v>
      </c>
      <c r="G120" s="5432">
        <f t="shared" si="25"/>
        <v>0</v>
      </c>
      <c r="H120" s="5430" t="str">
        <f t="shared" si="26"/>
        <v>POVEĆANJE</v>
      </c>
      <c r="I120" s="5430">
        <f t="shared" si="27"/>
        <v>0</v>
      </c>
      <c r="J120" s="5472">
        <f>IFERROR((B_Uspjeha!$AI$76/Baza!$C$12*12)/I120,0)</f>
        <v>0</v>
      </c>
      <c r="K120" s="5430">
        <f t="shared" si="28"/>
        <v>0</v>
      </c>
      <c r="L120" s="5365"/>
      <c r="M120" s="5365"/>
      <c r="N120" s="5365"/>
      <c r="O120" s="5365"/>
      <c r="P120" s="5365"/>
    </row>
    <row r="121" spans="1:16">
      <c r="A121" s="5473"/>
      <c r="B121" s="5429" t="str">
        <f>INDEX($B$180:$B$198,MATCH(C121,$D$180:$D$198,0))</f>
        <v>Sirovine, materijal, rezervni dijelovi i sitan inventar (AOP 038)</v>
      </c>
      <c r="C121" s="5470">
        <f>LARGE($D$180:$D$198,5)</f>
        <v>0</v>
      </c>
      <c r="D121" s="5471">
        <f>INDEX($E$180:$E$198,MATCH(C121,$D$180:$D$198,0))</f>
        <v>0</v>
      </c>
      <c r="E121" s="5430">
        <f t="shared" si="23"/>
        <v>0</v>
      </c>
      <c r="F121" s="5431">
        <f t="shared" si="24"/>
        <v>0</v>
      </c>
      <c r="G121" s="5432">
        <f t="shared" si="25"/>
        <v>0</v>
      </c>
      <c r="H121" s="5430" t="str">
        <f t="shared" si="26"/>
        <v>POVEĆANJE</v>
      </c>
      <c r="I121" s="5430">
        <f t="shared" si="27"/>
        <v>0</v>
      </c>
      <c r="J121" s="5472">
        <f>IFERROR((B_Uspjeha!$AI$76/Baza!$C$12*12)/I121,0)</f>
        <v>0</v>
      </c>
      <c r="K121" s="5430">
        <f t="shared" si="28"/>
        <v>0</v>
      </c>
      <c r="L121" s="5365"/>
      <c r="M121" s="5365"/>
      <c r="N121" s="5365"/>
      <c r="O121" s="5365"/>
      <c r="P121" s="5365"/>
    </row>
    <row r="122" spans="1:16">
      <c r="A122" s="5458"/>
      <c r="B122" s="5429" t="s">
        <v>2330</v>
      </c>
      <c r="C122" s="5470">
        <f>C123-SUM(C117:C121)</f>
        <v>0</v>
      </c>
      <c r="D122" s="5470">
        <f>D123-SUM(D117:D121)</f>
        <v>0</v>
      </c>
      <c r="E122" s="5430">
        <f t="shared" si="23"/>
        <v>0</v>
      </c>
      <c r="F122" s="5431">
        <f t="shared" si="24"/>
        <v>0</v>
      </c>
      <c r="G122" s="5432">
        <f t="shared" si="25"/>
        <v>0</v>
      </c>
      <c r="H122" s="5430" t="str">
        <f t="shared" si="26"/>
        <v>POVEĆANJE</v>
      </c>
      <c r="I122" s="5430">
        <f t="shared" si="27"/>
        <v>0</v>
      </c>
      <c r="J122" s="5472">
        <f>IFERROR((B_Uspjeha!$AI$76/Baza!$C$12*12)/I122,0)</f>
        <v>0</v>
      </c>
      <c r="K122" s="5430">
        <f t="shared" si="28"/>
        <v>0</v>
      </c>
      <c r="L122" s="5365"/>
      <c r="M122" s="5365"/>
      <c r="N122" s="5365"/>
      <c r="O122" s="5365"/>
      <c r="P122" s="5365"/>
    </row>
    <row r="123" spans="1:16">
      <c r="A123" s="5459"/>
      <c r="B123" s="5460" t="s">
        <v>124</v>
      </c>
      <c r="C123" s="5474">
        <f>SUM(D180:D198)</f>
        <v>574865</v>
      </c>
      <c r="D123" s="5474">
        <f>SUM(E180:E198)</f>
        <v>617178</v>
      </c>
      <c r="E123" s="5436">
        <f t="shared" si="23"/>
        <v>-42313</v>
      </c>
      <c r="F123" s="5463">
        <f t="shared" si="24"/>
        <v>42313</v>
      </c>
      <c r="G123" s="5475">
        <f t="shared" si="25"/>
        <v>0.0685588274371413</v>
      </c>
      <c r="H123" s="5436" t="str">
        <f t="shared" si="26"/>
        <v>SMANJENJE</v>
      </c>
      <c r="I123" s="5436">
        <f t="shared" si="27"/>
        <v>596021.5</v>
      </c>
      <c r="J123" s="5476">
        <f>IFERROR((B_Uspjeha!$AI$76/Baza!$C$12*12)/I123,0)</f>
        <v>0.415709835970682</v>
      </c>
      <c r="K123" s="5430">
        <f t="shared" si="28"/>
        <v>878</v>
      </c>
      <c r="L123" s="5365"/>
      <c r="M123" s="5365"/>
      <c r="N123" s="5365"/>
      <c r="O123" s="5365"/>
      <c r="P123" s="5365"/>
    </row>
    <row r="124" spans="1:16">
      <c r="A124" s="5365"/>
      <c r="B124" s="5365"/>
      <c r="C124" s="5365"/>
      <c r="D124" s="5365"/>
      <c r="E124" s="5365"/>
      <c r="F124" s="5365"/>
      <c r="G124" s="5365"/>
      <c r="H124" s="5365"/>
      <c r="I124" s="5365"/>
      <c r="J124" s="5365"/>
      <c r="K124" s="5365"/>
      <c r="L124" s="5365"/>
      <c r="M124" s="5365"/>
      <c r="N124" s="5365"/>
      <c r="O124" s="5365"/>
      <c r="P124" s="5365"/>
    </row>
    <row r="125" ht="17.25" customHeight="1" spans="1:16">
      <c r="A125" s="5420"/>
      <c r="B125" s="5420" t="s">
        <v>125</v>
      </c>
      <c r="C125" s="5421" t="s">
        <v>16</v>
      </c>
      <c r="D125" s="5421" t="s">
        <v>17</v>
      </c>
      <c r="E125" s="5422" t="s">
        <v>18</v>
      </c>
      <c r="F125" s="5422" t="s">
        <v>19</v>
      </c>
      <c r="G125" s="5422" t="s">
        <v>20</v>
      </c>
      <c r="H125" s="5422"/>
      <c r="I125" s="5465" t="s">
        <v>117</v>
      </c>
      <c r="J125" s="5466" t="s">
        <v>118</v>
      </c>
      <c r="K125" s="5466" t="s">
        <v>119</v>
      </c>
      <c r="L125" s="5365"/>
      <c r="M125" s="5365"/>
      <c r="N125" s="5365"/>
      <c r="O125" s="5365"/>
      <c r="P125" s="5365"/>
    </row>
    <row r="126" ht="14.25" customHeight="1" spans="1:16">
      <c r="A126" s="5428" t="str">
        <f>IF(C126=0,"-","A7.")</f>
        <v>-</v>
      </c>
      <c r="B126" s="5424" t="str">
        <f>INDEX($B$180:$B$185,MATCH(C126,$D$180:$D$185,0))</f>
        <v>Sirovine, materijal, rezervni dijelovi i sitan inventar (AOP 038)</v>
      </c>
      <c r="C126" s="5467">
        <f>MAX($D$180:$D$185)</f>
        <v>0</v>
      </c>
      <c r="D126" s="5467">
        <f>INDEX($E$151:$E$198,MATCH(C126,$D$151:$D$198,0))</f>
        <v>0</v>
      </c>
      <c r="E126" s="5425">
        <f>C126-D126</f>
        <v>0</v>
      </c>
      <c r="F126" s="5426">
        <f>IF(E126&lt;0,E126*-1,E126)</f>
        <v>0</v>
      </c>
      <c r="G126" s="5427">
        <f>IFERROR(F126/D126,0)</f>
        <v>0</v>
      </c>
      <c r="H126" s="5425" t="str">
        <f>IF(E126&lt;0,"SMANJENJE","POVEĆANJE")</f>
        <v>POVEĆANJE</v>
      </c>
      <c r="I126" s="5425">
        <f>(C126+D126)/2</f>
        <v>0</v>
      </c>
      <c r="J126" s="5469">
        <f>IFERROR((B_Uspjeha!$AI$76/Baza!$C$12*12)/I126,0)</f>
        <v>0</v>
      </c>
      <c r="K126" s="5425">
        <f>IFERROR(ROUND(365/J126,0),0)</f>
        <v>0</v>
      </c>
      <c r="L126" s="5365" t="str">
        <f>INDEX($G$180:$G$183,MATCH(C126,$D$180:$D$183,0))</f>
        <v>MSFI za MSS - Odjeljak 13 Zalihe -tačka 22 </v>
      </c>
      <c r="M126" s="5365"/>
      <c r="N126" s="5365"/>
      <c r="O126" s="5365"/>
      <c r="P126" s="5365"/>
    </row>
    <row r="127" ht="14.25" customHeight="1" spans="1:16">
      <c r="A127" s="5458">
        <v>2</v>
      </c>
      <c r="B127" s="5429" t="str">
        <f>INDEX($B$180:$B$185,MATCH(C127,$D$180:$D$185,0))</f>
        <v>Sirovine, materijal, rezervni dijelovi i sitan inventar (AOP 038)</v>
      </c>
      <c r="C127" s="5470">
        <f>LARGE($D$180:$D$185,2)</f>
        <v>0</v>
      </c>
      <c r="D127" s="5470">
        <f>INDEX($E$151:$E$198,MATCH(C127,$D$151:$D$198,0))</f>
        <v>0</v>
      </c>
      <c r="E127" s="5430">
        <f>C127-D127</f>
        <v>0</v>
      </c>
      <c r="F127" s="5431">
        <f>IF(E127&lt;0,E127*-1,E127)</f>
        <v>0</v>
      </c>
      <c r="G127" s="5432">
        <f>IFERROR(F127/D127,0)</f>
        <v>0</v>
      </c>
      <c r="H127" s="5430" t="str">
        <f>IF(E127&lt;0,"SMANJENJE","POVEĆANJE")</f>
        <v>POVEĆANJE</v>
      </c>
      <c r="I127" s="5430">
        <f>(C127+D127)/2</f>
        <v>0</v>
      </c>
      <c r="J127" s="5472">
        <f>IFERROR((B_Uspjeha!$AI$76/Baza!$C$12*12)/I127,0)</f>
        <v>0</v>
      </c>
      <c r="K127" s="5430">
        <f>IFERROR(ROUND(365/J127,0),0)</f>
        <v>0</v>
      </c>
      <c r="L127" s="5365" t="str">
        <f>INDEX($G$180:$G$183,MATCH(C127,$D$180:$D$183,0))</f>
        <v>MSFI za MSS - Odjeljak 13 Zalihe -tačka 22 </v>
      </c>
      <c r="M127" s="5365"/>
      <c r="N127" s="5365"/>
      <c r="O127" s="5365"/>
      <c r="P127" s="5365"/>
    </row>
    <row r="128" spans="1:16">
      <c r="A128" s="5458">
        <v>3</v>
      </c>
      <c r="B128" s="5429" t="s">
        <v>126</v>
      </c>
      <c r="C128" s="5470">
        <f>C129-SUM(C126:C127)</f>
        <v>0</v>
      </c>
      <c r="D128" s="5470">
        <f>D129-SUM(D126:D127)</f>
        <v>0</v>
      </c>
      <c r="E128" s="5430">
        <f>C128-D128</f>
        <v>0</v>
      </c>
      <c r="F128" s="5431">
        <f>IF(E128&lt;0,E128*-1,E128)</f>
        <v>0</v>
      </c>
      <c r="G128" s="5432">
        <f>IFERROR(F128/D128,0)</f>
        <v>0</v>
      </c>
      <c r="H128" s="5430" t="str">
        <f>IF(E128&lt;0,"SMANJENJE","POVEĆANJE")</f>
        <v>POVEĆANJE</v>
      </c>
      <c r="I128" s="5430">
        <f>(C128+D128)/2</f>
        <v>0</v>
      </c>
      <c r="J128" s="5472">
        <f>IFERROR((B_Uspjeha!$AI$76/Baza!$C$12*12)/I128,0)</f>
        <v>0</v>
      </c>
      <c r="K128" s="5430">
        <f>IFERROR(ROUND(365/J128,0),0)</f>
        <v>0</v>
      </c>
      <c r="L128" s="5365"/>
      <c r="M128" s="5365"/>
      <c r="N128" s="5365"/>
      <c r="O128" s="5365"/>
      <c r="P128" s="5365"/>
    </row>
    <row r="129" spans="1:16">
      <c r="A129" s="5459">
        <v>4</v>
      </c>
      <c r="B129" s="5460" t="s">
        <v>127</v>
      </c>
      <c r="C129" s="5474">
        <f>SUM(D180:D186)</f>
        <v>0</v>
      </c>
      <c r="D129" s="5474">
        <f>SUM(E180:E186)</f>
        <v>0</v>
      </c>
      <c r="E129" s="5436">
        <f>C129-D129</f>
        <v>0</v>
      </c>
      <c r="F129" s="5463">
        <f>IF(E129&lt;0,E129*-1,E129)</f>
        <v>0</v>
      </c>
      <c r="G129" s="5432">
        <f>IFERROR(F129/D129,0)</f>
        <v>0</v>
      </c>
      <c r="H129" s="5436" t="str">
        <f>IF(E129&lt;0,"SMANJENJE","POVEĆANJE")</f>
        <v>POVEĆANJE</v>
      </c>
      <c r="I129" s="5436">
        <f>(C129+D129)/2</f>
        <v>0</v>
      </c>
      <c r="J129" s="5476">
        <f>IFERROR((B_Uspjeha!$AI$76/Baza!$C$12*12)/I129,0)</f>
        <v>0</v>
      </c>
      <c r="K129" s="5436">
        <f>IFERROR(ROUND(365/J129,0),0)</f>
        <v>0</v>
      </c>
      <c r="L129" s="5365"/>
      <c r="M129" s="5365"/>
      <c r="N129" s="5365"/>
      <c r="O129" s="5365"/>
      <c r="P129" s="5365"/>
    </row>
    <row r="130" spans="1:16">
      <c r="A130" s="5365"/>
      <c r="B130" s="5365"/>
      <c r="C130" s="5365"/>
      <c r="D130" s="5365"/>
      <c r="E130" s="5365"/>
      <c r="F130" s="5477"/>
      <c r="G130" s="5477"/>
      <c r="H130" s="5365"/>
      <c r="I130" s="5365"/>
      <c r="J130" s="5365"/>
      <c r="K130" s="5365"/>
      <c r="L130" s="5365"/>
      <c r="M130" s="5365"/>
      <c r="N130" s="5365"/>
      <c r="O130" s="5365"/>
      <c r="P130" s="5365"/>
    </row>
    <row r="131" ht="17.25" customHeight="1" spans="1:16">
      <c r="A131" s="5420"/>
      <c r="B131" s="5420" t="s">
        <v>128</v>
      </c>
      <c r="C131" s="5421" t="s">
        <v>16</v>
      </c>
      <c r="D131" s="5421" t="s">
        <v>17</v>
      </c>
      <c r="E131" s="5422" t="s">
        <v>18</v>
      </c>
      <c r="F131" s="5422" t="s">
        <v>19</v>
      </c>
      <c r="G131" s="5422" t="s">
        <v>20</v>
      </c>
      <c r="H131" s="5422"/>
      <c r="I131" s="5465" t="s">
        <v>117</v>
      </c>
      <c r="J131" s="5466" t="s">
        <v>118</v>
      </c>
      <c r="K131" s="5466" t="s">
        <v>119</v>
      </c>
      <c r="L131" s="5365"/>
      <c r="M131" s="5365"/>
      <c r="N131" s="5365"/>
      <c r="O131" s="5365"/>
      <c r="P131" s="5365"/>
    </row>
    <row r="132" ht="14.25" customHeight="1" spans="1:16">
      <c r="A132" s="5428" t="str">
        <f>IF(C132=0,"-","A8.")</f>
        <v>A8.</v>
      </c>
      <c r="B132" s="5424" t="str">
        <f>INDEX($B$187:$B$198,MATCH(C132,$D$187:$D$198,0))</f>
        <v>Dati krediti  (AOP 051)</v>
      </c>
      <c r="C132" s="5467">
        <f>MAX($D$187:$D$198)</f>
        <v>427682</v>
      </c>
      <c r="D132" s="5467">
        <f>INDEX($E$187:$E$198,MATCH(C132,$D$187:$D$198,0))</f>
        <v>526925</v>
      </c>
      <c r="E132" s="5425">
        <f>C132-D132</f>
        <v>-99243</v>
      </c>
      <c r="F132" s="5426">
        <f>IF(E132&lt;0,E132*-1,E132)</f>
        <v>99243</v>
      </c>
      <c r="G132" s="5427">
        <f>IFERROR(F132/D132,0)</f>
        <v>0.188343692176306</v>
      </c>
      <c r="H132" s="5425" t="str">
        <f>IF(E132&lt;0,"SMANJENJE","POVEĆANJE")</f>
        <v>SMANJENJE</v>
      </c>
      <c r="I132" s="5425">
        <f>(C132+D132)/2</f>
        <v>477303.5</v>
      </c>
      <c r="J132" s="5469">
        <f>IFERROR((B_Uspjeha!$AI$76/Baza!$C$12*12)/I132,0)</f>
        <v>0.519107863235866</v>
      </c>
      <c r="K132" s="5425">
        <f>IFERROR(ROUND(365/J132,0),0)</f>
        <v>703</v>
      </c>
      <c r="L132" s="5365" t="str">
        <f>INDEX($G$187:$G$198,MATCH(C132,$D$187:$D$198,0))</f>
        <v>MSFI za MSS - Odjeljak 4 Izvještaj o finansijskom položaju</v>
      </c>
      <c r="M132" s="5365"/>
      <c r="N132" s="5365"/>
      <c r="O132" s="5365"/>
      <c r="P132" s="5365"/>
    </row>
    <row r="133" ht="14.25" customHeight="1" spans="1:16">
      <c r="A133" s="5428" t="str">
        <f>IF(C133=0,"-","A9.")</f>
        <v>A9.</v>
      </c>
      <c r="B133" s="5429" t="str">
        <f>INDEX($B$187:$B$198,MATCH(C133,$D$187:$D$198,0))</f>
        <v>Ostala imovina i potraživanja, uključujući i razgraničenja (AOP 059)</v>
      </c>
      <c r="C133" s="5470">
        <f>LARGE($D$187:$D$198,2)</f>
        <v>126871</v>
      </c>
      <c r="D133" s="5470">
        <f>INDEX($E$187:$E$198,MATCH(C133,$D$187:$D$198,0))</f>
        <v>69080</v>
      </c>
      <c r="E133" s="5430">
        <f>C133-D133</f>
        <v>57791</v>
      </c>
      <c r="F133" s="5431">
        <f>IF(E133&lt;0,E133*-1,E133)</f>
        <v>57791</v>
      </c>
      <c r="G133" s="5432">
        <f>IFERROR(F133/D133,0)</f>
        <v>0.836580775911986</v>
      </c>
      <c r="H133" s="5430" t="str">
        <f>IF(E133&lt;0,"SMANJENJE","POVEĆANJE")</f>
        <v>POVEĆANJE</v>
      </c>
      <c r="I133" s="5430">
        <f>(C133+D133)/2</f>
        <v>97975.5</v>
      </c>
      <c r="J133" s="5472">
        <f>IFERROR((B_Uspjeha!$AI$76/Baza!$C$12*12)/I133,0)</f>
        <v>2.52891794377166</v>
      </c>
      <c r="K133" s="5430">
        <f>IFERROR(ROUND(365/J133,0),0)</f>
        <v>144</v>
      </c>
      <c r="L133" s="5365" t="str">
        <f>INDEX($G$187:$G$198,MATCH(C133,$D$187:$D$198,0))</f>
        <v>MSFI za MSS - Odjeljak 4 Izvještaj o finansijskom položaju</v>
      </c>
      <c r="M133" s="5365"/>
      <c r="N133" s="5365"/>
      <c r="O133" s="5365"/>
      <c r="P133" s="5365"/>
    </row>
    <row r="134" spans="1:16">
      <c r="A134" s="5458">
        <v>3</v>
      </c>
      <c r="B134" s="5429" t="s">
        <v>129</v>
      </c>
      <c r="C134" s="5470">
        <f>C135-SUM(C132:C133)</f>
        <v>20312</v>
      </c>
      <c r="D134" s="5470">
        <f>D135-SUM(D132:D133)</f>
        <v>21173</v>
      </c>
      <c r="E134" s="5430">
        <f>C134-D134</f>
        <v>-861</v>
      </c>
      <c r="F134" s="5431">
        <f>IF(E134&lt;0,E134*-1,E134)</f>
        <v>861</v>
      </c>
      <c r="G134" s="5432">
        <f>IFERROR(F134/D134,0)</f>
        <v>0.0406649978746517</v>
      </c>
      <c r="H134" s="5430" t="str">
        <f>IF(E134&lt;0,"SMANJENJE","POVEĆANJE")</f>
        <v>SMANJENJE</v>
      </c>
      <c r="I134" s="5430">
        <f>(C134+D134)/2</f>
        <v>20742.5</v>
      </c>
      <c r="J134" s="5472">
        <f>IFERROR((B_Uspjeha!$AI$76/Baza!$C$12*12)/I134,0)</f>
        <v>11.9451367964324</v>
      </c>
      <c r="K134" s="5430">
        <f>IFERROR(ROUND(365/J134,0),0)</f>
        <v>31</v>
      </c>
      <c r="L134" s="5365"/>
      <c r="M134" s="5365"/>
      <c r="N134" s="5365"/>
      <c r="O134" s="5365"/>
      <c r="P134" s="5365"/>
    </row>
    <row r="135" spans="1:16">
      <c r="A135" s="5459">
        <v>4</v>
      </c>
      <c r="B135" s="5460" t="s">
        <v>130</v>
      </c>
      <c r="C135" s="5474">
        <f>SUM(D187:D198)</f>
        <v>574865</v>
      </c>
      <c r="D135" s="5474">
        <f>SUM(E187:E198)</f>
        <v>617178</v>
      </c>
      <c r="E135" s="5436">
        <f>C135-D135</f>
        <v>-42313</v>
      </c>
      <c r="F135" s="5463">
        <f>IF(E135&lt;0,E135*-1,E135)</f>
        <v>42313</v>
      </c>
      <c r="G135" s="5475">
        <f>IFERROR(F135/D135,0)</f>
        <v>0.0685588274371413</v>
      </c>
      <c r="H135" s="5436" t="str">
        <f>IF(E135&lt;0,"SMANJENJE","POVEĆANJE")</f>
        <v>SMANJENJE</v>
      </c>
      <c r="I135" s="5436">
        <f>(C135+D135)/2</f>
        <v>596021.5</v>
      </c>
      <c r="J135" s="5476">
        <f>IFERROR((B_Uspjeha!$AI$76/Baza!$C$12*12)/I135,0)</f>
        <v>0.415709835970682</v>
      </c>
      <c r="K135" s="5436">
        <f>SUM(K132:K134)</f>
        <v>878</v>
      </c>
      <c r="L135" s="5365"/>
      <c r="M135" s="5365"/>
      <c r="N135" s="5365"/>
      <c r="O135" s="5365"/>
      <c r="P135" s="5365"/>
    </row>
    <row r="136" spans="1:16">
      <c r="A136" s="5478">
        <v>5</v>
      </c>
      <c r="B136" s="5479" t="s">
        <v>131</v>
      </c>
      <c r="C136" s="5480">
        <f>SUM(D187:D198)</f>
        <v>574865</v>
      </c>
      <c r="D136" s="5480"/>
      <c r="E136" s="5365"/>
      <c r="F136" s="5365"/>
      <c r="G136" s="5365"/>
      <c r="H136" s="5365"/>
      <c r="I136" s="5365"/>
      <c r="J136" s="5365"/>
      <c r="K136" s="5365"/>
      <c r="L136" s="5365"/>
      <c r="M136" s="5365"/>
      <c r="N136" s="5365"/>
      <c r="O136" s="5365"/>
      <c r="P136" s="5365"/>
    </row>
    <row r="137" spans="1:16">
      <c r="A137" s="5478">
        <v>6</v>
      </c>
      <c r="B137" s="5479" t="s">
        <v>132</v>
      </c>
      <c r="C137" s="5480">
        <f>UnosPod!M682</f>
        <v>0</v>
      </c>
      <c r="D137" s="5480"/>
      <c r="E137" s="5365"/>
      <c r="F137" s="5365"/>
      <c r="G137" s="5365"/>
      <c r="H137" s="5365"/>
      <c r="I137" s="5365"/>
      <c r="J137" s="5365"/>
      <c r="K137" s="5365"/>
      <c r="L137" s="5365"/>
      <c r="M137" s="5365"/>
      <c r="N137" s="5365"/>
      <c r="O137" s="5365"/>
      <c r="P137" s="5365"/>
    </row>
    <row r="138" ht="13.5" spans="1:16">
      <c r="A138" s="5481">
        <v>7</v>
      </c>
      <c r="B138" s="5482" t="s">
        <v>133</v>
      </c>
      <c r="C138" s="5483">
        <f>C137/C136</f>
        <v>0</v>
      </c>
      <c r="D138" s="5484"/>
      <c r="E138" s="5365"/>
      <c r="F138" s="5365"/>
      <c r="G138" s="5365"/>
      <c r="H138" s="5365"/>
      <c r="I138" s="5365"/>
      <c r="J138" s="5365"/>
      <c r="K138" s="5365"/>
      <c r="L138" s="5365"/>
      <c r="M138" s="5365"/>
      <c r="N138" s="5365"/>
      <c r="O138" s="5365"/>
      <c r="P138" s="5365"/>
    </row>
    <row r="139" spans="1:16">
      <c r="A139" s="5365"/>
      <c r="B139" s="5365"/>
      <c r="C139" s="5365"/>
      <c r="D139" s="5365"/>
      <c r="E139" s="5365"/>
      <c r="F139" s="5365"/>
      <c r="G139" s="5365"/>
      <c r="H139" s="5365"/>
      <c r="I139" s="5365"/>
      <c r="J139" s="5365"/>
      <c r="K139" s="5365"/>
      <c r="L139" s="5365"/>
      <c r="M139" s="5365"/>
      <c r="N139" s="5365"/>
      <c r="O139" s="5365"/>
      <c r="P139" s="5365"/>
    </row>
    <row r="140" ht="17.25" customHeight="1" spans="1:16">
      <c r="A140" s="5420"/>
      <c r="B140" s="5420" t="s">
        <v>128</v>
      </c>
      <c r="C140" s="5421" t="s">
        <v>16</v>
      </c>
      <c r="D140" s="5421" t="s">
        <v>17</v>
      </c>
      <c r="E140" s="5422" t="s">
        <v>18</v>
      </c>
      <c r="F140" s="5422" t="s">
        <v>19</v>
      </c>
      <c r="G140" s="5422" t="s">
        <v>20</v>
      </c>
      <c r="H140" s="5422"/>
      <c r="I140" s="5465" t="s">
        <v>117</v>
      </c>
      <c r="J140" s="5466" t="s">
        <v>118</v>
      </c>
      <c r="K140" s="5466" t="s">
        <v>119</v>
      </c>
      <c r="L140" s="5365"/>
      <c r="M140" s="5365"/>
      <c r="N140" s="5365"/>
      <c r="O140" s="5365"/>
      <c r="P140" s="5365"/>
    </row>
    <row r="141" ht="14.25" customHeight="1" spans="1:16">
      <c r="A141" s="5485">
        <v>1</v>
      </c>
      <c r="B141" s="5424" t="str">
        <f>INDEX($B$201:$B$203,MATCH(C141,$D$201:$D$203,0))</f>
        <v>Potraživanja</v>
      </c>
      <c r="C141" s="5467">
        <f>MAX(D201:D203)</f>
        <v>574865</v>
      </c>
      <c r="D141" s="5467">
        <f>INDEX($E$201:$E$203,MATCH(C141,$D$201:$D$203,0))</f>
        <v>617178</v>
      </c>
      <c r="E141" s="5425">
        <f t="shared" ref="E141:E144" si="29">C141-D141</f>
        <v>-42313</v>
      </c>
      <c r="F141" s="5426">
        <f t="shared" ref="F141:F144" si="30">IF(E141&lt;0,E141*-1,E141)</f>
        <v>42313</v>
      </c>
      <c r="G141" s="5427">
        <f>IFERROR(F141/D141,0)</f>
        <v>0.0685588274371413</v>
      </c>
      <c r="H141" s="5425" t="str">
        <f>IF(E141&lt;0,"SMANJENJE","POVEĆANJE")</f>
        <v>SMANJENJE</v>
      </c>
      <c r="I141" s="5425">
        <f>(C141+D141)/2</f>
        <v>596021.5</v>
      </c>
      <c r="J141" s="5469">
        <f>IFERROR((B_Uspjeha!$AI$76/Baza!$C$12*12)/I141,0)</f>
        <v>0.415709835970682</v>
      </c>
      <c r="K141" s="5425">
        <f t="shared" ref="K141:K143" si="31">IFERROR(ROUND(365/J141,0),0)</f>
        <v>878</v>
      </c>
      <c r="L141" s="5365"/>
      <c r="M141" s="5365"/>
      <c r="N141" s="5365"/>
      <c r="O141" s="5365"/>
      <c r="P141" s="5365"/>
    </row>
    <row r="142" ht="14.25" customHeight="1" spans="1:16">
      <c r="A142" s="5458">
        <v>2</v>
      </c>
      <c r="B142" s="5429" t="str">
        <f>INDEX($B$201:$B$203,MATCH(C142,$D$201:$D$203,0))</f>
        <v>Gotovina -novčana sredstva</v>
      </c>
      <c r="C142" s="5470">
        <f>LARGE($D$201:$D$203,2)</f>
        <v>2327</v>
      </c>
      <c r="D142" s="5470">
        <f>INDEX($E$201:$E$203,MATCH(C142,$D$201:$D$203,0))</f>
        <v>47</v>
      </c>
      <c r="E142" s="5430">
        <f t="shared" si="29"/>
        <v>2280</v>
      </c>
      <c r="F142" s="5431">
        <f t="shared" si="30"/>
        <v>2280</v>
      </c>
      <c r="G142" s="5432">
        <f t="shared" ref="G142:G144" si="32">IFERROR(F142/D142,0)</f>
        <v>48.5106382978723</v>
      </c>
      <c r="H142" s="5430" t="str">
        <f t="shared" ref="H142:H144" si="33">IF(E142&lt;0,"SMANJENJE","POVEĆANJE")</f>
        <v>POVEĆANJE</v>
      </c>
      <c r="I142" s="5430">
        <f t="shared" ref="I142:I144" si="34">(C142+D142)/2</f>
        <v>1187</v>
      </c>
      <c r="J142" s="5472">
        <f>IFERROR((B_Uspjeha!$AI$76/Baza!$C$12*12)/I142,0)</f>
        <v>208.73799494524</v>
      </c>
      <c r="K142" s="5430">
        <f t="shared" si="31"/>
        <v>2</v>
      </c>
      <c r="L142" s="5365"/>
      <c r="M142" s="5365"/>
      <c r="N142" s="5365"/>
      <c r="O142" s="5365"/>
      <c r="P142" s="5365"/>
    </row>
    <row r="143" spans="1:16">
      <c r="A143" s="5486">
        <v>3</v>
      </c>
      <c r="B143" s="5434" t="str">
        <f>INDEX($B$201:$B$203,MATCH(C143,$D$201:$D$203,0))</f>
        <v>Zalihe</v>
      </c>
      <c r="C143" s="5487">
        <f>LARGE($D$201:$D$203,3)</f>
        <v>0</v>
      </c>
      <c r="D143" s="5487">
        <f>INDEX($E$201:$E$203,MATCH(C143,$D$201:$D$203,0))</f>
        <v>0</v>
      </c>
      <c r="E143" s="5435">
        <f t="shared" si="29"/>
        <v>0</v>
      </c>
      <c r="F143" s="5437">
        <f t="shared" si="30"/>
        <v>0</v>
      </c>
      <c r="G143" s="5438">
        <f t="shared" si="32"/>
        <v>0</v>
      </c>
      <c r="H143" s="5435" t="str">
        <f t="shared" si="33"/>
        <v>POVEĆANJE</v>
      </c>
      <c r="I143" s="5435">
        <f t="shared" si="34"/>
        <v>0</v>
      </c>
      <c r="J143" s="5488">
        <f>IFERROR((B_Uspjeha!$AI$76/Baza!$C$12*12)/I143,0)</f>
        <v>0</v>
      </c>
      <c r="K143" s="5435">
        <f t="shared" si="31"/>
        <v>0</v>
      </c>
      <c r="L143" s="5365"/>
      <c r="M143" s="5365"/>
      <c r="N143" s="5365"/>
      <c r="O143" s="5365"/>
      <c r="P143" s="5365"/>
    </row>
    <row r="144" spans="1:16">
      <c r="A144" s="5452">
        <v>4</v>
      </c>
      <c r="B144" s="5489" t="s">
        <v>187</v>
      </c>
      <c r="C144" s="5490">
        <f>SUM(C141:C143)</f>
        <v>577192</v>
      </c>
      <c r="D144" s="5490">
        <f>SUM(D141:D143)</f>
        <v>617225</v>
      </c>
      <c r="E144" s="5441">
        <f t="shared" si="29"/>
        <v>-40033</v>
      </c>
      <c r="F144" s="5442">
        <f t="shared" si="30"/>
        <v>40033</v>
      </c>
      <c r="G144" s="5443">
        <f t="shared" si="32"/>
        <v>0.0648596540969663</v>
      </c>
      <c r="H144" s="5441" t="str">
        <f t="shared" si="33"/>
        <v>SMANJENJE</v>
      </c>
      <c r="I144" s="5441">
        <f t="shared" si="34"/>
        <v>597208.5</v>
      </c>
      <c r="J144" s="5491">
        <f>IFERROR((B_Uspjeha!$AI$76/Baza!$C$12*12)/I144,0)</f>
        <v>0.414883579185494</v>
      </c>
      <c r="K144" s="5441">
        <f>SUM(K141:K143)</f>
        <v>880</v>
      </c>
      <c r="L144" s="5365"/>
      <c r="M144" s="5365"/>
      <c r="N144" s="5365"/>
      <c r="O144" s="5365"/>
      <c r="P144" s="5365"/>
    </row>
    <row r="145" spans="1:16">
      <c r="A145" s="5365"/>
      <c r="B145" s="5365"/>
      <c r="C145" s="5365"/>
      <c r="D145" s="5365"/>
      <c r="E145" s="5365"/>
      <c r="F145" s="5365"/>
      <c r="G145" s="5365"/>
      <c r="H145" s="5365"/>
      <c r="I145" s="5365"/>
      <c r="J145" s="5365"/>
      <c r="K145" s="5365"/>
      <c r="L145" s="5365"/>
      <c r="M145" s="5365"/>
      <c r="N145" s="5365"/>
      <c r="O145" s="5365"/>
      <c r="P145" s="5365"/>
    </row>
    <row r="146" ht="17.25" customHeight="1" spans="1:16">
      <c r="A146" s="5420"/>
      <c r="B146" s="5420" t="s">
        <v>134</v>
      </c>
      <c r="C146" s="5421" t="s">
        <v>16</v>
      </c>
      <c r="D146" s="5421" t="s">
        <v>17</v>
      </c>
      <c r="E146" s="5422" t="s">
        <v>18</v>
      </c>
      <c r="F146" s="5422" t="s">
        <v>19</v>
      </c>
      <c r="G146" s="5422" t="s">
        <v>20</v>
      </c>
      <c r="H146" s="5422"/>
      <c r="I146" s="5465" t="s">
        <v>117</v>
      </c>
      <c r="J146" s="5466" t="s">
        <v>118</v>
      </c>
      <c r="K146" s="5466" t="s">
        <v>119</v>
      </c>
      <c r="L146" s="5365"/>
      <c r="M146" s="5365"/>
      <c r="N146" s="5365"/>
      <c r="O146" s="5365"/>
      <c r="P146" s="5365"/>
    </row>
    <row r="147" ht="14.25" customHeight="1" spans="1:16">
      <c r="A147" s="5452">
        <v>1</v>
      </c>
      <c r="B147" s="5440" t="str">
        <f>INDEX($B$199:$B$199,MATCH(C147,$D$199:$D$199,0))</f>
        <v>Gotovina i gotovinski ekvivalenti (isključujući prekoračenja po bankovnim računima) (AOP 057)</v>
      </c>
      <c r="C147" s="5492">
        <f>D199</f>
        <v>2327</v>
      </c>
      <c r="D147" s="5492">
        <f>E199</f>
        <v>47</v>
      </c>
      <c r="E147" s="5493">
        <f>C147-D147</f>
        <v>2280</v>
      </c>
      <c r="F147" s="5494">
        <f>IF(E147&lt;0,E147*-1,E147)</f>
        <v>2280</v>
      </c>
      <c r="G147" s="5443">
        <f>IFERROR(F147/D147,0)</f>
        <v>48.5106382978723</v>
      </c>
      <c r="H147" s="5492" t="str">
        <f>IF(E147&lt;0,"SMANJENJE","POVEĆANJE")</f>
        <v>POVEĆANJE</v>
      </c>
      <c r="I147" s="5441">
        <f>(C147+D147)/2</f>
        <v>1187</v>
      </c>
      <c r="J147" s="5491">
        <f>IFERROR((B_Uspjeha!$AI$76/Baza!$C$12*12)/I147,0)</f>
        <v>208.73799494524</v>
      </c>
      <c r="K147" s="5441">
        <f>IFERROR(ROUND(365/J147,0),0)</f>
        <v>2</v>
      </c>
      <c r="L147" s="5365"/>
      <c r="M147" s="5365"/>
      <c r="N147" s="5365"/>
      <c r="O147" s="5365"/>
      <c r="P147" s="5365"/>
    </row>
    <row r="148" spans="1:16">
      <c r="A148" s="5365"/>
      <c r="B148" s="5365"/>
      <c r="C148" s="5365"/>
      <c r="D148" s="5365"/>
      <c r="E148" s="5365"/>
      <c r="F148" s="5365"/>
      <c r="G148" s="5365"/>
      <c r="H148" s="5365"/>
      <c r="I148" s="5365"/>
      <c r="J148" s="5365"/>
      <c r="K148" s="5365"/>
      <c r="L148" s="5365"/>
      <c r="M148" s="5365"/>
      <c r="N148" s="5365"/>
      <c r="O148" s="5365"/>
      <c r="P148" s="5365"/>
    </row>
    <row r="149" spans="1:16">
      <c r="A149" s="5365"/>
      <c r="B149" s="5365"/>
      <c r="C149" s="5365"/>
      <c r="D149" s="5365"/>
      <c r="E149" s="5365"/>
      <c r="F149" s="5365"/>
      <c r="G149" s="5365"/>
      <c r="H149" s="5365"/>
      <c r="I149" s="5365"/>
      <c r="J149" s="5365"/>
      <c r="K149" s="5365"/>
      <c r="L149" s="5365"/>
      <c r="M149" s="5365"/>
      <c r="N149" s="5365"/>
      <c r="O149" s="5365"/>
      <c r="P149" s="5365"/>
    </row>
    <row r="150" ht="15.75" customHeight="1" spans="1:16">
      <c r="A150" s="5420"/>
      <c r="B150" s="5495" t="s">
        <v>135</v>
      </c>
      <c r="C150" s="5422" t="s">
        <v>107</v>
      </c>
      <c r="D150" s="5421" t="s">
        <v>104</v>
      </c>
      <c r="E150" s="5421" t="s">
        <v>17</v>
      </c>
      <c r="F150" s="5421" t="s">
        <v>25</v>
      </c>
      <c r="G150" s="5365"/>
      <c r="H150" s="5365"/>
      <c r="I150" s="5365"/>
      <c r="J150" s="5365"/>
      <c r="K150" s="5365"/>
      <c r="L150" s="5365"/>
      <c r="M150" s="5365"/>
      <c r="N150" s="5365"/>
      <c r="O150" s="5365"/>
      <c r="P150" s="5365"/>
    </row>
    <row r="151" spans="1:16">
      <c r="B151" s="572" t="s">
        <v>2331</v>
      </c>
      <c r="D151" s="1112">
        <f>B_Stanja!AI23</f>
        <v>0</v>
      </c>
      <c r="E151" s="1112">
        <f>B_Stanja!AP23</f>
        <v>0</v>
      </c>
      <c r="F151" s="5248" t="str">
        <f t="shared" ref="F151:F156" si="35">IF(D151=0,"-",IFERROR(INDEX($A$101:$A$102,MATCH(D151,$C$101:$C$102,0)),"-"))</f>
        <v>-</v>
      </c>
      <c r="G151" s="5365" t="str">
        <f>IF(Baza!$C$482="DA","MSFI za MSS - Odjeljak 18 Nematerijalna imovina osim goodwilla -tačka 27 do 29 ","MRS 38 - Objavljivanje nematerijalne imovine -tačka 118 do 128")</f>
        <v>MSFI za MSS - Odjeljak 18 Nematerijalna imovina osim goodwilla -tačka 27 do 29 </v>
      </c>
      <c r="H151" s="5365"/>
      <c r="I151" s="5365"/>
      <c r="J151" s="5365"/>
      <c r="K151" s="5365"/>
      <c r="L151" s="5365"/>
      <c r="M151" s="5365"/>
      <c r="N151" s="5365"/>
      <c r="O151" s="5365"/>
      <c r="P151" s="5365"/>
    </row>
    <row r="152" spans="1:16">
      <c r="B152" s="572" t="s">
        <v>2332</v>
      </c>
      <c r="D152" s="1112">
        <f>B_Stanja!AI24</f>
        <v>0</v>
      </c>
      <c r="E152" s="1112">
        <f>B_Stanja!AP24</f>
        <v>0</v>
      </c>
      <c r="F152" s="5248" t="str">
        <f t="shared" si="35"/>
        <v>-</v>
      </c>
      <c r="G152" s="5365" t="str">
        <f>IF(Baza!$C$482="DA","MSFI za MSS - Odjeljak 18 Nematerijalna imovina osim goodwilla -tačka 27 do 29 ","MRS 38 - Objavljivanje nematerijalne imovine -tačka 118 do 128")</f>
        <v>MSFI za MSS - Odjeljak 18 Nematerijalna imovina osim goodwilla -tačka 27 do 29 </v>
      </c>
      <c r="H152" s="5365"/>
      <c r="I152" s="5365"/>
      <c r="J152" s="5365"/>
      <c r="K152" s="5365"/>
      <c r="L152" s="5365"/>
      <c r="M152" s="5365"/>
      <c r="N152" s="5365"/>
      <c r="O152" s="5365"/>
      <c r="P152" s="5365"/>
    </row>
    <row r="153" spans="1:16">
      <c r="B153" s="572" t="s">
        <v>2333</v>
      </c>
      <c r="D153" s="1112">
        <f>B_Stanja!AI25</f>
        <v>0</v>
      </c>
      <c r="E153" s="1112">
        <f>B_Stanja!AP25</f>
        <v>0</v>
      </c>
      <c r="F153" s="5248" t="str">
        <f t="shared" si="35"/>
        <v>-</v>
      </c>
      <c r="G153" s="5365" t="str">
        <f>IF(Baza!$C$482="DA","MSFI za MSS - Odjeljak 18 Nematerijalna imovina osim goodwilla -tačka 27 do 29 ","MRS 38 - Objavljivanje nematerijalne imovine -tačka 118 do 128")</f>
        <v>MSFI za MSS - Odjeljak 18 Nematerijalna imovina osim goodwilla -tačka 27 do 29 </v>
      </c>
      <c r="H153" s="5365"/>
      <c r="I153" s="5365"/>
      <c r="J153" s="5365"/>
      <c r="K153" s="5365"/>
      <c r="L153" s="5365"/>
      <c r="M153" s="5365"/>
      <c r="N153" s="5365"/>
      <c r="O153" s="5365"/>
      <c r="P153" s="5365"/>
    </row>
    <row r="154" spans="1:16">
      <c r="B154" s="572" t="s">
        <v>2334</v>
      </c>
      <c r="D154" s="1112">
        <f>B_Stanja!AI26</f>
        <v>22107</v>
      </c>
      <c r="E154" s="1112">
        <f>B_Stanja!AP26</f>
        <v>26656</v>
      </c>
      <c r="F154" s="5248" t="str">
        <f t="shared" si="35"/>
        <v>A1.</v>
      </c>
      <c r="G154" s="5365" t="str">
        <f>IF(Baza!$C$482="DA","MSFI za MSS - Odjeljak 18 Nematerijalna imovina osim goodwilla -tačka 27 do 29 ","MRS 38 - Objavljivanje nematerijalne imovine -tačka 118 do 128")</f>
        <v>MSFI za MSS - Odjeljak 18 Nematerijalna imovina osim goodwilla -tačka 27 do 29 </v>
      </c>
      <c r="H154" s="5365"/>
      <c r="I154" s="5365"/>
      <c r="J154" s="5365"/>
      <c r="K154" s="5365"/>
      <c r="L154" s="5365"/>
      <c r="M154" s="5365"/>
      <c r="N154" s="5365"/>
      <c r="O154" s="5365"/>
      <c r="P154" s="5365"/>
    </row>
    <row r="155" spans="1:16">
      <c r="B155" s="572" t="s">
        <v>2335</v>
      </c>
      <c r="D155" s="1112">
        <f>B_Stanja!AI27</f>
        <v>0</v>
      </c>
      <c r="E155" s="1112">
        <f>B_Stanja!AP27</f>
        <v>0</v>
      </c>
      <c r="F155" s="5248" t="str">
        <f t="shared" si="35"/>
        <v>-</v>
      </c>
      <c r="G155" s="5365" t="str">
        <f>IF(Baza!$C$482="DA","MSFI za MSS - Odjeljak 18 Nematerijalna imovina osim goodwilla -tačka 27 do 29 ","MRS 38 - Objavljivanje nematerijalne imovine -tačka 118 do 128")</f>
        <v>MSFI za MSS - Odjeljak 18 Nematerijalna imovina osim goodwilla -tačka 27 do 29 </v>
      </c>
      <c r="H155" s="5365"/>
      <c r="I155" s="5365"/>
      <c r="J155" s="5365"/>
      <c r="K155" s="5365"/>
      <c r="L155" s="5365"/>
      <c r="M155" s="5365"/>
      <c r="N155" s="5365"/>
      <c r="O155" s="5365"/>
      <c r="P155" s="5365"/>
    </row>
    <row r="156" spans="1:16">
      <c r="B156" s="572" t="s">
        <v>2336</v>
      </c>
      <c r="D156" s="1112">
        <f>B_Stanja!AI28</f>
        <v>0</v>
      </c>
      <c r="E156" s="1112">
        <f>B_Stanja!AP28</f>
        <v>0</v>
      </c>
      <c r="F156" s="5248" t="str">
        <f t="shared" si="35"/>
        <v>-</v>
      </c>
      <c r="G156" s="5365" t="str">
        <f>IF(Baza!$C$482="DA","MSFI za MSS - Odjeljak 17 Nekretnine, postrojenja i oprema -tačka 31 do 33 ","MRS 16 - Objavljivanje nekretnine, postrojenja i oprema -tačka 73 do 79")</f>
        <v>MSFI za MSS - Odjeljak 17 Nekretnine, postrojenja i oprema -tačka 31 do 33 </v>
      </c>
      <c r="H156" s="5365"/>
      <c r="I156" s="5365"/>
      <c r="J156" s="5365"/>
      <c r="K156" s="5365"/>
      <c r="L156" s="5365"/>
      <c r="M156" s="5365"/>
      <c r="N156" s="5365"/>
      <c r="O156" s="5365"/>
      <c r="P156" s="5365"/>
    </row>
    <row r="157" spans="1:16">
      <c r="B157" s="572" t="s">
        <v>2337</v>
      </c>
      <c r="D157" s="1112">
        <f>B_Stanja!AI30</f>
        <v>0</v>
      </c>
      <c r="E157" s="1112">
        <f>B_Stanja!AP30</f>
        <v>0</v>
      </c>
      <c r="F157" s="5248" t="str">
        <f t="shared" ref="F157:F166" si="36">IF(D157=0,"-",IFERROR(INDEX($A$101:$A$102,MATCH(D157,$C$101:$C$102,0)),"-"))</f>
        <v>-</v>
      </c>
      <c r="G157" s="5365" t="str">
        <f>IF(Baza!$C$482="DA","MSFI za MSS - Odjeljak 17 Nekretnine, postrojenja i oprema -tačka 31 do 33 ","MRS 16 - Objavljivanje nekretnine, postrojenja i oprema -tačka 73 do 79")</f>
        <v>MSFI za MSS - Odjeljak 17 Nekretnine, postrojenja i oprema -tačka 31 do 33 </v>
      </c>
      <c r="H157" s="5365"/>
      <c r="I157" s="5365"/>
      <c r="J157" s="5365"/>
      <c r="K157" s="5365"/>
      <c r="L157" s="5365"/>
      <c r="M157" s="5365"/>
      <c r="N157" s="5365"/>
      <c r="O157" s="5365"/>
      <c r="P157" s="5365"/>
    </row>
    <row r="158" spans="1:16">
      <c r="B158" s="572" t="s">
        <v>2338</v>
      </c>
      <c r="D158" s="1112">
        <f>B_Stanja!AI31</f>
        <v>0</v>
      </c>
      <c r="E158" s="1112">
        <f>B_Stanja!AP31</f>
        <v>0</v>
      </c>
      <c r="F158" s="5248" t="str">
        <f t="shared" si="36"/>
        <v>-</v>
      </c>
      <c r="G158" s="5365" t="str">
        <f>IF(Baza!$C$482="DA","MSFI za MSS - Odjeljak 17 Nekretnine, postrojenja i oprema -tačka 31 do 33 ","MRS 16 - Objavljivanje nekretnine, postrojenja i oprema -tačka 73 do 79")</f>
        <v>MSFI za MSS - Odjeljak 17 Nekretnine, postrojenja i oprema -tačka 31 do 33 </v>
      </c>
      <c r="H158" s="5365"/>
      <c r="I158" s="5365"/>
      <c r="J158" s="5365"/>
      <c r="K158" s="5365"/>
      <c r="L158" s="5365"/>
      <c r="M158" s="5365"/>
      <c r="N158" s="5365"/>
      <c r="O158" s="5365"/>
      <c r="P158" s="5365"/>
    </row>
    <row r="159" spans="1:16">
      <c r="B159" s="572" t="s">
        <v>2339</v>
      </c>
      <c r="D159" s="1112">
        <f>B_Stanja!AI32</f>
        <v>0</v>
      </c>
      <c r="E159" s="1112">
        <f>B_Stanja!AP32</f>
        <v>0</v>
      </c>
      <c r="F159" s="5248" t="str">
        <f t="shared" si="36"/>
        <v>-</v>
      </c>
      <c r="G159" s="5365" t="str">
        <f>IF(Baza!$C$482="DA","MSFI za MSS - Odjeljak 17 Nekretnine, postrojenja i oprema -tačka 31 do 33 ","MRS 16 - Objavljivanje nekretnine, postrojenja i oprema -tačka 73 do 79")</f>
        <v>MSFI za MSS - Odjeljak 17 Nekretnine, postrojenja i oprema -tačka 31 do 33 </v>
      </c>
      <c r="H159" s="5365"/>
      <c r="I159" s="5365"/>
      <c r="J159" s="5365"/>
      <c r="K159" s="5365"/>
      <c r="L159" s="5365"/>
      <c r="M159" s="5365"/>
      <c r="N159" s="5365"/>
      <c r="O159" s="5365"/>
      <c r="P159" s="5365"/>
    </row>
    <row r="160" spans="1:16">
      <c r="B160" s="572" t="s">
        <v>2340</v>
      </c>
      <c r="D160" s="1112">
        <f>B_Stanja!AI33</f>
        <v>0</v>
      </c>
      <c r="E160" s="1112">
        <f>B_Stanja!AP33</f>
        <v>0</v>
      </c>
      <c r="F160" s="5248" t="str">
        <f t="shared" si="36"/>
        <v>-</v>
      </c>
      <c r="G160" s="5365" t="str">
        <f>IF(Baza!$C$482="DA","MSFI za MSS - Odjeljak 16 Ulaganje u nekretnine -tačka 10 do 11 ","MRS 40 - Objavljivanje ulaganja u nekretnine -tačka 74 do 79")</f>
        <v>MSFI za MSS - Odjeljak 16 Ulaganje u nekretnine -tačka 10 do 11 </v>
      </c>
      <c r="H160" s="5365"/>
      <c r="I160" s="5365"/>
      <c r="J160" s="5365"/>
      <c r="K160" s="5365"/>
      <c r="L160" s="5365"/>
      <c r="M160" s="5365"/>
      <c r="N160" s="5365"/>
      <c r="O160" s="5365"/>
      <c r="P160" s="5365"/>
    </row>
    <row r="161" spans="1:16">
      <c r="B161" s="572" t="s">
        <v>2341</v>
      </c>
      <c r="D161" s="1112">
        <f>B_Stanja!AI34</f>
        <v>0</v>
      </c>
      <c r="E161" s="1112">
        <f>B_Stanja!AP34</f>
        <v>0</v>
      </c>
      <c r="F161" s="5248" t="str">
        <f t="shared" si="36"/>
        <v>-</v>
      </c>
      <c r="G161" s="5365" t="str">
        <f>IF(Baza!$C$482="DA","MSFI za MSS - Odjeljak 17 Nekretnine, postrojenja i oprema -tačka 31 do 33 ","MRS 41 - Objavljivanje biološke imovine i poljoprivrednih proizvoda -tačka 40 do 56")</f>
        <v>MSFI za MSS - Odjeljak 17 Nekretnine, postrojenja i oprema -tačka 31 do 33 </v>
      </c>
      <c r="H161" s="5365"/>
      <c r="I161" s="5365"/>
      <c r="J161" s="5365"/>
      <c r="K161" s="5365"/>
      <c r="L161" s="5365"/>
      <c r="M161" s="5365"/>
      <c r="N161" s="5365"/>
      <c r="O161" s="5365"/>
      <c r="P161" s="5365"/>
    </row>
    <row r="162" spans="1:16">
      <c r="B162" s="572" t="s">
        <v>2342</v>
      </c>
      <c r="D162" s="1112">
        <f>B_Stanja!AI36</f>
        <v>0</v>
      </c>
      <c r="E162" s="1112">
        <f>B_Stanja!AP36</f>
        <v>0</v>
      </c>
      <c r="F162" s="5248" t="str">
        <f t="shared" si="36"/>
        <v>-</v>
      </c>
      <c r="G162" s="5365" t="str">
        <f>IF(Baza!$C$482="DA","MSFI za MSS - Odjeljak 17 Nekretnine, postrojenja i oprema -tačka 31 do 33 ","MRS 41 - Objavljivanje biološke imovine i poljoprivrednih proizvoda -tačka 40 do 56")</f>
        <v>MSFI za MSS - Odjeljak 17 Nekretnine, postrojenja i oprema -tačka 31 do 33 </v>
      </c>
      <c r="H162" s="5365"/>
      <c r="I162" s="5365"/>
      <c r="J162" s="5365"/>
      <c r="K162" s="5365"/>
      <c r="L162" s="5365"/>
      <c r="M162" s="5365"/>
      <c r="N162" s="5365"/>
      <c r="O162" s="5365"/>
      <c r="P162" s="5365"/>
    </row>
    <row r="163" spans="1:16">
      <c r="B163" s="572" t="s">
        <v>2343</v>
      </c>
      <c r="D163" s="1112">
        <f>B_Stanja!AI37</f>
        <v>0</v>
      </c>
      <c r="E163" s="1112">
        <f>B_Stanja!AP37</f>
        <v>0</v>
      </c>
      <c r="F163" s="5248" t="str">
        <f t="shared" si="36"/>
        <v>-</v>
      </c>
      <c r="G163" s="5365" t="str">
        <f>IF(Baza!$C$482="DA","MSFI za MSS - Odjeljak 17 Nekretnine, postrojenja i oprema -tačka 31 do 33 ","MRS 41 - Objavljivanje biološke imovine i poljoprivrednih proizvoda -tačka 40 do 56")</f>
        <v>MSFI za MSS - Odjeljak 17 Nekretnine, postrojenja i oprema -tačka 31 do 33 </v>
      </c>
      <c r="H163" s="5365"/>
      <c r="I163" s="5365"/>
      <c r="J163" s="5365"/>
      <c r="K163" s="5365"/>
      <c r="L163" s="5365"/>
      <c r="M163" s="5365"/>
      <c r="N163" s="5365"/>
      <c r="O163" s="5365"/>
      <c r="P163" s="5365"/>
    </row>
    <row r="164" spans="1:16">
      <c r="B164" s="572" t="s">
        <v>2344</v>
      </c>
      <c r="D164" s="1112">
        <f>B_Stanja!AI38</f>
        <v>0</v>
      </c>
      <c r="E164" s="1112">
        <f>B_Stanja!AP38</f>
        <v>0</v>
      </c>
      <c r="F164" s="5248" t="str">
        <f t="shared" si="36"/>
        <v>-</v>
      </c>
      <c r="G164" s="5365"/>
      <c r="H164" s="5365"/>
      <c r="I164" s="5365"/>
      <c r="J164" s="5365"/>
      <c r="K164" s="5365"/>
      <c r="L164" s="5365"/>
      <c r="M164" s="5365"/>
      <c r="N164" s="5365"/>
      <c r="O164" s="5365"/>
      <c r="P164" s="5365"/>
    </row>
    <row r="165" spans="1:16">
      <c r="B165" s="572" t="s">
        <v>2345</v>
      </c>
      <c r="D165" s="1112">
        <f>B_Stanja!AI39</f>
        <v>0</v>
      </c>
      <c r="E165" s="1112">
        <f>B_Stanja!AP39</f>
        <v>0</v>
      </c>
      <c r="F165" s="5248" t="str">
        <f t="shared" si="36"/>
        <v>-</v>
      </c>
      <c r="G165" s="5365"/>
      <c r="H165" s="5365"/>
      <c r="I165" s="5365"/>
      <c r="J165" s="5365"/>
      <c r="K165" s="5365"/>
      <c r="L165" s="5365"/>
      <c r="M165" s="5365"/>
      <c r="N165" s="5365"/>
      <c r="O165" s="5365"/>
      <c r="P165" s="5365"/>
    </row>
    <row r="166" ht="13.5" spans="1:16">
      <c r="A166" s="572"/>
      <c r="B166" s="572" t="s">
        <v>2346</v>
      </c>
      <c r="D166" s="1112">
        <f>B_Stanja!AI40</f>
        <v>0</v>
      </c>
      <c r="E166" s="1112">
        <f>B_Stanja!AP40</f>
        <v>0</v>
      </c>
      <c r="F166" s="5248" t="str">
        <f t="shared" si="36"/>
        <v>-</v>
      </c>
      <c r="G166" s="5365"/>
      <c r="H166" s="5365"/>
      <c r="I166" s="5365"/>
      <c r="J166" s="5365"/>
      <c r="K166" s="5365"/>
      <c r="L166" s="5365"/>
      <c r="M166" s="5365"/>
      <c r="N166" s="5365"/>
      <c r="O166" s="5365"/>
      <c r="P166" s="5365"/>
    </row>
    <row r="167" ht="13.5" spans="1:16">
      <c r="A167" s="5496"/>
      <c r="B167" s="5496" t="s">
        <v>2347</v>
      </c>
      <c r="C167" s="5497"/>
      <c r="D167" s="5497">
        <f>B_Stanja!AI41</f>
        <v>0</v>
      </c>
      <c r="E167" s="5497">
        <f>B_Stanja!AP41</f>
        <v>0</v>
      </c>
      <c r="F167" s="5498" t="str">
        <f>IF(D167=0,"-",IFERROR(INDEX($A$110:$A$111,MATCH(D167,$C$110:$C$111,0)),"-"))</f>
        <v>-</v>
      </c>
      <c r="G167" s="5365" t="str">
        <f>IF(Baza!$C$482="DA","MSFI za MSS - Odjeljak 17 Nekretnine, postrojenja i oprema -tačka 31 do 33 ","MSFI 12 - Objavljivanje udjela u drugim subjektima - procjene, ima li kontrolu nad drugim subjektom.")</f>
        <v>MSFI za MSS - Odjeljak 17 Nekretnine, postrojenja i oprema -tačka 31 do 33 </v>
      </c>
      <c r="H167" s="5365"/>
      <c r="I167" s="5365"/>
      <c r="J167" s="5365"/>
      <c r="K167" s="5365"/>
      <c r="L167" s="5365"/>
      <c r="M167" s="5365"/>
      <c r="N167" s="5365"/>
      <c r="O167" s="5365"/>
      <c r="P167" s="5365"/>
    </row>
    <row r="168" spans="1:16">
      <c r="B168" s="572" t="s">
        <v>2348</v>
      </c>
      <c r="D168" s="1112">
        <f>B_Stanja!AI42</f>
        <v>0</v>
      </c>
      <c r="E168" s="1112">
        <f>B_Stanja!AP42</f>
        <v>0</v>
      </c>
      <c r="F168" s="5248" t="str">
        <f t="shared" ref="F168" si="37">IF(D168=0,"-",IFERROR(INDEX($A$110:$A$111,MATCH(D168,$C$110:$C$111,0)),"-"))</f>
        <v>-</v>
      </c>
      <c r="G168" s="5365" t="str">
        <f>IF(Baza!$C$482="DA","MSFI za MSS - Odjeljak 17 Nekretnine, postrojenja i oprema -tačka 31 do 33 ","MSFI 12 - Objavljivanje udjela u drugim subjektima - procjene, ima li kontrolu nad drugim subjektom.")</f>
        <v>MSFI za MSS - Odjeljak 17 Nekretnine, postrojenja i oprema -tačka 31 do 33 </v>
      </c>
      <c r="H168" s="5365"/>
      <c r="I168" s="5365"/>
      <c r="J168" s="5365"/>
      <c r="K168" s="5365"/>
      <c r="L168" s="5365"/>
      <c r="M168" s="5365"/>
      <c r="N168" s="5365"/>
      <c r="O168" s="5365"/>
      <c r="P168" s="5365"/>
    </row>
    <row r="169" spans="1:16">
      <c r="B169" s="572" t="s">
        <v>2349</v>
      </c>
      <c r="D169" s="1112">
        <f>B_Stanja!AI43</f>
        <v>0</v>
      </c>
      <c r="E169" s="1112">
        <f>B_Stanja!AP43</f>
        <v>0</v>
      </c>
      <c r="F169" s="5248" t="str">
        <f t="shared" ref="F169:F179" si="38">IF(D169=0,"-",IFERROR(INDEX($A$110:$A$111,MATCH(D169,$C$110:$C$111,0)),"-"))</f>
        <v>-</v>
      </c>
      <c r="G169" s="5365" t="str">
        <f>IF(Baza!$C$482="DA","MSFI za MSS - Odjeljak 17 Nekretnine, postrojenja i oprema -tačka 31 do 33 ","MSFI 12 - Objavljivanje udjela u drugim subjektima - procjene, ima li kontrolu nad drugim subjektom.")</f>
        <v>MSFI za MSS - Odjeljak 17 Nekretnine, postrojenja i oprema -tačka 31 do 33 </v>
      </c>
      <c r="H169" s="5365"/>
      <c r="I169" s="5365"/>
      <c r="J169" s="5365"/>
      <c r="K169" s="5365"/>
      <c r="L169" s="5365"/>
      <c r="M169" s="5365"/>
      <c r="N169" s="5365"/>
      <c r="O169" s="5365"/>
      <c r="P169" s="5365"/>
    </row>
    <row r="170" spans="1:16">
      <c r="B170" s="572" t="s">
        <v>2350</v>
      </c>
      <c r="D170" s="1112">
        <f>B_Stanja!AI44</f>
        <v>0</v>
      </c>
      <c r="E170" s="1112">
        <f>B_Stanja!AP44</f>
        <v>0</v>
      </c>
      <c r="F170" s="5248" t="str">
        <f t="shared" si="38"/>
        <v>-</v>
      </c>
      <c r="G170" s="5365" t="str">
        <f>IF(Baza!$C$482="DA","MSFI za MSS - Odjeljak 17 Nekretnine, postrojenja i oprema -tačka 31 do 33 ","MSFI 12 - Objavljivanje udjela u drugim subjektima - procjene, ima li kontrolu nad drugim subjektom.")</f>
        <v>MSFI za MSS - Odjeljak 17 Nekretnine, postrojenja i oprema -tačka 31 do 33 </v>
      </c>
      <c r="H170" s="5365"/>
      <c r="I170" s="5365"/>
      <c r="J170" s="5365"/>
      <c r="K170" s="5365"/>
      <c r="L170" s="5365"/>
      <c r="M170" s="5365"/>
      <c r="N170" s="5365"/>
      <c r="O170" s="5365"/>
      <c r="P170" s="5365"/>
    </row>
    <row r="171" spans="1:16">
      <c r="B171" s="572" t="s">
        <v>2351</v>
      </c>
      <c r="D171" s="1112">
        <f>B_Stanja!AI49</f>
        <v>0</v>
      </c>
      <c r="E171" s="1112">
        <f>B_Stanja!AP49</f>
        <v>0</v>
      </c>
      <c r="F171" s="5248" t="str">
        <f t="shared" si="38"/>
        <v>-</v>
      </c>
      <c r="G171" s="5365"/>
      <c r="H171" s="5365"/>
      <c r="I171" s="5365"/>
      <c r="J171" s="5365"/>
      <c r="K171" s="5365"/>
      <c r="L171" s="5365"/>
      <c r="M171" s="5365"/>
      <c r="N171" s="5365"/>
      <c r="O171" s="5365"/>
      <c r="P171" s="5365"/>
    </row>
    <row r="172" spans="1:16">
      <c r="B172" s="572" t="s">
        <v>2352</v>
      </c>
      <c r="D172" s="1112">
        <f>B_Stanja!AI50</f>
        <v>0</v>
      </c>
      <c r="E172" s="1112">
        <f>B_Stanja!AP50</f>
        <v>0</v>
      </c>
      <c r="F172" s="5248" t="str">
        <f t="shared" si="38"/>
        <v>-</v>
      </c>
      <c r="G172" s="5365"/>
      <c r="H172" s="5365"/>
      <c r="I172" s="5365"/>
      <c r="J172" s="5365"/>
      <c r="K172" s="5365"/>
      <c r="L172" s="5365"/>
      <c r="M172" s="5365"/>
      <c r="N172" s="5365"/>
      <c r="O172" s="5365"/>
      <c r="P172" s="5365"/>
    </row>
    <row r="173" spans="1:16">
      <c r="B173" s="572" t="s">
        <v>2353</v>
      </c>
      <c r="D173" s="1112">
        <f>B_Stanja!AI52</f>
        <v>0</v>
      </c>
      <c r="E173" s="1112">
        <f>B_Stanja!AP52</f>
        <v>125000</v>
      </c>
      <c r="F173" s="5248" t="str">
        <f t="shared" si="38"/>
        <v>-</v>
      </c>
      <c r="G173" s="5365"/>
      <c r="H173" s="5365"/>
      <c r="I173" s="5365"/>
      <c r="J173" s="5365"/>
      <c r="K173" s="5365"/>
      <c r="L173" s="5365"/>
      <c r="M173" s="5365"/>
      <c r="N173" s="5365"/>
      <c r="O173" s="5365"/>
      <c r="P173" s="5365"/>
    </row>
    <row r="174" spans="1:16">
      <c r="B174" s="572" t="s">
        <v>2354</v>
      </c>
      <c r="D174" s="1112">
        <f>B_Stanja!AI53</f>
        <v>0</v>
      </c>
      <c r="E174" s="1112">
        <f>B_Stanja!AP53</f>
        <v>0</v>
      </c>
      <c r="F174" s="5248" t="str">
        <f t="shared" si="38"/>
        <v>-</v>
      </c>
      <c r="G174" s="5365"/>
      <c r="H174" s="5365"/>
      <c r="I174" s="5365"/>
      <c r="J174" s="5365"/>
      <c r="K174" s="5365"/>
      <c r="L174" s="5365"/>
      <c r="M174" s="5365"/>
      <c r="N174" s="5365"/>
      <c r="O174" s="5365"/>
      <c r="P174" s="5365"/>
    </row>
    <row r="175" spans="1:16">
      <c r="B175" s="572" t="s">
        <v>2355</v>
      </c>
      <c r="D175" s="1112">
        <f>B_Stanja!AI54</f>
        <v>0</v>
      </c>
      <c r="E175" s="1112">
        <f>B_Stanja!AP54</f>
        <v>0</v>
      </c>
      <c r="F175" s="5248" t="str">
        <f t="shared" si="38"/>
        <v>-</v>
      </c>
      <c r="G175" s="5365"/>
      <c r="H175" s="5365"/>
      <c r="I175" s="5365"/>
      <c r="J175" s="5365"/>
      <c r="K175" s="5365"/>
      <c r="L175" s="5365"/>
      <c r="M175" s="5365"/>
      <c r="N175" s="5365"/>
      <c r="O175" s="5365"/>
      <c r="P175" s="5365"/>
    </row>
    <row r="176" spans="1:16">
      <c r="B176" s="572" t="s">
        <v>2356</v>
      </c>
      <c r="D176" s="1112">
        <f>B_Stanja!AI55</f>
        <v>0</v>
      </c>
      <c r="E176" s="1112">
        <f>B_Stanja!AP55</f>
        <v>0</v>
      </c>
      <c r="F176" s="5248" t="str">
        <f t="shared" si="38"/>
        <v>-</v>
      </c>
      <c r="G176" s="5365"/>
      <c r="H176" s="5365"/>
      <c r="I176" s="5365"/>
      <c r="J176" s="5365"/>
      <c r="K176" s="5365"/>
      <c r="L176" s="5365"/>
      <c r="M176" s="5365"/>
      <c r="N176" s="5365"/>
      <c r="O176" s="5365"/>
      <c r="P176" s="5365"/>
    </row>
    <row r="177" spans="1:16">
      <c r="B177" s="572" t="s">
        <v>2357</v>
      </c>
      <c r="D177" s="1112">
        <f>B_Stanja!AI56</f>
        <v>0</v>
      </c>
      <c r="E177" s="1112">
        <f>B_Stanja!AP56</f>
        <v>0</v>
      </c>
      <c r="F177" s="5248" t="str">
        <f t="shared" si="38"/>
        <v>-</v>
      </c>
      <c r="G177" s="5365"/>
      <c r="H177" s="5365"/>
      <c r="I177" s="5365"/>
      <c r="J177" s="5365"/>
      <c r="K177" s="5365"/>
      <c r="L177" s="5365"/>
      <c r="M177" s="5365"/>
      <c r="N177" s="5365"/>
      <c r="O177" s="5365"/>
      <c r="P177" s="5365"/>
    </row>
    <row r="178" spans="1:16">
      <c r="B178" s="572" t="s">
        <v>2358</v>
      </c>
      <c r="D178" s="1112">
        <f>B_Stanja!AI57</f>
        <v>0</v>
      </c>
      <c r="E178" s="1112">
        <f>B_Stanja!AP57</f>
        <v>0</v>
      </c>
      <c r="F178" s="5248" t="str">
        <f t="shared" si="38"/>
        <v>-</v>
      </c>
      <c r="G178" s="5365"/>
      <c r="H178" s="5365"/>
      <c r="I178" s="5365"/>
      <c r="J178" s="5365"/>
      <c r="K178" s="5365"/>
      <c r="L178" s="5365"/>
      <c r="M178" s="5365"/>
      <c r="N178" s="5365"/>
      <c r="O178" s="5365"/>
      <c r="P178" s="5365"/>
    </row>
    <row r="179" spans="1:16">
      <c r="B179" s="572" t="s">
        <v>2359</v>
      </c>
      <c r="D179" s="1112">
        <f>B_Stanja!AI58</f>
        <v>0</v>
      </c>
      <c r="E179" s="1112">
        <f>B_Stanja!AP58</f>
        <v>0</v>
      </c>
      <c r="F179" s="5248" t="str">
        <f t="shared" si="38"/>
        <v>-</v>
      </c>
      <c r="G179" s="5365"/>
      <c r="H179" s="5365"/>
      <c r="I179" s="5365"/>
      <c r="J179" s="5365"/>
      <c r="K179" s="5365"/>
      <c r="L179" s="5365"/>
      <c r="M179" s="5365"/>
      <c r="N179" s="5365"/>
      <c r="O179" s="5365"/>
      <c r="P179" s="5365"/>
    </row>
    <row r="180" spans="1:16">
      <c r="A180" s="1032"/>
      <c r="B180" s="2297" t="s">
        <v>2360</v>
      </c>
      <c r="C180" s="1032"/>
      <c r="D180" s="5499">
        <f>B_Stanja!AI61</f>
        <v>0</v>
      </c>
      <c r="E180" s="5499">
        <f>B_Stanja!AP61</f>
        <v>0</v>
      </c>
      <c r="F180" s="5500" t="str">
        <f t="shared" ref="F180" si="39">IF(D180=0,"-",IFERROR(INDEX($A$117:$A$119,MATCH(D180,$C$117:$C$119,0)),"-"))</f>
        <v>-</v>
      </c>
      <c r="G180" s="5365" t="str">
        <f>IF(Baza!$C$482="DA","MSFI za MSS - Odjeljak 13 Zalihe -tačka 22 ","MRS 2 - Zalihe, objavljivanje -tačka 36 do 39")</f>
        <v>MSFI za MSS - Odjeljak 13 Zalihe -tačka 22 </v>
      </c>
      <c r="H180" s="5365"/>
      <c r="I180" s="5365"/>
      <c r="J180" s="5365"/>
      <c r="K180" s="5365"/>
      <c r="L180" s="5365"/>
      <c r="M180" s="5365"/>
      <c r="N180" s="5365"/>
      <c r="O180" s="5365"/>
      <c r="P180" s="5365"/>
    </row>
    <row r="181" spans="1:16">
      <c r="B181" s="572" t="s">
        <v>2361</v>
      </c>
      <c r="C181"/>
      <c r="D181" s="1112">
        <f>B_Stanja!AI62</f>
        <v>0</v>
      </c>
      <c r="E181" s="1112">
        <f>B_Stanja!AP62</f>
        <v>0</v>
      </c>
      <c r="F181" s="5248" t="str">
        <f t="shared" ref="F181:F186" si="40">IF(D181=0,"-",IFERROR(INDEX($A$117:$A$119,MATCH(D181,$C$117:$C$119,0)),"-"))</f>
        <v>-</v>
      </c>
      <c r="G181" s="5365" t="str">
        <f>IF(Baza!$C$482="DA","MSFI za MSS - Odjeljak 13 Zalihe -tačka 22 ","MRS 2 - Zalihe, objavljivanje -tačka 36 do 39")</f>
        <v>MSFI za MSS - Odjeljak 13 Zalihe -tačka 22 </v>
      </c>
      <c r="H181" s="5365"/>
      <c r="I181" s="5365"/>
      <c r="J181" s="5365"/>
      <c r="K181" s="5365"/>
      <c r="L181" s="5365"/>
      <c r="M181" s="5365"/>
      <c r="N181" s="5365"/>
      <c r="O181" s="5365"/>
      <c r="P181" s="5365"/>
    </row>
    <row r="182" spans="1:16">
      <c r="B182" s="572" t="s">
        <v>2362</v>
      </c>
      <c r="C182"/>
      <c r="D182" s="1112">
        <f>B_Stanja!AI63</f>
        <v>0</v>
      </c>
      <c r="E182" s="1112">
        <f>B_Stanja!AP63</f>
        <v>0</v>
      </c>
      <c r="F182" s="5248" t="str">
        <f t="shared" si="40"/>
        <v>-</v>
      </c>
      <c r="G182" s="5365" t="str">
        <f>IF(Baza!$C$482="DA","MSFI za MSS - Odjeljak 13 Zalihe -tačka 22 ","MRS 2 - Zalihe, objavljivanje -tačka 36 do 39")</f>
        <v>MSFI za MSS - Odjeljak 13 Zalihe -tačka 22 </v>
      </c>
      <c r="H182" s="5365"/>
      <c r="I182" s="5365"/>
      <c r="J182" s="5365"/>
      <c r="K182" s="5365"/>
      <c r="L182" s="5365"/>
      <c r="M182" s="5365"/>
      <c r="N182" s="5365"/>
      <c r="O182" s="5365"/>
      <c r="P182" s="5365"/>
    </row>
    <row r="183" spans="1:16">
      <c r="B183" s="572" t="s">
        <v>2363</v>
      </c>
      <c r="C183"/>
      <c r="D183" s="1112">
        <f>B_Stanja!AI64</f>
        <v>0</v>
      </c>
      <c r="E183" s="1112">
        <f>B_Stanja!AP64</f>
        <v>0</v>
      </c>
      <c r="F183" s="5248" t="str">
        <f t="shared" si="40"/>
        <v>-</v>
      </c>
      <c r="G183" s="5365" t="str">
        <f>IF(Baza!$C$482="DA","MSFI za MSS - Odjeljak 13 Zalihe -tačka 22 ","MRS 2 - Zalihe, objavljivanje -tačka 36 do 39")</f>
        <v>MSFI za MSS - Odjeljak 13 Zalihe -tačka 22 </v>
      </c>
      <c r="H183" s="5365"/>
      <c r="I183" s="5365"/>
      <c r="J183" s="5365"/>
      <c r="K183" s="5365"/>
      <c r="L183" s="5365"/>
      <c r="M183" s="5365"/>
      <c r="N183" s="5365"/>
      <c r="O183" s="5365"/>
      <c r="P183" s="5365"/>
    </row>
    <row r="184" spans="1:16">
      <c r="B184" s="572" t="s">
        <v>2364</v>
      </c>
      <c r="C184"/>
      <c r="D184" s="1112">
        <f>B_Stanja!AI65</f>
        <v>0</v>
      </c>
      <c r="E184" s="1112">
        <f>B_Stanja!AP65</f>
        <v>0</v>
      </c>
      <c r="F184" s="5248" t="str">
        <f t="shared" si="40"/>
        <v>-</v>
      </c>
      <c r="G184" s="5365" t="str">
        <f>IF(Baza!$C$482="DA","MSFI za MSS - Odjeljak 13 Zalihe -tačka 22 ","MRS 2 - Zalihe, objavljivanje -tačka 36 do 39")</f>
        <v>MSFI za MSS - Odjeljak 13 Zalihe -tačka 22 </v>
      </c>
      <c r="H184" s="5365"/>
      <c r="I184" s="5365"/>
      <c r="J184" s="5365"/>
      <c r="K184" s="5365"/>
      <c r="L184" s="5365"/>
      <c r="M184" s="5365"/>
      <c r="N184" s="5365"/>
      <c r="O184" s="5365"/>
      <c r="P184" s="5365"/>
    </row>
    <row r="185" spans="1:16">
      <c r="A185" s="1032"/>
      <c r="B185" s="2297" t="s">
        <v>2365</v>
      </c>
      <c r="C185" s="1032"/>
      <c r="D185" s="5499">
        <f>B_Stanja!AI66</f>
        <v>0</v>
      </c>
      <c r="E185" s="5499">
        <f>B_Stanja!AP66</f>
        <v>0</v>
      </c>
      <c r="F185" s="5500" t="str">
        <f t="shared" si="40"/>
        <v>-</v>
      </c>
      <c r="G185" s="5365" t="str">
        <f>IF(Baza!$C$482="DA","MSFI za MSS - Odjeljak 16 Ulaganje u nekretnine -tačka 10 do 11 ","MSFI 5 - Dugotrajna imovina namijenjena prodaji i prekinuto poslovanje, objavljivanje -tačka 41 do 42")</f>
        <v>MSFI za MSS - Odjeljak 16 Ulaganje u nekretnine -tačka 10 do 11 </v>
      </c>
      <c r="H185" s="5365"/>
      <c r="I185" s="5365"/>
      <c r="J185" s="5365"/>
      <c r="K185" s="5365"/>
      <c r="L185" s="5365"/>
      <c r="M185" s="5365"/>
      <c r="N185" s="5365"/>
      <c r="O185" s="5365"/>
      <c r="P185" s="5365"/>
    </row>
    <row r="186" spans="1:16">
      <c r="A186" s="2294"/>
      <c r="B186" s="2211" t="s">
        <v>2366</v>
      </c>
      <c r="C186" s="2294"/>
      <c r="D186" s="5501">
        <f>B_Stanja!AI67</f>
        <v>0</v>
      </c>
      <c r="E186" s="5501">
        <f>B_Stanja!AP67</f>
        <v>0</v>
      </c>
      <c r="F186" s="5502" t="str">
        <f t="shared" si="40"/>
        <v>-</v>
      </c>
      <c r="G186" s="5365" t="str">
        <f>IF(Baza!$C$482="DA","MSFI za MSS - Odjeljak 16 Ulaganje u nekretnine -tačka 10 do 11 ","MSFI 5 - Dugotrajna imovina namijenjena prodaji i prekinuto poslovanje, objavljivanje -tačka 41 do 42")</f>
        <v>MSFI za MSS - Odjeljak 16 Ulaganje u nekretnine -tačka 10 do 11 </v>
      </c>
      <c r="H186" s="5365"/>
      <c r="I186" s="5365"/>
      <c r="J186" s="5365"/>
      <c r="K186" s="5365"/>
      <c r="L186" s="5365"/>
      <c r="M186" s="5365"/>
      <c r="N186" s="5365"/>
      <c r="O186" s="5365"/>
      <c r="P186" s="5365"/>
    </row>
    <row r="187" spans="1:16">
      <c r="A187" s="1032"/>
      <c r="B187" s="2297" t="s">
        <v>2367</v>
      </c>
      <c r="C187" s="1032"/>
      <c r="D187" s="5499">
        <f>B_Stanja!AI69</f>
        <v>0</v>
      </c>
      <c r="E187" s="5499">
        <f>B_Stanja!AP69</f>
        <v>0</v>
      </c>
      <c r="F187" s="5500" t="str">
        <f t="shared" ref="F187:F198" si="41">IF(D187=0,"-",IFERROR(INDEX($A$117:$A$119,MATCH(D187,$C$117:$C$119,0)),"-"))</f>
        <v>-</v>
      </c>
      <c r="G187" s="5365" t="str">
        <f>IF(Baza!$C$482="DA","MSFI za MSS - Odjeljak 4 Izvještaj o finansijskom položaju","MRS 1 - Prezentacija finansijskih izvještaja, objavljivanje -tačka 66. do 68.")</f>
        <v>MSFI za MSS - Odjeljak 4 Izvještaj o finansijskom položaju</v>
      </c>
      <c r="H187" s="5365"/>
      <c r="I187" s="5365"/>
      <c r="J187" s="5365"/>
      <c r="K187" s="5365"/>
      <c r="L187" s="5365"/>
      <c r="M187" s="5365"/>
      <c r="N187" s="5365"/>
      <c r="O187" s="5365"/>
      <c r="P187" s="5365"/>
    </row>
    <row r="188" spans="1:16">
      <c r="B188" s="572" t="s">
        <v>2368</v>
      </c>
      <c r="C188"/>
      <c r="D188" s="1112">
        <f>B_Stanja!AI70</f>
        <v>20312</v>
      </c>
      <c r="E188" s="1112">
        <f>B_Stanja!AP70</f>
        <v>21173</v>
      </c>
      <c r="F188" s="5248" t="str">
        <f t="shared" si="41"/>
        <v>A4.</v>
      </c>
      <c r="G188" s="5365" t="str">
        <f>IF(Baza!$C$482="DA","MSFI za MSS - Odjeljak 4 Izvještaj o finansijskom položaju","MRS 1 - Prezentacija finansijskih izvještaja, objavljivanje -tačka 66. do 68.")</f>
        <v>MSFI za MSS - Odjeljak 4 Izvještaj o finansijskom položaju</v>
      </c>
      <c r="H188" s="5365"/>
      <c r="I188" s="5365"/>
      <c r="J188" s="5365"/>
      <c r="K188" s="5365"/>
      <c r="L188" s="5365"/>
      <c r="M188" s="5365"/>
      <c r="N188" s="5365"/>
      <c r="O188" s="5365"/>
      <c r="P188" s="5365"/>
    </row>
    <row r="189" spans="1:16">
      <c r="B189" s="572" t="s">
        <v>2369</v>
      </c>
      <c r="C189"/>
      <c r="D189" s="1112">
        <f>B_Stanja!AI71</f>
        <v>0</v>
      </c>
      <c r="E189" s="1112">
        <f>B_Stanja!AP71</f>
        <v>0</v>
      </c>
      <c r="F189" s="5248" t="str">
        <f t="shared" si="41"/>
        <v>-</v>
      </c>
      <c r="G189" s="5365" t="str">
        <f>IF(Baza!$C$482="DA","MSFI za MSS - Odjeljak 4 Izvještaj o finansijskom položaju","MRS 1 - Prezentacija finansijskih izvještaja, objavljivanje -tačka 66. do 68.")</f>
        <v>MSFI za MSS - Odjeljak 4 Izvještaj o finansijskom položaju</v>
      </c>
      <c r="H189" s="5365"/>
      <c r="I189" s="5365"/>
      <c r="J189" s="5365"/>
      <c r="K189" s="5365"/>
      <c r="L189" s="5365"/>
      <c r="M189" s="5365"/>
      <c r="N189" s="5365"/>
      <c r="O189" s="5365"/>
      <c r="P189" s="5365"/>
    </row>
    <row r="190" spans="1:16">
      <c r="B190" s="572" t="s">
        <v>2370</v>
      </c>
      <c r="C190"/>
      <c r="D190" s="1112">
        <f>B_Stanja!AI73</f>
        <v>0</v>
      </c>
      <c r="E190" s="1112">
        <f>B_Stanja!AP73</f>
        <v>0</v>
      </c>
      <c r="F190" s="5248" t="str">
        <f t="shared" si="41"/>
        <v>-</v>
      </c>
      <c r="G190" s="5365" t="str">
        <f>IF(Baza!$C$482="DA","MSFI za MSS - Odjeljak 4 Izvještaj o finansijskom položaju","MRS 1 - Prezentacija finansijskih izvještaja, objavljivanje -tačka 66. do 68.")</f>
        <v>MSFI za MSS - Odjeljak 4 Izvještaj o finansijskom položaju</v>
      </c>
      <c r="H190" s="5365"/>
      <c r="I190" s="5365"/>
      <c r="J190" s="5365"/>
      <c r="K190" s="5365"/>
      <c r="L190" s="5365"/>
      <c r="M190" s="5365"/>
      <c r="N190" s="5365"/>
      <c r="O190" s="5365"/>
      <c r="P190" s="5365"/>
    </row>
    <row r="191" spans="1:16">
      <c r="B191" s="572" t="s">
        <v>2371</v>
      </c>
      <c r="C191"/>
      <c r="D191" s="1112">
        <f>B_Stanja!AI74</f>
        <v>427682</v>
      </c>
      <c r="E191" s="1112">
        <f>B_Stanja!AP74</f>
        <v>526925</v>
      </c>
      <c r="F191" s="5248" t="str">
        <f t="shared" si="41"/>
        <v>A2.</v>
      </c>
      <c r="G191" s="5365" t="str">
        <f>IF(Baza!$C$482="DA","MSFI za MSS - Odjeljak 4 Izvještaj o finansijskom položaju","MRS 1 - Prezentacija finansijskih izvještaja, objavljivanje -tačka 66. do 68.")</f>
        <v>MSFI za MSS - Odjeljak 4 Izvještaj o finansijskom položaju</v>
      </c>
      <c r="H191" s="5365"/>
      <c r="I191" s="5365"/>
      <c r="J191" s="5365"/>
      <c r="K191" s="5365"/>
      <c r="L191" s="5365"/>
      <c r="M191" s="5365"/>
      <c r="N191" s="5365"/>
      <c r="O191" s="5365"/>
      <c r="P191" s="5365"/>
    </row>
    <row r="192" spans="1:16">
      <c r="B192" s="572" t="s">
        <v>2372</v>
      </c>
      <c r="C192"/>
      <c r="D192" s="1112">
        <f>B_Stanja!AI75</f>
        <v>0</v>
      </c>
      <c r="E192" s="1112">
        <f>B_Stanja!AP75</f>
        <v>0</v>
      </c>
      <c r="F192" s="5248" t="str">
        <f t="shared" si="41"/>
        <v>-</v>
      </c>
      <c r="G192" s="5365" t="str">
        <f>IF(Baza!$C$482="DA","MSFI za MSS - Odjeljak 4 Izvještaj o finansijskom položaju","MRS 1 - Prezentacija finansijskih izvještaja, objavljivanje -tačka 66. do 68.")</f>
        <v>MSFI za MSS - Odjeljak 4 Izvještaj o finansijskom položaju</v>
      </c>
      <c r="H192" s="5365"/>
      <c r="I192" s="5365"/>
      <c r="J192" s="5365"/>
      <c r="K192" s="5365"/>
      <c r="L192" s="5365"/>
      <c r="M192" s="5365"/>
      <c r="N192" s="5365"/>
      <c r="O192" s="5365"/>
      <c r="P192" s="5365"/>
    </row>
    <row r="193" spans="1:16">
      <c r="B193" s="572" t="s">
        <v>2373</v>
      </c>
      <c r="C193"/>
      <c r="D193" s="1112">
        <f>B_Stanja!AI76</f>
        <v>0</v>
      </c>
      <c r="E193" s="1112">
        <f>B_Stanja!AP76</f>
        <v>0</v>
      </c>
      <c r="F193" s="5248" t="str">
        <f t="shared" si="41"/>
        <v>-</v>
      </c>
      <c r="G193" s="5365" t="str">
        <f>IF(Baza!$C$482="DA","MSFI za MSS - Odjeljak 4 Izvještaj o finansijskom položaju","MRS 1 - Prezentacija finansijskih izvještaja, objavljivanje -tačka 66. do 68.")</f>
        <v>MSFI za MSS - Odjeljak 4 Izvještaj o finansijskom položaju</v>
      </c>
      <c r="H193" s="5365"/>
      <c r="I193" s="5365"/>
      <c r="J193" s="5365"/>
      <c r="K193" s="5365"/>
      <c r="L193" s="5365"/>
      <c r="M193" s="5365"/>
      <c r="N193" s="5365"/>
      <c r="O193" s="5365"/>
      <c r="P193" s="5365"/>
    </row>
    <row r="194" spans="1:16">
      <c r="B194" s="572" t="s">
        <v>2374</v>
      </c>
      <c r="C194"/>
      <c r="D194" s="1112">
        <f>B_Stanja!AI77</f>
        <v>0</v>
      </c>
      <c r="E194" s="1112">
        <f>B_Stanja!AP77</f>
        <v>0</v>
      </c>
      <c r="F194" s="5248" t="str">
        <f t="shared" si="41"/>
        <v>-</v>
      </c>
      <c r="G194" s="5365" t="str">
        <f>IF(Baza!$C$482="DA","MSFI za MSS - Odjeljak 4 Izvještaj o finansijskom položaju","MRS 1 - Prezentacija finansijskih izvještaja, objavljivanje -tačka 66. do 68.")</f>
        <v>MSFI za MSS - Odjeljak 4 Izvještaj o finansijskom položaju</v>
      </c>
      <c r="H194" s="5365"/>
      <c r="I194" s="5365"/>
      <c r="J194" s="5365"/>
      <c r="K194" s="5365"/>
      <c r="L194" s="5365"/>
      <c r="M194" s="5365"/>
      <c r="N194" s="5365"/>
      <c r="O194" s="5365"/>
      <c r="P194" s="5365"/>
    </row>
    <row r="195" spans="1:16">
      <c r="B195" s="572" t="s">
        <v>2375</v>
      </c>
      <c r="C195"/>
      <c r="D195" s="1112">
        <f>B_Stanja!AI78</f>
        <v>0</v>
      </c>
      <c r="E195" s="1112">
        <f>B_Stanja!AP78</f>
        <v>0</v>
      </c>
      <c r="F195" s="5248" t="str">
        <f t="shared" si="41"/>
        <v>-</v>
      </c>
      <c r="G195" s="5365" t="str">
        <f>IF(Baza!$C$482="DA","MSFI za MSS - Odjeljak 4 Izvještaj o finansijskom položaju","MRS 1 - Prezentacija finansijskih izvještaja, objavljivanje -tačka 66. do 68.")</f>
        <v>MSFI za MSS - Odjeljak 4 Izvještaj o finansijskom položaju</v>
      </c>
      <c r="H195" s="5365"/>
      <c r="I195" s="5365"/>
      <c r="J195" s="5365"/>
      <c r="K195" s="5365"/>
      <c r="L195" s="5365"/>
      <c r="M195" s="5365"/>
      <c r="N195" s="5365"/>
      <c r="O195" s="5365"/>
      <c r="P195" s="5365"/>
    </row>
    <row r="196" spans="1:16">
      <c r="B196" s="572" t="s">
        <v>2376</v>
      </c>
      <c r="C196"/>
      <c r="D196" s="1112">
        <f>B_Stanja!AI79</f>
        <v>0</v>
      </c>
      <c r="E196" s="1112">
        <f>B_Stanja!AP79</f>
        <v>0</v>
      </c>
      <c r="F196" s="5248" t="str">
        <f t="shared" si="41"/>
        <v>-</v>
      </c>
      <c r="G196" s="5365" t="str">
        <f>IF(Baza!$C$482="DA","MSFI za MSS - Odjeljak 4 Izvještaj o finansijskom položaju","MRS 1 - Prezentacija finansijskih izvještaja, objavljivanje -tačka 66. do 68.")</f>
        <v>MSFI za MSS - Odjeljak 4 Izvještaj o finansijskom položaju</v>
      </c>
      <c r="H196" s="5365"/>
      <c r="I196" s="5365"/>
      <c r="J196" s="5365"/>
      <c r="K196" s="5365"/>
      <c r="L196" s="5365"/>
      <c r="M196" s="5365"/>
      <c r="N196" s="5365"/>
      <c r="O196" s="5365"/>
      <c r="P196" s="5365"/>
    </row>
    <row r="197" spans="1:16">
      <c r="B197" s="572" t="s">
        <v>2377</v>
      </c>
      <c r="C197"/>
      <c r="D197" s="1112">
        <f>B_Stanja!AI81</f>
        <v>0</v>
      </c>
      <c r="E197" s="1112">
        <f>B_Stanja!AP81</f>
        <v>0</v>
      </c>
      <c r="F197" s="5248" t="str">
        <f t="shared" si="41"/>
        <v>-</v>
      </c>
      <c r="G197" s="5365" t="str">
        <f>IF(Baza!$C$482="DA","MSFI za MSS - Odjeljak 4 Izvještaj o finansijskom položaju","MRS 1 - Prezentacija finansijskih izvještaja, objavljivanje -tačka 66. do 68.")</f>
        <v>MSFI za MSS - Odjeljak 4 Izvještaj o finansijskom položaju</v>
      </c>
      <c r="H197" s="5365"/>
      <c r="I197" s="5365"/>
      <c r="J197" s="5365"/>
      <c r="K197" s="5365"/>
      <c r="L197" s="5365"/>
      <c r="M197" s="5365"/>
      <c r="N197" s="5365"/>
      <c r="O197" s="5365"/>
      <c r="P197" s="5365"/>
    </row>
    <row r="198" spans="1:16">
      <c r="A198" s="2294"/>
      <c r="B198" s="2211" t="s">
        <v>2378</v>
      </c>
      <c r="C198" s="2294"/>
      <c r="D198" s="5501">
        <f>B_Stanja!AI82</f>
        <v>126871</v>
      </c>
      <c r="E198" s="5501">
        <f>B_Stanja!AP82</f>
        <v>69080</v>
      </c>
      <c r="F198" s="5502" t="str">
        <f t="shared" si="41"/>
        <v>A3.</v>
      </c>
      <c r="G198" s="5365" t="str">
        <f>IF(Baza!$C$482="DA","MSFI za MSS - Odjeljak 4 Izvještaj o finansijskom položaju","MRS 1 - Prezentacija finansijskih izvještaja, objavljivanje -tačka 66. do 68.")</f>
        <v>MSFI za MSS - Odjeljak 4 Izvještaj o finansijskom položaju</v>
      </c>
      <c r="H198" s="5365"/>
      <c r="I198" s="5365"/>
      <c r="J198" s="5365"/>
      <c r="K198" s="5365"/>
      <c r="L198" s="5365"/>
      <c r="M198" s="5365"/>
      <c r="N198" s="5365"/>
      <c r="O198" s="5365"/>
      <c r="P198" s="5365"/>
    </row>
    <row r="199" s="2" customFormat="1" ht="21.75" customHeight="1" spans="1:16">
      <c r="B199" s="2084" t="s">
        <v>2379</v>
      </c>
      <c r="C199" s="5503"/>
      <c r="D199" s="5503">
        <f>B_Stanja!AI80</f>
        <v>2327</v>
      </c>
      <c r="E199" s="5504">
        <f>B_Stanja!AP80</f>
        <v>47</v>
      </c>
      <c r="F199" s="5502"/>
      <c r="G199" s="5392"/>
      <c r="H199" s="5392"/>
      <c r="I199" s="5392"/>
      <c r="J199" s="5392"/>
      <c r="K199" s="5392"/>
      <c r="L199" s="5392"/>
      <c r="M199" s="5392"/>
      <c r="N199" s="5392"/>
      <c r="O199" s="5392"/>
      <c r="P199" s="5392"/>
    </row>
    <row r="200" spans="1:16">
      <c r="A200" s="5365"/>
      <c r="B200" s="5365"/>
      <c r="C200" s="5365"/>
      <c r="D200" s="5365"/>
      <c r="E200" s="5365"/>
      <c r="F200" s="5365"/>
      <c r="G200" s="5365"/>
      <c r="H200" s="5365"/>
      <c r="I200" s="5505"/>
      <c r="J200" s="5505"/>
      <c r="K200" s="5505"/>
      <c r="L200" s="5505"/>
      <c r="M200" s="5505"/>
      <c r="N200" s="5505"/>
      <c r="O200" s="5505"/>
      <c r="P200" s="5505"/>
    </row>
    <row r="201" spans="1:16">
      <c r="B201" s="3845" t="s">
        <v>184</v>
      </c>
      <c r="D201" s="5506">
        <f>SUM(D180:D186)</f>
        <v>0</v>
      </c>
      <c r="E201" s="5506">
        <f>SUM(E180:E186)</f>
        <v>0</v>
      </c>
      <c r="F201" s="5365"/>
      <c r="G201" s="5365"/>
      <c r="H201" s="5365"/>
      <c r="I201" s="5365"/>
      <c r="J201" s="5365"/>
      <c r="K201" s="5365"/>
      <c r="L201" s="5365"/>
      <c r="M201" s="5365"/>
      <c r="N201" s="5365"/>
      <c r="O201" s="5365"/>
      <c r="P201" s="5365"/>
    </row>
    <row r="202" spans="1:16">
      <c r="B202" s="3845" t="s">
        <v>185</v>
      </c>
      <c r="D202" s="5506">
        <f>SUM(D187:D198)</f>
        <v>574865</v>
      </c>
      <c r="E202" s="5506">
        <f>SUM(E187:E198)</f>
        <v>617178</v>
      </c>
      <c r="F202" s="5365"/>
      <c r="G202" s="5365"/>
      <c r="H202" s="5365"/>
      <c r="I202" s="5365"/>
      <c r="J202" s="5365"/>
      <c r="K202" s="5365"/>
      <c r="L202" s="5365"/>
      <c r="M202" s="5365"/>
      <c r="N202" s="5365"/>
      <c r="O202" s="5365"/>
      <c r="P202" s="5365"/>
    </row>
    <row r="203" spans="1:16">
      <c r="B203" s="415" t="s">
        <v>186</v>
      </c>
      <c r="D203" s="5506">
        <f>D199</f>
        <v>2327</v>
      </c>
      <c r="E203" s="5506">
        <f>E199</f>
        <v>47</v>
      </c>
      <c r="F203" s="5365"/>
      <c r="G203" s="5365"/>
      <c r="H203" s="5365"/>
      <c r="I203" s="5365"/>
      <c r="J203" s="5365"/>
      <c r="K203" s="5365"/>
      <c r="L203" s="5365"/>
      <c r="M203" s="5365"/>
      <c r="N203" s="5365"/>
      <c r="O203" s="5365"/>
      <c r="P203" s="5365"/>
    </row>
    <row r="204" spans="1:16">
      <c r="A204" s="5365"/>
      <c r="B204" s="5365"/>
      <c r="C204" s="5365"/>
      <c r="D204" s="5365"/>
      <c r="E204" s="5365"/>
      <c r="F204" s="5365"/>
      <c r="G204" s="5365"/>
      <c r="H204" s="5365"/>
      <c r="I204" s="5365"/>
      <c r="J204" s="5365"/>
      <c r="K204" s="5365"/>
      <c r="L204" s="5365"/>
      <c r="M204" s="5365"/>
      <c r="N204" s="5365"/>
      <c r="O204" s="5365"/>
      <c r="P204" s="5365"/>
    </row>
    <row r="205" spans="1:16">
      <c r="A205" s="5365"/>
      <c r="B205" s="5365"/>
      <c r="C205" s="5365"/>
      <c r="D205" s="5365"/>
      <c r="E205" s="5365"/>
      <c r="F205" s="5365"/>
      <c r="G205" s="5365"/>
      <c r="H205" s="5365"/>
      <c r="I205" s="5365"/>
      <c r="J205" s="5365"/>
      <c r="K205" s="5365"/>
      <c r="L205" s="5365"/>
      <c r="M205" s="5365"/>
      <c r="N205" s="5365"/>
      <c r="O205" s="5365"/>
      <c r="P205" s="5365"/>
    </row>
    <row r="206" spans="1:16">
      <c r="A206" s="5365"/>
      <c r="B206" s="5365"/>
      <c r="C206" s="5365"/>
      <c r="D206" s="5365"/>
      <c r="E206" s="5365"/>
      <c r="F206" s="5365"/>
      <c r="G206" s="5365"/>
      <c r="H206" s="5365"/>
      <c r="I206" s="5505"/>
      <c r="J206" s="5505"/>
      <c r="K206" s="5505"/>
      <c r="L206" s="5505"/>
      <c r="M206" s="5505"/>
      <c r="N206" s="5505"/>
      <c r="O206" s="5505"/>
      <c r="P206" s="5505"/>
    </row>
    <row r="207" ht="17.25" customHeight="1" spans="1:16">
      <c r="A207" s="5420"/>
      <c r="B207" s="5420" t="s">
        <v>188</v>
      </c>
      <c r="C207" s="5421" t="s">
        <v>16</v>
      </c>
      <c r="D207" s="5421" t="s">
        <v>17</v>
      </c>
      <c r="E207" s="5422" t="s">
        <v>18</v>
      </c>
      <c r="F207" s="5422" t="s">
        <v>19</v>
      </c>
      <c r="G207" s="5422" t="s">
        <v>20</v>
      </c>
      <c r="H207" s="5422"/>
      <c r="I207" s="5365"/>
      <c r="J207" s="5365"/>
      <c r="K207" s="5365"/>
      <c r="L207" s="5365"/>
      <c r="M207" s="5365"/>
      <c r="N207" s="5365"/>
      <c r="O207" s="5365"/>
      <c r="P207" s="5365"/>
    </row>
    <row r="208" ht="14.25" customHeight="1" spans="1:16">
      <c r="A208" s="5485">
        <v>1</v>
      </c>
      <c r="B208" s="5424" t="str">
        <f>INDEX($B$227:$B$261,MATCH(C208,$C$227:$C$261,0))</f>
        <v>Udjeli članova društva sa ograničenom odgovornošću (AOP 104)</v>
      </c>
      <c r="C208" s="5467">
        <f>MAX($C$227:$C$241)</f>
        <v>350000</v>
      </c>
      <c r="D208" s="5467">
        <f>INDEX($D$227:$D$261,MATCH(C208,$C$227:$C$261,0))</f>
        <v>350000</v>
      </c>
      <c r="E208" s="5425">
        <f>C208-D208</f>
        <v>0</v>
      </c>
      <c r="F208" s="5426">
        <f t="shared" ref="F208:F214" si="42">IF(E208&lt;0,E208*-1,E208)</f>
        <v>0</v>
      </c>
      <c r="G208" s="5427">
        <f>IFERROR(F208/D208,0)</f>
        <v>0</v>
      </c>
      <c r="H208" s="5425" t="str">
        <f>IF(E208&lt;0,"SMANJENJE","POVEĆANJE")</f>
        <v>POVEĆANJE</v>
      </c>
      <c r="I208" s="5365"/>
      <c r="J208" s="5365"/>
      <c r="K208" s="5365"/>
      <c r="L208" s="5365"/>
      <c r="M208" s="5365"/>
      <c r="N208" s="5365"/>
      <c r="O208" s="5365"/>
      <c r="P208" s="5365"/>
    </row>
    <row r="209" ht="14.25" customHeight="1" spans="1:16">
      <c r="A209" s="5458">
        <v>2</v>
      </c>
      <c r="B209" s="5429" t="str">
        <f>INDEX($B$227:$B$261,MATCH(C209,$C$227:$C$261,0))</f>
        <v>Ostale rezerve (AOP 110)</v>
      </c>
      <c r="C209" s="5470">
        <f>LARGE($C$227:$C$241,2)</f>
        <v>18462</v>
      </c>
      <c r="D209" s="5470">
        <f>INDEX($D$227:$D$261,MATCH(C209,$C$227:$C$261,0))</f>
        <v>18461</v>
      </c>
      <c r="E209" s="5430">
        <f t="shared" ref="E209:E214" si="43">C209-D209</f>
        <v>1</v>
      </c>
      <c r="F209" s="5431">
        <f t="shared" si="42"/>
        <v>1</v>
      </c>
      <c r="G209" s="5432">
        <f>IFERROR(F209/D209,0)</f>
        <v>5.41682465738584e-5</v>
      </c>
      <c r="H209" s="5430" t="str">
        <f t="shared" ref="H209:H214" si="44">IF(E209&lt;0,"SMANJENJE","POVEĆANJE")</f>
        <v>POVEĆANJE</v>
      </c>
      <c r="I209" s="5365"/>
      <c r="J209" s="5365"/>
      <c r="K209" s="5365"/>
      <c r="L209" s="5365"/>
      <c r="M209" s="5365"/>
      <c r="N209" s="5365"/>
      <c r="O209" s="5365"/>
      <c r="P209" s="5365"/>
    </row>
    <row r="210" spans="1:16">
      <c r="A210" s="5458">
        <v>3</v>
      </c>
      <c r="B210" s="5429" t="str">
        <f>INDEX($B$227:$B$261,MATCH(C210,$C$227:$C$261,0))</f>
        <v>Dionički kapital (AOP 102)</v>
      </c>
      <c r="C210" s="5470">
        <f>LARGE($C$227:$C$241,3)</f>
        <v>0</v>
      </c>
      <c r="D210" s="5470">
        <f>INDEX($D$227:$D$261,MATCH(C210,$C$227:$C$261,0))</f>
        <v>0</v>
      </c>
      <c r="E210" s="5430">
        <f t="shared" si="43"/>
        <v>0</v>
      </c>
      <c r="F210" s="5431">
        <f t="shared" si="42"/>
        <v>0</v>
      </c>
      <c r="G210" s="5432">
        <f t="shared" ref="G210:G214" si="45">IFERROR(F210/D210,0)</f>
        <v>0</v>
      </c>
      <c r="H210" s="5430" t="str">
        <f t="shared" si="44"/>
        <v>POVEĆANJE</v>
      </c>
      <c r="I210" s="5365"/>
      <c r="J210" s="5365"/>
      <c r="K210" s="5365"/>
      <c r="L210" s="5365"/>
      <c r="M210" s="5365"/>
      <c r="N210" s="5365"/>
      <c r="O210" s="5365"/>
      <c r="P210" s="5365"/>
    </row>
    <row r="211" spans="1:16">
      <c r="A211" s="5458">
        <v>4</v>
      </c>
      <c r="B211" s="5429" t="str">
        <f>INDEX($B$227:$B$261,MATCH(C211,$C$227:$C$261,0))</f>
        <v>Dionički kapital (AOP 102)</v>
      </c>
      <c r="C211" s="5470">
        <f>LARGE($C$227:$C$241,4)</f>
        <v>0</v>
      </c>
      <c r="D211" s="5470">
        <f>INDEX($D$227:$D$261,MATCH(C211,$C$227:$C$261,0))</f>
        <v>0</v>
      </c>
      <c r="E211" s="5430">
        <f t="shared" si="43"/>
        <v>0</v>
      </c>
      <c r="F211" s="5431">
        <f t="shared" si="42"/>
        <v>0</v>
      </c>
      <c r="G211" s="5432">
        <f t="shared" si="45"/>
        <v>0</v>
      </c>
      <c r="H211" s="5430" t="str">
        <f t="shared" si="44"/>
        <v>POVEĆANJE</v>
      </c>
      <c r="I211" s="5365"/>
      <c r="J211" s="5365"/>
      <c r="K211" s="5365"/>
      <c r="L211" s="5365"/>
      <c r="M211" s="5365"/>
      <c r="N211" s="5365"/>
      <c r="O211" s="5365"/>
      <c r="P211" s="5365"/>
    </row>
    <row r="212" spans="1:16">
      <c r="A212" s="5458">
        <v>5</v>
      </c>
      <c r="B212" s="5429" t="str">
        <f>INDEX($B$227:$B$261,MATCH(C212,$C$227:$C$261,0))</f>
        <v>Dionički kapital (AOP 102)</v>
      </c>
      <c r="C212" s="5470">
        <f>LARGE($C$227:$C$241,5)</f>
        <v>0</v>
      </c>
      <c r="D212" s="5470">
        <f>INDEX($D$227:$D$261,MATCH(C212,$C$227:$C$261,0))</f>
        <v>0</v>
      </c>
      <c r="E212" s="5430">
        <f t="shared" si="43"/>
        <v>0</v>
      </c>
      <c r="F212" s="5431">
        <f t="shared" si="42"/>
        <v>0</v>
      </c>
      <c r="G212" s="5432">
        <f t="shared" si="45"/>
        <v>0</v>
      </c>
      <c r="H212" s="5430" t="str">
        <f t="shared" si="44"/>
        <v>POVEĆANJE</v>
      </c>
      <c r="I212" s="5365"/>
      <c r="J212" s="5365"/>
      <c r="K212" s="5365"/>
      <c r="L212" s="5365"/>
      <c r="M212" s="5365"/>
      <c r="N212" s="5365"/>
      <c r="O212" s="5365"/>
      <c r="P212" s="5365"/>
    </row>
    <row r="213" spans="1:16">
      <c r="A213" s="5458">
        <v>6</v>
      </c>
      <c r="B213" s="5429" t="s">
        <v>2380</v>
      </c>
      <c r="C213" s="5470">
        <f>C214-SUM(C208:C212)</f>
        <v>-59197</v>
      </c>
      <c r="D213" s="5470">
        <f>D214-SUM(D208:D212)</f>
        <v>91307</v>
      </c>
      <c r="E213" s="5430">
        <f t="shared" si="43"/>
        <v>-150504</v>
      </c>
      <c r="F213" s="5431">
        <f t="shared" si="42"/>
        <v>150504</v>
      </c>
      <c r="G213" s="5432">
        <f t="shared" si="45"/>
        <v>1.64832926281665</v>
      </c>
      <c r="H213" s="5430" t="str">
        <f t="shared" si="44"/>
        <v>SMANJENJE</v>
      </c>
      <c r="I213" s="5365"/>
      <c r="J213" s="5365"/>
      <c r="K213" s="5365"/>
      <c r="L213" s="5365"/>
      <c r="M213" s="5365"/>
      <c r="N213" s="5365"/>
      <c r="O213" s="5365"/>
      <c r="P213" s="5365"/>
    </row>
    <row r="214" spans="1:16">
      <c r="A214" s="5459">
        <v>7</v>
      </c>
      <c r="B214" s="5507" t="s">
        <v>190</v>
      </c>
      <c r="C214" s="5508">
        <f>B_Stanja!AI115</f>
        <v>309265</v>
      </c>
      <c r="D214" s="5508">
        <f>B_Stanja!AP115</f>
        <v>459768</v>
      </c>
      <c r="E214" s="5436">
        <f t="shared" si="43"/>
        <v>-150503</v>
      </c>
      <c r="F214" s="5463">
        <f t="shared" si="42"/>
        <v>150503</v>
      </c>
      <c r="G214" s="5475">
        <f t="shared" si="45"/>
        <v>0.327345530789442</v>
      </c>
      <c r="H214" s="5436" t="str">
        <f t="shared" si="44"/>
        <v>SMANJENJE</v>
      </c>
      <c r="I214" s="5365"/>
      <c r="J214" s="5365"/>
      <c r="K214" s="5365"/>
      <c r="L214" s="5365"/>
      <c r="M214" s="5365"/>
      <c r="N214" s="5365"/>
      <c r="O214" s="5365"/>
      <c r="P214" s="5365"/>
    </row>
    <row r="215" ht="16.5" customHeight="1" spans="1:16">
      <c r="A215" s="5365"/>
      <c r="B215" s="5365"/>
      <c r="C215" s="5365"/>
      <c r="D215" s="5365"/>
      <c r="E215" s="5365"/>
      <c r="F215" s="5365"/>
      <c r="G215" s="5365"/>
      <c r="H215" s="5365"/>
      <c r="I215" s="5505"/>
      <c r="J215" s="5505"/>
      <c r="K215" s="5505"/>
      <c r="L215" s="5505"/>
      <c r="M215" s="5505"/>
      <c r="N215" s="5505"/>
      <c r="O215" s="5505"/>
      <c r="P215" s="5505"/>
    </row>
    <row r="216" ht="17.25" customHeight="1" spans="1:16">
      <c r="A216" s="5420"/>
      <c r="B216" s="5420" t="s">
        <v>191</v>
      </c>
      <c r="C216" s="5421" t="s">
        <v>16</v>
      </c>
      <c r="D216" s="5421" t="s">
        <v>17</v>
      </c>
      <c r="E216" s="5422" t="s">
        <v>18</v>
      </c>
      <c r="F216" s="5422" t="s">
        <v>19</v>
      </c>
      <c r="G216" s="5422" t="s">
        <v>20</v>
      </c>
      <c r="H216" s="5422"/>
      <c r="I216" s="5365"/>
      <c r="J216" s="5365"/>
      <c r="K216" s="5365"/>
      <c r="L216" s="5365"/>
      <c r="M216" s="5365"/>
      <c r="N216" s="5365"/>
      <c r="O216" s="5365"/>
      <c r="P216" s="5365"/>
    </row>
    <row r="217" ht="14.25" customHeight="1" spans="1:16">
      <c r="A217" s="5428" t="str">
        <f>IF(C217=0,"-","O1.")</f>
        <v>O1.</v>
      </c>
      <c r="B217" s="5424" t="str">
        <f>INDEX($B$227:$B$261,MATCH(C217,$C$227:$C$261,0))</f>
        <v>Kratkoročne ostale obaveze, uključujući i razgraničenja (AOP 147)</v>
      </c>
      <c r="C217" s="5467">
        <f>MAX($C$242:$C$261)</f>
        <v>244741</v>
      </c>
      <c r="D217" s="5467">
        <f>INDEX($D$227:$D$261,MATCH(C217,$C$227:$C$261,0))</f>
        <v>197671</v>
      </c>
      <c r="E217" s="5425">
        <f>C217-D217</f>
        <v>47070</v>
      </c>
      <c r="F217" s="5426">
        <f t="shared" ref="F217:F223" si="46">IF(E217&lt;0,E217*-1,E217)</f>
        <v>47070</v>
      </c>
      <c r="G217" s="5427">
        <f t="shared" ref="G217:G223" si="47">IFERROR(F217/D217,0)</f>
        <v>0.238122941655579</v>
      </c>
      <c r="H217" s="5425" t="str">
        <f>IF(E217&lt;0,"SMANJENJE","POVEĆANJE")</f>
        <v>POVEĆANJE</v>
      </c>
      <c r="I217" s="5365"/>
      <c r="J217" s="5365"/>
      <c r="K217" s="5365"/>
      <c r="L217" s="5365"/>
      <c r="M217" s="5365"/>
      <c r="N217" s="5365"/>
      <c r="O217" s="5365"/>
      <c r="P217" s="5365"/>
    </row>
    <row r="218" ht="14.25" customHeight="1" spans="1:16">
      <c r="A218" s="5428" t="str">
        <f>IF(C218=0,"-","O2.")</f>
        <v>O2.</v>
      </c>
      <c r="B218" s="5429" t="str">
        <f>INDEX($B$227:$B$261,MATCH(C218,$C$227:$C$261,0))</f>
        <v>Obaveze prema dobavljačima (AOP 136)</v>
      </c>
      <c r="C218" s="5470">
        <f>LARGE($C$242:$C$261,2)</f>
        <v>22856</v>
      </c>
      <c r="D218" s="5470">
        <f>INDEX($D$227:$D$261,MATCH(C218,$C$227:$C$261,0))</f>
        <v>64182</v>
      </c>
      <c r="E218" s="5430">
        <f t="shared" ref="E218:E223" si="48">C218-D218</f>
        <v>-41326</v>
      </c>
      <c r="F218" s="5431">
        <f t="shared" si="46"/>
        <v>41326</v>
      </c>
      <c r="G218" s="5432">
        <f t="shared" si="47"/>
        <v>0.643887694369138</v>
      </c>
      <c r="H218" s="5430" t="str">
        <f t="shared" ref="H218:H223" si="49">IF(E218&lt;0,"SMANJENJE","POVEĆANJE")</f>
        <v>SMANJENJE</v>
      </c>
      <c r="I218" s="5365"/>
      <c r="J218" s="5365"/>
      <c r="K218" s="5365"/>
      <c r="L218" s="5365"/>
      <c r="M218" s="5365"/>
      <c r="N218" s="5365"/>
      <c r="O218" s="5365"/>
      <c r="P218" s="5365"/>
    </row>
    <row r="219" spans="1:16">
      <c r="A219" s="5428" t="str">
        <f>IF(C219=0,"-","O3.")</f>
        <v>O3.</v>
      </c>
      <c r="B219" s="5429" t="str">
        <f>INDEX($B$227:$B$261,MATCH(C219,$C$227:$C$261,0))</f>
        <v>Obaveze za porez na dobit (AOP 146)</v>
      </c>
      <c r="C219" s="5470">
        <f>LARGE($C$242:$C$261,3)</f>
        <v>22437</v>
      </c>
      <c r="D219" s="5470">
        <f>INDEX($D$227:$D$261,MATCH(C219,$C$227:$C$261,0))</f>
        <v>21273</v>
      </c>
      <c r="E219" s="5430">
        <f t="shared" si="48"/>
        <v>1164</v>
      </c>
      <c r="F219" s="5431">
        <f t="shared" si="46"/>
        <v>1164</v>
      </c>
      <c r="G219" s="5432">
        <f t="shared" si="47"/>
        <v>0.0547172472147793</v>
      </c>
      <c r="H219" s="5430" t="str">
        <f t="shared" si="49"/>
        <v>POVEĆANJE</v>
      </c>
      <c r="I219" s="5365"/>
      <c r="J219" s="5365"/>
      <c r="K219" s="5365"/>
      <c r="L219" s="5365"/>
      <c r="M219" s="5365"/>
      <c r="N219" s="5365"/>
      <c r="O219" s="5365"/>
      <c r="P219" s="5365"/>
    </row>
    <row r="220" spans="1:16">
      <c r="A220" s="5428" t="str">
        <f>IF(C220=0,"-","O4.")</f>
        <v>-</v>
      </c>
      <c r="B220" s="5429" t="str">
        <f>INDEX($B$227:$B$261,MATCH(C220,$C$227:$C$261,0))</f>
        <v>Dionički kapital (AOP 102)</v>
      </c>
      <c r="C220" s="5470">
        <f>LARGE($C$242:$C$261,4)</f>
        <v>0</v>
      </c>
      <c r="D220" s="5470">
        <f>INDEX($D$227:$D$261,MATCH(C220,$C$227:$C$261,0))</f>
        <v>0</v>
      </c>
      <c r="E220" s="5430">
        <f t="shared" si="48"/>
        <v>0</v>
      </c>
      <c r="F220" s="5431">
        <f t="shared" si="46"/>
        <v>0</v>
      </c>
      <c r="G220" s="5432">
        <f t="shared" si="47"/>
        <v>0</v>
      </c>
      <c r="H220" s="5430" t="str">
        <f t="shared" si="49"/>
        <v>POVEĆANJE</v>
      </c>
      <c r="I220" s="5365"/>
      <c r="J220" s="5365"/>
      <c r="K220" s="5365"/>
      <c r="L220" s="5365"/>
      <c r="M220" s="5365"/>
      <c r="N220" s="5365"/>
      <c r="O220" s="5365"/>
      <c r="P220" s="5365"/>
    </row>
    <row r="221" spans="1:16">
      <c r="A221" s="5473"/>
      <c r="B221" s="5429" t="str">
        <f>INDEX($B$227:$B$261,MATCH(C221,$C$227:$C$261,0))</f>
        <v>Dionički kapital (AOP 102)</v>
      </c>
      <c r="C221" s="5470">
        <f>LARGE($C$242:$C$261,5)</f>
        <v>0</v>
      </c>
      <c r="D221" s="5470">
        <f>INDEX($D$227:$D$261,MATCH(C221,$C$227:$C$261,0))</f>
        <v>0</v>
      </c>
      <c r="E221" s="5430">
        <f t="shared" si="48"/>
        <v>0</v>
      </c>
      <c r="F221" s="5431">
        <f t="shared" si="46"/>
        <v>0</v>
      </c>
      <c r="G221" s="5432">
        <f t="shared" si="47"/>
        <v>0</v>
      </c>
      <c r="H221" s="5430" t="str">
        <f t="shared" si="49"/>
        <v>POVEĆANJE</v>
      </c>
      <c r="I221" s="5365"/>
      <c r="J221" s="5365"/>
      <c r="K221" s="5365"/>
      <c r="L221" s="5365"/>
      <c r="M221" s="5365"/>
      <c r="N221" s="5365"/>
      <c r="O221" s="5365"/>
      <c r="P221" s="5365"/>
    </row>
    <row r="222" spans="1:16">
      <c r="A222" s="5458"/>
      <c r="B222" s="5429" t="s">
        <v>2381</v>
      </c>
      <c r="C222" s="5470">
        <f>C223-SUM(C217:C221)</f>
        <v>0</v>
      </c>
      <c r="D222" s="5470">
        <f>D223-SUM(D217:D221)</f>
        <v>25987</v>
      </c>
      <c r="E222" s="5430">
        <f t="shared" si="48"/>
        <v>-25987</v>
      </c>
      <c r="F222" s="5431">
        <f t="shared" si="46"/>
        <v>25987</v>
      </c>
      <c r="G222" s="5432">
        <f t="shared" si="47"/>
        <v>1</v>
      </c>
      <c r="H222" s="5430" t="str">
        <f t="shared" si="49"/>
        <v>SMANJENJE</v>
      </c>
      <c r="I222" s="5365"/>
      <c r="J222" s="5365"/>
      <c r="K222" s="5365"/>
      <c r="L222" s="5365"/>
      <c r="M222" s="5365"/>
      <c r="N222" s="5365"/>
      <c r="O222" s="5365"/>
      <c r="P222" s="5365"/>
    </row>
    <row r="223" spans="1:16">
      <c r="A223" s="5459"/>
      <c r="B223" s="5507" t="s">
        <v>197</v>
      </c>
      <c r="C223" s="5508">
        <f>SUM(C242:C261)</f>
        <v>290034</v>
      </c>
      <c r="D223" s="5508">
        <f>SUM(D242:D261)</f>
        <v>309113</v>
      </c>
      <c r="E223" s="5436">
        <f t="shared" si="48"/>
        <v>-19079</v>
      </c>
      <c r="F223" s="5463">
        <f t="shared" si="46"/>
        <v>19079</v>
      </c>
      <c r="G223" s="5475">
        <f t="shared" si="47"/>
        <v>0.0617217651797239</v>
      </c>
      <c r="H223" s="5436" t="str">
        <f t="shared" si="49"/>
        <v>SMANJENJE</v>
      </c>
      <c r="I223" s="5365"/>
      <c r="J223" s="5365"/>
      <c r="K223" s="5365"/>
      <c r="L223" s="5365"/>
      <c r="M223" s="5365"/>
      <c r="N223" s="5365"/>
      <c r="O223" s="5365"/>
      <c r="P223" s="5365"/>
    </row>
    <row r="224" spans="1:16">
      <c r="A224" s="5365"/>
      <c r="B224" s="5365"/>
      <c r="C224" s="5365"/>
      <c r="D224" s="5365"/>
      <c r="E224" s="5365"/>
      <c r="F224" s="5365"/>
      <c r="G224" s="5365"/>
      <c r="H224" s="5365"/>
      <c r="I224" s="5505"/>
      <c r="J224" s="5505"/>
      <c r="K224" s="5505"/>
      <c r="L224" s="5505"/>
      <c r="M224" s="5505"/>
      <c r="N224" s="5505"/>
      <c r="O224" s="5505"/>
      <c r="P224" s="5505"/>
    </row>
    <row r="225" spans="1:16">
      <c r="A225" s="5365"/>
      <c r="B225" s="5365"/>
      <c r="C225" s="5365"/>
      <c r="D225" s="5365"/>
      <c r="E225" s="5365"/>
      <c r="F225" s="5365"/>
      <c r="G225" s="5365"/>
      <c r="H225" s="5365"/>
      <c r="I225" s="5505"/>
      <c r="J225" s="5505"/>
      <c r="K225" s="5505"/>
      <c r="L225" s="5505"/>
      <c r="M225" s="5505"/>
      <c r="N225" s="5505"/>
      <c r="O225" s="5505"/>
      <c r="P225" s="5505"/>
    </row>
    <row r="226" ht="15" customHeight="1" spans="1:16">
      <c r="A226" s="5420"/>
      <c r="B226" s="5420" t="s">
        <v>198</v>
      </c>
      <c r="C226" s="5421" t="s">
        <v>16</v>
      </c>
      <c r="D226" s="5421" t="s">
        <v>17</v>
      </c>
      <c r="E226" s="5421" t="s">
        <v>25</v>
      </c>
      <c r="F226" s="5365"/>
      <c r="G226" s="5365"/>
      <c r="H226" s="5365"/>
      <c r="I226" s="5505"/>
      <c r="J226" s="5505"/>
      <c r="K226" s="5505"/>
      <c r="L226" s="5505"/>
      <c r="M226" s="5505"/>
      <c r="N226" s="5505"/>
      <c r="O226" s="5505"/>
      <c r="P226" s="5505"/>
    </row>
    <row r="227" spans="1:16">
      <c r="A227" s="1032"/>
      <c r="B227" s="2297" t="s">
        <v>2382</v>
      </c>
      <c r="C227" s="5509">
        <f>B_Stanja!AI94</f>
        <v>0</v>
      </c>
      <c r="D227" s="5499">
        <f>B_Stanja!AP94</f>
        <v>0</v>
      </c>
      <c r="E227" s="5365"/>
      <c r="F227" s="5365" t="str">
        <f>IF(Baza!$C$482="DA","MSFI za MSS - Odjeljak 22 Obaveze i kapital -tačka 20 ","MRS 1 - Prezentacija finansijskih izvještaja, objavljivanje -tačka 66. do 68.")</f>
        <v>MSFI za MSS - Odjeljak 22 Obaveze i kapital -tačka 20 </v>
      </c>
      <c r="G227" s="5365"/>
      <c r="H227" s="5365"/>
      <c r="I227" s="5365"/>
      <c r="J227" s="5365"/>
      <c r="K227" s="5365"/>
      <c r="L227" s="5365"/>
      <c r="M227" s="5365"/>
      <c r="N227" s="5365"/>
      <c r="O227" s="5365"/>
      <c r="P227" s="5365"/>
    </row>
    <row r="228" spans="1:16">
      <c r="B228" s="572" t="s">
        <v>2383</v>
      </c>
      <c r="C228" s="5506">
        <f>B_Stanja!AI95</f>
        <v>0</v>
      </c>
      <c r="D228" s="1112">
        <f>B_Stanja!AP95</f>
        <v>0</v>
      </c>
      <c r="E228" s="5365"/>
      <c r="F228" s="5365" t="str">
        <f>IF(Baza!$C$482="DA","MSFI za MSS - Odjeljak 22 Obaveze i kapital -tačka 20 ","MRS 1 - Prezentacija finansijskih izvještaja, objavljivanje -tačka 66. do 68.")</f>
        <v>MSFI za MSS - Odjeljak 22 Obaveze i kapital -tačka 20 </v>
      </c>
      <c r="G228" s="5365"/>
      <c r="H228" s="5365"/>
      <c r="I228" s="5365"/>
      <c r="J228" s="5365"/>
      <c r="K228" s="5365"/>
      <c r="L228" s="5365"/>
      <c r="M228" s="5365"/>
      <c r="N228" s="5365"/>
      <c r="O228" s="5365"/>
      <c r="P228" s="5365"/>
    </row>
    <row r="229" spans="1:16">
      <c r="B229" s="572" t="s">
        <v>2384</v>
      </c>
      <c r="C229" s="5506">
        <f>B_Stanja!AI96</f>
        <v>350000</v>
      </c>
      <c r="D229" s="1112">
        <f>B_Stanja!AP96</f>
        <v>350000</v>
      </c>
      <c r="E229" s="5365"/>
      <c r="F229" s="5365" t="str">
        <f>IF(Baza!$C$482="DA","MSFI za MSS - Odjeljak 22 Obaveze i kapital -tačka 20 ","MRS 1 - Prezentacija finansijskih izvještaja, objavljivanje -tačka 66. do 68.")</f>
        <v>MSFI za MSS - Odjeljak 22 Obaveze i kapital -tačka 20 </v>
      </c>
      <c r="G229" s="5365"/>
      <c r="H229" s="5365"/>
      <c r="I229" s="5365"/>
      <c r="J229" s="5365"/>
      <c r="K229" s="5365"/>
      <c r="L229" s="5365"/>
      <c r="M229" s="5365"/>
      <c r="N229" s="5365"/>
      <c r="O229" s="5365"/>
      <c r="P229" s="5365"/>
    </row>
    <row r="230" spans="1:16">
      <c r="B230" s="572" t="s">
        <v>2385</v>
      </c>
      <c r="C230" s="5506">
        <f>B_Stanja!AI97</f>
        <v>0</v>
      </c>
      <c r="D230" s="1112">
        <f>B_Stanja!AP97</f>
        <v>0</v>
      </c>
      <c r="E230" s="5365"/>
      <c r="F230" s="5365" t="str">
        <f>IF(Baza!$C$482="DA","MSFI za MSS - Odjeljak 22 Obaveze i kapital -tačka 20 ","MRS 1 - Prezentacija finansijskih izvještaja, objavljivanje -tačka 66. do 68.")</f>
        <v>MSFI za MSS - Odjeljak 22 Obaveze i kapital -tačka 20 </v>
      </c>
      <c r="G230" s="5365"/>
      <c r="H230" s="5365"/>
      <c r="I230" s="5365"/>
      <c r="J230" s="5365"/>
      <c r="K230" s="5365"/>
      <c r="L230" s="5365"/>
      <c r="M230" s="5365"/>
      <c r="N230" s="5365"/>
      <c r="O230" s="5365"/>
      <c r="P230" s="5365"/>
    </row>
    <row r="231" spans="1:16">
      <c r="B231" s="572" t="s">
        <v>2386</v>
      </c>
      <c r="C231" s="5506">
        <f>B_Stanja!AI98</f>
        <v>0</v>
      </c>
      <c r="D231" s="1112">
        <f>B_Stanja!AP98</f>
        <v>0</v>
      </c>
      <c r="E231" s="5365"/>
      <c r="F231" s="5365" t="str">
        <f>IF(Baza!$C$482="DA","MSFI za MSS - Odjeljak 22 Obaveze i kapital -tačka 20 ","MRS 1 - Prezentacija finansijskih izvještaja, objavljivanje -tačka 66. do 68.")</f>
        <v>MSFI za MSS - Odjeljak 22 Obaveze i kapital -tačka 20 </v>
      </c>
      <c r="G231" s="5365"/>
      <c r="H231" s="5365"/>
      <c r="I231" s="5365"/>
      <c r="J231" s="5365"/>
      <c r="K231" s="5365"/>
      <c r="L231" s="5365"/>
      <c r="M231" s="5365"/>
      <c r="N231" s="5365"/>
      <c r="O231" s="5365"/>
      <c r="P231" s="5365"/>
    </row>
    <row r="232" spans="1:16">
      <c r="B232" s="572" t="s">
        <v>2387</v>
      </c>
      <c r="C232" s="5506">
        <f>B_Stanja!AI99</f>
        <v>0</v>
      </c>
      <c r="D232" s="1112">
        <f>B_Stanja!AP99</f>
        <v>0</v>
      </c>
      <c r="E232" s="5365"/>
      <c r="F232" s="5365" t="str">
        <f>IF(Baza!$C$482="DA","MSFI za MSS - Odjeljak 22 Obaveze i kapital -tačka 20 ","MRS 1 - Prezentacija finansijskih izvještaja, objavljivanje -tačka 66. do 68.")</f>
        <v>MSFI za MSS - Odjeljak 22 Obaveze i kapital -tačka 20 </v>
      </c>
      <c r="G232" s="5365"/>
      <c r="H232" s="5365"/>
      <c r="I232" s="5365"/>
      <c r="J232" s="5365"/>
      <c r="K232" s="5365"/>
      <c r="L232" s="5365"/>
      <c r="M232" s="5365"/>
      <c r="N232" s="5365"/>
      <c r="O232" s="5365"/>
      <c r="P232" s="5365"/>
    </row>
    <row r="233" spans="1:16">
      <c r="B233" s="572" t="s">
        <v>2388</v>
      </c>
      <c r="C233" s="5506">
        <f>B_Stanja!AI101</f>
        <v>0</v>
      </c>
      <c r="D233" s="1112">
        <f>B_Stanja!AP101</f>
        <v>0</v>
      </c>
      <c r="E233" s="5365"/>
      <c r="F233" s="5365" t="str">
        <f>IF(Baza!$C$482="DA","MSFI za MSS - Odjeljak 22 Obaveze i kapital -tačka 20 ","MRS 1 - Prezentacija finansijskih izvještaja, objavljivanje -tačka 66. do 68.")</f>
        <v>MSFI za MSS - Odjeljak 22 Obaveze i kapital -tačka 20 </v>
      </c>
      <c r="G233" s="5365"/>
      <c r="H233" s="5365"/>
      <c r="I233" s="5365"/>
      <c r="J233" s="5365"/>
      <c r="K233" s="5365"/>
      <c r="L233" s="5365"/>
      <c r="M233" s="5365"/>
      <c r="N233" s="5365"/>
      <c r="O233" s="5365"/>
      <c r="P233" s="5365"/>
    </row>
    <row r="234" spans="1:16">
      <c r="B234" s="572" t="s">
        <v>2389</v>
      </c>
      <c r="C234" s="5506">
        <f>B_Stanja!AI102</f>
        <v>18462</v>
      </c>
      <c r="D234" s="1112">
        <f>B_Stanja!AP102</f>
        <v>18461</v>
      </c>
      <c r="E234" s="5365"/>
      <c r="F234" s="5365" t="str">
        <f>IF(Baza!$C$482="DA","MSFI za MSS - Odjeljak 22 Obaveze i kapital -tačka 20 ","MRS 1 - Prezentacija finansijskih izvještaja, objavljivanje -tačka 66. do 68.")</f>
        <v>MSFI za MSS - Odjeljak 22 Obaveze i kapital -tačka 20 </v>
      </c>
      <c r="G234" s="5365"/>
      <c r="H234" s="5365"/>
      <c r="I234" s="5365"/>
      <c r="J234" s="5365"/>
      <c r="K234" s="5365"/>
      <c r="L234" s="5365"/>
      <c r="M234" s="5365"/>
      <c r="N234" s="5365"/>
      <c r="O234" s="5365"/>
      <c r="P234" s="5365"/>
    </row>
    <row r="235" spans="1:16">
      <c r="B235" s="572" t="s">
        <v>2390</v>
      </c>
      <c r="C235" s="5506">
        <f>B_Stanja!AI104</f>
        <v>0</v>
      </c>
      <c r="D235" s="1112">
        <f>B_Stanja!AP104</f>
        <v>0</v>
      </c>
      <c r="E235" s="5365"/>
      <c r="F235" s="5365" t="str">
        <f>IF(Baza!$C$482="DA","MSFI za MSS - Odjeljak 22 Obaveze i kapital -tačka 20 ","MRS 1 - Prezentacija finansijskih izvještaja, objavljivanje -tačka 66. do 68.")</f>
        <v>MSFI za MSS - Odjeljak 22 Obaveze i kapital -tačka 20 </v>
      </c>
      <c r="G235" s="5365"/>
      <c r="H235" s="5365"/>
      <c r="I235" s="5365"/>
      <c r="J235" s="5365"/>
      <c r="K235" s="5365"/>
      <c r="L235" s="5365"/>
      <c r="M235" s="5365"/>
      <c r="N235" s="5365"/>
      <c r="O235" s="5365"/>
      <c r="P235" s="5365"/>
    </row>
    <row r="236" spans="1:16">
      <c r="B236" s="572" t="s">
        <v>2391</v>
      </c>
      <c r="C236" s="5506">
        <f>B_Stanja!AI105</f>
        <v>0</v>
      </c>
      <c r="D236" s="1112">
        <f>B_Stanja!AP105</f>
        <v>0</v>
      </c>
      <c r="E236" s="5365"/>
      <c r="F236" s="5365" t="str">
        <f>IF(Baza!$C$482="DA","MSFI za MSS - Odjeljak 22 Obaveze i kapital -tačka 20 ","MRS 1 - Prezentacija finansijskih izvještaja, objavljivanje -tačka 66. do 68.")</f>
        <v>MSFI za MSS - Odjeljak 22 Obaveze i kapital -tačka 20 </v>
      </c>
      <c r="G236" s="5365"/>
      <c r="H236" s="5365"/>
      <c r="I236" s="5365"/>
      <c r="J236" s="5365"/>
      <c r="K236" s="5365"/>
      <c r="L236" s="5365"/>
      <c r="M236" s="5365"/>
      <c r="N236" s="5365"/>
      <c r="O236" s="5365"/>
      <c r="P236" s="5365"/>
    </row>
    <row r="237" spans="1:16">
      <c r="B237" s="572" t="s">
        <v>2392</v>
      </c>
      <c r="C237" s="5506">
        <f>B_Stanja!AI106</f>
        <v>0</v>
      </c>
      <c r="D237" s="1112">
        <f>B_Stanja!AP106</f>
        <v>0</v>
      </c>
      <c r="E237" s="5365"/>
      <c r="F237" s="5365" t="str">
        <f>IF(Baza!$C$482="DA","MSFI za MSS - Odjeljak 22 Obaveze i kapital -tačka 20 ","MRS 1 - Prezentacija finansijskih izvještaja, objavljivanje -tačka 66. do 68.")</f>
        <v>MSFI za MSS - Odjeljak 22 Obaveze i kapital -tačka 20 </v>
      </c>
      <c r="G237" s="5365"/>
      <c r="H237" s="5365"/>
      <c r="I237" s="5365"/>
      <c r="J237" s="5365"/>
      <c r="K237" s="5365"/>
      <c r="L237" s="5365"/>
      <c r="M237" s="5365"/>
      <c r="N237" s="5365"/>
      <c r="O237" s="5365"/>
      <c r="P237" s="5365"/>
    </row>
    <row r="238" spans="1:16">
      <c r="B238" s="572" t="s">
        <v>2393</v>
      </c>
      <c r="C238" s="5506">
        <f>B_Stanja!AI108</f>
        <v>0</v>
      </c>
      <c r="D238" s="1112">
        <f>B_Stanja!AP108</f>
        <v>0</v>
      </c>
      <c r="E238" s="5365"/>
      <c r="F238" s="5365" t="str">
        <f>IF(Baza!$C$482="DA","MSFI za MSS - Odjeljak 22 Obaveze i kapital -tačka 20 ","MRS 1 - Prezentacija finansijskih izvještaja, objavljivanje -tačka 66. do 68.")</f>
        <v>MSFI za MSS - Odjeljak 22 Obaveze i kapital -tačka 20 </v>
      </c>
      <c r="G238" s="5365"/>
      <c r="H238" s="5365"/>
      <c r="I238" s="5365"/>
      <c r="J238" s="5365"/>
      <c r="K238" s="5365"/>
      <c r="L238" s="5365"/>
      <c r="M238" s="5365"/>
      <c r="N238" s="5365"/>
      <c r="O238" s="5365"/>
      <c r="P238" s="5365"/>
    </row>
    <row r="239" spans="1:16">
      <c r="B239" s="572" t="s">
        <v>2394</v>
      </c>
      <c r="C239" s="5506">
        <f>B_Stanja!AI109</f>
        <v>0</v>
      </c>
      <c r="D239" s="1112">
        <f>B_Stanja!AP109</f>
        <v>91307</v>
      </c>
      <c r="E239" s="5365"/>
      <c r="F239" s="5365" t="str">
        <f>IF(Baza!$C$482="DA","MSFI za MSS - Odjeljak 22 Obaveze i kapital -tačka 20 ","MRS 1 - Prezentacija finansijskih izvještaja, objavljivanje -tačka 66. do 68.")</f>
        <v>MSFI za MSS - Odjeljak 22 Obaveze i kapital -tačka 20 </v>
      </c>
      <c r="G239" s="5365"/>
      <c r="H239" s="5365"/>
      <c r="I239" s="5365"/>
      <c r="J239" s="5365"/>
      <c r="K239" s="5365"/>
      <c r="L239" s="5365"/>
      <c r="M239" s="5365"/>
      <c r="N239" s="5365"/>
      <c r="O239" s="5365"/>
      <c r="P239" s="5365"/>
    </row>
    <row r="240" spans="1:16">
      <c r="B240" s="572" t="s">
        <v>2395</v>
      </c>
      <c r="C240" s="5506">
        <f>B_Stanja!AI111*-1</f>
        <v>0</v>
      </c>
      <c r="D240" s="1112">
        <f>B_Stanja!AP111*-1</f>
        <v>0</v>
      </c>
      <c r="E240" s="5365"/>
      <c r="F240" s="5365" t="str">
        <f>IF(Baza!$C$482="DA","MSFI za MSS - Odjeljak 22 Obaveze i kapital -tačka 20 ","MRS 1 - Prezentacija finansijskih izvještaja, objavljivanje -tačka 66. do 68.")</f>
        <v>MSFI za MSS - Odjeljak 22 Obaveze i kapital -tačka 20 </v>
      </c>
      <c r="G240" s="5365"/>
      <c r="H240" s="5365"/>
      <c r="I240" s="5365"/>
      <c r="J240" s="5365"/>
      <c r="K240" s="5365"/>
      <c r="L240" s="5365"/>
      <c r="M240" s="5365"/>
      <c r="N240" s="5365"/>
      <c r="O240" s="5365"/>
      <c r="P240" s="5365"/>
    </row>
    <row r="241" spans="1:16">
      <c r="A241" s="2294"/>
      <c r="B241" s="2211" t="s">
        <v>2396</v>
      </c>
      <c r="C241" s="5510">
        <f>B_Stanja!AI112*-1</f>
        <v>-59197</v>
      </c>
      <c r="D241" s="5501">
        <f>B_Stanja!AP112*-1</f>
        <v>0</v>
      </c>
      <c r="E241" s="5365"/>
      <c r="F241" s="5365" t="str">
        <f>IF(Baza!$C$482="DA","MSFI za MSS - Odjeljak 22 Obaveze i kapital -tačka 20 ","MRS 1 - Prezentacija finansijskih izvještaja, objavljivanje -tačka 66. do 68.")</f>
        <v>MSFI za MSS - Odjeljak 22 Obaveze i kapital -tačka 20 </v>
      </c>
      <c r="G241" s="5365"/>
      <c r="H241" s="5365"/>
      <c r="I241" s="5365"/>
      <c r="J241" s="5365"/>
      <c r="K241" s="5365"/>
      <c r="L241" s="5365"/>
      <c r="M241" s="5365"/>
      <c r="N241" s="5365"/>
      <c r="O241" s="5365"/>
      <c r="P241" s="5365"/>
    </row>
    <row r="242" spans="1:16">
      <c r="B242" s="572" t="s">
        <v>2397</v>
      </c>
      <c r="C242" s="1112">
        <f>B_Stanja!AI127</f>
        <v>0</v>
      </c>
      <c r="D242" s="1112">
        <f>B_Stanja!AP127</f>
        <v>16678</v>
      </c>
      <c r="E242" s="5248" t="str">
        <f>IF(C242=0,"-",IFERROR(INDEX($A$217:$A$220,MATCH(C242,$C$217:$C$220,0)),"-"))</f>
        <v>-</v>
      </c>
      <c r="F242" s="5365" t="str">
        <f>IF(Baza!$C$482="DA","MSFI za MSS - Odjeljak 22 Obaveze i kapital -tačka 20 ","MRS 1 - Prezentacija finansijskih izvještaja, objavljivanje -tačka 66. do 68.")</f>
        <v>MSFI za MSS - Odjeljak 22 Obaveze i kapital -tačka 20 </v>
      </c>
      <c r="G242" s="5365"/>
      <c r="H242" s="5365"/>
      <c r="I242" s="5365"/>
      <c r="J242" s="5365"/>
      <c r="K242" s="5365"/>
      <c r="L242" s="5365"/>
      <c r="M242" s="5365"/>
      <c r="N242" s="5365"/>
      <c r="O242" s="5365"/>
      <c r="P242" s="5365"/>
    </row>
    <row r="243" spans="1:16">
      <c r="B243" s="572" t="s">
        <v>2398</v>
      </c>
      <c r="C243" s="1112">
        <f>B_Stanja!AI128</f>
        <v>0</v>
      </c>
      <c r="D243" s="1112">
        <f>B_Stanja!AP128</f>
        <v>0</v>
      </c>
      <c r="E243" s="5248" t="str">
        <f t="shared" ref="E243:E261" si="50">IF(C243=0,"-",IFERROR(INDEX($A$217:$A$220,MATCH(C243,$C$217:$C$220,0)),"-"))</f>
        <v>-</v>
      </c>
      <c r="F243" s="5365" t="str">
        <f>IF(Baza!$C$482="DA","MSFI za MSS - Odjeljak 22 Obaveze i kapital -tačka 20 ","MRS 1 - Prezentacija finansijskih izvještaja, objavljivanje -tačka 66. do 68.")</f>
        <v>MSFI za MSS - Odjeljak 22 Obaveze i kapital -tačka 20 </v>
      </c>
      <c r="G243" s="5365"/>
      <c r="H243" s="5365"/>
      <c r="I243" s="5365"/>
      <c r="J243" s="5365"/>
      <c r="K243" s="5365"/>
      <c r="L243" s="5365"/>
      <c r="M243" s="5365"/>
      <c r="N243" s="5365"/>
      <c r="O243" s="5365"/>
      <c r="P243" s="5365"/>
    </row>
    <row r="244" spans="1:16">
      <c r="B244" s="572" t="s">
        <v>2399</v>
      </c>
      <c r="C244" s="1112">
        <f>B_Stanja!AI129</f>
        <v>0</v>
      </c>
      <c r="D244" s="1112">
        <f>B_Stanja!AP129</f>
        <v>0</v>
      </c>
      <c r="E244" s="5248" t="str">
        <f t="shared" si="50"/>
        <v>-</v>
      </c>
      <c r="F244" s="5365" t="str">
        <f>IF(Baza!$C$482="DA","MSFI za MSS - Odjeljak 22 Obaveze i kapital -tačka 20 ","MRS 1 - Prezentacija finansijskih izvještaja, objavljivanje -tačka 66. do 68.")</f>
        <v>MSFI za MSS - Odjeljak 22 Obaveze i kapital -tačka 20 </v>
      </c>
      <c r="G244" s="5365"/>
      <c r="H244" s="5365"/>
      <c r="I244" s="5365"/>
      <c r="J244" s="5365"/>
      <c r="K244" s="5365"/>
      <c r="L244" s="5365"/>
      <c r="M244" s="5365"/>
      <c r="N244" s="5365"/>
      <c r="O244" s="5365"/>
      <c r="P244" s="5365"/>
    </row>
    <row r="245" spans="1:16">
      <c r="B245" s="572" t="s">
        <v>2400</v>
      </c>
      <c r="C245" s="1112">
        <f>B_Stanja!AI130</f>
        <v>0</v>
      </c>
      <c r="D245" s="1112">
        <f>B_Stanja!AP130</f>
        <v>0</v>
      </c>
      <c r="E245" s="5248" t="str">
        <f t="shared" si="50"/>
        <v>-</v>
      </c>
      <c r="F245" s="5365" t="str">
        <f>IF(Baza!$C$482="DA","MSFI za MSS - Odjeljak 22 Obaveze i kapital -tačka 20 ","MRS 1 - Prezentacija finansijskih izvještaja, objavljivanje -tačka 66. do 68.")</f>
        <v>MSFI za MSS - Odjeljak 22 Obaveze i kapital -tačka 20 </v>
      </c>
      <c r="G245" s="5365"/>
      <c r="H245" s="5365"/>
      <c r="I245" s="5365"/>
      <c r="J245" s="5365"/>
      <c r="K245" s="5365"/>
      <c r="L245" s="5365"/>
      <c r="M245" s="5365"/>
      <c r="N245" s="5365"/>
      <c r="O245" s="5365"/>
      <c r="P245" s="5365"/>
    </row>
    <row r="246" spans="1:16">
      <c r="B246" s="572" t="s">
        <v>2401</v>
      </c>
      <c r="C246" s="1112">
        <f>B_Stanja!AI131</f>
        <v>0</v>
      </c>
      <c r="D246" s="1112">
        <f>B_Stanja!AP131</f>
        <v>0</v>
      </c>
      <c r="E246" s="5248" t="str">
        <f t="shared" si="50"/>
        <v>-</v>
      </c>
      <c r="F246" s="5365" t="str">
        <f>IF(Baza!$C$482="DA","MSFI za MSS - Odjeljak 22 Obaveze i kapital -tačka 20 ","MRS 1 - Prezentacija finansijskih izvještaja, objavljivanje -tačka 66. do 68.")</f>
        <v>MSFI za MSS - Odjeljak 22 Obaveze i kapital -tačka 20 </v>
      </c>
      <c r="G246" s="5365"/>
      <c r="H246" s="5365"/>
      <c r="I246" s="5365"/>
      <c r="J246" s="5365"/>
      <c r="K246" s="5365"/>
      <c r="L246" s="5365"/>
      <c r="M246" s="5365"/>
      <c r="N246" s="5365"/>
      <c r="O246" s="5365"/>
      <c r="P246" s="5365"/>
    </row>
    <row r="247" spans="1:16">
      <c r="B247" s="572" t="s">
        <v>2402</v>
      </c>
      <c r="C247" s="1112">
        <f>B_Stanja!AI132</f>
        <v>0</v>
      </c>
      <c r="D247" s="1112">
        <f>B_Stanja!AP132</f>
        <v>0</v>
      </c>
      <c r="E247" s="5248" t="str">
        <f t="shared" si="50"/>
        <v>-</v>
      </c>
      <c r="F247" s="5365" t="str">
        <f>IF(Baza!$C$482="DA","MSFI za MSS - Odjeljak 22 Obaveze i kapital -tačka 20 ","MRS 1 - Prezentacija finansijskih izvještaja, objavljivanje -tačka 66. do 68.")</f>
        <v>MSFI za MSS - Odjeljak 22 Obaveze i kapital -tačka 20 </v>
      </c>
      <c r="G247" s="5365"/>
      <c r="H247" s="5365"/>
      <c r="I247" s="5365"/>
      <c r="J247" s="5365"/>
      <c r="K247" s="5365"/>
      <c r="L247" s="5365"/>
      <c r="M247" s="5365"/>
      <c r="N247" s="5365"/>
      <c r="O247" s="5365"/>
      <c r="P247" s="5365"/>
    </row>
    <row r="248" spans="1:16">
      <c r="B248" s="572" t="s">
        <v>2403</v>
      </c>
      <c r="C248" s="1112">
        <f>B_Stanja!AI133</f>
        <v>0</v>
      </c>
      <c r="D248" s="1112">
        <f>B_Stanja!AP133</f>
        <v>0</v>
      </c>
      <c r="E248" s="5248" t="str">
        <f t="shared" si="50"/>
        <v>-</v>
      </c>
      <c r="F248" s="5365" t="str">
        <f>IF(Baza!$C$482="DA","MSFI za MSS - Odjeljak 22 Obaveze i kapital -tačka 20 ","MRS 1 - Prezentacija finansijskih izvještaja, objavljivanje -tačka 66. do 68.")</f>
        <v>MSFI za MSS - Odjeljak 22 Obaveze i kapital -tačka 20 </v>
      </c>
      <c r="G248" s="5365"/>
      <c r="H248" s="5365"/>
      <c r="I248" s="5365"/>
      <c r="J248" s="5365"/>
      <c r="K248" s="5365"/>
      <c r="L248" s="5365"/>
      <c r="M248" s="5365"/>
      <c r="N248" s="5365"/>
      <c r="O248" s="5365"/>
      <c r="P248" s="5365"/>
    </row>
    <row r="249" spans="1:16">
      <c r="A249" s="653"/>
      <c r="B249" s="2014" t="s">
        <v>2404</v>
      </c>
      <c r="C249" s="5511">
        <f>B_Stanja!AI134</f>
        <v>0</v>
      </c>
      <c r="D249" s="5511">
        <f>B_Stanja!AP134</f>
        <v>0</v>
      </c>
      <c r="E249" s="5451" t="str">
        <f t="shared" si="50"/>
        <v>-</v>
      </c>
      <c r="F249" s="5512" t="str">
        <f>IF(Baza!$C$482="DA","MSFI za MSS - Odjeljak 22 Obaveze i kapital -tačka 20 ","MRS 1 - Prezentacija finansijskih izvještaja, objavljivanje -tačka 66. do 68.")</f>
        <v>MSFI za MSS - Odjeljak 22 Obaveze i kapital -tačka 20 </v>
      </c>
      <c r="G249" s="5512"/>
      <c r="H249" s="5512"/>
      <c r="I249" s="5512"/>
      <c r="J249" s="5365"/>
      <c r="K249" s="5365"/>
      <c r="L249" s="5365"/>
      <c r="M249" s="5365"/>
      <c r="N249" s="5365"/>
      <c r="O249" s="5365"/>
      <c r="P249" s="5365"/>
    </row>
    <row r="250" spans="1:16">
      <c r="B250" s="572" t="s">
        <v>2405</v>
      </c>
      <c r="C250" s="1112">
        <f>B_Stanja!AI137</f>
        <v>22856</v>
      </c>
      <c r="D250" s="1112">
        <f>B_Stanja!AP137</f>
        <v>64182</v>
      </c>
      <c r="E250" s="5248" t="str">
        <f t="shared" si="50"/>
        <v>O2.</v>
      </c>
      <c r="F250" s="5365" t="str">
        <f>IF(Baza!$C$482="DA","MSFI za MSS - Odjeljak 22 Obaveze i kapital -tačka 20 ","MRS 1 - Prezentacija finansijskih izvještaja, objavljivanje -tačka 66. do 68.")</f>
        <v>MSFI za MSS - Odjeljak 22 Obaveze i kapital -tačka 20 </v>
      </c>
      <c r="G250" s="5365"/>
      <c r="H250" s="5365"/>
      <c r="I250" s="5365"/>
      <c r="J250" s="5365"/>
      <c r="K250" s="5365"/>
      <c r="L250" s="5365"/>
      <c r="M250" s="5365"/>
      <c r="N250" s="5365"/>
      <c r="O250" s="5365"/>
      <c r="P250" s="5365"/>
    </row>
    <row r="251" spans="1:16">
      <c r="B251" s="572" t="s">
        <v>2406</v>
      </c>
      <c r="C251" s="1112">
        <f>B_Stanja!AI138</f>
        <v>0</v>
      </c>
      <c r="D251" s="1112">
        <f>B_Stanja!AP138</f>
        <v>0</v>
      </c>
      <c r="E251" s="5248" t="str">
        <f t="shared" si="50"/>
        <v>-</v>
      </c>
      <c r="F251" s="5365" t="str">
        <f>IF(Baza!$C$482="DA","MSFI za MSS - Odjeljak 22 Obaveze i kapital -tačka 20 ","MRS 1 - Prezentacija finansijskih izvještaja, objavljivanje -tačka 66. do 68.")</f>
        <v>MSFI za MSS - Odjeljak 22 Obaveze i kapital -tačka 20 </v>
      </c>
      <c r="G251" s="5365"/>
      <c r="H251" s="5365"/>
      <c r="I251" s="5365"/>
      <c r="J251" s="5365"/>
      <c r="K251" s="5365"/>
      <c r="L251" s="5365"/>
      <c r="M251" s="5365"/>
      <c r="N251" s="5365"/>
      <c r="O251" s="5365"/>
      <c r="P251" s="5365"/>
    </row>
    <row r="252" spans="1:16">
      <c r="B252" s="572" t="s">
        <v>2407</v>
      </c>
      <c r="C252" s="1112">
        <f>B_Stanja!AI139</f>
        <v>0</v>
      </c>
      <c r="D252" s="1112">
        <f>B_Stanja!AP139</f>
        <v>9309</v>
      </c>
      <c r="E252" s="5248" t="str">
        <f t="shared" si="50"/>
        <v>-</v>
      </c>
      <c r="F252" s="5365" t="str">
        <f>IF(Baza!$C$482="DA","MSFI za MSS - Odjeljak 22 Obaveze i kapital -tačka 20 ","MRS 1 - Prezentacija finansijskih izvještaja, objavljivanje -tačka 66. do 68.")</f>
        <v>MSFI za MSS - Odjeljak 22 Obaveze i kapital -tačka 20 </v>
      </c>
      <c r="G252" s="5365"/>
      <c r="H252" s="5365"/>
      <c r="I252" s="5365"/>
      <c r="J252" s="5365"/>
      <c r="K252" s="5365"/>
      <c r="L252" s="5365"/>
      <c r="M252" s="5365"/>
      <c r="N252" s="5365"/>
      <c r="O252" s="5365"/>
      <c r="P252" s="5365"/>
    </row>
    <row r="253" spans="1:16">
      <c r="B253" s="572" t="s">
        <v>2408</v>
      </c>
      <c r="C253" s="1112">
        <f>B_Stanja!AI140</f>
        <v>0</v>
      </c>
      <c r="D253" s="1112">
        <f>B_Stanja!AP140</f>
        <v>0</v>
      </c>
      <c r="E253" s="5248" t="str">
        <f t="shared" si="50"/>
        <v>-</v>
      </c>
      <c r="F253" s="5365" t="str">
        <f>IF(Baza!$C$482="DA","MSFI za MSS - Odjeljak 22 Obaveze i kapital -tačka 20 ","MRS 1 - Prezentacija finansijskih izvještaja, objavljivanje -tačka 66. do 68.")</f>
        <v>MSFI za MSS - Odjeljak 22 Obaveze i kapital -tačka 20 </v>
      </c>
      <c r="G253" s="5365"/>
      <c r="H253" s="5365"/>
      <c r="I253" s="5365"/>
      <c r="J253" s="5365"/>
      <c r="K253" s="5365"/>
      <c r="L253" s="5365"/>
      <c r="M253" s="5365"/>
      <c r="N253" s="5365"/>
      <c r="O253" s="5365"/>
      <c r="P253" s="5365"/>
    </row>
    <row r="254" spans="1:16">
      <c r="B254" s="572" t="s">
        <v>2409</v>
      </c>
      <c r="C254" s="1112">
        <f>B_Stanja!AI141</f>
        <v>0</v>
      </c>
      <c r="D254" s="1112">
        <f>B_Stanja!AP141</f>
        <v>0</v>
      </c>
      <c r="E254" s="5248" t="str">
        <f t="shared" si="50"/>
        <v>-</v>
      </c>
      <c r="F254" s="5365" t="str">
        <f>IF(Baza!$C$482="DA","MSFI za MSS - Odjeljak 22 Obaveze i kapital -tačka 20 ","MRS 1 - Prezentacija finansijskih izvještaja, objavljivanje -tačka 66. do 68.")</f>
        <v>MSFI za MSS - Odjeljak 22 Obaveze i kapital -tačka 20 </v>
      </c>
      <c r="G254" s="5365"/>
      <c r="H254" s="5365"/>
      <c r="I254" s="5365"/>
      <c r="J254" s="5365"/>
      <c r="K254" s="5365"/>
      <c r="L254" s="5365"/>
      <c r="M254" s="5365"/>
      <c r="N254" s="5365"/>
      <c r="O254" s="5365"/>
      <c r="P254" s="5365"/>
    </row>
    <row r="255" spans="1:16">
      <c r="B255" s="572" t="s">
        <v>2410</v>
      </c>
      <c r="C255" s="1112">
        <f>B_Stanja!AI142</f>
        <v>0</v>
      </c>
      <c r="D255" s="1112">
        <f>B_Stanja!AP142</f>
        <v>0</v>
      </c>
      <c r="E255" s="5248" t="str">
        <f t="shared" si="50"/>
        <v>-</v>
      </c>
      <c r="F255" s="5365" t="str">
        <f>IF(Baza!$C$482="DA","MSFI za MSS - Odjeljak 22 Obaveze i kapital -tačka 20 ","MRS 1 - Prezentacija finansijskih izvještaja, objavljivanje -tačka 66. do 68.")</f>
        <v>MSFI za MSS - Odjeljak 22 Obaveze i kapital -tačka 20 </v>
      </c>
      <c r="G255" s="5365"/>
      <c r="H255" s="5365"/>
      <c r="I255" s="5365"/>
      <c r="J255" s="5365"/>
      <c r="K255" s="5365"/>
      <c r="L255" s="5365"/>
      <c r="M255" s="5365"/>
      <c r="N255" s="5365"/>
      <c r="O255" s="5365"/>
      <c r="P255" s="5365"/>
    </row>
    <row r="256" spans="1:16">
      <c r="B256" s="572" t="s">
        <v>2411</v>
      </c>
      <c r="C256" s="1112">
        <f>B_Stanja!AI143</f>
        <v>0</v>
      </c>
      <c r="D256" s="1112">
        <f>B_Stanja!AP143</f>
        <v>0</v>
      </c>
      <c r="E256" s="5248" t="str">
        <f t="shared" si="50"/>
        <v>-</v>
      </c>
      <c r="F256" s="5365" t="str">
        <f>IF(Baza!$C$482="DA","MSFI za MSS - Odjeljak 22 Obaveze i kapital -tačka 20 ","MRS 1 - Prezentacija finansijskih izvještaja, objavljivanje -tačka 66. do 68.")</f>
        <v>MSFI za MSS - Odjeljak 22 Obaveze i kapital -tačka 20 </v>
      </c>
      <c r="G256" s="5365"/>
      <c r="H256" s="5365"/>
      <c r="I256" s="5365"/>
      <c r="J256" s="5365"/>
      <c r="K256" s="5365"/>
      <c r="L256" s="5365"/>
      <c r="M256" s="5365"/>
      <c r="N256" s="5365"/>
      <c r="O256" s="5365"/>
      <c r="P256" s="5365"/>
    </row>
    <row r="257" spans="1:16">
      <c r="B257" s="572" t="s">
        <v>2412</v>
      </c>
      <c r="C257" s="1112">
        <f>B_Stanja!AI144</f>
        <v>0</v>
      </c>
      <c r="D257" s="1112">
        <f>B_Stanja!AP144</f>
        <v>0</v>
      </c>
      <c r="E257" s="5248" t="str">
        <f t="shared" si="50"/>
        <v>-</v>
      </c>
      <c r="F257" s="5365" t="str">
        <f>IF(Baza!$C$482="DA","MSFI za MSS - Odjeljak 22 Obaveze i kapital -tačka 20 ","MRS 1 - Prezentacija finansijskih izvještaja, objavljivanje -tačka 66. do 68.")</f>
        <v>MSFI za MSS - Odjeljak 22 Obaveze i kapital -tačka 20 </v>
      </c>
      <c r="G257" s="5365"/>
      <c r="H257" s="5365"/>
      <c r="I257" s="5365"/>
      <c r="J257" s="5365"/>
      <c r="K257" s="5365"/>
      <c r="L257" s="5365"/>
      <c r="M257" s="5365"/>
      <c r="N257" s="5365"/>
      <c r="O257" s="5365"/>
      <c r="P257" s="5365"/>
    </row>
    <row r="258" spans="1:16">
      <c r="B258" s="572" t="s">
        <v>2413</v>
      </c>
      <c r="C258" s="1112">
        <f>B_Stanja!AI145</f>
        <v>0</v>
      </c>
      <c r="D258" s="1112">
        <f>B_Stanja!AP145</f>
        <v>0</v>
      </c>
      <c r="E258" s="5248" t="str">
        <f t="shared" si="50"/>
        <v>-</v>
      </c>
      <c r="F258" s="5365" t="str">
        <f>IF(Baza!$C$482="DA","MSFI za MSS - Odjeljak 22 Obaveze i kapital -tačka 20 ","MRS 1 - Prezentacija finansijskih izvještaja, objavljivanje -tačka 66. do 68.")</f>
        <v>MSFI za MSS - Odjeljak 22 Obaveze i kapital -tačka 20 </v>
      </c>
      <c r="G258" s="5365"/>
      <c r="H258" s="5365"/>
      <c r="I258" s="5365"/>
      <c r="J258" s="5365"/>
      <c r="K258" s="5365"/>
      <c r="L258" s="5365"/>
      <c r="M258" s="5365"/>
      <c r="N258" s="5365"/>
      <c r="O258" s="5365"/>
      <c r="P258" s="5365"/>
    </row>
    <row r="259" spans="1:16">
      <c r="B259" s="572" t="s">
        <v>2414</v>
      </c>
      <c r="C259" s="1112">
        <f>B_Stanja!AI146</f>
        <v>0</v>
      </c>
      <c r="D259" s="1112">
        <f>B_Stanja!AP146</f>
        <v>0</v>
      </c>
      <c r="E259" s="5248" t="str">
        <f t="shared" si="50"/>
        <v>-</v>
      </c>
      <c r="F259" s="5365" t="str">
        <f>IF(Baza!$C$482="DA","MSFI za MSS - Odjeljak 22 Obaveze i kapital -tačka 20 ","MRS 1 - Prezentacija finansijskih izvještaja, objavljivanje -tačka 66. do 68.")</f>
        <v>MSFI za MSS - Odjeljak 22 Obaveze i kapital -tačka 20 </v>
      </c>
      <c r="G259" s="5365"/>
      <c r="H259" s="5365"/>
      <c r="I259" s="5365"/>
      <c r="J259" s="5365"/>
      <c r="K259" s="5365"/>
      <c r="L259" s="5365"/>
      <c r="M259" s="5365"/>
      <c r="N259" s="5365"/>
      <c r="O259" s="5365"/>
      <c r="P259" s="5365"/>
    </row>
    <row r="260" spans="1:16">
      <c r="B260" s="572" t="s">
        <v>2415</v>
      </c>
      <c r="C260" s="1112">
        <f>B_Stanja!AI147</f>
        <v>22437</v>
      </c>
      <c r="D260" s="1112">
        <f>B_Stanja!AP147</f>
        <v>21273</v>
      </c>
      <c r="E260" s="5248" t="str">
        <f t="shared" si="50"/>
        <v>O3.</v>
      </c>
      <c r="F260" s="5365" t="str">
        <f>IF(Baza!$C$482="DA","MSFI za MSS - Odjeljak 22 Obaveze i kapital -tačka 20 ","MRS 1 - Prezentacija finansijskih izvještaja, objavljivanje -tačka 66. do 68.")</f>
        <v>MSFI za MSS - Odjeljak 22 Obaveze i kapital -tačka 20 </v>
      </c>
      <c r="G260" s="5365"/>
      <c r="H260" s="5365"/>
      <c r="I260" s="5365"/>
      <c r="J260" s="5365"/>
      <c r="K260" s="5365"/>
      <c r="L260" s="5365"/>
      <c r="M260" s="5365"/>
      <c r="N260" s="5365"/>
      <c r="O260" s="5365"/>
      <c r="P260" s="5365"/>
    </row>
    <row r="261" spans="1:16">
      <c r="B261" s="572" t="s">
        <v>2416</v>
      </c>
      <c r="C261" s="1112">
        <f>B_Stanja!AI148</f>
        <v>244741</v>
      </c>
      <c r="D261" s="1112">
        <f>B_Stanja!AP148</f>
        <v>197671</v>
      </c>
      <c r="E261" s="5248" t="str">
        <f t="shared" si="50"/>
        <v>O1.</v>
      </c>
      <c r="F261" s="5365" t="str">
        <f>IF(Baza!$C$482="DA","MSFI za MSS - Odjeljak 22 Obaveze i kapital -tačka 20 ","MRS 1 - Prezentacija finansijskih izvještaja, objavljivanje -tačka 66. do 68.")</f>
        <v>MSFI za MSS - Odjeljak 22 Obaveze i kapital -tačka 20 </v>
      </c>
      <c r="G261" s="5365"/>
      <c r="H261" s="5365"/>
      <c r="I261" s="5365"/>
      <c r="J261" s="5365"/>
      <c r="K261" s="5365"/>
      <c r="L261" s="5365"/>
      <c r="M261" s="5365"/>
      <c r="N261" s="5365"/>
      <c r="O261" s="5365"/>
      <c r="P261" s="5365"/>
    </row>
    <row r="262" spans="1:16">
      <c r="A262" s="5365"/>
      <c r="B262" s="5365"/>
      <c r="C262" s="5394"/>
      <c r="D262" s="5394"/>
      <c r="E262" s="5365"/>
      <c r="F262" s="5365"/>
      <c r="G262" s="5365"/>
      <c r="H262" s="5365"/>
      <c r="I262" s="5365"/>
      <c r="J262" s="5365"/>
      <c r="K262" s="5365"/>
      <c r="L262" s="5365"/>
      <c r="M262" s="5365"/>
      <c r="N262" s="5365"/>
      <c r="O262" s="5365"/>
      <c r="P262" s="5365"/>
    </row>
    <row r="263" ht="15" spans="1:16">
      <c r="A263" s="5417" t="s">
        <v>250</v>
      </c>
      <c r="B263" s="5365"/>
      <c r="C263" s="5394"/>
      <c r="D263" s="5394"/>
      <c r="E263" s="5365"/>
      <c r="F263" s="5365"/>
      <c r="G263" s="5365"/>
      <c r="H263" s="5365"/>
      <c r="I263" s="5365"/>
      <c r="J263" s="5365"/>
      <c r="K263" s="5365"/>
      <c r="L263" s="5365"/>
      <c r="M263" s="5365"/>
      <c r="N263" s="5365"/>
      <c r="O263" s="5365"/>
      <c r="P263" s="5365"/>
    </row>
    <row r="264" ht="17.25" customHeight="1" spans="1:16">
      <c r="A264" s="5420"/>
      <c r="B264" s="5420" t="s">
        <v>251</v>
      </c>
      <c r="C264" s="5421" t="s">
        <v>16</v>
      </c>
      <c r="D264" s="5421" t="s">
        <v>17</v>
      </c>
      <c r="E264" s="5422" t="s">
        <v>18</v>
      </c>
      <c r="F264" s="5422" t="s">
        <v>19</v>
      </c>
      <c r="G264" s="5422" t="s">
        <v>20</v>
      </c>
      <c r="H264" s="5422"/>
      <c r="I264" s="5365"/>
      <c r="J264" s="5365"/>
      <c r="K264" s="5365"/>
      <c r="L264" s="5365"/>
      <c r="M264" s="5365"/>
      <c r="N264" s="5365"/>
      <c r="O264" s="5365"/>
      <c r="P264" s="5365"/>
    </row>
    <row r="265" ht="14.25" customHeight="1" spans="1:16">
      <c r="A265" s="5428" t="str">
        <f>IF(C265=0,"-","D_P1")</f>
        <v>D_P1</v>
      </c>
      <c r="B265" s="5424" t="str">
        <f>INDEX($B$284:$B$307,MATCH(C265,$C$284:$C$307,0))</f>
        <v>Ostali prilivi iz finansijskih aktivnosti (AOP 450)</v>
      </c>
      <c r="C265" s="5467">
        <f>MAX($C$284:$C$307)</f>
        <v>2280</v>
      </c>
      <c r="D265" s="5467">
        <f>INDEX($D$284:$D$307,MATCH(C265,$C$284:$C$307,0))</f>
        <v>0</v>
      </c>
      <c r="E265" s="5425">
        <f>C265-D265</f>
        <v>2280</v>
      </c>
      <c r="F265" s="5426">
        <f t="shared" ref="F265:F271" si="51">IF(E265&lt;0,E265*-1,E265)</f>
        <v>2280</v>
      </c>
      <c r="G265" s="5427">
        <f>IFERROR(F265/D265,0)</f>
        <v>0</v>
      </c>
      <c r="H265" s="5425" t="str">
        <f>IF(E265&lt;0,"SMANJENJE","POVEĆANJE")</f>
        <v>POVEĆANJE</v>
      </c>
      <c r="I265" s="5365"/>
      <c r="J265" s="5365"/>
      <c r="K265" s="5365"/>
      <c r="L265" s="5365"/>
      <c r="M265" s="5365"/>
      <c r="N265" s="5365"/>
      <c r="O265" s="5365"/>
      <c r="P265" s="5365"/>
    </row>
    <row r="266" ht="14.25" customHeight="1" spans="1:16">
      <c r="A266" s="5428" t="str">
        <f>IF(C266=0,"-","D_P2")</f>
        <v>-</v>
      </c>
      <c r="B266" s="5429" t="str">
        <f>INDEX($B$284:$B$307,MATCH(C266,$C$284:$C$307,0))</f>
        <v>Prilivi od kupaca (AOP 401)</v>
      </c>
      <c r="C266" s="5470">
        <f>LARGE($C$284:$C$307,2)</f>
        <v>0</v>
      </c>
      <c r="D266" s="5470">
        <f>INDEX($D$284:$D$307,MATCH(C266,$C$284:$C$307,0))</f>
        <v>0</v>
      </c>
      <c r="E266" s="5430">
        <f t="shared" ref="E266:E271" si="52">C266-D266</f>
        <v>0</v>
      </c>
      <c r="F266" s="5431">
        <f t="shared" si="51"/>
        <v>0</v>
      </c>
      <c r="G266" s="5432">
        <f>IFERROR(F266/D266,0)</f>
        <v>0</v>
      </c>
      <c r="H266" s="5430" t="str">
        <f t="shared" ref="H266:H271" si="53">IF(E266&lt;0,"SMANJENJE","POVEĆANJE")</f>
        <v>POVEĆANJE</v>
      </c>
      <c r="I266" s="5365"/>
      <c r="J266" s="5365"/>
      <c r="K266" s="5365"/>
      <c r="L266" s="5365"/>
      <c r="M266" s="5365"/>
      <c r="N266" s="5365"/>
      <c r="O266" s="5365"/>
      <c r="P266" s="5365"/>
    </row>
    <row r="267" spans="1:16">
      <c r="A267" s="5428" t="str">
        <f>IF(C267=0,"-","D_P3")</f>
        <v>-</v>
      </c>
      <c r="B267" s="5429" t="str">
        <f>INDEX($B$284:$B$307,MATCH(C267,$C$284:$C$307,0))</f>
        <v>Prilivi od kupaca (AOP 401)</v>
      </c>
      <c r="C267" s="5470">
        <f>LARGE($C$284:$C$307,3)</f>
        <v>0</v>
      </c>
      <c r="D267" s="5470">
        <f>INDEX($D$284:$D$307,MATCH(C267,$C$284:$C$307,0))</f>
        <v>0</v>
      </c>
      <c r="E267" s="5430">
        <f t="shared" si="52"/>
        <v>0</v>
      </c>
      <c r="F267" s="5431">
        <f t="shared" si="51"/>
        <v>0</v>
      </c>
      <c r="G267" s="5432">
        <f t="shared" ref="G267:G271" si="54">IFERROR(F267/D267,0)</f>
        <v>0</v>
      </c>
      <c r="H267" s="5430" t="str">
        <f t="shared" si="53"/>
        <v>POVEĆANJE</v>
      </c>
      <c r="I267" s="5365"/>
      <c r="J267" s="5365"/>
      <c r="K267" s="5365"/>
      <c r="L267" s="5365"/>
      <c r="M267" s="5365"/>
      <c r="N267" s="5365"/>
      <c r="O267" s="5365"/>
      <c r="P267" s="5365"/>
    </row>
    <row r="268" spans="1:16">
      <c r="A268" s="5428" t="str">
        <f>IF(C268=0,"-","D_P4")</f>
        <v>-</v>
      </c>
      <c r="B268" s="5429" t="str">
        <f>INDEX($B$284:$B$307,MATCH(C268,$C$284:$C$307,0))</f>
        <v>Prilivi od kupaca (AOP 401)</v>
      </c>
      <c r="C268" s="5470">
        <f>LARGE($C$284:$C$307,4)</f>
        <v>0</v>
      </c>
      <c r="D268" s="5470">
        <f>INDEX($D$284:$D$307,MATCH(C268,$C$284:$C$307,0))</f>
        <v>0</v>
      </c>
      <c r="E268" s="5430">
        <f t="shared" si="52"/>
        <v>0</v>
      </c>
      <c r="F268" s="5431">
        <f t="shared" si="51"/>
        <v>0</v>
      </c>
      <c r="G268" s="5432">
        <f t="shared" si="54"/>
        <v>0</v>
      </c>
      <c r="H268" s="5430" t="str">
        <f t="shared" si="53"/>
        <v>POVEĆANJE</v>
      </c>
      <c r="I268" s="5365"/>
      <c r="J268" s="5365"/>
      <c r="K268" s="5365"/>
      <c r="L268" s="5365"/>
      <c r="M268" s="5365"/>
      <c r="N268" s="5365"/>
      <c r="O268" s="5365"/>
      <c r="P268" s="5365"/>
    </row>
    <row r="269" spans="1:16">
      <c r="A269" s="5428" t="str">
        <f>IF(C269=0,"-","D_P5")</f>
        <v>-</v>
      </c>
      <c r="B269" s="5429" t="str">
        <f>INDEX($B$284:$B$307,MATCH(C269,$C$284:$C$307,0))</f>
        <v>Prilivi od kupaca (AOP 401)</v>
      </c>
      <c r="C269" s="5470">
        <f>LARGE($C$284:$C$307,5)</f>
        <v>0</v>
      </c>
      <c r="D269" s="5470">
        <f>INDEX($D$284:$D$307,MATCH(C269,$C$284:$C$307,0))</f>
        <v>0</v>
      </c>
      <c r="E269" s="5430">
        <f t="shared" si="52"/>
        <v>0</v>
      </c>
      <c r="F269" s="5431">
        <f t="shared" si="51"/>
        <v>0</v>
      </c>
      <c r="G269" s="5432">
        <f t="shared" si="54"/>
        <v>0</v>
      </c>
      <c r="H269" s="5430" t="str">
        <f t="shared" si="53"/>
        <v>POVEĆANJE</v>
      </c>
      <c r="I269" s="5365"/>
      <c r="J269" s="5365"/>
      <c r="K269" s="5365"/>
      <c r="L269" s="5365"/>
      <c r="M269" s="5365"/>
      <c r="N269" s="5365"/>
      <c r="O269" s="5365"/>
      <c r="P269" s="5365"/>
    </row>
    <row r="270" spans="1:16">
      <c r="A270" s="5458"/>
      <c r="B270" s="5429" t="s">
        <v>255</v>
      </c>
      <c r="C270" s="5470">
        <f>C271-SUM(C265:C269)</f>
        <v>0</v>
      </c>
      <c r="D270" s="5470">
        <f>D271-SUM(D265:D269)</f>
        <v>0</v>
      </c>
      <c r="E270" s="5430">
        <f t="shared" si="52"/>
        <v>0</v>
      </c>
      <c r="F270" s="5431">
        <f t="shared" si="51"/>
        <v>0</v>
      </c>
      <c r="G270" s="5432">
        <f t="shared" si="54"/>
        <v>0</v>
      </c>
      <c r="H270" s="5430" t="str">
        <f t="shared" si="53"/>
        <v>POVEĆANJE</v>
      </c>
      <c r="I270" s="5365"/>
      <c r="J270" s="5365"/>
      <c r="K270" s="5365"/>
      <c r="L270" s="5365"/>
      <c r="M270" s="5365"/>
      <c r="N270" s="5365"/>
      <c r="O270" s="5365"/>
      <c r="P270" s="5365"/>
    </row>
    <row r="271" spans="1:16">
      <c r="A271" s="5459"/>
      <c r="B271" s="5507" t="s">
        <v>256</v>
      </c>
      <c r="C271" s="5474">
        <f>SUM(C284:C307)</f>
        <v>2280</v>
      </c>
      <c r="D271" s="5474">
        <f>SUM(D284:D307)</f>
        <v>0</v>
      </c>
      <c r="E271" s="5436">
        <f t="shared" si="52"/>
        <v>2280</v>
      </c>
      <c r="F271" s="5463">
        <f t="shared" si="51"/>
        <v>2280</v>
      </c>
      <c r="G271" s="5475">
        <f t="shared" si="54"/>
        <v>0</v>
      </c>
      <c r="H271" s="5436" t="str">
        <f t="shared" si="53"/>
        <v>POVEĆANJE</v>
      </c>
      <c r="I271" s="5365"/>
      <c r="J271" s="5365"/>
      <c r="K271" s="5365"/>
      <c r="L271" s="5365"/>
      <c r="M271" s="5365"/>
      <c r="N271" s="5365"/>
      <c r="O271" s="5365"/>
      <c r="P271" s="5365"/>
    </row>
    <row r="272" ht="15" spans="1:16">
      <c r="A272" s="5417" t="s">
        <v>257</v>
      </c>
      <c r="B272" s="5365"/>
      <c r="C272" s="5394"/>
      <c r="D272" s="5394"/>
      <c r="E272" s="5365"/>
      <c r="F272" s="5365"/>
      <c r="G272" s="5365"/>
      <c r="H272" s="5365"/>
      <c r="I272" s="5365"/>
      <c r="J272" s="5365"/>
      <c r="K272" s="5365"/>
      <c r="L272" s="5365"/>
      <c r="M272" s="5365"/>
      <c r="N272" s="5365"/>
      <c r="O272" s="5365"/>
      <c r="P272" s="5365"/>
    </row>
    <row r="273" ht="17.25" customHeight="1" spans="1:16">
      <c r="A273" s="5420"/>
      <c r="B273" s="5420" t="s">
        <v>258</v>
      </c>
      <c r="C273" s="5421" t="s">
        <v>16</v>
      </c>
      <c r="D273" s="5421" t="s">
        <v>17</v>
      </c>
      <c r="E273" s="5422" t="s">
        <v>18</v>
      </c>
      <c r="F273" s="5422" t="s">
        <v>19</v>
      </c>
      <c r="G273" s="5422" t="s">
        <v>20</v>
      </c>
      <c r="H273" s="5422"/>
      <c r="I273" s="5365"/>
      <c r="J273" s="5365"/>
      <c r="K273" s="5365"/>
      <c r="L273" s="5365"/>
      <c r="M273" s="5365"/>
      <c r="N273" s="5365"/>
      <c r="O273" s="5365"/>
      <c r="P273" s="5365"/>
    </row>
    <row r="274" ht="14.25" customHeight="1" spans="1:16">
      <c r="A274" s="5428" t="str">
        <f>IF(C274=0,"-","D_O1")</f>
        <v>-</v>
      </c>
      <c r="B274" s="5424" t="str">
        <f>INDEX($B$309:$B$333,MATCH(C274,$C$309:$C$333,0))</f>
        <v>Odlivi po osnovu plaćanja zaposlenima (AOP 402)</v>
      </c>
      <c r="C274" s="5467">
        <f>MAX($C$309:$C$333)</f>
        <v>0</v>
      </c>
      <c r="D274" s="5467">
        <f>INDEX($D$309:$D$333,MATCH(C274,$C$309:$C$333,0))</f>
        <v>0</v>
      </c>
      <c r="E274" s="5425">
        <f>C274-D274</f>
        <v>0</v>
      </c>
      <c r="F274" s="5426">
        <f t="shared" ref="F274:F280" si="55">IF(E274&lt;0,E274*-1,E274)</f>
        <v>0</v>
      </c>
      <c r="G274" s="5427">
        <f t="shared" ref="G274:G280" si="56">IFERROR(F274/D274,0)</f>
        <v>0</v>
      </c>
      <c r="H274" s="5425" t="str">
        <f>IF(E274&lt;0,"SMANJENJE","POVEĆANJE")</f>
        <v>POVEĆANJE</v>
      </c>
      <c r="I274" s="5365"/>
      <c r="J274" s="5365"/>
      <c r="K274" s="5365"/>
      <c r="L274" s="5365"/>
      <c r="M274" s="5365"/>
      <c r="N274" s="5365"/>
      <c r="O274" s="5365"/>
      <c r="P274" s="5365"/>
    </row>
    <row r="275" ht="14.25" customHeight="1" spans="1:16">
      <c r="A275" s="5428" t="str">
        <f>IF(C275=0,"-","D_O2")</f>
        <v>-</v>
      </c>
      <c r="B275" s="5429" t="str">
        <f>INDEX($B$309:$B$333,MATCH(C275,$C$309:$C$333,0))</f>
        <v>Odlivi po osnovu plaćanja zaposlenima (AOP 402)</v>
      </c>
      <c r="C275" s="5470">
        <f>LARGE($C$309:$C$333,2)</f>
        <v>0</v>
      </c>
      <c r="D275" s="5470">
        <f>INDEX($D$309:$D$333,MATCH(C275,$C$309:$C$333,0))</f>
        <v>0</v>
      </c>
      <c r="E275" s="5430">
        <f t="shared" ref="E275:E280" si="57">C275-D275</f>
        <v>0</v>
      </c>
      <c r="F275" s="5431">
        <f t="shared" si="55"/>
        <v>0</v>
      </c>
      <c r="G275" s="5432">
        <f t="shared" si="56"/>
        <v>0</v>
      </c>
      <c r="H275" s="5430" t="str">
        <f t="shared" ref="H275:H280" si="58">IF(E275&lt;0,"SMANJENJE","POVEĆANJE")</f>
        <v>POVEĆANJE</v>
      </c>
      <c r="I275" s="5365"/>
      <c r="J275" s="5365"/>
      <c r="K275" s="5365"/>
      <c r="L275" s="5365"/>
      <c r="M275" s="5365"/>
      <c r="N275" s="5365"/>
      <c r="O275" s="5365"/>
      <c r="P275" s="5365"/>
    </row>
    <row r="276" spans="1:16">
      <c r="A276" s="5428" t="str">
        <f>IF(C276=0,"-","D_O3")</f>
        <v>-</v>
      </c>
      <c r="B276" s="5429" t="str">
        <f>INDEX($B$309:$B$333,MATCH(C276,$C$309:$C$333,0))</f>
        <v>Odlivi po osnovu plaćanja zaposlenima (AOP 402)</v>
      </c>
      <c r="C276" s="5470">
        <f>LARGE($C$309:$C$333,3)</f>
        <v>0</v>
      </c>
      <c r="D276" s="5470">
        <f>INDEX($D$309:$D$333,MATCH(C276,$C$309:$C$333,0))</f>
        <v>0</v>
      </c>
      <c r="E276" s="5430">
        <f t="shared" si="57"/>
        <v>0</v>
      </c>
      <c r="F276" s="5431">
        <f t="shared" si="55"/>
        <v>0</v>
      </c>
      <c r="G276" s="5432">
        <f t="shared" si="56"/>
        <v>0</v>
      </c>
      <c r="H276" s="5430" t="str">
        <f t="shared" si="58"/>
        <v>POVEĆANJE</v>
      </c>
      <c r="I276" s="5365"/>
      <c r="J276" s="5365"/>
      <c r="K276" s="5365"/>
      <c r="L276" s="5365"/>
      <c r="M276" s="5365"/>
      <c r="N276" s="5365"/>
      <c r="O276" s="5365"/>
      <c r="P276" s="5365"/>
    </row>
    <row r="277" spans="1:16">
      <c r="A277" s="5428" t="str">
        <f>IF(C277=0,"-","D_O4")</f>
        <v>-</v>
      </c>
      <c r="B277" s="5429" t="str">
        <f>INDEX($B$309:$B$333,MATCH(C277,$C$309:$C$333,0))</f>
        <v>Odlivi po osnovu plaćanja zaposlenima (AOP 402)</v>
      </c>
      <c r="C277" s="5470">
        <f>LARGE($C$309:$C$333,4)</f>
        <v>0</v>
      </c>
      <c r="D277" s="5470">
        <f>INDEX($D$309:$D$333,MATCH(C277,$C$309:$C$333,0))</f>
        <v>0</v>
      </c>
      <c r="E277" s="5430">
        <f t="shared" si="57"/>
        <v>0</v>
      </c>
      <c r="F277" s="5431">
        <f t="shared" si="55"/>
        <v>0</v>
      </c>
      <c r="G277" s="5432">
        <f t="shared" si="56"/>
        <v>0</v>
      </c>
      <c r="H277" s="5430" t="str">
        <f t="shared" si="58"/>
        <v>POVEĆANJE</v>
      </c>
      <c r="I277" s="5365"/>
      <c r="J277" s="5365"/>
      <c r="K277" s="5365"/>
      <c r="L277" s="5365"/>
      <c r="M277" s="5365"/>
      <c r="N277" s="5365"/>
      <c r="O277" s="5365"/>
      <c r="P277" s="5365"/>
    </row>
    <row r="278" spans="1:16">
      <c r="A278" s="5428" t="str">
        <f>IF(C278=0,"-","D_O5")</f>
        <v>-</v>
      </c>
      <c r="B278" s="5429" t="str">
        <f>INDEX($B$309:$B$333,MATCH(C278,$C$309:$C$333,0))</f>
        <v>Odlivi po osnovu plaćanja zaposlenima (AOP 402)</v>
      </c>
      <c r="C278" s="5470">
        <f>LARGE($C$309:$C$333,5)</f>
        <v>0</v>
      </c>
      <c r="D278" s="5470">
        <f>INDEX($D$309:$D$333,MATCH(C278,$C$309:$C$333,0))</f>
        <v>0</v>
      </c>
      <c r="E278" s="5430">
        <f t="shared" si="57"/>
        <v>0</v>
      </c>
      <c r="F278" s="5431">
        <f t="shared" si="55"/>
        <v>0</v>
      </c>
      <c r="G278" s="5432">
        <f t="shared" si="56"/>
        <v>0</v>
      </c>
      <c r="H278" s="5430" t="str">
        <f t="shared" si="58"/>
        <v>POVEĆANJE</v>
      </c>
      <c r="I278" s="5365"/>
      <c r="J278" s="5365"/>
      <c r="K278" s="5365"/>
      <c r="L278" s="5365"/>
      <c r="M278" s="5365"/>
      <c r="N278" s="5365"/>
      <c r="O278" s="5365"/>
      <c r="P278" s="5365"/>
    </row>
    <row r="279" spans="1:16">
      <c r="A279" s="5458"/>
      <c r="B279" s="5429" t="s">
        <v>262</v>
      </c>
      <c r="C279" s="5470">
        <f>C280-SUM(C274:C278)</f>
        <v>0</v>
      </c>
      <c r="D279" s="5470">
        <f>D280-SUM(D274:D278)</f>
        <v>0</v>
      </c>
      <c r="E279" s="5430">
        <f t="shared" si="57"/>
        <v>0</v>
      </c>
      <c r="F279" s="5431">
        <f t="shared" si="55"/>
        <v>0</v>
      </c>
      <c r="G279" s="5432">
        <f t="shared" si="56"/>
        <v>0</v>
      </c>
      <c r="H279" s="5430" t="str">
        <f t="shared" si="58"/>
        <v>POVEĆANJE</v>
      </c>
      <c r="I279" s="5365"/>
      <c r="J279" s="5365"/>
      <c r="K279" s="5365"/>
      <c r="L279" s="5365"/>
      <c r="M279" s="5365"/>
      <c r="N279" s="5365"/>
      <c r="O279" s="5365"/>
      <c r="P279" s="5365"/>
    </row>
    <row r="280" spans="1:16">
      <c r="A280" s="5459"/>
      <c r="B280" s="5507" t="s">
        <v>263</v>
      </c>
      <c r="C280" s="5474">
        <f>SUM(C309:C333)</f>
        <v>0</v>
      </c>
      <c r="D280" s="5474">
        <f>SUM(D309:D333)</f>
        <v>0</v>
      </c>
      <c r="E280" s="5436">
        <f t="shared" si="57"/>
        <v>0</v>
      </c>
      <c r="F280" s="5463">
        <f t="shared" si="55"/>
        <v>0</v>
      </c>
      <c r="G280" s="5475">
        <f t="shared" si="56"/>
        <v>0</v>
      </c>
      <c r="H280" s="5436" t="str">
        <f t="shared" si="58"/>
        <v>POVEĆANJE</v>
      </c>
      <c r="I280" s="5365"/>
      <c r="J280" s="5365"/>
      <c r="K280" s="5365"/>
      <c r="L280" s="5365"/>
      <c r="M280" s="5365"/>
      <c r="N280" s="5365"/>
      <c r="O280" s="5365"/>
      <c r="P280" s="5365"/>
    </row>
    <row r="281" spans="1:16">
      <c r="A281" s="5365"/>
      <c r="B281" s="5365"/>
      <c r="C281" s="5394"/>
      <c r="D281" s="5394"/>
      <c r="E281" s="5365"/>
      <c r="F281" s="5365"/>
      <c r="G281" s="5365"/>
      <c r="H281" s="5365"/>
      <c r="I281" s="5365"/>
      <c r="J281" s="5365"/>
      <c r="K281" s="5365"/>
      <c r="L281" s="5365"/>
      <c r="M281" s="5365"/>
      <c r="N281" s="5365"/>
      <c r="O281" s="5365"/>
      <c r="P281" s="5365"/>
    </row>
    <row r="282" spans="1:16">
      <c r="A282" s="5365"/>
      <c r="B282" s="5365"/>
      <c r="C282" s="5394"/>
      <c r="D282" s="5394"/>
      <c r="E282" s="5365"/>
      <c r="F282" s="5365"/>
      <c r="G282" s="5365"/>
      <c r="H282" s="5365"/>
      <c r="I282" s="5365"/>
      <c r="J282" s="5365"/>
      <c r="K282" s="5365"/>
      <c r="L282" s="5365"/>
      <c r="M282" s="5365"/>
      <c r="N282" s="5365"/>
      <c r="O282" s="5365"/>
      <c r="P282" s="5365"/>
    </row>
    <row r="283" s="5364" customFormat="1" ht="18" customHeight="1" spans="1:16">
      <c r="A283" s="5420"/>
      <c r="B283" s="5513" t="s">
        <v>2417</v>
      </c>
      <c r="C283" s="5421" t="s">
        <v>16</v>
      </c>
      <c r="D283" s="5421" t="s">
        <v>17</v>
      </c>
      <c r="E283" s="5421" t="s">
        <v>25</v>
      </c>
      <c r="F283" s="5365"/>
      <c r="G283" s="5365"/>
      <c r="H283" s="5365"/>
      <c r="I283" s="5365"/>
      <c r="J283" s="5365"/>
      <c r="K283" s="5365"/>
      <c r="L283" s="5365"/>
      <c r="M283" s="5365"/>
      <c r="N283" s="5365"/>
      <c r="O283" s="5365"/>
      <c r="P283" s="5365"/>
    </row>
    <row r="284" ht="15" spans="1:16">
      <c r="A284" s="5248" t="str">
        <f>GotTok_Direkt!AC21</f>
        <v>( + )</v>
      </c>
      <c r="B284" s="5514" t="str">
        <f>GotTok_Direkt!D21&amp;" (AOP "&amp;GotTok_Direkt!AF21&amp;GotTok_Direkt!AG21&amp;GotTok_Direkt!AH21&amp;")"</f>
        <v>Prilivi od kupaca (AOP 401)</v>
      </c>
      <c r="C284" s="5515">
        <f>GotTok_Direkt!AI21</f>
        <v>0</v>
      </c>
      <c r="D284" s="5515">
        <f>GotTok_Direkt!AP21</f>
        <v>0</v>
      </c>
      <c r="E284" s="5248" t="str">
        <f>IF(C284=0,"-",IFERROR(INDEX($A$265:$A$267,MATCH(C284,$C$265:$C$267,0)),"-"))</f>
        <v>-</v>
      </c>
      <c r="F284" s="5365"/>
      <c r="G284" s="5365"/>
      <c r="H284" s="5365"/>
      <c r="I284" s="5365"/>
      <c r="J284" s="5365"/>
      <c r="K284" s="5365"/>
      <c r="L284" s="5365"/>
      <c r="M284" s="5365"/>
      <c r="N284" s="5365"/>
      <c r="O284" s="5365"/>
      <c r="P284" s="5365"/>
    </row>
    <row r="285" ht="15" spans="1:16">
      <c r="A285" s="5248" t="str">
        <f>GotTok_Direkt!AC26</f>
        <v>( + )</v>
      </c>
      <c r="B285" s="5514" t="str">
        <f>GotTok_Direkt!D26&amp;" (AOP "&amp;GotTok_Direkt!AF26&amp;GotTok_Direkt!AG26&amp;GotTok_Direkt!AH26&amp;")"</f>
        <v>Ostali prilivi iz poslovnih aktivnosti (AOP 406)</v>
      </c>
      <c r="C285" s="5515">
        <f>GotTok_Direkt!AI26</f>
        <v>0</v>
      </c>
      <c r="D285" s="5515">
        <f>GotTok_Direkt!AP26</f>
        <v>0</v>
      </c>
      <c r="E285" s="5248" t="str">
        <f t="shared" ref="E285:E288" si="59">IF(C285=0,"-",IFERROR(INDEX($A$265:$A$267,MATCH(C285,$C$265:$C$267,0)),"-"))</f>
        <v>-</v>
      </c>
      <c r="F285" s="5365"/>
      <c r="G285" s="5365"/>
      <c r="H285" s="5365"/>
      <c r="I285" s="5365"/>
      <c r="J285" s="5365"/>
      <c r="K285" s="5365"/>
      <c r="L285" s="5365"/>
      <c r="M285" s="5365"/>
      <c r="N285" s="5365"/>
      <c r="O285" s="5365"/>
      <c r="P285" s="5365"/>
    </row>
    <row r="286" ht="15" spans="1:16">
      <c r="A286" s="5248" t="str">
        <f>GotTok_Direkt!AC31</f>
        <v>( + )</v>
      </c>
      <c r="B286" s="5514" t="str">
        <f>GotTok_Direkt!D31&amp;" (AOP "&amp;GotTok_Direkt!AF31&amp;GotTok_Direkt!AG31&amp;GotTok_Direkt!AH31&amp;")"</f>
        <v>Prilivi po osnovu prodaje nekretnina, postrojenja i opreme (AOP 410)</v>
      </c>
      <c r="C286" s="5515">
        <f>GotTok_Direkt!AI31</f>
        <v>0</v>
      </c>
      <c r="D286" s="5515">
        <f>GotTok_Direkt!AP31</f>
        <v>0</v>
      </c>
      <c r="E286" s="5248" t="str">
        <f t="shared" si="59"/>
        <v>-</v>
      </c>
      <c r="F286" s="5365"/>
      <c r="G286" s="5365"/>
      <c r="H286" s="5365"/>
      <c r="I286" s="5365"/>
      <c r="J286" s="5365"/>
      <c r="K286" s="5365"/>
      <c r="L286" s="5365"/>
      <c r="M286" s="5365"/>
      <c r="N286" s="5365"/>
      <c r="O286" s="5365"/>
      <c r="P286" s="5365"/>
    </row>
    <row r="287" ht="15" spans="1:16">
      <c r="A287" s="5248" t="str">
        <f>GotTok_Direkt!AC33</f>
        <v>( + )</v>
      </c>
      <c r="B287" s="5514" t="str">
        <f>GotTok_Direkt!D33&amp;" (AOP "&amp;GotTok_Direkt!AF33&amp;GotTok_Direkt!AG33&amp;GotTok_Direkt!AH33&amp;")"</f>
        <v>Prilivi po osnovu prodaje investicijskih nekretnina (AOP 412)</v>
      </c>
      <c r="C287" s="5515">
        <f>GotTok_Direkt!AI33</f>
        <v>0</v>
      </c>
      <c r="D287" s="5515">
        <f>GotTok_Direkt!AP33</f>
        <v>0</v>
      </c>
      <c r="E287" s="5248" t="str">
        <f t="shared" si="59"/>
        <v>-</v>
      </c>
      <c r="F287" s="5365"/>
      <c r="G287" s="5365"/>
      <c r="H287" s="5365"/>
      <c r="I287" s="5365"/>
      <c r="J287" s="5365"/>
      <c r="K287" s="5365"/>
      <c r="L287" s="5365"/>
      <c r="M287" s="5365"/>
      <c r="N287" s="5365"/>
      <c r="O287" s="5365"/>
      <c r="P287" s="5365"/>
    </row>
    <row r="288" ht="15" spans="1:16">
      <c r="A288" s="5248" t="str">
        <f>GotTok_Direkt!AC35</f>
        <v>( + )</v>
      </c>
      <c r="B288" s="5514" t="str">
        <f>GotTok_Direkt!D35&amp;" (AOP "&amp;GotTok_Direkt!AF35&amp;GotTok_Direkt!AG35&amp;GotTok_Direkt!AH35&amp;")"</f>
        <v>Prilivi po osnovu prodaje nematerijalne imovine (AOP 414)</v>
      </c>
      <c r="C288" s="5515">
        <f>GotTok_Direkt!AI35</f>
        <v>0</v>
      </c>
      <c r="D288" s="5515">
        <f>GotTok_Direkt!AP35</f>
        <v>0</v>
      </c>
      <c r="E288" s="5248" t="str">
        <f t="shared" si="59"/>
        <v>-</v>
      </c>
      <c r="F288" s="5365"/>
      <c r="G288" s="5365"/>
      <c r="H288" s="5365"/>
      <c r="I288" s="5365"/>
      <c r="J288" s="5365"/>
      <c r="K288" s="5365"/>
      <c r="L288" s="5365"/>
      <c r="M288" s="5365"/>
      <c r="N288" s="5365"/>
      <c r="O288" s="5365"/>
      <c r="P288" s="5365"/>
    </row>
    <row r="289" ht="15" spans="1:16">
      <c r="A289" s="5248" t="str">
        <f>GotTok_Direkt!AC40</f>
        <v>( + )</v>
      </c>
      <c r="B289" s="5514" t="str">
        <f>GotTok_Direkt!D40&amp;" (AOP "&amp;GotTok_Direkt!AF40&amp;GotTok_Direkt!AG40&amp;GotTok_Direkt!AH40&amp;")"</f>
        <v>Prilivi po osnovu prodaje biološke imovine (AOP 416)</v>
      </c>
      <c r="C289" s="5515">
        <f>GotTok_Direkt!AI40</f>
        <v>0</v>
      </c>
      <c r="D289" s="5515">
        <f>GotTok_Direkt!AP40</f>
        <v>0</v>
      </c>
      <c r="E289" s="5248" t="str">
        <f t="shared" ref="E289:E291" si="60">IF(C289=0,"-",IFERROR(INDEX($A$265:$A$267,MATCH(C289,$C$265:$C$267,0)),"-"))</f>
        <v>-</v>
      </c>
      <c r="F289" s="5365"/>
      <c r="G289" s="5365"/>
      <c r="H289" s="5365"/>
      <c r="I289" s="5365"/>
      <c r="J289" s="5365"/>
      <c r="K289" s="5365"/>
      <c r="L289" s="5365"/>
      <c r="M289" s="5365"/>
      <c r="N289" s="5365"/>
      <c r="O289" s="5365"/>
      <c r="P289" s="5365"/>
    </row>
    <row r="290" ht="15" spans="1:16">
      <c r="A290" s="5248" t="str">
        <f>GotTok_Direkt!AC41</f>
        <v>( + )</v>
      </c>
      <c r="B290" s="5514" t="str">
        <f>GotTok_Direkt!D41&amp;" (AOP "&amp;GotTok_Direkt!AF41&amp;GotTok_Direkt!AG41&amp;GotTok_Direkt!AH41&amp;")"</f>
        <v>Prilivi po osnovu prodaje dugoročne imovine namijenjene prodaji (AOP 417)</v>
      </c>
      <c r="C290" s="5515">
        <f>GotTok_Direkt!AI41</f>
        <v>0</v>
      </c>
      <c r="D290" s="5515">
        <f>GotTok_Direkt!AP41</f>
        <v>0</v>
      </c>
      <c r="E290" s="5248" t="str">
        <f t="shared" si="60"/>
        <v>-</v>
      </c>
      <c r="F290" s="5365"/>
      <c r="G290" s="5365"/>
      <c r="H290" s="5365"/>
      <c r="I290" s="5365"/>
      <c r="J290" s="5365"/>
      <c r="K290" s="5365"/>
      <c r="L290" s="5365"/>
      <c r="M290" s="5365"/>
      <c r="N290" s="5365"/>
      <c r="O290" s="5365"/>
      <c r="P290" s="5365"/>
    </row>
    <row r="291" ht="15" spans="1:16">
      <c r="A291" s="5248" t="str">
        <f>GotTok_Direkt!AC43</f>
        <v>( + )</v>
      </c>
      <c r="B291" s="5514" t="str">
        <f>GotTok_Direkt!D43&amp;" (AOP "&amp;GotTok_Direkt!AF43&amp;GotTok_Direkt!AG43&amp;GotTok_Direkt!AH43&amp;")"</f>
        <v>Prilivi od finansijske imovine po fer vrijednosti kroz ostali ukupni rezultat (AOP 419)</v>
      </c>
      <c r="C291" s="5515">
        <f>GotTok_Direkt!AI43</f>
        <v>0</v>
      </c>
      <c r="D291" s="5515">
        <f>GotTok_Direkt!AP43</f>
        <v>0</v>
      </c>
      <c r="E291" s="5248" t="str">
        <f t="shared" si="60"/>
        <v>-</v>
      </c>
      <c r="F291" s="5365"/>
      <c r="G291" s="5365"/>
      <c r="H291" s="5365"/>
      <c r="I291" s="5365"/>
      <c r="J291" s="5365"/>
      <c r="K291" s="5365"/>
      <c r="L291" s="5365"/>
      <c r="M291" s="5365"/>
      <c r="N291" s="5365"/>
      <c r="O291" s="5365"/>
      <c r="P291" s="5365"/>
    </row>
    <row r="292" ht="15" spans="1:16">
      <c r="A292" s="5248" t="str">
        <f>GotTok_Direkt!AC45</f>
        <v>( + )</v>
      </c>
      <c r="B292" s="5514" t="str">
        <f>GotTok_Direkt!D45&amp;" (AOP "&amp;GotTok_Direkt!AF45&amp;GotTok_Direkt!AG45&amp;GotTok_Direkt!AH45&amp;")"</f>
        <v>Prilivi od finansijske imovine po fer vrijednosti kroz bilans uspjeha (AOP 421)</v>
      </c>
      <c r="C292" s="5515">
        <f>GotTok_Direkt!AI45</f>
        <v>0</v>
      </c>
      <c r="D292" s="5515">
        <f>GotTok_Direkt!AP45</f>
        <v>0</v>
      </c>
      <c r="E292" s="5248" t="str">
        <f t="shared" ref="E292:E303" si="61">IF(C292=0,"-",IFERROR(INDEX($A$265:$A$267,MATCH(C292,$C$265:$C$267,0)),"-"))</f>
        <v>-</v>
      </c>
      <c r="F292" s="5365"/>
      <c r="G292" s="5365"/>
      <c r="H292" s="5365"/>
      <c r="I292" s="5365"/>
      <c r="J292" s="5365"/>
      <c r="K292" s="5365"/>
      <c r="L292" s="5365"/>
      <c r="M292" s="5365"/>
      <c r="N292" s="5365"/>
      <c r="O292" s="5365"/>
      <c r="P292" s="5365"/>
    </row>
    <row r="293" ht="15" spans="1:16">
      <c r="A293" s="5248" t="str">
        <f>GotTok_Direkt!AC47</f>
        <v>( + )</v>
      </c>
      <c r="B293" s="5514" t="str">
        <f>GotTok_Direkt!D47&amp;" (AOP "&amp;GotTok_Direkt!AF47&amp;GotTok_Direkt!AG47&amp;GotTok_Direkt!AH47&amp;")"</f>
        <v>Prilivi od ostale finansijske imovine po amortizovanom trošku (AOP 423)</v>
      </c>
      <c r="C293" s="5515">
        <f>GotTok_Direkt!AI47</f>
        <v>0</v>
      </c>
      <c r="D293" s="5515">
        <f>GotTok_Direkt!AP47</f>
        <v>0</v>
      </c>
      <c r="E293" s="5248" t="str">
        <f t="shared" si="61"/>
        <v>-</v>
      </c>
      <c r="F293" s="5365"/>
      <c r="G293" s="5365"/>
      <c r="H293" s="5365"/>
      <c r="I293" s="5365"/>
      <c r="J293" s="5365"/>
      <c r="K293" s="5365"/>
      <c r="L293" s="5365"/>
      <c r="M293" s="5365"/>
      <c r="N293" s="5365"/>
      <c r="O293" s="5365"/>
      <c r="P293" s="5365"/>
    </row>
    <row r="294" ht="15" spans="1:16">
      <c r="A294" s="5248" t="str">
        <f>GotTok_Direkt!AC48</f>
        <v>( + )</v>
      </c>
      <c r="B294" s="5514" t="str">
        <f>GotTok_Direkt!D48&amp;" (AOP "&amp;GotTok_Direkt!AF48&amp;GotTok_Direkt!AG48&amp;GotTok_Direkt!AH48&amp;")"</f>
        <v>Primljena kamata i prihod od finansijskog najma (AOP 424)</v>
      </c>
      <c r="C294" s="5515">
        <f>GotTok_Direkt!AI48</f>
        <v>0</v>
      </c>
      <c r="D294" s="5515">
        <f>GotTok_Direkt!AP48</f>
        <v>0</v>
      </c>
      <c r="E294" s="5248" t="str">
        <f t="shared" si="61"/>
        <v>-</v>
      </c>
      <c r="F294" s="5365"/>
      <c r="G294" s="5365"/>
      <c r="H294" s="5365"/>
      <c r="I294" s="5365"/>
      <c r="J294" s="5365"/>
      <c r="K294" s="5365"/>
      <c r="L294" s="5365"/>
      <c r="M294" s="5365"/>
      <c r="N294" s="5365"/>
      <c r="O294" s="5365"/>
      <c r="P294" s="5365"/>
    </row>
    <row r="295" ht="15" spans="1:16">
      <c r="A295" s="5248" t="str">
        <f>GotTok_Direkt!AC49</f>
        <v>( + )</v>
      </c>
      <c r="B295" s="5514" t="str">
        <f>GotTok_Direkt!D49&amp;" (AOP "&amp;GotTok_Direkt!AF49&amp;GotTok_Direkt!AG49&amp;GotTok_Direkt!AH49&amp;")"</f>
        <v>Naplaćena potraživanja od finansijskog najma (AOP 425)</v>
      </c>
      <c r="C295" s="5515">
        <f>GotTok_Direkt!AI49</f>
        <v>0</v>
      </c>
      <c r="D295" s="5515">
        <f>GotTok_Direkt!AP49</f>
        <v>0</v>
      </c>
      <c r="E295" s="5248" t="str">
        <f t="shared" si="61"/>
        <v>-</v>
      </c>
      <c r="F295" s="5365"/>
      <c r="G295" s="5365"/>
      <c r="H295" s="5365"/>
      <c r="I295" s="5365"/>
      <c r="J295" s="5365"/>
      <c r="K295" s="5365"/>
      <c r="L295" s="5365"/>
      <c r="M295" s="5365"/>
      <c r="N295" s="5365"/>
      <c r="O295" s="5365"/>
      <c r="P295" s="5365"/>
    </row>
    <row r="296" ht="15" spans="1:16">
      <c r="A296" s="5248" t="str">
        <f>GotTok_Direkt!AC50</f>
        <v>( + )</v>
      </c>
      <c r="B296" s="5514" t="str">
        <f>GotTok_Direkt!D50&amp;" (AOP "&amp;GotTok_Direkt!AF50&amp;GotTok_Direkt!AG50&amp;GotTok_Direkt!AH50&amp;")"</f>
        <v>Naplaćena potraživanja od finansijskog podnajma (AOP 426)</v>
      </c>
      <c r="C296" s="5515">
        <f>GotTok_Direkt!AI50</f>
        <v>0</v>
      </c>
      <c r="D296" s="5515">
        <f>GotTok_Direkt!AP50</f>
        <v>0</v>
      </c>
      <c r="E296" s="5248" t="str">
        <f t="shared" si="61"/>
        <v>-</v>
      </c>
      <c r="F296" s="5365"/>
      <c r="G296" s="5365"/>
      <c r="H296" s="5365"/>
      <c r="I296" s="5365"/>
      <c r="J296" s="5365"/>
      <c r="K296" s="5365"/>
      <c r="L296" s="5365"/>
      <c r="M296" s="5365"/>
      <c r="N296" s="5365"/>
      <c r="O296" s="5365"/>
      <c r="P296" s="5365"/>
    </row>
    <row r="297" ht="15" spans="1:16">
      <c r="A297" s="5248" t="str">
        <f>GotTok_Direkt!AC52</f>
        <v>( + )</v>
      </c>
      <c r="B297" s="5514" t="str">
        <f>GotTok_Direkt!D52&amp;" (AOP "&amp;GotTok_Direkt!AF52&amp;GotTok_Direkt!AG52&amp;GotTok_Direkt!AH52&amp;")"</f>
        <v>Prilivi od otuđenja udjela u zavisnim društvima (AOP 428)</v>
      </c>
      <c r="C297" s="5515">
        <f>GotTok_Direkt!AI52</f>
        <v>0</v>
      </c>
      <c r="D297" s="5515">
        <f>GotTok_Direkt!AP52</f>
        <v>0</v>
      </c>
      <c r="E297" s="5248" t="str">
        <f t="shared" si="61"/>
        <v>-</v>
      </c>
      <c r="F297" s="5365"/>
      <c r="G297" s="5365"/>
      <c r="H297" s="5365"/>
      <c r="I297" s="5365"/>
      <c r="J297" s="5365"/>
      <c r="K297" s="5365"/>
      <c r="L297" s="5365"/>
      <c r="M297" s="5365"/>
      <c r="N297" s="5365"/>
      <c r="O297" s="5365"/>
      <c r="P297" s="5365"/>
    </row>
    <row r="298" ht="15" spans="1:16">
      <c r="A298" s="5248" t="str">
        <f>GotTok_Direkt!AC54</f>
        <v>( + )</v>
      </c>
      <c r="B298" s="5514" t="str">
        <f>GotTok_Direkt!D54&amp;" (AOP "&amp;GotTok_Direkt!AF54&amp;GotTok_Direkt!AG54&amp;GotTok_Direkt!AH54&amp;")"</f>
        <v>Prilivi od otuđenja udjela u pridruženim društvima (AOP 430)</v>
      </c>
      <c r="C298" s="5515">
        <f>GotTok_Direkt!AI54</f>
        <v>0</v>
      </c>
      <c r="D298" s="5515">
        <f>GotTok_Direkt!AP54</f>
        <v>0</v>
      </c>
      <c r="E298" s="5248" t="str">
        <f t="shared" si="61"/>
        <v>-</v>
      </c>
      <c r="F298" s="5365"/>
      <c r="G298" s="5365"/>
      <c r="H298" s="5365"/>
      <c r="I298" s="5365"/>
      <c r="J298" s="5365"/>
      <c r="K298" s="5365"/>
      <c r="L298" s="5365"/>
      <c r="M298" s="5365"/>
      <c r="N298" s="5365"/>
      <c r="O298" s="5365"/>
      <c r="P298" s="5365"/>
    </row>
    <row r="299" ht="15" spans="1:16">
      <c r="A299" s="5248" t="str">
        <f>GotTok_Direkt!AC56</f>
        <v>( + )</v>
      </c>
      <c r="B299" s="5514" t="str">
        <f>GotTok_Direkt!D56&amp;" (AOP "&amp;GotTok_Direkt!AF56&amp;GotTok_Direkt!AG56&amp;GotTok_Direkt!AH56&amp;")"</f>
        <v>Prilivi od otuđenja udjela u zajedničkim poduhvatima (AOP 432)</v>
      </c>
      <c r="C299" s="5515">
        <f>GotTok_Direkt!AI56</f>
        <v>0</v>
      </c>
      <c r="D299" s="5515">
        <f>GotTok_Direkt!AP56</f>
        <v>0</v>
      </c>
      <c r="E299" s="5248" t="str">
        <f t="shared" si="61"/>
        <v>-</v>
      </c>
      <c r="F299" s="5365"/>
      <c r="G299" s="5365"/>
      <c r="H299" s="5365"/>
      <c r="I299" s="5365"/>
      <c r="J299" s="5365"/>
      <c r="K299" s="5365"/>
      <c r="L299" s="5365"/>
      <c r="M299" s="5365"/>
      <c r="N299" s="5365"/>
      <c r="O299" s="5365"/>
      <c r="P299" s="5365"/>
    </row>
    <row r="300" ht="15" spans="1:16">
      <c r="A300" s="5248" t="str">
        <f>GotTok_Direkt!AC57</f>
        <v>( + )</v>
      </c>
      <c r="B300" s="5514" t="str">
        <f>GotTok_Direkt!D57&amp;" (AOP "&amp;GotTok_Direkt!AF57&amp;GotTok_Direkt!AG57&amp;GotTok_Direkt!AH57&amp;")"</f>
        <v>Primljene dividende (AOP 433)</v>
      </c>
      <c r="C300" s="5515">
        <f>GotTok_Direkt!AI57</f>
        <v>0</v>
      </c>
      <c r="D300" s="5515">
        <f>GotTok_Direkt!AP57</f>
        <v>0</v>
      </c>
      <c r="E300" s="5248" t="str">
        <f t="shared" si="61"/>
        <v>-</v>
      </c>
      <c r="F300" s="5365"/>
      <c r="G300" s="5365"/>
      <c r="H300" s="5365"/>
      <c r="I300" s="5365"/>
      <c r="J300" s="5365"/>
      <c r="K300" s="5365"/>
      <c r="L300" s="5365"/>
      <c r="M300" s="5365"/>
      <c r="N300" s="5365"/>
      <c r="O300" s="5365"/>
      <c r="P300" s="5365"/>
    </row>
    <row r="301" ht="15" spans="1:16">
      <c r="A301" s="5248" t="str">
        <f>GotTok_Direkt!AC58</f>
        <v>( + )</v>
      </c>
      <c r="B301" s="5514" t="str">
        <f>GotTok_Direkt!D58&amp;" (AOP "&amp;GotTok_Direkt!AF58&amp;GotTok_Direkt!AG58&amp;GotTok_Direkt!AH58&amp;")"</f>
        <v>Prilivi po osnovu trgovanja derivatnim finansijskim instrumentima (AOP 434)</v>
      </c>
      <c r="C301" s="5515">
        <f>GotTok_Direkt!AI58</f>
        <v>0</v>
      </c>
      <c r="D301" s="5515">
        <f>GotTok_Direkt!AP58</f>
        <v>0</v>
      </c>
      <c r="E301" s="5248" t="str">
        <f t="shared" si="61"/>
        <v>-</v>
      </c>
      <c r="F301" s="5365"/>
      <c r="G301" s="5365"/>
      <c r="H301" s="5365"/>
      <c r="I301" s="5365"/>
      <c r="J301" s="5365"/>
      <c r="K301" s="5365"/>
      <c r="L301" s="5365"/>
      <c r="M301" s="5365"/>
      <c r="N301" s="5365"/>
      <c r="O301" s="5365"/>
      <c r="P301" s="5365"/>
    </row>
    <row r="302" ht="15" spans="1:16">
      <c r="A302" s="5248" t="str">
        <f>GotTok_Direkt!AC60</f>
        <v>( + )</v>
      </c>
      <c r="B302" s="5514" t="str">
        <f>GotTok_Direkt!D60&amp;" (AOP "&amp;GotTok_Direkt!AF60&amp;GotTok_Direkt!AG60&amp;GotTok_Direkt!AH60&amp;")"</f>
        <v>Ostali prilivi iz ulagačkih aktivnosti (AOP 436)</v>
      </c>
      <c r="C302" s="5515">
        <f>GotTok_Direkt!AI60</f>
        <v>0</v>
      </c>
      <c r="D302" s="5515">
        <f>GotTok_Direkt!AP60</f>
        <v>0</v>
      </c>
      <c r="E302" s="5248" t="str">
        <f t="shared" si="61"/>
        <v>-</v>
      </c>
      <c r="F302" s="5365"/>
      <c r="G302" s="5365"/>
      <c r="H302" s="5365"/>
      <c r="I302" s="5365"/>
      <c r="J302" s="5365"/>
      <c r="K302" s="5365"/>
      <c r="L302" s="5365"/>
      <c r="M302" s="5365"/>
      <c r="N302" s="5365"/>
      <c r="O302" s="5365"/>
      <c r="P302" s="5365"/>
    </row>
    <row r="303" ht="15" spans="1:16">
      <c r="A303" s="5248" t="str">
        <f>GotTok_Direkt!AC64</f>
        <v>( + )</v>
      </c>
      <c r="B303" s="5514" t="str">
        <f>GotTok_Direkt!D64&amp;" (AOP "&amp;GotTok_Direkt!AF64&amp;GotTok_Direkt!AG64&amp;GotTok_Direkt!AH64&amp;")"</f>
        <v>Prilivi od emisije dionica / uplaćeni vlasnički kapital (AOP 439)</v>
      </c>
      <c r="C303" s="5515">
        <f>GotTok_Direkt!AI64</f>
        <v>0</v>
      </c>
      <c r="D303" s="5515">
        <f>GotTok_Direkt!AP64</f>
        <v>0</v>
      </c>
      <c r="E303" s="5248" t="str">
        <f t="shared" si="61"/>
        <v>-</v>
      </c>
      <c r="F303" s="5365"/>
      <c r="G303" s="5365"/>
      <c r="H303" s="5365"/>
      <c r="I303" s="5365"/>
      <c r="J303" s="5365"/>
      <c r="K303" s="5365"/>
      <c r="L303" s="5365"/>
      <c r="M303" s="5365"/>
      <c r="N303" s="5365"/>
      <c r="O303" s="5365"/>
      <c r="P303" s="5365"/>
    </row>
    <row r="304" ht="15" spans="1:16">
      <c r="A304" s="5248" t="str">
        <f>GotTok_Direkt!AC66</f>
        <v>( + )</v>
      </c>
      <c r="B304" s="5514" t="str">
        <f>GotTok_Direkt!D66&amp;" (AOP "&amp;GotTok_Direkt!AF66&amp;GotTok_Direkt!AG66&amp;GotTok_Direkt!AH66&amp;")"</f>
        <v>Prilivi od prodaje stečenih vlastitih dionica (AOP 441)</v>
      </c>
      <c r="C304" s="5515">
        <f>GotTok_Direkt!AI66</f>
        <v>0</v>
      </c>
      <c r="D304" s="5515">
        <f>GotTok_Direkt!AP66</f>
        <v>0</v>
      </c>
      <c r="E304" s="5248" t="str">
        <f t="shared" ref="E304:E305" si="62">IF(C304=0,"-",IFERROR(INDEX($A$265:$A$267,MATCH(C304,$C$265:$C$267,0)),"-"))</f>
        <v>-</v>
      </c>
      <c r="F304" s="5365"/>
      <c r="G304" s="5365"/>
      <c r="H304" s="5365"/>
      <c r="I304" s="5365"/>
      <c r="J304" s="5365"/>
      <c r="K304" s="5365"/>
      <c r="L304" s="5365"/>
      <c r="M304" s="5365"/>
      <c r="N304" s="5365"/>
      <c r="O304" s="5365"/>
      <c r="P304" s="5365"/>
    </row>
    <row r="305" ht="15" spans="1:16">
      <c r="A305" s="5248" t="str">
        <f>GotTok_Direkt!AC68</f>
        <v>( + )</v>
      </c>
      <c r="B305" s="5514" t="str">
        <f>GotTok_Direkt!D68&amp;" (AOP "&amp;GotTok_Direkt!AF68&amp;GotTok_Direkt!AG68&amp;GotTok_Direkt!AH68&amp;")"</f>
        <v>Prilivi od uzetih kredita (AOP 443)</v>
      </c>
      <c r="C305" s="5515">
        <f>GotTok_Direkt!AI68</f>
        <v>0</v>
      </c>
      <c r="D305" s="5515">
        <f>GotTok_Direkt!AP68</f>
        <v>0</v>
      </c>
      <c r="E305" s="5248" t="str">
        <f t="shared" si="62"/>
        <v>-</v>
      </c>
      <c r="F305" s="5365"/>
      <c r="G305" s="5365"/>
      <c r="H305" s="5365"/>
      <c r="I305" s="5365"/>
      <c r="J305" s="5365"/>
      <c r="K305" s="5365"/>
      <c r="L305" s="5365"/>
      <c r="M305" s="5365"/>
      <c r="N305" s="5365"/>
      <c r="O305" s="5365"/>
      <c r="P305" s="5365"/>
    </row>
    <row r="306" ht="15" spans="1:16">
      <c r="A306" s="5248" t="str">
        <f>GotTok_Direkt!AC78</f>
        <v>( + )</v>
      </c>
      <c r="B306" s="5514" t="str">
        <f>GotTok_Direkt!D78&amp;" (AOP "&amp;GotTok_Direkt!AF78&amp;GotTok_Direkt!AG78&amp;GotTok_Direkt!AH78&amp;")"</f>
        <v>Prilivi po osnovu izdatih dužničkih instrumenata (AOP 448)</v>
      </c>
      <c r="C306" s="5515">
        <f>GotTok_Direkt!AI78</f>
        <v>0</v>
      </c>
      <c r="D306" s="5515">
        <f>GotTok_Direkt!AP78</f>
        <v>0</v>
      </c>
      <c r="E306" s="5248" t="str">
        <f t="shared" ref="E306:E307" si="63">IF(C306=0,"-",IFERROR(INDEX($A$265:$A$267,MATCH(C306,$C$265:$C$267,0)),"-"))</f>
        <v>-</v>
      </c>
      <c r="F306" s="5365"/>
      <c r="G306" s="5365"/>
      <c r="H306" s="5365"/>
      <c r="I306" s="5365"/>
      <c r="J306" s="5365"/>
      <c r="K306" s="5365"/>
      <c r="L306" s="5365"/>
      <c r="M306" s="5365"/>
      <c r="N306" s="5365"/>
      <c r="O306" s="5365"/>
      <c r="P306" s="5365"/>
    </row>
    <row r="307" ht="15" spans="1:16">
      <c r="A307" s="5248" t="str">
        <f>GotTok_Direkt!AC80</f>
        <v>( + )</v>
      </c>
      <c r="B307" s="5514" t="str">
        <f>GotTok_Direkt!D80&amp;" (AOP "&amp;GotTok_Direkt!AF80&amp;GotTok_Direkt!AG80&amp;GotTok_Direkt!AH80&amp;")"</f>
        <v>Ostali prilivi iz finansijskih aktivnosti (AOP 450)</v>
      </c>
      <c r="C307" s="5515">
        <f>GotTok_Direkt!AI80</f>
        <v>2280</v>
      </c>
      <c r="D307" s="5515">
        <f>GotTok_Direkt!AP80</f>
        <v>0</v>
      </c>
      <c r="E307" s="5248" t="str">
        <f t="shared" si="63"/>
        <v>D_P1</v>
      </c>
      <c r="F307" s="5365"/>
      <c r="G307" s="5365"/>
      <c r="H307" s="5365"/>
      <c r="I307" s="5365"/>
      <c r="J307" s="5365"/>
      <c r="K307" s="5365"/>
      <c r="L307" s="5365"/>
      <c r="M307" s="5365"/>
      <c r="N307" s="5365"/>
      <c r="O307" s="5365"/>
      <c r="P307" s="5365"/>
    </row>
    <row r="308" s="2" customFormat="1" ht="16.5" customHeight="1" spans="1:16">
      <c r="A308" s="5516"/>
      <c r="B308" s="5517" t="s">
        <v>2418</v>
      </c>
      <c r="C308" s="5516"/>
      <c r="D308" s="5516"/>
      <c r="E308" s="5516"/>
      <c r="F308" s="5392"/>
      <c r="G308" s="5392"/>
      <c r="H308" s="5392"/>
      <c r="I308" s="5392"/>
      <c r="J308" s="5392"/>
      <c r="K308" s="5392"/>
      <c r="L308" s="5392"/>
      <c r="M308" s="5392"/>
      <c r="N308" s="5392"/>
      <c r="O308" s="5392"/>
      <c r="P308" s="5392"/>
    </row>
    <row r="309" ht="15" spans="1:16">
      <c r="A309" s="5248" t="str">
        <f>GotTok_Direkt!AC22</f>
        <v>( - )</v>
      </c>
      <c r="B309" s="5514" t="str">
        <f>GotTok_Direkt!D22&amp;" (AOP "&amp;GotTok_Direkt!AF22&amp;GotTok_Direkt!AG22&amp;GotTok_Direkt!AH22&amp;")"</f>
        <v>Odlivi po osnovu plaćanja zaposlenima (AOP 402)</v>
      </c>
      <c r="C309" s="5515">
        <f>GotTok_Direkt!AI22*-1</f>
        <v>0</v>
      </c>
      <c r="D309" s="5515">
        <f>GotTok_Direkt!AP22*-1</f>
        <v>0</v>
      </c>
      <c r="E309" s="5248" t="str">
        <f>IF(C309=0,"-",IFERROR(INDEX($A$274:$A$276,MATCH(C309,$C$274:$C$276,0)),"-"))</f>
        <v>-</v>
      </c>
      <c r="F309" s="5365"/>
      <c r="G309" s="5365"/>
      <c r="H309" s="5365"/>
      <c r="I309" s="5365"/>
      <c r="J309" s="5365"/>
      <c r="K309" s="5365"/>
      <c r="L309" s="5365"/>
      <c r="M309" s="5365"/>
      <c r="N309" s="5365"/>
      <c r="O309" s="5365"/>
      <c r="P309" s="5365"/>
    </row>
    <row r="310" ht="15" spans="1:16">
      <c r="A310" s="5248" t="str">
        <f>GotTok_Direkt!AC23</f>
        <v>( - )</v>
      </c>
      <c r="B310" s="5514" t="str">
        <f>GotTok_Direkt!D23&amp;" (AOP "&amp;GotTok_Direkt!AF23&amp;GotTok_Direkt!AG23&amp;GotTok_Direkt!AH23&amp;")"</f>
        <v>Odlivi po osnovu plaćanja dobavljačima, po osnovu poslovnih aktivnosti (AOP 403)</v>
      </c>
      <c r="C310" s="5515">
        <f>GotTok_Direkt!AI23*-1</f>
        <v>0</v>
      </c>
      <c r="D310" s="5515">
        <f>GotTok_Direkt!AP23*-1</f>
        <v>0</v>
      </c>
      <c r="E310" s="5248" t="str">
        <f t="shared" ref="E310:E315" si="64">IF(C310=0,"-",IFERROR(INDEX($A$274:$A$276,MATCH(C310,$C$274:$C$276,0)),"-"))</f>
        <v>-</v>
      </c>
      <c r="F310" s="5365"/>
      <c r="G310" s="5365"/>
      <c r="H310" s="5365"/>
      <c r="I310" s="5365"/>
      <c r="J310" s="5365"/>
      <c r="K310" s="5365"/>
      <c r="L310" s="5365"/>
      <c r="M310" s="5365"/>
      <c r="N310" s="5365"/>
      <c r="O310" s="5365"/>
      <c r="P310" s="5365"/>
    </row>
    <row r="311" ht="15" spans="1:16">
      <c r="A311" s="5248" t="str">
        <f>GotTok_Direkt!AC24</f>
        <v>( - )</v>
      </c>
      <c r="B311" s="5514" t="str">
        <f>GotTok_Direkt!D24&amp;" (AOP "&amp;GotTok_Direkt!AF24&amp;GotTok_Direkt!AG24&amp;GotTok_Direkt!AH24&amp;")"</f>
        <v>Odlivi po osnovu ostalih troškova, nastalih po osnovu poslovnih aktivnosti (AOP 404)</v>
      </c>
      <c r="C311" s="5515">
        <f>GotTok_Direkt!AI24*-1</f>
        <v>0</v>
      </c>
      <c r="D311" s="5515">
        <f>GotTok_Direkt!AP24*-1</f>
        <v>0</v>
      </c>
      <c r="E311" s="5248" t="str">
        <f t="shared" si="64"/>
        <v>-</v>
      </c>
      <c r="F311" s="5365"/>
      <c r="G311" s="5365"/>
      <c r="H311" s="5365"/>
      <c r="I311" s="5365"/>
      <c r="J311" s="5365"/>
      <c r="K311" s="5365"/>
      <c r="L311" s="5365"/>
      <c r="M311" s="5365"/>
      <c r="N311" s="5365"/>
      <c r="O311" s="5365"/>
      <c r="P311" s="5365"/>
    </row>
    <row r="312" ht="15" spans="1:16">
      <c r="A312" s="5248" t="str">
        <f>GotTok_Direkt!AC25</f>
        <v>( - )</v>
      </c>
      <c r="B312" s="5514" t="str">
        <f>GotTok_Direkt!D25&amp;" (AOP "&amp;GotTok_Direkt!AF25&amp;GotTok_Direkt!AG25&amp;GotTok_Direkt!AH25&amp;")"</f>
        <v>Odlivi po osnovu plaćanja poreza na dobit (AOP 405)</v>
      </c>
      <c r="C312" s="5515">
        <f>GotTok_Direkt!AI25*-1</f>
        <v>0</v>
      </c>
      <c r="D312" s="5515">
        <f>GotTok_Direkt!AP25*-1</f>
        <v>0</v>
      </c>
      <c r="E312" s="5248" t="str">
        <f t="shared" si="64"/>
        <v>-</v>
      </c>
      <c r="F312" s="5365"/>
      <c r="G312" s="5365"/>
      <c r="H312" s="5365"/>
      <c r="I312" s="5365"/>
      <c r="J312" s="5365"/>
      <c r="K312" s="5365"/>
      <c r="L312" s="5365"/>
      <c r="M312" s="5365"/>
      <c r="N312" s="5365"/>
      <c r="O312" s="5365"/>
      <c r="P312" s="5365"/>
    </row>
    <row r="313" ht="15" spans="1:16">
      <c r="A313" s="5248" t="str">
        <f>GotTok_Direkt!AC27</f>
        <v>( - )</v>
      </c>
      <c r="B313" s="5514" t="str">
        <f>GotTok_Direkt!D27&amp;" (AOP "&amp;GotTok_Direkt!AF27&amp;GotTok_Direkt!AG27&amp;GotTok_Direkt!AH27&amp;")"</f>
        <v>Ostali odlivi iz poslovnih aktivnosti (AOP 407)</v>
      </c>
      <c r="C313" s="5515">
        <f>GotTok_Direkt!AI27*-1</f>
        <v>0</v>
      </c>
      <c r="D313" s="5515">
        <f>GotTok_Direkt!AP27*-1</f>
        <v>0</v>
      </c>
      <c r="E313" s="5248" t="str">
        <f t="shared" si="64"/>
        <v>-</v>
      </c>
      <c r="F313" s="5365"/>
      <c r="G313" s="5365"/>
      <c r="H313" s="5365"/>
      <c r="I313" s="5365"/>
      <c r="J313" s="5365"/>
      <c r="K313" s="5365"/>
      <c r="L313" s="5365"/>
      <c r="M313" s="5365"/>
      <c r="N313" s="5365"/>
      <c r="O313" s="5365"/>
      <c r="P313" s="5365"/>
    </row>
    <row r="314" ht="15" spans="1:16">
      <c r="A314" s="5248" t="str">
        <f>GotTok_Direkt!AC30</f>
        <v>( - )</v>
      </c>
      <c r="B314" s="5514" t="str">
        <f>GotTok_Direkt!D30&amp;" (AOP "&amp;GotTok_Direkt!AF30&amp;GotTok_Direkt!AG30&amp;GotTok_Direkt!AH30&amp;")"</f>
        <v>Odlivi po osnovu kupovine nekretnina, postrojenja i opreme (AOP 409)</v>
      </c>
      <c r="C314" s="5515">
        <f>GotTok_Direkt!AI30*-1</f>
        <v>0</v>
      </c>
      <c r="D314" s="5515">
        <f>GotTok_Direkt!AP30*-1</f>
        <v>0</v>
      </c>
      <c r="E314" s="5248" t="str">
        <f t="shared" si="64"/>
        <v>-</v>
      </c>
      <c r="F314" s="5365"/>
      <c r="G314" s="5365"/>
      <c r="H314" s="5365"/>
      <c r="I314" s="5365"/>
      <c r="J314" s="5365"/>
      <c r="K314" s="5365"/>
      <c r="L314" s="5365"/>
      <c r="M314" s="5365"/>
      <c r="N314" s="5365"/>
      <c r="O314" s="5365"/>
      <c r="P314" s="5365"/>
    </row>
    <row r="315" ht="15" spans="1:16">
      <c r="A315" s="5248" t="str">
        <f>GotTok_Direkt!AC32</f>
        <v>( - )</v>
      </c>
      <c r="B315" s="5514" t="str">
        <f>GotTok_Direkt!D32&amp;" (AOP "&amp;GotTok_Direkt!AF32&amp;GotTok_Direkt!AG32&amp;GotTok_Direkt!AH32&amp;")"</f>
        <v>Odlivi po osnovu kupovine investicijskih nekretnina (AOP 411)</v>
      </c>
      <c r="C315" s="5515">
        <f>GotTok_Direkt!AI32*-1</f>
        <v>0</v>
      </c>
      <c r="D315" s="5515">
        <f>GotTok_Direkt!AP32*-1</f>
        <v>0</v>
      </c>
      <c r="E315" s="5248" t="str">
        <f t="shared" si="64"/>
        <v>-</v>
      </c>
      <c r="F315" s="5365"/>
      <c r="G315" s="5365"/>
      <c r="H315" s="5365"/>
      <c r="I315" s="5365"/>
      <c r="J315" s="5365"/>
      <c r="K315" s="5365"/>
      <c r="L315" s="5365"/>
      <c r="M315" s="5365"/>
      <c r="N315" s="5365"/>
      <c r="O315" s="5365"/>
      <c r="P315" s="5365"/>
    </row>
    <row r="316" ht="15" spans="1:16">
      <c r="A316" s="5248" t="str">
        <f>GotTok_Direkt!AC34</f>
        <v>( - )</v>
      </c>
      <c r="B316" s="5514" t="str">
        <f>GotTok_Direkt!D34&amp;" (AOP "&amp;GotTok_Direkt!AF34&amp;GotTok_Direkt!AG34&amp;GotTok_Direkt!AH34&amp;")"</f>
        <v>Odlivi po osnovu kupovine nematerijalne imovine (AOP 413)</v>
      </c>
      <c r="C316" s="5515">
        <f>GotTok_Direkt!AI34*-1</f>
        <v>0</v>
      </c>
      <c r="D316" s="5515">
        <f>GotTok_Direkt!AP34*-1</f>
        <v>0</v>
      </c>
      <c r="E316" s="5248" t="str">
        <f t="shared" ref="E316:E320" si="65">IF(C316=0,"-",IFERROR(INDEX($A$274:$A$276,MATCH(C316,$C$274:$C$276,0)),"-"))</f>
        <v>-</v>
      </c>
      <c r="F316" s="5365"/>
      <c r="G316" s="5365"/>
      <c r="H316" s="5365"/>
      <c r="I316" s="5365"/>
      <c r="J316" s="5365"/>
      <c r="K316" s="5365"/>
      <c r="L316" s="5365"/>
      <c r="M316" s="5365"/>
      <c r="N316" s="5365"/>
      <c r="O316" s="5365"/>
      <c r="P316" s="5365"/>
    </row>
    <row r="317" ht="15" spans="1:16">
      <c r="A317" s="5248" t="str">
        <f>GotTok_Direkt!AC36</f>
        <v>( - )</v>
      </c>
      <c r="B317" s="5514" t="str">
        <f>GotTok_Direkt!D36&amp;" (AOP "&amp;GotTok_Direkt!AF36&amp;GotTok_Direkt!AG36&amp;GotTok_Direkt!AH36&amp;")"</f>
        <v>Odlivi po osnovu kupovine biološke imovine (AOP 415)</v>
      </c>
      <c r="C317" s="5515">
        <f>GotTok_Direkt!AI36*-1</f>
        <v>0</v>
      </c>
      <c r="D317" s="5515">
        <f>GotTok_Direkt!AP36*-1</f>
        <v>0</v>
      </c>
      <c r="E317" s="5248" t="str">
        <f t="shared" si="65"/>
        <v>-</v>
      </c>
      <c r="F317" s="5365"/>
      <c r="G317" s="5365"/>
      <c r="H317" s="5365"/>
      <c r="I317" s="5365"/>
      <c r="J317" s="5365"/>
      <c r="K317" s="5365"/>
      <c r="L317" s="5365"/>
      <c r="M317" s="5365"/>
      <c r="N317" s="5365"/>
      <c r="O317" s="5365"/>
      <c r="P317" s="5365"/>
    </row>
    <row r="318" ht="15" spans="1:16">
      <c r="A318" s="5248" t="str">
        <f>GotTok_Direkt!AC42</f>
        <v>( - )</v>
      </c>
      <c r="B318" s="5514" t="str">
        <f>GotTok_Direkt!D42&amp;" (AOP "&amp;GotTok_Direkt!AF42&amp;GotTok_Direkt!AG42&amp;GotTok_Direkt!AH42&amp;")"</f>
        <v>Ulaganja u finansijsku imovinu po fer vrijednosti kroz ostali ukupni rezultat (AOP 418)</v>
      </c>
      <c r="C318" s="5515">
        <f>GotTok_Direkt!AI42*-1</f>
        <v>0</v>
      </c>
      <c r="D318" s="5515">
        <f>GotTok_Direkt!AP42*-1</f>
        <v>0</v>
      </c>
      <c r="E318" s="5248" t="str">
        <f t="shared" si="65"/>
        <v>-</v>
      </c>
      <c r="F318" s="5365"/>
      <c r="G318" s="5365"/>
      <c r="H318" s="5365"/>
      <c r="I318" s="5365"/>
      <c r="J318" s="5365"/>
      <c r="K318" s="5365"/>
      <c r="L318" s="5365"/>
      <c r="M318" s="5365"/>
      <c r="N318" s="5365"/>
      <c r="O318" s="5365"/>
      <c r="P318" s="5365"/>
    </row>
    <row r="319" ht="15" spans="1:16">
      <c r="A319" s="5248" t="str">
        <f>GotTok_Direkt!AC44</f>
        <v>( - )</v>
      </c>
      <c r="B319" s="5514" t="str">
        <f>GotTok_Direkt!D44&amp;" (AOP "&amp;GotTok_Direkt!AF44&amp;GotTok_Direkt!AG44&amp;GotTok_Direkt!AH44&amp;")"</f>
        <v>Ulaganja u finansijsku imovinu po fer vrijednosti kroz bilans uspjeha (AOP 420)</v>
      </c>
      <c r="C319" s="5515">
        <f>GotTok_Direkt!AI44*-1</f>
        <v>0</v>
      </c>
      <c r="D319" s="5515">
        <f>GotTok_Direkt!AP44*-1</f>
        <v>0</v>
      </c>
      <c r="E319" s="5248" t="str">
        <f t="shared" si="65"/>
        <v>-</v>
      </c>
      <c r="F319" s="5365"/>
      <c r="G319" s="5365"/>
      <c r="H319" s="5365"/>
      <c r="I319" s="5365"/>
      <c r="J319" s="5365"/>
      <c r="K319" s="5365"/>
      <c r="L319" s="5365"/>
      <c r="M319" s="5365"/>
      <c r="N319" s="5365"/>
      <c r="O319" s="5365"/>
      <c r="P319" s="5365"/>
    </row>
    <row r="320" ht="15" spans="1:16">
      <c r="A320" s="5248" t="str">
        <f>GotTok_Direkt!AC46</f>
        <v>( - )</v>
      </c>
      <c r="B320" s="5514" t="str">
        <f>GotTok_Direkt!D46&amp;" (AOP "&amp;GotTok_Direkt!AF46&amp;GotTok_Direkt!AG46&amp;GotTok_Direkt!AH46&amp;")"</f>
        <v>Ulaganja u ostalu finansijsku imovinu po amortizovanom trošku (AOP 422)</v>
      </c>
      <c r="C320" s="5515">
        <f>GotTok_Direkt!AI46*-1</f>
        <v>0</v>
      </c>
      <c r="D320" s="5515">
        <f>GotTok_Direkt!AP46*-1</f>
        <v>0</v>
      </c>
      <c r="E320" s="5248" t="str">
        <f t="shared" si="65"/>
        <v>-</v>
      </c>
      <c r="F320" s="5365"/>
      <c r="G320" s="5365"/>
      <c r="H320" s="5365"/>
      <c r="I320" s="5365"/>
      <c r="J320" s="5365"/>
      <c r="K320" s="5365"/>
      <c r="L320" s="5365"/>
      <c r="M320" s="5365"/>
      <c r="N320" s="5365"/>
      <c r="O320" s="5365"/>
      <c r="P320" s="5365"/>
    </row>
    <row r="321" ht="15" spans="1:16">
      <c r="A321" s="5248" t="str">
        <f>GotTok_Direkt!AC51</f>
        <v>( - )</v>
      </c>
      <c r="B321" s="5514" t="str">
        <f>GotTok_Direkt!D51&amp;" (AOP "&amp;GotTok_Direkt!AF51&amp;GotTok_Direkt!AG51&amp;GotTok_Direkt!AH51&amp;")"</f>
        <v>Kupovina udjela u zavisnim društvima (AOP 427)</v>
      </c>
      <c r="C321" s="5515">
        <f>GotTok_Direkt!AI51*-1</f>
        <v>0</v>
      </c>
      <c r="D321" s="5515">
        <f>GotTok_Direkt!AP51*-1</f>
        <v>0</v>
      </c>
      <c r="E321" s="5248" t="str">
        <f t="shared" ref="E321:E325" si="66">IF(C321=0,"-",IFERROR(INDEX($A$274:$A$276,MATCH(C321,$C$274:$C$276,0)),"-"))</f>
        <v>-</v>
      </c>
      <c r="F321" s="5365"/>
      <c r="G321" s="5365"/>
      <c r="H321" s="5365"/>
      <c r="I321" s="5365"/>
      <c r="J321" s="5365"/>
      <c r="K321" s="5365"/>
      <c r="L321" s="5365"/>
      <c r="M321" s="5365"/>
      <c r="N321" s="5365"/>
      <c r="O321" s="5365"/>
      <c r="P321" s="5365"/>
    </row>
    <row r="322" ht="15" spans="1:16">
      <c r="A322" s="5248" t="str">
        <f>GotTok_Direkt!AC53</f>
        <v>( - )</v>
      </c>
      <c r="B322" s="5514" t="str">
        <f>GotTok_Direkt!D53&amp;" (AOP "&amp;GotTok_Direkt!AF53&amp;GotTok_Direkt!AG53&amp;GotTok_Direkt!AH53&amp;")"</f>
        <v>Kupovina udjela u pridruženim društvima (AOP 429)</v>
      </c>
      <c r="C322" s="5515">
        <f>GotTok_Direkt!AI53*-1</f>
        <v>0</v>
      </c>
      <c r="D322" s="5515">
        <f>GotTok_Direkt!AP53*-1</f>
        <v>0</v>
      </c>
      <c r="E322" s="5248" t="str">
        <f t="shared" si="66"/>
        <v>-</v>
      </c>
      <c r="F322" s="5365"/>
      <c r="G322" s="5365"/>
      <c r="H322" s="5365"/>
      <c r="I322" s="5365"/>
      <c r="J322" s="5365"/>
      <c r="K322" s="5365"/>
      <c r="L322" s="5365"/>
      <c r="M322" s="5365"/>
      <c r="N322" s="5365"/>
      <c r="O322" s="5365"/>
      <c r="P322" s="5365"/>
    </row>
    <row r="323" ht="15" spans="1:16">
      <c r="A323" s="5248" t="str">
        <f>GotTok_Direkt!AC55</f>
        <v>( - )</v>
      </c>
      <c r="B323" s="5514" t="str">
        <f>GotTok_Direkt!D55&amp;" (AOP "&amp;GotTok_Direkt!AF55&amp;GotTok_Direkt!AG55&amp;GotTok_Direkt!AH55&amp;")"</f>
        <v>Kupovina udjela u zajedničkim poduhvatima (AOP 431)</v>
      </c>
      <c r="C323" s="5515">
        <f>GotTok_Direkt!AI55*-1</f>
        <v>0</v>
      </c>
      <c r="D323" s="5515">
        <f>GotTok_Direkt!AP55*-1</f>
        <v>0</v>
      </c>
      <c r="E323" s="5248" t="str">
        <f t="shared" si="66"/>
        <v>-</v>
      </c>
      <c r="F323" s="5365"/>
      <c r="G323" s="5365"/>
      <c r="H323" s="5365"/>
      <c r="I323" s="5365"/>
      <c r="J323" s="5365"/>
      <c r="K323" s="5365"/>
      <c r="L323" s="5365"/>
      <c r="M323" s="5365"/>
      <c r="N323" s="5365"/>
      <c r="O323" s="5365"/>
      <c r="P323" s="5365"/>
    </row>
    <row r="324" ht="15" spans="1:16">
      <c r="A324" s="5248" t="str">
        <f>GotTok_Direkt!AC59</f>
        <v>( - )</v>
      </c>
      <c r="B324" s="5514" t="str">
        <f>GotTok_Direkt!D59&amp;" (AOP "&amp;GotTok_Direkt!AF59&amp;GotTok_Direkt!AG59&amp;GotTok_Direkt!AH59&amp;")"</f>
        <v>Odlivi po osnovu trgovanja derivatnim finansijskim instrumentima (AOP 435)</v>
      </c>
      <c r="C324" s="5515">
        <f>GotTok_Direkt!AI59*-1</f>
        <v>0</v>
      </c>
      <c r="D324" s="5515">
        <f>GotTok_Direkt!AP59*-1</f>
        <v>0</v>
      </c>
      <c r="E324" s="5248" t="str">
        <f t="shared" si="66"/>
        <v>-</v>
      </c>
      <c r="F324" s="5365"/>
      <c r="G324" s="5365"/>
      <c r="H324" s="5365"/>
      <c r="I324" s="5365"/>
      <c r="J324" s="5365"/>
      <c r="K324" s="5365"/>
      <c r="L324" s="5365"/>
      <c r="M324" s="5365"/>
      <c r="N324" s="5365"/>
      <c r="O324" s="5365"/>
      <c r="P324" s="5365"/>
    </row>
    <row r="325" ht="15" spans="1:16">
      <c r="A325" s="5248" t="str">
        <f>GotTok_Direkt!AC61</f>
        <v>( - )</v>
      </c>
      <c r="B325" s="5514" t="str">
        <f>GotTok_Direkt!D61&amp;" (AOP "&amp;GotTok_Direkt!AF61&amp;GotTok_Direkt!AG61&amp;GotTok_Direkt!AH61&amp;")"</f>
        <v>Ostali odlivi iz ulagačkih aktivnosti (AOP 437)</v>
      </c>
      <c r="C325" s="5515">
        <f>GotTok_Direkt!AI61*-1</f>
        <v>0</v>
      </c>
      <c r="D325" s="5515">
        <f>GotTok_Direkt!AP61*-1</f>
        <v>0</v>
      </c>
      <c r="E325" s="5248" t="str">
        <f t="shared" si="66"/>
        <v>-</v>
      </c>
      <c r="F325" s="5365"/>
      <c r="G325" s="5365"/>
      <c r="H325" s="5365"/>
      <c r="I325" s="5365"/>
      <c r="J325" s="5365"/>
      <c r="K325" s="5365"/>
      <c r="L325" s="5365"/>
      <c r="M325" s="5365"/>
      <c r="N325" s="5365"/>
      <c r="O325" s="5365"/>
      <c r="P325" s="5365"/>
    </row>
    <row r="326" ht="15" spans="1:16">
      <c r="A326" s="5248" t="str">
        <f>GotTok_Direkt!AC65</f>
        <v>( - )</v>
      </c>
      <c r="B326" s="5514" t="str">
        <f>GotTok_Direkt!D65&amp;" (AOP "&amp;GotTok_Direkt!AF65&amp;GotTok_Direkt!AG65&amp;GotTok_Direkt!AH65&amp;")"</f>
        <v>Sticanje vlastitih dionica (AOP 440)</v>
      </c>
      <c r="C326" s="5515">
        <f>GotTok_Direkt!AI65*-1</f>
        <v>0</v>
      </c>
      <c r="D326" s="5515">
        <f>GotTok_Direkt!AP65*-1</f>
        <v>0</v>
      </c>
      <c r="E326" s="5248" t="str">
        <f t="shared" ref="E326:E329" si="67">IF(C326=0,"-",IFERROR(INDEX($A$274:$A$276,MATCH(C326,$C$274:$C$276,0)),"-"))</f>
        <v>-</v>
      </c>
      <c r="F326" s="5365"/>
      <c r="G326" s="5365"/>
      <c r="H326" s="5365"/>
      <c r="I326" s="5365"/>
      <c r="J326" s="5365"/>
      <c r="K326" s="5365"/>
      <c r="L326" s="5365"/>
      <c r="M326" s="5365"/>
      <c r="N326" s="5365"/>
      <c r="O326" s="5365"/>
      <c r="P326" s="5365"/>
    </row>
    <row r="327" ht="15" spans="1:16">
      <c r="A327" s="5248" t="str">
        <f>GotTok_Direkt!AC67</f>
        <v>( - )</v>
      </c>
      <c r="B327" s="5514" t="str">
        <f>GotTok_Direkt!D67&amp;" (AOP "&amp;GotTok_Direkt!AF67&amp;GotTok_Direkt!AG67&amp;GotTok_Direkt!AH67&amp;")"</f>
        <v>Isplaćene dividende (AOP 442)</v>
      </c>
      <c r="C327" s="5515">
        <f>GotTok_Direkt!AI67*-1</f>
        <v>0</v>
      </c>
      <c r="D327" s="5515">
        <f>GotTok_Direkt!AP67*-1</f>
        <v>0</v>
      </c>
      <c r="E327" s="5248" t="str">
        <f t="shared" si="67"/>
        <v>-</v>
      </c>
      <c r="F327" s="5365"/>
      <c r="G327" s="5365"/>
      <c r="H327" s="5365"/>
      <c r="I327" s="5365"/>
      <c r="J327" s="5365"/>
      <c r="K327" s="5365"/>
      <c r="L327" s="5365"/>
      <c r="M327" s="5365"/>
      <c r="N327" s="5365"/>
      <c r="O327" s="5365"/>
      <c r="P327" s="5365"/>
    </row>
    <row r="328" ht="15" spans="1:16">
      <c r="A328" s="5248" t="str">
        <f>GotTok_Direkt!AC69</f>
        <v>( - )</v>
      </c>
      <c r="B328" s="5514" t="str">
        <f>GotTok_Direkt!D69&amp;" (AOP "&amp;GotTok_Direkt!AF69&amp;GotTok_Direkt!AG69&amp;GotTok_Direkt!AH69&amp;")"</f>
        <v>Otplata glavnice uzetih kredita (AOP 444)</v>
      </c>
      <c r="C328" s="5515">
        <f>GotTok_Direkt!AI69*-1</f>
        <v>0</v>
      </c>
      <c r="D328" s="5515">
        <f>GotTok_Direkt!AP69*-1</f>
        <v>0</v>
      </c>
      <c r="E328" s="5248" t="str">
        <f t="shared" si="67"/>
        <v>-</v>
      </c>
      <c r="F328" s="5365"/>
      <c r="G328" s="5365"/>
      <c r="H328" s="5365"/>
      <c r="I328" s="5365"/>
      <c r="J328" s="5365"/>
      <c r="K328" s="5365"/>
      <c r="L328" s="5365"/>
      <c r="M328" s="5365"/>
      <c r="N328" s="5365"/>
      <c r="O328" s="5365"/>
      <c r="P328" s="5365"/>
    </row>
    <row r="329" ht="15" spans="1:16">
      <c r="A329" s="5248" t="str">
        <f>GotTok_Direkt!AC70</f>
        <v>( - )</v>
      </c>
      <c r="B329" s="5514" t="str">
        <f>GotTok_Direkt!D70&amp;" (AOP "&amp;GotTok_Direkt!AF70&amp;GotTok_Direkt!AG70&amp;GotTok_Direkt!AH70&amp;")"</f>
        <v>Otplata kamate po uzetim kreditima (AOP 445)</v>
      </c>
      <c r="C329" s="5515">
        <f>GotTok_Direkt!AI70*-1</f>
        <v>0</v>
      </c>
      <c r="D329" s="5515">
        <f>GotTok_Direkt!AP70*-1</f>
        <v>0</v>
      </c>
      <c r="E329" s="5248" t="str">
        <f t="shared" si="67"/>
        <v>-</v>
      </c>
      <c r="F329" s="5365"/>
      <c r="G329" s="5365"/>
      <c r="H329" s="5365"/>
      <c r="I329" s="5365"/>
      <c r="J329" s="5365"/>
      <c r="K329" s="5365"/>
      <c r="L329" s="5365"/>
      <c r="M329" s="5365"/>
      <c r="N329" s="5365"/>
      <c r="O329" s="5365"/>
      <c r="P329" s="5365"/>
    </row>
    <row r="330" ht="15" spans="1:16">
      <c r="A330" s="5248" t="str">
        <f>GotTok_Direkt!AC76</f>
        <v>( - )</v>
      </c>
      <c r="B330" s="5514" t="str">
        <f>GotTok_Direkt!D76&amp;" (AOP "&amp;GotTok_Direkt!AF76&amp;GotTok_Direkt!AG76&amp;GotTok_Direkt!AH76&amp;")"</f>
        <v>Otplata glavnice po najmovima (AOP 446)</v>
      </c>
      <c r="C330" s="5515">
        <f>GotTok_Direkt!AI76*-1</f>
        <v>0</v>
      </c>
      <c r="D330" s="5515">
        <f>GotTok_Direkt!AP76*-1</f>
        <v>0</v>
      </c>
      <c r="E330" s="5248" t="str">
        <f t="shared" ref="E330:E333" si="68">IF(C330=0,"-",IFERROR(INDEX($A$274:$A$276,MATCH(C330,$C$274:$C$276,0)),"-"))</f>
        <v>-</v>
      </c>
      <c r="F330" s="5365"/>
      <c r="G330" s="5365"/>
      <c r="H330" s="5365"/>
      <c r="I330" s="5365"/>
      <c r="J330" s="5365"/>
      <c r="K330" s="5365"/>
      <c r="L330" s="5365"/>
      <c r="M330" s="5365"/>
      <c r="N330" s="5365"/>
      <c r="O330" s="5365"/>
      <c r="P330" s="5365"/>
    </row>
    <row r="331" ht="15" spans="1:16">
      <c r="A331" s="5248" t="str">
        <f>GotTok_Direkt!AC77</f>
        <v>( - )</v>
      </c>
      <c r="B331" s="5514" t="str">
        <f>GotTok_Direkt!D77&amp;" (AOP "&amp;GotTok_Direkt!AF77&amp;GotTok_Direkt!AG77&amp;GotTok_Direkt!AH77&amp;")"</f>
        <v>Otplata kamate po najmovima (AOP 447)</v>
      </c>
      <c r="C331" s="5515">
        <f>GotTok_Direkt!AI77*-1</f>
        <v>0</v>
      </c>
      <c r="D331" s="5515">
        <f>GotTok_Direkt!AP77*-1</f>
        <v>0</v>
      </c>
      <c r="E331" s="5248" t="str">
        <f t="shared" si="68"/>
        <v>-</v>
      </c>
      <c r="F331" s="5365"/>
      <c r="G331" s="5365"/>
      <c r="H331" s="5365"/>
      <c r="I331" s="5365"/>
      <c r="J331" s="5365"/>
      <c r="K331" s="5365"/>
      <c r="L331" s="5365"/>
      <c r="M331" s="5365"/>
      <c r="N331" s="5365"/>
      <c r="O331" s="5365"/>
      <c r="P331" s="5365"/>
    </row>
    <row r="332" ht="15" spans="1:16">
      <c r="A332" s="5248" t="str">
        <f>GotTok_Direkt!AC79</f>
        <v>( - )</v>
      </c>
      <c r="B332" s="5514" t="str">
        <f>GotTok_Direkt!D79&amp;" (AOP "&amp;GotTok_Direkt!AF79&amp;GotTok_Direkt!AG79&amp;GotTok_Direkt!AH79&amp;")"</f>
        <v>Odlivi po osnovu otplate izdatih dužničkih instrumenata (AOP 449)</v>
      </c>
      <c r="C332" s="5515">
        <f>GotTok_Direkt!AI79*-1</f>
        <v>0</v>
      </c>
      <c r="D332" s="5515">
        <f>GotTok_Direkt!AP79*-1</f>
        <v>0</v>
      </c>
      <c r="E332" s="5248" t="str">
        <f t="shared" si="68"/>
        <v>-</v>
      </c>
      <c r="F332" s="5365"/>
      <c r="G332" s="5365"/>
      <c r="H332" s="5365"/>
      <c r="I332" s="5365"/>
      <c r="J332" s="5365"/>
      <c r="K332" s="5365"/>
      <c r="L332" s="5365"/>
      <c r="M332" s="5365"/>
      <c r="N332" s="5365"/>
      <c r="O332" s="5365"/>
      <c r="P332" s="5365"/>
    </row>
    <row r="333" ht="15" spans="1:16">
      <c r="A333" s="5248" t="str">
        <f>GotTok_Direkt!AC81</f>
        <v>( - )</v>
      </c>
      <c r="B333" s="5514" t="str">
        <f>GotTok_Direkt!D81&amp;" (AOP "&amp;GotTok_Direkt!AF81&amp;GotTok_Direkt!AG81&amp;GotTok_Direkt!AH81&amp;")"</f>
        <v>Ostali odlivi iz finansijskih aktivnosti (AOP 451)</v>
      </c>
      <c r="C333" s="5515">
        <f>GotTok_Direkt!AI81*-1</f>
        <v>0</v>
      </c>
      <c r="D333" s="5515">
        <f>GotTok_Direkt!AP81*-1</f>
        <v>0</v>
      </c>
      <c r="E333" s="5248" t="str">
        <f t="shared" si="68"/>
        <v>-</v>
      </c>
      <c r="F333" s="5365"/>
      <c r="G333" s="5365"/>
      <c r="H333" s="5365"/>
      <c r="I333" s="5365"/>
      <c r="J333" s="5365"/>
      <c r="K333" s="5365"/>
      <c r="L333" s="5365"/>
      <c r="M333" s="5365"/>
      <c r="N333" s="5365"/>
      <c r="O333" s="5365"/>
      <c r="P333" s="5365"/>
    </row>
    <row r="334" spans="1:16">
      <c r="A334" s="5365"/>
      <c r="B334" s="5365"/>
      <c r="C334" s="5394"/>
      <c r="D334" s="5394"/>
      <c r="E334" s="5365"/>
      <c r="F334" s="5365"/>
      <c r="G334" s="5365"/>
      <c r="H334" s="5365"/>
      <c r="I334" s="5365"/>
      <c r="J334" s="5365"/>
      <c r="K334" s="5365"/>
      <c r="L334" s="5365"/>
      <c r="M334" s="5365"/>
      <c r="N334" s="5365"/>
      <c r="O334" s="5365"/>
      <c r="P334" s="5365"/>
    </row>
    <row r="335" spans="1:16">
      <c r="A335" s="5365"/>
      <c r="B335" s="5365"/>
      <c r="C335" s="5394"/>
      <c r="D335" s="5394"/>
      <c r="E335" s="5365"/>
      <c r="F335" s="5365"/>
      <c r="G335" s="5365"/>
      <c r="H335" s="5365"/>
      <c r="I335" s="5365"/>
      <c r="J335" s="5365"/>
      <c r="K335" s="5365"/>
      <c r="L335" s="5365"/>
      <c r="M335" s="5365"/>
      <c r="N335" s="5365"/>
      <c r="O335" s="5365"/>
      <c r="P335" s="5365"/>
    </row>
    <row r="336" spans="1:16">
      <c r="A336" s="5365"/>
      <c r="B336" s="5365"/>
      <c r="C336" s="5394"/>
      <c r="D336" s="5394"/>
      <c r="E336" s="5365"/>
      <c r="F336" s="5365"/>
      <c r="G336" s="5365"/>
      <c r="H336" s="5365"/>
      <c r="I336" s="5365"/>
      <c r="J336" s="5365"/>
      <c r="K336" s="5365"/>
      <c r="L336" s="5365"/>
      <c r="M336" s="5365"/>
      <c r="N336" s="5365"/>
      <c r="O336" s="5365"/>
      <c r="P336" s="5365"/>
    </row>
    <row r="337" ht="15" spans="1:16">
      <c r="A337" s="5417" t="s">
        <v>250</v>
      </c>
      <c r="B337" s="5365"/>
      <c r="C337" s="5394"/>
      <c r="D337" s="5394"/>
      <c r="E337" s="5365"/>
      <c r="F337" s="5365"/>
      <c r="G337" s="5365"/>
      <c r="H337" s="5365"/>
      <c r="I337" s="5365"/>
      <c r="J337" s="5365"/>
      <c r="K337" s="5365"/>
      <c r="L337" s="5365"/>
      <c r="M337" s="5365"/>
      <c r="N337" s="5365"/>
      <c r="O337" s="5365"/>
      <c r="P337" s="5365"/>
    </row>
    <row r="338" ht="17.25" customHeight="1" spans="1:16">
      <c r="A338" s="5420"/>
      <c r="B338" s="5420" t="s">
        <v>2419</v>
      </c>
      <c r="C338" s="5421" t="s">
        <v>16</v>
      </c>
      <c r="D338" s="5421" t="s">
        <v>17</v>
      </c>
      <c r="E338" s="5422" t="s">
        <v>18</v>
      </c>
      <c r="F338" s="5422" t="s">
        <v>19</v>
      </c>
      <c r="G338" s="5422" t="s">
        <v>20</v>
      </c>
      <c r="H338" s="5422"/>
      <c r="I338" s="5365"/>
      <c r="J338" s="5365"/>
      <c r="K338" s="5365"/>
      <c r="L338" s="5365"/>
      <c r="M338" s="5365"/>
      <c r="N338" s="5365"/>
      <c r="O338" s="5365"/>
      <c r="P338" s="5365"/>
    </row>
    <row r="339" ht="14.25" customHeight="1" spans="1:16">
      <c r="A339" s="5428" t="str">
        <f>IF(C339=0,"-","I_P1")</f>
        <v>I_P1</v>
      </c>
      <c r="B339" s="5424" t="str">
        <f>INDEX($B$358:$B$410,MATCH(C339,$C$358:$C$410,0))</f>
        <v>Povećanje/(smanjenje) ostalih obaveza (AOP 531)</v>
      </c>
      <c r="C339" s="5467">
        <f>MAX($C$358:$C$410)</f>
        <v>156503</v>
      </c>
      <c r="D339" s="5468">
        <f>INDEX($D$358:$D$410,MATCH(C339,$C$358:$C$410,0))</f>
        <v>0</v>
      </c>
      <c r="E339" s="5425">
        <f>C339-D339</f>
        <v>156503</v>
      </c>
      <c r="F339" s="5426">
        <f t="shared" ref="F339:F345" si="69">IF(E339&lt;0,E339*-1,E339)</f>
        <v>156503</v>
      </c>
      <c r="G339" s="5427">
        <f>IFERROR(F339/D339,0)</f>
        <v>0</v>
      </c>
      <c r="H339" s="5425" t="str">
        <f>IF(E339&lt;0,"SMANJENJE","POVEĆANJE")</f>
        <v>POVEĆANJE</v>
      </c>
      <c r="I339" s="5365"/>
      <c r="J339" s="5365"/>
      <c r="K339" s="5365"/>
      <c r="L339" s="5365"/>
      <c r="M339" s="5365"/>
      <c r="N339" s="5365"/>
      <c r="O339" s="5365"/>
      <c r="P339" s="5365"/>
    </row>
    <row r="340" ht="14.25" customHeight="1" spans="1:16">
      <c r="A340" s="5428" t="str">
        <f>IF(C340=0,"-","I_P2")</f>
        <v>I_P2</v>
      </c>
      <c r="B340" s="5429" t="str">
        <f>INDEX($B$358:$B$410,MATCH(C340,$C$358:$C$410,0))</f>
        <v>Amortizacija (AOP 502)</v>
      </c>
      <c r="C340" s="5470">
        <f>LARGE($C$358:$C$410,2)</f>
        <v>4549</v>
      </c>
      <c r="D340" s="5471">
        <f>INDEX($D$358:$D$410,MATCH(C340,$C$358:$C$410,0))</f>
        <v>5172</v>
      </c>
      <c r="E340" s="5430">
        <f t="shared" ref="E340:E345" si="70">C340-D340</f>
        <v>-623</v>
      </c>
      <c r="F340" s="5431">
        <f t="shared" si="69"/>
        <v>623</v>
      </c>
      <c r="G340" s="5432">
        <f>IFERROR(F340/D340,0)</f>
        <v>0.12045630317092</v>
      </c>
      <c r="H340" s="5430" t="str">
        <f t="shared" ref="H340:H345" si="71">IF(E340&lt;0,"SMANJENJE","POVEĆANJE")</f>
        <v>SMANJENJE</v>
      </c>
      <c r="I340" s="5365"/>
      <c r="J340" s="5365"/>
      <c r="K340" s="5365"/>
      <c r="L340" s="5365"/>
      <c r="M340" s="5365"/>
      <c r="N340" s="5365"/>
      <c r="O340" s="5365"/>
      <c r="P340" s="5365"/>
    </row>
    <row r="341" spans="1:16">
      <c r="A341" s="5428" t="str">
        <f>IF(C341=0,"-","I_P3")</f>
        <v>I_P3</v>
      </c>
      <c r="B341" s="5429" t="str">
        <f>INDEX($B$358:$B$410,MATCH(C341,$C$358:$C$410,0))</f>
        <v>Neto gotovinski tok koji je generisan / (korišten) u poslovnim aktivnostima (501 do 533) (AOP 534)</v>
      </c>
      <c r="C341" s="5470">
        <f>LARGE($C$358:$C$410,3)</f>
        <v>2280</v>
      </c>
      <c r="D341" s="5471">
        <f>INDEX($D$358:$D$410,MATCH(C341,$C$358:$C$410,0))</f>
        <v>12674</v>
      </c>
      <c r="E341" s="5430">
        <f t="shared" si="70"/>
        <v>-10394</v>
      </c>
      <c r="F341" s="5431">
        <f t="shared" si="69"/>
        <v>10394</v>
      </c>
      <c r="G341" s="5432">
        <f t="shared" ref="G341:G345" si="72">IFERROR(F341/D341,0)</f>
        <v>0.820104150228815</v>
      </c>
      <c r="H341" s="5430" t="str">
        <f t="shared" si="71"/>
        <v>SMANJENJE</v>
      </c>
      <c r="I341" s="5365"/>
      <c r="J341" s="5365"/>
      <c r="K341" s="5365"/>
      <c r="L341" s="5365"/>
      <c r="M341" s="5365"/>
      <c r="N341" s="5365"/>
      <c r="O341" s="5365"/>
      <c r="P341" s="5365"/>
    </row>
    <row r="342" spans="1:16">
      <c r="A342" s="5428" t="str">
        <f>IF(C342=0,"-","I_P4")</f>
        <v>I_P4</v>
      </c>
      <c r="B342" s="5429" t="str">
        <f>INDEX($B$358:$B$410,MATCH(C342,$C$358:$C$410,0))</f>
        <v>Smanjenje/(povećanje) potraživanja od kupaca (AOP 527)</v>
      </c>
      <c r="C342" s="5470">
        <f>LARGE($C$358:$C$410,4)</f>
        <v>861</v>
      </c>
      <c r="D342" s="5471">
        <f>INDEX($D$358:$D$410,MATCH(C342,$C$358:$C$410,0))</f>
        <v>9142</v>
      </c>
      <c r="E342" s="5430">
        <f t="shared" si="70"/>
        <v>-8281</v>
      </c>
      <c r="F342" s="5431">
        <f t="shared" si="69"/>
        <v>8281</v>
      </c>
      <c r="G342" s="5432">
        <f t="shared" si="72"/>
        <v>0.905819295558959</v>
      </c>
      <c r="H342" s="5430" t="str">
        <f t="shared" si="71"/>
        <v>SMANJENJE</v>
      </c>
      <c r="I342" s="5365"/>
      <c r="J342" s="5365"/>
      <c r="K342" s="5365"/>
      <c r="L342" s="5365"/>
      <c r="M342" s="5365"/>
      <c r="N342" s="5365"/>
      <c r="O342" s="5365"/>
      <c r="P342" s="5365"/>
    </row>
    <row r="343" spans="1:16">
      <c r="A343" s="5428" t="str">
        <f>IF(C343=0,"-","I_P5")</f>
        <v>-</v>
      </c>
      <c r="B343" s="5429" t="str">
        <f>INDEX($B$358:$B$410,MATCH(C343,$C$358:$C$410,0))</f>
        <v>Dobit/(gubitak) prije oporezivanja (AOP 501)</v>
      </c>
      <c r="C343" s="5470">
        <f>LARGE($C$358:$C$410,5)</f>
        <v>0</v>
      </c>
      <c r="D343" s="5471">
        <f>INDEX($D$358:$D$410,MATCH(C343,$C$358:$C$410,0))</f>
        <v>99242</v>
      </c>
      <c r="E343" s="5430">
        <f t="shared" si="70"/>
        <v>-99242</v>
      </c>
      <c r="F343" s="5431">
        <f t="shared" si="69"/>
        <v>99242</v>
      </c>
      <c r="G343" s="5432">
        <f t="shared" si="72"/>
        <v>1</v>
      </c>
      <c r="H343" s="5430" t="str">
        <f t="shared" si="71"/>
        <v>SMANJENJE</v>
      </c>
      <c r="I343" s="5365"/>
      <c r="J343" s="5365"/>
      <c r="K343" s="5365"/>
      <c r="L343" s="5365"/>
      <c r="M343" s="5365"/>
      <c r="N343" s="5365"/>
      <c r="O343" s="5365"/>
      <c r="P343" s="5365"/>
    </row>
    <row r="344" spans="1:16">
      <c r="A344" s="5458"/>
      <c r="B344" s="5429" t="s">
        <v>255</v>
      </c>
      <c r="C344" s="5470">
        <f>C345-SUM(C339:C343)</f>
        <v>0</v>
      </c>
      <c r="D344" s="5470">
        <f>D345-SUM(D339:D343)</f>
        <v>4107</v>
      </c>
      <c r="E344" s="5430">
        <f t="shared" si="70"/>
        <v>-4107</v>
      </c>
      <c r="F344" s="5431">
        <f t="shared" si="69"/>
        <v>4107</v>
      </c>
      <c r="G344" s="5432">
        <f t="shared" si="72"/>
        <v>1</v>
      </c>
      <c r="H344" s="5430" t="str">
        <f t="shared" si="71"/>
        <v>SMANJENJE</v>
      </c>
      <c r="I344" s="5365"/>
      <c r="J344" s="5365"/>
      <c r="K344" s="5365"/>
      <c r="L344" s="5365"/>
      <c r="M344" s="5365"/>
      <c r="N344" s="5365"/>
      <c r="O344" s="5365"/>
      <c r="P344" s="5365"/>
    </row>
    <row r="345" spans="1:16">
      <c r="A345" s="5459"/>
      <c r="B345" s="5507" t="s">
        <v>256</v>
      </c>
      <c r="C345" s="5474">
        <f>C411</f>
        <v>164193</v>
      </c>
      <c r="D345" s="5474">
        <f>D411</f>
        <v>130337</v>
      </c>
      <c r="E345" s="5436">
        <f t="shared" si="70"/>
        <v>33856</v>
      </c>
      <c r="F345" s="5463">
        <f t="shared" si="69"/>
        <v>33856</v>
      </c>
      <c r="G345" s="5475">
        <f t="shared" si="72"/>
        <v>0.259757398129464</v>
      </c>
      <c r="H345" s="5436" t="str">
        <f t="shared" si="71"/>
        <v>POVEĆANJE</v>
      </c>
      <c r="I345" s="5365"/>
      <c r="J345" s="5365"/>
      <c r="K345" s="5365"/>
      <c r="L345" s="5365"/>
      <c r="M345" s="5365"/>
      <c r="N345" s="5365"/>
      <c r="O345" s="5365"/>
      <c r="P345" s="5365"/>
    </row>
    <row r="346" ht="15" spans="1:16">
      <c r="A346" s="5417" t="s">
        <v>257</v>
      </c>
      <c r="B346" s="5365"/>
      <c r="C346" s="5394"/>
      <c r="D346" s="5394"/>
      <c r="E346" s="5365"/>
      <c r="F346" s="5365"/>
      <c r="G346" s="5365"/>
      <c r="H346" s="5365"/>
      <c r="I346" s="5365"/>
      <c r="J346" s="5365"/>
      <c r="K346" s="5365"/>
      <c r="L346" s="5365"/>
      <c r="M346" s="5365"/>
      <c r="N346" s="5365"/>
      <c r="O346" s="5365"/>
      <c r="P346" s="5365"/>
    </row>
    <row r="347" ht="17.25" customHeight="1" spans="1:16">
      <c r="A347" s="5420"/>
      <c r="B347" s="5420" t="s">
        <v>2420</v>
      </c>
      <c r="C347" s="5421" t="s">
        <v>16</v>
      </c>
      <c r="D347" s="5421" t="s">
        <v>17</v>
      </c>
      <c r="E347" s="5422" t="s">
        <v>18</v>
      </c>
      <c r="F347" s="5422" t="s">
        <v>19</v>
      </c>
      <c r="G347" s="5422" t="s">
        <v>20</v>
      </c>
      <c r="H347" s="5422"/>
      <c r="I347" s="5365"/>
      <c r="J347" s="5365"/>
      <c r="K347" s="5365"/>
      <c r="L347" s="5365"/>
      <c r="M347" s="5365"/>
      <c r="N347" s="5365"/>
      <c r="O347" s="5365"/>
      <c r="P347" s="5365"/>
    </row>
    <row r="348" ht="14.25" customHeight="1" spans="1:16">
      <c r="A348" s="5428" t="str">
        <f>IF(C348=0,"-","I_O1")</f>
        <v>I_O1</v>
      </c>
      <c r="B348" s="5424" t="str">
        <f>INDEX($B$413:$B$459,MATCH(C348,$C$413:$C$459,0))</f>
        <v>Dobit/(gubitak) prije oporezivanja (AOP 501)</v>
      </c>
      <c r="C348" s="5467">
        <f>MAX(C413:C459)</f>
        <v>59197</v>
      </c>
      <c r="D348" s="5467">
        <f>INDEX($D$413:D$459,MATCH(C348,$C$413:$C$459,0))</f>
        <v>0</v>
      </c>
      <c r="E348" s="5425">
        <f>C348-D348</f>
        <v>59197</v>
      </c>
      <c r="F348" s="5426">
        <f t="shared" ref="F348:F354" si="73">IF(E348&lt;0,E348*-1,E348)</f>
        <v>59197</v>
      </c>
      <c r="G348" s="5427">
        <f t="shared" ref="G348:G354" si="74">IFERROR(F348/D348,0)</f>
        <v>0</v>
      </c>
      <c r="H348" s="5425" t="str">
        <f>IF(E348&lt;0,"SMANJENJE","POVEĆANJE")</f>
        <v>POVEĆANJE</v>
      </c>
      <c r="I348" s="5365"/>
      <c r="J348" s="5365"/>
      <c r="K348" s="5365"/>
      <c r="L348" s="5365"/>
      <c r="M348" s="5365"/>
      <c r="N348" s="5365"/>
      <c r="O348" s="5365"/>
      <c r="P348" s="5365"/>
    </row>
    <row r="349" ht="14.25" customHeight="1" spans="1:16">
      <c r="A349" s="5428" t="str">
        <f>IF(C349=0,"-","I_O2")</f>
        <v>I_O2</v>
      </c>
      <c r="B349" s="5429" t="str">
        <f>INDEX($B$413:$B$459,MATCH(C349,$C$413:$C$459,0))</f>
        <v>Smanjenje/(povećanje) ostale imovine i potraživanja (AOP 528)</v>
      </c>
      <c r="C349" s="5470">
        <f>LARGE($C$413:C$459,2)</f>
        <v>57791</v>
      </c>
      <c r="D349" s="5470">
        <f>INDEX($D$413:D$459,MATCH(C349,$C$413:$C$459,0))</f>
        <v>59248</v>
      </c>
      <c r="E349" s="5430">
        <f t="shared" ref="E349:E354" si="75">C349-D349</f>
        <v>-1457</v>
      </c>
      <c r="F349" s="5431">
        <f t="shared" si="73"/>
        <v>1457</v>
      </c>
      <c r="G349" s="5432">
        <f t="shared" si="74"/>
        <v>0.0245915473940049</v>
      </c>
      <c r="H349" s="5430" t="str">
        <f t="shared" ref="H349:H354" si="76">IF(E349&lt;0,"SMANJENJE","POVEĆANJE")</f>
        <v>SMANJENJE</v>
      </c>
      <c r="I349" s="5365"/>
      <c r="J349" s="5365"/>
      <c r="K349" s="5365"/>
      <c r="L349" s="5365"/>
      <c r="M349" s="5365"/>
      <c r="N349" s="5365"/>
      <c r="O349" s="5365"/>
      <c r="P349" s="5365"/>
    </row>
    <row r="350" spans="1:16">
      <c r="A350" s="5428" t="str">
        <f>IF(C350=0,"-","I_O3")</f>
        <v>I_O3</v>
      </c>
      <c r="B350" s="5429" t="str">
        <f>INDEX($B$413:$B$459,MATCH(C350,$C$413:$C$459,0))</f>
        <v>Povećanje/(smanjenje) obaveza prema dobavljačima  (AOP 530)</v>
      </c>
      <c r="C350" s="5470">
        <f>LARGE($C$413:C$459,3)</f>
        <v>41326</v>
      </c>
      <c r="D350" s="5470">
        <f>INDEX($D$413:D$459,MATCH(C350,$C$413:$C$459,0))</f>
        <v>0</v>
      </c>
      <c r="E350" s="5430">
        <f t="shared" si="75"/>
        <v>41326</v>
      </c>
      <c r="F350" s="5431">
        <f t="shared" si="73"/>
        <v>41326</v>
      </c>
      <c r="G350" s="5432">
        <f t="shared" si="74"/>
        <v>0</v>
      </c>
      <c r="H350" s="5430" t="str">
        <f t="shared" si="76"/>
        <v>POVEĆANJE</v>
      </c>
      <c r="I350" s="5365"/>
      <c r="J350" s="5365"/>
      <c r="K350" s="5365"/>
      <c r="L350" s="5365"/>
      <c r="M350" s="5365"/>
      <c r="N350" s="5365"/>
      <c r="O350" s="5365"/>
      <c r="P350" s="5365"/>
    </row>
    <row r="351" spans="1:16">
      <c r="A351" s="5428" t="str">
        <f>IF(C351=0,"-","I_O4")</f>
        <v>I_O4</v>
      </c>
      <c r="B351" s="5429" t="str">
        <f>INDEX($B$413:$B$459,MATCH(C351,$C$413:$C$459,0))</f>
        <v>Prihodi od kamata i finansijskog najma priznati u bilansu uspjeha (AOP 524)</v>
      </c>
      <c r="C351" s="5470">
        <f>LARGE($C$413:C$459,4)</f>
        <v>1319</v>
      </c>
      <c r="D351" s="5470">
        <f>INDEX($D$413:D$459,MATCH(C351,$C$413:$C$459,0))</f>
        <v>3942</v>
      </c>
      <c r="E351" s="5430">
        <f t="shared" si="75"/>
        <v>-2623</v>
      </c>
      <c r="F351" s="5431">
        <f t="shared" si="73"/>
        <v>2623</v>
      </c>
      <c r="G351" s="5432">
        <f t="shared" si="74"/>
        <v>0.665398274987316</v>
      </c>
      <c r="H351" s="5430" t="str">
        <f t="shared" si="76"/>
        <v>SMANJENJE</v>
      </c>
      <c r="I351" s="5365"/>
      <c r="J351" s="5365"/>
      <c r="K351" s="5365"/>
      <c r="L351" s="5365"/>
      <c r="M351" s="5365"/>
      <c r="N351" s="5365"/>
      <c r="O351" s="5365"/>
      <c r="P351" s="5365"/>
    </row>
    <row r="352" spans="1:16">
      <c r="A352" s="5428" t="str">
        <f>IF(C352=0,"-","I_O5")</f>
        <v>-</v>
      </c>
      <c r="B352" s="5429" t="str">
        <f>INDEX($B$413:$B$459,MATCH(C352,$C$413:$C$459,0))</f>
        <v>(Dobit)/gubitak od otuđenja nekretnina, postrojenja i opreme, neto (AOP 503)</v>
      </c>
      <c r="C352" s="5470">
        <f>LARGE($C$413:C$459,5)</f>
        <v>0</v>
      </c>
      <c r="D352" s="5470">
        <f>INDEX($D$413:D$459,MATCH(C352,$C$413:$C$459,0))</f>
        <v>0</v>
      </c>
      <c r="E352" s="5430">
        <f t="shared" si="75"/>
        <v>0</v>
      </c>
      <c r="F352" s="5431">
        <f t="shared" si="73"/>
        <v>0</v>
      </c>
      <c r="G352" s="5432">
        <f t="shared" si="74"/>
        <v>0</v>
      </c>
      <c r="H352" s="5430" t="str">
        <f t="shared" si="76"/>
        <v>POVEĆANJE</v>
      </c>
      <c r="I352" s="5365"/>
      <c r="J352" s="5365"/>
      <c r="K352" s="5365"/>
      <c r="L352" s="5365"/>
      <c r="M352" s="5365"/>
      <c r="N352" s="5365"/>
      <c r="O352" s="5365"/>
      <c r="P352" s="5365"/>
    </row>
    <row r="353" spans="1:16">
      <c r="A353" s="5458"/>
      <c r="B353" s="5429" t="s">
        <v>262</v>
      </c>
      <c r="C353" s="5470">
        <f>C354-SUM(C348:C352)</f>
        <v>0</v>
      </c>
      <c r="D353" s="5470">
        <f>D354-SUM(D348:D352)</f>
        <v>54822</v>
      </c>
      <c r="E353" s="5430">
        <f t="shared" si="75"/>
        <v>-54822</v>
      </c>
      <c r="F353" s="5431">
        <f t="shared" si="73"/>
        <v>54822</v>
      </c>
      <c r="G353" s="5432">
        <f t="shared" si="74"/>
        <v>1</v>
      </c>
      <c r="H353" s="5430" t="str">
        <f t="shared" si="76"/>
        <v>SMANJENJE</v>
      </c>
      <c r="I353" s="5365"/>
      <c r="J353" s="5365"/>
      <c r="K353" s="5365"/>
      <c r="L353" s="5365"/>
      <c r="M353" s="5365"/>
      <c r="N353" s="5365"/>
      <c r="O353" s="5365"/>
      <c r="P353" s="5365"/>
    </row>
    <row r="354" spans="1:16">
      <c r="A354" s="5459"/>
      <c r="B354" s="5507" t="s">
        <v>263</v>
      </c>
      <c r="C354" s="5474">
        <f>C460</f>
        <v>159633</v>
      </c>
      <c r="D354" s="5474">
        <f>D460</f>
        <v>118012</v>
      </c>
      <c r="E354" s="5436">
        <f t="shared" si="75"/>
        <v>41621</v>
      </c>
      <c r="F354" s="5463">
        <f t="shared" si="73"/>
        <v>41621</v>
      </c>
      <c r="G354" s="5475">
        <f t="shared" si="74"/>
        <v>0.352684472765481</v>
      </c>
      <c r="H354" s="5436" t="str">
        <f t="shared" si="76"/>
        <v>POVEĆANJE</v>
      </c>
      <c r="I354" s="5365"/>
      <c r="J354" s="5365"/>
      <c r="K354" s="5365"/>
      <c r="L354" s="5365"/>
      <c r="M354" s="5365"/>
      <c r="N354" s="5365"/>
      <c r="O354" s="5365"/>
      <c r="P354" s="5365"/>
    </row>
    <row r="355" spans="1:16">
      <c r="A355" s="5365"/>
      <c r="B355" s="5365"/>
      <c r="C355" s="5394"/>
      <c r="D355" s="5394"/>
      <c r="E355" s="5365"/>
      <c r="F355" s="5365"/>
      <c r="G355" s="5365"/>
      <c r="H355" s="5365"/>
      <c r="I355" s="5365"/>
      <c r="J355" s="5365"/>
      <c r="K355" s="5365"/>
      <c r="L355" s="5365"/>
      <c r="M355" s="5365"/>
      <c r="N355" s="5365"/>
      <c r="O355" s="5365"/>
      <c r="P355" s="5365"/>
    </row>
    <row r="356" spans="1:16">
      <c r="A356" s="5365"/>
      <c r="B356" s="5365"/>
      <c r="C356" s="5394"/>
      <c r="D356" s="5394"/>
      <c r="E356" s="5365"/>
      <c r="F356" s="5365"/>
      <c r="G356" s="5365"/>
      <c r="H356" s="5365"/>
      <c r="I356" s="5365"/>
      <c r="J356" s="5365"/>
      <c r="K356" s="5365"/>
      <c r="L356" s="5365"/>
      <c r="M356" s="5365"/>
      <c r="N356" s="5365"/>
      <c r="O356" s="5365"/>
      <c r="P356" s="5365"/>
    </row>
    <row r="357" s="5364" customFormat="1" ht="18" customHeight="1" spans="1:16">
      <c r="A357" s="5420"/>
      <c r="B357" s="5513" t="s">
        <v>2421</v>
      </c>
      <c r="C357" s="5421" t="s">
        <v>16</v>
      </c>
      <c r="D357" s="5421" t="s">
        <v>17</v>
      </c>
      <c r="E357" s="5421" t="s">
        <v>25</v>
      </c>
      <c r="F357" s="5365"/>
      <c r="G357" s="5365"/>
      <c r="H357" s="5365"/>
      <c r="I357" s="5365"/>
      <c r="J357" s="5365"/>
      <c r="K357" s="5365"/>
      <c r="L357" s="5365"/>
      <c r="M357" s="5365"/>
      <c r="N357" s="5365"/>
      <c r="O357" s="5365"/>
      <c r="P357" s="5365"/>
    </row>
    <row r="358" ht="15.75" spans="1:16">
      <c r="A358" s="5518" t="str">
        <f>GotTok_Indirekt!AC21</f>
        <v>( + )( - )</v>
      </c>
      <c r="B358" s="5519" t="str">
        <f>GotTok_Indirekt!D21&amp;" (AOP "&amp;GotTok_Indirekt!AF21&amp;GotTok_Indirekt!AG21&amp;GotTok_Indirekt!AH21&amp;")"</f>
        <v>Dobit/(gubitak) prije oporezivanja (AOP 501)</v>
      </c>
      <c r="C358" s="496">
        <f>IF(GotTok_Indirekt!AI21&lt;0,0,GotTok_Indirekt!AI21)</f>
        <v>0</v>
      </c>
      <c r="D358" s="496">
        <f>IF(GotTok_Indirekt!AP21&lt;0,0,GotTok_Indirekt!AP21)</f>
        <v>99242</v>
      </c>
      <c r="E358" s="5451" t="str">
        <f>IF(C358=0,"-",IFERROR(INDEX($A$339:$A$341,MATCH(C358,$C$339:$C$341,0)),"-"))</f>
        <v>-</v>
      </c>
      <c r="F358" s="5365"/>
      <c r="G358" s="5365"/>
      <c r="H358" s="5365"/>
      <c r="I358" s="5365"/>
      <c r="J358" s="5365"/>
      <c r="K358" s="5365"/>
      <c r="L358" s="5365"/>
      <c r="M358" s="5365"/>
      <c r="N358" s="5365"/>
      <c r="O358" s="5365"/>
      <c r="P358" s="5365"/>
    </row>
    <row r="359" ht="15.75" spans="1:16">
      <c r="A359" s="5518" t="str">
        <f>GotTok_Indirekt!AC23</f>
        <v>( + )</v>
      </c>
      <c r="B359" s="5519" t="str">
        <f>GotTok_Indirekt!D23&amp;" (AOP "&amp;GotTok_Indirekt!AF23&amp;GotTok_Indirekt!AG23&amp;GotTok_Indirekt!AH23&amp;")"</f>
        <v>Amortizacija (AOP 502)</v>
      </c>
      <c r="C359" s="496">
        <f>IF(GotTok_Indirekt!AI23&lt;0,0,GotTok_Indirekt!AI23)</f>
        <v>4549</v>
      </c>
      <c r="D359" s="496">
        <f>IF(GotTok_Indirekt!AP23&lt;0,0,GotTok_Indirekt!AP23)</f>
        <v>5172</v>
      </c>
      <c r="E359" s="5451" t="str">
        <f t="shared" ref="E359:E375" si="77">IF(C359=0,"-",IFERROR(INDEX($A$339:$A$341,MATCH(C359,$C$339:$C$341,0)),"-"))</f>
        <v>I_P2</v>
      </c>
      <c r="F359" s="5365"/>
      <c r="G359" s="5365"/>
      <c r="H359" s="5365"/>
      <c r="I359" s="5365"/>
      <c r="J359" s="5365"/>
      <c r="K359" s="5365"/>
      <c r="L359" s="5365"/>
      <c r="M359" s="5365"/>
      <c r="N359" s="5365"/>
      <c r="O359" s="5365"/>
      <c r="P359" s="5365"/>
    </row>
    <row r="360" ht="15.75" spans="1:16">
      <c r="A360" s="5518" t="str">
        <f>GotTok_Indirekt!AC24</f>
        <v>( + )( - )</v>
      </c>
      <c r="B360" s="5519" t="str">
        <f>GotTok_Indirekt!D24&amp;" (AOP "&amp;GotTok_Indirekt!AF24&amp;GotTok_Indirekt!AG24&amp;GotTok_Indirekt!AH24&amp;")"</f>
        <v>(Dobit)/gubitak od otuđenja nekretnina, postrojenja i opreme, neto (AOP 503)</v>
      </c>
      <c r="C360" s="496">
        <f>IF(GotTok_Indirekt!AI24&lt;0,0,GotTok_Indirekt!AI24)</f>
        <v>0</v>
      </c>
      <c r="D360" s="496">
        <f>IF(GotTok_Indirekt!AP24&lt;0,0,GotTok_Indirekt!AP24)</f>
        <v>0</v>
      </c>
      <c r="E360" s="5451" t="str">
        <f t="shared" si="77"/>
        <v>-</v>
      </c>
      <c r="F360" s="5365"/>
      <c r="G360" s="5365"/>
      <c r="H360" s="5365"/>
      <c r="I360" s="5365"/>
      <c r="J360" s="5365"/>
      <c r="K360" s="5365"/>
      <c r="L360" s="5365"/>
      <c r="M360" s="5365"/>
      <c r="N360" s="5365"/>
      <c r="O360" s="5365"/>
      <c r="P360" s="5365"/>
    </row>
    <row r="361" ht="15.75" spans="1:16">
      <c r="A361" s="5518" t="str">
        <f>GotTok_Indirekt!AC25</f>
        <v>( + )( - )</v>
      </c>
      <c r="B361" s="5519" t="str">
        <f>GotTok_Indirekt!D25&amp;" (AOP "&amp;GotTok_Indirekt!AF25&amp;GotTok_Indirekt!AG25&amp;GotTok_Indirekt!AH25&amp;")"</f>
        <v>(Dobit)/gubitak od otuđenja ulaganja u investicijske nekretnine, neto (AOP 504)</v>
      </c>
      <c r="C361" s="496">
        <f>IF(GotTok_Indirekt!AI25&lt;0,0,GotTok_Indirekt!AI25)</f>
        <v>0</v>
      </c>
      <c r="D361" s="496">
        <f>IF(GotTok_Indirekt!AP25&lt;0,0,GotTok_Indirekt!AP25)</f>
        <v>0</v>
      </c>
      <c r="E361" s="5451" t="str">
        <f t="shared" si="77"/>
        <v>-</v>
      </c>
      <c r="F361" s="5365"/>
      <c r="G361" s="5365"/>
      <c r="H361" s="5365"/>
      <c r="I361" s="5365"/>
      <c r="J361" s="5365"/>
      <c r="K361" s="5365"/>
      <c r="L361" s="5365"/>
      <c r="M361" s="5365"/>
      <c r="N361" s="5365"/>
      <c r="O361" s="5365"/>
      <c r="P361" s="5365"/>
    </row>
    <row r="362" ht="15.75" spans="1:16">
      <c r="A362" s="5518" t="str">
        <f>GotTok_Indirekt!AC26</f>
        <v>( + )( - )</v>
      </c>
      <c r="B362" s="5519" t="str">
        <f>GotTok_Indirekt!D26&amp;" (AOP "&amp;GotTok_Indirekt!AF26&amp;GotTok_Indirekt!AG26&amp;GotTok_Indirekt!AH26&amp;")"</f>
        <v>(Dobit)/gubitak od otuđenja nematerijalne imovine, neto (AOP 505)</v>
      </c>
      <c r="C362" s="496">
        <f>IF(GotTok_Indirekt!AI26&lt;0,0,GotTok_Indirekt!AI26)</f>
        <v>0</v>
      </c>
      <c r="D362" s="496">
        <f>IF(GotTok_Indirekt!AP26&lt;0,0,GotTok_Indirekt!AP26)</f>
        <v>0</v>
      </c>
      <c r="E362" s="5451" t="str">
        <f t="shared" si="77"/>
        <v>-</v>
      </c>
      <c r="F362" s="5365"/>
      <c r="G362" s="5365"/>
      <c r="H362" s="5365"/>
      <c r="I362" s="5365"/>
      <c r="J362" s="5365"/>
      <c r="K362" s="5365"/>
      <c r="L362" s="5365"/>
      <c r="M362" s="5365"/>
      <c r="N362" s="5365"/>
      <c r="O362" s="5365"/>
      <c r="P362" s="5365"/>
    </row>
    <row r="363" ht="15.75" spans="1:16">
      <c r="A363" s="5518" t="str">
        <f>GotTok_Indirekt!AC27</f>
        <v>( + )( - )</v>
      </c>
      <c r="B363" s="5519" t="str">
        <f>GotTok_Indirekt!D27&amp;" (AOP "&amp;GotTok_Indirekt!AF27&amp;GotTok_Indirekt!AG27&amp;GotTok_Indirekt!AH27&amp;")"</f>
        <v>(Dobit)/gubitak od dugoročne imovine namijenjene prodaji, neto (AOP 506)</v>
      </c>
      <c r="C363" s="496">
        <f>IF(GotTok_Indirekt!AI27&lt;0,0,GotTok_Indirekt!AI27)</f>
        <v>0</v>
      </c>
      <c r="D363" s="496">
        <f>IF(GotTok_Indirekt!AP27&lt;0,0,GotTok_Indirekt!AP27)</f>
        <v>0</v>
      </c>
      <c r="E363" s="5451" t="str">
        <f t="shared" si="77"/>
        <v>-</v>
      </c>
      <c r="F363" s="5365"/>
      <c r="G363" s="5365"/>
      <c r="H363" s="5365"/>
      <c r="I363" s="5365"/>
      <c r="J363" s="5365"/>
      <c r="K363" s="5365"/>
      <c r="L363" s="5365"/>
      <c r="M363" s="5365"/>
      <c r="N363" s="5365"/>
      <c r="O363" s="5365"/>
      <c r="P363" s="5365"/>
    </row>
    <row r="364" ht="15.75" spans="1:16">
      <c r="A364" s="5518" t="str">
        <f>GotTok_Indirekt!AC28</f>
        <v>( + )</v>
      </c>
      <c r="B364" s="5519" t="str">
        <f>GotTok_Indirekt!D28&amp;" (AOP "&amp;GotTok_Indirekt!AF28&amp;GotTok_Indirekt!AG28&amp;GotTok_Indirekt!AH28&amp;")"</f>
        <v>Umanjenje vrijednosti nekretnina, postrojenja i opreme (AOP 507)</v>
      </c>
      <c r="C364" s="496">
        <f>IF(GotTok_Indirekt!AI28&lt;0,0,GotTok_Indirekt!AI28)</f>
        <v>0</v>
      </c>
      <c r="D364" s="496">
        <f>IF(GotTok_Indirekt!AP28&lt;0,0,GotTok_Indirekt!AP28)</f>
        <v>0</v>
      </c>
      <c r="E364" s="5451" t="str">
        <f t="shared" si="77"/>
        <v>-</v>
      </c>
      <c r="F364" s="5365"/>
      <c r="G364" s="5365"/>
      <c r="H364" s="5365"/>
      <c r="I364" s="5365"/>
      <c r="J364" s="5365"/>
      <c r="K364" s="5365"/>
      <c r="L364" s="5365"/>
      <c r="M364" s="5365"/>
      <c r="N364" s="5365"/>
      <c r="O364" s="5365"/>
      <c r="P364" s="5365"/>
    </row>
    <row r="365" ht="15.75" spans="1:16">
      <c r="A365" s="5518" t="str">
        <f>GotTok_Indirekt!AC29</f>
        <v>( + )</v>
      </c>
      <c r="B365" s="5519" t="str">
        <f>GotTok_Indirekt!D29&amp;" (AOP "&amp;GotTok_Indirekt!AF29&amp;GotTok_Indirekt!AG29&amp;GotTok_Indirekt!AH29&amp;")"</f>
        <v>Umanjenje vrijednosti investicijskih nekretnina (AOP 508)</v>
      </c>
      <c r="C365" s="496">
        <f>IF(GotTok_Indirekt!AI29&lt;0,0,GotTok_Indirekt!AI29)</f>
        <v>0</v>
      </c>
      <c r="D365" s="496">
        <f>IF(GotTok_Indirekt!AP29&lt;0,0,GotTok_Indirekt!AP29)</f>
        <v>0</v>
      </c>
      <c r="E365" s="5451" t="str">
        <f t="shared" si="77"/>
        <v>-</v>
      </c>
      <c r="F365" s="5365"/>
      <c r="G365" s="5365"/>
      <c r="H365" s="5365"/>
      <c r="I365" s="5365"/>
      <c r="J365" s="5365"/>
      <c r="K365" s="5365"/>
      <c r="L365" s="5365"/>
      <c r="M365" s="5365"/>
      <c r="N365" s="5365"/>
      <c r="O365" s="5365"/>
      <c r="P365" s="5365"/>
    </row>
    <row r="366" ht="15.75" spans="1:16">
      <c r="A366" s="5518" t="str">
        <f>GotTok_Indirekt!AC30</f>
        <v>( + )</v>
      </c>
      <c r="B366" s="5519" t="str">
        <f>GotTok_Indirekt!D30&amp;" (AOP "&amp;GotTok_Indirekt!AF30&amp;GotTok_Indirekt!AG30&amp;GotTok_Indirekt!AH30&amp;")"</f>
        <v>Umanjenje vrijednosti nematerijalne imovine (AOP 509)</v>
      </c>
      <c r="C366" s="496">
        <f>IF(GotTok_Indirekt!AI30&lt;0,0,GotTok_Indirekt!AI30)</f>
        <v>0</v>
      </c>
      <c r="D366" s="496">
        <f>IF(GotTok_Indirekt!AP30&lt;0,0,GotTok_Indirekt!AP30)</f>
        <v>0</v>
      </c>
      <c r="E366" s="5451" t="str">
        <f t="shared" si="77"/>
        <v>-</v>
      </c>
      <c r="F366" s="5365"/>
      <c r="G366" s="5365"/>
      <c r="H366" s="5365"/>
      <c r="I366" s="5365"/>
      <c r="J366" s="5365"/>
      <c r="K366" s="5365"/>
      <c r="L366" s="5365"/>
      <c r="M366" s="5365"/>
      <c r="N366" s="5365"/>
      <c r="O366" s="5365"/>
      <c r="P366" s="5365"/>
    </row>
    <row r="367" ht="15.75" spans="1:16">
      <c r="A367" s="5518" t="str">
        <f>GotTok_Indirekt!AC31</f>
        <v>( + )( - )</v>
      </c>
      <c r="B367" s="5519" t="str">
        <f>GotTok_Indirekt!D31&amp;" (AOP "&amp;GotTok_Indirekt!AF31&amp;GotTok_Indirekt!AG31&amp;GotTok_Indirekt!AH31&amp;")"</f>
        <v>Efekti promjene fer vrijednosti ulaganja u investicijske nekretnine, neto (AOP 510)</v>
      </c>
      <c r="C367" s="496">
        <f>IF(GotTok_Indirekt!AI31&lt;0,0,GotTok_Indirekt!AI31)</f>
        <v>0</v>
      </c>
      <c r="D367" s="496">
        <f>IF(GotTok_Indirekt!AP31&lt;0,0,GotTok_Indirekt!AP31)</f>
        <v>0</v>
      </c>
      <c r="E367" s="5451" t="str">
        <f t="shared" si="77"/>
        <v>-</v>
      </c>
      <c r="F367" s="5365"/>
      <c r="G367" s="5365"/>
      <c r="H367" s="5365"/>
      <c r="I367" s="5365"/>
      <c r="J367" s="5365"/>
      <c r="K367" s="5365"/>
      <c r="L367" s="5365"/>
      <c r="M367" s="5365"/>
      <c r="N367" s="5365"/>
      <c r="O367" s="5365"/>
      <c r="P367" s="5365"/>
    </row>
    <row r="368" ht="15.75" spans="1:16">
      <c r="A368" s="5518" t="str">
        <f>GotTok_Indirekt!AC32</f>
        <v>( + )( - )</v>
      </c>
      <c r="B368" s="5519" t="str">
        <f>GotTok_Indirekt!D32&amp;" (AOP "&amp;GotTok_Indirekt!AF32&amp;GotTok_Indirekt!AG32&amp;GotTok_Indirekt!AH32&amp;")"</f>
        <v>Efekti promjene fer vrijednosti biološke imovine, neto (AOP 511)</v>
      </c>
      <c r="C368" s="496">
        <f>IF(GotTok_Indirekt!AI32&lt;0,0,GotTok_Indirekt!AI32)</f>
        <v>0</v>
      </c>
      <c r="D368" s="496">
        <f>IF(GotTok_Indirekt!AP32&lt;0,0,GotTok_Indirekt!AP32)</f>
        <v>0</v>
      </c>
      <c r="E368" s="5451" t="str">
        <f t="shared" si="77"/>
        <v>-</v>
      </c>
      <c r="F368" s="5365"/>
      <c r="G368" s="5365"/>
      <c r="H368" s="5365"/>
      <c r="I368" s="5365"/>
      <c r="J368" s="5365"/>
      <c r="K368" s="5365"/>
      <c r="L368" s="5365"/>
      <c r="M368" s="5365"/>
      <c r="N368" s="5365"/>
      <c r="O368" s="5365"/>
      <c r="P368" s="5365"/>
    </row>
    <row r="369" ht="15.75" spans="1:16">
      <c r="A369" s="5518" t="str">
        <f>GotTok_Indirekt!AC33</f>
        <v>( + )( - )</v>
      </c>
      <c r="B369" s="5519" t="str">
        <f>GotTok_Indirekt!D33&amp;" (AOP "&amp;GotTok_Indirekt!AF33&amp;GotTok_Indirekt!AG33&amp;GotTok_Indirekt!AH33&amp;")"</f>
        <v>Efekti promjene vrijednosti instrumenata kapitala po fer vrijednosti kroz bilans uspjeha  (AOP 512)</v>
      </c>
      <c r="C369" s="496">
        <f>IF(GotTok_Indirekt!AI33&lt;0,0,GotTok_Indirekt!AI33)</f>
        <v>0</v>
      </c>
      <c r="D369" s="496">
        <f>IF(GotTok_Indirekt!AP33&lt;0,0,GotTok_Indirekt!AP33)</f>
        <v>0</v>
      </c>
      <c r="E369" s="5451" t="str">
        <f t="shared" si="77"/>
        <v>-</v>
      </c>
      <c r="F369" s="5365"/>
      <c r="G369" s="5365"/>
      <c r="H369" s="5365"/>
      <c r="I369" s="5365"/>
      <c r="J369" s="5365"/>
      <c r="K369" s="5365"/>
      <c r="L369" s="5365"/>
      <c r="M369" s="5365"/>
      <c r="N369" s="5365"/>
      <c r="O369" s="5365"/>
      <c r="P369" s="5365"/>
    </row>
    <row r="370" ht="15.75" spans="1:16">
      <c r="A370" s="5518" t="str">
        <f>GotTok_Indirekt!AC34</f>
        <v>( + )( - )</v>
      </c>
      <c r="B370" s="5519" t="str">
        <f>GotTok_Indirekt!D34&amp;" (AOP "&amp;GotTok_Indirekt!AF34&amp;GotTok_Indirekt!AG34&amp;GotTok_Indirekt!AH34&amp;")"</f>
        <v>(Dobit)/gubitak od prodaje dužničkih instrumenata po fer vrijednosti kroz ostali ukupni rezultat, neto (AOP 513)</v>
      </c>
      <c r="C370" s="496">
        <f>IF(GotTok_Indirekt!AI34&lt;0,0,GotTok_Indirekt!AI34)</f>
        <v>0</v>
      </c>
      <c r="D370" s="496">
        <f>IF(GotTok_Indirekt!AP34&lt;0,0,GotTok_Indirekt!AP34)</f>
        <v>0</v>
      </c>
      <c r="E370" s="5451" t="str">
        <f t="shared" si="77"/>
        <v>-</v>
      </c>
      <c r="F370" s="5365"/>
      <c r="G370" s="5365"/>
      <c r="H370" s="5365"/>
      <c r="I370" s="5365"/>
      <c r="J370" s="5365"/>
      <c r="K370" s="5365"/>
      <c r="L370" s="5365"/>
      <c r="M370" s="5365"/>
      <c r="N370" s="5365"/>
      <c r="O370" s="5365"/>
      <c r="P370" s="5365"/>
    </row>
    <row r="371" ht="15.75" spans="1:16">
      <c r="A371" s="5518" t="str">
        <f>GotTok_Indirekt!AC35</f>
        <v>( + )( - )</v>
      </c>
      <c r="B371" s="5519" t="str">
        <f>GotTok_Indirekt!D35&amp;" (AOP "&amp;GotTok_Indirekt!AF35&amp;GotTok_Indirekt!AG35&amp;GotTok_Indirekt!AH35&amp;")"</f>
        <v>(Otpuštanje)/Ispravka vrijednosti za gubitke od dužničkih instrumenata po fer vrijednosti kroz ostali ukupni rezultat, neto (AOP 514)</v>
      </c>
      <c r="C371" s="496">
        <f>IF(GotTok_Indirekt!AI35&lt;0,0,GotTok_Indirekt!AI35)</f>
        <v>0</v>
      </c>
      <c r="D371" s="496">
        <f>IF(GotTok_Indirekt!AP35&lt;0,0,GotTok_Indirekt!AP35)</f>
        <v>0</v>
      </c>
      <c r="E371" s="5451" t="str">
        <f t="shared" si="77"/>
        <v>-</v>
      </c>
      <c r="F371" s="5365"/>
      <c r="G371" s="5365"/>
      <c r="H371" s="5365"/>
      <c r="I371" s="5365"/>
      <c r="J371" s="5365"/>
      <c r="K371" s="5365"/>
      <c r="L371" s="5365"/>
      <c r="M371" s="5365"/>
      <c r="N371" s="5365"/>
      <c r="O371" s="5365"/>
      <c r="P371" s="5365"/>
    </row>
    <row r="372" ht="15.75" spans="1:16">
      <c r="A372" s="5518" t="str">
        <f>GotTok_Indirekt!AC36</f>
        <v>( + )( - )</v>
      </c>
      <c r="B372" s="5519" t="str">
        <f>GotTok_Indirekt!D36&amp;" (AOP "&amp;GotTok_Indirekt!AF36&amp;GotTok_Indirekt!AG36&amp;GotTok_Indirekt!AH36&amp;")"</f>
        <v>(Otpuštanje)/Ispravka vrijednosti za gubitke od potraživanja od kupaca, neto (AOP 515)</v>
      </c>
      <c r="C372" s="496">
        <f>IF(GotTok_Indirekt!AI36&lt;0,0,GotTok_Indirekt!AI36)</f>
        <v>0</v>
      </c>
      <c r="D372" s="496">
        <f>IF(GotTok_Indirekt!AP36&lt;0,0,GotTok_Indirekt!AP36)</f>
        <v>0</v>
      </c>
      <c r="E372" s="5451" t="str">
        <f t="shared" si="77"/>
        <v>-</v>
      </c>
      <c r="F372" s="5365"/>
      <c r="G372" s="5365"/>
      <c r="H372" s="5365"/>
      <c r="I372" s="5365"/>
      <c r="J372" s="5365"/>
      <c r="K372" s="5365"/>
      <c r="L372" s="5365"/>
      <c r="M372" s="5365"/>
      <c r="N372" s="5365"/>
      <c r="O372" s="5365"/>
      <c r="P372" s="5365"/>
    </row>
    <row r="373" ht="15.75" spans="1:16">
      <c r="A373" s="5518" t="str">
        <f>GotTok_Indirekt!AC37</f>
        <v>( + )( - )</v>
      </c>
      <c r="B373" s="5519" t="str">
        <f>GotTok_Indirekt!D37&amp;" (AOP "&amp;GotTok_Indirekt!AF37&amp;GotTok_Indirekt!AG37&amp;GotTok_Indirekt!AH37&amp;")"</f>
        <v>(Otpuštanje)/Ispravka vrijednosti za gubitke od ugovorne imovine, neto (AOP 516)</v>
      </c>
      <c r="C373" s="496">
        <f>IF(GotTok_Indirekt!AI37&lt;0,0,GotTok_Indirekt!AI37)</f>
        <v>0</v>
      </c>
      <c r="D373" s="496">
        <f>IF(GotTok_Indirekt!AP37&lt;0,0,GotTok_Indirekt!AP37)</f>
        <v>0</v>
      </c>
      <c r="E373" s="5451" t="str">
        <f t="shared" si="77"/>
        <v>-</v>
      </c>
      <c r="F373" s="5365"/>
      <c r="G373" s="5365"/>
      <c r="H373" s="5365"/>
      <c r="I373" s="5365"/>
      <c r="J373" s="5365"/>
      <c r="K373" s="5365"/>
      <c r="L373" s="5365"/>
      <c r="M373" s="5365"/>
      <c r="N373" s="5365"/>
      <c r="O373" s="5365"/>
      <c r="P373" s="5365"/>
    </row>
    <row r="374" ht="15.75" spans="1:16">
      <c r="A374" s="5518" t="str">
        <f>GotTok_Indirekt!AC38</f>
        <v>( + )( - )</v>
      </c>
      <c r="B374" s="5519" t="str">
        <f>GotTok_Indirekt!D38&amp;" (AOP "&amp;GotTok_Indirekt!AF38&amp;GotTok_Indirekt!AG38&amp;GotTok_Indirekt!AH38&amp;")"</f>
        <v>(Otpuštanje)/Ispravka vrijednosti za gubitke od ostale finansijske imovine po amortizovanom trošku, neto (AOP 517)</v>
      </c>
      <c r="C374" s="496">
        <f>IF(GotTok_Indirekt!AI38&lt;0,0,GotTok_Indirekt!AI38)</f>
        <v>0</v>
      </c>
      <c r="D374" s="496">
        <f>IF(GotTok_Indirekt!AP38&lt;0,0,GotTok_Indirekt!AP38)</f>
        <v>0</v>
      </c>
      <c r="E374" s="5451" t="str">
        <f t="shared" si="77"/>
        <v>-</v>
      </c>
      <c r="F374" s="5365"/>
      <c r="G374" s="5365"/>
      <c r="H374" s="5365"/>
      <c r="I374" s="5365"/>
      <c r="J374" s="5365"/>
      <c r="K374" s="5365"/>
      <c r="L374" s="5365"/>
      <c r="M374" s="5365"/>
      <c r="N374" s="5365"/>
      <c r="O374" s="5365"/>
      <c r="P374" s="5365"/>
    </row>
    <row r="375" ht="15.75" spans="1:16">
      <c r="A375" s="5518" t="str">
        <f>GotTok_Indirekt!AC39</f>
        <v>( + )( - )</v>
      </c>
      <c r="B375" s="5519" t="str">
        <f>GotTok_Indirekt!D39&amp;" (AOP "&amp;GotTok_Indirekt!AF39&amp;GotTok_Indirekt!AG39&amp;GotTok_Indirekt!AH39&amp;")"</f>
        <v>Viškovi, manjkovi, otpisi i prilagođavanje vrijednosti zaliha, neto (AOP 518)</v>
      </c>
      <c r="C375" s="496">
        <f>IF(GotTok_Indirekt!AI39&lt;0,0,GotTok_Indirekt!AI39)</f>
        <v>0</v>
      </c>
      <c r="D375" s="496">
        <f>IF(GotTok_Indirekt!AP39&lt;0,0,GotTok_Indirekt!AP39)</f>
        <v>0</v>
      </c>
      <c r="E375" s="5451" t="str">
        <f t="shared" si="77"/>
        <v>-</v>
      </c>
      <c r="F375" s="5365"/>
      <c r="G375" s="5365"/>
      <c r="H375" s="5365"/>
      <c r="I375" s="5365"/>
      <c r="J375" s="5365"/>
      <c r="K375" s="5365"/>
      <c r="L375" s="5365"/>
      <c r="M375" s="5365"/>
      <c r="N375" s="5365"/>
      <c r="O375" s="5365"/>
      <c r="P375" s="5365"/>
    </row>
    <row r="376" ht="15.75" spans="1:16">
      <c r="A376" s="5518" t="str">
        <f>GotTok_Indirekt!AC44</f>
        <v>( + )( - )</v>
      </c>
      <c r="B376" s="5519" t="str">
        <f>GotTok_Indirekt!D44&amp;" (AOP "&amp;GotTok_Indirekt!AF44&amp;GotTok_Indirekt!AG44&amp;GotTok_Indirekt!AH44&amp;")"</f>
        <v>(Otpuštanje)/ dodatno priznata rezervisanja, neto (AOP 520)</v>
      </c>
      <c r="C376" s="496">
        <f>IF(GotTok_Indirekt!AI44&lt;0,0,GotTok_Indirekt!AI44)</f>
        <v>0</v>
      </c>
      <c r="D376" s="496">
        <f>IF(GotTok_Indirekt!AP44&lt;0,0,GotTok_Indirekt!AP44)</f>
        <v>0</v>
      </c>
      <c r="E376" s="5451" t="str">
        <f t="shared" ref="E376:E387" si="78">IF(C376=0,"-",IFERROR(INDEX($A$339:$A$341,MATCH(C376,$C$339:$C$341,0)),"-"))</f>
        <v>-</v>
      </c>
      <c r="F376" s="5365"/>
      <c r="G376" s="5365"/>
      <c r="H376" s="5365"/>
      <c r="I376" s="5365"/>
      <c r="J376" s="5365"/>
      <c r="K376" s="5365"/>
      <c r="L376" s="5365"/>
      <c r="M376" s="5365"/>
      <c r="N376" s="5365"/>
      <c r="O376" s="5365"/>
      <c r="P376" s="5365"/>
    </row>
    <row r="377" ht="15.75" spans="1:16">
      <c r="A377" s="5518" t="str">
        <f>GotTok_Indirekt!AC45</f>
        <v>( + )( - )</v>
      </c>
      <c r="B377" s="5519" t="str">
        <f>GotTok_Indirekt!D45&amp;" (AOP "&amp;GotTok_Indirekt!AF45&amp;GotTok_Indirekt!AG45&amp;GotTok_Indirekt!AH45&amp;")"</f>
        <v>Udio u rezultatu pridruženog društva i zajedničkog poduhvata (AOP 521)</v>
      </c>
      <c r="C377" s="496">
        <f>IF(GotTok_Indirekt!AI45&lt;0,0,GotTok_Indirekt!AI45)</f>
        <v>0</v>
      </c>
      <c r="D377" s="496">
        <f>IF(GotTok_Indirekt!AP45&lt;0,0,GotTok_Indirekt!AP45)</f>
        <v>0</v>
      </c>
      <c r="E377" s="5451" t="str">
        <f t="shared" si="78"/>
        <v>-</v>
      </c>
      <c r="F377" s="5365"/>
      <c r="G377" s="5365"/>
      <c r="H377" s="5365"/>
      <c r="I377" s="5365"/>
      <c r="J377" s="5365"/>
      <c r="K377" s="5365"/>
      <c r="L377" s="5365"/>
      <c r="M377" s="5365"/>
      <c r="N377" s="5365"/>
      <c r="O377" s="5365"/>
      <c r="P377" s="5365"/>
    </row>
    <row r="378" ht="15.75" spans="1:16">
      <c r="A378" s="5518" t="str">
        <f>GotTok_Indirekt!AC46</f>
        <v>( + )</v>
      </c>
      <c r="B378" s="5519" t="str">
        <f>GotTok_Indirekt!D46&amp;" (AOP "&amp;GotTok_Indirekt!AF46&amp;GotTok_Indirekt!AG46&amp;GotTok_Indirekt!AH46&amp;")"</f>
        <v>Umanjenje vrijednosti goodwill-a (AOP 522)</v>
      </c>
      <c r="C378" s="496">
        <f>IF(GotTok_Indirekt!AI46&lt;0,0,GotTok_Indirekt!AI46)</f>
        <v>0</v>
      </c>
      <c r="D378" s="496">
        <f>IF(GotTok_Indirekt!AP46&lt;0,0,GotTok_Indirekt!AP46)</f>
        <v>0</v>
      </c>
      <c r="E378" s="5451" t="str">
        <f t="shared" si="78"/>
        <v>-</v>
      </c>
      <c r="F378" s="5365"/>
      <c r="G378" s="5365"/>
      <c r="H378" s="5365"/>
      <c r="I378" s="5365"/>
      <c r="J378" s="5365"/>
      <c r="K378" s="5365"/>
      <c r="L378" s="5365"/>
      <c r="M378" s="5365"/>
      <c r="N378" s="5365"/>
      <c r="O378" s="5365"/>
      <c r="P378" s="5365"/>
    </row>
    <row r="379" ht="15.75" spans="1:16">
      <c r="A379" s="5518" t="str">
        <f>GotTok_Indirekt!AC49</f>
        <v>( + )</v>
      </c>
      <c r="B379" s="5519" t="str">
        <f>GotTok_Indirekt!D49&amp;" (AOP "&amp;GotTok_Indirekt!AF49&amp;GotTok_Indirekt!AG49&amp;GotTok_Indirekt!AH49&amp;")"</f>
        <v>Finansijski rashodi priznati u bilansu uspjeha (AOP 525)</v>
      </c>
      <c r="C379" s="496">
        <f>IF(GotTok_Indirekt!AI49&lt;0,0,GotTok_Indirekt!AI49)</f>
        <v>0</v>
      </c>
      <c r="D379" s="496">
        <f>IF(GotTok_Indirekt!AP49&lt;0,0,GotTok_Indirekt!AP49)</f>
        <v>2038</v>
      </c>
      <c r="E379" s="5451" t="str">
        <f t="shared" si="78"/>
        <v>-</v>
      </c>
      <c r="F379" s="5365"/>
      <c r="G379" s="5365"/>
      <c r="H379" s="5365"/>
      <c r="I379" s="5365"/>
      <c r="J379" s="5365"/>
      <c r="K379" s="5365"/>
      <c r="L379" s="5365"/>
      <c r="M379" s="5365"/>
      <c r="N379" s="5365"/>
      <c r="O379" s="5365"/>
      <c r="P379" s="5365"/>
    </row>
    <row r="380" ht="15.75" spans="1:16">
      <c r="A380" s="5518" t="str">
        <f>GotTok_Indirekt!AC51</f>
        <v>( + )( - )</v>
      </c>
      <c r="B380" s="5519" t="str">
        <f>GotTok_Indirekt!D51&amp;" (AOP "&amp;GotTok_Indirekt!AF51&amp;GotTok_Indirekt!AG51&amp;GotTok_Indirekt!AH51&amp;")"</f>
        <v>Smanjenje/(povećanje) zaliha (AOP 526)</v>
      </c>
      <c r="C380" s="496">
        <f>IF(GotTok_Indirekt!AI51&lt;0,0,GotTok_Indirekt!AI51)</f>
        <v>0</v>
      </c>
      <c r="D380" s="496">
        <f>IF(GotTok_Indirekt!AP51&lt;0,0,GotTok_Indirekt!AP51)</f>
        <v>18</v>
      </c>
      <c r="E380" s="5451" t="str">
        <f t="shared" si="78"/>
        <v>-</v>
      </c>
      <c r="F380" s="5365"/>
      <c r="G380" s="5365"/>
      <c r="H380" s="5365"/>
      <c r="I380" s="5365"/>
      <c r="J380" s="5365"/>
      <c r="K380" s="5365"/>
      <c r="L380" s="5365"/>
      <c r="M380" s="5365"/>
      <c r="N380" s="5365"/>
      <c r="O380" s="5365"/>
      <c r="P380" s="5365"/>
    </row>
    <row r="381" ht="15.75" spans="1:16">
      <c r="A381" s="5518" t="str">
        <f>GotTok_Indirekt!AC52</f>
        <v>( + )( - )</v>
      </c>
      <c r="B381" s="5519" t="str">
        <f>GotTok_Indirekt!D52&amp;" (AOP "&amp;GotTok_Indirekt!AF52&amp;GotTok_Indirekt!AG52&amp;GotTok_Indirekt!AH52&amp;")"</f>
        <v>Smanjenje/(povećanje) potraživanja od kupaca (AOP 527)</v>
      </c>
      <c r="C381" s="496">
        <f>IF(GotTok_Indirekt!AI52&lt;0,0,GotTok_Indirekt!AI52)</f>
        <v>861</v>
      </c>
      <c r="D381" s="496">
        <f>IF(GotTok_Indirekt!AP52&lt;0,0,GotTok_Indirekt!AP52)</f>
        <v>9142</v>
      </c>
      <c r="E381" s="5451" t="str">
        <f t="shared" si="78"/>
        <v>-</v>
      </c>
      <c r="F381" s="5365"/>
      <c r="G381" s="5365"/>
      <c r="H381" s="5365"/>
      <c r="I381" s="5365"/>
      <c r="J381" s="5365"/>
      <c r="K381" s="5365"/>
      <c r="L381" s="5365"/>
      <c r="M381" s="5365"/>
      <c r="N381" s="5365"/>
      <c r="O381" s="5365"/>
      <c r="P381" s="5365"/>
    </row>
    <row r="382" ht="15.75" spans="1:16">
      <c r="A382" s="5518" t="str">
        <f>GotTok_Indirekt!AC53</f>
        <v>( + )( - )</v>
      </c>
      <c r="B382" s="5519" t="str">
        <f>GotTok_Indirekt!D53&amp;" (AOP "&amp;GotTok_Indirekt!AF53&amp;GotTok_Indirekt!AG53&amp;GotTok_Indirekt!AH53&amp;")"</f>
        <v>Smanjenje/(povećanje) ostale imovine i potraživanja (AOP 528)</v>
      </c>
      <c r="C382" s="496">
        <f>IF(GotTok_Indirekt!AI53&lt;0,0,GotTok_Indirekt!AI53)</f>
        <v>0</v>
      </c>
      <c r="D382" s="496">
        <f>IF(GotTok_Indirekt!AP53&lt;0,0,GotTok_Indirekt!AP53)</f>
        <v>0</v>
      </c>
      <c r="E382" s="5451" t="str">
        <f t="shared" si="78"/>
        <v>-</v>
      </c>
      <c r="F382" s="5365"/>
      <c r="G382" s="5365"/>
      <c r="H382" s="5365"/>
      <c r="I382" s="5365"/>
      <c r="J382" s="5365"/>
      <c r="K382" s="5365"/>
      <c r="L382" s="5365"/>
      <c r="M382" s="5365"/>
      <c r="N382" s="5365"/>
      <c r="O382" s="5365"/>
      <c r="P382" s="5365"/>
    </row>
    <row r="383" ht="15.75" spans="1:16">
      <c r="A383" s="5518" t="str">
        <f>GotTok_Indirekt!AC54</f>
        <v>( + )( - )</v>
      </c>
      <c r="B383" s="5519" t="str">
        <f>GotTok_Indirekt!D54&amp;" (AOP "&amp;GotTok_Indirekt!AF54&amp;GotTok_Indirekt!AG54&amp;GotTok_Indirekt!AH54&amp;")"</f>
        <v>Smanjenje/(povećanje) ugovorne imovine (AOP 529)</v>
      </c>
      <c r="C383" s="496">
        <f>IF(GotTok_Indirekt!AI54&lt;0,0,GotTok_Indirekt!AI54)</f>
        <v>0</v>
      </c>
      <c r="D383" s="496">
        <f>IF(GotTok_Indirekt!AP54&lt;0,0,GotTok_Indirekt!AP54)</f>
        <v>0</v>
      </c>
      <c r="E383" s="5451" t="str">
        <f t="shared" si="78"/>
        <v>-</v>
      </c>
      <c r="F383" s="5365"/>
      <c r="G383" s="5365"/>
      <c r="H383" s="5365"/>
      <c r="I383" s="5365"/>
      <c r="J383" s="5365"/>
      <c r="K383" s="5365"/>
      <c r="L383" s="5365"/>
      <c r="M383" s="5365"/>
      <c r="N383" s="5365"/>
      <c r="O383" s="5365"/>
      <c r="P383" s="5365"/>
    </row>
    <row r="384" ht="15.75" spans="1:16">
      <c r="A384" s="5518" t="str">
        <f>GotTok_Indirekt!AC55</f>
        <v>( + )( - )</v>
      </c>
      <c r="B384" s="5519" t="str">
        <f>GotTok_Indirekt!D55&amp;" (AOP "&amp;GotTok_Indirekt!AF55&amp;GotTok_Indirekt!AG55&amp;GotTok_Indirekt!AH55&amp;")"</f>
        <v>Povećanje/(smanjenje) obaveza prema dobavljačima  (AOP 530)</v>
      </c>
      <c r="C384" s="496">
        <f>IF(GotTok_Indirekt!AI55&lt;0,0,GotTok_Indirekt!AI55)</f>
        <v>0</v>
      </c>
      <c r="D384" s="496">
        <f>IF(GotTok_Indirekt!AP55&lt;0,0,GotTok_Indirekt!AP55)</f>
        <v>2051</v>
      </c>
      <c r="E384" s="5451" t="str">
        <f t="shared" si="78"/>
        <v>-</v>
      </c>
      <c r="F384" s="5365"/>
      <c r="G384" s="5365"/>
      <c r="H384" s="5365"/>
      <c r="I384" s="5365"/>
      <c r="J384" s="5365"/>
      <c r="K384" s="5365"/>
      <c r="L384" s="5365"/>
      <c r="M384" s="5365"/>
      <c r="N384" s="5365"/>
      <c r="O384" s="5365"/>
      <c r="P384" s="5365"/>
    </row>
    <row r="385" ht="15.75" spans="1:16">
      <c r="A385" s="5518" t="str">
        <f>GotTok_Indirekt!AC56</f>
        <v>( + )( - )</v>
      </c>
      <c r="B385" s="5519" t="str">
        <f>GotTok_Indirekt!D56&amp;" (AOP "&amp;GotTok_Indirekt!AF56&amp;GotTok_Indirekt!AG56&amp;GotTok_Indirekt!AH56&amp;")"</f>
        <v>Povećanje/(smanjenje) ostalih obaveza (AOP 531)</v>
      </c>
      <c r="C385" s="496">
        <f>IF(GotTok_Indirekt!AI56&lt;0,0,GotTok_Indirekt!AI56)</f>
        <v>156503</v>
      </c>
      <c r="D385" s="496">
        <f>IF(GotTok_Indirekt!AP56&lt;0,0,GotTok_Indirekt!AP56)</f>
        <v>0</v>
      </c>
      <c r="E385" s="5451" t="str">
        <f t="shared" si="78"/>
        <v>I_P1</v>
      </c>
      <c r="F385" s="5365"/>
      <c r="G385" s="5365"/>
      <c r="H385" s="5365"/>
      <c r="I385" s="5365"/>
      <c r="J385" s="5365"/>
      <c r="K385" s="5365"/>
      <c r="L385" s="5365"/>
      <c r="M385" s="5365"/>
      <c r="N385" s="5365"/>
      <c r="O385" s="5365"/>
      <c r="P385" s="5365"/>
    </row>
    <row r="386" ht="15.75" spans="1:16">
      <c r="A386" s="5518" t="str">
        <f>GotTok_Indirekt!AC57</f>
        <v>( + )( - )</v>
      </c>
      <c r="B386" s="5519" t="str">
        <f>GotTok_Indirekt!D57&amp;" (AOP "&amp;GotTok_Indirekt!AF57&amp;GotTok_Indirekt!AG57&amp;GotTok_Indirekt!AH57&amp;")"</f>
        <v>Povećanje/(smanjenje) ugovornih obaveza (AOP 532)</v>
      </c>
      <c r="C386" s="496">
        <f>IF(GotTok_Indirekt!AI57&lt;0,0,GotTok_Indirekt!AI57)</f>
        <v>0</v>
      </c>
      <c r="D386" s="496">
        <f>IF(GotTok_Indirekt!AP57&lt;0,0,GotTok_Indirekt!AP57)</f>
        <v>0</v>
      </c>
      <c r="E386" s="5451" t="str">
        <f t="shared" si="78"/>
        <v>-</v>
      </c>
      <c r="F386" s="5365"/>
      <c r="G386" s="5365"/>
      <c r="H386" s="5365"/>
      <c r="I386" s="5365"/>
      <c r="J386" s="5365"/>
      <c r="K386" s="5365"/>
      <c r="L386" s="5365"/>
      <c r="M386" s="5365"/>
      <c r="N386" s="5365"/>
      <c r="O386" s="5365"/>
      <c r="P386" s="5365"/>
    </row>
    <row r="387" ht="15.75" spans="1:16">
      <c r="A387" s="5518" t="str">
        <f>GotTok_Indirekt!AC59</f>
        <v>( + )( - )</v>
      </c>
      <c r="B387" s="5519" t="str">
        <f>GotTok_Indirekt!D59&amp;" (AOP "&amp;GotTok_Indirekt!AF59&amp;GotTok_Indirekt!AG59&amp;GotTok_Indirekt!AH59&amp;")"</f>
        <v>Neto gotovinski tok koji je generisan / (korišten) u poslovnim aktivnostima (501 do 533) (AOP 534)</v>
      </c>
      <c r="C387" s="496">
        <f>IF(GotTok_Indirekt!AI59&lt;0,0,GotTok_Indirekt!AI59)</f>
        <v>2280</v>
      </c>
      <c r="D387" s="496">
        <f>IF(GotTok_Indirekt!AP59&lt;0,0,GotTok_Indirekt!AP59)</f>
        <v>12674</v>
      </c>
      <c r="E387" s="5451" t="str">
        <f t="shared" si="78"/>
        <v>I_P3</v>
      </c>
      <c r="F387" s="5365"/>
      <c r="G387" s="5365"/>
      <c r="H387" s="5365"/>
      <c r="I387" s="5365"/>
      <c r="J387" s="5365"/>
      <c r="K387" s="5365"/>
      <c r="L387" s="5365"/>
      <c r="M387" s="5365"/>
      <c r="N387" s="5365"/>
      <c r="O387" s="5365"/>
      <c r="P387" s="5365"/>
    </row>
    <row r="388" ht="15.75" spans="1:16">
      <c r="A388" s="5518" t="str">
        <f>GotTok_Indirekt!AC62</f>
        <v>( + )</v>
      </c>
      <c r="B388" s="5519" t="str">
        <f>GotTok_Indirekt!D62&amp;" (AOP "&amp;GotTok_Indirekt!AF62&amp;GotTok_Indirekt!AG62&amp;GotTok_Indirekt!AH62&amp;")"</f>
        <v>Prilivi po osnovu prodaje nekretnina, postrojenja i opreme (AOP 536)</v>
      </c>
      <c r="C388" s="496">
        <f>IF(GotTok_Indirekt!AI62&lt;0,0,GotTok_Indirekt!AI62)</f>
        <v>0</v>
      </c>
      <c r="D388" s="496">
        <f>IF(GotTok_Indirekt!AP62&lt;0,0,GotTok_Indirekt!AP62)</f>
        <v>0</v>
      </c>
      <c r="E388" s="5451" t="str">
        <f t="shared" ref="E388:E396" si="79">IF(C388=0,"-",IFERROR(INDEX($A$339:$A$341,MATCH(C388,$C$339:$C$341,0)),"-"))</f>
        <v>-</v>
      </c>
      <c r="F388" s="5365"/>
      <c r="G388" s="5365"/>
      <c r="H388" s="5365"/>
      <c r="I388" s="5365"/>
      <c r="J388" s="5365"/>
      <c r="K388" s="5365"/>
      <c r="L388" s="5365"/>
      <c r="M388" s="5365"/>
      <c r="N388" s="5365"/>
      <c r="O388" s="5365"/>
      <c r="P388" s="5365"/>
    </row>
    <row r="389" ht="15.75" spans="1:16">
      <c r="A389" s="5518" t="str">
        <f>GotTok_Indirekt!AC64</f>
        <v>( + )</v>
      </c>
      <c r="B389" s="5519" t="str">
        <f>GotTok_Indirekt!D64&amp;" (AOP "&amp;GotTok_Indirekt!AF64&amp;GotTok_Indirekt!AG64&amp;GotTok_Indirekt!AH64&amp;")"</f>
        <v>Prilivi po osnovu prodaje investicijskih nekretnina (AOP 538)</v>
      </c>
      <c r="C389" s="496">
        <f>IF(GotTok_Indirekt!AI64&lt;0,0,GotTok_Indirekt!AI64)</f>
        <v>0</v>
      </c>
      <c r="D389" s="496">
        <f>IF(GotTok_Indirekt!AP64&lt;0,0,GotTok_Indirekt!AP64)</f>
        <v>0</v>
      </c>
      <c r="E389" s="5451" t="str">
        <f t="shared" si="79"/>
        <v>-</v>
      </c>
      <c r="F389" s="5365"/>
      <c r="G389" s="5365"/>
      <c r="H389" s="5365"/>
      <c r="I389" s="5365"/>
      <c r="J389" s="5365"/>
      <c r="K389" s="5365"/>
      <c r="L389" s="5365"/>
      <c r="M389" s="5365"/>
      <c r="N389" s="5365"/>
      <c r="O389" s="5365"/>
      <c r="P389" s="5365"/>
    </row>
    <row r="390" ht="15.75" spans="1:16">
      <c r="A390" s="5518" t="str">
        <f>GotTok_Indirekt!AC66</f>
        <v>( + )</v>
      </c>
      <c r="B390" s="5519" t="str">
        <f>GotTok_Indirekt!D66&amp;" (AOP "&amp;GotTok_Indirekt!AF66&amp;GotTok_Indirekt!AG66&amp;GotTok_Indirekt!AH66&amp;")"</f>
        <v>Prilivi po osnovu prodaje nematerijalne imovine (AOP 540)</v>
      </c>
      <c r="C390" s="496">
        <f>IF(GotTok_Indirekt!AI66&lt;0,0,GotTok_Indirekt!AI66)</f>
        <v>0</v>
      </c>
      <c r="D390" s="496">
        <f>IF(GotTok_Indirekt!AP66&lt;0,0,GotTok_Indirekt!AP66)</f>
        <v>0</v>
      </c>
      <c r="E390" s="5451" t="str">
        <f t="shared" si="79"/>
        <v>-</v>
      </c>
      <c r="F390" s="5365"/>
      <c r="G390" s="5365"/>
      <c r="H390" s="5365"/>
      <c r="I390" s="5365"/>
      <c r="J390" s="5365"/>
      <c r="K390" s="5365"/>
      <c r="L390" s="5365"/>
      <c r="M390" s="5365"/>
      <c r="N390" s="5365"/>
      <c r="O390" s="5365"/>
      <c r="P390" s="5365"/>
    </row>
    <row r="391" ht="15.75" spans="1:16">
      <c r="A391" s="5518" t="str">
        <f>GotTok_Indirekt!AC68</f>
        <v>( + )</v>
      </c>
      <c r="B391" s="5519" t="str">
        <f>GotTok_Indirekt!D68&amp;" (AOP "&amp;GotTok_Indirekt!AF68&amp;GotTok_Indirekt!AG68&amp;GotTok_Indirekt!AH68&amp;")"</f>
        <v>Prilivi po osnovu prodaje biološke imovine (AOP 542)</v>
      </c>
      <c r="C391" s="496">
        <f>IF(GotTok_Indirekt!AI68&lt;0,0,GotTok_Indirekt!AI68)</f>
        <v>0</v>
      </c>
      <c r="D391" s="496">
        <f>IF(GotTok_Indirekt!AP68&lt;0,0,GotTok_Indirekt!AP68)</f>
        <v>0</v>
      </c>
      <c r="E391" s="5451" t="str">
        <f t="shared" si="79"/>
        <v>-</v>
      </c>
      <c r="F391" s="5365"/>
      <c r="G391" s="5365"/>
      <c r="H391" s="5365"/>
      <c r="I391" s="5365"/>
      <c r="J391" s="5365"/>
      <c r="K391" s="5365"/>
      <c r="L391" s="5365"/>
      <c r="M391" s="5365"/>
      <c r="N391" s="5365"/>
      <c r="O391" s="5365"/>
      <c r="P391" s="5365"/>
    </row>
    <row r="392" ht="15.75" spans="1:16">
      <c r="A392" s="5518" t="str">
        <f>GotTok_Indirekt!AC69</f>
        <v>( + )</v>
      </c>
      <c r="B392" s="5519" t="str">
        <f>GotTok_Indirekt!D69&amp;" (AOP "&amp;GotTok_Indirekt!AF69&amp;GotTok_Indirekt!AG69&amp;GotTok_Indirekt!AH69&amp;")"</f>
        <v>Prilivi po osnovu prodaje dugoročne imovine namijenjene prodaji (AOP 543)</v>
      </c>
      <c r="C392" s="496">
        <f>IF(GotTok_Indirekt!AI69&lt;0,0,GotTok_Indirekt!AI69)</f>
        <v>0</v>
      </c>
      <c r="D392" s="496">
        <f>IF(GotTok_Indirekt!AP69&lt;0,0,GotTok_Indirekt!AP69)</f>
        <v>0</v>
      </c>
      <c r="E392" s="5451" t="str">
        <f t="shared" si="79"/>
        <v>-</v>
      </c>
      <c r="F392" s="5365"/>
      <c r="G392" s="5365"/>
      <c r="H392" s="5365"/>
      <c r="I392" s="5365"/>
      <c r="J392" s="5365"/>
      <c r="K392" s="5365"/>
      <c r="L392" s="5365"/>
      <c r="M392" s="5365"/>
      <c r="N392" s="5365"/>
      <c r="O392" s="5365"/>
      <c r="P392" s="5365"/>
    </row>
    <row r="393" ht="15.75" spans="1:16">
      <c r="A393" s="5518" t="str">
        <f>GotTok_Indirekt!AC71</f>
        <v>( + )</v>
      </c>
      <c r="B393" s="5519" t="str">
        <f>GotTok_Indirekt!D71&amp;" (AOP "&amp;GotTok_Indirekt!AF71&amp;GotTok_Indirekt!AG71&amp;GotTok_Indirekt!AH71&amp;")"</f>
        <v>Prilivi od finansijske imovine po fer vrijednosti kroz ostali ukupni rezultat (AOP 545)</v>
      </c>
      <c r="C393" s="496">
        <f>IF(GotTok_Indirekt!AI71&lt;0,0,GotTok_Indirekt!AI71)</f>
        <v>0</v>
      </c>
      <c r="D393" s="496">
        <f>IF(GotTok_Indirekt!AP71&lt;0,0,GotTok_Indirekt!AP71)</f>
        <v>0</v>
      </c>
      <c r="E393" s="5451" t="str">
        <f t="shared" si="79"/>
        <v>-</v>
      </c>
      <c r="F393" s="5365"/>
      <c r="G393" s="5365"/>
      <c r="H393" s="5365"/>
      <c r="I393" s="5365"/>
      <c r="J393" s="5365"/>
      <c r="K393" s="5365"/>
      <c r="L393" s="5365"/>
      <c r="M393" s="5365"/>
      <c r="N393" s="5365"/>
      <c r="O393" s="5365"/>
      <c r="P393" s="5365"/>
    </row>
    <row r="394" ht="15.75" spans="1:16">
      <c r="A394" s="5518" t="str">
        <f>GotTok_Indirekt!AC73</f>
        <v>( + )</v>
      </c>
      <c r="B394" s="5519" t="str">
        <f>GotTok_Indirekt!D73&amp;" (AOP "&amp;GotTok_Indirekt!AF73&amp;GotTok_Indirekt!AG73&amp;GotTok_Indirekt!AH73&amp;")"</f>
        <v>Prilivi od finansijske imovine po fer vrijednosti kroz bilans uspjeha (AOP 547)</v>
      </c>
      <c r="C394" s="496">
        <f>IF(GotTok_Indirekt!AI73&lt;0,0,GotTok_Indirekt!AI73)</f>
        <v>0</v>
      </c>
      <c r="D394" s="496">
        <f>IF(GotTok_Indirekt!AP73&lt;0,0,GotTok_Indirekt!AP73)</f>
        <v>0</v>
      </c>
      <c r="E394" s="5451" t="str">
        <f t="shared" si="79"/>
        <v>-</v>
      </c>
      <c r="F394" s="5365"/>
      <c r="G394" s="5365"/>
      <c r="H394" s="5365"/>
      <c r="I394" s="5365"/>
      <c r="J394" s="5365"/>
      <c r="K394" s="5365"/>
      <c r="L394" s="5365"/>
      <c r="M394" s="5365"/>
      <c r="N394" s="5365"/>
      <c r="O394" s="5365"/>
      <c r="P394" s="5365"/>
    </row>
    <row r="395" ht="15.75" spans="1:16">
      <c r="A395" s="5518" t="str">
        <f>GotTok_Indirekt!AC75</f>
        <v>( + )</v>
      </c>
      <c r="B395" s="5519" t="str">
        <f>GotTok_Indirekt!D75&amp;" (AOP "&amp;GotTok_Indirekt!AF75&amp;GotTok_Indirekt!AG75&amp;GotTok_Indirekt!AH75&amp;")"</f>
        <v>Prilivi od ostale finansijske imovine po amortizovanom trošku (AOP 549)</v>
      </c>
      <c r="C395" s="496">
        <f>IF(GotTok_Indirekt!AI75&lt;0,0,GotTok_Indirekt!AI75)</f>
        <v>0</v>
      </c>
      <c r="D395" s="496">
        <f>IF(GotTok_Indirekt!AP75&lt;0,0,GotTok_Indirekt!AP75)</f>
        <v>0</v>
      </c>
      <c r="E395" s="5451" t="str">
        <f t="shared" si="79"/>
        <v>-</v>
      </c>
      <c r="F395" s="5365"/>
      <c r="G395" s="5365"/>
      <c r="H395" s="5365"/>
      <c r="I395" s="5365"/>
      <c r="J395" s="5365"/>
      <c r="K395" s="5365"/>
      <c r="L395" s="5365"/>
      <c r="M395" s="5365"/>
      <c r="N395" s="5365"/>
      <c r="O395" s="5365"/>
      <c r="P395" s="5365"/>
    </row>
    <row r="396" ht="15.75" spans="1:16">
      <c r="A396" s="5518" t="str">
        <f>GotTok_Indirekt!AC76</f>
        <v>( + )</v>
      </c>
      <c r="B396" s="5519" t="str">
        <f>GotTok_Indirekt!D76&amp;" (AOP "&amp;GotTok_Indirekt!AF76&amp;GotTok_Indirekt!AG76&amp;GotTok_Indirekt!AH76&amp;")"</f>
        <v>Primljena kamata i prihod od finansijskog najma (AOP 550)</v>
      </c>
      <c r="C396" s="496">
        <f>IF(GotTok_Indirekt!AI76&lt;0,0,GotTok_Indirekt!AI76)</f>
        <v>0</v>
      </c>
      <c r="D396" s="496">
        <f>IF(GotTok_Indirekt!AP76&lt;0,0,GotTok_Indirekt!AP76)</f>
        <v>0</v>
      </c>
      <c r="E396" s="5451" t="str">
        <f t="shared" si="79"/>
        <v>-</v>
      </c>
      <c r="F396" s="5365"/>
      <c r="G396" s="5365"/>
      <c r="H396" s="5365"/>
      <c r="I396" s="5365"/>
      <c r="J396" s="5365"/>
      <c r="K396" s="5365"/>
      <c r="L396" s="5365"/>
      <c r="M396" s="5365"/>
      <c r="N396" s="5365"/>
      <c r="O396" s="5365"/>
      <c r="P396" s="5365"/>
    </row>
    <row r="397" ht="15.75" spans="1:16">
      <c r="A397" s="5518" t="str">
        <f>GotTok_Indirekt!AC77</f>
        <v>( + )</v>
      </c>
      <c r="B397" s="5519" t="str">
        <f>GotTok_Indirekt!D77&amp;" (AOP "&amp;GotTok_Indirekt!AF77&amp;GotTok_Indirekt!AG77&amp;GotTok_Indirekt!AH77&amp;")"</f>
        <v>Naplaćena potraživanja od finansijskog najma (AOP 551)</v>
      </c>
      <c r="C397" s="496">
        <f>IF(GotTok_Indirekt!AI77&lt;0,0,GotTok_Indirekt!AI77)</f>
        <v>0</v>
      </c>
      <c r="D397" s="496">
        <f>IF(GotTok_Indirekt!AP77&lt;0,0,GotTok_Indirekt!AP77)</f>
        <v>0</v>
      </c>
      <c r="E397" s="5451" t="str">
        <f t="shared" ref="E397:E403" si="80">IF(C397=0,"-",IFERROR(INDEX($A$339:$A$341,MATCH(C397,$C$339:$C$341,0)),"-"))</f>
        <v>-</v>
      </c>
      <c r="F397" s="5365"/>
      <c r="G397" s="5365"/>
      <c r="H397" s="5365"/>
      <c r="I397" s="5365"/>
      <c r="J397" s="5365"/>
      <c r="K397" s="5365"/>
      <c r="L397" s="5365"/>
      <c r="M397" s="5365"/>
      <c r="N397" s="5365"/>
      <c r="O397" s="5365"/>
      <c r="P397" s="5365"/>
    </row>
    <row r="398" ht="15.75" spans="1:16">
      <c r="A398" s="5518" t="str">
        <f>GotTok_Indirekt!AC78</f>
        <v>( + )</v>
      </c>
      <c r="B398" s="5519" t="str">
        <f>GotTok_Indirekt!D78&amp;" (AOP "&amp;GotTok_Indirekt!AF78&amp;GotTok_Indirekt!AG78&amp;GotTok_Indirekt!AH78&amp;")"</f>
        <v>Naplaćena potraživanja od finansijskog podnajma (AOP 552)</v>
      </c>
      <c r="C398" s="496">
        <f>IF(GotTok_Indirekt!AI78&lt;0,0,GotTok_Indirekt!AI78)</f>
        <v>0</v>
      </c>
      <c r="D398" s="496">
        <f>IF(GotTok_Indirekt!AP78&lt;0,0,GotTok_Indirekt!AP78)</f>
        <v>0</v>
      </c>
      <c r="E398" s="5451" t="str">
        <f t="shared" si="80"/>
        <v>-</v>
      </c>
      <c r="F398" s="5365"/>
      <c r="G398" s="5365"/>
      <c r="H398" s="5365"/>
      <c r="I398" s="5365"/>
      <c r="J398" s="5365"/>
      <c r="K398" s="5365"/>
      <c r="L398" s="5365"/>
      <c r="M398" s="5365"/>
      <c r="N398" s="5365"/>
      <c r="O398" s="5365"/>
      <c r="P398" s="5365"/>
    </row>
    <row r="399" ht="15.75" spans="1:16">
      <c r="A399" s="5518" t="str">
        <f>GotTok_Indirekt!AC80</f>
        <v>( + )</v>
      </c>
      <c r="B399" s="5519" t="str">
        <f>GotTok_Indirekt!D80&amp;" (AOP "&amp;GotTok_Indirekt!AF80&amp;GotTok_Indirekt!AG80&amp;GotTok_Indirekt!AH80&amp;")"</f>
        <v>Prilivi od otuđenja udjela u zavisnim društvima (AOP 554)</v>
      </c>
      <c r="C399" s="496">
        <f>IF(GotTok_Indirekt!AI80&lt;0,0,GotTok_Indirekt!AI80)</f>
        <v>0</v>
      </c>
      <c r="D399" s="496">
        <f>IF(GotTok_Indirekt!AP80&lt;0,0,GotTok_Indirekt!AP80)</f>
        <v>0</v>
      </c>
      <c r="E399" s="5451" t="str">
        <f t="shared" si="80"/>
        <v>-</v>
      </c>
      <c r="F399" s="5365"/>
      <c r="G399" s="5365"/>
      <c r="H399" s="5365"/>
      <c r="I399" s="5365"/>
      <c r="J399" s="5365"/>
      <c r="K399" s="5365"/>
      <c r="L399" s="5365"/>
      <c r="M399" s="5365"/>
      <c r="N399" s="5365"/>
      <c r="O399" s="5365"/>
      <c r="P399" s="5365"/>
    </row>
    <row r="400" ht="15.75" spans="1:16">
      <c r="A400" s="5518" t="str">
        <f>GotTok_Indirekt!AC85</f>
        <v>( + )</v>
      </c>
      <c r="B400" s="5519" t="str">
        <f>GotTok_Indirekt!D85&amp;" (AOP "&amp;GotTok_Indirekt!AF85&amp;GotTok_Indirekt!AG85&amp;GotTok_Indirekt!AH85&amp;")"</f>
        <v>Prilivi od otuđenja udjela u pridruženim društvima (AOP 556)</v>
      </c>
      <c r="C400" s="496">
        <f>IF(GotTok_Indirekt!AI85&lt;0,0,GotTok_Indirekt!AI85)</f>
        <v>0</v>
      </c>
      <c r="D400" s="496">
        <f>IF(GotTok_Indirekt!AP85&lt;0,0,GotTok_Indirekt!AP85)</f>
        <v>0</v>
      </c>
      <c r="E400" s="5451" t="str">
        <f t="shared" si="80"/>
        <v>-</v>
      </c>
      <c r="F400" s="5365"/>
      <c r="G400" s="5365"/>
      <c r="H400" s="5365"/>
      <c r="I400" s="5365"/>
      <c r="J400" s="5365"/>
      <c r="K400" s="5365"/>
      <c r="L400" s="5365"/>
      <c r="M400" s="5365"/>
      <c r="N400" s="5365"/>
      <c r="O400" s="5365"/>
      <c r="P400" s="5365"/>
    </row>
    <row r="401" ht="15.75" spans="1:16">
      <c r="A401" s="5518" t="str">
        <f>GotTok_Indirekt!AC87</f>
        <v>( + )</v>
      </c>
      <c r="B401" s="5519" t="str">
        <f>GotTok_Indirekt!D87&amp;" (AOP "&amp;GotTok_Indirekt!AF87&amp;GotTok_Indirekt!AG87&amp;GotTok_Indirekt!AH87&amp;")"</f>
        <v>Prilivi od otuđenja udjela u zajedničkim poduhvatima (AOP 558)</v>
      </c>
      <c r="C401" s="496">
        <f>IF(GotTok_Indirekt!AI87&lt;0,0,GotTok_Indirekt!AI87)</f>
        <v>0</v>
      </c>
      <c r="D401" s="496">
        <f>IF(GotTok_Indirekt!AP87&lt;0,0,GotTok_Indirekt!AP87)</f>
        <v>0</v>
      </c>
      <c r="E401" s="5451" t="str">
        <f t="shared" si="80"/>
        <v>-</v>
      </c>
      <c r="F401" s="5365"/>
      <c r="G401" s="5365"/>
      <c r="H401" s="5365"/>
      <c r="I401" s="5365"/>
      <c r="J401" s="5365"/>
      <c r="K401" s="5365"/>
      <c r="L401" s="5365"/>
      <c r="M401" s="5365"/>
      <c r="N401" s="5365"/>
      <c r="O401" s="5365"/>
      <c r="P401" s="5365"/>
    </row>
    <row r="402" ht="15.75" spans="1:16">
      <c r="A402" s="5518" t="str">
        <f>GotTok_Indirekt!AC88</f>
        <v>( + )</v>
      </c>
      <c r="B402" s="5519" t="str">
        <f>GotTok_Indirekt!D88&amp;" (AOP "&amp;GotTok_Indirekt!AF88&amp;GotTok_Indirekt!AG88&amp;GotTok_Indirekt!AH88&amp;")"</f>
        <v>Primljene dividende (AOP 559)</v>
      </c>
      <c r="C402" s="496">
        <f>IF(GotTok_Indirekt!AI88&lt;0,0,GotTok_Indirekt!AI88)</f>
        <v>0</v>
      </c>
      <c r="D402" s="496">
        <f>IF(GotTok_Indirekt!AP88&lt;0,0,GotTok_Indirekt!AP88)</f>
        <v>0</v>
      </c>
      <c r="E402" s="5451" t="str">
        <f t="shared" si="80"/>
        <v>-</v>
      </c>
      <c r="F402" s="5365"/>
      <c r="G402" s="5365"/>
      <c r="H402" s="5365"/>
      <c r="I402" s="5365"/>
      <c r="J402" s="5365"/>
      <c r="K402" s="5365"/>
      <c r="L402" s="5365"/>
      <c r="M402" s="5365"/>
      <c r="N402" s="5365"/>
      <c r="O402" s="5365"/>
      <c r="P402" s="5365"/>
    </row>
    <row r="403" ht="15.75" spans="1:16">
      <c r="A403" s="5518" t="str">
        <f>GotTok_Indirekt!AC89</f>
        <v>( + )</v>
      </c>
      <c r="B403" s="5519" t="str">
        <f>GotTok_Indirekt!D89&amp;" (AOP "&amp;GotTok_Indirekt!AF89&amp;GotTok_Indirekt!AG89&amp;GotTok_Indirekt!AH89&amp;")"</f>
        <v>Prilivi po osnovu trgovanja derivatnim finansijskim instrumentima (AOP 560)</v>
      </c>
      <c r="C403" s="496">
        <f>IF(GotTok_Indirekt!AI89&lt;0,0,GotTok_Indirekt!AI89)</f>
        <v>0</v>
      </c>
      <c r="D403" s="496">
        <f>IF(GotTok_Indirekt!AP89&lt;0,0,GotTok_Indirekt!AP89)</f>
        <v>0</v>
      </c>
      <c r="E403" s="5451" t="str">
        <f t="shared" si="80"/>
        <v>-</v>
      </c>
      <c r="F403" s="5365"/>
      <c r="G403" s="5365"/>
      <c r="H403" s="5365"/>
      <c r="I403" s="5365"/>
      <c r="J403" s="5365"/>
      <c r="K403" s="5365"/>
      <c r="L403" s="5365"/>
      <c r="M403" s="5365"/>
      <c r="N403" s="5365"/>
      <c r="O403" s="5365"/>
      <c r="P403" s="5365"/>
    </row>
    <row r="404" ht="15.75" spans="1:16">
      <c r="A404" s="5518" t="str">
        <f>GotTok_Indirekt!AC91</f>
        <v>( + )</v>
      </c>
      <c r="B404" s="5519" t="str">
        <f>GotTok_Indirekt!D91&amp;" (AOP "&amp;GotTok_Indirekt!AF91&amp;GotTok_Indirekt!AG91&amp;GotTok_Indirekt!AH91&amp;")"</f>
        <v>Ostali prilivi iz ulagačkih aktivnosti (AOP 562)</v>
      </c>
      <c r="C404" s="496">
        <f>IF(GotTok_Indirekt!AI91&lt;0,0,GotTok_Indirekt!AI91)</f>
        <v>0</v>
      </c>
      <c r="D404" s="496">
        <f>IF(GotTok_Indirekt!AP91&lt;0,0,GotTok_Indirekt!AP91)</f>
        <v>0</v>
      </c>
      <c r="E404" s="5451" t="str">
        <f t="shared" ref="E404:E408" si="81">IF(C404=0,"-",IFERROR(INDEX($A$339:$A$341,MATCH(C404,$C$339:$C$341,0)),"-"))</f>
        <v>-</v>
      </c>
      <c r="F404" s="5365"/>
      <c r="G404" s="5365"/>
      <c r="H404" s="5365"/>
      <c r="I404" s="5365"/>
      <c r="J404" s="5365"/>
      <c r="K404" s="5365"/>
      <c r="L404" s="5365"/>
      <c r="M404" s="5365"/>
      <c r="N404" s="5365"/>
      <c r="O404" s="5365"/>
      <c r="P404" s="5365"/>
    </row>
    <row r="405" ht="15.75" spans="1:16">
      <c r="A405" s="5518" t="str">
        <f>GotTok_Indirekt!AC93</f>
        <v>( + )( - )</v>
      </c>
      <c r="B405" s="5519" t="str">
        <f>GotTok_Indirekt!D93&amp;" (AOP "&amp;GotTok_Indirekt!AF93&amp;GotTok_Indirekt!AG93&amp;GotTok_Indirekt!AH93&amp;")"</f>
        <v>Neto gotovinski tok koji je generisan/(korišten) u ulagačkim aktivnostima (535 do 563) (AOP 564)</v>
      </c>
      <c r="C405" s="496">
        <f>IF(GotTok_Indirekt!AI93&lt;0,0,GotTok_Indirekt!AI93)</f>
        <v>0</v>
      </c>
      <c r="D405" s="496">
        <f>IF(GotTok_Indirekt!AP93&lt;0,0,GotTok_Indirekt!AP93)</f>
        <v>0</v>
      </c>
      <c r="E405" s="5451" t="str">
        <f t="shared" si="81"/>
        <v>-</v>
      </c>
      <c r="F405" s="5365"/>
      <c r="G405" s="5365"/>
      <c r="H405" s="5365"/>
      <c r="I405" s="5365"/>
      <c r="J405" s="5365"/>
      <c r="K405" s="5365"/>
      <c r="L405" s="5365"/>
      <c r="M405" s="5365"/>
      <c r="N405" s="5365"/>
      <c r="O405" s="5365"/>
      <c r="P405" s="5365"/>
    </row>
    <row r="406" ht="15.75" spans="1:16">
      <c r="A406" s="5518" t="str">
        <f>GotTok_Indirekt!AC95</f>
        <v>( + )</v>
      </c>
      <c r="B406" s="5519" t="str">
        <f>GotTok_Indirekt!D95&amp;" (AOP "&amp;GotTok_Indirekt!AF95&amp;GotTok_Indirekt!AG95&amp;GotTok_Indirekt!AH95&amp;")"</f>
        <v>Prilivi od emisije dionica / uplaćeni vlasnički kapital (AOP 565)</v>
      </c>
      <c r="C406" s="496">
        <f>IF(GotTok_Indirekt!AI95&lt;0,0,GotTok_Indirekt!AI95)</f>
        <v>0</v>
      </c>
      <c r="D406" s="496">
        <f>IF(GotTok_Indirekt!AP95&lt;0,0,GotTok_Indirekt!AP95)</f>
        <v>0</v>
      </c>
      <c r="E406" s="5451" t="str">
        <f t="shared" si="81"/>
        <v>-</v>
      </c>
      <c r="F406" s="5365"/>
      <c r="G406" s="5365"/>
      <c r="H406" s="5365"/>
      <c r="I406" s="5365"/>
      <c r="J406" s="5365"/>
      <c r="K406" s="5365"/>
      <c r="L406" s="5365"/>
      <c r="M406" s="5365"/>
      <c r="N406" s="5365"/>
      <c r="O406" s="5365"/>
      <c r="P406" s="5365"/>
    </row>
    <row r="407" ht="15.75" spans="1:16">
      <c r="A407" s="5518" t="str">
        <f>GotTok_Indirekt!AC97</f>
        <v>( + )</v>
      </c>
      <c r="B407" s="5519" t="str">
        <f>GotTok_Indirekt!D97&amp;" (AOP "&amp;GotTok_Indirekt!AF97&amp;GotTok_Indirekt!AG97&amp;GotTok_Indirekt!AH97&amp;")"</f>
        <v>Prilivi od prodaje stečenih vlastitih dionica (AOP 567)</v>
      </c>
      <c r="C407" s="496">
        <f>IF(GotTok_Indirekt!AI97&lt;0,0,GotTok_Indirekt!AI97)</f>
        <v>0</v>
      </c>
      <c r="D407" s="496">
        <f>IF(GotTok_Indirekt!AP97&lt;0,0,GotTok_Indirekt!AP97)</f>
        <v>0</v>
      </c>
      <c r="E407" s="5451" t="str">
        <f t="shared" si="81"/>
        <v>-</v>
      </c>
      <c r="F407" s="5365"/>
      <c r="G407" s="5365"/>
      <c r="H407" s="5365"/>
      <c r="I407" s="5365"/>
      <c r="J407" s="5365"/>
      <c r="K407" s="5365"/>
      <c r="L407" s="5365"/>
      <c r="M407" s="5365"/>
      <c r="N407" s="5365"/>
      <c r="O407" s="5365"/>
      <c r="P407" s="5365"/>
    </row>
    <row r="408" ht="15.75" spans="1:16">
      <c r="A408" s="5518" t="str">
        <f>GotTok_Indirekt!AC99</f>
        <v>( + )</v>
      </c>
      <c r="B408" s="5519" t="str">
        <f>GotTok_Indirekt!D99&amp;" (AOP "&amp;GotTok_Indirekt!AF99&amp;GotTok_Indirekt!AG99&amp;GotTok_Indirekt!AH99&amp;")"</f>
        <v>Prilivi od uzetih kredita (AOP 569)</v>
      </c>
      <c r="C408" s="496">
        <f>IF(GotTok_Indirekt!AI99&lt;0,0,GotTok_Indirekt!AI99)</f>
        <v>0</v>
      </c>
      <c r="D408" s="496">
        <f>IF(GotTok_Indirekt!AP99&lt;0,0,GotTok_Indirekt!AP99)</f>
        <v>0</v>
      </c>
      <c r="E408" s="5451" t="str">
        <f t="shared" si="81"/>
        <v>-</v>
      </c>
      <c r="F408" s="5365"/>
      <c r="G408" s="5365"/>
      <c r="H408" s="5365"/>
      <c r="I408" s="5365"/>
      <c r="J408" s="5365"/>
      <c r="K408" s="5365"/>
      <c r="L408" s="5365"/>
      <c r="M408" s="5365"/>
      <c r="N408" s="5365"/>
      <c r="O408" s="5365"/>
      <c r="P408" s="5365"/>
    </row>
    <row r="409" ht="15.75" spans="1:16">
      <c r="A409" s="5518" t="str">
        <f>GotTok_Indirekt!AC104</f>
        <v>( + )</v>
      </c>
      <c r="B409" s="5519" t="str">
        <f>GotTok_Indirekt!D104&amp;" (AOP "&amp;GotTok_Indirekt!AF104&amp;GotTok_Indirekt!AG104&amp;GotTok_Indirekt!AH104&amp;")"</f>
        <v>Prilivi po osnovu izdatih dužničkih instrumenata (AOP 574)</v>
      </c>
      <c r="C409" s="496">
        <f>IF(GotTok_Indirekt!AI104&lt;0,0,GotTok_Indirekt!AI104)</f>
        <v>0</v>
      </c>
      <c r="D409" s="496">
        <f>IF(GotTok_Indirekt!AP104&lt;0,0,GotTok_Indirekt!AP104)</f>
        <v>0</v>
      </c>
      <c r="E409" s="5451" t="str">
        <f t="shared" ref="E409:E410" si="82">IF(C409=0,"-",IFERROR(INDEX($A$339:$A$341,MATCH(C409,$C$339:$C$341,0)),"-"))</f>
        <v>-</v>
      </c>
      <c r="F409" s="5365"/>
      <c r="G409" s="5365"/>
      <c r="H409" s="5365"/>
      <c r="I409" s="5365"/>
      <c r="J409" s="5365"/>
      <c r="K409" s="5365"/>
      <c r="L409" s="5365"/>
      <c r="M409" s="5365"/>
      <c r="N409" s="5365"/>
      <c r="O409" s="5365"/>
      <c r="P409" s="5365"/>
    </row>
    <row r="410" ht="15.75" spans="1:16">
      <c r="A410" s="5518" t="str">
        <f>GotTok_Indirekt!AC106</f>
        <v>( + )</v>
      </c>
      <c r="B410" s="5519" t="str">
        <f>GotTok_Indirekt!D106&amp;" (AOP "&amp;GotTok_Indirekt!AF106&amp;GotTok_Indirekt!AG106&amp;GotTok_Indirekt!AH106&amp;")"</f>
        <v>Ostali prilivi iz finansijskih aktivnosti (AOP 576)</v>
      </c>
      <c r="C410" s="496">
        <f>IF(GotTok_Indirekt!AI106&lt;0,0,GotTok_Indirekt!AI106)</f>
        <v>0</v>
      </c>
      <c r="D410" s="496">
        <f>IF(GotTok_Indirekt!AP106&lt;0,0,GotTok_Indirekt!AP106)</f>
        <v>0</v>
      </c>
      <c r="E410" s="5451" t="str">
        <f t="shared" si="82"/>
        <v>-</v>
      </c>
      <c r="F410" s="5365"/>
      <c r="G410" s="5365"/>
      <c r="H410" s="5365"/>
      <c r="I410" s="5365"/>
      <c r="J410" s="5365"/>
      <c r="K410" s="5365"/>
      <c r="L410" s="5365"/>
      <c r="M410" s="5365"/>
      <c r="N410" s="5365"/>
      <c r="O410" s="5365"/>
      <c r="P410" s="5365"/>
    </row>
    <row r="411" spans="1:16">
      <c r="A411" s="5365"/>
      <c r="B411" s="5365"/>
      <c r="C411" s="5520">
        <f>SUM(C358:C410)</f>
        <v>164193</v>
      </c>
      <c r="D411" s="5520">
        <f>SUM(D358:D410)</f>
        <v>130337</v>
      </c>
      <c r="E411" s="5365"/>
      <c r="F411" s="5365"/>
      <c r="G411" s="5365"/>
      <c r="H411" s="5365"/>
      <c r="I411" s="5365"/>
      <c r="J411" s="5365"/>
      <c r="K411" s="5365"/>
      <c r="L411" s="5365"/>
      <c r="M411" s="5365"/>
      <c r="N411" s="5365"/>
      <c r="O411" s="5365"/>
      <c r="P411" s="5365"/>
    </row>
    <row r="412" ht="21" customHeight="1" spans="1:16">
      <c r="A412" s="5521"/>
      <c r="B412" s="5513" t="s">
        <v>2422</v>
      </c>
      <c r="C412" s="5521"/>
      <c r="D412" s="5521"/>
      <c r="E412" s="5521"/>
      <c r="F412" s="5365"/>
      <c r="G412" s="5365"/>
      <c r="H412" s="5365"/>
      <c r="I412" s="5365"/>
      <c r="J412" s="5365"/>
      <c r="K412" s="5365"/>
      <c r="L412" s="5365"/>
      <c r="M412" s="5365"/>
      <c r="N412" s="5365"/>
      <c r="O412" s="5365"/>
      <c r="P412" s="5365"/>
    </row>
    <row r="413" ht="15.75" spans="1:16">
      <c r="A413" s="5518" t="str">
        <f>GotTok_Indirekt!AC21</f>
        <v>( + )( - )</v>
      </c>
      <c r="B413" s="5519" t="str">
        <f>GotTok_Indirekt!D21&amp;" (AOP "&amp;GotTok_Indirekt!AF21&amp;GotTok_Indirekt!AG21&amp;GotTok_Indirekt!AH21&amp;")"</f>
        <v>Dobit/(gubitak) prije oporezivanja (AOP 501)</v>
      </c>
      <c r="C413" s="496">
        <f>IF(GotTok_Indirekt!AI21&lt;0,GotTok_Indirekt!AI21*-1,0)</f>
        <v>59197</v>
      </c>
      <c r="D413" s="496">
        <f>IF(GotTok_Indirekt!AP21&lt;0,GotTok_Indirekt!AP21*-1,0)</f>
        <v>0</v>
      </c>
      <c r="E413" s="5451" t="str">
        <f>IF(C413=0,"-",IFERROR(INDEX($A$348:$A$350,MATCH(C413,$C$348:$C$350,0)),"-"))</f>
        <v>I_O1</v>
      </c>
      <c r="F413" s="5365"/>
      <c r="G413" s="5365"/>
      <c r="H413" s="5365"/>
      <c r="I413" s="5365"/>
      <c r="J413" s="5365"/>
      <c r="K413" s="5365"/>
      <c r="L413" s="5365"/>
      <c r="M413" s="5365"/>
      <c r="N413" s="5365"/>
      <c r="O413" s="5365"/>
      <c r="P413" s="5365"/>
    </row>
    <row r="414" ht="15.75" spans="1:16">
      <c r="A414" s="5518" t="str">
        <f>GotTok_Indirekt!AC24</f>
        <v>( + )( - )</v>
      </c>
      <c r="B414" s="5519" t="str">
        <f>GotTok_Indirekt!D24&amp;" (AOP "&amp;GotTok_Indirekt!AF24&amp;GotTok_Indirekt!AG24&amp;GotTok_Indirekt!AH24&amp;")"</f>
        <v>(Dobit)/gubitak od otuđenja nekretnina, postrojenja i opreme, neto (AOP 503)</v>
      </c>
      <c r="C414" s="496">
        <f>IF(GotTok_Indirekt!AI24&lt;0,GotTok_Indirekt!AI24*-1,0)</f>
        <v>0</v>
      </c>
      <c r="D414" s="496">
        <f>IF(GotTok_Indirekt!AP24&lt;0,GotTok_Indirekt!AP24*-1,0)</f>
        <v>0</v>
      </c>
      <c r="E414" s="5451" t="str">
        <f t="shared" ref="E414:E448" si="83">IF(C414=0,"-",IFERROR(INDEX($A$348:$A$350,MATCH(C414,$C$348:$C$350,0)),"-"))</f>
        <v>-</v>
      </c>
      <c r="F414" s="5365"/>
      <c r="G414" s="5365"/>
      <c r="H414" s="5365"/>
      <c r="I414" s="5365"/>
      <c r="J414" s="5365"/>
      <c r="K414" s="5365"/>
      <c r="L414" s="5365"/>
      <c r="M414" s="5365"/>
      <c r="N414" s="5365"/>
      <c r="O414" s="5365"/>
      <c r="P414" s="5365"/>
    </row>
    <row r="415" ht="15.75" spans="1:16">
      <c r="A415" s="5518" t="str">
        <f>GotTok_Indirekt!AC25</f>
        <v>( + )( - )</v>
      </c>
      <c r="B415" s="5519" t="str">
        <f>GotTok_Indirekt!D25&amp;" (AOP "&amp;GotTok_Indirekt!AF25&amp;GotTok_Indirekt!AG25&amp;GotTok_Indirekt!AH25&amp;")"</f>
        <v>(Dobit)/gubitak od otuđenja ulaganja u investicijske nekretnine, neto (AOP 504)</v>
      </c>
      <c r="C415" s="496">
        <f>IF(GotTok_Indirekt!AI25&lt;0,GotTok_Indirekt!AI25*-1,0)</f>
        <v>0</v>
      </c>
      <c r="D415" s="496">
        <f>IF(GotTok_Indirekt!AP25&lt;0,GotTok_Indirekt!AP25*-1,0)</f>
        <v>0</v>
      </c>
      <c r="E415" s="5451" t="str">
        <f t="shared" si="83"/>
        <v>-</v>
      </c>
      <c r="F415" s="5365"/>
      <c r="G415" s="5365"/>
      <c r="H415" s="5365"/>
      <c r="I415" s="5365"/>
      <c r="J415" s="5365"/>
      <c r="K415" s="5365"/>
      <c r="L415" s="5365"/>
      <c r="M415" s="5365"/>
      <c r="N415" s="5365"/>
      <c r="O415" s="5365"/>
      <c r="P415" s="5365"/>
    </row>
    <row r="416" ht="15.75" spans="1:16">
      <c r="A416" s="5518" t="str">
        <f>GotTok_Indirekt!AC26</f>
        <v>( + )( - )</v>
      </c>
      <c r="B416" s="5519" t="str">
        <f>GotTok_Indirekt!D26&amp;" (AOP "&amp;GotTok_Indirekt!AF26&amp;GotTok_Indirekt!AG26&amp;GotTok_Indirekt!AH26&amp;")"</f>
        <v>(Dobit)/gubitak od otuđenja nematerijalne imovine, neto (AOP 505)</v>
      </c>
      <c r="C416" s="496">
        <f>IF(GotTok_Indirekt!AI26&lt;0,GotTok_Indirekt!AI26*-1,0)</f>
        <v>0</v>
      </c>
      <c r="D416" s="496">
        <f>IF(GotTok_Indirekt!AP26&lt;0,GotTok_Indirekt!AP26*-1,0)</f>
        <v>0</v>
      </c>
      <c r="E416" s="5451" t="str">
        <f t="shared" si="83"/>
        <v>-</v>
      </c>
      <c r="F416" s="5365"/>
      <c r="G416" s="5365"/>
      <c r="H416" s="5365"/>
      <c r="I416" s="5365"/>
      <c r="J416" s="5365"/>
      <c r="K416" s="5365"/>
      <c r="L416" s="5365"/>
      <c r="M416" s="5365"/>
      <c r="N416" s="5365"/>
      <c r="O416" s="5365"/>
      <c r="P416" s="5365"/>
    </row>
    <row r="417" ht="15.75" spans="1:16">
      <c r="A417" s="5518" t="str">
        <f>GotTok_Indirekt!AC27</f>
        <v>( + )( - )</v>
      </c>
      <c r="B417" s="5519" t="str">
        <f>GotTok_Indirekt!D27&amp;" (AOP "&amp;GotTok_Indirekt!AF27&amp;GotTok_Indirekt!AG27&amp;GotTok_Indirekt!AH27&amp;")"</f>
        <v>(Dobit)/gubitak od dugoročne imovine namijenjene prodaji, neto (AOP 506)</v>
      </c>
      <c r="C417" s="496">
        <f>IF(GotTok_Indirekt!AI27&lt;0,GotTok_Indirekt!AI27*-1,0)</f>
        <v>0</v>
      </c>
      <c r="D417" s="496">
        <f>IF(GotTok_Indirekt!AP27&lt;0,GotTok_Indirekt!AP27*-1,0)</f>
        <v>0</v>
      </c>
      <c r="E417" s="5451" t="str">
        <f t="shared" si="83"/>
        <v>-</v>
      </c>
      <c r="F417" s="5365"/>
      <c r="G417" s="5365"/>
      <c r="H417" s="5365"/>
      <c r="I417" s="5365"/>
      <c r="J417" s="5365"/>
      <c r="K417" s="5365"/>
      <c r="L417" s="5365"/>
      <c r="M417" s="5365"/>
      <c r="N417" s="5365"/>
      <c r="O417" s="5365"/>
      <c r="P417" s="5365"/>
    </row>
    <row r="418" ht="15.75" spans="1:16">
      <c r="A418" s="5518" t="str">
        <f>GotTok_Indirekt!AC31</f>
        <v>( + )( - )</v>
      </c>
      <c r="B418" s="5519" t="str">
        <f>GotTok_Indirekt!D31&amp;" (AOP "&amp;GotTok_Indirekt!AF31&amp;GotTok_Indirekt!AG31&amp;GotTok_Indirekt!AH31&amp;")"</f>
        <v>Efekti promjene fer vrijednosti ulaganja u investicijske nekretnine, neto (AOP 510)</v>
      </c>
      <c r="C418" s="496">
        <f>IF(GotTok_Indirekt!AI31&lt;0,GotTok_Indirekt!AI31*-1,0)</f>
        <v>0</v>
      </c>
      <c r="D418" s="496">
        <f>IF(GotTok_Indirekt!AP31&lt;0,GotTok_Indirekt!AP31*-1,0)</f>
        <v>0</v>
      </c>
      <c r="E418" s="5451" t="str">
        <f t="shared" si="83"/>
        <v>-</v>
      </c>
      <c r="F418" s="5365"/>
      <c r="G418" s="5365"/>
      <c r="H418" s="5365"/>
      <c r="I418" s="5365"/>
      <c r="J418" s="5365"/>
      <c r="K418" s="5365"/>
      <c r="L418" s="5365"/>
      <c r="M418" s="5365"/>
      <c r="N418" s="5365"/>
      <c r="O418" s="5365"/>
      <c r="P418" s="5365"/>
    </row>
    <row r="419" ht="15.75" spans="1:16">
      <c r="A419" s="5518" t="str">
        <f>GotTok_Indirekt!AC32</f>
        <v>( + )( - )</v>
      </c>
      <c r="B419" s="5519" t="str">
        <f>GotTok_Indirekt!D32&amp;" (AOP "&amp;GotTok_Indirekt!AF32&amp;GotTok_Indirekt!AG32&amp;GotTok_Indirekt!AH32&amp;")"</f>
        <v>Efekti promjene fer vrijednosti biološke imovine, neto (AOP 511)</v>
      </c>
      <c r="C419" s="496">
        <f>IF(GotTok_Indirekt!AI32&lt;0,GotTok_Indirekt!AI32*-1,0)</f>
        <v>0</v>
      </c>
      <c r="D419" s="496">
        <f>IF(GotTok_Indirekt!AP32&lt;0,GotTok_Indirekt!AP32*-1,0)</f>
        <v>0</v>
      </c>
      <c r="E419" s="5451" t="str">
        <f t="shared" si="83"/>
        <v>-</v>
      </c>
      <c r="F419" s="5365"/>
      <c r="G419" s="5365"/>
      <c r="H419" s="5365"/>
      <c r="I419" s="5365"/>
      <c r="J419" s="5365"/>
      <c r="K419" s="5365"/>
      <c r="L419" s="5365"/>
      <c r="M419" s="5365"/>
      <c r="N419" s="5365"/>
      <c r="O419" s="5365"/>
      <c r="P419" s="5365"/>
    </row>
    <row r="420" ht="15.75" spans="1:16">
      <c r="A420" s="5518" t="str">
        <f>GotTok_Indirekt!AC33</f>
        <v>( + )( - )</v>
      </c>
      <c r="B420" s="5519" t="str">
        <f>GotTok_Indirekt!D33&amp;" (AOP "&amp;GotTok_Indirekt!AF33&amp;GotTok_Indirekt!AG33&amp;GotTok_Indirekt!AH33&amp;")"</f>
        <v>Efekti promjene vrijednosti instrumenata kapitala po fer vrijednosti kroz bilans uspjeha  (AOP 512)</v>
      </c>
      <c r="C420" s="496">
        <f>IF(GotTok_Indirekt!AI33&lt;0,GotTok_Indirekt!AI33*-1,0)</f>
        <v>0</v>
      </c>
      <c r="D420" s="496">
        <f>IF(GotTok_Indirekt!AP33&lt;0,GotTok_Indirekt!AP33*-1,0)</f>
        <v>0</v>
      </c>
      <c r="E420" s="5451" t="str">
        <f t="shared" si="83"/>
        <v>-</v>
      </c>
      <c r="F420" s="5365"/>
      <c r="G420" s="5365"/>
      <c r="H420" s="5365"/>
      <c r="I420" s="5365"/>
      <c r="J420" s="5365"/>
      <c r="K420" s="5365"/>
      <c r="L420" s="5365"/>
      <c r="M420" s="5365"/>
      <c r="N420" s="5365"/>
      <c r="O420" s="5365"/>
      <c r="P420" s="5365"/>
    </row>
    <row r="421" ht="15.75" spans="1:16">
      <c r="A421" s="5518" t="str">
        <f>GotTok_Indirekt!AC34</f>
        <v>( + )( - )</v>
      </c>
      <c r="B421" s="5519" t="str">
        <f>GotTok_Indirekt!D34&amp;" (AOP "&amp;GotTok_Indirekt!AF34&amp;GotTok_Indirekt!AG34&amp;GotTok_Indirekt!AH34&amp;")"</f>
        <v>(Dobit)/gubitak od prodaje dužničkih instrumenata po fer vrijednosti kroz ostali ukupni rezultat, neto (AOP 513)</v>
      </c>
      <c r="C421" s="496">
        <f>IF(GotTok_Indirekt!AI34&lt;0,GotTok_Indirekt!AI34*-1,0)</f>
        <v>0</v>
      </c>
      <c r="D421" s="496">
        <f>IF(GotTok_Indirekt!AP34&lt;0,GotTok_Indirekt!AP34*-1,0)</f>
        <v>0</v>
      </c>
      <c r="E421" s="5451" t="str">
        <f t="shared" si="83"/>
        <v>-</v>
      </c>
      <c r="F421" s="5365"/>
      <c r="G421" s="5365"/>
      <c r="H421" s="5365"/>
      <c r="I421" s="5365"/>
      <c r="J421" s="5365"/>
      <c r="K421" s="5365"/>
      <c r="L421" s="5365"/>
      <c r="M421" s="5365"/>
      <c r="N421" s="5365"/>
      <c r="O421" s="5365"/>
      <c r="P421" s="5365"/>
    </row>
    <row r="422" ht="15.75" spans="1:16">
      <c r="A422" s="5518" t="str">
        <f>GotTok_Indirekt!AC35</f>
        <v>( + )( - )</v>
      </c>
      <c r="B422" s="5519" t="str">
        <f>GotTok_Indirekt!D35&amp;" (AOP "&amp;GotTok_Indirekt!AF35&amp;GotTok_Indirekt!AG35&amp;GotTok_Indirekt!AH35&amp;")"</f>
        <v>(Otpuštanje)/Ispravka vrijednosti za gubitke od dužničkih instrumenata po fer vrijednosti kroz ostali ukupni rezultat, neto (AOP 514)</v>
      </c>
      <c r="C422" s="496">
        <f>IF(GotTok_Indirekt!AI35&lt;0,GotTok_Indirekt!AI35*-1,0)</f>
        <v>0</v>
      </c>
      <c r="D422" s="496">
        <f>IF(GotTok_Indirekt!AP35&lt;0,GotTok_Indirekt!AP35*-1,0)</f>
        <v>0</v>
      </c>
      <c r="E422" s="5451" t="str">
        <f t="shared" si="83"/>
        <v>-</v>
      </c>
      <c r="F422" s="5365"/>
      <c r="G422" s="5365"/>
      <c r="H422" s="5365"/>
      <c r="I422" s="5365"/>
      <c r="J422" s="5365"/>
      <c r="K422" s="5365"/>
      <c r="L422" s="5365"/>
      <c r="M422" s="5365"/>
      <c r="N422" s="5365"/>
      <c r="O422" s="5365"/>
      <c r="P422" s="5365"/>
    </row>
    <row r="423" ht="15.75" spans="1:16">
      <c r="A423" s="5518" t="str">
        <f>GotTok_Indirekt!AC36</f>
        <v>( + )( - )</v>
      </c>
      <c r="B423" s="5519" t="str">
        <f>GotTok_Indirekt!D36&amp;" (AOP "&amp;GotTok_Indirekt!AF36&amp;GotTok_Indirekt!AG36&amp;GotTok_Indirekt!AH36&amp;")"</f>
        <v>(Otpuštanje)/Ispravka vrijednosti za gubitke od potraživanja od kupaca, neto (AOP 515)</v>
      </c>
      <c r="C423" s="496">
        <f>IF(GotTok_Indirekt!AI36&lt;0,GotTok_Indirekt!AI36*-1,0)</f>
        <v>0</v>
      </c>
      <c r="D423" s="496">
        <f>IF(GotTok_Indirekt!AP36&lt;0,GotTok_Indirekt!AP36*-1,0)</f>
        <v>0</v>
      </c>
      <c r="E423" s="5451" t="str">
        <f t="shared" si="83"/>
        <v>-</v>
      </c>
      <c r="F423" s="5365"/>
      <c r="G423" s="5365"/>
      <c r="H423" s="5365"/>
      <c r="I423" s="5365"/>
      <c r="J423" s="5365"/>
      <c r="K423" s="5365"/>
      <c r="L423" s="5365"/>
      <c r="M423" s="5365"/>
      <c r="N423" s="5365"/>
      <c r="O423" s="5365"/>
      <c r="P423" s="5365"/>
    </row>
    <row r="424" ht="15.75" spans="1:16">
      <c r="A424" s="5518" t="str">
        <f>GotTok_Indirekt!AC37</f>
        <v>( + )( - )</v>
      </c>
      <c r="B424" s="5519" t="str">
        <f>GotTok_Indirekt!D37&amp;" (AOP "&amp;GotTok_Indirekt!AF37&amp;GotTok_Indirekt!AG37&amp;GotTok_Indirekt!AH37&amp;")"</f>
        <v>(Otpuštanje)/Ispravka vrijednosti za gubitke od ugovorne imovine, neto (AOP 516)</v>
      </c>
      <c r="C424" s="496">
        <f>IF(GotTok_Indirekt!AI37&lt;0,GotTok_Indirekt!AI37*-1,0)</f>
        <v>0</v>
      </c>
      <c r="D424" s="496">
        <f>IF(GotTok_Indirekt!AP37&lt;0,GotTok_Indirekt!AP37*-1,0)</f>
        <v>0</v>
      </c>
      <c r="E424" s="5451" t="str">
        <f t="shared" si="83"/>
        <v>-</v>
      </c>
      <c r="F424" s="5365"/>
      <c r="G424" s="5365"/>
      <c r="H424" s="5365"/>
      <c r="I424" s="5365"/>
      <c r="J424" s="5365"/>
      <c r="K424" s="5365"/>
      <c r="L424" s="5365"/>
      <c r="M424" s="5365"/>
      <c r="N424" s="5365"/>
      <c r="O424" s="5365"/>
      <c r="P424" s="5365"/>
    </row>
    <row r="425" ht="15.75" spans="1:16">
      <c r="A425" s="5518" t="str">
        <f>GotTok_Indirekt!AC38</f>
        <v>( + )( - )</v>
      </c>
      <c r="B425" s="5519" t="str">
        <f>GotTok_Indirekt!D38&amp;" (AOP "&amp;GotTok_Indirekt!AF38&amp;GotTok_Indirekt!AG38&amp;GotTok_Indirekt!AH38&amp;")"</f>
        <v>(Otpuštanje)/Ispravka vrijednosti za gubitke od ostale finansijske imovine po amortizovanom trošku, neto (AOP 517)</v>
      </c>
      <c r="C425" s="496">
        <f>IF(GotTok_Indirekt!AI38&lt;0,GotTok_Indirekt!AI38*-1,0)</f>
        <v>0</v>
      </c>
      <c r="D425" s="496">
        <f>IF(GotTok_Indirekt!AP38&lt;0,GotTok_Indirekt!AP38*-1,0)</f>
        <v>0</v>
      </c>
      <c r="E425" s="5451" t="str">
        <f t="shared" si="83"/>
        <v>-</v>
      </c>
      <c r="F425" s="5365"/>
      <c r="G425" s="5365"/>
      <c r="H425" s="5365"/>
      <c r="I425" s="5365"/>
      <c r="J425" s="5365"/>
      <c r="K425" s="5365"/>
      <c r="L425" s="5365"/>
      <c r="M425" s="5365"/>
      <c r="N425" s="5365"/>
      <c r="O425" s="5365"/>
      <c r="P425" s="5365"/>
    </row>
    <row r="426" ht="15.75" spans="1:16">
      <c r="A426" s="5518" t="str">
        <f>GotTok_Indirekt!AC39</f>
        <v>( + )( - )</v>
      </c>
      <c r="B426" s="5519" t="str">
        <f>GotTok_Indirekt!D39&amp;" (AOP "&amp;GotTok_Indirekt!AF39&amp;GotTok_Indirekt!AG39&amp;GotTok_Indirekt!AH39&amp;")"</f>
        <v>Viškovi, manjkovi, otpisi i prilagođavanje vrijednosti zaliha, neto (AOP 518)</v>
      </c>
      <c r="C426" s="496">
        <f>IF(GotTok_Indirekt!AI39&lt;0,GotTok_Indirekt!AI39*-1,0)</f>
        <v>0</v>
      </c>
      <c r="D426" s="496">
        <f>IF(GotTok_Indirekt!AP39&lt;0,GotTok_Indirekt!AP39*-1,0)</f>
        <v>0</v>
      </c>
      <c r="E426" s="5451" t="str">
        <f t="shared" si="83"/>
        <v>-</v>
      </c>
      <c r="F426" s="5365"/>
      <c r="G426" s="5365"/>
      <c r="H426" s="5365"/>
      <c r="I426" s="5365"/>
      <c r="J426" s="5365"/>
      <c r="K426" s="5365"/>
      <c r="L426" s="5365"/>
      <c r="M426" s="5365"/>
      <c r="N426" s="5365"/>
      <c r="O426" s="5365"/>
      <c r="P426" s="5365"/>
    </row>
    <row r="427" ht="15.75" spans="1:16">
      <c r="A427" s="5518" t="str">
        <f>GotTok_Indirekt!AC43</f>
        <v>( - )</v>
      </c>
      <c r="B427" s="5519" t="str">
        <f>GotTok_Indirekt!D43&amp;" (AOP "&amp;GotTok_Indirekt!AF43&amp;GotTok_Indirekt!AG43&amp;GotTok_Indirekt!AH43&amp;")"</f>
        <v>Otpisane obaveze (AOP 519)</v>
      </c>
      <c r="C427" s="496">
        <f>IF(GotTok_Indirekt!AI43&lt;0,GotTok_Indirekt!AI43*-1,0)</f>
        <v>0</v>
      </c>
      <c r="D427" s="496">
        <f>IF(GotTok_Indirekt!AP43&lt;0,GotTok_Indirekt!AP43*-1,0)</f>
        <v>5382</v>
      </c>
      <c r="E427" s="5451" t="str">
        <f t="shared" si="83"/>
        <v>-</v>
      </c>
      <c r="F427" s="5365"/>
      <c r="G427" s="5365"/>
      <c r="H427" s="5365"/>
      <c r="I427" s="5365"/>
      <c r="J427" s="5365"/>
      <c r="K427" s="5365"/>
      <c r="L427" s="5365"/>
      <c r="M427" s="5365"/>
      <c r="N427" s="5365"/>
      <c r="O427" s="5365"/>
      <c r="P427" s="5365"/>
    </row>
    <row r="428" ht="15.75" spans="1:16">
      <c r="A428" s="5518" t="str">
        <f>GotTok_Indirekt!AC44</f>
        <v>( + )( - )</v>
      </c>
      <c r="B428" s="5519" t="str">
        <f>GotTok_Indirekt!D44&amp;" (AOP "&amp;GotTok_Indirekt!AF44&amp;GotTok_Indirekt!AG44&amp;GotTok_Indirekt!AH44&amp;")"</f>
        <v>(Otpuštanje)/ dodatno priznata rezervisanja, neto (AOP 520)</v>
      </c>
      <c r="C428" s="496">
        <f>IF(GotTok_Indirekt!AI44&lt;0,GotTok_Indirekt!AI44*-1,0)</f>
        <v>0</v>
      </c>
      <c r="D428" s="496">
        <f>IF(GotTok_Indirekt!AP44&lt;0,GotTok_Indirekt!AP44*-1,0)</f>
        <v>0</v>
      </c>
      <c r="E428" s="5451" t="str">
        <f t="shared" si="83"/>
        <v>-</v>
      </c>
      <c r="F428" s="5365"/>
      <c r="G428" s="5365"/>
      <c r="H428" s="5365"/>
      <c r="I428" s="5365"/>
      <c r="J428" s="5365"/>
      <c r="K428" s="5365"/>
      <c r="L428" s="5365"/>
      <c r="M428" s="5365"/>
      <c r="N428" s="5365"/>
      <c r="O428" s="5365"/>
      <c r="P428" s="5365"/>
    </row>
    <row r="429" ht="15.75" spans="1:16">
      <c r="A429" s="5518" t="str">
        <f>GotTok_Indirekt!AC45</f>
        <v>( + )( - )</v>
      </c>
      <c r="B429" s="5519" t="str">
        <f>GotTok_Indirekt!D45&amp;" (AOP "&amp;GotTok_Indirekt!AF45&amp;GotTok_Indirekt!AG45&amp;GotTok_Indirekt!AH45&amp;")"</f>
        <v>Udio u rezultatu pridruženog društva i zajedničkog poduhvata (AOP 521)</v>
      </c>
      <c r="C429" s="496">
        <f>IF(GotTok_Indirekt!AI45&lt;0,GotTok_Indirekt!AI45*-1,0)</f>
        <v>0</v>
      </c>
      <c r="D429" s="496">
        <f>IF(GotTok_Indirekt!AP45&lt;0,GotTok_Indirekt!AP45*-1,0)</f>
        <v>0</v>
      </c>
      <c r="E429" s="5451" t="str">
        <f t="shared" si="83"/>
        <v>-</v>
      </c>
      <c r="F429" s="5365"/>
      <c r="G429" s="5365"/>
      <c r="H429" s="5365"/>
      <c r="I429" s="5365"/>
      <c r="J429" s="5365"/>
      <c r="K429" s="5365"/>
      <c r="L429" s="5365"/>
      <c r="M429" s="5365"/>
      <c r="N429" s="5365"/>
      <c r="O429" s="5365"/>
      <c r="P429" s="5365"/>
    </row>
    <row r="430" ht="15.75" spans="1:16">
      <c r="A430" s="5518" t="str">
        <f>GotTok_Indirekt!AC47</f>
        <v>( - )</v>
      </c>
      <c r="B430" s="5519" t="str">
        <f>GotTok_Indirekt!D47&amp;" (AOP "&amp;GotTok_Indirekt!AF47&amp;GotTok_Indirekt!AG47&amp;GotTok_Indirekt!AH47&amp;")"</f>
        <v>Prihod od dividendi priznat u bilansu uspjeha (AOP 523)</v>
      </c>
      <c r="C430" s="496">
        <f>IF(GotTok_Indirekt!AI47&lt;0,GotTok_Indirekt!AI47*-1,0)</f>
        <v>0</v>
      </c>
      <c r="D430" s="496">
        <f>IF(GotTok_Indirekt!AP47&lt;0,GotTok_Indirekt!AP47*-1,0)</f>
        <v>0</v>
      </c>
      <c r="E430" s="5451" t="str">
        <f t="shared" si="83"/>
        <v>-</v>
      </c>
      <c r="F430" s="5365"/>
      <c r="G430" s="5365"/>
      <c r="H430" s="5365"/>
      <c r="I430" s="5365"/>
      <c r="J430" s="5365"/>
      <c r="K430" s="5365"/>
      <c r="L430" s="5365"/>
      <c r="M430" s="5365"/>
      <c r="N430" s="5365"/>
      <c r="O430" s="5365"/>
      <c r="P430" s="5365"/>
    </row>
    <row r="431" ht="15.75" spans="1:16">
      <c r="A431" s="5518" t="str">
        <f>GotTok_Indirekt!AC48</f>
        <v>( - )</v>
      </c>
      <c r="B431" s="5519" t="str">
        <f>GotTok_Indirekt!D48&amp;" (AOP "&amp;GotTok_Indirekt!AF48&amp;GotTok_Indirekt!AG48&amp;GotTok_Indirekt!AH48&amp;")"</f>
        <v>Prihodi od kamata i finansijskog najma priznati u bilansu uspjeha (AOP 524)</v>
      </c>
      <c r="C431" s="496">
        <f>IF(GotTok_Indirekt!AI48&lt;0,GotTok_Indirekt!AI48*-1,0)</f>
        <v>1319</v>
      </c>
      <c r="D431" s="496">
        <f>IF(GotTok_Indirekt!AP48&lt;0,GotTok_Indirekt!AP48*-1,0)</f>
        <v>3942</v>
      </c>
      <c r="E431" s="5451" t="str">
        <f t="shared" si="83"/>
        <v>-</v>
      </c>
      <c r="F431" s="5365"/>
      <c r="G431" s="5365"/>
      <c r="H431" s="5365"/>
      <c r="I431" s="5365"/>
      <c r="J431" s="5365"/>
      <c r="K431" s="5365"/>
      <c r="L431" s="5365"/>
      <c r="M431" s="5365"/>
      <c r="N431" s="5365"/>
      <c r="O431" s="5365"/>
      <c r="P431" s="5365"/>
    </row>
    <row r="432" ht="15.75" spans="1:16">
      <c r="A432" s="5518" t="str">
        <f>GotTok_Indirekt!AC51</f>
        <v>( + )( - )</v>
      </c>
      <c r="B432" s="5519" t="str">
        <f>GotTok_Indirekt!D51&amp;" (AOP "&amp;GotTok_Indirekt!AF51&amp;GotTok_Indirekt!AG51&amp;GotTok_Indirekt!AH51&amp;")"</f>
        <v>Smanjenje/(povećanje) zaliha (AOP 526)</v>
      </c>
      <c r="C432" s="496">
        <f>IF(GotTok_Indirekt!AI51&lt;0,GotTok_Indirekt!AI51*-1,0)</f>
        <v>0</v>
      </c>
      <c r="D432" s="496">
        <f>IF(GotTok_Indirekt!AP51&lt;0,GotTok_Indirekt!AP51*-1,0)</f>
        <v>0</v>
      </c>
      <c r="E432" s="5451" t="str">
        <f t="shared" si="83"/>
        <v>-</v>
      </c>
      <c r="F432" s="5365"/>
      <c r="G432" s="5365"/>
      <c r="H432" s="5365"/>
      <c r="I432" s="5365"/>
      <c r="J432" s="5365"/>
      <c r="K432" s="5365"/>
      <c r="L432" s="5365"/>
      <c r="M432" s="5365"/>
      <c r="N432" s="5365"/>
      <c r="O432" s="5365"/>
      <c r="P432" s="5365"/>
    </row>
    <row r="433" ht="15.75" spans="1:16">
      <c r="A433" s="5518" t="str">
        <f>GotTok_Indirekt!AC52</f>
        <v>( + )( - )</v>
      </c>
      <c r="B433" s="5519" t="str">
        <f>GotTok_Indirekt!D52&amp;" (AOP "&amp;GotTok_Indirekt!AF52&amp;GotTok_Indirekt!AG52&amp;GotTok_Indirekt!AH52&amp;")"</f>
        <v>Smanjenje/(povećanje) potraživanja od kupaca (AOP 527)</v>
      </c>
      <c r="C433" s="496">
        <f>IF(GotTok_Indirekt!AI52&lt;0,GotTok_Indirekt!AI52*-1,0)</f>
        <v>0</v>
      </c>
      <c r="D433" s="496">
        <f>IF(GotTok_Indirekt!AP52&lt;0,GotTok_Indirekt!AP52*-1,0)</f>
        <v>0</v>
      </c>
      <c r="E433" s="5451" t="str">
        <f t="shared" si="83"/>
        <v>-</v>
      </c>
      <c r="F433" s="5365"/>
      <c r="G433" s="5365"/>
      <c r="H433" s="5365"/>
      <c r="I433" s="5365"/>
      <c r="J433" s="5365"/>
      <c r="K433" s="5365"/>
      <c r="L433" s="5365"/>
      <c r="M433" s="5365"/>
      <c r="N433" s="5365"/>
      <c r="O433" s="5365"/>
      <c r="P433" s="5365"/>
    </row>
    <row r="434" ht="15.75" spans="1:16">
      <c r="A434" s="5518" t="str">
        <f>GotTok_Indirekt!AC53</f>
        <v>( + )( - )</v>
      </c>
      <c r="B434" s="5519" t="str">
        <f>GotTok_Indirekt!D53&amp;" (AOP "&amp;GotTok_Indirekt!AF53&amp;GotTok_Indirekt!AG53&amp;GotTok_Indirekt!AH53&amp;")"</f>
        <v>Smanjenje/(povećanje) ostale imovine i potraživanja (AOP 528)</v>
      </c>
      <c r="C434" s="496">
        <f>IF(GotTok_Indirekt!AI53&lt;0,GotTok_Indirekt!AI53*-1,0)</f>
        <v>57791</v>
      </c>
      <c r="D434" s="496">
        <f>IF(GotTok_Indirekt!AP53&lt;0,GotTok_Indirekt!AP53*-1,0)</f>
        <v>59248</v>
      </c>
      <c r="E434" s="5451" t="str">
        <f t="shared" si="83"/>
        <v>I_O2</v>
      </c>
      <c r="F434" s="5365"/>
      <c r="G434" s="5365"/>
      <c r="H434" s="5365"/>
      <c r="I434" s="5365"/>
      <c r="J434" s="5365"/>
      <c r="K434" s="5365"/>
      <c r="L434" s="5365"/>
      <c r="M434" s="5365"/>
      <c r="N434" s="5365"/>
      <c r="O434" s="5365"/>
      <c r="P434" s="5365"/>
    </row>
    <row r="435" ht="15.75" spans="1:16">
      <c r="A435" s="5518" t="str">
        <f>GotTok_Indirekt!AC54</f>
        <v>( + )( - )</v>
      </c>
      <c r="B435" s="5519" t="str">
        <f>GotTok_Indirekt!D54&amp;" (AOP "&amp;GotTok_Indirekt!AF54&amp;GotTok_Indirekt!AG54&amp;GotTok_Indirekt!AH54&amp;")"</f>
        <v>Smanjenje/(povećanje) ugovorne imovine (AOP 529)</v>
      </c>
      <c r="C435" s="496">
        <f>IF(GotTok_Indirekt!AI54&lt;0,GotTok_Indirekt!AI54*-1,0)</f>
        <v>0</v>
      </c>
      <c r="D435" s="496">
        <f>IF(GotTok_Indirekt!AP54&lt;0,GotTok_Indirekt!AP54*-1,0)</f>
        <v>0</v>
      </c>
      <c r="E435" s="5451" t="str">
        <f t="shared" si="83"/>
        <v>-</v>
      </c>
      <c r="F435" s="5365"/>
      <c r="G435" s="5365"/>
      <c r="H435" s="5365"/>
      <c r="I435" s="5365"/>
      <c r="J435" s="5365"/>
      <c r="K435" s="5365"/>
      <c r="L435" s="5365"/>
      <c r="M435" s="5365"/>
      <c r="N435" s="5365"/>
      <c r="O435" s="5365"/>
      <c r="P435" s="5365"/>
    </row>
    <row r="436" ht="15.75" spans="1:16">
      <c r="A436" s="5518" t="str">
        <f>GotTok_Indirekt!AC55</f>
        <v>( + )( - )</v>
      </c>
      <c r="B436" s="5519" t="str">
        <f>GotTok_Indirekt!D55&amp;" (AOP "&amp;GotTok_Indirekt!AF55&amp;GotTok_Indirekt!AG55&amp;GotTok_Indirekt!AH55&amp;")"</f>
        <v>Povećanje/(smanjenje) obaveza prema dobavljačima  (AOP 530)</v>
      </c>
      <c r="C436" s="496">
        <f>IF(GotTok_Indirekt!AI55&lt;0,GotTok_Indirekt!AI55*-1,0)</f>
        <v>41326</v>
      </c>
      <c r="D436" s="496">
        <f>IF(GotTok_Indirekt!AP55&lt;0,GotTok_Indirekt!AP55*-1,0)</f>
        <v>0</v>
      </c>
      <c r="E436" s="5451" t="str">
        <f t="shared" si="83"/>
        <v>I_O3</v>
      </c>
      <c r="F436" s="5365"/>
      <c r="G436" s="5365"/>
      <c r="H436" s="5365"/>
      <c r="I436" s="5365"/>
      <c r="J436" s="5365"/>
      <c r="K436" s="5365"/>
      <c r="L436" s="5365"/>
      <c r="M436" s="5365"/>
      <c r="N436" s="5365"/>
      <c r="O436" s="5365"/>
      <c r="P436" s="5365"/>
    </row>
    <row r="437" ht="15.75" spans="1:16">
      <c r="A437" s="5518" t="str">
        <f>GotTok_Indirekt!AC56</f>
        <v>( + )( - )</v>
      </c>
      <c r="B437" s="5519" t="str">
        <f>GotTok_Indirekt!D56&amp;" (AOP "&amp;GotTok_Indirekt!AF56&amp;GotTok_Indirekt!AG56&amp;GotTok_Indirekt!AH56&amp;")"</f>
        <v>Povećanje/(smanjenje) ostalih obaveza (AOP 531)</v>
      </c>
      <c r="C437" s="496">
        <f>IF(GotTok_Indirekt!AI56&lt;0,GotTok_Indirekt!AI56*-1,0)</f>
        <v>0</v>
      </c>
      <c r="D437" s="496">
        <f>IF(GotTok_Indirekt!AP56&lt;0,GotTok_Indirekt!AP56*-1,0)</f>
        <v>36417</v>
      </c>
      <c r="E437" s="5451" t="str">
        <f t="shared" si="83"/>
        <v>-</v>
      </c>
      <c r="F437" s="5365"/>
      <c r="G437" s="5365"/>
      <c r="H437" s="5365"/>
      <c r="I437" s="5365"/>
      <c r="J437" s="5365"/>
      <c r="K437" s="5365"/>
      <c r="L437" s="5365"/>
      <c r="M437" s="5365"/>
      <c r="N437" s="5365"/>
      <c r="O437" s="5365"/>
      <c r="P437" s="5365"/>
    </row>
    <row r="438" ht="15.75" spans="1:16">
      <c r="A438" s="5518" t="str">
        <f>GotTok_Indirekt!AC57</f>
        <v>( + )( - )</v>
      </c>
      <c r="B438" s="5519" t="str">
        <f>GotTok_Indirekt!D57&amp;" (AOP "&amp;GotTok_Indirekt!AF57&amp;GotTok_Indirekt!AG57&amp;GotTok_Indirekt!AH57&amp;")"</f>
        <v>Povećanje/(smanjenje) ugovornih obaveza (AOP 532)</v>
      </c>
      <c r="C438" s="496">
        <f>IF(GotTok_Indirekt!AI57&lt;0,GotTok_Indirekt!AI57*-1,0)</f>
        <v>0</v>
      </c>
      <c r="D438" s="496">
        <f>IF(GotTok_Indirekt!AP57&lt;0,GotTok_Indirekt!AP57*-1,0)</f>
        <v>0</v>
      </c>
      <c r="E438" s="5451" t="str">
        <f t="shared" si="83"/>
        <v>-</v>
      </c>
      <c r="F438" s="5365"/>
      <c r="G438" s="5365"/>
      <c r="H438" s="5365"/>
      <c r="I438" s="5365"/>
      <c r="J438" s="5365"/>
      <c r="K438" s="5365"/>
      <c r="L438" s="5365"/>
      <c r="M438" s="5365"/>
      <c r="N438" s="5365"/>
      <c r="O438" s="5365"/>
      <c r="P438" s="5365"/>
    </row>
    <row r="439" ht="15.75" spans="1:16">
      <c r="A439" s="5518" t="str">
        <f>GotTok_Indirekt!AC58</f>
        <v>( - )</v>
      </c>
      <c r="B439" s="5519" t="str">
        <f>GotTok_Indirekt!D58&amp;" (AOP "&amp;GotTok_Indirekt!AF58&amp;GotTok_Indirekt!AG58&amp;GotTok_Indirekt!AH58&amp;")"</f>
        <v>Plaćeni porez na dobit (AOP 533)</v>
      </c>
      <c r="C439" s="496">
        <f>IF(GotTok_Indirekt!AI58&lt;0,GotTok_Indirekt!AI58*-1,0)</f>
        <v>0</v>
      </c>
      <c r="D439" s="496">
        <f>IF(GotTok_Indirekt!AP58&lt;0,GotTok_Indirekt!AP58*-1,0)</f>
        <v>0</v>
      </c>
      <c r="E439" s="5451" t="str">
        <f t="shared" si="83"/>
        <v>-</v>
      </c>
      <c r="F439" s="5365"/>
      <c r="G439" s="5365"/>
      <c r="H439" s="5365"/>
      <c r="I439" s="5365"/>
      <c r="J439" s="5365"/>
      <c r="K439" s="5365"/>
      <c r="L439" s="5365"/>
      <c r="M439" s="5365"/>
      <c r="N439" s="5365"/>
      <c r="O439" s="5365"/>
      <c r="P439" s="5365"/>
    </row>
    <row r="440" ht="15.75" spans="1:16">
      <c r="A440" s="5518" t="str">
        <f>GotTok_Indirekt!AC61</f>
        <v>( - )</v>
      </c>
      <c r="B440" s="5519" t="str">
        <f>GotTok_Indirekt!D61&amp;" (AOP "&amp;GotTok_Indirekt!AF61&amp;GotTok_Indirekt!AG61&amp;GotTok_Indirekt!AH61&amp;")"</f>
        <v>Odlivi po osnovu kupovine nekretnina, postrojenja i opreme (AOP 535)</v>
      </c>
      <c r="C440" s="496">
        <f>IF(GotTok_Indirekt!AI61&lt;0,GotTok_Indirekt!AI61*-1,0)</f>
        <v>0</v>
      </c>
      <c r="D440" s="496">
        <f>IF(GotTok_Indirekt!AP61&lt;0,GotTok_Indirekt!AP61*-1,0)</f>
        <v>0</v>
      </c>
      <c r="E440" s="5451" t="str">
        <f t="shared" si="83"/>
        <v>-</v>
      </c>
      <c r="F440" s="5365"/>
      <c r="G440" s="5365"/>
      <c r="H440" s="5365"/>
      <c r="I440" s="5365"/>
      <c r="J440" s="5365"/>
      <c r="K440" s="5365"/>
      <c r="L440" s="5365"/>
      <c r="M440" s="5365"/>
      <c r="N440" s="5365"/>
      <c r="O440" s="5365"/>
      <c r="P440" s="5365"/>
    </row>
    <row r="441" ht="15.75" spans="1:16">
      <c r="A441" s="5518" t="str">
        <f>GotTok_Indirekt!AC63</f>
        <v>( - )</v>
      </c>
      <c r="B441" s="5519" t="str">
        <f>GotTok_Indirekt!D63&amp;" (AOP "&amp;GotTok_Indirekt!AF63&amp;GotTok_Indirekt!AG63&amp;GotTok_Indirekt!AH63&amp;")"</f>
        <v>Odlivi po osnovu kupovine investicijskih nekretnina (AOP 537)</v>
      </c>
      <c r="C441" s="496">
        <f>IF(GotTok_Indirekt!AI63&lt;0,GotTok_Indirekt!AI63*-1,0)</f>
        <v>0</v>
      </c>
      <c r="D441" s="496">
        <f>IF(GotTok_Indirekt!AP63&lt;0,GotTok_Indirekt!AP63*-1,0)</f>
        <v>0</v>
      </c>
      <c r="E441" s="5451" t="str">
        <f t="shared" si="83"/>
        <v>-</v>
      </c>
      <c r="F441" s="5365"/>
      <c r="G441" s="5365"/>
      <c r="H441" s="5365"/>
      <c r="I441" s="5365"/>
      <c r="J441" s="5365"/>
      <c r="K441" s="5365"/>
      <c r="L441" s="5365"/>
      <c r="M441" s="5365"/>
      <c r="N441" s="5365"/>
      <c r="O441" s="5365"/>
      <c r="P441" s="5365"/>
    </row>
    <row r="442" ht="15.75" spans="1:16">
      <c r="A442" s="5518" t="str">
        <f>GotTok_Indirekt!AC65</f>
        <v>( - )</v>
      </c>
      <c r="B442" s="5519" t="str">
        <f>GotTok_Indirekt!D65&amp;" (AOP "&amp;GotTok_Indirekt!AF65&amp;GotTok_Indirekt!AG65&amp;GotTok_Indirekt!AH65&amp;")"</f>
        <v>Odlivi po osnovu kupovine nematerijalne imovine  (AOP 539)</v>
      </c>
      <c r="C442" s="496">
        <f>IF(GotTok_Indirekt!AI65&lt;0,GotTok_Indirekt!AI65*-1,0)</f>
        <v>0</v>
      </c>
      <c r="D442" s="496">
        <f>IF(GotTok_Indirekt!AP65&lt;0,GotTok_Indirekt!AP65*-1,0)</f>
        <v>0</v>
      </c>
      <c r="E442" s="5451" t="str">
        <f t="shared" si="83"/>
        <v>-</v>
      </c>
      <c r="F442" s="5365"/>
      <c r="G442" s="5365"/>
      <c r="H442" s="5365"/>
      <c r="I442" s="5365"/>
      <c r="J442" s="5365"/>
      <c r="K442" s="5365"/>
      <c r="L442" s="5365"/>
      <c r="M442" s="5365"/>
      <c r="N442" s="5365"/>
      <c r="O442" s="5365"/>
      <c r="P442" s="5365"/>
    </row>
    <row r="443" ht="15.75" spans="1:16">
      <c r="A443" s="5518" t="str">
        <f>GotTok_Indirekt!AC67</f>
        <v>( - )</v>
      </c>
      <c r="B443" s="5519" t="str">
        <f>GotTok_Indirekt!D67&amp;" (AOP "&amp;GotTok_Indirekt!AF67&amp;GotTok_Indirekt!AG67&amp;GotTok_Indirekt!AH67&amp;")"</f>
        <v>Odlivi po osnovu kupovine biološke imovine (AOP 541)</v>
      </c>
      <c r="C443" s="496">
        <f>IF(GotTok_Indirekt!AI67&lt;0,GotTok_Indirekt!AI67*-1,0)</f>
        <v>0</v>
      </c>
      <c r="D443" s="496">
        <f>IF(GotTok_Indirekt!AP67&lt;0,GotTok_Indirekt!AP67*-1,0)</f>
        <v>0</v>
      </c>
      <c r="E443" s="5451" t="str">
        <f t="shared" si="83"/>
        <v>-</v>
      </c>
      <c r="F443" s="5365"/>
      <c r="G443" s="5365"/>
      <c r="H443" s="5365"/>
      <c r="I443" s="5365"/>
      <c r="J443" s="5365"/>
      <c r="K443" s="5365"/>
      <c r="L443" s="5365"/>
      <c r="M443" s="5365"/>
      <c r="N443" s="5365"/>
      <c r="O443" s="5365"/>
      <c r="P443" s="5365"/>
    </row>
    <row r="444" ht="15.75" spans="1:16">
      <c r="A444" s="5518" t="str">
        <f>GotTok_Indirekt!AC70</f>
        <v>( - )</v>
      </c>
      <c r="B444" s="5519" t="str">
        <f>GotTok_Indirekt!D70&amp;" (AOP "&amp;GotTok_Indirekt!AF70&amp;GotTok_Indirekt!AG70&amp;GotTok_Indirekt!AH70&amp;")"</f>
        <v>Ulaganja u finansijsku imovinu po fer vrijednosti kroz ostali ukupni rezultat (AOP 544)</v>
      </c>
      <c r="C444" s="496">
        <f>IF(GotTok_Indirekt!AI70&lt;0,GotTok_Indirekt!AI70*-1,0)</f>
        <v>0</v>
      </c>
      <c r="D444" s="496">
        <f>IF(GotTok_Indirekt!AP70&lt;0,GotTok_Indirekt!AP70*-1,0)</f>
        <v>0</v>
      </c>
      <c r="E444" s="5451" t="str">
        <f t="shared" si="83"/>
        <v>-</v>
      </c>
      <c r="F444" s="5365"/>
      <c r="G444" s="5365"/>
      <c r="H444" s="5365"/>
      <c r="I444" s="5365"/>
      <c r="J444" s="5365"/>
      <c r="K444" s="5365"/>
      <c r="L444" s="5365"/>
      <c r="M444" s="5365"/>
      <c r="N444" s="5365"/>
      <c r="O444" s="5365"/>
      <c r="P444" s="5365"/>
    </row>
    <row r="445" ht="15.75" spans="1:16">
      <c r="A445" s="5518" t="str">
        <f>GotTok_Indirekt!AC72</f>
        <v>( - )</v>
      </c>
      <c r="B445" s="5519" t="str">
        <f>GotTok_Indirekt!D72&amp;" (AOP "&amp;GotTok_Indirekt!AF72&amp;GotTok_Indirekt!AG72&amp;GotTok_Indirekt!AH72&amp;")"</f>
        <v>Ulaganja u finansijsku imovinu po fer vrijednosti kroz bilans uspjeha (AOP 546)</v>
      </c>
      <c r="C445" s="496">
        <f>IF(GotTok_Indirekt!AI72&lt;0,GotTok_Indirekt!AI72*-1,0)</f>
        <v>0</v>
      </c>
      <c r="D445" s="496">
        <f>IF(GotTok_Indirekt!AP72&lt;0,GotTok_Indirekt!AP72*-1,0)</f>
        <v>0</v>
      </c>
      <c r="E445" s="5451" t="str">
        <f t="shared" si="83"/>
        <v>-</v>
      </c>
      <c r="F445" s="5365"/>
      <c r="G445" s="5365"/>
      <c r="H445" s="5365"/>
      <c r="I445" s="5365"/>
      <c r="J445" s="5365"/>
      <c r="K445" s="5365"/>
      <c r="L445" s="5365"/>
      <c r="M445" s="5365"/>
      <c r="N445" s="5365"/>
      <c r="O445" s="5365"/>
      <c r="P445" s="5365"/>
    </row>
    <row r="446" ht="15.75" spans="1:16">
      <c r="A446" s="5518" t="str">
        <f>GotTok_Indirekt!AC74</f>
        <v>( - )</v>
      </c>
      <c r="B446" s="5519" t="str">
        <f>GotTok_Indirekt!D74&amp;" (AOP "&amp;GotTok_Indirekt!AF74&amp;GotTok_Indirekt!AG74&amp;GotTok_Indirekt!AH74&amp;")"</f>
        <v>Ulaganja u ostalu finansijsku imovinu po amortizovanom trošku (AOP 548)</v>
      </c>
      <c r="C446" s="496">
        <f>IF(GotTok_Indirekt!AI74&lt;0,GotTok_Indirekt!AI74*-1,0)</f>
        <v>0</v>
      </c>
      <c r="D446" s="496">
        <f>IF(GotTok_Indirekt!AP74&lt;0,GotTok_Indirekt!AP74*-1,0)</f>
        <v>0</v>
      </c>
      <c r="E446" s="5451" t="str">
        <f t="shared" si="83"/>
        <v>-</v>
      </c>
      <c r="F446" s="5365"/>
      <c r="G446" s="5365"/>
      <c r="H446" s="5365"/>
      <c r="I446" s="5365"/>
      <c r="J446" s="5365"/>
      <c r="K446" s="5365"/>
      <c r="L446" s="5365"/>
      <c r="M446" s="5365"/>
      <c r="N446" s="5365"/>
      <c r="O446" s="5365"/>
      <c r="P446" s="5365"/>
    </row>
    <row r="447" ht="15.75" spans="1:16">
      <c r="A447" s="5518" t="str">
        <f>GotTok_Indirekt!AC79</f>
        <v>( - )</v>
      </c>
      <c r="B447" s="5519" t="str">
        <f>GotTok_Indirekt!D79&amp;" (AOP "&amp;GotTok_Indirekt!AF79&amp;GotTok_Indirekt!AG79&amp;GotTok_Indirekt!AH79&amp;")"</f>
        <v>Kupovina udjela u zavisnim društvima (AOP 553)</v>
      </c>
      <c r="C447" s="496">
        <f>IF(GotTok_Indirekt!AI79&lt;0,GotTok_Indirekt!AI79*-1,0)</f>
        <v>0</v>
      </c>
      <c r="D447" s="496">
        <f>IF(GotTok_Indirekt!AP79&lt;0,GotTok_Indirekt!AP79*-1,0)</f>
        <v>0</v>
      </c>
      <c r="E447" s="5451" t="str">
        <f t="shared" si="83"/>
        <v>-</v>
      </c>
      <c r="F447" s="5365"/>
      <c r="G447" s="5365"/>
      <c r="H447" s="5365"/>
      <c r="I447" s="5365"/>
      <c r="J447" s="5365"/>
      <c r="K447" s="5365"/>
      <c r="L447" s="5365"/>
      <c r="M447" s="5365"/>
      <c r="N447" s="5365"/>
      <c r="O447" s="5365"/>
      <c r="P447" s="5365"/>
    </row>
    <row r="448" ht="15.75" spans="1:16">
      <c r="A448" s="5518" t="str">
        <f>GotTok_Indirekt!AC84</f>
        <v>( - )</v>
      </c>
      <c r="B448" s="5519" t="str">
        <f>GotTok_Indirekt!D84&amp;" (AOP "&amp;GotTok_Indirekt!AF84&amp;GotTok_Indirekt!AG84&amp;GotTok_Indirekt!AH84&amp;")"</f>
        <v>Kupovina udjela u pridruženim društvima (AOP 555)</v>
      </c>
      <c r="C448" s="496">
        <f>IF(GotTok_Indirekt!AI84&lt;0,GotTok_Indirekt!AI84*-1,0)</f>
        <v>0</v>
      </c>
      <c r="D448" s="496">
        <f>IF(GotTok_Indirekt!AP84&lt;0,GotTok_Indirekt!AP84*-1,0)</f>
        <v>0</v>
      </c>
      <c r="E448" s="5451" t="str">
        <f t="shared" si="83"/>
        <v>-</v>
      </c>
      <c r="F448" s="5365"/>
      <c r="G448" s="5365"/>
      <c r="H448" s="5365"/>
      <c r="I448" s="5365"/>
      <c r="J448" s="5365"/>
      <c r="K448" s="5365"/>
      <c r="L448" s="5365"/>
      <c r="M448" s="5365"/>
      <c r="N448" s="5365"/>
      <c r="O448" s="5365"/>
      <c r="P448" s="5365"/>
    </row>
    <row r="449" ht="15.75" spans="1:16">
      <c r="A449" s="5518" t="str">
        <f>GotTok_Indirekt!AC86</f>
        <v>( - )</v>
      </c>
      <c r="B449" s="5519" t="str">
        <f>GotTok_Indirekt!D86&amp;" (AOP "&amp;GotTok_Indirekt!AF86&amp;GotTok_Indirekt!AG86&amp;GotTok_Indirekt!AH86&amp;")"</f>
        <v>Kupovina udjela u zajedničkim poduhvatima (AOP 557)</v>
      </c>
      <c r="C449" s="496">
        <f>IF(GotTok_Indirekt!AI86&lt;0,GotTok_Indirekt!AI86*-1,0)</f>
        <v>0</v>
      </c>
      <c r="D449" s="496">
        <f>IF(GotTok_Indirekt!AP86&lt;0,GotTok_Indirekt!AP86*-1,0)</f>
        <v>0</v>
      </c>
      <c r="E449" s="5451" t="str">
        <f t="shared" ref="E449:E452" si="84">IF(C449=0,"-",IFERROR(INDEX($A$348:$A$350,MATCH(C449,$C$348:$C$350,0)),"-"))</f>
        <v>-</v>
      </c>
      <c r="F449" s="5365"/>
      <c r="G449" s="5365"/>
      <c r="H449" s="5365"/>
      <c r="I449" s="5365"/>
      <c r="J449" s="5365"/>
      <c r="K449" s="5365"/>
      <c r="L449" s="5365"/>
      <c r="M449" s="5365"/>
      <c r="N449" s="5365"/>
      <c r="O449" s="5365"/>
      <c r="P449" s="5365"/>
    </row>
    <row r="450" ht="15.75" spans="1:16">
      <c r="A450" s="5518" t="str">
        <f>GotTok_Indirekt!AC90</f>
        <v>( - )</v>
      </c>
      <c r="B450" s="5519" t="str">
        <f>GotTok_Indirekt!D90&amp;" (AOP "&amp;GotTok_Indirekt!AF90&amp;GotTok_Indirekt!AG90&amp;GotTok_Indirekt!AH90&amp;")"</f>
        <v>Odlivi po osnovu trgovanja derivatnim finansijskim instrumentima (AOP 561)</v>
      </c>
      <c r="C450" s="496">
        <f>IF(GotTok_Indirekt!AI90&lt;0,GotTok_Indirekt!AI90*-1,0)</f>
        <v>0</v>
      </c>
      <c r="D450" s="496">
        <f>IF(GotTok_Indirekt!AP90&lt;0,GotTok_Indirekt!AP90*-1,0)</f>
        <v>0</v>
      </c>
      <c r="E450" s="5451" t="str">
        <f t="shared" si="84"/>
        <v>-</v>
      </c>
      <c r="F450" s="5365"/>
      <c r="G450" s="5365"/>
      <c r="H450" s="5365"/>
      <c r="I450" s="5365"/>
      <c r="J450" s="5365"/>
      <c r="K450" s="5365"/>
      <c r="L450" s="5365"/>
      <c r="M450" s="5365"/>
      <c r="N450" s="5365"/>
      <c r="O450" s="5365"/>
      <c r="P450" s="5365"/>
    </row>
    <row r="451" ht="15.75" spans="1:16">
      <c r="A451" s="5518" t="str">
        <f>GotTok_Indirekt!AC92</f>
        <v>( - )</v>
      </c>
      <c r="B451" s="5519" t="str">
        <f>GotTok_Indirekt!D92&amp;" (AOP "&amp;GotTok_Indirekt!AF92&amp;GotTok_Indirekt!AG92&amp;GotTok_Indirekt!AH92&amp;")"</f>
        <v>Ostali odlivi iz ulagačkih aktivnosti (AOP 563)</v>
      </c>
      <c r="C451" s="496">
        <f>IF(GotTok_Indirekt!AI92&lt;0,GotTok_Indirekt!AI92*-1,0)</f>
        <v>0</v>
      </c>
      <c r="D451" s="496">
        <f>IF(GotTok_Indirekt!AP92&lt;0,GotTok_Indirekt!AP92*-1,0)</f>
        <v>0</v>
      </c>
      <c r="E451" s="5451" t="str">
        <f t="shared" si="84"/>
        <v>-</v>
      </c>
      <c r="F451" s="5365"/>
      <c r="G451" s="5365"/>
      <c r="H451" s="5365"/>
      <c r="I451" s="5365"/>
      <c r="J451" s="5365"/>
      <c r="K451" s="5365"/>
      <c r="L451" s="5365"/>
      <c r="M451" s="5365"/>
      <c r="N451" s="5365"/>
      <c r="O451" s="5365"/>
      <c r="P451" s="5365"/>
    </row>
    <row r="452" ht="15.75" spans="1:16">
      <c r="A452" s="5518" t="str">
        <f>GotTok_Indirekt!AC96</f>
        <v>( - )</v>
      </c>
      <c r="B452" s="5519" t="str">
        <f>GotTok_Indirekt!D96&amp;" (AOP "&amp;GotTok_Indirekt!AF96&amp;GotTok_Indirekt!AG96&amp;GotTok_Indirekt!AH96&amp;")"</f>
        <v>Sticanje vlastitih dionica (AOP 566)</v>
      </c>
      <c r="C452" s="496">
        <f>IF(GotTok_Indirekt!AI96&lt;0,GotTok_Indirekt!AI96*-1,0)</f>
        <v>0</v>
      </c>
      <c r="D452" s="496">
        <f>IF(GotTok_Indirekt!AP96&lt;0,GotTok_Indirekt!AP96*-1,0)</f>
        <v>0</v>
      </c>
      <c r="E452" s="5451" t="str">
        <f t="shared" si="84"/>
        <v>-</v>
      </c>
      <c r="F452" s="5365"/>
      <c r="G452" s="5365"/>
      <c r="H452" s="5365"/>
      <c r="I452" s="5365"/>
      <c r="J452" s="5365"/>
      <c r="K452" s="5365"/>
      <c r="L452" s="5365"/>
      <c r="M452" s="5365"/>
      <c r="N452" s="5365"/>
      <c r="O452" s="5365"/>
      <c r="P452" s="5365"/>
    </row>
    <row r="453" ht="15.75" spans="1:16">
      <c r="A453" s="5518" t="str">
        <f>GotTok_Indirekt!AC98</f>
        <v>( - )</v>
      </c>
      <c r="B453" s="5519" t="str">
        <f>GotTok_Indirekt!D98&amp;" (AOP "&amp;GotTok_Indirekt!AF98&amp;GotTok_Indirekt!AG98&amp;GotTok_Indirekt!AH98&amp;")"</f>
        <v>Isplaćene dividende (AOP 568)</v>
      </c>
      <c r="C453" s="496">
        <f>IF(GotTok_Indirekt!AI98&lt;0,GotTok_Indirekt!AI98*-1,0)</f>
        <v>0</v>
      </c>
      <c r="D453" s="496">
        <f>IF(GotTok_Indirekt!AP98&lt;0,GotTok_Indirekt!AP98*-1,0)</f>
        <v>0</v>
      </c>
      <c r="E453" s="5451" t="str">
        <f t="shared" ref="E453:E458" si="85">IF(C453=0,"-",IFERROR(INDEX($A$348:$A$350,MATCH(C453,$C$348:$C$350,0)),"-"))</f>
        <v>-</v>
      </c>
      <c r="F453" s="5365"/>
      <c r="G453" s="5365"/>
      <c r="H453" s="5365"/>
      <c r="I453" s="5365"/>
      <c r="J453" s="5365"/>
      <c r="K453" s="5365"/>
      <c r="L453" s="5365"/>
      <c r="M453" s="5365"/>
      <c r="N453" s="5365"/>
      <c r="O453" s="5365"/>
      <c r="P453" s="5365"/>
    </row>
    <row r="454" ht="15.75" spans="1:16">
      <c r="A454" s="5518" t="str">
        <f>GotTok_Indirekt!AC100</f>
        <v>( - )</v>
      </c>
      <c r="B454" s="5519" t="str">
        <f>GotTok_Indirekt!D100&amp;" (AOP "&amp;GotTok_Indirekt!AF100&amp;GotTok_Indirekt!AG100&amp;GotTok_Indirekt!AH100&amp;")"</f>
        <v>Otplata glavnice uzetih kredita (AOP 570)</v>
      </c>
      <c r="C454" s="496">
        <f>IF(GotTok_Indirekt!AI100&lt;0,GotTok_Indirekt!AI100*-1,0)</f>
        <v>0</v>
      </c>
      <c r="D454" s="496">
        <f>IF(GotTok_Indirekt!AP100&lt;0,GotTok_Indirekt!AP100*-1,0)</f>
        <v>13023</v>
      </c>
      <c r="E454" s="5451" t="str">
        <f t="shared" si="85"/>
        <v>-</v>
      </c>
      <c r="F454" s="5365"/>
      <c r="G454" s="5365"/>
      <c r="H454" s="5365"/>
      <c r="I454" s="5365"/>
      <c r="J454" s="5365"/>
      <c r="K454" s="5365"/>
      <c r="L454" s="5365"/>
      <c r="M454" s="5365"/>
      <c r="N454" s="5365"/>
      <c r="O454" s="5365"/>
      <c r="P454" s="5365"/>
    </row>
    <row r="455" ht="15.75" spans="1:16">
      <c r="A455" s="5518" t="str">
        <f>GotTok_Indirekt!AC101</f>
        <v>( - )</v>
      </c>
      <c r="B455" s="5519" t="str">
        <f>GotTok_Indirekt!D101&amp;" (AOP "&amp;GotTok_Indirekt!AF101&amp;GotTok_Indirekt!AG101&amp;GotTok_Indirekt!AH101&amp;")"</f>
        <v>Otplata kamate po uzetim kreditima (AOP 571)</v>
      </c>
      <c r="C455" s="496">
        <f>IF(GotTok_Indirekt!AI101&lt;0,GotTok_Indirekt!AI101*-1,0)</f>
        <v>0</v>
      </c>
      <c r="D455" s="496">
        <f>IF(GotTok_Indirekt!AP101&lt;0,GotTok_Indirekt!AP101*-1,0)</f>
        <v>0</v>
      </c>
      <c r="E455" s="5451" t="str">
        <f t="shared" si="85"/>
        <v>-</v>
      </c>
      <c r="F455" s="5365"/>
      <c r="G455" s="5365"/>
      <c r="H455" s="5365"/>
      <c r="I455" s="5365"/>
      <c r="J455" s="5365"/>
      <c r="K455" s="5365"/>
      <c r="L455" s="5365"/>
      <c r="M455" s="5365"/>
      <c r="N455" s="5365"/>
      <c r="O455" s="5365"/>
      <c r="P455" s="5365"/>
    </row>
    <row r="456" ht="15.75" spans="1:16">
      <c r="A456" s="5518" t="str">
        <f>GotTok_Indirekt!AC102</f>
        <v>( - )</v>
      </c>
      <c r="B456" s="5519" t="str">
        <f>GotTok_Indirekt!D102&amp;" (AOP "&amp;GotTok_Indirekt!AF102&amp;GotTok_Indirekt!AG102&amp;GotTok_Indirekt!AH102&amp;")"</f>
        <v>Otplata glavnice po najmovima (AOP 572)</v>
      </c>
      <c r="C456" s="496">
        <f>IF(GotTok_Indirekt!AI102&lt;0,GotTok_Indirekt!AI102*-1,0)</f>
        <v>0</v>
      </c>
      <c r="D456" s="496">
        <f>IF(GotTok_Indirekt!AP102&lt;0,GotTok_Indirekt!AP102*-1,0)</f>
        <v>0</v>
      </c>
      <c r="E456" s="5451" t="str">
        <f t="shared" si="85"/>
        <v>-</v>
      </c>
      <c r="F456" s="5365"/>
      <c r="G456" s="5365"/>
      <c r="H456" s="5365"/>
      <c r="I456" s="5365"/>
      <c r="J456" s="5365"/>
      <c r="K456" s="5365"/>
      <c r="L456" s="5365"/>
      <c r="M456" s="5365"/>
      <c r="N456" s="5365"/>
      <c r="O456" s="5365"/>
      <c r="P456" s="5365"/>
    </row>
    <row r="457" ht="15.75" spans="1:16">
      <c r="A457" s="5518" t="str">
        <f>GotTok_Indirekt!AC103</f>
        <v>( - )</v>
      </c>
      <c r="B457" s="5519" t="str">
        <f>GotTok_Indirekt!D103&amp;" (AOP "&amp;GotTok_Indirekt!AF103&amp;GotTok_Indirekt!AG103&amp;GotTok_Indirekt!AH103&amp;")"</f>
        <v>Otplata kamate po najmovima (AOP 573)</v>
      </c>
      <c r="C457" s="496">
        <f>IF(GotTok_Indirekt!AI103&lt;0,GotTok_Indirekt!AI103*-1,0)</f>
        <v>0</v>
      </c>
      <c r="D457" s="496">
        <f>IF(GotTok_Indirekt!AP103&lt;0,GotTok_Indirekt!AP103*-1,0)</f>
        <v>0</v>
      </c>
      <c r="E457" s="5451" t="str">
        <f t="shared" si="85"/>
        <v>-</v>
      </c>
      <c r="F457" s="5365"/>
      <c r="G457" s="5365"/>
      <c r="H457" s="5365"/>
      <c r="I457" s="5365"/>
      <c r="J457" s="5365"/>
      <c r="K457" s="5365"/>
      <c r="L457" s="5365"/>
      <c r="M457" s="5365"/>
      <c r="N457" s="5365"/>
      <c r="O457" s="5365"/>
      <c r="P457" s="5365"/>
    </row>
    <row r="458" ht="15.75" spans="1:16">
      <c r="A458" s="5518" t="str">
        <f>GotTok_Indirekt!AC105</f>
        <v>( - )</v>
      </c>
      <c r="B458" s="5519" t="str">
        <f>GotTok_Indirekt!D105&amp;" (AOP "&amp;GotTok_Indirekt!AF105&amp;GotTok_Indirekt!AG105&amp;GotTok_Indirekt!AH105&amp;")"</f>
        <v>Odlivi po osnovu otplate izdatih dužničkih instrumenata (AOP 575)</v>
      </c>
      <c r="C458" s="496">
        <f>IF(GotTok_Indirekt!AI105&lt;0,GotTok_Indirekt!AI105*-1,0)</f>
        <v>0</v>
      </c>
      <c r="D458" s="496">
        <f>IF(GotTok_Indirekt!AP105&lt;0,GotTok_Indirekt!AP105*-1,0)</f>
        <v>0</v>
      </c>
      <c r="E458" s="5451" t="str">
        <f t="shared" si="85"/>
        <v>-</v>
      </c>
      <c r="F458" s="5365"/>
      <c r="G458" s="5365"/>
      <c r="H458" s="5365"/>
      <c r="I458" s="5365"/>
      <c r="J458" s="5365"/>
      <c r="K458" s="5365"/>
      <c r="L458" s="5365"/>
      <c r="M458" s="5365"/>
      <c r="N458" s="5365"/>
      <c r="O458" s="5365"/>
      <c r="P458" s="5365"/>
    </row>
    <row r="459" ht="15.75" spans="1:16">
      <c r="A459" s="5518" t="str">
        <f>GotTok_Indirekt!AC107</f>
        <v>( - )</v>
      </c>
      <c r="B459" s="5519" t="str">
        <f>GotTok_Indirekt!D107&amp;" (AOP "&amp;GotTok_Indirekt!AF107&amp;GotTok_Indirekt!AG107&amp;GotTok_Indirekt!AH107&amp;")"</f>
        <v>Ostali odlivi iz finansijskih aktivnosti (AOP 577)</v>
      </c>
      <c r="C459" s="496">
        <f>IF(GotTok_Indirekt!AI107&lt;0,GotTok_Indirekt!AI107*-1,0)</f>
        <v>0</v>
      </c>
      <c r="D459" s="496">
        <f>IF(GotTok_Indirekt!AP107&lt;0,GotTok_Indirekt!AP107*-1,0)</f>
        <v>0</v>
      </c>
      <c r="E459" s="5451" t="str">
        <f t="shared" ref="E459" si="86">IF(C459=0,"-",IFERROR(INDEX($A$348:$A$350,MATCH(C459,$C$348:$C$350,0)),"-"))</f>
        <v>-</v>
      </c>
      <c r="F459" s="5365"/>
      <c r="G459" s="5365"/>
      <c r="H459" s="5365"/>
      <c r="I459" s="5365"/>
      <c r="J459" s="5365"/>
      <c r="K459" s="5365"/>
      <c r="L459" s="5365"/>
      <c r="M459" s="5365"/>
      <c r="N459" s="5365"/>
      <c r="O459" s="5365"/>
      <c r="P459" s="5365"/>
    </row>
    <row r="460" spans="1:16">
      <c r="A460" s="5365"/>
      <c r="B460" s="5365"/>
      <c r="C460" s="5522">
        <f>SUM(C413:C459)</f>
        <v>159633</v>
      </c>
      <c r="D460" s="5522">
        <f>SUM(D413:D459)</f>
        <v>118012</v>
      </c>
      <c r="E460" s="5365"/>
      <c r="F460" s="5365"/>
      <c r="G460" s="5365"/>
      <c r="H460" s="5365"/>
      <c r="I460" s="5365"/>
      <c r="J460" s="5365"/>
      <c r="K460" s="5365"/>
      <c r="L460" s="5365"/>
      <c r="M460" s="5365"/>
      <c r="N460" s="5365"/>
      <c r="O460" s="5365"/>
      <c r="P460" s="5365"/>
    </row>
    <row r="461" spans="1:16">
      <c r="A461" s="5365"/>
      <c r="B461" s="5365"/>
      <c r="C461" s="5394"/>
      <c r="D461" s="5394"/>
      <c r="E461" s="5365"/>
      <c r="F461" s="5365"/>
      <c r="G461" s="5365"/>
      <c r="H461" s="5365"/>
      <c r="I461" s="5365"/>
      <c r="J461" s="5365"/>
      <c r="K461" s="5365"/>
      <c r="L461" s="5365"/>
      <c r="M461" s="5365"/>
      <c r="N461" s="5365"/>
      <c r="O461" s="5365"/>
      <c r="P461" s="5365"/>
    </row>
    <row r="462" spans="1:16">
      <c r="A462" s="5365"/>
      <c r="B462" s="5365"/>
      <c r="C462" s="5394"/>
      <c r="D462" s="5394"/>
      <c r="E462" s="5365"/>
      <c r="F462" s="5365"/>
      <c r="G462" s="5365"/>
      <c r="H462" s="5365"/>
      <c r="I462" s="5365"/>
      <c r="J462" s="5365"/>
      <c r="K462" s="5365"/>
      <c r="L462" s="5365"/>
      <c r="M462" s="5365"/>
      <c r="N462" s="5365"/>
      <c r="O462" s="5365"/>
      <c r="P462" s="5365"/>
    </row>
    <row r="463" spans="1:16">
      <c r="A463" s="5365"/>
      <c r="B463" s="5365"/>
      <c r="C463" s="5394"/>
      <c r="D463" s="5394"/>
      <c r="E463" s="5365"/>
      <c r="F463" s="5365"/>
      <c r="G463" s="5365"/>
      <c r="H463" s="5365"/>
      <c r="I463" s="5365"/>
      <c r="J463" s="5365"/>
      <c r="K463" s="5365"/>
      <c r="L463" s="5365"/>
      <c r="M463" s="5365"/>
      <c r="N463" s="5365"/>
      <c r="O463" s="5365"/>
      <c r="P463" s="5365"/>
    </row>
    <row r="464" spans="1:16">
      <c r="A464" s="5365"/>
      <c r="B464" s="5365"/>
      <c r="C464" s="5394"/>
      <c r="D464" s="5394"/>
      <c r="E464" s="5365"/>
      <c r="F464" s="5365"/>
      <c r="G464" s="5365"/>
      <c r="H464" s="5365"/>
      <c r="I464" s="5365"/>
      <c r="J464" s="5365"/>
      <c r="K464" s="5365"/>
      <c r="L464" s="5365"/>
      <c r="M464" s="5365"/>
      <c r="N464" s="5365"/>
      <c r="O464" s="5365"/>
      <c r="P464" s="5365"/>
    </row>
    <row r="465" spans="1:102">
      <c r="A465" s="5365"/>
      <c r="B465" s="5365"/>
      <c r="C465" s="5365"/>
      <c r="D465" s="5365"/>
      <c r="E465" s="5365"/>
      <c r="F465" s="5365"/>
      <c r="G465" s="5365"/>
      <c r="H465" s="5365"/>
      <c r="I465" s="5365"/>
      <c r="J465" s="5365"/>
      <c r="K465" s="5365"/>
      <c r="L465" s="5365"/>
      <c r="M465" s="5365"/>
      <c r="N465" s="5365"/>
      <c r="O465" s="5365"/>
      <c r="P465" s="5365"/>
    </row>
    <row r="466" spans="1:102">
      <c r="A466" s="5365"/>
      <c r="B466" s="5365"/>
      <c r="C466" s="5394"/>
      <c r="D466" s="5394"/>
      <c r="E466" s="5365"/>
      <c r="F466" s="5365"/>
      <c r="G466" s="5365"/>
      <c r="H466" s="5365"/>
      <c r="I466" s="5365"/>
      <c r="J466" s="5365"/>
      <c r="K466" s="5365"/>
      <c r="L466" s="5365"/>
      <c r="M466" s="5365"/>
      <c r="N466" s="5365"/>
      <c r="O466" s="5365"/>
      <c r="P466" s="5365"/>
    </row>
    <row r="467" s="2" customFormat="1" ht="15" customHeight="1" spans="1:102">
      <c r="A467" s="5392"/>
      <c r="B467" s="5523" t="s">
        <v>343</v>
      </c>
      <c r="C467" s="5524">
        <f ca="1">PoslGod</f>
        <v>2025</v>
      </c>
      <c r="D467" s="5524" t="s">
        <v>401</v>
      </c>
      <c r="E467" s="5525" t="s">
        <v>2423</v>
      </c>
      <c r="F467" s="5525" t="s">
        <v>450</v>
      </c>
      <c r="G467" s="5392"/>
      <c r="H467" s="5392"/>
      <c r="I467" s="5392"/>
      <c r="J467" s="5392"/>
      <c r="K467" s="5392"/>
      <c r="L467" s="5392"/>
      <c r="M467" s="5392"/>
      <c r="N467" s="5392"/>
      <c r="O467" s="5392"/>
      <c r="P467" s="5392"/>
    </row>
    <row r="468" ht="15" customHeight="1" spans="1:102">
      <c r="A468" s="5365"/>
      <c r="B468" s="5526" t="str">
        <f ca="1">"•   ukupan prihod za "&amp;PoslGod&amp;". "</f>
        <v>•   ukupan prihod za 2025. </v>
      </c>
      <c r="C468" s="5527">
        <f>B_Uspjeha!AI76</f>
        <v>247772</v>
      </c>
      <c r="D468" s="5528">
        <f>IF(C468&lt;699999,1,0)</f>
        <v>1</v>
      </c>
      <c r="E468" s="5529">
        <f>IF(C468&gt;39999999,200,IF(D468=1,0,IF(C468&lt;8000000,10,100)))</f>
        <v>0</v>
      </c>
      <c r="F468" s="5530">
        <f>IF(C468&gt;39999999,1000,0)</f>
        <v>0</v>
      </c>
      <c r="G468" s="5365"/>
      <c r="H468" s="5365"/>
      <c r="I468" s="5365"/>
      <c r="J468" s="5365"/>
      <c r="K468" s="5365"/>
      <c r="L468" s="5365"/>
      <c r="M468" s="5365"/>
      <c r="N468" s="5365"/>
      <c r="O468" s="5365"/>
      <c r="P468" s="5365"/>
    </row>
    <row r="469" ht="15" customHeight="1" spans="1:102">
      <c r="A469" s="5365"/>
      <c r="B469" s="5526" t="s">
        <v>344</v>
      </c>
      <c r="C469" s="5527">
        <f>IF(B_Stanja!AP83=0,B_Stanja!AI83,(B_Stanja!AI83+B_Stanja!AP83)/2)</f>
        <v>684090</v>
      </c>
      <c r="D469" s="5528">
        <f>IF(C469&lt;350000,1,0)</f>
        <v>0</v>
      </c>
      <c r="E469" s="5529">
        <f>IF(C469&gt;20000000,200,IF(D469=1,0,IF(C469&lt;4000000,10,100)))</f>
        <v>10</v>
      </c>
      <c r="F469" s="5530">
        <f>IF(C469&gt;20000000,1000,0)</f>
        <v>0</v>
      </c>
      <c r="G469" s="5365"/>
      <c r="H469" s="5365"/>
      <c r="I469" s="5365"/>
      <c r="J469" s="5365"/>
      <c r="K469" s="5365"/>
      <c r="L469" s="5365"/>
      <c r="M469" s="5365"/>
      <c r="N469" s="5365"/>
      <c r="O469" s="5365"/>
      <c r="P469" s="5365"/>
    </row>
    <row r="470" ht="15" customHeight="1" spans="1:102">
      <c r="A470" s="5365"/>
      <c r="B470" s="5526" t="s">
        <v>345</v>
      </c>
      <c r="C470" s="5531">
        <f>P.Podaci!AE44</f>
        <v>6</v>
      </c>
      <c r="D470" s="5532">
        <f>IF(C470&lt;10,1,0)</f>
        <v>1</v>
      </c>
      <c r="E470" s="5533">
        <f>IF(C4716&gt;249,200,IF(D470=1,0,IF(C470&lt;50,10,100)))</f>
        <v>0</v>
      </c>
      <c r="F470" s="5534">
        <f>IF(C470&gt;249,1000,0)</f>
        <v>0</v>
      </c>
      <c r="G470" s="5365"/>
      <c r="H470" s="5365"/>
      <c r="I470" s="5365"/>
      <c r="J470" s="5365"/>
      <c r="K470" s="5365"/>
      <c r="L470" s="5365"/>
      <c r="M470" s="5365"/>
      <c r="N470" s="5365"/>
      <c r="O470" s="5365"/>
      <c r="P470" s="5365"/>
    </row>
    <row r="471" ht="15" customHeight="1" spans="1:102">
      <c r="A471" s="5365"/>
      <c r="B471" s="5365"/>
      <c r="C471" s="5535" t="str">
        <f>IF(D472="Mikro","Mikro",IF(Baza!F472=0,Baza!E472,Baza!F472))</f>
        <v>Mikro</v>
      </c>
      <c r="D471" s="5536">
        <f>SUM(D468:D470)</f>
        <v>2</v>
      </c>
      <c r="E471" s="5537">
        <f>SUM(E468:E470)</f>
        <v>10</v>
      </c>
      <c r="F471" s="5538">
        <f>SUM(F468:F470)</f>
        <v>0</v>
      </c>
      <c r="G471" s="5365"/>
      <c r="H471" s="5365"/>
      <c r="I471" s="5365"/>
      <c r="J471" s="5365"/>
      <c r="K471" s="5365"/>
      <c r="L471" s="5365"/>
      <c r="M471" s="5365"/>
      <c r="N471" s="5365"/>
      <c r="O471" s="5365"/>
      <c r="P471" s="5365"/>
    </row>
    <row r="472" ht="15" customHeight="1" spans="1:102">
      <c r="A472" s="5365"/>
      <c r="B472" s="5365"/>
      <c r="C472" s="5394"/>
      <c r="D472" s="5539" t="str">
        <f>IF(F472="Veliko",0,IF(D471&lt;2,0,"Mikro"))</f>
        <v>Mikro</v>
      </c>
      <c r="E472" s="5539">
        <f>IF(D472="Mikro",0,IF(F472&gt;0,0,IF(E471+F471&lt;200,"Malo","Srednje")))</f>
        <v>0</v>
      </c>
      <c r="F472" s="5539">
        <f>IF(F471&gt;1999,"Veliko",0)</f>
        <v>0</v>
      </c>
      <c r="G472" s="5365"/>
      <c r="H472" s="5365"/>
      <c r="I472" s="5365"/>
      <c r="J472" s="5365"/>
      <c r="K472" s="5365"/>
      <c r="L472" s="5365"/>
      <c r="M472" s="5365"/>
      <c r="N472" s="5365"/>
      <c r="O472" s="5365"/>
      <c r="P472" s="5365"/>
    </row>
    <row r="473" ht="17.25" customHeight="1" spans="1:102">
      <c r="A473" s="5365"/>
      <c r="B473" s="5365"/>
      <c r="C473" s="5394"/>
      <c r="D473" s="5394"/>
      <c r="E473" s="5365"/>
      <c r="F473" s="5365"/>
      <c r="G473" s="5365"/>
      <c r="H473" s="5365"/>
      <c r="I473" s="5365"/>
      <c r="J473" s="5365"/>
      <c r="K473" s="5365"/>
      <c r="L473" s="5365"/>
      <c r="M473" s="5365"/>
      <c r="N473" s="5365"/>
      <c r="O473" s="5365"/>
      <c r="P473" s="5365"/>
    </row>
    <row r="474" spans="1:102">
      <c r="A474" s="5365"/>
      <c r="B474" s="5365"/>
      <c r="C474" s="5394"/>
      <c r="D474" s="5394"/>
      <c r="E474" s="5365"/>
      <c r="F474" s="5365"/>
      <c r="G474" s="5365"/>
      <c r="H474" s="5365"/>
      <c r="I474" s="5365"/>
      <c r="J474" s="5365"/>
      <c r="K474" s="5365"/>
      <c r="L474" s="5365"/>
      <c r="M474" s="5365"/>
      <c r="N474" s="5365"/>
      <c r="O474" s="5365"/>
      <c r="P474" s="5365"/>
    </row>
    <row r="475" spans="1:102">
      <c r="A475" s="5365"/>
      <c r="B475" s="5365"/>
      <c r="C475" s="5540" t="s">
        <v>346</v>
      </c>
      <c r="D475" s="5540" t="s">
        <v>398</v>
      </c>
      <c r="E475" s="5365"/>
      <c r="F475" s="5365"/>
      <c r="G475" s="5365"/>
      <c r="H475" s="5365"/>
      <c r="I475" s="5365"/>
      <c r="J475" s="5365"/>
      <c r="K475" s="5365"/>
      <c r="L475" s="5365"/>
      <c r="M475" s="5365"/>
      <c r="N475" s="5365"/>
      <c r="O475" s="5365"/>
      <c r="P475" s="5365"/>
    </row>
    <row r="476" spans="1:102">
      <c r="A476" s="5365"/>
      <c r="B476" s="5365"/>
      <c r="C476" s="5540" t="s">
        <v>348</v>
      </c>
      <c r="D476" s="5541" t="s">
        <v>2424</v>
      </c>
      <c r="E476" s="5365"/>
      <c r="F476" s="5365"/>
      <c r="G476" s="5365"/>
      <c r="H476" s="5365"/>
      <c r="I476" s="5365"/>
      <c r="J476" s="5365"/>
      <c r="K476" s="5365"/>
      <c r="L476" s="5365"/>
      <c r="M476" s="5365"/>
      <c r="N476" s="5365"/>
      <c r="O476" s="5365"/>
      <c r="P476" s="5365"/>
    </row>
    <row r="477" spans="1:102">
      <c r="A477" s="5365"/>
      <c r="B477" s="5365"/>
      <c r="C477" s="5394"/>
      <c r="D477" s="5394"/>
      <c r="E477" s="5365"/>
      <c r="F477" s="5365"/>
      <c r="G477" s="5365"/>
      <c r="H477" s="5365"/>
      <c r="I477" s="5365"/>
      <c r="J477" s="5365"/>
      <c r="K477" s="5365"/>
      <c r="L477" s="5365"/>
      <c r="M477" s="5365"/>
      <c r="N477" s="5365"/>
      <c r="O477" s="5365"/>
      <c r="P477" s="5365"/>
    </row>
    <row r="478" spans="1:102">
      <c r="A478" s="5365"/>
      <c r="B478" s="5365"/>
      <c r="C478" s="5394"/>
      <c r="D478" s="5394"/>
      <c r="E478" s="5365"/>
      <c r="F478" s="5365"/>
      <c r="G478" s="5365"/>
      <c r="H478" s="5365"/>
      <c r="I478" s="5365"/>
      <c r="J478" s="5365"/>
      <c r="K478" s="5365"/>
      <c r="L478" s="5365"/>
      <c r="M478" s="5365"/>
      <c r="N478" s="5365"/>
      <c r="O478" s="5365"/>
      <c r="P478" s="5365"/>
    </row>
    <row r="479" spans="1:102">
      <c r="A479" s="5365"/>
      <c r="B479" s="5365"/>
      <c r="C479" s="5394"/>
      <c r="D479" s="5394"/>
      <c r="E479" s="5365"/>
      <c r="F479" s="5365"/>
      <c r="G479" s="5365"/>
      <c r="H479" s="5365"/>
      <c r="I479" s="5365"/>
      <c r="J479" s="5365"/>
      <c r="K479" s="5365"/>
      <c r="L479" s="5365"/>
      <c r="M479" s="5365"/>
      <c r="N479" s="5365"/>
      <c r="O479" s="5365"/>
      <c r="P479" s="5365"/>
    </row>
    <row r="480" s="4133" customFormat="1" customHeight="1" spans="1:102">
      <c r="A480" s="5542"/>
      <c r="B480" s="5543"/>
      <c r="C480" s="5544"/>
      <c r="D480" s="5544"/>
      <c r="E480" s="5544"/>
      <c r="F480" s="5544"/>
      <c r="G480" s="5544"/>
      <c r="H480" s="5544"/>
      <c r="I480" s="5544"/>
      <c r="J480" s="5544"/>
      <c r="K480" s="5544"/>
      <c r="L480" s="5544"/>
      <c r="M480" s="5544"/>
      <c r="N480" s="5544"/>
      <c r="O480" s="5544"/>
      <c r="P480" s="5544"/>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row>
    <row r="481" s="4134" customFormat="1" customHeight="1" spans="1:102">
      <c r="A481" s="5545"/>
      <c r="B481" s="5546"/>
      <c r="C481" s="5547"/>
      <c r="D481" s="5547"/>
      <c r="E481" s="5547"/>
      <c r="F481" s="5547"/>
      <c r="G481" s="5547"/>
      <c r="H481" s="5547"/>
      <c r="I481" s="5547"/>
      <c r="J481" s="5547"/>
      <c r="K481" s="5547"/>
      <c r="L481" s="5547"/>
      <c r="M481" s="5547"/>
      <c r="N481" s="5547"/>
      <c r="O481" s="5547"/>
      <c r="P481" s="5547"/>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row>
    <row r="482" s="4136" customFormat="1" ht="18.75" customHeight="1" spans="1:102">
      <c r="A482" s="5548" t="s">
        <v>2425</v>
      </c>
      <c r="B482" s="5549"/>
      <c r="C482" s="5550" t="s">
        <v>346</v>
      </c>
      <c r="D482" s="5551" t="s">
        <v>2426</v>
      </c>
      <c r="E482" s="5552" t="s">
        <v>397</v>
      </c>
      <c r="F482" s="5552"/>
      <c r="G482" s="5552"/>
      <c r="H482" s="5552"/>
      <c r="I482" s="5547"/>
      <c r="J482" s="5547"/>
      <c r="K482" s="5547"/>
      <c r="L482" s="5547"/>
      <c r="M482" s="5547"/>
      <c r="N482" s="5547"/>
      <c r="O482" s="5547"/>
      <c r="P482" s="5553"/>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row>
    <row r="483" s="4136" customFormat="1" ht="18.75" customHeight="1" spans="1:102">
      <c r="A483" s="5548"/>
      <c r="B483" s="5549"/>
      <c r="C483" s="5554" t="s">
        <v>348</v>
      </c>
      <c r="D483" s="5551" t="s">
        <v>2426</v>
      </c>
      <c r="E483" s="5555" t="s">
        <v>415</v>
      </c>
      <c r="F483" s="5555"/>
      <c r="G483" s="5555"/>
      <c r="H483" s="5555"/>
      <c r="I483" s="5547"/>
      <c r="J483" s="5547"/>
      <c r="K483" s="5547"/>
      <c r="L483" s="5547"/>
      <c r="M483" s="5547"/>
      <c r="N483" s="5547"/>
      <c r="O483" s="5547"/>
      <c r="P483" s="555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row>
    <row r="484" s="4136" customFormat="1" ht="18.75" customHeight="1" spans="1:102">
      <c r="A484" s="5556"/>
      <c r="B484" s="5557"/>
      <c r="C484" s="5553"/>
      <c r="D484" s="5553"/>
      <c r="E484" s="5558" t="str">
        <f>IF(UnosPod!AT14="MRS/MSFI (velika pravna lica)","",IF(UnosPod!AQ15="DA","&lt; PAŽNJA! Subjekt javnog interesa, izaberite: MRS/MSFI (velika pravna lica)",""))</f>
        <v/>
      </c>
      <c r="F484" s="5559"/>
      <c r="G484" s="5559"/>
      <c r="H484" s="5560"/>
      <c r="I484" s="5553"/>
      <c r="J484" s="5553"/>
      <c r="K484" s="5553"/>
      <c r="L484" s="5553"/>
      <c r="M484" s="5553"/>
      <c r="N484" s="5553"/>
      <c r="O484" s="5553"/>
      <c r="P484" s="5553"/>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row>
    <row r="485" s="4136" customFormat="1" ht="18.75" customHeight="1" spans="1:102">
      <c r="A485" s="5556"/>
      <c r="B485" s="5557"/>
      <c r="C485" s="5553"/>
      <c r="D485" s="5553"/>
      <c r="E485" s="5558" t="str">
        <f>IF(UnosPod!AT14="MRS/MSFI (velika pravna lica)","",(IF(ObavRazv!X30="Veliko","&lt; PAŽNJA! Veliko društvo, izaberite: MRS/MSFI (velika pravna lica)","")))</f>
        <v/>
      </c>
      <c r="F485" s="5559"/>
      <c r="G485" s="5559"/>
      <c r="H485" s="5560"/>
      <c r="I485" s="5553"/>
      <c r="J485" s="5553"/>
      <c r="K485" s="5553"/>
      <c r="L485" s="5553"/>
      <c r="M485" s="5553"/>
      <c r="N485" s="5553"/>
      <c r="O485" s="5553"/>
      <c r="P485" s="5553"/>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row>
    <row r="486" s="4136" customFormat="1" ht="15" customHeight="1" spans="1:102">
      <c r="A486" s="5556"/>
      <c r="B486" s="5557"/>
      <c r="C486" s="5553"/>
      <c r="D486" s="5553"/>
      <c r="E486" s="5561" t="s">
        <v>2427</v>
      </c>
      <c r="F486" s="5547"/>
      <c r="G486" s="5547"/>
      <c r="H486" s="5553"/>
      <c r="I486" s="5553"/>
      <c r="J486" s="5553"/>
      <c r="K486" s="5553"/>
      <c r="L486" s="5553"/>
      <c r="M486" s="5553"/>
      <c r="N486" s="5553"/>
      <c r="O486" s="5553"/>
      <c r="P486" s="5553"/>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row>
    <row r="487" s="4136" customFormat="1" ht="15" customHeight="1" spans="1:102">
      <c r="A487" s="5556"/>
      <c r="B487" s="5557"/>
      <c r="C487" s="5553"/>
      <c r="D487" s="5553"/>
      <c r="E487" s="5561" t="s">
        <v>2428</v>
      </c>
      <c r="F487" s="5547"/>
      <c r="G487" s="5547"/>
      <c r="H487" s="5553"/>
      <c r="I487" s="5553"/>
      <c r="J487" s="5553"/>
      <c r="K487" s="5553"/>
      <c r="L487" s="5553"/>
      <c r="M487" s="5553"/>
      <c r="N487" s="5553"/>
      <c r="O487" s="5553"/>
      <c r="P487" s="5553"/>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row>
    <row r="488" s="4136" customFormat="1" ht="15" customHeight="1" spans="1:102">
      <c r="A488" s="5556"/>
      <c r="B488" s="5557"/>
      <c r="C488" s="5553"/>
      <c r="D488" s="5553"/>
      <c r="E488" s="5561" t="s">
        <v>2429</v>
      </c>
      <c r="F488" s="5547"/>
      <c r="G488" s="5547"/>
      <c r="H488" s="5553"/>
      <c r="I488" s="5553"/>
      <c r="J488" s="5553"/>
      <c r="K488" s="5553"/>
      <c r="L488" s="5553"/>
      <c r="M488" s="5553"/>
      <c r="N488" s="5553"/>
      <c r="O488" s="5553"/>
      <c r="P488" s="5553"/>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row>
    <row r="489" s="4136" customFormat="1" ht="15" customHeight="1" spans="1:102">
      <c r="A489" s="5556"/>
      <c r="B489" s="5557"/>
      <c r="C489" s="5553"/>
      <c r="D489" s="5553"/>
      <c r="E489" s="5561" t="s">
        <v>2430</v>
      </c>
      <c r="F489" s="5547"/>
      <c r="G489" s="5547"/>
      <c r="H489" s="5553"/>
      <c r="I489" s="5553"/>
      <c r="J489" s="5553"/>
      <c r="K489" s="5553"/>
      <c r="L489" s="5553"/>
      <c r="M489" s="5553"/>
      <c r="N489" s="5553"/>
      <c r="O489" s="5553"/>
      <c r="P489" s="5553"/>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row>
    <row r="490" s="4136" customFormat="1" customHeight="1" spans="1:102">
      <c r="A490" s="5556"/>
      <c r="B490" s="5557"/>
      <c r="C490" s="5553"/>
      <c r="D490" s="5553"/>
      <c r="E490" s="5553"/>
      <c r="F490" s="5547"/>
      <c r="G490" s="5547"/>
      <c r="H490" s="5553"/>
      <c r="I490" s="5553"/>
      <c r="J490" s="5553"/>
      <c r="K490" s="5553"/>
      <c r="L490" s="5553"/>
      <c r="M490" s="5553"/>
      <c r="N490" s="5553"/>
      <c r="O490" s="5553"/>
      <c r="P490" s="5553"/>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row>
    <row r="491" s="4136" customFormat="1" ht="18" customHeight="1" spans="1:102">
      <c r="A491" s="5556"/>
      <c r="B491" s="5557"/>
      <c r="C491" s="5562" t="str">
        <f>IF(C482="DA",E482,E483)</f>
        <v>MSFI za MSP (mala i srednja pravna lica)</v>
      </c>
      <c r="D491" s="5562"/>
      <c r="E491" s="5562"/>
      <c r="F491" s="5562"/>
      <c r="G491" s="5562"/>
      <c r="H491" s="5562"/>
      <c r="I491" s="5562"/>
      <c r="J491" s="5562"/>
      <c r="K491" s="5562"/>
      <c r="L491" s="5562"/>
      <c r="M491" s="5562"/>
      <c r="N491" s="5562"/>
      <c r="O491" s="5562"/>
      <c r="P491" s="5553"/>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row>
    <row r="492" s="4136" customFormat="1" ht="45" customHeight="1" spans="1:102">
      <c r="A492" s="5556"/>
      <c r="B492" s="5557"/>
      <c r="C492" s="5563" t="str">
        <f>IF(C482="DA",E486&amp;" "&amp;E487&amp;" "&amp;E488&amp;" "&amp;E489," ")</f>
        <v>Prilikom prelaska na MSFI za MSS primjenjene su odredbe iz Odjeljka 35. Razlog prelaska na primjenu MSFI za MSS je ušteda na troškovima i vremenu rada. Kolona prethdna godina i kolona tekuća godina u finansijskim izvještajima sačinjene su u skladu sa MSFI za MSS. Prelazak na MSFI za MSS nije imao efekte na finansijske izvještaje.</v>
      </c>
      <c r="D492" s="5563"/>
      <c r="E492" s="5563"/>
      <c r="F492" s="5563"/>
      <c r="G492" s="5563"/>
      <c r="H492" s="5563"/>
      <c r="I492" s="5563"/>
      <c r="J492" s="5563"/>
      <c r="K492" s="5563"/>
      <c r="L492" s="5563"/>
      <c r="M492" s="5563"/>
      <c r="N492" s="5563"/>
      <c r="O492" s="5563"/>
      <c r="P492" s="5553"/>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row>
    <row r="493" s="4136" customFormat="1" ht="18" customHeight="1" spans="1:102">
      <c r="A493" s="5556"/>
      <c r="B493" s="5557"/>
      <c r="C493" s="5564"/>
      <c r="D493" s="5553"/>
      <c r="E493" s="5553"/>
      <c r="F493" s="5547"/>
      <c r="G493" s="5547"/>
      <c r="H493" s="5553"/>
      <c r="I493" s="5553"/>
      <c r="J493" s="5553"/>
      <c r="K493" s="5553"/>
      <c r="L493" s="5553"/>
      <c r="M493" s="5553"/>
      <c r="N493" s="5553"/>
      <c r="O493" s="5553"/>
      <c r="P493" s="555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row>
    <row r="494" s="4136" customFormat="1" ht="18" customHeight="1" spans="1:102">
      <c r="A494" s="5556"/>
      <c r="B494" s="5557"/>
      <c r="C494" s="5565" t="s">
        <v>2431</v>
      </c>
      <c r="D494" s="5553"/>
      <c r="E494" s="5553"/>
      <c r="F494" s="5547"/>
      <c r="G494" s="5547"/>
      <c r="H494" s="5553"/>
      <c r="I494" s="5553"/>
      <c r="J494" s="5553"/>
      <c r="K494" s="5553"/>
      <c r="L494" s="5553"/>
      <c r="M494" s="5553"/>
      <c r="N494" s="5553"/>
      <c r="O494" s="5553"/>
      <c r="P494" s="5553"/>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row>
    <row r="495" s="4136" customFormat="1" ht="18" customHeight="1" spans="1:102">
      <c r="A495" s="5556"/>
      <c r="B495" s="5557"/>
      <c r="C495" s="5566" t="s">
        <v>2432</v>
      </c>
      <c r="D495" s="5553"/>
      <c r="E495" s="5553"/>
      <c r="F495" s="5547"/>
      <c r="G495" s="5547"/>
      <c r="H495" s="5553"/>
      <c r="I495" s="5553"/>
      <c r="J495" s="5553"/>
      <c r="K495" s="5553"/>
      <c r="L495" s="5553"/>
      <c r="M495" s="5553"/>
      <c r="N495" s="5553"/>
      <c r="O495" s="5553"/>
      <c r="P495" s="5553"/>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row>
    <row r="496" s="4136" customFormat="1" ht="18" customHeight="1" spans="1:102">
      <c r="A496" s="5556"/>
      <c r="B496" s="5557"/>
      <c r="C496" s="5566" t="s">
        <v>2433</v>
      </c>
      <c r="D496" s="5553"/>
      <c r="E496" s="5553"/>
      <c r="F496" s="5547"/>
      <c r="G496" s="5547"/>
      <c r="H496" s="5553"/>
      <c r="I496" s="5553"/>
      <c r="J496" s="5553"/>
      <c r="K496" s="5553"/>
      <c r="L496" s="5553"/>
      <c r="M496" s="5553"/>
      <c r="N496" s="5553"/>
      <c r="O496" s="5553"/>
      <c r="P496" s="5553"/>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row>
    <row r="497" s="4136" customFormat="1" ht="18" customHeight="1" spans="1:102">
      <c r="A497" s="5556"/>
      <c r="B497" s="5557"/>
      <c r="C497" s="5567" t="s">
        <v>2434</v>
      </c>
      <c r="D497" s="5553"/>
      <c r="E497" s="5553"/>
      <c r="F497" s="5547"/>
      <c r="G497" s="5547"/>
      <c r="H497" s="5553"/>
      <c r="I497" s="5553"/>
      <c r="J497" s="5553"/>
      <c r="K497" s="5553"/>
      <c r="L497" s="5553"/>
      <c r="M497" s="5553"/>
      <c r="N497" s="5553"/>
      <c r="O497" s="5553"/>
      <c r="P497" s="5553"/>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row>
    <row r="498" s="4136" customFormat="1" ht="18" customHeight="1" spans="1:102">
      <c r="A498" s="5556"/>
      <c r="B498" s="5557"/>
      <c r="C498" s="5564"/>
      <c r="D498" s="5553"/>
      <c r="E498" s="5553"/>
      <c r="F498" s="5547"/>
      <c r="G498" s="5547"/>
      <c r="H498" s="5553"/>
      <c r="I498" s="5553"/>
      <c r="J498" s="5553"/>
      <c r="K498" s="5553"/>
      <c r="L498" s="5553"/>
      <c r="M498" s="5553"/>
      <c r="N498" s="5553"/>
      <c r="O498" s="5553"/>
      <c r="P498" s="5553"/>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row>
    <row r="499" s="4136" customFormat="1" ht="18" customHeight="1" spans="1:102">
      <c r="A499" s="5556"/>
      <c r="B499" s="5557"/>
      <c r="C499" s="5564"/>
      <c r="D499" s="5553"/>
      <c r="E499" s="5553"/>
      <c r="F499" s="5547"/>
      <c r="G499" s="5547"/>
      <c r="H499" s="5553"/>
      <c r="I499" s="5553"/>
      <c r="J499" s="5553"/>
      <c r="K499" s="5553"/>
      <c r="L499" s="5553"/>
      <c r="M499" s="5553"/>
      <c r="N499" s="5553"/>
      <c r="O499" s="5553"/>
      <c r="P499" s="5553"/>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row>
    <row r="500" s="4136" customFormat="1" ht="18" customHeight="1" spans="1:102">
      <c r="A500" s="5556"/>
      <c r="B500" s="5557"/>
      <c r="C500" s="5565" t="s">
        <v>2435</v>
      </c>
      <c r="D500" s="5553"/>
      <c r="E500" s="5553"/>
      <c r="F500" s="5547"/>
      <c r="G500" s="5547"/>
      <c r="H500" s="5553"/>
      <c r="I500" s="5553"/>
      <c r="J500" s="5553"/>
      <c r="K500" s="5553"/>
      <c r="L500" s="5553"/>
      <c r="M500" s="5553"/>
      <c r="N500" s="5553"/>
      <c r="O500" s="5553"/>
      <c r="P500" s="5553"/>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row>
    <row r="501" s="4136" customFormat="1" ht="18" customHeight="1" spans="1:102">
      <c r="A501" s="5556"/>
      <c r="B501" s="5557"/>
      <c r="C501" s="5566" t="s">
        <v>2436</v>
      </c>
      <c r="D501" s="5553"/>
      <c r="E501" s="5553"/>
      <c r="F501" s="5547"/>
      <c r="G501" s="5547"/>
      <c r="H501" s="5553"/>
      <c r="I501" s="5553"/>
      <c r="J501" s="5553"/>
      <c r="K501" s="5553"/>
      <c r="L501" s="5553"/>
      <c r="M501" s="5553"/>
      <c r="N501" s="5553"/>
      <c r="O501" s="5553"/>
      <c r="P501" s="5553"/>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row>
    <row r="502" s="4136" customFormat="1" ht="18" customHeight="1" spans="1:102">
      <c r="A502" s="5556"/>
      <c r="B502" s="5557"/>
      <c r="C502" s="5566" t="s">
        <v>2437</v>
      </c>
      <c r="D502" s="5553"/>
      <c r="E502" s="5553"/>
      <c r="F502" s="5547"/>
      <c r="G502" s="5547"/>
      <c r="H502" s="5553"/>
      <c r="I502" s="5553"/>
      <c r="J502" s="5553"/>
      <c r="K502" s="5553"/>
      <c r="L502" s="5553"/>
      <c r="M502" s="5553"/>
      <c r="N502" s="5553"/>
      <c r="O502" s="5553"/>
      <c r="P502" s="5553"/>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row>
    <row r="503" s="4136" customFormat="1" ht="18" customHeight="1" spans="1:102">
      <c r="A503" s="5556"/>
      <c r="B503" s="5557"/>
      <c r="C503" s="5567"/>
      <c r="D503" s="5553"/>
      <c r="E503" s="5553"/>
      <c r="F503" s="5547"/>
      <c r="G503" s="5547"/>
      <c r="H503" s="5553"/>
      <c r="I503" s="5553"/>
      <c r="J503" s="5553"/>
      <c r="K503" s="5553"/>
      <c r="L503" s="5553"/>
      <c r="M503" s="5553"/>
      <c r="N503" s="5553"/>
      <c r="O503" s="5553"/>
      <c r="P503" s="555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row>
    <row r="504" s="4136" customFormat="1" ht="18" customHeight="1" spans="1:102">
      <c r="A504" s="5556"/>
      <c r="B504" s="5557"/>
      <c r="C504" s="5564"/>
      <c r="D504" s="5553"/>
      <c r="E504" s="5553"/>
      <c r="F504" s="5547"/>
      <c r="G504" s="5547"/>
      <c r="H504" s="5553"/>
      <c r="I504" s="5553"/>
      <c r="J504" s="5553"/>
      <c r="K504" s="5553"/>
      <c r="L504" s="5553"/>
      <c r="M504" s="5553"/>
      <c r="N504" s="5553"/>
      <c r="O504" s="5553"/>
      <c r="P504" s="5553"/>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row>
    <row r="505" s="4134" customFormat="1" customHeight="1" spans="1:102">
      <c r="A505" s="5545"/>
      <c r="B505" s="5546"/>
      <c r="C505" s="5547"/>
      <c r="D505" s="5547"/>
      <c r="E505" s="5547"/>
      <c r="F505" s="5547"/>
      <c r="G505" s="5547"/>
      <c r="H505" s="5547"/>
      <c r="I505" s="5547"/>
      <c r="J505" s="5547"/>
      <c r="K505" s="5547"/>
      <c r="L505" s="5547"/>
      <c r="M505" s="5547"/>
      <c r="N505" s="5547"/>
      <c r="O505" s="5547"/>
      <c r="P505" s="5547"/>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row>
    <row r="506" spans="1:102">
      <c r="C506" s="3"/>
      <c r="D506"/>
    </row>
    <row r="507" spans="1:102">
      <c r="C507" s="3"/>
      <c r="D507"/>
    </row>
    <row r="508" spans="1:102">
      <c r="C508" s="3"/>
      <c r="D508"/>
    </row>
    <row r="509" spans="1:102">
      <c r="C509" s="3"/>
      <c r="D509"/>
    </row>
    <row r="510" spans="1:102">
      <c r="C510" s="3"/>
      <c r="D510"/>
    </row>
    <row r="511" spans="1:102">
      <c r="C511" s="3"/>
      <c r="D511"/>
    </row>
  </sheetData>
  <sheetProtection algorithmName="SHA-512" hashValue="uxVn8JQIFDTAxjZ0wUdRsARfZe6f6Z9lLj63bdTiGplYPPqwxaCytILNNeC8POpWdX2X+xCqv1kBcC4xPBW11g==" saltValue="2TxfJPuHcNj1jde78V/Z/A==" spinCount="100000" sheet="1" selectLockedCells="1" selectUnlockedCells="1"/>
  <customSheetViews>
    <customSheetView guid="{7A886FB3-8F08-4D3E-B7EB-0851AD05C3C6}" showPageBreaks="1" showGridLines="0" showRowCol="0" hiddenRows="1">
      <selection activeCell="A281" sqref="A281"/>
      <rowBreaks count="2" manualBreakCount="2">
        <brk id="136" max="16383" man="1"/>
        <brk id="285" max="19" man="1"/>
      </rowBreaks>
      <colBreaks count="1" manualBreakCount="1">
        <brk id="15" max="1048575" man="1"/>
      </colBreaks>
      <pageMargins left="0.7" right="0.7" top="0.75" bottom="0.75" header="0.3" footer="0.3"/>
      <pageSetup paperSize="9" scale="36" orientation="portrait"/>
      <headerFooter/>
    </customSheetView>
  </customSheetViews>
  <mergeCells count="4">
    <mergeCell ref="D4:E4"/>
    <mergeCell ref="C19:E19"/>
    <mergeCell ref="C491:O491"/>
    <mergeCell ref="C492:O492"/>
  </mergeCells>
  <conditionalFormatting sqref="C482:C483">
    <cfRule type="containsText" dxfId="2" priority="9" operator="between" text="NE">
      <formula>NOT(ISERROR(SEARCH("NE",C482)))</formula>
    </cfRule>
  </conditionalFormatting>
  <conditionalFormatting sqref="E484:E485">
    <cfRule type="containsText" dxfId="3" priority="1" operator="between" text="Upiši šifru djelatnosti">
      <formula>NOT(ISERROR(SEARCH("Upiši šifru djelatnosti",E484)))</formula>
    </cfRule>
  </conditionalFormatting>
  <conditionalFormatting sqref="A4:P15">
    <cfRule type="expression" dxfId="0" priority="3">
      <formula>$C$2&lt;&gt;"var180262"</formula>
    </cfRule>
  </conditionalFormatting>
  <conditionalFormatting sqref="C16:P18;A16:B19;C19;F19:P19;M100:P113;A114:P179;A180:B199;D180:P199;C199;A200:P200;A201:B203;D201:P203">
    <cfRule type="expression" dxfId="0" priority="15">
      <formula>$C$2&lt;&gt;"var180262"</formula>
    </cfRule>
  </conditionalFormatting>
  <conditionalFormatting sqref="A20:P99">
    <cfRule type="expression" dxfId="0" priority="10">
      <formula>$C$2&lt;&gt;"var180262"</formula>
    </cfRule>
  </conditionalFormatting>
  <conditionalFormatting sqref="A100:L109;A110:I110;A110:A112;A113:I113">
    <cfRule type="expression" dxfId="0" priority="13">
      <formula>$C$2&lt;&gt;"var180262"</formula>
    </cfRule>
  </conditionalFormatting>
  <conditionalFormatting sqref="J110:L113">
    <cfRule type="expression" dxfId="0" priority="11">
      <formula>$C$2&lt;&gt;"var180262"</formula>
    </cfRule>
  </conditionalFormatting>
  <conditionalFormatting sqref="B111:I112">
    <cfRule type="expression" dxfId="0" priority="12">
      <formula>$C$2&lt;&gt;"var180262"</formula>
    </cfRule>
  </conditionalFormatting>
  <conditionalFormatting sqref="A204:P479">
    <cfRule type="expression" dxfId="0" priority="4">
      <formula>$C$2&lt;&gt;"var180262"</formula>
    </cfRule>
  </conditionalFormatting>
  <dataValidations count="2">
    <dataValidation type="custom" allowBlank="1" showInputMessage="1" showErrorMessage="1" error="želite li promjeniti PoluGod 06 2013" sqref="C13 E484:E485 CY480:XFD505" errorStyle="warning">
      <formula1>$C$7="DA"</formula1>
    </dataValidation>
    <dataValidation type="custom" allowBlank="1" showInputMessage="1" showErrorMessage="1" error="želite li promjeniti PoluGod 06 2013" sqref="C14" errorStyle="warning">
      <formula1>#REF!="DA"</formula1>
    </dataValidation>
  </dataValidations>
  <pageMargins left="0.7" right="0.7" top="0.75" bottom="0.75" header="0.3" footer="0.3"/>
  <pageSetup paperSize="9" scale="36" orientation="portrait"/>
  <headerFooter/>
  <rowBreaks count="2" manualBreakCount="2">
    <brk id="148" max="16383" man="1"/>
    <brk id="362" max="20" man="1"/>
  </rowBreaks>
  <colBreaks count="1" manualBreakCount="1">
    <brk id="16" max="104857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0">
    <tabColor rgb="FF0070C0"/>
  </sheetPr>
  <dimension ref="A2:AF55"/>
  <sheetViews>
    <sheetView showGridLines="0" topLeftCell="A4" workbookViewId="0">
      <selection activeCell="AF26" sqref="AF26"/>
    </sheetView>
  </sheetViews>
  <sheetFormatPr defaultColWidth="2.85714285714286" defaultRowHeight="12.75"/>
  <cols>
    <col min="1" max="19" width="2.85714285714286" style="572"/>
    <col min="20" max="20" width="2.85714285714286" style="572" customWidth="1"/>
    <col min="21" max="23" width="2.85714285714286" style="572"/>
    <col min="24" max="31" width="3.14285714285714" style="572" customWidth="1"/>
    <col min="32" max="16384" width="2.85714285714286" style="572"/>
  </cols>
  <sheetData>
    <row r="2" ht="15.75" spans="1:31">
      <c r="A2" s="2020" t="str">
        <f>UnosPod!F8</f>
        <v>LILIUM ASSET MANAGEMENT d.o.o. Sarajevo</v>
      </c>
      <c r="B2" s="2020"/>
      <c r="C2" s="2020"/>
      <c r="D2" s="2020"/>
      <c r="E2" s="2020"/>
      <c r="F2" s="2020"/>
      <c r="G2" s="2020"/>
      <c r="H2" s="2020"/>
      <c r="I2" s="2020"/>
      <c r="J2" s="2020"/>
      <c r="K2" s="2020"/>
      <c r="L2" s="2020"/>
      <c r="M2" s="2020"/>
      <c r="N2" s="2020"/>
      <c r="O2" s="2020"/>
      <c r="P2" s="2020"/>
      <c r="Q2" s="2020"/>
      <c r="R2" s="2020"/>
      <c r="S2" s="2021"/>
      <c r="T2" s="2021"/>
      <c r="U2" s="2021"/>
      <c r="V2" s="2021"/>
      <c r="AE2" s="2022" t="s">
        <v>7337</v>
      </c>
    </row>
    <row r="3" spans="1:31">
      <c r="A3" s="325" t="str">
        <f>Text!B12</f>
        <v>Naziv pravnog / fizičkog lica</v>
      </c>
      <c r="B3" s="325"/>
      <c r="C3" s="325"/>
      <c r="D3" s="325"/>
      <c r="E3" s="325"/>
      <c r="F3" s="325"/>
      <c r="G3" s="325"/>
      <c r="H3" s="325"/>
      <c r="I3" s="325"/>
      <c r="J3" s="325"/>
      <c r="K3" s="325"/>
      <c r="L3" s="325"/>
      <c r="M3" s="325"/>
      <c r="N3" s="325"/>
      <c r="O3" s="325"/>
      <c r="P3" s="325"/>
      <c r="Q3" s="325"/>
      <c r="R3" s="325"/>
      <c r="S3" s="324"/>
      <c r="T3" s="324"/>
      <c r="U3" s="324"/>
      <c r="V3" s="324"/>
    </row>
    <row r="5" spans="1:31">
      <c r="A5" s="572" t="str">
        <f>Text!B4</f>
        <v>Identifikacioni broj za direktne poreze</v>
      </c>
    </row>
    <row r="7" spans="1:31">
      <c r="A7" s="2023">
        <f>UnosPod!AA8</f>
        <v>4</v>
      </c>
      <c r="B7" s="2023">
        <f>UnosPod!AB8</f>
        <v>2</v>
      </c>
      <c r="C7" s="2023">
        <f>UnosPod!AC8</f>
        <v>0</v>
      </c>
      <c r="D7" s="2023">
        <f>UnosPod!AD8</f>
        <v>1</v>
      </c>
      <c r="E7" s="2023">
        <f>UnosPod!AE8</f>
        <v>3</v>
      </c>
      <c r="F7" s="2023">
        <f>UnosPod!AF8</f>
        <v>3</v>
      </c>
      <c r="G7" s="2023">
        <f>UnosPod!AG8</f>
        <v>7</v>
      </c>
      <c r="H7" s="2023">
        <f>UnosPod!AH8</f>
        <v>6</v>
      </c>
      <c r="I7" s="2023">
        <f>UnosPod!AI8</f>
        <v>7</v>
      </c>
      <c r="J7" s="2023">
        <f>UnosPod!AJ8</f>
        <v>0</v>
      </c>
      <c r="K7" s="2023">
        <f>UnosPod!AK8</f>
        <v>0</v>
      </c>
      <c r="L7" s="2023">
        <f>UnosPod!AL8</f>
        <v>0</v>
      </c>
      <c r="M7" s="2023">
        <f>UnosPod!AM8</f>
        <v>9</v>
      </c>
    </row>
    <row r="9" ht="14.25" spans="1:31">
      <c r="A9" s="576" t="str">
        <f>Baza!I21</f>
        <v>Sarajevo-Stari Grad</v>
      </c>
      <c r="B9" s="576"/>
      <c r="C9" s="576"/>
      <c r="D9" s="576"/>
      <c r="E9" s="576"/>
      <c r="F9" s="576"/>
      <c r="G9" s="576"/>
      <c r="H9" s="576"/>
      <c r="J9" s="2024" t="str">
        <f>UnosPod!F10</f>
        <v>Dženetića čikma br.8</v>
      </c>
      <c r="K9" s="2024"/>
      <c r="L9" s="2024"/>
      <c r="M9" s="2024"/>
      <c r="N9" s="2024"/>
      <c r="O9" s="2024"/>
      <c r="P9" s="2024"/>
      <c r="Q9" s="2024"/>
      <c r="R9" s="2024"/>
      <c r="Y9" s="2024"/>
      <c r="Z9" s="2024"/>
      <c r="AA9" s="2025">
        <f>UnosPod!AA11</f>
        <v>1</v>
      </c>
      <c r="AB9" s="2025">
        <f>UnosPod!AB11</f>
        <v>0</v>
      </c>
      <c r="AC9" s="2025">
        <f>UnosPod!AC11</f>
        <v>9</v>
      </c>
      <c r="AD9" s="2024"/>
      <c r="AE9" s="2024"/>
    </row>
    <row r="10" spans="1:31">
      <c r="A10" s="2026" t="s">
        <v>7338</v>
      </c>
      <c r="B10" s="2026"/>
      <c r="C10" s="2026"/>
      <c r="D10" s="2026"/>
      <c r="E10" s="2026"/>
      <c r="F10" s="2026"/>
      <c r="G10" s="2026"/>
      <c r="H10" s="2026"/>
      <c r="I10" s="324"/>
      <c r="J10" s="325" t="s">
        <v>6498</v>
      </c>
      <c r="K10" s="325"/>
      <c r="L10" s="325"/>
      <c r="M10" s="325"/>
      <c r="N10" s="325"/>
      <c r="O10" s="325"/>
      <c r="P10" s="325"/>
      <c r="Q10" s="325" t="s">
        <v>6499</v>
      </c>
      <c r="R10" s="325"/>
      <c r="Y10" s="325" t="s">
        <v>7339</v>
      </c>
      <c r="Z10" s="325"/>
      <c r="AA10" s="325"/>
      <c r="AB10" s="325"/>
      <c r="AC10" s="325"/>
      <c r="AD10" s="325"/>
      <c r="AE10" s="325"/>
    </row>
    <row r="12" ht="14.25" spans="1:31">
      <c r="A12" s="2027" t="str">
        <f>Baza!D20</f>
        <v>Djelatnosti upravljanja fondovima</v>
      </c>
      <c r="B12" s="2027"/>
      <c r="C12" s="2027"/>
      <c r="D12" s="2027"/>
      <c r="E12" s="2027"/>
      <c r="F12" s="2027"/>
      <c r="G12" s="2027"/>
      <c r="H12" s="2027"/>
      <c r="I12" s="2027"/>
      <c r="J12" s="2027"/>
      <c r="K12" s="2027"/>
      <c r="L12" s="2027"/>
      <c r="M12" s="2027"/>
      <c r="N12" s="2027"/>
      <c r="O12" s="2027"/>
      <c r="P12" s="2027"/>
      <c r="Q12" s="2027"/>
      <c r="R12" s="2027"/>
      <c r="Y12" s="1192"/>
      <c r="AA12" s="2028">
        <f>UnosPod!AA10</f>
        <v>6</v>
      </c>
      <c r="AB12" s="2028">
        <f>UnosPod!AB10</f>
        <v>6</v>
      </c>
      <c r="AC12" s="2028">
        <f>UnosPod!AC10</f>
        <v>3</v>
      </c>
      <c r="AD12" s="2028">
        <f>UnosPod!AD10</f>
        <v>0</v>
      </c>
      <c r="AE12" s="2028"/>
    </row>
    <row r="13" spans="1:31">
      <c r="A13" s="2026" t="s">
        <v>7340</v>
      </c>
      <c r="B13" s="2026"/>
      <c r="C13" s="2026"/>
      <c r="D13" s="2026"/>
      <c r="E13" s="2026"/>
      <c r="F13" s="2026"/>
      <c r="G13" s="2026"/>
      <c r="H13" s="2026"/>
      <c r="I13" s="2026"/>
      <c r="J13" s="2026"/>
      <c r="K13" s="2026"/>
      <c r="L13" s="2026"/>
      <c r="M13" s="2026"/>
      <c r="N13" s="2026"/>
      <c r="O13" s="2026"/>
      <c r="P13" s="2026"/>
      <c r="Q13" s="2026"/>
      <c r="R13" s="2026"/>
      <c r="Y13" s="2026" t="s">
        <v>357</v>
      </c>
      <c r="Z13" s="2026"/>
      <c r="AA13" s="2026"/>
      <c r="AB13" s="2026"/>
      <c r="AC13" s="2026"/>
      <c r="AD13" s="2026"/>
      <c r="AE13" s="2026"/>
    </row>
    <row r="17" ht="20.25" spans="1:32">
      <c r="A17" s="1862" t="s">
        <v>7341</v>
      </c>
      <c r="B17" s="1862"/>
      <c r="C17" s="1862"/>
      <c r="D17" s="1862"/>
      <c r="E17" s="1862"/>
      <c r="F17" s="1862"/>
      <c r="G17" s="1862"/>
      <c r="H17" s="1862"/>
      <c r="I17" s="1862"/>
      <c r="J17" s="1862"/>
      <c r="K17" s="1862"/>
      <c r="L17" s="1862"/>
      <c r="M17" s="1862"/>
      <c r="N17" s="1862"/>
      <c r="O17" s="1862"/>
      <c r="P17" s="1862"/>
      <c r="Q17" s="1862"/>
      <c r="R17" s="1862"/>
      <c r="S17" s="1862"/>
      <c r="T17" s="1862"/>
      <c r="U17" s="1862"/>
      <c r="V17" s="1862"/>
      <c r="W17" s="1862"/>
      <c r="X17" s="1862"/>
      <c r="Y17" s="1862"/>
      <c r="Z17" s="1862"/>
      <c r="AA17" s="1862"/>
      <c r="AB17" s="1862"/>
      <c r="AC17" s="1862"/>
      <c r="AD17" s="1862"/>
      <c r="AE17" s="1862"/>
    </row>
    <row r="18" ht="15.75" spans="1:32">
      <c r="A18" s="575" t="str">
        <f ca="1">"članarine "&amp;Text!B56</f>
        <v>članarine za period od 01.01.2025. do 31.12.2025. godine</v>
      </c>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row>
    <row r="21" s="572" customFormat="1" ht="15" spans="1:32">
      <c r="A21" s="2029" t="s">
        <v>7095</v>
      </c>
      <c r="B21" s="2030"/>
      <c r="C21" s="2029" t="s">
        <v>4178</v>
      </c>
      <c r="D21" s="2030"/>
      <c r="E21" s="2030"/>
      <c r="F21" s="2030"/>
      <c r="G21" s="2030"/>
      <c r="H21" s="2030"/>
      <c r="I21" s="2030"/>
      <c r="J21" s="2030"/>
      <c r="K21" s="2030"/>
      <c r="L21" s="2030"/>
      <c r="M21" s="2030"/>
      <c r="N21" s="2030"/>
      <c r="O21" s="2030"/>
      <c r="P21" s="2030"/>
      <c r="Q21" s="2030"/>
      <c r="R21" s="2030"/>
      <c r="S21" s="2031"/>
      <c r="T21" s="2030" t="s">
        <v>2438</v>
      </c>
      <c r="U21" s="2030"/>
      <c r="V21" s="2030"/>
      <c r="W21" s="2030"/>
      <c r="X21" s="2029"/>
      <c r="Y21" s="2030"/>
      <c r="Z21" s="2030"/>
      <c r="AA21" s="2030"/>
      <c r="AB21" s="2030"/>
      <c r="AC21" s="2030"/>
      <c r="AD21" s="2030"/>
      <c r="AE21" s="2031"/>
    </row>
    <row r="22" s="572" customFormat="1" ht="15" spans="1:32">
      <c r="A22" s="2032" t="s">
        <v>7076</v>
      </c>
      <c r="B22" s="2033"/>
      <c r="C22" s="2032"/>
      <c r="D22" s="2033"/>
      <c r="E22" s="2033"/>
      <c r="F22" s="2033"/>
      <c r="G22" s="2033"/>
      <c r="H22" s="2033"/>
      <c r="I22" s="2033"/>
      <c r="J22" s="2033"/>
      <c r="K22" s="2033"/>
      <c r="L22" s="2033"/>
      <c r="M22" s="2033"/>
      <c r="N22" s="2033"/>
      <c r="O22" s="2033"/>
      <c r="P22" s="2033"/>
      <c r="Q22" s="2033"/>
      <c r="R22" s="2033"/>
      <c r="S22" s="2034"/>
      <c r="T22" s="2033"/>
      <c r="U22" s="2033"/>
      <c r="V22" s="2033"/>
      <c r="W22" s="2033"/>
      <c r="X22" s="2035" t="s">
        <v>7342</v>
      </c>
      <c r="Y22" s="1870"/>
      <c r="Z22" s="1870"/>
      <c r="AA22" s="1870"/>
      <c r="AB22" s="1870"/>
      <c r="AC22" s="1870"/>
      <c r="AD22" s="1870"/>
      <c r="AE22" s="2036"/>
    </row>
    <row r="23" s="572" customFormat="1" ht="17.25" customHeight="1" spans="1:32">
      <c r="A23" s="2037">
        <v>0</v>
      </c>
      <c r="B23" s="2038"/>
      <c r="C23" s="2037">
        <v>1</v>
      </c>
      <c r="D23" s="2038"/>
      <c r="E23" s="2038"/>
      <c r="F23" s="2038"/>
      <c r="G23" s="2038"/>
      <c r="H23" s="2038"/>
      <c r="I23" s="2038"/>
      <c r="J23" s="2038"/>
      <c r="K23" s="2038"/>
      <c r="L23" s="2038"/>
      <c r="M23" s="2038"/>
      <c r="N23" s="2038"/>
      <c r="O23" s="2038"/>
      <c r="P23" s="2038"/>
      <c r="Q23" s="2038"/>
      <c r="R23" s="2038"/>
      <c r="S23" s="2039"/>
      <c r="T23" s="2040">
        <v>2</v>
      </c>
      <c r="U23" s="2041"/>
      <c r="V23" s="2041"/>
      <c r="W23" s="2041"/>
      <c r="X23" s="2037">
        <v>3</v>
      </c>
      <c r="Y23" s="2038"/>
      <c r="Z23" s="2038"/>
      <c r="AA23" s="2038"/>
      <c r="AB23" s="2038"/>
      <c r="AC23" s="2038"/>
      <c r="AD23" s="2038"/>
      <c r="AE23" s="2039"/>
    </row>
    <row r="24" s="570" customFormat="1" ht="30" customHeight="1" spans="1:32">
      <c r="A24" s="2042" t="s">
        <v>3953</v>
      </c>
      <c r="B24" s="1886"/>
      <c r="C24" s="2043" t="s">
        <v>7343</v>
      </c>
      <c r="D24" s="2044"/>
      <c r="E24" s="2044"/>
      <c r="F24" s="2044"/>
      <c r="G24" s="2044"/>
      <c r="H24" s="2044"/>
      <c r="I24" s="2044"/>
      <c r="J24" s="2044"/>
      <c r="K24" s="2044"/>
      <c r="L24" s="2044"/>
      <c r="M24" s="2044"/>
      <c r="N24" s="2044"/>
      <c r="O24" s="2044"/>
      <c r="P24" s="2044"/>
      <c r="Q24" s="2044"/>
      <c r="R24" s="2044"/>
      <c r="S24" s="2045"/>
      <c r="T24" s="2046" t="s">
        <v>5267</v>
      </c>
      <c r="U24" s="2047"/>
      <c r="V24" s="2047"/>
      <c r="W24" s="2047"/>
      <c r="X24" s="2048">
        <f>ROUND(UnosPod!G539,0)</f>
        <v>247772</v>
      </c>
      <c r="Y24" s="2049"/>
      <c r="Z24" s="2049"/>
      <c r="AA24" s="2049"/>
      <c r="AB24" s="2049"/>
      <c r="AC24" s="2049"/>
      <c r="AD24" s="2049"/>
      <c r="AE24" s="2050"/>
    </row>
    <row r="25" s="570" customFormat="1" ht="30" customHeight="1" spans="1:32">
      <c r="A25" s="2051" t="s">
        <v>3891</v>
      </c>
      <c r="B25" s="1897"/>
      <c r="C25" s="2052" t="s">
        <v>7344</v>
      </c>
      <c r="D25" s="2053"/>
      <c r="E25" s="2053"/>
      <c r="F25" s="2053"/>
      <c r="G25" s="2053"/>
      <c r="H25" s="2053"/>
      <c r="I25" s="2053"/>
      <c r="J25" s="2053"/>
      <c r="K25" s="2053"/>
      <c r="L25" s="2053"/>
      <c r="M25" s="2053"/>
      <c r="N25" s="2053"/>
      <c r="O25" s="2053"/>
      <c r="P25" s="2053"/>
      <c r="Q25" s="2053"/>
      <c r="R25" s="2053"/>
      <c r="S25" s="2054"/>
      <c r="T25" s="2055" t="s">
        <v>5275</v>
      </c>
      <c r="U25" s="2056"/>
      <c r="V25" s="2056"/>
      <c r="W25" s="2056"/>
      <c r="X25" s="2057">
        <f>UnosPod!G540</f>
        <v>0</v>
      </c>
      <c r="Y25" s="2058"/>
      <c r="Z25" s="2058"/>
      <c r="AA25" s="2058"/>
      <c r="AB25" s="2058"/>
      <c r="AC25" s="2058"/>
      <c r="AD25" s="2058"/>
      <c r="AE25" s="2059"/>
      <c r="AF25" s="570" t="s">
        <v>20</v>
      </c>
    </row>
    <row r="26" s="570" customFormat="1" ht="30" customHeight="1" spans="1:32">
      <c r="A26" s="2051" t="s">
        <v>3902</v>
      </c>
      <c r="B26" s="1897"/>
      <c r="C26" s="2052" t="s">
        <v>7345</v>
      </c>
      <c r="D26" s="2053"/>
      <c r="E26" s="2053"/>
      <c r="F26" s="2053"/>
      <c r="G26" s="2053"/>
      <c r="H26" s="2053"/>
      <c r="I26" s="2053"/>
      <c r="J26" s="2053"/>
      <c r="K26" s="2053"/>
      <c r="L26" s="2053"/>
      <c r="M26" s="2053"/>
      <c r="N26" s="2053"/>
      <c r="O26" s="2053"/>
      <c r="P26" s="2053"/>
      <c r="Q26" s="2053"/>
      <c r="R26" s="2053"/>
      <c r="S26" s="2054"/>
      <c r="T26" s="2055" t="s">
        <v>5284</v>
      </c>
      <c r="U26" s="2056"/>
      <c r="V26" s="2056"/>
      <c r="W26" s="2056"/>
      <c r="X26" s="2060">
        <f>ROUND(X24*X25/100,2)</f>
        <v>0</v>
      </c>
      <c r="Y26" s="2061"/>
      <c r="Z26" s="2061"/>
      <c r="AA26" s="2061"/>
      <c r="AB26" s="2061"/>
      <c r="AC26" s="2061"/>
      <c r="AD26" s="2061"/>
      <c r="AE26" s="2062"/>
    </row>
    <row r="27" s="570" customFormat="1" ht="27.75" customHeight="1" spans="1:32">
      <c r="A27" s="2051" t="s">
        <v>3905</v>
      </c>
      <c r="B27" s="1897"/>
      <c r="C27" s="2052" t="s">
        <v>7346</v>
      </c>
      <c r="D27" s="2053"/>
      <c r="E27" s="2053"/>
      <c r="F27" s="2053"/>
      <c r="G27" s="2053"/>
      <c r="H27" s="2053"/>
      <c r="I27" s="2053"/>
      <c r="J27" s="2053"/>
      <c r="K27" s="2053"/>
      <c r="L27" s="2053"/>
      <c r="M27" s="2053"/>
      <c r="N27" s="2053"/>
      <c r="O27" s="2053"/>
      <c r="P27" s="2053"/>
      <c r="Q27" s="2053"/>
      <c r="R27" s="2053"/>
      <c r="S27" s="2054"/>
      <c r="T27" s="2055" t="s">
        <v>5292</v>
      </c>
      <c r="U27" s="2056"/>
      <c r="V27" s="2056"/>
      <c r="W27" s="2056"/>
      <c r="X27" s="2060">
        <f>ROUND(UnosPod!G541,0)</f>
        <v>0</v>
      </c>
      <c r="Y27" s="2061"/>
      <c r="Z27" s="2061"/>
      <c r="AA27" s="2061"/>
      <c r="AB27" s="2061"/>
      <c r="AC27" s="2061"/>
      <c r="AD27" s="2061"/>
      <c r="AE27" s="2062"/>
    </row>
    <row r="28" s="570" customFormat="1" ht="28.5" customHeight="1" spans="1:32">
      <c r="A28" s="2051" t="s">
        <v>3915</v>
      </c>
      <c r="B28" s="1897"/>
      <c r="C28" s="2052" t="s">
        <v>7347</v>
      </c>
      <c r="D28" s="2053"/>
      <c r="E28" s="2053"/>
      <c r="F28" s="2053"/>
      <c r="G28" s="2053"/>
      <c r="H28" s="2053"/>
      <c r="I28" s="2053"/>
      <c r="J28" s="2053"/>
      <c r="K28" s="2053"/>
      <c r="L28" s="2053"/>
      <c r="M28" s="2053"/>
      <c r="N28" s="2053"/>
      <c r="O28" s="2053"/>
      <c r="P28" s="2053"/>
      <c r="Q28" s="2053"/>
      <c r="R28" s="2053"/>
      <c r="S28" s="2054"/>
      <c r="T28" s="2055" t="s">
        <v>5294</v>
      </c>
      <c r="U28" s="2056"/>
      <c r="V28" s="2056"/>
      <c r="W28" s="2056"/>
      <c r="X28" s="2060">
        <f>IF(X26-X27&lt;0,0,X26-X27)</f>
        <v>0</v>
      </c>
      <c r="Y28" s="2061"/>
      <c r="Z28" s="2061"/>
      <c r="AA28" s="2061"/>
      <c r="AB28" s="2061"/>
      <c r="AC28" s="2061"/>
      <c r="AD28" s="2061"/>
      <c r="AE28" s="2062"/>
    </row>
    <row r="29" s="570" customFormat="1" ht="28.5" customHeight="1" spans="1:32">
      <c r="A29" s="2063" t="s">
        <v>3918</v>
      </c>
      <c r="B29" s="1920"/>
      <c r="C29" s="2064" t="s">
        <v>7348</v>
      </c>
      <c r="D29" s="2065"/>
      <c r="E29" s="2065"/>
      <c r="F29" s="2065"/>
      <c r="G29" s="2065"/>
      <c r="H29" s="2065"/>
      <c r="I29" s="2065"/>
      <c r="J29" s="2065"/>
      <c r="K29" s="2065"/>
      <c r="L29" s="2065"/>
      <c r="M29" s="2065"/>
      <c r="N29" s="2065"/>
      <c r="O29" s="2065"/>
      <c r="P29" s="2065"/>
      <c r="Q29" s="2065"/>
      <c r="R29" s="2065"/>
      <c r="S29" s="2066"/>
      <c r="T29" s="2067" t="s">
        <v>5318</v>
      </c>
      <c r="U29" s="998"/>
      <c r="V29" s="998"/>
      <c r="W29" s="998"/>
      <c r="X29" s="2068">
        <f>IF(X27-X26&lt;0,0,X27-X26)</f>
        <v>0</v>
      </c>
      <c r="Y29" s="2069"/>
      <c r="Z29" s="2069"/>
      <c r="AA29" s="2069"/>
      <c r="AB29" s="2069"/>
      <c r="AC29" s="2069"/>
      <c r="AD29" s="2069"/>
      <c r="AE29" s="2070"/>
    </row>
    <row r="32" ht="14.25" spans="1:32">
      <c r="A32" s="572" t="s">
        <v>7349</v>
      </c>
      <c r="C32" s="664" t="str">
        <f>UnosPod!AA22&amp;UnosPod!AB22&amp;"."&amp;UnosPod!AC22&amp;UnosPod!AD22&amp;"."&amp;UnosPod!AE22&amp;UnosPod!AF22&amp;UnosPod!AG22&amp;UnosPod!AH22&amp;".godine"</f>
        <v>28.02.2026.godine</v>
      </c>
      <c r="D32" s="664"/>
      <c r="E32" s="664"/>
      <c r="F32" s="664"/>
      <c r="G32" s="664"/>
    </row>
    <row r="36" spans="1:31">
      <c r="A36" s="2071" t="str">
        <f>UnosPod!F3</f>
        <v>Elvira Žilić</v>
      </c>
      <c r="B36" s="2071"/>
      <c r="C36" s="2071"/>
      <c r="D36" s="2071"/>
      <c r="E36" s="2071"/>
      <c r="F36" s="2071"/>
      <c r="G36" s="2071"/>
      <c r="H36" s="2071"/>
      <c r="I36" s="2071"/>
      <c r="J36" s="2071"/>
      <c r="Q36" s="572" t="s">
        <v>7039</v>
      </c>
      <c r="U36" s="2072" t="str">
        <f>Baza!C10</f>
        <v>Nedim Vilogorac</v>
      </c>
      <c r="V36" s="2072"/>
      <c r="W36" s="2072"/>
      <c r="X36" s="2072"/>
      <c r="Y36" s="2072"/>
      <c r="Z36" s="2072"/>
      <c r="AA36" s="2072"/>
      <c r="AB36" s="2072"/>
      <c r="AC36" s="2072"/>
      <c r="AD36" s="2072"/>
      <c r="AE36" s="2072"/>
    </row>
    <row r="37" spans="1:31">
      <c r="A37" s="2073" t="s">
        <v>7350</v>
      </c>
      <c r="B37" s="2073"/>
      <c r="C37" s="2073"/>
      <c r="D37" s="2073"/>
      <c r="E37" s="2073"/>
      <c r="F37" s="2073"/>
      <c r="G37" s="2073"/>
      <c r="H37" s="2073"/>
      <c r="I37" s="2073"/>
      <c r="J37" s="2073"/>
      <c r="U37" s="2073" t="str">
        <f>Text!B15</f>
        <v>Rukovodilac pravnog/fizičkog lica</v>
      </c>
      <c r="V37" s="2073"/>
      <c r="W37" s="2073"/>
      <c r="X37" s="2073"/>
      <c r="Y37" s="2073"/>
      <c r="Z37" s="2073"/>
      <c r="AA37" s="2073"/>
      <c r="AB37" s="2073"/>
      <c r="AC37" s="2073"/>
      <c r="AD37" s="2073"/>
      <c r="AE37" s="2073"/>
    </row>
    <row r="41" spans="1:31">
      <c r="U41" s="2074" t="s">
        <v>7336</v>
      </c>
      <c r="V41" s="2075"/>
      <c r="W41" s="2075"/>
      <c r="X41" s="2076"/>
      <c r="Y41" s="2077"/>
      <c r="Z41" s="2074" t="s">
        <v>7351</v>
      </c>
      <c r="AA41" s="2076"/>
      <c r="AB41" s="2076"/>
      <c r="AC41" s="2075"/>
      <c r="AD41" s="2076"/>
      <c r="AE41" s="2077"/>
    </row>
    <row r="42" spans="1:31">
      <c r="U42" s="2078" t="s">
        <v>7352</v>
      </c>
      <c r="V42" s="424"/>
      <c r="W42" s="424"/>
      <c r="Y42" s="2079"/>
      <c r="Z42" s="2078" t="s">
        <v>7353</v>
      </c>
      <c r="AC42" s="424"/>
      <c r="AE42" s="2079"/>
    </row>
    <row r="43" spans="1:31">
      <c r="U43" s="2080"/>
      <c r="Y43" s="2079"/>
      <c r="Z43" s="2080"/>
      <c r="AE43" s="2079"/>
    </row>
    <row r="44" spans="1:31">
      <c r="U44" s="2081"/>
      <c r="V44" s="2014"/>
      <c r="W44" s="2014"/>
      <c r="X44" s="2014"/>
      <c r="Y44" s="2082"/>
      <c r="Z44" s="2081"/>
      <c r="AA44" s="2014"/>
      <c r="AB44" s="2014"/>
      <c r="AC44" s="2014"/>
      <c r="AD44" s="2014"/>
      <c r="AE44" s="2082"/>
    </row>
    <row r="46" s="324" customFormat="1" ht="12"/>
    <row r="47" s="324" customFormat="1" spans="1:31">
      <c r="A47" s="572"/>
    </row>
    <row r="48" s="324" customFormat="1" ht="12"/>
    <row r="49" s="324" customFormat="1" ht="12"/>
    <row r="50" s="324" customFormat="1" ht="12"/>
    <row r="55" spans="1:1">
      <c r="A55" s="2083"/>
    </row>
  </sheetData>
  <customSheetViews>
    <customSheetView guid="{7A886FB3-8F08-4D3E-B7EB-0851AD05C3C6}" showGridLines="0" topLeftCell="A16">
      <selection activeCell="AK26" sqref="AK26"/>
      <pageMargins left="0.62992125984252" right="0.354330708661417" top="0.551181102362205" bottom="0.354330708661417" header="0.354330708661417" footer="0.236220472440945"/>
      <pageSetup paperSize="9" orientation="portrait"/>
      <headerFooter alignWithMargins="0"/>
    </customSheetView>
  </customSheetViews>
  <mergeCells count="50">
    <mergeCell ref="A2:R2"/>
    <mergeCell ref="A3:R3"/>
    <mergeCell ref="A9:H9"/>
    <mergeCell ref="A10:H10"/>
    <mergeCell ref="J10:P10"/>
    <mergeCell ref="Q10:R10"/>
    <mergeCell ref="Y10:AE10"/>
    <mergeCell ref="A12:R12"/>
    <mergeCell ref="A13:R13"/>
    <mergeCell ref="Y13:AE13"/>
    <mergeCell ref="A17:AE17"/>
    <mergeCell ref="A18:AE18"/>
    <mergeCell ref="A21:B21"/>
    <mergeCell ref="X21:AE21"/>
    <mergeCell ref="A22:B22"/>
    <mergeCell ref="X22:AE22"/>
    <mergeCell ref="A23:B23"/>
    <mergeCell ref="C23:S23"/>
    <mergeCell ref="T23:W23"/>
    <mergeCell ref="X23:AE23"/>
    <mergeCell ref="A24:B24"/>
    <mergeCell ref="C24:S24"/>
    <mergeCell ref="T24:W24"/>
    <mergeCell ref="X24:AE24"/>
    <mergeCell ref="A25:B25"/>
    <mergeCell ref="C25:S25"/>
    <mergeCell ref="T25:W25"/>
    <mergeCell ref="X25:AE25"/>
    <mergeCell ref="A26:B26"/>
    <mergeCell ref="C26:S26"/>
    <mergeCell ref="T26:W26"/>
    <mergeCell ref="X26:AE26"/>
    <mergeCell ref="A27:B27"/>
    <mergeCell ref="C27:S27"/>
    <mergeCell ref="T27:W27"/>
    <mergeCell ref="X27:AE27"/>
    <mergeCell ref="A28:B28"/>
    <mergeCell ref="C28:S28"/>
    <mergeCell ref="T28:W28"/>
    <mergeCell ref="X28:AE28"/>
    <mergeCell ref="A29:B29"/>
    <mergeCell ref="C29:S29"/>
    <mergeCell ref="T29:W29"/>
    <mergeCell ref="X29:AE29"/>
    <mergeCell ref="A36:J36"/>
    <mergeCell ref="U36:AE36"/>
    <mergeCell ref="A37:J37"/>
    <mergeCell ref="U37:AE37"/>
    <mergeCell ref="T21:W22"/>
    <mergeCell ref="C21:S22"/>
  </mergeCells>
  <pageMargins left="0.62992125984252" right="0.354330708661417" top="0.551181102362205" bottom="0.354330708661417" header="0.354330708661417" footer="0.236220472440945"/>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1">
    <tabColor rgb="FF0070C0"/>
    <pageSetUpPr fitToPage="1"/>
  </sheetPr>
  <dimension ref="A1:BB32"/>
  <sheetViews>
    <sheetView showGridLines="0" workbookViewId="0">
      <selection activeCell="AE4" sqref="AE4"/>
    </sheetView>
  </sheetViews>
  <sheetFormatPr defaultColWidth="2.57142857142857" defaultRowHeight="14.25"/>
  <cols>
    <col min="1" max="16384" width="2.57142857142857" style="570"/>
  </cols>
  <sheetData>
    <row r="1" spans="1:54">
      <c r="AS1" s="1929" t="s">
        <v>7354</v>
      </c>
      <c r="AT1" s="1930"/>
      <c r="AU1" s="1930"/>
      <c r="AV1" s="1930"/>
      <c r="AW1" s="1930"/>
      <c r="AX1" s="1930"/>
      <c r="AY1" s="1931"/>
    </row>
    <row r="2" ht="15" spans="1:54">
      <c r="A2" s="1932" t="s">
        <v>7355</v>
      </c>
      <c r="B2" s="927"/>
      <c r="C2" s="1933"/>
      <c r="D2" s="1933"/>
      <c r="E2" s="1933"/>
      <c r="F2" s="1933"/>
      <c r="G2" s="1933"/>
      <c r="H2" s="1934"/>
      <c r="I2" s="1935" t="str">
        <f>UnosPod!F8</f>
        <v>LILIUM ASSET MANAGEMENT d.o.o. Sarajevo</v>
      </c>
      <c r="J2" s="1936"/>
      <c r="K2" s="1936"/>
      <c r="L2" s="1936"/>
      <c r="M2" s="1936"/>
      <c r="N2" s="1936"/>
      <c r="O2" s="1936"/>
      <c r="P2" s="1936"/>
      <c r="Q2" s="1936"/>
      <c r="R2" s="1936"/>
      <c r="S2" s="1936"/>
      <c r="T2" s="1936"/>
      <c r="U2" s="1936"/>
      <c r="V2" s="1936"/>
      <c r="W2" s="1936"/>
      <c r="X2" s="1937"/>
      <c r="AS2" s="1938"/>
      <c r="AT2" s="1939"/>
      <c r="AU2" s="1939"/>
      <c r="AV2" s="1939"/>
      <c r="AW2" s="1939"/>
      <c r="AX2" s="1939"/>
      <c r="AY2" s="1940"/>
    </row>
    <row r="3" ht="15" spans="1:54">
      <c r="A3" s="1941" t="s">
        <v>7356</v>
      </c>
      <c r="B3" s="938"/>
      <c r="C3" s="1942"/>
      <c r="D3" s="1942"/>
      <c r="E3" s="1942"/>
      <c r="F3" s="1942"/>
      <c r="G3" s="1942"/>
      <c r="H3" s="1943"/>
      <c r="I3" s="1944" t="str">
        <f>Baza!I21</f>
        <v>Sarajevo-Stari Grad</v>
      </c>
      <c r="J3" s="1945"/>
      <c r="K3" s="1945"/>
      <c r="L3" s="1945"/>
      <c r="M3" s="1945"/>
      <c r="N3" s="1945"/>
      <c r="O3" s="1945"/>
      <c r="P3" s="1945"/>
      <c r="Q3" s="1945"/>
      <c r="R3" s="1945"/>
      <c r="S3" s="1945"/>
      <c r="T3" s="1945"/>
      <c r="U3" s="1945"/>
      <c r="V3" s="1945"/>
      <c r="W3" s="1945"/>
      <c r="X3" s="1946"/>
    </row>
    <row r="4" spans="1:54">
      <c r="A4" s="1941" t="s">
        <v>7357</v>
      </c>
      <c r="B4" s="938"/>
      <c r="C4" s="1942"/>
      <c r="D4" s="1942"/>
      <c r="E4" s="1942"/>
      <c r="F4" s="1942"/>
      <c r="G4" s="1942"/>
      <c r="H4" s="1943"/>
      <c r="I4" s="1897">
        <f>UnosPod!AA10</f>
        <v>6</v>
      </c>
      <c r="J4" s="1897">
        <f>UnosPod!AB10</f>
        <v>6</v>
      </c>
      <c r="K4" s="1897">
        <f>UnosPod!AC10</f>
        <v>3</v>
      </c>
      <c r="L4" s="1897">
        <f>UnosPod!AD10</f>
        <v>0</v>
      </c>
      <c r="M4" s="1897"/>
      <c r="N4" s="1947"/>
      <c r="O4" s="1947"/>
      <c r="P4" s="1947"/>
      <c r="Q4" s="1947"/>
      <c r="R4" s="1947"/>
      <c r="S4" s="1947"/>
      <c r="T4" s="1947"/>
      <c r="U4" s="1947"/>
      <c r="V4" s="1947"/>
      <c r="W4" s="1947"/>
      <c r="X4" s="1948"/>
    </row>
    <row r="5" spans="1:54">
      <c r="A5" s="1941" t="s">
        <v>7358</v>
      </c>
      <c r="B5" s="938"/>
      <c r="C5" s="1942"/>
      <c r="D5" s="1942"/>
      <c r="E5" s="1942"/>
      <c r="F5" s="1942"/>
      <c r="G5" s="1942"/>
      <c r="H5" s="1943"/>
      <c r="I5" s="1897">
        <f>UnosPod!AA8</f>
        <v>4</v>
      </c>
      <c r="J5" s="1897">
        <f>UnosPod!AB8</f>
        <v>2</v>
      </c>
      <c r="K5" s="1897">
        <f>UnosPod!AC8</f>
        <v>0</v>
      </c>
      <c r="L5" s="1897">
        <f>UnosPod!AD8</f>
        <v>1</v>
      </c>
      <c r="M5" s="1897">
        <f>UnosPod!AE8</f>
        <v>3</v>
      </c>
      <c r="N5" s="1897">
        <f>UnosPod!AF8</f>
        <v>3</v>
      </c>
      <c r="O5" s="1897">
        <f>UnosPod!AG8</f>
        <v>7</v>
      </c>
      <c r="P5" s="1897">
        <f>UnosPod!AH8</f>
        <v>6</v>
      </c>
      <c r="Q5" s="1897">
        <f>UnosPod!AI8</f>
        <v>7</v>
      </c>
      <c r="R5" s="1897">
        <f>UnosPod!AJ8</f>
        <v>0</v>
      </c>
      <c r="S5" s="1897">
        <f>UnosPod!AK8</f>
        <v>0</v>
      </c>
      <c r="T5" s="1897">
        <f>UnosPod!AL8</f>
        <v>0</v>
      </c>
      <c r="U5" s="1897">
        <f>UnosPod!AM8</f>
        <v>9</v>
      </c>
      <c r="V5" s="1898"/>
      <c r="W5" s="1898"/>
      <c r="X5" s="1949"/>
    </row>
    <row r="6" spans="1:54">
      <c r="A6" s="1950" t="s">
        <v>7359</v>
      </c>
      <c r="B6" s="1951"/>
      <c r="C6" s="1952"/>
      <c r="D6" s="1952"/>
      <c r="E6" s="1952"/>
      <c r="F6" s="1952"/>
      <c r="G6" s="1952"/>
      <c r="H6" s="1953"/>
      <c r="I6" s="1920">
        <f>UnosPod!AA12</f>
        <v>1</v>
      </c>
      <c r="J6" s="1920">
        <f>UnosPod!AB12</f>
        <v>6</v>
      </c>
      <c r="K6" s="1920">
        <f>UnosPod!AC12</f>
        <v>1</v>
      </c>
      <c r="L6" s="1920">
        <f>UnosPod!AD12</f>
        <v>0</v>
      </c>
      <c r="M6" s="1920">
        <f>UnosPod!AE12</f>
        <v>0</v>
      </c>
      <c r="N6" s="1920">
        <f>UnosPod!AF12</f>
        <v>0</v>
      </c>
      <c r="O6" s="1920">
        <f>UnosPod!AG12</f>
        <v>0</v>
      </c>
      <c r="P6" s="1920">
        <f>UnosPod!AH12</f>
        <v>1</v>
      </c>
      <c r="Q6" s="1920">
        <f>UnosPod!AI12</f>
        <v>8</v>
      </c>
      <c r="R6" s="1920">
        <f>UnosPod!AJ12</f>
        <v>9</v>
      </c>
      <c r="S6" s="1920">
        <f>UnosPod!AK12</f>
        <v>4</v>
      </c>
      <c r="T6" s="1920">
        <f>UnosPod!AL12</f>
        <v>8</v>
      </c>
      <c r="U6" s="1920">
        <f>UnosPod!AM12</f>
        <v>0</v>
      </c>
      <c r="V6" s="1920">
        <f>UnosPod!AN12</f>
        <v>0</v>
      </c>
      <c r="W6" s="1920">
        <f>UnosPod!AO12</f>
        <v>0</v>
      </c>
      <c r="X6" s="1954">
        <f>UnosPod!AP12</f>
        <v>5</v>
      </c>
    </row>
    <row r="8" ht="18" spans="1:54">
      <c r="A8" s="1955" t="s">
        <v>7360</v>
      </c>
      <c r="B8" s="1955"/>
      <c r="C8" s="1955"/>
      <c r="D8" s="1955"/>
      <c r="E8" s="1955"/>
      <c r="F8" s="1955"/>
      <c r="G8" s="1955"/>
      <c r="H8" s="1955"/>
      <c r="I8" s="1955"/>
      <c r="J8" s="1955"/>
      <c r="K8" s="1955"/>
      <c r="L8" s="1955"/>
      <c r="M8" s="1955"/>
      <c r="N8" s="1955"/>
      <c r="O8" s="1955"/>
      <c r="P8" s="1955"/>
      <c r="Q8" s="1955"/>
      <c r="R8" s="1955"/>
      <c r="S8" s="1955"/>
      <c r="T8" s="1955"/>
      <c r="U8" s="1955"/>
      <c r="V8" s="1955"/>
      <c r="W8" s="1955"/>
      <c r="X8" s="1955"/>
      <c r="Y8" s="1955"/>
      <c r="Z8" s="1955"/>
      <c r="AA8" s="1955"/>
      <c r="AB8" s="1955"/>
      <c r="AC8" s="1955"/>
      <c r="AD8" s="1955"/>
      <c r="AE8" s="1955"/>
      <c r="AF8" s="1955"/>
      <c r="AG8" s="1955"/>
      <c r="AH8" s="1955"/>
      <c r="AI8" s="1955"/>
      <c r="AJ8" s="1955"/>
      <c r="AK8" s="1955"/>
      <c r="AL8" s="1955"/>
      <c r="AM8" s="1955"/>
      <c r="AN8" s="1955"/>
      <c r="AO8" s="1955"/>
      <c r="AP8" s="1955"/>
      <c r="AQ8" s="1955"/>
      <c r="AR8" s="1955"/>
      <c r="AS8" s="1955"/>
      <c r="AT8" s="1955"/>
      <c r="AU8" s="1955"/>
      <c r="AV8" s="1955"/>
      <c r="AW8" s="1955"/>
      <c r="AX8" s="1955"/>
      <c r="AY8" s="1955"/>
    </row>
    <row r="9" s="1928" customFormat="1" ht="18" spans="1:54">
      <c r="A9" s="1955" t="str">
        <f ca="1">Text!B56</f>
        <v>za period od 01.01.2025. do 31.12.2025. godine</v>
      </c>
      <c r="B9" s="1955"/>
      <c r="C9" s="1955"/>
      <c r="D9" s="1955"/>
      <c r="E9" s="1955"/>
      <c r="F9" s="1955"/>
      <c r="G9" s="1955"/>
      <c r="H9" s="1955"/>
      <c r="I9" s="1955"/>
      <c r="J9" s="1955"/>
      <c r="K9" s="1955"/>
      <c r="L9" s="1955"/>
      <c r="M9" s="1955"/>
      <c r="N9" s="1955"/>
      <c r="O9" s="1955"/>
      <c r="P9" s="1955"/>
      <c r="Q9" s="1955"/>
      <c r="R9" s="1955"/>
      <c r="S9" s="1955"/>
      <c r="T9" s="1955"/>
      <c r="U9" s="1955"/>
      <c r="V9" s="1955"/>
      <c r="W9" s="1955"/>
      <c r="X9" s="1955"/>
      <c r="Y9" s="1955"/>
      <c r="Z9" s="1955"/>
      <c r="AA9" s="1955"/>
      <c r="AB9" s="1955"/>
      <c r="AC9" s="1955"/>
      <c r="AD9" s="1955"/>
      <c r="AE9" s="1955"/>
      <c r="AF9" s="1955"/>
      <c r="AG9" s="1955"/>
      <c r="AH9" s="1955"/>
      <c r="AI9" s="1955"/>
      <c r="AJ9" s="1955"/>
      <c r="AK9" s="1955"/>
      <c r="AL9" s="1955"/>
      <c r="AM9" s="1955"/>
      <c r="AN9" s="1955"/>
      <c r="AO9" s="1955"/>
      <c r="AP9" s="1955"/>
      <c r="AQ9" s="1955"/>
      <c r="AR9" s="1955"/>
      <c r="AS9" s="1955"/>
      <c r="AT9" s="1955"/>
      <c r="AU9" s="1955"/>
      <c r="AV9" s="1955"/>
      <c r="AW9" s="1955"/>
      <c r="AX9" s="1955"/>
      <c r="AY9" s="1955"/>
      <c r="AZ9" s="570"/>
      <c r="BA9" s="570"/>
      <c r="BB9" s="570"/>
    </row>
    <row r="10" ht="12" customHeight="1" spans="1:54">
      <c r="V10" s="576"/>
      <c r="W10" s="576"/>
      <c r="X10" s="576"/>
      <c r="Y10" s="576"/>
      <c r="Z10" s="576"/>
      <c r="AD10" s="1928"/>
      <c r="AE10" s="1928"/>
      <c r="AF10" s="1928"/>
      <c r="AG10" s="1928"/>
      <c r="AH10" s="1928"/>
      <c r="AI10" s="1928"/>
      <c r="AJ10" s="1928"/>
      <c r="AK10" s="1928"/>
      <c r="AL10" s="1928"/>
      <c r="AM10" s="1928"/>
      <c r="AN10" s="1928"/>
      <c r="AO10" s="1928"/>
      <c r="AP10" s="1928"/>
      <c r="AQ10" s="1928"/>
      <c r="AR10" s="1928"/>
      <c r="AS10" s="1928"/>
      <c r="AT10" s="1928"/>
    </row>
    <row r="11" ht="15.75" customHeight="1" spans="1:54">
      <c r="A11" s="1956"/>
      <c r="B11" s="1956"/>
      <c r="C11" s="1956"/>
      <c r="D11" s="1956"/>
      <c r="E11" s="1956"/>
      <c r="F11" s="1956"/>
      <c r="G11" s="1956"/>
      <c r="H11" s="1956"/>
      <c r="I11" s="1956"/>
      <c r="J11" s="1956"/>
      <c r="K11" s="1956"/>
      <c r="L11" s="1956"/>
      <c r="M11" s="1956"/>
      <c r="N11" s="1956"/>
      <c r="O11" s="1956"/>
      <c r="P11" s="1956"/>
      <c r="Q11" s="1956"/>
      <c r="R11" s="1956"/>
      <c r="S11" s="1956"/>
      <c r="T11" s="1956"/>
      <c r="U11" s="1956"/>
      <c r="V11" s="1956"/>
      <c r="W11" s="1956"/>
      <c r="X11" s="1956"/>
      <c r="Y11" s="1956"/>
      <c r="Z11" s="1956"/>
      <c r="AA11" s="1957" t="s">
        <v>5218</v>
      </c>
      <c r="AB11" s="1958"/>
      <c r="AC11" s="1958"/>
      <c r="AD11" s="1958"/>
      <c r="AE11" s="1958"/>
      <c r="AF11" s="1958"/>
      <c r="AG11" s="1958"/>
      <c r="AH11" s="1958"/>
      <c r="AI11" s="1958"/>
      <c r="AJ11" s="1958"/>
      <c r="AK11" s="1958"/>
      <c r="AL11" s="1958"/>
      <c r="AM11" s="1958"/>
      <c r="AN11" s="1958"/>
      <c r="AO11" s="1958"/>
      <c r="AP11" s="1958"/>
      <c r="AQ11" s="1958"/>
      <c r="AR11" s="1958"/>
      <c r="AS11" s="1958"/>
      <c r="AT11" s="1959"/>
      <c r="AU11" s="1960"/>
      <c r="AV11" s="1958"/>
      <c r="AW11" s="1958"/>
      <c r="AX11" s="1958"/>
      <c r="AY11" s="1959"/>
    </row>
    <row r="12" spans="1:54">
      <c r="A12" s="1961" t="s">
        <v>5787</v>
      </c>
      <c r="B12" s="1961"/>
      <c r="C12" s="1961" t="s">
        <v>7361</v>
      </c>
      <c r="D12" s="1961"/>
      <c r="E12" s="1961"/>
      <c r="F12" s="1961"/>
      <c r="G12" s="1961"/>
      <c r="H12" s="1961"/>
      <c r="I12" s="1961"/>
      <c r="J12" s="1961"/>
      <c r="K12" s="1961"/>
      <c r="L12" s="1961"/>
      <c r="M12" s="1961"/>
      <c r="N12" s="1961"/>
      <c r="O12" s="1961" t="s">
        <v>7362</v>
      </c>
      <c r="P12" s="1961"/>
      <c r="Q12" s="1961"/>
      <c r="R12" s="1961"/>
      <c r="S12" s="1961" t="s">
        <v>5220</v>
      </c>
      <c r="T12" s="1961"/>
      <c r="U12" s="1961"/>
      <c r="V12" s="1961" t="s">
        <v>5221</v>
      </c>
      <c r="W12" s="1961"/>
      <c r="X12" s="1961"/>
      <c r="Y12" s="1961"/>
      <c r="Z12" s="1961"/>
      <c r="AA12" s="1962" t="s">
        <v>3953</v>
      </c>
      <c r="AB12" s="1963"/>
      <c r="AC12" s="1963"/>
      <c r="AD12" s="1963"/>
      <c r="AE12" s="1963" t="s">
        <v>3891</v>
      </c>
      <c r="AF12" s="1963"/>
      <c r="AG12" s="1963"/>
      <c r="AH12" s="1963"/>
      <c r="AI12" s="1963" t="s">
        <v>5222</v>
      </c>
      <c r="AJ12" s="1963"/>
      <c r="AK12" s="1963"/>
      <c r="AL12" s="1963"/>
      <c r="AM12" s="1963" t="s">
        <v>3902</v>
      </c>
      <c r="AN12" s="1963"/>
      <c r="AO12" s="1963"/>
      <c r="AP12" s="1963"/>
      <c r="AQ12" s="1963" t="s">
        <v>3905</v>
      </c>
      <c r="AR12" s="1963"/>
      <c r="AS12" s="1963"/>
      <c r="AT12" s="1964"/>
      <c r="AU12" s="1965" t="s">
        <v>4671</v>
      </c>
      <c r="AV12" s="1966"/>
      <c r="AW12" s="1966"/>
      <c r="AX12" s="1966"/>
      <c r="AY12" s="1967"/>
    </row>
    <row r="13" spans="1:54">
      <c r="A13" s="1961" t="s">
        <v>5791</v>
      </c>
      <c r="B13" s="1961"/>
      <c r="C13" s="1961" t="s">
        <v>7363</v>
      </c>
      <c r="D13" s="1961"/>
      <c r="E13" s="1961"/>
      <c r="F13" s="1961"/>
      <c r="G13" s="1961"/>
      <c r="H13" s="1961"/>
      <c r="I13" s="1961"/>
      <c r="J13" s="1961"/>
      <c r="K13" s="1961"/>
      <c r="L13" s="1961"/>
      <c r="M13" s="1961"/>
      <c r="N13" s="1961"/>
      <c r="O13" s="1961" t="s">
        <v>2438</v>
      </c>
      <c r="P13" s="1961"/>
      <c r="Q13" s="1961"/>
      <c r="R13" s="1961"/>
      <c r="S13" s="1961" t="s">
        <v>5223</v>
      </c>
      <c r="T13" s="1961"/>
      <c r="U13" s="1961"/>
      <c r="V13" s="1961" t="s">
        <v>5224</v>
      </c>
      <c r="W13" s="1961"/>
      <c r="X13" s="1961"/>
      <c r="Y13" s="1961"/>
      <c r="Z13" s="1961"/>
      <c r="AA13" s="1968" t="s">
        <v>5225</v>
      </c>
      <c r="AB13" s="1969"/>
      <c r="AC13" s="1969"/>
      <c r="AD13" s="1969"/>
      <c r="AE13" s="1969" t="s">
        <v>5225</v>
      </c>
      <c r="AF13" s="1969"/>
      <c r="AG13" s="1969"/>
      <c r="AH13" s="1969"/>
      <c r="AI13" s="1969" t="s">
        <v>5225</v>
      </c>
      <c r="AJ13" s="1969"/>
      <c r="AK13" s="1969"/>
      <c r="AL13" s="1969"/>
      <c r="AM13" s="1969" t="s">
        <v>5225</v>
      </c>
      <c r="AN13" s="1969"/>
      <c r="AO13" s="1969"/>
      <c r="AP13" s="1969"/>
      <c r="AQ13" s="1969" t="s">
        <v>5225</v>
      </c>
      <c r="AR13" s="1969"/>
      <c r="AS13" s="1969"/>
      <c r="AT13" s="1970"/>
      <c r="AU13" s="1971" t="s">
        <v>7364</v>
      </c>
      <c r="AV13" s="1969"/>
      <c r="AW13" s="1969"/>
      <c r="AX13" s="1969"/>
      <c r="AY13" s="1970"/>
    </row>
    <row r="14" spans="1:54">
      <c r="A14" s="1972">
        <v>1</v>
      </c>
      <c r="B14" s="1972"/>
      <c r="C14" s="1972">
        <v>2</v>
      </c>
      <c r="D14" s="1972"/>
      <c r="E14" s="1972"/>
      <c r="F14" s="1972"/>
      <c r="G14" s="1972"/>
      <c r="H14" s="1972"/>
      <c r="I14" s="1972"/>
      <c r="J14" s="1972"/>
      <c r="K14" s="1972"/>
      <c r="L14" s="1972"/>
      <c r="M14" s="1972"/>
      <c r="N14" s="1972"/>
      <c r="O14" s="1972">
        <v>3</v>
      </c>
      <c r="P14" s="1972"/>
      <c r="Q14" s="1972"/>
      <c r="R14" s="1972"/>
      <c r="S14" s="1972">
        <v>4</v>
      </c>
      <c r="T14" s="1972"/>
      <c r="U14" s="1972"/>
      <c r="V14" s="1972">
        <v>5</v>
      </c>
      <c r="W14" s="1972"/>
      <c r="X14" s="1972"/>
      <c r="Y14" s="1972"/>
      <c r="Z14" s="1972"/>
      <c r="AA14" s="1973">
        <v>6</v>
      </c>
      <c r="AB14" s="1974"/>
      <c r="AC14" s="1974"/>
      <c r="AD14" s="1974"/>
      <c r="AE14" s="1974">
        <v>7</v>
      </c>
      <c r="AF14" s="1974"/>
      <c r="AG14" s="1974"/>
      <c r="AH14" s="1974"/>
      <c r="AI14" s="1974">
        <v>8</v>
      </c>
      <c r="AJ14" s="1974"/>
      <c r="AK14" s="1974"/>
      <c r="AL14" s="1974"/>
      <c r="AM14" s="1974">
        <v>9</v>
      </c>
      <c r="AN14" s="1974"/>
      <c r="AO14" s="1974"/>
      <c r="AP14" s="1974"/>
      <c r="AQ14" s="1974">
        <v>10</v>
      </c>
      <c r="AR14" s="1974"/>
      <c r="AS14" s="1974"/>
      <c r="AT14" s="1975"/>
      <c r="AU14" s="1976">
        <v>11</v>
      </c>
      <c r="AV14" s="1974"/>
      <c r="AW14" s="1974"/>
      <c r="AX14" s="1974"/>
      <c r="AY14" s="1975"/>
    </row>
    <row r="15" ht="18" customHeight="1" spans="1:54">
      <c r="A15" s="1977" t="s">
        <v>7365</v>
      </c>
      <c r="B15" s="1978"/>
      <c r="C15" s="1979" t="s">
        <v>7366</v>
      </c>
      <c r="D15" s="1980"/>
      <c r="E15" s="1980"/>
      <c r="F15" s="1980"/>
      <c r="G15" s="1980"/>
      <c r="H15" s="1980"/>
      <c r="I15" s="1980"/>
      <c r="J15" s="1980"/>
      <c r="K15" s="1980"/>
      <c r="L15" s="1980"/>
      <c r="M15" s="1980"/>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c r="AL15" s="1980"/>
      <c r="AM15" s="1980"/>
      <c r="AN15" s="1980"/>
      <c r="AO15" s="1980"/>
      <c r="AP15" s="1980"/>
      <c r="AQ15" s="1980"/>
      <c r="AR15" s="1980"/>
      <c r="AS15" s="1980"/>
      <c r="AT15" s="1980"/>
      <c r="AU15" s="1980"/>
      <c r="AV15" s="1980"/>
      <c r="AW15" s="1980"/>
      <c r="AX15" s="1980"/>
      <c r="AY15" s="1981"/>
    </row>
    <row r="16" ht="18.75" customHeight="1" spans="1:54">
      <c r="A16" s="1982"/>
      <c r="B16" s="1983"/>
      <c r="C16" s="1932" t="s">
        <v>5228</v>
      </c>
      <c r="D16" s="927"/>
      <c r="E16" s="927"/>
      <c r="F16" s="927"/>
      <c r="G16" s="927"/>
      <c r="H16" s="927"/>
      <c r="I16" s="927"/>
      <c r="J16" s="927"/>
      <c r="K16" s="927"/>
      <c r="L16" s="927"/>
      <c r="M16" s="927"/>
      <c r="N16" s="1984"/>
      <c r="O16" s="1985"/>
      <c r="P16" s="1985"/>
      <c r="Q16" s="1985"/>
      <c r="R16" s="1985"/>
      <c r="S16" s="1986">
        <v>0.01</v>
      </c>
      <c r="T16" s="1985"/>
      <c r="U16" s="1985"/>
      <c r="V16" s="1987">
        <f>UnosPod!P549</f>
        <v>0</v>
      </c>
      <c r="W16" s="1987"/>
      <c r="X16" s="1987"/>
      <c r="Y16" s="1987"/>
      <c r="Z16" s="1987"/>
      <c r="AA16" s="1988">
        <f>ROUND((V16*S16)/IF($F$5="godisnji",4,2),0)</f>
        <v>0</v>
      </c>
      <c r="AB16" s="1989"/>
      <c r="AC16" s="1989"/>
      <c r="AD16" s="1989"/>
      <c r="AE16" s="1988">
        <f>ROUND((V16*S16)/IF($F$5="godisnji",4,2),0)</f>
        <v>0</v>
      </c>
      <c r="AF16" s="1989"/>
      <c r="AG16" s="1989"/>
      <c r="AH16" s="1989"/>
      <c r="AI16" s="1988">
        <f>AA16+AE16</f>
        <v>0</v>
      </c>
      <c r="AJ16" s="1989"/>
      <c r="AK16" s="1989"/>
      <c r="AL16" s="1989"/>
      <c r="AM16" s="1988">
        <f>ROUND((V16*S16)/IF($F$5="godisnji",4,2),0)</f>
        <v>0</v>
      </c>
      <c r="AN16" s="1989"/>
      <c r="AO16" s="1989"/>
      <c r="AP16" s="1989"/>
      <c r="AQ16" s="1988">
        <f>ROUND((V16*S16)/IF($F$5="godisnji",4,2),0)</f>
        <v>0</v>
      </c>
      <c r="AR16" s="1989"/>
      <c r="AS16" s="1989"/>
      <c r="AT16" s="1989"/>
      <c r="AU16" s="1990">
        <f>AI16+AM16+AQ16</f>
        <v>0</v>
      </c>
      <c r="AV16" s="1989"/>
      <c r="AW16" s="1989"/>
      <c r="AX16" s="1989"/>
      <c r="AY16" s="1991"/>
    </row>
    <row r="17" spans="1:51">
      <c r="A17" s="1982"/>
      <c r="B17" s="1983"/>
      <c r="C17" s="1941" t="s">
        <v>5229</v>
      </c>
      <c r="D17" s="938"/>
      <c r="E17" s="938"/>
      <c r="F17" s="938"/>
      <c r="G17" s="938"/>
      <c r="H17" s="938"/>
      <c r="I17" s="938"/>
      <c r="J17" s="938"/>
      <c r="K17" s="938"/>
      <c r="L17" s="938"/>
      <c r="M17" s="938"/>
      <c r="N17" s="1992"/>
      <c r="O17" s="1993"/>
      <c r="P17" s="1993"/>
      <c r="Q17" s="1993"/>
      <c r="R17" s="1993"/>
      <c r="S17" s="1994">
        <v>0.01</v>
      </c>
      <c r="T17" s="1993"/>
      <c r="U17" s="1993"/>
      <c r="V17" s="1987">
        <f>UnosPod!P549</f>
        <v>0</v>
      </c>
      <c r="W17" s="1987"/>
      <c r="X17" s="1987"/>
      <c r="Y17" s="1987"/>
      <c r="Z17" s="1987"/>
      <c r="AA17" s="1988">
        <f>ROUND((V17*S17)/IF($F$5="godisnji",4,2),0)</f>
        <v>0</v>
      </c>
      <c r="AB17" s="1989"/>
      <c r="AC17" s="1989"/>
      <c r="AD17" s="1989"/>
      <c r="AE17" s="1988">
        <f t="shared" ref="AE17:AE18" si="0">ROUND((V17*S17)/IF($F$5="godisnji",4,2),0)</f>
        <v>0</v>
      </c>
      <c r="AF17" s="1989"/>
      <c r="AG17" s="1989"/>
      <c r="AH17" s="1989"/>
      <c r="AI17" s="1988">
        <f t="shared" ref="AI17:AI18" si="1">AA17+AE17</f>
        <v>0</v>
      </c>
      <c r="AJ17" s="1989"/>
      <c r="AK17" s="1989"/>
      <c r="AL17" s="1989"/>
      <c r="AM17" s="1988">
        <f t="shared" ref="AM17:AM18" si="2">ROUND((V17*S17)/IF($F$5="godisnji",4,2),0)</f>
        <v>0</v>
      </c>
      <c r="AN17" s="1989"/>
      <c r="AO17" s="1989"/>
      <c r="AP17" s="1989"/>
      <c r="AQ17" s="1988">
        <f t="shared" ref="AQ17:AQ18" si="3">ROUND((V17*S17)/IF($F$5="godisnji",4,2),0)</f>
        <v>0</v>
      </c>
      <c r="AR17" s="1989"/>
      <c r="AS17" s="1989"/>
      <c r="AT17" s="1989"/>
      <c r="AU17" s="1990">
        <f t="shared" ref="AU17:AU18" si="4">AI17+AM17+AQ17</f>
        <v>0</v>
      </c>
      <c r="AV17" s="1989"/>
      <c r="AW17" s="1989"/>
      <c r="AX17" s="1989"/>
      <c r="AY17" s="1991"/>
    </row>
    <row r="18" spans="1:51">
      <c r="A18" s="1995"/>
      <c r="B18" s="1996"/>
      <c r="C18" s="1950" t="str">
        <f>Text!B18</f>
        <v>Račun opština</v>
      </c>
      <c r="D18" s="1951"/>
      <c r="E18" s="1951"/>
      <c r="F18" s="1951"/>
      <c r="G18" s="1951"/>
      <c r="H18" s="1951"/>
      <c r="I18" s="1951"/>
      <c r="J18" s="1951"/>
      <c r="K18" s="1951"/>
      <c r="L18" s="1951"/>
      <c r="M18" s="1951"/>
      <c r="N18" s="1997"/>
      <c r="O18" s="1998"/>
      <c r="P18" s="1998"/>
      <c r="Q18" s="1998"/>
      <c r="R18" s="1998"/>
      <c r="S18" s="1999">
        <v>0.05</v>
      </c>
      <c r="T18" s="1998"/>
      <c r="U18" s="1998"/>
      <c r="V18" s="1987">
        <f>UnosPod!P549</f>
        <v>0</v>
      </c>
      <c r="W18" s="1987"/>
      <c r="X18" s="1987"/>
      <c r="Y18" s="1987"/>
      <c r="Z18" s="1987"/>
      <c r="AA18" s="1988">
        <f t="shared" ref="AA18" si="5">ROUND((V18*S18)/IF($F$5="godisnji",4,2),0)</f>
        <v>0</v>
      </c>
      <c r="AB18" s="1989"/>
      <c r="AC18" s="1989"/>
      <c r="AD18" s="1989"/>
      <c r="AE18" s="1988">
        <f t="shared" si="0"/>
        <v>0</v>
      </c>
      <c r="AF18" s="1989"/>
      <c r="AG18" s="1989"/>
      <c r="AH18" s="1989"/>
      <c r="AI18" s="1988">
        <f t="shared" si="1"/>
        <v>0</v>
      </c>
      <c r="AJ18" s="1989"/>
      <c r="AK18" s="1989"/>
      <c r="AL18" s="1989"/>
      <c r="AM18" s="1988">
        <f t="shared" si="2"/>
        <v>0</v>
      </c>
      <c r="AN18" s="1989"/>
      <c r="AO18" s="1989"/>
      <c r="AP18" s="1989"/>
      <c r="AQ18" s="1988">
        <f t="shared" si="3"/>
        <v>0</v>
      </c>
      <c r="AR18" s="1989"/>
      <c r="AS18" s="1989"/>
      <c r="AT18" s="1989"/>
      <c r="AU18" s="1990">
        <f t="shared" si="4"/>
        <v>0</v>
      </c>
      <c r="AV18" s="1989"/>
      <c r="AW18" s="1989"/>
      <c r="AX18" s="1989"/>
      <c r="AY18" s="1991"/>
    </row>
    <row r="19" spans="1:51">
      <c r="A19" s="1977" t="s">
        <v>7367</v>
      </c>
      <c r="B19" s="1978"/>
      <c r="C19" s="1979" t="s">
        <v>7368</v>
      </c>
      <c r="D19" s="1980"/>
      <c r="E19" s="1980"/>
      <c r="F19" s="1980"/>
      <c r="G19" s="1980"/>
      <c r="H19" s="1980"/>
      <c r="I19" s="1980"/>
      <c r="J19" s="1980"/>
      <c r="K19" s="1980"/>
      <c r="L19" s="1980"/>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c r="AN19" s="1980"/>
      <c r="AO19" s="1980"/>
      <c r="AP19" s="1980"/>
      <c r="AQ19" s="1980"/>
      <c r="AR19" s="1980"/>
      <c r="AS19" s="1980"/>
      <c r="AT19" s="1980"/>
      <c r="AU19" s="1980"/>
      <c r="AV19" s="1980"/>
      <c r="AW19" s="1980"/>
      <c r="AX19" s="1980"/>
      <c r="AY19" s="1981"/>
    </row>
    <row r="20" spans="1:51">
      <c r="A20" s="1982"/>
      <c r="B20" s="1983"/>
      <c r="C20" s="1932" t="s">
        <v>5228</v>
      </c>
      <c r="D20" s="927"/>
      <c r="E20" s="927"/>
      <c r="F20" s="927"/>
      <c r="G20" s="927"/>
      <c r="H20" s="927"/>
      <c r="I20" s="927"/>
      <c r="J20" s="927"/>
      <c r="K20" s="927"/>
      <c r="L20" s="927"/>
      <c r="M20" s="927"/>
      <c r="N20" s="1984"/>
      <c r="O20" s="2000"/>
      <c r="P20" s="2000"/>
      <c r="Q20" s="2000"/>
      <c r="R20" s="2000"/>
      <c r="S20" s="2001"/>
      <c r="T20" s="2000"/>
      <c r="U20" s="2000"/>
      <c r="V20" s="2002">
        <f>UnosPod!P553</f>
        <v>0</v>
      </c>
      <c r="W20" s="2002"/>
      <c r="X20" s="2002"/>
      <c r="Y20" s="2002"/>
      <c r="Z20" s="2002"/>
      <c r="AA20" s="2003">
        <f>UnosPod!U553</f>
        <v>0</v>
      </c>
      <c r="AB20" s="2004"/>
      <c r="AC20" s="2004"/>
      <c r="AD20" s="2004"/>
      <c r="AE20" s="2003">
        <f>UnosPod!Y553</f>
        <v>0</v>
      </c>
      <c r="AF20" s="2004"/>
      <c r="AG20" s="2004"/>
      <c r="AH20" s="2004"/>
      <c r="AI20" s="2003">
        <f>UnosPod!AC553</f>
        <v>0</v>
      </c>
      <c r="AJ20" s="2004"/>
      <c r="AK20" s="2004"/>
      <c r="AL20" s="2004"/>
      <c r="AM20" s="2003">
        <f>UnosPod!AG553</f>
        <v>0</v>
      </c>
      <c r="AN20" s="2004"/>
      <c r="AO20" s="2004"/>
      <c r="AP20" s="2004"/>
      <c r="AQ20" s="2003">
        <f>UnosPod!AK553</f>
        <v>0</v>
      </c>
      <c r="AR20" s="2004"/>
      <c r="AS20" s="2004"/>
      <c r="AT20" s="2004"/>
      <c r="AU20" s="2005">
        <f>UnosPod!AO553</f>
        <v>0</v>
      </c>
      <c r="AV20" s="2004"/>
      <c r="AW20" s="2004"/>
      <c r="AX20" s="2004"/>
      <c r="AY20" s="2006"/>
    </row>
    <row r="21" spans="1:51">
      <c r="A21" s="1995"/>
      <c r="B21" s="1996"/>
      <c r="C21" s="1950" t="s">
        <v>5229</v>
      </c>
      <c r="D21" s="1951"/>
      <c r="E21" s="1951"/>
      <c r="F21" s="1951"/>
      <c r="G21" s="1951"/>
      <c r="H21" s="1951"/>
      <c r="I21" s="1951"/>
      <c r="J21" s="1951"/>
      <c r="K21" s="1951"/>
      <c r="L21" s="1951"/>
      <c r="M21" s="1951"/>
      <c r="N21" s="1997"/>
      <c r="O21" s="1998"/>
      <c r="P21" s="1998"/>
      <c r="Q21" s="1998"/>
      <c r="R21" s="1998"/>
      <c r="S21" s="1999"/>
      <c r="T21" s="1998"/>
      <c r="U21" s="1998"/>
      <c r="V21" s="2007">
        <f>UnosPod!P554</f>
        <v>247772</v>
      </c>
      <c r="W21" s="2007"/>
      <c r="X21" s="2007"/>
      <c r="Y21" s="2007"/>
      <c r="Z21" s="2007"/>
      <c r="AA21" s="2008">
        <f>UnosPod!U554</f>
        <v>43</v>
      </c>
      <c r="AB21" s="2009"/>
      <c r="AC21" s="2009"/>
      <c r="AD21" s="2009"/>
      <c r="AE21" s="2008">
        <f>UnosPod!Y554</f>
        <v>43</v>
      </c>
      <c r="AF21" s="2009"/>
      <c r="AG21" s="2009"/>
      <c r="AH21" s="2009"/>
      <c r="AI21" s="2008">
        <f>UnosPod!AC554</f>
        <v>86</v>
      </c>
      <c r="AJ21" s="2009"/>
      <c r="AK21" s="2009"/>
      <c r="AL21" s="2009"/>
      <c r="AM21" s="2008">
        <f>UnosPod!AG554</f>
        <v>43</v>
      </c>
      <c r="AN21" s="2009"/>
      <c r="AO21" s="2009"/>
      <c r="AP21" s="2009"/>
      <c r="AQ21" s="2008">
        <f>UnosPod!AK554</f>
        <v>43</v>
      </c>
      <c r="AR21" s="2009"/>
      <c r="AS21" s="2009"/>
      <c r="AT21" s="2009"/>
      <c r="AU21" s="2010">
        <f>UnosPod!AO554</f>
        <v>172</v>
      </c>
      <c r="AV21" s="2009"/>
      <c r="AW21" s="2009"/>
      <c r="AX21" s="2009"/>
      <c r="AY21" s="2011"/>
    </row>
    <row r="22" s="572" customFormat="1" ht="12.75"/>
    <row r="23" s="572" customFormat="1" ht="12.75" spans="1:51">
      <c r="A23" s="572" t="s">
        <v>7349</v>
      </c>
      <c r="D23" s="2012" t="str">
        <f>UnosPod!AA22&amp;UnosPod!AB22&amp;"."&amp;UnosPod!AC22&amp;UnosPod!AD22&amp;"."&amp;UnosPod!AE22&amp;UnosPod!AF22&amp;UnosPod!AG22&amp;UnosPod!AH22&amp;"."</f>
        <v>28.02.2026.</v>
      </c>
      <c r="E23" s="2012"/>
      <c r="F23" s="2012"/>
      <c r="G23" s="2012"/>
      <c r="H23" s="2012"/>
      <c r="I23" s="2012"/>
      <c r="J23" s="572" t="s">
        <v>2513</v>
      </c>
    </row>
    <row r="24" s="572" customFormat="1" ht="12.75"/>
    <row r="25" s="572" customFormat="1" ht="12.75" spans="1:51">
      <c r="A25" s="572" t="s">
        <v>7369</v>
      </c>
      <c r="AF25" s="572" t="s">
        <v>7039</v>
      </c>
      <c r="AM25" s="2013" t="s">
        <v>7332</v>
      </c>
      <c r="AN25" s="2013"/>
      <c r="AO25" s="2013"/>
      <c r="AP25" s="2013"/>
      <c r="AQ25" s="2013"/>
      <c r="AR25" s="2013"/>
      <c r="AS25" s="2013"/>
      <c r="AT25" s="2013"/>
      <c r="AU25" s="2013"/>
      <c r="AV25" s="2013"/>
    </row>
    <row r="26" s="572" customFormat="1" ht="12.75" spans="1:51">
      <c r="A26" s="582" t="str">
        <f>Racunovoda</f>
        <v>Elvira Žilić</v>
      </c>
      <c r="B26" s="2014"/>
      <c r="C26" s="2014"/>
      <c r="D26" s="2014"/>
      <c r="E26" s="2014"/>
      <c r="F26" s="2014"/>
      <c r="G26" s="2014"/>
      <c r="H26" s="2014"/>
      <c r="I26" s="2014"/>
      <c r="J26" s="2014"/>
      <c r="K26" s="2014"/>
      <c r="L26" s="2014"/>
      <c r="AN26" s="2014"/>
      <c r="AO26" s="2014"/>
      <c r="AP26" s="2014"/>
      <c r="AQ26" s="2014"/>
      <c r="AR26" s="2014"/>
      <c r="AS26" s="2014"/>
      <c r="AT26" s="2014"/>
      <c r="AU26" s="2014"/>
      <c r="AV26" s="2014"/>
    </row>
    <row r="27" s="572" customFormat="1" ht="12.75" spans="1:51">
      <c r="A27" s="654"/>
      <c r="AM27" s="2015" t="str">
        <f>Baza!C10</f>
        <v>Nedim Vilogorac</v>
      </c>
      <c r="AN27" s="2015"/>
      <c r="AO27" s="2015"/>
      <c r="AP27" s="2015"/>
      <c r="AQ27" s="2015"/>
      <c r="AR27" s="2015"/>
      <c r="AS27" s="2015"/>
      <c r="AT27" s="2015"/>
      <c r="AU27" s="2015"/>
      <c r="AV27" s="2015"/>
    </row>
    <row r="28" s="572" customFormat="1" ht="12.75" spans="1:51">
      <c r="A28" s="654"/>
      <c r="AM28" s="1926"/>
    </row>
    <row r="29" s="572" customFormat="1" ht="12.75"/>
    <row r="30" s="572" customFormat="1" ht="12.75" spans="1:51">
      <c r="A30" s="2016" t="s">
        <v>7370</v>
      </c>
      <c r="B30" s="2017" t="s">
        <v>7371</v>
      </c>
      <c r="C30" s="2018"/>
      <c r="D30" s="2018"/>
      <c r="E30" s="2018"/>
      <c r="F30" s="2018"/>
      <c r="G30" s="2018"/>
      <c r="H30" s="2018"/>
      <c r="I30" s="2018"/>
      <c r="J30" s="2018"/>
      <c r="K30" s="2018"/>
      <c r="L30" s="2018"/>
    </row>
    <row r="31" spans="1:51">
      <c r="A31" s="2019" t="s">
        <v>7372</v>
      </c>
      <c r="B31" s="424" t="s">
        <v>7373</v>
      </c>
    </row>
    <row r="32" spans="1:51">
      <c r="B32" s="424" t="s">
        <v>7374</v>
      </c>
    </row>
  </sheetData>
  <mergeCells count="97">
    <mergeCell ref="I2:X2"/>
    <mergeCell ref="I3:X3"/>
    <mergeCell ref="A8:AY8"/>
    <mergeCell ref="A9:AY9"/>
    <mergeCell ref="A11:B11"/>
    <mergeCell ref="C11:N11"/>
    <mergeCell ref="O11:R11"/>
    <mergeCell ref="S11:U11"/>
    <mergeCell ref="V11:Z11"/>
    <mergeCell ref="AA11:AT11"/>
    <mergeCell ref="AU11:AY11"/>
    <mergeCell ref="A12:B12"/>
    <mergeCell ref="C12:N12"/>
    <mergeCell ref="O12:R12"/>
    <mergeCell ref="S12:U12"/>
    <mergeCell ref="V12:Z12"/>
    <mergeCell ref="AA12:AD12"/>
    <mergeCell ref="AE12:AH12"/>
    <mergeCell ref="AI12:AL12"/>
    <mergeCell ref="AM12:AP12"/>
    <mergeCell ref="AQ12:AT12"/>
    <mergeCell ref="AU12:AY12"/>
    <mergeCell ref="A13:B13"/>
    <mergeCell ref="C13:N13"/>
    <mergeCell ref="O13:R13"/>
    <mergeCell ref="S13:U13"/>
    <mergeCell ref="V13:Z13"/>
    <mergeCell ref="AA13:AD13"/>
    <mergeCell ref="AE13:AH13"/>
    <mergeCell ref="AI13:AL13"/>
    <mergeCell ref="AM13:AP13"/>
    <mergeCell ref="AQ13:AT13"/>
    <mergeCell ref="AU13:AY13"/>
    <mergeCell ref="A14:B14"/>
    <mergeCell ref="C14:N14"/>
    <mergeCell ref="O14:R14"/>
    <mergeCell ref="S14:U14"/>
    <mergeCell ref="V14:Z14"/>
    <mergeCell ref="AA14:AD14"/>
    <mergeCell ref="AE14:AH14"/>
    <mergeCell ref="AI14:AL14"/>
    <mergeCell ref="AM14:AP14"/>
    <mergeCell ref="AQ14:AT14"/>
    <mergeCell ref="AU14:AY14"/>
    <mergeCell ref="C15:AY15"/>
    <mergeCell ref="O16:R16"/>
    <mergeCell ref="S16:U16"/>
    <mergeCell ref="V16:Z16"/>
    <mergeCell ref="AA16:AD16"/>
    <mergeCell ref="AE16:AH16"/>
    <mergeCell ref="AI16:AL16"/>
    <mergeCell ref="AM16:AP16"/>
    <mergeCell ref="AQ16:AT16"/>
    <mergeCell ref="AU16:AY16"/>
    <mergeCell ref="O17:R17"/>
    <mergeCell ref="S17:U17"/>
    <mergeCell ref="V17:Z17"/>
    <mergeCell ref="AA17:AD17"/>
    <mergeCell ref="AE17:AH17"/>
    <mergeCell ref="AI17:AL17"/>
    <mergeCell ref="AM17:AP17"/>
    <mergeCell ref="AQ17:AT17"/>
    <mergeCell ref="AU17:AY17"/>
    <mergeCell ref="O18:R18"/>
    <mergeCell ref="S18:U18"/>
    <mergeCell ref="V18:Z18"/>
    <mergeCell ref="AA18:AD18"/>
    <mergeCell ref="AE18:AH18"/>
    <mergeCell ref="AI18:AL18"/>
    <mergeCell ref="AM18:AP18"/>
    <mergeCell ref="AQ18:AT18"/>
    <mergeCell ref="AU18:AY18"/>
    <mergeCell ref="C19:AY19"/>
    <mergeCell ref="O20:R20"/>
    <mergeCell ref="S20:U20"/>
    <mergeCell ref="V20:Z20"/>
    <mergeCell ref="AA20:AD20"/>
    <mergeCell ref="AE20:AH20"/>
    <mergeCell ref="AI20:AL20"/>
    <mergeCell ref="AM20:AP20"/>
    <mergeCell ref="AQ20:AT20"/>
    <mergeCell ref="AU20:AY20"/>
    <mergeCell ref="O21:R21"/>
    <mergeCell ref="S21:U21"/>
    <mergeCell ref="V21:Z21"/>
    <mergeCell ref="AA21:AD21"/>
    <mergeCell ref="AE21:AH21"/>
    <mergeCell ref="AI21:AL21"/>
    <mergeCell ref="AM21:AP21"/>
    <mergeCell ref="AQ21:AT21"/>
    <mergeCell ref="AU21:AY21"/>
    <mergeCell ref="D23:I23"/>
    <mergeCell ref="AM25:AV25"/>
    <mergeCell ref="AM27:AV27"/>
    <mergeCell ref="A19:B21"/>
    <mergeCell ref="A15:B18"/>
    <mergeCell ref="AS1:AY2"/>
  </mergeCells>
  <pageMargins left="0.7" right="0.7" top="0.75" bottom="0.75" header="0.3" footer="0.3"/>
  <pageSetup paperSize="9" fitToHeight="0"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2">
    <tabColor rgb="FF0070C0"/>
  </sheetPr>
  <dimension ref="A1:AJ39"/>
  <sheetViews>
    <sheetView showGridLines="0" topLeftCell="A4" workbookViewId="0">
      <selection activeCell="R5" sqref="R5"/>
    </sheetView>
  </sheetViews>
  <sheetFormatPr defaultColWidth="2.57142857142857" defaultRowHeight="15"/>
  <cols>
    <col min="1" max="19" width="2.57142857142857" style="1" customWidth="1"/>
    <col min="20" max="20" width="3" style="1" customWidth="1"/>
    <col min="21" max="21" width="2.57142857142857" style="1" customWidth="1"/>
    <col min="22" max="22" width="3.14285714285714" style="1" customWidth="1"/>
    <col min="23" max="23" width="2.57142857142857" style="1" customWidth="1"/>
    <col min="24" max="24" width="4" style="1" customWidth="1"/>
    <col min="25" max="33" width="2.57142857142857" style="1" customWidth="1"/>
    <col min="34" max="34" width="2.71428571428571" style="1" customWidth="1"/>
    <col min="35" max="35" width="3.14285714285714" style="1" customWidth="1"/>
    <col min="36" max="16384" width="2.57142857142857" style="1"/>
  </cols>
  <sheetData>
    <row r="1" ht="20.25" spans="1:35">
      <c r="A1" s="1862" t="str">
        <f>Text!B13</f>
        <v>IZVJEŠTAJ</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row>
    <row r="2" ht="15.75" spans="1:35">
      <c r="A2" s="575" t="s">
        <v>7375</v>
      </c>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row>
    <row r="3" ht="15.75" spans="1:35">
      <c r="A3" s="575" t="s">
        <v>7376</v>
      </c>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row>
    <row r="6" spans="1:35">
      <c r="AE6" s="572" t="s">
        <v>7377</v>
      </c>
    </row>
    <row r="8" spans="1:35">
      <c r="A8" s="1" t="str">
        <f>Text!B12</f>
        <v>Naziv pravnog / fizičkog lica</v>
      </c>
    </row>
    <row r="9" ht="20.25" customHeight="1" spans="1:35">
      <c r="B9" s="1863" t="str">
        <f>UnosPod!F8</f>
        <v>LILIUM ASSET MANAGEMENT d.o.o. Sarajevo</v>
      </c>
      <c r="C9" s="1863"/>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row>
    <row r="10" ht="21.75" customHeight="1" spans="1:35">
      <c r="A10" s="1864"/>
      <c r="B10" s="1863" t="str">
        <f>Baza!I21</f>
        <v>Sarajevo-Stari Grad</v>
      </c>
      <c r="C10" s="1863"/>
      <c r="D10" s="1863"/>
      <c r="E10" s="1863"/>
      <c r="F10" s="1863"/>
      <c r="G10" s="1863"/>
      <c r="H10" s="1863"/>
      <c r="I10" s="1863"/>
      <c r="J10" s="1863"/>
      <c r="K10" s="1863"/>
      <c r="L10" s="1863"/>
      <c r="M10" s="1863"/>
      <c r="N10" s="1863"/>
      <c r="O10" s="1863"/>
      <c r="P10" s="1863"/>
      <c r="Q10" s="1863"/>
      <c r="R10" s="1863"/>
      <c r="S10" s="1863"/>
      <c r="T10" s="1863"/>
      <c r="U10" s="1863"/>
      <c r="V10" s="1863"/>
      <c r="W10" s="1863"/>
      <c r="X10" s="1863"/>
      <c r="Y10" s="1863"/>
      <c r="Z10" s="1863"/>
      <c r="AA10" s="1863"/>
      <c r="AB10" s="1863"/>
      <c r="AC10" s="1863"/>
      <c r="AD10" s="1863"/>
      <c r="AE10" s="1863"/>
      <c r="AF10" s="1863"/>
      <c r="AG10" s="1863"/>
      <c r="AH10" s="1863"/>
      <c r="AI10" s="1863"/>
    </row>
    <row r="12" spans="1:35">
      <c r="B12" s="1865">
        <f>UnosPod!AA8</f>
        <v>4</v>
      </c>
      <c r="C12" s="1865">
        <f>UnosPod!AB8</f>
        <v>2</v>
      </c>
      <c r="D12" s="1865">
        <f>UnosPod!AC8</f>
        <v>0</v>
      </c>
      <c r="E12" s="1865">
        <f>UnosPod!AD8</f>
        <v>1</v>
      </c>
      <c r="F12" s="1865">
        <f>UnosPod!AE8</f>
        <v>3</v>
      </c>
      <c r="G12" s="1865">
        <f>UnosPod!AF8</f>
        <v>3</v>
      </c>
      <c r="H12" s="1865">
        <f>UnosPod!AG8</f>
        <v>7</v>
      </c>
      <c r="I12" s="1865">
        <f>UnosPod!AH8</f>
        <v>6</v>
      </c>
      <c r="J12" s="1865">
        <f>UnosPod!AI8</f>
        <v>7</v>
      </c>
      <c r="K12" s="1865">
        <f>UnosPod!AJ8</f>
        <v>0</v>
      </c>
      <c r="L12" s="1865">
        <f>UnosPod!AK8</f>
        <v>0</v>
      </c>
      <c r="M12" s="1865">
        <f>UnosPod!AL8</f>
        <v>0</v>
      </c>
      <c r="N12" s="1865">
        <f>UnosPod!AM8</f>
        <v>9</v>
      </c>
      <c r="O12" s="1865"/>
      <c r="AE12" s="1">
        <f>UnosPod!AA10</f>
        <v>6</v>
      </c>
      <c r="AF12" s="1">
        <f>UnosPod!AB10</f>
        <v>6</v>
      </c>
      <c r="AG12" s="1">
        <f>UnosPod!AC10</f>
        <v>3</v>
      </c>
      <c r="AH12" s="1">
        <f>UnosPod!AD10</f>
        <v>0</v>
      </c>
    </row>
    <row r="13" spans="1:35">
      <c r="A13" s="1191" t="str">
        <f>Text!B4</f>
        <v>Identifikacioni broj za direktne poreze</v>
      </c>
      <c r="B13" s="1191"/>
      <c r="C13" s="1191"/>
      <c r="D13" s="1191"/>
      <c r="E13" s="1191"/>
      <c r="F13" s="1191"/>
      <c r="G13" s="1191"/>
      <c r="H13" s="1191"/>
      <c r="I13" s="1191"/>
      <c r="J13" s="1191"/>
      <c r="K13" s="1191"/>
      <c r="L13" s="1191"/>
      <c r="M13" s="1191"/>
      <c r="N13" s="1191"/>
      <c r="O13" s="1191"/>
      <c r="AD13" s="1866" t="s">
        <v>7378</v>
      </c>
      <c r="AE13" s="1866"/>
      <c r="AF13" s="1866"/>
      <c r="AG13" s="1866"/>
      <c r="AH13" s="1866"/>
      <c r="AI13" s="1866"/>
    </row>
    <row r="15" spans="1:35">
      <c r="E15" s="1" t="str">
        <f>Sjedište&amp;", "&amp;Adresa</f>
        <v>Sarajevo-Stari Grad, Dženetića čikma br.8</v>
      </c>
    </row>
    <row r="16" spans="1:35">
      <c r="A16" s="1867"/>
      <c r="B16" s="1866" t="s">
        <v>7338</v>
      </c>
      <c r="C16" s="1866"/>
      <c r="D16" s="1866"/>
      <c r="E16" s="1866"/>
      <c r="F16" s="1866"/>
      <c r="G16" s="1866"/>
      <c r="H16" s="1866"/>
      <c r="I16" s="1866"/>
      <c r="J16" s="1866"/>
      <c r="K16" s="1866" t="s">
        <v>6498</v>
      </c>
      <c r="L16" s="1866"/>
      <c r="M16" s="1866"/>
      <c r="N16" s="1866"/>
      <c r="O16" s="1866"/>
      <c r="P16" s="1866"/>
      <c r="Q16" s="1866"/>
      <c r="R16" s="1866"/>
      <c r="S16" s="1866"/>
      <c r="T16" s="1866"/>
      <c r="U16" s="1866"/>
      <c r="W16" s="1866" t="s">
        <v>6499</v>
      </c>
      <c r="X16" s="1866"/>
      <c r="Y16" s="1866"/>
      <c r="Z16" s="1866"/>
      <c r="AA16" s="1866"/>
    </row>
    <row r="18" spans="1:36">
      <c r="B18" s="1868" t="str">
        <f>Baza!D20</f>
        <v>Djelatnosti upravljanja fondovima</v>
      </c>
    </row>
    <row r="19" spans="1:36">
      <c r="A19" s="1867"/>
      <c r="B19" s="1866" t="s">
        <v>2498</v>
      </c>
      <c r="C19" s="1866"/>
      <c r="D19" s="1866"/>
      <c r="E19" s="1866"/>
      <c r="F19" s="1866"/>
      <c r="G19" s="1866"/>
      <c r="H19" s="1866"/>
      <c r="I19" s="1866"/>
      <c r="J19" s="1866"/>
      <c r="K19" s="1866"/>
      <c r="L19" s="1866"/>
      <c r="M19" s="1866"/>
      <c r="N19" s="1866"/>
      <c r="O19" s="1866"/>
      <c r="P19" s="1866"/>
      <c r="Q19" s="1866"/>
      <c r="R19" s="1866"/>
      <c r="S19" s="1866"/>
      <c r="T19" s="1866"/>
      <c r="U19" s="1866"/>
    </row>
    <row r="21" spans="1:36">
      <c r="P21" s="1" t="s">
        <v>4636</v>
      </c>
    </row>
    <row r="22" ht="15.75" spans="1:36">
      <c r="D22" s="1869" t="str">
        <f>Text!B13&amp;" ZA "</f>
        <v>IZVJEŠTAJ ZA </v>
      </c>
      <c r="E22" s="1869"/>
      <c r="F22" s="1869"/>
      <c r="G22" s="1869"/>
      <c r="H22" s="1869"/>
      <c r="I22" s="1869"/>
      <c r="J22" s="1869"/>
      <c r="K22" s="1869"/>
      <c r="L22" s="1869"/>
      <c r="M22" s="1869"/>
      <c r="N22" s="1869"/>
      <c r="O22" s="1870" t="str">
        <f ca="1">PeriodOd&amp;". do "&amp;PeriodDo</f>
        <v>01.01.2025. do 31.12.2025</v>
      </c>
      <c r="P22" s="1870"/>
      <c r="Q22" s="1870"/>
      <c r="R22" s="1870"/>
      <c r="S22" s="1870"/>
      <c r="T22" s="1870"/>
      <c r="U22" s="1870"/>
      <c r="V22" s="1870"/>
      <c r="W22" s="1870"/>
      <c r="X22" s="1870"/>
      <c r="Y22" s="905" t="s">
        <v>7379</v>
      </c>
      <c r="Z22" s="571"/>
      <c r="AA22" s="571"/>
    </row>
    <row r="24" ht="20.25" customHeight="1" spans="1:36">
      <c r="A24" s="1871" t="s">
        <v>7095</v>
      </c>
      <c r="B24" s="1872"/>
      <c r="C24" s="1872" t="s">
        <v>7380</v>
      </c>
      <c r="D24" s="1872"/>
      <c r="E24" s="1872"/>
      <c r="F24" s="1872"/>
      <c r="G24" s="1872"/>
      <c r="H24" s="1872"/>
      <c r="I24" s="1872"/>
      <c r="J24" s="1872"/>
      <c r="K24" s="1872"/>
      <c r="L24" s="1872"/>
      <c r="M24" s="1872"/>
      <c r="N24" s="1872"/>
      <c r="O24" s="1872"/>
      <c r="P24" s="1872"/>
      <c r="Q24" s="1872"/>
      <c r="R24" s="1872"/>
      <c r="S24" s="1872"/>
      <c r="T24" s="1872"/>
      <c r="U24" s="1872"/>
      <c r="V24" s="1872"/>
      <c r="W24" s="1872"/>
      <c r="X24" s="1872"/>
      <c r="Y24" s="1872" t="s">
        <v>2438</v>
      </c>
      <c r="Z24" s="1872"/>
      <c r="AA24" s="1872"/>
      <c r="AB24" s="1872"/>
      <c r="AC24" s="1872" t="s">
        <v>2529</v>
      </c>
      <c r="AD24" s="1872"/>
      <c r="AE24" s="1872"/>
      <c r="AF24" s="1872"/>
      <c r="AG24" s="1872"/>
      <c r="AH24" s="1872"/>
      <c r="AI24" s="1873"/>
    </row>
    <row r="25" ht="16.5" customHeight="1" spans="1:36">
      <c r="A25" s="1874" t="s">
        <v>5791</v>
      </c>
      <c r="B25" s="1875"/>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6"/>
    </row>
    <row r="26" ht="18.75" customHeight="1" spans="1:36">
      <c r="A26" s="1877">
        <v>1</v>
      </c>
      <c r="B26" s="1878"/>
      <c r="C26" s="1879">
        <v>2</v>
      </c>
      <c r="D26" s="1878"/>
      <c r="E26" s="1878"/>
      <c r="F26" s="1878"/>
      <c r="G26" s="1878"/>
      <c r="H26" s="1878"/>
      <c r="I26" s="1878"/>
      <c r="J26" s="1878"/>
      <c r="K26" s="1878"/>
      <c r="L26" s="1878"/>
      <c r="M26" s="1878"/>
      <c r="N26" s="1878"/>
      <c r="O26" s="1878"/>
      <c r="P26" s="1878"/>
      <c r="Q26" s="1878"/>
      <c r="R26" s="1878"/>
      <c r="S26" s="1878"/>
      <c r="T26" s="1878"/>
      <c r="U26" s="1878"/>
      <c r="V26" s="1878"/>
      <c r="W26" s="1878"/>
      <c r="X26" s="1878"/>
      <c r="Y26" s="1878">
        <v>3</v>
      </c>
      <c r="Z26" s="1878"/>
      <c r="AA26" s="1878"/>
      <c r="AB26" s="1878"/>
      <c r="AC26" s="1878">
        <v>4</v>
      </c>
      <c r="AD26" s="1878"/>
      <c r="AE26" s="1878"/>
      <c r="AF26" s="1878"/>
      <c r="AG26" s="1878"/>
      <c r="AH26" s="1878"/>
      <c r="AI26" s="1880"/>
    </row>
    <row r="27" customHeight="1" spans="1:36">
      <c r="A27" s="1877"/>
      <c r="B27" s="1878"/>
      <c r="C27" s="1879"/>
      <c r="D27" s="1878"/>
      <c r="E27" s="1878"/>
      <c r="F27" s="1878"/>
      <c r="G27" s="1878"/>
      <c r="H27" s="1878"/>
      <c r="I27" s="1878"/>
      <c r="J27" s="1878"/>
      <c r="K27" s="1878"/>
      <c r="L27" s="1878"/>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80"/>
    </row>
    <row r="28" ht="29.25" customHeight="1" spans="1:36">
      <c r="A28" s="1881" t="s">
        <v>3953</v>
      </c>
      <c r="B28" s="1882"/>
      <c r="C28" s="1883" t="s">
        <v>7381</v>
      </c>
      <c r="D28" s="1884"/>
      <c r="E28" s="1884"/>
      <c r="F28" s="1884"/>
      <c r="G28" s="1884"/>
      <c r="H28" s="1884"/>
      <c r="I28" s="1884"/>
      <c r="J28" s="1884"/>
      <c r="K28" s="1884"/>
      <c r="L28" s="1884"/>
      <c r="M28" s="1884"/>
      <c r="N28" s="1884"/>
      <c r="O28" s="1884"/>
      <c r="P28" s="1884"/>
      <c r="Q28" s="1884"/>
      <c r="R28" s="1884"/>
      <c r="S28" s="1884"/>
      <c r="T28" s="1884"/>
      <c r="U28" s="1884"/>
      <c r="V28" s="1884"/>
      <c r="W28" s="1884"/>
      <c r="X28" s="1885"/>
      <c r="Y28" s="1886">
        <v>722581</v>
      </c>
      <c r="Z28" s="1887"/>
      <c r="AA28" s="1887"/>
      <c r="AB28" s="1888"/>
      <c r="AC28" s="1889">
        <f>ROUND(UnosPod!L506,2)</f>
        <v>87679</v>
      </c>
      <c r="AD28" s="1890"/>
      <c r="AE28" s="1890"/>
      <c r="AF28" s="1890"/>
      <c r="AG28" s="1890"/>
      <c r="AH28" s="1890"/>
      <c r="AI28" s="1891"/>
    </row>
    <row r="29" ht="29.25" customHeight="1" spans="1:36">
      <c r="A29" s="1892"/>
      <c r="B29" s="1893"/>
      <c r="C29" s="1894"/>
      <c r="D29" s="1895"/>
      <c r="E29" s="1895"/>
      <c r="F29" s="1895"/>
      <c r="G29" s="1895"/>
      <c r="H29" s="1895"/>
      <c r="I29" s="1895"/>
      <c r="J29" s="1895"/>
      <c r="K29" s="1895"/>
      <c r="L29" s="1895"/>
      <c r="M29" s="1895"/>
      <c r="N29" s="1895"/>
      <c r="O29" s="1895"/>
      <c r="P29" s="1895"/>
      <c r="Q29" s="1895"/>
      <c r="R29" s="1895"/>
      <c r="S29" s="1895"/>
      <c r="T29" s="1895"/>
      <c r="U29" s="1895"/>
      <c r="V29" s="1895"/>
      <c r="W29" s="1895"/>
      <c r="X29" s="1896"/>
      <c r="Y29" s="1897">
        <v>722582</v>
      </c>
      <c r="Z29" s="1898"/>
      <c r="AA29" s="1898"/>
      <c r="AB29" s="1899"/>
      <c r="AC29" s="1900">
        <f>ROUND(UnosPod!L507,2)</f>
        <v>6766.28</v>
      </c>
      <c r="AD29" s="1901"/>
      <c r="AE29" s="1901"/>
      <c r="AF29" s="1901"/>
      <c r="AG29" s="1901"/>
      <c r="AH29" s="1901"/>
      <c r="AI29" s="1902"/>
    </row>
    <row r="30" ht="26.25" customHeight="1" spans="1:36">
      <c r="A30" s="1903" t="s">
        <v>3891</v>
      </c>
      <c r="B30" s="1904"/>
      <c r="C30" s="1905" t="s">
        <v>5169</v>
      </c>
      <c r="D30" s="1905"/>
      <c r="E30" s="1906"/>
      <c r="F30" s="1906"/>
      <c r="G30" s="1906"/>
      <c r="H30" s="1906"/>
      <c r="I30" s="1906"/>
      <c r="J30" s="1906"/>
      <c r="K30" s="1906"/>
      <c r="L30" s="1906"/>
      <c r="M30" s="1906"/>
      <c r="N30" s="1906"/>
      <c r="O30" s="1906"/>
      <c r="P30" s="1906"/>
      <c r="Q30" s="1906"/>
      <c r="R30" s="1906"/>
      <c r="S30" s="1906"/>
      <c r="T30" s="1906"/>
      <c r="U30" s="1906"/>
      <c r="V30" s="1906"/>
      <c r="W30" s="1906"/>
      <c r="X30" s="1907"/>
      <c r="Y30" s="1908"/>
      <c r="Z30" s="1908"/>
      <c r="AA30" s="1908"/>
      <c r="AB30" s="1908"/>
      <c r="AC30" s="1909">
        <v>0.005</v>
      </c>
      <c r="AD30" s="1910"/>
      <c r="AE30" s="1910"/>
      <c r="AF30" s="1910"/>
      <c r="AG30" s="1910"/>
      <c r="AH30" s="1910"/>
      <c r="AI30" s="1911"/>
      <c r="AJ30" s="1912" t="s">
        <v>4636</v>
      </c>
    </row>
    <row r="31" ht="25.5" customHeight="1" spans="1:36">
      <c r="A31" s="1892" t="s">
        <v>3902</v>
      </c>
      <c r="B31" s="1893"/>
      <c r="C31" s="905" t="s">
        <v>5175</v>
      </c>
      <c r="D31" s="570"/>
      <c r="Y31" s="1886">
        <v>722581</v>
      </c>
      <c r="Z31" s="1887"/>
      <c r="AA31" s="1887"/>
      <c r="AB31" s="1888"/>
      <c r="AC31" s="1913">
        <f>ROUND(AC28*AC30,2)</f>
        <v>438.4</v>
      </c>
      <c r="AD31" s="1914"/>
      <c r="AE31" s="1914"/>
      <c r="AF31" s="1914"/>
      <c r="AG31" s="1914"/>
      <c r="AH31" s="1914"/>
      <c r="AI31" s="1915"/>
    </row>
    <row r="32" ht="25.5" customHeight="1" spans="1:36">
      <c r="A32" s="1916"/>
      <c r="B32" s="1917"/>
      <c r="C32" s="1918" t="s">
        <v>7382</v>
      </c>
      <c r="D32" s="1919"/>
      <c r="E32" s="389"/>
      <c r="F32" s="389"/>
      <c r="G32" s="389"/>
      <c r="H32" s="389"/>
      <c r="I32" s="389"/>
      <c r="J32" s="389"/>
      <c r="K32" s="389"/>
      <c r="L32" s="389"/>
      <c r="M32" s="389"/>
      <c r="N32" s="389"/>
      <c r="O32" s="389"/>
      <c r="P32" s="389"/>
      <c r="Q32" s="389"/>
      <c r="R32" s="389"/>
      <c r="S32" s="389"/>
      <c r="T32" s="389"/>
      <c r="U32" s="389"/>
      <c r="V32" s="389"/>
      <c r="W32" s="389"/>
      <c r="X32" s="389"/>
      <c r="Y32" s="1920">
        <v>722582</v>
      </c>
      <c r="Z32" s="1921"/>
      <c r="AA32" s="1921"/>
      <c r="AB32" s="1922"/>
      <c r="AC32" s="1923">
        <f>ROUND(AC29*AC30,2)</f>
        <v>33.83</v>
      </c>
      <c r="AD32" s="1924"/>
      <c r="AE32" s="1924"/>
      <c r="AF32" s="1924"/>
      <c r="AG32" s="1924"/>
      <c r="AH32" s="1924"/>
      <c r="AI32" s="1925"/>
    </row>
    <row r="35" spans="2:34">
      <c r="B35" s="1" t="s">
        <v>2537</v>
      </c>
      <c r="C35" s="570" t="str">
        <f>Sjedište&amp;", "&amp;UnosPod!AA22&amp;UnosPod!AB22&amp;"."&amp;UnosPod!AC22&amp;UnosPod!AD22&amp;"."&amp;UnosPod!AE22&amp;UnosPod!AF22&amp;UnosPod!AG22&amp;UnosPod!AH22&amp;".godine"</f>
        <v>Sarajevo-Stari Grad, 28.02.2026.godine</v>
      </c>
    </row>
    <row r="36" spans="2:34">
      <c r="C36" s="1171"/>
      <c r="D36" s="1867"/>
      <c r="E36" s="1867"/>
      <c r="F36" s="1867"/>
      <c r="G36" s="1867"/>
      <c r="H36" s="1867"/>
      <c r="I36" s="1867"/>
      <c r="J36" s="1867"/>
      <c r="K36" s="1867"/>
    </row>
    <row r="38" spans="2:34">
      <c r="B38" s="654" t="str">
        <f>UnosPod!F3</f>
        <v>Elvira Žilić</v>
      </c>
      <c r="R38" s="1" t="s">
        <v>7039</v>
      </c>
      <c r="Y38" s="1926" t="str">
        <f>Baza!C10</f>
        <v>Nedim Vilogorac</v>
      </c>
      <c r="AF38" s="1927"/>
      <c r="AG38" s="1927"/>
      <c r="AH38" s="1927"/>
    </row>
    <row r="39" spans="2:34">
      <c r="B39" s="1191" t="s">
        <v>7383</v>
      </c>
      <c r="C39" s="1191"/>
      <c r="D39" s="1191"/>
      <c r="E39" s="1191"/>
      <c r="F39" s="1191"/>
      <c r="G39" s="1191"/>
      <c r="H39" s="1191"/>
      <c r="I39" s="1191"/>
      <c r="J39" s="1191"/>
      <c r="Y39" s="1191" t="s">
        <v>7384</v>
      </c>
      <c r="Z39" s="1191"/>
      <c r="AA39" s="1191"/>
      <c r="AB39" s="1191"/>
      <c r="AC39" s="1191"/>
      <c r="AD39" s="1191"/>
      <c r="AE39" s="1191"/>
      <c r="AF39" s="576"/>
    </row>
  </sheetData>
  <customSheetViews>
    <customSheetView guid="{7A886FB3-8F08-4D3E-B7EB-0851AD05C3C6}" showGridLines="0">
      <selection activeCell="AJ17" sqref="AJ17"/>
      <pageMargins left="0.62992125984252" right="0.275590551181102" top="0.669291338582677" bottom="0.433070866141732" header="0.275590551181102" footer="0.354330708661417"/>
      <pageSetup paperSize="9" orientation="portrait"/>
      <headerFooter alignWithMargins="0"/>
    </customSheetView>
  </customSheetViews>
  <mergeCells count="46">
    <mergeCell ref="A1:AI1"/>
    <mergeCell ref="A2:AI2"/>
    <mergeCell ref="A3:AI3"/>
    <mergeCell ref="B9:AI9"/>
    <mergeCell ref="B10:AI10"/>
    <mergeCell ref="A13:O13"/>
    <mergeCell ref="AD13:AI13"/>
    <mergeCell ref="B16:J16"/>
    <mergeCell ref="K16:U16"/>
    <mergeCell ref="W16:AA16"/>
    <mergeCell ref="B19:U19"/>
    <mergeCell ref="D22:N22"/>
    <mergeCell ref="O22:X22"/>
    <mergeCell ref="A24:B24"/>
    <mergeCell ref="C24:X24"/>
    <mergeCell ref="Y24:AB24"/>
    <mergeCell ref="AC24:AI24"/>
    <mergeCell ref="A25:B25"/>
    <mergeCell ref="C25:X25"/>
    <mergeCell ref="Y25:AB25"/>
    <mergeCell ref="AC25:AI25"/>
    <mergeCell ref="A26:B26"/>
    <mergeCell ref="C26:X26"/>
    <mergeCell ref="Y26:AB26"/>
    <mergeCell ref="AC26:AI26"/>
    <mergeCell ref="A27:B27"/>
    <mergeCell ref="C27:X27"/>
    <mergeCell ref="Y27:AB27"/>
    <mergeCell ref="AC27:AI27"/>
    <mergeCell ref="A28:B28"/>
    <mergeCell ref="Y28:AB28"/>
    <mergeCell ref="AC28:AI28"/>
    <mergeCell ref="Y29:AB29"/>
    <mergeCell ref="AC29:AI29"/>
    <mergeCell ref="A30:B30"/>
    <mergeCell ref="Y30:AB30"/>
    <mergeCell ref="AC30:AH30"/>
    <mergeCell ref="A31:B31"/>
    <mergeCell ref="Y31:AB31"/>
    <mergeCell ref="AC31:AI31"/>
    <mergeCell ref="A32:B32"/>
    <mergeCell ref="Y32:AB32"/>
    <mergeCell ref="AC32:AI32"/>
    <mergeCell ref="B39:J39"/>
    <mergeCell ref="Y39:AF39"/>
    <mergeCell ref="C28:X29"/>
  </mergeCells>
  <pageMargins left="0.62992125984252" right="0.275590551181102" top="0.669291338582677" bottom="0.433070866141732" header="0.275590551181102" footer="0.354330708661417"/>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6">
    <tabColor rgb="FF0070C0"/>
  </sheetPr>
  <dimension ref="A1:BI39"/>
  <sheetViews>
    <sheetView showGridLines="0" workbookViewId="0">
      <selection activeCell="AK4" sqref="AK4"/>
    </sheetView>
  </sheetViews>
  <sheetFormatPr defaultColWidth="2.14285714285714" defaultRowHeight="12"/>
  <cols>
    <col min="1" max="2" width="2.42857142857143" style="324" customWidth="1"/>
    <col min="3" max="3" width="2.85714285714286" style="324" customWidth="1"/>
    <col min="4" max="22" width="2.42857142857143" style="324" customWidth="1"/>
    <col min="23" max="33" width="2.57142857142857" style="324" customWidth="1"/>
    <col min="34" max="40" width="2.42857142857143" style="324" customWidth="1"/>
    <col min="41" max="61" width="2.57142857142857" style="324" customWidth="1"/>
    <col min="62" max="16384" width="2.14285714285714" style="324"/>
  </cols>
  <sheetData>
    <row r="1" spans="1:61">
      <c r="A1" s="1791"/>
      <c r="B1" s="1791"/>
      <c r="C1" s="1791"/>
      <c r="D1" s="1791"/>
      <c r="E1" s="1791"/>
      <c r="F1" s="1791"/>
      <c r="G1" s="1791"/>
      <c r="H1" s="1791"/>
      <c r="I1" s="1791"/>
      <c r="J1" s="1791"/>
      <c r="K1" s="1791"/>
      <c r="L1" s="1791"/>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791"/>
      <c r="AO1" s="1791"/>
      <c r="AP1" s="1791"/>
      <c r="AQ1" s="1791"/>
      <c r="AR1" s="1791"/>
      <c r="AS1" s="1791"/>
      <c r="AT1" s="1791"/>
      <c r="AU1" s="1791"/>
      <c r="AV1" s="1791"/>
      <c r="AW1" s="1791"/>
      <c r="AX1" s="1791"/>
      <c r="AY1" s="1791"/>
      <c r="AZ1" s="1791"/>
      <c r="BA1" s="1791"/>
      <c r="BB1" s="1791"/>
      <c r="BC1" s="1791"/>
      <c r="BD1" s="1791"/>
      <c r="BE1" s="1791"/>
      <c r="BF1" s="1791"/>
      <c r="BG1" s="1791"/>
      <c r="BH1" s="1791"/>
      <c r="BI1" s="1791"/>
    </row>
    <row r="2" ht="15.75" spans="1:61">
      <c r="A2" s="1792" t="str">
        <f>Firma</f>
        <v>LILIUM ASSET MANAGEMENT d.o.o. Sarajevo</v>
      </c>
      <c r="B2" s="1791"/>
      <c r="C2" s="1791"/>
      <c r="D2" s="1791"/>
      <c r="E2" s="1791"/>
      <c r="F2" s="1791"/>
      <c r="G2" s="1791"/>
      <c r="H2" s="1791"/>
      <c r="I2" s="1791"/>
      <c r="J2" s="1791"/>
      <c r="K2" s="1791"/>
      <c r="L2" s="1791"/>
      <c r="M2" s="1791"/>
      <c r="N2" s="1791"/>
      <c r="O2" s="1791"/>
      <c r="P2" s="1791"/>
      <c r="Q2" s="1791"/>
      <c r="R2" s="1791"/>
      <c r="S2" s="1791"/>
      <c r="T2" s="1791"/>
      <c r="U2" s="1791"/>
      <c r="V2" s="1791"/>
      <c r="W2" s="1791"/>
      <c r="X2" s="1791"/>
      <c r="Y2" s="1791"/>
      <c r="Z2" s="1791"/>
      <c r="AA2" s="1791"/>
      <c r="AB2" s="1791"/>
      <c r="AC2" s="1791"/>
      <c r="AD2" s="1791"/>
      <c r="AE2" s="1791"/>
      <c r="AF2" s="1791"/>
      <c r="AG2" s="1791"/>
      <c r="AH2" s="1791"/>
      <c r="AI2" s="1791"/>
      <c r="AJ2" s="1791"/>
      <c r="AK2" s="1791"/>
      <c r="AL2" s="1791"/>
      <c r="AM2" s="1791"/>
      <c r="AN2" s="1791"/>
      <c r="AO2" s="1791"/>
      <c r="AP2" s="1791"/>
      <c r="AQ2" s="1791"/>
      <c r="AR2" s="1791"/>
      <c r="AS2" s="1791"/>
      <c r="AT2" s="1791"/>
      <c r="AU2" s="1791"/>
      <c r="AV2" s="1791"/>
      <c r="AW2" s="1791"/>
      <c r="AX2" s="1791"/>
      <c r="AY2" s="1791"/>
      <c r="AZ2" s="1791"/>
      <c r="BA2" s="1791"/>
      <c r="BB2" s="1791"/>
      <c r="BC2" s="1791"/>
      <c r="BD2" s="1791"/>
      <c r="BF2" s="1791"/>
      <c r="BG2" s="1791"/>
      <c r="BH2" s="1793"/>
      <c r="BI2" s="1794" t="s">
        <v>7385</v>
      </c>
    </row>
    <row r="3" spans="1:61">
      <c r="A3" s="1795" t="str">
        <f>Text!B12</f>
        <v>Naziv pravnog / fizičkog lica</v>
      </c>
      <c r="B3" s="1795"/>
      <c r="C3" s="1795"/>
      <c r="D3" s="1795"/>
      <c r="E3" s="1795"/>
      <c r="F3" s="1795"/>
      <c r="G3" s="1795"/>
      <c r="H3" s="1795"/>
      <c r="I3" s="1795"/>
      <c r="J3" s="1795"/>
      <c r="K3" s="1795"/>
      <c r="L3" s="1795"/>
      <c r="M3" s="1795"/>
      <c r="N3" s="1795"/>
      <c r="O3" s="1795"/>
      <c r="P3" s="1795"/>
      <c r="Q3" s="1795"/>
      <c r="R3" s="1795"/>
      <c r="S3" s="1795"/>
      <c r="T3" s="1795"/>
      <c r="U3" s="1795"/>
      <c r="V3" s="1791"/>
      <c r="W3" s="1791"/>
      <c r="X3" s="1791"/>
      <c r="Y3" s="1791"/>
      <c r="Z3" s="1791"/>
      <c r="AA3" s="1791"/>
      <c r="AB3" s="1791"/>
      <c r="AC3" s="1791"/>
      <c r="AD3" s="1791"/>
      <c r="AE3" s="1791"/>
      <c r="AF3" s="1791"/>
      <c r="AG3" s="1791"/>
      <c r="AH3" s="1791"/>
      <c r="AI3" s="1791"/>
      <c r="AJ3" s="1791"/>
      <c r="AK3" s="1791"/>
      <c r="AL3" s="1791"/>
      <c r="AM3" s="1791"/>
      <c r="AN3" s="1791"/>
      <c r="AO3" s="1791"/>
      <c r="AP3" s="1791"/>
      <c r="AQ3" s="1791"/>
      <c r="AR3" s="1791"/>
      <c r="AS3" s="1791"/>
      <c r="AT3" s="1791"/>
      <c r="AU3" s="1791"/>
      <c r="AV3" s="1791"/>
      <c r="AW3" s="1791"/>
      <c r="AX3" s="1791"/>
      <c r="AY3" s="1791"/>
      <c r="AZ3" s="1791"/>
      <c r="BA3" s="1791"/>
      <c r="BB3" s="1791"/>
      <c r="BC3" s="1791"/>
      <c r="BD3" s="1791"/>
      <c r="BE3" s="1791"/>
      <c r="BF3" s="1791"/>
      <c r="BG3" s="1791"/>
      <c r="BH3" s="1791"/>
      <c r="BI3" s="1791"/>
    </row>
    <row r="4" spans="1:61">
      <c r="A4" s="1791"/>
      <c r="B4" s="1791"/>
      <c r="C4" s="1791"/>
      <c r="D4" s="1791"/>
      <c r="E4" s="1791"/>
      <c r="F4" s="1791"/>
      <c r="G4" s="1791"/>
      <c r="H4" s="1791"/>
      <c r="I4" s="1791"/>
      <c r="J4" s="1791"/>
      <c r="K4" s="1791"/>
      <c r="L4" s="1791"/>
      <c r="M4" s="1791"/>
      <c r="N4" s="1791"/>
      <c r="O4" s="1791"/>
      <c r="P4" s="1791"/>
      <c r="Q4" s="1791"/>
      <c r="R4" s="1791"/>
      <c r="S4" s="1791"/>
      <c r="T4" s="1791"/>
      <c r="U4" s="1791"/>
      <c r="V4" s="1791"/>
      <c r="W4" s="1791"/>
      <c r="X4" s="1791"/>
      <c r="Y4" s="1791"/>
      <c r="Z4" s="1791"/>
      <c r="AA4" s="1796"/>
      <c r="AB4" s="1796"/>
      <c r="AC4" s="1796"/>
      <c r="AD4" s="1796"/>
      <c r="AE4" s="1796"/>
      <c r="AF4" s="1796"/>
      <c r="AG4" s="1796"/>
      <c r="AH4" s="1796"/>
      <c r="AI4" s="1796"/>
      <c r="AJ4" s="1796"/>
      <c r="AK4" s="1796"/>
      <c r="AL4" s="1796"/>
      <c r="AM4" s="1796"/>
      <c r="AN4" s="1796"/>
      <c r="AO4" s="1796"/>
      <c r="AP4" s="1796"/>
      <c r="AQ4" s="1796"/>
      <c r="AR4" s="1796"/>
      <c r="AS4" s="1796"/>
      <c r="AT4" s="1796"/>
      <c r="AU4" s="1796"/>
      <c r="AV4" s="1796"/>
      <c r="AW4" s="1796"/>
      <c r="AX4" s="1796"/>
      <c r="AY4" s="1796"/>
      <c r="AZ4" s="1796"/>
      <c r="BA4" s="1796"/>
      <c r="BB4" s="1796"/>
      <c r="BC4" s="1791"/>
      <c r="BD4" s="1791"/>
      <c r="BE4" s="1791"/>
      <c r="BF4" s="1791"/>
      <c r="BG4" s="1791"/>
      <c r="BH4" s="1791"/>
      <c r="BI4" s="1791"/>
    </row>
    <row r="5" ht="12.75" spans="1:61">
      <c r="A5" s="1797">
        <f>UnosPod!AA8</f>
        <v>4</v>
      </c>
      <c r="B5" s="1797">
        <f>UnosPod!AB8</f>
        <v>2</v>
      </c>
      <c r="C5" s="1797">
        <f>UnosPod!AC8</f>
        <v>0</v>
      </c>
      <c r="D5" s="1797">
        <f>UnosPod!AD8</f>
        <v>1</v>
      </c>
      <c r="E5" s="1797">
        <f>UnosPod!AE8</f>
        <v>3</v>
      </c>
      <c r="F5" s="1797">
        <f>UnosPod!AF8</f>
        <v>3</v>
      </c>
      <c r="G5" s="1797">
        <f>UnosPod!AG8</f>
        <v>7</v>
      </c>
      <c r="H5" s="1797">
        <f>UnosPod!AH8</f>
        <v>6</v>
      </c>
      <c r="I5" s="1797">
        <f>UnosPod!AI8</f>
        <v>7</v>
      </c>
      <c r="J5" s="1797">
        <f>UnosPod!AJ8</f>
        <v>0</v>
      </c>
      <c r="K5" s="1797">
        <f>UnosPod!AK8</f>
        <v>0</v>
      </c>
      <c r="L5" s="1797">
        <f>UnosPod!AL8</f>
        <v>0</v>
      </c>
      <c r="M5" s="1797">
        <f>UnosPod!AM8</f>
        <v>9</v>
      </c>
      <c r="N5" s="1797"/>
      <c r="O5" s="1797"/>
      <c r="P5" s="1797"/>
      <c r="Q5" s="1797">
        <f>UnosPod!AA10</f>
        <v>6</v>
      </c>
      <c r="R5" s="1797">
        <f>UnosPod!AB10</f>
        <v>6</v>
      </c>
      <c r="S5" s="1797">
        <f>UnosPod!AC10</f>
        <v>3</v>
      </c>
      <c r="T5" s="1797">
        <f>UnosPod!AD10</f>
        <v>0</v>
      </c>
      <c r="U5" s="1797"/>
      <c r="V5" s="1791"/>
      <c r="W5" s="1791"/>
      <c r="X5" s="1791"/>
      <c r="Y5" s="1791"/>
      <c r="Z5" s="1791"/>
      <c r="AA5" s="1796"/>
      <c r="AB5" s="1796"/>
      <c r="AC5" s="1796"/>
      <c r="AD5" s="1796"/>
      <c r="AE5" s="1796"/>
      <c r="AF5" s="1796"/>
      <c r="AG5" s="1796"/>
      <c r="AH5" s="1796"/>
      <c r="AI5" s="1796"/>
      <c r="AJ5" s="1796"/>
      <c r="AK5" s="1796"/>
      <c r="AL5" s="1796"/>
      <c r="AM5" s="1796"/>
      <c r="AN5" s="1796"/>
      <c r="AO5" s="1796"/>
      <c r="AP5" s="1796"/>
      <c r="AQ5" s="1796"/>
      <c r="AR5" s="1796"/>
      <c r="AS5" s="1796"/>
      <c r="AT5" s="1796"/>
      <c r="AU5" s="1796"/>
      <c r="AV5" s="1796"/>
      <c r="AW5" s="1796"/>
      <c r="AX5" s="1796"/>
      <c r="AY5" s="1796"/>
      <c r="AZ5" s="1796"/>
      <c r="BA5" s="1796"/>
      <c r="BB5" s="1796"/>
      <c r="BC5" s="1791"/>
      <c r="BD5" s="1791"/>
      <c r="BE5" s="1791"/>
      <c r="BF5" s="1791"/>
      <c r="BG5" s="1791"/>
      <c r="BH5" s="1791"/>
      <c r="BI5" s="1791"/>
    </row>
    <row r="6" spans="1:61">
      <c r="A6" s="1795" t="s">
        <v>7386</v>
      </c>
      <c r="B6" s="1795"/>
      <c r="C6" s="1795"/>
      <c r="D6" s="1795"/>
      <c r="E6" s="1795"/>
      <c r="F6" s="1795"/>
      <c r="G6" s="1795"/>
      <c r="H6" s="1795"/>
      <c r="I6" s="1795"/>
      <c r="J6" s="1795"/>
      <c r="K6" s="1795"/>
      <c r="L6" s="1795"/>
      <c r="M6" s="1795"/>
      <c r="N6" s="1795"/>
      <c r="O6" s="1795"/>
      <c r="P6" s="1795"/>
      <c r="Q6" s="1795"/>
      <c r="R6" s="1795"/>
      <c r="S6" s="1795"/>
      <c r="T6" s="1795"/>
      <c r="U6" s="1795"/>
      <c r="V6" s="1791"/>
      <c r="W6" s="1791"/>
      <c r="X6" s="1791"/>
      <c r="Y6" s="1791"/>
      <c r="Z6" s="1791"/>
      <c r="AA6" s="1796"/>
      <c r="AB6" s="1796"/>
      <c r="AC6" s="1796"/>
      <c r="AD6" s="1796"/>
      <c r="AE6" s="1796"/>
      <c r="AF6" s="1796"/>
      <c r="AG6" s="1796"/>
      <c r="AH6" s="1796"/>
      <c r="AI6" s="1796"/>
      <c r="AJ6" s="1796"/>
      <c r="AK6" s="1796"/>
      <c r="AL6" s="1796"/>
      <c r="AM6" s="1796"/>
      <c r="AN6" s="1796"/>
      <c r="AO6" s="1796"/>
      <c r="AP6" s="1796"/>
      <c r="AQ6" s="1796"/>
      <c r="AR6" s="1796"/>
      <c r="AS6" s="1796"/>
      <c r="AT6" s="1796"/>
      <c r="AU6" s="1796"/>
      <c r="AV6" s="1796"/>
      <c r="AW6" s="1796"/>
      <c r="AX6" s="1796"/>
      <c r="AY6" s="1796"/>
      <c r="AZ6" s="1796"/>
      <c r="BA6" s="1796"/>
      <c r="BB6" s="1796"/>
      <c r="BC6" s="1791"/>
      <c r="BD6" s="1791"/>
      <c r="BE6" s="1791"/>
      <c r="BF6" s="1791"/>
      <c r="BG6" s="1791"/>
      <c r="BH6" s="1791"/>
      <c r="BI6" s="1791"/>
    </row>
    <row r="7" spans="1:61">
      <c r="A7" s="1791"/>
      <c r="B7" s="1791"/>
      <c r="C7" s="1791"/>
      <c r="D7" s="1791"/>
      <c r="E7" s="1791"/>
      <c r="F7" s="1791"/>
      <c r="G7" s="1791"/>
      <c r="H7" s="1791"/>
      <c r="I7" s="1791"/>
      <c r="J7" s="1791"/>
      <c r="K7" s="1791"/>
      <c r="L7" s="1791"/>
      <c r="M7" s="1791"/>
      <c r="N7" s="1791"/>
      <c r="O7" s="1791"/>
      <c r="P7" s="1791"/>
      <c r="Q7" s="1791"/>
      <c r="R7" s="1791"/>
      <c r="S7" s="1791"/>
      <c r="T7" s="1791"/>
      <c r="U7" s="1791"/>
      <c r="V7" s="1798" t="str">
        <f>Text!B13</f>
        <v>IZVJEŠTAJ</v>
      </c>
      <c r="W7" s="1798"/>
      <c r="X7" s="1798"/>
      <c r="Y7" s="1798"/>
      <c r="Z7" s="1798"/>
      <c r="AA7" s="1798"/>
      <c r="AB7" s="1798"/>
      <c r="AC7" s="1798"/>
      <c r="AD7" s="1798"/>
      <c r="AE7" s="1798"/>
      <c r="AF7" s="1798"/>
      <c r="AG7" s="1798"/>
      <c r="AH7" s="1798"/>
      <c r="AI7" s="1798"/>
      <c r="AJ7" s="1798"/>
      <c r="AK7" s="1798"/>
      <c r="AL7" s="1798"/>
      <c r="AM7" s="1798"/>
      <c r="AN7" s="1798"/>
      <c r="AO7" s="1798"/>
      <c r="AP7" s="1798"/>
      <c r="AQ7" s="1798"/>
      <c r="AR7" s="1798"/>
      <c r="AS7" s="1798"/>
      <c r="AT7" s="1798"/>
      <c r="AU7" s="1798"/>
      <c r="AV7" s="1798"/>
      <c r="AW7" s="1798"/>
      <c r="AX7" s="1798"/>
      <c r="AY7" s="1791"/>
      <c r="AZ7" s="1791"/>
      <c r="BA7" s="1791"/>
      <c r="BB7" s="1791"/>
      <c r="BC7" s="1791"/>
      <c r="BD7" s="1791"/>
      <c r="BE7" s="1791"/>
      <c r="BF7" s="1791"/>
      <c r="BG7" s="1791"/>
      <c r="BH7" s="1791"/>
      <c r="BI7" s="1791"/>
    </row>
    <row r="8" ht="12.75" customHeight="1" spans="1:61">
      <c r="A8" s="1797" t="str">
        <f>Sjedište&amp;", "&amp;Adresa&amp;"; Tel: "&amp;UnosPod!AL3</f>
        <v>Sarajevo-Stari Grad, Dženetića čikma br.8; Tel: 061/599-615</v>
      </c>
      <c r="B8" s="1799"/>
      <c r="C8" s="1799"/>
      <c r="D8" s="1799"/>
      <c r="E8" s="1799"/>
      <c r="F8" s="1799"/>
      <c r="G8" s="1799"/>
      <c r="H8" s="1799"/>
      <c r="I8" s="1799"/>
      <c r="J8" s="1799"/>
      <c r="K8" s="1799"/>
      <c r="L8" s="1799"/>
      <c r="M8" s="1799"/>
      <c r="N8" s="1799"/>
      <c r="O8" s="1799"/>
      <c r="P8" s="1799"/>
      <c r="Q8" s="1799"/>
      <c r="R8" s="1799"/>
      <c r="S8" s="1799"/>
      <c r="T8" s="1799"/>
      <c r="U8" s="1799"/>
      <c r="V8" s="1798"/>
      <c r="W8" s="1798"/>
      <c r="X8" s="1798"/>
      <c r="Y8" s="1798"/>
      <c r="Z8" s="1798"/>
      <c r="AA8" s="1798"/>
      <c r="AB8" s="1798"/>
      <c r="AC8" s="1798"/>
      <c r="AD8" s="1798"/>
      <c r="AE8" s="1798"/>
      <c r="AF8" s="1798"/>
      <c r="AG8" s="1798"/>
      <c r="AH8" s="1798"/>
      <c r="AI8" s="1798"/>
      <c r="AJ8" s="1798"/>
      <c r="AK8" s="1798"/>
      <c r="AL8" s="1798"/>
      <c r="AM8" s="1798"/>
      <c r="AN8" s="1798"/>
      <c r="AO8" s="1798"/>
      <c r="AP8" s="1798"/>
      <c r="AQ8" s="1798"/>
      <c r="AR8" s="1798"/>
      <c r="AS8" s="1798"/>
      <c r="AT8" s="1798"/>
      <c r="AU8" s="1798"/>
      <c r="AV8" s="1798"/>
      <c r="AW8" s="1798"/>
      <c r="AX8" s="1798"/>
      <c r="AY8" s="1791"/>
      <c r="AZ8" s="1791"/>
      <c r="BA8" s="1791"/>
      <c r="BB8" s="1791"/>
      <c r="BC8" s="1791"/>
      <c r="BD8" s="1791"/>
      <c r="BE8" s="1791"/>
      <c r="BF8" s="1791"/>
      <c r="BG8" s="1791"/>
      <c r="BH8" s="1791"/>
      <c r="BI8" s="1791"/>
    </row>
    <row r="9" ht="10.5" customHeight="1" spans="1:61">
      <c r="A9" s="1795" t="s">
        <v>7387</v>
      </c>
      <c r="B9" s="1795"/>
      <c r="C9" s="1795"/>
      <c r="D9" s="1795"/>
      <c r="E9" s="1795"/>
      <c r="F9" s="1795"/>
      <c r="G9" s="1795"/>
      <c r="H9" s="1795"/>
      <c r="I9" s="1795"/>
      <c r="J9" s="1795"/>
      <c r="K9" s="1795"/>
      <c r="L9" s="1795"/>
      <c r="M9" s="1795"/>
      <c r="N9" s="1795"/>
      <c r="O9" s="1795"/>
      <c r="P9" s="1795"/>
      <c r="Q9" s="1795"/>
      <c r="R9" s="1795"/>
      <c r="S9" s="1795"/>
      <c r="T9" s="1795"/>
      <c r="U9" s="1795"/>
      <c r="V9" s="1800" t="s">
        <v>7388</v>
      </c>
      <c r="W9" s="1800"/>
      <c r="X9" s="1800"/>
      <c r="Y9" s="1800"/>
      <c r="Z9" s="1800"/>
      <c r="AA9" s="1800"/>
      <c r="AB9" s="1800"/>
      <c r="AC9" s="1800"/>
      <c r="AD9" s="1800"/>
      <c r="AE9" s="1800"/>
      <c r="AF9" s="1800"/>
      <c r="AG9" s="1800"/>
      <c r="AH9" s="1800"/>
      <c r="AI9" s="1800"/>
      <c r="AJ9" s="1800"/>
      <c r="AK9" s="1800"/>
      <c r="AL9" s="1800"/>
      <c r="AM9" s="1800"/>
      <c r="AN9" s="1800"/>
      <c r="AO9" s="1800"/>
      <c r="AP9" s="1800"/>
      <c r="AQ9" s="1800"/>
      <c r="AR9" s="1800"/>
      <c r="AS9" s="1800"/>
      <c r="AT9" s="1800"/>
      <c r="AU9" s="1800"/>
      <c r="AV9" s="1800"/>
      <c r="AW9" s="1800"/>
      <c r="AX9" s="1800"/>
      <c r="AY9" s="1791"/>
      <c r="AZ9" s="1791"/>
      <c r="BA9" s="1791"/>
      <c r="BB9" s="1791"/>
      <c r="BC9" s="1791"/>
      <c r="BD9" s="1791"/>
      <c r="BE9" s="1791"/>
      <c r="BF9" s="1791"/>
      <c r="BG9" s="1791"/>
      <c r="BH9" s="1791"/>
      <c r="BI9" s="1791"/>
    </row>
    <row r="10" ht="10.5" customHeight="1" spans="1:61">
      <c r="A10" s="1801"/>
      <c r="B10" s="1801"/>
      <c r="C10" s="1801"/>
      <c r="D10" s="1801"/>
      <c r="E10" s="1801"/>
      <c r="F10" s="1801"/>
      <c r="G10" s="1801"/>
      <c r="H10" s="1801"/>
      <c r="I10" s="1801"/>
      <c r="J10" s="1801"/>
      <c r="K10" s="1801"/>
      <c r="L10" s="1801"/>
      <c r="M10" s="1801"/>
      <c r="N10" s="1801"/>
      <c r="O10" s="1801"/>
      <c r="P10" s="1801"/>
      <c r="Q10" s="1801"/>
      <c r="R10" s="1801"/>
      <c r="S10" s="1801"/>
      <c r="T10" s="1801"/>
      <c r="U10" s="1801"/>
      <c r="V10" s="1800"/>
      <c r="W10" s="1800"/>
      <c r="X10" s="1800"/>
      <c r="Y10" s="1800"/>
      <c r="Z10" s="1800"/>
      <c r="AA10" s="1800"/>
      <c r="AB10" s="1800"/>
      <c r="AC10" s="1800"/>
      <c r="AD10" s="1800"/>
      <c r="AE10" s="1800"/>
      <c r="AF10" s="1800"/>
      <c r="AG10" s="1800"/>
      <c r="AH10" s="1800"/>
      <c r="AI10" s="1800"/>
      <c r="AJ10" s="1800"/>
      <c r="AK10" s="1800"/>
      <c r="AL10" s="1800"/>
      <c r="AM10" s="1800"/>
      <c r="AN10" s="1800"/>
      <c r="AO10" s="1800"/>
      <c r="AP10" s="1800"/>
      <c r="AQ10" s="1800"/>
      <c r="AR10" s="1800"/>
      <c r="AS10" s="1800"/>
      <c r="AT10" s="1800"/>
      <c r="AU10" s="1800"/>
      <c r="AV10" s="1800"/>
      <c r="AW10" s="1800"/>
      <c r="AX10" s="1800"/>
      <c r="AY10" s="1791"/>
      <c r="AZ10" s="1791"/>
      <c r="BA10" s="1791"/>
      <c r="BB10" s="1791"/>
      <c r="BC10" s="1791"/>
      <c r="BD10" s="1791"/>
      <c r="BE10" s="1791"/>
      <c r="BF10" s="1791"/>
      <c r="BG10" s="1791"/>
      <c r="BH10" s="1791"/>
      <c r="BI10" s="1791"/>
    </row>
    <row r="11" ht="15.75" customHeight="1" spans="1:61">
      <c r="A11" s="1801"/>
      <c r="B11" s="1801"/>
      <c r="C11" s="1801"/>
      <c r="D11" s="1801"/>
      <c r="E11" s="1801"/>
      <c r="F11" s="1801"/>
      <c r="G11" s="1801"/>
      <c r="H11" s="1801"/>
      <c r="I11" s="1801"/>
      <c r="J11" s="1801"/>
      <c r="K11" s="1801"/>
      <c r="L11" s="1801"/>
      <c r="M11" s="1801"/>
      <c r="N11" s="1801"/>
      <c r="O11" s="1801"/>
      <c r="P11" s="1801"/>
      <c r="Q11" s="1801"/>
      <c r="R11" s="1801"/>
      <c r="S11" s="1801"/>
      <c r="T11" s="1801"/>
      <c r="U11" s="1801"/>
      <c r="V11" s="1802" t="str">
        <f ca="1">Text!B56</f>
        <v>za period od 01.01.2025. do 31.12.2025. godine</v>
      </c>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AR11" s="1802"/>
      <c r="AS11" s="1802"/>
      <c r="AT11" s="1802"/>
      <c r="AU11" s="1802"/>
      <c r="AV11" s="1802"/>
      <c r="AW11" s="1802"/>
      <c r="AX11" s="1802"/>
      <c r="AY11" s="1791"/>
      <c r="AZ11" s="1791"/>
      <c r="BA11" s="1791"/>
      <c r="BB11" s="1791"/>
      <c r="BC11" s="1791"/>
      <c r="BD11" s="1791"/>
      <c r="BE11" s="1791"/>
      <c r="BF11" s="1791"/>
      <c r="BG11" s="1791"/>
      <c r="BH11" s="1791"/>
      <c r="BI11" s="1791"/>
    </row>
    <row r="12" ht="8.25" customHeight="1" spans="1:61">
      <c r="A12" s="1791"/>
      <c r="B12" s="1791"/>
      <c r="C12" s="1791"/>
      <c r="D12" s="1791"/>
      <c r="E12" s="1791"/>
      <c r="F12" s="1791"/>
      <c r="G12" s="1791"/>
      <c r="H12" s="1791"/>
      <c r="I12" s="1791"/>
      <c r="J12" s="1791"/>
      <c r="K12" s="1791"/>
      <c r="L12" s="1791"/>
      <c r="M12" s="1791"/>
      <c r="N12" s="1791"/>
      <c r="O12" s="1791"/>
      <c r="P12" s="1791"/>
      <c r="Q12" s="1791"/>
      <c r="R12" s="1791"/>
      <c r="S12" s="1791"/>
      <c r="T12" s="1791"/>
      <c r="U12" s="1791"/>
      <c r="V12" s="1791"/>
      <c r="W12" s="1791"/>
      <c r="X12" s="1791"/>
      <c r="Y12" s="1791"/>
      <c r="Z12" s="1791"/>
      <c r="AA12" s="1791"/>
      <c r="AB12" s="1791"/>
      <c r="AC12" s="1791"/>
      <c r="AD12" s="1791"/>
      <c r="AE12" s="1791"/>
      <c r="AF12" s="1791"/>
      <c r="AG12" s="1791"/>
      <c r="AH12" s="1791"/>
      <c r="AI12" s="1791"/>
      <c r="AJ12" s="1791"/>
      <c r="AK12" s="1791"/>
      <c r="AL12" s="1791"/>
      <c r="AM12" s="1791"/>
      <c r="AN12" s="1791"/>
      <c r="AO12" s="1791"/>
      <c r="AP12" s="1791"/>
      <c r="AQ12" s="1791"/>
      <c r="AR12" s="1791"/>
      <c r="AS12" s="1791"/>
      <c r="AT12" s="1791"/>
      <c r="AU12" s="1791"/>
      <c r="AV12" s="1791"/>
      <c r="AW12" s="1791"/>
      <c r="AX12" s="1791"/>
      <c r="AY12" s="1791"/>
      <c r="AZ12" s="1791"/>
      <c r="BA12" s="1791"/>
      <c r="BB12" s="1791"/>
      <c r="BC12" s="1791"/>
      <c r="BD12" s="1791"/>
      <c r="BE12" s="1791"/>
      <c r="BF12" s="1791"/>
      <c r="BG12" s="1791"/>
      <c r="BH12" s="1791"/>
      <c r="BI12" s="1791"/>
    </row>
    <row r="13" ht="13.5" customHeight="1" spans="1:61">
      <c r="A13" s="1803" t="s">
        <v>7095</v>
      </c>
      <c r="B13" s="1803"/>
      <c r="C13" s="1803"/>
      <c r="D13" s="1803"/>
      <c r="E13" s="1803"/>
      <c r="F13" s="1803"/>
      <c r="G13" s="1803"/>
      <c r="H13" s="1803"/>
      <c r="I13" s="1803"/>
      <c r="J13" s="1803"/>
      <c r="K13" s="1803"/>
      <c r="L13" s="1803"/>
      <c r="M13" s="1803"/>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t="s">
        <v>7389</v>
      </c>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t="s">
        <v>7390</v>
      </c>
      <c r="BD13" s="1803"/>
      <c r="BE13" s="1803"/>
      <c r="BF13" s="1803"/>
      <c r="BG13" s="1803"/>
      <c r="BH13" s="1803"/>
      <c r="BI13" s="1803"/>
    </row>
    <row r="14" ht="13.5" customHeight="1" spans="1:61">
      <c r="A14" s="1804" t="s">
        <v>7076</v>
      </c>
      <c r="B14" s="1804"/>
      <c r="C14" s="1804" t="s">
        <v>7391</v>
      </c>
      <c r="D14" s="1804"/>
      <c r="E14" s="1804"/>
      <c r="F14" s="1804"/>
      <c r="G14" s="1804"/>
      <c r="H14" s="1804"/>
      <c r="I14" s="1804"/>
      <c r="J14" s="1804"/>
      <c r="K14" s="1804"/>
      <c r="L14" s="1804"/>
      <c r="M14" s="1804"/>
      <c r="N14" s="1804"/>
      <c r="O14" s="1804"/>
      <c r="P14" s="1804"/>
      <c r="Q14" s="1804"/>
      <c r="R14" s="1804"/>
      <c r="S14" s="1804"/>
      <c r="T14" s="1804"/>
      <c r="U14" s="1804"/>
      <c r="V14" s="1804"/>
      <c r="W14" s="1804" t="s">
        <v>5179</v>
      </c>
      <c r="X14" s="1804"/>
      <c r="Y14" s="1804"/>
      <c r="Z14" s="1804"/>
      <c r="AA14" s="1804" t="s">
        <v>5180</v>
      </c>
      <c r="AB14" s="1804"/>
      <c r="AC14" s="1804"/>
      <c r="AD14" s="1804"/>
      <c r="AE14" s="1804"/>
      <c r="AF14" s="1804"/>
      <c r="AG14" s="1804"/>
      <c r="AH14" s="1804" t="s">
        <v>7392</v>
      </c>
      <c r="AI14" s="1804"/>
      <c r="AJ14" s="1804"/>
      <c r="AK14" s="1804"/>
      <c r="AL14" s="1804"/>
      <c r="AM14" s="1804"/>
      <c r="AN14" s="1804"/>
      <c r="AO14" s="1804" t="s">
        <v>5175</v>
      </c>
      <c r="AP14" s="1804"/>
      <c r="AQ14" s="1804"/>
      <c r="AR14" s="1804"/>
      <c r="AS14" s="1804"/>
      <c r="AT14" s="1804"/>
      <c r="AU14" s="1804"/>
      <c r="AV14" s="1804" t="s">
        <v>5182</v>
      </c>
      <c r="AW14" s="1804"/>
      <c r="AX14" s="1804"/>
      <c r="AY14" s="1804"/>
      <c r="AZ14" s="1804"/>
      <c r="BA14" s="1804"/>
      <c r="BB14" s="1804"/>
      <c r="BC14" s="1804" t="s">
        <v>7393</v>
      </c>
      <c r="BD14" s="1804"/>
      <c r="BE14" s="1804"/>
      <c r="BF14" s="1804"/>
      <c r="BG14" s="1804"/>
      <c r="BH14" s="1804"/>
      <c r="BI14" s="1804"/>
    </row>
    <row r="15" ht="13.5" customHeight="1" spans="1:61">
      <c r="A15" s="1805"/>
      <c r="B15" s="1805"/>
      <c r="C15" s="1805"/>
      <c r="D15" s="1805"/>
      <c r="E15" s="1805"/>
      <c r="F15" s="1805"/>
      <c r="G15" s="1805"/>
      <c r="H15" s="1805"/>
      <c r="I15" s="1805"/>
      <c r="J15" s="1805"/>
      <c r="K15" s="1805"/>
      <c r="L15" s="1805"/>
      <c r="M15" s="1805"/>
      <c r="N15" s="1805"/>
      <c r="O15" s="1805"/>
      <c r="P15" s="1805"/>
      <c r="Q15" s="1805"/>
      <c r="R15" s="1805"/>
      <c r="S15" s="1805"/>
      <c r="T15" s="1805"/>
      <c r="U15" s="1805"/>
      <c r="V15" s="1805"/>
      <c r="W15" s="1805" t="s">
        <v>5183</v>
      </c>
      <c r="X15" s="1805"/>
      <c r="Y15" s="1805"/>
      <c r="Z15" s="1805"/>
      <c r="AA15" s="1805"/>
      <c r="AB15" s="1805"/>
      <c r="AC15" s="1805"/>
      <c r="AD15" s="1805"/>
      <c r="AE15" s="1805"/>
      <c r="AF15" s="1805"/>
      <c r="AG15" s="1805"/>
      <c r="AH15" s="1805" t="s">
        <v>5184</v>
      </c>
      <c r="AI15" s="1805"/>
      <c r="AJ15" s="1805"/>
      <c r="AK15" s="1805"/>
      <c r="AL15" s="1805"/>
      <c r="AM15" s="1805"/>
      <c r="AN15" s="1805"/>
      <c r="AO15" s="1805" t="s">
        <v>7394</v>
      </c>
      <c r="AP15" s="1805"/>
      <c r="AQ15" s="1805"/>
      <c r="AR15" s="1805"/>
      <c r="AS15" s="1805"/>
      <c r="AT15" s="1805"/>
      <c r="AU15" s="1805"/>
      <c r="AV15" s="1805" t="s">
        <v>5186</v>
      </c>
      <c r="AW15" s="1805"/>
      <c r="AX15" s="1805"/>
      <c r="AY15" s="1805"/>
      <c r="AZ15" s="1805"/>
      <c r="BA15" s="1805"/>
      <c r="BB15" s="1805"/>
      <c r="BC15" s="1805" t="s">
        <v>7395</v>
      </c>
      <c r="BD15" s="1805"/>
      <c r="BE15" s="1805"/>
      <c r="BF15" s="1805"/>
      <c r="BG15" s="1805"/>
      <c r="BH15" s="1805"/>
      <c r="BI15" s="1805"/>
    </row>
    <row r="16" ht="13.5" customHeight="1" spans="1:61">
      <c r="A16" s="1806">
        <v>1</v>
      </c>
      <c r="B16" s="1806"/>
      <c r="C16" s="1806">
        <v>2</v>
      </c>
      <c r="D16" s="1806"/>
      <c r="E16" s="1806"/>
      <c r="F16" s="1806"/>
      <c r="G16" s="1806"/>
      <c r="H16" s="1806"/>
      <c r="I16" s="1806"/>
      <c r="J16" s="1806"/>
      <c r="K16" s="1806"/>
      <c r="L16" s="1806"/>
      <c r="M16" s="1806"/>
      <c r="N16" s="1806"/>
      <c r="O16" s="1806"/>
      <c r="P16" s="1806"/>
      <c r="Q16" s="1806"/>
      <c r="R16" s="1806"/>
      <c r="S16" s="1806"/>
      <c r="T16" s="1806"/>
      <c r="U16" s="1806"/>
      <c r="V16" s="1806"/>
      <c r="W16" s="1806">
        <v>3</v>
      </c>
      <c r="X16" s="1806"/>
      <c r="Y16" s="1806"/>
      <c r="Z16" s="1806"/>
      <c r="AA16" s="1806">
        <v>4</v>
      </c>
      <c r="AB16" s="1806"/>
      <c r="AC16" s="1806"/>
      <c r="AD16" s="1806"/>
      <c r="AE16" s="1806"/>
      <c r="AF16" s="1806"/>
      <c r="AG16" s="1806"/>
      <c r="AH16" s="1806">
        <v>5</v>
      </c>
      <c r="AI16" s="1806"/>
      <c r="AJ16" s="1806"/>
      <c r="AK16" s="1806"/>
      <c r="AL16" s="1806"/>
      <c r="AM16" s="1806"/>
      <c r="AN16" s="1806"/>
      <c r="AO16" s="1806">
        <v>6</v>
      </c>
      <c r="AP16" s="1806"/>
      <c r="AQ16" s="1806"/>
      <c r="AR16" s="1806"/>
      <c r="AS16" s="1806"/>
      <c r="AT16" s="1806"/>
      <c r="AU16" s="1806"/>
      <c r="AV16" s="1806">
        <v>7</v>
      </c>
      <c r="AW16" s="1806"/>
      <c r="AX16" s="1806"/>
      <c r="AY16" s="1806"/>
      <c r="AZ16" s="1806"/>
      <c r="BA16" s="1806"/>
      <c r="BB16" s="1806"/>
      <c r="BC16" s="1806">
        <v>8</v>
      </c>
      <c r="BD16" s="1806"/>
      <c r="BE16" s="1806"/>
      <c r="BF16" s="1806"/>
      <c r="BG16" s="1806"/>
      <c r="BH16" s="1806"/>
      <c r="BI16" s="1806"/>
    </row>
    <row r="17" ht="22.5" customHeight="1" spans="1:61">
      <c r="A17" s="1803" t="s">
        <v>3953</v>
      </c>
      <c r="B17" s="1803"/>
      <c r="C17" s="1807" t="s">
        <v>7396</v>
      </c>
      <c r="D17" s="1808" t="s">
        <v>7397</v>
      </c>
      <c r="E17" s="1808" t="s">
        <v>7398</v>
      </c>
      <c r="F17" s="1808"/>
      <c r="G17" s="1809" t="s">
        <v>7399</v>
      </c>
      <c r="H17" s="1810"/>
      <c r="I17" s="1810"/>
      <c r="J17" s="1810"/>
      <c r="K17" s="1810"/>
      <c r="L17" s="1810"/>
      <c r="M17" s="1810"/>
      <c r="N17" s="1810"/>
      <c r="O17" s="1810"/>
      <c r="P17" s="1810"/>
      <c r="Q17" s="1810"/>
      <c r="R17" s="1810"/>
      <c r="S17" s="1810"/>
      <c r="T17" s="1810"/>
      <c r="U17" s="1810"/>
      <c r="V17" s="1810"/>
      <c r="W17" s="1811" t="s">
        <v>5188</v>
      </c>
      <c r="X17" s="1811"/>
      <c r="Y17" s="1811"/>
      <c r="Z17" s="1811"/>
      <c r="AA17" s="1812">
        <f>ROUND(UnosPod!R515,0)</f>
        <v>87679</v>
      </c>
      <c r="AB17" s="1812"/>
      <c r="AC17" s="1812"/>
      <c r="AD17" s="1812"/>
      <c r="AE17" s="1812"/>
      <c r="AF17" s="1812"/>
      <c r="AG17" s="1812"/>
      <c r="AH17" s="1813">
        <v>0.5</v>
      </c>
      <c r="AI17" s="1814"/>
      <c r="AJ17" s="1814"/>
      <c r="AK17" s="1814"/>
      <c r="AL17" s="1814"/>
      <c r="AM17" s="1815" t="s">
        <v>20</v>
      </c>
      <c r="AN17" s="1816"/>
      <c r="AO17" s="1817">
        <f>ROUND(AA17*AH17/100,0)</f>
        <v>438</v>
      </c>
      <c r="AP17" s="1817"/>
      <c r="AQ17" s="1817"/>
      <c r="AR17" s="1817"/>
      <c r="AS17" s="1817"/>
      <c r="AT17" s="1817"/>
      <c r="AU17" s="1817"/>
      <c r="AV17" s="1817">
        <f>ROUND(UnosPod!AL515,0)</f>
        <v>438</v>
      </c>
      <c r="AW17" s="1817"/>
      <c r="AX17" s="1817"/>
      <c r="AY17" s="1817"/>
      <c r="AZ17" s="1817"/>
      <c r="BA17" s="1817"/>
      <c r="BB17" s="1817"/>
      <c r="BC17" s="1817">
        <f>AO17-AV17</f>
        <v>0</v>
      </c>
      <c r="BD17" s="1817"/>
      <c r="BE17" s="1817"/>
      <c r="BF17" s="1817"/>
      <c r="BG17" s="1817"/>
      <c r="BH17" s="1817"/>
      <c r="BI17" s="1817"/>
    </row>
    <row r="18" ht="22.5" customHeight="1" spans="1:61">
      <c r="A18" s="1804"/>
      <c r="B18" s="1804"/>
      <c r="C18" s="1818"/>
      <c r="D18" s="1819"/>
      <c r="E18" s="1819"/>
      <c r="F18" s="1819"/>
      <c r="G18" s="1820" t="s">
        <v>7400</v>
      </c>
      <c r="H18" s="1821"/>
      <c r="I18" s="1821"/>
      <c r="J18" s="1821"/>
      <c r="K18" s="1821"/>
      <c r="L18" s="1821"/>
      <c r="M18" s="1821"/>
      <c r="N18" s="1821"/>
      <c r="O18" s="1821"/>
      <c r="P18" s="1821"/>
      <c r="Q18" s="1821"/>
      <c r="R18" s="1821"/>
      <c r="S18" s="1821"/>
      <c r="T18" s="1821"/>
      <c r="U18" s="1821"/>
      <c r="V18" s="1821"/>
      <c r="W18" s="1822" t="s">
        <v>5188</v>
      </c>
      <c r="X18" s="1822"/>
      <c r="Y18" s="1822"/>
      <c r="Z18" s="1822"/>
      <c r="AA18" s="1812">
        <f>ROUND(UnosPod!R516,0)</f>
        <v>6766</v>
      </c>
      <c r="AB18" s="1812"/>
      <c r="AC18" s="1812"/>
      <c r="AD18" s="1812"/>
      <c r="AE18" s="1812"/>
      <c r="AF18" s="1812"/>
      <c r="AG18" s="1812"/>
      <c r="AH18" s="1823">
        <v>0.5</v>
      </c>
      <c r="AI18" s="1824"/>
      <c r="AJ18" s="1824"/>
      <c r="AK18" s="1824"/>
      <c r="AL18" s="1824"/>
      <c r="AM18" s="1825" t="s">
        <v>20</v>
      </c>
      <c r="AN18" s="1826"/>
      <c r="AO18" s="1817">
        <f>ROUND(AA18*AH18/100,0)</f>
        <v>34</v>
      </c>
      <c r="AP18" s="1817"/>
      <c r="AQ18" s="1817"/>
      <c r="AR18" s="1817"/>
      <c r="AS18" s="1817"/>
      <c r="AT18" s="1817"/>
      <c r="AU18" s="1817"/>
      <c r="AV18" s="1817">
        <f>ROUND(UnosPod!AL516,0)</f>
        <v>34</v>
      </c>
      <c r="AW18" s="1817"/>
      <c r="AX18" s="1817"/>
      <c r="AY18" s="1817"/>
      <c r="AZ18" s="1817"/>
      <c r="BA18" s="1817"/>
      <c r="BB18" s="1817"/>
      <c r="BC18" s="1817">
        <f>AO18-AV18</f>
        <v>0</v>
      </c>
      <c r="BD18" s="1817"/>
      <c r="BE18" s="1817"/>
      <c r="BF18" s="1817"/>
      <c r="BG18" s="1817"/>
      <c r="BH18" s="1817"/>
      <c r="BI18" s="1817"/>
    </row>
    <row r="19" ht="18.75" customHeight="1" spans="1:61">
      <c r="A19" s="1827" t="s">
        <v>3891</v>
      </c>
      <c r="B19" s="1827"/>
      <c r="C19" s="1828" t="s">
        <v>7401</v>
      </c>
      <c r="D19" s="1829" t="s">
        <v>7402</v>
      </c>
      <c r="E19" s="1830" t="s">
        <v>7403</v>
      </c>
      <c r="F19" s="1830" t="s">
        <v>7404</v>
      </c>
      <c r="G19" s="1820" t="s">
        <v>5192</v>
      </c>
      <c r="H19" s="1821"/>
      <c r="I19" s="1821"/>
      <c r="J19" s="1821"/>
      <c r="K19" s="1821"/>
      <c r="L19" s="1821"/>
      <c r="M19" s="1821"/>
      <c r="N19" s="1821"/>
      <c r="O19" s="1821"/>
      <c r="P19" s="1821"/>
      <c r="Q19" s="1821"/>
      <c r="R19" s="1821"/>
      <c r="S19" s="1821"/>
      <c r="T19" s="1821"/>
      <c r="U19" s="1821"/>
      <c r="V19" s="1821"/>
      <c r="W19" s="1822" t="s">
        <v>5193</v>
      </c>
      <c r="X19" s="1822"/>
      <c r="Y19" s="1822"/>
      <c r="Z19" s="1822"/>
      <c r="AA19" s="1812">
        <f>ROUND(UnosPod!R519,0)</f>
        <v>0</v>
      </c>
      <c r="AB19" s="1812"/>
      <c r="AC19" s="1812"/>
      <c r="AD19" s="1812"/>
      <c r="AE19" s="1812"/>
      <c r="AF19" s="1812"/>
      <c r="AG19" s="1812"/>
      <c r="AH19" s="1823">
        <v>0.01</v>
      </c>
      <c r="AI19" s="1824"/>
      <c r="AJ19" s="1824"/>
      <c r="AK19" s="1824"/>
      <c r="AL19" s="1824"/>
      <c r="AM19" s="1825" t="s">
        <v>5188</v>
      </c>
      <c r="AN19" s="1826"/>
      <c r="AO19" s="1817">
        <f>ROUND(AA19*AH19,0)</f>
        <v>0</v>
      </c>
      <c r="AP19" s="1817"/>
      <c r="AQ19" s="1817"/>
      <c r="AR19" s="1817"/>
      <c r="AS19" s="1817"/>
      <c r="AT19" s="1817"/>
      <c r="AU19" s="1817"/>
      <c r="AV19" s="1817">
        <f>ROUND(UnosPod!AL519,0)</f>
        <v>0</v>
      </c>
      <c r="AW19" s="1817"/>
      <c r="AX19" s="1817"/>
      <c r="AY19" s="1817"/>
      <c r="AZ19" s="1817"/>
      <c r="BA19" s="1817"/>
      <c r="BB19" s="1817"/>
      <c r="BC19" s="1817">
        <f t="shared" ref="BC19:BC31" si="0">AO19-AV19</f>
        <v>0</v>
      </c>
      <c r="BD19" s="1817"/>
      <c r="BE19" s="1817"/>
      <c r="BF19" s="1817"/>
      <c r="BG19" s="1817"/>
      <c r="BH19" s="1817"/>
      <c r="BI19" s="1817"/>
    </row>
    <row r="20" ht="18.75" customHeight="1" spans="1:61">
      <c r="A20" s="1804"/>
      <c r="B20" s="1804"/>
      <c r="C20" s="1831"/>
      <c r="D20" s="1830"/>
      <c r="E20" s="1830"/>
      <c r="F20" s="1830"/>
      <c r="G20" s="1820" t="s">
        <v>5194</v>
      </c>
      <c r="H20" s="1821"/>
      <c r="I20" s="1821"/>
      <c r="J20" s="1821"/>
      <c r="K20" s="1821"/>
      <c r="L20" s="1821"/>
      <c r="M20" s="1821"/>
      <c r="N20" s="1821"/>
      <c r="O20" s="1821"/>
      <c r="P20" s="1821"/>
      <c r="Q20" s="1821"/>
      <c r="R20" s="1821"/>
      <c r="S20" s="1821"/>
      <c r="T20" s="1821"/>
      <c r="U20" s="1821"/>
      <c r="V20" s="1821"/>
      <c r="W20" s="1822" t="s">
        <v>5193</v>
      </c>
      <c r="X20" s="1822"/>
      <c r="Y20" s="1822"/>
      <c r="Z20" s="1822"/>
      <c r="AA20" s="1812">
        <f>ROUND(UnosPod!R520,0)</f>
        <v>0</v>
      </c>
      <c r="AB20" s="1812"/>
      <c r="AC20" s="1812"/>
      <c r="AD20" s="1812"/>
      <c r="AE20" s="1812"/>
      <c r="AF20" s="1812"/>
      <c r="AG20" s="1812"/>
      <c r="AH20" s="1823">
        <v>2</v>
      </c>
      <c r="AI20" s="1824"/>
      <c r="AJ20" s="1824"/>
      <c r="AK20" s="1824"/>
      <c r="AL20" s="1824"/>
      <c r="AM20" s="1825" t="s">
        <v>5188</v>
      </c>
      <c r="AN20" s="1826"/>
      <c r="AO20" s="1817">
        <f t="shared" ref="AO20:AO31" si="1">ROUND(AA20*AH20,0)</f>
        <v>0</v>
      </c>
      <c r="AP20" s="1817"/>
      <c r="AQ20" s="1817"/>
      <c r="AR20" s="1817"/>
      <c r="AS20" s="1817"/>
      <c r="AT20" s="1817"/>
      <c r="AU20" s="1817"/>
      <c r="AV20" s="1817">
        <f>ROUND(UnosPod!AL520,0)</f>
        <v>0</v>
      </c>
      <c r="AW20" s="1817"/>
      <c r="AX20" s="1817"/>
      <c r="AY20" s="1817"/>
      <c r="AZ20" s="1817"/>
      <c r="BA20" s="1817"/>
      <c r="BB20" s="1817"/>
      <c r="BC20" s="1817">
        <f t="shared" si="0"/>
        <v>0</v>
      </c>
      <c r="BD20" s="1817"/>
      <c r="BE20" s="1817"/>
      <c r="BF20" s="1817"/>
      <c r="BG20" s="1817"/>
      <c r="BH20" s="1817"/>
      <c r="BI20" s="1817"/>
    </row>
    <row r="21" ht="18.75" customHeight="1" spans="1:61">
      <c r="A21" s="1804"/>
      <c r="B21" s="1804"/>
      <c r="C21" s="1831"/>
      <c r="D21" s="1830"/>
      <c r="E21" s="1830"/>
      <c r="F21" s="1830"/>
      <c r="G21" s="1820" t="s">
        <v>5195</v>
      </c>
      <c r="H21" s="1821"/>
      <c r="I21" s="1821"/>
      <c r="J21" s="1821"/>
      <c r="K21" s="1821"/>
      <c r="L21" s="1821"/>
      <c r="M21" s="1821"/>
      <c r="N21" s="1821"/>
      <c r="O21" s="1821"/>
      <c r="P21" s="1821"/>
      <c r="Q21" s="1821"/>
      <c r="R21" s="1821"/>
      <c r="S21" s="1821"/>
      <c r="T21" s="1821"/>
      <c r="U21" s="1821"/>
      <c r="V21" s="1821"/>
      <c r="W21" s="1822" t="s">
        <v>5193</v>
      </c>
      <c r="X21" s="1822"/>
      <c r="Y21" s="1822"/>
      <c r="Z21" s="1822"/>
      <c r="AA21" s="1812">
        <f>ROUND(UnosPod!R521,0)</f>
        <v>0</v>
      </c>
      <c r="AB21" s="1812"/>
      <c r="AC21" s="1812"/>
      <c r="AD21" s="1812"/>
      <c r="AE21" s="1812"/>
      <c r="AF21" s="1812"/>
      <c r="AG21" s="1812"/>
      <c r="AH21" s="1823">
        <v>0.03</v>
      </c>
      <c r="AI21" s="1824"/>
      <c r="AJ21" s="1824"/>
      <c r="AK21" s="1824"/>
      <c r="AL21" s="1824"/>
      <c r="AM21" s="1825" t="s">
        <v>5188</v>
      </c>
      <c r="AN21" s="1826"/>
      <c r="AO21" s="1817">
        <f t="shared" si="1"/>
        <v>0</v>
      </c>
      <c r="AP21" s="1817"/>
      <c r="AQ21" s="1817"/>
      <c r="AR21" s="1817"/>
      <c r="AS21" s="1817"/>
      <c r="AT21" s="1817"/>
      <c r="AU21" s="1817"/>
      <c r="AV21" s="1817">
        <f>ROUND(UnosPod!AL521,0)</f>
        <v>0</v>
      </c>
      <c r="AW21" s="1817"/>
      <c r="AX21" s="1817"/>
      <c r="AY21" s="1817"/>
      <c r="AZ21" s="1817"/>
      <c r="BA21" s="1817"/>
      <c r="BB21" s="1817"/>
      <c r="BC21" s="1817">
        <f t="shared" si="0"/>
        <v>0</v>
      </c>
      <c r="BD21" s="1817"/>
      <c r="BE21" s="1817"/>
      <c r="BF21" s="1817"/>
      <c r="BG21" s="1817"/>
      <c r="BH21" s="1817"/>
      <c r="BI21" s="1817"/>
    </row>
    <row r="22" ht="18.75" customHeight="1" spans="1:61">
      <c r="A22" s="1804"/>
      <c r="B22" s="1804"/>
      <c r="C22" s="1831"/>
      <c r="D22" s="1830"/>
      <c r="E22" s="1830"/>
      <c r="F22" s="1830"/>
      <c r="G22" s="1820" t="s">
        <v>5196</v>
      </c>
      <c r="H22" s="1821"/>
      <c r="I22" s="1821"/>
      <c r="J22" s="1821"/>
      <c r="K22" s="1821"/>
      <c r="L22" s="1821"/>
      <c r="M22" s="1821"/>
      <c r="N22" s="1821"/>
      <c r="O22" s="1821"/>
      <c r="P22" s="1821"/>
      <c r="Q22" s="1821"/>
      <c r="R22" s="1821"/>
      <c r="S22" s="1821"/>
      <c r="T22" s="1821"/>
      <c r="U22" s="1821"/>
      <c r="V22" s="1821"/>
      <c r="W22" s="1822" t="s">
        <v>5193</v>
      </c>
      <c r="X22" s="1822"/>
      <c r="Y22" s="1822"/>
      <c r="Z22" s="1822"/>
      <c r="AA22" s="1812">
        <f>ROUND(UnosPod!R522,0)</f>
        <v>0</v>
      </c>
      <c r="AB22" s="1812"/>
      <c r="AC22" s="1812"/>
      <c r="AD22" s="1812"/>
      <c r="AE22" s="1812"/>
      <c r="AF22" s="1812"/>
      <c r="AG22" s="1812"/>
      <c r="AH22" s="1823">
        <v>0.03</v>
      </c>
      <c r="AI22" s="1824"/>
      <c r="AJ22" s="1824"/>
      <c r="AK22" s="1824"/>
      <c r="AL22" s="1824"/>
      <c r="AM22" s="1825" t="s">
        <v>5188</v>
      </c>
      <c r="AN22" s="1826"/>
      <c r="AO22" s="1817">
        <f t="shared" si="1"/>
        <v>0</v>
      </c>
      <c r="AP22" s="1817"/>
      <c r="AQ22" s="1817"/>
      <c r="AR22" s="1817"/>
      <c r="AS22" s="1817"/>
      <c r="AT22" s="1817"/>
      <c r="AU22" s="1817"/>
      <c r="AV22" s="1817">
        <f>ROUND(UnosPod!AL522,0)</f>
        <v>0</v>
      </c>
      <c r="AW22" s="1817"/>
      <c r="AX22" s="1817"/>
      <c r="AY22" s="1817"/>
      <c r="AZ22" s="1817"/>
      <c r="BA22" s="1817"/>
      <c r="BB22" s="1817"/>
      <c r="BC22" s="1817">
        <f t="shared" si="0"/>
        <v>0</v>
      </c>
      <c r="BD22" s="1817"/>
      <c r="BE22" s="1817"/>
      <c r="BF22" s="1817"/>
      <c r="BG22" s="1817"/>
      <c r="BH22" s="1817"/>
      <c r="BI22" s="1817"/>
    </row>
    <row r="23" ht="18.75" customHeight="1" spans="1:61">
      <c r="A23" s="1832"/>
      <c r="B23" s="1832"/>
      <c r="C23" s="1831"/>
      <c r="D23" s="1830"/>
      <c r="E23" s="1830"/>
      <c r="F23" s="1830"/>
      <c r="G23" s="1820" t="s">
        <v>5197</v>
      </c>
      <c r="H23" s="1821"/>
      <c r="I23" s="1821"/>
      <c r="J23" s="1821"/>
      <c r="K23" s="1821"/>
      <c r="L23" s="1821"/>
      <c r="M23" s="1821"/>
      <c r="N23" s="1821"/>
      <c r="O23" s="1821"/>
      <c r="P23" s="1821"/>
      <c r="Q23" s="1821"/>
      <c r="R23" s="1821"/>
      <c r="S23" s="1821"/>
      <c r="T23" s="1821"/>
      <c r="U23" s="1821"/>
      <c r="V23" s="1821"/>
      <c r="W23" s="1822" t="s">
        <v>5198</v>
      </c>
      <c r="X23" s="1822"/>
      <c r="Y23" s="1822"/>
      <c r="Z23" s="1822"/>
      <c r="AA23" s="1812">
        <f>ROUND(UnosPod!R523,0)</f>
        <v>0</v>
      </c>
      <c r="AB23" s="1812"/>
      <c r="AC23" s="1812"/>
      <c r="AD23" s="1812"/>
      <c r="AE23" s="1812"/>
      <c r="AF23" s="1812"/>
      <c r="AG23" s="1812"/>
      <c r="AH23" s="1833">
        <v>0.001</v>
      </c>
      <c r="AI23" s="1834"/>
      <c r="AJ23" s="1834"/>
      <c r="AK23" s="1834"/>
      <c r="AL23" s="1834"/>
      <c r="AM23" s="1825" t="s">
        <v>5188</v>
      </c>
      <c r="AN23" s="1826"/>
      <c r="AO23" s="1817">
        <f t="shared" si="1"/>
        <v>0</v>
      </c>
      <c r="AP23" s="1817"/>
      <c r="AQ23" s="1817"/>
      <c r="AR23" s="1817"/>
      <c r="AS23" s="1817"/>
      <c r="AT23" s="1817"/>
      <c r="AU23" s="1817"/>
      <c r="AV23" s="1817">
        <f>ROUND(UnosPod!AL523,0)</f>
        <v>0</v>
      </c>
      <c r="AW23" s="1817"/>
      <c r="AX23" s="1817"/>
      <c r="AY23" s="1817"/>
      <c r="AZ23" s="1817"/>
      <c r="BA23" s="1817"/>
      <c r="BB23" s="1817"/>
      <c r="BC23" s="1817">
        <f t="shared" si="0"/>
        <v>0</v>
      </c>
      <c r="BD23" s="1817"/>
      <c r="BE23" s="1817"/>
      <c r="BF23" s="1817"/>
      <c r="BG23" s="1817"/>
      <c r="BH23" s="1817"/>
      <c r="BI23" s="1817"/>
    </row>
    <row r="24" ht="18.75" customHeight="1" spans="1:61">
      <c r="A24" s="1804" t="s">
        <v>3902</v>
      </c>
      <c r="B24" s="1804"/>
      <c r="C24" s="1831"/>
      <c r="D24" s="1830" t="s">
        <v>7405</v>
      </c>
      <c r="E24" s="1830" t="s">
        <v>7406</v>
      </c>
      <c r="F24" s="1830"/>
      <c r="G24" s="1820" t="s">
        <v>5200</v>
      </c>
      <c r="H24" s="1821"/>
      <c r="I24" s="1821"/>
      <c r="J24" s="1821"/>
      <c r="K24" s="1821"/>
      <c r="L24" s="1821"/>
      <c r="M24" s="1821"/>
      <c r="N24" s="1821"/>
      <c r="O24" s="1821"/>
      <c r="P24" s="1821"/>
      <c r="Q24" s="1821"/>
      <c r="R24" s="1821"/>
      <c r="S24" s="1821"/>
      <c r="T24" s="1821"/>
      <c r="U24" s="1821"/>
      <c r="V24" s="1821"/>
      <c r="W24" s="1822" t="s">
        <v>5201</v>
      </c>
      <c r="X24" s="1822"/>
      <c r="Y24" s="1822"/>
      <c r="Z24" s="1822"/>
      <c r="AA24" s="1835">
        <f>ROUND(UnosPod!R525,0)</f>
        <v>0</v>
      </c>
      <c r="AB24" s="1835"/>
      <c r="AC24" s="1835"/>
      <c r="AD24" s="1835"/>
      <c r="AE24" s="1835"/>
      <c r="AF24" s="1835"/>
      <c r="AG24" s="1835"/>
      <c r="AH24" s="1823">
        <v>2</v>
      </c>
      <c r="AI24" s="1824"/>
      <c r="AJ24" s="1824"/>
      <c r="AK24" s="1824"/>
      <c r="AL24" s="1824"/>
      <c r="AM24" s="1825" t="s">
        <v>5188</v>
      </c>
      <c r="AN24" s="1826"/>
      <c r="AO24" s="1817">
        <f t="shared" si="1"/>
        <v>0</v>
      </c>
      <c r="AP24" s="1817"/>
      <c r="AQ24" s="1817"/>
      <c r="AR24" s="1817"/>
      <c r="AS24" s="1817"/>
      <c r="AT24" s="1817"/>
      <c r="AU24" s="1817"/>
      <c r="AV24" s="1836">
        <f>ROUND(UnosPod!AL525,0)</f>
        <v>0</v>
      </c>
      <c r="AW24" s="1836"/>
      <c r="AX24" s="1836"/>
      <c r="AY24" s="1836"/>
      <c r="AZ24" s="1836"/>
      <c r="BA24" s="1836"/>
      <c r="BB24" s="1836"/>
      <c r="BC24" s="1817">
        <f t="shared" si="0"/>
        <v>0</v>
      </c>
      <c r="BD24" s="1817"/>
      <c r="BE24" s="1817"/>
      <c r="BF24" s="1817"/>
      <c r="BG24" s="1817"/>
      <c r="BH24" s="1817"/>
      <c r="BI24" s="1817"/>
    </row>
    <row r="25" ht="18.75" customHeight="1" spans="1:61">
      <c r="A25" s="1804"/>
      <c r="B25" s="1804"/>
      <c r="C25" s="1831"/>
      <c r="D25" s="1830"/>
      <c r="E25" s="1830"/>
      <c r="F25" s="1830"/>
      <c r="G25" s="1820" t="s">
        <v>5202</v>
      </c>
      <c r="H25" s="1821"/>
      <c r="I25" s="1821"/>
      <c r="J25" s="1821"/>
      <c r="K25" s="1821"/>
      <c r="L25" s="1821"/>
      <c r="M25" s="1821"/>
      <c r="N25" s="1821"/>
      <c r="O25" s="1821"/>
      <c r="P25" s="1821"/>
      <c r="Q25" s="1821"/>
      <c r="R25" s="1821"/>
      <c r="S25" s="1821"/>
      <c r="T25" s="1821"/>
      <c r="U25" s="1821"/>
      <c r="V25" s="1821"/>
      <c r="W25" s="1822" t="s">
        <v>5201</v>
      </c>
      <c r="X25" s="1822"/>
      <c r="Y25" s="1822"/>
      <c r="Z25" s="1822"/>
      <c r="AA25" s="1835">
        <f>ROUND(UnosPod!R526,0)</f>
        <v>0</v>
      </c>
      <c r="AB25" s="1835"/>
      <c r="AC25" s="1835"/>
      <c r="AD25" s="1835"/>
      <c r="AE25" s="1835"/>
      <c r="AF25" s="1835"/>
      <c r="AG25" s="1835"/>
      <c r="AH25" s="1823">
        <v>2</v>
      </c>
      <c r="AI25" s="1824"/>
      <c r="AJ25" s="1824"/>
      <c r="AK25" s="1824"/>
      <c r="AL25" s="1824"/>
      <c r="AM25" s="1825" t="s">
        <v>5188</v>
      </c>
      <c r="AN25" s="1826"/>
      <c r="AO25" s="1817">
        <f t="shared" si="1"/>
        <v>0</v>
      </c>
      <c r="AP25" s="1817"/>
      <c r="AQ25" s="1817"/>
      <c r="AR25" s="1817"/>
      <c r="AS25" s="1817"/>
      <c r="AT25" s="1817"/>
      <c r="AU25" s="1817"/>
      <c r="AV25" s="1836">
        <f>ROUND(UnosPod!AL526,0)</f>
        <v>0</v>
      </c>
      <c r="AW25" s="1836"/>
      <c r="AX25" s="1836"/>
      <c r="AY25" s="1836"/>
      <c r="AZ25" s="1836"/>
      <c r="BA25" s="1836"/>
      <c r="BB25" s="1836"/>
      <c r="BC25" s="1817">
        <f t="shared" si="0"/>
        <v>0</v>
      </c>
      <c r="BD25" s="1817"/>
      <c r="BE25" s="1817"/>
      <c r="BF25" s="1817"/>
      <c r="BG25" s="1817"/>
      <c r="BH25" s="1817"/>
      <c r="BI25" s="1817"/>
    </row>
    <row r="26" ht="18.75" customHeight="1" spans="1:61">
      <c r="A26" s="1804"/>
      <c r="B26" s="1804"/>
      <c r="C26" s="1831"/>
      <c r="D26" s="1830"/>
      <c r="E26" s="1830"/>
      <c r="F26" s="1830"/>
      <c r="G26" s="1820" t="s">
        <v>5203</v>
      </c>
      <c r="H26" s="1821"/>
      <c r="I26" s="1821"/>
      <c r="J26" s="1821"/>
      <c r="K26" s="1821"/>
      <c r="L26" s="1821"/>
      <c r="M26" s="1821"/>
      <c r="N26" s="1821"/>
      <c r="O26" s="1821"/>
      <c r="P26" s="1821"/>
      <c r="Q26" s="1821"/>
      <c r="R26" s="1821"/>
      <c r="S26" s="1821"/>
      <c r="T26" s="1821"/>
      <c r="U26" s="1821"/>
      <c r="V26" s="1821"/>
      <c r="W26" s="1822" t="s">
        <v>5204</v>
      </c>
      <c r="X26" s="1822"/>
      <c r="Y26" s="1822"/>
      <c r="Z26" s="1822"/>
      <c r="AA26" s="1835">
        <f>ROUND(UnosPod!R527,0)</f>
        <v>0</v>
      </c>
      <c r="AB26" s="1835"/>
      <c r="AC26" s="1835"/>
      <c r="AD26" s="1835"/>
      <c r="AE26" s="1835"/>
      <c r="AF26" s="1835"/>
      <c r="AG26" s="1835"/>
      <c r="AH26" s="1823">
        <v>0.04</v>
      </c>
      <c r="AI26" s="1824"/>
      <c r="AJ26" s="1824"/>
      <c r="AK26" s="1824"/>
      <c r="AL26" s="1824"/>
      <c r="AM26" s="1825" t="s">
        <v>5188</v>
      </c>
      <c r="AN26" s="1826"/>
      <c r="AO26" s="1817">
        <f t="shared" si="1"/>
        <v>0</v>
      </c>
      <c r="AP26" s="1817"/>
      <c r="AQ26" s="1817"/>
      <c r="AR26" s="1817"/>
      <c r="AS26" s="1817"/>
      <c r="AT26" s="1817"/>
      <c r="AU26" s="1817"/>
      <c r="AV26" s="1836">
        <f>ROUND(UnosPod!AL527,0)</f>
        <v>0</v>
      </c>
      <c r="AW26" s="1836"/>
      <c r="AX26" s="1836"/>
      <c r="AY26" s="1836"/>
      <c r="AZ26" s="1836"/>
      <c r="BA26" s="1836"/>
      <c r="BB26" s="1836"/>
      <c r="BC26" s="1817">
        <f t="shared" si="0"/>
        <v>0</v>
      </c>
      <c r="BD26" s="1817"/>
      <c r="BE26" s="1817"/>
      <c r="BF26" s="1817"/>
      <c r="BG26" s="1817"/>
      <c r="BH26" s="1817"/>
      <c r="BI26" s="1817"/>
    </row>
    <row r="27" ht="18.75" customHeight="1" spans="1:61">
      <c r="A27" s="1804"/>
      <c r="B27" s="1804"/>
      <c r="C27" s="1831"/>
      <c r="D27" s="1830"/>
      <c r="E27" s="1830"/>
      <c r="F27" s="1830"/>
      <c r="G27" s="1837" t="s">
        <v>2490</v>
      </c>
      <c r="H27" s="1838"/>
      <c r="I27" s="1838"/>
      <c r="J27" s="1838"/>
      <c r="K27" s="1838"/>
      <c r="L27" s="1838"/>
      <c r="M27" s="1838"/>
      <c r="N27" s="1838"/>
      <c r="O27" s="1838"/>
      <c r="P27" s="1838"/>
      <c r="Q27" s="1838"/>
      <c r="R27" s="1838"/>
      <c r="S27" s="1838"/>
      <c r="T27" s="1838"/>
      <c r="U27" s="1838"/>
      <c r="V27" s="1838"/>
      <c r="W27" s="1822" t="s">
        <v>5204</v>
      </c>
      <c r="X27" s="1822"/>
      <c r="Y27" s="1822"/>
      <c r="Z27" s="1822"/>
      <c r="AA27" s="1835">
        <f>ROUND(UnosPod!R528,0)</f>
        <v>0</v>
      </c>
      <c r="AB27" s="1835"/>
      <c r="AC27" s="1835"/>
      <c r="AD27" s="1835"/>
      <c r="AE27" s="1835"/>
      <c r="AF27" s="1835"/>
      <c r="AG27" s="1835"/>
      <c r="AH27" s="1833">
        <v>0.005</v>
      </c>
      <c r="AI27" s="1834"/>
      <c r="AJ27" s="1834"/>
      <c r="AK27" s="1834"/>
      <c r="AL27" s="1834"/>
      <c r="AM27" s="1825" t="s">
        <v>5188</v>
      </c>
      <c r="AN27" s="1826"/>
      <c r="AO27" s="1817">
        <f t="shared" si="1"/>
        <v>0</v>
      </c>
      <c r="AP27" s="1817"/>
      <c r="AQ27" s="1817"/>
      <c r="AR27" s="1817"/>
      <c r="AS27" s="1817"/>
      <c r="AT27" s="1817"/>
      <c r="AU27" s="1817"/>
      <c r="AV27" s="1836">
        <f>ROUND(UnosPod!AL528,0)</f>
        <v>0</v>
      </c>
      <c r="AW27" s="1836"/>
      <c r="AX27" s="1836"/>
      <c r="AY27" s="1836"/>
      <c r="AZ27" s="1836"/>
      <c r="BA27" s="1836"/>
      <c r="BB27" s="1836"/>
      <c r="BC27" s="1817">
        <f t="shared" si="0"/>
        <v>0</v>
      </c>
      <c r="BD27" s="1817"/>
      <c r="BE27" s="1817"/>
      <c r="BF27" s="1817"/>
      <c r="BG27" s="1817"/>
      <c r="BH27" s="1817"/>
      <c r="BI27" s="1817"/>
    </row>
    <row r="28" ht="18.75" customHeight="1" spans="1:61">
      <c r="A28" s="1804"/>
      <c r="B28" s="1804"/>
      <c r="C28" s="1831"/>
      <c r="D28" s="1830"/>
      <c r="E28" s="1830"/>
      <c r="F28" s="1830"/>
      <c r="G28" s="1837" t="s">
        <v>2493</v>
      </c>
      <c r="H28" s="1838"/>
      <c r="I28" s="1838"/>
      <c r="J28" s="1838"/>
      <c r="K28" s="1838"/>
      <c r="L28" s="1838"/>
      <c r="M28" s="1838"/>
      <c r="N28" s="1838"/>
      <c r="O28" s="1838"/>
      <c r="P28" s="1838"/>
      <c r="Q28" s="1838"/>
      <c r="R28" s="1838"/>
      <c r="S28" s="1838"/>
      <c r="T28" s="1838"/>
      <c r="U28" s="1838"/>
      <c r="V28" s="1838"/>
      <c r="W28" s="1822" t="s">
        <v>5204</v>
      </c>
      <c r="X28" s="1822"/>
      <c r="Y28" s="1822"/>
      <c r="Z28" s="1822"/>
      <c r="AA28" s="1835">
        <f>ROUND(UnosPod!R529,0)</f>
        <v>0</v>
      </c>
      <c r="AB28" s="1835"/>
      <c r="AC28" s="1835"/>
      <c r="AD28" s="1835"/>
      <c r="AE28" s="1835"/>
      <c r="AF28" s="1835"/>
      <c r="AG28" s="1835"/>
      <c r="AH28" s="1833">
        <v>0.075</v>
      </c>
      <c r="AI28" s="1834"/>
      <c r="AJ28" s="1834"/>
      <c r="AK28" s="1834"/>
      <c r="AL28" s="1834"/>
      <c r="AM28" s="1825" t="s">
        <v>5188</v>
      </c>
      <c r="AN28" s="1826"/>
      <c r="AO28" s="1817">
        <f t="shared" si="1"/>
        <v>0</v>
      </c>
      <c r="AP28" s="1817"/>
      <c r="AQ28" s="1817"/>
      <c r="AR28" s="1817"/>
      <c r="AS28" s="1817"/>
      <c r="AT28" s="1817"/>
      <c r="AU28" s="1817"/>
      <c r="AV28" s="1836">
        <f>ROUND(UnosPod!AL529,0)</f>
        <v>0</v>
      </c>
      <c r="AW28" s="1836"/>
      <c r="AX28" s="1836"/>
      <c r="AY28" s="1836"/>
      <c r="AZ28" s="1836"/>
      <c r="BA28" s="1836"/>
      <c r="BB28" s="1836"/>
      <c r="BC28" s="1817">
        <f t="shared" si="0"/>
        <v>0</v>
      </c>
      <c r="BD28" s="1817"/>
      <c r="BE28" s="1817"/>
      <c r="BF28" s="1817"/>
      <c r="BG28" s="1817"/>
      <c r="BH28" s="1817"/>
      <c r="BI28" s="1817"/>
    </row>
    <row r="29" ht="18.75" customHeight="1" spans="1:61">
      <c r="A29" s="1822" t="s">
        <v>3905</v>
      </c>
      <c r="B29" s="1822"/>
      <c r="C29" s="1831"/>
      <c r="D29" s="1826" t="s">
        <v>7407</v>
      </c>
      <c r="E29" s="1821"/>
      <c r="F29" s="1821"/>
      <c r="G29" s="1821"/>
      <c r="H29" s="1821"/>
      <c r="I29" s="1821"/>
      <c r="J29" s="1821"/>
      <c r="K29" s="1821"/>
      <c r="L29" s="1821"/>
      <c r="M29" s="1821"/>
      <c r="N29" s="1821"/>
      <c r="O29" s="1821"/>
      <c r="P29" s="1821"/>
      <c r="Q29" s="1821"/>
      <c r="R29" s="1821"/>
      <c r="S29" s="1821"/>
      <c r="T29" s="1821"/>
      <c r="U29" s="1821"/>
      <c r="V29" s="1821"/>
      <c r="W29" s="1822" t="s">
        <v>5193</v>
      </c>
      <c r="X29" s="1822"/>
      <c r="Y29" s="1822"/>
      <c r="Z29" s="1822"/>
      <c r="AA29" s="1835">
        <f>ROUND(UnosPod!R530,0)</f>
        <v>0</v>
      </c>
      <c r="AB29" s="1835"/>
      <c r="AC29" s="1835"/>
      <c r="AD29" s="1835"/>
      <c r="AE29" s="1835"/>
      <c r="AF29" s="1835"/>
      <c r="AG29" s="1835"/>
      <c r="AH29" s="1823">
        <v>1.5</v>
      </c>
      <c r="AI29" s="1824"/>
      <c r="AJ29" s="1824"/>
      <c r="AK29" s="1824"/>
      <c r="AL29" s="1824"/>
      <c r="AM29" s="1825" t="s">
        <v>5188</v>
      </c>
      <c r="AN29" s="1826"/>
      <c r="AO29" s="1817">
        <f t="shared" si="1"/>
        <v>0</v>
      </c>
      <c r="AP29" s="1817"/>
      <c r="AQ29" s="1817"/>
      <c r="AR29" s="1817"/>
      <c r="AS29" s="1817"/>
      <c r="AT29" s="1817"/>
      <c r="AU29" s="1817"/>
      <c r="AV29" s="1836">
        <f>ROUND(UnosPod!AL530,0)</f>
        <v>0</v>
      </c>
      <c r="AW29" s="1836"/>
      <c r="AX29" s="1836"/>
      <c r="AY29" s="1836"/>
      <c r="AZ29" s="1836"/>
      <c r="BA29" s="1836"/>
      <c r="BB29" s="1836"/>
      <c r="BC29" s="1817">
        <f t="shared" si="0"/>
        <v>0</v>
      </c>
      <c r="BD29" s="1817"/>
      <c r="BE29" s="1817"/>
      <c r="BF29" s="1817"/>
      <c r="BG29" s="1817"/>
      <c r="BH29" s="1817"/>
      <c r="BI29" s="1817"/>
    </row>
    <row r="30" ht="32.25" customHeight="1" spans="1:61">
      <c r="A30" s="1804" t="s">
        <v>3915</v>
      </c>
      <c r="B30" s="1804"/>
      <c r="C30" s="1831"/>
      <c r="D30" s="1839" t="s">
        <v>7408</v>
      </c>
      <c r="E30" s="1839" t="s">
        <v>7409</v>
      </c>
      <c r="F30" s="1839" t="s">
        <v>7410</v>
      </c>
      <c r="G30" s="1840" t="s">
        <v>5208</v>
      </c>
      <c r="H30" s="1841"/>
      <c r="I30" s="1841"/>
      <c r="J30" s="1841"/>
      <c r="K30" s="1841"/>
      <c r="L30" s="1841"/>
      <c r="M30" s="1841"/>
      <c r="N30" s="1841"/>
      <c r="O30" s="1841"/>
      <c r="P30" s="1841"/>
      <c r="Q30" s="1841"/>
      <c r="R30" s="1841"/>
      <c r="S30" s="1841"/>
      <c r="T30" s="1841"/>
      <c r="U30" s="1841"/>
      <c r="V30" s="1841"/>
      <c r="W30" s="1832" t="s">
        <v>5209</v>
      </c>
      <c r="X30" s="1832"/>
      <c r="Y30" s="1832"/>
      <c r="Z30" s="1832"/>
      <c r="AA30" s="1842">
        <f>ROUND(UnosPod!R532,0)</f>
        <v>0</v>
      </c>
      <c r="AB30" s="1842"/>
      <c r="AC30" s="1842"/>
      <c r="AD30" s="1842"/>
      <c r="AE30" s="1842"/>
      <c r="AF30" s="1842"/>
      <c r="AG30" s="1842"/>
      <c r="AH30" s="1843">
        <v>5</v>
      </c>
      <c r="AI30" s="1844"/>
      <c r="AJ30" s="1844"/>
      <c r="AK30" s="1844"/>
      <c r="AL30" s="1844"/>
      <c r="AM30" s="1845" t="s">
        <v>5188</v>
      </c>
      <c r="AN30" s="1846"/>
      <c r="AO30" s="1817">
        <f t="shared" si="1"/>
        <v>0</v>
      </c>
      <c r="AP30" s="1817"/>
      <c r="AQ30" s="1817"/>
      <c r="AR30" s="1817"/>
      <c r="AS30" s="1817"/>
      <c r="AT30" s="1817"/>
      <c r="AU30" s="1817"/>
      <c r="AV30" s="1847">
        <f>ROUND(UnosPod!AL532,0)</f>
        <v>0</v>
      </c>
      <c r="AW30" s="1847"/>
      <c r="AX30" s="1847"/>
      <c r="AY30" s="1847"/>
      <c r="AZ30" s="1847"/>
      <c r="BA30" s="1847"/>
      <c r="BB30" s="1847"/>
      <c r="BC30" s="1817">
        <f t="shared" si="0"/>
        <v>0</v>
      </c>
      <c r="BD30" s="1817"/>
      <c r="BE30" s="1817"/>
      <c r="BF30" s="1817"/>
      <c r="BG30" s="1817"/>
      <c r="BH30" s="1817"/>
      <c r="BI30" s="1817"/>
    </row>
    <row r="31" ht="22.5" customHeight="1" spans="1:61">
      <c r="A31" s="1805"/>
      <c r="B31" s="1805"/>
      <c r="C31" s="1848"/>
      <c r="D31" s="1849"/>
      <c r="E31" s="1849"/>
      <c r="F31" s="1849"/>
      <c r="G31" s="1850" t="s">
        <v>5210</v>
      </c>
      <c r="H31" s="1851"/>
      <c r="I31" s="1851"/>
      <c r="J31" s="1851"/>
      <c r="K31" s="1851"/>
      <c r="L31" s="1851"/>
      <c r="M31" s="1851"/>
      <c r="N31" s="1851"/>
      <c r="O31" s="1851"/>
      <c r="P31" s="1851"/>
      <c r="Q31" s="1851"/>
      <c r="R31" s="1851"/>
      <c r="S31" s="1851"/>
      <c r="T31" s="1851"/>
      <c r="U31" s="1851"/>
      <c r="V31" s="1851"/>
      <c r="W31" s="1852" t="s">
        <v>5211</v>
      </c>
      <c r="X31" s="1852"/>
      <c r="Y31" s="1852"/>
      <c r="Z31" s="1852"/>
      <c r="AA31" s="1842">
        <f>ROUND(UnosPod!R533,0)</f>
        <v>0</v>
      </c>
      <c r="AB31" s="1842"/>
      <c r="AC31" s="1842"/>
      <c r="AD31" s="1842"/>
      <c r="AE31" s="1842"/>
      <c r="AF31" s="1842"/>
      <c r="AG31" s="1842"/>
      <c r="AH31" s="1853">
        <v>0.1</v>
      </c>
      <c r="AI31" s="1854"/>
      <c r="AJ31" s="1854"/>
      <c r="AK31" s="1854"/>
      <c r="AL31" s="1854"/>
      <c r="AM31" s="1855" t="s">
        <v>5188</v>
      </c>
      <c r="AN31" s="1856"/>
      <c r="AO31" s="1817">
        <f t="shared" si="1"/>
        <v>0</v>
      </c>
      <c r="AP31" s="1817"/>
      <c r="AQ31" s="1817"/>
      <c r="AR31" s="1817"/>
      <c r="AS31" s="1817"/>
      <c r="AT31" s="1817"/>
      <c r="AU31" s="1817"/>
      <c r="AV31" s="1847">
        <f>ROUND(UnosPod!AL533,0)</f>
        <v>0</v>
      </c>
      <c r="AW31" s="1847"/>
      <c r="AX31" s="1847"/>
      <c r="AY31" s="1847"/>
      <c r="AZ31" s="1847"/>
      <c r="BA31" s="1847"/>
      <c r="BB31" s="1847"/>
      <c r="BC31" s="1817">
        <f t="shared" si="0"/>
        <v>0</v>
      </c>
      <c r="BD31" s="1817"/>
      <c r="BE31" s="1817"/>
      <c r="BF31" s="1817"/>
      <c r="BG31" s="1817"/>
      <c r="BH31" s="1817"/>
      <c r="BI31" s="1817"/>
    </row>
    <row r="32" ht="22.5" customHeight="1" spans="1:61">
      <c r="A32" s="1806" t="s">
        <v>3918</v>
      </c>
      <c r="B32" s="1806"/>
      <c r="C32" s="1857" t="s">
        <v>7411</v>
      </c>
      <c r="D32" s="1857"/>
      <c r="E32" s="1857"/>
      <c r="F32" s="1857"/>
      <c r="G32" s="1857"/>
      <c r="H32" s="1857"/>
      <c r="I32" s="1857"/>
      <c r="J32" s="1857"/>
      <c r="K32" s="1857"/>
      <c r="L32" s="1857"/>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7"/>
      <c r="AN32" s="1857"/>
      <c r="AO32" s="1858">
        <f>SUM(AO17:AU31)</f>
        <v>472</v>
      </c>
      <c r="AP32" s="1858"/>
      <c r="AQ32" s="1858"/>
      <c r="AR32" s="1858"/>
      <c r="AS32" s="1858"/>
      <c r="AT32" s="1858"/>
      <c r="AU32" s="1858"/>
      <c r="AV32" s="1858">
        <f>SUM(AV17:BB31)</f>
        <v>472</v>
      </c>
      <c r="AW32" s="1858"/>
      <c r="AX32" s="1858"/>
      <c r="AY32" s="1858"/>
      <c r="AZ32" s="1858"/>
      <c r="BA32" s="1858"/>
      <c r="BB32" s="1858"/>
      <c r="BC32" s="1858">
        <f>SUM(BC17:BI31)</f>
        <v>0</v>
      </c>
      <c r="BD32" s="1858"/>
      <c r="BE32" s="1858"/>
      <c r="BF32" s="1858"/>
      <c r="BG32" s="1858"/>
      <c r="BH32" s="1858"/>
      <c r="BI32" s="1858"/>
    </row>
    <row r="33" spans="1:61">
      <c r="A33" s="1791"/>
      <c r="B33" s="1791"/>
      <c r="C33" s="1791"/>
      <c r="D33" s="1791"/>
      <c r="E33" s="1791"/>
      <c r="F33" s="1791"/>
      <c r="G33" s="1791"/>
      <c r="H33" s="1791"/>
      <c r="I33" s="1791"/>
      <c r="J33" s="1791"/>
      <c r="K33" s="1791"/>
      <c r="L33" s="1791"/>
      <c r="M33" s="1791"/>
      <c r="N33" s="1791"/>
      <c r="O33" s="1791"/>
      <c r="P33" s="1791"/>
      <c r="Q33" s="1791"/>
      <c r="R33" s="1791"/>
      <c r="S33" s="1791"/>
      <c r="T33" s="1791"/>
      <c r="U33" s="1791"/>
      <c r="V33" s="1791"/>
      <c r="W33" s="1791"/>
      <c r="X33" s="1791"/>
      <c r="Y33" s="1791"/>
      <c r="Z33" s="1791"/>
      <c r="AA33" s="1791"/>
      <c r="AB33" s="1791"/>
      <c r="AC33" s="1791"/>
      <c r="AD33" s="1791"/>
      <c r="AE33" s="1791"/>
      <c r="AF33" s="1791"/>
      <c r="AG33" s="1791"/>
      <c r="AH33" s="1791"/>
      <c r="AI33" s="1791"/>
      <c r="AJ33" s="1791"/>
      <c r="AK33" s="1791"/>
      <c r="AL33" s="1791"/>
      <c r="AM33" s="1791"/>
      <c r="AN33" s="1791"/>
      <c r="AO33" s="1791"/>
      <c r="AP33" s="1791"/>
      <c r="AQ33" s="1791"/>
      <c r="AR33" s="1791"/>
      <c r="AS33" s="1791"/>
      <c r="AT33" s="1791"/>
      <c r="AU33" s="1791"/>
      <c r="AV33" s="1791"/>
      <c r="AW33" s="1791"/>
      <c r="AX33" s="1791"/>
      <c r="AY33" s="1791"/>
      <c r="AZ33" s="1791"/>
      <c r="BA33" s="1791"/>
      <c r="BB33" s="1791"/>
      <c r="BC33" s="1791"/>
      <c r="BD33" s="1791"/>
      <c r="BE33" s="1791"/>
      <c r="BF33" s="1791"/>
      <c r="BG33" s="1791"/>
      <c r="BH33" s="1791"/>
      <c r="BI33" s="1791"/>
    </row>
    <row r="34" spans="1:61">
      <c r="A34" s="1791"/>
      <c r="B34" s="1791"/>
      <c r="C34" s="1791"/>
      <c r="D34" s="1791"/>
      <c r="E34" s="1791"/>
      <c r="F34" s="1791"/>
      <c r="G34" s="1791"/>
      <c r="H34" s="1791"/>
      <c r="I34" s="1791"/>
      <c r="J34" s="1791"/>
      <c r="K34" s="1791"/>
      <c r="L34" s="1791"/>
      <c r="M34" s="1791"/>
      <c r="N34" s="1791"/>
      <c r="O34" s="1791"/>
      <c r="P34" s="1791"/>
      <c r="Q34" s="1791"/>
      <c r="R34" s="1791"/>
      <c r="S34" s="1791"/>
      <c r="T34" s="1791"/>
      <c r="U34" s="1791"/>
      <c r="V34" s="1791"/>
      <c r="W34" s="1791"/>
      <c r="X34" s="1791"/>
      <c r="Y34" s="1791"/>
      <c r="Z34" s="1791"/>
      <c r="AA34" s="1791"/>
      <c r="AB34" s="1791"/>
      <c r="AC34" s="1791"/>
      <c r="AD34" s="1791"/>
      <c r="AE34" s="1791"/>
      <c r="AF34" s="1791"/>
      <c r="AG34" s="1791"/>
      <c r="AH34" s="1791"/>
      <c r="AI34" s="1791"/>
      <c r="AJ34" s="1791"/>
      <c r="AK34" s="1791"/>
      <c r="AL34" s="1791"/>
      <c r="AM34" s="1791"/>
      <c r="AN34" s="1791"/>
      <c r="AO34" s="1791"/>
      <c r="AP34" s="1791"/>
      <c r="AQ34" s="1791"/>
      <c r="AR34" s="1791"/>
      <c r="AS34" s="1791"/>
      <c r="AT34" s="1791"/>
      <c r="AU34" s="1791"/>
      <c r="AV34" s="1791"/>
      <c r="AW34" s="1791"/>
      <c r="AX34" s="1791"/>
      <c r="AY34" s="1791"/>
      <c r="AZ34" s="1791"/>
      <c r="BA34" s="1791"/>
      <c r="BB34" s="1791"/>
      <c r="BC34" s="1791"/>
      <c r="BD34" s="1791"/>
      <c r="BE34" s="1791"/>
      <c r="BF34" s="1791"/>
      <c r="BG34" s="1791"/>
      <c r="BH34" s="1791"/>
      <c r="BI34" s="1791"/>
    </row>
    <row r="35" ht="12.75" spans="1:61">
      <c r="A35" s="1791" t="s">
        <v>7412</v>
      </c>
      <c r="B35" s="1791"/>
      <c r="C35" s="1791"/>
      <c r="D35" s="1797" t="str">
        <f>UnosPod!AA22&amp;UnosPod!AB22&amp;"."&amp;UnosPod!AC22&amp;UnosPod!AD22&amp;"."&amp;UnosPod!AE22&amp;UnosPod!AF22&amp;UnosPod!AG22&amp;UnosPod!AH22&amp;".godine"</f>
        <v>28.02.2026.godine</v>
      </c>
      <c r="E35" s="1797"/>
      <c r="F35" s="1797"/>
      <c r="G35" s="1797"/>
      <c r="H35" s="1797"/>
      <c r="I35" s="1791"/>
      <c r="J35" s="1791"/>
      <c r="K35" s="1791"/>
      <c r="L35" s="1791"/>
      <c r="M35" s="1791"/>
      <c r="N35" s="1791"/>
      <c r="O35" s="1791"/>
      <c r="P35" s="1791"/>
      <c r="Q35" s="1791"/>
      <c r="R35" s="1791"/>
      <c r="S35" s="1791"/>
      <c r="T35" s="1791"/>
      <c r="U35" s="1791"/>
      <c r="V35" s="1791"/>
      <c r="W35" s="1791"/>
      <c r="X35" s="1791"/>
      <c r="Y35" s="1791"/>
      <c r="Z35" s="1791"/>
      <c r="AA35" s="1791"/>
      <c r="AB35" s="1791"/>
      <c r="AC35" s="1791"/>
      <c r="AD35" s="1791"/>
      <c r="AE35" s="1791"/>
      <c r="AF35" s="1791"/>
      <c r="AG35" s="1791"/>
      <c r="AH35" s="1791"/>
      <c r="AI35" s="1791"/>
      <c r="AJ35" s="1791"/>
      <c r="AK35" s="1859" t="s">
        <v>7039</v>
      </c>
      <c r="AL35" s="1791"/>
      <c r="AM35" s="1791"/>
      <c r="AN35" s="1791"/>
      <c r="AO35" s="1791"/>
      <c r="AP35" s="1791"/>
      <c r="AQ35" s="1791"/>
      <c r="AR35" s="1791"/>
      <c r="AS35" s="1791"/>
      <c r="AT35" s="1791"/>
      <c r="AU35" s="1791"/>
      <c r="AV35" s="1791"/>
      <c r="AW35" s="1791"/>
      <c r="AX35" s="1860" t="s">
        <v>7413</v>
      </c>
      <c r="AY35" s="1860"/>
      <c r="AZ35" s="1860"/>
      <c r="BA35" s="1860"/>
      <c r="BB35" s="1860"/>
      <c r="BC35" s="1860"/>
      <c r="BD35" s="1860"/>
      <c r="BE35" s="1860"/>
      <c r="BF35" s="1860"/>
      <c r="BG35" s="1860"/>
      <c r="BH35" s="1860"/>
      <c r="BI35" s="1860"/>
    </row>
    <row r="36" spans="1:61">
      <c r="A36" s="1791"/>
      <c r="B36" s="1791"/>
      <c r="C36" s="1791"/>
      <c r="D36" s="1791"/>
      <c r="E36" s="1791"/>
      <c r="F36" s="1791"/>
      <c r="G36" s="1791"/>
      <c r="H36" s="1791"/>
      <c r="I36" s="1791"/>
      <c r="J36" s="1791"/>
      <c r="K36" s="1791"/>
      <c r="L36" s="1791"/>
      <c r="M36" s="1791"/>
      <c r="N36" s="1791"/>
      <c r="O36" s="1791"/>
      <c r="P36" s="1791"/>
      <c r="Q36" s="1791"/>
      <c r="R36" s="1791"/>
      <c r="S36" s="1791"/>
      <c r="T36" s="1791"/>
      <c r="U36" s="1791"/>
      <c r="V36" s="1791"/>
      <c r="W36" s="1791"/>
      <c r="X36" s="1791"/>
      <c r="Y36" s="1791"/>
      <c r="Z36" s="1791"/>
      <c r="AA36" s="1791"/>
      <c r="AB36" s="1791"/>
      <c r="AC36" s="1791"/>
      <c r="AD36" s="1791"/>
      <c r="AE36" s="1791"/>
      <c r="AF36" s="1791"/>
      <c r="AG36" s="1791"/>
      <c r="AH36" s="1791"/>
      <c r="AI36" s="1791"/>
      <c r="AJ36" s="1791"/>
      <c r="AK36" s="1791"/>
      <c r="AL36" s="1791"/>
      <c r="AM36" s="1791"/>
      <c r="AN36" s="1791"/>
      <c r="AO36" s="1791"/>
      <c r="AP36" s="1791"/>
      <c r="AQ36" s="1791"/>
      <c r="AR36" s="1791"/>
      <c r="AS36" s="1791"/>
      <c r="AT36" s="1791"/>
      <c r="AU36" s="1791"/>
      <c r="AV36" s="1791"/>
      <c r="AW36" s="1791"/>
      <c r="AX36" s="1860"/>
      <c r="AY36" s="1860"/>
      <c r="AZ36" s="1860"/>
      <c r="BA36" s="1860"/>
      <c r="BB36" s="1860"/>
      <c r="BC36" s="1860"/>
      <c r="BD36" s="1860"/>
      <c r="BE36" s="1860"/>
      <c r="BF36" s="1860"/>
      <c r="BG36" s="1860"/>
      <c r="BH36" s="1860"/>
      <c r="BI36" s="1860"/>
    </row>
    <row r="37" spans="1:61">
      <c r="A37" s="1791"/>
      <c r="B37" s="1791"/>
      <c r="C37" s="1791"/>
      <c r="D37" s="1791"/>
      <c r="E37" s="1791"/>
      <c r="F37" s="1791"/>
      <c r="G37" s="1791"/>
      <c r="H37" s="1791"/>
      <c r="I37" s="1791"/>
      <c r="J37" s="1791"/>
      <c r="K37" s="1791"/>
      <c r="L37" s="1791"/>
      <c r="M37" s="1791"/>
      <c r="N37" s="1791"/>
      <c r="O37" s="1791"/>
      <c r="P37" s="1791"/>
      <c r="Q37" s="1791"/>
      <c r="R37" s="1791"/>
      <c r="S37" s="1791"/>
      <c r="T37" s="1791"/>
      <c r="U37" s="1791"/>
      <c r="V37" s="1791"/>
      <c r="W37" s="1791"/>
      <c r="X37" s="1791"/>
      <c r="Y37" s="1791"/>
      <c r="Z37" s="1791"/>
      <c r="AA37" s="1791"/>
      <c r="AB37" s="1791"/>
      <c r="AC37" s="1791"/>
      <c r="AD37" s="1791"/>
      <c r="AE37" s="1791"/>
      <c r="AF37" s="1791"/>
      <c r="AG37" s="1791"/>
      <c r="AH37" s="1791"/>
      <c r="AI37" s="1791"/>
      <c r="AJ37" s="1791"/>
      <c r="AK37" s="1791"/>
      <c r="AL37" s="1791"/>
      <c r="AM37" s="1791"/>
      <c r="AN37" s="1791"/>
      <c r="AO37" s="1791"/>
      <c r="AP37" s="1791"/>
      <c r="AQ37" s="1791"/>
      <c r="AR37" s="1791"/>
      <c r="AS37" s="1791"/>
      <c r="AT37" s="1791"/>
      <c r="AU37" s="1791"/>
      <c r="AV37" s="1791"/>
      <c r="AW37" s="1791"/>
      <c r="AY37" s="1799"/>
      <c r="AZ37" s="1799"/>
      <c r="BA37" s="1799"/>
      <c r="BB37" s="1799"/>
      <c r="BC37" s="1799"/>
      <c r="BD37" s="1799"/>
      <c r="BE37" s="1799"/>
      <c r="BF37" s="1799"/>
      <c r="BG37" s="1799"/>
      <c r="BH37" s="1799"/>
      <c r="BI37" s="1799"/>
    </row>
    <row r="38" ht="12.75" spans="1:61">
      <c r="A38" s="1791"/>
      <c r="B38" s="1791"/>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91"/>
      <c r="Y38" s="1791"/>
      <c r="Z38" s="1791"/>
      <c r="AA38" s="1791"/>
      <c r="AB38" s="1791"/>
      <c r="AC38" s="1791"/>
      <c r="AD38" s="1791"/>
      <c r="AE38" s="1791"/>
      <c r="AF38" s="1791"/>
      <c r="AG38" s="1791"/>
      <c r="AH38" s="1791"/>
      <c r="AI38" s="1791"/>
      <c r="AJ38" s="1791"/>
      <c r="AK38" s="1791"/>
      <c r="AL38" s="1791"/>
      <c r="AM38" s="1791"/>
      <c r="AN38" s="1791"/>
      <c r="AO38" s="1791"/>
      <c r="AP38" s="1791"/>
      <c r="AQ38" s="1791"/>
      <c r="AR38" s="1791"/>
      <c r="AS38" s="1791"/>
      <c r="AT38" s="1791"/>
      <c r="AU38" s="1791"/>
      <c r="AV38" s="1791"/>
      <c r="AW38" s="1791"/>
      <c r="AX38" s="1861" t="str">
        <f>Baza!C10</f>
        <v>Nedim Vilogorac</v>
      </c>
      <c r="AY38" s="1861"/>
      <c r="AZ38" s="1861"/>
      <c r="BA38" s="1861"/>
      <c r="BB38" s="1861"/>
      <c r="BC38" s="1861"/>
      <c r="BD38" s="1861"/>
      <c r="BE38" s="1861"/>
      <c r="BF38" s="1861"/>
      <c r="BG38" s="1861"/>
      <c r="BH38" s="1861"/>
      <c r="BI38" s="1861"/>
    </row>
    <row r="39" spans="1:61">
      <c r="A39" s="1791"/>
      <c r="B39" s="1791"/>
      <c r="C39" s="1791"/>
      <c r="D39" s="1791"/>
      <c r="E39" s="1791"/>
      <c r="F39" s="1791"/>
      <c r="G39" s="1791"/>
      <c r="H39" s="1791"/>
      <c r="I39" s="1791"/>
      <c r="J39" s="1791"/>
      <c r="K39" s="1791"/>
      <c r="L39" s="1791"/>
      <c r="M39" s="1791"/>
      <c r="N39" s="1791"/>
      <c r="O39" s="1791"/>
      <c r="P39" s="1791"/>
      <c r="Q39" s="1791"/>
      <c r="R39" s="1791"/>
      <c r="S39" s="1791"/>
      <c r="T39" s="1791"/>
      <c r="U39" s="1791"/>
      <c r="V39" s="1791"/>
      <c r="W39" s="1791"/>
      <c r="X39" s="1791"/>
      <c r="Y39" s="1791"/>
      <c r="Z39" s="1791"/>
      <c r="AA39" s="1791"/>
      <c r="AB39" s="1791"/>
      <c r="AC39" s="1791"/>
      <c r="AD39" s="1791"/>
      <c r="AE39" s="1791"/>
      <c r="AF39" s="1791"/>
      <c r="AG39" s="1791"/>
      <c r="AH39" s="1791"/>
      <c r="AI39" s="1791"/>
      <c r="AJ39" s="1791"/>
      <c r="AK39" s="1791"/>
      <c r="AL39" s="1791"/>
      <c r="AM39" s="1791"/>
      <c r="AN39" s="1791"/>
      <c r="AO39" s="1791"/>
      <c r="AP39" s="1791"/>
      <c r="AQ39" s="1791"/>
      <c r="AR39" s="1791"/>
      <c r="AS39" s="1791"/>
      <c r="AT39" s="1791"/>
      <c r="AU39" s="1791"/>
      <c r="AV39" s="1791"/>
      <c r="AW39" s="1791"/>
      <c r="AX39" s="1791"/>
      <c r="AY39" s="1791"/>
      <c r="AZ39" s="1791"/>
      <c r="BA39" s="1791"/>
      <c r="BB39" s="1791"/>
      <c r="BC39" s="1791"/>
      <c r="BD39" s="1791"/>
      <c r="BE39" s="1791"/>
      <c r="BF39" s="1791"/>
      <c r="BG39" s="1791"/>
      <c r="BH39" s="1791"/>
      <c r="BI39" s="1791"/>
    </row>
  </sheetData>
  <customSheetViews>
    <customSheetView guid="{7A886FB3-8F08-4D3E-B7EB-0851AD05C3C6}" showGridLines="0">
      <selection activeCell="BD8" sqref="BD8"/>
      <pageMargins left="0.511811023622047" right="0.196850393700787" top="0.551181102362205" bottom="0.31496062992126" header="0.511811023622047" footer="0.196850393700787"/>
      <pageSetup paperSize="9" scale="89" orientation="landscape"/>
      <headerFooter alignWithMargins="0"/>
    </customSheetView>
  </customSheetViews>
  <mergeCells count="187">
    <mergeCell ref="A3:U3"/>
    <mergeCell ref="A6:U6"/>
    <mergeCell ref="A9:U9"/>
    <mergeCell ref="V11:AX11"/>
    <mergeCell ref="A13:B13"/>
    <mergeCell ref="C13:V13"/>
    <mergeCell ref="W13:Z13"/>
    <mergeCell ref="AA13:AG13"/>
    <mergeCell ref="AH13:AN13"/>
    <mergeCell ref="AO13:AU13"/>
    <mergeCell ref="AV13:BB13"/>
    <mergeCell ref="BC13:BI13"/>
    <mergeCell ref="A14:B14"/>
    <mergeCell ref="C14:V14"/>
    <mergeCell ref="W14:Z14"/>
    <mergeCell ref="AA14:AG14"/>
    <mergeCell ref="AH14:AN14"/>
    <mergeCell ref="AO14:AU14"/>
    <mergeCell ref="AV14:BB14"/>
    <mergeCell ref="BC14:BI14"/>
    <mergeCell ref="A15:B15"/>
    <mergeCell ref="C15:V15"/>
    <mergeCell ref="W15:Z15"/>
    <mergeCell ref="AA15:AG15"/>
    <mergeCell ref="AH15:AN15"/>
    <mergeCell ref="AO15:AU15"/>
    <mergeCell ref="AV15:BB15"/>
    <mergeCell ref="BC15:BI15"/>
    <mergeCell ref="A16:B16"/>
    <mergeCell ref="C16:V16"/>
    <mergeCell ref="W16:Z16"/>
    <mergeCell ref="AA16:AG16"/>
    <mergeCell ref="AH16:AN16"/>
    <mergeCell ref="AO16:AU16"/>
    <mergeCell ref="AV16:BB16"/>
    <mergeCell ref="BC16:BI16"/>
    <mergeCell ref="G17:V17"/>
    <mergeCell ref="W17:Z17"/>
    <mergeCell ref="AA17:AG17"/>
    <mergeCell ref="AH17:AL17"/>
    <mergeCell ref="AM17:AN17"/>
    <mergeCell ref="AO17:AU17"/>
    <mergeCell ref="AV17:BB17"/>
    <mergeCell ref="BC17:BI17"/>
    <mergeCell ref="G18:V18"/>
    <mergeCell ref="W18:Z18"/>
    <mergeCell ref="AA18:AG18"/>
    <mergeCell ref="AH18:AL18"/>
    <mergeCell ref="AM18:AN18"/>
    <mergeCell ref="AO18:AU18"/>
    <mergeCell ref="AV18:BB18"/>
    <mergeCell ref="BC18:BI18"/>
    <mergeCell ref="G19:V19"/>
    <mergeCell ref="W19:Z19"/>
    <mergeCell ref="AA19:AG19"/>
    <mergeCell ref="AH19:AL19"/>
    <mergeCell ref="AM19:AN19"/>
    <mergeCell ref="AO19:AU19"/>
    <mergeCell ref="AV19:BB19"/>
    <mergeCell ref="BC19:BI19"/>
    <mergeCell ref="G20:V20"/>
    <mergeCell ref="W20:Z20"/>
    <mergeCell ref="AA20:AG20"/>
    <mergeCell ref="AH20:AL20"/>
    <mergeCell ref="AM20:AN20"/>
    <mergeCell ref="AO20:AU20"/>
    <mergeCell ref="AV20:BB20"/>
    <mergeCell ref="BC20:BI20"/>
    <mergeCell ref="G21:V21"/>
    <mergeCell ref="W21:Z21"/>
    <mergeCell ref="AA21:AG21"/>
    <mergeCell ref="AH21:AL21"/>
    <mergeCell ref="AM21:AN21"/>
    <mergeCell ref="AO21:AU21"/>
    <mergeCell ref="AV21:BB21"/>
    <mergeCell ref="BC21:BI21"/>
    <mergeCell ref="G22:V22"/>
    <mergeCell ref="W22:Z22"/>
    <mergeCell ref="AA22:AG22"/>
    <mergeCell ref="AH22:AL22"/>
    <mergeCell ref="AM22:AN22"/>
    <mergeCell ref="AO22:AU22"/>
    <mergeCell ref="AV22:BB22"/>
    <mergeCell ref="BC22:BI22"/>
    <mergeCell ref="G23:V23"/>
    <mergeCell ref="W23:Z23"/>
    <mergeCell ref="AA23:AG23"/>
    <mergeCell ref="AH23:AL23"/>
    <mergeCell ref="AM23:AN23"/>
    <mergeCell ref="AO23:AU23"/>
    <mergeCell ref="AV23:BB23"/>
    <mergeCell ref="BC23:BI23"/>
    <mergeCell ref="G24:V24"/>
    <mergeCell ref="W24:Z24"/>
    <mergeCell ref="AA24:AG24"/>
    <mergeCell ref="AH24:AL24"/>
    <mergeCell ref="AM24:AN24"/>
    <mergeCell ref="AO24:AU24"/>
    <mergeCell ref="AV24:BB24"/>
    <mergeCell ref="BC24:BI24"/>
    <mergeCell ref="G25:V25"/>
    <mergeCell ref="W25:Z25"/>
    <mergeCell ref="AA25:AG25"/>
    <mergeCell ref="AH25:AL25"/>
    <mergeCell ref="AM25:AN25"/>
    <mergeCell ref="AO25:AU25"/>
    <mergeCell ref="AV25:BB25"/>
    <mergeCell ref="BC25:BI25"/>
    <mergeCell ref="G26:V26"/>
    <mergeCell ref="W26:Z26"/>
    <mergeCell ref="AA26:AG26"/>
    <mergeCell ref="AH26:AL26"/>
    <mergeCell ref="AM26:AN26"/>
    <mergeCell ref="AO26:AU26"/>
    <mergeCell ref="AV26:BB26"/>
    <mergeCell ref="BC26:BI26"/>
    <mergeCell ref="G27:V27"/>
    <mergeCell ref="W27:Z27"/>
    <mergeCell ref="AA27:AG27"/>
    <mergeCell ref="AH27:AL27"/>
    <mergeCell ref="AM27:AN27"/>
    <mergeCell ref="AO27:AU27"/>
    <mergeCell ref="AV27:BB27"/>
    <mergeCell ref="BC27:BI27"/>
    <mergeCell ref="G28:V28"/>
    <mergeCell ref="W28:Z28"/>
    <mergeCell ref="AA28:AG28"/>
    <mergeCell ref="AH28:AL28"/>
    <mergeCell ref="AM28:AN28"/>
    <mergeCell ref="AO28:AU28"/>
    <mergeCell ref="AV28:BB28"/>
    <mergeCell ref="BC28:BI28"/>
    <mergeCell ref="A29:B29"/>
    <mergeCell ref="D29:V29"/>
    <mergeCell ref="W29:Z29"/>
    <mergeCell ref="AA29:AG29"/>
    <mergeCell ref="AH29:AL29"/>
    <mergeCell ref="AM29:AN29"/>
    <mergeCell ref="AO29:AU29"/>
    <mergeCell ref="AV29:BB29"/>
    <mergeCell ref="BC29:BI29"/>
    <mergeCell ref="A30:B30"/>
    <mergeCell ref="G30:V30"/>
    <mergeCell ref="W30:Z30"/>
    <mergeCell ref="AA30:AG30"/>
    <mergeCell ref="AH30:AL30"/>
    <mergeCell ref="AM30:AN30"/>
    <mergeCell ref="AO30:AU30"/>
    <mergeCell ref="AV30:BB30"/>
    <mergeCell ref="BC30:BI30"/>
    <mergeCell ref="A31:B31"/>
    <mergeCell ref="G31:V31"/>
    <mergeCell ref="W31:Z31"/>
    <mergeCell ref="AA31:AG31"/>
    <mergeCell ref="AH31:AL31"/>
    <mergeCell ref="AM31:AN31"/>
    <mergeCell ref="AO31:AU31"/>
    <mergeCell ref="AV31:BB31"/>
    <mergeCell ref="BC31:BI31"/>
    <mergeCell ref="A32:B32"/>
    <mergeCell ref="C32:AN32"/>
    <mergeCell ref="AO32:AU32"/>
    <mergeCell ref="AV32:BB32"/>
    <mergeCell ref="BC32:BI32"/>
    <mergeCell ref="AX35:BI35"/>
    <mergeCell ref="AX38:BI38"/>
    <mergeCell ref="C17:C18"/>
    <mergeCell ref="C19:C31"/>
    <mergeCell ref="D17:D18"/>
    <mergeCell ref="D19:D23"/>
    <mergeCell ref="D24:D28"/>
    <mergeCell ref="D30:D31"/>
    <mergeCell ref="E17:E18"/>
    <mergeCell ref="E19:E23"/>
    <mergeCell ref="E24:E28"/>
    <mergeCell ref="E30:E31"/>
    <mergeCell ref="F17:F18"/>
    <mergeCell ref="F19:F23"/>
    <mergeCell ref="F24:F28"/>
    <mergeCell ref="F30:F31"/>
    <mergeCell ref="A19:B21"/>
    <mergeCell ref="A27:B28"/>
    <mergeCell ref="A22:B23"/>
    <mergeCell ref="A24:B26"/>
    <mergeCell ref="A17:B18"/>
    <mergeCell ref="V7:AX8"/>
    <mergeCell ref="V9:AX10"/>
  </mergeCells>
  <pageMargins left="0.511811023622047" right="0.196850393700787" top="0.551181102362205" bottom="0.31496062992126" header="0.511811023622047" footer="0.196850393700787"/>
  <pageSetup paperSize="9" scale="89" orientation="landscape"/>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8">
    <tabColor rgb="FF0070C0"/>
    <pageSetUpPr fitToPage="1"/>
  </sheetPr>
  <dimension ref="A1:AK38"/>
  <sheetViews>
    <sheetView showGridLines="0" topLeftCell="A10" workbookViewId="0">
      <selection activeCell="X30" sqref="X30:AE30"/>
    </sheetView>
  </sheetViews>
  <sheetFormatPr defaultColWidth="2.28571428571429" defaultRowHeight="14.25" customHeight="1"/>
  <cols>
    <col min="1" max="24" width="2.28571428571429" style="570"/>
    <col min="25" max="25" width="8.85714285714286" style="570" customWidth="1"/>
    <col min="26" max="16384" width="2.28571428571429" style="570"/>
  </cols>
  <sheetData>
    <row r="1" customHeight="1" spans="1:22">
      <c r="A1" s="571" t="str">
        <f>Firma</f>
        <v>LILIUM ASSET MANAGEMENT d.o.o. Sarajevo</v>
      </c>
    </row>
    <row r="2" customHeight="1" spans="1:22">
      <c r="A2" s="1" t="str">
        <f>Sjedište&amp;", "&amp;Adresa</f>
        <v>Sarajevo-Stari Grad, Dženetića čikma br.8</v>
      </c>
    </row>
    <row r="3" customHeight="1" spans="1:22">
      <c r="A3" s="572">
        <f>UnosPod!AA8</f>
        <v>4</v>
      </c>
      <c r="B3" s="572">
        <f>UnosPod!AB8</f>
        <v>2</v>
      </c>
      <c r="C3" s="572">
        <f>UnosPod!AC8</f>
        <v>0</v>
      </c>
      <c r="D3" s="572">
        <f>UnosPod!AD8</f>
        <v>1</v>
      </c>
      <c r="E3" s="572">
        <f>UnosPod!AE8</f>
        <v>3</v>
      </c>
      <c r="F3" s="572">
        <f>UnosPod!AF8</f>
        <v>3</v>
      </c>
      <c r="G3" s="572">
        <f>UnosPod!AG8</f>
        <v>7</v>
      </c>
      <c r="H3" s="572">
        <f>UnosPod!AH8</f>
        <v>6</v>
      </c>
      <c r="I3" s="572">
        <f>UnosPod!AI8</f>
        <v>7</v>
      </c>
      <c r="J3" s="572">
        <f>UnosPod!AJ8</f>
        <v>0</v>
      </c>
      <c r="K3" s="572">
        <f>UnosPod!AK8</f>
        <v>0</v>
      </c>
      <c r="L3" s="572">
        <f>UnosPod!AL8</f>
        <v>0</v>
      </c>
      <c r="M3" s="572">
        <f>UnosPod!AM8</f>
        <v>9</v>
      </c>
    </row>
    <row r="4" customHeight="1" spans="1:22">
      <c r="A4" s="572"/>
      <c r="B4" s="572"/>
      <c r="C4" s="572"/>
      <c r="D4" s="572"/>
      <c r="E4" s="572"/>
      <c r="F4" s="572"/>
      <c r="G4" s="572"/>
      <c r="H4" s="572"/>
      <c r="I4" s="572"/>
      <c r="J4" s="572"/>
      <c r="K4" s="572"/>
      <c r="L4" s="572"/>
      <c r="M4" s="572"/>
    </row>
    <row r="5" customHeight="1" spans="1:22">
      <c r="A5" s="572" t="str">
        <f>"Datum, "&amp;UnosPod!AA22&amp;UnosPod!AB22&amp;"."&amp;UnosPod!AC22&amp;UnosPod!AD22&amp;"."&amp;UnosPod!AE22&amp;UnosPod!AF22&amp;UnosPod!AG22&amp;UnosPod!AH22&amp;".godine"</f>
        <v>Datum, 28.02.2026.godine</v>
      </c>
    </row>
    <row r="6" customHeight="1" spans="1:22">
      <c r="A6" s="572" t="str">
        <f>"Broj: 02-02/202"&amp;UnosPod!AH22</f>
        <v>Broj: 02-02/2026</v>
      </c>
    </row>
    <row r="8" customHeight="1" spans="1:22">
      <c r="J8" s="905"/>
    </row>
    <row r="10" customHeight="1" spans="1:22">
      <c r="A10" s="571" t="s">
        <v>7414</v>
      </c>
      <c r="V10" s="572"/>
    </row>
    <row r="11" customHeight="1" spans="1:22">
      <c r="A11" s="571" t="str">
        <f>"Poslovnica "&amp;Sjedište</f>
        <v>Poslovnica Sarajevo-Stari Grad</v>
      </c>
    </row>
    <row r="12" customHeight="1" spans="1:22">
      <c r="A12" s="571"/>
      <c r="E12" s="571"/>
      <c r="F12" s="571"/>
      <c r="G12" s="571"/>
      <c r="H12" s="571"/>
      <c r="I12" s="571"/>
      <c r="J12" s="571"/>
      <c r="K12" s="571"/>
      <c r="L12" s="571"/>
      <c r="M12" s="571"/>
    </row>
    <row r="14" customHeight="1" spans="1:22">
      <c r="K14" s="570" t="s">
        <v>4636</v>
      </c>
    </row>
    <row r="16" customHeight="1" spans="1:22">
      <c r="A16" s="907" t="s">
        <v>7415</v>
      </c>
      <c r="B16" s="578"/>
      <c r="C16" s="578"/>
      <c r="D16" s="578"/>
      <c r="E16" s="578"/>
      <c r="F16" s="578"/>
      <c r="G16" s="578"/>
      <c r="H16" s="578"/>
      <c r="I16" s="578"/>
    </row>
    <row r="17" customHeight="1" spans="1:37">
      <c r="A17" s="907"/>
      <c r="B17" s="578"/>
      <c r="C17" s="578"/>
      <c r="D17" s="578"/>
      <c r="E17" s="578"/>
      <c r="F17" s="578"/>
      <c r="G17" s="578"/>
      <c r="H17" s="578"/>
      <c r="I17" s="578"/>
    </row>
    <row r="18" customHeight="1" spans="1:37">
      <c r="A18" s="990" t="str">
        <f ca="1">"Na osnovu podataka iz finansijskih izvještaja za period "&amp;PeriodOd&amp;" - "&amp;PeriodDo&amp;". godine, "&amp;Firma&amp;", "&amp;Sjedište&amp;" je prema kriterijima razvrstavanja iz člana 5. Zakona o računovodstvu i reviziji u Federaciji BiH („Službene novine Federacije BiH“, broj 15/21) iskazalo sljedeće vrijednosti:"</f>
        <v>Na osnovu podataka iz finansijskih izvještaja za period 01.01.2025 - 31.12.2025. godine, LILIUM ASSET MANAGEMENT d.o.o. Sarajevo, Sarajevo-Stari Grad je prema kriterijima razvrstavanja iz člana 5. Zakona o računovodstvu i reviziji u Federaciji BiH („Službene novine Federacije BiH“, broj 15/21) iskazalo sljedeće vrijednosti:</v>
      </c>
      <c r="B18" s="990"/>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c r="AE18" s="990"/>
      <c r="AF18" s="990"/>
      <c r="AG18" s="990"/>
      <c r="AH18" s="990"/>
      <c r="AI18" s="990"/>
      <c r="AJ18" s="990"/>
      <c r="AK18" s="990"/>
    </row>
    <row r="19" customHeight="1" spans="1:37">
      <c r="A19" s="990"/>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row>
    <row r="20" customHeight="1" spans="1:37">
      <c r="A20" s="990"/>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c r="AJ20" s="990"/>
      <c r="AK20" s="990"/>
    </row>
    <row r="21" customHeight="1" spans="1:37">
      <c r="A21" s="990"/>
      <c r="B21" s="990"/>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c r="AE21" s="990"/>
      <c r="AF21" s="990"/>
      <c r="AG21" s="990"/>
      <c r="AH21" s="990"/>
      <c r="AI21" s="990"/>
      <c r="AJ21" s="990"/>
      <c r="AK21" s="990"/>
    </row>
    <row r="22" customHeight="1" spans="1:37">
      <c r="A22" s="990"/>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row>
    <row r="23" customHeight="1" spans="1:37">
      <c r="A23" s="990"/>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row>
    <row r="24" customHeight="1" spans="1:37">
      <c r="B24" s="574"/>
      <c r="C24" s="574" t="str">
        <f ca="1">"•   ukupan prihod za "&amp;PoslGod&amp;". godinu"</f>
        <v>•   ukupan prihod za 2025. godinu</v>
      </c>
      <c r="D24" s="574" t="s">
        <v>7416</v>
      </c>
      <c r="E24" s="574"/>
      <c r="F24" s="574"/>
      <c r="G24" s="574"/>
      <c r="H24" s="574"/>
      <c r="I24" s="574"/>
      <c r="X24" s="1786" t="str">
        <f>Sif_Djelatn</f>
        <v>66.30</v>
      </c>
      <c r="Y24" s="1786"/>
      <c r="Z24" s="1786"/>
      <c r="AA24" s="1786"/>
      <c r="AB24" s="1786"/>
      <c r="AC24" s="1786"/>
      <c r="AD24" s="1786"/>
      <c r="AE24" s="1786"/>
    </row>
    <row r="25" customHeight="1" spans="1:37">
      <c r="C25" s="574" t="str">
        <f ca="1">"•   ukupan prihod za "&amp;PoslGod&amp;". godinu"</f>
        <v>•   ukupan prihod za 2025. godinu</v>
      </c>
      <c r="D25" s="574"/>
      <c r="E25" s="574"/>
      <c r="F25" s="574"/>
      <c r="G25" s="574"/>
      <c r="H25" s="574"/>
      <c r="I25" s="574"/>
      <c r="X25" s="1176">
        <f>B_Uspjeha!AI76</f>
        <v>247772</v>
      </c>
      <c r="Y25" s="1176"/>
      <c r="Z25" s="1176"/>
      <c r="AA25" s="1176"/>
      <c r="AB25" s="1176"/>
      <c r="AC25" s="1176"/>
      <c r="AD25" s="1176"/>
      <c r="AE25" s="1176"/>
      <c r="AF25" s="570" t="s">
        <v>5188</v>
      </c>
    </row>
    <row r="26" customHeight="1" spans="1:37">
      <c r="C26" s="574" t="s">
        <v>344</v>
      </c>
      <c r="D26" s="574"/>
      <c r="E26" s="574"/>
      <c r="F26" s="574"/>
      <c r="G26" s="574"/>
      <c r="H26" s="574"/>
      <c r="I26" s="574"/>
      <c r="X26" s="1787">
        <f>IF(B_Stanja!AP83=0,B_Stanja!AI83,(B_Stanja!AI83+B_Stanja!AP83)/2)</f>
        <v>684090</v>
      </c>
      <c r="Y26" s="1787"/>
      <c r="Z26" s="1787"/>
      <c r="AA26" s="1787"/>
      <c r="AB26" s="1787"/>
      <c r="AC26" s="1787"/>
      <c r="AD26" s="1787"/>
      <c r="AE26" s="1787"/>
      <c r="AF26" s="570" t="s">
        <v>5188</v>
      </c>
    </row>
    <row r="27" customHeight="1" spans="1:37">
      <c r="C27" s="574" t="s">
        <v>345</v>
      </c>
      <c r="D27" s="574"/>
      <c r="E27" s="574"/>
      <c r="F27" s="574"/>
      <c r="G27" s="574"/>
      <c r="H27" s="574"/>
      <c r="I27" s="574"/>
      <c r="X27" s="1787">
        <f>Anex_MSV!AI83</f>
        <v>6</v>
      </c>
      <c r="Y27" s="1787"/>
      <c r="Z27" s="1787"/>
      <c r="AA27" s="1787"/>
      <c r="AB27" s="1787"/>
      <c r="AC27" s="1787"/>
      <c r="AD27" s="1787"/>
      <c r="AE27" s="1787"/>
      <c r="AF27" s="570" t="s">
        <v>7417</v>
      </c>
    </row>
    <row r="28" customHeight="1" spans="1:37">
      <c r="A28" s="576"/>
      <c r="B28" s="576"/>
      <c r="C28" s="574"/>
      <c r="D28" s="1788" t="str">
        <f>IF(UnosPod!AQ15="DA","Subjekt od javnog interesa","")</f>
        <v/>
      </c>
      <c r="E28" s="574"/>
      <c r="F28" s="574"/>
      <c r="G28" s="574"/>
      <c r="H28" s="574"/>
      <c r="I28" s="574"/>
      <c r="X28" s="1789" t="str">
        <f>IF(UnosPod!AQ15="DA","DA","")</f>
        <v/>
      </c>
      <c r="Y28" s="1789"/>
      <c r="Z28" s="1789"/>
      <c r="AA28" s="1789"/>
      <c r="AB28" s="1789"/>
      <c r="AC28" s="1789"/>
      <c r="AD28" s="1789"/>
      <c r="AE28" s="1789"/>
    </row>
    <row r="29" customHeight="1" spans="1:37">
      <c r="A29" s="574"/>
      <c r="B29" s="574"/>
      <c r="C29" s="574"/>
      <c r="D29" s="574"/>
      <c r="E29" s="574"/>
      <c r="F29" s="574"/>
      <c r="G29" s="574"/>
      <c r="H29" s="574"/>
      <c r="I29" s="574"/>
    </row>
    <row r="30" customHeight="1" spans="1:37">
      <c r="A30" s="574" t="s">
        <v>7418</v>
      </c>
      <c r="B30" s="574"/>
      <c r="C30" s="574"/>
      <c r="D30" s="574"/>
      <c r="E30" s="574"/>
      <c r="F30" s="574"/>
      <c r="G30" s="574"/>
      <c r="H30" s="574"/>
      <c r="I30" s="574"/>
      <c r="X30" s="1790" t="str">
        <f>Baza!C471</f>
        <v>Mikro</v>
      </c>
      <c r="Y30" s="1790"/>
      <c r="Z30" s="1790"/>
      <c r="AA30" s="1790"/>
      <c r="AB30" s="1790"/>
      <c r="AC30" s="1790"/>
      <c r="AD30" s="1790"/>
      <c r="AE30" s="1790"/>
    </row>
    <row r="31" customHeight="1" spans="1:37">
      <c r="A31" s="574"/>
      <c r="B31" s="574"/>
      <c r="C31" s="574"/>
      <c r="D31" s="574"/>
      <c r="E31" s="574"/>
      <c r="F31" s="574"/>
      <c r="G31" s="574"/>
      <c r="H31" s="574"/>
      <c r="I31" s="574"/>
    </row>
    <row r="32" customHeight="1" spans="1:37">
      <c r="A32" s="907"/>
      <c r="B32" s="578"/>
      <c r="C32" s="578"/>
      <c r="D32" s="578"/>
      <c r="E32" s="578"/>
      <c r="F32" s="578"/>
      <c r="G32" s="578"/>
      <c r="H32" s="578"/>
      <c r="I32" s="578"/>
    </row>
    <row r="35" customHeight="1" spans="20:34">
      <c r="T35" s="424" t="s">
        <v>7039</v>
      </c>
      <c r="Y35" s="570" t="s">
        <v>7111</v>
      </c>
    </row>
    <row r="36" customHeight="1" spans="20:34">
      <c r="W36" s="576"/>
      <c r="X36" s="576"/>
      <c r="Y36" s="576"/>
      <c r="Z36" s="576"/>
      <c r="AA36" s="576"/>
      <c r="AB36" s="576"/>
      <c r="AC36" s="576"/>
      <c r="AD36" s="576"/>
      <c r="AE36" s="576"/>
      <c r="AF36" s="576"/>
    </row>
    <row r="37" customHeight="1" spans="20:34">
      <c r="W37" s="576"/>
      <c r="X37" s="576"/>
      <c r="Y37" s="581"/>
      <c r="Z37" s="582"/>
      <c r="AA37" s="582"/>
      <c r="AB37" s="582"/>
      <c r="AC37" s="582"/>
      <c r="AD37" s="582"/>
      <c r="AE37" s="582"/>
      <c r="AF37" s="582"/>
      <c r="AG37" s="582"/>
      <c r="AH37" s="582"/>
    </row>
    <row r="38" customHeight="1" spans="20:34">
      <c r="W38" s="576"/>
      <c r="X38" s="576"/>
      <c r="Y38" s="578" t="str">
        <f>Direktor</f>
        <v>Nedim Vilogorac</v>
      </c>
      <c r="Z38" s="576"/>
      <c r="AA38" s="576"/>
      <c r="AB38" s="576"/>
      <c r="AC38" s="576"/>
      <c r="AD38" s="576"/>
      <c r="AE38" s="576"/>
      <c r="AF38" s="576"/>
      <c r="AG38" s="576"/>
      <c r="AH38" s="576"/>
    </row>
  </sheetData>
  <customSheetViews>
    <customSheetView guid="{7A886FB3-8F08-4D3E-B7EB-0851AD05C3C6}" showGridLines="0" fitToPage="1">
      <selection activeCell="A6" sqref="A6"/>
      <pageMargins left="0.708661417322835" right="0.708661417322835" top="0.748031496062992" bottom="0.748031496062992" header="0.31496062992126" footer="0.31496062992126"/>
      <pageSetup paperSize="9" fitToHeight="0" orientation="portrait"/>
      <headerFooter/>
    </customSheetView>
  </customSheetViews>
  <mergeCells count="8">
    <mergeCell ref="X24:AE24"/>
    <mergeCell ref="X25:AE25"/>
    <mergeCell ref="X26:AE26"/>
    <mergeCell ref="X27:AE27"/>
    <mergeCell ref="A28:B28"/>
    <mergeCell ref="X28:AE28"/>
    <mergeCell ref="X30:AE30"/>
    <mergeCell ref="A18:AK22"/>
  </mergeCells>
  <pageMargins left="0.708661417322835" right="0.708661417322835" top="0.748031496062992" bottom="0.748031496062992" header="0.31496062992126" footer="0.31496062992126"/>
  <pageSetup paperSize="9" scale="97"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
    <tabColor rgb="FF008000"/>
    <pageSetUpPr fitToPage="1"/>
  </sheetPr>
  <dimension ref="A1:A260"/>
  <sheetViews>
    <sheetView topLeftCell="A158" workbookViewId="0">
      <selection activeCell="A243" sqref="A243"/>
    </sheetView>
  </sheetViews>
  <sheetFormatPr defaultColWidth="2.28571428571429" defaultRowHeight="12.75"/>
  <cols>
    <col min="1" max="1" width="109.714285714286" style="1752" customWidth="1"/>
    <col min="2" max="16384" width="2.28571428571429" style="1752"/>
  </cols>
  <sheetData>
    <row r="1" ht="17.25" customHeight="1"/>
    <row r="2" ht="22.5" customHeight="1" spans="1:1">
      <c r="A2" s="1753" t="str">
        <f>Firma</f>
        <v>LILIUM ASSET MANAGEMENT d.o.o. Sarajevo</v>
      </c>
    </row>
    <row r="3" ht="18" customHeight="1" spans="1:1">
      <c r="A3" s="1229" t="str">
        <f>Text!B2</f>
        <v>Naziv pravnog lica</v>
      </c>
    </row>
    <row r="4" ht="18" customHeight="1" spans="1:1">
      <c r="A4" s="1754" t="str">
        <f>Sjedište&amp;", "&amp;Adresa</f>
        <v>Sarajevo-Stari Grad, Dženetića čikma br.8</v>
      </c>
    </row>
    <row r="5" ht="18" customHeight="1" spans="1:1">
      <c r="A5" s="1229" t="str">
        <f>Text!B3</f>
        <v>Sjedište i adresa pravnog lica</v>
      </c>
    </row>
    <row r="6" ht="18" customHeight="1" spans="1:1">
      <c r="A6" s="1755" t="str">
        <f>IdBroj</f>
        <v>4201337670009</v>
      </c>
    </row>
    <row r="7" ht="18" customHeight="1" spans="1:1">
      <c r="A7" s="1756" t="str">
        <f>Text!B4</f>
        <v>Identifikacioni broj za direktne poreze</v>
      </c>
    </row>
    <row r="8" ht="16.5" spans="1:1">
      <c r="A8" s="1757" t="str">
        <f ca="1">"Bilješke-"&amp;UnosPod!O6&amp;UnosPod!P6&amp;"/"&amp;PoslGod</f>
        <v>Bilješke-12/2025</v>
      </c>
    </row>
    <row r="9" spans="1:1">
      <c r="A9" s="1229" t="s">
        <v>7419</v>
      </c>
    </row>
    <row r="12" ht="18" spans="1:1">
      <c r="A12" s="1758" t="s">
        <v>7420</v>
      </c>
    </row>
    <row r="13" ht="18" spans="1:1">
      <c r="A13" s="1759" t="s">
        <v>7421</v>
      </c>
    </row>
    <row r="14" ht="15.75" spans="1:1">
      <c r="A14" s="1760"/>
    </row>
    <row r="16" ht="20.25" spans="1:1">
      <c r="A16" s="1761"/>
    </row>
    <row r="17" ht="20.25" spans="1:1">
      <c r="A17" s="1761"/>
    </row>
    <row r="18" ht="22.5" spans="1:1">
      <c r="A18" s="1762"/>
    </row>
    <row r="19" ht="22.5" spans="1:1">
      <c r="A19" s="1762"/>
    </row>
    <row r="20" ht="24.75" customHeight="1" spans="1:1">
      <c r="A20" s="1763"/>
    </row>
    <row r="21" ht="24.75" customHeight="1" spans="1:1">
      <c r="A21" s="1763"/>
    </row>
    <row r="22" ht="24.75" customHeight="1" spans="1:1">
      <c r="A22" s="1763"/>
    </row>
    <row r="23" ht="20.25" customHeight="1"/>
    <row r="24" ht="20.25" customHeight="1"/>
    <row r="25" ht="25.5" spans="1:1">
      <c r="A25" s="1347" t="str">
        <f>Text!B17</f>
        <v>BILJEŠKE UZ FINANSIJSKE IZVJEŠTAJE</v>
      </c>
    </row>
    <row r="26" ht="18" spans="1:1">
      <c r="A26" s="1348" t="str">
        <f ca="1">Text!B151</f>
        <v>za period od 01.01.2025. do 31.12.2025. godine</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7.25" customHeight="1" spans="1:1">
      <c r="A42" s="882" t="str">
        <f>Racunovoda</f>
        <v>Elvira Žilić</v>
      </c>
    </row>
    <row r="43" ht="15.75" customHeight="1" spans="1:1">
      <c r="A43" s="1756" t="s">
        <v>6552</v>
      </c>
    </row>
    <row r="44" s="1228" customFormat="1" ht="15.75" customHeight="1" spans="1:1">
      <c r="A44" s="1754" t="str">
        <f>Br.dozvRacunov</f>
        <v>CR-8559/5</v>
      </c>
    </row>
    <row r="45" s="1228" customFormat="1" ht="15.75" customHeight="1" spans="1:1">
      <c r="A45" s="1756" t="s">
        <v>7113</v>
      </c>
    </row>
    <row r="46" s="1228" customFormat="1" ht="15.75" customHeight="1" spans="1:1">
      <c r="A46" s="1750" t="str">
        <f>UnosPod!AL3&amp;"; "&amp;UnosPod!AE4</f>
        <v>061/599-615; xxxxxxxxxo@gmail.com</v>
      </c>
    </row>
    <row r="47" s="1228" customFormat="1" ht="11.25" customHeight="1" spans="1:1">
      <c r="A47" s="1756" t="s">
        <v>7137</v>
      </c>
    </row>
    <row r="48" s="1228" customFormat="1" ht="15" customHeight="1" spans="1:1">
      <c r="A48" s="1764" t="s">
        <v>7422</v>
      </c>
    </row>
    <row r="49" s="1228" customFormat="1" ht="15.75" customHeight="1" spans="1:1">
      <c r="A49" s="878"/>
    </row>
    <row r="50" s="1228" customFormat="1" ht="15.75" customHeight="1" spans="1:1">
      <c r="A50" s="1765" t="s">
        <v>7423</v>
      </c>
    </row>
    <row r="51" s="1228" customFormat="1" ht="15.75" customHeight="1" spans="1:1">
      <c r="A51" s="1766" t="str">
        <f>Direktor&amp;"   "</f>
        <v>Nedim Vilogorac   </v>
      </c>
    </row>
    <row r="52" s="1228" customFormat="1" ht="15.75" customHeight="1" spans="1:1">
      <c r="A52" s="1767" t="s">
        <v>7424</v>
      </c>
    </row>
    <row r="53" s="1228" customFormat="1" ht="15.75" customHeight="1"/>
    <row r="54" s="1228" customFormat="1" ht="15.75" customHeight="1"/>
    <row r="55" s="1228" customFormat="1" ht="15.75" customHeight="1"/>
    <row r="56" s="1748" customFormat="1" ht="22.5" customHeight="1" spans="1:1">
      <c r="A56" s="1768" t="s">
        <v>7425</v>
      </c>
    </row>
    <row r="57" s="1748" customFormat="1" ht="17.25" customHeight="1" spans="1:1">
      <c r="A57" s="1768"/>
    </row>
    <row r="58" s="1204" customFormat="1" ht="53.25" customHeight="1" spans="1:1">
      <c r="A58" s="1769" t="str">
        <f ca="1">"Svi finansijski izvještaji "&amp;Firma&amp;" za obračunski period "&amp;PeriodOd&amp;" - "&amp;PeriodDo&amp;". godine u potpunosti su urađeni u skladu sa Zakona o računovodstvu i primjnom "&amp;UnosPod!AT14&amp;".  "</f>
        <v>Svi finansijski izvještaji LILIUM ASSET MANAGEMENT d.o.o. Sarajevo za obračunski period 01.01.2025 - 31.12.2025. godine u potpunosti su urađeni u skladu sa Zakona o računovodstvu i primjnom MSFI za MSP (mala i srednja pravna lica).  </v>
      </c>
    </row>
    <row r="59" s="1204" customFormat="1" ht="64.5" customHeight="1" spans="1:1">
      <c r="A59" s="1769" t="s">
        <v>7426</v>
      </c>
    </row>
    <row r="60" s="1204" customFormat="1" ht="46.5" customHeight="1" spans="1:1">
      <c r="A60" s="1769" t="s">
        <v>7427</v>
      </c>
    </row>
    <row r="61" s="1204" customFormat="1" ht="48" customHeight="1" spans="1:1">
      <c r="A61" s="1769" t="s">
        <v>7428</v>
      </c>
    </row>
    <row r="62" s="1204" customFormat="1" ht="49.5" customHeight="1" spans="1:1">
      <c r="A62" s="1769" t="s">
        <v>7429</v>
      </c>
    </row>
    <row r="63" s="1204" customFormat="1" ht="33" customHeight="1" spans="1:1">
      <c r="A63" s="1769" t="s">
        <v>7430</v>
      </c>
    </row>
    <row r="64" s="1204" customFormat="1" ht="33" customHeight="1" spans="1:1">
      <c r="A64" s="1770" t="s">
        <v>7431</v>
      </c>
    </row>
    <row r="65" s="1204" customFormat="1" ht="63" customHeight="1" spans="1:1">
      <c r="A65" s="1769" t="s">
        <v>7432</v>
      </c>
    </row>
    <row r="66" s="1204" customFormat="1" ht="81" customHeight="1" spans="1:1">
      <c r="A66" s="1769" t="s">
        <v>7433</v>
      </c>
    </row>
    <row r="67" s="1204" customFormat="1" ht="64.5" customHeight="1" spans="1:1">
      <c r="A67" s="1769" t="s">
        <v>7434</v>
      </c>
    </row>
    <row r="68" s="1204" customFormat="1" ht="49.5" customHeight="1" spans="1:1">
      <c r="A68" s="1769" t="s">
        <v>7435</v>
      </c>
    </row>
    <row r="69" s="1204" customFormat="1" ht="42.75" customHeight="1" spans="1:1">
      <c r="A69" s="1769" t="s">
        <v>7436</v>
      </c>
    </row>
    <row r="70" s="1204" customFormat="1" ht="42.75" customHeight="1" spans="1:1">
      <c r="A70" s="1769" t="s">
        <v>7437</v>
      </c>
    </row>
    <row r="71" s="1204" customFormat="1" ht="28.5" customHeight="1" spans="1:1">
      <c r="A71" s="1770" t="s">
        <v>7438</v>
      </c>
    </row>
    <row r="72" s="1204" customFormat="1" ht="29.25" customHeight="1" spans="1:1">
      <c r="A72" s="1770" t="s">
        <v>7439</v>
      </c>
    </row>
    <row r="73" s="1204" customFormat="1" ht="54" customHeight="1" spans="1:1">
      <c r="A73" s="1769" t="s">
        <v>7440</v>
      </c>
    </row>
    <row r="74" s="1204" customFormat="1" ht="16.5" customHeight="1" spans="1:1">
      <c r="A74" s="1769"/>
    </row>
    <row r="75" s="1204" customFormat="1" ht="16.5" customHeight="1" spans="1:1">
      <c r="A75" s="1769"/>
    </row>
    <row r="76" s="1204" customFormat="1" ht="16.5" customHeight="1" spans="1:1">
      <c r="A76" s="1769"/>
    </row>
    <row r="77" s="1204" customFormat="1" ht="16.5" customHeight="1" spans="1:1">
      <c r="A77" s="1769"/>
    </row>
    <row r="78" s="1204" customFormat="1" ht="16.5" customHeight="1" spans="1:1">
      <c r="A78" s="1769"/>
    </row>
    <row r="79" s="1204" customFormat="1" ht="16.5" customHeight="1" spans="1:1">
      <c r="A79" s="1769"/>
    </row>
    <row r="80" s="1204" customFormat="1" ht="16.5" customHeight="1" spans="1:1">
      <c r="A80" s="1769"/>
    </row>
    <row r="81" s="1204" customFormat="1" ht="16.5" customHeight="1" spans="1:1">
      <c r="A81" s="1769"/>
    </row>
    <row r="82" s="1204" customFormat="1" ht="16.5" customHeight="1" spans="1:1">
      <c r="A82" s="1771"/>
    </row>
    <row r="83" s="1749" customFormat="1" ht="18.75" customHeight="1" spans="1:1">
      <c r="A83" s="1772" t="s">
        <v>7441</v>
      </c>
    </row>
    <row r="84" s="1749" customFormat="1" ht="18.75" customHeight="1" spans="1:1">
      <c r="A84" s="1773"/>
    </row>
    <row r="85" s="1204" customFormat="1" ht="18" customHeight="1" spans="1:1">
      <c r="A85" s="1774" t="s">
        <v>7442</v>
      </c>
    </row>
    <row r="86" s="1204" customFormat="1" ht="18" customHeight="1" spans="1:1">
      <c r="A86" s="1774"/>
    </row>
    <row r="87" s="1204" customFormat="1" ht="39.75" customHeight="1" spans="1:1">
      <c r="A87" s="1771" t="str">
        <f ca="1">Analiza!A65</f>
        <v>-Ostvareni neto ukupan prihod prema bilansu uspjeha u periodu 01.01.2025. do 31.12.2025. godine, iznosi: 247.772 KM, što je u odnosu na isti period prethodne godine, SMANJENJE za 136.751 KM ili 35,6 %.</v>
      </c>
    </row>
    <row r="88" s="1204" customFormat="1" ht="21" customHeight="1" spans="1:1">
      <c r="A88" s="1771" t="str">
        <f ca="1">Analiza!A68</f>
        <v>U obračunskom periodu 2025. godine, POSLOVNI PRIHODI iznose 245.707 KM, što je 99,2% ukupnog prihoda.</v>
      </c>
    </row>
    <row r="89" s="1204" customFormat="1" ht="21" customHeight="1" spans="1:1">
      <c r="A89" s="1771" t="str">
        <f>Analiza!A70</f>
        <v>U odnosu na isti period prethodne godine, ovi prihodi imaju SMANJENJE za 62.793 KM ili 20,4 %.</v>
      </c>
    </row>
    <row r="90" s="1204" customFormat="1" ht="35.25" customHeight="1" spans="1:1">
      <c r="A90" s="1771" t="str">
        <f ca="1">Analiza!A71</f>
        <v>P1 -U obračunskom periodu 2025. godine, najveći prihodi su : Prihodi od pruženih usluga na domaćem tržištu (AOP 209), u iznosu od 245.707 KM, što je 99,2% ukupnog prihoda.</v>
      </c>
    </row>
    <row r="91" s="1204" customFormat="1" ht="15.75" customHeight="1" spans="1:1">
      <c r="A91" s="1771" t="str">
        <f>Analiza!A73</f>
        <v>U odnosu na isti period prethodne godine, ovaj prihod ima SMANJENJE za 62.793 KM ili 20,4 %.</v>
      </c>
    </row>
    <row r="92" s="1204" customFormat="1" ht="30.75" customHeight="1" spans="1:1">
      <c r="A92" s="1769" t="str">
        <f>IF(UnosPod!A1410="","Nema dodatnih objavljivanja - "&amp;UnosPod!A1409,UnosPod!A1410)</f>
        <v>Nema dodatnih objavljivanja - -</v>
      </c>
    </row>
    <row r="93" s="1204" customFormat="1" ht="35.25" customHeight="1" spans="1:1">
      <c r="A93" s="1775" t="str">
        <f>Analiza!A74</f>
        <v>P2. -Na drugom mjestu po veličini su : Finansijski rashodi (AOP 247), u iznosu od 1.319 KM, što je 0,5% ukupnog prihoda. </v>
      </c>
    </row>
    <row r="94" s="1204" customFormat="1" ht="18.75" customHeight="1" spans="1:1">
      <c r="A94" s="1771" t="str">
        <f>Analiza!A76</f>
        <v>U odnosu na isti period prethodne godine, ovaj prihod ima SMANJENJE za 2.623 KM ili 66,5 %.</v>
      </c>
    </row>
    <row r="95" s="1204" customFormat="1" ht="37.5" customHeight="1" spans="1:1">
      <c r="A95" s="1769" t="str">
        <f>IF(UnosPod!A1417="","Nema dodatnih objavljivanja - "&amp;UnosPod!A1416,UnosPod!A1417)</f>
        <v>Nema dodatnih objavljivanja - -</v>
      </c>
    </row>
    <row r="96" s="1204" customFormat="1" ht="34.5" customHeight="1" spans="1:1">
      <c r="A96" s="1775" t="str">
        <f>Analiza!A77</f>
        <v>P3. -Na trećem mjestu po veličini su : Ostali prihodi i dobici (AOP 251), od 746 KM, što je 0,3% ukupnog prihoda. </v>
      </c>
    </row>
    <row r="97" s="1204" customFormat="1" ht="15.75" customHeight="1" spans="1:1">
      <c r="A97" s="1771" t="str">
        <f>Analiza!A79</f>
        <v>U odnosu na isti period prethodne godine, ovaj prihod ima SMANJENJE za 7.444 KM ili 90,9 %.</v>
      </c>
    </row>
    <row r="98" s="1204" customFormat="1" ht="34.5" customHeight="1" spans="1:1">
      <c r="A98" s="1771" t="str">
        <f>Analiza!A80</f>
        <v>-</v>
      </c>
    </row>
    <row r="99" s="1204" customFormat="1" ht="15.75" customHeight="1" spans="1:1">
      <c r="A99" s="1771" t="str">
        <f>Analiza!A82</f>
        <v>-</v>
      </c>
    </row>
    <row r="100" s="1204" customFormat="1" customHeight="1" spans="1:1">
      <c r="A100" s="1776"/>
    </row>
    <row r="101" s="1204" customFormat="1" customHeight="1" spans="1:1">
      <c r="A101" s="1776"/>
    </row>
    <row r="102" s="1204" customFormat="1" ht="18.75" customHeight="1" spans="1:1">
      <c r="A102" s="1774" t="s">
        <v>7443</v>
      </c>
    </row>
    <row r="103" s="1204" customFormat="1" ht="18.75" customHeight="1" spans="1:1">
      <c r="A103" s="1774"/>
    </row>
    <row r="104" s="1204" customFormat="1" ht="35.25" customHeight="1" spans="1:1">
      <c r="A104" s="1771" t="str">
        <f ca="1">Analiza!A171</f>
        <v>Ostvareni neto ukupni rashodi prema bilansu uspjeha u obračunskom periodu 2025. godine, iznose: 306.969 KM, što je u odnosu na isti period prethodne godine, POVEĆANJE za 21.688 KM ili 7,6 %.</v>
      </c>
    </row>
    <row r="105" s="1750" customFormat="1" ht="16.5" customHeight="1" spans="1:1">
      <c r="A105" s="1771" t="str">
        <f ca="1">Analiza!A174</f>
        <v>U obračunskom periodu 2025. godine, POSLOVNI RASHODI iznose 292.171 KM, što je 95,2% ukupnih rashoda.</v>
      </c>
    </row>
    <row r="106" s="1750" customFormat="1" ht="15.75" customHeight="1" spans="1:1">
      <c r="A106" s="1771" t="str">
        <f>Analiza!A176</f>
        <v>U odnosu na isti period prethodne godine, ovi rashodi imaju POVEĆANJE za 9.364 KM ili 3,3 %.</v>
      </c>
    </row>
    <row r="107" s="1750" customFormat="1" ht="33" customHeight="1" spans="1:1">
      <c r="A107" s="1771" t="str">
        <f ca="1">Analiza!A177</f>
        <v>R1 -U obračunskom periodu 2025. godine, najveći rashodi su - Troškovi plaća i ostalih ličnih primanja (AOP 258), u iznosu od 206.367 KM, što je 67,2% ukupnih rashoda. </v>
      </c>
    </row>
    <row r="108" s="1750" customFormat="1" ht="15.75" customHeight="1" spans="1:1">
      <c r="A108" s="1771" t="str">
        <f>Analiza!A179</f>
        <v>U odnosu na isti period prethodne godine, ovaj rashod ima POVEĆANJE za 8.847 KM ili 4,5 %.</v>
      </c>
    </row>
    <row r="109" s="1750" customFormat="1" ht="33.75" customHeight="1" spans="1:1">
      <c r="A109" s="1769" t="str">
        <f>IF(UnosPod!A1431="","Nema dodatnih objavljivanja - "&amp;UnosPod!A1430,UnosPod!A1431)</f>
        <v>Nema dodatnih objavljivanja - MSFI za MSS Odjeljak 5 Izvještaj o sveobuhvatnoj dobiti i Bilans uspjeha</v>
      </c>
    </row>
    <row r="110" s="1750" customFormat="1" ht="33" customHeight="1" spans="1:1">
      <c r="A110" s="1775" t="str">
        <f>Analiza!A180</f>
        <v>R2 -Na drugom mjestu po veličini : Ostali poslovni rashodi i troškovi (AOP 270), u iznosu od: 41.433 KM, što je 13,5% ukupnih rashoda. </v>
      </c>
    </row>
    <row r="111" s="1750" customFormat="1" ht="21.75" customHeight="1" spans="1:1">
      <c r="A111" s="1771" t="str">
        <f>Analiza!A182</f>
        <v>U odnosu na isti period prethodne godine, ovaj rashod ima POVEĆANJE za 22.237 KM ili 115,8 %.</v>
      </c>
    </row>
    <row r="112" s="1750" customFormat="1" ht="33" customHeight="1" spans="1:1">
      <c r="A112" s="1775" t="str">
        <f>Analiza!A183</f>
        <v>R3 -Dok su na trećem mjestu po veličini su : Troškovi primljenih usluga (AOP 269), od: 31.427 KM, što je 10,2% ukupnih rashoda. </v>
      </c>
    </row>
    <row r="113" s="1750" customFormat="1" ht="15.75" spans="1:1">
      <c r="A113" s="1771" t="str">
        <f>Analiza!A185</f>
        <v>U odnosu na isti period prethodne godine, ovaj rashod ima SMANJENJE za 19.836 KM ili 38,7 %.</v>
      </c>
    </row>
    <row r="114" s="1750" customFormat="1" ht="30" customHeight="1" spans="1:1">
      <c r="A114" s="1771" t="str">
        <f>Analiza!A186</f>
        <v>R4 -Dalje slijede : Ostali rashodi i gubici (AOP 308), od: 14.798 KM, što je 4,8% ukupnih rashoda. </v>
      </c>
    </row>
    <row r="115" s="1750" customFormat="1" ht="15.75" spans="1:1">
      <c r="A115" s="1771" t="str">
        <f>Analiza!A188</f>
        <v>U odnosu na isti period prethodne godine, ovaj rashod ima POVEĆANJE za 14.362 KM ili 3294 %.</v>
      </c>
    </row>
    <row r="116" s="1750" customFormat="1" ht="31.5" customHeight="1" spans="1:1">
      <c r="A116" s="1775" t="str">
        <f>Analiza!A189</f>
        <v>R5 -Troškovi energije i goriva (AOP 257), od: 7.591 KM, su 2,5% ukupnih rashoda. </v>
      </c>
    </row>
    <row r="117" s="1750" customFormat="1" ht="15.75" spans="1:1">
      <c r="A117" s="1771" t="str">
        <f>Analiza!A191</f>
        <v>U odnosu na isti period prethodne godine, ovaj rashod ima SMANJENJE za 1.502 KM ili 16,5 %.</v>
      </c>
    </row>
    <row r="118" s="1750" customFormat="1" ht="31.5" customHeight="1" spans="1:1">
      <c r="A118" s="1775" t="str">
        <f>Analiza!A192</f>
        <v>T6 - Amortizacija (AOP 262), od: 4.549 KM, su 1,5% ukupnih rashoda. </v>
      </c>
    </row>
    <row r="119" s="1750" customFormat="1" ht="15.75" spans="1:1">
      <c r="A119" s="1775" t="str">
        <f>Analiza!A194</f>
        <v>U odnosu na isti period prethodne godine, ovaj rashod ima SMANJENJE za 623 KM ili 12 %.</v>
      </c>
    </row>
    <row r="120" s="1750" customFormat="1" ht="15.75" spans="1:1">
      <c r="A120" s="1775"/>
    </row>
    <row r="121" s="1750" customFormat="1" ht="15.75" spans="1:1">
      <c r="A121" s="1775"/>
    </row>
    <row r="122" s="1750" customFormat="1" ht="15.75" spans="1:1">
      <c r="A122" s="1775"/>
    </row>
    <row r="123" s="1750" customFormat="1" ht="15.75" spans="1:1">
      <c r="A123" s="1775"/>
    </row>
    <row r="124" s="1750" customFormat="1" ht="15.75" spans="1:1">
      <c r="A124" s="1775"/>
    </row>
    <row r="125" s="1750" customFormat="1" ht="18" spans="1:1">
      <c r="A125" s="1768" t="s">
        <v>7444</v>
      </c>
    </row>
    <row r="126" s="1750" customFormat="1" ht="18" spans="1:1">
      <c r="A126" s="1777"/>
    </row>
    <row r="127" s="1750" customFormat="1" ht="17.25" customHeight="1" spans="1:1">
      <c r="A127" s="1778" t="s">
        <v>5330</v>
      </c>
    </row>
    <row r="128" s="1750" customFormat="1" ht="45.75" customHeight="1" spans="1:1">
      <c r="A128" s="1771" t="str">
        <f ca="1">Analiza!A284</f>
        <v>Nabavna vrijednost dugoročne imovine na dan 31.12.2025. godine, iznosi: 58.422 KM, ispravka vrijednosti je: 36.315 KM, što znači da je ova imovina  amortizovana (otpisana) sa 62,2%, odnosno NETO sadašnja vrijednost iznosi: 22.107 KM.</v>
      </c>
    </row>
    <row r="129" s="1750" customFormat="1" ht="18" customHeight="1" spans="1:1">
      <c r="A129" s="1771" t="str">
        <f ca="1">Analiza!A288</f>
        <v>Amortizacija za obračunski period 2025. godine iznosi: 4.549 KM.</v>
      </c>
    </row>
    <row r="130" s="1750" customFormat="1" ht="31.5" spans="1:1">
      <c r="A130" s="1771" t="str">
        <f>Analiza!A289</f>
        <v>A1. -Najveća NETO sadašnja vrijednost dugoročne imovine je na: Transportna sredstva (AOP 006) od 22.107 KM, što je 100% ukupne dugoročne imovine.</v>
      </c>
    </row>
    <row r="131" s="1750" customFormat="1" ht="19.5" customHeight="1" spans="1:1">
      <c r="A131" s="1771" t="str">
        <f>Analiza!A292</f>
        <v>U odnosu na stanje početkom godine, ova sredstva imaju SMANJENJE, za 4.549 KM ili 100 %.</v>
      </c>
    </row>
    <row r="132" s="1750" customFormat="1" ht="30.75" customHeight="1" spans="1:1">
      <c r="A132" s="1779" t="str">
        <f>IF(UnosPod!A1455="","Nema dodatnih objavljivanja  "&amp;UnosPod!A1454,UnosPod!A1455)</f>
        <v>Nema dodatnih objavljivanja  </v>
      </c>
    </row>
    <row r="133" s="1750" customFormat="1" ht="15" customHeight="1" spans="1:1">
      <c r="A133" s="1779"/>
    </row>
    <row r="134" s="1750" customFormat="1" ht="18" spans="1:1">
      <c r="A134" s="1778" t="s">
        <v>7445</v>
      </c>
    </row>
    <row r="135" s="1750" customFormat="1" ht="54.75" customHeight="1" spans="1:1">
      <c r="A135" s="1775" t="str">
        <f ca="1">Analiza!A295</f>
        <v>Tekuća (obrtna) sredstva na dan 31.12.2025. godine, iznose: 574.865 KM, što je u odnosu na stanje 01.01.2025. godine, SMANJENJE, za 42.313 KM ili 6,9%. Prosječno korištena tekuća sredstva iznose 596.022 KM, imaju koeficijent obrtaja 0,42 i vrijeme vezivanja od 878 dana.</v>
      </c>
    </row>
    <row r="136" s="1750" customFormat="1" ht="34.5" customHeight="1" spans="1:1">
      <c r="A136" s="1779" t="str">
        <f>IF(UnosPod!A1465="","Nema dodatnih objavljivanja  "&amp;UnosPod!A1464)</f>
        <v>Nema dodatnih objavljivanja  </v>
      </c>
    </row>
    <row r="137" s="1750" customFormat="1" ht="18" spans="1:1">
      <c r="A137" s="1778" t="s">
        <v>184</v>
      </c>
    </row>
    <row r="138" s="1750" customFormat="1" ht="36" customHeight="1" spans="1:1">
      <c r="A138" s="1775" t="str">
        <f ca="1">Analiza!A299</f>
        <v>-Na dan 31.12.2025 nije bilo zaliha.</v>
      </c>
    </row>
    <row r="139" s="1750" customFormat="1" ht="32.25" customHeight="1" spans="1:1">
      <c r="A139" s="1775" t="str">
        <f>Analiza!A302</f>
        <v>-</v>
      </c>
    </row>
    <row r="140" s="1750" customFormat="1" ht="16.5" customHeight="1" spans="1:1">
      <c r="A140" s="1775" t="str">
        <f>Analiza!A304</f>
        <v>-</v>
      </c>
    </row>
    <row r="141" s="1750" customFormat="1" ht="33" customHeight="1" spans="1:1">
      <c r="A141" s="1779" t="str">
        <f>IF(UnosPod!A1477="","Nema dodatnih objavljivanja  "&amp;UnosPod!A1477)</f>
        <v>Nema dodatnih objavljivanja  </v>
      </c>
    </row>
    <row r="142" s="1750" customFormat="1" ht="18" spans="1:1">
      <c r="A142" s="1778" t="s">
        <v>5777</v>
      </c>
    </row>
    <row r="143" s="1750" customFormat="1" ht="48" customHeight="1" spans="1:1">
      <c r="A143" s="1775" t="str">
        <f ca="1">Analiza!A306</f>
        <v> -Kratkoročna potraživanja i plasmani na dan 31.12.2025. godine  iznose: 574.865 KM, što je u odnosu na stanje početkom godine SMANJENJE, za 42.313 KM ili 6,9 %, imaju koeficijent obrtaja 0,42 i vrijeme vezivanja od 878 dana.</v>
      </c>
    </row>
    <row r="144" s="1750" customFormat="1" ht="36" customHeight="1" spans="1:1">
      <c r="A144" s="1775" t="str">
        <f>Analiza!A309</f>
        <v>Najveća potraživanja i plasmani su na poziciji: Dati krediti  (AOP 051), u iznosu od: 427.682 KM,  imaju koeficijent obrtaja 0,52 i vrijeme vezivanja od 703 dana.</v>
      </c>
    </row>
    <row r="145" s="1750" customFormat="1" ht="15.75" spans="1:1">
      <c r="A145" s="1775" t="str">
        <f>Analiza!A311</f>
        <v>U odnosu na stanje početkom godine, ova  potraživanja imaju SMANJENJE, za 99.243 KM ili 18,8 %.</v>
      </c>
    </row>
    <row r="146" s="1750" customFormat="1" ht="34.5" customHeight="1" spans="1:1">
      <c r="A146" s="1779" t="str">
        <f>IF(UnosPod!A1489="","Nema dodatnih objavljivanja  "&amp;UnosPod!A1489)</f>
        <v>Nema dodatnih objavljivanja  </v>
      </c>
    </row>
    <row r="147" s="1750" customFormat="1" ht="19.5" customHeight="1" spans="1:1">
      <c r="A147" s="1780" t="s">
        <v>7446</v>
      </c>
    </row>
    <row r="148" s="1750" customFormat="1" ht="56.25" customHeight="1" spans="1:1">
      <c r="A148" s="1779" t="str">
        <f ca="1">Analiza!A321</f>
        <v> -Iskazani iznos gotovine i ekvivalenata gotovine u bilansu stanja na dan 31.12.2025. godine, u iznosu: 2.327 KM, je POVEĆANJE za 2.280 KM ili 4851,1 %, u odnosu na 01.01.2025. godine, ima koeficijent obrtaja 208,7 i vrijeme vezivanja od 2 dana.</v>
      </c>
    </row>
    <row r="149" s="1750" customFormat="1" ht="18" spans="1:1">
      <c r="A149" s="1778"/>
    </row>
    <row r="150" s="1750" customFormat="1" ht="18" spans="1:1">
      <c r="A150" s="1778" t="s">
        <v>7447</v>
      </c>
    </row>
    <row r="151" s="1750" customFormat="1" ht="32.25" customHeight="1" spans="1:1">
      <c r="A151" s="1775" t="str">
        <f ca="1">Analiza!A512</f>
        <v>Ukupni kapital društva (vlastita sredstva) na dan 31.12.2025. godine,  iznosi: 309.265 KM, što je u odnosu na stanje početkom godine, SMANJENJE za 150.503 KM ili 32,7 %. </v>
      </c>
    </row>
    <row r="152" s="1750" customFormat="1" ht="31.5" customHeight="1" spans="1:1">
      <c r="A152" s="1779" t="str">
        <f ca="1">Analiza!A514</f>
        <v>Na dan 31.12.2025. godine, društvo je kapitalom (vlastitim sredstvima) finansiralo 51,6% raspoložive aktive. </v>
      </c>
    </row>
    <row r="153" s="1750" customFormat="1" ht="15.75" spans="1:1">
      <c r="A153" s="1775" t="str">
        <f>Analiza!A516</f>
        <v>Poželjno je da ovaj pokazatelj nije manji od 50%.</v>
      </c>
    </row>
    <row r="154" s="1750" customFormat="1" ht="15.75" spans="1:1">
      <c r="A154" s="1775" t="str">
        <f ca="1">Analiza!A517</f>
        <v>Vlasnički kapital evidentiran na  AOP 102  iznosi: 350.000 KM.</v>
      </c>
    </row>
    <row r="155" s="1750" customFormat="1" ht="33.75" customHeight="1" spans="1:1">
      <c r="A155" s="1775" t="str">
        <f>Analiza!A518</f>
        <v>Najveća stavka u kapitalu nalazi se na poziciji: Udjeli članova društva sa ograničenom odgovornošću (AOP 104), u iznosu od: 350.000 KM.</v>
      </c>
    </row>
    <row r="156" s="1750" customFormat="1" ht="15.75" spans="1:1">
      <c r="A156" s="1779" t="str">
        <f>Analiza!A520</f>
        <v>U odnosu na stanje početkom godine, ova  pozicija ima POVEĆANJE, za  KM ili 0 %.</v>
      </c>
    </row>
    <row r="157" s="1750" customFormat="1" ht="32.25" customHeight="1" spans="1:1">
      <c r="A157" s="1775" t="str">
        <f>Analiza!A521</f>
        <v>Druga po veličini stavka u kapitalu nalazi se na poziciji: Ostale rezerve (AOP 110), u iznosu od: 18.462 KM. </v>
      </c>
    </row>
    <row r="158" s="1750" customFormat="1" ht="32.25" customHeight="1" spans="1:1">
      <c r="A158" s="1779" t="str">
        <f>Analiza!A523</f>
        <v>U odnosu na stanje početkom godine, ova  pozicija ima POVEĆANJE, za 1 KM ili 0 %.</v>
      </c>
    </row>
    <row r="159" s="1750" customFormat="1" ht="16.5" customHeight="1" spans="1:1">
      <c r="A159" s="1779"/>
    </row>
    <row r="160" s="1750" customFormat="1" ht="16.5" customHeight="1" spans="1:1">
      <c r="A160" s="1779"/>
    </row>
    <row r="161" s="1750" customFormat="1" ht="16.5" customHeight="1" spans="1:1">
      <c r="A161" s="1779"/>
    </row>
    <row r="162" s="1750" customFormat="1" ht="18" spans="1:1">
      <c r="A162" s="1778" t="s">
        <v>7448</v>
      </c>
    </row>
    <row r="163" s="1750" customFormat="1" ht="32.25" customHeight="1" spans="1:1">
      <c r="A163" s="1775" t="str">
        <f ca="1">Analiza!A526</f>
        <v>Obaveze društva (zaduženost) na dan 31.12.2025. godine,  iznose: 290.034 KM, što je u odnosu na stanje početkom godine SMANJENJE za 19.079 KM ili 6,2 %. </v>
      </c>
    </row>
    <row r="164" s="1750" customFormat="1" ht="15.75" spans="1:1">
      <c r="A164" s="1775" t="str">
        <f ca="1">Analiza!A528</f>
        <v>Na dan 31.12.2025. godine, društvo je obavezama (tuđim sredstvima) finansiralo 48,4% raspoložive aktive. </v>
      </c>
    </row>
    <row r="165" s="1750" customFormat="1" ht="15.75" spans="1:1">
      <c r="A165" s="1775" t="str">
        <f>Analiza!A530</f>
        <v>Poželjno je da ovaj pokazatelj nije veći od 50%.</v>
      </c>
    </row>
    <row r="166" s="1750" customFormat="1" ht="33" customHeight="1" spans="1:1">
      <c r="A166" s="1775" t="str">
        <f>Analiza!A531</f>
        <v>-Najveće obaveze evidentirane su na poziciji: Kratkoročne ostale obaveze, uključujući i razgraničenja (AOP 147), u iznosu od: 244.741 KM.</v>
      </c>
    </row>
    <row r="167" s="1750" customFormat="1" ht="15.75" spans="1:1">
      <c r="A167" s="1775" t="str">
        <f>Analiza!A533</f>
        <v>U odnosu na stanje početkom godine, ove obaveze imaju POVEĆANJE, za 47.070 KM ili 23,8 %.</v>
      </c>
    </row>
    <row r="168" s="1750" customFormat="1" ht="50.25" customHeight="1" spans="1:1">
      <c r="A168" s="1775" t="str">
        <f>Analiza!A534</f>
        <v> -Na drugom mjestu po veličini su obaveze iskazane na poziciji: Obaveze prema dobavljačima (AOP 136), u iznosu od: 22.856 KM, .</v>
      </c>
    </row>
    <row r="169" s="1750" customFormat="1" ht="15.75" spans="1:1">
      <c r="A169" s="1775" t="str">
        <f>Analiza!A536</f>
        <v>U odnosu na stanje početkom godine, ove obaveze imaju SMANJENJE, za 41.326 KM ili 64,4 %.</v>
      </c>
    </row>
    <row r="170" s="1750" customFormat="1" ht="46.5" customHeight="1" spans="1:1">
      <c r="A170" s="1775" t="str">
        <f>Analiza!A537</f>
        <v> -Na trećem mjestu su obaveze evidentirane na poziciji: Obaveze za porez na dobit (AOP 146),  od: 22.437 KMa.</v>
      </c>
    </row>
    <row r="171" s="1750" customFormat="1" ht="15.75" spans="1:1">
      <c r="A171" s="1775" t="str">
        <f>Analiza!A539</f>
        <v>U odnosu na stanje početkom godine, ove obaveze imaju POVEĆANJE, za 1.164 KM ili 5,5 %.</v>
      </c>
    </row>
    <row r="172" s="1750" customFormat="1" ht="46.5" customHeight="1" spans="1:1">
      <c r="A172" s="1775" t="str">
        <f>Analiza!A540</f>
        <v>-</v>
      </c>
    </row>
    <row r="173" s="1750" customFormat="1" ht="15.75" spans="1:1">
      <c r="A173" s="1775" t="str">
        <f>Analiza!A542</f>
        <v>-</v>
      </c>
    </row>
    <row r="174" s="1750" customFormat="1" ht="15.75" spans="1:1">
      <c r="A174" s="1775"/>
    </row>
    <row r="175" s="1750" customFormat="1" ht="15.75" spans="1:1">
      <c r="A175" s="1775"/>
    </row>
    <row r="176" s="1750" customFormat="1" ht="18" spans="1:1">
      <c r="A176" s="1781" t="s">
        <v>7449</v>
      </c>
    </row>
    <row r="177" s="1750" customFormat="1" ht="15.75" spans="1:1">
      <c r="A177" s="1775"/>
    </row>
    <row r="178" s="1750" customFormat="1" ht="18" spans="1:1">
      <c r="A178" s="1781" t="s">
        <v>7450</v>
      </c>
    </row>
    <row r="179" s="1750" customFormat="1" ht="15.75" spans="1:1">
      <c r="A179" s="1775"/>
    </row>
    <row r="180" s="1750" customFormat="1" ht="15.75" spans="1:1">
      <c r="A180" s="1775" t="str">
        <f>"Stopa TEKUĆE likvidnosti = ( tekuća imovina / kratkoročne obaveze ) x 100 = "&amp;ROUND(Analiza!AD625*100,1)&amp;"%"</f>
        <v>Stopa TEKUĆE likvidnosti = ( tekuća imovina / kratkoročne obaveze ) x 100 = 199%</v>
      </c>
    </row>
    <row r="181" s="1750" customFormat="1" ht="50.25" customHeight="1" spans="1:1">
      <c r="A181" s="1775" t="str">
        <f ca="1">Analiza!A630&amp;" "&amp;Analiza!A633</f>
        <v>Na dan 31.12.2025. za plaćanje svakih 100 KM kratkoročnih obaveza, preduzeće je imalo 199,01 KM tekućih sredstava, 01.01.2025. godine, za ovu namjenu imalo je 211,06 KM tekućih sredstava. Ovaj pokazatelj je SMANJEN u odnosu na prošlu godinu za 5,7%.</v>
      </c>
    </row>
    <row r="182" s="1750" customFormat="1" ht="15.75" spans="1:1">
      <c r="A182" s="1775"/>
    </row>
    <row r="183" s="1750" customFormat="1" ht="15.75" spans="1:1">
      <c r="A183" s="1775" t="str">
        <f>"Stopa UBRZANE likvidnosti = ((novac + potraživanja) / kratkoročne obaveze ) x 100 = "&amp;ROUND(Analiza!AD642*100,1)&amp;"%"</f>
        <v>Stopa UBRZANE likvidnosti = ((novac + potraživanja) / kratkoročne obaveze ) x 100 = 51,5%</v>
      </c>
    </row>
    <row r="184" s="1750" customFormat="1" ht="52.5" customHeight="1" spans="1:1">
      <c r="A184" s="1775" t="str">
        <f ca="1">Analiza!A648&amp;" "&amp;Analiza!A651</f>
        <v>Na dan 31.12.2025. za plaćanje svakih 100 KM kratkoročni obaveza, preduzeće ima 51,55 KM novčanih sredstava i potraživanja, 31.12.2024. godine, za ovu namjenu imalo je 30,88 KM novčanih sredstava i potraživanja. Ovaj pokazatelj je POVEĆAN u odnosu na prošlu godinu za 66,9%.</v>
      </c>
    </row>
    <row r="185" s="1750" customFormat="1" ht="15.75" spans="1:1">
      <c r="A185" s="1775"/>
    </row>
    <row r="186" s="1750" customFormat="1" ht="15.75" spans="1:1">
      <c r="A186" s="1775" t="str">
        <f>"Stopa TRENUTNE likvidnosti = (novac / kratkoročne obaveze ) x 100 = "&amp;ROUND(Analiza!AD660*100,1)&amp;"%."</f>
        <v>Stopa TRENUTNE likvidnosti = (novac / kratkoročne obaveze ) x 100 = 0,8%.</v>
      </c>
    </row>
    <row r="187" s="1750" customFormat="1" ht="54" customHeight="1" spans="1:1">
      <c r="A187" s="1775" t="str">
        <f ca="1">Analiza!A665&amp;" "&amp;Analiza!A668</f>
        <v>Na dan 31.12.2025.godine za plaćanje svakih 100 KM kratkoročnih obaveza, preduzeće ima 0,8 KM novčanih sredstava 31.12.2024. godine, za ovu namjenu imalo je na raspolaganju 0,02 KM u novčanim sredstvima. Ovaj pokazatelj je POVEĆAN u odnosu na prošlu godinu za 4892,1%.</v>
      </c>
    </row>
    <row r="188" s="1750" customFormat="1" ht="15.75" spans="1:1">
      <c r="A188" s="1775"/>
    </row>
    <row r="189" s="1750" customFormat="1" ht="20.25" customHeight="1" spans="1:1">
      <c r="A189" s="1781" t="s">
        <v>7451</v>
      </c>
    </row>
    <row r="190" s="1750" customFormat="1" ht="15.75" spans="1:1">
      <c r="A190" s="1775"/>
    </row>
    <row r="191" s="1750" customFormat="1" ht="15.75" spans="1:1">
      <c r="A191" s="1775" t="str">
        <f>"Stopa zaduženosti = ( ukupne obaveze / ukupna poslovna imovina ) x 100 = "&amp;ROUND(Analiza!AD695*100,1)&amp;"%."</f>
        <v>Stopa zaduženosti = ( ukupne obaveze / ukupna poslovna imovina ) x 100 = 48,4%.</v>
      </c>
    </row>
    <row r="192" s="1750" customFormat="1" ht="41.25" customHeight="1" spans="1:1">
      <c r="A192" s="1775" t="str">
        <f ca="1">Analiza!A700&amp;" "&amp;Analiza!A703</f>
        <v>Na dan 31.12.2025.godine, ukupna imovina finansirana je iz tuđih sredstava sa 48,4% ili sa 290.034 KM. 01.01.2025. godine, zaduženost je bila 40,2%. Ovaj pokazatelj je POVEĆAN u odnosu na prošlu godinu za 20,4%.</v>
      </c>
    </row>
    <row r="193" s="1750" customFormat="1" ht="15.75" spans="1:1">
      <c r="A193" s="1775"/>
    </row>
    <row r="194" s="1750" customFormat="1" ht="18" spans="1:1">
      <c r="A194" s="1781" t="s">
        <v>7452</v>
      </c>
    </row>
    <row r="195" s="1750" customFormat="1" ht="15.75" spans="1:1">
      <c r="A195" s="1775"/>
    </row>
    <row r="196" s="1750" customFormat="1" ht="15.75" spans="1:1">
      <c r="A196" s="1775" t="str">
        <f>"Stopa vlastitog finansiranja = ( kapital / ukupna imovina ) x 100 = "&amp;ROUND(Analiza!AD712*100,1)&amp;"%."</f>
        <v>Stopa vlastitog finansiranja = ( kapital / ukupna imovina ) x 100 = 51,6%.</v>
      </c>
    </row>
    <row r="197" s="1750" customFormat="1" ht="38.25" customHeight="1" spans="1:1">
      <c r="A197" s="1775" t="str">
        <f ca="1">Analiza!A717&amp;" "&amp;Analiza!A720</f>
        <v>Na dan 31.12.2025. godine, ukupna imovina finansirana je iz vlastitih sredstava sa 51,6% ili sa 309.265 KM. 31.12.2024. godine, vlastito finansiranje je bila 59,8%. Ovaj pokazatelj je SMANJEN u odnosu na prošlu godinu za 13,7%.</v>
      </c>
    </row>
    <row r="198" s="1750" customFormat="1" ht="15.75" spans="1:1">
      <c r="A198" s="1775"/>
    </row>
    <row r="199" s="1750" customFormat="1" ht="15.75" spans="1:1">
      <c r="A199" s="1775"/>
    </row>
    <row r="200" s="1750" customFormat="1" ht="15.75" spans="1:1">
      <c r="A200" s="1775"/>
    </row>
    <row r="201" s="1750" customFormat="1" ht="15.75" spans="1:1">
      <c r="A201" s="1775"/>
    </row>
    <row r="202" s="1750" customFormat="1" ht="15.75" spans="1:1">
      <c r="A202" s="1775"/>
    </row>
    <row r="203" s="1750" customFormat="1" ht="15.75" spans="1:1">
      <c r="A203" s="1775"/>
    </row>
    <row r="204" s="1750" customFormat="1" ht="18" spans="1:1">
      <c r="A204" s="1781" t="s">
        <v>7453</v>
      </c>
    </row>
    <row r="205" s="1750" customFormat="1" ht="15.75" spans="1:1">
      <c r="A205" s="1775"/>
    </row>
    <row r="206" s="1750" customFormat="1" ht="15.75" spans="1:1">
      <c r="A206" s="1775" t="str">
        <f>"Stopa ekonomičnosti = ( ukupan prihod / ukupani rashodi ) x 100 = "&amp;ROUND(Analiza!AD766*100,1)&amp;"%."</f>
        <v>Stopa ekonomičnosti = ( ukupan prihod / ukupani rashodi ) x 100 = 80,7%.</v>
      </c>
    </row>
    <row r="207" s="1750" customFormat="1" ht="41.25" customHeight="1" spans="1:1">
      <c r="A207" s="1775" t="str">
        <f ca="1">Analiza!A771&amp;" "&amp;Analiza!A773</f>
        <v>U 2025. godini, za svakih 100 KM rashoda, preduzeće ostvari 80,72 KM prihoda. U istom periodu prošle godine, za svakih 100 KM rashoda ostvarilo je 134,79 KM prihoda. Ovaj pokazatelj je SMANJEN u odnosu na prošlu godinu za 40,1%.</v>
      </c>
    </row>
    <row r="208" s="1750" customFormat="1" ht="15.75" spans="1:1">
      <c r="A208" s="1775"/>
    </row>
    <row r="209" s="1750" customFormat="1" ht="15.75" spans="1:1">
      <c r="A209" s="1775" t="str">
        <f>"Stopa ekonomičnosti prodaje = ( poslovni prihodi / poslovni rashodi ) x 100 = "&amp;ROUND(Analiza!AD784*100,1)&amp;"%."</f>
        <v>Stopa ekonomičnosti prodaje = ( poslovni prihodi / poslovni rashodi ) x 100 = 84,1%.</v>
      </c>
    </row>
    <row r="210" s="1750" customFormat="1" ht="57" customHeight="1" spans="1:1">
      <c r="A210" s="1775" t="str">
        <f ca="1">Analiza!A789&amp;" "&amp;Analiza!A792</f>
        <v>U 2025. godini, za svakih 100 KM poslovnih rashoda, preduzeće ostvari 84,1 KM poslovnih prihoda. U istom periodu prošle godine, za svakih 100 KM poslovnih rashoda ostvarilo je 109,08 KM poslovnih prihoda. Ovaj pokazatelj je SMANJEN u odnosu na prošlu godinu za 22,9%.</v>
      </c>
    </row>
    <row r="211" s="1750" customFormat="1" ht="15.75" spans="1:1">
      <c r="A211" s="1775"/>
    </row>
    <row r="212" s="1750" customFormat="1" ht="18" spans="1:1">
      <c r="A212" s="1781" t="s">
        <v>7454</v>
      </c>
    </row>
    <row r="213" s="1750" customFormat="1" ht="15.75" spans="1:1">
      <c r="A213" s="1775"/>
    </row>
    <row r="214" s="1750" customFormat="1" ht="15.75" spans="1:1">
      <c r="A214" s="1775" t="str">
        <f>"Bruto marža profita (gubitka) = ( bruto dobit (gubitak) / ukupan prihod ) x 100 = "&amp;ROUND(Analiza!AD804*100,1)&amp;"%."</f>
        <v>Bruto marža profita (gubitka) = ( bruto dobit (gubitak) / ukupan prihod ) x 100 = -23,9%.</v>
      </c>
    </row>
    <row r="215" s="1750" customFormat="1" ht="47.25" spans="1:1">
      <c r="A215" s="1775" t="str">
        <f ca="1">Analiza!A809&amp;" "&amp;Analiza!A812</f>
        <v>U 2025. godini, za svakih 100 KM ukupnog prihoda, preduzeće ostvari -23,89 KM bruto dobiti (gubitka). U istom periodu prošle godine, za svakih 100 KM ukupnog prihoda ostvarilo je 25,81 KM bruto dobiti (gubitka). Ovaj pokazatelj je SMANJEN u odnosu na prošlu godinu za 192,6%.</v>
      </c>
    </row>
    <row r="216" s="1750" customFormat="1" ht="15.75" spans="1:1">
      <c r="A216" s="1775"/>
    </row>
    <row r="217" s="1751" customFormat="1" ht="18" spans="1:1">
      <c r="A217" s="1782" t="s">
        <v>7455</v>
      </c>
    </row>
    <row r="218" s="1750" customFormat="1" ht="36.75" customHeight="1" spans="1:1">
      <c r="A218" s="1775" t="str">
        <f ca="1">IF(Analiza!AE279=0,"-U obračunskom periodu nije bilo zaposlenih.","Prosječan broj zaposlenih u periodu "&amp;PeriodOd&amp;". do "&amp;PeriodDo&amp;". godini, na bazi sati rada je  "&amp;Analiza!AE279&amp;", a u istom periodu prošle godine bilo je "&amp;Analiza!Y279&amp;" zaposlenih.")</f>
        <v>Prosječan broj zaposlenih u periodu 01.01.2025. do 31.12.2025. godini, na bazi sati rada je  6, a u istom periodu prošle godine bilo je 6 zaposlenih.</v>
      </c>
    </row>
    <row r="219" s="1750" customFormat="1" ht="15.75" spans="1:1">
      <c r="A219" s="1775"/>
    </row>
    <row r="220" s="1750" customFormat="1" ht="18" spans="1:1">
      <c r="A220" s="1782" t="s">
        <v>7456</v>
      </c>
    </row>
    <row r="221" s="1750" customFormat="1" ht="36.75" customHeight="1" spans="1:1">
      <c r="A221" s="1779" t="str">
        <f ca="1">Analiza!A315</f>
        <v>-Na dan 31.12.2025. godine nije bilo sumljivih i spornih kratkotočnih potraživanja.</v>
      </c>
    </row>
    <row r="222" s="1750" customFormat="1" ht="20.25" customHeight="1" spans="1:1">
      <c r="A222" s="1779"/>
    </row>
    <row r="223" s="1750" customFormat="1" ht="15.75" spans="1:1">
      <c r="A223" s="1775"/>
    </row>
    <row r="224" s="1750" customFormat="1" ht="18" spans="1:1">
      <c r="A224" s="1783" t="s">
        <v>5778</v>
      </c>
    </row>
    <row r="225" s="1750" customFormat="1" ht="30.75" customHeight="1" spans="1:1">
      <c r="A225" s="1779" t="str">
        <f>IF(UnosPod!A1496="","Nema finansijskih obaveza, garancija ili nepredviđenih izdataka koji nisu uključeni u Bilans stanja.  ",UnosPod!A1496)</f>
        <v>Nema finansijskih obaveza, garancija ili nepredviđenih izdataka koji nisu uključeni u Bilans stanja.  </v>
      </c>
    </row>
    <row r="226" s="1750" customFormat="1" ht="15.75" spans="1:1">
      <c r="A226" s="1775"/>
    </row>
    <row r="227" s="1751" customFormat="1" ht="18" spans="1:1">
      <c r="A227" s="1784" t="s">
        <v>5779</v>
      </c>
    </row>
    <row r="228" s="1750" customFormat="1" ht="30.75" customHeight="1" spans="1:1">
      <c r="A228" s="1779" t="str">
        <f>IF(UnosPod!A1498="","Nema obaveza koje dospijevaju nakon više od pet godina.  ",UnosPod!A1498)</f>
        <v>Nema obaveza koje dospijevaju nakon više od pet godina.  </v>
      </c>
    </row>
    <row r="229" s="1750" customFormat="1" ht="15.75" spans="1:1">
      <c r="A229" s="1775"/>
    </row>
    <row r="230" s="1751" customFormat="1" ht="18" spans="1:1">
      <c r="A230" s="1784" t="s">
        <v>5780</v>
      </c>
    </row>
    <row r="231" s="1750" customFormat="1" ht="33.75" customHeight="1" spans="1:1">
      <c r="A231" s="1779" t="str">
        <f>IF(UnosPod!A1500="","Nema dugovanja pravnog lica pokrivena instrumentima osiguranja.  ",UnosPod!A1500)</f>
        <v>Nema dugovanja pravnog lica pokrivena instrumentima osiguranja.  </v>
      </c>
    </row>
    <row r="232" s="1750" customFormat="1" ht="15.75" spans="1:1">
      <c r="A232" s="1775"/>
    </row>
    <row r="233" s="1750" customFormat="1" ht="18" spans="1:1">
      <c r="A233" s="1784" t="s">
        <v>5781</v>
      </c>
    </row>
    <row r="234" s="1750" customFormat="1" ht="32.25" customHeight="1" spans="1:1">
      <c r="A234" s="1779" t="str">
        <f>IF(UnosPod!A1502="","Nema avansa i odobrenih kredita članovima uprave i nadzornih tijela.  ",UnosPod!A1502)</f>
        <v>Nema avansa i odobrenih kredita članovima uprave i nadzornih tijela.  </v>
      </c>
    </row>
    <row r="235" s="1750" customFormat="1" ht="15.75" spans="1:1">
      <c r="A235" s="1775"/>
    </row>
    <row r="236" s="1750" customFormat="1" ht="18" spans="1:1">
      <c r="A236" s="1784" t="s">
        <v>5782</v>
      </c>
    </row>
    <row r="237" s="1750" customFormat="1" ht="31.5" customHeight="1" spans="1:1">
      <c r="A237" s="1779" t="str">
        <f ca="1">UnosPod!A1504</f>
        <v>Nema dugotrajne imovine po fer vrijednosti, odnosno revalorizacionim iznosima.  </v>
      </c>
    </row>
    <row r="238" s="1750" customFormat="1" ht="15.75" spans="1:1">
      <c r="A238" s="1775"/>
    </row>
    <row r="239" ht="18" spans="1:1">
      <c r="A239" s="1784" t="s">
        <v>5783</v>
      </c>
    </row>
    <row r="240" s="1751" customFormat="1" ht="35.25" customHeight="1" spans="1:1">
      <c r="A240" s="1750" t="str">
        <f>IF(UnosPod!A1506="","Nema otkupa vlastitih dionica.  ",UnosPod!A1506)</f>
        <v>Nema otkupa vlastitih dionica.  </v>
      </c>
    </row>
    <row r="241" s="1751" customFormat="1" ht="18"/>
    <row r="242" ht="18" spans="1:1">
      <c r="A242" s="1784" t="s">
        <v>5784</v>
      </c>
    </row>
    <row r="243" ht="30.75" customHeight="1" spans="1:1">
      <c r="A243" s="1750" t="str">
        <f>IF(UnosPod!A1508="","Nema odstupanja od opštih načela finansijskog izvještavanja.  ",UnosPod!A1508)</f>
        <v>Nema odstupanja od opštih načela finansijskog izvještavanja.  </v>
      </c>
    </row>
    <row r="244" s="1751" customFormat="1" ht="18" spans="1:1">
      <c r="A244" s="1785"/>
    </row>
    <row r="245" s="1751" customFormat="1" ht="18" spans="1:1">
      <c r="A245" s="1784"/>
    </row>
    <row r="246" s="1751" customFormat="1" ht="18"/>
    <row r="247" s="1751" customFormat="1" ht="18"/>
    <row r="248" s="1751" customFormat="1" ht="18"/>
    <row r="249" s="1750" customFormat="1" ht="15.75"/>
    <row r="250" s="1750" customFormat="1" ht="15.75"/>
    <row r="251" s="1750" customFormat="1" ht="15.75"/>
    <row r="252" s="1750" customFormat="1" ht="15.75"/>
    <row r="253" s="1750" customFormat="1" ht="15.75"/>
    <row r="254" s="1750" customFormat="1" ht="15.75"/>
    <row r="255" s="1750" customFormat="1" ht="15.75"/>
    <row r="256" s="1750" customFormat="1" ht="15.75"/>
    <row r="257" s="1750" customFormat="1" ht="15.75"/>
    <row r="258" s="1750" customFormat="1" ht="15.75"/>
    <row r="259" s="1750" customFormat="1" ht="15.75"/>
    <row r="260" s="1750" customFormat="1" ht="15.75"/>
  </sheetData>
  <pageMargins left="0.708661417322835" right="0.708661417322835" top="0.748031496062992" bottom="0.354330708661417" header="0.31496062992126" footer="0.31496062992126"/>
  <pageSetup paperSize="9" scale="81" fitToHeight="0" orientation="portrait"/>
  <headerFooter>
    <oddFooter>&amp;COdgovorno lice svojim potpisom i pečatom pravnog lica potvrđuje da su podaci u elektronskoj i pisanoj formi vjerodostojni i istovjetni.</oddFooter>
  </headerFooter>
  <rowBreaks count="1" manualBreakCount="1">
    <brk id="54" max="1638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4">
    <tabColor rgb="FF008000"/>
    <pageSetUpPr fitToPage="1"/>
  </sheetPr>
  <dimension ref="A1:BC529"/>
  <sheetViews>
    <sheetView showGridLines="0" workbookViewId="0">
      <selection activeCell="CP95" sqref="CP95"/>
    </sheetView>
  </sheetViews>
  <sheetFormatPr defaultColWidth="2.14285714285714" defaultRowHeight="12.75"/>
  <cols>
    <col min="1" max="1" width="4.28571428571429" style="489" customWidth="1"/>
    <col min="2" max="16384" width="2.14285714285714" style="489"/>
  </cols>
  <sheetData>
    <row r="1" s="874" customFormat="1" ht="15" customHeight="1" spans="1:55">
      <c r="A1" s="877" t="str">
        <f>Text!B2</f>
        <v>Naziv pravnog lica</v>
      </c>
      <c r="AL1" s="878"/>
      <c r="AM1" s="878"/>
      <c r="AN1" s="878"/>
      <c r="AO1" s="878"/>
      <c r="AP1" s="878"/>
      <c r="AQ1" s="878"/>
      <c r="AR1" s="878"/>
      <c r="AS1" s="878"/>
      <c r="AT1" s="878"/>
      <c r="AU1" s="878" t="str">
        <f>Text!B4</f>
        <v>Identifikacioni broj za direktne poreze</v>
      </c>
    </row>
    <row r="2" s="875" customFormat="1" ht="18.75" customHeight="1" spans="1:55">
      <c r="A2" s="879" t="str">
        <f>Firma</f>
        <v>LILIUM ASSET MANAGEMENT d.o.o. Sarajevo</v>
      </c>
      <c r="AK2" s="880"/>
      <c r="AL2" s="881" t="str">
        <f>IdBroj</f>
        <v>4201337670009</v>
      </c>
      <c r="AM2" s="881"/>
      <c r="AN2" s="881"/>
      <c r="AO2" s="881"/>
      <c r="AP2" s="881"/>
      <c r="AQ2" s="881"/>
      <c r="AR2" s="881"/>
      <c r="AS2" s="881"/>
      <c r="AT2" s="881"/>
      <c r="AU2" s="881"/>
    </row>
    <row r="3" s="874" customFormat="1" ht="15" customHeight="1" spans="1:55">
      <c r="A3" s="877" t="str">
        <f>Text!B3</f>
        <v>Sjedište i adresa pravnog lica</v>
      </c>
      <c r="AL3" s="878"/>
      <c r="AM3" s="878"/>
      <c r="AN3" s="878"/>
      <c r="AO3" s="878"/>
      <c r="AP3" s="878"/>
      <c r="AQ3" s="878"/>
      <c r="AR3" s="878"/>
      <c r="AS3" s="878"/>
      <c r="AT3" s="878"/>
      <c r="AU3" s="878" t="str">
        <f>Text!B5</f>
        <v>Identifikacioni  broj za indirektne poreze</v>
      </c>
    </row>
    <row r="4" s="875" customFormat="1" ht="19.5" customHeight="1" spans="1:55">
      <c r="A4" s="882" t="str">
        <f>Sjedište&amp;", "&amp;Adresa</f>
        <v>Sarajevo-Stari Grad, Dženetića čikma br.8</v>
      </c>
      <c r="AK4" s="880"/>
      <c r="AL4" s="881" t="str">
        <f>Pdv_Broj</f>
        <v>201337670009</v>
      </c>
      <c r="AM4" s="881"/>
      <c r="AN4" s="881"/>
      <c r="AO4" s="881"/>
      <c r="AP4" s="881"/>
      <c r="AQ4" s="881"/>
      <c r="AR4" s="881"/>
      <c r="AS4" s="881"/>
      <c r="AT4" s="881"/>
      <c r="AU4" s="881"/>
    </row>
    <row r="5" s="876" customFormat="1" ht="16.5" customHeight="1" spans="1:55">
      <c r="A5" s="877" t="s">
        <v>7457</v>
      </c>
      <c r="B5" s="877"/>
      <c r="C5" s="877"/>
      <c r="D5" s="877"/>
      <c r="E5" s="877"/>
      <c r="F5" s="877"/>
      <c r="G5" s="877"/>
      <c r="H5" s="877"/>
      <c r="I5" s="877"/>
      <c r="J5" s="877"/>
      <c r="K5" s="877"/>
      <c r="L5" s="877"/>
      <c r="M5" s="877"/>
      <c r="N5" s="877"/>
      <c r="O5" s="877"/>
      <c r="P5" s="877"/>
      <c r="Q5" s="877"/>
      <c r="R5" s="877"/>
      <c r="S5" s="877"/>
      <c r="T5" s="877"/>
      <c r="AU5" s="878" t="s">
        <v>364</v>
      </c>
    </row>
    <row r="6" s="875" customFormat="1" ht="16.5" customHeight="1" spans="1:55">
      <c r="A6" s="883" t="str">
        <f>Sif_Djelatn</f>
        <v>66.30</v>
      </c>
      <c r="B6" s="880"/>
      <c r="C6" s="880"/>
      <c r="D6" s="880"/>
      <c r="AL6" s="881" t="str">
        <f>Banka</f>
        <v>Raiffeisen Bank d.d. BiH</v>
      </c>
      <c r="AM6" s="881"/>
      <c r="AN6" s="881"/>
      <c r="AO6" s="881"/>
      <c r="AP6" s="881"/>
      <c r="AQ6" s="881"/>
      <c r="AR6" s="881"/>
      <c r="AS6" s="881"/>
      <c r="AT6" s="881"/>
      <c r="AU6" s="881"/>
    </row>
    <row r="7" s="876" customFormat="1" ht="16.5" customHeight="1" spans="1:55">
      <c r="A7" s="877" t="s">
        <v>2498</v>
      </c>
      <c r="AU7" s="878" t="s">
        <v>2501</v>
      </c>
    </row>
    <row r="8" s="876" customFormat="1" ht="16.5" customHeight="1" spans="1:55">
      <c r="A8" s="884" t="str">
        <f>Djelatnost</f>
        <v>Djelatnosti upravljanja fondovima</v>
      </c>
      <c r="B8" s="884"/>
      <c r="C8" s="884"/>
      <c r="D8" s="884"/>
      <c r="E8" s="884"/>
      <c r="F8" s="884"/>
      <c r="G8" s="884"/>
      <c r="H8" s="884"/>
      <c r="I8" s="884"/>
      <c r="J8" s="884"/>
      <c r="K8" s="884"/>
      <c r="L8" s="884"/>
      <c r="M8" s="884"/>
      <c r="N8" s="884"/>
      <c r="O8" s="884"/>
      <c r="P8" s="884"/>
      <c r="Q8" s="884"/>
      <c r="R8" s="884"/>
      <c r="S8" s="884"/>
      <c r="T8" s="884"/>
      <c r="U8" s="884"/>
      <c r="V8" s="884"/>
      <c r="W8" s="884"/>
      <c r="X8" s="884"/>
      <c r="Y8" s="884"/>
      <c r="Z8" s="884"/>
      <c r="AA8" s="885"/>
      <c r="AB8" s="885"/>
      <c r="AC8" s="885"/>
      <c r="AD8" s="885"/>
      <c r="AE8" s="885"/>
      <c r="AF8" s="885"/>
      <c r="AG8" s="885"/>
      <c r="AH8" s="885"/>
      <c r="AI8" s="885"/>
      <c r="AJ8" s="885"/>
      <c r="AK8" s="880"/>
      <c r="AL8" s="881" t="str">
        <f>Glavni_racun</f>
        <v>1610000189480005</v>
      </c>
      <c r="AM8" s="881"/>
      <c r="AN8" s="881"/>
      <c r="AO8" s="881"/>
      <c r="AP8" s="881"/>
      <c r="AQ8" s="881"/>
      <c r="AR8" s="881"/>
      <c r="AS8" s="881"/>
      <c r="AT8" s="881"/>
      <c r="AU8" s="881"/>
    </row>
    <row r="9" s="876" customFormat="1" ht="16.5" customHeight="1" spans="1:55">
      <c r="A9" s="884"/>
      <c r="B9" s="884"/>
      <c r="C9" s="884"/>
      <c r="D9" s="884"/>
      <c r="E9" s="884"/>
      <c r="F9" s="884"/>
      <c r="G9" s="884"/>
      <c r="H9" s="884"/>
      <c r="I9" s="884"/>
      <c r="J9" s="884"/>
      <c r="K9" s="884"/>
      <c r="L9" s="884"/>
      <c r="M9" s="884"/>
      <c r="N9" s="884"/>
      <c r="O9" s="884"/>
      <c r="P9" s="884"/>
      <c r="Q9" s="884"/>
      <c r="R9" s="884"/>
      <c r="S9" s="884"/>
      <c r="T9" s="884"/>
      <c r="U9" s="884"/>
      <c r="V9" s="884"/>
      <c r="W9" s="884"/>
      <c r="X9" s="884"/>
      <c r="Y9" s="884"/>
      <c r="Z9" s="884"/>
      <c r="AA9" s="885"/>
      <c r="AB9" s="885"/>
      <c r="AC9" s="885"/>
      <c r="AD9" s="885"/>
      <c r="AE9" s="885"/>
      <c r="AF9" s="885"/>
      <c r="AG9" s="885"/>
      <c r="AH9" s="885"/>
      <c r="AI9" s="885"/>
      <c r="AJ9" s="885"/>
      <c r="AL9" s="877"/>
      <c r="AM9" s="877"/>
      <c r="AN9" s="877"/>
      <c r="AO9" s="877"/>
      <c r="AP9" s="877"/>
      <c r="AQ9" s="877"/>
      <c r="AR9" s="877"/>
      <c r="AS9" s="877"/>
      <c r="AT9" s="877"/>
      <c r="AU9" s="878" t="s">
        <v>2503</v>
      </c>
    </row>
    <row r="10" s="876" customFormat="1" ht="16.5" customHeight="1" spans="1:55">
      <c r="A10" s="886"/>
      <c r="AL10" s="881" t="str">
        <f>Sifra_opcine</f>
        <v>109</v>
      </c>
      <c r="AM10" s="881"/>
      <c r="AN10" s="881"/>
      <c r="AO10" s="881"/>
      <c r="AP10" s="881"/>
      <c r="AQ10" s="881"/>
      <c r="AR10" s="881"/>
      <c r="AS10" s="881"/>
      <c r="AT10" s="881"/>
      <c r="AU10" s="881"/>
    </row>
    <row r="13" ht="26.25" spans="1:55">
      <c r="A13" s="1701" t="str">
        <f>Text!B14</f>
        <v>Godišnji izvještaj o poslovanju</v>
      </c>
      <c r="B13" s="1701"/>
      <c r="C13" s="1701"/>
      <c r="D13" s="1701"/>
      <c r="E13" s="1701"/>
      <c r="F13" s="1701"/>
      <c r="G13" s="1701"/>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1701"/>
      <c r="AD13" s="1701"/>
      <c r="AE13" s="1701"/>
      <c r="AF13" s="1701"/>
      <c r="AG13" s="1701"/>
      <c r="AH13" s="1701"/>
      <c r="AI13" s="1701"/>
      <c r="AJ13" s="1701"/>
      <c r="AK13" s="1701"/>
      <c r="AL13" s="1701"/>
      <c r="AM13" s="1701"/>
      <c r="AN13" s="1701"/>
      <c r="AO13" s="1701"/>
      <c r="AP13" s="1701"/>
      <c r="AQ13" s="1701"/>
      <c r="AR13" s="1701"/>
      <c r="AS13" s="1701"/>
      <c r="AT13" s="1701"/>
      <c r="AU13" s="1701"/>
      <c r="AV13" s="1701"/>
      <c r="AW13" s="1702"/>
      <c r="AX13" s="1702"/>
      <c r="AY13" s="1702"/>
      <c r="AZ13" s="1702"/>
      <c r="BA13" s="1702"/>
      <c r="BB13" s="1702"/>
      <c r="BC13" s="1702"/>
    </row>
    <row r="14" ht="18.75" spans="1:55">
      <c r="A14" s="504" t="str">
        <f ca="1">Text!B56</f>
        <v>za period od 01.01.2025. do 31.12.2025. godine</v>
      </c>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649"/>
      <c r="AX14" s="649"/>
      <c r="AY14" s="649"/>
      <c r="AZ14" s="649"/>
      <c r="BA14" s="649"/>
      <c r="BB14" s="649"/>
      <c r="BC14" s="649"/>
    </row>
    <row r="15" ht="31.5" spans="1:55">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c r="AL15" s="1703"/>
      <c r="AM15" s="1703"/>
      <c r="AN15" s="1703"/>
      <c r="AO15" s="1703"/>
      <c r="AP15" s="1703"/>
      <c r="AQ15" s="1703"/>
      <c r="AR15" s="1703"/>
      <c r="AS15" s="1703"/>
      <c r="AT15" s="1703"/>
      <c r="AU15" s="1703"/>
      <c r="AV15" s="1703"/>
      <c r="AW15" s="1703"/>
      <c r="AX15" s="1703"/>
      <c r="AY15" s="1703"/>
      <c r="AZ15" s="1703"/>
      <c r="BA15" s="1703"/>
      <c r="BB15" s="1703"/>
      <c r="BC15" s="1703"/>
    </row>
    <row r="16" s="491" customFormat="1" ht="15"/>
    <row r="17" s="491" customFormat="1" ht="15"/>
    <row r="18" s="491" customFormat="1" ht="59.25" customHeight="1" spans="1:48">
      <c r="A18" s="1704" t="str">
        <f>"U smislu odredbi čl. 42. i 43. Zakona o računovodstvu i reviziji u Federaciji BiH (Službene novine Federacije BiH, broj 15/21), navodimo sljedeće podatke koji upotpunjuju objektivan prikaz finansijskog položaja i poslovanja "&amp;Firma&amp;" "&amp;Sjedište&amp;", "&amp;UnosPod!F10&amp;"."</f>
        <v>U smislu odredbi čl. 42. i 43. Zakona o računovodstvu i reviziji u Federaciji BiH (Službene novine Federacije BiH, broj 15/21), navodimo sljedeće podatke koji upotpunjuju objektivan prikaz finansijskog položaja i poslovanja LILIUM ASSET MANAGEMENT d.o.o. Sarajevo Sarajevo-Stari Grad, Dženetića čikma br.8.</v>
      </c>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c r="AN18" s="1704"/>
      <c r="AO18" s="1704"/>
      <c r="AP18" s="1704"/>
      <c r="AQ18" s="1704"/>
      <c r="AR18" s="1704"/>
      <c r="AS18" s="1704"/>
      <c r="AT18" s="1704"/>
      <c r="AU18" s="1704"/>
    </row>
    <row r="19" s="491" customFormat="1" ht="15"/>
    <row r="20" s="491" customFormat="1" ht="15" spans="1:48">
      <c r="A20" s="491" t="s">
        <v>7458</v>
      </c>
      <c r="B20" s="986" t="str">
        <f ca="1">"Značajni postbilansni događaji nastali u periodu od "&amp;Baza!C14&amp;".godine "</f>
        <v>Značajni postbilansni događaji nastali u periodu od 31.12.2025.godine </v>
      </c>
    </row>
    <row r="21" s="491" customFormat="1" ht="15" spans="1:48">
      <c r="B21" s="986" t="str">
        <f ca="1">"do datuma predaje finansijskih izvještaja za "&amp;PoslGod&amp;". godinu"</f>
        <v>do datuma predaje finansijskih izvještaja za 2025. godinu</v>
      </c>
    </row>
    <row r="22" s="491" customFormat="1" ht="15"/>
    <row r="23" s="491" customFormat="1" ht="15" spans="1:48">
      <c r="B23" s="1705" t="str">
        <f ca="1">"U periodu od "&amp;Baza!C14&amp;". do datuma usvajanja i predaje finansijskih izvještaja za "&amp;PoslGod&amp;" godinu nije bilo značajnijih postbilansnih događaja u smislu MRS 10. "</f>
        <v>U periodu od 31.12.2025. do datuma usvajanja i predaje finansijskih izvještaja za 2025 godinu nije bilo značajnijih postbilansnih događaja u smislu MRS 10. </v>
      </c>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1705"/>
      <c r="AM23" s="1705"/>
      <c r="AN23" s="1705"/>
      <c r="AO23" s="1705"/>
      <c r="AP23" s="1705"/>
      <c r="AQ23" s="1705"/>
      <c r="AR23" s="1705"/>
      <c r="AS23" s="1705"/>
      <c r="AT23" s="1705"/>
      <c r="AU23" s="1705"/>
      <c r="AV23" s="1705"/>
    </row>
    <row r="24" s="491" customFormat="1" ht="15" spans="1:48">
      <c r="B24" s="1705"/>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c r="AT24" s="1705"/>
      <c r="AU24" s="1705"/>
      <c r="AV24" s="1705"/>
    </row>
    <row r="25" s="491" customFormat="1" ht="15"/>
    <row r="26" s="491" customFormat="1" ht="15" spans="1:48">
      <c r="A26" s="491" t="s">
        <v>7459</v>
      </c>
      <c r="B26" s="986" t="s">
        <v>7460</v>
      </c>
    </row>
    <row r="27" s="491" customFormat="1" ht="15"/>
    <row r="28" ht="15.75" customHeight="1" spans="1:48">
      <c r="A28" s="1706" t="s">
        <v>5787</v>
      </c>
      <c r="B28" s="1707"/>
      <c r="C28" s="1707"/>
      <c r="D28" s="1707"/>
      <c r="E28" s="1707"/>
      <c r="F28" s="1707"/>
      <c r="G28" s="1707"/>
      <c r="H28" s="1707"/>
      <c r="I28" s="1707"/>
      <c r="J28" s="1707"/>
      <c r="K28" s="1707"/>
      <c r="L28" s="1707"/>
      <c r="M28" s="1707"/>
      <c r="N28" s="1707"/>
      <c r="O28" s="1707"/>
      <c r="P28" s="1707"/>
      <c r="Q28" s="1707"/>
      <c r="R28" s="1707"/>
      <c r="S28" s="1707"/>
      <c r="T28" s="1707"/>
      <c r="U28" s="1707"/>
      <c r="V28" s="1707"/>
      <c r="W28" s="1707"/>
      <c r="X28" s="1707"/>
      <c r="Y28" s="1707"/>
      <c r="Z28" s="1707"/>
      <c r="AA28" s="1708" t="str">
        <f ca="1">PoslGod&amp;".godina"</f>
        <v>2025.godina</v>
      </c>
      <c r="AB28" s="1708"/>
      <c r="AC28" s="1708"/>
      <c r="AD28" s="1708"/>
      <c r="AE28" s="1708"/>
      <c r="AF28" s="1708"/>
      <c r="AG28" s="1708"/>
      <c r="AH28" s="1708"/>
      <c r="AI28" s="1708" t="str">
        <f ca="1">"Plan za "&amp;PoslGod+1&amp;".godine"</f>
        <v>Plan za 2026.godine</v>
      </c>
      <c r="AJ28" s="1708"/>
      <c r="AK28" s="1708"/>
      <c r="AL28" s="1708"/>
      <c r="AM28" s="1708"/>
      <c r="AN28" s="1708"/>
      <c r="AO28" s="1708"/>
      <c r="AP28" s="1708"/>
      <c r="AQ28" s="1708" t="s">
        <v>7461</v>
      </c>
      <c r="AR28" s="1708"/>
      <c r="AS28" s="1708"/>
      <c r="AT28" s="1708"/>
      <c r="AU28" s="1709"/>
    </row>
    <row r="29" ht="15.75" customHeight="1" spans="1:48">
      <c r="A29" s="1710" t="s">
        <v>5791</v>
      </c>
      <c r="B29" s="1711" t="s">
        <v>4043</v>
      </c>
      <c r="C29" s="1711"/>
      <c r="D29" s="1711"/>
      <c r="E29" s="1711"/>
      <c r="F29" s="1711"/>
      <c r="G29" s="1711"/>
      <c r="H29" s="1711"/>
      <c r="I29" s="1711"/>
      <c r="J29" s="1711"/>
      <c r="K29" s="1711"/>
      <c r="L29" s="1711"/>
      <c r="M29" s="1711"/>
      <c r="N29" s="1711"/>
      <c r="O29" s="1711"/>
      <c r="P29" s="1711"/>
      <c r="Q29" s="1711"/>
      <c r="R29" s="1711"/>
      <c r="S29" s="1711"/>
      <c r="T29" s="1711"/>
      <c r="U29" s="1711"/>
      <c r="V29" s="1711"/>
      <c r="W29" s="1711"/>
      <c r="X29" s="1711"/>
      <c r="Y29" s="1711"/>
      <c r="Z29" s="1711"/>
      <c r="AA29" s="1711" t="s">
        <v>7462</v>
      </c>
      <c r="AB29" s="1711"/>
      <c r="AC29" s="1711"/>
      <c r="AD29" s="1711"/>
      <c r="AE29" s="1711"/>
      <c r="AF29" s="1711"/>
      <c r="AG29" s="1711"/>
      <c r="AH29" s="1711"/>
      <c r="AI29" s="1711" t="s">
        <v>7462</v>
      </c>
      <c r="AJ29" s="1711"/>
      <c r="AK29" s="1711"/>
      <c r="AL29" s="1711"/>
      <c r="AM29" s="1711"/>
      <c r="AN29" s="1711"/>
      <c r="AO29" s="1711"/>
      <c r="AP29" s="1711"/>
      <c r="AQ29" s="1711" t="s">
        <v>7463</v>
      </c>
      <c r="AR29" s="1711"/>
      <c r="AS29" s="1711"/>
      <c r="AT29" s="1711"/>
      <c r="AU29" s="1712"/>
    </row>
    <row r="30" ht="13.5" customHeight="1" spans="1:48">
      <c r="A30" s="1713">
        <v>0</v>
      </c>
      <c r="B30" s="1714">
        <v>1</v>
      </c>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v>2</v>
      </c>
      <c r="AB30" s="1714"/>
      <c r="AC30" s="1714"/>
      <c r="AD30" s="1714"/>
      <c r="AE30" s="1714"/>
      <c r="AF30" s="1714"/>
      <c r="AG30" s="1714"/>
      <c r="AH30" s="1714"/>
      <c r="AI30" s="1714">
        <v>3</v>
      </c>
      <c r="AJ30" s="1714"/>
      <c r="AK30" s="1714"/>
      <c r="AL30" s="1714"/>
      <c r="AM30" s="1714"/>
      <c r="AN30" s="1714"/>
      <c r="AO30" s="1714"/>
      <c r="AP30" s="1714"/>
      <c r="AQ30" s="1714">
        <v>4</v>
      </c>
      <c r="AR30" s="1714"/>
      <c r="AS30" s="1714"/>
      <c r="AT30" s="1714"/>
      <c r="AU30" s="1715"/>
    </row>
    <row r="31" ht="20.25" customHeight="1" spans="1:48">
      <c r="A31" s="1716">
        <v>1</v>
      </c>
      <c r="B31" s="1717" t="s">
        <v>22</v>
      </c>
      <c r="C31" s="1718"/>
      <c r="D31" s="1718"/>
      <c r="E31" s="1718"/>
      <c r="F31" s="1718"/>
      <c r="G31" s="1718"/>
      <c r="H31" s="1718"/>
      <c r="I31" s="1718"/>
      <c r="J31" s="1718"/>
      <c r="K31" s="1718"/>
      <c r="L31" s="1718"/>
      <c r="M31" s="1718"/>
      <c r="N31" s="1718"/>
      <c r="O31" s="1718"/>
      <c r="P31" s="1718"/>
      <c r="Q31" s="1718"/>
      <c r="R31" s="1718"/>
      <c r="S31" s="1718"/>
      <c r="T31" s="1719"/>
      <c r="U31" s="1719"/>
      <c r="V31" s="1719"/>
      <c r="W31" s="1719"/>
      <c r="X31" s="1719"/>
      <c r="Y31" s="1720"/>
      <c r="Z31" s="1721"/>
      <c r="AA31" s="1722">
        <f>Analiza!R90</f>
        <v>247772</v>
      </c>
      <c r="AB31" s="1722"/>
      <c r="AC31" s="1722"/>
      <c r="AD31" s="1722"/>
      <c r="AE31" s="1722"/>
      <c r="AF31" s="1722"/>
      <c r="AG31" s="1722"/>
      <c r="AH31" s="1722"/>
      <c r="AI31" s="1722">
        <f>AA31*1.1</f>
        <v>272549.2</v>
      </c>
      <c r="AJ31" s="1722"/>
      <c r="AK31" s="1722"/>
      <c r="AL31" s="1722"/>
      <c r="AM31" s="1722"/>
      <c r="AN31" s="1722"/>
      <c r="AO31" s="1722"/>
      <c r="AP31" s="1722"/>
      <c r="AQ31" s="1723">
        <f>IFERROR(AI31/AA31*100,0)</f>
        <v>110</v>
      </c>
      <c r="AR31" s="1723"/>
      <c r="AS31" s="1723"/>
      <c r="AT31" s="1723"/>
      <c r="AU31" s="1724"/>
    </row>
    <row r="32" ht="20.25" customHeight="1" spans="1:48">
      <c r="A32" s="1725">
        <v>2</v>
      </c>
      <c r="B32" s="1726" t="s">
        <v>64</v>
      </c>
      <c r="C32" s="1727"/>
      <c r="D32" s="1727"/>
      <c r="E32" s="1727"/>
      <c r="F32" s="1727"/>
      <c r="G32" s="1727"/>
      <c r="H32" s="1727"/>
      <c r="I32" s="1727"/>
      <c r="J32" s="1727"/>
      <c r="K32" s="1727"/>
      <c r="L32" s="1727"/>
      <c r="M32" s="1727"/>
      <c r="N32" s="1727"/>
      <c r="O32" s="1727"/>
      <c r="P32" s="1727"/>
      <c r="Q32" s="1727"/>
      <c r="R32" s="1727"/>
      <c r="S32" s="1727"/>
      <c r="T32" s="1727"/>
      <c r="U32" s="1727"/>
      <c r="V32" s="1728"/>
      <c r="W32" s="1728"/>
      <c r="X32" s="1728"/>
      <c r="Y32" s="1729"/>
      <c r="Z32" s="1730"/>
      <c r="AA32" s="1731">
        <f>Analiza!R202</f>
        <v>306969</v>
      </c>
      <c r="AB32" s="1731"/>
      <c r="AC32" s="1731"/>
      <c r="AD32" s="1731"/>
      <c r="AE32" s="1731"/>
      <c r="AF32" s="1731"/>
      <c r="AG32" s="1731"/>
      <c r="AH32" s="1731"/>
      <c r="AI32" s="1731">
        <f>AA32*1.08</f>
        <v>331526.52</v>
      </c>
      <c r="AJ32" s="1731"/>
      <c r="AK32" s="1731"/>
      <c r="AL32" s="1731"/>
      <c r="AM32" s="1731"/>
      <c r="AN32" s="1731"/>
      <c r="AO32" s="1731"/>
      <c r="AP32" s="1731"/>
      <c r="AQ32" s="1732">
        <f t="shared" ref="AQ32:AQ33" si="0">IFERROR(AI32/AA32*100,0)</f>
        <v>108</v>
      </c>
      <c r="AR32" s="1732"/>
      <c r="AS32" s="1732"/>
      <c r="AT32" s="1732"/>
      <c r="AU32" s="1733"/>
    </row>
    <row r="33" ht="20.25" customHeight="1" spans="1:47">
      <c r="A33" s="1734">
        <v>3</v>
      </c>
      <c r="B33" s="1735" t="s">
        <v>7464</v>
      </c>
      <c r="C33" s="1736"/>
      <c r="D33" s="1736"/>
      <c r="E33" s="1736"/>
      <c r="F33" s="1736"/>
      <c r="G33" s="1736"/>
      <c r="H33" s="1736"/>
      <c r="I33" s="1736"/>
      <c r="J33" s="1736"/>
      <c r="K33" s="1736"/>
      <c r="L33" s="1736"/>
      <c r="M33" s="1736"/>
      <c r="N33" s="1736"/>
      <c r="O33" s="1736"/>
      <c r="P33" s="1736"/>
      <c r="Q33" s="1736"/>
      <c r="R33" s="1736"/>
      <c r="S33" s="1736"/>
      <c r="T33" s="1736"/>
      <c r="U33" s="1736"/>
      <c r="V33" s="1737"/>
      <c r="W33" s="1737"/>
      <c r="X33" s="1737"/>
      <c r="Y33" s="1738"/>
      <c r="Z33" s="1739"/>
      <c r="AA33" s="1740">
        <f>AA31-AA32</f>
        <v>-59197</v>
      </c>
      <c r="AB33" s="1740"/>
      <c r="AC33" s="1740"/>
      <c r="AD33" s="1740"/>
      <c r="AE33" s="1740"/>
      <c r="AF33" s="1740"/>
      <c r="AG33" s="1740"/>
      <c r="AH33" s="1740"/>
      <c r="AI33" s="1740">
        <f>AI31-AI32</f>
        <v>-58977.32</v>
      </c>
      <c r="AJ33" s="1740"/>
      <c r="AK33" s="1740"/>
      <c r="AL33" s="1740"/>
      <c r="AM33" s="1740"/>
      <c r="AN33" s="1740"/>
      <c r="AO33" s="1740"/>
      <c r="AP33" s="1740"/>
      <c r="AQ33" s="1741">
        <f t="shared" si="0"/>
        <v>99.6289001131814</v>
      </c>
      <c r="AR33" s="1741"/>
      <c r="AS33" s="1741"/>
      <c r="AT33" s="1741"/>
      <c r="AU33" s="1742"/>
    </row>
    <row r="34" s="491" customFormat="1" ht="15"/>
    <row r="35" s="491" customFormat="1" ht="32.25" customHeight="1" spans="1:47">
      <c r="B35" s="1705" t="s">
        <v>7465</v>
      </c>
      <c r="C35" s="1705"/>
      <c r="D35" s="1705"/>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c r="AE35" s="1705"/>
      <c r="AF35" s="1705"/>
      <c r="AG35" s="1705"/>
      <c r="AH35" s="1705"/>
      <c r="AI35" s="1705"/>
      <c r="AJ35" s="1705"/>
      <c r="AK35" s="1705"/>
      <c r="AL35" s="1705"/>
      <c r="AM35" s="1705"/>
      <c r="AN35" s="1705"/>
      <c r="AO35" s="1705"/>
      <c r="AP35" s="1705"/>
      <c r="AQ35" s="1705"/>
      <c r="AR35" s="1705"/>
      <c r="AS35" s="1705"/>
      <c r="AT35" s="1705"/>
      <c r="AU35" s="1705"/>
    </row>
    <row r="36" s="491" customFormat="1" ht="15"/>
    <row r="37" s="491" customFormat="1" ht="15" spans="1:47">
      <c r="A37" s="491" t="s">
        <v>7466</v>
      </c>
      <c r="B37" s="986" t="s">
        <v>7467</v>
      </c>
    </row>
    <row r="38" s="491" customFormat="1" ht="15"/>
    <row r="39" s="491" customFormat="1" ht="15" spans="1:47">
      <c r="B39" s="1743" t="str">
        <f ca="1">"U toku "&amp;PoslGod&amp;". godine nema zabilježenih aktivnosti istraživanja i razvoja u smislu MRS-a 38."</f>
        <v>U toku 2025. godine nema zabilježenih aktivnosti istraživanja i razvoja u smislu MRS-a 38.</v>
      </c>
    </row>
    <row r="40" s="491" customFormat="1" ht="15"/>
    <row r="41" s="491" customFormat="1" ht="15"/>
    <row r="42" s="491" customFormat="1" ht="15" spans="1:47">
      <c r="A42" s="491" t="s">
        <v>7468</v>
      </c>
      <c r="B42" s="986" t="s">
        <v>7469</v>
      </c>
    </row>
    <row r="43" s="491" customFormat="1" ht="15"/>
    <row r="44" s="491" customFormat="1" ht="15" spans="1:47">
      <c r="B44" s="1743" t="str">
        <f ca="1">"U toku "&amp;PoslGod&amp;". godine nije bilo sticanja vlastitih dionica, odnosno udjela."</f>
        <v>U toku 2025. godine nije bilo sticanja vlastitih dionica, odnosno udjela.</v>
      </c>
    </row>
    <row r="45" s="491" customFormat="1" ht="15"/>
    <row r="46" s="491" customFormat="1" ht="15"/>
    <row r="47" s="491" customFormat="1" ht="15"/>
    <row r="48" s="491" customFormat="1" ht="15"/>
    <row r="49" s="491" customFormat="1" ht="15"/>
    <row r="50" s="491" customFormat="1" ht="15"/>
    <row r="51" s="491" customFormat="1" ht="15"/>
    <row r="52" s="491" customFormat="1" ht="15"/>
    <row r="53" s="491" customFormat="1" ht="15" spans="1:47">
      <c r="A53" s="491" t="s">
        <v>7470</v>
      </c>
      <c r="B53" s="986" t="s">
        <v>7471</v>
      </c>
    </row>
    <row r="54" s="491" customFormat="1" ht="15"/>
    <row r="55" s="491" customFormat="1" ht="15" spans="1:47">
      <c r="B55" s="1743" t="str">
        <f ca="1">"U toku "&amp;PoslGod&amp;". godine nema posebnih poslovnih segmenata u smislu MRS-a 14."</f>
        <v>U toku 2025. godine nema posebnih poslovnih segmenata u smislu MRS-a 14.</v>
      </c>
    </row>
    <row r="56" s="491" customFormat="1" ht="15"/>
    <row r="57" s="491" customFormat="1" ht="15"/>
    <row r="58" s="491" customFormat="1" ht="15" spans="1:47">
      <c r="A58" s="491" t="s">
        <v>6342</v>
      </c>
      <c r="B58" s="986" t="s">
        <v>7472</v>
      </c>
    </row>
    <row r="59" s="491" customFormat="1" ht="15" spans="1:47">
      <c r="B59" s="986" t="s">
        <v>7473</v>
      </c>
    </row>
    <row r="60" s="491" customFormat="1" ht="15"/>
    <row r="61" s="491" customFormat="1" ht="29.25" customHeight="1" spans="1:47">
      <c r="B61" s="1705" t="s">
        <v>7474</v>
      </c>
      <c r="C61" s="1705"/>
      <c r="D61" s="1705"/>
      <c r="E61" s="1705"/>
      <c r="F61" s="1705"/>
      <c r="G61" s="1705"/>
      <c r="H61" s="1705"/>
      <c r="I61" s="1705"/>
      <c r="J61" s="1705"/>
      <c r="K61" s="1705"/>
      <c r="L61" s="1705"/>
      <c r="M61" s="1705"/>
      <c r="N61" s="1705"/>
      <c r="O61" s="1705"/>
      <c r="P61" s="1705"/>
      <c r="Q61" s="1705"/>
      <c r="R61" s="1705"/>
      <c r="S61" s="1705"/>
      <c r="T61" s="1705"/>
      <c r="U61" s="1705"/>
      <c r="V61" s="1705"/>
      <c r="W61" s="1705"/>
      <c r="X61" s="1705"/>
      <c r="Y61" s="1705"/>
      <c r="Z61" s="1705"/>
      <c r="AA61" s="1705"/>
      <c r="AB61" s="1705"/>
      <c r="AC61" s="1705"/>
      <c r="AD61" s="1705"/>
      <c r="AE61" s="1705"/>
      <c r="AF61" s="1705"/>
      <c r="AG61" s="1705"/>
      <c r="AH61" s="1705"/>
      <c r="AI61" s="1705"/>
      <c r="AJ61" s="1705"/>
      <c r="AK61" s="1705"/>
      <c r="AL61" s="1705"/>
      <c r="AM61" s="1705"/>
      <c r="AN61" s="1705"/>
      <c r="AO61" s="1705"/>
      <c r="AP61" s="1705"/>
      <c r="AQ61" s="1705"/>
      <c r="AR61" s="1705"/>
      <c r="AS61" s="1705"/>
      <c r="AT61" s="1705"/>
      <c r="AU61" s="1705"/>
    </row>
    <row r="62" s="491" customFormat="1" ht="15"/>
    <row r="63" s="491" customFormat="1" ht="15" spans="1:47">
      <c r="A63" s="491" t="s">
        <v>7282</v>
      </c>
      <c r="B63" s="986" t="s">
        <v>7475</v>
      </c>
    </row>
    <row r="64" s="491" customFormat="1" ht="15" spans="1:47">
      <c r="B64" s="986" t="s">
        <v>7476</v>
      </c>
    </row>
    <row r="65" s="491" customFormat="1" ht="15"/>
    <row r="66" s="491" customFormat="1" ht="15" spans="1:47">
      <c r="B66" s="1705" t="s">
        <v>7477</v>
      </c>
      <c r="C66" s="1705"/>
      <c r="D66" s="1705"/>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row>
    <row r="67" s="491" customFormat="1" ht="15"/>
    <row r="68" s="491" customFormat="1" ht="15"/>
    <row r="69" s="491" customFormat="1" ht="15" spans="1:47">
      <c r="A69" s="491" t="s">
        <v>6346</v>
      </c>
      <c r="B69" s="986" t="s">
        <v>7478</v>
      </c>
    </row>
    <row r="70" s="491" customFormat="1" ht="15" spans="1:47">
      <c r="A70" s="986"/>
      <c r="B70" s="986" t="s">
        <v>7479</v>
      </c>
    </row>
    <row r="71" s="491" customFormat="1" ht="15"/>
    <row r="72" s="491" customFormat="1" ht="112.5" customHeight="1" spans="1:47">
      <c r="B72" s="1744" t="s">
        <v>7480</v>
      </c>
      <c r="C72" s="1744"/>
      <c r="D72" s="1744"/>
      <c r="E72" s="1744"/>
      <c r="F72" s="1744"/>
      <c r="G72" s="1744"/>
      <c r="H72" s="1744"/>
      <c r="I72" s="1744"/>
      <c r="J72" s="1744"/>
      <c r="K72" s="1744"/>
      <c r="L72" s="1744"/>
      <c r="M72" s="1744"/>
      <c r="N72" s="1744"/>
      <c r="O72" s="1744"/>
      <c r="P72" s="1744"/>
      <c r="Q72" s="1744"/>
      <c r="R72" s="1744"/>
      <c r="S72" s="1744"/>
      <c r="T72" s="1744"/>
      <c r="U72" s="1744"/>
      <c r="V72" s="1744"/>
      <c r="W72" s="1744"/>
      <c r="X72" s="1744"/>
      <c r="Y72" s="1744"/>
      <c r="Z72" s="1744"/>
      <c r="AA72" s="1744"/>
      <c r="AB72" s="1744"/>
      <c r="AC72" s="1744"/>
      <c r="AD72" s="1744"/>
      <c r="AE72" s="1744"/>
      <c r="AF72" s="1744"/>
      <c r="AG72" s="1744"/>
      <c r="AH72" s="1744"/>
      <c r="AI72" s="1744"/>
      <c r="AJ72" s="1744"/>
      <c r="AK72" s="1744"/>
      <c r="AL72" s="1744"/>
      <c r="AM72" s="1744"/>
      <c r="AN72" s="1744"/>
      <c r="AO72" s="1744"/>
      <c r="AP72" s="1744"/>
      <c r="AQ72" s="1744"/>
      <c r="AR72" s="1744"/>
      <c r="AS72" s="1744"/>
      <c r="AT72" s="1744"/>
      <c r="AU72" s="1744"/>
    </row>
    <row r="73" s="491" customFormat="1" ht="15"/>
    <row r="74" s="491" customFormat="1" ht="15" spans="1:47">
      <c r="A74" s="491" t="s">
        <v>7284</v>
      </c>
      <c r="B74" s="986" t="s">
        <v>7481</v>
      </c>
    </row>
    <row r="75" s="491" customFormat="1" ht="15" spans="1:47">
      <c r="A75" s="986"/>
      <c r="B75" s="986"/>
    </row>
    <row r="76" s="491" customFormat="1" ht="15" spans="1:47">
      <c r="A76" s="986"/>
      <c r="B76" s="1705" t="s">
        <v>7482</v>
      </c>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1705"/>
      <c r="AD76" s="1705"/>
      <c r="AE76" s="1705"/>
      <c r="AF76" s="1705"/>
      <c r="AG76" s="1705"/>
      <c r="AH76" s="1705"/>
      <c r="AI76" s="1705"/>
      <c r="AJ76" s="1705"/>
      <c r="AK76" s="1705"/>
      <c r="AL76" s="1705"/>
      <c r="AM76" s="1705"/>
      <c r="AN76" s="1705"/>
      <c r="AO76" s="1705"/>
      <c r="AP76" s="1705"/>
      <c r="AQ76" s="1705"/>
      <c r="AR76" s="1705"/>
      <c r="AS76" s="1705"/>
      <c r="AT76" s="1705"/>
      <c r="AU76" s="1705"/>
    </row>
    <row r="77" s="491" customFormat="1" ht="15" spans="1:47">
      <c r="A77" s="986"/>
      <c r="B77" s="986"/>
    </row>
    <row r="78" s="491" customFormat="1" ht="15"/>
    <row r="79" s="491" customFormat="1" ht="15" spans="1:47">
      <c r="A79" s="491" t="s">
        <v>7289</v>
      </c>
      <c r="B79" s="986" t="s">
        <v>7483</v>
      </c>
    </row>
    <row r="80" s="491" customFormat="1" ht="15"/>
    <row r="81" s="491" customFormat="1" ht="15" spans="2:44">
      <c r="B81" s="491" t="s">
        <v>481</v>
      </c>
    </row>
    <row r="82" s="491" customFormat="1" ht="15"/>
    <row r="83" s="491" customFormat="1" ht="15"/>
    <row r="84" s="491" customFormat="1" ht="15"/>
    <row r="85" s="491" customFormat="1" ht="15" spans="2:44">
      <c r="AH85" s="491" t="s">
        <v>7484</v>
      </c>
    </row>
    <row r="86" s="491" customFormat="1" ht="15" spans="2:44">
      <c r="AC86" s="1745" t="s">
        <v>7039</v>
      </c>
      <c r="AD86" s="489"/>
      <c r="AE86" s="489"/>
      <c r="AF86" s="489"/>
      <c r="AG86" s="1746"/>
      <c r="AH86" s="1746"/>
      <c r="AI86" s="1746"/>
      <c r="AJ86" s="1746"/>
      <c r="AK86" s="1746"/>
      <c r="AL86" s="1746"/>
      <c r="AM86" s="1746"/>
      <c r="AN86" s="1746"/>
      <c r="AO86" s="1746"/>
      <c r="AP86" s="1746"/>
      <c r="AQ86" s="1746"/>
      <c r="AR86" s="489"/>
    </row>
    <row r="87" s="491" customFormat="1" ht="15" spans="2:44">
      <c r="AC87" s="489"/>
      <c r="AD87" s="489"/>
      <c r="AE87" s="489"/>
      <c r="AF87" s="489"/>
      <c r="AG87" s="1747" t="str">
        <f>Baza!C10</f>
        <v>Nedim Vilogorac</v>
      </c>
      <c r="AH87" s="1747"/>
      <c r="AI87" s="1747"/>
      <c r="AJ87" s="1747"/>
      <c r="AK87" s="1747"/>
      <c r="AL87" s="1747"/>
      <c r="AM87" s="1747"/>
      <c r="AN87" s="1747"/>
      <c r="AO87" s="1747"/>
      <c r="AP87" s="1747"/>
      <c r="AQ87" s="1747"/>
      <c r="AR87" s="489"/>
    </row>
    <row r="88" s="491" customFormat="1" ht="15"/>
    <row r="89" s="491" customFormat="1" ht="15"/>
    <row r="90" s="491" customFormat="1" ht="15"/>
    <row r="91" s="491" customFormat="1" ht="15"/>
    <row r="92" s="491" customFormat="1" ht="15"/>
    <row r="93" s="491" customFormat="1" ht="15"/>
    <row r="94" s="491" customFormat="1" ht="15"/>
    <row r="95" s="491" customFormat="1" ht="15"/>
    <row r="96" s="491" customFormat="1" ht="15"/>
    <row r="97" s="491" customFormat="1" ht="15"/>
    <row r="98" s="491" customFormat="1" ht="15"/>
    <row r="99" s="491" customFormat="1" ht="15"/>
    <row r="100" s="491" customFormat="1" ht="15"/>
    <row r="101" s="491" customFormat="1" ht="15"/>
    <row r="102" s="491" customFormat="1" ht="15"/>
    <row r="103" s="491" customFormat="1" ht="15"/>
    <row r="104" s="491" customFormat="1" ht="15"/>
    <row r="105" s="491" customFormat="1" ht="15"/>
    <row r="106" s="491" customFormat="1" ht="15"/>
    <row r="107" s="491" customFormat="1" ht="15"/>
    <row r="108" s="491" customFormat="1" ht="15"/>
    <row r="109" s="491" customFormat="1" ht="15"/>
    <row r="110" s="491" customFormat="1" ht="15"/>
    <row r="111" s="491" customFormat="1" ht="15"/>
    <row r="112" s="491" customFormat="1" ht="15"/>
    <row r="113" s="491" customFormat="1" ht="15"/>
    <row r="114" s="491" customFormat="1" ht="15"/>
    <row r="115" s="491" customFormat="1" ht="15"/>
    <row r="116" s="491" customFormat="1" ht="15"/>
    <row r="117" s="491" customFormat="1" ht="15"/>
    <row r="118" s="491" customFormat="1" ht="15"/>
    <row r="119" s="491" customFormat="1" ht="15"/>
    <row r="120" s="491" customFormat="1" ht="15"/>
    <row r="121" s="491" customFormat="1" ht="15"/>
    <row r="122" s="491" customFormat="1" ht="15"/>
    <row r="123" s="491" customFormat="1" ht="15"/>
    <row r="124" s="491" customFormat="1" ht="15"/>
    <row r="125" s="491" customFormat="1" ht="15"/>
    <row r="126" s="491" customFormat="1" ht="15"/>
    <row r="127" s="491" customFormat="1" ht="15"/>
    <row r="128" s="491" customFormat="1" ht="15"/>
    <row r="129" s="491" customFormat="1" ht="15"/>
    <row r="130" s="491" customFormat="1" ht="15"/>
    <row r="131" s="491" customFormat="1" ht="15"/>
    <row r="132" s="491" customFormat="1" ht="15"/>
    <row r="133" s="491" customFormat="1" ht="15"/>
    <row r="134" s="491" customFormat="1" ht="15"/>
    <row r="135" s="491" customFormat="1" ht="15"/>
    <row r="136" s="491" customFormat="1" ht="15"/>
    <row r="137" s="491" customFormat="1" ht="15"/>
    <row r="138" s="491" customFormat="1" ht="15"/>
    <row r="139" s="491" customFormat="1" ht="15"/>
    <row r="140" s="491" customFormat="1" ht="15"/>
    <row r="141" s="491" customFormat="1" ht="15"/>
    <row r="142" s="491" customFormat="1" ht="15"/>
    <row r="143" s="491" customFormat="1" ht="15"/>
    <row r="144" s="491" customFormat="1" ht="15"/>
    <row r="145" s="491" customFormat="1" ht="15"/>
    <row r="146" s="491" customFormat="1" ht="15"/>
    <row r="147" s="491" customFormat="1" ht="15"/>
    <row r="148" s="491" customFormat="1" ht="15"/>
    <row r="149" s="491" customFormat="1" ht="15"/>
    <row r="150" s="491" customFormat="1" ht="15"/>
    <row r="151" s="491" customFormat="1" ht="15"/>
    <row r="152" s="491" customFormat="1" ht="15"/>
    <row r="153" s="491" customFormat="1" ht="15"/>
    <row r="154" s="491" customFormat="1" ht="15"/>
    <row r="155" s="491" customFormat="1" ht="15"/>
    <row r="156" s="491" customFormat="1" ht="15"/>
    <row r="157" s="491" customFormat="1" ht="15"/>
    <row r="158" s="491" customFormat="1" ht="15"/>
    <row r="159" s="491" customFormat="1" ht="15"/>
    <row r="160" s="491" customFormat="1" ht="15"/>
    <row r="161" s="491" customFormat="1" ht="15"/>
    <row r="162" s="491" customFormat="1" ht="15"/>
    <row r="163" s="491" customFormat="1" ht="15"/>
    <row r="164" s="491" customFormat="1" ht="15"/>
    <row r="165" s="491" customFormat="1" ht="15"/>
    <row r="166" s="491" customFormat="1" ht="15"/>
    <row r="167" s="491" customFormat="1" ht="15"/>
    <row r="168" s="491" customFormat="1" ht="15"/>
    <row r="169" s="491" customFormat="1" ht="15"/>
    <row r="170" s="491" customFormat="1" ht="15"/>
    <row r="171" s="491" customFormat="1" ht="15"/>
    <row r="172" s="491" customFormat="1" ht="15"/>
    <row r="173" s="491" customFormat="1" ht="15"/>
    <row r="174" s="491" customFormat="1" ht="15"/>
    <row r="175" s="491" customFormat="1" ht="15"/>
    <row r="176" s="491" customFormat="1" ht="15"/>
    <row r="177" s="491" customFormat="1" ht="15"/>
    <row r="178" s="491" customFormat="1" ht="15"/>
    <row r="179" s="491" customFormat="1" ht="15"/>
    <row r="180" s="491" customFormat="1" ht="15"/>
    <row r="181" s="491" customFormat="1" ht="15"/>
    <row r="182" s="491" customFormat="1" ht="15"/>
    <row r="183" s="491" customFormat="1" ht="15"/>
    <row r="184" s="491" customFormat="1" ht="15"/>
    <row r="185" s="491" customFormat="1" ht="15"/>
    <row r="186" s="491" customFormat="1" ht="15"/>
    <row r="187" s="491" customFormat="1" ht="15"/>
    <row r="188" s="491" customFormat="1" ht="15"/>
    <row r="189" s="491" customFormat="1" ht="15"/>
    <row r="190" s="491" customFormat="1" ht="15"/>
    <row r="191" s="491" customFormat="1" ht="15"/>
    <row r="192" s="491" customFormat="1" ht="15"/>
    <row r="193" s="491" customFormat="1" ht="15"/>
    <row r="194" s="491" customFormat="1" ht="15"/>
    <row r="195" s="491" customFormat="1" ht="15"/>
    <row r="196" s="491" customFormat="1" ht="15"/>
    <row r="197" s="491" customFormat="1" ht="15"/>
    <row r="198" s="491" customFormat="1" ht="15"/>
    <row r="199" s="491" customFormat="1" ht="15"/>
    <row r="200" s="491" customFormat="1" ht="15"/>
    <row r="201" s="491" customFormat="1" ht="15"/>
    <row r="202" s="491" customFormat="1" ht="15"/>
    <row r="203" s="491" customFormat="1" ht="15"/>
    <row r="204" s="491" customFormat="1" ht="15"/>
    <row r="205" s="491" customFormat="1" ht="15"/>
    <row r="206" s="491" customFormat="1" ht="15"/>
    <row r="207" s="491" customFormat="1" ht="15"/>
    <row r="208" s="491" customFormat="1" ht="15"/>
    <row r="209" s="491" customFormat="1" ht="15"/>
    <row r="210" s="491" customFormat="1" ht="15"/>
    <row r="211" s="491" customFormat="1" ht="15"/>
    <row r="212" s="491" customFormat="1" ht="15"/>
    <row r="213" s="491" customFormat="1" ht="15"/>
    <row r="214" s="491" customFormat="1" ht="15"/>
    <row r="215" s="491" customFormat="1" ht="15"/>
    <row r="216" s="491" customFormat="1" ht="15"/>
    <row r="217" s="491" customFormat="1" ht="15"/>
    <row r="218" s="491" customFormat="1" ht="15"/>
    <row r="219" s="491" customFormat="1" ht="15"/>
    <row r="220" s="491" customFormat="1" ht="15"/>
    <row r="221" s="491" customFormat="1" ht="15"/>
    <row r="222" s="491" customFormat="1" ht="15"/>
    <row r="223" s="491" customFormat="1" ht="15"/>
    <row r="224" s="491" customFormat="1" ht="15"/>
    <row r="225" s="491" customFormat="1" ht="15"/>
    <row r="226" s="491" customFormat="1" ht="15"/>
    <row r="227" s="491" customFormat="1" ht="15"/>
    <row r="228" s="491" customFormat="1" ht="15"/>
    <row r="229" s="491" customFormat="1" ht="15"/>
    <row r="230" s="491" customFormat="1" ht="15"/>
    <row r="231" s="491" customFormat="1" ht="15"/>
    <row r="232" s="491" customFormat="1" ht="15"/>
    <row r="233" s="491" customFormat="1" ht="15"/>
    <row r="234" s="491" customFormat="1" ht="15"/>
    <row r="235" s="491" customFormat="1" ht="15"/>
    <row r="236" s="491" customFormat="1" ht="15"/>
    <row r="237" s="491" customFormat="1" ht="15"/>
    <row r="238" s="491" customFormat="1" ht="15"/>
    <row r="239" s="491" customFormat="1" ht="15"/>
    <row r="240" s="491" customFormat="1" ht="15"/>
    <row r="241" s="491" customFormat="1" ht="15"/>
    <row r="242" s="491" customFormat="1" ht="15"/>
    <row r="243" s="491" customFormat="1" ht="15"/>
    <row r="244" s="491" customFormat="1" ht="15"/>
    <row r="245" s="491" customFormat="1" ht="15"/>
    <row r="246" s="491" customFormat="1" ht="15"/>
    <row r="247" s="491" customFormat="1" ht="15"/>
    <row r="248" s="491" customFormat="1" ht="15"/>
    <row r="249" s="491" customFormat="1" ht="15"/>
    <row r="250" s="491" customFormat="1" ht="15"/>
    <row r="251" s="491" customFormat="1" ht="15"/>
    <row r="252" s="491" customFormat="1" ht="15"/>
    <row r="253" s="491" customFormat="1" ht="15"/>
    <row r="254" s="491" customFormat="1" ht="15"/>
    <row r="255" s="491" customFormat="1" ht="15"/>
    <row r="256" s="491" customFormat="1" ht="15"/>
    <row r="257" s="491" customFormat="1" ht="15"/>
    <row r="258" s="491" customFormat="1" ht="15"/>
    <row r="259" s="491" customFormat="1" ht="15"/>
    <row r="260" s="491" customFormat="1" ht="15"/>
    <row r="261" s="491" customFormat="1" ht="15"/>
    <row r="262" s="491" customFormat="1" ht="15"/>
    <row r="263" s="491" customFormat="1" ht="15"/>
    <row r="264" s="491" customFormat="1" ht="15"/>
    <row r="265" s="491" customFormat="1" ht="15"/>
    <row r="266" s="491" customFormat="1" ht="15"/>
    <row r="267" s="491" customFormat="1" ht="15"/>
    <row r="268" s="491" customFormat="1" ht="15"/>
    <row r="269" s="491" customFormat="1" ht="15"/>
    <row r="270" s="491" customFormat="1" ht="15"/>
    <row r="271" s="491" customFormat="1" ht="15"/>
    <row r="272" s="491" customFormat="1" ht="15"/>
    <row r="273" s="491" customFormat="1" ht="15"/>
    <row r="274" s="491" customFormat="1" ht="15"/>
    <row r="275" s="491" customFormat="1" ht="15"/>
    <row r="276" s="491" customFormat="1" ht="15"/>
    <row r="277" s="491" customFormat="1" ht="15"/>
    <row r="278" s="491" customFormat="1" ht="15"/>
    <row r="279" s="491" customFormat="1" ht="15"/>
    <row r="280" s="491" customFormat="1" ht="15"/>
    <row r="281" s="491" customFormat="1" ht="15"/>
    <row r="282" s="491" customFormat="1" ht="15"/>
    <row r="283" s="491" customFormat="1" ht="15"/>
    <row r="284" s="491" customFormat="1" ht="15"/>
    <row r="285" s="491" customFormat="1" ht="15"/>
    <row r="286" s="491" customFormat="1" ht="15"/>
    <row r="287" s="491" customFormat="1" ht="15"/>
    <row r="288" s="491" customFormat="1" ht="15"/>
    <row r="289" s="491" customFormat="1" ht="15"/>
    <row r="290" s="491" customFormat="1" ht="15"/>
    <row r="291" s="491" customFormat="1" ht="15"/>
    <row r="292" s="491" customFormat="1" ht="15"/>
    <row r="293" s="491" customFormat="1" ht="15"/>
    <row r="294" s="491" customFormat="1" ht="15"/>
    <row r="295" s="491" customFormat="1" ht="15"/>
    <row r="296" s="491" customFormat="1" ht="15"/>
    <row r="297" s="491" customFormat="1" ht="15"/>
    <row r="298" s="491" customFormat="1" ht="15"/>
    <row r="299" s="491" customFormat="1" ht="15"/>
    <row r="300" s="491" customFormat="1" ht="15"/>
    <row r="301" s="491" customFormat="1" ht="15"/>
    <row r="302" s="491" customFormat="1" ht="15"/>
    <row r="303" s="491" customFormat="1" ht="15"/>
    <row r="304" s="491" customFormat="1" ht="15"/>
    <row r="305" s="491" customFormat="1" ht="15"/>
    <row r="306" s="491" customFormat="1" ht="15"/>
    <row r="307" s="491" customFormat="1" ht="15"/>
    <row r="308" s="491" customFormat="1" ht="15"/>
    <row r="309" s="491" customFormat="1" ht="15"/>
    <row r="310" s="491" customFormat="1" ht="15"/>
    <row r="311" s="491" customFormat="1" ht="15"/>
    <row r="312" s="491" customFormat="1" ht="15"/>
    <row r="313" s="491" customFormat="1" ht="15"/>
    <row r="314" s="491" customFormat="1" ht="15"/>
    <row r="315" s="491" customFormat="1" ht="15"/>
    <row r="316" s="491" customFormat="1" ht="15"/>
    <row r="317" s="491" customFormat="1" ht="15"/>
    <row r="318" s="491" customFormat="1" ht="15"/>
    <row r="319" s="491" customFormat="1" ht="15"/>
    <row r="320" s="491" customFormat="1" ht="15"/>
    <row r="321" s="491" customFormat="1" ht="15"/>
    <row r="322" s="491" customFormat="1" ht="15"/>
    <row r="323" s="491" customFormat="1" ht="15"/>
    <row r="324" s="491" customFormat="1" ht="15"/>
    <row r="325" s="491" customFormat="1" ht="15"/>
    <row r="326" s="491" customFormat="1" ht="15"/>
    <row r="327" s="491" customFormat="1" ht="15"/>
    <row r="328" s="491" customFormat="1" ht="15"/>
    <row r="329" s="491" customFormat="1" ht="15"/>
    <row r="330" s="491" customFormat="1" ht="15"/>
    <row r="331" s="491" customFormat="1" ht="15"/>
    <row r="332" s="491" customFormat="1" ht="15"/>
    <row r="333" s="491" customFormat="1" ht="15"/>
    <row r="334" s="491" customFormat="1" ht="15"/>
    <row r="335" s="491" customFormat="1" ht="15"/>
    <row r="336" s="491" customFormat="1" ht="15"/>
    <row r="337" s="491" customFormat="1" ht="15"/>
    <row r="338" s="491" customFormat="1" ht="15"/>
    <row r="339" s="491" customFormat="1" ht="15"/>
    <row r="340" s="491" customFormat="1" ht="15"/>
    <row r="341" s="491" customFormat="1" ht="15"/>
    <row r="342" s="491" customFormat="1" ht="15"/>
    <row r="343" s="491" customFormat="1" ht="15"/>
    <row r="344" s="491" customFormat="1" ht="15"/>
    <row r="345" s="491" customFormat="1" ht="15"/>
    <row r="346" s="491" customFormat="1" ht="15"/>
    <row r="347" s="491" customFormat="1" ht="15"/>
    <row r="348" s="491" customFormat="1" ht="15"/>
    <row r="349" s="491" customFormat="1" ht="15"/>
    <row r="350" s="491" customFormat="1" ht="15"/>
    <row r="351" s="491" customFormat="1" ht="15"/>
    <row r="352" s="491" customFormat="1" ht="15"/>
    <row r="353" s="491" customFormat="1" ht="15"/>
    <row r="354" s="491" customFormat="1" ht="15"/>
    <row r="355" s="491" customFormat="1" ht="15"/>
    <row r="356" s="491" customFormat="1" ht="15"/>
    <row r="357" s="491" customFormat="1" ht="15"/>
    <row r="358" s="491" customFormat="1" ht="15"/>
    <row r="359" s="491" customFormat="1" ht="15"/>
    <row r="360" s="491" customFormat="1" ht="15"/>
    <row r="361" s="491" customFormat="1" ht="15"/>
    <row r="362" s="491" customFormat="1" ht="15"/>
    <row r="363" s="491" customFormat="1" ht="15"/>
    <row r="364" s="491" customFormat="1" ht="15"/>
    <row r="365" s="491" customFormat="1" ht="15"/>
    <row r="366" s="491" customFormat="1" ht="15"/>
    <row r="367" s="491" customFormat="1" ht="15"/>
    <row r="368" s="491" customFormat="1" ht="15"/>
    <row r="369" s="491" customFormat="1" ht="15"/>
    <row r="370" s="491" customFormat="1" ht="15"/>
    <row r="371" s="491" customFormat="1" ht="15"/>
    <row r="372" s="491" customFormat="1" ht="15"/>
    <row r="373" s="491" customFormat="1" ht="15"/>
    <row r="374" s="491" customFormat="1" ht="15"/>
    <row r="375" s="491" customFormat="1" ht="15"/>
    <row r="376" s="491" customFormat="1" ht="15"/>
    <row r="377" s="491" customFormat="1" ht="15"/>
    <row r="378" s="491" customFormat="1" ht="15"/>
    <row r="379" s="491" customFormat="1" ht="15"/>
    <row r="380" s="491" customFormat="1" ht="15"/>
    <row r="381" s="491" customFormat="1" ht="15"/>
    <row r="382" s="491" customFormat="1" ht="15"/>
    <row r="383" s="491" customFormat="1" ht="15"/>
    <row r="384" s="491" customFormat="1" ht="15"/>
    <row r="385" s="491" customFormat="1" ht="15"/>
    <row r="386" s="491" customFormat="1" ht="15"/>
    <row r="387" s="491" customFormat="1" ht="15"/>
    <row r="388" s="491" customFormat="1" ht="15"/>
    <row r="389" s="491" customFormat="1" ht="15"/>
    <row r="390" s="491" customFormat="1" ht="15"/>
    <row r="391" s="491" customFormat="1" ht="15"/>
    <row r="392" s="491" customFormat="1" ht="15"/>
    <row r="393" s="491" customFormat="1" ht="15"/>
    <row r="394" s="491" customFormat="1" ht="15"/>
    <row r="395" s="491" customFormat="1" ht="15"/>
    <row r="396" s="491" customFormat="1" ht="15"/>
    <row r="397" s="491" customFormat="1" ht="15"/>
    <row r="398" s="491" customFormat="1" ht="15"/>
    <row r="399" s="491" customFormat="1" ht="15"/>
    <row r="400" s="491" customFormat="1" ht="15"/>
    <row r="401" s="491" customFormat="1" ht="15"/>
    <row r="402" s="491" customFormat="1" ht="15"/>
    <row r="403" s="491" customFormat="1" ht="15"/>
    <row r="404" s="491" customFormat="1" ht="15"/>
    <row r="405" s="491" customFormat="1" ht="15"/>
    <row r="406" s="491" customFormat="1" ht="15"/>
    <row r="407" s="491" customFormat="1" ht="15"/>
    <row r="408" s="491" customFormat="1" ht="15"/>
    <row r="409" s="491" customFormat="1" ht="15"/>
    <row r="410" s="491" customFormat="1" ht="15"/>
    <row r="411" s="491" customFormat="1" ht="15"/>
    <row r="412" s="491" customFormat="1" ht="15"/>
    <row r="413" s="491" customFormat="1" ht="15"/>
    <row r="414" s="491" customFormat="1" ht="15"/>
    <row r="415" s="491" customFormat="1" ht="15"/>
    <row r="416" s="491" customFormat="1" ht="15"/>
    <row r="417" s="491" customFormat="1" ht="15"/>
    <row r="418" s="491" customFormat="1" ht="15"/>
    <row r="419" s="491" customFormat="1" ht="15"/>
    <row r="420" s="491" customFormat="1" ht="15"/>
    <row r="421" s="491" customFormat="1" ht="15"/>
    <row r="422" s="491" customFormat="1" ht="15"/>
    <row r="423" s="491" customFormat="1" ht="15"/>
    <row r="424" s="491" customFormat="1" ht="15"/>
    <row r="425" s="491" customFormat="1" ht="15"/>
    <row r="426" s="491" customFormat="1" ht="15"/>
    <row r="427" s="491" customFormat="1" ht="15"/>
    <row r="428" s="491" customFormat="1" ht="15"/>
    <row r="429" s="491" customFormat="1" ht="15"/>
    <row r="430" s="491" customFormat="1" ht="15"/>
    <row r="431" s="491" customFormat="1" ht="15"/>
    <row r="432" s="491" customFormat="1" ht="15"/>
    <row r="433" s="491" customFormat="1" ht="15"/>
    <row r="434" s="491" customFormat="1" ht="15"/>
    <row r="435" s="491" customFormat="1" ht="15"/>
    <row r="436" s="491" customFormat="1" ht="15"/>
    <row r="437" s="491" customFormat="1" ht="15"/>
    <row r="438" s="491" customFormat="1" ht="15"/>
    <row r="439" s="491" customFormat="1" ht="15"/>
    <row r="440" s="491" customFormat="1" ht="15"/>
    <row r="441" s="491" customFormat="1" ht="15"/>
    <row r="442" s="491" customFormat="1" ht="15"/>
    <row r="443" s="491" customFormat="1" ht="15"/>
    <row r="444" s="491" customFormat="1" ht="15"/>
    <row r="445" s="491" customFormat="1" ht="15"/>
    <row r="446" s="491" customFormat="1" ht="15"/>
    <row r="447" s="491" customFormat="1" ht="15"/>
    <row r="448" s="491" customFormat="1" ht="15"/>
    <row r="449" s="491" customFormat="1" ht="15"/>
    <row r="450" s="491" customFormat="1" ht="15"/>
    <row r="451" s="491" customFormat="1" ht="15"/>
    <row r="452" s="491" customFormat="1" ht="15"/>
    <row r="453" s="491" customFormat="1" ht="15"/>
    <row r="454" s="491" customFormat="1" ht="15"/>
    <row r="455" s="491" customFormat="1" ht="15"/>
    <row r="456" s="491" customFormat="1" ht="15"/>
    <row r="457" s="491" customFormat="1" ht="15"/>
    <row r="458" s="491" customFormat="1" ht="15"/>
    <row r="459" s="491" customFormat="1" ht="15"/>
    <row r="460" s="491" customFormat="1" ht="15"/>
    <row r="461" s="491" customFormat="1" ht="15"/>
    <row r="462" s="491" customFormat="1" ht="15"/>
    <row r="463" s="491" customFormat="1" ht="15"/>
    <row r="464" s="491" customFormat="1" ht="15"/>
    <row r="465" s="491" customFormat="1" ht="15"/>
    <row r="466" s="491" customFormat="1" ht="15"/>
    <row r="467" s="491" customFormat="1" ht="15"/>
    <row r="468" s="491" customFormat="1" ht="15"/>
    <row r="469" s="491" customFormat="1" ht="15"/>
    <row r="470" s="491" customFormat="1" ht="15"/>
    <row r="471" s="491" customFormat="1" ht="15"/>
    <row r="472" s="491" customFormat="1" ht="15"/>
    <row r="473" s="491" customFormat="1" ht="15"/>
    <row r="474" s="491" customFormat="1" ht="15"/>
    <row r="475" s="491" customFormat="1" ht="15"/>
    <row r="476" s="491" customFormat="1" ht="15"/>
    <row r="477" s="491" customFormat="1" ht="15"/>
    <row r="478" s="491" customFormat="1" ht="15"/>
    <row r="479" s="491" customFormat="1" ht="15"/>
    <row r="480" s="491" customFormat="1" ht="15"/>
    <row r="481" s="491" customFormat="1" ht="15"/>
    <row r="482" s="491" customFormat="1" ht="15"/>
    <row r="483" s="491" customFormat="1" ht="15"/>
    <row r="484" s="491" customFormat="1" ht="15"/>
    <row r="485" s="491" customFormat="1" ht="15"/>
    <row r="486" s="491" customFormat="1" ht="15"/>
    <row r="487" s="491" customFormat="1" ht="15"/>
    <row r="488" s="491" customFormat="1" ht="15"/>
    <row r="489" s="491" customFormat="1" ht="15"/>
    <row r="490" s="491" customFormat="1" ht="15"/>
    <row r="491" s="491" customFormat="1" ht="15"/>
    <row r="492" s="491" customFormat="1" ht="15"/>
    <row r="493" s="491" customFormat="1" ht="15"/>
    <row r="494" s="491" customFormat="1" ht="15"/>
    <row r="495" s="491" customFormat="1" ht="15"/>
    <row r="496" s="491" customFormat="1" ht="15"/>
    <row r="497" s="491" customFormat="1" ht="15"/>
    <row r="498" s="491" customFormat="1" ht="15"/>
    <row r="499" s="491" customFormat="1" ht="15"/>
    <row r="500" s="491" customFormat="1" ht="15"/>
    <row r="501" s="491" customFormat="1" ht="15"/>
    <row r="502" s="491" customFormat="1" ht="15"/>
    <row r="503" s="491" customFormat="1" ht="15"/>
    <row r="504" s="491" customFormat="1" ht="15"/>
    <row r="505" s="491" customFormat="1" ht="15"/>
    <row r="506" s="491" customFormat="1" ht="15"/>
    <row r="507" s="491" customFormat="1" ht="15"/>
    <row r="508" s="491" customFormat="1" ht="15"/>
    <row r="509" s="491" customFormat="1" ht="15"/>
    <row r="510" s="491" customFormat="1" ht="15"/>
    <row r="511" s="491" customFormat="1" ht="15"/>
    <row r="512" s="491" customFormat="1" ht="15"/>
    <row r="513" s="491" customFormat="1" ht="15"/>
    <row r="514" s="491" customFormat="1" ht="15"/>
    <row r="515" s="491" customFormat="1" ht="15"/>
    <row r="516" s="491" customFormat="1" ht="15"/>
    <row r="517" s="491" customFormat="1" ht="15"/>
    <row r="518" s="491" customFormat="1" ht="15"/>
    <row r="519" s="491" customFormat="1" ht="15"/>
    <row r="520" s="491" customFormat="1" ht="15"/>
    <row r="521" s="491" customFormat="1" ht="15"/>
    <row r="522" s="491" customFormat="1" ht="15"/>
    <row r="523" s="491" customFormat="1" ht="15"/>
    <row r="524" s="491" customFormat="1" ht="15"/>
    <row r="525" s="491" customFormat="1" ht="15"/>
    <row r="526" s="491" customFormat="1" ht="15"/>
    <row r="527" s="491" customFormat="1" ht="15"/>
    <row r="528" s="491" customFormat="1" ht="15"/>
    <row r="529" s="491" customFormat="1" ht="15"/>
  </sheetData>
  <customSheetViews>
    <customSheetView guid="{7A886FB3-8F08-4D3E-B7EB-0851AD05C3C6}" showGridLines="0" fitToPage="1">
      <selection activeCell="Y11" sqref="Y11"/>
      <pageMargins left="0.708661417322835" right="0.708661417322835" top="0.748031496062992" bottom="0.748031496062992" header="0.31496062992126" footer="0.31496062992126"/>
      <pageSetup paperSize="9" scale="98" fitToHeight="0" orientation="portrait"/>
      <headerFooter/>
    </customSheetView>
  </customSheetViews>
  <mergeCells count="39">
    <mergeCell ref="AL2:AU2"/>
    <mergeCell ref="AL4:AU4"/>
    <mergeCell ref="AL6:AU6"/>
    <mergeCell ref="AL8:AU8"/>
    <mergeCell ref="AL10:AU10"/>
    <mergeCell ref="A13:AV13"/>
    <mergeCell ref="A14:AV14"/>
    <mergeCell ref="A18:AU18"/>
    <mergeCell ref="B28:Z28"/>
    <mergeCell ref="AA28:AH28"/>
    <mergeCell ref="AI28:AP28"/>
    <mergeCell ref="AQ28:AU28"/>
    <mergeCell ref="B29:Z29"/>
    <mergeCell ref="AA29:AH29"/>
    <mergeCell ref="AI29:AP29"/>
    <mergeCell ref="AQ29:AU29"/>
    <mergeCell ref="B30:Z30"/>
    <mergeCell ref="AA30:AH30"/>
    <mergeCell ref="AI30:AP30"/>
    <mergeCell ref="AQ30:AU30"/>
    <mergeCell ref="Y31:Z31"/>
    <mergeCell ref="AA31:AH31"/>
    <mergeCell ref="AI31:AP31"/>
    <mergeCell ref="AQ31:AU31"/>
    <mergeCell ref="Y32:Z32"/>
    <mergeCell ref="AA32:AH32"/>
    <mergeCell ref="AI32:AP32"/>
    <mergeCell ref="AQ32:AU32"/>
    <mergeCell ref="Y33:Z33"/>
    <mergeCell ref="AA33:AH33"/>
    <mergeCell ref="AI33:AP33"/>
    <mergeCell ref="AQ33:AU33"/>
    <mergeCell ref="B35:AU35"/>
    <mergeCell ref="B61:AU61"/>
    <mergeCell ref="B66:AU66"/>
    <mergeCell ref="B72:AU72"/>
    <mergeCell ref="B76:AU76"/>
    <mergeCell ref="B23:AV24"/>
    <mergeCell ref="A8:Z9"/>
  </mergeCells>
  <pageMargins left="0.708661417322835" right="0.708661417322835" top="0.748031496062992" bottom="0.748031496062992" header="0.31496062992126" footer="0.31496062992126"/>
  <pageSetup paperSize="9" scale="84" fitToHeight="0" orientation="portrait"/>
  <headerFooter>
    <oddFooter>&amp;C&amp;"Arial Narrow,Uobičajeno"Odgovorno lice svojim potpisom i pečatom pravnog lica potvrđuje da su podaci u elektronskoj i pisanoj formi vjerodostojni i istovjetni.</oddFooter>
  </headerFooter>
  <rowBreaks count="1" manualBreakCount="1">
    <brk id="51"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5">
    <tabColor rgb="FF008000"/>
    <pageSetUpPr fitToPage="1"/>
  </sheetPr>
  <dimension ref="A1:AK46"/>
  <sheetViews>
    <sheetView showGridLines="0" topLeftCell="A10" workbookViewId="0">
      <selection activeCell="AY16" sqref="AY16"/>
    </sheetView>
  </sheetViews>
  <sheetFormatPr defaultColWidth="2.28571428571429" defaultRowHeight="15"/>
  <cols>
    <col min="1" max="1" width="3.28571428571429" style="1201" customWidth="1"/>
    <col min="2" max="13" width="2.28571428571429" style="1201"/>
    <col min="14" max="14" width="16.1428571428571" style="1201" customWidth="1"/>
    <col min="15" max="16384" width="2.28571428571429" style="1201"/>
  </cols>
  <sheetData>
    <row r="1" ht="18.75" spans="1:37">
      <c r="A1" s="1202" t="str">
        <f>Firma</f>
        <v>LILIUM ASSET MANAGEMENT d.o.o. Sarajevo</v>
      </c>
    </row>
    <row r="2" spans="1:37">
      <c r="A2" s="1203" t="s">
        <v>2439</v>
      </c>
    </row>
    <row r="3" ht="15.75" spans="1:37">
      <c r="A3" s="1204" t="str">
        <f>Sjedište&amp;", "&amp;Adresa</f>
        <v>Sarajevo-Stari Grad, Dženetića čikma br.8</v>
      </c>
    </row>
    <row r="4" spans="1:37">
      <c r="A4" s="1203" t="s">
        <v>7485</v>
      </c>
      <c r="B4" s="1205"/>
      <c r="C4" s="1205"/>
      <c r="D4" s="1205"/>
      <c r="E4" s="1205"/>
      <c r="F4" s="1205"/>
      <c r="G4" s="1205"/>
      <c r="H4" s="1205"/>
      <c r="I4" s="1205"/>
      <c r="J4" s="1205"/>
      <c r="K4" s="1205"/>
      <c r="L4" s="1205"/>
      <c r="M4" s="1205"/>
    </row>
    <row r="5" ht="15.75" spans="1:37">
      <c r="A5" s="1204" t="str">
        <f>IdBroj</f>
        <v>4201337670009</v>
      </c>
      <c r="B5" s="1206"/>
      <c r="C5" s="1206"/>
    </row>
    <row r="6" spans="1:37">
      <c r="A6" s="1203" t="s">
        <v>7486</v>
      </c>
    </row>
    <row r="7" ht="15.75" spans="1:37">
      <c r="A7" s="1207" t="str">
        <f>UnosPod!AA22&amp;UnosPod!AB22&amp;"."&amp;UnosPod!AC22&amp;UnosPod!AD22&amp;"."&amp;UnosPod!AE22&amp;UnosPod!AF22&amp;UnosPod!AG22&amp;UnosPod!AH22&amp;".godine"</f>
        <v>28.02.2026.godine</v>
      </c>
      <c r="B7" s="1207"/>
      <c r="C7" s="1207"/>
      <c r="D7" s="1207"/>
      <c r="E7" s="1207"/>
    </row>
    <row r="8" spans="1:37">
      <c r="A8" s="1203" t="s">
        <v>7336</v>
      </c>
    </row>
    <row r="9" ht="15.75" spans="1:37">
      <c r="A9" s="1204" t="str">
        <f ca="1">"GodObr-"&amp;UnosPod!O6&amp;UnosPod!P6&amp;"/"&amp;PoslGod</f>
        <v>GodObr-12/2025</v>
      </c>
      <c r="V9" s="1205"/>
    </row>
    <row r="10" spans="1:37">
      <c r="A10" s="1203" t="s">
        <v>7419</v>
      </c>
    </row>
    <row r="11" ht="15.75" spans="1:37">
      <c r="A11" s="1208"/>
      <c r="E11" s="1208"/>
      <c r="F11" s="1208"/>
      <c r="G11" s="1208"/>
      <c r="H11" s="1208"/>
      <c r="I11" s="1208"/>
      <c r="J11" s="1208"/>
      <c r="K11" s="1208"/>
      <c r="L11" s="1208"/>
      <c r="M11" s="1208"/>
    </row>
    <row r="13" spans="1:37">
      <c r="A13" s="1695" t="str">
        <f>"Na osnovu člana  339. Zakona o privrednim društvima („Službene novine Federacije BiH“, br. 81/15) i odredbi Statuta "&amp;UnosPod!F8&amp;" , a u smislu člana 44. stav 2. Zakona o računovodstvu i reviziji u Federaciji BiH („Službene novine Federacije BiH“, broj 15/21),  direktor donosi"</f>
        <v>Na osnovu člana  339. Zakona o privrednim društvima („Službene novine Federacije BiH“, br. 81/15) i odredbi Statuta LILIUM ASSET MANAGEMENT d.o.o. Sarajevo , a u smislu člana 44. stav 2. Zakona o računovodstvu i reviziji u Federaciji BiH („Službene novine Federacije BiH“, broj 15/21),  direktor donosi</v>
      </c>
      <c r="B13" s="1695"/>
      <c r="C13" s="1695"/>
      <c r="D13" s="1695"/>
      <c r="E13" s="1695"/>
      <c r="F13" s="1695"/>
      <c r="G13" s="1695"/>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row>
    <row r="14" spans="1:37">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5"/>
      <c r="AJ14" s="1695"/>
      <c r="AK14" s="1695"/>
    </row>
    <row r="15" spans="1:37">
      <c r="A15" s="1695"/>
      <c r="B15" s="1695"/>
      <c r="C15" s="1695"/>
      <c r="D15" s="1695"/>
      <c r="E15" s="1695"/>
      <c r="F15" s="1695"/>
      <c r="G15" s="1695"/>
      <c r="H15" s="1695"/>
      <c r="I15" s="1695"/>
      <c r="J15" s="1695"/>
      <c r="K15" s="1695"/>
      <c r="L15" s="1695"/>
      <c r="M15" s="1695"/>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spans="1:37">
      <c r="A16" s="1695"/>
      <c r="B16" s="1695"/>
      <c r="C16" s="1695"/>
      <c r="D16" s="1695"/>
      <c r="E16" s="1695"/>
      <c r="F16" s="1695"/>
      <c r="G16" s="1695"/>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95"/>
      <c r="AG16" s="1695"/>
      <c r="AH16" s="1695"/>
      <c r="AI16" s="1695"/>
      <c r="AJ16" s="1695"/>
      <c r="AK16" s="1695"/>
    </row>
    <row r="17" spans="1:37">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pans="1:37">
      <c r="B18" s="1210"/>
      <c r="C18" s="1210"/>
      <c r="D18" s="1210"/>
      <c r="F18" s="1210"/>
      <c r="G18" s="1210"/>
      <c r="H18" s="1210"/>
      <c r="I18" s="1210"/>
    </row>
    <row r="19" ht="22.5" spans="1:37">
      <c r="A19" s="1211" t="s">
        <v>7487</v>
      </c>
      <c r="B19" s="1211"/>
      <c r="C19" s="1211"/>
      <c r="D19" s="1211"/>
      <c r="E19" s="1211"/>
      <c r="F19" s="1211"/>
      <c r="G19" s="1211"/>
      <c r="H19" s="121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c r="AF19" s="1211"/>
      <c r="AG19" s="1211"/>
      <c r="AH19" s="1211"/>
      <c r="AI19" s="1211"/>
      <c r="AJ19" s="1211"/>
      <c r="AK19" s="1211"/>
    </row>
    <row r="20" ht="15.75" spans="1:37">
      <c r="A20" s="1212" t="str">
        <f ca="1">"za period "&amp;PeriodOd&amp;" - "&amp;PeriodDo&amp;".godine, za potrebe njihove predaje ovlaštenoj instituciji"</f>
        <v>za period 01.01.2025 - 31.12.2025.godine, za potrebe njihove predaje ovlaštenoj instituciji</v>
      </c>
      <c r="B20" s="1212"/>
      <c r="C20" s="1212"/>
      <c r="D20" s="1212"/>
      <c r="E20" s="121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c r="AJ20" s="1212"/>
      <c r="AK20" s="1212"/>
    </row>
    <row r="21" spans="1:37">
      <c r="A21" s="1696"/>
      <c r="B21" s="1696"/>
      <c r="C21" s="1696"/>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spans="1:37">
      <c r="A22" s="1209" t="str">
        <f ca="1">"Isključivo za potrebe njihove predaje ovlaštenoj instituciji u smislu člana 44. stav 6. Zakona o računovodstvu i reviziji u Federaciji BiH, utvrđuje se prijedlog finansijskih izvještaja za "&amp;PoslGod&amp;".godinu koji obuhvata: "</f>
        <v>Isključivo za potrebe njihove predaje ovlaštenoj instituciji u smislu člana 44. stav 6. Zakona o računovodstvu i reviziji u Federaciji BiH, utvrđuje se prijedlog finansijskih izvještaja za 2025.godinu koji obuhvata: </v>
      </c>
      <c r="B22" s="1209"/>
      <c r="C22" s="1209"/>
      <c r="D22" s="1209"/>
      <c r="E22" s="1209"/>
      <c r="F22" s="1209"/>
      <c r="G22" s="1209"/>
      <c r="H22" s="1209"/>
      <c r="I22" s="1209"/>
      <c r="J22" s="1209"/>
      <c r="K22" s="1209"/>
      <c r="L22" s="1209"/>
      <c r="M22" s="1209"/>
      <c r="N22" s="1209"/>
      <c r="O22" s="1209"/>
      <c r="P22" s="1209"/>
      <c r="Q22" s="1209"/>
      <c r="R22" s="1209"/>
      <c r="S22" s="1209"/>
      <c r="T22" s="1209"/>
      <c r="U22" s="1209"/>
      <c r="V22" s="1209"/>
      <c r="W22" s="1209"/>
      <c r="X22" s="1209"/>
      <c r="Y22" s="1209"/>
      <c r="Z22" s="1209"/>
      <c r="AA22" s="1209"/>
      <c r="AB22" s="1209"/>
      <c r="AC22" s="1209"/>
      <c r="AD22" s="1209"/>
      <c r="AE22" s="1209"/>
      <c r="AF22" s="1209"/>
      <c r="AG22" s="1209"/>
      <c r="AH22" s="1209"/>
      <c r="AI22" s="1209"/>
      <c r="AJ22" s="1209"/>
      <c r="AK22" s="1209"/>
    </row>
    <row r="23" spans="1:37">
      <c r="A23" s="1209"/>
      <c r="B23" s="1209"/>
      <c r="C23" s="1209"/>
      <c r="D23" s="1209"/>
      <c r="E23" s="1209"/>
      <c r="F23" s="1209"/>
      <c r="G23" s="1209"/>
      <c r="H23" s="1209"/>
      <c r="I23" s="1209"/>
      <c r="J23" s="1209"/>
      <c r="K23" s="1209"/>
      <c r="L23" s="1209"/>
      <c r="M23" s="1209"/>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row>
    <row r="24" ht="15.75" spans="1:37">
      <c r="A24" s="577"/>
      <c r="B24" s="1216"/>
      <c r="C24" s="1216"/>
      <c r="D24" s="1216"/>
      <c r="E24" s="1216"/>
      <c r="F24" s="1201" t="s">
        <v>2426</v>
      </c>
      <c r="G24" s="1697" t="s">
        <v>7488</v>
      </c>
      <c r="H24" s="1216"/>
      <c r="I24" s="1216"/>
    </row>
    <row r="25" ht="15.75" spans="1:37">
      <c r="A25" s="577"/>
      <c r="B25" s="1216"/>
      <c r="C25" s="1216"/>
      <c r="D25" s="1216"/>
      <c r="E25" s="1216"/>
      <c r="F25" s="1201" t="s">
        <v>2426</v>
      </c>
      <c r="G25" s="1697" t="s">
        <v>7489</v>
      </c>
      <c r="H25" s="1216"/>
      <c r="I25" s="1216"/>
    </row>
    <row r="26" ht="15.75" spans="1:37">
      <c r="A26" s="577"/>
      <c r="B26" s="1216"/>
      <c r="C26" s="1216"/>
      <c r="D26" s="1216"/>
      <c r="E26" s="1216"/>
      <c r="F26" s="1201" t="s">
        <v>2426</v>
      </c>
      <c r="G26" s="1697" t="s">
        <v>7490</v>
      </c>
      <c r="H26" s="1216"/>
      <c r="I26" s="1216"/>
    </row>
    <row r="27" ht="15.75" spans="1:37">
      <c r="A27" s="577"/>
      <c r="B27" s="1216"/>
      <c r="C27" s="1216"/>
      <c r="D27" s="1216"/>
      <c r="E27" s="1216"/>
      <c r="F27" s="1201" t="s">
        <v>2426</v>
      </c>
      <c r="G27" s="1697" t="s">
        <v>7491</v>
      </c>
      <c r="H27" s="1216"/>
      <c r="I27" s="1216"/>
    </row>
    <row r="28" ht="15.75" spans="1:37">
      <c r="A28" s="577"/>
      <c r="B28" s="1216"/>
      <c r="C28" s="1216"/>
      <c r="D28" s="1216"/>
      <c r="E28" s="1216"/>
      <c r="F28" s="1201" t="s">
        <v>2426</v>
      </c>
      <c r="G28" s="1697" t="s">
        <v>7492</v>
      </c>
      <c r="H28" s="1216"/>
      <c r="I28" s="1216"/>
    </row>
    <row r="29" ht="15.75" spans="1:37">
      <c r="A29" s="577"/>
      <c r="B29" s="1216"/>
      <c r="C29" s="1216"/>
      <c r="D29" s="1216"/>
      <c r="E29" s="1216"/>
      <c r="F29" s="1201" t="str">
        <f t="shared" ref="F29:F34" si="0">IF(G29="",""," -")</f>
        <v/>
      </c>
      <c r="G29" s="1698" t="str">
        <f>IF(UnosPod!F23="N","","Godišnji izvještaj o poslovanju, ")</f>
        <v/>
      </c>
      <c r="H29" s="1216"/>
      <c r="I29" s="1216"/>
    </row>
    <row r="30" ht="15.75" spans="1:37">
      <c r="A30" s="577"/>
      <c r="B30" s="1216"/>
      <c r="C30" s="1216"/>
      <c r="D30" s="1216"/>
      <c r="E30" s="1216"/>
      <c r="F30" s="1201" t="str">
        <f t="shared" si="0"/>
        <v/>
      </c>
      <c r="G30" s="1698" t="str">
        <f>IF(UnosPod!F23="N","","Izvještaj o promjenama u kapitalu, ")</f>
        <v/>
      </c>
      <c r="H30" s="1216"/>
      <c r="I30" s="1216"/>
    </row>
    <row r="31" ht="15.75" spans="1:37">
      <c r="A31" s="577"/>
      <c r="B31" s="1216"/>
      <c r="C31" s="1216"/>
      <c r="D31" s="1216"/>
      <c r="E31" s="1216"/>
      <c r="F31" s="1201" t="str">
        <f t="shared" si="0"/>
        <v/>
      </c>
      <c r="G31" s="1698" t="str">
        <f>IF(UnosPod!F24="N","","Izvještaj o novčanim tokovima - direktna metoda, ")</f>
        <v/>
      </c>
      <c r="H31" s="1216"/>
      <c r="I31" s="1216"/>
    </row>
    <row r="32" ht="15.75" spans="1:37">
      <c r="A32" s="577"/>
      <c r="B32" s="1216"/>
      <c r="C32" s="1216"/>
      <c r="D32" s="1216"/>
      <c r="E32" s="1216"/>
      <c r="F32" s="1201" t="str">
        <f t="shared" si="0"/>
        <v/>
      </c>
      <c r="G32" s="1698" t="str">
        <f>IF(UnosPod!F25="N","","Izvještaj o novčanim tokovima - indirektna metoda.")</f>
        <v/>
      </c>
      <c r="H32" s="1216"/>
      <c r="I32" s="1216"/>
      <c r="AF32" s="1699"/>
    </row>
    <row r="33" ht="15.75" spans="1:37">
      <c r="A33" s="577"/>
      <c r="B33" s="1216"/>
      <c r="C33" s="1216"/>
      <c r="D33" s="1216"/>
      <c r="E33" s="1216"/>
      <c r="G33" s="1698"/>
      <c r="H33" s="1216"/>
      <c r="I33" s="1216"/>
      <c r="AF33" s="1699"/>
    </row>
    <row r="34" ht="15.75" spans="1:37">
      <c r="A34" s="577"/>
      <c r="B34" s="1216"/>
      <c r="C34" s="1216"/>
      <c r="D34" s="1216"/>
      <c r="E34" s="1216"/>
      <c r="F34" s="1201" t="str">
        <f t="shared" si="0"/>
        <v/>
      </c>
      <c r="G34" s="1698"/>
      <c r="H34" s="1216"/>
      <c r="I34" s="1216"/>
      <c r="AF34" s="1699"/>
    </row>
    <row r="35" spans="1:37">
      <c r="A35" s="1209" t="str">
        <f ca="1">"Izjavljujem da su "&amp;Biljeske_FIA_PDF!A58</f>
        <v>Izjavljujem da su Svi finansijski izvještaji LILIUM ASSET MANAGEMENT d.o.o. Sarajevo za obračunski period 01.01.2025 - 31.12.2025. godine u potpunosti su urađeni u skladu sa Zakona o računovodstvu i primjnom MSFI za MSP (mala i srednja pravna lica).  </v>
      </c>
      <c r="B35" s="1209"/>
      <c r="C35" s="1209"/>
      <c r="D35" s="1209"/>
      <c r="E35" s="1209"/>
      <c r="F35" s="1209"/>
      <c r="G35" s="1209"/>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row>
    <row r="36" spans="1:37">
      <c r="A36" s="1209"/>
      <c r="B36" s="1209"/>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c r="AJ36" s="1209"/>
      <c r="AK36" s="1209"/>
    </row>
    <row r="37" spans="1:37">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c r="AJ37" s="1209"/>
      <c r="AK37" s="1209"/>
    </row>
    <row r="38" spans="1:37">
      <c r="A38" s="1209"/>
      <c r="B38" s="1209"/>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09"/>
      <c r="Y38" s="1209"/>
      <c r="Z38" s="1209"/>
      <c r="AA38" s="1209"/>
      <c r="AB38" s="1209"/>
      <c r="AC38" s="1209"/>
      <c r="AD38" s="1209"/>
      <c r="AE38" s="1209"/>
      <c r="AF38" s="1209"/>
      <c r="AG38" s="1209"/>
      <c r="AH38" s="1209"/>
      <c r="AI38" s="1209"/>
      <c r="AJ38" s="1209"/>
      <c r="AK38" s="1209"/>
    </row>
    <row r="39" spans="1:37">
      <c r="A39" s="1209"/>
      <c r="B39" s="1209"/>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9"/>
      <c r="AH39" s="1209"/>
      <c r="AI39" s="1209"/>
      <c r="AJ39" s="1209"/>
      <c r="AK39" s="1209"/>
    </row>
    <row r="40" spans="1:37">
      <c r="A40" s="1209"/>
      <c r="B40" s="1209"/>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c r="AF40" s="1209"/>
      <c r="AG40" s="1209"/>
      <c r="AH40" s="1209"/>
      <c r="AI40" s="1209"/>
      <c r="AJ40" s="1209"/>
      <c r="AK40" s="1209"/>
    </row>
    <row r="41" spans="1:37">
      <c r="A41" s="1209"/>
      <c r="B41" s="1209"/>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209"/>
      <c r="AI41" s="1209"/>
      <c r="AJ41" s="1209"/>
      <c r="AK41" s="1209"/>
    </row>
    <row r="44" spans="1:37">
      <c r="T44" s="1205" t="s">
        <v>7039</v>
      </c>
      <c r="U44" s="1205"/>
      <c r="V44" s="1205"/>
      <c r="W44" s="1205"/>
      <c r="X44" s="1219"/>
      <c r="Y44" s="1219"/>
      <c r="Z44" s="1219"/>
      <c r="AA44" s="1219"/>
      <c r="AB44" s="1219"/>
      <c r="AC44" s="1219"/>
      <c r="AD44" s="1219"/>
      <c r="AE44" s="1219"/>
      <c r="AF44" s="1219"/>
      <c r="AG44" s="1219"/>
      <c r="AH44" s="1219"/>
      <c r="AI44" s="1205"/>
    </row>
    <row r="45" ht="15.75" spans="1:37">
      <c r="T45" s="1205"/>
      <c r="U45" s="1205"/>
      <c r="V45" s="1205"/>
      <c r="W45" s="1205"/>
      <c r="Y45" s="1220"/>
      <c r="Z45" s="1220"/>
      <c r="AA45" s="1220"/>
      <c r="AB45" s="1220"/>
      <c r="AC45" s="1220"/>
      <c r="AD45" s="1220"/>
      <c r="AE45" s="1220"/>
      <c r="AF45" s="1220"/>
      <c r="AG45" s="1220"/>
      <c r="AH45" s="1221" t="str">
        <f>Direktor</f>
        <v>Nedim Vilogorac</v>
      </c>
      <c r="AI45" s="1205"/>
    </row>
    <row r="46" spans="1:37">
      <c r="AH46" s="1700" t="s">
        <v>2465</v>
      </c>
    </row>
  </sheetData>
  <mergeCells count="6">
    <mergeCell ref="A19:AK19"/>
    <mergeCell ref="A20:AK20"/>
    <mergeCell ref="A21:AK21"/>
    <mergeCell ref="A35:AK41"/>
    <mergeCell ref="A13:AK17"/>
    <mergeCell ref="A22:AK23"/>
  </mergeCells>
  <pageMargins left="0.7" right="0.7" top="0.75" bottom="0.75" header="0.3" footer="0.3"/>
  <pageSetup paperSize="9" scale="89"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3">
    <tabColor rgb="FF008000"/>
    <pageSetUpPr fitToPage="1"/>
  </sheetPr>
  <dimension ref="A1:M50"/>
  <sheetViews>
    <sheetView showGridLines="0" topLeftCell="C1" workbookViewId="0">
      <selection activeCell="C7" sqref="C7:E7"/>
    </sheetView>
  </sheetViews>
  <sheetFormatPr defaultColWidth="9" defaultRowHeight="14.25"/>
  <cols>
    <col min="1" max="2" width="9.14285714285714" style="1674" hidden="1" customWidth="1"/>
    <col min="3" max="3" width="3.57142857142857" style="1674" customWidth="1"/>
    <col min="4" max="5" width="20" style="1674" customWidth="1"/>
    <col min="6" max="6" width="0.714285714285714" style="1674" customWidth="1"/>
    <col min="7" max="7" width="8.57142857142857" style="1674" customWidth="1"/>
    <col min="8" max="8" width="10.8571428571429" style="1674" customWidth="1"/>
    <col min="9" max="11" width="7" style="1674" customWidth="1"/>
    <col min="12" max="12" width="4.42857142857143" style="1674" customWidth="1"/>
    <col min="13" max="13" width="6.57142857142857" style="1674" customWidth="1"/>
    <col min="14" max="16384" width="9.14285714285714" style="1674"/>
  </cols>
  <sheetData>
    <row r="1" ht="25.5" spans="3:13">
      <c r="C1" s="1626" t="str">
        <f>IF(B_Uspjeha!AI153=0,Firma,Firma)</f>
        <v>LILIUM ASSET MANAGEMENT d.o.o. Sarajevo</v>
      </c>
      <c r="D1" s="1627"/>
      <c r="E1" s="1627"/>
      <c r="F1" s="1628"/>
      <c r="G1" s="1629"/>
      <c r="H1" s="1630"/>
      <c r="M1" s="1675" t="str">
        <f>"*"&amp;37&amp;B32&amp;"*"</f>
        <v>*37*</v>
      </c>
    </row>
    <row r="2" ht="25.5" spans="3:13">
      <c r="C2" s="1632" t="s">
        <v>2439</v>
      </c>
      <c r="D2" s="1633"/>
      <c r="E2" s="1633"/>
      <c r="F2" s="1633"/>
      <c r="G2" s="1629"/>
      <c r="H2" s="1630"/>
      <c r="M2" s="1675"/>
    </row>
    <row r="3" ht="25.5" spans="3:13">
      <c r="C3" s="1634" t="str">
        <f>IF(B_Uspjeha!AI153=0,Sjedište,Sjedište&amp;", "&amp;Adresa)</f>
        <v>Sarajevo-Stari Grad</v>
      </c>
      <c r="D3" s="1627"/>
      <c r="E3" s="1627"/>
      <c r="F3" s="1628"/>
      <c r="G3" s="1629"/>
      <c r="H3" s="1630"/>
      <c r="M3" s="1675"/>
    </row>
    <row r="4" ht="25.5" spans="3:13">
      <c r="C4" s="1632" t="s">
        <v>2442</v>
      </c>
      <c r="D4" s="1633"/>
      <c r="E4" s="1633"/>
      <c r="F4" s="1633"/>
      <c r="G4" s="1635"/>
      <c r="H4" s="1630"/>
      <c r="M4" s="1675"/>
    </row>
    <row r="5" ht="25.5" spans="3:13">
      <c r="C5" s="1636" t="str">
        <f>IF(B_Uspjeha!AI153=0,IdBroj,IdBroj&amp;" ")</f>
        <v>4201337670009</v>
      </c>
      <c r="D5" s="1636"/>
      <c r="E5" s="1636"/>
      <c r="F5" s="1637"/>
      <c r="G5" s="1635"/>
      <c r="H5" s="1630"/>
      <c r="M5" s="1675"/>
    </row>
    <row r="6" ht="25.5" spans="3:13">
      <c r="C6" s="1632" t="s">
        <v>7486</v>
      </c>
      <c r="D6" s="1638"/>
      <c r="E6" s="1637"/>
      <c r="F6" s="1639"/>
      <c r="G6" s="1639"/>
      <c r="H6" s="1630"/>
      <c r="M6" s="1675"/>
    </row>
    <row r="7" ht="25.5" spans="3:13">
      <c r="C7" s="1640" t="str">
        <f>IF(B_Uspjeha!AI153&gt;=0,UnosPod!AA22&amp;UnosPod!AB22&amp;"."&amp;UnosPod!AC22&amp;UnosPod!AD22&amp;"."&amp;UnosPod!AE22&amp;UnosPod!AF22&amp;UnosPod!AG22&amp;UnosPod!AH22&amp;".godine",UnosPod!AA22&amp;UnosPod!AB22&amp;"."&amp;UnosPod!AC22&amp;UnosPod!AD22&amp;"."&amp;UnosPod!AE22&amp;UnosPod!AF22&amp;UnosPod!AG22&amp;UnosPod!AH22&amp;".godine")</f>
        <v>28.02.2026.godine</v>
      </c>
      <c r="D7" s="1640"/>
      <c r="E7" s="1640"/>
      <c r="F7" s="1639"/>
      <c r="G7" s="1639"/>
      <c r="H7" s="1630"/>
      <c r="M7" s="1675"/>
    </row>
    <row r="8" ht="25.5" spans="3:13">
      <c r="C8" s="1632" t="s">
        <v>7336</v>
      </c>
      <c r="D8" s="1638"/>
      <c r="E8" s="1641"/>
      <c r="F8" s="1641"/>
      <c r="G8" s="1635"/>
      <c r="H8" s="1630"/>
      <c r="M8" s="1675"/>
    </row>
    <row r="9" ht="25.5" spans="3:13">
      <c r="C9" s="1676" t="str">
        <f ca="1">IF(B_Uspjeha!AI153=0,"GodObr-"&amp;UnosPod!O6&amp;UnosPod!P6&amp;"/"&amp;PoslGod,"GodObr-"&amp;UnosPod!O6&amp;UnosPod!P6&amp;"/"&amp;PoslGod)</f>
        <v>GodObr-12/2025</v>
      </c>
      <c r="D9" s="1642"/>
      <c r="E9" s="1643"/>
      <c r="F9" s="1641"/>
      <c r="G9" s="1635"/>
      <c r="H9" s="1630"/>
      <c r="M9" s="1675"/>
    </row>
    <row r="10" ht="25.5" spans="3:13">
      <c r="C10" s="1632" t="s">
        <v>7419</v>
      </c>
      <c r="D10" s="1638"/>
      <c r="E10" s="1641"/>
      <c r="F10" s="1641"/>
      <c r="G10" s="1635"/>
      <c r="H10" s="1630"/>
      <c r="M10" s="1675"/>
    </row>
    <row r="11" ht="25.5" spans="3:13">
      <c r="C11" s="1641"/>
      <c r="D11" s="1641"/>
      <c r="E11" s="1641"/>
      <c r="F11" s="1641"/>
      <c r="G11" s="1635"/>
      <c r="H11" s="1630"/>
      <c r="M11" s="1675"/>
    </row>
    <row r="12" ht="25.5" spans="3:13">
      <c r="C12" s="1637"/>
      <c r="D12" s="1637"/>
      <c r="E12" s="1637"/>
      <c r="F12" s="1637"/>
      <c r="G12" s="1637"/>
      <c r="H12" s="1630"/>
      <c r="M12" s="1675"/>
    </row>
    <row r="13" spans="3:13">
      <c r="C13" s="1644" t="s">
        <v>7493</v>
      </c>
      <c r="D13" s="1644"/>
      <c r="E13" s="1644"/>
      <c r="F13" s="1644"/>
      <c r="G13" s="1644"/>
      <c r="H13" s="1644"/>
      <c r="I13" s="1644"/>
      <c r="J13" s="1644"/>
      <c r="K13" s="1644"/>
      <c r="L13" s="1644"/>
    </row>
    <row r="14" spans="3:13">
      <c r="C14" s="1677" t="s">
        <v>7494</v>
      </c>
      <c r="D14" s="1677"/>
      <c r="E14" s="1677"/>
      <c r="F14" s="1677"/>
      <c r="G14" s="1677"/>
      <c r="H14" s="1677"/>
      <c r="I14" s="1677"/>
      <c r="J14" s="1677"/>
      <c r="K14" s="1677"/>
      <c r="L14" s="1677"/>
    </row>
    <row r="15" spans="3:13">
      <c r="C15" s="1678" t="s">
        <v>7495</v>
      </c>
      <c r="D15" s="1678"/>
      <c r="E15" s="1678"/>
      <c r="F15" s="1678"/>
      <c r="G15" s="1678"/>
      <c r="H15" s="1678"/>
      <c r="I15" s="1678"/>
      <c r="J15" s="1678"/>
      <c r="K15" s="1678"/>
      <c r="L15" s="1678"/>
    </row>
    <row r="16" ht="22.5" spans="3:13">
      <c r="C16" s="1647"/>
      <c r="D16" s="1648"/>
      <c r="E16" s="1648"/>
      <c r="F16" s="1648"/>
      <c r="G16" s="1637"/>
      <c r="H16" s="1629"/>
    </row>
    <row r="17" ht="18.75" spans="1:12">
      <c r="C17" s="1649" t="s">
        <v>7496</v>
      </c>
      <c r="D17" s="1649"/>
      <c r="E17" s="1649"/>
      <c r="F17" s="1649"/>
      <c r="G17" s="1649"/>
      <c r="H17" s="1649"/>
      <c r="I17" s="1649"/>
      <c r="J17" s="1649"/>
      <c r="K17" s="1649"/>
      <c r="L17" s="1649"/>
    </row>
    <row r="18" spans="1:12">
      <c r="C18" s="1679" t="str">
        <f ca="1">Text!B57&amp;", za potrebe njegove predaje ovlaštenoj instituciji"</f>
        <v>za period od 01.01.2025. do 31.12.2025., za potrebe njegove predaje ovlaštenoj instituciji</v>
      </c>
      <c r="D18" s="1679"/>
      <c r="E18" s="1679"/>
      <c r="F18" s="1679"/>
      <c r="G18" s="1679"/>
      <c r="H18" s="1679"/>
      <c r="I18" s="1679"/>
      <c r="J18" s="1679"/>
      <c r="K18" s="1679"/>
      <c r="L18" s="1679"/>
    </row>
    <row r="19" ht="20.25" spans="1:12">
      <c r="C19" s="1641"/>
      <c r="D19" s="1647"/>
      <c r="E19" s="1637"/>
      <c r="F19" s="1641"/>
      <c r="G19" s="1635"/>
      <c r="H19" s="1647"/>
    </row>
    <row r="20" spans="1:12">
      <c r="C20" s="1680" t="s">
        <v>7497</v>
      </c>
      <c r="D20" s="1680"/>
      <c r="E20" s="1680"/>
      <c r="F20" s="1680"/>
      <c r="G20" s="1680"/>
      <c r="H20" s="1680"/>
      <c r="I20" s="1680"/>
      <c r="J20" s="1680"/>
      <c r="K20" s="1680"/>
      <c r="L20" s="1680"/>
    </row>
    <row r="21" spans="1:12">
      <c r="C21" s="1680" t="s">
        <v>7498</v>
      </c>
      <c r="D21" s="1680"/>
      <c r="E21" s="1680"/>
      <c r="F21" s="1680"/>
      <c r="G21" s="1680"/>
      <c r="H21" s="1680"/>
      <c r="I21" s="1680"/>
      <c r="J21" s="1680"/>
      <c r="K21" s="1680"/>
      <c r="L21" s="1680"/>
    </row>
    <row r="22" spans="1:12">
      <c r="A22" s="1681">
        <v>0.1</v>
      </c>
      <c r="B22" s="1681" t="e">
        <f>IF(LEN(D22)=0,"",1+ABS((LEFT(D22,2)&amp;RIGHT(D22,2)*A22)/LEN(LEFT(D22,2)&amp;RIGHT(D22,2)))+A22)</f>
        <v>#VALUE!</v>
      </c>
      <c r="C22" s="1682" t="s">
        <v>7499</v>
      </c>
      <c r="D22" s="1683">
        <f>IF(B_Uspjeha!AI153=0,0.01,B_Uspjeha!AI153)</f>
        <v>0.01</v>
      </c>
      <c r="E22" s="1655" t="s">
        <v>7500</v>
      </c>
      <c r="F22" s="1656"/>
      <c r="G22" s="1656"/>
    </row>
    <row r="23" spans="1:12">
      <c r="A23" s="1681"/>
      <c r="B23" s="1681"/>
      <c r="C23" s="1657"/>
      <c r="D23" s="1657"/>
      <c r="E23" s="1657"/>
      <c r="F23" s="1657"/>
      <c r="G23" s="1657"/>
      <c r="H23" s="1657"/>
    </row>
    <row r="24" spans="1:12">
      <c r="A24" s="1681">
        <v>0.2</v>
      </c>
      <c r="B24" s="1681">
        <f>IF(LEN(E24)=0,"",1+ABS((LEFT(E24,2)&amp;RIGHT(E24,2)*A24)/LEN(LEFT(E24,2)&amp;RIGHT(E24,2)))+A24)</f>
        <v>1.2</v>
      </c>
      <c r="C24" s="1657"/>
      <c r="D24" s="1657"/>
      <c r="E24" s="1658">
        <f>IF(B_Uspjeha!AI153=0,0,0)</f>
        <v>0</v>
      </c>
      <c r="F24" s="1659"/>
      <c r="G24" s="1684" t="s">
        <v>7501</v>
      </c>
      <c r="H24" s="1659"/>
      <c r="I24" s="1685"/>
      <c r="J24" s="1685"/>
      <c r="K24" s="1685"/>
      <c r="L24" s="1686"/>
    </row>
    <row r="25" ht="18" spans="1:12">
      <c r="A25" s="1681"/>
      <c r="B25" s="1681" t="str">
        <f t="shared" ref="B25:B30" si="0">IF(LEN(E25)=0,"",1+ABS((LEFT(E25,2)&amp;RIGHT(E25,2)*A25)/LEN(LEFT(E25,2)&amp;RIGHT(E25,2)))+A25)</f>
        <v/>
      </c>
      <c r="C25" s="1641"/>
      <c r="D25" s="1641"/>
      <c r="E25" s="1663"/>
      <c r="F25" s="1659"/>
      <c r="G25" s="1659"/>
      <c r="H25" s="1659"/>
      <c r="I25" s="1685"/>
      <c r="J25" s="1685"/>
      <c r="K25" s="1685"/>
      <c r="L25" s="1686"/>
    </row>
    <row r="26" ht="18" spans="1:12">
      <c r="A26" s="1681">
        <v>0.3</v>
      </c>
      <c r="B26" s="1681">
        <f t="shared" si="0"/>
        <v>1.3</v>
      </c>
      <c r="C26" s="1641"/>
      <c r="D26" s="1641"/>
      <c r="E26" s="1658">
        <f>IF(B_Uspjeha!AI153=0,0,0)</f>
        <v>0</v>
      </c>
      <c r="F26" s="1659"/>
      <c r="G26" s="1684" t="s">
        <v>7502</v>
      </c>
      <c r="H26" s="1659"/>
      <c r="I26" s="1685"/>
      <c r="J26" s="1685"/>
      <c r="K26" s="1685"/>
      <c r="L26" s="1686"/>
    </row>
    <row r="27" ht="18" spans="1:12">
      <c r="A27" s="1681"/>
      <c r="B27" s="1681" t="str">
        <f t="shared" si="0"/>
        <v/>
      </c>
      <c r="C27" s="1664"/>
      <c r="D27" s="1641"/>
      <c r="E27" s="1663"/>
      <c r="F27" s="1665"/>
      <c r="G27" s="1659"/>
      <c r="H27" s="1659"/>
      <c r="I27" s="1685"/>
      <c r="J27" s="1685"/>
      <c r="K27" s="1685"/>
      <c r="L27" s="1686"/>
    </row>
    <row r="28" ht="18" spans="1:12">
      <c r="A28" s="1681">
        <v>0.4</v>
      </c>
      <c r="B28" s="1681">
        <f t="shared" si="0"/>
        <v>1.4</v>
      </c>
      <c r="C28" s="1641"/>
      <c r="D28" s="1641"/>
      <c r="E28" s="1658">
        <f>IF(B_Uspjeha!AI153=0,0,0)</f>
        <v>0</v>
      </c>
      <c r="F28" s="1659"/>
      <c r="G28" s="1684" t="s">
        <v>7503</v>
      </c>
      <c r="H28" s="1659"/>
      <c r="I28" s="1685"/>
      <c r="J28" s="1685"/>
      <c r="K28" s="1685"/>
      <c r="L28" s="1686"/>
    </row>
    <row r="29" spans="1:12">
      <c r="A29" s="1681"/>
      <c r="B29" s="1681" t="str">
        <f t="shared" si="0"/>
        <v/>
      </c>
      <c r="E29" s="1687"/>
      <c r="F29" s="1685"/>
      <c r="G29" s="1685"/>
      <c r="H29" s="1685"/>
      <c r="I29" s="1685"/>
      <c r="J29" s="1685"/>
      <c r="K29" s="1685"/>
      <c r="L29" s="1686"/>
    </row>
    <row r="30" spans="1:12">
      <c r="A30" s="1681">
        <v>0.5</v>
      </c>
      <c r="B30" s="1681">
        <f t="shared" si="0"/>
        <v>1.5</v>
      </c>
      <c r="E30" s="1688">
        <f>IF(B_Uspjeha!AI153=0,0,D22-E24-E26-E28)</f>
        <v>0</v>
      </c>
      <c r="F30" s="1685"/>
      <c r="G30" s="1684" t="s">
        <v>7504</v>
      </c>
      <c r="H30" s="1685"/>
      <c r="I30" s="1685"/>
      <c r="J30" s="1685"/>
      <c r="K30" s="1685"/>
      <c r="L30" s="1686"/>
    </row>
    <row r="31" spans="1:12">
      <c r="A31" s="1681"/>
      <c r="B31" s="1681" t="str">
        <f>IF(ISERROR(ABS(LOG(ABS(SUM(B22:B30)),EXP(3)))),"",ABS(LOG(ABS(SUM(B22:B30)),EXP(3))))</f>
        <v/>
      </c>
      <c r="E31" s="1685"/>
      <c r="F31" s="1685"/>
      <c r="G31" s="1685"/>
      <c r="H31" s="1685"/>
      <c r="I31" s="1685"/>
      <c r="J31" s="1685"/>
      <c r="K31" s="1685"/>
      <c r="L31" s="1686"/>
    </row>
    <row r="32" spans="1:12">
      <c r="A32" s="1681"/>
      <c r="B32" s="1681" t="str">
        <f>IF(ISERROR(IF(ISERROR(MID(B31,FIND(".",B31,1)+6,13)),MID(B31,FIND(",",B31,1)+6,13),MID(B31,FIND(".",B31,1)+6,13))),"",IF(ISERROR(MID(B31,FIND(".",B31,1)+6,13)),MID(B31,FIND(",",B31,1)+6,13),MID(B31,FIND(".",B31,1)+6,13)))</f>
        <v/>
      </c>
      <c r="E32" s="1685"/>
      <c r="F32" s="1685"/>
      <c r="G32" s="1685"/>
      <c r="H32" s="1685"/>
      <c r="I32" s="1685"/>
      <c r="J32" s="1685"/>
      <c r="K32" s="1685"/>
    </row>
    <row r="33" spans="1:12">
      <c r="A33" s="1681"/>
      <c r="B33" s="1681"/>
      <c r="C33" s="1682" t="s">
        <v>7505</v>
      </c>
      <c r="D33" s="1682"/>
      <c r="E33" s="1682"/>
      <c r="F33" s="1682"/>
      <c r="G33" s="1682"/>
      <c r="H33" s="1682"/>
      <c r="I33" s="1682"/>
      <c r="J33" s="1682"/>
      <c r="K33" s="1682"/>
    </row>
    <row r="34" spans="1:12">
      <c r="C34" s="1682" t="s">
        <v>7506</v>
      </c>
      <c r="D34" s="1682"/>
      <c r="E34" s="1682"/>
      <c r="F34" s="1682"/>
      <c r="G34" s="1682"/>
      <c r="H34" s="1682"/>
      <c r="I34" s="1682"/>
      <c r="J34" s="1682"/>
      <c r="K34" s="1682"/>
    </row>
    <row r="40" spans="1:12">
      <c r="G40" s="1689" t="s">
        <v>7039</v>
      </c>
      <c r="I40" s="1690"/>
      <c r="J40" s="1690"/>
      <c r="K40" s="1690"/>
      <c r="L40" s="1690"/>
    </row>
    <row r="41" spans="1:12">
      <c r="I41" s="1691" t="str">
        <f>IF(B_Uspjeha!AI153=0,Direktor,Direktor)</f>
        <v>Nedim Vilogorac</v>
      </c>
      <c r="J41" s="1691"/>
      <c r="K41" s="1691"/>
      <c r="L41" s="1691"/>
    </row>
    <row r="42" spans="1:12">
      <c r="L42" s="1692" t="s">
        <v>2465</v>
      </c>
    </row>
    <row r="47" spans="1:12">
      <c r="C47" s="1693" t="str">
        <f>IF(B32="","Obrazac prazan - unesite podatke na barem jednu poziciju.","Kontrolni broj: "&amp;MID(M1,2,LEN(M1)-2))</f>
        <v>Obrazac prazan - unesite podatke na barem jednu poziciju.</v>
      </c>
      <c r="L47" s="1692" t="s">
        <v>7507</v>
      </c>
    </row>
    <row r="50" spans="3:12">
      <c r="C50" s="1694" t="s">
        <v>7508</v>
      </c>
      <c r="D50" s="1694"/>
      <c r="E50" s="1694"/>
      <c r="F50" s="1694"/>
      <c r="G50" s="1694"/>
      <c r="H50" s="1694"/>
      <c r="I50" s="1694"/>
      <c r="J50" s="1694"/>
      <c r="K50" s="1694"/>
      <c r="L50" s="1694"/>
    </row>
  </sheetData>
  <mergeCells count="12">
    <mergeCell ref="C5:E5"/>
    <mergeCell ref="C7:E7"/>
    <mergeCell ref="C13:L13"/>
    <mergeCell ref="C14:L14"/>
    <mergeCell ref="C15:L15"/>
    <mergeCell ref="C17:L17"/>
    <mergeCell ref="C18:L18"/>
    <mergeCell ref="C20:L20"/>
    <mergeCell ref="C21:L21"/>
    <mergeCell ref="I41:L41"/>
    <mergeCell ref="C50:L50"/>
    <mergeCell ref="M1:M12"/>
  </mergeCells>
  <conditionalFormatting sqref="C1:E1">
    <cfRule type="expression" dxfId="11" priority="5">
      <formula>$C$1=""</formula>
    </cfRule>
  </conditionalFormatting>
  <conditionalFormatting sqref="C3:E3">
    <cfRule type="expression" dxfId="11" priority="4">
      <formula>$C$3=""</formula>
    </cfRule>
  </conditionalFormatting>
  <conditionalFormatting sqref="C5">
    <cfRule type="expression" dxfId="11" priority="3">
      <formula>$C$5=""</formula>
    </cfRule>
  </conditionalFormatting>
  <conditionalFormatting sqref="C7">
    <cfRule type="expression" dxfId="11" priority="2">
      <formula>$C$7=""</formula>
    </cfRule>
  </conditionalFormatting>
  <conditionalFormatting sqref="C9:E9">
    <cfRule type="expression" dxfId="11" priority="1">
      <formula>$C$9=""</formula>
    </cfRule>
  </conditionalFormatting>
  <conditionalFormatting sqref="D22">
    <cfRule type="expression" dxfId="11" priority="12">
      <formula>$D$22=""</formula>
    </cfRule>
  </conditionalFormatting>
  <conditionalFormatting sqref="E24">
    <cfRule type="expression" dxfId="11" priority="11">
      <formula>$E$24=""</formula>
    </cfRule>
  </conditionalFormatting>
  <conditionalFormatting sqref="E26">
    <cfRule type="expression" dxfId="11" priority="10">
      <formula>$E$26=""</formula>
    </cfRule>
  </conditionalFormatting>
  <conditionalFormatting sqref="C27">
    <cfRule type="containsText" dxfId="12" priority="13" operator="between" text="Obrazac prazan">
      <formula>NOT(ISERROR(SEARCH("Obrazac prazan",C27)))</formula>
    </cfRule>
  </conditionalFormatting>
  <conditionalFormatting sqref="E28">
    <cfRule type="expression" dxfId="11" priority="9">
      <formula>$E$28=""</formula>
    </cfRule>
  </conditionalFormatting>
  <conditionalFormatting sqref="E30">
    <cfRule type="expression" dxfId="11" priority="8">
      <formula>$E$30=""</formula>
    </cfRule>
  </conditionalFormatting>
  <conditionalFormatting sqref="I41:L41">
    <cfRule type="expression" dxfId="11" priority="7">
      <formula>$I$41=""</formula>
    </cfRule>
  </conditionalFormatting>
  <conditionalFormatting sqref="C47">
    <cfRule type="containsText" dxfId="12" priority="6" operator="between" text="Obrazac prazan">
      <formula>NOT(ISERROR(SEARCH("Obrazac prazan",C47)))</formula>
    </cfRule>
  </conditionalFormatting>
  <pageMargins left="0.7" right="0.7" top="0.75" bottom="0.75" header="0.3" footer="0.3"/>
  <pageSetup paperSize="9" scale="93"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7">
    <tabColor rgb="FF008000"/>
    <pageSetUpPr fitToPage="1"/>
  </sheetPr>
  <dimension ref="A1:M50"/>
  <sheetViews>
    <sheetView showGridLines="0" topLeftCell="C1" workbookViewId="0">
      <selection activeCell="H10" sqref="H10"/>
    </sheetView>
  </sheetViews>
  <sheetFormatPr defaultColWidth="9" defaultRowHeight="15"/>
  <cols>
    <col min="1" max="2" width="9" style="1625" hidden="1" customWidth="1"/>
    <col min="3" max="3" width="3.57142857142857" style="1624" customWidth="1"/>
    <col min="4" max="5" width="20" style="1624" customWidth="1"/>
    <col min="6" max="6" width="0.714285714285714" style="1624" customWidth="1"/>
    <col min="7" max="7" width="8.57142857142857" style="1624" customWidth="1"/>
    <col min="8" max="8" width="10.8571428571429" style="1624" customWidth="1"/>
    <col min="9" max="11" width="7" style="1624" customWidth="1"/>
    <col min="12" max="12" width="4.42857142857143" style="1624" customWidth="1"/>
    <col min="13" max="13" width="6.57142857142857" style="1624" customWidth="1"/>
    <col min="14" max="16384" width="9.14285714285714" style="1625"/>
  </cols>
  <sheetData>
    <row r="1" s="1624" customFormat="1" ht="25.5" spans="3:13">
      <c r="C1" s="1626" t="str">
        <f>IF(B_Uspjeha!AI154=0,"",Firma)</f>
        <v>LILIUM ASSET MANAGEMENT d.o.o. Sarajevo</v>
      </c>
      <c r="D1" s="1627"/>
      <c r="E1" s="1627"/>
      <c r="F1" s="1628"/>
      <c r="G1" s="1629"/>
      <c r="H1" s="1630"/>
      <c r="M1" s="1631" t="str">
        <f>"*"&amp;38&amp;B32&amp;"*"</f>
        <v>*38460517317*</v>
      </c>
    </row>
    <row r="2" s="1624" customFormat="1" ht="25.5" spans="3:13">
      <c r="C2" s="1632" t="s">
        <v>2439</v>
      </c>
      <c r="D2" s="1633"/>
      <c r="E2" s="1633"/>
      <c r="F2" s="1633"/>
      <c r="G2" s="1629"/>
      <c r="H2" s="1630"/>
      <c r="M2" s="1631"/>
    </row>
    <row r="3" s="1624" customFormat="1" ht="25.5" spans="3:13">
      <c r="C3" s="1634" t="str">
        <f>IF(B_Uspjeha!AI154=0,"",Sjedište&amp;", "&amp;Adresa)</f>
        <v>Sarajevo-Stari Grad, Dženetića čikma br.8</v>
      </c>
      <c r="D3" s="1627"/>
      <c r="E3" s="1627"/>
      <c r="F3" s="1628"/>
      <c r="G3" s="1629"/>
      <c r="H3" s="1630"/>
      <c r="M3" s="1631"/>
    </row>
    <row r="4" s="1624" customFormat="1" ht="25.5" spans="3:13">
      <c r="C4" s="1632" t="s">
        <v>2442</v>
      </c>
      <c r="D4" s="1633"/>
      <c r="E4" s="1633"/>
      <c r="F4" s="1633"/>
      <c r="G4" s="1635"/>
      <c r="H4" s="1630"/>
      <c r="M4" s="1631"/>
    </row>
    <row r="5" s="1624" customFormat="1" ht="25.5" spans="3:13">
      <c r="C5" s="1636" t="str">
        <f>IF(B_Uspjeha!AI154=0,"",IdBroj&amp;" ")</f>
        <v>4201337670009 </v>
      </c>
      <c r="D5" s="1636"/>
      <c r="E5" s="1636"/>
      <c r="F5" s="1637"/>
      <c r="G5" s="1635"/>
      <c r="H5" s="1630"/>
      <c r="M5" s="1631"/>
    </row>
    <row r="6" s="1624" customFormat="1" ht="25.5" spans="3:13">
      <c r="C6" s="1632" t="s">
        <v>7486</v>
      </c>
      <c r="D6" s="1638"/>
      <c r="E6" s="1637"/>
      <c r="F6" s="1639"/>
      <c r="G6" s="1639"/>
      <c r="H6" s="1630"/>
      <c r="M6" s="1631"/>
    </row>
    <row r="7" s="1624" customFormat="1" ht="25.5" spans="3:13">
      <c r="C7" s="1640" t="str">
        <f>IF(B_Uspjeha!AI154=0,"",UnosPod!AA22&amp;UnosPod!AB22&amp;"."&amp;UnosPod!AC22&amp;UnosPod!AD22&amp;"."&amp;UnosPod!AE22&amp;UnosPod!AF22&amp;UnosPod!AG22&amp;UnosPod!AH22&amp;".godine")</f>
        <v>28.02.2026.godine</v>
      </c>
      <c r="D7" s="1640"/>
      <c r="E7" s="1640"/>
      <c r="F7" s="1639"/>
      <c r="G7" s="1639"/>
      <c r="H7" s="1630"/>
      <c r="M7" s="1631"/>
    </row>
    <row r="8" s="1624" customFormat="1" ht="25.5" spans="3:13">
      <c r="C8" s="1632" t="s">
        <v>7336</v>
      </c>
      <c r="D8" s="1638"/>
      <c r="E8" s="1641"/>
      <c r="F8" s="1641"/>
      <c r="G8" s="1635"/>
      <c r="H8" s="1630"/>
      <c r="M8" s="1631"/>
    </row>
    <row r="9" s="1624" customFormat="1" ht="25.5" spans="3:13">
      <c r="C9" s="1636" t="str">
        <f ca="1">IF(B_Uspjeha!AI154=0,"","GodObr-"&amp;UnosPod!O6&amp;UnosPod!P6&amp;"/"&amp;PoslGod)</f>
        <v>GodObr-12/2025</v>
      </c>
      <c r="D9" s="1642"/>
      <c r="E9" s="1643"/>
      <c r="F9" s="1641"/>
      <c r="G9" s="1635"/>
      <c r="H9" s="1630"/>
      <c r="M9" s="1631"/>
    </row>
    <row r="10" s="1624" customFormat="1" ht="25.5" spans="3:13">
      <c r="C10" s="1632" t="s">
        <v>7419</v>
      </c>
      <c r="D10" s="1638"/>
      <c r="E10" s="1641"/>
      <c r="F10" s="1641"/>
      <c r="G10" s="1635"/>
      <c r="H10" s="1630"/>
      <c r="M10" s="1631"/>
    </row>
    <row r="11" s="1624" customFormat="1" ht="25.5" spans="3:13">
      <c r="C11" s="1641"/>
      <c r="D11" s="1641"/>
      <c r="E11" s="1641"/>
      <c r="F11" s="1641"/>
      <c r="G11" s="1635"/>
      <c r="H11" s="1630"/>
      <c r="M11" s="1631"/>
    </row>
    <row r="12" s="1624" customFormat="1" ht="25.5" spans="3:13">
      <c r="C12" s="1637"/>
      <c r="D12" s="1637"/>
      <c r="E12" s="1637"/>
      <c r="F12" s="1637"/>
      <c r="G12" s="1637"/>
      <c r="H12" s="1630"/>
      <c r="M12" s="1631"/>
    </row>
    <row r="13" s="1624" customFormat="1" ht="14.25" spans="3:13">
      <c r="C13" s="1644" t="s">
        <v>7493</v>
      </c>
      <c r="D13" s="1644"/>
      <c r="E13" s="1644"/>
      <c r="F13" s="1644"/>
      <c r="G13" s="1644"/>
      <c r="H13" s="1644"/>
      <c r="I13" s="1644"/>
      <c r="J13" s="1644"/>
      <c r="K13" s="1644"/>
      <c r="L13" s="1644"/>
    </row>
    <row r="14" s="1624" customFormat="1" ht="14.25" spans="3:13">
      <c r="C14" s="1645" t="s">
        <v>7494</v>
      </c>
      <c r="D14" s="1645"/>
      <c r="E14" s="1645"/>
      <c r="F14" s="1645"/>
      <c r="G14" s="1645"/>
      <c r="H14" s="1645"/>
      <c r="I14" s="1645"/>
      <c r="J14" s="1645"/>
      <c r="K14" s="1645"/>
      <c r="L14" s="1645"/>
    </row>
    <row r="15" s="1624" customFormat="1" ht="14.25" spans="3:13">
      <c r="C15" s="1646" t="s">
        <v>7495</v>
      </c>
      <c r="D15" s="1646"/>
      <c r="E15" s="1646"/>
      <c r="F15" s="1646"/>
      <c r="G15" s="1646"/>
      <c r="H15" s="1646"/>
      <c r="I15" s="1646"/>
      <c r="J15" s="1646"/>
      <c r="K15" s="1646"/>
      <c r="L15" s="1646"/>
    </row>
    <row r="16" s="1624" customFormat="1" ht="22.5" spans="3:13">
      <c r="C16" s="1647"/>
      <c r="D16" s="1648"/>
      <c r="E16" s="1648"/>
      <c r="F16" s="1648"/>
      <c r="G16" s="1637"/>
      <c r="H16" s="1629"/>
    </row>
    <row r="17" s="1624" customFormat="1" ht="18.75" spans="1:12">
      <c r="C17" s="1649" t="s">
        <v>7509</v>
      </c>
      <c r="D17" s="1649"/>
      <c r="E17" s="1649"/>
      <c r="F17" s="1649"/>
      <c r="G17" s="1649"/>
      <c r="H17" s="1649"/>
      <c r="I17" s="1649"/>
      <c r="J17" s="1649"/>
      <c r="K17" s="1649"/>
      <c r="L17" s="1649"/>
    </row>
    <row r="18" s="1624" customFormat="1" ht="14.25" spans="1:12">
      <c r="C18" s="1650" t="str">
        <f ca="1">Text!B57&amp;", za potrebe njegove predaje ovlaštenoj instituciji"</f>
        <v>za period od 01.01.2025. do 31.12.2025., za potrebe njegove predaje ovlaštenoj instituciji</v>
      </c>
      <c r="D18" s="1650"/>
      <c r="E18" s="1650"/>
      <c r="F18" s="1650"/>
      <c r="G18" s="1650"/>
      <c r="H18" s="1650"/>
      <c r="I18" s="1650"/>
      <c r="J18" s="1650"/>
      <c r="K18" s="1650"/>
      <c r="L18" s="1650"/>
    </row>
    <row r="19" s="1624" customFormat="1" ht="20.25" spans="1:12">
      <c r="C19" s="1641"/>
      <c r="D19" s="1647"/>
      <c r="E19" s="1637"/>
      <c r="F19" s="1641"/>
      <c r="G19" s="1635"/>
      <c r="H19" s="1647"/>
    </row>
    <row r="20" s="1624" customFormat="1" ht="14.25" spans="1:12">
      <c r="C20" s="1651" t="s">
        <v>7497</v>
      </c>
      <c r="D20" s="1651"/>
      <c r="E20" s="1651"/>
      <c r="F20" s="1651"/>
      <c r="G20" s="1651"/>
      <c r="H20" s="1651"/>
      <c r="I20" s="1651"/>
      <c r="J20" s="1651"/>
      <c r="K20" s="1651"/>
      <c r="L20" s="1651"/>
    </row>
    <row r="21" s="1624" customFormat="1" ht="14.25" spans="1:12">
      <c r="C21" s="1651" t="s">
        <v>7510</v>
      </c>
      <c r="D21" s="1651"/>
      <c r="E21" s="1651"/>
      <c r="F21" s="1651"/>
      <c r="G21" s="1651"/>
      <c r="H21" s="1651"/>
      <c r="I21" s="1651"/>
      <c r="J21" s="1651"/>
      <c r="K21" s="1651"/>
      <c r="L21" s="1651"/>
    </row>
    <row r="22" s="1624" customFormat="1" ht="14.25" spans="1:12">
      <c r="A22" s="1652">
        <v>0.1</v>
      </c>
      <c r="B22" s="1652">
        <f>IF(LEN(D22)=0,"",1+ABS((LEFT(D22,2)&amp;RIGHT(D22,2)*A22)/LEN(LEFT(D22,2)&amp;RIGHT(D22,2)))+A22)</f>
        <v>151.025</v>
      </c>
      <c r="C22" s="1653" t="s">
        <v>7499</v>
      </c>
      <c r="D22" s="1654">
        <f>IF(B_Uspjeha!AI154=0,"",B_Uspjeha!AI154)</f>
        <v>59197</v>
      </c>
      <c r="E22" s="1655" t="s">
        <v>7500</v>
      </c>
      <c r="F22" s="1656"/>
      <c r="G22" s="1656"/>
    </row>
    <row r="23" s="1624" customFormat="1" ht="14.25" spans="1:12">
      <c r="A23" s="1652"/>
      <c r="B23" s="1652"/>
      <c r="C23" s="1657"/>
      <c r="D23" s="1657"/>
      <c r="E23" s="1657"/>
      <c r="F23" s="1657"/>
      <c r="G23" s="1657"/>
      <c r="H23" s="1657"/>
    </row>
    <row r="24" s="1624" customFormat="1" ht="14.25" spans="1:12">
      <c r="A24" s="1652">
        <v>0.2</v>
      </c>
      <c r="B24" s="1652">
        <f>IF(LEN(E24)=0,"",1+ABS((LEFT(E24,2)&amp;RIGHT(E24,2)*A24)/LEN(LEFT(E24,2)&amp;RIGHT(E24,2)))+A24)</f>
        <v>1.2</v>
      </c>
      <c r="C24" s="1657"/>
      <c r="D24" s="1657"/>
      <c r="E24" s="1658">
        <f>IF(B_Uspjeha!AI154=0,"",0)</f>
        <v>0</v>
      </c>
      <c r="F24" s="1659"/>
      <c r="G24" s="1660" t="s">
        <v>7511</v>
      </c>
      <c r="H24" s="1659"/>
      <c r="I24" s="1661"/>
      <c r="J24" s="1661"/>
      <c r="K24" s="1661"/>
      <c r="L24" s="1662"/>
    </row>
    <row r="25" s="1624" customFormat="1" ht="18" spans="1:12">
      <c r="A25" s="1652"/>
      <c r="B25" s="1652" t="str">
        <f>IF(LEN(E25)=0,"",1+ABS((LEFT(E25,2)&amp;RIGHT(E25,2)*A25)/LEN(LEFT(E25,2)&amp;RIGHT(E25,2)))+A25)</f>
        <v/>
      </c>
      <c r="C25" s="1641"/>
      <c r="D25" s="1641"/>
      <c r="E25" s="1663"/>
      <c r="F25" s="1659"/>
      <c r="G25" s="1659"/>
      <c r="H25" s="1659"/>
      <c r="I25" s="1661"/>
      <c r="J25" s="1661"/>
      <c r="K25" s="1661"/>
      <c r="L25" s="1662"/>
    </row>
    <row r="26" s="1624" customFormat="1" ht="18" spans="1:12">
      <c r="A26" s="1652">
        <v>0.3</v>
      </c>
      <c r="B26" s="1652">
        <f t="shared" ref="B26:B30" si="0">IF(LEN(E26)=0,"",1+ABS((LEFT(E26,2)&amp;RIGHT(E26,2)*A26)/LEN(LEFT(E26,2)&amp;RIGHT(E26,2)))+A26)</f>
        <v>1.3</v>
      </c>
      <c r="C26" s="1641"/>
      <c r="D26" s="1641"/>
      <c r="E26" s="1658">
        <f>IF(B_Uspjeha!AI154=0,"",0)</f>
        <v>0</v>
      </c>
      <c r="F26" s="1659">
        <v>5</v>
      </c>
      <c r="G26" s="1660" t="s">
        <v>7512</v>
      </c>
      <c r="H26" s="1659"/>
      <c r="I26" s="1661"/>
      <c r="J26" s="1661"/>
      <c r="K26" s="1661"/>
      <c r="L26" s="1662"/>
    </row>
    <row r="27" s="1624" customFormat="1" ht="18" spans="1:12">
      <c r="A27" s="1652"/>
      <c r="B27" s="1652" t="str">
        <f t="shared" si="0"/>
        <v/>
      </c>
      <c r="C27" s="1664"/>
      <c r="D27" s="1641"/>
      <c r="E27" s="1663"/>
      <c r="F27" s="1665"/>
      <c r="G27" s="1659"/>
      <c r="H27" s="1659"/>
      <c r="I27" s="1661"/>
      <c r="J27" s="1661"/>
      <c r="K27" s="1661"/>
      <c r="L27" s="1662"/>
    </row>
    <row r="28" s="1624" customFormat="1" ht="18" spans="1:12">
      <c r="A28" s="1652">
        <v>0.4</v>
      </c>
      <c r="B28" s="1652">
        <f t="shared" si="0"/>
        <v>1.4</v>
      </c>
      <c r="C28" s="1641"/>
      <c r="D28" s="1641"/>
      <c r="E28" s="1658">
        <f>IF(B_Uspjeha!AI154=0,"",0)</f>
        <v>0</v>
      </c>
      <c r="F28" s="1659"/>
      <c r="G28" s="1660" t="s">
        <v>7513</v>
      </c>
      <c r="H28" s="1659"/>
      <c r="I28" s="1661"/>
      <c r="J28" s="1661"/>
      <c r="K28" s="1661"/>
      <c r="L28" s="1662"/>
    </row>
    <row r="29" s="1624" customFormat="1" ht="14.25" spans="1:12">
      <c r="A29" s="1652"/>
      <c r="B29" s="1652" t="str">
        <f t="shared" si="0"/>
        <v/>
      </c>
      <c r="E29" s="1666"/>
      <c r="F29" s="1661"/>
      <c r="G29" s="1661"/>
      <c r="H29" s="1661"/>
      <c r="I29" s="1661"/>
      <c r="J29" s="1661"/>
      <c r="K29" s="1661"/>
      <c r="L29" s="1662"/>
    </row>
    <row r="30" s="1624" customFormat="1" ht="14.25" spans="1:12">
      <c r="A30" s="1652">
        <v>0.5</v>
      </c>
      <c r="B30" s="1652">
        <f t="shared" si="0"/>
        <v>1488.625</v>
      </c>
      <c r="E30" s="1667">
        <f>IF(B_Uspjeha!AI154=0,"",D22-E24-E26-E28)</f>
        <v>59197</v>
      </c>
      <c r="F30" s="1661"/>
      <c r="G30" s="1660" t="s">
        <v>7514</v>
      </c>
      <c r="H30" s="1661"/>
      <c r="I30" s="1661"/>
      <c r="J30" s="1661"/>
      <c r="K30" s="1661"/>
      <c r="L30" s="1662"/>
    </row>
    <row r="31" s="1624" customFormat="1" ht="14.25" spans="1:12">
      <c r="A31" s="1652"/>
      <c r="B31" s="1652">
        <f>IF(ISERROR(ABS(LOG(ABS(SUM(B22:B30)),EXP(3)))),"",ABS(LOG(ABS(SUM(B22:B30)),EXP(3))))</f>
        <v>2.46820460517317</v>
      </c>
      <c r="E31" s="1661"/>
      <c r="F31" s="1661"/>
      <c r="G31" s="1661"/>
      <c r="H31" s="1661"/>
      <c r="I31" s="1661"/>
      <c r="J31" s="1661"/>
      <c r="K31" s="1661"/>
      <c r="L31" s="1662"/>
    </row>
    <row r="32" s="1624" customFormat="1" ht="14.25" spans="1:12">
      <c r="A32" s="1652"/>
      <c r="B32" s="1652" t="str">
        <f>IF(ISERROR(IF(ISERROR(MID(B31,FIND(".",B31,1)+6,13)),MID(B31,FIND(",",B31,1)+6,13),MID(B31,FIND(".",B31,1)+6,13))),"",IF(ISERROR(MID(B31,FIND(".",B31,1)+6,13)),MID(B31,FIND(",",B31,1)+6,13),MID(B31,FIND(".",B31,1)+6,13)))</f>
        <v>460517317</v>
      </c>
      <c r="E32" s="1661"/>
      <c r="F32" s="1661"/>
      <c r="G32" s="1661"/>
      <c r="H32" s="1661"/>
      <c r="I32" s="1661"/>
      <c r="J32" s="1661"/>
      <c r="K32" s="1661"/>
    </row>
    <row r="33" s="1624" customFormat="1" ht="14.25" spans="1:12">
      <c r="A33" s="1652"/>
      <c r="B33" s="1652"/>
      <c r="C33" s="1653" t="s">
        <v>7515</v>
      </c>
      <c r="D33" s="1653"/>
      <c r="E33" s="1653"/>
      <c r="F33" s="1653"/>
      <c r="G33" s="1653"/>
      <c r="H33" s="1653"/>
      <c r="I33" s="1653"/>
      <c r="J33" s="1653"/>
      <c r="K33" s="1653"/>
    </row>
    <row r="34" s="1624" customFormat="1" ht="14.25" spans="1:12">
      <c r="C34" s="1653" t="s">
        <v>7506</v>
      </c>
      <c r="D34" s="1653"/>
      <c r="E34" s="1653"/>
      <c r="F34" s="1653"/>
      <c r="G34" s="1653"/>
      <c r="H34" s="1653"/>
      <c r="I34" s="1653"/>
      <c r="J34" s="1653"/>
      <c r="K34" s="1653"/>
    </row>
    <row r="35" s="1624" customFormat="1" ht="14.25"/>
    <row r="36" s="1624" customFormat="1" ht="14.25"/>
    <row r="37" s="1624" customFormat="1" ht="14.25"/>
    <row r="38" s="1624" customFormat="1" ht="14.25"/>
    <row r="39" s="1624" customFormat="1" ht="14.25"/>
    <row r="40" s="1624" customFormat="1" ht="14.25" spans="1:12">
      <c r="G40" s="1668" t="s">
        <v>7039</v>
      </c>
      <c r="I40" s="1669"/>
      <c r="J40" s="1669"/>
      <c r="K40" s="1669"/>
      <c r="L40" s="1669"/>
    </row>
    <row r="41" s="1624" customFormat="1" ht="14.25" spans="1:12">
      <c r="I41" s="1670" t="str">
        <f>IF(B_Uspjeha!AI154=0,"",Direktor)</f>
        <v>Nedim Vilogorac</v>
      </c>
      <c r="J41" s="1670"/>
      <c r="K41" s="1670"/>
      <c r="L41" s="1670"/>
    </row>
    <row r="42" s="1624" customFormat="1" ht="14.25" spans="1:12">
      <c r="L42" s="1671" t="s">
        <v>2465</v>
      </c>
    </row>
    <row r="43" s="1624" customFormat="1" ht="14.25"/>
    <row r="44" s="1624" customFormat="1" ht="14.25"/>
    <row r="45" s="1624" customFormat="1" ht="14.25"/>
    <row r="46" s="1624" customFormat="1" ht="14.25"/>
    <row r="47" s="1624" customFormat="1" ht="14.25" spans="1:12">
      <c r="C47" s="1672" t="str">
        <f>IF(B32="","Obrazac prazan - unesite podatke na barem jednu poziciju.","Kontrolni broj: "&amp;MID(M1,2,LEN(M1)-2))</f>
        <v>Kontrolni broj: 38460517317</v>
      </c>
      <c r="L47" s="1671" t="s">
        <v>7507</v>
      </c>
    </row>
    <row r="48" s="1624" customFormat="1" ht="14.25"/>
    <row r="49" s="1624" customFormat="1" ht="14.25"/>
    <row r="50" s="1624" customFormat="1" ht="14.25" spans="3:12">
      <c r="C50" s="1673" t="s">
        <v>7508</v>
      </c>
      <c r="D50" s="1673"/>
      <c r="E50" s="1673"/>
      <c r="F50" s="1673"/>
      <c r="G50" s="1673"/>
      <c r="H50" s="1673"/>
      <c r="I50" s="1673"/>
      <c r="J50" s="1673"/>
      <c r="K50" s="1673"/>
      <c r="L50" s="1673"/>
    </row>
  </sheetData>
  <mergeCells count="12">
    <mergeCell ref="C5:E5"/>
    <mergeCell ref="C7:E7"/>
    <mergeCell ref="C13:L13"/>
    <mergeCell ref="C14:L14"/>
    <mergeCell ref="C15:L15"/>
    <mergeCell ref="C17:L17"/>
    <mergeCell ref="C18:L18"/>
    <mergeCell ref="C20:L20"/>
    <mergeCell ref="C21:L21"/>
    <mergeCell ref="I41:L41"/>
    <mergeCell ref="C50:L50"/>
    <mergeCell ref="M1:M12"/>
  </mergeCells>
  <conditionalFormatting sqref="C1:E1">
    <cfRule type="expression" dxfId="11" priority="5">
      <formula>$C$1=""</formula>
    </cfRule>
  </conditionalFormatting>
  <conditionalFormatting sqref="C3:E3">
    <cfRule type="expression" dxfId="11" priority="4">
      <formula>$C$3=""</formula>
    </cfRule>
  </conditionalFormatting>
  <conditionalFormatting sqref="C5">
    <cfRule type="expression" dxfId="11" priority="3">
      <formula>$C$5=""</formula>
    </cfRule>
  </conditionalFormatting>
  <conditionalFormatting sqref="C7">
    <cfRule type="expression" dxfId="11" priority="2">
      <formula>$C$7=""</formula>
    </cfRule>
  </conditionalFormatting>
  <conditionalFormatting sqref="C9:E9">
    <cfRule type="expression" dxfId="11" priority="1">
      <formula>$C$9=""</formula>
    </cfRule>
  </conditionalFormatting>
  <conditionalFormatting sqref="D22">
    <cfRule type="expression" dxfId="11" priority="12">
      <formula>$D$22=""</formula>
    </cfRule>
  </conditionalFormatting>
  <conditionalFormatting sqref="E24">
    <cfRule type="expression" dxfId="11" priority="11">
      <formula>$E$24=""</formula>
    </cfRule>
  </conditionalFormatting>
  <conditionalFormatting sqref="E26">
    <cfRule type="expression" dxfId="11" priority="10">
      <formula>$E$26=""</formula>
    </cfRule>
  </conditionalFormatting>
  <conditionalFormatting sqref="C27">
    <cfRule type="containsText" dxfId="12" priority="13" operator="between" text="Obrazac prazan">
      <formula>NOT(ISERROR(SEARCH("Obrazac prazan",C27)))</formula>
    </cfRule>
  </conditionalFormatting>
  <conditionalFormatting sqref="E28">
    <cfRule type="expression" dxfId="11" priority="9">
      <formula>$E$28=""</formula>
    </cfRule>
  </conditionalFormatting>
  <conditionalFormatting sqref="E30">
    <cfRule type="expression" dxfId="11" priority="8">
      <formula>$E$30=""</formula>
    </cfRule>
  </conditionalFormatting>
  <conditionalFormatting sqref="I41:L41">
    <cfRule type="expression" dxfId="11" priority="7">
      <formula>$I$41=""</formula>
    </cfRule>
  </conditionalFormatting>
  <conditionalFormatting sqref="C47">
    <cfRule type="containsText" dxfId="12" priority="6" operator="between" text="Obrazac prazan">
      <formula>NOT(ISERROR(SEARCH("Obrazac prazan",C47)))</formula>
    </cfRule>
  </conditionalFormatting>
  <pageMargins left="0.7" right="0.7" top="0.75" bottom="0.75" header="0.3" footer="0.3"/>
  <pageSetup paperSize="9" scale="93"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4">
    <tabColor rgb="FFFFFF00"/>
  </sheetPr>
  <dimension ref="A1:E745"/>
  <sheetViews>
    <sheetView workbookViewId="0">
      <pane ySplit="1" topLeftCell="A2" activePane="bottomLeft" state="frozen"/>
      <selection/>
      <selection pane="bottomLeft" activeCell="C28" sqref="C28"/>
    </sheetView>
  </sheetViews>
  <sheetFormatPr defaultColWidth="9" defaultRowHeight="16.5" outlineLevelCol="4"/>
  <cols>
    <col min="1" max="1" width="7.42857142857143" style="5309" customWidth="1"/>
    <col min="2" max="2" width="70.5714285714286" style="5310" customWidth="1"/>
    <col min="3" max="3" width="66.8571428571429" style="5311" customWidth="1"/>
    <col min="4" max="4" width="67.1428571428571" style="5312" customWidth="1"/>
    <col min="5" max="5" width="52.5714285714286" style="5313" customWidth="1"/>
    <col min="6" max="16384" width="9.14285714285714" style="5309"/>
  </cols>
  <sheetData>
    <row r="1" ht="18.75" spans="1:5">
      <c r="A1" s="5314" t="s">
        <v>2438</v>
      </c>
      <c r="B1" s="5315"/>
      <c r="C1" s="5316" t="s">
        <v>2435</v>
      </c>
      <c r="D1" s="5317" t="s">
        <v>2436</v>
      </c>
      <c r="E1" s="5318" t="s">
        <v>2437</v>
      </c>
    </row>
    <row r="2" ht="13.5" customHeight="1" spans="1:5">
      <c r="B2" s="5319" t="str">
        <f>IF(Baza!$C$22="engleski",E2,(IF(Baza!$C$22="bosanski",C2,D2)))</f>
        <v>Naziv pravnog lica</v>
      </c>
      <c r="C2" s="5311" t="s">
        <v>2439</v>
      </c>
      <c r="D2" s="5312" t="s">
        <v>2440</v>
      </c>
      <c r="E2" s="5313" t="s">
        <v>2441</v>
      </c>
    </row>
    <row r="3" ht="13.5" customHeight="1" spans="1:5">
      <c r="B3" s="5319" t="str">
        <f>IF(Baza!$C$22="engleski",E3,(IF(Baza!$C$22="bosanski",C3,D3)))</f>
        <v>Sjedište i adresa pravnog lica</v>
      </c>
      <c r="C3" s="5311" t="s">
        <v>2442</v>
      </c>
      <c r="D3" s="5312" t="s">
        <v>2443</v>
      </c>
      <c r="E3" s="5313" t="s">
        <v>2444</v>
      </c>
    </row>
    <row r="4" ht="13.5" customHeight="1" spans="1:5">
      <c r="B4" s="5319" t="str">
        <f>IF(Baza!$C$22="engleski",E4,(IF(Baza!$C$22="bosanski",C4,D4)))</f>
        <v>Identifikacioni broj za direktne poreze</v>
      </c>
      <c r="C4" s="5311" t="s">
        <v>2445</v>
      </c>
      <c r="D4" s="5312" t="s">
        <v>2446</v>
      </c>
      <c r="E4" s="5313" t="s">
        <v>2447</v>
      </c>
    </row>
    <row r="5" ht="13.5" customHeight="1" spans="1:5">
      <c r="B5" s="5319" t="str">
        <f>IF(Baza!$C$22="engleski",E5,(IF(Baza!$C$22="bosanski",C5,D5)))</f>
        <v>Identifikacioni  broj za indirektne poreze</v>
      </c>
      <c r="C5" s="5311" t="s">
        <v>2448</v>
      </c>
      <c r="D5" s="5312" t="s">
        <v>2449</v>
      </c>
      <c r="E5" s="5313" t="s">
        <v>2450</v>
      </c>
    </row>
    <row r="6" ht="15.75" customHeight="1" spans="1:5">
      <c r="B6" s="5319" t="str">
        <f>IF(Baza!$C$22="engleski",E6,(IF(Baza!$C$22="bosanski",C6,D6)))</f>
        <v>Za pravna lica koja vode knjigovodstvo u skladu sa kontnim okvirom za privredna društva</v>
      </c>
      <c r="C6" s="5311" t="s">
        <v>2451</v>
      </c>
      <c r="D6" s="5312" t="s">
        <v>2452</v>
      </c>
      <c r="E6" s="5313" t="s">
        <v>2453</v>
      </c>
    </row>
    <row r="7" ht="13.5" customHeight="1" spans="1:5">
      <c r="B7" s="5319" t="str">
        <f>IF(Baza!$C$22="engleski",E7,(IF(Baza!$C$22="bosanski",C7,D7)))</f>
        <v>Za sva pravna lica</v>
      </c>
      <c r="C7" s="5311" t="s">
        <v>2454</v>
      </c>
      <c r="D7" s="5312" t="s">
        <v>2455</v>
      </c>
      <c r="E7" s="5313" t="s">
        <v>2456</v>
      </c>
    </row>
    <row r="8" ht="13.5" customHeight="1" spans="1:5">
      <c r="B8" s="5319" t="str">
        <f>IF(Baza!$C$22="engleski",E8,(IF(Baza!$C$22="bosanski",C8,D8)))</f>
        <v>period</v>
      </c>
      <c r="C8" s="5311" t="s">
        <v>2457</v>
      </c>
      <c r="D8" s="5312" t="s">
        <v>2458</v>
      </c>
      <c r="E8" s="5313" t="s">
        <v>2457</v>
      </c>
    </row>
    <row r="9" ht="13.5" customHeight="1" spans="1:5">
      <c r="B9" s="5319" t="str">
        <f>IF(Baza!$C$22="engleski",E9,(IF(Baza!$C$22="bosanski",C9,D9)))</f>
        <v>PERIODA</v>
      </c>
      <c r="C9" s="5311" t="s">
        <v>2459</v>
      </c>
      <c r="D9" s="5312" t="s">
        <v>2460</v>
      </c>
      <c r="E9" s="5313" t="s">
        <v>2461</v>
      </c>
    </row>
    <row r="10" ht="13.5" customHeight="1" spans="1:5">
      <c r="B10" s="5319" t="str">
        <f>IF(Baza!$C$22="engleski",E10,(IF(Baza!$C$22="bosanski",C10,D10)))</f>
        <v>Ovlašteno lice</v>
      </c>
      <c r="C10" s="5311" t="s">
        <v>2462</v>
      </c>
      <c r="D10" s="5312" t="s">
        <v>2463</v>
      </c>
      <c r="E10" s="5313" t="s">
        <v>2464</v>
      </c>
    </row>
    <row r="11" ht="13.5" customHeight="1" spans="1:5">
      <c r="B11" s="5319" t="str">
        <f>IF(Baza!$C$22="engleski",E11,(IF(Baza!$C$22="bosanski",C11,D11)))</f>
        <v>Odgovorno lice</v>
      </c>
      <c r="C11" s="5311" t="s">
        <v>2465</v>
      </c>
      <c r="D11" s="5312" t="s">
        <v>2466</v>
      </c>
      <c r="E11" s="5313" t="s">
        <v>2467</v>
      </c>
    </row>
    <row r="12" ht="13.5" customHeight="1" spans="1:5">
      <c r="B12" s="5319" t="str">
        <f>IF(Baza!$C$22="engleski",E12,(IF(Baza!$C$22="bosanski",C12,D12)))</f>
        <v>Naziv pravnog / fizičkog lica</v>
      </c>
      <c r="C12" s="5311" t="s">
        <v>2468</v>
      </c>
      <c r="D12" s="5312" t="s">
        <v>2469</v>
      </c>
      <c r="E12" s="5313" t="s">
        <v>2470</v>
      </c>
    </row>
    <row r="13" ht="13.5" customHeight="1" spans="1:5">
      <c r="B13" s="5319" t="str">
        <f>IF(Baza!$C$22="engleski",E13,(IF(Baza!$C$22="bosanski",C13,D13)))</f>
        <v>IZVJEŠTAJ</v>
      </c>
      <c r="C13" s="5311" t="s">
        <v>2471</v>
      </c>
      <c r="D13" s="5312" t="s">
        <v>2472</v>
      </c>
      <c r="E13" s="5313" t="s">
        <v>2473</v>
      </c>
    </row>
    <row r="14" ht="13.5" customHeight="1" spans="1:5">
      <c r="B14" s="5319" t="str">
        <f>IF(Baza!$C$22="engleski",E14,(IF(Baza!$C$22="bosanski",C14,D14)))</f>
        <v>Godišnji izvještaj o poslovanju</v>
      </c>
      <c r="C14" s="5311" t="s">
        <v>2474</v>
      </c>
      <c r="D14" s="5312" t="s">
        <v>2475</v>
      </c>
      <c r="E14" s="5313" t="s">
        <v>2476</v>
      </c>
    </row>
    <row r="15" ht="13.5" customHeight="1" spans="1:5">
      <c r="B15" s="5319" t="str">
        <f>IF(Baza!$C$22="engleski",E15,(IF(Baza!$C$22="bosanski",C15,D15)))</f>
        <v>Rukovodilac pravnog/fizičkog lica</v>
      </c>
      <c r="C15" s="5311" t="s">
        <v>2477</v>
      </c>
      <c r="D15" s="5312" t="s">
        <v>2478</v>
      </c>
      <c r="E15" s="5313" t="s">
        <v>2479</v>
      </c>
    </row>
    <row r="16" ht="13.5" customHeight="1" spans="1:5">
      <c r="B16" s="5319" t="str">
        <f>IF(Baza!$C$22="engleski",E16,(IF(Baza!$C$22="bosanski",C16,D16)))</f>
        <v>Godišnji obračun preduzeća FBiH</v>
      </c>
      <c r="C16" s="5311" t="str">
        <f>UnosPod!F5&amp;" obračun preduzeća FBiH"</f>
        <v>Godišnji obračun preduzeća FBiH</v>
      </c>
      <c r="D16" s="5312" t="str">
        <f>UnosPod!F5&amp;" obračun poduzeća FBiH"</f>
        <v>Godišnji obračun poduzeća FBiH</v>
      </c>
      <c r="E16" s="5313" t="s">
        <v>2480</v>
      </c>
    </row>
    <row r="17" ht="13.5" customHeight="1" spans="2:5">
      <c r="B17" s="5319" t="str">
        <f>IF(Baza!$C$22="engleski",E17,(IF(Baza!$C$22="bosanski",C17,D17)))</f>
        <v>BILJEŠKE UZ FINANSIJSKE IZVJEŠTAJE</v>
      </c>
      <c r="C17" s="5311" t="s">
        <v>2481</v>
      </c>
      <c r="D17" s="5312" t="s">
        <v>2482</v>
      </c>
      <c r="E17" s="5313" t="s">
        <v>2483</v>
      </c>
    </row>
    <row r="18" ht="13.5" customHeight="1" spans="2:5">
      <c r="B18" s="5319" t="str">
        <f>IF(Baza!$C$22="engleski",E18,(IF(Baza!$C$22="bosanski",C18,D18)))</f>
        <v>Račun opština</v>
      </c>
      <c r="C18" s="5311" t="s">
        <v>2484</v>
      </c>
      <c r="D18" s="5312" t="s">
        <v>2485</v>
      </c>
      <c r="E18" s="5313" t="s">
        <v>2486</v>
      </c>
    </row>
    <row r="19" ht="13.5" customHeight="1" spans="2:5">
      <c r="B19" s="5319" t="str">
        <f>IF(Baza!$C$22="engleski",E19,(IF(Baza!$C$22="bosanski",C19,D19)))</f>
        <v>Budžet</v>
      </c>
      <c r="C19" s="5311" t="s">
        <v>2487</v>
      </c>
      <c r="D19" s="5312" t="s">
        <v>2488</v>
      </c>
      <c r="E19" s="5313" t="s">
        <v>2489</v>
      </c>
    </row>
    <row r="20" ht="13.5" customHeight="1" spans="2:5">
      <c r="B20" s="5319" t="str">
        <f>IF(Baza!$C$22="engleski",E20,(IF(Baza!$C$22="bosanski",C20,D20)))</f>
        <v>za upotrebu vještačkih đubriva</v>
      </c>
      <c r="C20" s="5311" t="s">
        <v>2490</v>
      </c>
      <c r="D20" s="5312" t="s">
        <v>2491</v>
      </c>
      <c r="E20" s="5313" t="s">
        <v>2492</v>
      </c>
    </row>
    <row r="21" ht="13.5" customHeight="1" spans="2:5">
      <c r="B21" s="5319" t="str">
        <f>IF(Baza!$C$22="engleski",E21,(IF(Baza!$C$22="bosanski",C21,D21)))</f>
        <v>za upotrebu hemikalija za zaštitu bilja</v>
      </c>
      <c r="C21" s="5311" t="s">
        <v>2493</v>
      </c>
      <c r="D21" s="5312" t="s">
        <v>2494</v>
      </c>
      <c r="E21" s="5313" t="s">
        <v>2495</v>
      </c>
    </row>
    <row r="22" ht="13.5" customHeight="1" spans="2:5">
      <c r="B22" s="5319" t="str">
        <f>IF(Baza!$C$22="engleski",E22,(IF(Baza!$C$22="bosanski",C22,D22)))</f>
        <v>Šifra djelatnosti po</v>
      </c>
      <c r="C22" s="5311" t="s">
        <v>2496</v>
      </c>
      <c r="D22" s="5312" t="s">
        <v>2496</v>
      </c>
      <c r="E22" s="5313" t="s">
        <v>2497</v>
      </c>
    </row>
    <row r="23" ht="13.5" customHeight="1" spans="2:5">
      <c r="B23" s="5319" t="str">
        <f>IF(Baza!$C$22="engleski",E23,(IF(Baza!$C$22="bosanski",C23,D23)))</f>
        <v>Djelatnost</v>
      </c>
      <c r="C23" s="5311" t="s">
        <v>2498</v>
      </c>
      <c r="D23" s="5312" t="s">
        <v>2498</v>
      </c>
      <c r="E23" s="5313" t="s">
        <v>2499</v>
      </c>
    </row>
    <row r="24" ht="13.5" customHeight="1" spans="2:5">
      <c r="B24" s="5319" t="str">
        <f>IF(Baza!$C$22="engleski",E24,(IF(Baza!$C$22="bosanski",C24,D24)))</f>
        <v>Naziv banke</v>
      </c>
      <c r="C24" s="5311" t="s">
        <v>364</v>
      </c>
      <c r="D24" s="5312" t="s">
        <v>364</v>
      </c>
      <c r="E24" s="5313" t="s">
        <v>2500</v>
      </c>
    </row>
    <row r="25" ht="13.5" customHeight="1" spans="2:5">
      <c r="B25" s="5319" t="str">
        <f>IF(Baza!$C$22="engleski",E25,(IF(Baza!$C$22="bosanski",C25,D25)))</f>
        <v>Broj računa</v>
      </c>
      <c r="C25" s="5311" t="s">
        <v>2501</v>
      </c>
      <c r="D25" s="5312" t="s">
        <v>2501</v>
      </c>
      <c r="E25" s="5313" t="s">
        <v>2502</v>
      </c>
    </row>
    <row r="26" ht="13.5" customHeight="1" spans="2:5">
      <c r="B26" s="5319" t="str">
        <f>IF(Baza!$C$22="engleski",E26,(IF(Baza!$C$22="bosanski",C26,D26)))</f>
        <v>Šifra općine</v>
      </c>
      <c r="C26" s="5311" t="s">
        <v>2503</v>
      </c>
      <c r="D26" s="5312" t="s">
        <v>2503</v>
      </c>
      <c r="E26" s="5313" t="s">
        <v>2504</v>
      </c>
    </row>
    <row r="27" ht="13.5" customHeight="1" spans="2:5">
      <c r="B27" s="5319" t="str">
        <f>IF(Baza!$C$22="engleski",E27,(IF(Baza!$C$22="bosanski",C27,D27)))</f>
        <v>Redni broj</v>
      </c>
      <c r="C27" s="5311" t="s">
        <v>2505</v>
      </c>
      <c r="D27" s="5312" t="s">
        <v>2505</v>
      </c>
      <c r="E27" s="5313" t="s">
        <v>2506</v>
      </c>
    </row>
    <row r="28" ht="13.5" customHeight="1" spans="2:5">
      <c r="B28" s="5319" t="str">
        <f>IF(Baza!$C$22="engleski",E28,(IF(Baza!$C$22="bosanski",C28,D28)))</f>
        <v>P O Z I C I J A</v>
      </c>
      <c r="C28" s="5311" t="s">
        <v>2507</v>
      </c>
      <c r="D28" s="5312" t="s">
        <v>2507</v>
      </c>
      <c r="E28" s="5313" t="s">
        <v>2508</v>
      </c>
    </row>
    <row r="29" ht="13.5" customHeight="1" spans="2:5">
      <c r="B29" s="5319" t="str">
        <f>IF(Baza!$C$22="engleski",E29,(IF(Baza!$C$22="bosanski",C29,D29)))</f>
        <v>Konto</v>
      </c>
      <c r="C29" s="5311" t="s">
        <v>2509</v>
      </c>
      <c r="D29" s="5312" t="s">
        <v>2509</v>
      </c>
      <c r="E29" s="5313" t="s">
        <v>2510</v>
      </c>
    </row>
    <row r="30" ht="13.5" customHeight="1" spans="2:5">
      <c r="B30" s="5319" t="str">
        <f>IF(Baza!$C$22="engleski",E30,(IF(Baza!$C$22="bosanski",C30,D30)))</f>
        <v>Bilješka</v>
      </c>
      <c r="C30" s="5311" t="s">
        <v>2511</v>
      </c>
      <c r="D30" s="5312" t="s">
        <v>2511</v>
      </c>
      <c r="E30" s="5313" t="s">
        <v>2512</v>
      </c>
    </row>
    <row r="31" ht="13.5" customHeight="1" spans="2:5">
      <c r="B31" s="5319" t="str">
        <f>IF(Baza!$C$22="engleski",E31,(IF(Baza!$C$22="bosanski",C31,D31)))</f>
        <v>godine</v>
      </c>
      <c r="C31" s="5311" t="s">
        <v>2513</v>
      </c>
      <c r="D31" s="5312" t="s">
        <v>2513</v>
      </c>
      <c r="E31" s="5313" t="s">
        <v>2514</v>
      </c>
    </row>
    <row r="32" ht="13.5" customHeight="1" spans="2:5">
      <c r="B32" s="5319" t="str">
        <f>IF(Baza!$C$22="engleski",E32,(IF(Baza!$C$22="bosanski",C32,D32)))</f>
        <v>tekuće godine</v>
      </c>
      <c r="C32" s="5311" t="s">
        <v>2515</v>
      </c>
      <c r="D32" s="5312" t="s">
        <v>2515</v>
      </c>
      <c r="E32" s="5313" t="s">
        <v>2516</v>
      </c>
    </row>
    <row r="33" ht="13.5" customHeight="1" spans="2:5">
      <c r="B33" s="5319" t="str">
        <f>IF(Baza!$C$22="engleski",E33,(IF(Baza!$C$22="bosanski",C33,D33)))</f>
        <v>prethodne godine</v>
      </c>
      <c r="C33" s="5311" t="s">
        <v>2517</v>
      </c>
      <c r="D33" s="5312" t="s">
        <v>2517</v>
      </c>
      <c r="E33" s="5313" t="s">
        <v>2518</v>
      </c>
    </row>
    <row r="34" ht="13.5" customHeight="1" spans="2:5">
      <c r="B34" s="5319" t="str">
        <f>IF(Baza!$C$22="engleski",E34,(IF(Baza!$C$22="bosanski",C34,D34)))</f>
        <v>do</v>
      </c>
      <c r="C34" s="5311" t="s">
        <v>12</v>
      </c>
      <c r="D34" s="5312" t="s">
        <v>2519</v>
      </c>
      <c r="E34" s="5313" t="s">
        <v>2520</v>
      </c>
    </row>
    <row r="35" ht="13.5" customHeight="1" spans="2:5">
      <c r="B35" s="5319" t="str">
        <f>IF(Baza!$C$22="engleski",E35,(IF(Baza!$C$22="bosanski",C35,D35)))</f>
        <v>Iznos tekuće godine</v>
      </c>
      <c r="C35" s="5311" t="s">
        <v>2521</v>
      </c>
      <c r="D35" s="5312" t="s">
        <v>2521</v>
      </c>
      <c r="E35" s="5313" t="s">
        <v>2522</v>
      </c>
    </row>
    <row r="36" ht="13.5" customHeight="1" spans="2:5">
      <c r="B36" s="5319" t="str">
        <f>IF(Baza!$C$22="engleski",E36,(IF(Baza!$C$22="bosanski",C36,D36)))</f>
        <v>Iznos prethodne godine</v>
      </c>
      <c r="C36" s="5311" t="s">
        <v>2523</v>
      </c>
      <c r="D36" s="5312" t="s">
        <v>2523</v>
      </c>
      <c r="E36" s="5313" t="s">
        <v>2524</v>
      </c>
    </row>
    <row r="37" ht="13.5" customHeight="1" spans="2:5">
      <c r="B37" s="5319" t="str">
        <f>IF(Baza!$C$22="engleski",E37,(IF(Baza!$C$22="bosanski",C37,D37)))</f>
        <v>(početno stanje)</v>
      </c>
      <c r="C37" s="5311" t="s">
        <v>2525</v>
      </c>
      <c r="D37" s="5312" t="s">
        <v>2525</v>
      </c>
      <c r="E37" s="5313" t="s">
        <v>2526</v>
      </c>
    </row>
    <row r="38" ht="13.5" customHeight="1" spans="2:5">
      <c r="B38" s="5319" t="str">
        <f>IF(Baza!$C$22="engleski",E38,(IF(Baza!$C$22="bosanski",C38,D38)))</f>
        <v>Grupa konta, konto, dio konta</v>
      </c>
      <c r="C38" s="5311" t="s">
        <v>2527</v>
      </c>
      <c r="D38" s="5312" t="s">
        <v>2527</v>
      </c>
      <c r="E38" s="5313" t="s">
        <v>2528</v>
      </c>
    </row>
    <row r="39" ht="13.5" customHeight="1" spans="2:5">
      <c r="B39" s="5319" t="str">
        <f>IF(Baza!$C$22="engleski",E39,(IF(Baza!$C$22="bosanski",C39,D39)))</f>
        <v>IZNOS</v>
      </c>
      <c r="C39" s="5311" t="s">
        <v>2529</v>
      </c>
      <c r="D39" s="5312" t="s">
        <v>2529</v>
      </c>
      <c r="E39" s="5313" t="s">
        <v>2530</v>
      </c>
    </row>
    <row r="40" ht="13.5" customHeight="1" spans="2:5">
      <c r="B40" s="5319" t="str">
        <f>IF(Baza!$C$22="engleski",E40,(IF(Baza!$C$22="bosanski",C40,D40)))</f>
        <v>Dana</v>
      </c>
      <c r="C40" s="5311" t="s">
        <v>2531</v>
      </c>
      <c r="D40" s="5312" t="s">
        <v>2531</v>
      </c>
      <c r="E40" s="5313" t="s">
        <v>2532</v>
      </c>
    </row>
    <row r="41" ht="13.5" customHeight="1" spans="2:5">
      <c r="B41" s="5319" t="str">
        <f>IF(Baza!$C$22="engleski",E41,(IF(Baza!$C$22="bosanski",C41,D41)))</f>
        <v>Certificirani računovođa : </v>
      </c>
      <c r="C41" s="5311" t="s">
        <v>2533</v>
      </c>
      <c r="D41" s="5312" t="s">
        <v>2533</v>
      </c>
      <c r="E41" s="5313" t="s">
        <v>2534</v>
      </c>
    </row>
    <row r="42" ht="13.5" customHeight="1" spans="2:5">
      <c r="B42" s="5319" t="str">
        <f>IF(Baza!$C$22="engleski",E42,(IF(Baza!$C$22="bosanski",C42,D42)))</f>
        <v>Broj dozvole : </v>
      </c>
      <c r="C42" s="5311" t="s">
        <v>2535</v>
      </c>
      <c r="D42" s="5312" t="s">
        <v>2535</v>
      </c>
      <c r="E42" s="5313" t="s">
        <v>2536</v>
      </c>
    </row>
    <row r="43" ht="13.5" customHeight="1" spans="2:5">
      <c r="B43" s="5319" t="str">
        <f>IF(Baza!$C$22="engleski",E43,(IF(Baza!$C$22="bosanski",C43,D43)))</f>
        <v>U</v>
      </c>
      <c r="C43" s="5311" t="s">
        <v>2537</v>
      </c>
      <c r="D43" s="5312" t="s">
        <v>2537</v>
      </c>
      <c r="E43" s="5313" t="s">
        <v>2538</v>
      </c>
    </row>
    <row r="44" ht="13.5" customHeight="1" spans="2:5">
      <c r="B44" s="5319" t="str">
        <f>IF(Baza!$C$22="engleski",E44,(IF(Baza!$C$22="bosanski",C44,D44)))</f>
        <v>Direktor</v>
      </c>
      <c r="C44" s="5311" t="s">
        <v>2539</v>
      </c>
      <c r="D44" s="5312" t="s">
        <v>2540</v>
      </c>
      <c r="E44" s="5313" t="s">
        <v>2541</v>
      </c>
    </row>
    <row r="45" ht="13.5" customHeight="1" spans="2:5">
      <c r="B45" s="5319"/>
    </row>
    <row r="46" ht="13.5" customHeight="1" spans="2:5">
      <c r="B46" s="5319"/>
    </row>
    <row r="47" ht="13.5" customHeight="1" spans="2:5">
      <c r="B47" s="5319"/>
    </row>
    <row r="48" ht="13.5" customHeight="1" spans="2:5">
      <c r="B48" s="5319"/>
    </row>
    <row r="49" ht="13.5" customHeight="1" spans="1:5">
      <c r="B49" s="5319"/>
    </row>
    <row r="50" ht="13.5" customHeight="1" spans="1:5">
      <c r="B50" s="5319"/>
    </row>
    <row r="51" ht="13.5" customHeight="1" spans="1:5">
      <c r="B51" s="5319"/>
    </row>
    <row r="52" ht="13.5" customHeight="1" spans="1:5">
      <c r="B52" s="5319"/>
    </row>
    <row r="53" ht="13.5" customHeight="1"/>
    <row r="54" ht="14.25" customHeight="1" spans="1:5">
      <c r="A54" s="5320"/>
      <c r="B54" s="5321" t="str">
        <f>IF(Baza!$C$22="engleski",E54,(IF(Baza!$C$22="bosanski",C54,D54)))</f>
        <v>IZVJEŠTAJ O UKUPNOM REZULTATU ZA PERIOD</v>
      </c>
      <c r="C54" s="5322" t="s">
        <v>2542</v>
      </c>
      <c r="D54" s="5323" t="s">
        <v>2543</v>
      </c>
      <c r="E54" s="5324" t="s">
        <v>2544</v>
      </c>
    </row>
    <row r="55" ht="14.25" customHeight="1" spans="1:5">
      <c r="A55" s="5325" t="s">
        <v>2545</v>
      </c>
      <c r="B55" s="5321" t="str">
        <f>IF(Baza!$C$22="engleski",E55,(IF(Baza!$C$22="bosanski",C55,D55)))</f>
        <v>(BILANS USPJEHA)</v>
      </c>
      <c r="C55" s="5322" t="s">
        <v>2546</v>
      </c>
      <c r="D55" s="5323" t="s">
        <v>2547</v>
      </c>
      <c r="E55" s="5324" t="s">
        <v>2548</v>
      </c>
    </row>
    <row r="56" ht="14.25" customHeight="1" spans="1:5">
      <c r="A56" s="5320"/>
      <c r="B56" s="5321" t="str">
        <f ca="1">IF(Baza!$C$22="engleski",E56,(IF(Baza!$C$22="bosanski",C56,D56)))</f>
        <v>za period od 01.01.2025. do 31.12.2025. godine</v>
      </c>
      <c r="C56" s="5326" t="str">
        <f ca="1">"za period od "&amp;PeriodOd&amp;". do "&amp;PeriodDo&amp;". godine"</f>
        <v>za period od 01.01.2025. do 31.12.2025. godine</v>
      </c>
      <c r="D56" s="5323" t="str">
        <f ca="1">"za razdoblje od "&amp;PeriodOd&amp;". do "&amp;PeriodDo&amp;". godine"</f>
        <v>za razdoblje od 01.01.2025. do 31.12.2025. godine</v>
      </c>
      <c r="E56" s="5324" t="str">
        <f ca="1">"for period from  "&amp;PeriodOd&amp;". to "&amp;PeriodDo&amp;".years"</f>
        <v>for period from  01.01.2025. to 31.12.2025.years</v>
      </c>
    </row>
    <row r="57" ht="14.25" customHeight="1" spans="1:5">
      <c r="A57" s="5320"/>
      <c r="B57" s="5321" t="str">
        <f ca="1">IF(Baza!$C$22="engleski",E57,(IF(Baza!$C$22="bosanski",C57,D57)))</f>
        <v>za period od 01.01.2025. do 31.12.2025.</v>
      </c>
      <c r="C57" s="5326" t="str">
        <f ca="1">"za period od "&amp;PeriodOd&amp;". do "&amp;PeriodDo&amp;"."</f>
        <v>za period od 01.01.2025. do 31.12.2025.</v>
      </c>
      <c r="D57" s="5323" t="str">
        <f ca="1">"za razdoblje od "&amp;PeriodOd&amp;". do "&amp;PeriodDo&amp;"."</f>
        <v>za razdoblje od 01.01.2025. do 31.12.2025.</v>
      </c>
      <c r="E57" s="5324" t="str">
        <f ca="1">"for period from  "&amp;PeriodOd&amp;". to "&amp;PeriodDo&amp;"."</f>
        <v>for period from  01.01.2025. to 31.12.2025.</v>
      </c>
    </row>
    <row r="58" spans="1:5">
      <c r="A58" s="5325"/>
      <c r="B58" s="5327" t="str">
        <f>IF(Baza!$C$22="engleski",E58,(IF(Baza!$C$22="bosanski",C58,D58)))</f>
        <v>DOBIT ILI GUBITAK PERIODA</v>
      </c>
      <c r="C58" s="5328" t="s">
        <v>2549</v>
      </c>
      <c r="D58" s="5329" t="s">
        <v>2550</v>
      </c>
      <c r="E58" s="5330" t="s">
        <v>2551</v>
      </c>
    </row>
    <row r="59" spans="1:5">
      <c r="A59" s="5331">
        <v>101</v>
      </c>
      <c r="B59" s="5327" t="str">
        <f>IF(Baza!$C$22="engleski",E59,(IF(Baza!$C$22="bosanski",C59,D59)))</f>
        <v>Prihodi iz ugovora s kupcima (102 do 104)</v>
      </c>
      <c r="C59" s="5328" t="s">
        <v>2552</v>
      </c>
      <c r="D59" s="5329" t="s">
        <v>2552</v>
      </c>
      <c r="E59" s="5330" t="s">
        <v>2553</v>
      </c>
    </row>
    <row r="60" spans="1:5">
      <c r="A60" s="5331">
        <v>102</v>
      </c>
      <c r="B60" s="5327" t="str">
        <f>IF(Baza!$C$22="engleski",E60,(IF(Baza!$C$22="bosanski",C60,D60)))</f>
        <v>Prihodi od prodaje robe </v>
      </c>
      <c r="C60" s="5328" t="s">
        <v>2554</v>
      </c>
      <c r="D60" s="5329" t="s">
        <v>2554</v>
      </c>
      <c r="E60" s="5330" t="s">
        <v>2555</v>
      </c>
    </row>
    <row r="61" ht="14.25" customHeight="1" spans="1:5">
      <c r="A61" s="5331">
        <v>103</v>
      </c>
      <c r="B61" s="5327" t="str">
        <f>IF(Baza!$C$22="engleski",E61,(IF(Baza!$C$22="bosanski",C61,D61)))</f>
        <v>Prihodi od prodaje gotovih proizvoda</v>
      </c>
      <c r="C61" s="5328" t="s">
        <v>2556</v>
      </c>
      <c r="D61" s="5329" t="s">
        <v>2556</v>
      </c>
      <c r="E61" s="5330" t="s">
        <v>2557</v>
      </c>
    </row>
    <row r="62" ht="14.25" customHeight="1" spans="1:5">
      <c r="A62" s="5331">
        <v>104</v>
      </c>
      <c r="B62" s="5327" t="str">
        <f>IF(Baza!$C$22="engleski",E62,(IF(Baza!$C$22="bosanski",C62,D62)))</f>
        <v>Prihodi od pruženih usluga</v>
      </c>
      <c r="C62" s="5328" t="s">
        <v>2558</v>
      </c>
      <c r="D62" s="5329" t="s">
        <v>2558</v>
      </c>
      <c r="E62" s="5330" t="s">
        <v>2559</v>
      </c>
    </row>
    <row r="63" ht="14.25" customHeight="1" spans="1:5">
      <c r="A63" s="5331">
        <v>105</v>
      </c>
      <c r="B63" s="5327" t="str">
        <f>IF(Baza!$C$22="engleski",E63,(IF(Baza!$C$22="bosanski",C63,D63)))</f>
        <v>Poslovni rashodi (106+107+108+109+110+111+112)</v>
      </c>
      <c r="C63" s="5328" t="s">
        <v>2560</v>
      </c>
      <c r="D63" s="5329" t="s">
        <v>2561</v>
      </c>
      <c r="E63" s="5330" t="s">
        <v>2562</v>
      </c>
    </row>
    <row r="64" ht="14.25" customHeight="1" spans="1:5">
      <c r="A64" s="5331">
        <v>106</v>
      </c>
      <c r="B64" s="5327" t="str">
        <f>IF(Baza!$C$22="engleski",E64,(IF(Baza!$C$22="bosanski",C64,D64)))</f>
        <v>Nabavna vrijednost prodate robe</v>
      </c>
      <c r="C64" s="5328" t="s">
        <v>2563</v>
      </c>
      <c r="D64" s="5329" t="s">
        <v>2564</v>
      </c>
      <c r="E64" s="5330" t="s">
        <v>2565</v>
      </c>
    </row>
    <row r="65" ht="14.25" customHeight="1" spans="1:5">
      <c r="A65" s="5331">
        <v>107</v>
      </c>
      <c r="B65" s="5327" t="str">
        <f>IF(Baza!$C$22="engleski",E65,(IF(Baza!$C$22="bosanski",C65,D65)))</f>
        <v>Promjene u zalihama gotovih proizvoda, poluproizvoda i proizvodnje u toku, neto (+)/(-)</v>
      </c>
      <c r="C65" s="5328" t="s">
        <v>2566</v>
      </c>
      <c r="D65" s="5329" t="s">
        <v>2567</v>
      </c>
      <c r="E65" s="5330" t="s">
        <v>2568</v>
      </c>
    </row>
    <row r="66" ht="14.25" customHeight="1" spans="1:5">
      <c r="A66" s="5331">
        <v>108</v>
      </c>
      <c r="B66" s="5327" t="str">
        <f>IF(Baza!$C$22="engleski",E66,(IF(Baza!$C$22="bosanski",C66,D66)))</f>
        <v>Troškovi sirovina i materijala</v>
      </c>
      <c r="C66" s="5328" t="s">
        <v>2569</v>
      </c>
      <c r="D66" s="5329" t="s">
        <v>2569</v>
      </c>
      <c r="E66" s="5330" t="s">
        <v>2570</v>
      </c>
    </row>
    <row r="67" ht="14.25" customHeight="1" spans="1:5">
      <c r="A67" s="5331">
        <v>109</v>
      </c>
      <c r="B67" s="5327" t="str">
        <f>IF(Baza!$C$22="engleski",E67,(IF(Baza!$C$22="bosanski",C67,D67)))</f>
        <v>Troškovi energije i goriva</v>
      </c>
      <c r="C67" s="5328" t="s">
        <v>2571</v>
      </c>
      <c r="D67" s="5329" t="s">
        <v>2571</v>
      </c>
      <c r="E67" s="5330" t="s">
        <v>2572</v>
      </c>
    </row>
    <row r="68" ht="14.25" customHeight="1" spans="1:5">
      <c r="A68" s="5331">
        <v>110</v>
      </c>
      <c r="B68" s="5327" t="str">
        <f>IF(Baza!$C$22="engleski",E68,(IF(Baza!$C$22="bosanski",C68,D68)))</f>
        <v>Troškovi plaća i ostalih ličnih primanja </v>
      </c>
      <c r="C68" s="5328" t="s">
        <v>2573</v>
      </c>
      <c r="D68" s="5329" t="s">
        <v>2574</v>
      </c>
      <c r="E68" s="5330" t="s">
        <v>2575</v>
      </c>
    </row>
    <row r="69" ht="14.25" customHeight="1" spans="1:5">
      <c r="A69" s="5331">
        <v>111</v>
      </c>
      <c r="B69" s="5327" t="str">
        <f>IF(Baza!$C$22="engleski",E69,(IF(Baza!$C$22="bosanski",C69,D69)))</f>
        <v>Amortizacija</v>
      </c>
      <c r="C69" s="5328" t="s">
        <v>2576</v>
      </c>
      <c r="D69" s="5329" t="s">
        <v>2576</v>
      </c>
      <c r="E69" s="5330" t="s">
        <v>2577</v>
      </c>
    </row>
    <row r="70" ht="14.25" customHeight="1" spans="1:5">
      <c r="A70" s="5331">
        <v>112</v>
      </c>
      <c r="B70" s="5327" t="str">
        <f>IF(Baza!$C$22="engleski",E70,(IF(Baza!$C$22="bosanski",C70,D70)))</f>
        <v>Ostali poslovni rashodi i troškovi</v>
      </c>
      <c r="C70" s="5328" t="s">
        <v>2578</v>
      </c>
      <c r="D70" s="5329" t="s">
        <v>2578</v>
      </c>
      <c r="E70" s="5330" t="s">
        <v>2579</v>
      </c>
    </row>
    <row r="71" ht="14.25" customHeight="1" spans="1:5">
      <c r="A71" s="5331">
        <v>113</v>
      </c>
      <c r="B71" s="5327" t="str">
        <f>IF(Baza!$C$22="engleski",E71,(IF(Baza!$C$22="bosanski",C71,D71)))</f>
        <v>Ostali prihodi i rashodi (+114+115+116+117+118-119+120-121)</v>
      </c>
      <c r="C71" s="5328" t="s">
        <v>2580</v>
      </c>
      <c r="D71" s="5329" t="s">
        <v>2581</v>
      </c>
      <c r="E71" s="5330" t="s">
        <v>2582</v>
      </c>
    </row>
    <row r="72" ht="14.25" customHeight="1" spans="1:5">
      <c r="A72" s="5331">
        <v>114</v>
      </c>
      <c r="B72" s="5327" t="str">
        <f>IF(Baza!$C$22="engleski",E72,(IF(Baza!$C$22="bosanski",C72,D72)))</f>
        <v>Dobici i gubici od dugoročne nefinansijske imovine, neto (+) / (-)</v>
      </c>
      <c r="C72" s="5328" t="s">
        <v>2583</v>
      </c>
      <c r="D72" s="5329" t="s">
        <v>2584</v>
      </c>
      <c r="E72" s="5330" t="s">
        <v>2585</v>
      </c>
    </row>
    <row r="73" ht="14.25" customHeight="1" spans="1:5">
      <c r="A73" s="5331">
        <v>115</v>
      </c>
      <c r="B73" s="5327" t="str">
        <f>IF(Baza!$C$22="engleski",E73,(IF(Baza!$C$22="bosanski",C73,D73)))</f>
        <v>Dobici i gubici od finansijske imovine i ulaganja, neto (+) / (-)</v>
      </c>
      <c r="C73" s="5328" t="s">
        <v>2586</v>
      </c>
      <c r="D73" s="5329" t="s">
        <v>2587</v>
      </c>
      <c r="E73" s="5330" t="s">
        <v>2588</v>
      </c>
    </row>
    <row r="74" ht="14.25" customHeight="1" spans="1:5">
      <c r="A74" s="5331">
        <v>116</v>
      </c>
      <c r="B74" s="5327" t="str">
        <f>IF(Baza!$C$22="engleski",E74,(IF(Baza!$C$22="bosanski",C74,D74)))</f>
        <v>Dobici i gubici od usklađenja vrijednosti zaliha, neto (+/-)</v>
      </c>
      <c r="C74" s="5328" t="s">
        <v>2589</v>
      </c>
      <c r="D74" s="5329" t="s">
        <v>2589</v>
      </c>
      <c r="E74" s="5330" t="s">
        <v>2590</v>
      </c>
    </row>
    <row r="75" ht="14.25" customHeight="1" spans="1:5">
      <c r="A75" s="5331">
        <v>117</v>
      </c>
      <c r="B75" s="5327" t="str">
        <f>IF(Baza!$C$22="engleski",E75,(IF(Baza!$C$22="bosanski",C75,D75)))</f>
        <v>Promjena rezervisanja, neto (+/-)</v>
      </c>
      <c r="C75" s="5328" t="s">
        <v>2591</v>
      </c>
      <c r="D75" s="5329" t="s">
        <v>2592</v>
      </c>
      <c r="E75" s="5330" t="s">
        <v>2593</v>
      </c>
    </row>
    <row r="76" ht="14.25" customHeight="1" spans="1:5">
      <c r="A76" s="5331">
        <v>118</v>
      </c>
      <c r="B76" s="5327" t="str">
        <f>IF(Baza!$C$22="engleski",E76,(IF(Baza!$C$22="bosanski",C76,D76)))</f>
        <v>Finansijski prihodi </v>
      </c>
      <c r="C76" s="5328" t="s">
        <v>2594</v>
      </c>
      <c r="D76" s="5329" t="s">
        <v>2595</v>
      </c>
      <c r="E76" s="5332" t="s">
        <v>2596</v>
      </c>
    </row>
    <row r="77" ht="14.25" customHeight="1" spans="1:5">
      <c r="A77" s="5331">
        <v>119</v>
      </c>
      <c r="B77" s="5327" t="str">
        <f>IF(Baza!$C$22="engleski",E77,(IF(Baza!$C$22="bosanski",C77,D77)))</f>
        <v>Finansijski rashodi </v>
      </c>
      <c r="C77" s="5328" t="s">
        <v>2597</v>
      </c>
      <c r="D77" s="5329" t="s">
        <v>2598</v>
      </c>
      <c r="E77" s="5332" t="s">
        <v>2599</v>
      </c>
    </row>
    <row r="78" ht="14.25" customHeight="1" spans="1:5">
      <c r="A78" s="5331">
        <v>120</v>
      </c>
      <c r="B78" s="5327" t="str">
        <f>IF(Baza!$C$22="engleski",E78,(IF(Baza!$C$22="bosanski",C78,D78)))</f>
        <v>Ostali prihodi i dobici</v>
      </c>
      <c r="C78" s="5328" t="s">
        <v>2600</v>
      </c>
      <c r="D78" s="5329" t="s">
        <v>2600</v>
      </c>
      <c r="E78" s="5332" t="s">
        <v>2601</v>
      </c>
    </row>
    <row r="79" ht="14.25" customHeight="1" spans="1:5">
      <c r="A79" s="5331">
        <v>121</v>
      </c>
      <c r="B79" s="5327" t="str">
        <f>IF(Baza!$C$22="engleski",E79,(IF(Baza!$C$22="bosanski",C79,D79)))</f>
        <v>Ostali rashodi i gubici</v>
      </c>
      <c r="C79" s="5328" t="s">
        <v>2602</v>
      </c>
      <c r="D79" s="5329" t="s">
        <v>2602</v>
      </c>
      <c r="E79" s="5333" t="s">
        <v>2603</v>
      </c>
    </row>
    <row r="80" ht="14.25" customHeight="1" spans="1:5">
      <c r="A80" s="5331">
        <v>122</v>
      </c>
      <c r="B80" s="5327" t="str">
        <f>IF(Baza!$C$22="engleski",E80,(IF(Baza!$C$22="bosanski",C80,D80)))</f>
        <v>Dobit prije oporezivanja (101-105+113)</v>
      </c>
      <c r="C80" s="5328" t="s">
        <v>2604</v>
      </c>
      <c r="D80" s="5329" t="s">
        <v>2605</v>
      </c>
      <c r="E80" s="5332" t="s">
        <v>2606</v>
      </c>
    </row>
    <row r="81" ht="14.25" customHeight="1" spans="1:5">
      <c r="A81" s="5331">
        <v>123</v>
      </c>
      <c r="B81" s="5327" t="str">
        <f>IF(Baza!$C$22="engleski",E81,(IF(Baza!$C$22="bosanski",C81,D81)))</f>
        <v>Gubitak prije oporezivanja (101-105+113)</v>
      </c>
      <c r="C81" s="5328" t="s">
        <v>2607</v>
      </c>
      <c r="D81" s="5329" t="s">
        <v>2608</v>
      </c>
      <c r="E81" s="5332" t="s">
        <v>2609</v>
      </c>
    </row>
    <row r="82" ht="14.25" customHeight="1" spans="1:5">
      <c r="A82" s="5331">
        <v>124</v>
      </c>
      <c r="B82" s="5327" t="str">
        <f>IF(Baza!$C$22="engleski",E82,(IF(Baza!$C$22="bosanski",C82,D82)))</f>
        <v>Porez na dobit (125+126)</v>
      </c>
      <c r="C82" s="5328" t="s">
        <v>2610</v>
      </c>
      <c r="D82" s="5329" t="s">
        <v>2611</v>
      </c>
      <c r="E82" s="5333" t="s">
        <v>2612</v>
      </c>
    </row>
    <row r="83" ht="14.25" customHeight="1" spans="1:5">
      <c r="A83" s="5331">
        <v>125</v>
      </c>
      <c r="B83" s="5327" t="str">
        <f>IF(Baza!$C$22="engleski",E83,(IF(Baza!$C$22="bosanski",C83,D83)))</f>
        <v>Tekući porez na dobit</v>
      </c>
      <c r="C83" s="5328" t="s">
        <v>2613</v>
      </c>
      <c r="D83" s="5329" t="s">
        <v>2613</v>
      </c>
      <c r="E83" s="5332" t="s">
        <v>2614</v>
      </c>
    </row>
    <row r="84" ht="14.25" customHeight="1" spans="1:5">
      <c r="A84" s="5331">
        <v>126</v>
      </c>
      <c r="B84" s="5327" t="str">
        <f>IF(Baza!$C$22="engleski",E84,(IF(Baza!$C$22="bosanski",C84,D84)))</f>
        <v>Odgođeni porez na dobit</v>
      </c>
      <c r="C84" s="5328" t="s">
        <v>2615</v>
      </c>
      <c r="D84" s="5329" t="s">
        <v>2615</v>
      </c>
      <c r="E84" s="5332" t="s">
        <v>2616</v>
      </c>
    </row>
    <row r="85" ht="14.25" customHeight="1" spans="1:5">
      <c r="A85" s="5331">
        <v>127</v>
      </c>
      <c r="B85" s="5327" t="str">
        <f>IF(Baza!$C$22="engleski",E85,(IF(Baza!$C$22="bosanski",C85,D85)))</f>
        <v>Dobit (122+124)</v>
      </c>
      <c r="C85" s="5328" t="s">
        <v>2617</v>
      </c>
      <c r="D85" s="5329" t="s">
        <v>2618</v>
      </c>
      <c r="E85" s="5332" t="s">
        <v>2619</v>
      </c>
    </row>
    <row r="86" ht="14.25" customHeight="1" spans="1:5">
      <c r="A86" s="5331">
        <v>128</v>
      </c>
      <c r="B86" s="5327" t="str">
        <f>IF(Baza!$C$22="engleski",E86,(IF(Baza!$C$22="bosanski",C86,D86)))</f>
        <v>Gubitak (123+124)</v>
      </c>
      <c r="C86" s="5328" t="s">
        <v>2620</v>
      </c>
      <c r="D86" s="5329" t="s">
        <v>2621</v>
      </c>
      <c r="E86" s="5332" t="s">
        <v>2622</v>
      </c>
    </row>
    <row r="87" ht="14.25" customHeight="1" spans="1:5">
      <c r="A87" s="5331"/>
      <c r="B87" s="5327" t="str">
        <f>IF(Baza!$C$22="engleski",E87,(IF(Baza!$C$22="bosanski",C87,D87)))</f>
        <v>IZVJEŠTAJ O OSTALOM UKUPNOM REZULTATU</v>
      </c>
      <c r="C87" s="5328" t="s">
        <v>2623</v>
      </c>
      <c r="D87" s="5329" t="s">
        <v>2623</v>
      </c>
      <c r="E87" s="5332" t="s">
        <v>2624</v>
      </c>
    </row>
    <row r="88" ht="14.25" customHeight="1" spans="1:5">
      <c r="A88" s="5331">
        <v>129</v>
      </c>
      <c r="B88" s="5327" t="str">
        <f>IF(Baza!$C$22="engleski",E88,(IF(Baza!$C$22="bosanski",C88,D88)))</f>
        <v>Ostali ukupni rezultat (+130+131+132-133)</v>
      </c>
      <c r="C88" s="5328" t="s">
        <v>2625</v>
      </c>
      <c r="D88" s="5329" t="s">
        <v>2626</v>
      </c>
      <c r="E88" s="5332" t="s">
        <v>2627</v>
      </c>
    </row>
    <row r="89" ht="14.25" customHeight="1" spans="1:5">
      <c r="A89" s="5331">
        <v>130</v>
      </c>
      <c r="B89" s="5327" t="str">
        <f>IF(Baza!$C$22="engleski",E89,(IF(Baza!$C$22="bosanski",C89,D89)))</f>
        <v>Revalorizacija zemljišta i građevina</v>
      </c>
      <c r="C89" s="5328" t="s">
        <v>2628</v>
      </c>
      <c r="D89" s="5329" t="s">
        <v>2628</v>
      </c>
      <c r="E89" s="5332" t="s">
        <v>2629</v>
      </c>
    </row>
    <row r="90" ht="14.25" customHeight="1" spans="1:5">
      <c r="A90" s="5331">
        <v>131</v>
      </c>
      <c r="B90" s="5327" t="str">
        <f>IF(Baza!$C$22="engleski",E90,(IF(Baza!$C$22="bosanski",C90,D90)))</f>
        <v>Povećanje/(smanjenje) fer vrijednosti finansijske imovine</v>
      </c>
      <c r="C90" s="5328" t="s">
        <v>2630</v>
      </c>
      <c r="D90" s="5329" t="s">
        <v>2631</v>
      </c>
      <c r="E90" s="5332" t="s">
        <v>2632</v>
      </c>
    </row>
    <row r="91" ht="14.25" customHeight="1" spans="1:5">
      <c r="A91" s="5331">
        <v>132</v>
      </c>
      <c r="B91" s="5327" t="str">
        <f>IF(Baza!$C$22="engleski",E91,(IF(Baza!$C$22="bosanski",C91,D91)))</f>
        <v>Ostalo</v>
      </c>
      <c r="C91" s="5328" t="s">
        <v>2633</v>
      </c>
      <c r="D91" s="5329" t="s">
        <v>2633</v>
      </c>
      <c r="E91" s="5332" t="s">
        <v>2634</v>
      </c>
    </row>
    <row r="92" ht="14.25" customHeight="1" spans="1:5">
      <c r="A92" s="5331">
        <v>133</v>
      </c>
      <c r="B92" s="5327" t="str">
        <f>IF(Baza!$C$22="engleski",E92,(IF(Baza!$C$22="bosanski",C92,D92)))</f>
        <v>Porez na dobit koji se odnosi na ove stavke</v>
      </c>
      <c r="C92" s="5328" t="s">
        <v>2635</v>
      </c>
      <c r="D92" s="5329" t="s">
        <v>2635</v>
      </c>
      <c r="E92" s="5332" t="s">
        <v>2636</v>
      </c>
    </row>
    <row r="93" ht="14.25" customHeight="1" spans="1:5">
      <c r="A93" s="5331">
        <v>134</v>
      </c>
      <c r="B93" s="5327" t="str">
        <f>IF(Baza!$C$22="engleski",E93,(IF(Baza!$C$22="bosanski",C93,D93)))</f>
        <v>UKUPNI REZULTAT (127 ili 128 + 129)</v>
      </c>
      <c r="C93" s="5328" t="s">
        <v>2637</v>
      </c>
      <c r="D93" s="5329" t="s">
        <v>2637</v>
      </c>
      <c r="E93" s="5333" t="s">
        <v>2638</v>
      </c>
    </row>
    <row r="94" ht="14.25" customHeight="1" spans="1:5">
      <c r="B94" s="5334"/>
      <c r="C94" s="5335"/>
      <c r="D94" s="5336"/>
    </row>
    <row r="95" ht="14.25" customHeight="1" spans="1:5">
      <c r="B95" s="5334"/>
      <c r="C95" s="5335"/>
      <c r="D95" s="5336"/>
    </row>
    <row r="96" ht="14.25" customHeight="1" spans="1:5">
      <c r="B96" s="5334"/>
      <c r="C96" s="5335"/>
      <c r="D96" s="5336"/>
    </row>
    <row r="97" ht="14.25" customHeight="1" spans="1:5">
      <c r="A97" s="5320"/>
      <c r="B97" s="5321" t="str">
        <f>IF(Baza!$C$22="engleski",E97,(IF(Baza!$C$22="bosanski",C97,D97)))</f>
        <v>IZVJEŠTAJ O FINANSIJSKOM POLOŽAJU NA KRAJU PERIODA</v>
      </c>
      <c r="C97" s="5322" t="s">
        <v>2639</v>
      </c>
      <c r="D97" s="5323" t="s">
        <v>2640</v>
      </c>
      <c r="E97" s="5337" t="s">
        <v>2641</v>
      </c>
    </row>
    <row r="98" ht="14.25" customHeight="1" spans="1:5">
      <c r="A98" s="5325" t="s">
        <v>2545</v>
      </c>
      <c r="B98" s="5321" t="str">
        <f>IF(Baza!$C$22="engleski",E98,(IF(Baza!$C$22="bosanski",C98,D98)))</f>
        <v>(BILANS STANJA)</v>
      </c>
      <c r="C98" s="5322" t="s">
        <v>2642</v>
      </c>
      <c r="D98" s="5323" t="s">
        <v>2643</v>
      </c>
      <c r="E98" s="5337" t="s">
        <v>2644</v>
      </c>
    </row>
    <row r="99" ht="14.25" customHeight="1" spans="1:5">
      <c r="A99" s="5320"/>
      <c r="B99" s="5321" t="str">
        <f ca="1">IF(Baza!$C$22="engleski",E99,(IF(Baza!$C$22="bosanski",C99,D99)))</f>
        <v>na dan 31.12.2025.godine</v>
      </c>
      <c r="C99" s="5326" t="str">
        <f ca="1">"na dan "&amp;PeriodDo&amp;".godine"</f>
        <v>na dan 31.12.2025.godine</v>
      </c>
      <c r="D99" s="5323" t="str">
        <f ca="1">"na dan "&amp;PeriodDo&amp;".godine"</f>
        <v>na dan 31.12.2025.godine</v>
      </c>
      <c r="E99" s="5337" t="str">
        <f ca="1">"on "&amp;PeriodDo&amp;". years"</f>
        <v>on 31.12.2025. years</v>
      </c>
    </row>
    <row r="100" spans="1:5">
      <c r="A100" s="5320"/>
      <c r="B100" s="5327" t="str">
        <f>IF(Baza!$C$22="engleski",E100,(IF(Baza!$C$22="bosanski",C100,D100)))</f>
        <v>IMOVINA</v>
      </c>
      <c r="C100" s="5328" t="s">
        <v>2645</v>
      </c>
      <c r="D100" s="5329" t="s">
        <v>2645</v>
      </c>
      <c r="E100" s="5338" t="s">
        <v>2646</v>
      </c>
    </row>
    <row r="101" spans="1:5">
      <c r="A101" s="5339" t="str">
        <f>B_Stanja_M!AG21</f>
        <v>001</v>
      </c>
      <c r="B101" s="5327" t="str">
        <f>IF(Baza!$C$22="engleski",E101,(IF(Baza!$C$22="bosanski",C101,D101)))</f>
        <v>Dugoročna imovina (002 do 008)</v>
      </c>
      <c r="C101" s="5328" t="s">
        <v>2647</v>
      </c>
      <c r="D101" s="5329" t="s">
        <v>2648</v>
      </c>
      <c r="E101" s="5338" t="s">
        <v>2649</v>
      </c>
    </row>
    <row r="102" ht="14.25" customHeight="1" spans="1:5">
      <c r="A102" s="5339" t="str">
        <f>B_Stanja_M!AG22</f>
        <v>002</v>
      </c>
      <c r="B102" s="5327" t="str">
        <f>IF(Baza!$C$22="engleski",E102,(IF(Baza!$C$22="bosanski",C102,D102)))</f>
        <v>Nekretnine, postrojenja i oprema </v>
      </c>
      <c r="C102" s="5328" t="s">
        <v>2650</v>
      </c>
      <c r="D102" s="5329" t="s">
        <v>2650</v>
      </c>
      <c r="E102" s="5338" t="s">
        <v>2651</v>
      </c>
    </row>
    <row r="103" ht="14.25" customHeight="1" spans="1:5">
      <c r="A103" s="5339" t="str">
        <f>B_Stanja_M!AG23</f>
        <v>003</v>
      </c>
      <c r="B103" s="5327" t="str">
        <f>IF(Baza!$C$22="engleski",E103,(IF(Baza!$C$22="bosanski",C103,D103)))</f>
        <v>Imovina s pravom korištenja </v>
      </c>
      <c r="C103" s="5328" t="s">
        <v>2652</v>
      </c>
      <c r="D103" s="5329" t="s">
        <v>2652</v>
      </c>
      <c r="E103" s="5338" t="s">
        <v>2653</v>
      </c>
    </row>
    <row r="104" ht="14.25" customHeight="1" spans="1:5">
      <c r="A104" s="5339" t="str">
        <f>B_Stanja_M!AG24</f>
        <v>004</v>
      </c>
      <c r="B104" s="5327" t="str">
        <f>IF(Baza!$C$22="engleski",E104,(IF(Baza!$C$22="bosanski",C104,D104)))</f>
        <v>Ulaganja u investicijske nekretnine</v>
      </c>
      <c r="C104" s="5328" t="s">
        <v>2654</v>
      </c>
      <c r="D104" s="5329" t="s">
        <v>2654</v>
      </c>
      <c r="E104" s="5338" t="s">
        <v>2655</v>
      </c>
    </row>
    <row r="105" ht="14.25" customHeight="1" spans="1:5">
      <c r="A105" s="5339" t="str">
        <f>B_Stanja_M!AG25</f>
        <v>005</v>
      </c>
      <c r="B105" s="5327" t="str">
        <f>IF(Baza!$C$22="engleski",E105,(IF(Baza!$C$22="bosanski",C105,D105)))</f>
        <v>Nematerijalna imovina </v>
      </c>
      <c r="C105" s="5328" t="s">
        <v>2656</v>
      </c>
      <c r="D105" s="5329" t="s">
        <v>2656</v>
      </c>
      <c r="E105" s="5338" t="s">
        <v>2657</v>
      </c>
    </row>
    <row r="106" ht="14.25" customHeight="1" spans="1:5">
      <c r="A106" s="5339" t="str">
        <f>B_Stanja_M!AG26</f>
        <v>006</v>
      </c>
      <c r="B106" s="5327" t="str">
        <f>IF(Baza!$C$22="engleski",E106,(IF(Baza!$C$22="bosanski",C106,D106)))</f>
        <v>Biološka imovina </v>
      </c>
      <c r="C106" s="5328" t="s">
        <v>2658</v>
      </c>
      <c r="D106" s="5329" t="s">
        <v>2658</v>
      </c>
      <c r="E106" s="5338" t="s">
        <v>2659</v>
      </c>
    </row>
    <row r="107" ht="14.25" customHeight="1" spans="1:5">
      <c r="A107" s="5339" t="str">
        <f>B_Stanja_M!AG27</f>
        <v>007</v>
      </c>
      <c r="B107" s="5327" t="str">
        <f>IF(Baza!$C$22="engleski",E107,(IF(Baza!$C$22="bosanski",C107,D107)))</f>
        <v>Finansijska imovina i ulaganja</v>
      </c>
      <c r="C107" s="5328" t="s">
        <v>2660</v>
      </c>
      <c r="D107" s="5329" t="s">
        <v>2661</v>
      </c>
      <c r="E107" s="5338" t="s">
        <v>2662</v>
      </c>
    </row>
    <row r="108" ht="14.25" customHeight="1" spans="1:5">
      <c r="A108" s="5339" t="str">
        <f>B_Stanja_M!AG28</f>
        <v>008</v>
      </c>
      <c r="B108" s="5327" t="str">
        <f>IF(Baza!$C$22="engleski",E108,(IF(Baza!$C$22="bosanski",C108,D108)))</f>
        <v>Ostala imovina i potraživanja</v>
      </c>
      <c r="C108" s="5328" t="s">
        <v>2663</v>
      </c>
      <c r="D108" s="5329" t="s">
        <v>2663</v>
      </c>
      <c r="E108" s="5338" t="s">
        <v>2664</v>
      </c>
    </row>
    <row r="109" ht="14.25" customHeight="1" spans="1:5">
      <c r="A109" s="5339" t="str">
        <f>B_Stanja_M!AG29</f>
        <v>009</v>
      </c>
      <c r="B109" s="5327" t="str">
        <f>IF(Baza!$C$22="engleski",E109,(IF(Baza!$C$22="bosanski",C109,D109)))</f>
        <v>Kratkoročna imovina (010 do 016)</v>
      </c>
      <c r="C109" s="5328" t="s">
        <v>2665</v>
      </c>
      <c r="D109" s="5329" t="s">
        <v>2665</v>
      </c>
      <c r="E109" s="5338" t="s">
        <v>2666</v>
      </c>
    </row>
    <row r="110" ht="14.25" customHeight="1" spans="1:5">
      <c r="A110" s="5339" t="str">
        <f>B_Stanja_M!AG30</f>
        <v>010</v>
      </c>
      <c r="B110" s="5327" t="str">
        <f>IF(Baza!$C$22="engleski",E110,(IF(Baza!$C$22="bosanski",C110,D110)))</f>
        <v>Zalihe </v>
      </c>
      <c r="C110" s="5328" t="s">
        <v>2667</v>
      </c>
      <c r="D110" s="5329" t="s">
        <v>2667</v>
      </c>
      <c r="E110" s="5340" t="s">
        <v>2668</v>
      </c>
    </row>
    <row r="111" ht="14.25" customHeight="1" spans="1:5">
      <c r="A111" s="5339" t="str">
        <f>B_Stanja_M!AG31</f>
        <v>011</v>
      </c>
      <c r="B111" s="5327" t="str">
        <f>IF(Baza!$C$22="engleski",E111,(IF(Baza!$C$22="bosanski",C111,D111)))</f>
        <v>Dugoročna imovina namijenjena prodaji i imovina poslovanja koje se obustavlja</v>
      </c>
      <c r="C111" s="5328" t="s">
        <v>2669</v>
      </c>
      <c r="D111" s="5329" t="s">
        <v>2669</v>
      </c>
      <c r="E111" s="5338" t="s">
        <v>2670</v>
      </c>
    </row>
    <row r="112" ht="14.25" customHeight="1" spans="1:5">
      <c r="A112" s="5339" t="str">
        <f>B_Stanja_M!AG32</f>
        <v>012</v>
      </c>
      <c r="B112" s="5327" t="str">
        <f>IF(Baza!$C$22="engleski",E112,(IF(Baza!$C$22="bosanski",C112,D112)))</f>
        <v>Potraživanja od kupaca i ugovorna imovina</v>
      </c>
      <c r="C112" s="5328" t="s">
        <v>2671</v>
      </c>
      <c r="D112" s="5329" t="s">
        <v>2671</v>
      </c>
      <c r="E112" s="5338" t="s">
        <v>2672</v>
      </c>
    </row>
    <row r="113" ht="14.25" customHeight="1" spans="1:5">
      <c r="A113" s="5339" t="str">
        <f>B_Stanja_M!AG33</f>
        <v>013</v>
      </c>
      <c r="B113" s="5327" t="str">
        <f>IF(Baza!$C$22="engleski",E113,(IF(Baza!$C$22="bosanski",C113,D113)))</f>
        <v>Ostala finansijska imovina </v>
      </c>
      <c r="C113" s="5328" t="s">
        <v>2673</v>
      </c>
      <c r="D113" s="5329" t="s">
        <v>2674</v>
      </c>
      <c r="E113" s="5338" t="s">
        <v>2675</v>
      </c>
    </row>
    <row r="114" ht="14.25" customHeight="1" spans="1:5">
      <c r="A114" s="5339" t="str">
        <f>B_Stanja_M!AG34</f>
        <v>014</v>
      </c>
      <c r="B114" s="5327" t="str">
        <f>IF(Baza!$C$22="engleski",E114,(IF(Baza!$C$22="bosanski",C114,D114)))</f>
        <v>Gotovina i gotovinski ekvivalenti </v>
      </c>
      <c r="C114" s="5328" t="s">
        <v>2676</v>
      </c>
      <c r="D114" s="5329" t="s">
        <v>2676</v>
      </c>
      <c r="E114" s="5338" t="s">
        <v>2677</v>
      </c>
    </row>
    <row r="115" ht="14.25" customHeight="1" spans="1:5">
      <c r="A115" s="5339" t="str">
        <f>B_Stanja_M!AG35</f>
        <v>015</v>
      </c>
      <c r="B115" s="5327" t="str">
        <f>IF(Baza!$C$22="engleski",E115,(IF(Baza!$C$22="bosanski",C115,D115)))</f>
        <v>Akontacije poreza na dobit</v>
      </c>
      <c r="C115" s="5328" t="s">
        <v>2678</v>
      </c>
      <c r="D115" s="5329" t="s">
        <v>2678</v>
      </c>
      <c r="E115" s="5338" t="s">
        <v>2679</v>
      </c>
    </row>
    <row r="116" ht="14.25" customHeight="1" spans="1:5">
      <c r="A116" s="5339" t="str">
        <f>B_Stanja_M!AG36</f>
        <v>016</v>
      </c>
      <c r="B116" s="5327" t="str">
        <f>IF(Baza!$C$22="engleski",E116,(IF(Baza!$C$22="bosanski",C116,D116)))</f>
        <v>Ostala imovina i potraživanja, uključujući i razgraničenja</v>
      </c>
      <c r="C116" s="5328" t="s">
        <v>2680</v>
      </c>
      <c r="D116" s="5329" t="s">
        <v>2680</v>
      </c>
      <c r="E116" s="5338" t="s">
        <v>2681</v>
      </c>
    </row>
    <row r="117" ht="14.25" customHeight="1" spans="1:5">
      <c r="A117" s="5339" t="str">
        <f>B_Stanja_M!AG37</f>
        <v>017</v>
      </c>
      <c r="B117" s="5327" t="str">
        <f>IF(Baza!$C$22="engleski",E117,(IF(Baza!$C$22="bosanski",C117,D117)))</f>
        <v>UKUPNO IMOVINA (001+009)</v>
      </c>
      <c r="C117" s="5328" t="s">
        <v>2682</v>
      </c>
      <c r="D117" s="5329" t="s">
        <v>2682</v>
      </c>
      <c r="E117" s="5338" t="s">
        <v>2683</v>
      </c>
    </row>
    <row r="118" ht="14.25" customHeight="1" spans="1:5">
      <c r="A118" s="5339" t="str">
        <f>B_Stanja_M!AG38</f>
        <v>018</v>
      </c>
      <c r="B118" s="5327" t="str">
        <f>IF(Baza!$C$22="engleski",E118,(IF(Baza!$C$22="bosanski",C118,D118)))</f>
        <v>VANBILANSNA EVIDENCIJA</v>
      </c>
      <c r="C118" s="5328" t="s">
        <v>2684</v>
      </c>
      <c r="D118" s="5329" t="s">
        <v>2685</v>
      </c>
      <c r="E118" s="5338" t="s">
        <v>2686</v>
      </c>
    </row>
    <row r="119" ht="14.25" customHeight="1" spans="1:5">
      <c r="A119" s="5339" t="str">
        <f>B_Stanja_M!AG39</f>
        <v>019</v>
      </c>
      <c r="B119" s="5327" t="str">
        <f>IF(Baza!$C$22="engleski",E119,(IF(Baza!$C$22="bosanski",C119,D119)))</f>
        <v>UKUPNO IMOVINA I VANBILANSNA EVIDENCIJA (017+018)</v>
      </c>
      <c r="C119" s="5328" t="s">
        <v>2687</v>
      </c>
      <c r="D119" s="5329" t="s">
        <v>2688</v>
      </c>
      <c r="E119" s="5340" t="s">
        <v>2689</v>
      </c>
    </row>
    <row r="120" ht="14.25" customHeight="1" spans="1:5">
      <c r="A120" s="5339"/>
      <c r="B120" s="5327" t="str">
        <f>IF(Baza!$C$22="engleski",E120,(IF(Baza!$C$22="bosanski",C120,D120)))</f>
        <v>KAPITAL</v>
      </c>
      <c r="C120" s="5328" t="s">
        <v>2690</v>
      </c>
      <c r="D120" s="5329" t="s">
        <v>2690</v>
      </c>
      <c r="E120" s="5338" t="s">
        <v>2691</v>
      </c>
    </row>
    <row r="121" ht="14.25" customHeight="1" spans="1:5">
      <c r="A121" s="5339" t="str">
        <f>B_Stanja_M!AG48</f>
        <v>020</v>
      </c>
      <c r="B121" s="5327" t="str">
        <f>IF(Baza!$C$22="engleski",E121,(IF(Baza!$C$22="bosanski",C121,D121)))</f>
        <v>Vlasnički kapital </v>
      </c>
      <c r="C121" s="5328" t="s">
        <v>2692</v>
      </c>
      <c r="D121" s="5329" t="s">
        <v>2692</v>
      </c>
      <c r="E121" s="5338" t="s">
        <v>2693</v>
      </c>
    </row>
    <row r="122" ht="14.25" customHeight="1" spans="1:5">
      <c r="A122" s="5339" t="str">
        <f>B_Stanja_M!AG49</f>
        <v>021</v>
      </c>
      <c r="B122" s="5327" t="str">
        <f>IF(Baza!$C$22="engleski",E122,(IF(Baza!$C$22="bosanski",C122,D122)))</f>
        <v>Dionička premija</v>
      </c>
      <c r="C122" s="5328" t="s">
        <v>2694</v>
      </c>
      <c r="D122" s="5329" t="s">
        <v>2694</v>
      </c>
      <c r="E122" s="5338" t="s">
        <v>2695</v>
      </c>
    </row>
    <row r="123" ht="14.25" customHeight="1" spans="1:5">
      <c r="A123" s="5339" t="str">
        <f>B_Stanja_M!AG50</f>
        <v>022</v>
      </c>
      <c r="B123" s="5327" t="str">
        <f>IF(Baza!$C$22="engleski",E123,(IF(Baza!$C$22="bosanski",C123,D123)))</f>
        <v>Rezerve </v>
      </c>
      <c r="C123" s="5328" t="s">
        <v>2696</v>
      </c>
      <c r="D123" s="5329" t="s">
        <v>2696</v>
      </c>
      <c r="E123" s="5338" t="s">
        <v>2697</v>
      </c>
    </row>
    <row r="124" ht="14.25" customHeight="1" spans="1:5">
      <c r="A124" s="5339" t="str">
        <f>B_Stanja_M!AG51</f>
        <v>023</v>
      </c>
      <c r="B124" s="5327" t="str">
        <f>IF(Baza!$C$22="engleski",E124,(IF(Baza!$C$22="bosanski",C124,D124)))</f>
        <v>Revalorizacione rezerve </v>
      </c>
      <c r="C124" s="5328" t="s">
        <v>2698</v>
      </c>
      <c r="D124" s="5329" t="s">
        <v>2699</v>
      </c>
      <c r="E124" s="5338" t="s">
        <v>2700</v>
      </c>
    </row>
    <row r="125" ht="14.25" customHeight="1" spans="1:5">
      <c r="A125" s="5339" t="str">
        <f>B_Stanja_M!AG52</f>
        <v>024</v>
      </c>
      <c r="B125" s="5327" t="str">
        <f>IF(Baza!$C$22="engleski",E125,(IF(Baza!$C$22="bosanski",C125,D125)))</f>
        <v>Dobit (025+026)</v>
      </c>
      <c r="C125" s="5328" t="s">
        <v>2701</v>
      </c>
      <c r="D125" s="5329" t="s">
        <v>2701</v>
      </c>
      <c r="E125" s="5338" t="s">
        <v>2702</v>
      </c>
    </row>
    <row r="126" ht="14.25" customHeight="1" spans="1:5">
      <c r="A126" s="5339" t="str">
        <f>B_Stanja_M!AG53</f>
        <v>025</v>
      </c>
      <c r="B126" s="5327" t="str">
        <f>IF(Baza!$C$22="engleski",E126,(IF(Baza!$C$22="bosanski",C126,D126)))</f>
        <v>Akumulirana, neraspoređena dobit iz prethodnih perioda</v>
      </c>
      <c r="C126" s="5328" t="s">
        <v>2703</v>
      </c>
      <c r="D126" s="5329" t="s">
        <v>2704</v>
      </c>
      <c r="E126" s="5338" t="s">
        <v>2705</v>
      </c>
    </row>
    <row r="127" ht="14.25" customHeight="1" spans="1:5">
      <c r="A127" s="5339" t="str">
        <f>B_Stanja_M!AG54</f>
        <v>026</v>
      </c>
      <c r="B127" s="5327" t="str">
        <f>IF(Baza!$C$22="engleski",E127,(IF(Baza!$C$22="bosanski",C127,D127)))</f>
        <v>Dobit tekućeg perioda</v>
      </c>
      <c r="C127" s="5328" t="s">
        <v>2706</v>
      </c>
      <c r="D127" s="5329" t="s">
        <v>2707</v>
      </c>
      <c r="E127" s="5338" t="s">
        <v>2708</v>
      </c>
    </row>
    <row r="128" ht="14.25" customHeight="1" spans="1:5">
      <c r="A128" s="5339" t="str">
        <f>B_Stanja_M!AG55</f>
        <v>027</v>
      </c>
      <c r="B128" s="5327" t="str">
        <f>IF(Baza!$C$22="engleski",E128,(IF(Baza!$C$22="bosanski",C128,D128)))</f>
        <v>Gubitak (028+029)</v>
      </c>
      <c r="C128" s="5328" t="s">
        <v>2709</v>
      </c>
      <c r="D128" s="5329" t="s">
        <v>2709</v>
      </c>
      <c r="E128" s="5338" t="s">
        <v>2710</v>
      </c>
    </row>
    <row r="129" ht="14.25" customHeight="1" spans="1:5">
      <c r="A129" s="5339" t="str">
        <f>B_Stanja_M!AG56</f>
        <v>028</v>
      </c>
      <c r="B129" s="5327" t="str">
        <f>IF(Baza!$C$22="engleski",E129,(IF(Baza!$C$22="bosanski",C129,D129)))</f>
        <v>Akumulirani, nepokriveni gubici iz prethodnih perioda</v>
      </c>
      <c r="C129" s="5328" t="s">
        <v>2711</v>
      </c>
      <c r="D129" s="5329" t="s">
        <v>2712</v>
      </c>
      <c r="E129" s="5338" t="s">
        <v>2713</v>
      </c>
    </row>
    <row r="130" ht="14.25" customHeight="1" spans="1:5">
      <c r="A130" s="5339" t="str">
        <f>B_Stanja_M!AG57</f>
        <v>029</v>
      </c>
      <c r="B130" s="5327" t="str">
        <f>IF(Baza!$C$22="engleski",E130,(IF(Baza!$C$22="bosanski",C130,D130)))</f>
        <v>Gubitak tekućeg perioda</v>
      </c>
      <c r="C130" s="5328" t="s">
        <v>2714</v>
      </c>
      <c r="D130" s="5329" t="s">
        <v>2715</v>
      </c>
      <c r="E130" s="5338" t="s">
        <v>2716</v>
      </c>
    </row>
    <row r="131" ht="14.25" customHeight="1" spans="1:5">
      <c r="A131" s="5339" t="str">
        <f>B_Stanja_M!AG58</f>
        <v>030</v>
      </c>
      <c r="B131" s="5327" t="str">
        <f>IF(Baza!$C$22="engleski",E131,(IF(Baza!$C$22="bosanski",C131,D131)))</f>
        <v>UKUPNO KAPITAL (020+021+022+023+024-027)</v>
      </c>
      <c r="C131" s="5328" t="s">
        <v>2717</v>
      </c>
      <c r="D131" s="5329" t="s">
        <v>2717</v>
      </c>
      <c r="E131" s="5340" t="s">
        <v>2718</v>
      </c>
    </row>
    <row r="132" ht="14.25" customHeight="1" spans="1:5">
      <c r="A132" s="5339"/>
      <c r="B132" s="5327" t="str">
        <f>IF(Baza!$C$22="engleski",E132,(IF(Baza!$C$22="bosanski",C132,D132)))</f>
        <v>OBAVEZE</v>
      </c>
      <c r="C132" s="5328" t="s">
        <v>2719</v>
      </c>
      <c r="D132" s="5329" t="s">
        <v>2720</v>
      </c>
      <c r="E132" s="5338" t="s">
        <v>2721</v>
      </c>
    </row>
    <row r="133" ht="14.25" customHeight="1" spans="1:5">
      <c r="A133" s="5339" t="str">
        <f>B_Stanja_M!AG60</f>
        <v>031</v>
      </c>
      <c r="B133" s="5327" t="str">
        <f>IF(Baza!$C$22="engleski",E133,(IF(Baza!$C$22="bosanski",C133,D133)))</f>
        <v>Dugoročne obaveze (032 do 034)</v>
      </c>
      <c r="C133" s="5328" t="s">
        <v>2722</v>
      </c>
      <c r="D133" s="5329" t="s">
        <v>2723</v>
      </c>
      <c r="E133" s="5338" t="s">
        <v>2724</v>
      </c>
    </row>
    <row r="134" ht="14.25" customHeight="1" spans="1:5">
      <c r="A134" s="5339" t="str">
        <f>B_Stanja_M!AG61</f>
        <v>032</v>
      </c>
      <c r="B134" s="5327" t="str">
        <f>IF(Baza!$C$22="engleski",E134,(IF(Baza!$C$22="bosanski",C134,D134)))</f>
        <v>Finansijske obaveze </v>
      </c>
      <c r="C134" s="5328" t="s">
        <v>2725</v>
      </c>
      <c r="D134" s="5329" t="s">
        <v>2726</v>
      </c>
      <c r="E134" s="5338" t="s">
        <v>2727</v>
      </c>
    </row>
    <row r="135" ht="14.25" customHeight="1" spans="1:5">
      <c r="A135" s="5339" t="str">
        <f>B_Stanja_M!AG62</f>
        <v>033</v>
      </c>
      <c r="B135" s="5327" t="str">
        <f>IF(Baza!$C$22="engleski",E135,(IF(Baza!$C$22="bosanski",C135,D135)))</f>
        <v>Rezervisanja</v>
      </c>
      <c r="C135" s="5328" t="s">
        <v>2728</v>
      </c>
      <c r="D135" s="5329" t="s">
        <v>2729</v>
      </c>
      <c r="E135" s="5338" t="s">
        <v>2730</v>
      </c>
    </row>
    <row r="136" ht="14.25" customHeight="1" spans="1:5">
      <c r="A136" s="5339" t="str">
        <f>B_Stanja_M!AG63</f>
        <v>034</v>
      </c>
      <c r="B136" s="5327" t="str">
        <f>IF(Baza!$C$22="engleski",E136,(IF(Baza!$C$22="bosanski",C136,D136)))</f>
        <v>Ostale obaveze, uključujući i razgraničenja</v>
      </c>
      <c r="C136" s="5328" t="s">
        <v>2731</v>
      </c>
      <c r="D136" s="5329" t="s">
        <v>2732</v>
      </c>
      <c r="E136" s="5338" t="s">
        <v>2733</v>
      </c>
    </row>
    <row r="137" ht="14.25" customHeight="1" spans="1:5">
      <c r="A137" s="5339" t="str">
        <f>B_Stanja_M!AG64</f>
        <v>035</v>
      </c>
      <c r="B137" s="5327" t="str">
        <f>IF(Baza!$C$22="engleski",E137,(IF(Baza!$C$22="bosanski",C137,D137)))</f>
        <v>Kratkoročne obaveze (036 do 040)</v>
      </c>
      <c r="C137" s="5328" t="s">
        <v>2734</v>
      </c>
      <c r="D137" s="5329" t="s">
        <v>2735</v>
      </c>
      <c r="E137" s="5338" t="s">
        <v>2736</v>
      </c>
    </row>
    <row r="138" ht="14.25" customHeight="1" spans="1:5">
      <c r="A138" s="5339" t="str">
        <f>B_Stanja_M!AG65</f>
        <v>036</v>
      </c>
      <c r="B138" s="5327" t="str">
        <f>IF(Baza!$C$22="engleski",E138,(IF(Baza!$C$22="bosanski",C138,D138)))</f>
        <v>Obaveze prema dobavljačima i ugovorne obaveze</v>
      </c>
      <c r="C138" s="5328" t="s">
        <v>2737</v>
      </c>
      <c r="D138" s="5329" t="s">
        <v>2738</v>
      </c>
      <c r="E138" s="5338" t="s">
        <v>2739</v>
      </c>
    </row>
    <row r="139" ht="14.25" customHeight="1" spans="1:5">
      <c r="A139" s="5339" t="str">
        <f>B_Stanja_M!AG66</f>
        <v>037</v>
      </c>
      <c r="B139" s="5327" t="str">
        <f>IF(Baza!$C$22="engleski",E139,(IF(Baza!$C$22="bosanski",C139,D139)))</f>
        <v>Ostale finansijske obaveze </v>
      </c>
      <c r="C139" s="5328" t="s">
        <v>2740</v>
      </c>
      <c r="D139" s="5329" t="s">
        <v>2741</v>
      </c>
      <c r="E139" s="5338" t="s">
        <v>2742</v>
      </c>
    </row>
    <row r="140" ht="14.25" customHeight="1" spans="1:5">
      <c r="A140" s="5339" t="str">
        <f>B_Stanja_M!AG67</f>
        <v>038</v>
      </c>
      <c r="B140" s="5327" t="str">
        <f>IF(Baza!$C$22="engleski",E140,(IF(Baza!$C$22="bosanski",C140,D140)))</f>
        <v>Rezervisanja</v>
      </c>
      <c r="C140" s="5328" t="s">
        <v>2728</v>
      </c>
      <c r="D140" s="5329" t="s">
        <v>2729</v>
      </c>
      <c r="E140" s="5338" t="s">
        <v>2730</v>
      </c>
    </row>
    <row r="141" ht="14.25" customHeight="1" spans="1:5">
      <c r="A141" s="5339" t="str">
        <f>B_Stanja_M!AG68</f>
        <v>039</v>
      </c>
      <c r="B141" s="5327" t="str">
        <f>IF(Baza!$C$22="engleski",E141,(IF(Baza!$C$22="bosanski",C141,D141)))</f>
        <v>Obaveze za porez na dobit</v>
      </c>
      <c r="C141" s="5328" t="s">
        <v>2743</v>
      </c>
      <c r="D141" s="5329" t="s">
        <v>2744</v>
      </c>
      <c r="E141" s="5338" t="s">
        <v>2745</v>
      </c>
    </row>
    <row r="142" ht="14.25" customHeight="1" spans="1:5">
      <c r="A142" s="5339" t="str">
        <f>B_Stanja_M!AG69</f>
        <v>040</v>
      </c>
      <c r="B142" s="5327" t="str">
        <f>IF(Baza!$C$22="engleski",E142,(IF(Baza!$C$22="bosanski",C142,D142)))</f>
        <v>Ostale obaveze, uključujući i razgraničenja</v>
      </c>
      <c r="C142" s="5328" t="s">
        <v>2731</v>
      </c>
      <c r="D142" s="5329" t="s">
        <v>2732</v>
      </c>
      <c r="E142" s="5338" t="s">
        <v>2733</v>
      </c>
    </row>
    <row r="143" ht="14.25" customHeight="1" spans="1:5">
      <c r="A143" s="5339" t="str">
        <f>B_Stanja_M!AG70</f>
        <v>041</v>
      </c>
      <c r="B143" s="5327" t="str">
        <f>IF(Baza!$C$22="engleski",E143,(IF(Baza!$C$22="bosanski",C143,D143)))</f>
        <v>UKUPNO OBAVEZE (031+035)</v>
      </c>
      <c r="C143" s="5328" t="s">
        <v>2746</v>
      </c>
      <c r="D143" s="5329" t="s">
        <v>2747</v>
      </c>
      <c r="E143" s="5338" t="s">
        <v>2748</v>
      </c>
    </row>
    <row r="144" ht="14.25" customHeight="1" spans="1:5">
      <c r="A144" s="5339" t="str">
        <f>B_Stanja_M!AG71</f>
        <v>042</v>
      </c>
      <c r="B144" s="5327" t="str">
        <f>IF(Baza!$C$22="engleski",E144,(IF(Baza!$C$22="bosanski",C144,D144)))</f>
        <v>UKUPNO KAPITAL I OBAVEZE</v>
      </c>
      <c r="C144" s="5328" t="s">
        <v>2749</v>
      </c>
      <c r="D144" s="5329" t="s">
        <v>2750</v>
      </c>
      <c r="E144" s="5338" t="s">
        <v>2751</v>
      </c>
    </row>
    <row r="145" ht="14.25" customHeight="1" spans="1:5">
      <c r="A145" s="5339" t="str">
        <f>B_Stanja_M!AG72</f>
        <v>043</v>
      </c>
      <c r="B145" s="5327" t="str">
        <f>IF(Baza!$C$22="engleski",E145,(IF(Baza!$C$22="bosanski",C145,D145)))</f>
        <v>VANBILANSNA EVIDENCIJA</v>
      </c>
      <c r="C145" s="5328" t="s">
        <v>2684</v>
      </c>
      <c r="D145" s="5329" t="s">
        <v>2685</v>
      </c>
      <c r="E145" s="5338" t="s">
        <v>2686</v>
      </c>
    </row>
    <row r="146" ht="14.25" customHeight="1" spans="1:5">
      <c r="A146" s="5339" t="str">
        <f>B_Stanja_M!AG73</f>
        <v>044</v>
      </c>
      <c r="B146" s="5327" t="str">
        <f>IF(Baza!$C$22="engleski",E146,(IF(Baza!$C$22="bosanski",C146,D146)))</f>
        <v>UKUPNO KAPITAL, OBAVEZE I VANBILANSNA EVIDENCIJA (042+043)</v>
      </c>
      <c r="C146" s="5328" t="s">
        <v>2752</v>
      </c>
      <c r="D146" s="5329" t="s">
        <v>2753</v>
      </c>
      <c r="E146" s="5340" t="s">
        <v>2754</v>
      </c>
    </row>
    <row r="147" ht="14.25" customHeight="1" spans="1:5">
      <c r="B147" s="5334"/>
      <c r="C147" s="5335"/>
      <c r="D147" s="5336"/>
    </row>
    <row r="148" ht="14.25" customHeight="1" spans="1:5">
      <c r="B148" s="5334"/>
      <c r="C148" s="5335"/>
      <c r="D148" s="5336"/>
    </row>
    <row r="149" ht="14.25" customHeight="1" spans="1:5">
      <c r="A149" s="5320"/>
      <c r="B149" s="5321" t="str">
        <f>IF(Baza!$C$22="engleski",E149,(IF(Baza!$C$22="bosanski",C149,D149)))</f>
        <v>IZVJEŠTAJ O UKUPNOM REZULTATU ZA PERIOD</v>
      </c>
      <c r="C149" s="5322" t="s">
        <v>2542</v>
      </c>
      <c r="D149" s="5323" t="s">
        <v>2543</v>
      </c>
      <c r="E149" s="5324" t="s">
        <v>2544</v>
      </c>
    </row>
    <row r="150" ht="14.25" customHeight="1" spans="1:5">
      <c r="A150" s="5341" t="s">
        <v>2755</v>
      </c>
      <c r="B150" s="5321" t="str">
        <f>IF(Baza!$C$22="engleski",E150,(IF(Baza!$C$22="bosanski",C150,D150)))</f>
        <v>(BILANS USPJEHA)</v>
      </c>
      <c r="C150" s="5322" t="s">
        <v>2546</v>
      </c>
      <c r="D150" s="5323" t="s">
        <v>2547</v>
      </c>
      <c r="E150" s="5324" t="s">
        <v>2548</v>
      </c>
    </row>
    <row r="151" ht="14.25" customHeight="1" spans="1:5">
      <c r="A151" s="5320"/>
      <c r="B151" s="5321" t="str">
        <f ca="1">IF(Baza!$C$22="engleski",E151,(IF(Baza!$C$22="bosanski",C151,D151)))</f>
        <v>za period od 01.01.2025. do 31.12.2025. godine</v>
      </c>
      <c r="C151" s="5326" t="str">
        <f ca="1">"za period od "&amp;PeriodOd&amp;". do "&amp;PeriodDo&amp;". godine"</f>
        <v>za period od 01.01.2025. do 31.12.2025. godine</v>
      </c>
      <c r="D151" s="5323" t="str">
        <f ca="1">"za razdoblje od "&amp;PeriodOd&amp;". do "&amp;PeriodDo&amp;". godine"</f>
        <v>za razdoblje od 01.01.2025. do 31.12.2025. godine</v>
      </c>
      <c r="E151" s="5324" t="str">
        <f ca="1">"for period from  "&amp;PeriodOd&amp;". to "&amp;PeriodDo&amp;".years"</f>
        <v>for period from  01.01.2025. to 31.12.2025.years</v>
      </c>
    </row>
    <row r="152" spans="1:5">
      <c r="A152" s="5320"/>
      <c r="B152" s="5327" t="str">
        <f>IF(Baza!$C$22="engleski",E152,(IF(Baza!$C$22="bosanski",C152,D152)))</f>
        <v>BILANS USPJEHA</v>
      </c>
      <c r="C152" s="5328" t="s">
        <v>2756</v>
      </c>
      <c r="D152" s="5329" t="s">
        <v>2757</v>
      </c>
      <c r="E152" s="5342" t="s">
        <v>2758</v>
      </c>
    </row>
    <row r="153" spans="1:5">
      <c r="A153" s="5331">
        <f>B_Uspjeha!AG21</f>
        <v>201</v>
      </c>
      <c r="B153" s="5327" t="str">
        <f>IF(Baza!$C$22="engleski",E153,(IF(Baza!$C$22="bosanski",C153,D153)))</f>
        <v>Prihodi iz ugovora s kupcima (202+206+210)</v>
      </c>
      <c r="C153" s="5328" t="s">
        <v>2759</v>
      </c>
      <c r="D153" s="5329" t="s">
        <v>2759</v>
      </c>
      <c r="E153" s="5342" t="s">
        <v>2760</v>
      </c>
    </row>
    <row r="154" ht="14.25" customHeight="1" spans="1:5">
      <c r="A154" s="5331">
        <f>B_Uspjeha!AG22</f>
        <v>202</v>
      </c>
      <c r="B154" s="5327" t="str">
        <f>IF(Baza!$C$22="engleski",E154,(IF(Baza!$C$22="bosanski",C154,D154)))</f>
        <v>Prihodi iz ugovora sa povezanim stranama (203 do 205)</v>
      </c>
      <c r="C154" s="5328" t="s">
        <v>2761</v>
      </c>
      <c r="D154" s="5329" t="s">
        <v>2762</v>
      </c>
      <c r="E154" s="5342" t="s">
        <v>2763</v>
      </c>
    </row>
    <row r="155" ht="14.25" customHeight="1" spans="1:5">
      <c r="A155" s="5331">
        <f>B_Uspjeha!AG23</f>
        <v>203</v>
      </c>
      <c r="B155" s="5327" t="str">
        <f>IF(Baza!$C$22="engleski",E155,(IF(Baza!$C$22="bosanski",C155,D155)))</f>
        <v>Prihodi od prodaje robe </v>
      </c>
      <c r="C155" s="5328" t="s">
        <v>2554</v>
      </c>
      <c r="D155" s="5329" t="s">
        <v>2554</v>
      </c>
      <c r="E155" s="5342" t="s">
        <v>2555</v>
      </c>
    </row>
    <row r="156" ht="14.25" customHeight="1" spans="1:5">
      <c r="A156" s="5331">
        <f>B_Uspjeha!AG24</f>
        <v>204</v>
      </c>
      <c r="B156" s="5327" t="str">
        <f>IF(Baza!$C$22="engleski",E156,(IF(Baza!$C$22="bosanski",C156,D156)))</f>
        <v>Prihodi od prodaje gotovih proizvoda</v>
      </c>
      <c r="C156" s="5328" t="s">
        <v>2556</v>
      </c>
      <c r="D156" s="5329" t="s">
        <v>2556</v>
      </c>
      <c r="E156" s="5342" t="s">
        <v>2557</v>
      </c>
    </row>
    <row r="157" ht="14.25" customHeight="1" spans="1:5">
      <c r="A157" s="5331">
        <f>B_Uspjeha!AG25</f>
        <v>205</v>
      </c>
      <c r="B157" s="5327" t="str">
        <f>IF(Baza!$C$22="engleski",E157,(IF(Baza!$C$22="bosanski",C157,D157)))</f>
        <v>Prihodi od pruženih usluga</v>
      </c>
      <c r="C157" s="5328" t="s">
        <v>2558</v>
      </c>
      <c r="D157" s="5329" t="s">
        <v>2558</v>
      </c>
      <c r="E157" s="5342" t="s">
        <v>2559</v>
      </c>
    </row>
    <row r="158" ht="14.25" customHeight="1" spans="1:5">
      <c r="A158" s="5331">
        <f>B_Uspjeha!AG26</f>
        <v>206</v>
      </c>
      <c r="B158" s="5327" t="str">
        <f>IF(Baza!$C$22="engleski",E158,(IF(Baza!$C$22="bosanski",C158,D158)))</f>
        <v>Prihodi iz ugovora sa nepovezanim stranama na domaćem tržištu (207 do 209)</v>
      </c>
      <c r="C158" s="5328" t="s">
        <v>2764</v>
      </c>
      <c r="D158" s="5329" t="s">
        <v>2764</v>
      </c>
      <c r="E158" s="5342" t="s">
        <v>2765</v>
      </c>
    </row>
    <row r="159" ht="14.25" customHeight="1" spans="1:5">
      <c r="A159" s="5331">
        <f>B_Uspjeha!AG27</f>
        <v>207</v>
      </c>
      <c r="B159" s="5327" t="str">
        <f>IF(Baza!$C$22="engleski",E159,(IF(Baza!$C$22="bosanski",C159,D159)))</f>
        <v>Prihodi od prodaje robe </v>
      </c>
      <c r="C159" s="5328" t="s">
        <v>2554</v>
      </c>
      <c r="D159" s="5329" t="s">
        <v>2554</v>
      </c>
      <c r="E159" s="5342" t="s">
        <v>2555</v>
      </c>
    </row>
    <row r="160" ht="14.25" customHeight="1" spans="1:5">
      <c r="A160" s="5331">
        <f>B_Uspjeha!AG28</f>
        <v>208</v>
      </c>
      <c r="B160" s="5327" t="str">
        <f>IF(Baza!$C$22="engleski",E160,(IF(Baza!$C$22="bosanski",C160,D160)))</f>
        <v>Prihodi od prodaje gotovih proizvoda</v>
      </c>
      <c r="C160" s="5328" t="s">
        <v>2556</v>
      </c>
      <c r="D160" s="5329" t="s">
        <v>2556</v>
      </c>
      <c r="E160" s="5342" t="s">
        <v>2557</v>
      </c>
    </row>
    <row r="161" ht="14.25" customHeight="1" spans="1:5">
      <c r="A161" s="5331">
        <f>B_Uspjeha!AG29</f>
        <v>209</v>
      </c>
      <c r="B161" s="5327" t="str">
        <f>IF(Baza!$C$22="engleski",E161,(IF(Baza!$C$22="bosanski",C161,D161)))</f>
        <v>Prihodi od pruženih usluga</v>
      </c>
      <c r="C161" s="5328" t="s">
        <v>2558</v>
      </c>
      <c r="D161" s="5329" t="s">
        <v>2558</v>
      </c>
      <c r="E161" s="5342" t="s">
        <v>2559</v>
      </c>
    </row>
    <row r="162" ht="14.25" customHeight="1" spans="1:5">
      <c r="A162" s="5331">
        <f>B_Uspjeha!AG30</f>
        <v>210</v>
      </c>
      <c r="B162" s="5327" t="str">
        <f>IF(Baza!$C$22="engleski",E162,(IF(Baza!$C$22="bosanski",C162,D162)))</f>
        <v>Prihodi iz ugovora sa nepovezanim stranama na inostranom tržištu (211 do 213)</v>
      </c>
      <c r="C162" s="5328" t="s">
        <v>2766</v>
      </c>
      <c r="D162" s="5329" t="s">
        <v>2766</v>
      </c>
      <c r="E162" s="5342" t="s">
        <v>2767</v>
      </c>
    </row>
    <row r="163" ht="14.25" customHeight="1" spans="1:5">
      <c r="A163" s="5331">
        <f>B_Uspjeha!AG31</f>
        <v>211</v>
      </c>
      <c r="B163" s="5327" t="str">
        <f>IF(Baza!$C$22="engleski",E163,(IF(Baza!$C$22="bosanski",C163,D163)))</f>
        <v>Prihodi od prodaje robe </v>
      </c>
      <c r="C163" s="5328" t="s">
        <v>2554</v>
      </c>
      <c r="D163" s="5329" t="s">
        <v>2554</v>
      </c>
      <c r="E163" s="5342" t="s">
        <v>2555</v>
      </c>
    </row>
    <row r="164" ht="14.25" customHeight="1" spans="1:5">
      <c r="A164" s="5331">
        <f>B_Uspjeha!AG32</f>
        <v>212</v>
      </c>
      <c r="B164" s="5327" t="str">
        <f>IF(Baza!$C$22="engleski",E164,(IF(Baza!$C$22="bosanski",C164,D164)))</f>
        <v>Prihodi od prodaje gotovih proizvoda</v>
      </c>
      <c r="C164" s="5328" t="s">
        <v>2556</v>
      </c>
      <c r="D164" s="5329" t="s">
        <v>2556</v>
      </c>
      <c r="E164" s="5342" t="s">
        <v>2557</v>
      </c>
    </row>
    <row r="165" ht="14.25" customHeight="1" spans="1:5">
      <c r="A165" s="5331">
        <f>B_Uspjeha!AG33</f>
        <v>213</v>
      </c>
      <c r="B165" s="5327" t="str">
        <f>IF(Baza!$C$22="engleski",E165,(IF(Baza!$C$22="bosanski",C165,D165)))</f>
        <v>Prihodi od pruženih usluga</v>
      </c>
      <c r="C165" s="5328" t="s">
        <v>2558</v>
      </c>
      <c r="D165" s="5329" t="s">
        <v>2558</v>
      </c>
      <c r="E165" s="5342" t="s">
        <v>2559</v>
      </c>
    </row>
    <row r="166" ht="14.25" customHeight="1" spans="1:5">
      <c r="A166" s="5331">
        <f>B_Uspjeha!AG34</f>
        <v>214</v>
      </c>
      <c r="B166" s="5327" t="str">
        <f>IF(Baza!$C$22="engleski",E166,(IF(Baza!$C$22="bosanski",C166,D166)))</f>
        <v>Ostali prihodi i dobici (215+230+241+242+243+244+245+246 +247 + 251)</v>
      </c>
      <c r="C166" s="5328" t="s">
        <v>2768</v>
      </c>
      <c r="D166" s="5329" t="s">
        <v>2768</v>
      </c>
      <c r="E166" s="5342" t="s">
        <v>2769</v>
      </c>
    </row>
    <row r="167" ht="14.25" customHeight="1" spans="1:5">
      <c r="A167" s="5331">
        <f>B_Uspjeha!AG35</f>
        <v>215</v>
      </c>
      <c r="B167" s="5327" t="str">
        <f>IF(Baza!$C$22="engleski",E167,(IF(Baza!$C$22="bosanski",C167,D167)))</f>
        <v>Dobici od dugoročne nefinansijske imovine (216 do 229)</v>
      </c>
      <c r="C167" s="5328" t="s">
        <v>2770</v>
      </c>
      <c r="D167" s="5329" t="s">
        <v>2770</v>
      </c>
      <c r="E167" s="5342" t="s">
        <v>2771</v>
      </c>
    </row>
    <row r="168" ht="14.25" customHeight="1" spans="1:5">
      <c r="A168" s="5331">
        <f>B_Uspjeha!AG36</f>
        <v>216</v>
      </c>
      <c r="B168" s="5327" t="str">
        <f>IF(Baza!$C$22="engleski",E168,(IF(Baza!$C$22="bosanski",C168,D168)))</f>
        <v>Neto dobici od otuđenja nekretnina, postrojenja i opreme</v>
      </c>
      <c r="C168" s="5328" t="s">
        <v>2772</v>
      </c>
      <c r="D168" s="5329" t="s">
        <v>2772</v>
      </c>
      <c r="E168" s="5342" t="s">
        <v>2773</v>
      </c>
    </row>
    <row r="169" ht="29.25" customHeight="1" spans="1:5">
      <c r="A169" s="5331">
        <f>B_Uspjeha!AG37</f>
        <v>217</v>
      </c>
      <c r="B169" s="5327" t="str">
        <f>IF(Baza!$C$22="engleski",E169,(IF(Baza!$C$22="bosanski",C169,D169)))</f>
        <v>Neto dobici od otpuštanja ranije priznatih gubitaka od umanjenja vrijednosti nekretnina, postrojenja i opreme</v>
      </c>
      <c r="C169" s="5328" t="s">
        <v>2774</v>
      </c>
      <c r="D169" s="5329" t="s">
        <v>2774</v>
      </c>
      <c r="E169" s="5343" t="s">
        <v>2775</v>
      </c>
    </row>
    <row r="170" ht="14.25" customHeight="1" spans="1:5">
      <c r="A170" s="5331">
        <f>B_Uspjeha!AG38</f>
        <v>218</v>
      </c>
      <c r="B170" s="5327" t="str">
        <f>IF(Baza!$C$22="engleski",E170,(IF(Baza!$C$22="bosanski",C170,D170)))</f>
        <v>Neto dobici od otpuštanja ranije priznatih gubitaka od promjene revalorizovane vrijednosti nekretnina, postrojenja i opreme za koje nije bilo postojećih revalorizacionih rezervi</v>
      </c>
      <c r="C170" s="5328" t="s">
        <v>2776</v>
      </c>
      <c r="D170" s="5329" t="s">
        <v>2777</v>
      </c>
      <c r="E170" s="5338" t="s">
        <v>2778</v>
      </c>
    </row>
    <row r="171" ht="14.25" customHeight="1" spans="1:5">
      <c r="A171" s="5331">
        <f>B_Uspjeha!AG39</f>
        <v>219</v>
      </c>
      <c r="B171" s="5327" t="str">
        <f>IF(Baza!$C$22="engleski",E171,(IF(Baza!$C$22="bosanski",C171,D171)))</f>
        <v>Neto dobici od otuđenja ulaganja u investicijske nekretnine</v>
      </c>
      <c r="C171" s="5328" t="s">
        <v>2779</v>
      </c>
      <c r="D171" s="5329" t="s">
        <v>2779</v>
      </c>
      <c r="E171" s="5338" t="s">
        <v>2780</v>
      </c>
    </row>
    <row r="172" ht="14.25" customHeight="1" spans="1:5">
      <c r="A172" s="5331">
        <f>B_Uspjeha!AG44</f>
        <v>220</v>
      </c>
      <c r="B172" s="5327" t="str">
        <f>IF(Baza!$C$22="engleski",E172,(IF(Baza!$C$22="bosanski",C172,D172)))</f>
        <v>Neto povećanja vrijednosti ulaganja u investicijske nekretnine koja se vode po fer vrijednosti </v>
      </c>
      <c r="C172" s="5328" t="s">
        <v>2781</v>
      </c>
      <c r="D172" s="5329" t="s">
        <v>2781</v>
      </c>
      <c r="E172" s="5338" t="s">
        <v>2782</v>
      </c>
    </row>
    <row r="173" ht="14.25" customHeight="1" spans="1:5">
      <c r="A173" s="5331">
        <f>B_Uspjeha!AG45</f>
        <v>221</v>
      </c>
      <c r="B173" s="5327" t="str">
        <f>IF(Baza!$C$22="engleski",E173,(IF(Baza!$C$22="bosanski",C173,D173)))</f>
        <v>Neto dobici od otpuštanja ranije priznatih gubitaka od umanjenja vrijednosti investicijskih nekretnina</v>
      </c>
      <c r="C173" s="5328" t="s">
        <v>2783</v>
      </c>
      <c r="D173" s="5329" t="s">
        <v>2783</v>
      </c>
      <c r="E173" s="5338" t="s">
        <v>2784</v>
      </c>
    </row>
    <row r="174" ht="14.25" customHeight="1" spans="1:5">
      <c r="A174" s="5331">
        <f>B_Uspjeha!AG46</f>
        <v>222</v>
      </c>
      <c r="B174" s="5327" t="str">
        <f>IF(Baza!$C$22="engleski",E174,(IF(Baza!$C$22="bosanski",C174,D174)))</f>
        <v>Neto dobici od otuđenja nematerijalne imovine</v>
      </c>
      <c r="C174" s="5328" t="s">
        <v>2785</v>
      </c>
      <c r="D174" s="5329" t="s">
        <v>2785</v>
      </c>
      <c r="E174" s="5338" t="s">
        <v>2786</v>
      </c>
    </row>
    <row r="175" ht="14.25" customHeight="1" spans="1:5">
      <c r="A175" s="5331">
        <f>B_Uspjeha!AG47</f>
        <v>223</v>
      </c>
      <c r="B175" s="5327" t="str">
        <f>IF(Baza!$C$22="engleski",E175,(IF(Baza!$C$22="bosanski",C175,D175)))</f>
        <v>Neto dobici od otpuštanja ranije priznatih gubitaka od umanjenja vrijednosti nematerijalne imovine</v>
      </c>
      <c r="C175" s="5328" t="s">
        <v>2787</v>
      </c>
      <c r="D175" s="5329" t="s">
        <v>2787</v>
      </c>
      <c r="E175" s="5338" t="s">
        <v>2788</v>
      </c>
    </row>
    <row r="176" ht="14.25" customHeight="1" spans="1:5">
      <c r="A176" s="5331">
        <f>B_Uspjeha!AG48</f>
        <v>224</v>
      </c>
      <c r="B176" s="5327" t="str">
        <f>IF(Baza!$C$22="engleski",E176,(IF(Baza!$C$22="bosanski",C176,D176)))</f>
        <v>Neto dobici od prestanka priznavanja imovine s pravom korištenja</v>
      </c>
      <c r="C176" s="5328" t="s">
        <v>2789</v>
      </c>
      <c r="D176" s="5329" t="s">
        <v>2789</v>
      </c>
      <c r="E176" s="5338" t="s">
        <v>2790</v>
      </c>
    </row>
    <row r="177" ht="14.25" customHeight="1" spans="1:5">
      <c r="A177" s="5331">
        <f>B_Uspjeha!AG49</f>
        <v>225</v>
      </c>
      <c r="B177" s="5327" t="str">
        <f>IF(Baza!$C$22="engleski",E177,(IF(Baza!$C$22="bosanski",C177,D177)))</f>
        <v>Neto dobici od otuđenja biološke imovine</v>
      </c>
      <c r="C177" s="5328" t="s">
        <v>2791</v>
      </c>
      <c r="D177" s="5329" t="s">
        <v>2791</v>
      </c>
      <c r="E177" s="5338" t="s">
        <v>2792</v>
      </c>
    </row>
    <row r="178" ht="14.25" customHeight="1" spans="1:5">
      <c r="A178" s="5331">
        <f>B_Uspjeha!AG50</f>
        <v>226</v>
      </c>
      <c r="B178" s="5327" t="str">
        <f>IF(Baza!$C$22="engleski",E178,(IF(Baza!$C$22="bosanski",C178,D178)))</f>
        <v>Neto povećanja vrijednosti biološke imovine koja se vodi po fer vrijednosti </v>
      </c>
      <c r="C178" s="5328" t="s">
        <v>2793</v>
      </c>
      <c r="D178" s="5329" t="s">
        <v>2793</v>
      </c>
      <c r="E178" s="5338" t="s">
        <v>2794</v>
      </c>
    </row>
    <row r="179" ht="14.25" customHeight="1" spans="1:5">
      <c r="A179" s="5331">
        <f>B_Uspjeha!AG51</f>
        <v>227</v>
      </c>
      <c r="B179" s="5327" t="str">
        <f>IF(Baza!$C$22="engleski",E179,(IF(Baza!$C$22="bosanski",C179,D179)))</f>
        <v>Neto dobici od otpuštanja ranije priznatih gubitaka od umanjenja vrijednosti biološke imovine</v>
      </c>
      <c r="C179" s="5328" t="s">
        <v>2795</v>
      </c>
      <c r="D179" s="5329" t="s">
        <v>2795</v>
      </c>
      <c r="E179" s="5338" t="s">
        <v>2796</v>
      </c>
    </row>
    <row r="180" ht="14.25" customHeight="1" spans="1:5">
      <c r="A180" s="5331">
        <f>B_Uspjeha!AG52</f>
        <v>228</v>
      </c>
      <c r="B180" s="5327" t="str">
        <f>IF(Baza!$C$22="engleski",E180,(IF(Baza!$C$22="bosanski",C180,D180)))</f>
        <v>Neto dobici od dugoročne imovine namijenjene prodaji</v>
      </c>
      <c r="C180" s="5328" t="s">
        <v>2797</v>
      </c>
      <c r="D180" s="5329" t="s">
        <v>2797</v>
      </c>
      <c r="E180" s="5338" t="s">
        <v>2798</v>
      </c>
    </row>
    <row r="181" ht="14.25" customHeight="1" spans="1:5">
      <c r="A181" s="5331">
        <f>B_Uspjeha!AG53</f>
        <v>229</v>
      </c>
      <c r="B181" s="5327" t="str">
        <f>IF(Baza!$C$22="engleski",E181,(IF(Baza!$C$22="bosanski",C181,D181)))</f>
        <v>Ostali neto dobici od otpuštanja ranije priznatih gubitaka od umanjenja vrijednosti dugoročne nefinansijske imovine</v>
      </c>
      <c r="C181" s="5328" t="s">
        <v>2799</v>
      </c>
      <c r="D181" s="5329" t="s">
        <v>2800</v>
      </c>
      <c r="E181" s="5338" t="s">
        <v>2801</v>
      </c>
    </row>
    <row r="182" ht="14.25" customHeight="1" spans="1:5">
      <c r="A182" s="5331">
        <f>B_Uspjeha!AG54</f>
        <v>230</v>
      </c>
      <c r="B182" s="5327" t="str">
        <f>IF(Baza!$C$22="engleski",E182,(IF(Baza!$C$22="bosanski",C182,D182)))</f>
        <v>Dobici od finansijske imovine (231 do 240)</v>
      </c>
      <c r="C182" s="5328" t="s">
        <v>2802</v>
      </c>
      <c r="D182" s="5329" t="s">
        <v>2803</v>
      </c>
      <c r="E182" s="5338" t="s">
        <v>2804</v>
      </c>
    </row>
    <row r="183" ht="14.25" customHeight="1" spans="1:5">
      <c r="A183" s="5331">
        <f>B_Uspjeha!AG55</f>
        <v>231</v>
      </c>
      <c r="B183" s="5327" t="str">
        <f>IF(Baza!$C$22="engleski",E183,(IF(Baza!$C$22="bosanski",C183,D183)))</f>
        <v>Neto otpuštanja ranije priznatih kreditnih gubitaka od finansijske imovine po amortizovanom trošku</v>
      </c>
      <c r="C183" s="5328" t="s">
        <v>2805</v>
      </c>
      <c r="D183" s="5329" t="s">
        <v>2806</v>
      </c>
      <c r="E183" s="5338" t="s">
        <v>2807</v>
      </c>
    </row>
    <row r="184" ht="14.25" customHeight="1" spans="1:5">
      <c r="A184" s="5331">
        <f>B_Uspjeha!AG56</f>
        <v>232</v>
      </c>
      <c r="B184" s="5327" t="str">
        <f>IF(Baza!$C$22="engleski",E184,(IF(Baza!$C$22="bosanski",C184,D184)))</f>
        <v>Neto otpuštanja ranije priznatih kreditnih gubitaka od finansijske imovine po fer vrijednosti kroz ostali ukupni rezultat</v>
      </c>
      <c r="C184" s="5328" t="s">
        <v>2808</v>
      </c>
      <c r="D184" s="5329" t="s">
        <v>2809</v>
      </c>
      <c r="E184" s="5338" t="s">
        <v>2810</v>
      </c>
    </row>
    <row r="185" ht="14.25" customHeight="1" spans="1:5">
      <c r="A185" s="5331">
        <f>B_Uspjeha!AG57</f>
        <v>233</v>
      </c>
      <c r="B185" s="5327" t="str">
        <f>IF(Baza!$C$22="engleski",E185,(IF(Baza!$C$22="bosanski",C185,D185)))</f>
        <v>Neto dobici od prestanka priznavanja finansijske imovine po amortizovanom trošku</v>
      </c>
      <c r="C185" s="5328" t="s">
        <v>2811</v>
      </c>
      <c r="D185" s="5329" t="s">
        <v>2812</v>
      </c>
      <c r="E185" s="5338" t="s">
        <v>2813</v>
      </c>
    </row>
    <row r="186" ht="14.25" customHeight="1" spans="1:5">
      <c r="A186" s="5331">
        <f>B_Uspjeha!AG58</f>
        <v>234</v>
      </c>
      <c r="B186" s="5327" t="str">
        <f>IF(Baza!$C$22="engleski",E186,(IF(Baza!$C$22="bosanski",C186,D186)))</f>
        <v>Neto dobici od modifikacija finansijske imovine po amortizovanom trošku koje nisu rezultirale prestankom priznavanja</v>
      </c>
      <c r="C186" s="5328" t="s">
        <v>2814</v>
      </c>
      <c r="D186" s="5329" t="s">
        <v>2815</v>
      </c>
      <c r="E186" s="5340" t="s">
        <v>2816</v>
      </c>
    </row>
    <row r="187" ht="14.25" customHeight="1" spans="1:5">
      <c r="A187" s="5331">
        <f>B_Uspjeha!AG59</f>
        <v>235</v>
      </c>
      <c r="B187" s="5327" t="str">
        <f>IF(Baza!$C$22="engleski",E187,(IF(Baza!$C$22="bosanski",C187,D187)))</f>
        <v>Neto dobici od otuđenja finansijske imovine po amortizovanom trošku </v>
      </c>
      <c r="C187" s="5328" t="s">
        <v>2817</v>
      </c>
      <c r="D187" s="5329" t="s">
        <v>2818</v>
      </c>
      <c r="E187" s="5338" t="s">
        <v>2819</v>
      </c>
    </row>
    <row r="188" ht="14.25" customHeight="1" spans="1:5">
      <c r="A188" s="5331">
        <f>B_Uspjeha!AG60</f>
        <v>236</v>
      </c>
      <c r="B188" s="5327" t="str">
        <f>IF(Baza!$C$22="engleski",E188,(IF(Baza!$C$22="bosanski",C188,D188)))</f>
        <v>Neto povećanja vrijednosti finansijske imovine po fer vrijednosti kroz bilans uspjeha</v>
      </c>
      <c r="C188" s="5328" t="s">
        <v>2820</v>
      </c>
      <c r="D188" s="5329" t="s">
        <v>2821</v>
      </c>
      <c r="E188" s="5338" t="s">
        <v>2822</v>
      </c>
    </row>
    <row r="189" ht="14.25" customHeight="1" spans="1:5">
      <c r="A189" s="5331">
        <f>B_Uspjeha!AG61</f>
        <v>237</v>
      </c>
      <c r="B189" s="5327" t="str">
        <f>IF(Baza!$C$22="engleski",E189,(IF(Baza!$C$22="bosanski",C189,D189)))</f>
        <v>Neto dobici od otuđenja finansijske imovine po fer vrijednosti kroz bilans uspjeha</v>
      </c>
      <c r="C189" s="5328" t="s">
        <v>2823</v>
      </c>
      <c r="D189" s="5329" t="s">
        <v>2824</v>
      </c>
      <c r="E189" s="5338" t="s">
        <v>2825</v>
      </c>
    </row>
    <row r="190" ht="14.25" customHeight="1" spans="1:5">
      <c r="A190" s="5331">
        <f>B_Uspjeha!AG62</f>
        <v>238</v>
      </c>
      <c r="B190" s="5327" t="str">
        <f>IF(Baza!$C$22="engleski",E190,(IF(Baza!$C$22="bosanski",C190,D190)))</f>
        <v>Neto dobici od otuđenja finansijske imovine po fer vrijednosti kroz ostali ukupni rezultat</v>
      </c>
      <c r="C190" s="5328" t="s">
        <v>2826</v>
      </c>
      <c r="D190" s="5329" t="s">
        <v>2827</v>
      </c>
      <c r="E190" s="5338" t="s">
        <v>2828</v>
      </c>
    </row>
    <row r="191" ht="14.25" customHeight="1" spans="1:5">
      <c r="A191" s="5331">
        <f>B_Uspjeha!AG63</f>
        <v>239</v>
      </c>
      <c r="B191" s="5327" t="str">
        <f>IF(Baza!$C$22="engleski",E191,(IF(Baza!$C$22="bosanski",C191,D191)))</f>
        <v>Neto dobici od reklasifikacija finansijske imovine između poslovnih modela</v>
      </c>
      <c r="C191" s="5328" t="s">
        <v>2829</v>
      </c>
      <c r="D191" s="5329" t="s">
        <v>2830</v>
      </c>
      <c r="E191" s="5338" t="s">
        <v>2831</v>
      </c>
    </row>
    <row r="192" ht="14.25" customHeight="1" spans="1:5">
      <c r="A192" s="5331">
        <f>B_Uspjeha!AG64</f>
        <v>240</v>
      </c>
      <c r="B192" s="5327" t="str">
        <f>IF(Baza!$C$22="engleski",E192,(IF(Baza!$C$22="bosanski",C192,D192)))</f>
        <v>Ostali neto dobici od finansijske imovine</v>
      </c>
      <c r="C192" s="5328" t="s">
        <v>2832</v>
      </c>
      <c r="D192" s="5329" t="s">
        <v>2833</v>
      </c>
      <c r="E192" s="5338" t="s">
        <v>2834</v>
      </c>
    </row>
    <row r="193" ht="14.25" customHeight="1" spans="1:5">
      <c r="A193" s="5331">
        <f>B_Uspjeha!AG65</f>
        <v>241</v>
      </c>
      <c r="B193" s="5327" t="str">
        <f>IF(Baza!$C$22="engleski",E193,(IF(Baza!$C$22="bosanski",C193,D193)))</f>
        <v>Neto otpuštanje rezervisanja</v>
      </c>
      <c r="C193" s="5328" t="s">
        <v>2835</v>
      </c>
      <c r="D193" s="5329" t="s">
        <v>2836</v>
      </c>
      <c r="E193" s="5338" t="s">
        <v>2837</v>
      </c>
    </row>
    <row r="194" ht="14.25" customHeight="1" spans="1:5">
      <c r="A194" s="5331">
        <f>B_Uspjeha!AG66</f>
        <v>242</v>
      </c>
      <c r="B194" s="5327" t="str">
        <f>IF(Baza!$C$22="engleski",E194,(IF(Baza!$C$22="bosanski",C194,D194)))</f>
        <v>Neto dobici od trgovanja derivatima</v>
      </c>
      <c r="C194" s="5328" t="s">
        <v>2838</v>
      </c>
      <c r="D194" s="5329" t="s">
        <v>2838</v>
      </c>
      <c r="E194" s="5338" t="s">
        <v>2839</v>
      </c>
    </row>
    <row r="195" ht="14.25" customHeight="1" spans="1:5">
      <c r="A195" s="5331">
        <f>B_Uspjeha!AG67</f>
        <v>243</v>
      </c>
      <c r="B195" s="5327" t="str">
        <f>IF(Baza!$C$22="engleski",E195,(IF(Baza!$C$22="bosanski",C195,D195)))</f>
        <v>Prihodi od prodaje materijala, neto</v>
      </c>
      <c r="C195" s="5328" t="s">
        <v>2840</v>
      </c>
      <c r="D195" s="5329" t="s">
        <v>2840</v>
      </c>
      <c r="E195" s="5338" t="s">
        <v>2841</v>
      </c>
    </row>
    <row r="196" ht="14.25" customHeight="1" spans="1:5">
      <c r="A196" s="5331">
        <f>B_Uspjeha!AG68</f>
        <v>244</v>
      </c>
      <c r="B196" s="5327" t="str">
        <f>IF(Baza!$C$22="engleski",E196,(IF(Baza!$C$22="bosanski",C196,D196)))</f>
        <v>Viškovi i ostala pozitivna usklađenja zaliha</v>
      </c>
      <c r="C196" s="5328" t="s">
        <v>2842</v>
      </c>
      <c r="D196" s="5329" t="s">
        <v>2842</v>
      </c>
      <c r="E196" s="5338" t="s">
        <v>2843</v>
      </c>
    </row>
    <row r="197" ht="14.25" customHeight="1" spans="1:5">
      <c r="A197" s="5331">
        <f>B_Uspjeha!AG69</f>
        <v>245</v>
      </c>
      <c r="B197" s="5327" t="str">
        <f>IF(Baza!$C$22="engleski",E197,(IF(Baza!$C$22="bosanski",C197,D197)))</f>
        <v>Prihodi od dividendi</v>
      </c>
      <c r="C197" s="5328" t="s">
        <v>2844</v>
      </c>
      <c r="D197" s="5329" t="s">
        <v>2844</v>
      </c>
      <c r="E197" s="5338" t="s">
        <v>2845</v>
      </c>
    </row>
    <row r="198" ht="14.25" customHeight="1" spans="1:5">
      <c r="A198" s="5331">
        <f>B_Uspjeha!AG70</f>
        <v>246</v>
      </c>
      <c r="B198" s="5327" t="str">
        <f>IF(Baza!$C$22="engleski",E198,(IF(Baza!$C$22="bosanski",C198,D198)))</f>
        <v>Udio u dobiti pridruženog društva i zajedničkog poduhvata primjenom metode udjela</v>
      </c>
      <c r="C198" s="5328" t="s">
        <v>2846</v>
      </c>
      <c r="D198" s="5329" t="s">
        <v>2846</v>
      </c>
      <c r="E198" s="5338" t="s">
        <v>2847</v>
      </c>
    </row>
    <row r="199" ht="14.25" customHeight="1" spans="1:5">
      <c r="A199" s="5331">
        <f>B_Uspjeha!AG71</f>
        <v>247</v>
      </c>
      <c r="B199" s="5327" t="str">
        <f>IF(Baza!$C$22="engleski",E199,(IF(Baza!$C$22="bosanski",C199,D199)))</f>
        <v>Finansijski prihodi (248+249+250)</v>
      </c>
      <c r="C199" s="5328" t="s">
        <v>2848</v>
      </c>
      <c r="D199" s="5329" t="s">
        <v>2595</v>
      </c>
      <c r="E199" s="5338" t="s">
        <v>2596</v>
      </c>
    </row>
    <row r="200" ht="14.25" customHeight="1" spans="1:5">
      <c r="A200" s="5331">
        <f>B_Uspjeha!AG72</f>
        <v>248</v>
      </c>
      <c r="B200" s="5327" t="str">
        <f>IF(Baza!$C$22="engleski",E200,(IF(Baza!$C$22="bosanski",C200,D200)))</f>
        <v>Prihodi od kamata</v>
      </c>
      <c r="C200" s="5328" t="s">
        <v>2849</v>
      </c>
      <c r="D200" s="5329" t="s">
        <v>2849</v>
      </c>
      <c r="E200" s="5338" t="s">
        <v>2850</v>
      </c>
    </row>
    <row r="201" ht="14.25" customHeight="1" spans="1:5">
      <c r="A201" s="5331">
        <f>B_Uspjeha!AG73</f>
        <v>249</v>
      </c>
      <c r="B201" s="5327" t="str">
        <f>IF(Baza!$C$22="engleski",E201,(IF(Baza!$C$22="bosanski",C201,D201)))</f>
        <v>Neto pozitivne kursne razlike</v>
      </c>
      <c r="C201" s="5328" t="s">
        <v>2851</v>
      </c>
      <c r="D201" s="5329" t="s">
        <v>2852</v>
      </c>
      <c r="E201" s="5338" t="s">
        <v>2853</v>
      </c>
    </row>
    <row r="202" ht="14.25" customHeight="1" spans="1:5">
      <c r="A202" s="5331">
        <f>B_Uspjeha!AG74</f>
        <v>250</v>
      </c>
      <c r="B202" s="5327" t="str">
        <f>IF(Baza!$C$22="engleski",E202,(IF(Baza!$C$22="bosanski",C202,D202)))</f>
        <v>Ostali finansijski prihodi</v>
      </c>
      <c r="C202" s="5328" t="s">
        <v>2854</v>
      </c>
      <c r="D202" s="5329" t="s">
        <v>2855</v>
      </c>
      <c r="E202" s="5338" t="s">
        <v>2856</v>
      </c>
    </row>
    <row r="203" ht="14.25" customHeight="1" spans="1:5">
      <c r="A203" s="5331">
        <f>B_Uspjeha!AG75</f>
        <v>251</v>
      </c>
      <c r="B203" s="5327" t="str">
        <f>IF(Baza!$C$22="engleski",E203,(IF(Baza!$C$22="bosanski",C203,D203)))</f>
        <v>Ostali prihodi i dobici</v>
      </c>
      <c r="C203" s="5328" t="s">
        <v>2600</v>
      </c>
      <c r="D203" s="5329" t="s">
        <v>2857</v>
      </c>
      <c r="E203" s="5338" t="s">
        <v>2601</v>
      </c>
    </row>
    <row r="204" ht="14.25" customHeight="1" spans="1:5">
      <c r="A204" s="5331">
        <f>B_Uspjeha!AG76</f>
        <v>252</v>
      </c>
      <c r="B204" s="5327" t="str">
        <f>IF(Baza!$C$22="engleski",E204,(IF(Baza!$C$22="bosanski",C204,D204)))</f>
        <v>Ukupno prihodi (201+214)</v>
      </c>
      <c r="C204" s="5328" t="s">
        <v>2858</v>
      </c>
      <c r="D204" s="5329" t="s">
        <v>2858</v>
      </c>
      <c r="E204" s="5338" t="s">
        <v>2859</v>
      </c>
    </row>
    <row r="205" ht="14.25" customHeight="1" spans="1:5">
      <c r="A205" s="5331">
        <f>B_Uspjeha!AG80</f>
        <v>253</v>
      </c>
      <c r="B205" s="5327" t="str">
        <f>IF(Baza!$C$22="engleski",E205,(IF(Baza!$C$22="bosanski",C205,D205)))</f>
        <v>Poslovni rashodi (254+255+256+257+258+262+269+270)</v>
      </c>
      <c r="C205" s="5328" t="s">
        <v>2860</v>
      </c>
      <c r="D205" s="5329" t="s">
        <v>2860</v>
      </c>
      <c r="E205" s="5340" t="s">
        <v>2861</v>
      </c>
    </row>
    <row r="206" ht="14.25" customHeight="1" spans="1:5">
      <c r="A206" s="5331">
        <f>B_Uspjeha!AG81</f>
        <v>254</v>
      </c>
      <c r="B206" s="5327" t="str">
        <f>IF(Baza!$C$22="engleski",E206,(IF(Baza!$C$22="bosanski",C206,D206)))</f>
        <v>Nabavna vrijednost prodate robe</v>
      </c>
      <c r="C206" s="5328" t="s">
        <v>2563</v>
      </c>
      <c r="D206" s="5329" t="s">
        <v>2564</v>
      </c>
      <c r="E206" s="5338" t="s">
        <v>2565</v>
      </c>
    </row>
    <row r="207" ht="14.25" customHeight="1" spans="1:5">
      <c r="A207" s="5331">
        <f>B_Uspjeha!AG82</f>
        <v>255</v>
      </c>
      <c r="B207" s="5327" t="str">
        <f>IF(Baza!$C$22="engleski",E207,(IF(Baza!$C$22="bosanski",C207,D207)))</f>
        <v>Promjene u zalihama gotovih proizvoda, poluproizvoda i proizvodnje u toku, neto (+) / (-)</v>
      </c>
      <c r="C207" s="5328" t="s">
        <v>2862</v>
      </c>
      <c r="D207" s="5329" t="s">
        <v>2863</v>
      </c>
      <c r="E207" s="5338" t="s">
        <v>2568</v>
      </c>
    </row>
    <row r="208" ht="14.25" customHeight="1" spans="1:5">
      <c r="A208" s="5331">
        <f>B_Uspjeha!AG83</f>
        <v>256</v>
      </c>
      <c r="B208" s="5327" t="str">
        <f>IF(Baza!$C$22="engleski",E208,(IF(Baza!$C$22="bosanski",C208,D208)))</f>
        <v>Troškovi sirovina i materijala</v>
      </c>
      <c r="C208" s="5328" t="s">
        <v>2569</v>
      </c>
      <c r="D208" s="5329" t="s">
        <v>2569</v>
      </c>
      <c r="E208" s="5338" t="s">
        <v>2570</v>
      </c>
    </row>
    <row r="209" ht="14.25" customHeight="1" spans="1:5">
      <c r="A209" s="5331">
        <f>B_Uspjeha!AG84</f>
        <v>257</v>
      </c>
      <c r="B209" s="5327" t="str">
        <f>IF(Baza!$C$22="engleski",E209,(IF(Baza!$C$22="bosanski",C209,D209)))</f>
        <v>Troškovi energije i goriva</v>
      </c>
      <c r="C209" s="5328" t="s">
        <v>2571</v>
      </c>
      <c r="D209" s="5329" t="s">
        <v>2571</v>
      </c>
      <c r="E209" s="5338" t="s">
        <v>2572</v>
      </c>
    </row>
    <row r="210" ht="14.25" customHeight="1" spans="1:5">
      <c r="A210" s="5331">
        <f>B_Uspjeha!AG85</f>
        <v>258</v>
      </c>
      <c r="B210" s="5327" t="str">
        <f>IF(Baza!$C$22="engleski",E210,(IF(Baza!$C$22="bosanski",C210,D210)))</f>
        <v>Troškovi plaća i ostalih ličnih primanja (259 do 261)</v>
      </c>
      <c r="C210" s="5328" t="s">
        <v>2864</v>
      </c>
      <c r="D210" s="5329" t="s">
        <v>2865</v>
      </c>
      <c r="E210" s="5338" t="s">
        <v>2866</v>
      </c>
    </row>
    <row r="211" ht="14.25" customHeight="1" spans="1:5">
      <c r="A211" s="5331">
        <f>B_Uspjeha!AG86</f>
        <v>259</v>
      </c>
      <c r="B211" s="5327" t="str">
        <f>IF(Baza!$C$22="engleski",E211,(IF(Baza!$C$22="bosanski",C211,D211)))</f>
        <v>Bruto plaće zaposlenih</v>
      </c>
      <c r="C211" s="5328" t="s">
        <v>2867</v>
      </c>
      <c r="D211" s="5329" t="s">
        <v>2867</v>
      </c>
      <c r="E211" s="5338" t="s">
        <v>2868</v>
      </c>
    </row>
    <row r="212" ht="14.25" customHeight="1" spans="1:5">
      <c r="A212" s="5331">
        <f>B_Uspjeha!AG87</f>
        <v>260</v>
      </c>
      <c r="B212" s="5327" t="str">
        <f>IF(Baza!$C$22="engleski",E212,(IF(Baza!$C$22="bosanski",C212,D212)))</f>
        <v>Ostale naknade zaposlenih</v>
      </c>
      <c r="C212" s="5328" t="s">
        <v>2869</v>
      </c>
      <c r="D212" s="5329" t="s">
        <v>2869</v>
      </c>
      <c r="E212" s="5338" t="s">
        <v>2870</v>
      </c>
    </row>
    <row r="213" ht="14.25" customHeight="1" spans="1:5">
      <c r="A213" s="5331">
        <f>B_Uspjeha!AG88</f>
        <v>261</v>
      </c>
      <c r="B213" s="5327" t="str">
        <f>IF(Baza!$C$22="engleski",E213,(IF(Baza!$C$22="bosanski",C213,D213)))</f>
        <v>Troškovi ostalih angažovanih fizičkih lica, uključujući članove odbora</v>
      </c>
      <c r="C213" s="5328" t="s">
        <v>2871</v>
      </c>
      <c r="D213" s="5329" t="s">
        <v>2872</v>
      </c>
      <c r="E213" s="5338" t="s">
        <v>2873</v>
      </c>
    </row>
    <row r="214" ht="14.25" customHeight="1" spans="1:5">
      <c r="A214" s="5331">
        <f>B_Uspjeha!AG89</f>
        <v>262</v>
      </c>
      <c r="B214" s="5327" t="str">
        <f>IF(Baza!$C$22="engleski",E214,(IF(Baza!$C$22="bosanski",C214,D214)))</f>
        <v>Amortizacija (263+268)</v>
      </c>
      <c r="C214" s="5328" t="s">
        <v>2874</v>
      </c>
      <c r="D214" s="5329" t="s">
        <v>2874</v>
      </c>
      <c r="E214" s="5338" t="s">
        <v>2875</v>
      </c>
    </row>
    <row r="215" ht="14.25" customHeight="1" spans="1:5">
      <c r="A215" s="5331">
        <f>B_Uspjeha!AG90</f>
        <v>263</v>
      </c>
      <c r="B215" s="5327" t="str">
        <f>IF(Baza!$C$22="engleski",E215,(IF(Baza!$C$22="bosanski",C215,D215)))</f>
        <v>Nekretnine, postrojenja i oprema</v>
      </c>
      <c r="C215" s="5328" t="s">
        <v>2876</v>
      </c>
      <c r="D215" s="5329" t="s">
        <v>2876</v>
      </c>
      <c r="E215" s="5338" t="s">
        <v>2651</v>
      </c>
    </row>
    <row r="216" ht="14.25" customHeight="1" spans="1:5">
      <c r="A216" s="5331">
        <f>B_Uspjeha!AG91</f>
        <v>264</v>
      </c>
      <c r="B216" s="5327" t="str">
        <f>IF(Baza!$C$22="engleski",E216,(IF(Baza!$C$22="bosanski",C216,D216)))</f>
        <v>Investicijske nekretnine</v>
      </c>
      <c r="C216" s="5328" t="s">
        <v>2877</v>
      </c>
      <c r="D216" s="5329" t="s">
        <v>2877</v>
      </c>
      <c r="E216" s="5338" t="s">
        <v>2878</v>
      </c>
    </row>
    <row r="217" ht="14.25" customHeight="1" spans="1:5">
      <c r="A217" s="5331">
        <f>B_Uspjeha!AG92</f>
        <v>265</v>
      </c>
      <c r="B217" s="5327" t="str">
        <f>IF(Baza!$C$22="engleski",E217,(IF(Baza!$C$22="bosanski",C217,D217)))</f>
        <v>Imovina s pravom korištenja</v>
      </c>
      <c r="C217" s="5328" t="s">
        <v>2879</v>
      </c>
      <c r="D217" s="5329" t="s">
        <v>2879</v>
      </c>
      <c r="E217" s="5338" t="s">
        <v>2653</v>
      </c>
    </row>
    <row r="218" ht="14.25" customHeight="1" spans="1:5">
      <c r="A218" s="5331">
        <f>B_Uspjeha!AG93</f>
        <v>266</v>
      </c>
      <c r="B218" s="5327" t="str">
        <f>IF(Baza!$C$22="engleski",E218,(IF(Baza!$C$22="bosanski",C218,D218)))</f>
        <v>Nematerijalna imovina</v>
      </c>
      <c r="C218" s="5328" t="s">
        <v>2880</v>
      </c>
      <c r="D218" s="5329" t="s">
        <v>2880</v>
      </c>
      <c r="E218" s="5338" t="s">
        <v>2657</v>
      </c>
    </row>
    <row r="219" ht="14.25" customHeight="1" spans="1:5">
      <c r="A219" s="5331">
        <f>B_Uspjeha!AG94</f>
        <v>267</v>
      </c>
      <c r="B219" s="5327" t="str">
        <f>IF(Baza!$C$22="engleski",E219,(IF(Baza!$C$22="bosanski",C219,D219)))</f>
        <v>Biološka imovina</v>
      </c>
      <c r="C219" s="5328" t="s">
        <v>2881</v>
      </c>
      <c r="D219" s="5329" t="s">
        <v>2881</v>
      </c>
      <c r="E219" s="5338" t="s">
        <v>2659</v>
      </c>
    </row>
    <row r="220" ht="14.25" customHeight="1" spans="1:5">
      <c r="A220" s="5331">
        <f>B_Uspjeha!AG95</f>
        <v>268</v>
      </c>
      <c r="B220" s="5327" t="str">
        <f>IF(Baza!$C$22="engleski",E220,(IF(Baza!$C$22="bosanski",C220,D220)))</f>
        <v>Ostala dugoročna imovina po osnovu ugovora sa kupcima</v>
      </c>
      <c r="C220" s="5328" t="s">
        <v>2882</v>
      </c>
      <c r="D220" s="5329" t="s">
        <v>2883</v>
      </c>
      <c r="E220" s="5338" t="s">
        <v>2884</v>
      </c>
    </row>
    <row r="221" ht="14.25" customHeight="1" spans="1:5">
      <c r="A221" s="5331">
        <f>B_Uspjeha!AG96</f>
        <v>269</v>
      </c>
      <c r="B221" s="5327" t="str">
        <f>IF(Baza!$C$22="engleski",E221,(IF(Baza!$C$22="bosanski",C221,D221)))</f>
        <v>Troškovi primljenih usluga</v>
      </c>
      <c r="C221" s="5328" t="s">
        <v>2885</v>
      </c>
      <c r="D221" s="5329" t="s">
        <v>2885</v>
      </c>
      <c r="E221" s="5338" t="s">
        <v>2886</v>
      </c>
    </row>
    <row r="222" ht="14.25" customHeight="1" spans="1:5">
      <c r="A222" s="5331">
        <f>B_Uspjeha!AG97</f>
        <v>270</v>
      </c>
      <c r="B222" s="5327" t="str">
        <f>IF(Baza!$C$22="engleski",E222,(IF(Baza!$C$22="bosanski",C222,D222)))</f>
        <v>Ostali poslovni rashodi i troškovi</v>
      </c>
      <c r="C222" s="5328" t="s">
        <v>2578</v>
      </c>
      <c r="D222" s="5329" t="s">
        <v>2578</v>
      </c>
      <c r="E222" s="5338" t="s">
        <v>2579</v>
      </c>
    </row>
    <row r="223" ht="14.25" customHeight="1" spans="1:5">
      <c r="A223" s="5331">
        <f>B_Uspjeha!AG98</f>
        <v>271</v>
      </c>
      <c r="B223" s="5327" t="str">
        <f>IF(Baza!$C$22="engleski",E223,(IF(Baza!$C$22="bosanski",C223,D223)))</f>
        <v>Ostali rashodi i gubici (272+287+298+299+300+301+302 +303 +304 +309)</v>
      </c>
      <c r="C223" s="5328" t="s">
        <v>2887</v>
      </c>
      <c r="D223" s="5329" t="s">
        <v>2887</v>
      </c>
      <c r="E223" s="5338" t="s">
        <v>2888</v>
      </c>
    </row>
    <row r="224" ht="14.25" customHeight="1" spans="1:5">
      <c r="A224" s="5331">
        <f>B_Uspjeha!AG99</f>
        <v>272</v>
      </c>
      <c r="B224" s="5327" t="str">
        <f>IF(Baza!$C$22="engleski",E224,(IF(Baza!$C$22="bosanski",C224,D224)))</f>
        <v>Gubici od dugoročne nefinansijske imovine (273 do 286)</v>
      </c>
      <c r="C224" s="5328" t="s">
        <v>2889</v>
      </c>
      <c r="D224" s="5329" t="s">
        <v>2890</v>
      </c>
      <c r="E224" s="5340" t="s">
        <v>2891</v>
      </c>
    </row>
    <row r="225" ht="14.25" customHeight="1" spans="1:5">
      <c r="A225" s="5331">
        <f>B_Uspjeha!AG100</f>
        <v>273</v>
      </c>
      <c r="B225" s="5327" t="str">
        <f>IF(Baza!$C$22="engleski",E225,(IF(Baza!$C$22="bosanski",C225,D225)))</f>
        <v>Neto gubici od otuđenja nekretnina, postrojenja i opreme</v>
      </c>
      <c r="C225" s="5328" t="s">
        <v>2892</v>
      </c>
      <c r="D225" s="5329" t="s">
        <v>2892</v>
      </c>
      <c r="E225" s="5338" t="s">
        <v>2893</v>
      </c>
    </row>
    <row r="226" ht="14.25" customHeight="1" spans="1:5">
      <c r="A226" s="5331">
        <f>B_Uspjeha!AG101</f>
        <v>274</v>
      </c>
      <c r="B226" s="5327" t="str">
        <f>IF(Baza!$C$22="engleski",E226,(IF(Baza!$C$22="bosanski",C226,D226)))</f>
        <v>Neto gubici od umanjenja vrijednosti nekretnina, postrojenja i opreme</v>
      </c>
      <c r="C226" s="5328" t="s">
        <v>2894</v>
      </c>
      <c r="D226" s="5329" t="s">
        <v>2894</v>
      </c>
      <c r="E226" s="5338" t="s">
        <v>2895</v>
      </c>
    </row>
    <row r="227" ht="14.25" customHeight="1" spans="1:5">
      <c r="A227" s="5331">
        <f>B_Uspjeha!AG102</f>
        <v>275</v>
      </c>
      <c r="B227" s="5327" t="str">
        <f>IF(Baza!$C$22="engleski",E227,(IF(Baza!$C$22="bosanski",C227,D227)))</f>
        <v>Neto gubici od promjene revalorizovane vrijednosti nekretnina, postrojenja i opreme za koje nema postojećih revalorizacionih rezervi</v>
      </c>
      <c r="C227" s="5328" t="s">
        <v>2896</v>
      </c>
      <c r="D227" s="5329" t="s">
        <v>2897</v>
      </c>
      <c r="E227" s="5338" t="s">
        <v>2898</v>
      </c>
    </row>
    <row r="228" ht="14.25" customHeight="1" spans="1:5">
      <c r="A228" s="5331">
        <f>B_Uspjeha!AG103</f>
        <v>276</v>
      </c>
      <c r="B228" s="5327" t="str">
        <f>IF(Baza!$C$22="engleski",E228,(IF(Baza!$C$22="bosanski",C228,D228)))</f>
        <v>Neto gubici od otuđenja ulaganja u investicijske nekretnine</v>
      </c>
      <c r="C228" s="5328" t="s">
        <v>2899</v>
      </c>
      <c r="D228" s="5329" t="s">
        <v>2899</v>
      </c>
      <c r="E228" s="5338" t="s">
        <v>2900</v>
      </c>
    </row>
    <row r="229" ht="14.25" customHeight="1" spans="1:5">
      <c r="A229" s="5331">
        <f>B_Uspjeha!AG104</f>
        <v>277</v>
      </c>
      <c r="B229" s="5327" t="str">
        <f>IF(Baza!$C$22="engleski",E229,(IF(Baza!$C$22="bosanski",C229,D229)))</f>
        <v>Neto smanjenja vrijednosti ulaganja u investicijske nekretnine koja se vode po fer vrijednosti </v>
      </c>
      <c r="C229" s="5328" t="s">
        <v>2901</v>
      </c>
      <c r="D229" s="5329" t="s">
        <v>2901</v>
      </c>
      <c r="E229" s="5338" t="s">
        <v>2902</v>
      </c>
    </row>
    <row r="230" ht="14.25" customHeight="1" spans="1:5">
      <c r="A230" s="5331">
        <f>B_Uspjeha!AG105</f>
        <v>278</v>
      </c>
      <c r="B230" s="5327" t="str">
        <f>IF(Baza!$C$22="engleski",E230,(IF(Baza!$C$22="bosanski",C230,D230)))</f>
        <v>Neto gubici od umanjenja vrijednosti investicijskih nekretnina</v>
      </c>
      <c r="C230" s="5328" t="s">
        <v>2903</v>
      </c>
      <c r="D230" s="5329" t="s">
        <v>2903</v>
      </c>
      <c r="E230" s="5338" t="s">
        <v>2904</v>
      </c>
    </row>
    <row r="231" ht="14.25" customHeight="1" spans="1:5">
      <c r="A231" s="5331">
        <f>B_Uspjeha!AG106</f>
        <v>279</v>
      </c>
      <c r="B231" s="5327" t="str">
        <f>IF(Baza!$C$22="engleski",E231,(IF(Baza!$C$22="bosanski",C231,D231)))</f>
        <v>Neto gubici od otuđenja nematerijalne imovine</v>
      </c>
      <c r="C231" s="5328" t="s">
        <v>2905</v>
      </c>
      <c r="D231" s="5329" t="s">
        <v>2905</v>
      </c>
      <c r="E231" s="5338" t="s">
        <v>2906</v>
      </c>
    </row>
    <row r="232" ht="14.25" customHeight="1" spans="1:5">
      <c r="A232" s="5331">
        <f>B_Uspjeha!AG107</f>
        <v>280</v>
      </c>
      <c r="B232" s="5327" t="str">
        <f>IF(Baza!$C$22="engleski",E232,(IF(Baza!$C$22="bosanski",C232,D232)))</f>
        <v>Neto gubici od umanjenja vrijednosti nematerijalne imovine</v>
      </c>
      <c r="C232" s="5328" t="s">
        <v>2907</v>
      </c>
      <c r="D232" s="5329" t="s">
        <v>2907</v>
      </c>
      <c r="E232" s="5338" t="s">
        <v>2908</v>
      </c>
    </row>
    <row r="233" ht="14.25" customHeight="1" spans="1:5">
      <c r="A233" s="5331">
        <f>B_Uspjeha!AG108</f>
        <v>281</v>
      </c>
      <c r="B233" s="5327" t="str">
        <f>IF(Baza!$C$22="engleski",E233,(IF(Baza!$C$22="bosanski",C233,D233)))</f>
        <v>Neto gubici od prestanka priznavanja imovine s pravom korištenja</v>
      </c>
      <c r="C233" s="5328" t="s">
        <v>2909</v>
      </c>
      <c r="D233" s="5329" t="s">
        <v>2909</v>
      </c>
      <c r="E233" s="5338" t="s">
        <v>2910</v>
      </c>
    </row>
    <row r="234" ht="14.25" customHeight="1" spans="1:5">
      <c r="A234" s="5331">
        <f>B_Uspjeha!AG109</f>
        <v>282</v>
      </c>
      <c r="B234" s="5327" t="str">
        <f>IF(Baza!$C$22="engleski",E234,(IF(Baza!$C$22="bosanski",C234,D234)))</f>
        <v>Neto gubici od otuđenja biološke imovine</v>
      </c>
      <c r="C234" s="5328" t="s">
        <v>2911</v>
      </c>
      <c r="D234" s="5329" t="s">
        <v>2911</v>
      </c>
      <c r="E234" s="5338" t="s">
        <v>2912</v>
      </c>
    </row>
    <row r="235" ht="14.25" customHeight="1" spans="1:5">
      <c r="A235" s="5331">
        <f>B_Uspjeha!AG110</f>
        <v>283</v>
      </c>
      <c r="B235" s="5327" t="str">
        <f>IF(Baza!$C$22="engleski",E235,(IF(Baza!$C$22="bosanski",C235,D235)))</f>
        <v>Neto smanjenja vrijednosti biološke imovine koja se vodi po fer vrijednosti </v>
      </c>
      <c r="C235" s="5328" t="s">
        <v>2913</v>
      </c>
      <c r="D235" s="5329" t="s">
        <v>2913</v>
      </c>
      <c r="E235" s="5338" t="s">
        <v>2914</v>
      </c>
    </row>
    <row r="236" ht="14.25" customHeight="1" spans="1:5">
      <c r="A236" s="5331">
        <f>B_Uspjeha!AG111</f>
        <v>284</v>
      </c>
      <c r="B236" s="5327" t="str">
        <f>IF(Baza!$C$22="engleski",E236,(IF(Baza!$C$22="bosanski",C236,D236)))</f>
        <v>Neto gubici od umanjenja vrijednosti biološke imovine</v>
      </c>
      <c r="C236" s="5328" t="s">
        <v>2915</v>
      </c>
      <c r="D236" s="5329" t="s">
        <v>2915</v>
      </c>
      <c r="E236" s="5338" t="s">
        <v>2916</v>
      </c>
    </row>
    <row r="237" ht="14.25" customHeight="1" spans="1:5">
      <c r="A237" s="5331">
        <f>B_Uspjeha!AG112</f>
        <v>285</v>
      </c>
      <c r="B237" s="5327" t="str">
        <f>IF(Baza!$C$22="engleski",E237,(IF(Baza!$C$22="bosanski",C237,D237)))</f>
        <v>Neto gubici od dugoročne imovine namijenjene prodaji</v>
      </c>
      <c r="C237" s="5328" t="s">
        <v>2917</v>
      </c>
      <c r="D237" s="5329" t="s">
        <v>2917</v>
      </c>
      <c r="E237" s="5338" t="s">
        <v>2918</v>
      </c>
    </row>
    <row r="238" ht="14.25" customHeight="1" spans="1:5">
      <c r="A238" s="5331">
        <f>B_Uspjeha!AG113</f>
        <v>286</v>
      </c>
      <c r="B238" s="5327" t="str">
        <f>IF(Baza!$C$22="engleski",E238,(IF(Baza!$C$22="bosanski",C238,D238)))</f>
        <v>Ostali neto gubici od umanjenja vrijednosti dugoročne nefinansijske imovine</v>
      </c>
      <c r="C238" s="5328" t="s">
        <v>2919</v>
      </c>
      <c r="D238" s="5329" t="s">
        <v>2920</v>
      </c>
      <c r="E238" s="5338" t="s">
        <v>2921</v>
      </c>
    </row>
    <row r="239" ht="14.25" customHeight="1" spans="1:5">
      <c r="A239" s="5331">
        <f>B_Uspjeha!AG118</f>
        <v>287</v>
      </c>
      <c r="B239" s="5327" t="str">
        <f>IF(Baza!$C$22="engleski",E239,(IF(Baza!$C$22="bosanski",C239,D239)))</f>
        <v>Gubici od finansijske imovine (288 do 297)</v>
      </c>
      <c r="C239" s="5328" t="s">
        <v>2922</v>
      </c>
      <c r="D239" s="5329" t="s">
        <v>2923</v>
      </c>
      <c r="E239" s="5338" t="s">
        <v>2924</v>
      </c>
    </row>
    <row r="240" ht="14.25" customHeight="1" spans="1:5">
      <c r="A240" s="5331">
        <f>B_Uspjeha!AG119</f>
        <v>288</v>
      </c>
      <c r="B240" s="5327" t="str">
        <f>IF(Baza!$C$22="engleski",E240,(IF(Baza!$C$22="bosanski",C240,D240)))</f>
        <v>Neto kreditni gubici od finansijske imovine po amortizovanom trošku</v>
      </c>
      <c r="C240" s="5328" t="s">
        <v>2925</v>
      </c>
      <c r="D240" s="5329" t="s">
        <v>2926</v>
      </c>
      <c r="E240" s="5338" t="s">
        <v>2927</v>
      </c>
    </row>
    <row r="241" ht="14.25" customHeight="1" spans="1:5">
      <c r="A241" s="5331">
        <f>B_Uspjeha!AG120</f>
        <v>289</v>
      </c>
      <c r="B241" s="5327" t="str">
        <f>IF(Baza!$C$22="engleski",E241,(IF(Baza!$C$22="bosanski",C241,D241)))</f>
        <v>Neto kreditni gubici od finansijske imovine po fer vrijednosti kroz ostali ukupni rezultat</v>
      </c>
      <c r="C241" s="5328" t="s">
        <v>2928</v>
      </c>
      <c r="D241" s="5329" t="s">
        <v>2929</v>
      </c>
      <c r="E241" s="5338" t="s">
        <v>2930</v>
      </c>
    </row>
    <row r="242" ht="14.25" customHeight="1" spans="1:5">
      <c r="A242" s="5331">
        <f>B_Uspjeha!AG121</f>
        <v>290</v>
      </c>
      <c r="B242" s="5327" t="str">
        <f>IF(Baza!$C$22="engleski",E242,(IF(Baza!$C$22="bosanski",C242,D242)))</f>
        <v>Neto gubici od prestanka priznavanja finansijske imovine po amortizovanom trošku</v>
      </c>
      <c r="C242" s="5328" t="s">
        <v>2931</v>
      </c>
      <c r="D242" s="5329" t="s">
        <v>2932</v>
      </c>
      <c r="E242" s="5340" t="s">
        <v>2933</v>
      </c>
    </row>
    <row r="243" ht="14.25" customHeight="1" spans="1:5">
      <c r="A243" s="5331">
        <f>B_Uspjeha!AG122</f>
        <v>291</v>
      </c>
      <c r="B243" s="5327" t="str">
        <f>IF(Baza!$C$22="engleski",E243,(IF(Baza!$C$22="bosanski",C243,D243)))</f>
        <v>Neto gubici od modifikacija finansijske imovine po amortizovanom trošku koje nisu rezultirale prestankom priznavanja</v>
      </c>
      <c r="C243" s="5328" t="s">
        <v>2934</v>
      </c>
      <c r="D243" s="5329" t="s">
        <v>2935</v>
      </c>
      <c r="E243" s="5338" t="s">
        <v>2936</v>
      </c>
    </row>
    <row r="244" ht="14.25" customHeight="1" spans="1:5">
      <c r="A244" s="5331">
        <f>B_Uspjeha!AG123</f>
        <v>292</v>
      </c>
      <c r="B244" s="5327" t="str">
        <f>IF(Baza!$C$22="engleski",E244,(IF(Baza!$C$22="bosanski",C244,D244)))</f>
        <v>Neto gubici od otuđenja finansijske imovine po amortizovanom trošku </v>
      </c>
      <c r="C244" s="5328" t="s">
        <v>2937</v>
      </c>
      <c r="D244" s="5329" t="s">
        <v>2938</v>
      </c>
      <c r="E244" s="5338" t="s">
        <v>2939</v>
      </c>
    </row>
    <row r="245" ht="14.25" customHeight="1" spans="1:5">
      <c r="A245" s="5331">
        <f>B_Uspjeha!AG124</f>
        <v>293</v>
      </c>
      <c r="B245" s="5327" t="str">
        <f>IF(Baza!$C$22="engleski",E245,(IF(Baza!$C$22="bosanski",C245,D245)))</f>
        <v>Neto smanjenja vrijednosti finansijske imovine po fer vrijednosti kroz bilans uspjeha</v>
      </c>
      <c r="C245" s="5328" t="s">
        <v>2940</v>
      </c>
      <c r="D245" s="5329" t="s">
        <v>2941</v>
      </c>
      <c r="E245" s="5338" t="s">
        <v>2942</v>
      </c>
    </row>
    <row r="246" ht="14.25" customHeight="1" spans="1:5">
      <c r="A246" s="5331">
        <f>B_Uspjeha!AG125</f>
        <v>294</v>
      </c>
      <c r="B246" s="5327" t="str">
        <f>IF(Baza!$C$22="engleski",E246,(IF(Baza!$C$22="bosanski",C246,D246)))</f>
        <v>Neto gubici od otuđenja finansijske imovine po fer vrijednosti kroz bilans uspjeha</v>
      </c>
      <c r="C246" s="5328" t="s">
        <v>2943</v>
      </c>
      <c r="D246" s="5329" t="s">
        <v>2944</v>
      </c>
      <c r="E246" s="5338" t="s">
        <v>2945</v>
      </c>
    </row>
    <row r="247" ht="14.25" customHeight="1" spans="1:5">
      <c r="A247" s="5331">
        <f>B_Uspjeha!AG126</f>
        <v>295</v>
      </c>
      <c r="B247" s="5327" t="str">
        <f>IF(Baza!$C$22="engleski",E247,(IF(Baza!$C$22="bosanski",C247,D247)))</f>
        <v>Neto gubici od otuđenja finansijske imovine po fer vrijednosti kroz ostali ukupni rezultat</v>
      </c>
      <c r="C247" s="5328" t="s">
        <v>2946</v>
      </c>
      <c r="D247" s="5329" t="s">
        <v>2947</v>
      </c>
      <c r="E247" s="5338" t="s">
        <v>2948</v>
      </c>
    </row>
    <row r="248" ht="14.25" customHeight="1" spans="1:5">
      <c r="A248" s="5331">
        <f>B_Uspjeha!AG127</f>
        <v>296</v>
      </c>
      <c r="B248" s="5327" t="str">
        <f>IF(Baza!$C$22="engleski",E248,(IF(Baza!$C$22="bosanski",C248,D248)))</f>
        <v>Neto gubici od reklasifikacija finansijske imovine između poslovnih modela</v>
      </c>
      <c r="C248" s="5328" t="s">
        <v>2949</v>
      </c>
      <c r="D248" s="5329" t="s">
        <v>2950</v>
      </c>
      <c r="E248" s="5338" t="s">
        <v>2951</v>
      </c>
    </row>
    <row r="249" ht="14.25" customHeight="1" spans="1:5">
      <c r="A249" s="5331">
        <f>B_Uspjeha!AG128</f>
        <v>297</v>
      </c>
      <c r="B249" s="5327" t="str">
        <f>IF(Baza!$C$22="engleski",E249,(IF(Baza!$C$22="bosanski",C249,D249)))</f>
        <v>Ostali neto gubici od finansijske imovine</v>
      </c>
      <c r="C249" s="5328" t="s">
        <v>2952</v>
      </c>
      <c r="D249" s="5329" t="s">
        <v>2953</v>
      </c>
      <c r="E249" s="5338" t="s">
        <v>2954</v>
      </c>
    </row>
    <row r="250" ht="14.25" customHeight="1" spans="1:5">
      <c r="A250" s="5331">
        <f>B_Uspjeha!AG129</f>
        <v>298</v>
      </c>
      <c r="B250" s="5327" t="str">
        <f>IF(Baza!$C$22="engleski",E250,(IF(Baza!$C$22="bosanski",C250,D250)))</f>
        <v>Troškovi rezervisanja, neto</v>
      </c>
      <c r="C250" s="5328" t="s">
        <v>2955</v>
      </c>
      <c r="D250" s="5329" t="s">
        <v>2836</v>
      </c>
      <c r="E250" s="5338" t="s">
        <v>2837</v>
      </c>
    </row>
    <row r="251" ht="14.25" customHeight="1" spans="1:5">
      <c r="A251" s="5331">
        <f>B_Uspjeha!AG130</f>
        <v>299</v>
      </c>
      <c r="B251" s="5327" t="str">
        <f>IF(Baza!$C$22="engleski",E251,(IF(Baza!$C$22="bosanski",C251,D251)))</f>
        <v>Neto gubici od trgovanja derivatima</v>
      </c>
      <c r="C251" s="5328" t="s">
        <v>2956</v>
      </c>
      <c r="D251" s="5329" t="s">
        <v>2956</v>
      </c>
      <c r="E251" s="5338" t="s">
        <v>2957</v>
      </c>
    </row>
    <row r="252" ht="14.25" customHeight="1" spans="1:5">
      <c r="A252" s="5331">
        <f>B_Uspjeha!AG131</f>
        <v>300</v>
      </c>
      <c r="B252" s="5327" t="str">
        <f>IF(Baza!$C$22="engleski",E252,(IF(Baza!$C$22="bosanski",C252,D252)))</f>
        <v>Rashodi od prodaje materijala, neto</v>
      </c>
      <c r="C252" s="5328" t="s">
        <v>2958</v>
      </c>
      <c r="D252" s="5329" t="s">
        <v>2958</v>
      </c>
      <c r="E252" s="5338" t="s">
        <v>2959</v>
      </c>
    </row>
    <row r="253" ht="14.25" customHeight="1" spans="1:5">
      <c r="A253" s="5331">
        <f>B_Uspjeha!AG132</f>
        <v>301</v>
      </c>
      <c r="B253" s="5327" t="str">
        <f>IF(Baza!$C$22="engleski",E253,(IF(Baza!$C$22="bosanski",C253,D253)))</f>
        <v>Manjkovi i ostala negativna usklađenja zaliha</v>
      </c>
      <c r="C253" s="5328" t="s">
        <v>2960</v>
      </c>
      <c r="D253" s="5329" t="s">
        <v>2960</v>
      </c>
      <c r="E253" s="5338" t="s">
        <v>2961</v>
      </c>
    </row>
    <row r="254" ht="14.25" customHeight="1" spans="1:5">
      <c r="A254" s="5331">
        <f>B_Uspjeha!AG133</f>
        <v>302</v>
      </c>
      <c r="B254" s="5327" t="str">
        <f>IF(Baza!$C$22="engleski",E254,(IF(Baza!$C$22="bosanski",C254,D254)))</f>
        <v>Udio u gubitku pridruženog društva i zajedničkog poduhvata primjenom metode udjela</v>
      </c>
      <c r="C254" s="5328" t="s">
        <v>2962</v>
      </c>
      <c r="D254" s="5329" t="s">
        <v>2962</v>
      </c>
      <c r="E254" s="5338" t="s">
        <v>2963</v>
      </c>
    </row>
    <row r="255" ht="14.25" customHeight="1" spans="1:5">
      <c r="A255" s="5331">
        <f>B_Uspjeha!AG134</f>
        <v>303</v>
      </c>
      <c r="B255" s="5327" t="str">
        <f>IF(Baza!$C$22="engleski",E255,(IF(Baza!$C$22="bosanski",C255,D255)))</f>
        <v>Umanjenje vrijednosti goodwilla</v>
      </c>
      <c r="C255" s="5328" t="s">
        <v>2964</v>
      </c>
      <c r="D255" s="5329" t="s">
        <v>2964</v>
      </c>
      <c r="E255" s="5338" t="s">
        <v>2965</v>
      </c>
    </row>
    <row r="256" ht="14.25" customHeight="1" spans="1:5">
      <c r="A256" s="5331">
        <f>B_Uspjeha!AG135</f>
        <v>304</v>
      </c>
      <c r="B256" s="5327" t="str">
        <f>IF(Baza!$C$22="engleski",E256,(IF(Baza!$C$22="bosanski",C256,D256)))</f>
        <v>Finansijski rashodi (305 do 307)</v>
      </c>
      <c r="C256" s="5328" t="s">
        <v>2966</v>
      </c>
      <c r="D256" s="5329" t="s">
        <v>2967</v>
      </c>
      <c r="E256" s="5338" t="s">
        <v>2968</v>
      </c>
    </row>
    <row r="257" ht="14.25" customHeight="1" spans="1:5">
      <c r="A257" s="5331">
        <f>B_Uspjeha!AG136</f>
        <v>305</v>
      </c>
      <c r="B257" s="5327" t="str">
        <f>IF(Baza!$C$22="engleski",E257,(IF(Baza!$C$22="bosanski",C257,D257)))</f>
        <v>Rashodi od kamata </v>
      </c>
      <c r="C257" s="5328" t="s">
        <v>2969</v>
      </c>
      <c r="D257" s="5329" t="s">
        <v>2970</v>
      </c>
      <c r="E257" s="5338" t="s">
        <v>2971</v>
      </c>
    </row>
    <row r="258" ht="14.25" customHeight="1" spans="1:5">
      <c r="A258" s="5331">
        <f>B_Uspjeha!AG137</f>
        <v>306</v>
      </c>
      <c r="B258" s="5327" t="str">
        <f>IF(Baza!$C$22="engleski",E258,(IF(Baza!$C$22="bosanski",C258,D258)))</f>
        <v>Neto negativne kursne razlike</v>
      </c>
      <c r="C258" s="5328" t="s">
        <v>2972</v>
      </c>
      <c r="D258" s="5329" t="s">
        <v>2973</v>
      </c>
      <c r="E258" s="5338" t="s">
        <v>2974</v>
      </c>
    </row>
    <row r="259" ht="14.25" customHeight="1" spans="1:5">
      <c r="A259" s="5331">
        <f>B_Uspjeha!AG138</f>
        <v>307</v>
      </c>
      <c r="B259" s="5327" t="str">
        <f>IF(Baza!$C$22="engleski",E259,(IF(Baza!$C$22="bosanski",C259,D259)))</f>
        <v>Ostali finansijski rashodi</v>
      </c>
      <c r="C259" s="5328" t="s">
        <v>2975</v>
      </c>
      <c r="D259" s="5329" t="s">
        <v>2976</v>
      </c>
      <c r="E259" s="5338" t="s">
        <v>2977</v>
      </c>
    </row>
    <row r="260" ht="14.25" customHeight="1" spans="1:5">
      <c r="A260" s="5331">
        <f>B_Uspjeha!AG139</f>
        <v>308</v>
      </c>
      <c r="B260" s="5327" t="str">
        <f>IF(Baza!$C$22="engleski",E260,(IF(Baza!$C$22="bosanski",C260,D260)))</f>
        <v>Ostali rashodi i gubici</v>
      </c>
      <c r="C260" s="5328" t="s">
        <v>2602</v>
      </c>
      <c r="D260" s="5329" t="s">
        <v>2602</v>
      </c>
      <c r="E260" s="5338" t="s">
        <v>2603</v>
      </c>
    </row>
    <row r="261" ht="14.25" customHeight="1" spans="1:5">
      <c r="A261" s="5331">
        <f>B_Uspjeha!AG140</f>
        <v>309</v>
      </c>
      <c r="B261" s="5327" t="str">
        <f>IF(Baza!$C$22="engleski",E261,(IF(Baza!$C$22="bosanski",C261,D261)))</f>
        <v>Ukupno rashodi (253+271)</v>
      </c>
      <c r="C261" s="5328" t="s">
        <v>2978</v>
      </c>
      <c r="D261" s="5329" t="s">
        <v>2978</v>
      </c>
      <c r="E261" s="5338" t="s">
        <v>2979</v>
      </c>
    </row>
    <row r="262" ht="14.25" customHeight="1" spans="1:5">
      <c r="A262" s="5331">
        <f>B_Uspjeha!AG141</f>
        <v>310</v>
      </c>
      <c r="B262" s="5327" t="str">
        <f>IF(Baza!$C$22="engleski",E262,(IF(Baza!$C$22="bosanski",C262,D262)))</f>
        <v>Dobit iz redovnog poslovanja prije oporezivanja (252-309)</v>
      </c>
      <c r="C262" s="5328" t="s">
        <v>2980</v>
      </c>
      <c r="D262" s="5329" t="s">
        <v>2980</v>
      </c>
      <c r="E262" s="5338" t="s">
        <v>2981</v>
      </c>
    </row>
    <row r="263" ht="14.25" customHeight="1" spans="1:5">
      <c r="A263" s="5331">
        <f>B_Uspjeha!AG142</f>
        <v>311</v>
      </c>
      <c r="B263" s="5327" t="str">
        <f>IF(Baza!$C$22="engleski",E263,(IF(Baza!$C$22="bosanski",C263,D263)))</f>
        <v>Gubitak iz redovnog poslovanja prije oporezivanja (309-252)</v>
      </c>
      <c r="C263" s="5328" t="s">
        <v>2982</v>
      </c>
      <c r="D263" s="5329" t="s">
        <v>2982</v>
      </c>
      <c r="E263" s="5338" t="s">
        <v>2983</v>
      </c>
    </row>
    <row r="264" ht="14.25" customHeight="1" spans="1:5">
      <c r="A264" s="5331">
        <f>B_Uspjeha!AG143</f>
        <v>312</v>
      </c>
      <c r="B264" s="5327" t="str">
        <f>IF(Baza!$C$22="engleski",E264,(IF(Baza!$C$22="bosanski",C264,D264)))</f>
        <v>Porez na dobit (313+314)</v>
      </c>
      <c r="C264" s="5328" t="s">
        <v>2984</v>
      </c>
      <c r="D264" s="5329" t="s">
        <v>2984</v>
      </c>
      <c r="E264" s="5338" t="s">
        <v>2985</v>
      </c>
    </row>
    <row r="265" ht="14.25" customHeight="1" spans="1:5">
      <c r="A265" s="5331">
        <f>B_Uspjeha!AG144</f>
        <v>313</v>
      </c>
      <c r="B265" s="5327" t="str">
        <f>IF(Baza!$C$22="engleski",E265,(IF(Baza!$C$22="bosanski",C265,D265)))</f>
        <v>Tekući porez na dobit</v>
      </c>
      <c r="C265" s="5328" t="s">
        <v>2613</v>
      </c>
      <c r="D265" s="5329" t="s">
        <v>2613</v>
      </c>
      <c r="E265" s="5338" t="s">
        <v>2614</v>
      </c>
    </row>
    <row r="266" ht="14.25" customHeight="1" spans="1:5">
      <c r="A266" s="5331">
        <f>B_Uspjeha!AG145</f>
        <v>314</v>
      </c>
      <c r="B266" s="5327" t="str">
        <f>IF(Baza!$C$22="engleski",E266,(IF(Baza!$C$22="bosanski",C266,D266)))</f>
        <v>Odgođeni porez na dobit (315-316+317-318)</v>
      </c>
      <c r="C266" s="5328" t="s">
        <v>2986</v>
      </c>
      <c r="D266" s="5329" t="s">
        <v>2986</v>
      </c>
      <c r="E266" s="5340" t="s">
        <v>2987</v>
      </c>
    </row>
    <row r="267" ht="14.25" customHeight="1" spans="1:5">
      <c r="A267" s="5331">
        <f>B_Uspjeha!AG146</f>
        <v>315</v>
      </c>
      <c r="B267" s="5327" t="str">
        <f>IF(Baza!$C$22="engleski",E267,(IF(Baza!$C$22="bosanski",C267,D267)))</f>
        <v>Efekat smanjenja odgođene porezne imovine</v>
      </c>
      <c r="C267" s="5328" t="s">
        <v>2988</v>
      </c>
      <c r="D267" s="5329" t="s">
        <v>2989</v>
      </c>
      <c r="E267" s="5338" t="s">
        <v>2990</v>
      </c>
    </row>
    <row r="268" ht="14.25" customHeight="1" spans="1:5">
      <c r="A268" s="5331">
        <f>B_Uspjeha!AG147</f>
        <v>316</v>
      </c>
      <c r="B268" s="5327" t="str">
        <f>IF(Baza!$C$22="engleski",E268,(IF(Baza!$C$22="bosanski",C268,D268)))</f>
        <v>Efekat povećanja odgođene porezne imovine</v>
      </c>
      <c r="C268" s="5328" t="s">
        <v>2991</v>
      </c>
      <c r="D268" s="5329" t="s">
        <v>2992</v>
      </c>
      <c r="E268" s="5338" t="s">
        <v>2993</v>
      </c>
    </row>
    <row r="269" ht="14.25" customHeight="1" spans="1:5">
      <c r="A269" s="5331">
        <f>B_Uspjeha!AG148</f>
        <v>317</v>
      </c>
      <c r="B269" s="5327" t="str">
        <f>IF(Baza!$C$22="engleski",E269,(IF(Baza!$C$22="bosanski",C269,D269)))</f>
        <v>Efekat povećanja odgođenih poreznih obaveza</v>
      </c>
      <c r="C269" s="5328" t="s">
        <v>2994</v>
      </c>
      <c r="D269" s="5329" t="s">
        <v>2995</v>
      </c>
      <c r="E269" s="5338" t="s">
        <v>2996</v>
      </c>
    </row>
    <row r="270" ht="14.25" customHeight="1" spans="1:5">
      <c r="A270" s="5331">
        <f>B_Uspjeha!AG149</f>
        <v>318</v>
      </c>
      <c r="B270" s="5327" t="str">
        <f>IF(Baza!$C$22="engleski",E270,(IF(Baza!$C$22="bosanski",C270,D270)))</f>
        <v>Efekat smanjenja odgođenih poreznih obaveza</v>
      </c>
      <c r="C270" s="5328" t="s">
        <v>2997</v>
      </c>
      <c r="D270" s="5329" t="s">
        <v>2998</v>
      </c>
      <c r="E270" s="5338" t="s">
        <v>2999</v>
      </c>
    </row>
    <row r="271" ht="14.25" customHeight="1" spans="1:5">
      <c r="A271" s="5331">
        <f>B_Uspjeha!AG150</f>
        <v>319</v>
      </c>
      <c r="B271" s="5327" t="str">
        <f>IF(Baza!$C$22="engleski",E271,(IF(Baza!$C$22="bosanski",C271,D271)))</f>
        <v>Dobit iz redovnog poslovanja (310+312)</v>
      </c>
      <c r="C271" s="5328" t="s">
        <v>3000</v>
      </c>
      <c r="D271" s="5329" t="s">
        <v>3000</v>
      </c>
      <c r="E271" s="5338" t="s">
        <v>3001</v>
      </c>
    </row>
    <row r="272" ht="14.25" customHeight="1" spans="1:5">
      <c r="A272" s="5331">
        <f>B_Uspjeha!AG151</f>
        <v>320</v>
      </c>
      <c r="B272" s="5327" t="str">
        <f>IF(Baza!$C$22="engleski",E272,(IF(Baza!$C$22="bosanski",C272,D272)))</f>
        <v>Gubitak iz redovnog poslovanja (311+312)</v>
      </c>
      <c r="C272" s="5328" t="s">
        <v>3002</v>
      </c>
      <c r="D272" s="5329" t="s">
        <v>3002</v>
      </c>
      <c r="E272" s="5338" t="s">
        <v>3003</v>
      </c>
    </row>
    <row r="273" ht="14.25" customHeight="1" spans="1:5">
      <c r="A273" s="5331">
        <f>B_Uspjeha!AG152</f>
        <v>321</v>
      </c>
      <c r="B273" s="5327" t="str">
        <f>IF(Baza!$C$22="engleski",E273,(IF(Baza!$C$22="bosanski",C273,D273)))</f>
        <v>Dobit ili gubitak od obustavljenog poslovanja</v>
      </c>
      <c r="C273" s="5328" t="s">
        <v>3004</v>
      </c>
      <c r="D273" s="5329" t="s">
        <v>3004</v>
      </c>
      <c r="E273" s="5338" t="s">
        <v>3005</v>
      </c>
    </row>
    <row r="274" ht="14.25" customHeight="1" spans="1:5">
      <c r="A274" s="5331">
        <f>B_Uspjeha!AG153</f>
        <v>322</v>
      </c>
      <c r="B274" s="5327" t="str">
        <f>IF(Baza!$C$22="engleski",E274,(IF(Baza!$C$22="bosanski",C274,D274)))</f>
        <v>Dobit (319+321)</v>
      </c>
      <c r="C274" s="5328" t="s">
        <v>3006</v>
      </c>
      <c r="D274" s="5329" t="s">
        <v>3006</v>
      </c>
      <c r="E274" s="5338" t="s">
        <v>3007</v>
      </c>
    </row>
    <row r="275" ht="14.25" customHeight="1" spans="1:5">
      <c r="A275" s="5331">
        <f>B_Uspjeha!AG154</f>
        <v>323</v>
      </c>
      <c r="B275" s="5327" t="str">
        <f>IF(Baza!$C$22="engleski",E275,(IF(Baza!$C$22="bosanski",C275,D275)))</f>
        <v>Gubitak (320+321)</v>
      </c>
      <c r="C275" s="5328" t="s">
        <v>3008</v>
      </c>
      <c r="D275" s="5329" t="s">
        <v>3008</v>
      </c>
      <c r="E275" s="5338" t="s">
        <v>3009</v>
      </c>
    </row>
    <row r="276" ht="14.25" customHeight="1" spans="1:5">
      <c r="A276" s="5331"/>
      <c r="B276" s="5327" t="str">
        <f>IF(Baza!$C$22="engleski",E276,(IF(Baza!$C$22="bosanski",C276,D276)))</f>
        <v>IZVJEŠTAJ O OSTALOM UKUPNOM REZULTATU</v>
      </c>
      <c r="C276" s="5328" t="s">
        <v>2623</v>
      </c>
      <c r="D276" s="5329" t="s">
        <v>2623</v>
      </c>
      <c r="E276" s="5338" t="s">
        <v>2624</v>
      </c>
    </row>
    <row r="277" ht="14.25" customHeight="1" spans="1:5">
      <c r="A277" s="5331">
        <f>B_Uspjeha!AG159</f>
        <v>324</v>
      </c>
      <c r="B277" s="5327" t="str">
        <f>IF(Baza!$C$22="engleski",E277,(IF(Baza!$C$22="bosanski",C277,D277)))</f>
        <v>Ostali ukupni rezultat (+325+331)</v>
      </c>
      <c r="C277" s="5328" t="s">
        <v>3010</v>
      </c>
      <c r="D277" s="5329" t="s">
        <v>3010</v>
      </c>
      <c r="E277" s="5338" t="s">
        <v>3011</v>
      </c>
    </row>
    <row r="278" ht="14.25" customHeight="1" spans="1:5">
      <c r="A278" s="5331">
        <f>B_Uspjeha!AG160</f>
        <v>325</v>
      </c>
      <c r="B278" s="5327" t="str">
        <f>IF(Baza!$C$22="engleski",E278,(IF(Baza!$C$22="bosanski",C278,D278)))</f>
        <v>Stavke koje mogu biti reklasifikovane u bilans uspjeha (+326 +327 +328 +329 -330)</v>
      </c>
      <c r="C278" s="5328" t="s">
        <v>3012</v>
      </c>
      <c r="D278" s="5329" t="s">
        <v>3012</v>
      </c>
      <c r="E278" s="5338" t="s">
        <v>3013</v>
      </c>
    </row>
    <row r="279" ht="14.25" customHeight="1" spans="1:5">
      <c r="A279" s="5331">
        <f>B_Uspjeha!AG161</f>
        <v>326</v>
      </c>
      <c r="B279" s="5327" t="str">
        <f>IF(Baza!$C$22="engleski",E279,(IF(Baza!$C$22="bosanski",C279,D279)))</f>
        <v>Povećanje/(smanjenje) fer vrijednosti dužničkih instrumenata po fer vrijednosti kroz ostali ukupni rezultat</v>
      </c>
      <c r="C279" s="5328" t="s">
        <v>3014</v>
      </c>
      <c r="D279" s="5329" t="s">
        <v>3014</v>
      </c>
      <c r="E279" s="5338" t="s">
        <v>3015</v>
      </c>
    </row>
    <row r="280" ht="14.25" customHeight="1" spans="1:5">
      <c r="A280" s="5331">
        <f>B_Uspjeha!AG162</f>
        <v>327</v>
      </c>
      <c r="B280" s="5327" t="str">
        <f>IF(Baza!$C$22="engleski",E280,(IF(Baza!$C$22="bosanski",C280,D280)))</f>
        <v>Efekti proistekli iz transakcija zaštite ("hedging")</v>
      </c>
      <c r="C280" s="5328" t="s">
        <v>3016</v>
      </c>
      <c r="D280" s="5329" t="s">
        <v>3016</v>
      </c>
      <c r="E280" s="5338" t="s">
        <v>3017</v>
      </c>
    </row>
    <row r="281" ht="14.25" customHeight="1" spans="1:5">
      <c r="A281" s="5331">
        <f>B_Uspjeha!AG163</f>
        <v>328</v>
      </c>
      <c r="B281" s="5327" t="str">
        <f>IF(Baza!$C$22="engleski",E281,(IF(Baza!$C$22="bosanski",C281,D281)))</f>
        <v>Udio u ostalom ukupnom rezultatu pridruženog društva i zajedničkog poduhvata primjenom metode udjela</v>
      </c>
      <c r="C281" s="5328" t="s">
        <v>3018</v>
      </c>
      <c r="D281" s="5329" t="s">
        <v>3018</v>
      </c>
      <c r="E281" s="5338" t="s">
        <v>3019</v>
      </c>
    </row>
    <row r="282" ht="14.25" customHeight="1" spans="1:5">
      <c r="A282" s="5331">
        <f>B_Uspjeha!AG164</f>
        <v>329</v>
      </c>
      <c r="B282" s="5327" t="str">
        <f>IF(Baza!$C$22="engleski",E282,(IF(Baza!$C$22="bosanski",C282,D282)))</f>
        <v>Ostale stavke koje mogu biti reklasifikovane u bilans uspjeha</v>
      </c>
      <c r="C282" s="5328" t="s">
        <v>3020</v>
      </c>
      <c r="D282" s="5329" t="s">
        <v>3021</v>
      </c>
      <c r="E282" s="5338" t="s">
        <v>3022</v>
      </c>
    </row>
    <row r="283" ht="14.25" customHeight="1" spans="1:5">
      <c r="A283" s="5331">
        <f>B_Uspjeha!AG165</f>
        <v>330</v>
      </c>
      <c r="B283" s="5327" t="str">
        <f>IF(Baza!$C$22="engleski",E283,(IF(Baza!$C$22="bosanski",C283,D283)))</f>
        <v>Porez na dobit koji se odnosi na ove stavke</v>
      </c>
      <c r="C283" s="5328" t="s">
        <v>2635</v>
      </c>
      <c r="D283" s="5329" t="s">
        <v>2635</v>
      </c>
      <c r="E283" s="5338" t="s">
        <v>2636</v>
      </c>
    </row>
    <row r="284" ht="14.25" customHeight="1" spans="1:5">
      <c r="A284" s="5331">
        <f>B_Uspjeha!AG166</f>
        <v>331</v>
      </c>
      <c r="B284" s="5327" t="str">
        <f>IF(Baza!$C$22="engleski",E284,(IF(Baza!$C$22="bosanski",C284,D284)))</f>
        <v>Stavke koje neće biti reklasifikovane u bilans uspjeha (+332 +333 +334 +335 +336 +337 -338)</v>
      </c>
      <c r="C284" s="5328" t="s">
        <v>3023</v>
      </c>
      <c r="D284" s="5329" t="s">
        <v>3024</v>
      </c>
      <c r="E284" s="5338" t="s">
        <v>3025</v>
      </c>
    </row>
    <row r="285" ht="14.25" customHeight="1" spans="1:5">
      <c r="A285" s="5331">
        <f>B_Uspjeha!AG167</f>
        <v>332</v>
      </c>
      <c r="B285" s="5327" t="str">
        <f>IF(Baza!$C$22="engleski",E285,(IF(Baza!$C$22="bosanski",C285,D285)))</f>
        <v>Revalorizacija zemljišta i građevina</v>
      </c>
      <c r="C285" s="5328" t="s">
        <v>2628</v>
      </c>
      <c r="D285" s="5329" t="s">
        <v>2628</v>
      </c>
      <c r="E285" s="5338" t="s">
        <v>2629</v>
      </c>
    </row>
    <row r="286" ht="14.25" customHeight="1" spans="1:5">
      <c r="A286" s="5331">
        <f>B_Uspjeha!AG168</f>
        <v>333</v>
      </c>
      <c r="B286" s="5327" t="str">
        <f>IF(Baza!$C$22="engleski",E286,(IF(Baza!$C$22="bosanski",C286,D286)))</f>
        <v>Povećanje/(smanjenje) fer vrijednosti instrumenata kapitala po fer vrijednosti kroz ostali ukupni rezultat</v>
      </c>
      <c r="C286" s="5328" t="s">
        <v>3026</v>
      </c>
      <c r="D286" s="5329" t="s">
        <v>3026</v>
      </c>
      <c r="E286" s="5338" t="s">
        <v>3027</v>
      </c>
    </row>
    <row r="287" ht="14.25" customHeight="1" spans="1:5">
      <c r="A287" s="5331">
        <f>B_Uspjeha!AG169</f>
        <v>334</v>
      </c>
      <c r="B287" s="5327" t="str">
        <f>IF(Baza!$C$22="engleski",E287,(IF(Baza!$C$22="bosanski",C287,D287)))</f>
        <v>Aktuarski dobici/(gubici) od planova definiranih primanja</v>
      </c>
      <c r="C287" s="5328" t="s">
        <v>3028</v>
      </c>
      <c r="D287" s="5329" t="s">
        <v>3028</v>
      </c>
      <c r="E287" s="5338" t="s">
        <v>3029</v>
      </c>
    </row>
    <row r="288" ht="14.25" customHeight="1" spans="1:5">
      <c r="A288" s="5331">
        <f>B_Uspjeha!AG170</f>
        <v>335</v>
      </c>
      <c r="B288" s="5327" t="str">
        <f>IF(Baza!$C$22="engleski",E288,(IF(Baza!$C$22="bosanski",C288,D288)))</f>
        <v>Dobici ili gubici po osnovu preračunavanja finansijskih izvještaja inostranog poslovanja </v>
      </c>
      <c r="C288" s="5328" t="s">
        <v>3030</v>
      </c>
      <c r="D288" s="5329" t="s">
        <v>3031</v>
      </c>
      <c r="E288" s="5338" t="s">
        <v>3032</v>
      </c>
    </row>
    <row r="289" ht="14.25" customHeight="1" spans="1:5">
      <c r="A289" s="5331">
        <f>B_Uspjeha!AG171</f>
        <v>336</v>
      </c>
      <c r="B289" s="5327" t="str">
        <f>IF(Baza!$C$22="engleski",E289,(IF(Baza!$C$22="bosanski",C289,D289)))</f>
        <v>Udio u ostalom ukupnom rezultatu pridruženog društva i zajedničkog poduhvata primjenom metode udjela</v>
      </c>
      <c r="C289" s="5328" t="s">
        <v>3018</v>
      </c>
      <c r="D289" s="5329" t="s">
        <v>3018</v>
      </c>
      <c r="E289" s="5338" t="s">
        <v>3019</v>
      </c>
    </row>
    <row r="290" ht="14.25" customHeight="1" spans="1:5">
      <c r="A290" s="5331">
        <f>B_Uspjeha!AG172</f>
        <v>337</v>
      </c>
      <c r="B290" s="5327" t="str">
        <f>IF(Baza!$C$22="engleski",E290,(IF(Baza!$C$22="bosanski",C290,D290)))</f>
        <v>Ostale stavke koje neće biti reklasifikovane u bilans uspjeha</v>
      </c>
      <c r="C290" s="5328" t="s">
        <v>3033</v>
      </c>
      <c r="D290" s="5329" t="s">
        <v>3034</v>
      </c>
      <c r="E290" s="5338" t="s">
        <v>3035</v>
      </c>
    </row>
    <row r="291" ht="14.25" customHeight="1" spans="1:5">
      <c r="A291" s="5331">
        <f>B_Uspjeha!AG173</f>
        <v>338</v>
      </c>
      <c r="B291" s="5327" t="str">
        <f>IF(Baza!$C$22="engleski",E291,(IF(Baza!$C$22="bosanski",C291,D291)))</f>
        <v>Porez na dobit koji se odnosi na ove stavke</v>
      </c>
      <c r="C291" s="5328" t="s">
        <v>2635</v>
      </c>
      <c r="D291" s="5329" t="s">
        <v>2635</v>
      </c>
      <c r="E291" s="5338" t="s">
        <v>2636</v>
      </c>
    </row>
    <row r="292" ht="14.25" customHeight="1" spans="1:5">
      <c r="A292" s="5331">
        <f>B_Uspjeha!AG174</f>
        <v>339</v>
      </c>
      <c r="B292" s="5327" t="str">
        <f>IF(Baza!$C$22="engleski",E292,(IF(Baza!$C$22="bosanski",C292,D292)))</f>
        <v>UKUPNI REZULTAT (322 ili 323 + 324)</v>
      </c>
      <c r="C292" s="5328" t="s">
        <v>3036</v>
      </c>
      <c r="D292" s="5329" t="s">
        <v>3036</v>
      </c>
      <c r="E292" s="5340" t="s">
        <v>3037</v>
      </c>
    </row>
    <row r="293" ht="14.25" customHeight="1" spans="1:5">
      <c r="A293" s="5331"/>
      <c r="B293" s="5327" t="str">
        <f>IF(Baza!$C$22="engleski",E293,(IF(Baza!$C$22="bosanski",C293,D293)))</f>
        <v>Zarada po dionici</v>
      </c>
      <c r="C293" s="5328" t="s">
        <v>3038</v>
      </c>
      <c r="D293" s="5329" t="s">
        <v>3038</v>
      </c>
      <c r="E293" s="5338" t="s">
        <v>3039</v>
      </c>
    </row>
    <row r="294" ht="14.25" customHeight="1" spans="1:5">
      <c r="A294" s="5331">
        <f>B_Uspjeha!AG176</f>
        <v>340</v>
      </c>
      <c r="B294" s="5327" t="str">
        <f>IF(Baza!$C$22="engleski",E294,(IF(Baza!$C$22="bosanski",C294,D294)))</f>
        <v>a) Osnovna zarada po dionici</v>
      </c>
      <c r="C294" s="5328" t="s">
        <v>3040</v>
      </c>
      <c r="D294" s="5329" t="s">
        <v>3040</v>
      </c>
      <c r="E294" s="5338" t="s">
        <v>3041</v>
      </c>
    </row>
    <row r="295" ht="14.25" customHeight="1" spans="1:5">
      <c r="A295" s="5331">
        <f>B_Uspjeha!AG177</f>
        <v>341</v>
      </c>
      <c r="B295" s="5327" t="str">
        <f>IF(Baza!$C$22="engleski",E295,(IF(Baza!$C$22="bosanski",C295,D295)))</f>
        <v>b) Razrijeđena zarada po dionici</v>
      </c>
      <c r="C295" s="5328" t="s">
        <v>3042</v>
      </c>
      <c r="D295" s="5329" t="s">
        <v>3042</v>
      </c>
      <c r="E295" s="5338" t="s">
        <v>3043</v>
      </c>
    </row>
    <row r="296" ht="14.25" customHeight="1" spans="1:5">
      <c r="A296" s="5331"/>
      <c r="B296" s="5327" t="str">
        <f>IF(Baza!$C$22="engleski",E296,(IF(Baza!$C$22="bosanski",C296,D296)))</f>
        <v>Dobit/(gubitak) koji pripada:</v>
      </c>
      <c r="C296" s="5328" t="s">
        <v>3044</v>
      </c>
      <c r="D296" s="5329" t="s">
        <v>3044</v>
      </c>
      <c r="E296" s="5338" t="s">
        <v>3045</v>
      </c>
    </row>
    <row r="297" ht="14.25" customHeight="1" spans="1:5">
      <c r="A297" s="5331">
        <f>B_Uspjeha!AG179</f>
        <v>342</v>
      </c>
      <c r="B297" s="5327" t="str">
        <f>IF(Baza!$C$22="engleski",E297,(IF(Baza!$C$22="bosanski",C297,D297)))</f>
        <v>a) Vlasnicima matičnog društva</v>
      </c>
      <c r="C297" s="5328" t="s">
        <v>3046</v>
      </c>
      <c r="D297" s="5329" t="s">
        <v>3046</v>
      </c>
      <c r="E297" s="5338" t="s">
        <v>3047</v>
      </c>
    </row>
    <row r="298" ht="14.25" customHeight="1" spans="1:5">
      <c r="A298" s="5331">
        <f>B_Uspjeha!AG180</f>
        <v>343</v>
      </c>
      <c r="B298" s="5327" t="str">
        <f>IF(Baza!$C$22="engleski",E298,(IF(Baza!$C$22="bosanski",C298,D298)))</f>
        <v>b) Vlasnicima manjinskih interesa</v>
      </c>
      <c r="C298" s="5328" t="s">
        <v>3048</v>
      </c>
      <c r="D298" s="5329" t="s">
        <v>3048</v>
      </c>
      <c r="E298" s="5338" t="s">
        <v>3049</v>
      </c>
    </row>
    <row r="299" ht="14.25" customHeight="1" spans="1:5">
      <c r="A299" s="5331"/>
      <c r="B299" s="5327" t="str">
        <f>IF(Baza!$C$22="engleski",E299,(IF(Baza!$C$22="bosanski",C299,D299)))</f>
        <v>Ukupni rezultat koji pripada:</v>
      </c>
      <c r="C299" s="5328" t="s">
        <v>3050</v>
      </c>
      <c r="D299" s="5329" t="s">
        <v>3050</v>
      </c>
      <c r="E299" s="5338" t="s">
        <v>3051</v>
      </c>
    </row>
    <row r="300" ht="14.25" customHeight="1" spans="1:5">
      <c r="A300" s="5331">
        <f>B_Uspjeha!AG182</f>
        <v>344</v>
      </c>
      <c r="B300" s="5327" t="str">
        <f>IF(Baza!$C$22="engleski",E300,(IF(Baza!$C$22="bosanski",C300,D300)))</f>
        <v>a) Vlasnicima matičnog društva</v>
      </c>
      <c r="C300" s="5328" t="s">
        <v>3046</v>
      </c>
      <c r="D300" s="5329" t="s">
        <v>3046</v>
      </c>
      <c r="E300" s="5338" t="s">
        <v>3047</v>
      </c>
    </row>
    <row r="301" ht="14.25" customHeight="1" spans="1:5">
      <c r="A301" s="5331">
        <f>B_Uspjeha!AG183</f>
        <v>345</v>
      </c>
      <c r="B301" s="5327" t="str">
        <f>IF(Baza!$C$22="engleski",E301,(IF(Baza!$C$22="bosanski",C301,D301)))</f>
        <v>b) Vlasnicima manjinskih interesa</v>
      </c>
      <c r="C301" s="5328" t="s">
        <v>3048</v>
      </c>
      <c r="D301" s="5329" t="s">
        <v>3048</v>
      </c>
      <c r="E301" s="5340" t="s">
        <v>3049</v>
      </c>
    </row>
    <row r="302" ht="14.25" customHeight="1" spans="1:5">
      <c r="A302" s="5331"/>
      <c r="B302" s="5336"/>
      <c r="C302" s="5336"/>
      <c r="D302" s="5336"/>
    </row>
    <row r="303" ht="14.25" customHeight="1" spans="1:5">
      <c r="A303" s="5331"/>
      <c r="B303" s="5336"/>
      <c r="C303" s="5336"/>
      <c r="D303" s="5336"/>
    </row>
    <row r="304" ht="14.25" customHeight="1" spans="1:5">
      <c r="A304" s="5320"/>
      <c r="B304" s="5321" t="str">
        <f>IF(Baza!$C$22="engleski",E304,(IF(Baza!$C$22="bosanski",C304,D304)))</f>
        <v>IZVJEŠTAJ O FINANSIJSKOM POLOŽAJU NA KRAJU PERIODA</v>
      </c>
      <c r="C304" s="5322" t="s">
        <v>2639</v>
      </c>
      <c r="D304" s="5323" t="s">
        <v>2640</v>
      </c>
      <c r="E304" s="5337" t="s">
        <v>2641</v>
      </c>
    </row>
    <row r="305" ht="14.25" customHeight="1" spans="1:5">
      <c r="A305" s="5341" t="s">
        <v>2755</v>
      </c>
      <c r="B305" s="5321" t="str">
        <f>IF(Baza!$C$22="engleski",E305,(IF(Baza!$C$22="bosanski",C305,D305)))</f>
        <v>(BILANS STANJA)</v>
      </c>
      <c r="C305" s="5322" t="s">
        <v>2642</v>
      </c>
      <c r="D305" s="5323" t="s">
        <v>2643</v>
      </c>
      <c r="E305" s="5337" t="s">
        <v>2644</v>
      </c>
    </row>
    <row r="306" ht="14.25" customHeight="1" spans="1:5">
      <c r="A306" s="5320"/>
      <c r="B306" s="5321" t="str">
        <f ca="1">IF(Baza!$C$22="engleski",E306,(IF(Baza!$C$22="bosanski",C306,D306)))</f>
        <v>na dan 31.12.2025.godine</v>
      </c>
      <c r="C306" s="5326" t="str">
        <f ca="1">"na dan "&amp;PeriodDo&amp;".godine"</f>
        <v>na dan 31.12.2025.godine</v>
      </c>
      <c r="D306" s="5323" t="str">
        <f ca="1">"na dan "&amp;PeriodDo&amp;".godine"</f>
        <v>na dan 31.12.2025.godine</v>
      </c>
      <c r="E306" s="5337" t="str">
        <f ca="1">"on "&amp;PeriodDo&amp;". years"</f>
        <v>on 31.12.2025. years</v>
      </c>
    </row>
    <row r="307" spans="1:5">
      <c r="B307" s="5327" t="str">
        <f>IF(Baza!$C$22="engleski",E307,(IF(Baza!$C$22="bosanski",C307,D307)))</f>
        <v>IMOVINA</v>
      </c>
      <c r="C307" s="5328" t="s">
        <v>2645</v>
      </c>
      <c r="D307" s="5329" t="s">
        <v>2645</v>
      </c>
      <c r="E307" s="5338" t="s">
        <v>2646</v>
      </c>
    </row>
    <row r="308" ht="14.25" customHeight="1" spans="1:5">
      <c r="A308" s="5339" t="str">
        <f>B_Stanja!AG21</f>
        <v>001</v>
      </c>
      <c r="B308" s="5327" t="str">
        <f>IF(Baza!$C$22="engleski",E308,(IF(Baza!$C$22="bosanski",C308,D308)))</f>
        <v>Dugoročna imovina (002+009+014+015+020+021+022+023+024+025+028+033+034)</v>
      </c>
      <c r="C308" s="5328" t="s">
        <v>3052</v>
      </c>
      <c r="D308" s="5329" t="s">
        <v>3052</v>
      </c>
      <c r="E308" s="5338" t="s">
        <v>3053</v>
      </c>
    </row>
    <row r="309" ht="14.25" customHeight="1" spans="1:5">
      <c r="A309" s="5339" t="str">
        <f>B_Stanja!AG22</f>
        <v>002</v>
      </c>
      <c r="B309" s="5327" t="str">
        <f>IF(Baza!$C$22="engleski",E309,(IF(Baza!$C$22="bosanski",C309,D309)))</f>
        <v>Nekretnine, postrojenja i oprema (003 do 008)</v>
      </c>
      <c r="C309" s="5328" t="s">
        <v>3054</v>
      </c>
      <c r="D309" s="5329" t="s">
        <v>3054</v>
      </c>
      <c r="E309" s="5338" t="s">
        <v>3055</v>
      </c>
    </row>
    <row r="310" ht="14.25" customHeight="1" spans="1:5">
      <c r="A310" s="5339" t="str">
        <f>B_Stanja!AG23</f>
        <v>003</v>
      </c>
      <c r="B310" s="5327" t="str">
        <f>IF(Baza!$C$22="engleski",E310,(IF(Baza!$C$22="bosanski",C310,D310)))</f>
        <v>Zemljište</v>
      </c>
      <c r="C310" s="5328" t="s">
        <v>3056</v>
      </c>
      <c r="D310" s="5329" t="s">
        <v>3056</v>
      </c>
      <c r="E310" s="5338" t="s">
        <v>3057</v>
      </c>
    </row>
    <row r="311" ht="14.25" customHeight="1" spans="1:5">
      <c r="A311" s="5339" t="str">
        <f>B_Stanja!AG24</f>
        <v>004</v>
      </c>
      <c r="B311" s="5327" t="str">
        <f>IF(Baza!$C$22="engleski",E311,(IF(Baza!$C$22="bosanski",C311,D311)))</f>
        <v>Građevinski objekti</v>
      </c>
      <c r="C311" s="5328" t="s">
        <v>3058</v>
      </c>
      <c r="D311" s="5329" t="s">
        <v>3058</v>
      </c>
      <c r="E311" s="5338" t="s">
        <v>3059</v>
      </c>
    </row>
    <row r="312" ht="14.25" customHeight="1" spans="1:5">
      <c r="A312" s="5339" t="str">
        <f>B_Stanja!AG25</f>
        <v>005</v>
      </c>
      <c r="B312" s="5327" t="str">
        <f>IF(Baza!$C$22="engleski",E312,(IF(Baza!$C$22="bosanski",C312,D312)))</f>
        <v>Postrojenja, oprema i namještaj</v>
      </c>
      <c r="C312" s="5328" t="s">
        <v>3060</v>
      </c>
      <c r="D312" s="5329" t="s">
        <v>3060</v>
      </c>
      <c r="E312" s="5338" t="s">
        <v>3061</v>
      </c>
    </row>
    <row r="313" ht="14.25" customHeight="1" spans="1:5">
      <c r="A313" s="5339" t="str">
        <f>B_Stanja!AG26</f>
        <v>006</v>
      </c>
      <c r="B313" s="5327" t="str">
        <f>IF(Baza!$C$22="engleski",E313,(IF(Baza!$C$22="bosanski",C313,D313)))</f>
        <v>Transportna sredstva</v>
      </c>
      <c r="C313" s="5328" t="s">
        <v>3062</v>
      </c>
      <c r="D313" s="5329" t="s">
        <v>3062</v>
      </c>
      <c r="E313" s="5338" t="s">
        <v>3063</v>
      </c>
    </row>
    <row r="314" ht="14.25" customHeight="1" spans="1:5">
      <c r="A314" s="5339" t="str">
        <f>B_Stanja!AG27</f>
        <v>007</v>
      </c>
      <c r="B314" s="5327" t="str">
        <f>IF(Baza!$C$22="engleski",E314,(IF(Baza!$C$22="bosanski",C314,D314)))</f>
        <v>Ostala dugoročna materijalna imovina</v>
      </c>
      <c r="C314" s="5328" t="s">
        <v>3064</v>
      </c>
      <c r="D314" s="5329" t="s">
        <v>3064</v>
      </c>
      <c r="E314" s="5338" t="s">
        <v>3065</v>
      </c>
    </row>
    <row r="315" ht="14.25" customHeight="1" spans="1:5">
      <c r="A315" s="5339" t="str">
        <f>B_Stanja!AG28</f>
        <v>008</v>
      </c>
      <c r="B315" s="5327" t="str">
        <f>IF(Baza!$C$22="engleski",E315,(IF(Baza!$C$22="bosanski",C315,D315)))</f>
        <v>Nekretnine, postrojenja i oprema u pripremi</v>
      </c>
      <c r="C315" s="5328" t="s">
        <v>3066</v>
      </c>
      <c r="D315" s="5329" t="s">
        <v>3066</v>
      </c>
      <c r="E315" s="5338" t="s">
        <v>3067</v>
      </c>
    </row>
    <row r="316" ht="14.25" customHeight="1" spans="1:5">
      <c r="A316" s="5339" t="str">
        <f>B_Stanja!AG29</f>
        <v>009</v>
      </c>
      <c r="B316" s="5327" t="str">
        <f>IF(Baza!$C$22="engleski",E316,(IF(Baza!$C$22="bosanski",C316,D316)))</f>
        <v>Imovina s pravom korištenja (010 do 013)</v>
      </c>
      <c r="C316" s="5328" t="s">
        <v>3068</v>
      </c>
      <c r="D316" s="5329" t="s">
        <v>3068</v>
      </c>
      <c r="E316" s="5338" t="s">
        <v>3069</v>
      </c>
    </row>
    <row r="317" ht="14.25" customHeight="1" spans="1:5">
      <c r="A317" s="5339" t="str">
        <f>B_Stanja!AG30</f>
        <v>010</v>
      </c>
      <c r="B317" s="5327" t="str">
        <f>IF(Baza!$C$22="engleski",E317,(IF(Baza!$C$22="bosanski",C317,D317)))</f>
        <v>Zemljište</v>
      </c>
      <c r="C317" s="5328" t="s">
        <v>3056</v>
      </c>
      <c r="D317" s="5329" t="s">
        <v>3056</v>
      </c>
      <c r="E317" s="5338" t="s">
        <v>3057</v>
      </c>
    </row>
    <row r="318" ht="14.25" customHeight="1" spans="1:5">
      <c r="A318" s="5339" t="str">
        <f>B_Stanja!AG31</f>
        <v>011</v>
      </c>
      <c r="B318" s="5327" t="str">
        <f>IF(Baza!$C$22="engleski",E318,(IF(Baza!$C$22="bosanski",C318,D318)))</f>
        <v>Građevinski objekti</v>
      </c>
      <c r="C318" s="5328" t="s">
        <v>3058</v>
      </c>
      <c r="D318" s="5329" t="s">
        <v>3058</v>
      </c>
      <c r="E318" s="5338" t="s">
        <v>3059</v>
      </c>
    </row>
    <row r="319" ht="14.25" customHeight="1" spans="1:5">
      <c r="A319" s="5339" t="str">
        <f>B_Stanja!AG32</f>
        <v>012</v>
      </c>
      <c r="B319" s="5327" t="str">
        <f>IF(Baza!$C$22="engleski",E319,(IF(Baza!$C$22="bosanski",C319,D319)))</f>
        <v>Postrojenja i oprema</v>
      </c>
      <c r="C319" s="5328" t="s">
        <v>3070</v>
      </c>
      <c r="D319" s="5329" t="s">
        <v>3070</v>
      </c>
      <c r="E319" s="5338" t="s">
        <v>3071</v>
      </c>
    </row>
    <row r="320" ht="14.25" customHeight="1" spans="1:5">
      <c r="A320" s="5339" t="str">
        <f>B_Stanja!AG33</f>
        <v>013</v>
      </c>
      <c r="B320" s="5327" t="str">
        <f>IF(Baza!$C$22="engleski",E320,(IF(Baza!$C$22="bosanski",C320,D320)))</f>
        <v>Nematerijalna imovina</v>
      </c>
      <c r="C320" s="5328" t="s">
        <v>2880</v>
      </c>
      <c r="D320" s="5329" t="s">
        <v>2880</v>
      </c>
      <c r="E320" s="5338" t="s">
        <v>2657</v>
      </c>
    </row>
    <row r="321" ht="14.25" customHeight="1" spans="1:5">
      <c r="A321" s="5339" t="str">
        <f>B_Stanja!AG34</f>
        <v>014</v>
      </c>
      <c r="B321" s="5327" t="str">
        <f>IF(Baza!$C$22="engleski",E321,(IF(Baza!$C$22="bosanski",C321,D321)))</f>
        <v>Ulaganja u investicijske nekretnine</v>
      </c>
      <c r="C321" s="5328" t="s">
        <v>2654</v>
      </c>
      <c r="D321" s="5329" t="s">
        <v>2654</v>
      </c>
      <c r="E321" s="5338" t="s">
        <v>2655</v>
      </c>
    </row>
    <row r="322" ht="14.25" customHeight="1" spans="1:5">
      <c r="A322" s="5339" t="str">
        <f>B_Stanja!AG35</f>
        <v>015</v>
      </c>
      <c r="B322" s="5327" t="str">
        <f>IF(Baza!$C$22="engleski",E322,(IF(Baza!$C$22="bosanski",C322,D322)))</f>
        <v>Nematerijalna imovina (016 do 019)</v>
      </c>
      <c r="C322" s="5328" t="s">
        <v>3072</v>
      </c>
      <c r="D322" s="5329" t="s">
        <v>3072</v>
      </c>
      <c r="E322" s="5338" t="s">
        <v>3073</v>
      </c>
    </row>
    <row r="323" ht="14.25" customHeight="1" spans="1:5">
      <c r="A323" s="5339" t="str">
        <f>B_Stanja!AG36</f>
        <v>016</v>
      </c>
      <c r="B323" s="5327" t="str">
        <f>IF(Baza!$C$22="engleski",E323,(IF(Baza!$C$22="bosanski",C323,D323)))</f>
        <v>Kapitalizirana ulaganja u razvoj</v>
      </c>
      <c r="C323" s="5328" t="s">
        <v>3074</v>
      </c>
      <c r="D323" s="5329" t="s">
        <v>3074</v>
      </c>
      <c r="E323" s="5338" t="s">
        <v>3075</v>
      </c>
    </row>
    <row r="324" ht="14.25" customHeight="1" spans="1:5">
      <c r="A324" s="5339" t="str">
        <f>B_Stanja!AG37</f>
        <v>017</v>
      </c>
      <c r="B324" s="5327" t="str">
        <f>IF(Baza!$C$22="engleski",E324,(IF(Baza!$C$22="bosanski",C324,D324)))</f>
        <v>Koncesije, patenti, licence i druga prava</v>
      </c>
      <c r="C324" s="5328" t="s">
        <v>3076</v>
      </c>
      <c r="D324" s="5329" t="s">
        <v>3076</v>
      </c>
      <c r="E324" s="5338" t="s">
        <v>3077</v>
      </c>
    </row>
    <row r="325" ht="14.25" customHeight="1" spans="1:5">
      <c r="A325" s="5339" t="str">
        <f>B_Stanja!AG38</f>
        <v>018</v>
      </c>
      <c r="B325" s="5327" t="str">
        <f>IF(Baza!$C$22="engleski",E325,(IF(Baza!$C$22="bosanski",C325,D325)))</f>
        <v>Ostala nematerijalna imovina</v>
      </c>
      <c r="C325" s="5328" t="s">
        <v>3078</v>
      </c>
      <c r="D325" s="5329" t="s">
        <v>3078</v>
      </c>
      <c r="E325" s="5338" t="s">
        <v>3079</v>
      </c>
    </row>
    <row r="326" ht="14.25" customHeight="1" spans="1:5">
      <c r="A326" s="5339" t="str">
        <f>B_Stanja!AG39</f>
        <v>019</v>
      </c>
      <c r="B326" s="5327" t="str">
        <f>IF(Baza!$C$22="engleski",E326,(IF(Baza!$C$22="bosanski",C326,D326)))</f>
        <v>Nematerijalna imovina u pripremi</v>
      </c>
      <c r="C326" s="5328" t="s">
        <v>3080</v>
      </c>
      <c r="D326" s="5329" t="s">
        <v>3080</v>
      </c>
      <c r="E326" s="5338" t="s">
        <v>3081</v>
      </c>
    </row>
    <row r="327" ht="14.25" customHeight="1" spans="1:5">
      <c r="A327" s="5339" t="str">
        <f>B_Stanja!AG40</f>
        <v>020</v>
      </c>
      <c r="B327" s="5327" t="str">
        <f>IF(Baza!$C$22="engleski",E327,(IF(Baza!$C$22="bosanski",C327,D327)))</f>
        <v>Biološka imovina </v>
      </c>
      <c r="C327" s="5328" t="s">
        <v>2658</v>
      </c>
      <c r="D327" s="5329" t="s">
        <v>2658</v>
      </c>
      <c r="E327" s="5338" t="s">
        <v>2659</v>
      </c>
    </row>
    <row r="328" ht="14.25" customHeight="1" spans="1:5">
      <c r="A328" s="5339" t="str">
        <f>B_Stanja!AG41</f>
        <v>021</v>
      </c>
      <c r="B328" s="5327" t="str">
        <f>IF(Baza!$C$22="engleski",E328,(IF(Baza!$C$22="bosanski",C328,D328)))</f>
        <v>Ulaganja u zavisne subjekte</v>
      </c>
      <c r="C328" s="5328" t="s">
        <v>3082</v>
      </c>
      <c r="D328" s="5329" t="s">
        <v>3082</v>
      </c>
      <c r="E328" s="5338" t="s">
        <v>3083</v>
      </c>
    </row>
    <row r="329" ht="14.25" customHeight="1" spans="1:5">
      <c r="A329" s="5339" t="str">
        <f>B_Stanja!AG42</f>
        <v>022</v>
      </c>
      <c r="B329" s="5327" t="str">
        <f>IF(Baza!$C$22="engleski",E329,(IF(Baza!$C$22="bosanski",C329,D329)))</f>
        <v>Ulaganja u pridružene subjekte</v>
      </c>
      <c r="C329" s="5328" t="s">
        <v>3084</v>
      </c>
      <c r="D329" s="5329" t="s">
        <v>3084</v>
      </c>
      <c r="E329" s="5338" t="s">
        <v>3085</v>
      </c>
    </row>
    <row r="330" ht="14.25" customHeight="1" spans="1:5">
      <c r="A330" s="5339" t="str">
        <f>B_Stanja!AG43</f>
        <v>023</v>
      </c>
      <c r="B330" s="5327" t="str">
        <f>IF(Baza!$C$22="engleski",E330,(IF(Baza!$C$22="bosanski",C330,D330)))</f>
        <v>Ulaganja u zajedničke poduhvate</v>
      </c>
      <c r="C330" s="5328" t="s">
        <v>3086</v>
      </c>
      <c r="D330" s="5329" t="s">
        <v>3086</v>
      </c>
      <c r="E330" s="5338" t="s">
        <v>3087</v>
      </c>
    </row>
    <row r="331" ht="14.25" customHeight="1" spans="1:5">
      <c r="A331" s="5339" t="str">
        <f>B_Stanja!AG44</f>
        <v>024</v>
      </c>
      <c r="B331" s="5327" t="str">
        <f>IF(Baza!$C$22="engleski",E331,(IF(Baza!$C$22="bosanski",C331,D331)))</f>
        <v>Goodwill</v>
      </c>
      <c r="C331" s="5328" t="s">
        <v>3088</v>
      </c>
      <c r="D331" s="5329" t="s">
        <v>3088</v>
      </c>
      <c r="E331" s="5338" t="s">
        <v>3088</v>
      </c>
    </row>
    <row r="332" ht="14.25" customHeight="1" spans="1:5">
      <c r="A332" s="5339" t="str">
        <f>B_Stanja!AG48</f>
        <v>025</v>
      </c>
      <c r="B332" s="5327" t="str">
        <f>IF(Baza!$C$22="engleski",E332,(IF(Baza!$C$22="bosanski",C332,D332)))</f>
        <v> Finansijska imovina po fer vrijednosti kroz ostali ukupni rezultat (026+027)</v>
      </c>
      <c r="C332" s="5328" t="s">
        <v>3089</v>
      </c>
      <c r="D332" s="5329" t="s">
        <v>3089</v>
      </c>
      <c r="E332" s="5338" t="s">
        <v>3090</v>
      </c>
    </row>
    <row r="333" ht="14.25" customHeight="1" spans="1:5">
      <c r="A333" s="5339" t="str">
        <f>B_Stanja!AG49</f>
        <v>026</v>
      </c>
      <c r="B333" s="5327" t="str">
        <f>IF(Baza!$C$22="engleski",E333,(IF(Baza!$C$22="bosanski",C333,D333)))</f>
        <v>Ulaganja u instrumente kapitala</v>
      </c>
      <c r="C333" s="5328" t="s">
        <v>3091</v>
      </c>
      <c r="D333" s="5329" t="s">
        <v>3091</v>
      </c>
      <c r="E333" s="5338" t="s">
        <v>3092</v>
      </c>
    </row>
    <row r="334" ht="14.25" customHeight="1" spans="1:5">
      <c r="A334" s="5339" t="str">
        <f>B_Stanja!AG50</f>
        <v>027</v>
      </c>
      <c r="B334" s="5327" t="str">
        <f>IF(Baza!$C$22="engleski",E334,(IF(Baza!$C$22="bosanski",C334,D334)))</f>
        <v>Obveznice, dati krediti i ostali dužnički instrumenti</v>
      </c>
      <c r="C334" s="5328" t="s">
        <v>3093</v>
      </c>
      <c r="D334" s="5329" t="s">
        <v>3093</v>
      </c>
      <c r="E334" s="5338" t="s">
        <v>3094</v>
      </c>
    </row>
    <row r="335" ht="14.25" customHeight="1" spans="1:5">
      <c r="A335" s="5339" t="str">
        <f>B_Stanja!AG51</f>
        <v>028</v>
      </c>
      <c r="B335" s="5327" t="str">
        <f>IF(Baza!$C$22="engleski",E335,(IF(Baza!$C$22="bosanski",C335,D335)))</f>
        <v>Finansijska imovina po amortizovanom trošku (029 do 032)</v>
      </c>
      <c r="C335" s="5328" t="s">
        <v>3095</v>
      </c>
      <c r="D335" s="5329" t="s">
        <v>3096</v>
      </c>
      <c r="E335" s="5338" t="s">
        <v>3097</v>
      </c>
    </row>
    <row r="336" ht="14.25" customHeight="1" spans="1:5">
      <c r="A336" s="5339" t="str">
        <f>B_Stanja!AG52</f>
        <v>029</v>
      </c>
      <c r="B336" s="5327" t="str">
        <f>IF(Baza!$C$22="engleski",E336,(IF(Baza!$C$22="bosanski",C336,D336)))</f>
        <v>Depoziti kod banaka</v>
      </c>
      <c r="C336" s="5328" t="s">
        <v>3098</v>
      </c>
      <c r="D336" s="5329" t="s">
        <v>3098</v>
      </c>
      <c r="E336" s="5338" t="s">
        <v>3099</v>
      </c>
    </row>
    <row r="337" ht="14.25" customHeight="1" spans="1:5">
      <c r="A337" s="5339" t="str">
        <f>B_Stanja!AG53</f>
        <v>030</v>
      </c>
      <c r="B337" s="5327" t="str">
        <f>IF(Baza!$C$22="engleski",E337,(IF(Baza!$C$22="bosanski",C337,D337)))</f>
        <v>Dati krediti </v>
      </c>
      <c r="C337" s="5328" t="s">
        <v>3100</v>
      </c>
      <c r="D337" s="5329" t="s">
        <v>3100</v>
      </c>
      <c r="E337" s="5338" t="s">
        <v>3101</v>
      </c>
    </row>
    <row r="338" ht="14.25" customHeight="1" spans="1:5">
      <c r="A338" s="5339" t="str">
        <f>B_Stanja!AG54</f>
        <v>031</v>
      </c>
      <c r="B338" s="5327" t="str">
        <f>IF(Baza!$C$22="engleski",E338,(IF(Baza!$C$22="bosanski",C338,D338)))</f>
        <v>Obveznice</v>
      </c>
      <c r="C338" s="5328" t="s">
        <v>3102</v>
      </c>
      <c r="D338" s="5329" t="s">
        <v>3102</v>
      </c>
      <c r="E338" s="5338" t="s">
        <v>3103</v>
      </c>
    </row>
    <row r="339" ht="14.25" customHeight="1" spans="1:5">
      <c r="A339" s="5339" t="str">
        <f>B_Stanja!AG55</f>
        <v>032</v>
      </c>
      <c r="B339" s="5327" t="str">
        <f>IF(Baza!$C$22="engleski",E339,(IF(Baza!$C$22="bosanski",C339,D339)))</f>
        <v>Ostala finansijska imovina po amortizovanom trošku</v>
      </c>
      <c r="C339" s="5328" t="s">
        <v>3104</v>
      </c>
      <c r="D339" s="5329" t="s">
        <v>3105</v>
      </c>
      <c r="E339" s="5338" t="s">
        <v>3106</v>
      </c>
    </row>
    <row r="340" ht="14.25" customHeight="1" spans="1:5">
      <c r="A340" s="5339" t="str">
        <f>B_Stanja!AG56</f>
        <v>033</v>
      </c>
      <c r="B340" s="5327" t="str">
        <f>IF(Baza!$C$22="engleski",E340,(IF(Baza!$C$22="bosanski",C340,D340)))</f>
        <v>Potraživanja po finansijskim najmovima</v>
      </c>
      <c r="C340" s="5328" t="s">
        <v>3107</v>
      </c>
      <c r="D340" s="5329" t="s">
        <v>3108</v>
      </c>
      <c r="E340" s="5338" t="s">
        <v>3109</v>
      </c>
    </row>
    <row r="341" ht="14.25" customHeight="1" spans="1:5">
      <c r="A341" s="5339" t="str">
        <f>B_Stanja!AG57</f>
        <v>034</v>
      </c>
      <c r="B341" s="5327" t="str">
        <f>IF(Baza!$C$22="engleski",E341,(IF(Baza!$C$22="bosanski",C341,D341)))</f>
        <v>Ostala imovina i potraživanja</v>
      </c>
      <c r="C341" s="5328" t="s">
        <v>2663</v>
      </c>
      <c r="D341" s="5329" t="s">
        <v>2663</v>
      </c>
      <c r="E341" s="5338" t="s">
        <v>2664</v>
      </c>
    </row>
    <row r="342" ht="14.25" customHeight="1" spans="1:5">
      <c r="A342" s="5339" t="str">
        <f>B_Stanja!AG58</f>
        <v>035</v>
      </c>
      <c r="B342" s="5327" t="str">
        <f>IF(Baza!$C$22="engleski",E342,(IF(Baza!$C$22="bosanski",C342,D342)))</f>
        <v>Odgođena porezna imovina</v>
      </c>
      <c r="C342" s="5328" t="s">
        <v>3110</v>
      </c>
      <c r="D342" s="5329" t="s">
        <v>3110</v>
      </c>
      <c r="E342" s="5338" t="s">
        <v>3111</v>
      </c>
    </row>
    <row r="343" ht="14.25" customHeight="1" spans="1:5">
      <c r="A343" s="5339" t="str">
        <f>B_Stanja!AG59</f>
        <v>036</v>
      </c>
      <c r="B343" s="5327" t="str">
        <f>IF(Baza!$C$22="engleski",E343,(IF(Baza!$C$22="bosanski",C343,D343)))</f>
        <v>Kratkoročna imovina (037+043+044+045+049+054+055+056+057+058+059)</v>
      </c>
      <c r="C343" s="5328" t="s">
        <v>3112</v>
      </c>
      <c r="D343" s="5329" t="s">
        <v>3112</v>
      </c>
      <c r="E343" s="5338" t="s">
        <v>3113</v>
      </c>
    </row>
    <row r="344" ht="14.25" customHeight="1" spans="1:5">
      <c r="A344" s="5339" t="str">
        <f>B_Stanja!AG60</f>
        <v>037</v>
      </c>
      <c r="B344" s="5327" t="str">
        <f>IF(Baza!$C$22="engleski",E344,(IF(Baza!$C$22="bosanski",C344,D344)))</f>
        <v>Zalihe (038 do 042)</v>
      </c>
      <c r="C344" s="5328" t="s">
        <v>3114</v>
      </c>
      <c r="D344" s="5329" t="s">
        <v>2667</v>
      </c>
      <c r="E344" s="5338" t="s">
        <v>2668</v>
      </c>
    </row>
    <row r="345" ht="14.25" customHeight="1" spans="1:5">
      <c r="A345" s="5339" t="str">
        <f>B_Stanja!AG61</f>
        <v>038</v>
      </c>
      <c r="B345" s="5327" t="str">
        <f>IF(Baza!$C$22="engleski",E345,(IF(Baza!$C$22="bosanski",C345,D345)))</f>
        <v>Sirovine, materijal, rezervni dijelovi i sitan inventar</v>
      </c>
      <c r="C345" s="5328" t="s">
        <v>3115</v>
      </c>
      <c r="D345" s="5329" t="s">
        <v>3116</v>
      </c>
      <c r="E345" s="5338" t="s">
        <v>3117</v>
      </c>
    </row>
    <row r="346" ht="14.25" customHeight="1" spans="1:5">
      <c r="A346" s="5339" t="str">
        <f>B_Stanja!AG62</f>
        <v>039</v>
      </c>
      <c r="B346" s="5327" t="str">
        <f>IF(Baza!$C$22="engleski",E346,(IF(Baza!$C$22="bosanski",C346,D346)))</f>
        <v>Proizvodnja u toku, poluproizvodi i nedovršene usluge</v>
      </c>
      <c r="C346" s="5328" t="s">
        <v>3118</v>
      </c>
      <c r="D346" s="5329" t="s">
        <v>3119</v>
      </c>
      <c r="E346" s="5338" t="s">
        <v>3120</v>
      </c>
    </row>
    <row r="347" ht="14.25" customHeight="1" spans="1:5">
      <c r="A347" s="5339" t="str">
        <f>B_Stanja!AG63</f>
        <v>040</v>
      </c>
      <c r="B347" s="5327" t="str">
        <f>IF(Baza!$C$22="engleski",E347,(IF(Baza!$C$22="bosanski",C347,D347)))</f>
        <v>Gotovi proizvodi</v>
      </c>
      <c r="C347" s="5328" t="s">
        <v>3121</v>
      </c>
      <c r="D347" s="5329" t="s">
        <v>3121</v>
      </c>
      <c r="E347" s="5338" t="s">
        <v>3122</v>
      </c>
    </row>
    <row r="348" ht="14.25" customHeight="1" spans="1:5">
      <c r="A348" s="5339" t="str">
        <f>B_Stanja!AG64</f>
        <v>041</v>
      </c>
      <c r="B348" s="5327" t="str">
        <f>IF(Baza!$C$22="engleski",E348,(IF(Baza!$C$22="bosanski",C348,D348)))</f>
        <v>Roba</v>
      </c>
      <c r="C348" s="5328" t="s">
        <v>3123</v>
      </c>
      <c r="D348" s="5329" t="s">
        <v>3123</v>
      </c>
      <c r="E348" s="5338" t="s">
        <v>3124</v>
      </c>
    </row>
    <row r="349" ht="14.25" customHeight="1" spans="1:5">
      <c r="A349" s="5339" t="str">
        <f>B_Stanja!AG65</f>
        <v>042</v>
      </c>
      <c r="B349" s="5327" t="str">
        <f>IF(Baza!$C$22="engleski",E349,(IF(Baza!$C$22="bosanski",C349,D349)))</f>
        <v>Dati avansi</v>
      </c>
      <c r="C349" s="5328" t="s">
        <v>3125</v>
      </c>
      <c r="D349" s="5329" t="s">
        <v>3126</v>
      </c>
      <c r="E349" s="5338" t="s">
        <v>3127</v>
      </c>
    </row>
    <row r="350" ht="14.25" customHeight="1" spans="1:5">
      <c r="A350" s="5339" t="str">
        <f>B_Stanja!AG66</f>
        <v>043</v>
      </c>
      <c r="B350" s="5327" t="str">
        <f>IF(Baza!$C$22="engleski",E350,(IF(Baza!$C$22="bosanski",C350,D350)))</f>
        <v>Dugoročna imovina namijenjena prodaji i imovina poslovanja koje se obustavlja</v>
      </c>
      <c r="C350" s="5328" t="s">
        <v>2669</v>
      </c>
      <c r="D350" s="5329" t="s">
        <v>2669</v>
      </c>
      <c r="E350" s="5338" t="s">
        <v>2670</v>
      </c>
    </row>
    <row r="351" ht="14.25" customHeight="1" spans="1:5">
      <c r="A351" s="5339" t="str">
        <f>B_Stanja!AG67</f>
        <v>044</v>
      </c>
      <c r="B351" s="5327" t="str">
        <f>IF(Baza!$C$22="engleski",E351,(IF(Baza!$C$22="bosanski",C351,D351)))</f>
        <v>Ugovorna imovina</v>
      </c>
      <c r="C351" s="5328" t="s">
        <v>3128</v>
      </c>
      <c r="D351" s="5329" t="s">
        <v>3128</v>
      </c>
      <c r="E351" s="5338" t="s">
        <v>3129</v>
      </c>
    </row>
    <row r="352" ht="14.25" customHeight="1" spans="1:5">
      <c r="A352" s="5339" t="str">
        <f>B_Stanja!AG68</f>
        <v>045</v>
      </c>
      <c r="B352" s="5327" t="str">
        <f>IF(Baza!$C$22="engleski",E352,(IF(Baza!$C$22="bosanski",C352,D352)))</f>
        <v>Potraživanja od kupaca (046 do 048)</v>
      </c>
      <c r="C352" s="5328" t="s">
        <v>3130</v>
      </c>
      <c r="D352" s="5329" t="s">
        <v>3131</v>
      </c>
      <c r="E352" s="5338" t="s">
        <v>3132</v>
      </c>
    </row>
    <row r="353" ht="14.25" customHeight="1" spans="1:5">
      <c r="A353" s="5339" t="str">
        <f>B_Stanja!AG69</f>
        <v>046</v>
      </c>
      <c r="B353" s="5327" t="str">
        <f>IF(Baza!$C$22="engleski",E353,(IF(Baza!$C$22="bosanski",C353,D353)))</f>
        <v>Kupci - povezane strane</v>
      </c>
      <c r="C353" s="5328" t="s">
        <v>3133</v>
      </c>
      <c r="D353" s="5329" t="s">
        <v>3133</v>
      </c>
      <c r="E353" s="5338" t="s">
        <v>3134</v>
      </c>
    </row>
    <row r="354" ht="14.25" customHeight="1" spans="1:5">
      <c r="A354" s="5339" t="str">
        <f>B_Stanja!AG70</f>
        <v>047</v>
      </c>
      <c r="B354" s="5327" t="str">
        <f>IF(Baza!$C$22="engleski",E354,(IF(Baza!$C$22="bosanski",C354,D354)))</f>
        <v>Kupci u zemlji</v>
      </c>
      <c r="C354" s="5328" t="s">
        <v>3135</v>
      </c>
      <c r="D354" s="5329" t="s">
        <v>3135</v>
      </c>
      <c r="E354" s="5338" t="s">
        <v>3136</v>
      </c>
    </row>
    <row r="355" ht="14.25" customHeight="1" spans="1:5">
      <c r="A355" s="5339" t="str">
        <f>B_Stanja!AG71</f>
        <v>048</v>
      </c>
      <c r="B355" s="5327" t="str">
        <f>IF(Baza!$C$22="engleski",E355,(IF(Baza!$C$22="bosanski",C355,D355)))</f>
        <v>Kupci u inostranstvu</v>
      </c>
      <c r="C355" s="5328" t="s">
        <v>3137</v>
      </c>
      <c r="D355" s="5329" t="s">
        <v>3138</v>
      </c>
      <c r="E355" s="5338" t="s">
        <v>3139</v>
      </c>
    </row>
    <row r="356" ht="14.25" customHeight="1" spans="1:5">
      <c r="A356" s="5339" t="str">
        <f>B_Stanja!AG72</f>
        <v>049</v>
      </c>
      <c r="B356" s="5327" t="str">
        <f>IF(Baza!$C$22="engleski",E356,(IF(Baza!$C$22="bosanski",C356,D356)))</f>
        <v>Ostala finansijska imovina po amortizovanom trošku (050 do 053)</v>
      </c>
      <c r="C356" s="5328" t="s">
        <v>3140</v>
      </c>
      <c r="D356" s="5329" t="s">
        <v>3141</v>
      </c>
      <c r="E356" s="5338" t="s">
        <v>3142</v>
      </c>
    </row>
    <row r="357" ht="14.25" customHeight="1" spans="1:5">
      <c r="A357" s="5339" t="str">
        <f>B_Stanja!AG73</f>
        <v>050</v>
      </c>
      <c r="B357" s="5327" t="str">
        <f>IF(Baza!$C$22="engleski",E357,(IF(Baza!$C$22="bosanski",C357,D357)))</f>
        <v>Depoziti kod banaka</v>
      </c>
      <c r="C357" s="5328" t="s">
        <v>3098</v>
      </c>
      <c r="D357" s="5329" t="s">
        <v>3098</v>
      </c>
      <c r="E357" s="5338" t="s">
        <v>3099</v>
      </c>
    </row>
    <row r="358" ht="14.25" customHeight="1" spans="1:5">
      <c r="A358" s="5339" t="str">
        <f>B_Stanja!AG74</f>
        <v>051</v>
      </c>
      <c r="B358" s="5327" t="str">
        <f>IF(Baza!$C$22="engleski",E358,(IF(Baza!$C$22="bosanski",C358,D358)))</f>
        <v>Dati krediti </v>
      </c>
      <c r="C358" s="5328" t="s">
        <v>3100</v>
      </c>
      <c r="D358" s="5329" t="s">
        <v>3100</v>
      </c>
      <c r="E358" s="5338" t="s">
        <v>3101</v>
      </c>
    </row>
    <row r="359" ht="14.25" customHeight="1" spans="1:5">
      <c r="A359" s="5339" t="str">
        <f>B_Stanja!AG75</f>
        <v>052</v>
      </c>
      <c r="B359" s="5327" t="str">
        <f>IF(Baza!$C$22="engleski",E359,(IF(Baza!$C$22="bosanski",C359,D359)))</f>
        <v>Obveznice</v>
      </c>
      <c r="C359" s="5328" t="s">
        <v>3102</v>
      </c>
      <c r="D359" s="5329" t="s">
        <v>3102</v>
      </c>
      <c r="E359" s="5338" t="s">
        <v>3103</v>
      </c>
    </row>
    <row r="360" ht="14.25" customHeight="1" spans="1:5">
      <c r="A360" s="5339" t="str">
        <f>B_Stanja!AG76</f>
        <v>053</v>
      </c>
      <c r="B360" s="5327" t="str">
        <f>IF(Baza!$C$22="engleski",E360,(IF(Baza!$C$22="bosanski",C360,D360)))</f>
        <v>Ostala finansijska imovina po amortizovanom trošku</v>
      </c>
      <c r="C360" s="5328" t="s">
        <v>3104</v>
      </c>
      <c r="D360" s="5329" t="s">
        <v>3105</v>
      </c>
      <c r="E360" s="5338" t="s">
        <v>3106</v>
      </c>
    </row>
    <row r="361" ht="14.25" customHeight="1" spans="1:5">
      <c r="A361" s="5339" t="str">
        <f>B_Stanja!AG77</f>
        <v>054</v>
      </c>
      <c r="B361" s="5327" t="str">
        <f>IF(Baza!$C$22="engleski",E361,(IF(Baza!$C$22="bosanski",C361,D361)))</f>
        <v>Potraživanja po finansijskim najmovima</v>
      </c>
      <c r="C361" s="5328" t="s">
        <v>3107</v>
      </c>
      <c r="D361" s="5329" t="s">
        <v>3108</v>
      </c>
      <c r="E361" s="5338" t="s">
        <v>3109</v>
      </c>
    </row>
    <row r="362" ht="14.25" customHeight="1" spans="1:5">
      <c r="A362" s="5339" t="str">
        <f>B_Stanja!AG78</f>
        <v>055</v>
      </c>
      <c r="B362" s="5327" t="str">
        <f>IF(Baza!$C$22="engleski",E362,(IF(Baza!$C$22="bosanski",C362,D362)))</f>
        <v>Finansijska imovina po fer vrijednosti kroz bilans uspjeha</v>
      </c>
      <c r="C362" s="5328" t="s">
        <v>3143</v>
      </c>
      <c r="D362" s="5329" t="s">
        <v>3144</v>
      </c>
      <c r="E362" s="5338" t="s">
        <v>3145</v>
      </c>
    </row>
    <row r="363" ht="14.25" customHeight="1" spans="1:5">
      <c r="A363" s="5339" t="str">
        <f>B_Stanja!AG79</f>
        <v>056</v>
      </c>
      <c r="B363" s="5327" t="str">
        <f>IF(Baza!$C$22="engleski",E363,(IF(Baza!$C$22="bosanski",C363,D363)))</f>
        <v>Derivatni finansijski instrumenti</v>
      </c>
      <c r="C363" s="5328" t="s">
        <v>3146</v>
      </c>
      <c r="D363" s="5329" t="s">
        <v>3147</v>
      </c>
      <c r="E363" s="5338" t="s">
        <v>3148</v>
      </c>
    </row>
    <row r="364" ht="14.25" customHeight="1" spans="1:5">
      <c r="A364" s="5339" t="str">
        <f>B_Stanja!AG80</f>
        <v>057</v>
      </c>
      <c r="B364" s="5327" t="str">
        <f>IF(Baza!$C$22="engleski",E364,(IF(Baza!$C$22="bosanski",C364,D364)))</f>
        <v>Gotovina i gotovinski ekvivalenti (isključujući prekoračenja po bankovnim računima)</v>
      </c>
      <c r="C364" s="5328" t="s">
        <v>3149</v>
      </c>
      <c r="D364" s="5329" t="s">
        <v>3149</v>
      </c>
      <c r="E364" s="5338" t="s">
        <v>3150</v>
      </c>
    </row>
    <row r="365" ht="14.25" customHeight="1" spans="1:5">
      <c r="A365" s="5339" t="str">
        <f>B_Stanja!AG81</f>
        <v>058</v>
      </c>
      <c r="B365" s="5327" t="str">
        <f>IF(Baza!$C$22="engleski",E365,(IF(Baza!$C$22="bosanski",C365,D365)))</f>
        <v>Akontacije poreza na dobit</v>
      </c>
      <c r="C365" s="5328" t="s">
        <v>2678</v>
      </c>
      <c r="D365" s="5329" t="s">
        <v>2678</v>
      </c>
      <c r="E365" s="5338" t="s">
        <v>2679</v>
      </c>
    </row>
    <row r="366" ht="14.25" customHeight="1" spans="1:5">
      <c r="A366" s="5339" t="str">
        <f>B_Stanja!AG82</f>
        <v>059</v>
      </c>
      <c r="B366" s="5327" t="str">
        <f>IF(Baza!$C$22="engleski",E366,(IF(Baza!$C$22="bosanski",C366,D366)))</f>
        <v>Ostala imovina i potraživanja, uključujući i razgraničenja</v>
      </c>
      <c r="C366" s="5328" t="s">
        <v>2680</v>
      </c>
      <c r="D366" s="5329" t="s">
        <v>2680</v>
      </c>
      <c r="E366" s="5338" t="s">
        <v>2681</v>
      </c>
    </row>
    <row r="367" ht="14.25" customHeight="1" spans="1:5">
      <c r="A367" s="5339" t="str">
        <f>B_Stanja!AG83</f>
        <v>060</v>
      </c>
      <c r="B367" s="5327" t="str">
        <f>IF(Baza!$C$22="engleski",E367,(IF(Baza!$C$22="bosanski",C367,D367)))</f>
        <v>UKUPNO IMOVINA (001+035+036)</v>
      </c>
      <c r="C367" s="5328" t="s">
        <v>3151</v>
      </c>
      <c r="D367" s="5329" t="s">
        <v>3151</v>
      </c>
      <c r="E367" s="5338" t="s">
        <v>3152</v>
      </c>
    </row>
    <row r="368" ht="14.25" customHeight="1" spans="1:5">
      <c r="A368" s="5339" t="str">
        <f>B_Stanja!AG84</f>
        <v>061</v>
      </c>
      <c r="B368" s="5327" t="str">
        <f>IF(Baza!$C$22="engleski",E368,(IF(Baza!$C$22="bosanski",C368,D368)))</f>
        <v>VANBILANSNA EVIDENCIJA</v>
      </c>
      <c r="C368" s="5328" t="s">
        <v>2684</v>
      </c>
      <c r="D368" s="5329" t="s">
        <v>2685</v>
      </c>
      <c r="E368" s="5338" t="s">
        <v>2686</v>
      </c>
    </row>
    <row r="369" ht="14.25" customHeight="1" spans="1:5">
      <c r="A369" s="5339" t="str">
        <f>B_Stanja!AG85</f>
        <v>062</v>
      </c>
      <c r="B369" s="5327" t="str">
        <f>IF(Baza!$C$22="engleski",E369,(IF(Baza!$C$22="bosanski",C369,D369)))</f>
        <v>UKUPNO IMOVINA I VANBILANSNA EVIDENCIJA (060+061)</v>
      </c>
      <c r="C369" s="5328" t="s">
        <v>3153</v>
      </c>
      <c r="D369" s="5329" t="s">
        <v>3154</v>
      </c>
      <c r="E369" s="5338" t="s">
        <v>3155</v>
      </c>
    </row>
    <row r="370" ht="14.25" customHeight="1" spans="1:5">
      <c r="A370" s="5339"/>
      <c r="B370" s="5327" t="str">
        <f>IF(Baza!$C$22="engleski",E370,(IF(Baza!$C$22="bosanski",C370,D370)))</f>
        <v>KAPITAL</v>
      </c>
      <c r="C370" s="5328" t="s">
        <v>2690</v>
      </c>
      <c r="D370" s="5329" t="s">
        <v>2690</v>
      </c>
      <c r="E370" s="5338" t="s">
        <v>2691</v>
      </c>
    </row>
    <row r="371" ht="14.25" customHeight="1" spans="1:5">
      <c r="A371" s="5339" t="str">
        <f>B_Stanja!AG93</f>
        <v>101</v>
      </c>
      <c r="B371" s="5327" t="str">
        <f>IF(Baza!$C$22="engleski",E371,(IF(Baza!$C$22="bosanski",C371,D371)))</f>
        <v>Vlasnički kapital (102-103+104+105+106)</v>
      </c>
      <c r="C371" s="5328" t="s">
        <v>3156</v>
      </c>
      <c r="D371" s="5329" t="s">
        <v>3156</v>
      </c>
      <c r="E371" s="5338" t="s">
        <v>3157</v>
      </c>
    </row>
    <row r="372" ht="14.25" customHeight="1" spans="1:5">
      <c r="A372" s="5339" t="str">
        <f>B_Stanja!AG94</f>
        <v>102</v>
      </c>
      <c r="B372" s="5327" t="str">
        <f>IF(Baza!$C$22="engleski",E372,(IF(Baza!$C$22="bosanski",C372,D372)))</f>
        <v>Dionički kapital</v>
      </c>
      <c r="C372" s="5328" t="s">
        <v>3158</v>
      </c>
      <c r="D372" s="5329" t="s">
        <v>3158</v>
      </c>
      <c r="E372" s="5338" t="s">
        <v>3159</v>
      </c>
    </row>
    <row r="373" ht="14.25" customHeight="1" spans="1:5">
      <c r="A373" s="5339" t="str">
        <f>B_Stanja!AG95</f>
        <v>103</v>
      </c>
      <c r="B373" s="5327" t="str">
        <f>IF(Baza!$C$22="engleski",E373,(IF(Baza!$C$22="bosanski",C373,D373)))</f>
        <v>Otkupljene vlastite dionice</v>
      </c>
      <c r="C373" s="5328" t="s">
        <v>3160</v>
      </c>
      <c r="D373" s="5329" t="s">
        <v>3160</v>
      </c>
      <c r="E373" s="5338" t="s">
        <v>3161</v>
      </c>
    </row>
    <row r="374" ht="14.25" customHeight="1" spans="1:5">
      <c r="A374" s="5339" t="str">
        <f>B_Stanja!AG96</f>
        <v>104</v>
      </c>
      <c r="B374" s="5327" t="str">
        <f>IF(Baza!$C$22="engleski",E374,(IF(Baza!$C$22="bosanski",C374,D374)))</f>
        <v>Udjeli članova društva sa ograničenom odgovornošću</v>
      </c>
      <c r="C374" s="5328" t="s">
        <v>3162</v>
      </c>
      <c r="D374" s="5329" t="s">
        <v>3163</v>
      </c>
      <c r="E374" s="5338" t="s">
        <v>3164</v>
      </c>
    </row>
    <row r="375" ht="14.25" customHeight="1" spans="1:5">
      <c r="A375" s="5339" t="str">
        <f>B_Stanja!AG97</f>
        <v>105</v>
      </c>
      <c r="B375" s="5327" t="str">
        <f>IF(Baza!$C$22="engleski",E375,(IF(Baza!$C$22="bosanski",C375,D375)))</f>
        <v>Državni kapital</v>
      </c>
      <c r="C375" s="5328" t="s">
        <v>3165</v>
      </c>
      <c r="D375" s="5329" t="s">
        <v>3165</v>
      </c>
      <c r="E375" s="5338" t="s">
        <v>3166</v>
      </c>
    </row>
    <row r="376" ht="14.25" customHeight="1" spans="1:5">
      <c r="A376" s="5339" t="str">
        <f>B_Stanja!AG98</f>
        <v>106</v>
      </c>
      <c r="B376" s="5327" t="str">
        <f>IF(Baza!$C$22="engleski",E376,(IF(Baza!$C$22="bosanski",C376,D376)))</f>
        <v>Ostali oblici vlasničkog kapitala</v>
      </c>
      <c r="C376" s="5328" t="s">
        <v>3167</v>
      </c>
      <c r="D376" s="5329" t="s">
        <v>3167</v>
      </c>
      <c r="E376" s="5338" t="s">
        <v>3168</v>
      </c>
    </row>
    <row r="377" ht="14.25" customHeight="1" spans="1:5">
      <c r="A377" s="5339" t="str">
        <f>B_Stanja!AG99</f>
        <v>107</v>
      </c>
      <c r="B377" s="5327" t="str">
        <f>IF(Baza!$C$22="engleski",E377,(IF(Baza!$C$22="bosanski",C377,D377)))</f>
        <v>Dionička premija</v>
      </c>
      <c r="C377" s="5328" t="s">
        <v>2694</v>
      </c>
      <c r="D377" s="5329" t="s">
        <v>2694</v>
      </c>
      <c r="E377" s="5338" t="s">
        <v>2695</v>
      </c>
    </row>
    <row r="378" ht="14.25" customHeight="1" spans="1:5">
      <c r="A378" s="5339" t="str">
        <f>B_Stanja!AG100</f>
        <v>108</v>
      </c>
      <c r="B378" s="5327" t="str">
        <f>IF(Baza!$C$22="engleski",E378,(IF(Baza!$C$22="bosanski",C378,D378)))</f>
        <v>Rezerve (109+110)</v>
      </c>
      <c r="C378" s="5328" t="s">
        <v>3169</v>
      </c>
      <c r="D378" s="5329" t="s">
        <v>3169</v>
      </c>
      <c r="E378" s="5338" t="s">
        <v>3170</v>
      </c>
    </row>
    <row r="379" ht="14.25" customHeight="1" spans="1:5">
      <c r="A379" s="5339" t="str">
        <f>B_Stanja!AG101</f>
        <v>109</v>
      </c>
      <c r="B379" s="5327" t="str">
        <f>IF(Baza!$C$22="engleski",E379,(IF(Baza!$C$22="bosanski",C379,D379)))</f>
        <v>Statutarne rezerve</v>
      </c>
      <c r="C379" s="5328" t="s">
        <v>3171</v>
      </c>
      <c r="D379" s="5329" t="s">
        <v>3171</v>
      </c>
      <c r="E379" s="5338" t="s">
        <v>3172</v>
      </c>
    </row>
    <row r="380" ht="14.25" customHeight="1" spans="1:5">
      <c r="A380" s="5339" t="str">
        <f>B_Stanja!AG102</f>
        <v>110</v>
      </c>
      <c r="B380" s="5327" t="str">
        <f>IF(Baza!$C$22="engleski",E380,(IF(Baza!$C$22="bosanski",C380,D380)))</f>
        <v>Ostale rezerve</v>
      </c>
      <c r="C380" s="5328" t="s">
        <v>3173</v>
      </c>
      <c r="D380" s="5329" t="s">
        <v>3173</v>
      </c>
      <c r="E380" s="5338" t="s">
        <v>3174</v>
      </c>
    </row>
    <row r="381" ht="14.25" customHeight="1" spans="1:5">
      <c r="A381" s="5339" t="str">
        <f>B_Stanja!AG103</f>
        <v>111</v>
      </c>
      <c r="B381" s="5327" t="str">
        <f>IF(Baza!$C$22="engleski",E381,(IF(Baza!$C$22="bosanski",C381,D381)))</f>
        <v>Revalorizacione rezerve (112 do 114)</v>
      </c>
      <c r="C381" s="5328" t="s">
        <v>3175</v>
      </c>
      <c r="D381" s="5329" t="s">
        <v>3175</v>
      </c>
      <c r="E381" s="5338" t="s">
        <v>3176</v>
      </c>
    </row>
    <row r="382" ht="14.25" customHeight="1" spans="1:5">
      <c r="A382" s="5339" t="str">
        <f>B_Stanja!AG104</f>
        <v>112</v>
      </c>
      <c r="B382" s="5327" t="str">
        <f>IF(Baza!$C$22="engleski",E382,(IF(Baza!$C$22="bosanski",C382,D382)))</f>
        <v>Revalorizacione rezerve za nekretnine, postrojenja i opremu</v>
      </c>
      <c r="C382" s="5328" t="s">
        <v>3177</v>
      </c>
      <c r="D382" s="5329" t="s">
        <v>3178</v>
      </c>
      <c r="E382" s="5338" t="s">
        <v>3179</v>
      </c>
    </row>
    <row r="383" ht="14.25" customHeight="1" spans="1:5">
      <c r="A383" s="5339" t="str">
        <f>B_Stanja!AG105</f>
        <v>113</v>
      </c>
      <c r="B383" s="5327" t="str">
        <f>IF(Baza!$C$22="engleski",E383,(IF(Baza!$C$22="bosanski",C383,D383)))</f>
        <v>Revalorizacione rezerve za finansijsku imovinu mjerenu po fer vrijednosti kroz ostali ukupni rezultat</v>
      </c>
      <c r="C383" s="5328" t="s">
        <v>3180</v>
      </c>
      <c r="D383" s="5329" t="s">
        <v>3181</v>
      </c>
      <c r="E383" s="5338" t="s">
        <v>3182</v>
      </c>
    </row>
    <row r="384" ht="14.25" customHeight="1" spans="1:5">
      <c r="A384" s="5339" t="str">
        <f>B_Stanja!AG106</f>
        <v>114</v>
      </c>
      <c r="B384" s="5327" t="str">
        <f>IF(Baza!$C$22="engleski",E384,(IF(Baza!$C$22="bosanski",C384,D384)))</f>
        <v>Ostale revalorizacione rezerve</v>
      </c>
      <c r="C384" s="5328" t="s">
        <v>3183</v>
      </c>
      <c r="D384" s="5329" t="s">
        <v>3184</v>
      </c>
      <c r="E384" s="5338" t="s">
        <v>3185</v>
      </c>
    </row>
    <row r="385" ht="14.25" customHeight="1" spans="1:5">
      <c r="A385" s="5339" t="str">
        <f>B_Stanja!AG107</f>
        <v>115</v>
      </c>
      <c r="B385" s="5327" t="str">
        <f>IF(Baza!$C$22="engleski",E385,(IF(Baza!$C$22="bosanski",C385,D385)))</f>
        <v>Dobit (116+117)</v>
      </c>
      <c r="C385" s="5328" t="s">
        <v>3186</v>
      </c>
      <c r="D385" s="5329" t="s">
        <v>3186</v>
      </c>
      <c r="E385" s="5338" t="s">
        <v>3187</v>
      </c>
    </row>
    <row r="386" ht="14.25" customHeight="1" spans="1:5">
      <c r="A386" s="5339" t="str">
        <f>B_Stanja!AG108</f>
        <v>116</v>
      </c>
      <c r="B386" s="5327" t="str">
        <f>IF(Baza!$C$22="engleski",E386,(IF(Baza!$C$22="bosanski",C386,D386)))</f>
        <v>Akumulirana, neraspoređena dobit iz prethodnih perioda</v>
      </c>
      <c r="C386" s="5328" t="s">
        <v>2703</v>
      </c>
      <c r="D386" s="5329" t="s">
        <v>2704</v>
      </c>
      <c r="E386" s="5338" t="s">
        <v>2705</v>
      </c>
    </row>
    <row r="387" ht="14.25" customHeight="1" spans="1:5">
      <c r="A387" s="5339" t="str">
        <f>B_Stanja!AG109</f>
        <v>117</v>
      </c>
      <c r="B387" s="5327" t="str">
        <f>IF(Baza!$C$22="engleski",E387,(IF(Baza!$C$22="bosanski",C387,D387)))</f>
        <v>Dobit tekućeg perioda</v>
      </c>
      <c r="C387" s="5328" t="s">
        <v>2706</v>
      </c>
      <c r="D387" s="5329" t="s">
        <v>2707</v>
      </c>
      <c r="E387" s="5338" t="s">
        <v>2708</v>
      </c>
    </row>
    <row r="388" ht="14.25" customHeight="1" spans="1:5">
      <c r="A388" s="5339" t="str">
        <f>B_Stanja!AG110</f>
        <v>118</v>
      </c>
      <c r="B388" s="5327" t="str">
        <f>IF(Baza!$C$22="engleski",E388,(IF(Baza!$C$22="bosanski",C388,D388)))</f>
        <v>Gubitak (119+120)</v>
      </c>
      <c r="C388" s="5328" t="s">
        <v>3188</v>
      </c>
      <c r="D388" s="5329" t="s">
        <v>3188</v>
      </c>
      <c r="E388" s="5338" t="s">
        <v>3189</v>
      </c>
    </row>
    <row r="389" ht="14.25" customHeight="1" spans="1:5">
      <c r="A389" s="5339" t="str">
        <f>B_Stanja!AG111</f>
        <v>119</v>
      </c>
      <c r="B389" s="5327" t="str">
        <f>IF(Baza!$C$22="engleski",E389,(IF(Baza!$C$22="bosanski",C389,D389)))</f>
        <v>Akumulirani, nepokriveni gubici iz prethodnih perioda</v>
      </c>
      <c r="C389" s="5328" t="s">
        <v>2711</v>
      </c>
      <c r="D389" s="5329" t="s">
        <v>2712</v>
      </c>
      <c r="E389" s="5338" t="s">
        <v>2713</v>
      </c>
    </row>
    <row r="390" ht="14.25" customHeight="1" spans="1:5">
      <c r="A390" s="5339" t="str">
        <f>B_Stanja!AG112</f>
        <v>120</v>
      </c>
      <c r="B390" s="5327" t="str">
        <f>IF(Baza!$C$22="engleski",E390,(IF(Baza!$C$22="bosanski",C390,D390)))</f>
        <v>Gubitak tekućeg perioda</v>
      </c>
      <c r="C390" s="5328" t="s">
        <v>2714</v>
      </c>
      <c r="D390" s="5329" t="s">
        <v>2715</v>
      </c>
      <c r="E390" s="5338" t="s">
        <v>2716</v>
      </c>
    </row>
    <row r="391" ht="14.25" customHeight="1" spans="1:5">
      <c r="A391" s="5339" t="str">
        <f>B_Stanja!AG113</f>
        <v>121</v>
      </c>
      <c r="B391" s="5327" t="str">
        <f>IF(Baza!$C$22="engleski",E391,(IF(Baza!$C$22="bosanski",C391,D391)))</f>
        <v>Kapital koji pripada vlasnicima matičnog društva (101+107+108+111+115-118)</v>
      </c>
      <c r="C391" s="5328" t="s">
        <v>3190</v>
      </c>
      <c r="D391" s="5329" t="s">
        <v>3190</v>
      </c>
      <c r="E391" s="5338" t="s">
        <v>3191</v>
      </c>
    </row>
    <row r="392" ht="14.25" customHeight="1" spans="1:5">
      <c r="A392" s="5339" t="str">
        <f>B_Stanja!AG114</f>
        <v>122</v>
      </c>
      <c r="B392" s="5327" t="str">
        <f>IF(Baza!$C$22="engleski",E392,(IF(Baza!$C$22="bosanski",C392,D392)))</f>
        <v>Kapital koji pripada vlasnicima manjinskih interesa</v>
      </c>
      <c r="C392" s="5328" t="s">
        <v>3192</v>
      </c>
      <c r="D392" s="5329" t="s">
        <v>3192</v>
      </c>
      <c r="E392" s="5338" t="s">
        <v>3193</v>
      </c>
    </row>
    <row r="393" ht="14.25" customHeight="1" spans="1:5">
      <c r="A393" s="5339" t="str">
        <f>B_Stanja!AG115</f>
        <v>123</v>
      </c>
      <c r="B393" s="5327" t="str">
        <f>IF(Baza!$C$22="engleski",E393,(IF(Baza!$C$22="bosanski",C393,D393)))</f>
        <v>UKUPNO KAPITAL (121+122)</v>
      </c>
      <c r="C393" s="5328" t="s">
        <v>3194</v>
      </c>
      <c r="D393" s="5329" t="s">
        <v>3194</v>
      </c>
      <c r="E393" s="5338" t="s">
        <v>3195</v>
      </c>
    </row>
    <row r="394" ht="14.25" customHeight="1" spans="1:5">
      <c r="A394" s="5339"/>
      <c r="B394" s="5327" t="str">
        <f>IF(Baza!$C$22="engleski",E394,(IF(Baza!$C$22="bosanski",C394,D394)))</f>
        <v>OBAVEZE</v>
      </c>
      <c r="C394" s="5328" t="s">
        <v>2719</v>
      </c>
      <c r="D394" s="5329" t="s">
        <v>2719</v>
      </c>
      <c r="E394" s="5338" t="s">
        <v>2721</v>
      </c>
    </row>
    <row r="395" ht="14.25" customHeight="1" spans="1:5">
      <c r="A395" s="5339" t="str">
        <f>B_Stanja!AG125</f>
        <v>124</v>
      </c>
      <c r="B395" s="5327" t="str">
        <f>IF(Baza!$C$22="engleski",E395,(IF(Baza!$C$22="bosanski",C395,D395)))</f>
        <v>Dugoročne obaveze (125+130+131+132)</v>
      </c>
      <c r="C395" s="5328" t="s">
        <v>3196</v>
      </c>
      <c r="D395" s="5329" t="s">
        <v>3196</v>
      </c>
      <c r="E395" s="5338" t="s">
        <v>3197</v>
      </c>
    </row>
    <row r="396" ht="14.25" customHeight="1" spans="1:5">
      <c r="A396" s="5339" t="str">
        <f>B_Stanja!AG126</f>
        <v>125</v>
      </c>
      <c r="B396" s="5327" t="str">
        <f>IF(Baza!$C$22="engleski",E396,(IF(Baza!$C$22="bosanski",C396,D396)))</f>
        <v>Finansijske obaveze po amortizovanom trošku (126 do 129)</v>
      </c>
      <c r="C396" s="5328" t="s">
        <v>3198</v>
      </c>
      <c r="D396" s="5329" t="s">
        <v>3199</v>
      </c>
      <c r="E396" s="5338" t="s">
        <v>3200</v>
      </c>
    </row>
    <row r="397" ht="14.25" customHeight="1" spans="1:5">
      <c r="A397" s="5339" t="str">
        <f>B_Stanja!AG127</f>
        <v>126</v>
      </c>
      <c r="B397" s="5327" t="str">
        <f>IF(Baza!$C$22="engleski",E397,(IF(Baza!$C$22="bosanski",C397,D397)))</f>
        <v>Obaveze po uzetim kreditima</v>
      </c>
      <c r="C397" s="5328" t="s">
        <v>3201</v>
      </c>
      <c r="D397" s="5329" t="s">
        <v>3202</v>
      </c>
      <c r="E397" s="5338" t="s">
        <v>3203</v>
      </c>
    </row>
    <row r="398" ht="14.25" customHeight="1" spans="1:5">
      <c r="A398" s="5339" t="str">
        <f>B_Stanja!AG128</f>
        <v>127</v>
      </c>
      <c r="B398" s="5327" t="str">
        <f>IF(Baza!$C$22="engleski",E398,(IF(Baza!$C$22="bosanski",C398,D398)))</f>
        <v>Obaveze po osnovu najmova</v>
      </c>
      <c r="C398" s="5328" t="s">
        <v>3204</v>
      </c>
      <c r="D398" s="5329" t="s">
        <v>3205</v>
      </c>
      <c r="E398" s="5338" t="s">
        <v>3206</v>
      </c>
    </row>
    <row r="399" ht="14.25" customHeight="1" spans="1:5">
      <c r="A399" s="5339" t="str">
        <f>B_Stanja!AG129</f>
        <v>128</v>
      </c>
      <c r="B399" s="5327" t="str">
        <f>IF(Baza!$C$22="engleski",E399,(IF(Baza!$C$22="bosanski",C399,D399)))</f>
        <v>Obaveze po izdatim dužničkim instrumentima</v>
      </c>
      <c r="C399" s="5328" t="s">
        <v>3207</v>
      </c>
      <c r="D399" s="5329" t="s">
        <v>3208</v>
      </c>
      <c r="E399" s="5338" t="s">
        <v>3209</v>
      </c>
    </row>
    <row r="400" ht="14.25" customHeight="1" spans="1:5">
      <c r="A400" s="5339" t="str">
        <f>B_Stanja!AG130</f>
        <v>129</v>
      </c>
      <c r="B400" s="5327" t="str">
        <f>IF(Baza!$C$22="engleski",E400,(IF(Baza!$C$22="bosanski",C400,D400)))</f>
        <v>Ostale finansijske obaveze po amortizovanom trošku</v>
      </c>
      <c r="C400" s="5328" t="s">
        <v>3210</v>
      </c>
      <c r="D400" s="5329" t="s">
        <v>3211</v>
      </c>
      <c r="E400" s="5338" t="s">
        <v>3212</v>
      </c>
    </row>
    <row r="401" ht="14.25" customHeight="1" spans="1:5">
      <c r="A401" s="5339" t="str">
        <f>B_Stanja!AG131</f>
        <v>130</v>
      </c>
      <c r="B401" s="5327" t="str">
        <f>IF(Baza!$C$22="engleski",E401,(IF(Baza!$C$22="bosanski",C401,D401)))</f>
        <v>Odgođeni prihod</v>
      </c>
      <c r="C401" s="5328" t="s">
        <v>3213</v>
      </c>
      <c r="D401" s="5329" t="s">
        <v>3213</v>
      </c>
      <c r="E401" s="5338" t="s">
        <v>3214</v>
      </c>
    </row>
    <row r="402" ht="14.25" customHeight="1" spans="1:5">
      <c r="A402" s="5339" t="str">
        <f>B_Stanja!AG132</f>
        <v>131</v>
      </c>
      <c r="B402" s="5327" t="str">
        <f>IF(Baza!$C$22="engleski",E402,(IF(Baza!$C$22="bosanski",C402,D402)))</f>
        <v>Rezervisanja</v>
      </c>
      <c r="C402" s="5328" t="s">
        <v>2728</v>
      </c>
      <c r="D402" s="5329" t="s">
        <v>2729</v>
      </c>
      <c r="E402" s="5338" t="s">
        <v>2730</v>
      </c>
    </row>
    <row r="403" ht="14.25" customHeight="1" spans="1:5">
      <c r="A403" s="5339" t="str">
        <f>B_Stanja!AG133</f>
        <v>132</v>
      </c>
      <c r="B403" s="5327" t="str">
        <f>IF(Baza!$C$22="engleski",E403,(IF(Baza!$C$22="bosanski",C403,D403)))</f>
        <v>Ostale obaveze, uključujući i razgraničenja</v>
      </c>
      <c r="C403" s="5328" t="s">
        <v>2731</v>
      </c>
      <c r="D403" s="5329" t="s">
        <v>2732</v>
      </c>
      <c r="E403" s="5338" t="s">
        <v>2733</v>
      </c>
    </row>
    <row r="404" ht="14.25" customHeight="1" spans="1:5">
      <c r="A404" s="5339" t="str">
        <f>B_Stanja!AG134</f>
        <v>133</v>
      </c>
      <c r="B404" s="5327" t="str">
        <f>IF(Baza!$C$22="engleski",E404,(IF(Baza!$C$22="bosanski",C404,D404)))</f>
        <v>Odgođene porezne obaveze</v>
      </c>
      <c r="C404" s="5328" t="s">
        <v>3215</v>
      </c>
      <c r="D404" s="5329" t="s">
        <v>3216</v>
      </c>
      <c r="E404" s="5338" t="s">
        <v>3217</v>
      </c>
    </row>
    <row r="405" ht="14.25" customHeight="1" spans="1:5">
      <c r="A405" s="5339" t="str">
        <f>B_Stanja!AG135</f>
        <v>134</v>
      </c>
      <c r="B405" s="5327" t="str">
        <f>IF(Baza!$C$22="engleski",E405,(IF(Baza!$C$22="bosanski",C405,D405)))</f>
        <v>Kratkoročne obaveze (135+142+143+144+145+146+147)</v>
      </c>
      <c r="C405" s="5328" t="s">
        <v>3218</v>
      </c>
      <c r="D405" s="5329" t="s">
        <v>3218</v>
      </c>
      <c r="E405" s="5338" t="s">
        <v>3219</v>
      </c>
    </row>
    <row r="406" ht="14.25" customHeight="1" spans="1:5">
      <c r="A406" s="5339" t="str">
        <f>B_Stanja!AG136</f>
        <v>135</v>
      </c>
      <c r="B406" s="5327" t="str">
        <f>IF(Baza!$C$22="engleski",E406,(IF(Baza!$C$22="bosanski",C406,D406)))</f>
        <v>Finansijske obaveze po amortizovanom trošku (136 do 141)</v>
      </c>
      <c r="C406" s="5328" t="s">
        <v>3220</v>
      </c>
      <c r="D406" s="5329" t="s">
        <v>3221</v>
      </c>
      <c r="E406" s="5338" t="s">
        <v>3222</v>
      </c>
    </row>
    <row r="407" ht="14.25" customHeight="1" spans="1:5">
      <c r="A407" s="5339" t="str">
        <f>B_Stanja!AG137</f>
        <v>136</v>
      </c>
      <c r="B407" s="5327" t="str">
        <f>IF(Baza!$C$22="engleski",E407,(IF(Baza!$C$22="bosanski",C407,D407)))</f>
        <v>Obaveze prema dobavljačima</v>
      </c>
      <c r="C407" s="5328" t="s">
        <v>3223</v>
      </c>
      <c r="D407" s="5329" t="s">
        <v>3224</v>
      </c>
      <c r="E407" s="5338" t="s">
        <v>3225</v>
      </c>
    </row>
    <row r="408" ht="14.25" customHeight="1" spans="1:5">
      <c r="A408" s="5339" t="str">
        <f>B_Stanja!AG138</f>
        <v>137</v>
      </c>
      <c r="B408" s="5327" t="str">
        <f>IF(Baza!$C$22="engleski",E408,(IF(Baza!$C$22="bosanski",C408,D408)))</f>
        <v>Ugovorne obaveze</v>
      </c>
      <c r="C408" s="5328" t="s">
        <v>3226</v>
      </c>
      <c r="D408" s="5329" t="s">
        <v>3227</v>
      </c>
      <c r="E408" s="5338" t="s">
        <v>3228</v>
      </c>
    </row>
    <row r="409" ht="14.25" customHeight="1" spans="1:5">
      <c r="A409" s="5339" t="str">
        <f>B_Stanja!AG139</f>
        <v>138</v>
      </c>
      <c r="B409" s="5327" t="str">
        <f>IF(Baza!$C$22="engleski",E409,(IF(Baza!$C$22="bosanski",C409,D409)))</f>
        <v>Obaveze po uzetim kreditima</v>
      </c>
      <c r="C409" s="5328" t="s">
        <v>3201</v>
      </c>
      <c r="D409" s="5329" t="s">
        <v>3202</v>
      </c>
      <c r="E409" s="5338" t="s">
        <v>3203</v>
      </c>
    </row>
    <row r="410" ht="14.25" customHeight="1" spans="1:5">
      <c r="A410" s="5339" t="str">
        <f>B_Stanja!AG140</f>
        <v>139</v>
      </c>
      <c r="B410" s="5327" t="str">
        <f>IF(Baza!$C$22="engleski",E410,(IF(Baza!$C$22="bosanski",C410,D410)))</f>
        <v>Obaveze po osnovu najmova</v>
      </c>
      <c r="C410" s="5328" t="s">
        <v>3204</v>
      </c>
      <c r="D410" s="5329" t="s">
        <v>3229</v>
      </c>
      <c r="E410" s="5338" t="s">
        <v>3230</v>
      </c>
    </row>
    <row r="411" ht="14.25" customHeight="1" spans="1:5">
      <c r="A411" s="5339" t="str">
        <f>B_Stanja!AG141</f>
        <v>140</v>
      </c>
      <c r="B411" s="5327" t="str">
        <f>IF(Baza!$C$22="engleski",E411,(IF(Baza!$C$22="bosanski",C411,D411)))</f>
        <v>Obaveze po izdatim dužničkim instrumentima</v>
      </c>
      <c r="C411" s="5328" t="s">
        <v>3207</v>
      </c>
      <c r="D411" s="5329" t="s">
        <v>3231</v>
      </c>
      <c r="E411" s="5338" t="s">
        <v>3209</v>
      </c>
    </row>
    <row r="412" ht="14.25" customHeight="1" spans="1:5">
      <c r="A412" s="5339" t="str">
        <f>B_Stanja!AG142</f>
        <v>141</v>
      </c>
      <c r="B412" s="5327" t="str">
        <f>IF(Baza!$C$22="engleski",E412,(IF(Baza!$C$22="bosanski",C412,D412)))</f>
        <v>Ostale finansijske obaveze po amortizovanom trošku</v>
      </c>
      <c r="C412" s="5328" t="s">
        <v>3210</v>
      </c>
      <c r="D412" s="5329" t="s">
        <v>3211</v>
      </c>
      <c r="E412" s="5338" t="s">
        <v>3212</v>
      </c>
    </row>
    <row r="413" ht="14.25" customHeight="1" spans="1:5">
      <c r="A413" s="5339" t="str">
        <f>B_Stanja!AG143</f>
        <v>142</v>
      </c>
      <c r="B413" s="5327" t="str">
        <f>IF(Baza!$C$22="engleski",E413,(IF(Baza!$C$22="bosanski",C413,D413)))</f>
        <v>Finansijske obaveze po fer vrijednosti kroz bilans uspjeha</v>
      </c>
      <c r="C413" s="5328" t="s">
        <v>3232</v>
      </c>
      <c r="D413" s="5329" t="s">
        <v>3233</v>
      </c>
      <c r="E413" s="5338" t="s">
        <v>3234</v>
      </c>
    </row>
    <row r="414" ht="14.25" customHeight="1" spans="1:5">
      <c r="A414" s="5339" t="str">
        <f>B_Stanja!AG144</f>
        <v>143</v>
      </c>
      <c r="B414" s="5327" t="str">
        <f>IF(Baza!$C$22="engleski",E414,(IF(Baza!$C$22="bosanski",C414,D414)))</f>
        <v>Derivatni finansijski instrumenti</v>
      </c>
      <c r="C414" s="5328" t="s">
        <v>3146</v>
      </c>
      <c r="D414" s="5329" t="s">
        <v>3147</v>
      </c>
      <c r="E414" s="5338" t="s">
        <v>3148</v>
      </c>
    </row>
    <row r="415" ht="14.25" customHeight="1" spans="1:5">
      <c r="A415" s="5339" t="str">
        <f>B_Stanja!AG145</f>
        <v>144</v>
      </c>
      <c r="B415" s="5327" t="str">
        <f>IF(Baza!$C$22="engleski",E415,(IF(Baza!$C$22="bosanski",C415,D415)))</f>
        <v>Odgođeni prihod</v>
      </c>
      <c r="C415" s="5328" t="s">
        <v>3213</v>
      </c>
      <c r="D415" s="5329" t="s">
        <v>3213</v>
      </c>
      <c r="E415" s="5338" t="s">
        <v>3214</v>
      </c>
    </row>
    <row r="416" ht="14.25" customHeight="1" spans="1:5">
      <c r="A416" s="5339" t="str">
        <f>B_Stanja!AG146</f>
        <v>145</v>
      </c>
      <c r="B416" s="5327" t="str">
        <f>IF(Baza!$C$22="engleski",E416,(IF(Baza!$C$22="bosanski",C416,D416)))</f>
        <v>Rezervisanja</v>
      </c>
      <c r="C416" s="5328" t="s">
        <v>2728</v>
      </c>
      <c r="D416" s="5329" t="s">
        <v>2729</v>
      </c>
      <c r="E416" s="5338" t="s">
        <v>2730</v>
      </c>
    </row>
    <row r="417" ht="14.25" customHeight="1" spans="1:5">
      <c r="A417" s="5339" t="str">
        <f>B_Stanja!AG147</f>
        <v>146</v>
      </c>
      <c r="B417" s="5327" t="str">
        <f>IF(Baza!$C$22="engleski",E417,(IF(Baza!$C$22="bosanski",C417,D417)))</f>
        <v>Obaveze za porez na dobit</v>
      </c>
      <c r="C417" s="5328" t="s">
        <v>2743</v>
      </c>
      <c r="D417" s="5329" t="s">
        <v>2744</v>
      </c>
      <c r="E417" s="5338" t="s">
        <v>2745</v>
      </c>
    </row>
    <row r="418" ht="14.25" customHeight="1" spans="1:5">
      <c r="A418" s="5339" t="str">
        <f>B_Stanja!AG148</f>
        <v>147</v>
      </c>
      <c r="B418" s="5327" t="str">
        <f>IF(Baza!$C$22="engleski",E418,(IF(Baza!$C$22="bosanski",C418,D418)))</f>
        <v>Ostale obaveze, uključujući i razgraničenja</v>
      </c>
      <c r="C418" s="5328" t="s">
        <v>2731</v>
      </c>
      <c r="D418" s="5329" t="s">
        <v>2732</v>
      </c>
      <c r="E418" s="5338" t="s">
        <v>2733</v>
      </c>
    </row>
    <row r="419" ht="14.25" customHeight="1" spans="1:5">
      <c r="A419" s="5339" t="str">
        <f>B_Stanja!AG149</f>
        <v>148</v>
      </c>
      <c r="B419" s="5327" t="str">
        <f>IF(Baza!$C$22="engleski",E419,(IF(Baza!$C$22="bosanski",C419,D419)))</f>
        <v>UKUPNO OBAVEZE (124+133+134)</v>
      </c>
      <c r="C419" s="5328" t="s">
        <v>3235</v>
      </c>
      <c r="D419" s="5329" t="s">
        <v>3235</v>
      </c>
      <c r="E419" s="5338" t="s">
        <v>3236</v>
      </c>
    </row>
    <row r="420" ht="14.25" customHeight="1" spans="1:5">
      <c r="A420" s="5339" t="str">
        <f>B_Stanja!AG150</f>
        <v>149</v>
      </c>
      <c r="B420" s="5327" t="str">
        <f>IF(Baza!$C$22="engleski",E420,(IF(Baza!$C$22="bosanski",C420,D420)))</f>
        <v>UKUPNO KAPITAL I OBAVEZE (123+148)</v>
      </c>
      <c r="C420" s="5328" t="s">
        <v>3237</v>
      </c>
      <c r="D420" s="5329" t="s">
        <v>3237</v>
      </c>
      <c r="E420" s="5338" t="s">
        <v>3238</v>
      </c>
    </row>
    <row r="421" ht="14.25" customHeight="1" spans="1:5">
      <c r="A421" s="5339" t="str">
        <f>B_Stanja!AG151</f>
        <v>150</v>
      </c>
      <c r="B421" s="5327" t="str">
        <f>IF(Baza!$C$22="engleski",E421,(IF(Baza!$C$22="bosanski",C421,D421)))</f>
        <v>VANBILANSNA EVIDENCIJA</v>
      </c>
      <c r="C421" s="5328" t="s">
        <v>2684</v>
      </c>
      <c r="D421" s="5329" t="s">
        <v>2684</v>
      </c>
      <c r="E421" s="5338" t="s">
        <v>2686</v>
      </c>
    </row>
    <row r="422" ht="14.25" customHeight="1" spans="1:5">
      <c r="A422" s="5339" t="str">
        <f>B_Stanja!AG152</f>
        <v>151</v>
      </c>
      <c r="B422" s="5327" t="str">
        <f>IF(Baza!$C$22="engleski",E422,(IF(Baza!$C$22="bosanski",C422,D422)))</f>
        <v>UKUPNO KAPITAL, OBAVEZE I VANBILANSNA EVIDENCIJA (149+150)</v>
      </c>
      <c r="C422" s="5328" t="s">
        <v>3239</v>
      </c>
      <c r="D422" s="5329" t="s">
        <v>3239</v>
      </c>
      <c r="E422" s="5338" t="s">
        <v>3240</v>
      </c>
    </row>
    <row r="423" ht="14.25" customHeight="1" spans="1:5">
      <c r="A423" s="5339"/>
      <c r="B423" s="5336"/>
      <c r="C423" s="5336"/>
      <c r="D423" s="5336"/>
    </row>
    <row r="424" ht="14.25" customHeight="1" spans="1:5">
      <c r="A424" s="5339"/>
      <c r="B424" s="5336"/>
      <c r="C424" s="5336"/>
      <c r="D424" s="5336"/>
    </row>
    <row r="425" spans="1:5">
      <c r="A425" s="5320"/>
      <c r="B425" s="5321" t="str">
        <f>IF(Baza!$C$22="engleski",E425,(IF(Baza!$C$22="bosanski",C425,D425)))</f>
        <v>IZVJEŠTJ O TOKOVIMA GOTOVINE</v>
      </c>
      <c r="C425" s="5322" t="s">
        <v>3241</v>
      </c>
      <c r="D425" s="5323" t="s">
        <v>3242</v>
      </c>
      <c r="E425" s="5337" t="s">
        <v>3243</v>
      </c>
    </row>
    <row r="426" spans="1:5">
      <c r="A426" s="5341" t="s">
        <v>2755</v>
      </c>
      <c r="B426" s="5321" t="str">
        <f>IF(Baza!$C$22="engleski",E426,(IF(Baza!$C$22="bosanski",C426,D426)))</f>
        <v>(IZVJEŠTAJ O GOTOVINSKIM TOKOVIMA)</v>
      </c>
      <c r="C426" s="5322" t="s">
        <v>3244</v>
      </c>
      <c r="D426" s="5323" t="s">
        <v>3245</v>
      </c>
      <c r="E426" s="5337" t="s">
        <v>3246</v>
      </c>
    </row>
    <row r="427" spans="1:5">
      <c r="A427" s="5320"/>
      <c r="B427" s="5321" t="str">
        <f>IF(Baza!$C$22="engleski",E427,(IF(Baza!$C$22="bosanski",C427,D427)))</f>
        <v>(Direktna metoda)</v>
      </c>
      <c r="C427" s="5344" t="s">
        <v>3247</v>
      </c>
      <c r="D427" s="5345" t="s">
        <v>3248</v>
      </c>
      <c r="E427" s="5337" t="s">
        <v>3249</v>
      </c>
    </row>
    <row r="428" ht="14.25" customHeight="1" spans="1:5">
      <c r="A428" s="5320"/>
      <c r="B428" s="5346" t="str">
        <f ca="1">IF(Baza!$C$22="engleski",E428,(IF(Baza!$C$22="bosanski",C428,D428)))</f>
        <v>za period od 01.01.2025. do 31.12.2025. godine</v>
      </c>
      <c r="C428" s="5326" t="str">
        <f ca="1">"za period od "&amp;PeriodOd&amp;". do "&amp;PeriodDo&amp;". godine"</f>
        <v>za period od 01.01.2025. do 31.12.2025. godine</v>
      </c>
      <c r="D428" s="5323" t="str">
        <f ca="1">"za razdoblje od "&amp;PeriodOd&amp;". do "&amp;PeriodDo&amp;". godine"</f>
        <v>za razdoblje od 01.01.2025. do 31.12.2025. godine</v>
      </c>
      <c r="E428" s="5324" t="str">
        <f ca="1">"for period from  "&amp;PeriodOd&amp;". to "&amp;PeriodDo&amp;".years"</f>
        <v>for period from  01.01.2025. to 31.12.2025.years</v>
      </c>
    </row>
    <row r="429" ht="14.25" customHeight="1" spans="1:5">
      <c r="B429" s="5327" t="str">
        <f>IF(Baza!$C$22="engleski",E429,(IF(Baza!$C$22="bosanski",C429,D429)))</f>
        <v>GOTOVINSKI TOKOVI IZ POSLOVNIH AKTIVNOSTI</v>
      </c>
      <c r="C429" s="5328" t="s">
        <v>3250</v>
      </c>
      <c r="D429" s="5347" t="s">
        <v>3250</v>
      </c>
      <c r="E429" s="5330" t="s">
        <v>3251</v>
      </c>
    </row>
    <row r="430" ht="14.25" customHeight="1" spans="1:5">
      <c r="A430" s="5339" t="str">
        <f>GotTok_Direkt!AF21</f>
        <v>401</v>
      </c>
      <c r="B430" s="5327" t="str">
        <f>IF(Baza!$C$22="engleski",E430,(IF(Baza!$C$22="bosanski",C430,D430)))</f>
        <v>Prilivi od kupaca</v>
      </c>
      <c r="C430" s="5328" t="s">
        <v>3252</v>
      </c>
      <c r="D430" s="5347" t="s">
        <v>3253</v>
      </c>
      <c r="E430" s="5330" t="s">
        <v>3254</v>
      </c>
    </row>
    <row r="431" ht="14.25" customHeight="1" spans="1:5">
      <c r="A431" s="5339" t="str">
        <f>GotTok_Direkt!AF22</f>
        <v>402</v>
      </c>
      <c r="B431" s="5327" t="str">
        <f>IF(Baza!$C$22="engleski",E431,(IF(Baza!$C$22="bosanski",C431,D431)))</f>
        <v>Odlivi po osnovu plaćanja zaposlenima</v>
      </c>
      <c r="C431" s="5328" t="s">
        <v>3255</v>
      </c>
      <c r="D431" s="5347" t="s">
        <v>3256</v>
      </c>
      <c r="E431" s="5330" t="s">
        <v>3257</v>
      </c>
    </row>
    <row r="432" ht="14.25" customHeight="1" spans="1:5">
      <c r="A432" s="5339" t="str">
        <f>GotTok_Direkt!AF23</f>
        <v>403</v>
      </c>
      <c r="B432" s="5327" t="str">
        <f>IF(Baza!$C$22="engleski",E432,(IF(Baza!$C$22="bosanski",C432,D432)))</f>
        <v>Odlivi po osnovu plaćanja dobavljačima, po osnovu poslovnih aktivnosti</v>
      </c>
      <c r="C432" s="5328" t="s">
        <v>3258</v>
      </c>
      <c r="D432" s="5347" t="s">
        <v>3259</v>
      </c>
      <c r="E432" s="5330" t="s">
        <v>3260</v>
      </c>
    </row>
    <row r="433" ht="14.25" customHeight="1" spans="1:5">
      <c r="A433" s="5339" t="str">
        <f>GotTok_Direkt!AF24</f>
        <v>404</v>
      </c>
      <c r="B433" s="5327" t="str">
        <f>IF(Baza!$C$22="engleski",E433,(IF(Baza!$C$22="bosanski",C433,D433)))</f>
        <v>Odlivi po osnovu ostalih troškova, nastalih po osnovu poslovnih aktivnosti</v>
      </c>
      <c r="C433" s="5328" t="s">
        <v>3261</v>
      </c>
      <c r="D433" s="5347" t="s">
        <v>3262</v>
      </c>
      <c r="E433" s="5330" t="s">
        <v>3263</v>
      </c>
    </row>
    <row r="434" ht="14.25" customHeight="1" spans="1:5">
      <c r="A434" s="5339" t="str">
        <f>GotTok_Direkt!AF25</f>
        <v>405</v>
      </c>
      <c r="B434" s="5327" t="str">
        <f>IF(Baza!$C$22="engleski",E434,(IF(Baza!$C$22="bosanski",C434,D434)))</f>
        <v>Odlivi po osnovu plaćanja poreza na dobit</v>
      </c>
      <c r="C434" s="5328" t="s">
        <v>3264</v>
      </c>
      <c r="D434" s="5347" t="s">
        <v>3265</v>
      </c>
      <c r="E434" s="5330" t="s">
        <v>3266</v>
      </c>
    </row>
    <row r="435" ht="14.25" customHeight="1" spans="1:5">
      <c r="A435" s="5339" t="str">
        <f>GotTok_Direkt!AF26</f>
        <v>406</v>
      </c>
      <c r="B435" s="5327" t="str">
        <f>IF(Baza!$C$22="engleski",E435,(IF(Baza!$C$22="bosanski",C435,D435)))</f>
        <v>Ostali prilivi iz poslovnih aktivnosti</v>
      </c>
      <c r="C435" s="5328" t="s">
        <v>3267</v>
      </c>
      <c r="D435" s="5347" t="s">
        <v>3268</v>
      </c>
      <c r="E435" s="5330" t="s">
        <v>3269</v>
      </c>
    </row>
    <row r="436" ht="14.25" customHeight="1" spans="1:5">
      <c r="A436" s="5339" t="str">
        <f>GotTok_Direkt!AF27</f>
        <v>407</v>
      </c>
      <c r="B436" s="5327" t="str">
        <f>IF(Baza!$C$22="engleski",E436,(IF(Baza!$C$22="bosanski",C436,D436)))</f>
        <v>Ostali odlivi iz poslovnih aktivnosti</v>
      </c>
      <c r="C436" s="5328" t="s">
        <v>3270</v>
      </c>
      <c r="D436" s="5347" t="s">
        <v>3271</v>
      </c>
      <c r="E436" s="5330" t="s">
        <v>3272</v>
      </c>
    </row>
    <row r="437" ht="14.25" customHeight="1" spans="1:5">
      <c r="A437" s="5339" t="str">
        <f>GotTok_Direkt!AF28</f>
        <v>408</v>
      </c>
      <c r="B437" s="5327" t="str">
        <f>IF(Baza!$C$22="engleski",E437,(IF(Baza!$C$22="bosanski",C437,D437)))</f>
        <v>Neto gotovinski tok koji je generisan/(korišten) u poslovnim aktivnostima (401 do 407)</v>
      </c>
      <c r="C437" s="5328" t="s">
        <v>3273</v>
      </c>
      <c r="D437" s="5329" t="s">
        <v>3273</v>
      </c>
      <c r="E437" s="5330" t="s">
        <v>3274</v>
      </c>
    </row>
    <row r="438" ht="14.25" customHeight="1" spans="1:5">
      <c r="A438" s="5339">
        <f>GotTok_Direkt!AF29</f>
        <v>0</v>
      </c>
      <c r="B438" s="5327" t="str">
        <f>IF(Baza!$C$22="engleski",E438,(IF(Baza!$C$22="bosanski",C438,D438)))</f>
        <v>GOTOVINSKI TOKOVI IZ ULAGAČKIH AKTIVNOSTI</v>
      </c>
      <c r="C438" s="5328" t="s">
        <v>3275</v>
      </c>
      <c r="D438" s="5347" t="s">
        <v>3275</v>
      </c>
      <c r="E438" s="5330" t="s">
        <v>3276</v>
      </c>
    </row>
    <row r="439" ht="14.25" customHeight="1" spans="1:5">
      <c r="A439" s="5339" t="str">
        <f>GotTok_Direkt!AF30</f>
        <v>409</v>
      </c>
      <c r="B439" s="5327" t="str">
        <f>IF(Baza!$C$22="engleski",E439,(IF(Baza!$C$22="bosanski",C439,D439)))</f>
        <v>Odlivi po osnovu kupovine nekretnina, postrojenja i opreme</v>
      </c>
      <c r="C439" s="5328" t="s">
        <v>3277</v>
      </c>
      <c r="D439" s="5347" t="s">
        <v>3278</v>
      </c>
      <c r="E439" s="5330" t="s">
        <v>3279</v>
      </c>
    </row>
    <row r="440" ht="14.25" customHeight="1" spans="1:5">
      <c r="A440" s="5339" t="str">
        <f>GotTok_Direkt!AF31</f>
        <v>410</v>
      </c>
      <c r="B440" s="5327" t="str">
        <f>IF(Baza!$C$22="engleski",E440,(IF(Baza!$C$22="bosanski",C440,D440)))</f>
        <v>Prilivi po osnovu prodaje nekretnina, postrojenja i opreme</v>
      </c>
      <c r="C440" s="5328" t="s">
        <v>3280</v>
      </c>
      <c r="D440" s="5347" t="s">
        <v>3281</v>
      </c>
      <c r="E440" s="5330" t="s">
        <v>3282</v>
      </c>
    </row>
    <row r="441" ht="14.25" customHeight="1" spans="1:5">
      <c r="A441" s="5339" t="str">
        <f>GotTok_Direkt!AF32</f>
        <v>411</v>
      </c>
      <c r="B441" s="5327" t="str">
        <f>IF(Baza!$C$22="engleski",E441,(IF(Baza!$C$22="bosanski",C441,D441)))</f>
        <v>Odlivi po osnovu kupovine investicijskih nekretnina</v>
      </c>
      <c r="C441" s="5328" t="s">
        <v>3283</v>
      </c>
      <c r="D441" s="5347" t="s">
        <v>3284</v>
      </c>
      <c r="E441" s="5330" t="s">
        <v>3285</v>
      </c>
    </row>
    <row r="442" ht="14.25" customHeight="1" spans="1:5">
      <c r="A442" s="5339" t="str">
        <f>GotTok_Direkt!AF33</f>
        <v>412</v>
      </c>
      <c r="B442" s="5327" t="str">
        <f>IF(Baza!$C$22="engleski",E442,(IF(Baza!$C$22="bosanski",C442,D442)))</f>
        <v>Prilivi po osnovu prodaje investicijskih nekretnina</v>
      </c>
      <c r="C442" s="5328" t="s">
        <v>3286</v>
      </c>
      <c r="D442" s="5347" t="s">
        <v>3287</v>
      </c>
      <c r="E442" s="5330" t="s">
        <v>3288</v>
      </c>
    </row>
    <row r="443" ht="14.25" customHeight="1" spans="1:5">
      <c r="A443" s="5339" t="str">
        <f>GotTok_Direkt!AF34</f>
        <v>413</v>
      </c>
      <c r="B443" s="5327" t="str">
        <f>IF(Baza!$C$22="engleski",E443,(IF(Baza!$C$22="bosanski",C443,D443)))</f>
        <v>Odlivi po osnovu kupovine nematerijalne imovine</v>
      </c>
      <c r="C443" s="5328" t="s">
        <v>3289</v>
      </c>
      <c r="D443" s="5347" t="s">
        <v>3290</v>
      </c>
      <c r="E443" s="5330" t="s">
        <v>3291</v>
      </c>
    </row>
    <row r="444" ht="14.25" customHeight="1" spans="1:5">
      <c r="A444" s="5339" t="str">
        <f>GotTok_Direkt!AF35</f>
        <v>414</v>
      </c>
      <c r="B444" s="5327" t="str">
        <f>IF(Baza!$C$22="engleski",E444,(IF(Baza!$C$22="bosanski",C444,D444)))</f>
        <v>Prilivi po osnovu prodaje nematerijalne imovine</v>
      </c>
      <c r="C444" s="5328" t="s">
        <v>3292</v>
      </c>
      <c r="D444" s="5347" t="s">
        <v>3293</v>
      </c>
      <c r="E444" s="5330" t="s">
        <v>3294</v>
      </c>
    </row>
    <row r="445" ht="14.25" customHeight="1" spans="1:5">
      <c r="A445" s="5339" t="str">
        <f>GotTok_Direkt!AF36</f>
        <v>415</v>
      </c>
      <c r="B445" s="5327" t="str">
        <f>IF(Baza!$C$22="engleski",E445,(IF(Baza!$C$22="bosanski",C445,D445)))</f>
        <v>Odlivi po osnovu kupovine biološke imovine</v>
      </c>
      <c r="C445" s="5328" t="s">
        <v>3295</v>
      </c>
      <c r="D445" s="5347" t="s">
        <v>3296</v>
      </c>
      <c r="E445" s="5330" t="s">
        <v>3297</v>
      </c>
    </row>
    <row r="446" ht="14.25" customHeight="1" spans="1:5">
      <c r="A446" s="5339" t="str">
        <f>GotTok_Direkt!AF40</f>
        <v>416</v>
      </c>
      <c r="B446" s="5327" t="str">
        <f>IF(Baza!$C$22="engleski",E446,(IF(Baza!$C$22="bosanski",C446,D446)))</f>
        <v>Prilivi po osnovu prodaje biološke imovine</v>
      </c>
      <c r="C446" s="5328" t="s">
        <v>3298</v>
      </c>
      <c r="D446" s="5347" t="s">
        <v>3299</v>
      </c>
      <c r="E446" s="5330" t="s">
        <v>3300</v>
      </c>
    </row>
    <row r="447" ht="14.25" customHeight="1" spans="1:5">
      <c r="A447" s="5339" t="str">
        <f>GotTok_Direkt!AF41</f>
        <v>417</v>
      </c>
      <c r="B447" s="5327" t="str">
        <f>IF(Baza!$C$22="engleski",E447,(IF(Baza!$C$22="bosanski",C447,D447)))</f>
        <v>Prilivi po osnovu prodaje dugoročne imovine namijenjene prodaji</v>
      </c>
      <c r="C447" s="5328" t="s">
        <v>3301</v>
      </c>
      <c r="D447" s="5347" t="s">
        <v>3302</v>
      </c>
      <c r="E447" s="5330" t="s">
        <v>3303</v>
      </c>
    </row>
    <row r="448" ht="14.25" customHeight="1" spans="1:5">
      <c r="A448" s="5339" t="str">
        <f>GotTok_Direkt!AF42</f>
        <v>418</v>
      </c>
      <c r="B448" s="5327" t="str">
        <f>IF(Baza!$C$22="engleski",E448,(IF(Baza!$C$22="bosanski",C448,D448)))</f>
        <v>Ulaganja u finansijsku imovinu po fer vrijednosti kroz ostali ukupni rezultat</v>
      </c>
      <c r="C448" s="5328" t="s">
        <v>3304</v>
      </c>
      <c r="D448" s="5347" t="s">
        <v>3305</v>
      </c>
      <c r="E448" s="5330" t="s">
        <v>3306</v>
      </c>
    </row>
    <row r="449" ht="14.25" customHeight="1" spans="1:5">
      <c r="A449" s="5339" t="str">
        <f>GotTok_Direkt!AF43</f>
        <v>419</v>
      </c>
      <c r="B449" s="5327" t="str">
        <f>IF(Baza!$C$22="engleski",E449,(IF(Baza!$C$22="bosanski",C449,D449)))</f>
        <v>Prilivi od finansijske imovine po fer vrijednosti kroz ostali ukupni rezultat</v>
      </c>
      <c r="C449" s="5328" t="s">
        <v>3307</v>
      </c>
      <c r="D449" s="5347" t="s">
        <v>3308</v>
      </c>
      <c r="E449" s="5330" t="s">
        <v>3309</v>
      </c>
    </row>
    <row r="450" ht="14.25" customHeight="1" spans="1:5">
      <c r="A450" s="5339" t="str">
        <f>GotTok_Direkt!AF44</f>
        <v>420</v>
      </c>
      <c r="B450" s="5327" t="str">
        <f>IF(Baza!$C$22="engleski",E450,(IF(Baza!$C$22="bosanski",C450,D450)))</f>
        <v>Ulaganja u finansijsku imovinu po fer vrijednosti kroz bilans uspjeha</v>
      </c>
      <c r="C450" s="5328" t="s">
        <v>3310</v>
      </c>
      <c r="D450" s="5347" t="s">
        <v>3311</v>
      </c>
      <c r="E450" s="5330" t="s">
        <v>3312</v>
      </c>
    </row>
    <row r="451" ht="14.25" customHeight="1" spans="1:5">
      <c r="A451" s="5339" t="str">
        <f>GotTok_Direkt!AF45</f>
        <v>421</v>
      </c>
      <c r="B451" s="5327" t="str">
        <f>IF(Baza!$C$22="engleski",E451,(IF(Baza!$C$22="bosanski",C451,D451)))</f>
        <v>Prilivi od finansijske imovine po fer vrijednosti kroz bilans uspjeha</v>
      </c>
      <c r="C451" s="5328" t="s">
        <v>3313</v>
      </c>
      <c r="D451" s="5347" t="s">
        <v>3314</v>
      </c>
      <c r="E451" s="5330" t="s">
        <v>3315</v>
      </c>
    </row>
    <row r="452" ht="14.25" customHeight="1" spans="1:5">
      <c r="A452" s="5339" t="str">
        <f>GotTok_Direkt!AF46</f>
        <v>422</v>
      </c>
      <c r="B452" s="5327" t="str">
        <f>IF(Baza!$C$22="engleski",E452,(IF(Baza!$C$22="bosanski",C452,D452)))</f>
        <v>Ulaganja u ostalu finansijsku imovinu po amortizovanom trošku</v>
      </c>
      <c r="C452" s="5328" t="s">
        <v>3316</v>
      </c>
      <c r="D452" s="5347" t="s">
        <v>3317</v>
      </c>
      <c r="E452" s="5330" t="s">
        <v>3318</v>
      </c>
    </row>
    <row r="453" ht="14.25" customHeight="1" spans="1:5">
      <c r="A453" s="5339" t="str">
        <f>GotTok_Direkt!AF47</f>
        <v>423</v>
      </c>
      <c r="B453" s="5327" t="str">
        <f>IF(Baza!$C$22="engleski",E453,(IF(Baza!$C$22="bosanski",C453,D453)))</f>
        <v>Prilivi od ostale finansijske imovine po amortizovanom trošku</v>
      </c>
      <c r="C453" s="5328" t="s">
        <v>3319</v>
      </c>
      <c r="D453" s="5347" t="s">
        <v>3320</v>
      </c>
      <c r="E453" s="5330" t="s">
        <v>3321</v>
      </c>
    </row>
    <row r="454" ht="14.25" customHeight="1" spans="1:5">
      <c r="A454" s="5339" t="str">
        <f>GotTok_Direkt!AF48</f>
        <v>424</v>
      </c>
      <c r="B454" s="5327" t="str">
        <f>IF(Baza!$C$22="engleski",E454,(IF(Baza!$C$22="bosanski",C454,D454)))</f>
        <v>Primljena kamata i prihod od finansijskog najma</v>
      </c>
      <c r="C454" s="5328" t="s">
        <v>3322</v>
      </c>
      <c r="D454" s="5347" t="s">
        <v>3323</v>
      </c>
      <c r="E454" s="5330" t="s">
        <v>3324</v>
      </c>
    </row>
    <row r="455" ht="14.25" customHeight="1" spans="1:5">
      <c r="A455" s="5339" t="str">
        <f>GotTok_Direkt!AF49</f>
        <v>425</v>
      </c>
      <c r="B455" s="5327" t="str">
        <f>IF(Baza!$C$22="engleski",E455,(IF(Baza!$C$22="bosanski",C455,D455)))</f>
        <v>Naplaćena potraživanja od finansijskog najma</v>
      </c>
      <c r="C455" s="5328" t="s">
        <v>3325</v>
      </c>
      <c r="D455" s="5347" t="s">
        <v>3326</v>
      </c>
      <c r="E455" s="5330" t="s">
        <v>3327</v>
      </c>
    </row>
    <row r="456" ht="14.25" customHeight="1" spans="1:5">
      <c r="A456" s="5339" t="str">
        <f>GotTok_Direkt!AF50</f>
        <v>426</v>
      </c>
      <c r="B456" s="5327" t="str">
        <f>IF(Baza!$C$22="engleski",E456,(IF(Baza!$C$22="bosanski",C456,D456)))</f>
        <v>Naplaćena potraživanja od finansijskog podnajma</v>
      </c>
      <c r="C456" s="5328" t="s">
        <v>3328</v>
      </c>
      <c r="D456" s="5347" t="s">
        <v>3326</v>
      </c>
      <c r="E456" s="5330" t="s">
        <v>3327</v>
      </c>
    </row>
    <row r="457" ht="14.25" customHeight="1" spans="1:5">
      <c r="A457" s="5339" t="str">
        <f>GotTok_Direkt!AF51</f>
        <v>427</v>
      </c>
      <c r="B457" s="5327" t="str">
        <f>IF(Baza!$C$22="engleski",E457,(IF(Baza!$C$22="bosanski",C457,D457)))</f>
        <v>Kupovina udjela u zavisnim društvima</v>
      </c>
      <c r="C457" s="5328" t="s">
        <v>3329</v>
      </c>
      <c r="D457" s="5347" t="s">
        <v>3330</v>
      </c>
      <c r="E457" s="5330" t="s">
        <v>3331</v>
      </c>
    </row>
    <row r="458" ht="14.25" customHeight="1" spans="1:5">
      <c r="A458" s="5339" t="str">
        <f>GotTok_Direkt!AF52</f>
        <v>428</v>
      </c>
      <c r="B458" s="5327" t="str">
        <f>IF(Baza!$C$22="engleski",E458,(IF(Baza!$C$22="bosanski",C458,D458)))</f>
        <v>Prilivi od otuđenja udjela u zavisnim društvima</v>
      </c>
      <c r="C458" s="5328" t="s">
        <v>3332</v>
      </c>
      <c r="D458" s="5347" t="s">
        <v>3333</v>
      </c>
      <c r="E458" s="5330" t="s">
        <v>3334</v>
      </c>
    </row>
    <row r="459" ht="14.25" customHeight="1" spans="1:5">
      <c r="A459" s="5339" t="str">
        <f>GotTok_Direkt!AF53</f>
        <v>429</v>
      </c>
      <c r="B459" s="5327" t="str">
        <f>IF(Baza!$C$22="engleski",E459,(IF(Baza!$C$22="bosanski",C459,D459)))</f>
        <v>Kupovina udjela u pridruženim društvima</v>
      </c>
      <c r="C459" s="5328" t="s">
        <v>3335</v>
      </c>
      <c r="D459" s="5347" t="s">
        <v>3335</v>
      </c>
      <c r="E459" s="5330" t="s">
        <v>3336</v>
      </c>
    </row>
    <row r="460" ht="14.25" customHeight="1" spans="1:5">
      <c r="A460" s="5339" t="str">
        <f>GotTok_Direkt!AF54</f>
        <v>430</v>
      </c>
      <c r="B460" s="5327" t="str">
        <f>IF(Baza!$C$22="engleski",E460,(IF(Baza!$C$22="bosanski",C460,D460)))</f>
        <v>Prilivi od otuđenja udjela u pridruženim društvima</v>
      </c>
      <c r="C460" s="5328" t="s">
        <v>3337</v>
      </c>
      <c r="D460" s="5347" t="s">
        <v>3338</v>
      </c>
      <c r="E460" s="5330" t="s">
        <v>3339</v>
      </c>
    </row>
    <row r="461" ht="14.25" customHeight="1" spans="1:5">
      <c r="A461" s="5339" t="str">
        <f>GotTok_Direkt!AF55</f>
        <v>431</v>
      </c>
      <c r="B461" s="5327" t="str">
        <f>IF(Baza!$C$22="engleski",E461,(IF(Baza!$C$22="bosanski",C461,D461)))</f>
        <v>Kupovina udjela u zajedničkim poduhvatima</v>
      </c>
      <c r="C461" s="5328" t="s">
        <v>3340</v>
      </c>
      <c r="D461" s="5347" t="s">
        <v>3340</v>
      </c>
      <c r="E461" s="5330" t="s">
        <v>3341</v>
      </c>
    </row>
    <row r="462" ht="14.25" customHeight="1" spans="1:5">
      <c r="A462" s="5339" t="str">
        <f>GotTok_Direkt!AF56</f>
        <v>432</v>
      </c>
      <c r="B462" s="5327" t="str">
        <f>IF(Baza!$C$22="engleski",E462,(IF(Baza!$C$22="bosanski",C462,D462)))</f>
        <v>Prilivi od otuđenja udjela u zajedničkim poduhvatima</v>
      </c>
      <c r="C462" s="5328" t="s">
        <v>3342</v>
      </c>
      <c r="D462" s="5347" t="s">
        <v>3343</v>
      </c>
      <c r="E462" s="5330" t="s">
        <v>3344</v>
      </c>
    </row>
    <row r="463" ht="14.25" customHeight="1" spans="1:5">
      <c r="A463" s="5339" t="str">
        <f>GotTok_Direkt!AF57</f>
        <v>433</v>
      </c>
      <c r="B463" s="5327" t="str">
        <f>IF(Baza!$C$22="engleski",E463,(IF(Baza!$C$22="bosanski",C463,D463)))</f>
        <v>Primljene dividende</v>
      </c>
      <c r="C463" s="5328" t="s">
        <v>3345</v>
      </c>
      <c r="D463" s="5347" t="s">
        <v>3345</v>
      </c>
      <c r="E463" s="5330" t="s">
        <v>3346</v>
      </c>
    </row>
    <row r="464" ht="14.25" customHeight="1" spans="1:5">
      <c r="A464" s="5339" t="str">
        <f>GotTok_Direkt!AF58</f>
        <v>434</v>
      </c>
      <c r="B464" s="5327" t="str">
        <f>IF(Baza!$C$22="engleski",E464,(IF(Baza!$C$22="bosanski",C464,D464)))</f>
        <v>Prilivi po osnovu trgovanja derivatnim finansijskim instrumentima</v>
      </c>
      <c r="C464" s="5328" t="s">
        <v>3347</v>
      </c>
      <c r="D464" s="5347" t="s">
        <v>3348</v>
      </c>
      <c r="E464" s="5330" t="s">
        <v>3349</v>
      </c>
    </row>
    <row r="465" ht="14.25" customHeight="1" spans="1:5">
      <c r="A465" s="5339" t="str">
        <f>GotTok_Direkt!AF59</f>
        <v>435</v>
      </c>
      <c r="B465" s="5327" t="str">
        <f>IF(Baza!$C$22="engleski",E465,(IF(Baza!$C$22="bosanski",C465,D465)))</f>
        <v>Odlivi po osnovu trgovanja derivatnim finansijskim instrumentima</v>
      </c>
      <c r="C465" s="5328" t="s">
        <v>3350</v>
      </c>
      <c r="D465" s="5347" t="s">
        <v>3351</v>
      </c>
      <c r="E465" s="5330" t="s">
        <v>3352</v>
      </c>
    </row>
    <row r="466" ht="14.25" customHeight="1" spans="1:5">
      <c r="A466" s="5339" t="str">
        <f>GotTok_Direkt!AF60</f>
        <v>436</v>
      </c>
      <c r="B466" s="5327" t="str">
        <f>IF(Baza!$C$22="engleski",E466,(IF(Baza!$C$22="bosanski",C466,D466)))</f>
        <v>Ostali prilivi iz ulagačkih aktivnosti</v>
      </c>
      <c r="C466" s="5328" t="s">
        <v>3353</v>
      </c>
      <c r="D466" s="5347" t="s">
        <v>3354</v>
      </c>
      <c r="E466" s="5330" t="s">
        <v>3355</v>
      </c>
    </row>
    <row r="467" ht="14.25" customHeight="1" spans="1:5">
      <c r="A467" s="5339" t="str">
        <f>GotTok_Direkt!AF61</f>
        <v>437</v>
      </c>
      <c r="B467" s="5327" t="str">
        <f>IF(Baza!$C$22="engleski",E467,(IF(Baza!$C$22="bosanski",C467,D467)))</f>
        <v>Ostali odlivi iz ulagačkih aktivnosti</v>
      </c>
      <c r="C467" s="5328" t="s">
        <v>3356</v>
      </c>
      <c r="D467" s="5347" t="s">
        <v>3357</v>
      </c>
      <c r="E467" s="5330" t="s">
        <v>3358</v>
      </c>
    </row>
    <row r="468" ht="14.25" customHeight="1" spans="1:5">
      <c r="A468" s="5339" t="str">
        <f>GotTok_Direkt!AF62</f>
        <v>438</v>
      </c>
      <c r="B468" s="5327" t="str">
        <f>IF(Baza!$C$22="engleski",E468,(IF(Baza!$C$22="bosanski",C468,D468)))</f>
        <v>Neto gotovinski tok koji je generisan / (korišten) u ulagačkim aktivnostima (409 do 437)</v>
      </c>
      <c r="C468" s="5328" t="s">
        <v>3359</v>
      </c>
      <c r="D468" s="5329" t="s">
        <v>3359</v>
      </c>
      <c r="E468" s="5330" t="s">
        <v>3360</v>
      </c>
    </row>
    <row r="469" ht="14.25" customHeight="1" spans="1:5">
      <c r="A469" s="5339">
        <f>GotTok_Direkt!AF63</f>
        <v>0</v>
      </c>
      <c r="B469" s="5327" t="str">
        <f>IF(Baza!$C$22="engleski",E469,(IF(Baza!$C$22="bosanski",C469,D469)))</f>
        <v>GOTOVINSKI TOKOVI IZ FINANSIJSKIH AKTIVNOSTI</v>
      </c>
      <c r="C469" s="5328" t="s">
        <v>3361</v>
      </c>
      <c r="D469" s="5347" t="s">
        <v>3362</v>
      </c>
      <c r="E469" s="5330" t="s">
        <v>3363</v>
      </c>
    </row>
    <row r="470" ht="14.25" customHeight="1" spans="1:5">
      <c r="A470" s="5339" t="str">
        <f>GotTok_Direkt!AF64</f>
        <v>439</v>
      </c>
      <c r="B470" s="5327" t="str">
        <f>IF(Baza!$C$22="engleski",E470,(IF(Baza!$C$22="bosanski",C470,D470)))</f>
        <v>Prilivi od emisije dionica / uplaćeni vlasnički kapital</v>
      </c>
      <c r="C470" s="5328" t="s">
        <v>3364</v>
      </c>
      <c r="D470" s="5347" t="s">
        <v>3365</v>
      </c>
      <c r="E470" s="5330" t="s">
        <v>3366</v>
      </c>
    </row>
    <row r="471" ht="14.25" customHeight="1" spans="1:5">
      <c r="A471" s="5339" t="str">
        <f>GotTok_Direkt!AF65</f>
        <v>440</v>
      </c>
      <c r="B471" s="5327" t="str">
        <f>IF(Baza!$C$22="engleski",E471,(IF(Baza!$C$22="bosanski",C471,D471)))</f>
        <v>Sticanje vlastitih dionica</v>
      </c>
      <c r="C471" s="5328" t="s">
        <v>3367</v>
      </c>
      <c r="D471" s="5347" t="s">
        <v>3368</v>
      </c>
      <c r="E471" s="5330" t="s">
        <v>3369</v>
      </c>
    </row>
    <row r="472" ht="14.25" customHeight="1" spans="1:5">
      <c r="A472" s="5339" t="str">
        <f>GotTok_Direkt!AF66</f>
        <v>441</v>
      </c>
      <c r="B472" s="5327" t="str">
        <f>IF(Baza!$C$22="engleski",E472,(IF(Baza!$C$22="bosanski",C472,D472)))</f>
        <v>Prilivi od prodaje stečenih vlastitih dionica</v>
      </c>
      <c r="C472" s="5328" t="s">
        <v>3370</v>
      </c>
      <c r="D472" s="5347" t="s">
        <v>3371</v>
      </c>
      <c r="E472" s="5330" t="s">
        <v>3372</v>
      </c>
    </row>
    <row r="473" ht="14.25" customHeight="1" spans="1:5">
      <c r="A473" s="5339" t="str">
        <f>GotTok_Direkt!AF67</f>
        <v>442</v>
      </c>
      <c r="B473" s="5327" t="str">
        <f>IF(Baza!$C$22="engleski",E473,(IF(Baza!$C$22="bosanski",C473,D473)))</f>
        <v>Isplaćene dividende</v>
      </c>
      <c r="C473" s="5328" t="s">
        <v>3373</v>
      </c>
      <c r="D473" s="5347" t="s">
        <v>3373</v>
      </c>
      <c r="E473" s="5330" t="s">
        <v>3374</v>
      </c>
    </row>
    <row r="474" ht="14.25" customHeight="1" spans="1:5">
      <c r="A474" s="5339" t="str">
        <f>GotTok_Direkt!AF68</f>
        <v>443</v>
      </c>
      <c r="B474" s="5327" t="str">
        <f>IF(Baza!$C$22="engleski",E474,(IF(Baza!$C$22="bosanski",C474,D474)))</f>
        <v>Prilivi od uzetih kredita</v>
      </c>
      <c r="C474" s="5328" t="s">
        <v>3375</v>
      </c>
      <c r="D474" s="5347" t="s">
        <v>3376</v>
      </c>
      <c r="E474" s="5330" t="s">
        <v>3377</v>
      </c>
    </row>
    <row r="475" ht="14.25" customHeight="1" spans="1:5">
      <c r="A475" s="5339" t="str">
        <f>GotTok_Direkt!AF69</f>
        <v>444</v>
      </c>
      <c r="B475" s="5327" t="str">
        <f>IF(Baza!$C$22="engleski",E475,(IF(Baza!$C$22="bosanski",C475,D475)))</f>
        <v>Otplata glavnice uzetih kredita</v>
      </c>
      <c r="C475" s="5328" t="s">
        <v>3378</v>
      </c>
      <c r="D475" s="5347" t="s">
        <v>3378</v>
      </c>
      <c r="E475" s="5330" t="s">
        <v>3379</v>
      </c>
    </row>
    <row r="476" ht="14.25" customHeight="1" spans="1:5">
      <c r="A476" s="5339" t="str">
        <f>GotTok_Direkt!AF70</f>
        <v>445</v>
      </c>
      <c r="B476" s="5327" t="str">
        <f>IF(Baza!$C$22="engleski",E476,(IF(Baza!$C$22="bosanski",C476,D476)))</f>
        <v>Otplata kamate po uzetim kreditima</v>
      </c>
      <c r="C476" s="5328" t="s">
        <v>3380</v>
      </c>
      <c r="D476" s="5347" t="s">
        <v>3380</v>
      </c>
      <c r="E476" s="5330" t="s">
        <v>3381</v>
      </c>
    </row>
    <row r="477" ht="14.25" customHeight="1" spans="1:5">
      <c r="A477" s="5339" t="str">
        <f>GotTok_Direkt!AF76</f>
        <v>446</v>
      </c>
      <c r="B477" s="5327" t="str">
        <f>IF(Baza!$C$22="engleski",E477,(IF(Baza!$C$22="bosanski",C477,D477)))</f>
        <v>Otplata glavnice po najmovima</v>
      </c>
      <c r="C477" s="5328" t="s">
        <v>3382</v>
      </c>
      <c r="D477" s="5347" t="s">
        <v>3382</v>
      </c>
      <c r="E477" s="5330" t="s">
        <v>3383</v>
      </c>
    </row>
    <row r="478" ht="14.25" customHeight="1" spans="1:5">
      <c r="A478" s="5339" t="str">
        <f>GotTok_Direkt!AF77</f>
        <v>447</v>
      </c>
      <c r="B478" s="5327" t="str">
        <f>IF(Baza!$C$22="engleski",E478,(IF(Baza!$C$22="bosanski",C478,D478)))</f>
        <v>Otplata kamate po najmovima</v>
      </c>
      <c r="C478" s="5328" t="s">
        <v>3384</v>
      </c>
      <c r="D478" s="5347" t="s">
        <v>3384</v>
      </c>
      <c r="E478" s="5330" t="s">
        <v>3385</v>
      </c>
    </row>
    <row r="479" ht="14.25" customHeight="1" spans="1:5">
      <c r="A479" s="5339" t="str">
        <f>GotTok_Direkt!AF78</f>
        <v>448</v>
      </c>
      <c r="B479" s="5327" t="str">
        <f>IF(Baza!$C$22="engleski",E479,(IF(Baza!$C$22="bosanski",C479,D479)))</f>
        <v>Prilivi po osnovu izdatih dužničkih instrumenata</v>
      </c>
      <c r="C479" s="5328" t="s">
        <v>3386</v>
      </c>
      <c r="D479" s="5347" t="s">
        <v>3387</v>
      </c>
      <c r="E479" s="5330" t="s">
        <v>3388</v>
      </c>
    </row>
    <row r="480" ht="14.25" customHeight="1" spans="1:5">
      <c r="A480" s="5339" t="str">
        <f>GotTok_Direkt!AF79</f>
        <v>449</v>
      </c>
      <c r="B480" s="5327" t="str">
        <f>IF(Baza!$C$22="engleski",E480,(IF(Baza!$C$22="bosanski",C480,D480)))</f>
        <v>Odlivi po osnovu otplate izdatih dužničkih instrumenata</v>
      </c>
      <c r="C480" s="5328" t="s">
        <v>3389</v>
      </c>
      <c r="D480" s="5347" t="s">
        <v>3390</v>
      </c>
      <c r="E480" s="5330" t="s">
        <v>3391</v>
      </c>
    </row>
    <row r="481" ht="14.25" customHeight="1" spans="1:5">
      <c r="A481" s="5339" t="str">
        <f>GotTok_Direkt!AF80</f>
        <v>450</v>
      </c>
      <c r="B481" s="5327" t="str">
        <f>IF(Baza!$C$22="engleski",E481,(IF(Baza!$C$22="bosanski",C481,D481)))</f>
        <v>Ostali prilivi iz finansijskih aktivnosti</v>
      </c>
      <c r="C481" s="5328" t="s">
        <v>3392</v>
      </c>
      <c r="D481" s="5347" t="s">
        <v>3393</v>
      </c>
      <c r="E481" s="5330" t="s">
        <v>3394</v>
      </c>
    </row>
    <row r="482" ht="14.25" customHeight="1" spans="1:5">
      <c r="A482" s="5339" t="str">
        <f>GotTok_Direkt!AF81</f>
        <v>451</v>
      </c>
      <c r="B482" s="5327" t="str">
        <f>IF(Baza!$C$22="engleski",E482,(IF(Baza!$C$22="bosanski",C482,D482)))</f>
        <v>Ostali odlivi iz finansijskih aktivnosti</v>
      </c>
      <c r="C482" s="5328" t="s">
        <v>3395</v>
      </c>
      <c r="D482" s="5347" t="s">
        <v>3396</v>
      </c>
      <c r="E482" s="5330" t="s">
        <v>3397</v>
      </c>
    </row>
    <row r="483" ht="14.25" customHeight="1" spans="1:5">
      <c r="A483" s="5339" t="str">
        <f>GotTok_Direkt!AF82</f>
        <v>452</v>
      </c>
      <c r="B483" s="5327" t="str">
        <f>IF(Baza!$C$22="engleski",E483,(IF(Baza!$C$22="bosanski",C483,D483)))</f>
        <v>Neto gotovinski tok koji je generisan / (korišten) u finansijskim aktivnostima (439 do 451)</v>
      </c>
      <c r="C483" s="5328" t="s">
        <v>3398</v>
      </c>
      <c r="D483" s="5347" t="s">
        <v>3399</v>
      </c>
      <c r="E483" s="5330" t="s">
        <v>3400</v>
      </c>
    </row>
    <row r="484" ht="14.25" customHeight="1" spans="1:5">
      <c r="A484" s="5339" t="str">
        <f>GotTok_Direkt!AF83</f>
        <v>453</v>
      </c>
      <c r="B484" s="5327" t="str">
        <f>IF(Baza!$C$22="engleski",E484,(IF(Baza!$C$22="bosanski",C484,D484)))</f>
        <v>NETO POVEĆANJE / (SMANJENJE) GOTOVINE I GOTOVINSKIH EKVIVALENATA (A+B+C)</v>
      </c>
      <c r="C484" s="5328" t="s">
        <v>3401</v>
      </c>
      <c r="D484" s="5329" t="s">
        <v>3401</v>
      </c>
      <c r="E484" s="5330" t="s">
        <v>3402</v>
      </c>
    </row>
    <row r="485" ht="14.25" customHeight="1" spans="1:5">
      <c r="A485" s="5339" t="str">
        <f>GotTok_Direkt!AF84</f>
        <v>454</v>
      </c>
      <c r="B485" s="5327" t="str">
        <f>IF(Baza!$C$22="engleski",E485,(IF(Baza!$C$22="bosanski",C485,D485)))</f>
        <v>GOTOVINA I GOTOVINSKI EKVIVALENTI NA POČETKU PERIODA</v>
      </c>
      <c r="C485" s="5328" t="s">
        <v>3403</v>
      </c>
      <c r="D485" s="5347" t="s">
        <v>3404</v>
      </c>
      <c r="E485" s="5330" t="s">
        <v>3405</v>
      </c>
    </row>
    <row r="486" ht="14.25" customHeight="1" spans="1:5">
      <c r="A486" s="5339" t="str">
        <f>GotTok_Direkt!AF85</f>
        <v>455</v>
      </c>
      <c r="B486" s="5327" t="str">
        <f>IF(Baza!$C$22="engleski",E486,(IF(Baza!$C$22="bosanski",C486,D486)))</f>
        <v>EFEKTI PROMJENE DEVIZNIH KURSEVA GOTOVINE I GOTOVINSKIH EKVIVALENATA</v>
      </c>
      <c r="C486" s="5328" t="s">
        <v>3406</v>
      </c>
      <c r="D486" s="5347" t="s">
        <v>3407</v>
      </c>
      <c r="E486" s="5330" t="s">
        <v>3408</v>
      </c>
    </row>
    <row r="487" ht="14.25" customHeight="1" spans="1:5">
      <c r="A487" s="5339" t="str">
        <f>GotTok_Direkt!AF86</f>
        <v>456</v>
      </c>
      <c r="B487" s="5327" t="str">
        <f>IF(Baza!$C$22="engleski",E487,(IF(Baza!$C$22="bosanski",C487,D487)))</f>
        <v>GOTOVINA I GOTOVINSKI EKVIVALENTI NA KRAJU PERIODA (4+5+6)</v>
      </c>
      <c r="C487" s="5328" t="s">
        <v>3409</v>
      </c>
      <c r="D487" s="5329" t="s">
        <v>3409</v>
      </c>
      <c r="E487" s="5330" t="s">
        <v>3410</v>
      </c>
    </row>
    <row r="488" ht="14.25" customHeight="1" spans="1:5">
      <c r="B488" s="5334"/>
      <c r="C488" s="5335"/>
      <c r="D488" s="5348"/>
      <c r="E488" s="5349"/>
    </row>
    <row r="489" ht="14.25" customHeight="1" spans="1:5">
      <c r="B489" s="5334"/>
      <c r="C489" s="5335"/>
      <c r="D489" s="5336"/>
    </row>
    <row r="490" ht="14.25" customHeight="1" spans="1:5">
      <c r="B490" s="5334"/>
      <c r="C490" s="5335"/>
      <c r="D490" s="5336"/>
    </row>
    <row r="491" spans="1:5">
      <c r="A491" s="5320"/>
      <c r="B491" s="5321" t="str">
        <f>IF(Baza!$C$22="engleski",E491,(IF(Baza!$C$22="bosanski",C491,D491)))</f>
        <v>IZVJEŠTJ O TOKOVIMA GOTOVINE</v>
      </c>
      <c r="C491" s="5322" t="s">
        <v>3241</v>
      </c>
      <c r="D491" s="5323" t="s">
        <v>3242</v>
      </c>
      <c r="E491" s="5337" t="s">
        <v>3243</v>
      </c>
    </row>
    <row r="492" spans="1:5">
      <c r="A492" s="5341" t="s">
        <v>2755</v>
      </c>
      <c r="B492" s="5321" t="str">
        <f>IF(Baza!$C$22="engleski",E492,(IF(Baza!$C$22="bosanski",C492,D492)))</f>
        <v>(IZVJEŠTAJ O GOTOVINSKIM TOKOVIMA)</v>
      </c>
      <c r="C492" s="5322" t="s">
        <v>3244</v>
      </c>
      <c r="D492" s="5323" t="s">
        <v>3245</v>
      </c>
      <c r="E492" s="5337" t="s">
        <v>3246</v>
      </c>
    </row>
    <row r="493" spans="1:5">
      <c r="A493" s="5320"/>
      <c r="B493" s="5321" t="str">
        <f>IF(Baza!$C$22="engleski",E493,(IF(Baza!$C$22="bosanski",C493,D493)))</f>
        <v>(Indirektna metoda)</v>
      </c>
      <c r="C493" s="5344" t="s">
        <v>3411</v>
      </c>
      <c r="D493" s="5345" t="s">
        <v>3412</v>
      </c>
      <c r="E493" s="5337" t="s">
        <v>3413</v>
      </c>
    </row>
    <row r="494" ht="14.25" customHeight="1" spans="1:5">
      <c r="A494" s="5320"/>
      <c r="B494" s="5346" t="str">
        <f ca="1">IF(Baza!$C$22="engleski",E494,(IF(Baza!$C$22="bosanski",C494,D494)))</f>
        <v>za period od 01.01.2025. do 31.12.2025. godine</v>
      </c>
      <c r="C494" s="5326" t="str">
        <f ca="1">"za period od "&amp;PeriodOd&amp;". do "&amp;PeriodDo&amp;". godine"</f>
        <v>za period od 01.01.2025. do 31.12.2025. godine</v>
      </c>
      <c r="D494" s="5323" t="str">
        <f ca="1">"za razdoblje od "&amp;PeriodOd&amp;". do "&amp;PeriodDo&amp;". godine"</f>
        <v>za razdoblje od 01.01.2025. do 31.12.2025. godine</v>
      </c>
      <c r="E494" s="5350" t="str">
        <f ca="1">"for period from  "&amp;PeriodOd&amp;". to "&amp;PeriodDo&amp;".years"</f>
        <v>for period from  01.01.2025. to 31.12.2025.years</v>
      </c>
    </row>
    <row r="495" ht="14.25" customHeight="1" spans="1:5">
      <c r="B495" s="5327" t="str">
        <f>IF(Baza!$C$22="engleski",E495,(IF(Baza!$C$22="bosanski",C495,D495)))</f>
        <v>GOTOVINSKI TOKOVI IZ POSLOVNIH AKTIVNOSTI</v>
      </c>
      <c r="C495" s="5328" t="s">
        <v>3250</v>
      </c>
      <c r="D495" s="5347" t="s">
        <v>3250</v>
      </c>
      <c r="E495" s="5330" t="s">
        <v>3251</v>
      </c>
    </row>
    <row r="496" ht="14.25" customHeight="1" spans="1:5">
      <c r="A496" s="5339" t="s">
        <v>3414</v>
      </c>
      <c r="B496" s="5327" t="str">
        <f>IF(Baza!$C$22="engleski",E496,(IF(Baza!$C$22="bosanski",C496,D496)))</f>
        <v>Dobit/(gubitak) prije oporezivanja</v>
      </c>
      <c r="C496" s="5328" t="s">
        <v>3415</v>
      </c>
      <c r="D496" s="5347" t="s">
        <v>3415</v>
      </c>
      <c r="E496" s="5330" t="s">
        <v>3416</v>
      </c>
    </row>
    <row r="497" ht="14.25" customHeight="1" spans="1:5">
      <c r="A497" s="5339"/>
      <c r="B497" s="5327" t="str">
        <f>IF(Baza!$C$22="engleski",E497,(IF(Baza!$C$22="bosanski",C497,D497)))</f>
        <v>Usklađenja:</v>
      </c>
      <c r="C497" s="5328" t="s">
        <v>3417</v>
      </c>
      <c r="D497" s="5347" t="s">
        <v>3417</v>
      </c>
      <c r="E497" s="5330" t="s">
        <v>3418</v>
      </c>
    </row>
    <row r="498" ht="14.25" customHeight="1" spans="1:5">
      <c r="A498" s="5339" t="s">
        <v>3419</v>
      </c>
      <c r="B498" s="5327" t="str">
        <f>IF(Baza!$C$22="engleski",E498,(IF(Baza!$C$22="bosanski",C498,D498)))</f>
        <v>Amortizacija</v>
      </c>
      <c r="C498" s="5328" t="s">
        <v>2576</v>
      </c>
      <c r="D498" s="5347" t="s">
        <v>2576</v>
      </c>
      <c r="E498" s="5330" t="s">
        <v>2577</v>
      </c>
    </row>
    <row r="499" ht="14.25" customHeight="1" spans="1:5">
      <c r="A499" s="5339" t="s">
        <v>3420</v>
      </c>
      <c r="B499" s="5327" t="str">
        <f>IF(Baza!$C$22="engleski",E499,(IF(Baza!$C$22="bosanski",C499,D499)))</f>
        <v>(Dobit)/gubitak od otuđenja nekretnina, postrojenja i opreme, neto</v>
      </c>
      <c r="C499" s="5328" t="s">
        <v>3421</v>
      </c>
      <c r="D499" s="5347" t="s">
        <v>3421</v>
      </c>
      <c r="E499" s="5330" t="s">
        <v>3422</v>
      </c>
    </row>
    <row r="500" ht="14.25" customHeight="1" spans="1:5">
      <c r="A500" s="5339" t="s">
        <v>3423</v>
      </c>
      <c r="B500" s="5327" t="str">
        <f>IF(Baza!$C$22="engleski",E500,(IF(Baza!$C$22="bosanski",C500,D500)))</f>
        <v>(Dobit)/gubitak od otuđenja ulaganja u investicijske nekretnine, neto</v>
      </c>
      <c r="C500" s="5328" t="s">
        <v>3424</v>
      </c>
      <c r="D500" s="5347" t="s">
        <v>3424</v>
      </c>
      <c r="E500" s="5330" t="s">
        <v>3425</v>
      </c>
    </row>
    <row r="501" ht="14.25" customHeight="1" spans="1:5">
      <c r="A501" s="5339" t="s">
        <v>3426</v>
      </c>
      <c r="B501" s="5327" t="str">
        <f>IF(Baza!$C$22="engleski",E501,(IF(Baza!$C$22="bosanski",C501,D501)))</f>
        <v>(Dobit)/gubitak od otuđenja nematerijalne imovine, neto</v>
      </c>
      <c r="C501" s="5328" t="s">
        <v>3427</v>
      </c>
      <c r="D501" s="5347" t="s">
        <v>3427</v>
      </c>
      <c r="E501" s="5330" t="s">
        <v>3428</v>
      </c>
    </row>
    <row r="502" ht="14.25" customHeight="1" spans="1:5">
      <c r="A502" s="5339" t="s">
        <v>3429</v>
      </c>
      <c r="B502" s="5327" t="str">
        <f>IF(Baza!$C$22="engleski",E502,(IF(Baza!$C$22="bosanski",C502,D502)))</f>
        <v>(Dobit)/gubitak od dugoročne imovine namijenjene prodaji, neto</v>
      </c>
      <c r="C502" s="5328" t="s">
        <v>3430</v>
      </c>
      <c r="D502" s="5347" t="s">
        <v>3430</v>
      </c>
      <c r="E502" s="5330" t="s">
        <v>3431</v>
      </c>
    </row>
    <row r="503" ht="14.25" customHeight="1" spans="1:5">
      <c r="A503" s="5339" t="s">
        <v>3432</v>
      </c>
      <c r="B503" s="5327" t="str">
        <f>IF(Baza!$C$22="engleski",E503,(IF(Baza!$C$22="bosanski",C503,D503)))</f>
        <v>Umanjenje vrijednosti nekretnina, postrojenja i opreme</v>
      </c>
      <c r="C503" s="5328" t="s">
        <v>3433</v>
      </c>
      <c r="D503" s="5347" t="s">
        <v>3433</v>
      </c>
      <c r="E503" s="5330" t="s">
        <v>3434</v>
      </c>
    </row>
    <row r="504" ht="14.25" customHeight="1" spans="1:5">
      <c r="A504" s="5339" t="s">
        <v>3435</v>
      </c>
      <c r="B504" s="5327" t="str">
        <f>IF(Baza!$C$22="engleski",E504,(IF(Baza!$C$22="bosanski",C504,D504)))</f>
        <v>Umanjenje vrijednosti investicijskih nekretnina</v>
      </c>
      <c r="C504" s="5328" t="s">
        <v>3436</v>
      </c>
      <c r="D504" s="5347" t="s">
        <v>3436</v>
      </c>
      <c r="E504" s="5330" t="s">
        <v>3437</v>
      </c>
    </row>
    <row r="505" ht="14.25" customHeight="1" spans="1:5">
      <c r="A505" s="5339" t="s">
        <v>3438</v>
      </c>
      <c r="B505" s="5327" t="str">
        <f>IF(Baza!$C$22="engleski",E505,(IF(Baza!$C$22="bosanski",C505,D505)))</f>
        <v>Umanjenje vrijednosti nematerijalne imovine</v>
      </c>
      <c r="C505" s="5328" t="s">
        <v>3439</v>
      </c>
      <c r="D505" s="5347" t="s">
        <v>3439</v>
      </c>
      <c r="E505" s="5330" t="s">
        <v>3440</v>
      </c>
    </row>
    <row r="506" ht="14.25" customHeight="1" spans="1:5">
      <c r="A506" s="5339" t="s">
        <v>3441</v>
      </c>
      <c r="B506" s="5327" t="str">
        <f>IF(Baza!$C$22="engleski",E506,(IF(Baza!$C$22="bosanski",C506,D506)))</f>
        <v>Efekti promjene fer vrijednosti ulaganja u investicijske nekretnine, neto</v>
      </c>
      <c r="C506" s="5328" t="s">
        <v>3442</v>
      </c>
      <c r="D506" s="5347" t="s">
        <v>3442</v>
      </c>
      <c r="E506" s="5330" t="s">
        <v>3443</v>
      </c>
    </row>
    <row r="507" ht="14.25" customHeight="1" spans="1:5">
      <c r="A507" s="5339" t="s">
        <v>3444</v>
      </c>
      <c r="B507" s="5327" t="str">
        <f>IF(Baza!$C$22="engleski",E507,(IF(Baza!$C$22="bosanski",C507,D507)))</f>
        <v>Efekti promjene fer vrijednosti biološke imovine, neto</v>
      </c>
      <c r="C507" s="5328" t="s">
        <v>3445</v>
      </c>
      <c r="D507" s="5347" t="s">
        <v>3445</v>
      </c>
      <c r="E507" s="5330" t="s">
        <v>3446</v>
      </c>
    </row>
    <row r="508" ht="14.25" customHeight="1" spans="1:5">
      <c r="A508" s="5339" t="s">
        <v>3447</v>
      </c>
      <c r="B508" s="5327" t="str">
        <f>IF(Baza!$C$22="engleski",E508,(IF(Baza!$C$22="bosanski",C508,D508)))</f>
        <v>Efekti promjene vrijednosti instrumenata kapitala po fer vrijednosti kroz bilans uspjeha </v>
      </c>
      <c r="C508" s="5328" t="s">
        <v>3448</v>
      </c>
      <c r="D508" s="5347" t="s">
        <v>3449</v>
      </c>
      <c r="E508" s="5330" t="s">
        <v>3450</v>
      </c>
    </row>
    <row r="509" ht="14.25" customHeight="1" spans="1:5">
      <c r="A509" s="5339" t="s">
        <v>3451</v>
      </c>
      <c r="B509" s="5327" t="str">
        <f>IF(Baza!$C$22="engleski",E509,(IF(Baza!$C$22="bosanski",C509,D509)))</f>
        <v>(Dobit)/gubitak od prodaje dužničkih instrumenata po fer vrijednosti kroz ostali ukupni rezultat, neto</v>
      </c>
      <c r="C509" s="5328" t="s">
        <v>3452</v>
      </c>
      <c r="D509" s="5347" t="s">
        <v>3452</v>
      </c>
      <c r="E509" s="5330" t="s">
        <v>3453</v>
      </c>
    </row>
    <row r="510" ht="14.25" customHeight="1" spans="1:5">
      <c r="A510" s="5339" t="s">
        <v>3454</v>
      </c>
      <c r="B510" s="5327" t="str">
        <f>IF(Baza!$C$22="engleski",E510,(IF(Baza!$C$22="bosanski",C510,D510)))</f>
        <v>(Otpuštanje)/Ispravka vrijednosti za gubitke od dužničkih instrumenata po fer vrijednosti kroz ostali ukupni rezultat, neto</v>
      </c>
      <c r="C510" s="5328" t="s">
        <v>3455</v>
      </c>
      <c r="D510" s="5347" t="s">
        <v>3456</v>
      </c>
      <c r="E510" s="5330" t="s">
        <v>3457</v>
      </c>
    </row>
    <row r="511" ht="14.25" customHeight="1" spans="1:5">
      <c r="A511" s="5339" t="s">
        <v>3458</v>
      </c>
      <c r="B511" s="5327" t="str">
        <f>IF(Baza!$C$22="engleski",E511,(IF(Baza!$C$22="bosanski",C511,D511)))</f>
        <v>(Otpuštanje)/Ispravka vrijednosti za gubitke od potraživanja od kupaca, neto</v>
      </c>
      <c r="C511" s="5328" t="s">
        <v>3459</v>
      </c>
      <c r="D511" s="5347" t="s">
        <v>3460</v>
      </c>
      <c r="E511" s="5330" t="s">
        <v>3461</v>
      </c>
    </row>
    <row r="512" ht="14.25" customHeight="1" spans="1:5">
      <c r="A512" s="5339" t="s">
        <v>3462</v>
      </c>
      <c r="B512" s="5327" t="str">
        <f>IF(Baza!$C$22="engleski",E512,(IF(Baza!$C$22="bosanski",C512,D512)))</f>
        <v>(Otpuštanje)/Ispravka vrijednosti za gubitke od ugovorne imovine, neto</v>
      </c>
      <c r="C512" s="5328" t="s">
        <v>3463</v>
      </c>
      <c r="D512" s="5347" t="s">
        <v>3464</v>
      </c>
      <c r="E512" s="5330" t="s">
        <v>3465</v>
      </c>
    </row>
    <row r="513" ht="14.25" customHeight="1" spans="1:5">
      <c r="A513" s="5339" t="s">
        <v>3466</v>
      </c>
      <c r="B513" s="5327" t="str">
        <f>IF(Baza!$C$22="engleski",E513,(IF(Baza!$C$22="bosanski",C513,D513)))</f>
        <v>(Otpuštanje)/Ispravka vrijednosti za gubitke od ostale finansijske imovine po amortizovanom trošku, neto</v>
      </c>
      <c r="C513" s="5328" t="s">
        <v>3467</v>
      </c>
      <c r="D513" s="5347" t="s">
        <v>3468</v>
      </c>
      <c r="E513" s="5330" t="s">
        <v>3469</v>
      </c>
    </row>
    <row r="514" ht="14.25" customHeight="1" spans="1:5">
      <c r="A514" s="5339" t="s">
        <v>3470</v>
      </c>
      <c r="B514" s="5327" t="str">
        <f>IF(Baza!$C$22="engleski",E514,(IF(Baza!$C$22="bosanski",C514,D514)))</f>
        <v>Viškovi, manjkovi, otpisi i prilagođavanje vrijednosti zaliha, neto</v>
      </c>
      <c r="C514" s="5328" t="s">
        <v>3471</v>
      </c>
      <c r="D514" s="5347" t="s">
        <v>3471</v>
      </c>
      <c r="E514" s="5330" t="s">
        <v>3472</v>
      </c>
    </row>
    <row r="515" ht="14.25" customHeight="1" spans="1:5">
      <c r="A515" s="5339" t="s">
        <v>3473</v>
      </c>
      <c r="B515" s="5327" t="str">
        <f>IF(Baza!$C$22="engleski",E515,(IF(Baza!$C$22="bosanski",C515,D515)))</f>
        <v>Otpisane obaveze</v>
      </c>
      <c r="C515" s="5328" t="s">
        <v>3474</v>
      </c>
      <c r="D515" s="5347" t="s">
        <v>3475</v>
      </c>
      <c r="E515" s="5330" t="s">
        <v>3476</v>
      </c>
    </row>
    <row r="516" ht="14.25" customHeight="1" spans="1:5">
      <c r="A516" s="5339" t="s">
        <v>3477</v>
      </c>
      <c r="B516" s="5327" t="str">
        <f>IF(Baza!$C$22="engleski",E516,(IF(Baza!$C$22="bosanski",C516,D516)))</f>
        <v>(Otpuštanje)/ dodatno priznata rezervisanja, neto</v>
      </c>
      <c r="C516" s="5328" t="s">
        <v>3478</v>
      </c>
      <c r="D516" s="5347" t="s">
        <v>3479</v>
      </c>
      <c r="E516" s="5330" t="s">
        <v>3480</v>
      </c>
    </row>
    <row r="517" ht="14.25" customHeight="1" spans="1:5">
      <c r="A517" s="5339" t="s">
        <v>3481</v>
      </c>
      <c r="B517" s="5327" t="str">
        <f>IF(Baza!$C$22="engleski",E517,(IF(Baza!$C$22="bosanski",C517,D517)))</f>
        <v>Udio u rezultatu pridruženog društva i zajedničkog poduhvata</v>
      </c>
      <c r="C517" s="5328" t="s">
        <v>3482</v>
      </c>
      <c r="D517" s="5347" t="s">
        <v>3482</v>
      </c>
      <c r="E517" s="5330" t="s">
        <v>3483</v>
      </c>
    </row>
    <row r="518" ht="14.25" customHeight="1" spans="1:5">
      <c r="A518" s="5339" t="s">
        <v>3484</v>
      </c>
      <c r="B518" s="5327" t="str">
        <f>IF(Baza!$C$22="engleski",E518,(IF(Baza!$C$22="bosanski",C518,D518)))</f>
        <v>Umanjenje vrijednosti goodwill-a</v>
      </c>
      <c r="C518" s="5328" t="s">
        <v>3485</v>
      </c>
      <c r="D518" s="5347" t="s">
        <v>2964</v>
      </c>
      <c r="E518" s="5330" t="s">
        <v>2965</v>
      </c>
    </row>
    <row r="519" ht="14.25" customHeight="1" spans="1:5">
      <c r="A519" s="5339" t="s">
        <v>3486</v>
      </c>
      <c r="B519" s="5327" t="str">
        <f>IF(Baza!$C$22="engleski",E519,(IF(Baza!$C$22="bosanski",C519,D519)))</f>
        <v>Prihod od dividendi priznat u bilansu uspjeha</v>
      </c>
      <c r="C519" s="5328" t="s">
        <v>3487</v>
      </c>
      <c r="D519" s="5347" t="s">
        <v>3488</v>
      </c>
      <c r="E519" s="5330" t="s">
        <v>3489</v>
      </c>
    </row>
    <row r="520" ht="14.25" customHeight="1" spans="1:5">
      <c r="A520" s="5339" t="s">
        <v>3490</v>
      </c>
      <c r="B520" s="5327" t="str">
        <f>IF(Baza!$C$22="engleski",E520,(IF(Baza!$C$22="bosanski",C520,D520)))</f>
        <v>Prihodi od kamata i finansijskog najma priznati u bilansu uspjeha</v>
      </c>
      <c r="C520" s="5328" t="s">
        <v>3491</v>
      </c>
      <c r="D520" s="5347" t="s">
        <v>3492</v>
      </c>
      <c r="E520" s="5330" t="s">
        <v>3493</v>
      </c>
    </row>
    <row r="521" ht="14.25" customHeight="1" spans="1:5">
      <c r="A521" s="5339" t="s">
        <v>3494</v>
      </c>
      <c r="B521" s="5327" t="str">
        <f>IF(Baza!$C$22="engleski",E521,(IF(Baza!$C$22="bosanski",C521,D521)))</f>
        <v>Finansijski rashodi priznati u bilansu uspjeha</v>
      </c>
      <c r="C521" s="5328" t="s">
        <v>3495</v>
      </c>
      <c r="D521" s="5347" t="s">
        <v>3496</v>
      </c>
      <c r="E521" s="5330" t="s">
        <v>3497</v>
      </c>
    </row>
    <row r="522" ht="14.25" customHeight="1" spans="1:5">
      <c r="A522" s="5339"/>
      <c r="B522" s="5327" t="str">
        <f>IF(Baza!$C$22="engleski",E522,(IF(Baza!$C$22="bosanski",C522,D522)))</f>
        <v>Promjene u obrtnom kapitalu</v>
      </c>
      <c r="C522" s="5328" t="s">
        <v>3498</v>
      </c>
      <c r="D522" s="5347" t="s">
        <v>3498</v>
      </c>
      <c r="E522" s="5330" t="s">
        <v>3499</v>
      </c>
    </row>
    <row r="523" ht="14.25" customHeight="1" spans="1:5">
      <c r="A523" s="5339" t="s">
        <v>3500</v>
      </c>
      <c r="B523" s="5327" t="str">
        <f>IF(Baza!$C$22="engleski",E523,(IF(Baza!$C$22="bosanski",C523,D523)))</f>
        <v>Smanjenje/(povećanje) zaliha</v>
      </c>
      <c r="C523" s="5328" t="s">
        <v>3501</v>
      </c>
      <c r="D523" s="5347" t="s">
        <v>3501</v>
      </c>
      <c r="E523" s="5330" t="s">
        <v>3502</v>
      </c>
    </row>
    <row r="524" ht="14.25" customHeight="1" spans="1:5">
      <c r="A524" s="5339" t="s">
        <v>3503</v>
      </c>
      <c r="B524" s="5327" t="str">
        <f>IF(Baza!$C$22="engleski",E524,(IF(Baza!$C$22="bosanski",C524,D524)))</f>
        <v>Smanjenje/(povećanje) potraživanja od kupaca</v>
      </c>
      <c r="C524" s="5328" t="s">
        <v>3504</v>
      </c>
      <c r="D524" s="5347" t="s">
        <v>3504</v>
      </c>
      <c r="E524" s="5330" t="s">
        <v>3505</v>
      </c>
    </row>
    <row r="525" ht="14.25" customHeight="1" spans="1:5">
      <c r="A525" s="5339" t="s">
        <v>3506</v>
      </c>
      <c r="B525" s="5327" t="str">
        <f>IF(Baza!$C$22="engleski",E525,(IF(Baza!$C$22="bosanski",C525,D525)))</f>
        <v>Smanjenje/(povećanje) ostale imovine i potraživanja</v>
      </c>
      <c r="C525" s="5328" t="s">
        <v>3507</v>
      </c>
      <c r="D525" s="5347" t="s">
        <v>3507</v>
      </c>
      <c r="E525" s="5330" t="s">
        <v>3508</v>
      </c>
    </row>
    <row r="526" ht="14.25" customHeight="1" spans="1:5">
      <c r="A526" s="5339" t="s">
        <v>3509</v>
      </c>
      <c r="B526" s="5327" t="str">
        <f>IF(Baza!$C$22="engleski",E526,(IF(Baza!$C$22="bosanski",C526,D526)))</f>
        <v>Smanjenje/(povećanje) ugovorne imovine</v>
      </c>
      <c r="C526" s="5328" t="s">
        <v>3510</v>
      </c>
      <c r="D526" s="5347" t="s">
        <v>3510</v>
      </c>
      <c r="E526" s="5330" t="s">
        <v>3511</v>
      </c>
    </row>
    <row r="527" ht="14.25" customHeight="1" spans="1:5">
      <c r="A527" s="5339" t="s">
        <v>3512</v>
      </c>
      <c r="B527" s="5327" t="str">
        <f>IF(Baza!$C$22="engleski",E527,(IF(Baza!$C$22="bosanski",C527,D527)))</f>
        <v>Povećanje/(smanjenje) obaveza prema dobavljačima </v>
      </c>
      <c r="C527" s="5328" t="s">
        <v>3513</v>
      </c>
      <c r="D527" s="5347" t="s">
        <v>3514</v>
      </c>
      <c r="E527" s="5330" t="s">
        <v>3515</v>
      </c>
    </row>
    <row r="528" ht="14.25" customHeight="1" spans="1:5">
      <c r="A528" s="5339" t="s">
        <v>3516</v>
      </c>
      <c r="B528" s="5327" t="str">
        <f>IF(Baza!$C$22="engleski",E528,(IF(Baza!$C$22="bosanski",C528,D528)))</f>
        <v>Povećanje/(smanjenje) ostalih obaveza</v>
      </c>
      <c r="C528" s="5328" t="s">
        <v>3517</v>
      </c>
      <c r="D528" s="5347" t="s">
        <v>3518</v>
      </c>
      <c r="E528" s="5330" t="s">
        <v>3519</v>
      </c>
    </row>
    <row r="529" ht="14.25" customHeight="1" spans="1:5">
      <c r="A529" s="5339" t="s">
        <v>3520</v>
      </c>
      <c r="B529" s="5327" t="str">
        <f>IF(Baza!$C$22="engleski",E529,(IF(Baza!$C$22="bosanski",C529,D529)))</f>
        <v>Povećanje/(smanjenje) ugovornih obaveza</v>
      </c>
      <c r="C529" s="5328" t="s">
        <v>3521</v>
      </c>
      <c r="D529" s="5347" t="s">
        <v>3522</v>
      </c>
      <c r="E529" s="5330" t="s">
        <v>3523</v>
      </c>
    </row>
    <row r="530" ht="14.25" customHeight="1" spans="1:5">
      <c r="A530" s="5339" t="s">
        <v>3524</v>
      </c>
      <c r="B530" s="5327" t="str">
        <f>IF(Baza!$C$22="engleski",E530,(IF(Baza!$C$22="bosanski",C530,D530)))</f>
        <v>Plaćeni porez na dobit</v>
      </c>
      <c r="C530" s="5328" t="s">
        <v>3525</v>
      </c>
      <c r="D530" s="5347" t="s">
        <v>3525</v>
      </c>
      <c r="E530" s="5330" t="s">
        <v>3526</v>
      </c>
    </row>
    <row r="531" ht="14.25" customHeight="1" spans="1:5">
      <c r="A531" s="5339" t="s">
        <v>3527</v>
      </c>
      <c r="B531" s="5327" t="str">
        <f>IF(Baza!$C$22="engleski",E531,(IF(Baza!$C$22="bosanski",C531,D531)))</f>
        <v>Neto gotovinski tok koji je generisan / (korišten) u poslovnim aktivnostima (501 do 533)</v>
      </c>
      <c r="C531" s="5328" t="s">
        <v>3528</v>
      </c>
      <c r="D531" s="5329" t="s">
        <v>3528</v>
      </c>
      <c r="E531" s="5330" t="s">
        <v>3529</v>
      </c>
    </row>
    <row r="532" ht="14.25" customHeight="1" spans="1:5">
      <c r="A532" s="5339"/>
      <c r="B532" s="5327" t="str">
        <f>IF(Baza!$C$22="engleski",E532,(IF(Baza!$C$22="bosanski",C532,D532)))</f>
        <v>GOTOVINSKI TOKOVI IZ ULAGAČKIH AKTIVNOSTI</v>
      </c>
      <c r="C532" s="5328" t="s">
        <v>3275</v>
      </c>
      <c r="D532" s="5347" t="s">
        <v>3275</v>
      </c>
      <c r="E532" s="5330" t="s">
        <v>3276</v>
      </c>
    </row>
    <row r="533" ht="14.25" customHeight="1" spans="1:5">
      <c r="A533" s="5339" t="s">
        <v>3530</v>
      </c>
      <c r="B533" s="5327" t="str">
        <f>IF(Baza!$C$22="engleski",E533,(IF(Baza!$C$22="bosanski",C533,D533)))</f>
        <v>Odlivi po osnovu kupovine nekretnina, postrojenja i opreme</v>
      </c>
      <c r="C533" s="5328" t="s">
        <v>3277</v>
      </c>
      <c r="D533" s="5347" t="s">
        <v>3278</v>
      </c>
      <c r="E533" s="5330" t="s">
        <v>3279</v>
      </c>
    </row>
    <row r="534" ht="14.25" customHeight="1" spans="1:5">
      <c r="A534" s="5339" t="s">
        <v>3531</v>
      </c>
      <c r="B534" s="5327" t="str">
        <f>IF(Baza!$C$22="engleski",E534,(IF(Baza!$C$22="bosanski",C534,D534)))</f>
        <v>Prilivi po osnovu prodaje nekretnina, postrojenja i opreme</v>
      </c>
      <c r="C534" s="5328" t="s">
        <v>3280</v>
      </c>
      <c r="D534" s="5347" t="s">
        <v>3281</v>
      </c>
      <c r="E534" s="5330" t="s">
        <v>3282</v>
      </c>
    </row>
    <row r="535" ht="14.25" customHeight="1" spans="1:5">
      <c r="A535" s="5339" t="s">
        <v>3532</v>
      </c>
      <c r="B535" s="5327" t="str">
        <f>IF(Baza!$C$22="engleski",E535,(IF(Baza!$C$22="bosanski",C535,D535)))</f>
        <v>Odlivi po osnovu kupovine investicijskih nekretnina</v>
      </c>
      <c r="C535" s="5328" t="s">
        <v>3283</v>
      </c>
      <c r="D535" s="5347" t="s">
        <v>3284</v>
      </c>
      <c r="E535" s="5330" t="s">
        <v>3285</v>
      </c>
    </row>
    <row r="536" ht="14.25" customHeight="1" spans="1:5">
      <c r="A536" s="5339" t="s">
        <v>3533</v>
      </c>
      <c r="B536" s="5327" t="str">
        <f>IF(Baza!$C$22="engleski",E536,(IF(Baza!$C$22="bosanski",C536,D536)))</f>
        <v>Prilivi po osnovu prodaje investicijskih nekretnina</v>
      </c>
      <c r="C536" s="5328" t="s">
        <v>3286</v>
      </c>
      <c r="D536" s="5347" t="s">
        <v>3287</v>
      </c>
      <c r="E536" s="5330" t="s">
        <v>3288</v>
      </c>
    </row>
    <row r="537" ht="14.25" customHeight="1" spans="1:5">
      <c r="A537" s="5339" t="s">
        <v>3534</v>
      </c>
      <c r="B537" s="5327" t="str">
        <f>IF(Baza!$C$22="engleski",E537,(IF(Baza!$C$22="bosanski",C537,D537)))</f>
        <v>Odlivi po osnovu kupovine nematerijalne imovine </v>
      </c>
      <c r="C537" s="5328" t="s">
        <v>3535</v>
      </c>
      <c r="D537" s="5347" t="s">
        <v>3536</v>
      </c>
      <c r="E537" s="5330" t="s">
        <v>3291</v>
      </c>
    </row>
    <row r="538" ht="14.25" customHeight="1" spans="1:5">
      <c r="A538" s="5339" t="s">
        <v>3537</v>
      </c>
      <c r="B538" s="5327" t="str">
        <f>IF(Baza!$C$22="engleski",E538,(IF(Baza!$C$22="bosanski",C538,D538)))</f>
        <v>Prilivi po osnovu prodaje nematerijalne imovine</v>
      </c>
      <c r="C538" s="5328" t="s">
        <v>3292</v>
      </c>
      <c r="D538" s="5347" t="s">
        <v>3293</v>
      </c>
      <c r="E538" s="5330" t="s">
        <v>3294</v>
      </c>
    </row>
    <row r="539" ht="14.25" customHeight="1" spans="1:5">
      <c r="A539" s="5339" t="s">
        <v>3538</v>
      </c>
      <c r="B539" s="5327" t="str">
        <f>IF(Baza!$C$22="engleski",E539,(IF(Baza!$C$22="bosanski",C539,D539)))</f>
        <v>Odlivi po osnovu kupovine biološke imovine</v>
      </c>
      <c r="C539" s="5328" t="s">
        <v>3295</v>
      </c>
      <c r="D539" s="5347" t="s">
        <v>3296</v>
      </c>
      <c r="E539" s="5330" t="s">
        <v>3297</v>
      </c>
    </row>
    <row r="540" ht="14.25" customHeight="1" spans="1:5">
      <c r="A540" s="5339" t="s">
        <v>3539</v>
      </c>
      <c r="B540" s="5327" t="str">
        <f>IF(Baza!$C$22="engleski",E540,(IF(Baza!$C$22="bosanski",C540,D540)))</f>
        <v>Prilivi po osnovu prodaje biološke imovine</v>
      </c>
      <c r="C540" s="5328" t="s">
        <v>3298</v>
      </c>
      <c r="D540" s="5347" t="s">
        <v>3299</v>
      </c>
      <c r="E540" s="5330" t="s">
        <v>3300</v>
      </c>
    </row>
    <row r="541" ht="14.25" customHeight="1" spans="1:5">
      <c r="A541" s="5339" t="s">
        <v>3540</v>
      </c>
      <c r="B541" s="5327" t="str">
        <f>IF(Baza!$C$22="engleski",E541,(IF(Baza!$C$22="bosanski",C541,D541)))</f>
        <v>Prilivi po osnovu prodaje dugoročne imovine namijenjene prodaji</v>
      </c>
      <c r="C541" s="5328" t="s">
        <v>3301</v>
      </c>
      <c r="D541" s="5347" t="s">
        <v>3302</v>
      </c>
      <c r="E541" s="5330" t="s">
        <v>3303</v>
      </c>
    </row>
    <row r="542" ht="14.25" customHeight="1" spans="1:5">
      <c r="A542" s="5339" t="s">
        <v>3541</v>
      </c>
      <c r="B542" s="5327" t="str">
        <f>IF(Baza!$C$22="engleski",E542,(IF(Baza!$C$22="bosanski",C542,D542)))</f>
        <v>Ulaganja u finansijsku imovinu po fer vrijednosti kroz ostali ukupni rezultat</v>
      </c>
      <c r="C542" s="5328" t="s">
        <v>3304</v>
      </c>
      <c r="D542" s="5347" t="s">
        <v>3305</v>
      </c>
      <c r="E542" s="5330" t="s">
        <v>3306</v>
      </c>
    </row>
    <row r="543" ht="14.25" customHeight="1" spans="1:5">
      <c r="A543" s="5339" t="s">
        <v>3542</v>
      </c>
      <c r="B543" s="5327" t="str">
        <f>IF(Baza!$C$22="engleski",E543,(IF(Baza!$C$22="bosanski",C543,D543)))</f>
        <v>Prilivi od finansijske imovine po fer vrijednosti kroz ostali ukupni rezultat</v>
      </c>
      <c r="C543" s="5328" t="s">
        <v>3307</v>
      </c>
      <c r="D543" s="5347" t="s">
        <v>3308</v>
      </c>
      <c r="E543" s="5330" t="s">
        <v>3309</v>
      </c>
    </row>
    <row r="544" ht="14.25" customHeight="1" spans="1:5">
      <c r="A544" s="5339" t="s">
        <v>3543</v>
      </c>
      <c r="B544" s="5327" t="str">
        <f>IF(Baza!$C$22="engleski",E544,(IF(Baza!$C$22="bosanski",C544,D544)))</f>
        <v>Ulaganja u finansijsku imovinu po fer vrijednosti kroz bilans uspjeha</v>
      </c>
      <c r="C544" s="5328" t="s">
        <v>3310</v>
      </c>
      <c r="D544" s="5347" t="s">
        <v>3544</v>
      </c>
      <c r="E544" s="5330" t="s">
        <v>3312</v>
      </c>
    </row>
    <row r="545" ht="14.25" customHeight="1" spans="1:5">
      <c r="A545" s="5339" t="s">
        <v>3545</v>
      </c>
      <c r="B545" s="5327" t="str">
        <f>IF(Baza!$C$22="engleski",E545,(IF(Baza!$C$22="bosanski",C545,D545)))</f>
        <v>Prilivi od finansijske imovine po fer vrijednosti kroz bilans uspjeha</v>
      </c>
      <c r="C545" s="5328" t="s">
        <v>3313</v>
      </c>
      <c r="D545" s="5347" t="s">
        <v>3546</v>
      </c>
      <c r="E545" s="5330" t="s">
        <v>3315</v>
      </c>
    </row>
    <row r="546" ht="14.25" customHeight="1" spans="1:5">
      <c r="A546" s="5339" t="s">
        <v>3547</v>
      </c>
      <c r="B546" s="5327" t="str">
        <f>IF(Baza!$C$22="engleski",E546,(IF(Baza!$C$22="bosanski",C546,D546)))</f>
        <v>Ulaganja u ostalu finansijsku imovinu po amortizovanom trošku</v>
      </c>
      <c r="C546" s="5328" t="s">
        <v>3316</v>
      </c>
      <c r="D546" s="5347" t="s">
        <v>3317</v>
      </c>
      <c r="E546" s="5330" t="s">
        <v>3318</v>
      </c>
    </row>
    <row r="547" ht="14.25" customHeight="1" spans="1:5">
      <c r="A547" s="5339" t="s">
        <v>3548</v>
      </c>
      <c r="B547" s="5327" t="str">
        <f>IF(Baza!$C$22="engleski",E547,(IF(Baza!$C$22="bosanski",C547,D547)))</f>
        <v>Prilivi od ostale finansijske imovine po amortizovanom trošku</v>
      </c>
      <c r="C547" s="5328" t="s">
        <v>3319</v>
      </c>
      <c r="D547" s="5347" t="s">
        <v>3320</v>
      </c>
      <c r="E547" s="5330" t="s">
        <v>3321</v>
      </c>
    </row>
    <row r="548" ht="14.25" customHeight="1" spans="1:5">
      <c r="A548" s="5339" t="s">
        <v>3549</v>
      </c>
      <c r="B548" s="5327" t="str">
        <f>IF(Baza!$C$22="engleski",E548,(IF(Baza!$C$22="bosanski",C548,D548)))</f>
        <v>Primljena kamata i prihod od finansijskog najma</v>
      </c>
      <c r="C548" s="5328" t="s">
        <v>3322</v>
      </c>
      <c r="D548" s="5347" t="s">
        <v>3323</v>
      </c>
      <c r="E548" s="5330" t="s">
        <v>3324</v>
      </c>
    </row>
    <row r="549" ht="14.25" customHeight="1" spans="1:5">
      <c r="A549" s="5339" t="s">
        <v>3550</v>
      </c>
      <c r="B549" s="5327" t="str">
        <f>IF(Baza!$C$22="engleski",E549,(IF(Baza!$C$22="bosanski",C549,D549)))</f>
        <v>Naplaćena potraživanja od finansijskog najma</v>
      </c>
      <c r="C549" s="5328" t="s">
        <v>3325</v>
      </c>
      <c r="D549" s="5347" t="s">
        <v>3551</v>
      </c>
      <c r="E549" s="5330" t="s">
        <v>3552</v>
      </c>
    </row>
    <row r="550" ht="14.25" customHeight="1" spans="1:5">
      <c r="A550" s="5339" t="s">
        <v>3553</v>
      </c>
      <c r="B550" s="5327" t="str">
        <f>IF(Baza!$C$22="engleski",E550,(IF(Baza!$C$22="bosanski",C550,D550)))</f>
        <v>Naplaćena potraživanja od finansijskog podnajma</v>
      </c>
      <c r="C550" s="5328" t="s">
        <v>3328</v>
      </c>
      <c r="D550" s="5347" t="s">
        <v>3326</v>
      </c>
      <c r="E550" s="5330" t="s">
        <v>3327</v>
      </c>
    </row>
    <row r="551" ht="14.25" customHeight="1" spans="1:5">
      <c r="A551" s="5339" t="s">
        <v>3554</v>
      </c>
      <c r="B551" s="5327" t="str">
        <f>IF(Baza!$C$22="engleski",E551,(IF(Baza!$C$22="bosanski",C551,D551)))</f>
        <v>Kupovina udjela u zavisnim društvima</v>
      </c>
      <c r="C551" s="5328" t="s">
        <v>3329</v>
      </c>
      <c r="D551" s="5347" t="s">
        <v>3330</v>
      </c>
      <c r="E551" s="5330" t="s">
        <v>3331</v>
      </c>
    </row>
    <row r="552" ht="14.25" customHeight="1" spans="1:5">
      <c r="A552" s="5339" t="s">
        <v>3555</v>
      </c>
      <c r="B552" s="5327" t="str">
        <f>IF(Baza!$C$22="engleski",E552,(IF(Baza!$C$22="bosanski",C552,D552)))</f>
        <v>Prilivi od otuđenja udjela u zavisnim društvima</v>
      </c>
      <c r="C552" s="5328" t="s">
        <v>3332</v>
      </c>
      <c r="D552" s="5347" t="s">
        <v>3333</v>
      </c>
      <c r="E552" s="5330" t="s">
        <v>3334</v>
      </c>
    </row>
    <row r="553" ht="14.25" customHeight="1" spans="1:5">
      <c r="A553" s="5339" t="s">
        <v>597</v>
      </c>
      <c r="B553" s="5327" t="str">
        <f>IF(Baza!$C$22="engleski",E553,(IF(Baza!$C$22="bosanski",C553,D553)))</f>
        <v>Kupovina udjela u pridruženim društvima</v>
      </c>
      <c r="C553" s="5328" t="s">
        <v>3335</v>
      </c>
      <c r="D553" s="5347" t="s">
        <v>3335</v>
      </c>
      <c r="E553" s="5330" t="s">
        <v>3336</v>
      </c>
    </row>
    <row r="554" ht="14.25" customHeight="1" spans="1:5">
      <c r="A554" s="5339" t="s">
        <v>3556</v>
      </c>
      <c r="B554" s="5327" t="str">
        <f>IF(Baza!$C$22="engleski",E554,(IF(Baza!$C$22="bosanski",C554,D554)))</f>
        <v>Prilivi od otuđenja udjela u pridruženim društvima</v>
      </c>
      <c r="C554" s="5328" t="s">
        <v>3337</v>
      </c>
      <c r="D554" s="5347" t="s">
        <v>3338</v>
      </c>
      <c r="E554" s="5330" t="s">
        <v>3339</v>
      </c>
    </row>
    <row r="555" ht="14.25" customHeight="1" spans="1:5">
      <c r="A555" s="5339" t="s">
        <v>3557</v>
      </c>
      <c r="B555" s="5327" t="str">
        <f>IF(Baza!$C$22="engleski",E555,(IF(Baza!$C$22="bosanski",C555,D555)))</f>
        <v>Kupovina udjela u zajedničkim poduhvatima</v>
      </c>
      <c r="C555" s="5328" t="s">
        <v>3340</v>
      </c>
      <c r="D555" s="5347" t="s">
        <v>3340</v>
      </c>
      <c r="E555" s="5330" t="s">
        <v>3341</v>
      </c>
    </row>
    <row r="556" ht="14.25" customHeight="1" spans="1:5">
      <c r="A556" s="5339" t="s">
        <v>3558</v>
      </c>
      <c r="B556" s="5327" t="str">
        <f>IF(Baza!$C$22="engleski",E556,(IF(Baza!$C$22="bosanski",C556,D556)))</f>
        <v>Prilivi od otuđenja udjela u zajedničkim poduhvatima</v>
      </c>
      <c r="C556" s="5328" t="s">
        <v>3342</v>
      </c>
      <c r="D556" s="5347" t="s">
        <v>3343</v>
      </c>
      <c r="E556" s="5330" t="s">
        <v>3344</v>
      </c>
    </row>
    <row r="557" ht="14.25" customHeight="1" spans="1:5">
      <c r="A557" s="5351" t="s">
        <v>3559</v>
      </c>
      <c r="B557" s="5327" t="str">
        <f>IF(Baza!$C$22="engleski",E557,(IF(Baza!$C$22="bosanski",C557,D557)))</f>
        <v>Primljene dividende</v>
      </c>
      <c r="C557" s="5328" t="s">
        <v>3345</v>
      </c>
      <c r="D557" s="5347" t="s">
        <v>3345</v>
      </c>
      <c r="E557" s="5330" t="s">
        <v>3346</v>
      </c>
    </row>
    <row r="558" ht="14.25" customHeight="1" spans="1:5">
      <c r="A558" s="5339" t="s">
        <v>3560</v>
      </c>
      <c r="B558" s="5327" t="str">
        <f>IF(Baza!$C$22="engleski",E558,(IF(Baza!$C$22="bosanski",C558,D558)))</f>
        <v>Prilivi po osnovu trgovanja derivatnim finansijskim instrumentima</v>
      </c>
      <c r="C558" s="5328" t="s">
        <v>3347</v>
      </c>
      <c r="D558" s="5347" t="s">
        <v>3348</v>
      </c>
      <c r="E558" s="5330" t="s">
        <v>3349</v>
      </c>
    </row>
    <row r="559" ht="14.25" customHeight="1" spans="1:5">
      <c r="A559" s="5339" t="s">
        <v>3561</v>
      </c>
      <c r="B559" s="5327" t="str">
        <f>IF(Baza!$C$22="engleski",E559,(IF(Baza!$C$22="bosanski",C559,D559)))</f>
        <v>Odlivi po osnovu trgovanja derivatnim finansijskim instrumentima</v>
      </c>
      <c r="C559" s="5328" t="s">
        <v>3350</v>
      </c>
      <c r="D559" s="5347" t="s">
        <v>3351</v>
      </c>
      <c r="E559" s="5330" t="s">
        <v>3352</v>
      </c>
    </row>
    <row r="560" ht="14.25" customHeight="1" spans="1:5">
      <c r="A560" s="5339" t="s">
        <v>3562</v>
      </c>
      <c r="B560" s="5327" t="str">
        <f>IF(Baza!$C$22="engleski",E560,(IF(Baza!$C$22="bosanski",C560,D560)))</f>
        <v>Ostali prilivi iz ulagačkih aktivnosti</v>
      </c>
      <c r="C560" s="5328" t="s">
        <v>3353</v>
      </c>
      <c r="D560" s="5347" t="s">
        <v>3354</v>
      </c>
      <c r="E560" s="5330" t="s">
        <v>3355</v>
      </c>
    </row>
    <row r="561" ht="14.25" customHeight="1" spans="1:5">
      <c r="A561" s="5339" t="s">
        <v>3563</v>
      </c>
      <c r="B561" s="5327" t="str">
        <f>IF(Baza!$C$22="engleski",E561,(IF(Baza!$C$22="bosanski",C561,D561)))</f>
        <v>Ostali odlivi iz ulagačkih aktivnosti</v>
      </c>
      <c r="C561" s="5328" t="s">
        <v>3356</v>
      </c>
      <c r="D561" s="5347" t="s">
        <v>3357</v>
      </c>
      <c r="E561" s="5330" t="s">
        <v>3358</v>
      </c>
    </row>
    <row r="562" ht="14.25" customHeight="1" spans="1:5">
      <c r="A562" s="5339" t="s">
        <v>3564</v>
      </c>
      <c r="B562" s="5327" t="str">
        <f>IF(Baza!$C$22="engleski",E562,(IF(Baza!$C$22="bosanski",C562,D562)))</f>
        <v>Neto gotovinski tok koji je generisan/(korišten) u ulagačkim aktivnostima (535 do 563)</v>
      </c>
      <c r="C562" s="5328" t="s">
        <v>3565</v>
      </c>
      <c r="D562" s="5329" t="s">
        <v>3565</v>
      </c>
      <c r="E562" s="5330" t="s">
        <v>3566</v>
      </c>
    </row>
    <row r="563" ht="14.25" customHeight="1" spans="1:5">
      <c r="A563" s="5339"/>
      <c r="B563" s="5327" t="str">
        <f>IF(Baza!$C$22="engleski",E563,(IF(Baza!$C$22="bosanski",C563,D563)))</f>
        <v>GOTOVINSKI TOKOVI IZ FINANSIJSKIH AKTIVNOSTI</v>
      </c>
      <c r="C563" s="5328" t="s">
        <v>3361</v>
      </c>
      <c r="D563" s="5347" t="s">
        <v>3362</v>
      </c>
      <c r="E563" s="5330" t="s">
        <v>3363</v>
      </c>
    </row>
    <row r="564" ht="14.25" customHeight="1" spans="1:5">
      <c r="A564" s="5339" t="s">
        <v>3567</v>
      </c>
      <c r="B564" s="5327" t="str">
        <f>IF(Baza!$C$22="engleski",E564,(IF(Baza!$C$22="bosanski",C564,D564)))</f>
        <v>Prilivi od emisije dionica / uplaćeni vlasnički kapital</v>
      </c>
      <c r="C564" s="5328" t="s">
        <v>3364</v>
      </c>
      <c r="D564" s="5347" t="s">
        <v>3365</v>
      </c>
      <c r="E564" s="5330" t="s">
        <v>3366</v>
      </c>
    </row>
    <row r="565" ht="14.25" customHeight="1" spans="1:5">
      <c r="A565" s="5339" t="s">
        <v>3568</v>
      </c>
      <c r="B565" s="5327" t="str">
        <f>IF(Baza!$C$22="engleski",E565,(IF(Baza!$C$22="bosanski",C565,D565)))</f>
        <v>Sticanje vlastitih dionica</v>
      </c>
      <c r="C565" s="5328" t="s">
        <v>3367</v>
      </c>
      <c r="D565" s="5347" t="s">
        <v>3368</v>
      </c>
      <c r="E565" s="5330" t="s">
        <v>3369</v>
      </c>
    </row>
    <row r="566" ht="14.25" customHeight="1" spans="1:5">
      <c r="A566" s="5339" t="s">
        <v>3569</v>
      </c>
      <c r="B566" s="5327" t="str">
        <f>IF(Baza!$C$22="engleski",E566,(IF(Baza!$C$22="bosanski",C566,D566)))</f>
        <v>Prilivi od prodaje stečenih vlastitih dionica</v>
      </c>
      <c r="C566" s="5328" t="s">
        <v>3370</v>
      </c>
      <c r="D566" s="5347" t="s">
        <v>3371</v>
      </c>
      <c r="E566" s="5330" t="s">
        <v>3372</v>
      </c>
    </row>
    <row r="567" ht="14.25" customHeight="1" spans="1:5">
      <c r="A567" s="5339" t="s">
        <v>3570</v>
      </c>
      <c r="B567" s="5327" t="str">
        <f>IF(Baza!$C$22="engleski",E567,(IF(Baza!$C$22="bosanski",C567,D567)))</f>
        <v>Isplaćene dividende</v>
      </c>
      <c r="C567" s="5328" t="s">
        <v>3373</v>
      </c>
      <c r="D567" s="5352" t="s">
        <v>3373</v>
      </c>
      <c r="E567" s="5330" t="s">
        <v>3377</v>
      </c>
    </row>
    <row r="568" ht="14.25" customHeight="1" spans="1:5">
      <c r="A568" s="5339" t="s">
        <v>3571</v>
      </c>
      <c r="B568" s="5327" t="str">
        <f>IF(Baza!$C$22="engleski",E568,(IF(Baza!$C$22="bosanski",C568,D568)))</f>
        <v>Prilivi od uzetih kredita</v>
      </c>
      <c r="C568" s="5328" t="s">
        <v>3375</v>
      </c>
      <c r="D568" s="5352" t="s">
        <v>3375</v>
      </c>
      <c r="E568" s="5330" t="s">
        <v>3379</v>
      </c>
    </row>
    <row r="569" ht="14.25" customHeight="1" spans="1:5">
      <c r="A569" s="5339" t="s">
        <v>3572</v>
      </c>
      <c r="B569" s="5327" t="str">
        <f>IF(Baza!$C$22="engleski",E569,(IF(Baza!$C$22="bosanski",C569,D569)))</f>
        <v>Otplata glavnice uzetih kredita</v>
      </c>
      <c r="C569" s="5328" t="s">
        <v>3378</v>
      </c>
      <c r="D569" s="5352" t="s">
        <v>3378</v>
      </c>
      <c r="E569" s="5330" t="s">
        <v>3381</v>
      </c>
    </row>
    <row r="570" ht="14.25" customHeight="1" spans="1:5">
      <c r="A570" s="5339" t="s">
        <v>608</v>
      </c>
      <c r="B570" s="5327" t="str">
        <f>IF(Baza!$C$22="engleski",E570,(IF(Baza!$C$22="bosanski",C570,D570)))</f>
        <v>Otplata kamate po uzetim kreditima</v>
      </c>
      <c r="C570" s="5328" t="s">
        <v>3380</v>
      </c>
      <c r="D570" s="5352" t="s">
        <v>3380</v>
      </c>
      <c r="E570" s="5330" t="s">
        <v>3383</v>
      </c>
    </row>
    <row r="571" ht="14.25" customHeight="1" spans="1:5">
      <c r="A571" s="5339" t="s">
        <v>620</v>
      </c>
      <c r="B571" s="5327" t="str">
        <f>IF(Baza!$C$22="engleski",E571,(IF(Baza!$C$22="bosanski",C571,D571)))</f>
        <v>Otplata glavnice po najmovima</v>
      </c>
      <c r="C571" s="5328" t="s">
        <v>3382</v>
      </c>
      <c r="D571" s="5352" t="s">
        <v>3382</v>
      </c>
      <c r="E571" s="5330" t="s">
        <v>3385</v>
      </c>
    </row>
    <row r="572" ht="14.25" customHeight="1" spans="1:5">
      <c r="A572" s="5339" t="s">
        <v>3573</v>
      </c>
      <c r="B572" s="5327" t="str">
        <f>IF(Baza!$C$22="engleski",E572,(IF(Baza!$C$22="bosanski",C572,D572)))</f>
        <v>Otplata kamate po najmovima</v>
      </c>
      <c r="C572" s="5328" t="s">
        <v>3384</v>
      </c>
      <c r="D572" s="5352" t="s">
        <v>3384</v>
      </c>
      <c r="E572" s="5330" t="s">
        <v>3374</v>
      </c>
    </row>
    <row r="573" ht="14.25" customHeight="1" spans="1:5">
      <c r="A573" s="5339" t="s">
        <v>3574</v>
      </c>
      <c r="B573" s="5327" t="str">
        <f>IF(Baza!$C$22="engleski",E573,(IF(Baza!$C$22="bosanski",C573,D573)))</f>
        <v>Prilivi po osnovu izdatih dužničkih instrumenata</v>
      </c>
      <c r="C573" s="5328" t="s">
        <v>3386</v>
      </c>
      <c r="D573" s="5352" t="s">
        <v>3386</v>
      </c>
      <c r="E573" s="5330" t="s">
        <v>3388</v>
      </c>
    </row>
    <row r="574" ht="14.25" customHeight="1" spans="1:5">
      <c r="A574" s="5339" t="s">
        <v>3575</v>
      </c>
      <c r="B574" s="5327" t="str">
        <f>IF(Baza!$C$22="engleski",E574,(IF(Baza!$C$22="bosanski",C574,D574)))</f>
        <v>Odlivi po osnovu otplate izdatih dužničkih instrumenata</v>
      </c>
      <c r="C574" s="5328" t="s">
        <v>3389</v>
      </c>
      <c r="D574" s="5352" t="s">
        <v>3389</v>
      </c>
      <c r="E574" s="5330" t="s">
        <v>3391</v>
      </c>
    </row>
    <row r="575" ht="14.25" customHeight="1" spans="1:5">
      <c r="A575" s="5339" t="s">
        <v>3576</v>
      </c>
      <c r="B575" s="5327" t="str">
        <f>IF(Baza!$C$22="engleski",E575,(IF(Baza!$C$22="bosanski",C575,D575)))</f>
        <v>Ostali prilivi iz finansijskih aktivnosti</v>
      </c>
      <c r="C575" s="5328" t="s">
        <v>3392</v>
      </c>
      <c r="D575" s="5352" t="s">
        <v>3392</v>
      </c>
      <c r="E575" s="5330" t="s">
        <v>3394</v>
      </c>
    </row>
    <row r="576" ht="14.25" customHeight="1" spans="1:5">
      <c r="A576" s="5339" t="s">
        <v>3577</v>
      </c>
      <c r="B576" s="5327" t="str">
        <f>IF(Baza!$C$22="engleski",E576,(IF(Baza!$C$22="bosanski",C576,D576)))</f>
        <v>Ostali odlivi iz finansijskih aktivnosti</v>
      </c>
      <c r="C576" s="5328" t="s">
        <v>3395</v>
      </c>
      <c r="D576" s="5352" t="s">
        <v>3395</v>
      </c>
      <c r="E576" s="5330" t="s">
        <v>3397</v>
      </c>
    </row>
    <row r="577" ht="14.25" customHeight="1" spans="1:5">
      <c r="A577" s="5339" t="s">
        <v>3578</v>
      </c>
      <c r="B577" s="5327" t="str">
        <f>IF(Baza!$C$22="engleski",E577,(IF(Baza!$C$22="bosanski",C577,D577)))</f>
        <v>Neto gotovinski tok koji je generisan/(korišten) u finansijskim aktivnostima (565 do 577)</v>
      </c>
      <c r="C577" s="5328" t="s">
        <v>3579</v>
      </c>
      <c r="D577" s="5347" t="s">
        <v>3580</v>
      </c>
      <c r="E577" s="5330" t="s">
        <v>3581</v>
      </c>
    </row>
    <row r="578" ht="14.25" customHeight="1" spans="1:5">
      <c r="A578" s="5339" t="s">
        <v>3582</v>
      </c>
      <c r="B578" s="5327" t="str">
        <f>IF(Baza!$C$22="engleski",E578,(IF(Baza!$C$22="bosanski",C578,D578)))</f>
        <v>NETO POVEĆANJE / (SMANJENJE) GOTOVINE I GOTOVINSKIH EKVIVALENATA (A+B+C)</v>
      </c>
      <c r="C578" s="5328" t="s">
        <v>3401</v>
      </c>
      <c r="D578" s="5329" t="s">
        <v>3401</v>
      </c>
      <c r="E578" s="5330" t="s">
        <v>3402</v>
      </c>
    </row>
    <row r="579" ht="14.25" customHeight="1" spans="1:5">
      <c r="A579" s="5339" t="s">
        <v>3583</v>
      </c>
      <c r="B579" s="5327" t="str">
        <f>IF(Baza!$C$22="engleski",E579,(IF(Baza!$C$22="bosanski",C579,D579)))</f>
        <v>GOTOVINA I GOTOVINSKI EKVIVALENTI NA POČETKU PERIODA</v>
      </c>
      <c r="C579" s="5328" t="s">
        <v>3403</v>
      </c>
      <c r="D579" s="5347" t="s">
        <v>3404</v>
      </c>
      <c r="E579" s="5330" t="s">
        <v>3405</v>
      </c>
    </row>
    <row r="580" ht="14.25" customHeight="1" spans="1:5">
      <c r="A580" s="5339" t="s">
        <v>3584</v>
      </c>
      <c r="B580" s="5327" t="str">
        <f>IF(Baza!$C$22="engleski",E580,(IF(Baza!$C$22="bosanski",C580,D580)))</f>
        <v>EFEKTI PROMJENE DEVIZNIH KURSEVA GOTOVINE I GOTOVINSKIH EKVIVALENATA</v>
      </c>
      <c r="C580" s="5328" t="s">
        <v>3406</v>
      </c>
      <c r="D580" s="5347" t="s">
        <v>3407</v>
      </c>
      <c r="E580" s="5330" t="s">
        <v>3408</v>
      </c>
    </row>
    <row r="581" ht="14.25" customHeight="1" spans="1:5">
      <c r="A581" s="5339" t="s">
        <v>3585</v>
      </c>
      <c r="B581" s="5327" t="str">
        <f>IF(Baza!$C$22="engleski",E581,(IF(Baza!$C$22="bosanski",C581,D581)))</f>
        <v>GOTOVINA I GOTOVINSKI EKVIVALENTI NA KRAJU PERIODA (4+5+6)</v>
      </c>
      <c r="C581" s="5328" t="s">
        <v>3409</v>
      </c>
      <c r="D581" s="5329" t="s">
        <v>3409</v>
      </c>
      <c r="E581" s="5330" t="s">
        <v>3410</v>
      </c>
    </row>
    <row r="582" ht="14.25" customHeight="1" spans="1:5">
      <c r="B582" s="5334"/>
      <c r="C582" s="5335"/>
      <c r="D582" s="5336"/>
    </row>
    <row r="583" ht="14.25" customHeight="1" spans="1:5">
      <c r="B583" s="5334"/>
      <c r="C583" s="5335"/>
      <c r="D583" s="5336"/>
    </row>
    <row r="584" ht="14.25" customHeight="1" spans="1:5">
      <c r="B584" s="5334"/>
      <c r="C584" s="5335"/>
      <c r="D584" s="5336"/>
    </row>
    <row r="585" ht="18.75" customHeight="1" spans="1:5">
      <c r="B585" s="5327" t="str">
        <f>IF(Baza!$C$22="engleski",E585,(IF(Baza!$C$22="bosanski",C585,D585)))</f>
        <v>ANEX - DODATNI RAČUNOVODSTVENI IZVJEŠTAJ ZA PRIVREDNA DRUŠTVA</v>
      </c>
      <c r="C585" s="5353" t="s">
        <v>3586</v>
      </c>
      <c r="D585" s="5354" t="s">
        <v>3587</v>
      </c>
      <c r="E585" s="5355" t="s">
        <v>3588</v>
      </c>
    </row>
    <row r="586" ht="14.25" customHeight="1" spans="1:5">
      <c r="A586" s="5309">
        <f>Anex_MSV!AF20</f>
        <v>601</v>
      </c>
      <c r="B586" s="5327" t="str">
        <f>IF(Baza!$C$22="engleski",E586,(IF(Baza!$C$22="bosanski",C586,D586)))</f>
        <v>OSTALI PRIHODI I DOBICI (2+5+6+7+8+9+10+11+12)</v>
      </c>
      <c r="C586" s="5356" t="s">
        <v>3589</v>
      </c>
      <c r="D586" s="5348" t="s">
        <v>3589</v>
      </c>
      <c r="E586" s="5313" t="s">
        <v>3590</v>
      </c>
    </row>
    <row r="587" ht="14.25" customHeight="1" spans="1:5">
      <c r="A587" s="5309">
        <f>Anex_MSV!AF21</f>
        <v>602</v>
      </c>
      <c r="B587" s="5327" t="str">
        <f>IF(Baza!$C$22="engleski",E587,(IF(Baza!$C$22="bosanski",C587,D587)))</f>
        <v>Prihodi od premija, subvencija, poticaja i sl., od toga:</v>
      </c>
      <c r="C587" s="5356" t="s">
        <v>3591</v>
      </c>
      <c r="D587" s="5348" t="s">
        <v>3591</v>
      </c>
      <c r="E587" s="5313" t="s">
        <v>3592</v>
      </c>
    </row>
    <row r="588" ht="14.25" customHeight="1" spans="1:5">
      <c r="A588" s="5309">
        <f>Anex_MSV!AF22</f>
        <v>603</v>
      </c>
      <c r="B588" s="5327" t="str">
        <f>IF(Baza!$C$22="engleski",E588,(IF(Baza!$C$22="bosanski",C588,D588)))</f>
        <v> - Prihodi iz budžeta po osnovu subvencija na proizvode 1)</v>
      </c>
      <c r="C588" s="5356" t="s">
        <v>3593</v>
      </c>
      <c r="D588" s="5348" t="s">
        <v>3594</v>
      </c>
      <c r="E588" s="5313" t="s">
        <v>3595</v>
      </c>
    </row>
    <row r="589" ht="14.25" customHeight="1" spans="1:5">
      <c r="A589" s="5309">
        <f>Anex_MSV!AF23</f>
        <v>604</v>
      </c>
      <c r="B589" s="5327" t="str">
        <f>IF(Baza!$C$22="engleski",E589,(IF(Baza!$C$22="bosanski",C589,D589)))</f>
        <v> - Prihodi iz budžeta po osnovu subvencija za ostale namjene 2)</v>
      </c>
      <c r="C589" s="5356" t="s">
        <v>3596</v>
      </c>
      <c r="D589" s="5348" t="s">
        <v>3597</v>
      </c>
      <c r="E589" s="5313" t="s">
        <v>3598</v>
      </c>
    </row>
    <row r="590" ht="14.25" customHeight="1" spans="1:5">
      <c r="A590" s="5309">
        <f>Anex_MSV!AF24</f>
        <v>605</v>
      </c>
      <c r="B590" s="5327" t="str">
        <f>IF(Baza!$C$22="engleski",E590,(IF(Baza!$C$22="bosanski",C590,D590)))</f>
        <v>Prihodi od najma (operativni najam)</v>
      </c>
      <c r="C590" s="5356" t="s">
        <v>3599</v>
      </c>
      <c r="D590" s="5348" t="s">
        <v>3599</v>
      </c>
      <c r="E590" s="5313" t="s">
        <v>3600</v>
      </c>
    </row>
    <row r="591" ht="14.25" customHeight="1" spans="1:5">
      <c r="A591" s="5309">
        <f>Anex_MSV!AF25</f>
        <v>606</v>
      </c>
      <c r="B591" s="5327" t="str">
        <f>IF(Baza!$C$22="engleski",E591,(IF(Baza!$C$22="bosanski",C591,D591)))</f>
        <v>Prihodi od donacija</v>
      </c>
      <c r="C591" s="5356" t="s">
        <v>3601</v>
      </c>
      <c r="D591" s="5348" t="s">
        <v>3601</v>
      </c>
      <c r="E591" s="5313" t="s">
        <v>3602</v>
      </c>
    </row>
    <row r="592" ht="14.25" customHeight="1" spans="1:5">
      <c r="A592" s="5309">
        <f>Anex_MSV!AF26</f>
        <v>607</v>
      </c>
      <c r="B592" s="5327" t="str">
        <f>IF(Baza!$C$22="engleski",E592,(IF(Baza!$C$22="bosanski",C592,D592)))</f>
        <v>Prihodi od članarina</v>
      </c>
      <c r="C592" s="5356" t="s">
        <v>3603</v>
      </c>
      <c r="D592" s="5348" t="s">
        <v>3603</v>
      </c>
      <c r="E592" s="5313" t="s">
        <v>3604</v>
      </c>
    </row>
    <row r="593" ht="14.25" customHeight="1" spans="1:5">
      <c r="A593" s="5309">
        <f>Anex_MSV!AF27</f>
        <v>608</v>
      </c>
      <c r="B593" s="5327" t="str">
        <f>IF(Baza!$C$22="engleski",E593,(IF(Baza!$C$22="bosanski",C593,D593)))</f>
        <v>Prihodi od tantijema i licencnih prava</v>
      </c>
      <c r="C593" s="5356" t="s">
        <v>3605</v>
      </c>
      <c r="D593" s="5348" t="s">
        <v>3605</v>
      </c>
      <c r="E593" s="5313" t="s">
        <v>3606</v>
      </c>
    </row>
    <row r="594" ht="14.25" customHeight="1" spans="1:5">
      <c r="A594" s="5309">
        <f>Anex_MSV!AF28</f>
        <v>609</v>
      </c>
      <c r="B594" s="5327" t="str">
        <f>IF(Baza!$C$22="engleski",E594,(IF(Baza!$C$22="bosanski",C594,D594)))</f>
        <v>Prihodi iz namjenskih izvora finansiranja</v>
      </c>
      <c r="C594" s="5356" t="s">
        <v>3607</v>
      </c>
      <c r="D594" s="5348" t="s">
        <v>3608</v>
      </c>
      <c r="E594" s="5313" t="s">
        <v>3609</v>
      </c>
    </row>
    <row r="595" ht="14.25" customHeight="1" spans="1:5">
      <c r="A595" s="5309">
        <f>Anex_MSV!AF29</f>
        <v>610</v>
      </c>
      <c r="B595" s="5327" t="str">
        <f>IF(Baza!$C$22="engleski",E595,(IF(Baza!$C$22="bosanski",C595,D595)))</f>
        <v>Ostali prihodi po drugim osnovama</v>
      </c>
      <c r="C595" s="5356" t="s">
        <v>3610</v>
      </c>
      <c r="D595" s="5348" t="s">
        <v>3610</v>
      </c>
      <c r="E595" s="5313" t="s">
        <v>3611</v>
      </c>
    </row>
    <row r="596" ht="14.25" customHeight="1" spans="1:5">
      <c r="A596" s="5309">
        <f>Anex_MSV!AF30</f>
        <v>611</v>
      </c>
      <c r="B596" s="5327" t="str">
        <f>IF(Baza!$C$22="engleski",E596,(IF(Baza!$C$22="bosanski",C596,D596)))</f>
        <v>Dobici od prodaje materijala</v>
      </c>
      <c r="C596" s="5356" t="s">
        <v>3612</v>
      </c>
      <c r="D596" s="5348" t="s">
        <v>3612</v>
      </c>
      <c r="E596" s="5313" t="s">
        <v>3613</v>
      </c>
    </row>
    <row r="597" ht="14.25" customHeight="1" spans="1:5">
      <c r="A597" s="5309">
        <f>Anex_MSV!AF31</f>
        <v>612</v>
      </c>
      <c r="B597" s="5327" t="str">
        <f>IF(Baza!$C$22="engleski",E597,(IF(Baza!$C$22="bosanski",C597,D597)))</f>
        <v>Dobici od usklađivanja vrijednosti zaliha</v>
      </c>
      <c r="C597" s="5356" t="s">
        <v>3614</v>
      </c>
      <c r="D597" s="5348" t="s">
        <v>3614</v>
      </c>
      <c r="E597" s="5313" t="s">
        <v>3615</v>
      </c>
    </row>
    <row r="598" ht="14.25" customHeight="1" spans="1:5">
      <c r="A598" s="5309">
        <f>Anex_MSV!AF32</f>
        <v>613</v>
      </c>
      <c r="B598" s="5327" t="str">
        <f>IF(Baza!$C$22="engleski",E598,(IF(Baza!$C$22="bosanski",C598,D598)))</f>
        <v>TROŠKOVI PLAĆA I OSTALIH PRIMANJA ZAPOSLENIH I DRUGIH FIZIČKIH LICA (14+15+16+17+18+20+21+22)</v>
      </c>
      <c r="C598" s="5356" t="s">
        <v>3616</v>
      </c>
      <c r="D598" s="5348" t="s">
        <v>3617</v>
      </c>
      <c r="E598" s="5313" t="s">
        <v>3618</v>
      </c>
    </row>
    <row r="599" ht="14.25" customHeight="1" spans="1:5">
      <c r="A599" s="5309">
        <f>Anex_MSV!AF33</f>
        <v>614</v>
      </c>
      <c r="B599" s="5327" t="str">
        <f>IF(Baza!$C$22="engleski",E599,(IF(Baza!$C$22="bosanski",C599,D599)))</f>
        <v>Plaće i naknade plaća (neto za isplatu zaposlenicima) 3)</v>
      </c>
      <c r="C599" s="5356" t="s">
        <v>3619</v>
      </c>
      <c r="D599" s="5348" t="s">
        <v>3620</v>
      </c>
      <c r="E599" s="5313" t="s">
        <v>3621</v>
      </c>
    </row>
    <row r="600" ht="14.25" customHeight="1" spans="1:5">
      <c r="A600" s="5309">
        <f>Anex_MSV!AF34</f>
        <v>615</v>
      </c>
      <c r="B600" s="5327" t="str">
        <f>IF(Baza!$C$22="engleski",E600,(IF(Baza!$C$22="bosanski",C600,D600)))</f>
        <v>Porez na dohodak</v>
      </c>
      <c r="C600" s="5356" t="s">
        <v>3622</v>
      </c>
      <c r="D600" s="5348" t="s">
        <v>3622</v>
      </c>
      <c r="E600" s="5313" t="s">
        <v>3623</v>
      </c>
    </row>
    <row r="601" ht="14.25" customHeight="1" spans="1:5">
      <c r="A601" s="5309">
        <f>Anex_MSV!AF35</f>
        <v>616</v>
      </c>
      <c r="B601" s="5327" t="str">
        <f>IF(Baza!$C$22="engleski",E601,(IF(Baza!$C$22="bosanski",C601,D601)))</f>
        <v>Doprinosi iz plaća i naknada plaća</v>
      </c>
      <c r="C601" s="5356" t="s">
        <v>3624</v>
      </c>
      <c r="D601" s="5348" t="s">
        <v>3624</v>
      </c>
      <c r="E601" s="5313" t="s">
        <v>3625</v>
      </c>
    </row>
    <row r="602" ht="14.25" customHeight="1" spans="1:5">
      <c r="A602" s="5309">
        <f>Anex_MSV!AF36</f>
        <v>617</v>
      </c>
      <c r="B602" s="5327" t="str">
        <f>IF(Baza!$C$22="engleski",E602,(IF(Baza!$C$22="bosanski",C602,D602)))</f>
        <v>Doprinosi na plaća i naknade plaća</v>
      </c>
      <c r="C602" s="5356" t="s">
        <v>3626</v>
      </c>
      <c r="D602" s="5348" t="s">
        <v>3626</v>
      </c>
      <c r="E602" s="5313" t="s">
        <v>3627</v>
      </c>
    </row>
    <row r="603" ht="14.25" customHeight="1" spans="1:5">
      <c r="A603" s="5309">
        <f>Anex_MSV!AF37</f>
        <v>618</v>
      </c>
      <c r="B603" s="5327" t="str">
        <f>IF(Baza!$C$22="engleski",E603,(IF(Baza!$C$22="bosanski",C603,D603)))</f>
        <v>Troškovi za službena putovanja zaposlenih, od toga:</v>
      </c>
      <c r="C603" s="5356" t="s">
        <v>3628</v>
      </c>
      <c r="D603" s="5348" t="s">
        <v>3628</v>
      </c>
      <c r="E603" s="5313" t="s">
        <v>3629</v>
      </c>
    </row>
    <row r="604" ht="14.25" customHeight="1" spans="1:5">
      <c r="A604" s="5309">
        <f>Anex_MSV!AF38</f>
        <v>619</v>
      </c>
      <c r="B604" s="5327" t="str">
        <f>IF(Baza!$C$22="engleski",E604,(IF(Baza!$C$22="bosanski",C604,D604)))</f>
        <v> - Dnevnice za službena putovanja u zemlji i inostranstvu</v>
      </c>
      <c r="C604" s="5356" t="s">
        <v>3630</v>
      </c>
      <c r="D604" s="5348" t="s">
        <v>3630</v>
      </c>
      <c r="E604" s="5313" t="s">
        <v>3631</v>
      </c>
    </row>
    <row r="605" ht="14.25" customHeight="1" spans="1:5">
      <c r="A605" s="5309">
        <f>Anex_MSV!AF39</f>
        <v>620</v>
      </c>
      <c r="B605" s="5327" t="str">
        <f>IF(Baza!$C$22="engleski",E605,(IF(Baza!$C$22="bosanski",C605,D605)))</f>
        <v>Troškovi ostalih primanja, naknada i materijalnih prava zaposlenih</v>
      </c>
      <c r="C605" s="5356" t="s">
        <v>3632</v>
      </c>
      <c r="D605" s="5348" t="s">
        <v>3632</v>
      </c>
      <c r="E605" s="5313" t="s">
        <v>3633</v>
      </c>
    </row>
    <row r="606" ht="14.25" customHeight="1" spans="1:5">
      <c r="A606" s="5309">
        <f>Anex_MSV!AF40</f>
        <v>621</v>
      </c>
      <c r="B606" s="5327" t="str">
        <f>IF(Baza!$C$22="engleski",E606,(IF(Baza!$C$22="bosanski",C606,D606)))</f>
        <v>Troškovi naknada članovima odbora, komisija i sl.</v>
      </c>
      <c r="C606" s="5356" t="s">
        <v>3634</v>
      </c>
      <c r="D606" s="5348" t="s">
        <v>3634</v>
      </c>
      <c r="E606" s="5313" t="s">
        <v>3635</v>
      </c>
    </row>
    <row r="607" ht="14.25" customHeight="1" spans="1:5">
      <c r="A607" s="5309">
        <f>Anex_MSV!AF41</f>
        <v>622</v>
      </c>
      <c r="B607" s="5327" t="str">
        <f>IF(Baza!$C$22="engleski",E607,(IF(Baza!$C$22="bosanski",C607,D607)))</f>
        <v>Troškovi naknada ostalim fizičkim licima</v>
      </c>
      <c r="C607" s="5356" t="s">
        <v>3636</v>
      </c>
      <c r="D607" s="5348" t="s">
        <v>3637</v>
      </c>
      <c r="E607" s="5313" t="s">
        <v>3638</v>
      </c>
    </row>
    <row r="608" ht="14.25" customHeight="1" spans="1:5">
      <c r="A608" s="5309">
        <f>Anex_MSV!AF42</f>
        <v>623</v>
      </c>
      <c r="B608" s="5327" t="str">
        <f>IF(Baza!$C$22="engleski",E608,(IF(Baza!$C$22="bosanski",C608,D608)))</f>
        <v>TROŠKOVI PROIZVODNIH USLUGA (24 do 32)</v>
      </c>
      <c r="C608" s="5356" t="s">
        <v>3639</v>
      </c>
      <c r="D608" s="5348" t="s">
        <v>3639</v>
      </c>
      <c r="E608" s="5313" t="s">
        <v>3640</v>
      </c>
    </row>
    <row r="609" ht="14.25" customHeight="1" spans="1:5">
      <c r="A609" s="5309">
        <f>Anex_MSV!AF43</f>
        <v>624</v>
      </c>
      <c r="B609" s="5327" t="str">
        <f>IF(Baza!$C$22="engleski",E609,(IF(Baza!$C$22="bosanski",C609,D609)))</f>
        <v>Troškovi usluga izrade i dorade proizvoda</v>
      </c>
      <c r="C609" s="5356" t="s">
        <v>3641</v>
      </c>
      <c r="D609" s="5348" t="s">
        <v>3641</v>
      </c>
      <c r="E609" s="5313" t="s">
        <v>3642</v>
      </c>
    </row>
    <row r="610" ht="14.25" customHeight="1" spans="1:5">
      <c r="A610" s="5309">
        <f>Anex_MSV!AF44</f>
        <v>625</v>
      </c>
      <c r="B610" s="5327" t="str">
        <f>IF(Baza!$C$22="engleski",E610,(IF(Baza!$C$22="bosanski",C610,D610)))</f>
        <v>Troškovi transportnih usluga</v>
      </c>
      <c r="C610" s="5356" t="s">
        <v>3643</v>
      </c>
      <c r="D610" s="5348" t="s">
        <v>3643</v>
      </c>
      <c r="E610" s="5313" t="s">
        <v>3644</v>
      </c>
    </row>
    <row r="611" ht="14.25" customHeight="1" spans="1:5">
      <c r="A611" s="5309">
        <f>Anex_MSV!AF45</f>
        <v>626</v>
      </c>
      <c r="B611" s="5327" t="str">
        <f>IF(Baza!$C$22="engleski",E611,(IF(Baza!$C$22="bosanski",C611,D611)))</f>
        <v>Troškovi usluga održavanja</v>
      </c>
      <c r="C611" s="5356" t="s">
        <v>3645</v>
      </c>
      <c r="D611" s="5348" t="s">
        <v>3645</v>
      </c>
      <c r="E611" s="5313" t="s">
        <v>3646</v>
      </c>
    </row>
    <row r="612" ht="14.25" customHeight="1" spans="1:5">
      <c r="A612" s="5309">
        <f>Anex_MSV!AF46</f>
        <v>627</v>
      </c>
      <c r="B612" s="5327" t="str">
        <f>IF(Baza!$C$22="engleski",E612,(IF(Baza!$C$22="bosanski",C612,D612)))</f>
        <v>Troškovi najma</v>
      </c>
      <c r="C612" s="5356" t="s">
        <v>3647</v>
      </c>
      <c r="D612" s="5348" t="s">
        <v>3647</v>
      </c>
      <c r="E612" s="5313" t="s">
        <v>3648</v>
      </c>
    </row>
    <row r="613" ht="14.25" customHeight="1" spans="1:5">
      <c r="A613" s="5309">
        <f>Anex_MSV!AF47</f>
        <v>628</v>
      </c>
      <c r="B613" s="5327" t="str">
        <f>IF(Baza!$C$22="engleski",E613,(IF(Baza!$C$22="bosanski",C613,D613)))</f>
        <v>Troškovi sajmova</v>
      </c>
      <c r="C613" s="5356" t="s">
        <v>3649</v>
      </c>
      <c r="D613" s="5348" t="s">
        <v>3649</v>
      </c>
      <c r="E613" s="5313" t="s">
        <v>3650</v>
      </c>
    </row>
    <row r="614" ht="14.25" customHeight="1" spans="1:5">
      <c r="A614" s="5309">
        <f>Anex_MSV!AF48</f>
        <v>629</v>
      </c>
      <c r="B614" s="5327" t="str">
        <f>IF(Baza!$C$22="engleski",E614,(IF(Baza!$C$22="bosanski",C614,D614)))</f>
        <v>Troškovi reklame i sponzorstva</v>
      </c>
      <c r="C614" s="5356" t="s">
        <v>3651</v>
      </c>
      <c r="D614" s="5348" t="s">
        <v>3651</v>
      </c>
      <c r="E614" s="5313" t="s">
        <v>3652</v>
      </c>
    </row>
    <row r="615" ht="14.25" customHeight="1" spans="1:5">
      <c r="A615" s="5309">
        <f>Anex_MSV!AF49</f>
        <v>630</v>
      </c>
      <c r="B615" s="5327" t="str">
        <f>IF(Baza!$C$22="engleski",E615,(IF(Baza!$C$22="bosanski",C615,D615)))</f>
        <v>Troškovi istraživanja</v>
      </c>
      <c r="C615" s="5356" t="s">
        <v>3653</v>
      </c>
      <c r="D615" s="5348" t="s">
        <v>3653</v>
      </c>
      <c r="E615" s="5313" t="s">
        <v>3654</v>
      </c>
    </row>
    <row r="616" ht="14.25" customHeight="1" spans="1:5">
      <c r="A616" s="5309">
        <f>Anex_MSV!AF50</f>
        <v>631</v>
      </c>
      <c r="B616" s="5327" t="str">
        <f>IF(Baza!$C$22="engleski",E616,(IF(Baza!$C$22="bosanski",C616,D616)))</f>
        <v>Troškovi razvoja koji se ne kapitaliziraju</v>
      </c>
      <c r="C616" s="5356" t="s">
        <v>3655</v>
      </c>
      <c r="D616" s="5348" t="s">
        <v>3655</v>
      </c>
      <c r="E616" s="5313" t="s">
        <v>3656</v>
      </c>
    </row>
    <row r="617" ht="14.25" customHeight="1" spans="1:5">
      <c r="A617" s="5309">
        <f>Anex_MSV!AF51</f>
        <v>632</v>
      </c>
      <c r="B617" s="5327" t="str">
        <f>IF(Baza!$C$22="engleski",E617,(IF(Baza!$C$22="bosanski",C617,D617)))</f>
        <v>Troškovi ostalih usluga</v>
      </c>
      <c r="C617" s="5356" t="s">
        <v>3657</v>
      </c>
      <c r="D617" s="5348" t="s">
        <v>3657</v>
      </c>
      <c r="E617" s="5313" t="s">
        <v>3658</v>
      </c>
    </row>
    <row r="618" ht="14.25" customHeight="1" spans="1:5">
      <c r="A618" s="5309">
        <f>Anex_MSV!AF52</f>
        <v>633</v>
      </c>
      <c r="B618" s="5327" t="str">
        <f>IF(Baza!$C$22="engleski",E618,(IF(Baza!$C$22="bosanski",C618,D618)))</f>
        <v>NEMATERIJALNI TROŠKOVI (34 do 41)</v>
      </c>
      <c r="C618" s="5356" t="s">
        <v>3659</v>
      </c>
      <c r="D618" s="5348" t="s">
        <v>3659</v>
      </c>
      <c r="E618" s="5313" t="s">
        <v>3660</v>
      </c>
    </row>
    <row r="619" ht="14.25" customHeight="1" spans="1:5">
      <c r="A619" s="5309">
        <f>Anex_MSV!AF53</f>
        <v>634</v>
      </c>
      <c r="B619" s="5327" t="str">
        <f>IF(Baza!$C$22="engleski",E619,(IF(Baza!$C$22="bosanski",C619,D619)))</f>
        <v>Troškovi ostalih usluga</v>
      </c>
      <c r="C619" s="5356" t="s">
        <v>3657</v>
      </c>
      <c r="D619" s="5348" t="s">
        <v>3657</v>
      </c>
      <c r="E619" s="5313" t="s">
        <v>3658</v>
      </c>
    </row>
    <row r="620" ht="14.25" customHeight="1" spans="1:5">
      <c r="A620" s="5309">
        <f>Anex_MSV!AF54</f>
        <v>635</v>
      </c>
      <c r="B620" s="5327" t="str">
        <f>IF(Baza!$C$22="engleski",E620,(IF(Baza!$C$22="bosanski",C620,D620)))</f>
        <v>Troškovi reprezentacije</v>
      </c>
      <c r="C620" s="5356" t="s">
        <v>3661</v>
      </c>
      <c r="D620" s="5348" t="s">
        <v>3661</v>
      </c>
      <c r="E620" s="5313" t="s">
        <v>3662</v>
      </c>
    </row>
    <row r="621" ht="14.25" customHeight="1" spans="1:5">
      <c r="A621" s="5309">
        <f>Anex_MSV!AF55</f>
        <v>636</v>
      </c>
      <c r="B621" s="5327" t="str">
        <f>IF(Baza!$C$22="engleski",E621,(IF(Baza!$C$22="bosanski",C621,D621)))</f>
        <v>Troškovi premija osiguranja</v>
      </c>
      <c r="C621" s="5356" t="s">
        <v>3663</v>
      </c>
      <c r="D621" s="5348" t="s">
        <v>3663</v>
      </c>
      <c r="E621" s="5313" t="s">
        <v>3664</v>
      </c>
    </row>
    <row r="622" ht="14.25" customHeight="1" spans="1:5">
      <c r="A622" s="5309">
        <f>Anex_MSV!AF56</f>
        <v>637</v>
      </c>
      <c r="B622" s="5327" t="str">
        <f>IF(Baza!$C$22="engleski",E622,(IF(Baza!$C$22="bosanski",C622,D622)))</f>
        <v>Troškovi platnog prometa</v>
      </c>
      <c r="C622" s="5356" t="s">
        <v>3665</v>
      </c>
      <c r="D622" s="5348" t="s">
        <v>3665</v>
      </c>
      <c r="E622" s="5313" t="s">
        <v>3666</v>
      </c>
    </row>
    <row r="623" ht="14.25" customHeight="1" spans="1:5">
      <c r="A623" s="5309">
        <f>Anex_MSV!AF57</f>
        <v>638</v>
      </c>
      <c r="B623" s="5327" t="str">
        <f>IF(Baza!$C$22="engleski",E623,(IF(Baza!$C$22="bosanski",C623,D623)))</f>
        <v>Troškovi poštanskih i telekomunikacijskih usluga</v>
      </c>
      <c r="C623" s="5356" t="s">
        <v>3667</v>
      </c>
      <c r="D623" s="5348" t="s">
        <v>3667</v>
      </c>
      <c r="E623" s="5313" t="s">
        <v>3668</v>
      </c>
    </row>
    <row r="624" ht="14.25" customHeight="1" spans="1:5">
      <c r="A624" s="5309">
        <f>Anex_MSV!AF58</f>
        <v>639</v>
      </c>
      <c r="B624" s="5327" t="str">
        <f>IF(Baza!$C$22="engleski",E624,(IF(Baza!$C$22="bosanski",C624,D624)))</f>
        <v>Troškovi poreza, naknada, taksi i drugih dadžbina na teret pravnog lica</v>
      </c>
      <c r="C624" s="5356" t="s">
        <v>3669</v>
      </c>
      <c r="D624" s="5348" t="s">
        <v>3669</v>
      </c>
      <c r="E624" s="5313" t="s">
        <v>3670</v>
      </c>
    </row>
    <row r="625" ht="14.25" customHeight="1" spans="1:5">
      <c r="A625" s="5309">
        <f>Anex_MSV!AF59</f>
        <v>640</v>
      </c>
      <c r="B625" s="5327" t="str">
        <f>IF(Baza!$C$22="engleski",E625,(IF(Baza!$C$22="bosanski",C625,D625)))</f>
        <v>Troškovi članskih doprinosa i sličnih obaveza</v>
      </c>
      <c r="C625" s="5356" t="s">
        <v>3671</v>
      </c>
      <c r="D625" s="5348" t="s">
        <v>3671</v>
      </c>
      <c r="E625" s="5313" t="s">
        <v>3672</v>
      </c>
    </row>
    <row r="626" ht="14.25" customHeight="1" spans="1:5">
      <c r="A626" s="5309">
        <f>Anex_MSV!AF60</f>
        <v>641</v>
      </c>
      <c r="B626" s="5327" t="str">
        <f>IF(Baza!$C$22="engleski",E626,(IF(Baza!$C$22="bosanski",C626,D626)))</f>
        <v>Ostali nematerijalni troškovi</v>
      </c>
      <c r="C626" s="5356" t="s">
        <v>3673</v>
      </c>
      <c r="D626" s="5348" t="s">
        <v>3673</v>
      </c>
      <c r="E626" s="5313" t="s">
        <v>3674</v>
      </c>
    </row>
    <row r="627" ht="14.25" customHeight="1" spans="1:5">
      <c r="B627" s="5327" t="str">
        <f>IF(Baza!$C$22="engleski",E627,(IF(Baza!$C$22="bosanski",C627,D627)))</f>
        <v>TROŠKOVI OPERATIVNOG NAJMA / LIZINGA PO MSFI 16</v>
      </c>
      <c r="C627" s="5356" t="s">
        <v>3675</v>
      </c>
      <c r="D627" s="5348" t="s">
        <v>3675</v>
      </c>
      <c r="E627" s="5313" t="s">
        <v>3676</v>
      </c>
    </row>
    <row r="628" ht="14.25" customHeight="1" spans="1:5">
      <c r="A628" s="5309">
        <f>Anex_MSV!AF71</f>
        <v>642</v>
      </c>
      <c r="B628" s="5327" t="str">
        <f>IF(Baza!$C$22="engleski",E628,(IF(Baza!$C$22="bosanski",C628,D628)))</f>
        <v>Troškovi amortizacije obračunati za imovinu s pravom korištenja - operativni najam / lizing 4)</v>
      </c>
      <c r="C628" s="5356" t="s">
        <v>3677</v>
      </c>
      <c r="D628" s="5348" t="s">
        <v>3677</v>
      </c>
      <c r="E628" s="5313" t="s">
        <v>3678</v>
      </c>
    </row>
    <row r="629" ht="14.25" customHeight="1" spans="1:5">
      <c r="A629" s="5309">
        <f>Anex_MSV!AF72</f>
        <v>643</v>
      </c>
      <c r="B629" s="5327" t="str">
        <f>IF(Baza!$C$22="engleski",E629,(IF(Baza!$C$22="bosanski",C629,D629)))</f>
        <v>Rashodi od kamata za imovinu s pravom korištenja - operativni najam / lizing 5)</v>
      </c>
      <c r="C629" s="5356" t="s">
        <v>3679</v>
      </c>
      <c r="D629" s="5348" t="s">
        <v>3679</v>
      </c>
      <c r="E629" s="5313" t="s">
        <v>3680</v>
      </c>
    </row>
    <row r="630" ht="14.25" customHeight="1" spans="1:5">
      <c r="A630" s="5309">
        <f>Anex_MSV!AF73</f>
        <v>644</v>
      </c>
      <c r="B630" s="5327" t="str">
        <f>IF(Baza!$C$22="engleski",E630,(IF(Baza!$C$22="bosanski",C630,D630)))</f>
        <v>OSTALI RASHODI I GUBICI (46+47+48)</v>
      </c>
      <c r="C630" s="5356" t="s">
        <v>3681</v>
      </c>
      <c r="D630" s="5348" t="s">
        <v>3681</v>
      </c>
      <c r="E630" s="5313" t="s">
        <v>3682</v>
      </c>
    </row>
    <row r="631" ht="14.25" customHeight="1" spans="1:5">
      <c r="A631" s="5309">
        <f>Anex_MSV!AF74</f>
        <v>645</v>
      </c>
      <c r="B631" s="5327" t="str">
        <f>IF(Baza!$C$22="engleski",E631,(IF(Baza!$C$22="bosanski",C631,D631)))</f>
        <v>Gubici od prodaje materijala</v>
      </c>
      <c r="C631" s="5356" t="s">
        <v>3683</v>
      </c>
      <c r="D631" s="5348" t="s">
        <v>3683</v>
      </c>
      <c r="E631" s="5313" t="s">
        <v>3684</v>
      </c>
    </row>
    <row r="632" ht="14.25" customHeight="1" spans="1:5">
      <c r="A632" s="5309">
        <f>Anex_MSV!AF75</f>
        <v>646</v>
      </c>
      <c r="B632" s="5327" t="str">
        <f>IF(Baza!$C$22="engleski",E632,(IF(Baza!$C$22="bosanski",C632,D632)))</f>
        <v>Kalo, rastur, kvar i lom zaliha materijala i robe</v>
      </c>
      <c r="C632" s="5356" t="s">
        <v>3685</v>
      </c>
      <c r="D632" s="5348" t="s">
        <v>3685</v>
      </c>
      <c r="E632" s="5313" t="s">
        <v>3686</v>
      </c>
    </row>
    <row r="633" ht="14.25" customHeight="1" spans="1:5">
      <c r="A633" s="5309">
        <f>Anex_MSV!AF76</f>
        <v>647</v>
      </c>
      <c r="B633" s="5327" t="str">
        <f>IF(Baza!$C$22="engleski",E633,(IF(Baza!$C$22="bosanski",C633,D633)))</f>
        <v>Gubici od usklađivanja vrijednosti zaliha</v>
      </c>
      <c r="C633" s="5356" t="s">
        <v>3687</v>
      </c>
      <c r="D633" s="5348" t="s">
        <v>3687</v>
      </c>
      <c r="E633" s="5313" t="s">
        <v>3688</v>
      </c>
    </row>
    <row r="634" ht="14.25" customHeight="1" spans="1:5">
      <c r="A634" s="5309">
        <f>Anex_MSV!AF77</f>
        <v>0</v>
      </c>
      <c r="B634" s="5327" t="str">
        <f>IF(Baza!$C$22="engleski",E634,(IF(Baza!$C$22="bosanski",C634,D634)))</f>
        <v>ULAZNI / IZLAZNI PDV I AKCIZE</v>
      </c>
      <c r="C634" s="5356" t="s">
        <v>3689</v>
      </c>
      <c r="D634" s="5348" t="s">
        <v>3689</v>
      </c>
      <c r="E634" s="5313" t="s">
        <v>3690</v>
      </c>
    </row>
    <row r="635" ht="14.25" customHeight="1" spans="1:5">
      <c r="A635" s="5309">
        <f>Anex_MSV!AF78</f>
        <v>648</v>
      </c>
      <c r="B635" s="5327" t="str">
        <f>IF(Baza!$C$22="engleski",E635,(IF(Baza!$C$22="bosanski",C635,D635)))</f>
        <v>Potraživanja za PDV (dugovni promet grupe 27) 6)</v>
      </c>
      <c r="C635" s="5356" t="s">
        <v>3691</v>
      </c>
      <c r="D635" s="5348" t="s">
        <v>3691</v>
      </c>
      <c r="E635" s="5313" t="s">
        <v>3692</v>
      </c>
    </row>
    <row r="636" ht="14.25" customHeight="1" spans="1:5">
      <c r="A636" s="5309">
        <f>Anex_MSV!AF79</f>
        <v>649</v>
      </c>
      <c r="B636" s="5327" t="str">
        <f>IF(Baza!$C$22="engleski",E636,(IF(Baza!$C$22="bosanski",C636,D636)))</f>
        <v>Obaveza za PDV (potražni promet grupe 47) 7)</v>
      </c>
      <c r="C636" s="5356" t="s">
        <v>3693</v>
      </c>
      <c r="D636" s="5348" t="s">
        <v>3693</v>
      </c>
      <c r="E636" s="5313" t="s">
        <v>3694</v>
      </c>
    </row>
    <row r="637" ht="14.25" customHeight="1" spans="1:5">
      <c r="A637" s="5309">
        <f>Anex_MSV!AF80</f>
        <v>650</v>
      </c>
      <c r="B637" s="5327" t="str">
        <f>IF(Baza!$C$22="engleski",E637,(IF(Baza!$C$22="bosanski",C637,D637)))</f>
        <v>Obaveze za akcize</v>
      </c>
      <c r="C637" s="5356" t="s">
        <v>3695</v>
      </c>
      <c r="D637" s="5348" t="s">
        <v>3695</v>
      </c>
      <c r="E637" s="5313" t="s">
        <v>3696</v>
      </c>
    </row>
    <row r="638" ht="14.25" customHeight="1" spans="1:5">
      <c r="A638" s="5309">
        <f>Anex_MSV!AF81</f>
        <v>0</v>
      </c>
      <c r="B638" s="5327" t="str">
        <f>IF(Baza!$C$22="engleski",E638,(IF(Baza!$C$22="bosanski",C638,D638)))</f>
        <v>BROJ ZAPOSLENIH</v>
      </c>
      <c r="C638" s="5356" t="s">
        <v>3697</v>
      </c>
      <c r="D638" s="5348" t="s">
        <v>3697</v>
      </c>
      <c r="E638" s="5313" t="s">
        <v>3698</v>
      </c>
    </row>
    <row r="639" ht="14.25" customHeight="1" spans="1:5">
      <c r="A639" s="5309">
        <f>Anex_MSV!AF82</f>
        <v>651</v>
      </c>
      <c r="B639" s="5327" t="str">
        <f>IF(Baza!$C$22="engleski",E639,(IF(Baza!$C$22="bosanski",C639,D639)))</f>
        <v>Prosječan broj zaposlenih na bazi sati rada 8)</v>
      </c>
      <c r="C639" s="5356" t="s">
        <v>3699</v>
      </c>
      <c r="D639" s="5348" t="s">
        <v>3699</v>
      </c>
      <c r="E639" s="5313" t="s">
        <v>3700</v>
      </c>
    </row>
    <row r="640" ht="14.25" customHeight="1" spans="1:5">
      <c r="A640" s="5309">
        <f>Anex_MSV!AF83</f>
        <v>652</v>
      </c>
      <c r="B640" s="5327" t="str">
        <f>IF(Baza!$C$22="engleski",E640,(IF(Baza!$C$22="bosanski",C640,D640)))</f>
        <v>Prosječan broj zaposlenih na bazi stanja krajem svakog mjeseca 9)</v>
      </c>
      <c r="C640" s="5356" t="s">
        <v>3701</v>
      </c>
      <c r="D640" s="5348" t="s">
        <v>3701</v>
      </c>
      <c r="E640" s="5313" t="s">
        <v>3702</v>
      </c>
    </row>
    <row r="641" ht="14.25" customHeight="1" spans="1:5">
      <c r="A641" s="5309">
        <f>Anex_MSV!AF84</f>
        <v>653</v>
      </c>
      <c r="B641" s="5327" t="str">
        <f>IF(Baza!$C$22="engleski",E641,(IF(Baza!$C$22="bosanski",C641,D641)))</f>
        <v>KAPITALIZOVANA PROIZVODNJA ZA VLASTITE POTREBE 10)</v>
      </c>
      <c r="C641" s="5356" t="s">
        <v>3703</v>
      </c>
      <c r="D641" s="5348" t="s">
        <v>3703</v>
      </c>
      <c r="E641" s="5313" t="s">
        <v>3704</v>
      </c>
    </row>
    <row r="642" ht="14.25" customHeight="1" spans="1:5">
      <c r="B642" s="5334"/>
      <c r="C642" s="5356"/>
      <c r="D642" s="5336"/>
    </row>
    <row r="643" ht="14.25" customHeight="1" spans="1:5">
      <c r="B643" s="5334"/>
      <c r="C643" s="5356"/>
      <c r="D643" s="5336"/>
    </row>
    <row r="644" ht="14.25" customHeight="1" spans="1:5">
      <c r="B644" s="5334"/>
      <c r="C644" s="5356"/>
      <c r="D644" s="5336"/>
    </row>
    <row r="647" spans="1:5">
      <c r="B647" s="5357" t="str">
        <f>IF(Baza!$C$22="bosanski",C647,D647)</f>
        <v>PRIJAVA POREZA NA DOBIT</v>
      </c>
      <c r="C647" s="5322" t="s">
        <v>3705</v>
      </c>
      <c r="D647" s="5323" t="s">
        <v>3705</v>
      </c>
      <c r="E647" s="5309"/>
    </row>
    <row r="648" spans="1:5">
      <c r="B648" s="5358" t="str">
        <f>IF(Baza!$C$22="bosanski",C648,D648)</f>
        <v>za privredna društva</v>
      </c>
      <c r="C648" s="5359" t="s">
        <v>3706</v>
      </c>
      <c r="D648" s="5323" t="s">
        <v>3707</v>
      </c>
      <c r="E648" s="5309"/>
    </row>
    <row r="649" s="5308" customFormat="1" spans="1:5">
      <c r="A649" s="5360"/>
      <c r="B649" s="5327" t="str">
        <f>IF(Baza!$C$22="bosanski",C649,D649)</f>
        <v>1.4. Da li je predat set finansijskih izvještaja FIA-a?</v>
      </c>
      <c r="C649" s="5328" t="s">
        <v>3708</v>
      </c>
      <c r="D649" s="5329" t="s">
        <v>3709</v>
      </c>
    </row>
    <row r="650" spans="1:5">
      <c r="A650" s="5331"/>
      <c r="B650" s="5327" t="str">
        <f>IF(Baza!$C$22="bosanski",C650,D650)</f>
        <v>1.5. Da li je izvršena Revizija finansijskih izvještaja?</v>
      </c>
      <c r="C650" s="5361" t="s">
        <v>3710</v>
      </c>
      <c r="D650" s="5329" t="s">
        <v>3711</v>
      </c>
      <c r="E650" s="5309"/>
    </row>
    <row r="651" spans="1:5">
      <c r="E651" s="5309"/>
    </row>
    <row r="652" spans="1:5">
      <c r="E652" s="5309"/>
    </row>
    <row r="653" spans="1:5">
      <c r="B653" s="5357" t="str">
        <f>IF(Baza!$C$22="bosanski",C653,D653)</f>
        <v>POREZNI BILANS</v>
      </c>
      <c r="C653" s="5322" t="s">
        <v>3712</v>
      </c>
      <c r="D653" s="5323" t="s">
        <v>3712</v>
      </c>
      <c r="E653" s="5309"/>
    </row>
    <row r="654" s="5308" customFormat="1" spans="1:5">
      <c r="A654" s="5362" t="s">
        <v>3713</v>
      </c>
      <c r="B654" s="5327" t="str">
        <f>IF(Baza!$C$22="bosanski",C654,D654)</f>
        <v>Prihodi privrednih društava</v>
      </c>
      <c r="C654" s="5328" t="s">
        <v>3714</v>
      </c>
      <c r="D654" s="5329" t="s">
        <v>3715</v>
      </c>
    </row>
    <row r="655" spans="1:5">
      <c r="A655" s="5363" t="s">
        <v>3716</v>
      </c>
      <c r="B655" s="5327" t="str">
        <f>IF(Baza!$C$22="bosanski",C655,D655)</f>
        <v>Finansijski prihodi</v>
      </c>
      <c r="C655" s="5361" t="s">
        <v>3717</v>
      </c>
      <c r="D655" s="5329" t="s">
        <v>3718</v>
      </c>
      <c r="E655" s="5309"/>
    </row>
    <row r="656" spans="1:5">
      <c r="A656" s="5363" t="s">
        <v>3719</v>
      </c>
      <c r="B656" s="5327" t="str">
        <f>IF(Baza!$C$22="bosanski",C656,D656)</f>
        <v>Rashodi privrednih društava</v>
      </c>
      <c r="C656" s="5361" t="s">
        <v>3720</v>
      </c>
      <c r="D656" s="5329" t="s">
        <v>3721</v>
      </c>
      <c r="E656" s="5309"/>
    </row>
    <row r="657" spans="1:5">
      <c r="A657" s="5363" t="s">
        <v>3722</v>
      </c>
      <c r="B657" s="5327" t="str">
        <f>IF(Baza!$C$22="bosanski",C657,D657)</f>
        <v>Dobit tekućeg perioda</v>
      </c>
      <c r="C657" s="5361" t="s">
        <v>2706</v>
      </c>
      <c r="D657" s="5329" t="s">
        <v>3723</v>
      </c>
      <c r="E657" s="5309"/>
    </row>
    <row r="658" spans="1:5">
      <c r="A658" s="5363" t="s">
        <v>3724</v>
      </c>
      <c r="B658" s="5327" t="str">
        <f>IF(Baza!$C$22="bosanski",C658,D658)</f>
        <v>Gubitak tekućeg perioda</v>
      </c>
      <c r="C658" s="5361" t="s">
        <v>2714</v>
      </c>
      <c r="D658" s="5329" t="s">
        <v>2715</v>
      </c>
      <c r="E658" s="5309"/>
    </row>
    <row r="659" spans="1:5">
      <c r="A659" s="5363" t="s">
        <v>3725</v>
      </c>
      <c r="B659" s="5327" t="str">
        <f>IF(Baza!$C$22="bosanski",C659,D659)</f>
        <v>FINANSIJSKI REUZLTAT</v>
      </c>
      <c r="C659" s="5361" t="s">
        <v>3726</v>
      </c>
      <c r="D659" s="5329" t="s">
        <v>3727</v>
      </c>
      <c r="E659" s="5309"/>
    </row>
    <row r="660" spans="1:5">
      <c r="A660" s="5309">
        <v>3</v>
      </c>
      <c r="B660" s="5327" t="str">
        <f>IF(Baza!$C$22="bosanski",C660,D660)</f>
        <v>Kapitalni dobici iz bilansa stanja</v>
      </c>
      <c r="C660" s="5361" t="s">
        <v>3728</v>
      </c>
      <c r="D660" s="5329" t="s">
        <v>3729</v>
      </c>
      <c r="E660" s="5309"/>
    </row>
    <row r="661" spans="1:5">
      <c r="A661" s="5309">
        <v>4</v>
      </c>
      <c r="B661" s="5327" t="str">
        <f>IF(Baza!$C$22="bosanski",C661,D661)</f>
        <v>Kapitalni gubici iz bilansa stanja</v>
      </c>
      <c r="C661" s="5361" t="s">
        <v>3730</v>
      </c>
      <c r="D661" s="5329" t="s">
        <v>3731</v>
      </c>
      <c r="E661" s="5309"/>
    </row>
    <row r="662" ht="22.5" spans="1:5">
      <c r="A662" s="5309">
        <v>12</v>
      </c>
      <c r="B662" s="5327" t="str">
        <f>IF(Baza!$C$22="bosanski",C662,D662)</f>
        <v>Rashodi koji se ne mogu povezati sa ostva.dobit ili načelom poslovne pažnje dobrog privrednika</v>
      </c>
      <c r="C662" s="5361" t="s">
        <v>3732</v>
      </c>
      <c r="D662" s="5329" t="s">
        <v>3733</v>
      </c>
      <c r="E662" s="5309"/>
    </row>
    <row r="663" spans="1:5">
      <c r="A663" s="5309">
        <v>13</v>
      </c>
      <c r="B663" s="5327" t="str">
        <f>IF(Baza!$C$22="bosanski",C663,D663)</f>
        <v>Zatezna kamata, penali i ugovorene kazne između povezanih lica</v>
      </c>
      <c r="C663" s="5361" t="s">
        <v>3734</v>
      </c>
      <c r="D663" s="5329" t="s">
        <v>3735</v>
      </c>
      <c r="E663" s="5309"/>
    </row>
    <row r="664" ht="22.5" spans="1:5">
      <c r="A664" s="5309">
        <v>16</v>
      </c>
      <c r="B664" s="5327" t="str">
        <f>IF(Baza!$C$22="bosanski",C664,D664)</f>
        <v>Privremene razlike iz tačke 15. - Rashodi na ime usklađivanja zaliha iz ranijeg perioda koji su bili porezno nepriznati rashodi</v>
      </c>
      <c r="C664" s="5361" t="s">
        <v>3736</v>
      </c>
      <c r="D664" s="5329" t="s">
        <v>3737</v>
      </c>
      <c r="E664" s="5309"/>
    </row>
    <row r="665" ht="22.5" spans="1:5">
      <c r="A665" s="5309">
        <v>26</v>
      </c>
      <c r="B665" s="5327" t="str">
        <f>IF(Baza!$C$22="bosanski",C665,D665)</f>
        <v>Privremene razlike iz tačke 25: Rezervisanja za rizike i obaveze koja su u ranijem periodu bila porezno nepriznat rashod</v>
      </c>
      <c r="C665" s="5361" t="s">
        <v>3738</v>
      </c>
      <c r="D665" s="5329" t="s">
        <v>3739</v>
      </c>
      <c r="E665" s="5309"/>
    </row>
    <row r="666" ht="22.5" spans="1:5">
      <c r="A666" s="5309">
        <v>31</v>
      </c>
      <c r="B666" s="5327" t="str">
        <f>IF(Baza!$C$22="bosanski",C666,D666)</f>
        <v>Rezerve/rashodi kod finansijskih institucija koja nisu izvršena u skladu sa propisima nadzomih organa</v>
      </c>
      <c r="C666" s="5361" t="s">
        <v>3740</v>
      </c>
      <c r="D666" s="5329" t="s">
        <v>3741</v>
      </c>
      <c r="E666" s="5309"/>
    </row>
    <row r="667" ht="22.5" spans="1:5">
      <c r="A667" s="5309">
        <v>32</v>
      </c>
      <c r="B667" s="5327" t="str">
        <f>IF(Baza!$C$22="bosanski",C667,D667)</f>
        <v>Rashodi po osnovu iv potraživanja bilansne aktive koja se procjenjuju na grupnoj osnovi i bez  iskustva hist.troška (latentni gubici - IBNR)</v>
      </c>
      <c r="C667" s="5361" t="s">
        <v>3742</v>
      </c>
      <c r="D667" s="5329" t="s">
        <v>3743</v>
      </c>
      <c r="E667" s="5309"/>
    </row>
    <row r="668" ht="22.5" spans="1:5">
      <c r="A668" s="5309">
        <v>35</v>
      </c>
      <c r="B668" s="5327" t="str">
        <f>IF(Baza!$C$22="bosanski",C668,D668)</f>
        <v>Privremene razlike - Ispravka vrijednosti i otpis potraživanja iz tačke 34. koji su u ranijem periodu bili porezno nepriznati rashodi</v>
      </c>
      <c r="C668" s="5361" t="s">
        <v>3744</v>
      </c>
      <c r="D668" s="5329" t="s">
        <v>3745</v>
      </c>
      <c r="E668" s="5309"/>
    </row>
    <row r="669" ht="22.5" spans="1:5">
      <c r="A669" s="5309">
        <v>36</v>
      </c>
      <c r="B669" s="5327" t="str">
        <f>IF(Baza!$C$22="bosanski",C669,D669)</f>
        <v>Rashodi na ime kamata ili njenog ekvivalenta između povezanih lica koji se smatraju porezno nepriznatim rashodom</v>
      </c>
      <c r="C669" s="5361" t="s">
        <v>3746</v>
      </c>
      <c r="D669" s="5329" t="s">
        <v>3747</v>
      </c>
      <c r="E669" s="5309"/>
    </row>
    <row r="670" ht="22.5" spans="1:5">
      <c r="A670" s="5309">
        <v>39</v>
      </c>
      <c r="B670" s="5327" t="str">
        <f>IF(Baza!$C$22="bosanski",C670,D670)</f>
        <v>Privremene razlike - Amortizacija iz tačke 38. koje su u ranijem periodu već bile iskorištene u porezne svrhe</v>
      </c>
      <c r="C670" s="5361" t="s">
        <v>3748</v>
      </c>
      <c r="D670" s="5329" t="s">
        <v>3749</v>
      </c>
      <c r="E670" s="5309"/>
    </row>
    <row r="671" spans="1:5">
      <c r="A671" s="5309">
        <v>41</v>
      </c>
      <c r="B671" s="5327" t="str">
        <f>IF(Baza!$C$22="bosanski",C671,D671)</f>
        <v>Privremene razlike - rashodi iz tačke 40. koji su u ranijem periodu bili porezno nepriznat rashod</v>
      </c>
      <c r="C671" s="5361" t="s">
        <v>3750</v>
      </c>
      <c r="D671" s="5329" t="s">
        <v>3751</v>
      </c>
      <c r="E671" s="5309"/>
    </row>
    <row r="672" ht="22.5" spans="1:5">
      <c r="A672" s="5309">
        <v>43</v>
      </c>
      <c r="B672" s="5327" t="str">
        <f>IF(Baza!$C$22="bosanski",C672,D672)</f>
        <v>Privremene razlike - amortizacije iz tač. 42. koji su u ranijem periodu već bila iskorištena u porezne svrhe</v>
      </c>
      <c r="C672" s="5361" t="s">
        <v>3752</v>
      </c>
      <c r="D672" s="5329" t="s">
        <v>3753</v>
      </c>
      <c r="E672" s="5309"/>
    </row>
    <row r="673" ht="22.5" spans="1:5">
      <c r="A673" s="5309">
        <v>45</v>
      </c>
      <c r="B673" s="5327" t="str">
        <f>IF(Baza!$C$22="bosanski",C673,D673)</f>
        <v>Privremene razlike - amortizacije iz tač. 44. koji su u ranijem periodu već bila iskorištena u porezne svrhe</v>
      </c>
      <c r="C673" s="5361" t="s">
        <v>3754</v>
      </c>
      <c r="D673" s="5329" t="s">
        <v>3755</v>
      </c>
      <c r="E673" s="5309"/>
    </row>
    <row r="674" spans="1:5">
      <c r="A674" s="5309">
        <v>70</v>
      </c>
      <c r="B674" s="5327" t="str">
        <f>IF(Baza!$C$22="bosanski",C674,D674)</f>
        <v>Ostatak poreza na dobit za porezni period</v>
      </c>
      <c r="C674" s="5361" t="s">
        <v>3756</v>
      </c>
      <c r="D674" s="5329" t="s">
        <v>3757</v>
      </c>
      <c r="E674" s="5309"/>
    </row>
    <row r="675" spans="1:5">
      <c r="A675" s="5309">
        <v>72</v>
      </c>
      <c r="B675" s="5327" t="str">
        <f>IF(Baza!$C$22="bosanski",C675,D675)</f>
        <v>Uplate akontacija i pretplate iz prethodnog perioda</v>
      </c>
      <c r="C675" s="5361" t="s">
        <v>3758</v>
      </c>
      <c r="D675" s="5329" t="s">
        <v>3759</v>
      </c>
      <c r="E675" s="5309"/>
    </row>
    <row r="676" spans="1:5">
      <c r="A676" s="5309">
        <v>3</v>
      </c>
      <c r="B676" s="5327" t="str">
        <f>IF(Baza!$C$22="bosanski",C676,D676)</f>
        <v>član 24.stav(1) Zakona i čl. 46. i 47. Pravilnika</v>
      </c>
      <c r="C676" s="5361" t="s">
        <v>3760</v>
      </c>
      <c r="D676" s="5329" t="s">
        <v>3761</v>
      </c>
      <c r="E676" s="5309"/>
    </row>
    <row r="677" spans="1:5">
      <c r="A677" s="5309">
        <v>4</v>
      </c>
      <c r="B677" s="5327" t="str">
        <f>IF(Baza!$C$22="bosanski",C677,D677)</f>
        <v>član 24.stav(5) i (6) Zakona i čl. 46. i 47. Pravilnika</v>
      </c>
      <c r="C677" s="5361" t="s">
        <v>3762</v>
      </c>
      <c r="D677" s="5329" t="s">
        <v>3763</v>
      </c>
      <c r="E677" s="5309"/>
    </row>
    <row r="678" customHeight="1" spans="1:5">
      <c r="A678" s="5309">
        <v>5</v>
      </c>
      <c r="B678" s="5327" t="str">
        <f>IF(Baza!$C$22="bosanski",C678,D678)</f>
        <v>član 9.stav(1)tač.a) Zakona i čl.26. stav (1) Pravilnika</v>
      </c>
      <c r="C678" s="5361" t="s">
        <v>3764</v>
      </c>
      <c r="D678" s="5329" t="s">
        <v>3765</v>
      </c>
      <c r="E678" s="5309"/>
    </row>
    <row r="679" customHeight="1" spans="1:5">
      <c r="A679" s="5309">
        <v>6</v>
      </c>
      <c r="B679" s="5327" t="str">
        <f>IF(Baza!$C$22="bosanski",C679,D679)</f>
        <v>član 9.stav(1)tač.b) Zakona i čl.26. stav(2) Pravilnika</v>
      </c>
      <c r="C679" s="5361" t="s">
        <v>3766</v>
      </c>
      <c r="D679" s="5329" t="s">
        <v>3767</v>
      </c>
      <c r="E679" s="5309"/>
    </row>
    <row r="680" customHeight="1" spans="1:5">
      <c r="A680" s="5309">
        <v>7</v>
      </c>
      <c r="B680" s="5327" t="str">
        <f>IF(Baza!$C$22="bosanski",C680,D680)</f>
        <v>član 9.stav(1)tač.b) Zakona i čl.26. stav(4) Pravilnika</v>
      </c>
      <c r="C680" s="5361" t="s">
        <v>3768</v>
      </c>
      <c r="D680" s="5329" t="s">
        <v>3769</v>
      </c>
      <c r="E680" s="5309"/>
    </row>
    <row r="681" customHeight="1" spans="1:5">
      <c r="A681" s="5309">
        <v>8</v>
      </c>
      <c r="B681" s="5327" t="str">
        <f>IF(Baza!$C$22="bosanski",C681,D681)</f>
        <v>član 9.stav(1)tač.d) Zakona i čl.27. stav (1) i (2) Pravilnika</v>
      </c>
      <c r="C681" s="5361" t="s">
        <v>3770</v>
      </c>
      <c r="D681" s="5329" t="s">
        <v>3771</v>
      </c>
      <c r="E681" s="5309"/>
    </row>
    <row r="682" customHeight="1" spans="1:5">
      <c r="A682" s="5309">
        <v>9</v>
      </c>
      <c r="B682" s="5327" t="str">
        <f>IF(Baza!$C$22="bosanski",C682,D682)</f>
        <v>član 9.stav(1)tač.e) Zakona i čl.27. stav (3) ,(4) i (5) Pravilnika</v>
      </c>
      <c r="C682" s="5361" t="s">
        <v>3772</v>
      </c>
      <c r="D682" s="5329" t="s">
        <v>3773</v>
      </c>
      <c r="E682" s="5309"/>
    </row>
    <row r="683" customHeight="1" spans="1:5">
      <c r="A683" s="5309">
        <v>10</v>
      </c>
      <c r="B683" s="5327" t="str">
        <f>IF(Baza!$C$22="bosanski",C683,D683)</f>
        <v>član 9.stav(1)tač.f) Zakona i čl.26. stav (5) Pravilnika</v>
      </c>
      <c r="C683" s="5361" t="s">
        <v>3774</v>
      </c>
      <c r="D683" s="5329" t="s">
        <v>3775</v>
      </c>
      <c r="E683" s="5309"/>
    </row>
    <row r="684" customHeight="1" spans="1:5">
      <c r="A684" s="5309">
        <v>11</v>
      </c>
      <c r="B684" s="5327" t="str">
        <f>IF(Baza!$C$22="bosanski",C684,D684)</f>
        <v>član 9.stav(1)tač.g) Zakona i čl.26. stav (8) Pravilnika</v>
      </c>
      <c r="C684" s="5361" t="s">
        <v>3776</v>
      </c>
      <c r="D684" s="5329" t="s">
        <v>3777</v>
      </c>
      <c r="E684" s="5309"/>
    </row>
    <row r="685" customHeight="1" spans="1:5">
      <c r="A685" s="5309">
        <v>12</v>
      </c>
      <c r="B685" s="5327" t="str">
        <f>IF(Baza!$C$22="bosanski",C685,D685)</f>
        <v>član 9.stav(1)tač.i) Zakona i čl.26. stav (7) Pravilnika</v>
      </c>
      <c r="C685" s="5361" t="s">
        <v>3778</v>
      </c>
      <c r="D685" s="5329" t="s">
        <v>3779</v>
      </c>
      <c r="E685" s="5309"/>
    </row>
    <row r="686" customHeight="1" spans="1:5">
      <c r="A686" s="5309">
        <v>13</v>
      </c>
      <c r="B686" s="5327" t="str">
        <f>IF(Baza!$C$22="bosanski",C686,D686)</f>
        <v>član 9.stav(1)tač.l) Zakona i čl.26. stav (6) Pravilnika</v>
      </c>
      <c r="C686" s="5361" t="s">
        <v>3780</v>
      </c>
      <c r="D686" s="5329" t="s">
        <v>3781</v>
      </c>
      <c r="E686" s="5309"/>
    </row>
    <row r="687" spans="1:5">
      <c r="A687" s="5309">
        <v>14</v>
      </c>
      <c r="B687" s="5327" t="str">
        <f>IF(Baza!$C$22="bosanski",C687,D687)</f>
        <v>član 10.stav(1) i (2) Zakona</v>
      </c>
      <c r="C687" s="5361" t="s">
        <v>3782</v>
      </c>
      <c r="D687" s="5329" t="s">
        <v>3783</v>
      </c>
      <c r="E687" s="5309"/>
    </row>
    <row r="688" spans="1:5">
      <c r="A688" s="5309">
        <v>15</v>
      </c>
      <c r="B688" s="5327" t="str">
        <f>IF(Baza!$C$22="bosanski",C688,D688)</f>
        <v>član 10.stav (3) Zakona</v>
      </c>
      <c r="C688" s="5361" t="s">
        <v>3784</v>
      </c>
      <c r="D688" s="5329" t="s">
        <v>3785</v>
      </c>
      <c r="E688" s="5309"/>
    </row>
    <row r="689" spans="1:5">
      <c r="A689" s="5309">
        <v>16</v>
      </c>
      <c r="B689" s="5327" t="str">
        <f>IF(Baza!$C$22="bosanski",C689,D689)</f>
        <v>član 10.stav (3) Zakona</v>
      </c>
      <c r="C689" s="5361" t="s">
        <v>3784</v>
      </c>
      <c r="D689" s="5329" t="s">
        <v>3785</v>
      </c>
      <c r="E689" s="5309"/>
    </row>
    <row r="690" spans="1:5">
      <c r="A690" s="5309">
        <v>17</v>
      </c>
      <c r="B690" s="5327" t="str">
        <f>IF(Baza!$C$22="bosanski",C690,D690)</f>
        <v>član 28 Pravilnika</v>
      </c>
      <c r="C690" s="5361" t="s">
        <v>3786</v>
      </c>
      <c r="D690" s="5329" t="s">
        <v>3787</v>
      </c>
      <c r="E690" s="5309"/>
    </row>
    <row r="691" customHeight="1" spans="1:5">
      <c r="A691" s="5309">
        <v>18</v>
      </c>
      <c r="B691" s="5327" t="str">
        <f>IF(Baza!$C$22="bosanski",C691,D691)</f>
        <v>član 11.stav(1) i (2) Zakona i čl.29. stav (4), (5) i (7) Pravilnika</v>
      </c>
      <c r="C691" s="5361" t="s">
        <v>3788</v>
      </c>
      <c r="D691" s="5329" t="s">
        <v>3789</v>
      </c>
      <c r="E691" s="5309"/>
    </row>
    <row r="692" customHeight="1" spans="1:5">
      <c r="A692" s="5309">
        <v>19</v>
      </c>
      <c r="B692" s="5327" t="str">
        <f>IF(Baza!$C$22="bosanski",C692,D692)</f>
        <v>član 11.stav (3) Zakona i čl. 29. stav(6)Pravilnika</v>
      </c>
      <c r="C692" s="5361" t="s">
        <v>3790</v>
      </c>
      <c r="D692" s="5329" t="s">
        <v>3791</v>
      </c>
      <c r="E692" s="5309"/>
    </row>
    <row r="693" spans="1:5">
      <c r="A693" s="5309">
        <v>20</v>
      </c>
      <c r="B693" s="5327" t="str">
        <f>IF(Baza!$C$22="bosanski",C693,D693)</f>
        <v>član 11.stav (4) Zakona i čl. 30. Pravilnika</v>
      </c>
      <c r="C693" s="5361" t="s">
        <v>3792</v>
      </c>
      <c r="D693" s="5329" t="s">
        <v>3793</v>
      </c>
      <c r="E693" s="5309"/>
    </row>
    <row r="694" spans="1:5">
      <c r="A694" s="5309">
        <v>21</v>
      </c>
      <c r="B694" s="5327" t="str">
        <f>IF(Baza!$C$22="bosanski",C694,D694)</f>
        <v>član 12.stav (1) Zakona i čl. 31. stav (1) i (2) Pravilnika</v>
      </c>
      <c r="C694" s="5361" t="s">
        <v>3794</v>
      </c>
      <c r="D694" s="5329" t="s">
        <v>3795</v>
      </c>
      <c r="E694" s="5309"/>
    </row>
    <row r="695" spans="1:5">
      <c r="A695" s="5309">
        <v>22</v>
      </c>
      <c r="B695" s="5327" t="str">
        <f>IF(Baza!$C$22="bosanski",C695,D695)</f>
        <v>član 12.stav (3) Zakona i čl. 32. stav (1) Pravilnika</v>
      </c>
      <c r="C695" s="5361" t="s">
        <v>3796</v>
      </c>
      <c r="D695" s="5329" t="s">
        <v>3797</v>
      </c>
      <c r="E695" s="5309"/>
    </row>
    <row r="696" spans="1:5">
      <c r="A696" s="5309">
        <v>23</v>
      </c>
      <c r="B696" s="5327" t="str">
        <f>IF(Baza!$C$22="bosanski",C696,D696)</f>
        <v>član 12.stav (4) Zakona</v>
      </c>
      <c r="C696" s="5361" t="s">
        <v>3798</v>
      </c>
      <c r="D696" s="5329" t="s">
        <v>3799</v>
      </c>
      <c r="E696" s="5309"/>
    </row>
    <row r="697" spans="1:5">
      <c r="A697" s="5309">
        <v>24</v>
      </c>
      <c r="B697" s="5327" t="str">
        <f>IF(Baza!$C$22="bosanski",C697,D697)</f>
        <v>član 12.stav (6) Zakona i čl. 31. stav (4) Pravilnika</v>
      </c>
      <c r="C697" s="5361" t="s">
        <v>3800</v>
      </c>
      <c r="D697" s="5329" t="s">
        <v>3801</v>
      </c>
      <c r="E697" s="5309"/>
    </row>
    <row r="698" spans="1:5">
      <c r="A698" s="5309">
        <v>25</v>
      </c>
      <c r="B698" s="5327" t="str">
        <f>IF(Baza!$C$22="bosanski",C698,D698)</f>
        <v>član 9.stav (1) tačka m) Zakona</v>
      </c>
      <c r="C698" s="5361" t="s">
        <v>3802</v>
      </c>
      <c r="D698" s="5329" t="s">
        <v>3803</v>
      </c>
      <c r="E698" s="5309"/>
    </row>
    <row r="699" spans="1:5">
      <c r="A699" s="5309">
        <v>26</v>
      </c>
      <c r="B699" s="5327" t="str">
        <f>IF(Baza!$C$22="bosanski",C699,D699)</f>
        <v>član 14. Zakona</v>
      </c>
      <c r="C699" s="5361" t="s">
        <v>3804</v>
      </c>
      <c r="D699" s="5329" t="s">
        <v>3805</v>
      </c>
      <c r="E699" s="5309"/>
    </row>
    <row r="700" customHeight="1" spans="1:5">
      <c r="A700" s="5309">
        <v>27</v>
      </c>
      <c r="B700" s="5327" t="str">
        <f>IF(Baza!$C$22="bosanski",C700,D700)</f>
        <v>član 13.stav (2) Zakona i čl. 33. stav (3) Pravilnika</v>
      </c>
      <c r="C700" s="5361" t="s">
        <v>3806</v>
      </c>
      <c r="D700" s="5329" t="s">
        <v>3807</v>
      </c>
      <c r="E700" s="5309"/>
    </row>
    <row r="701" customHeight="1" spans="1:5">
      <c r="A701" s="5309">
        <v>28</v>
      </c>
      <c r="B701" s="5327" t="str">
        <f>IF(Baza!$C$22="bosanski",C701,D701)</f>
        <v>član 13.stav (3) Zakona i čl. 33. stav (5) Pravilnika</v>
      </c>
      <c r="C701" s="5361" t="s">
        <v>3808</v>
      </c>
      <c r="D701" s="5329" t="s">
        <v>3809</v>
      </c>
      <c r="E701" s="5309"/>
    </row>
    <row r="702" customHeight="1" spans="1:5">
      <c r="A702" s="5309">
        <v>29</v>
      </c>
      <c r="B702" s="5327" t="str">
        <f>IF(Baza!$C$22="bosanski",C702,D702)</f>
        <v>član 13.stav (4) Zakona i čl. 34. i 33. stav (9) Pravilnika</v>
      </c>
      <c r="C702" s="5361" t="s">
        <v>3810</v>
      </c>
      <c r="D702" s="5329" t="s">
        <v>3811</v>
      </c>
      <c r="E702" s="5309"/>
    </row>
    <row r="703" spans="1:5">
      <c r="A703" s="5309">
        <v>30</v>
      </c>
      <c r="B703" s="5327" t="str">
        <f>IF(Baza!$C$22="bosanski",C703,D703)</f>
        <v>član 15. Zakona i čl. 35. Pravilnika</v>
      </c>
      <c r="C703" s="5361" t="s">
        <v>3812</v>
      </c>
      <c r="D703" s="5329" t="s">
        <v>3813</v>
      </c>
      <c r="E703" s="5309"/>
    </row>
    <row r="704" spans="1:5">
      <c r="A704" s="5309">
        <v>31</v>
      </c>
      <c r="B704" s="5327" t="str">
        <f>IF(Baza!$C$22="bosanski",C704,D704)</f>
        <v>član 16.stav (1) Zakona i čl. 36. stav (1) Pravilnika</v>
      </c>
      <c r="C704" s="5361" t="s">
        <v>3814</v>
      </c>
      <c r="D704" s="5329" t="s">
        <v>3815</v>
      </c>
      <c r="E704" s="5309"/>
    </row>
    <row r="705" spans="1:5">
      <c r="A705" s="5309">
        <v>32</v>
      </c>
      <c r="B705" s="5327" t="str">
        <f>IF(Baza!$C$22="bosanski",C705,D705)</f>
        <v>član 16.stav (2) Zakona i čl. 36. stav (2) Pravilnika</v>
      </c>
      <c r="C705" s="5361" t="s">
        <v>3816</v>
      </c>
      <c r="D705" s="5329" t="s">
        <v>3817</v>
      </c>
      <c r="E705" s="5309"/>
    </row>
    <row r="706" spans="1:5">
      <c r="A706" s="5309">
        <v>33</v>
      </c>
      <c r="B706" s="5327" t="str">
        <f>IF(Baza!$C$22="bosanski",C706,D706)</f>
        <v>član 16.stav (4) Zakona i čl. 36. stav (5) Pravilnika</v>
      </c>
      <c r="C706" s="5361" t="s">
        <v>3818</v>
      </c>
      <c r="D706" s="5329" t="s">
        <v>3819</v>
      </c>
      <c r="E706" s="5309"/>
    </row>
    <row r="707" spans="1:5">
      <c r="A707" s="5309">
        <v>34</v>
      </c>
      <c r="B707" s="5327" t="str">
        <f>IF(Baza!$C$22="bosanski",C707,D707)</f>
        <v>član 17. Zakona i član 38. Pravilnika</v>
      </c>
      <c r="C707" s="5361" t="s">
        <v>3820</v>
      </c>
      <c r="D707" s="5329" t="s">
        <v>3821</v>
      </c>
      <c r="E707" s="5309"/>
    </row>
    <row r="708" spans="1:5">
      <c r="A708" s="5309">
        <v>35</v>
      </c>
      <c r="B708" s="5327" t="str">
        <f>IF(Baza!$C$22="bosanski",C708,D708)</f>
        <v>član 17. Zakona i član 38. Pravilnika</v>
      </c>
      <c r="C708" s="5361" t="s">
        <v>3820</v>
      </c>
      <c r="D708" s="5329" t="s">
        <v>3822</v>
      </c>
      <c r="E708" s="5309"/>
    </row>
    <row r="709" spans="1:5">
      <c r="A709" s="5309">
        <v>36</v>
      </c>
      <c r="B709" s="5327" t="str">
        <f>IF(Baza!$C$22="bosanski",C709,D709)</f>
        <v>član 18. Zakona i član 40. Pravilnika</v>
      </c>
      <c r="C709" s="5361" t="s">
        <v>3823</v>
      </c>
      <c r="D709" s="5329" t="s">
        <v>3824</v>
      </c>
      <c r="E709" s="5309"/>
    </row>
    <row r="710" customHeight="1" spans="1:5">
      <c r="A710" s="5309">
        <v>37</v>
      </c>
      <c r="B710" s="5327" t="str">
        <f>IF(Baza!$C$22="bosanski",C710,D710)</f>
        <v>član 19.stav (1) Zakona i član 41. stav (2) Pravilnika</v>
      </c>
      <c r="C710" s="5361" t="s">
        <v>3825</v>
      </c>
      <c r="D710" s="5329" t="s">
        <v>3826</v>
      </c>
      <c r="E710" s="5309"/>
    </row>
    <row r="711" customHeight="1" spans="1:5">
      <c r="A711" s="5309">
        <v>38</v>
      </c>
      <c r="B711" s="5327" t="str">
        <f>IF(Baza!$C$22="bosanski",C711,D711)</f>
        <v>član 19.stav (4) Zakona i član 42. stav (2) Pravilnika</v>
      </c>
      <c r="C711" s="5361" t="s">
        <v>3827</v>
      </c>
      <c r="D711" s="5329" t="s">
        <v>3828</v>
      </c>
      <c r="E711" s="5309"/>
    </row>
    <row r="712" customHeight="1" spans="1:5">
      <c r="A712" s="5309">
        <v>39</v>
      </c>
      <c r="B712" s="5327" t="str">
        <f>IF(Baza!$C$22="bosanski",C712,D712)</f>
        <v>član 19.stav (4) Zakona i član 42. stav (2) Pravilnika</v>
      </c>
      <c r="C712" s="5361" t="s">
        <v>3827</v>
      </c>
      <c r="D712" s="5329" t="s">
        <v>3828</v>
      </c>
      <c r="E712" s="5309"/>
    </row>
    <row r="713" spans="1:5">
      <c r="A713" s="5309">
        <v>40</v>
      </c>
      <c r="B713" s="5327" t="str">
        <f>IF(Baza!$C$22="bosanski",C713,D713)</f>
        <v>član 19. stav (6) Zakona</v>
      </c>
      <c r="C713" s="5361" t="s">
        <v>3829</v>
      </c>
      <c r="D713" s="5329" t="s">
        <v>3830</v>
      </c>
      <c r="E713" s="5309"/>
    </row>
    <row r="714" spans="1:5">
      <c r="A714" s="5309">
        <v>41</v>
      </c>
      <c r="B714" s="5327" t="str">
        <f>IF(Baza!$C$22="bosanski",C714,D714)</f>
        <v>član 19. stav (6) Zakona</v>
      </c>
      <c r="C714" s="5361" t="s">
        <v>3829</v>
      </c>
      <c r="D714" s="5329" t="s">
        <v>3830</v>
      </c>
      <c r="E714" s="5309"/>
    </row>
    <row r="715" spans="1:5">
      <c r="A715" s="5309">
        <v>42</v>
      </c>
      <c r="B715" s="5327" t="str">
        <f>IF(Baza!$C$22="bosanski",C715,D715)</f>
        <v>član 42. stav (4) Pravilnika</v>
      </c>
      <c r="C715" s="5361" t="s">
        <v>3831</v>
      </c>
      <c r="D715" s="5329" t="s">
        <v>3832</v>
      </c>
      <c r="E715" s="5309"/>
    </row>
    <row r="716" spans="1:5">
      <c r="A716" s="5309">
        <v>43</v>
      </c>
      <c r="B716" s="5327" t="str">
        <f>IF(Baza!$C$22="bosanski",C716,D716)</f>
        <v>član 42. stav (4) Pravilnika</v>
      </c>
      <c r="C716" s="5361" t="s">
        <v>3831</v>
      </c>
      <c r="D716" s="5329" t="s">
        <v>3832</v>
      </c>
      <c r="E716" s="5309"/>
    </row>
    <row r="717" spans="1:5">
      <c r="A717" s="5309">
        <v>44</v>
      </c>
      <c r="B717" s="5327" t="str">
        <f>IF(Baza!$C$22="bosanski",C717,D717)</f>
        <v>član 42. stav (5) Pravilnika</v>
      </c>
      <c r="C717" s="5361" t="s">
        <v>3833</v>
      </c>
      <c r="D717" s="5329" t="s">
        <v>3834</v>
      </c>
      <c r="E717" s="5309"/>
    </row>
    <row r="718" spans="1:5">
      <c r="A718" s="5309">
        <v>45</v>
      </c>
      <c r="B718" s="5327" t="str">
        <f>IF(Baza!$C$22="bosanski",C718,D718)</f>
        <v>član 42. stav (5) Pravilnika</v>
      </c>
      <c r="C718" s="5361" t="s">
        <v>3833</v>
      </c>
      <c r="D718" s="5329" t="s">
        <v>3834</v>
      </c>
      <c r="E718" s="5309"/>
    </row>
    <row r="719" spans="1:5">
      <c r="A719" s="5309">
        <v>46</v>
      </c>
      <c r="B719" s="5327" t="str">
        <f>IF(Baza!$C$22="bosanski",C719,D719)</f>
        <v>član 42. stav (6) Pravilnika</v>
      </c>
      <c r="C719" s="5361" t="s">
        <v>3835</v>
      </c>
      <c r="D719" s="5329" t="s">
        <v>3836</v>
      </c>
      <c r="E719" s="5309"/>
    </row>
    <row r="720" spans="1:5">
      <c r="A720" s="5309">
        <v>47</v>
      </c>
      <c r="B720" s="5327" t="str">
        <f>IF(Baza!$C$22="bosanski",C720,D720)</f>
        <v>član 39. stav (5) i član 40. stav (7) Pravilnika</v>
      </c>
      <c r="C720" s="5361" t="s">
        <v>3837</v>
      </c>
      <c r="D720" s="5329" t="s">
        <v>3838</v>
      </c>
      <c r="E720" s="5309"/>
    </row>
    <row r="721" spans="1:5">
      <c r="A721" s="5309">
        <v>48</v>
      </c>
      <c r="B721" s="5327" t="str">
        <f>IF(Baza!$C$22="bosanski",C721,D721)</f>
        <v>član 8. Zakona i član 16. stav (3)  i član 26. stav (7) Pravilnika</v>
      </c>
      <c r="C721" s="5361" t="s">
        <v>3839</v>
      </c>
      <c r="D721" s="5329" t="s">
        <v>3840</v>
      </c>
      <c r="E721" s="5309"/>
    </row>
    <row r="722" spans="1:5">
      <c r="A722" s="5309">
        <v>49</v>
      </c>
      <c r="B722" s="5327" t="str">
        <f>IF(Baza!$C$22="bosanski",C722,D722)</f>
        <v>član 21.stav (1) Zakona i član 44. Pravilnika</v>
      </c>
      <c r="C722" s="5361" t="s">
        <v>3841</v>
      </c>
      <c r="D722" s="5329" t="s">
        <v>3842</v>
      </c>
      <c r="E722" s="5309"/>
    </row>
    <row r="723" spans="1:5">
      <c r="A723" s="5309">
        <v>50</v>
      </c>
      <c r="B723" s="5327" t="str">
        <f>IF(Baza!$C$22="bosanski",C723,D723)</f>
        <v>član 22. stav (1) Zakona</v>
      </c>
      <c r="C723" s="5361" t="s">
        <v>3843</v>
      </c>
      <c r="D723" s="5329" t="s">
        <v>3844</v>
      </c>
      <c r="E723" s="5309"/>
    </row>
    <row r="724" spans="1:5">
      <c r="A724" s="5309">
        <v>51</v>
      </c>
      <c r="B724" s="5327" t="str">
        <f>IF(Baza!$C$22="bosanski",C724,D724)</f>
        <v>član 22. stav (2) Zakona</v>
      </c>
      <c r="C724" s="5361" t="s">
        <v>3845</v>
      </c>
      <c r="D724" s="5329" t="s">
        <v>3846</v>
      </c>
      <c r="E724" s="5309"/>
    </row>
    <row r="725" spans="1:5">
      <c r="A725" s="5309">
        <v>52</v>
      </c>
      <c r="B725" s="5327" t="str">
        <f>IF(Baza!$C$22="bosanski",C725,D725)</f>
        <v>član 23. stav (2) Zakona</v>
      </c>
      <c r="C725" s="5361" t="s">
        <v>3847</v>
      </c>
      <c r="D725" s="5329" t="s">
        <v>3848</v>
      </c>
      <c r="E725" s="5309"/>
    </row>
    <row r="726" spans="1:5">
      <c r="A726" s="5309">
        <v>53</v>
      </c>
      <c r="B726" s="5327" t="str">
        <f>IF(Baza!$C$22="bosanski",C726,D726)</f>
        <v>član 23. stav (1) Zakona</v>
      </c>
      <c r="C726" s="5361" t="s">
        <v>3849</v>
      </c>
      <c r="D726" s="5329" t="s">
        <v>3850</v>
      </c>
      <c r="E726" s="5309"/>
    </row>
    <row r="727" spans="1:5">
      <c r="A727" s="5309">
        <v>54</v>
      </c>
      <c r="B727" s="5327" t="str">
        <f>IF(Baza!$C$22="bosanski",C727,D727)</f>
        <v>član 8. Zakona i član 16. stav (3) Pravilnika</v>
      </c>
      <c r="C727" s="5361" t="s">
        <v>3851</v>
      </c>
      <c r="D727" s="5329" t="s">
        <v>3840</v>
      </c>
      <c r="E727" s="5309"/>
    </row>
    <row r="728" spans="1:5">
      <c r="A728" s="5309">
        <v>57</v>
      </c>
      <c r="B728" s="5327" t="str">
        <f>IF(Baza!$C$22="bosanski",C728,D728)</f>
        <v>član 44. stav (4) Zakona</v>
      </c>
      <c r="C728" s="5361" t="s">
        <v>3852</v>
      </c>
      <c r="D728" s="5329" t="s">
        <v>3853</v>
      </c>
      <c r="E728" s="5309"/>
    </row>
    <row r="729" spans="1:5">
      <c r="A729" s="5309">
        <v>58</v>
      </c>
      <c r="B729" s="5327" t="str">
        <f>IF(Baza!$C$22="bosanski",C729,D729)</f>
        <v>član 44. stav (4) Zakona</v>
      </c>
      <c r="C729" s="5361" t="s">
        <v>3852</v>
      </c>
      <c r="D729" s="5329" t="s">
        <v>3853</v>
      </c>
      <c r="E729" s="5309"/>
    </row>
    <row r="730" spans="1:5">
      <c r="E730" s="5309"/>
    </row>
    <row r="731" spans="1:5">
      <c r="E731" s="5309"/>
    </row>
    <row r="732" ht="30" spans="1:5">
      <c r="B732" s="5357" t="str">
        <f>IF(Baza!$C$22="bosanski",C732,D732)</f>
        <v>PRIJAVA POREZNE OLAKŠICE PO OSNOVU INVESTIRANJA U PROIZVODNU OPREMU</v>
      </c>
      <c r="C732" s="5322" t="s">
        <v>3854</v>
      </c>
      <c r="D732" s="5323" t="s">
        <v>3854</v>
      </c>
      <c r="E732" s="5309"/>
    </row>
    <row r="733" spans="1:5">
      <c r="B733" s="5327" t="str">
        <f>IF(Baza!$C$22="bosanski",C733,D733)</f>
        <v>1. PODACI IZ BILANSA STANJA</v>
      </c>
      <c r="C733" s="5361" t="s">
        <v>3855</v>
      </c>
      <c r="D733" s="5329" t="s">
        <v>3856</v>
      </c>
      <c r="E733" s="5309"/>
    </row>
    <row r="734" spans="1:5">
      <c r="B734" s="5327" t="str">
        <f>IF(Baza!$C$22="bosanski",C734,D734)</f>
        <v>1.1. Postrojenja i oprema (Bilans stanja 011 AP)</v>
      </c>
      <c r="C734" s="5361" t="s">
        <v>3857</v>
      </c>
      <c r="D734" s="5329" t="s">
        <v>3858</v>
      </c>
      <c r="E734" s="5309"/>
    </row>
    <row r="735" spans="1:5">
      <c r="B735" s="5327" t="str">
        <f>IF(Baza!$C$22="bosanski",C735,D735)</f>
        <v>1.2. Ukupna aktiva (Bilans stanja 067 AOP)</v>
      </c>
      <c r="C735" s="5361" t="s">
        <v>3859</v>
      </c>
      <c r="D735" s="5329" t="s">
        <v>3860</v>
      </c>
      <c r="E735" s="5309"/>
    </row>
    <row r="736" spans="1:5">
      <c r="E736" s="5309"/>
    </row>
    <row r="737" spans="2:5">
      <c r="E737" s="5309"/>
    </row>
    <row r="738" ht="30" spans="2:5">
      <c r="B738" s="5357" t="str">
        <f>IF(Baza!$C$22="bosanski",C738,D738)</f>
        <v>PRIJAVA POREZNE OLAKŠICE PO OSNOVU INVESTIRANJA U STALNA SREDSTVA</v>
      </c>
      <c r="C738" s="5322" t="s">
        <v>3861</v>
      </c>
      <c r="D738" s="5323" t="s">
        <v>3861</v>
      </c>
      <c r="E738" s="5309"/>
    </row>
    <row r="739" spans="2:5">
      <c r="B739" s="5327" t="str">
        <f>IF(Baza!$C$22="bosanski",C739,D739)</f>
        <v>1.3. Planirani iznos investicije u KM u tekućem poreznom periodu</v>
      </c>
      <c r="C739" s="5361" t="s">
        <v>3862</v>
      </c>
      <c r="D739" s="5329" t="s">
        <v>3863</v>
      </c>
      <c r="E739" s="5309"/>
    </row>
    <row r="740" spans="2:5">
      <c r="B740" s="5327" t="str">
        <f>IF(Baza!$C$22="bosanski",C740,D740)</f>
        <v>1.4. Iznos investicije u KM u tekućem poreznom periodu</v>
      </c>
      <c r="C740" s="5361" t="s">
        <v>3864</v>
      </c>
      <c r="D740" s="5329" t="s">
        <v>3865</v>
      </c>
      <c r="E740" s="5309"/>
    </row>
    <row r="741" spans="2:5">
      <c r="B741" s="5327" t="str">
        <f>IF(Baza!$C$22="bosanski",C741,D741)</f>
        <v>2. PODACI IZ BILANSA STANJA</v>
      </c>
      <c r="C741" s="5361" t="s">
        <v>3866</v>
      </c>
      <c r="D741" s="5329" t="s">
        <v>3867</v>
      </c>
      <c r="E741" s="5309"/>
    </row>
    <row r="742" spans="2:5">
      <c r="B742" s="5327" t="str">
        <f>IF(Baza!$C$22="bosanski",C742,D742)</f>
        <v>2.1. Nekretnine, postrojenja i oprema (Bilans stanja 008 AOP)</v>
      </c>
      <c r="C742" s="5361" t="s">
        <v>3868</v>
      </c>
      <c r="D742" s="5329" t="s">
        <v>3869</v>
      </c>
      <c r="E742" s="5309"/>
    </row>
    <row r="743" spans="2:5">
      <c r="B743" s="5327" t="str">
        <f>IF(Baza!$C$22="bosanski",C743,D743)</f>
        <v>2.2. Ukupna aktiva (Bilans stanja 067 AOP)</v>
      </c>
      <c r="C743" s="5361" t="s">
        <v>3870</v>
      </c>
      <c r="D743" s="5329" t="s">
        <v>3871</v>
      </c>
      <c r="E743" s="5309"/>
    </row>
    <row r="744" spans="2:5">
      <c r="E744" s="5309"/>
    </row>
    <row r="745" spans="2:5">
      <c r="E745" s="5309"/>
    </row>
  </sheetData>
  <pageMargins left="0.7" right="0.7" top="0.75" bottom="0.75" header="0.3" footer="0.3"/>
  <pageSetup paperSize="9"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81">
    <tabColor theme="5" tint="-0.249977111117893"/>
    <pageSetUpPr fitToPage="1"/>
  </sheetPr>
  <dimension ref="A1:AV66"/>
  <sheetViews>
    <sheetView showGridLines="0" topLeftCell="A46" workbookViewId="0">
      <selection activeCell="BB45" sqref="BB45"/>
    </sheetView>
  </sheetViews>
  <sheetFormatPr defaultColWidth="4.14285714285714" defaultRowHeight="16.5"/>
  <cols>
    <col min="1" max="1" width="4.14285714285714" style="886"/>
    <col min="2" max="16384" width="4.14285714285714" style="876"/>
  </cols>
  <sheetData>
    <row r="1" s="874" customFormat="1" ht="15" customHeight="1" spans="1:48">
      <c r="A1" s="877" t="str">
        <f>Text!B2</f>
        <v>Naziv pravnog lica</v>
      </c>
      <c r="AE1" s="874" t="s">
        <v>4636</v>
      </c>
      <c r="AL1" s="878" t="str">
        <f>Text!B4</f>
        <v>Identifikacioni broj za direktne poreze</v>
      </c>
      <c r="AM1" s="878"/>
      <c r="AN1" s="878"/>
      <c r="AO1" s="878"/>
      <c r="AP1" s="878"/>
      <c r="AQ1" s="878"/>
      <c r="AR1" s="878"/>
      <c r="AS1" s="878"/>
      <c r="AT1" s="878"/>
      <c r="AU1" s="878"/>
      <c r="AV1" s="878"/>
    </row>
    <row r="2" s="875" customFormat="1" ht="18.75" customHeight="1" spans="1:48">
      <c r="A2" s="879" t="str">
        <f>Firma</f>
        <v>LILIUM ASSET MANAGEMENT d.o.o. Sarajevo</v>
      </c>
      <c r="AE2" s="875" t="s">
        <v>4636</v>
      </c>
      <c r="AJ2" s="880"/>
      <c r="AK2" s="880"/>
      <c r="AL2" s="880"/>
      <c r="AM2" s="1231" t="str">
        <f>IdBroj</f>
        <v>4201337670009</v>
      </c>
      <c r="AN2" s="1231"/>
      <c r="AO2" s="1231"/>
      <c r="AP2" s="1231"/>
      <c r="AQ2" s="1231"/>
      <c r="AR2" s="1231"/>
      <c r="AS2" s="1231"/>
      <c r="AT2" s="1231"/>
      <c r="AU2" s="1231"/>
      <c r="AV2" s="1231"/>
    </row>
    <row r="3" s="874" customFormat="1" ht="15" customHeight="1" spans="1:48">
      <c r="A3" s="877" t="str">
        <f>Text!B3</f>
        <v>Sjedište i adresa pravnog lica</v>
      </c>
      <c r="AE3" s="874" t="s">
        <v>4636</v>
      </c>
      <c r="AL3" s="878" t="str">
        <f>Text!B5</f>
        <v>Identifikacioni  broj za indirektne poreze</v>
      </c>
      <c r="AM3" s="878"/>
      <c r="AN3" s="878"/>
      <c r="AO3" s="878"/>
      <c r="AP3" s="878"/>
      <c r="AQ3" s="878"/>
      <c r="AR3" s="878"/>
      <c r="AS3" s="878"/>
      <c r="AT3" s="878"/>
      <c r="AU3" s="878"/>
      <c r="AV3" s="878"/>
    </row>
    <row r="4" s="875" customFormat="1" ht="19.5" customHeight="1" spans="1:48">
      <c r="A4" s="882" t="str">
        <f>Sjedište&amp;", "&amp;Adresa</f>
        <v>Sarajevo-Stari Grad, Dženetića čikma br.8</v>
      </c>
      <c r="AE4" s="875" t="s">
        <v>4636</v>
      </c>
      <c r="AK4" s="880"/>
      <c r="AL4" s="880"/>
      <c r="AM4" s="1231" t="str">
        <f>Pdv_Broj</f>
        <v>201337670009</v>
      </c>
      <c r="AN4" s="1231"/>
      <c r="AO4" s="1231"/>
      <c r="AP4" s="1231"/>
      <c r="AQ4" s="1231"/>
      <c r="AR4" s="1231"/>
      <c r="AS4" s="1231"/>
      <c r="AT4" s="1231"/>
      <c r="AU4" s="1231"/>
      <c r="AV4" s="1231"/>
    </row>
    <row r="5" customHeight="1" spans="1:48">
      <c r="A5" s="877" t="str">
        <f>Text!B22&amp;" KD BiH 2010"</f>
        <v>Šifra djelatnosti po KD BiH 2010</v>
      </c>
      <c r="B5" s="877"/>
      <c r="C5" s="877"/>
      <c r="D5" s="877"/>
      <c r="E5" s="877"/>
      <c r="F5" s="877"/>
      <c r="G5" s="877"/>
      <c r="H5" s="877"/>
      <c r="I5" s="877"/>
      <c r="J5" s="877"/>
      <c r="AV5" s="878" t="str">
        <f>Text!B24</f>
        <v>Naziv banke</v>
      </c>
    </row>
    <row r="6" s="875" customFormat="1" customHeight="1" spans="1:48">
      <c r="A6" s="1232" t="str">
        <f>Sif_Djelatn</f>
        <v>66.30</v>
      </c>
      <c r="B6" s="880"/>
      <c r="C6" s="880"/>
      <c r="AM6" s="1231" t="str">
        <f>Banka</f>
        <v>Raiffeisen Bank d.d. BiH</v>
      </c>
      <c r="AN6" s="1231"/>
      <c r="AO6" s="1231"/>
      <c r="AP6" s="1231"/>
      <c r="AQ6" s="1231"/>
      <c r="AR6" s="1231"/>
      <c r="AS6" s="1231"/>
      <c r="AT6" s="1231"/>
      <c r="AU6" s="1231"/>
      <c r="AV6" s="1231"/>
    </row>
    <row r="7" customHeight="1" spans="1:48">
      <c r="A7" s="877" t="str">
        <f>Text!B23</f>
        <v>Djelatnost</v>
      </c>
      <c r="AV7" s="878" t="str">
        <f>Text!B25</f>
        <v>Broj računa</v>
      </c>
    </row>
    <row r="8" customHeight="1" spans="1:48">
      <c r="A8" s="1234" t="str">
        <f>Djelatnost</f>
        <v>Djelatnosti upravljanja fondovima</v>
      </c>
      <c r="B8" s="1234"/>
      <c r="C8" s="1234"/>
      <c r="D8" s="1234"/>
      <c r="E8" s="1234"/>
      <c r="F8" s="1234"/>
      <c r="G8" s="1234"/>
      <c r="H8" s="1234"/>
      <c r="I8" s="1234"/>
      <c r="J8" s="1234"/>
      <c r="K8" s="1234"/>
      <c r="L8" s="1234"/>
      <c r="M8" s="1234"/>
      <c r="N8" s="1234"/>
      <c r="O8" s="1234"/>
      <c r="P8" s="1234"/>
      <c r="Q8" s="1234"/>
      <c r="R8" s="1234"/>
      <c r="S8" s="1234"/>
      <c r="T8" s="1234"/>
      <c r="U8" s="1234"/>
      <c r="V8" s="1234"/>
      <c r="W8" s="1234"/>
      <c r="X8" s="1234"/>
      <c r="Y8" s="1234"/>
      <c r="Z8" s="1234"/>
      <c r="AA8" s="1234"/>
      <c r="AB8" s="1234"/>
      <c r="AC8" s="1234"/>
      <c r="AD8" s="1234"/>
      <c r="AH8" s="880"/>
      <c r="AI8" s="880"/>
      <c r="AJ8" s="880"/>
      <c r="AK8" s="880"/>
      <c r="AL8" s="880"/>
      <c r="AM8" s="1231" t="str">
        <f>Glavni_racun</f>
        <v>1610000189480005</v>
      </c>
      <c r="AN8" s="1231"/>
      <c r="AO8" s="1231"/>
      <c r="AP8" s="1231"/>
      <c r="AQ8" s="1231"/>
      <c r="AR8" s="1231"/>
      <c r="AS8" s="1231"/>
      <c r="AT8" s="1231"/>
      <c r="AU8" s="1231"/>
      <c r="AV8" s="1231"/>
    </row>
    <row r="9" customHeight="1" spans="1:48">
      <c r="A9" s="1234"/>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M9" s="877"/>
      <c r="AN9" s="877"/>
      <c r="AO9" s="877"/>
      <c r="AP9" s="877"/>
      <c r="AQ9" s="877"/>
      <c r="AR9" s="877"/>
      <c r="AS9" s="877"/>
      <c r="AT9" s="877"/>
      <c r="AU9" s="877"/>
      <c r="AV9" s="878" t="str">
        <f>Text!B26</f>
        <v>Šifra općine</v>
      </c>
    </row>
    <row r="10" customHeight="1" spans="1:48">
      <c r="AM10" s="1231" t="str">
        <f>Sifra_opcine</f>
        <v>109</v>
      </c>
      <c r="AN10" s="1231"/>
      <c r="AO10" s="1231"/>
      <c r="AP10" s="1231"/>
      <c r="AQ10" s="1231"/>
      <c r="AR10" s="1231"/>
      <c r="AS10" s="1231"/>
      <c r="AT10" s="1231"/>
      <c r="AU10" s="1231"/>
      <c r="AV10" s="1231"/>
    </row>
    <row r="11" customHeight="1" spans="1:48">
      <c r="B11" s="886"/>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c r="AQ11" s="886"/>
      <c r="AR11" s="886"/>
      <c r="AS11" s="886"/>
      <c r="AT11" s="886"/>
      <c r="AU11" s="886"/>
    </row>
    <row r="12" s="874" customFormat="1" ht="15" customHeight="1" spans="1:48">
      <c r="A12" s="1238"/>
      <c r="AL12" s="1447"/>
      <c r="AM12" s="1447"/>
      <c r="AN12" s="1447"/>
      <c r="AO12" s="1447"/>
      <c r="AP12" s="1447"/>
      <c r="AQ12" s="1447"/>
      <c r="AR12" s="1447"/>
      <c r="AS12" s="1447"/>
      <c r="AT12" s="1447"/>
      <c r="AU12" s="1447"/>
      <c r="AV12" s="1448" t="str">
        <f>ObavRazv!X30</f>
        <v>Mikro</v>
      </c>
    </row>
    <row r="13" ht="15" customHeight="1" spans="1:48">
      <c r="A13" s="1449"/>
      <c r="AL13" s="1450"/>
      <c r="AM13" s="1450"/>
      <c r="AN13" s="1450"/>
      <c r="AO13" s="1451"/>
      <c r="AP13" s="1451"/>
      <c r="AQ13" s="1451"/>
      <c r="AR13" s="1451"/>
      <c r="AS13" s="1451"/>
      <c r="AT13" s="1451"/>
      <c r="AU13" s="1451"/>
      <c r="AV13" s="1452"/>
    </row>
    <row r="14" s="1224" customFormat="1" ht="24" customHeight="1" spans="1:48">
      <c r="A14" s="1453" t="str">
        <f>Text!B54</f>
        <v>IZVJEŠTAJ O UKUPNOM REZULTATU ZA PERIOD</v>
      </c>
      <c r="B14" s="1453"/>
      <c r="C14" s="1453"/>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453"/>
      <c r="AM14" s="1453"/>
      <c r="AN14" s="1453"/>
      <c r="AO14" s="1453"/>
      <c r="AP14" s="1453"/>
      <c r="AQ14" s="1453"/>
      <c r="AR14" s="1453"/>
      <c r="AS14" s="1453"/>
      <c r="AT14" s="1453"/>
      <c r="AU14" s="1453"/>
      <c r="AV14" s="1453"/>
    </row>
    <row r="15" s="1224" customFormat="1" ht="24" customHeight="1" spans="1:48">
      <c r="A15" s="1347" t="str">
        <f>Text!B55</f>
        <v>(BILANS USPJEHA)</v>
      </c>
      <c r="B15" s="1347"/>
      <c r="C15" s="1347"/>
      <c r="D15" s="1347"/>
      <c r="E15" s="1347"/>
      <c r="F15" s="1347"/>
      <c r="G15" s="1347"/>
      <c r="H15" s="1347"/>
      <c r="I15" s="1347"/>
      <c r="J15" s="1347"/>
      <c r="K15" s="134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47"/>
      <c r="AP15" s="1347"/>
      <c r="AQ15" s="1347"/>
      <c r="AR15" s="1347"/>
      <c r="AS15" s="1347"/>
      <c r="AT15" s="1347"/>
      <c r="AU15" s="1347"/>
      <c r="AV15" s="1347"/>
    </row>
    <row r="16" s="1224" customFormat="1" ht="22.5" customHeight="1" spans="1:48">
      <c r="A16" s="1348" t="str">
        <f ca="1">Text!B56</f>
        <v>za period od 01.01.2025. do 31.12.2025. godine</v>
      </c>
      <c r="B16" s="1348"/>
      <c r="C16" s="1348"/>
      <c r="D16" s="1348"/>
      <c r="E16" s="1348"/>
      <c r="F16" s="1348"/>
      <c r="G16" s="1348"/>
      <c r="H16" s="1348"/>
      <c r="I16" s="1348"/>
      <c r="J16" s="1348"/>
      <c r="K16" s="1348"/>
      <c r="L16" s="1348"/>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c r="AT16" s="1348"/>
      <c r="AU16" s="1348"/>
      <c r="AV16" s="1348"/>
    </row>
    <row r="17" s="1224" customFormat="1" ht="12.75" customHeight="1" spans="1:48">
      <c r="A17" s="1245"/>
      <c r="AV17" s="1349" t="s">
        <v>7516</v>
      </c>
    </row>
    <row r="18" s="1340" customFormat="1" ht="20.25" customHeight="1" spans="1:48">
      <c r="A18" s="1350" t="str">
        <f>Text!B27</f>
        <v>Redni broj</v>
      </c>
      <c r="B18" s="1351"/>
      <c r="C18" s="1352" t="str">
        <f>Text!B28</f>
        <v>P O Z I C I J A</v>
      </c>
      <c r="D18" s="1352"/>
      <c r="E18" s="1352"/>
      <c r="F18" s="1352"/>
      <c r="G18" s="1352"/>
      <c r="H18" s="1352"/>
      <c r="I18" s="1352"/>
      <c r="J18" s="1352"/>
      <c r="K18" s="1352"/>
      <c r="L18" s="1352"/>
      <c r="M18" s="1352"/>
      <c r="N18" s="1352"/>
      <c r="O18" s="1352"/>
      <c r="P18" s="1352"/>
      <c r="Q18" s="1352"/>
      <c r="R18" s="1352"/>
      <c r="S18" s="1352"/>
      <c r="T18" s="1352"/>
      <c r="U18" s="1352"/>
      <c r="V18" s="1352"/>
      <c r="W18" s="1352"/>
      <c r="X18" s="1352"/>
      <c r="Y18" s="1353" t="str">
        <f>Text!B29</f>
        <v>Konto</v>
      </c>
      <c r="Z18" s="1354"/>
      <c r="AA18" s="1354"/>
      <c r="AB18" s="1354"/>
      <c r="AC18" s="1354"/>
      <c r="AD18" s="1351"/>
      <c r="AE18" s="1355" t="str">
        <f>Text!B30</f>
        <v>Bilješka</v>
      </c>
      <c r="AF18" s="1356"/>
      <c r="AG18" s="1350" t="s">
        <v>2438</v>
      </c>
      <c r="AH18" s="1351"/>
      <c r="AI18" s="1454" t="str">
        <f ca="1">PeriodOd&amp;" "&amp;Text!B34&amp;" "&amp;PeriodDo</f>
        <v>01.01.2025 do 31.12.2025</v>
      </c>
      <c r="AJ18" s="1454"/>
      <c r="AK18" s="1454"/>
      <c r="AL18" s="1454"/>
      <c r="AM18" s="1454"/>
      <c r="AN18" s="1454"/>
      <c r="AO18" s="1454"/>
      <c r="AP18" s="1454" t="str">
        <f>UnosPod!F6&amp;UnosPod!G6&amp;"."&amp;UnosPod!H6&amp;UnosPod!I6&amp;"."&amp;UnosPod!J6-1&amp;" "&amp;Text!B34&amp;" "&amp;UnosPod!M6&amp;UnosPod!N6&amp;"."&amp;UnosPod!O6&amp;UnosPod!P6&amp;"."&amp;UnosPod!Q6-1</f>
        <v>01.01.2024 do 31.12.2024</v>
      </c>
      <c r="AQ18" s="1454"/>
      <c r="AR18" s="1454"/>
      <c r="AS18" s="1454"/>
      <c r="AT18" s="1454"/>
      <c r="AU18" s="1454"/>
      <c r="AV18" s="1454"/>
    </row>
    <row r="19" s="1340" customFormat="1" ht="20.25" customHeight="1" spans="1:48">
      <c r="A19" s="1359"/>
      <c r="B19" s="1360"/>
      <c r="C19" s="1244"/>
      <c r="D19" s="1244"/>
      <c r="E19" s="1244"/>
      <c r="F19" s="1244"/>
      <c r="G19" s="1244"/>
      <c r="H19" s="1244"/>
      <c r="I19" s="1244"/>
      <c r="J19" s="1244"/>
      <c r="K19" s="1244"/>
      <c r="L19" s="1244"/>
      <c r="M19" s="1244"/>
      <c r="N19" s="1244"/>
      <c r="O19" s="1244"/>
      <c r="P19" s="1244"/>
      <c r="Q19" s="1244"/>
      <c r="R19" s="1244"/>
      <c r="S19" s="1244"/>
      <c r="T19" s="1244"/>
      <c r="U19" s="1244"/>
      <c r="V19" s="1244"/>
      <c r="W19" s="1244"/>
      <c r="X19" s="1244"/>
      <c r="Y19" s="1362"/>
      <c r="Z19" s="1363"/>
      <c r="AA19" s="1363"/>
      <c r="AB19" s="1363"/>
      <c r="AC19" s="1363"/>
      <c r="AD19" s="1360"/>
      <c r="AE19" s="1427"/>
      <c r="AF19" s="1428"/>
      <c r="AG19" s="1429"/>
      <c r="AH19" s="1430"/>
      <c r="AI19" s="1455" t="str">
        <f>Text!B32</f>
        <v>tekuće godine</v>
      </c>
      <c r="AJ19" s="1455"/>
      <c r="AK19" s="1455"/>
      <c r="AL19" s="1455"/>
      <c r="AM19" s="1455"/>
      <c r="AN19" s="1455"/>
      <c r="AO19" s="1455"/>
      <c r="AP19" s="1456" t="str">
        <f>Text!B33</f>
        <v>prethodne godine</v>
      </c>
      <c r="AQ19" s="1456"/>
      <c r="AR19" s="1456"/>
      <c r="AS19" s="1456"/>
      <c r="AT19" s="1456"/>
      <c r="AU19" s="1456"/>
      <c r="AV19" s="1456"/>
    </row>
    <row r="20" s="1340" customFormat="1" ht="20.25" customHeight="1" spans="1:48">
      <c r="A20" s="1367">
        <v>1</v>
      </c>
      <c r="B20" s="1367"/>
      <c r="C20" s="1369">
        <v>2</v>
      </c>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8"/>
      <c r="Z20" s="1458"/>
      <c r="AA20" s="1458"/>
      <c r="AB20" s="1458"/>
      <c r="AC20" s="1458"/>
      <c r="AD20" s="1459"/>
      <c r="AE20" s="1367">
        <v>3</v>
      </c>
      <c r="AF20" s="1367"/>
      <c r="AG20" s="1367">
        <v>4</v>
      </c>
      <c r="AH20" s="1367"/>
      <c r="AI20" s="1367">
        <v>5</v>
      </c>
      <c r="AJ20" s="1367"/>
      <c r="AK20" s="1367"/>
      <c r="AL20" s="1367"/>
      <c r="AM20" s="1367"/>
      <c r="AN20" s="1367"/>
      <c r="AO20" s="1367"/>
      <c r="AP20" s="1367">
        <v>6</v>
      </c>
      <c r="AQ20" s="1367"/>
      <c r="AR20" s="1367"/>
      <c r="AS20" s="1367"/>
      <c r="AT20" s="1367"/>
      <c r="AU20" s="1367"/>
      <c r="AV20" s="1367"/>
    </row>
    <row r="21" s="1340" customFormat="1" ht="26.25" customHeight="1" spans="1:48">
      <c r="A21" s="1372"/>
      <c r="B21" s="1373"/>
      <c r="C21" s="1374" t="str">
        <f>Text!B58</f>
        <v>DOBIT ILI GUBITAK PERIODA</v>
      </c>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460"/>
      <c r="Z21" s="1461"/>
      <c r="AA21" s="1461"/>
      <c r="AB21" s="1461"/>
      <c r="AC21" s="1461"/>
      <c r="AD21" s="1462"/>
      <c r="AE21" s="1379"/>
      <c r="AF21" s="1380"/>
      <c r="AG21" s="1401"/>
      <c r="AH21" s="1373"/>
      <c r="AI21" s="1383"/>
      <c r="AJ21" s="1384"/>
      <c r="AK21" s="1385"/>
      <c r="AL21" s="1385"/>
      <c r="AM21" s="1385"/>
      <c r="AN21" s="1385"/>
      <c r="AO21" s="1386"/>
      <c r="AP21" s="1383"/>
      <c r="AQ21" s="1384"/>
      <c r="AR21" s="1385"/>
      <c r="AS21" s="1385"/>
      <c r="AT21" s="1385"/>
      <c r="AU21" s="1385"/>
      <c r="AV21" s="1386"/>
    </row>
    <row r="22" s="1341" customFormat="1" ht="26.25" customHeight="1" spans="1:48">
      <c r="A22" s="1412" t="s">
        <v>3872</v>
      </c>
      <c r="B22" s="1388"/>
      <c r="C22" s="1374" t="str">
        <f>Text!B59</f>
        <v>Prihodi iz ugovora s kupcima (102 do 104)</v>
      </c>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460"/>
      <c r="Z22" s="1461"/>
      <c r="AA22" s="1461"/>
      <c r="AB22" s="1461"/>
      <c r="AC22" s="1461"/>
      <c r="AD22" s="1462"/>
      <c r="AE22" s="1392"/>
      <c r="AF22" s="1392"/>
      <c r="AG22" s="1372">
        <v>101</v>
      </c>
      <c r="AH22" s="1404"/>
      <c r="AI22" s="1383">
        <f>SUM(AI23:AO25)</f>
        <v>245707</v>
      </c>
      <c r="AJ22" s="1384"/>
      <c r="AK22" s="1385"/>
      <c r="AL22" s="1385"/>
      <c r="AM22" s="1385"/>
      <c r="AN22" s="1385"/>
      <c r="AO22" s="1386"/>
      <c r="AP22" s="1383">
        <f>SUM(AP23:AV25)</f>
        <v>0</v>
      </c>
      <c r="AQ22" s="1384"/>
      <c r="AR22" s="1385"/>
      <c r="AS22" s="1385"/>
      <c r="AT22" s="1385"/>
      <c r="AU22" s="1385"/>
      <c r="AV22" s="1386"/>
    </row>
    <row r="23" s="1340" customFormat="1" ht="26.25" customHeight="1" spans="1:48">
      <c r="A23" s="1463" t="s">
        <v>3953</v>
      </c>
      <c r="B23" s="1464"/>
      <c r="C23" s="1465" t="str">
        <f>Text!B60</f>
        <v>Prihodi od prodaje robe </v>
      </c>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7">
        <v>60</v>
      </c>
      <c r="Z23" s="1468"/>
      <c r="AA23" s="1468"/>
      <c r="AB23" s="1468"/>
      <c r="AC23" s="1468"/>
      <c r="AD23" s="1469"/>
      <c r="AE23" s="1470"/>
      <c r="AF23" s="1471"/>
      <c r="AG23" s="1472">
        <v>102</v>
      </c>
      <c r="AH23" s="1473"/>
      <c r="AI23" s="1474">
        <f>ROUND(UnosPod!F123,0)</f>
        <v>0</v>
      </c>
      <c r="AJ23" s="1475"/>
      <c r="AK23" s="1476"/>
      <c r="AL23" s="1476"/>
      <c r="AM23" s="1476"/>
      <c r="AN23" s="1476"/>
      <c r="AO23" s="1477"/>
      <c r="AP23" s="1474">
        <f>Prethodna_2024!D223</f>
        <v>0</v>
      </c>
      <c r="AQ23" s="1475"/>
      <c r="AR23" s="1476"/>
      <c r="AS23" s="1476"/>
      <c r="AT23" s="1476"/>
      <c r="AU23" s="1476"/>
      <c r="AV23" s="1477"/>
    </row>
    <row r="24" s="1340" customFormat="1" ht="26.25" customHeight="1" spans="1:48">
      <c r="A24" s="1478" t="s">
        <v>3891</v>
      </c>
      <c r="B24" s="1479"/>
      <c r="C24" s="1480" t="str">
        <f>Text!B61</f>
        <v>Prihodi od prodaje gotovih proizvoda</v>
      </c>
      <c r="D24" s="1481"/>
      <c r="E24" s="1481"/>
      <c r="F24" s="1481"/>
      <c r="G24" s="1481"/>
      <c r="H24" s="1481"/>
      <c r="I24" s="1481"/>
      <c r="J24" s="1481"/>
      <c r="K24" s="1481"/>
      <c r="L24" s="1481"/>
      <c r="M24" s="1481"/>
      <c r="N24" s="1481"/>
      <c r="O24" s="1481"/>
      <c r="P24" s="1481"/>
      <c r="Q24" s="1481"/>
      <c r="R24" s="1481"/>
      <c r="S24" s="1481"/>
      <c r="T24" s="1481"/>
      <c r="U24" s="1481"/>
      <c r="V24" s="1481"/>
      <c r="W24" s="1481"/>
      <c r="X24" s="1481"/>
      <c r="Y24" s="1482">
        <v>61</v>
      </c>
      <c r="Z24" s="1483"/>
      <c r="AA24" s="1483"/>
      <c r="AB24" s="1483"/>
      <c r="AC24" s="1483"/>
      <c r="AD24" s="1484"/>
      <c r="AE24" s="1485"/>
      <c r="AF24" s="1486"/>
      <c r="AG24" s="1487">
        <v>103</v>
      </c>
      <c r="AH24" s="1488"/>
      <c r="AI24" s="1489">
        <f>ROUND(UnosPod!F137,0)</f>
        <v>0</v>
      </c>
      <c r="AJ24" s="1490"/>
      <c r="AK24" s="1491"/>
      <c r="AL24" s="1491"/>
      <c r="AM24" s="1491"/>
      <c r="AN24" s="1491"/>
      <c r="AO24" s="1492"/>
      <c r="AP24" s="1489">
        <f>Prethodna_2024!D224</f>
        <v>0</v>
      </c>
      <c r="AQ24" s="1490"/>
      <c r="AR24" s="1491"/>
      <c r="AS24" s="1491"/>
      <c r="AT24" s="1491"/>
      <c r="AU24" s="1491"/>
      <c r="AV24" s="1492"/>
    </row>
    <row r="25" s="1340" customFormat="1" ht="26.25" customHeight="1" spans="1:48">
      <c r="A25" s="1369" t="s">
        <v>3902</v>
      </c>
      <c r="B25" s="1368"/>
      <c r="C25" s="1493" t="str">
        <f>Text!B62</f>
        <v>Prihodi od pruženih usluga</v>
      </c>
      <c r="D25" s="1494"/>
      <c r="E25" s="1494"/>
      <c r="F25" s="1494"/>
      <c r="G25" s="1494"/>
      <c r="H25" s="1494"/>
      <c r="I25" s="1494"/>
      <c r="J25" s="1494"/>
      <c r="K25" s="1494"/>
      <c r="L25" s="1494"/>
      <c r="M25" s="1494"/>
      <c r="N25" s="1494"/>
      <c r="O25" s="1494"/>
      <c r="P25" s="1494"/>
      <c r="Q25" s="1494"/>
      <c r="R25" s="1494"/>
      <c r="S25" s="1494"/>
      <c r="T25" s="1494"/>
      <c r="U25" s="1494"/>
      <c r="V25" s="1494"/>
      <c r="W25" s="1494"/>
      <c r="X25" s="1494"/>
      <c r="Y25" s="1495">
        <v>62</v>
      </c>
      <c r="Z25" s="1496"/>
      <c r="AA25" s="1496"/>
      <c r="AB25" s="1496"/>
      <c r="AC25" s="1496"/>
      <c r="AD25" s="1497"/>
      <c r="AE25" s="1498"/>
      <c r="AF25" s="1499"/>
      <c r="AG25" s="1500">
        <v>104</v>
      </c>
      <c r="AH25" s="1371"/>
      <c r="AI25" s="1501">
        <f>ROUND(UnosPod!F151,0)</f>
        <v>245707</v>
      </c>
      <c r="AJ25" s="1502"/>
      <c r="AK25" s="1503"/>
      <c r="AL25" s="1503"/>
      <c r="AM25" s="1503"/>
      <c r="AN25" s="1503"/>
      <c r="AO25" s="1504"/>
      <c r="AP25" s="1501">
        <f>Prethodna_2024!D225</f>
        <v>0</v>
      </c>
      <c r="AQ25" s="1502"/>
      <c r="AR25" s="1503"/>
      <c r="AS25" s="1503"/>
      <c r="AT25" s="1503"/>
      <c r="AU25" s="1503"/>
      <c r="AV25" s="1504"/>
    </row>
    <row r="26" s="1341" customFormat="1" ht="26.25" customHeight="1" spans="1:48">
      <c r="A26" s="1412" t="s">
        <v>3949</v>
      </c>
      <c r="B26" s="1388"/>
      <c r="C26" s="1374" t="str">
        <f>Text!B63</f>
        <v>Poslovni rashodi (106+107+108+109+110+111+112)</v>
      </c>
      <c r="D26" s="1375"/>
      <c r="E26" s="1375"/>
      <c r="F26" s="1375"/>
      <c r="G26" s="1375"/>
      <c r="H26" s="1375"/>
      <c r="I26" s="1375"/>
      <c r="J26" s="1375"/>
      <c r="K26" s="1375"/>
      <c r="L26" s="1375"/>
      <c r="M26" s="1375"/>
      <c r="N26" s="1375"/>
      <c r="O26" s="1375"/>
      <c r="P26" s="1375"/>
      <c r="Q26" s="1375"/>
      <c r="R26" s="1375"/>
      <c r="S26" s="1375"/>
      <c r="T26" s="1375"/>
      <c r="U26" s="1375"/>
      <c r="V26" s="1375"/>
      <c r="W26" s="1375"/>
      <c r="X26" s="1375"/>
      <c r="Y26" s="1460"/>
      <c r="Z26" s="1461"/>
      <c r="AA26" s="1461"/>
      <c r="AB26" s="1461"/>
      <c r="AC26" s="1461"/>
      <c r="AD26" s="1462"/>
      <c r="AE26" s="1413"/>
      <c r="AF26" s="1414"/>
      <c r="AG26" s="1372">
        <v>105</v>
      </c>
      <c r="AH26" s="1404"/>
      <c r="AI26" s="1383">
        <f>SUM(AI27:AO33)</f>
        <v>292171</v>
      </c>
      <c r="AJ26" s="1384"/>
      <c r="AK26" s="1385"/>
      <c r="AL26" s="1385"/>
      <c r="AM26" s="1385"/>
      <c r="AN26" s="1385"/>
      <c r="AO26" s="1386"/>
      <c r="AP26" s="1383">
        <f>SUM(AP27:AV33)</f>
        <v>0</v>
      </c>
      <c r="AQ26" s="1384"/>
      <c r="AR26" s="1385"/>
      <c r="AS26" s="1385"/>
      <c r="AT26" s="1385"/>
      <c r="AU26" s="1385"/>
      <c r="AV26" s="1386"/>
    </row>
    <row r="27" s="1340" customFormat="1" ht="26.25" customHeight="1" spans="1:48">
      <c r="A27" s="1463" t="s">
        <v>3953</v>
      </c>
      <c r="B27" s="1464"/>
      <c r="C27" s="1465" t="str">
        <f>Text!B64</f>
        <v>Nabavna vrijednost prodate robe</v>
      </c>
      <c r="D27" s="1466"/>
      <c r="E27" s="1466"/>
      <c r="F27" s="1466"/>
      <c r="G27" s="1466"/>
      <c r="H27" s="1466"/>
      <c r="I27" s="1466"/>
      <c r="J27" s="1466"/>
      <c r="K27" s="1466"/>
      <c r="L27" s="1466"/>
      <c r="M27" s="1466"/>
      <c r="N27" s="1466"/>
      <c r="O27" s="1466"/>
      <c r="P27" s="1466"/>
      <c r="Q27" s="1466"/>
      <c r="R27" s="1466"/>
      <c r="S27" s="1466"/>
      <c r="T27" s="1466"/>
      <c r="U27" s="1466"/>
      <c r="V27" s="1466"/>
      <c r="W27" s="1466"/>
      <c r="X27" s="1466"/>
      <c r="Y27" s="1467">
        <v>50</v>
      </c>
      <c r="Z27" s="1468"/>
      <c r="AA27" s="1468"/>
      <c r="AB27" s="1468"/>
      <c r="AC27" s="1468"/>
      <c r="AD27" s="1469"/>
      <c r="AE27" s="1470"/>
      <c r="AF27" s="1471"/>
      <c r="AG27" s="1472">
        <v>106</v>
      </c>
      <c r="AH27" s="1473"/>
      <c r="AI27" s="1474">
        <f>ROUND(UnosPod!F232,0)</f>
        <v>0</v>
      </c>
      <c r="AJ27" s="1475"/>
      <c r="AK27" s="1476"/>
      <c r="AL27" s="1476"/>
      <c r="AM27" s="1476"/>
      <c r="AN27" s="1476"/>
      <c r="AO27" s="1477"/>
      <c r="AP27" s="1489">
        <f>Prethodna_2024!D227</f>
        <v>0</v>
      </c>
      <c r="AQ27" s="1490"/>
      <c r="AR27" s="1491"/>
      <c r="AS27" s="1491"/>
      <c r="AT27" s="1491"/>
      <c r="AU27" s="1491"/>
      <c r="AV27" s="1492"/>
    </row>
    <row r="28" s="1340" customFormat="1" ht="26.25" customHeight="1" spans="1:48">
      <c r="A28" s="1478" t="s">
        <v>3891</v>
      </c>
      <c r="B28" s="1479"/>
      <c r="C28" s="1480" t="str">
        <f>Text!B65</f>
        <v>Promjene u zalihama gotovih proizvoda, poluproizvoda i proizvodnje u toku, neto (+)/(-)</v>
      </c>
      <c r="D28" s="1481"/>
      <c r="E28" s="1481"/>
      <c r="F28" s="1481"/>
      <c r="G28" s="1481"/>
      <c r="H28" s="1481"/>
      <c r="I28" s="1481"/>
      <c r="J28" s="1481"/>
      <c r="K28" s="1481"/>
      <c r="L28" s="1481"/>
      <c r="M28" s="1481"/>
      <c r="N28" s="1481"/>
      <c r="O28" s="1481"/>
      <c r="P28" s="1481"/>
      <c r="Q28" s="1481"/>
      <c r="R28" s="1481"/>
      <c r="S28" s="1481"/>
      <c r="T28" s="1481"/>
      <c r="U28" s="1481"/>
      <c r="V28" s="1481"/>
      <c r="W28" s="1481"/>
      <c r="X28" s="1481"/>
      <c r="Y28" s="1482" t="s">
        <v>6999</v>
      </c>
      <c r="Z28" s="1483"/>
      <c r="AA28" s="1483"/>
      <c r="AB28" s="1483"/>
      <c r="AC28" s="1483"/>
      <c r="AD28" s="1484"/>
      <c r="AE28" s="1485"/>
      <c r="AF28" s="1486"/>
      <c r="AG28" s="1487">
        <v>107</v>
      </c>
      <c r="AH28" s="1488"/>
      <c r="AI28" s="1489">
        <f>ROUND(UnosPod!F371-UnosPod!F370,0)</f>
        <v>0</v>
      </c>
      <c r="AJ28" s="1490"/>
      <c r="AK28" s="1491"/>
      <c r="AL28" s="1491"/>
      <c r="AM28" s="1491"/>
      <c r="AN28" s="1491"/>
      <c r="AO28" s="1492"/>
      <c r="AP28" s="1489">
        <f>Prethodna_2024!D228</f>
        <v>0</v>
      </c>
      <c r="AQ28" s="1490"/>
      <c r="AR28" s="1491"/>
      <c r="AS28" s="1491"/>
      <c r="AT28" s="1491"/>
      <c r="AU28" s="1491"/>
      <c r="AV28" s="1492"/>
    </row>
    <row r="29" s="1340" customFormat="1" ht="26.25" customHeight="1" spans="1:48">
      <c r="A29" s="1478" t="s">
        <v>3902</v>
      </c>
      <c r="B29" s="1479"/>
      <c r="C29" s="1480" t="str">
        <f>Text!B66</f>
        <v>Troškovi sirovina i materijala</v>
      </c>
      <c r="D29" s="1481"/>
      <c r="E29" s="1481"/>
      <c r="F29" s="1481"/>
      <c r="G29" s="1481"/>
      <c r="H29" s="1481"/>
      <c r="I29" s="1481"/>
      <c r="J29" s="1481"/>
      <c r="K29" s="1481"/>
      <c r="L29" s="1481"/>
      <c r="M29" s="1481"/>
      <c r="N29" s="1481"/>
      <c r="O29" s="1481"/>
      <c r="P29" s="1481"/>
      <c r="Q29" s="1481"/>
      <c r="R29" s="1481"/>
      <c r="S29" s="1481"/>
      <c r="T29" s="1481"/>
      <c r="U29" s="1481"/>
      <c r="V29" s="1481"/>
      <c r="W29" s="1481"/>
      <c r="X29" s="1481"/>
      <c r="Y29" s="1482" t="s">
        <v>7000</v>
      </c>
      <c r="Z29" s="1483"/>
      <c r="AA29" s="1483"/>
      <c r="AB29" s="1483"/>
      <c r="AC29" s="1483"/>
      <c r="AD29" s="1484"/>
      <c r="AE29" s="1485"/>
      <c r="AF29" s="1486"/>
      <c r="AG29" s="1487">
        <v>108</v>
      </c>
      <c r="AH29" s="1488"/>
      <c r="AI29" s="1489">
        <f>ROUND(SUM(UnosPod!F234:L238)-UnosPod!F235,0)</f>
        <v>804</v>
      </c>
      <c r="AJ29" s="1490"/>
      <c r="AK29" s="1491"/>
      <c r="AL29" s="1491"/>
      <c r="AM29" s="1491"/>
      <c r="AN29" s="1491"/>
      <c r="AO29" s="1492"/>
      <c r="AP29" s="1489">
        <f>Prethodna_2024!D229</f>
        <v>0</v>
      </c>
      <c r="AQ29" s="1490"/>
      <c r="AR29" s="1491"/>
      <c r="AS29" s="1491"/>
      <c r="AT29" s="1491"/>
      <c r="AU29" s="1491"/>
      <c r="AV29" s="1492"/>
    </row>
    <row r="30" s="1340" customFormat="1" ht="26.25" customHeight="1" spans="1:48">
      <c r="A30" s="1478" t="s">
        <v>3905</v>
      </c>
      <c r="B30" s="1479"/>
      <c r="C30" s="1480" t="str">
        <f>Text!B67</f>
        <v>Troškovi energije i goriva</v>
      </c>
      <c r="D30" s="1481"/>
      <c r="E30" s="1481"/>
      <c r="F30" s="1481"/>
      <c r="G30" s="1481"/>
      <c r="H30" s="1481"/>
      <c r="I30" s="1481"/>
      <c r="J30" s="1481"/>
      <c r="K30" s="1481"/>
      <c r="L30" s="1481"/>
      <c r="M30" s="1481"/>
      <c r="N30" s="1481"/>
      <c r="O30" s="1481"/>
      <c r="P30" s="1481"/>
      <c r="Q30" s="1481"/>
      <c r="R30" s="1481"/>
      <c r="S30" s="1481"/>
      <c r="T30" s="1481"/>
      <c r="U30" s="1481"/>
      <c r="V30" s="1481"/>
      <c r="W30" s="1481"/>
      <c r="X30" s="1481"/>
      <c r="Y30" s="1482">
        <v>512</v>
      </c>
      <c r="Z30" s="1483"/>
      <c r="AA30" s="1483"/>
      <c r="AB30" s="1483"/>
      <c r="AC30" s="1483"/>
      <c r="AD30" s="1484"/>
      <c r="AE30" s="1485"/>
      <c r="AF30" s="1486"/>
      <c r="AG30" s="1487">
        <v>109</v>
      </c>
      <c r="AH30" s="1488"/>
      <c r="AI30" s="1489">
        <f>ROUND(UnosPod!F235,0)</f>
        <v>7591</v>
      </c>
      <c r="AJ30" s="1490"/>
      <c r="AK30" s="1491"/>
      <c r="AL30" s="1491"/>
      <c r="AM30" s="1491"/>
      <c r="AN30" s="1491"/>
      <c r="AO30" s="1492"/>
      <c r="AP30" s="1489">
        <f>Prethodna_2024!D230</f>
        <v>0</v>
      </c>
      <c r="AQ30" s="1490"/>
      <c r="AR30" s="1491"/>
      <c r="AS30" s="1491"/>
      <c r="AT30" s="1491"/>
      <c r="AU30" s="1491"/>
      <c r="AV30" s="1492"/>
    </row>
    <row r="31" s="1340" customFormat="1" ht="26.25" customHeight="1" spans="1:48">
      <c r="A31" s="1478" t="s">
        <v>3915</v>
      </c>
      <c r="B31" s="1479"/>
      <c r="C31" s="1480" t="str">
        <f>Text!B68</f>
        <v>Troškovi plaća i ostalih ličnih primanja </v>
      </c>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2">
        <v>52</v>
      </c>
      <c r="Z31" s="1483"/>
      <c r="AA31" s="1483"/>
      <c r="AB31" s="1483"/>
      <c r="AC31" s="1483"/>
      <c r="AD31" s="1484"/>
      <c r="AE31" s="1485"/>
      <c r="AF31" s="1486"/>
      <c r="AG31" s="1487">
        <v>110</v>
      </c>
      <c r="AH31" s="1488"/>
      <c r="AI31" s="1489">
        <f>ROUND(UnosPod!F254,0)</f>
        <v>206367</v>
      </c>
      <c r="AJ31" s="1490"/>
      <c r="AK31" s="1491"/>
      <c r="AL31" s="1491"/>
      <c r="AM31" s="1491"/>
      <c r="AN31" s="1491"/>
      <c r="AO31" s="1492"/>
      <c r="AP31" s="1489">
        <f>Prethodna_2024!D231</f>
        <v>0</v>
      </c>
      <c r="AQ31" s="1490"/>
      <c r="AR31" s="1491"/>
      <c r="AS31" s="1491"/>
      <c r="AT31" s="1491"/>
      <c r="AU31" s="1491"/>
      <c r="AV31" s="1492"/>
    </row>
    <row r="32" s="1340" customFormat="1" ht="26.25" customHeight="1" spans="1:48">
      <c r="A32" s="1478" t="s">
        <v>3918</v>
      </c>
      <c r="B32" s="1479"/>
      <c r="C32" s="1480" t="str">
        <f>Text!B69</f>
        <v>Amortizacija</v>
      </c>
      <c r="D32" s="1481"/>
      <c r="E32" s="1481"/>
      <c r="F32" s="1481"/>
      <c r="G32" s="1481"/>
      <c r="H32" s="1481"/>
      <c r="I32" s="1481"/>
      <c r="J32" s="1481"/>
      <c r="K32" s="1481"/>
      <c r="L32" s="1481"/>
      <c r="M32" s="1481"/>
      <c r="N32" s="1481"/>
      <c r="O32" s="1481"/>
      <c r="P32" s="1481"/>
      <c r="Q32" s="1481"/>
      <c r="R32" s="1481"/>
      <c r="S32" s="1481"/>
      <c r="T32" s="1481"/>
      <c r="U32" s="1481"/>
      <c r="V32" s="1481"/>
      <c r="W32" s="1481"/>
      <c r="X32" s="1481"/>
      <c r="Y32" s="1482" t="s">
        <v>6182</v>
      </c>
      <c r="Z32" s="1483"/>
      <c r="AA32" s="1483"/>
      <c r="AB32" s="1483"/>
      <c r="AC32" s="1483"/>
      <c r="AD32" s="1484"/>
      <c r="AE32" s="1485"/>
      <c r="AF32" s="1486"/>
      <c r="AG32" s="1487">
        <v>111</v>
      </c>
      <c r="AH32" s="1488"/>
      <c r="AI32" s="1489">
        <f>ROUND(UnosPod!F272+UnosPod!F280+UnosPod!F288,0)</f>
        <v>4549</v>
      </c>
      <c r="AJ32" s="1490"/>
      <c r="AK32" s="1491"/>
      <c r="AL32" s="1491"/>
      <c r="AM32" s="1491"/>
      <c r="AN32" s="1491"/>
      <c r="AO32" s="1492"/>
      <c r="AP32" s="1489">
        <f>Prethodna_2024!D232</f>
        <v>0</v>
      </c>
      <c r="AQ32" s="1490"/>
      <c r="AR32" s="1491"/>
      <c r="AS32" s="1491"/>
      <c r="AT32" s="1491"/>
      <c r="AU32" s="1491"/>
      <c r="AV32" s="1492"/>
    </row>
    <row r="33" s="1340" customFormat="1" ht="34.5" customHeight="1" spans="1:48">
      <c r="A33" s="1505" t="s">
        <v>3920</v>
      </c>
      <c r="B33" s="1506"/>
      <c r="C33" s="1507" t="str">
        <f>Text!B70</f>
        <v>Ostali poslovni rashodi i troškovi</v>
      </c>
      <c r="D33" s="1508"/>
      <c r="E33" s="1508"/>
      <c r="F33" s="1508"/>
      <c r="G33" s="1508"/>
      <c r="H33" s="1508"/>
      <c r="I33" s="1508"/>
      <c r="J33" s="1508"/>
      <c r="K33" s="1508"/>
      <c r="L33" s="1508"/>
      <c r="M33" s="1508"/>
      <c r="N33" s="1508"/>
      <c r="O33" s="1508"/>
      <c r="P33" s="1508"/>
      <c r="Q33" s="1508"/>
      <c r="R33" s="1508"/>
      <c r="S33" s="1508"/>
      <c r="T33" s="1508"/>
      <c r="U33" s="1508"/>
      <c r="V33" s="1508"/>
      <c r="W33" s="1508"/>
      <c r="X33" s="1508"/>
      <c r="Y33" s="1509" t="s">
        <v>7517</v>
      </c>
      <c r="Z33" s="1510"/>
      <c r="AA33" s="1510"/>
      <c r="AB33" s="1510"/>
      <c r="AC33" s="1510"/>
      <c r="AD33" s="1511"/>
      <c r="AE33" s="1512"/>
      <c r="AF33" s="1513"/>
      <c r="AG33" s="1514">
        <v>112</v>
      </c>
      <c r="AH33" s="1515"/>
      <c r="AI33" s="1516">
        <f>ROUND(UnosPod!F264+UnosPod!F305,0)</f>
        <v>72860</v>
      </c>
      <c r="AJ33" s="1517"/>
      <c r="AK33" s="1518"/>
      <c r="AL33" s="1518"/>
      <c r="AM33" s="1518"/>
      <c r="AN33" s="1518"/>
      <c r="AO33" s="1519"/>
      <c r="AP33" s="1516">
        <f>Prethodna_2024!D233</f>
        <v>0</v>
      </c>
      <c r="AQ33" s="1517"/>
      <c r="AR33" s="1518"/>
      <c r="AS33" s="1518"/>
      <c r="AT33" s="1518"/>
      <c r="AU33" s="1518"/>
      <c r="AV33" s="1519"/>
    </row>
    <row r="34" s="1340" customFormat="1" ht="15.75" customHeight="1" spans="1:48">
      <c r="Y34" s="1224"/>
      <c r="Z34" s="1224"/>
      <c r="AA34" s="1224"/>
      <c r="AB34" s="1224"/>
      <c r="AC34" s="1224"/>
      <c r="AD34" s="1224"/>
    </row>
    <row r="35" s="1340" customFormat="1" ht="15.75" customHeight="1" spans="1:48">
      <c r="Y35" s="1224"/>
      <c r="Z35" s="1224"/>
      <c r="AA35" s="1224"/>
      <c r="AB35" s="1224"/>
      <c r="AC35" s="1224"/>
      <c r="AD35" s="1224"/>
    </row>
    <row r="36" s="1340" customFormat="1" ht="15.75" customHeight="1" spans="1:48">
      <c r="Y36" s="1224"/>
      <c r="Z36" s="1224"/>
      <c r="AA36" s="1224"/>
      <c r="AB36" s="1224"/>
      <c r="AC36" s="1224"/>
      <c r="AD36" s="1224"/>
    </row>
    <row r="37" s="1340" customFormat="1" ht="15.75" customHeight="1" spans="1:48">
      <c r="A37" s="1520">
        <v>1</v>
      </c>
      <c r="B37" s="1520"/>
      <c r="C37" s="1521">
        <v>2</v>
      </c>
      <c r="D37" s="1522"/>
      <c r="E37" s="1522"/>
      <c r="F37" s="1522"/>
      <c r="G37" s="1522"/>
      <c r="H37" s="1522"/>
      <c r="I37" s="1522"/>
      <c r="J37" s="1522"/>
      <c r="K37" s="1522"/>
      <c r="L37" s="1522"/>
      <c r="M37" s="1522"/>
      <c r="N37" s="1522"/>
      <c r="O37" s="1522"/>
      <c r="P37" s="1522"/>
      <c r="Q37" s="1522"/>
      <c r="R37" s="1522"/>
      <c r="S37" s="1522"/>
      <c r="T37" s="1522"/>
      <c r="U37" s="1522"/>
      <c r="V37" s="1522"/>
      <c r="W37" s="1522"/>
      <c r="X37" s="1522"/>
      <c r="Y37" s="1523"/>
      <c r="Z37" s="1523"/>
      <c r="AA37" s="1523"/>
      <c r="AB37" s="1523"/>
      <c r="AC37" s="1523"/>
      <c r="AD37" s="1524"/>
      <c r="AE37" s="1520">
        <v>3</v>
      </c>
      <c r="AF37" s="1520"/>
      <c r="AG37" s="1520">
        <v>4</v>
      </c>
      <c r="AH37" s="1520"/>
      <c r="AI37" s="1520">
        <v>5</v>
      </c>
      <c r="AJ37" s="1520"/>
      <c r="AK37" s="1520"/>
      <c r="AL37" s="1520"/>
      <c r="AM37" s="1520"/>
      <c r="AN37" s="1520"/>
      <c r="AO37" s="1520"/>
      <c r="AP37" s="1520">
        <v>6</v>
      </c>
      <c r="AQ37" s="1520"/>
      <c r="AR37" s="1520"/>
      <c r="AS37" s="1520"/>
      <c r="AT37" s="1520"/>
      <c r="AU37" s="1520"/>
      <c r="AV37" s="1520"/>
    </row>
    <row r="38" s="1341" customFormat="1" ht="20.25" customHeight="1" spans="1:48">
      <c r="A38" s="1412" t="s">
        <v>3951</v>
      </c>
      <c r="B38" s="1388"/>
      <c r="C38" s="1374" t="str">
        <f>Text!B71</f>
        <v>Ostali prihodi i rashodi (+114+115+116+117+118-119+120-121)</v>
      </c>
      <c r="D38" s="1375"/>
      <c r="E38" s="1375"/>
      <c r="F38" s="1375"/>
      <c r="G38" s="1375"/>
      <c r="H38" s="1375"/>
      <c r="I38" s="1375"/>
      <c r="J38" s="1375"/>
      <c r="K38" s="1375"/>
      <c r="L38" s="1375"/>
      <c r="M38" s="1375"/>
      <c r="N38" s="1375"/>
      <c r="O38" s="1375"/>
      <c r="P38" s="1375"/>
      <c r="Q38" s="1375"/>
      <c r="R38" s="1375"/>
      <c r="S38" s="1375"/>
      <c r="T38" s="1375"/>
      <c r="U38" s="1375"/>
      <c r="V38" s="1375"/>
      <c r="W38" s="1375"/>
      <c r="X38" s="1375"/>
      <c r="Y38" s="1460"/>
      <c r="Z38" s="1461"/>
      <c r="AA38" s="1461"/>
      <c r="AB38" s="1461"/>
      <c r="AC38" s="1461"/>
      <c r="AD38" s="1462"/>
      <c r="AE38" s="1413"/>
      <c r="AF38" s="1414"/>
      <c r="AG38" s="1372" t="s">
        <v>4479</v>
      </c>
      <c r="AH38" s="1404"/>
      <c r="AI38" s="1383">
        <f>SUM(AI39:AO42)+AI43-AI44+AI45-AI46</f>
        <v>-12733</v>
      </c>
      <c r="AJ38" s="1384"/>
      <c r="AK38" s="1385"/>
      <c r="AL38" s="1385"/>
      <c r="AM38" s="1385"/>
      <c r="AN38" s="1385"/>
      <c r="AO38" s="1386"/>
      <c r="AP38" s="1383">
        <f>SUM(AP39:AV42)+AP43-AP44+AP45-AP46</f>
        <v>0</v>
      </c>
      <c r="AQ38" s="1384"/>
      <c r="AR38" s="1385"/>
      <c r="AS38" s="1385"/>
      <c r="AT38" s="1385"/>
      <c r="AU38" s="1385"/>
      <c r="AV38" s="1386"/>
    </row>
    <row r="39" s="1340" customFormat="1" ht="84.75" customHeight="1" spans="1:48">
      <c r="A39" s="1463" t="s">
        <v>3953</v>
      </c>
      <c r="B39" s="1464"/>
      <c r="C39" s="1465" t="str">
        <f>Text!B72</f>
        <v>Dobici i gubici od dugoročne nefinansijske imovine, neto (+) / (-)</v>
      </c>
      <c r="D39" s="1466"/>
      <c r="E39" s="1466"/>
      <c r="F39" s="1466"/>
      <c r="G39" s="1466"/>
      <c r="H39" s="1466"/>
      <c r="I39" s="1466"/>
      <c r="J39" s="1466"/>
      <c r="K39" s="1466"/>
      <c r="L39" s="1466"/>
      <c r="M39" s="1466"/>
      <c r="N39" s="1466"/>
      <c r="O39" s="1466"/>
      <c r="P39" s="1466"/>
      <c r="Q39" s="1466"/>
      <c r="R39" s="1466"/>
      <c r="S39" s="1466"/>
      <c r="T39" s="1466"/>
      <c r="U39" s="1466"/>
      <c r="V39" s="1466"/>
      <c r="W39" s="1466"/>
      <c r="X39" s="1466"/>
      <c r="Y39" s="1467" t="s">
        <v>7518</v>
      </c>
      <c r="Z39" s="1468"/>
      <c r="AA39" s="1468"/>
      <c r="AB39" s="1468"/>
      <c r="AC39" s="1468"/>
      <c r="AD39" s="1469"/>
      <c r="AE39" s="1470"/>
      <c r="AF39" s="1471"/>
      <c r="AG39" s="1472" t="s">
        <v>4480</v>
      </c>
      <c r="AH39" s="1473"/>
      <c r="AI39" s="1474">
        <f>ROUND((UnosPod!F156+UnosPod!F174+UnosPod!F175+UnosPod!F176+UnosPod!F179+UnosPod!F194+UnosPod!F197+UnosPod!F198+UnosPod!F199+UnosPod!F211+UnosPod!F214+UnosPod!F215)-(UnosPod!F314+UnosPod!F315+UnosPod!F316+UnosPod!F319+UnosPod!F338+UnosPod!F341+UnosPod!F342+UnosPod!F343+UnosPod!F355+UnosPod!F358+UnosPod!F359),0)</f>
        <v>0</v>
      </c>
      <c r="AJ39" s="1475"/>
      <c r="AK39" s="1476"/>
      <c r="AL39" s="1476"/>
      <c r="AM39" s="1476"/>
      <c r="AN39" s="1476"/>
      <c r="AO39" s="1477"/>
      <c r="AP39" s="1489">
        <f>Prethodna_2024!D235</f>
        <v>0</v>
      </c>
      <c r="AQ39" s="1490"/>
      <c r="AR39" s="1491"/>
      <c r="AS39" s="1491"/>
      <c r="AT39" s="1491"/>
      <c r="AU39" s="1491"/>
      <c r="AV39" s="1492"/>
    </row>
    <row r="40" s="1340" customFormat="1" ht="53.25" customHeight="1" spans="1:48">
      <c r="A40" s="1478" t="s">
        <v>3891</v>
      </c>
      <c r="B40" s="1479"/>
      <c r="C40" s="1480" t="str">
        <f>Text!B73</f>
        <v>Dobici i gubici od finansijske imovine i ulaganja, neto (+) / (-)</v>
      </c>
      <c r="D40" s="1481"/>
      <c r="E40" s="1481"/>
      <c r="F40" s="1481"/>
      <c r="G40" s="1481"/>
      <c r="H40" s="1481"/>
      <c r="I40" s="1481"/>
      <c r="J40" s="1481"/>
      <c r="K40" s="1481"/>
      <c r="L40" s="1481"/>
      <c r="M40" s="1481"/>
      <c r="N40" s="1481"/>
      <c r="O40" s="1481"/>
      <c r="P40" s="1481"/>
      <c r="Q40" s="1481"/>
      <c r="R40" s="1481"/>
      <c r="S40" s="1481"/>
      <c r="T40" s="1481"/>
      <c r="U40" s="1481"/>
      <c r="V40" s="1481"/>
      <c r="W40" s="1481"/>
      <c r="X40" s="1481"/>
      <c r="Y40" s="1482" t="s">
        <v>7519</v>
      </c>
      <c r="Z40" s="1483"/>
      <c r="AA40" s="1483"/>
      <c r="AB40" s="1483"/>
      <c r="AC40" s="1483"/>
      <c r="AD40" s="1484"/>
      <c r="AE40" s="1485"/>
      <c r="AF40" s="1486"/>
      <c r="AG40" s="1487" t="s">
        <v>4481</v>
      </c>
      <c r="AH40" s="1488"/>
      <c r="AI40" s="1489">
        <f>ROUND((UnosPod!F163+UnosPod!F180+UnosPod!F181+UnosPod!F182+UnosPod!F190+UnosPod!F205+UnosPod!F210+UnosPod!F216)-(UnosPod!F326+UnosPod!F329+UnosPod!F330+UnosPod!F334+UnosPod!F349+UnosPod!F354+UnosPod!F360),0)</f>
        <v>0</v>
      </c>
      <c r="AJ40" s="1490"/>
      <c r="AK40" s="1491"/>
      <c r="AL40" s="1491"/>
      <c r="AM40" s="1491"/>
      <c r="AN40" s="1491"/>
      <c r="AO40" s="1492"/>
      <c r="AP40" s="1489">
        <f>Prethodna_2024!D236</f>
        <v>0</v>
      </c>
      <c r="AQ40" s="1490"/>
      <c r="AR40" s="1491"/>
      <c r="AS40" s="1491"/>
      <c r="AT40" s="1491"/>
      <c r="AU40" s="1491"/>
      <c r="AV40" s="1492"/>
    </row>
    <row r="41" s="1340" customFormat="1" ht="25.5" customHeight="1" spans="1:48">
      <c r="A41" s="1478" t="s">
        <v>3902</v>
      </c>
      <c r="B41" s="1479"/>
      <c r="C41" s="1480" t="str">
        <f>Text!B74</f>
        <v>Dobici i gubici od usklađenja vrijednosti zaliha, neto (+/-)</v>
      </c>
      <c r="D41" s="1481"/>
      <c r="E41" s="1481"/>
      <c r="F41" s="1481"/>
      <c r="G41" s="1481"/>
      <c r="H41" s="1481"/>
      <c r="I41" s="1481"/>
      <c r="J41" s="1481"/>
      <c r="K41" s="1481"/>
      <c r="L41" s="1481"/>
      <c r="M41" s="1481"/>
      <c r="N41" s="1481"/>
      <c r="O41" s="1481"/>
      <c r="P41" s="1481"/>
      <c r="Q41" s="1481"/>
      <c r="R41" s="1481"/>
      <c r="S41" s="1481"/>
      <c r="T41" s="1481"/>
      <c r="U41" s="1481"/>
      <c r="V41" s="1481"/>
      <c r="W41" s="1481"/>
      <c r="X41" s="1481"/>
      <c r="Y41" s="1482" t="s">
        <v>7520</v>
      </c>
      <c r="Z41" s="1483"/>
      <c r="AA41" s="1483"/>
      <c r="AB41" s="1483"/>
      <c r="AC41" s="1483"/>
      <c r="AD41" s="1484"/>
      <c r="AE41" s="1485"/>
      <c r="AF41" s="1486"/>
      <c r="AG41" s="1487" t="s">
        <v>4482</v>
      </c>
      <c r="AH41" s="1488"/>
      <c r="AI41" s="1489">
        <f>ROUND((UnosPod!F188+UnosPod!F206)-(UnosPod!F328+UnosPod!F420+UnosPod!F350),0)</f>
        <v>0</v>
      </c>
      <c r="AJ41" s="1490"/>
      <c r="AK41" s="1491"/>
      <c r="AL41" s="1491"/>
      <c r="AM41" s="1491"/>
      <c r="AN41" s="1491"/>
      <c r="AO41" s="1492"/>
      <c r="AP41" s="1489">
        <f>Prethodna_2024!D237</f>
        <v>0</v>
      </c>
      <c r="AQ41" s="1490"/>
      <c r="AR41" s="1491"/>
      <c r="AS41" s="1491"/>
      <c r="AT41" s="1491"/>
      <c r="AU41" s="1491"/>
      <c r="AV41" s="1492"/>
    </row>
    <row r="42" s="1340" customFormat="1" ht="34.5" customHeight="1" spans="1:48">
      <c r="A42" s="1478" t="s">
        <v>3905</v>
      </c>
      <c r="B42" s="1479"/>
      <c r="C42" s="1480" t="str">
        <f>Text!B75</f>
        <v>Promjena rezervisanja, neto (+/-)</v>
      </c>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2" t="s">
        <v>7521</v>
      </c>
      <c r="Z42" s="1483"/>
      <c r="AA42" s="1483"/>
      <c r="AB42" s="1483"/>
      <c r="AC42" s="1483"/>
      <c r="AD42" s="1484"/>
      <c r="AE42" s="1485"/>
      <c r="AF42" s="1486"/>
      <c r="AG42" s="1487" t="s">
        <v>4483</v>
      </c>
      <c r="AH42" s="1488"/>
      <c r="AI42" s="1489">
        <f>ROUND(UnosPod!F191-(UnosPod!F289+UnosPod!F290+UnosPod!F291+UnosPod!F292+UnosPod!F293+UnosPod!F294+UnosPod!F295),0)</f>
        <v>0</v>
      </c>
      <c r="AJ42" s="1490"/>
      <c r="AK42" s="1491"/>
      <c r="AL42" s="1491"/>
      <c r="AM42" s="1491"/>
      <c r="AN42" s="1491"/>
      <c r="AO42" s="1492"/>
      <c r="AP42" s="1489">
        <f>Prethodna_2024!D238</f>
        <v>0</v>
      </c>
      <c r="AQ42" s="1490"/>
      <c r="AR42" s="1491"/>
      <c r="AS42" s="1491"/>
      <c r="AT42" s="1491"/>
      <c r="AU42" s="1491"/>
      <c r="AV42" s="1492"/>
    </row>
    <row r="43" s="1340" customFormat="1" ht="20.25" customHeight="1" spans="1:48">
      <c r="A43" s="1478" t="s">
        <v>3915</v>
      </c>
      <c r="B43" s="1479"/>
      <c r="C43" s="1480" t="str">
        <f>Text!B76</f>
        <v>Finansijski prihodi </v>
      </c>
      <c r="D43" s="1481"/>
      <c r="E43" s="1481"/>
      <c r="F43" s="1481"/>
      <c r="G43" s="1481"/>
      <c r="H43" s="1481"/>
      <c r="I43" s="1481"/>
      <c r="J43" s="1481"/>
      <c r="K43" s="1481"/>
      <c r="L43" s="1481"/>
      <c r="M43" s="1481"/>
      <c r="N43" s="1481"/>
      <c r="O43" s="1481"/>
      <c r="P43" s="1481"/>
      <c r="Q43" s="1481"/>
      <c r="R43" s="1481"/>
      <c r="S43" s="1481"/>
      <c r="T43" s="1481"/>
      <c r="U43" s="1481"/>
      <c r="V43" s="1481"/>
      <c r="W43" s="1481"/>
      <c r="X43" s="1481"/>
      <c r="Y43" s="1482">
        <v>66</v>
      </c>
      <c r="Z43" s="1483"/>
      <c r="AA43" s="1483"/>
      <c r="AB43" s="1483"/>
      <c r="AC43" s="1483"/>
      <c r="AD43" s="1484"/>
      <c r="AE43" s="1485"/>
      <c r="AF43" s="1486"/>
      <c r="AG43" s="1487" t="s">
        <v>4484</v>
      </c>
      <c r="AH43" s="1488"/>
      <c r="AI43" s="1489">
        <f>ROUND(UnosPod!F171,0)</f>
        <v>1319</v>
      </c>
      <c r="AJ43" s="1490"/>
      <c r="AK43" s="1491"/>
      <c r="AL43" s="1491"/>
      <c r="AM43" s="1491"/>
      <c r="AN43" s="1491"/>
      <c r="AO43" s="1492"/>
      <c r="AP43" s="1489">
        <f>Prethodna_2024!D239</f>
        <v>0</v>
      </c>
      <c r="AQ43" s="1490"/>
      <c r="AR43" s="1491"/>
      <c r="AS43" s="1491"/>
      <c r="AT43" s="1491"/>
      <c r="AU43" s="1491"/>
      <c r="AV43" s="1492"/>
    </row>
    <row r="44" s="1340" customFormat="1" ht="20.25" customHeight="1" spans="1:48">
      <c r="A44" s="1478" t="s">
        <v>3918</v>
      </c>
      <c r="B44" s="1479"/>
      <c r="C44" s="1480" t="str">
        <f>Text!B77</f>
        <v>Finansijski rashodi </v>
      </c>
      <c r="D44" s="1481"/>
      <c r="E44" s="1481"/>
      <c r="F44" s="1481"/>
      <c r="G44" s="1481"/>
      <c r="H44" s="1481"/>
      <c r="I44" s="1481"/>
      <c r="J44" s="1481"/>
      <c r="K44" s="1481"/>
      <c r="L44" s="1481"/>
      <c r="M44" s="1481"/>
      <c r="N44" s="1481"/>
      <c r="O44" s="1481"/>
      <c r="P44" s="1481"/>
      <c r="Q44" s="1481"/>
      <c r="R44" s="1481"/>
      <c r="S44" s="1481"/>
      <c r="T44" s="1481"/>
      <c r="U44" s="1481"/>
      <c r="V44" s="1481"/>
      <c r="W44" s="1481"/>
      <c r="X44" s="1481"/>
      <c r="Y44" s="1482">
        <v>56</v>
      </c>
      <c r="Z44" s="1483"/>
      <c r="AA44" s="1483"/>
      <c r="AB44" s="1483"/>
      <c r="AC44" s="1483"/>
      <c r="AD44" s="1484"/>
      <c r="AE44" s="1485"/>
      <c r="AF44" s="1486"/>
      <c r="AG44" s="1487" t="s">
        <v>4485</v>
      </c>
      <c r="AH44" s="1488"/>
      <c r="AI44" s="1489">
        <f>ROUND(UnosPod!F311,0)</f>
        <v>0</v>
      </c>
      <c r="AJ44" s="1490"/>
      <c r="AK44" s="1491"/>
      <c r="AL44" s="1491"/>
      <c r="AM44" s="1491"/>
      <c r="AN44" s="1491"/>
      <c r="AO44" s="1492"/>
      <c r="AP44" s="1489">
        <f>Prethodna_2024!D240</f>
        <v>0</v>
      </c>
      <c r="AQ44" s="1490"/>
      <c r="AR44" s="1491"/>
      <c r="AS44" s="1491"/>
      <c r="AT44" s="1491"/>
      <c r="AU44" s="1491"/>
      <c r="AV44" s="1492"/>
    </row>
    <row r="45" s="1340" customFormat="1" ht="63" customHeight="1" spans="1:48">
      <c r="A45" s="1478" t="s">
        <v>3920</v>
      </c>
      <c r="B45" s="1479"/>
      <c r="C45" s="1480" t="str">
        <f>Text!B78</f>
        <v>Ostali prihodi i dobici</v>
      </c>
      <c r="D45" s="1481"/>
      <c r="E45" s="1481"/>
      <c r="F45" s="1481"/>
      <c r="G45" s="1481"/>
      <c r="H45" s="1481"/>
      <c r="I45" s="1481"/>
      <c r="J45" s="1481"/>
      <c r="K45" s="1481"/>
      <c r="L45" s="1481"/>
      <c r="M45" s="1481"/>
      <c r="N45" s="1481"/>
      <c r="O45" s="1481"/>
      <c r="P45" s="1481"/>
      <c r="Q45" s="1481"/>
      <c r="R45" s="1481"/>
      <c r="S45" s="1481"/>
      <c r="T45" s="1481"/>
      <c r="U45" s="1481"/>
      <c r="V45" s="1481"/>
      <c r="W45" s="1481"/>
      <c r="X45" s="1481"/>
      <c r="Y45" s="1482" t="s">
        <v>7522</v>
      </c>
      <c r="Z45" s="1483"/>
      <c r="AA45" s="1483"/>
      <c r="AB45" s="1483"/>
      <c r="AC45" s="1483"/>
      <c r="AD45" s="1484"/>
      <c r="AE45" s="1485"/>
      <c r="AF45" s="1486"/>
      <c r="AG45" s="1487" t="s">
        <v>4486</v>
      </c>
      <c r="AH45" s="1488"/>
      <c r="AI45" s="1489">
        <f>ROUND(UnosPod!F165-UnosPod!F163+UnosPod!F187+UnosPod!F189+UnosPod!F219+UnosPod!F220++UnosPod!F183+UnosPod!F184+UnosPod!F185,0)</f>
        <v>746</v>
      </c>
      <c r="AJ45" s="1490"/>
      <c r="AK45" s="1491"/>
      <c r="AL45" s="1491"/>
      <c r="AM45" s="1491"/>
      <c r="AN45" s="1491"/>
      <c r="AO45" s="1492"/>
      <c r="AP45" s="1489">
        <f>Prethodna_2024!D241</f>
        <v>0</v>
      </c>
      <c r="AQ45" s="1490"/>
      <c r="AR45" s="1491"/>
      <c r="AS45" s="1491"/>
      <c r="AT45" s="1491"/>
      <c r="AU45" s="1491"/>
      <c r="AV45" s="1492"/>
    </row>
    <row r="46" s="1340" customFormat="1" ht="21" customHeight="1" spans="1:48">
      <c r="A46" s="1505" t="s">
        <v>3923</v>
      </c>
      <c r="B46" s="1506"/>
      <c r="C46" s="1507" t="str">
        <f>Text!B79</f>
        <v>Ostali rashodi i gubici</v>
      </c>
      <c r="D46" s="1508"/>
      <c r="E46" s="1508"/>
      <c r="F46" s="1508"/>
      <c r="G46" s="1508"/>
      <c r="H46" s="1508"/>
      <c r="I46" s="1508"/>
      <c r="J46" s="1508"/>
      <c r="K46" s="1508"/>
      <c r="L46" s="1508"/>
      <c r="M46" s="1508"/>
      <c r="N46" s="1508"/>
      <c r="O46" s="1508"/>
      <c r="P46" s="1508"/>
      <c r="Q46" s="1508"/>
      <c r="R46" s="1508"/>
      <c r="S46" s="1508"/>
      <c r="T46" s="1508"/>
      <c r="U46" s="1508"/>
      <c r="V46" s="1508"/>
      <c r="W46" s="1508"/>
      <c r="X46" s="1508"/>
      <c r="Y46" s="1509" t="s">
        <v>7523</v>
      </c>
      <c r="Z46" s="1510"/>
      <c r="AA46" s="1510"/>
      <c r="AB46" s="1510"/>
      <c r="AC46" s="1510"/>
      <c r="AD46" s="1511"/>
      <c r="AE46" s="1512"/>
      <c r="AF46" s="1513"/>
      <c r="AG46" s="1514" t="s">
        <v>4487</v>
      </c>
      <c r="AH46" s="1515"/>
      <c r="AI46" s="1516">
        <f>ROUND(UnosPod!F335+UnosPod!F363+UnosPod!F364+UnosPod!F331+UnosPod!F327,0)</f>
        <v>14798</v>
      </c>
      <c r="AJ46" s="1517"/>
      <c r="AK46" s="1518"/>
      <c r="AL46" s="1518"/>
      <c r="AM46" s="1518"/>
      <c r="AN46" s="1518"/>
      <c r="AO46" s="1519"/>
      <c r="AP46" s="1489">
        <f>Prethodna_2024!D242</f>
        <v>0</v>
      </c>
      <c r="AQ46" s="1490"/>
      <c r="AR46" s="1491"/>
      <c r="AS46" s="1491"/>
      <c r="AT46" s="1491"/>
      <c r="AU46" s="1491"/>
      <c r="AV46" s="1492"/>
    </row>
    <row r="47" s="1341" customFormat="1" ht="20.25" customHeight="1" spans="1:48">
      <c r="A47" s="1525" t="s">
        <v>3983</v>
      </c>
      <c r="B47" s="1526"/>
      <c r="C47" s="1527" t="str">
        <f>Text!B80</f>
        <v>Dobit prije oporezivanja (101-105+113)</v>
      </c>
      <c r="D47" s="1528"/>
      <c r="E47" s="1528"/>
      <c r="F47" s="1528"/>
      <c r="G47" s="1528"/>
      <c r="H47" s="1528"/>
      <c r="I47" s="1528"/>
      <c r="J47" s="1528"/>
      <c r="K47" s="1528"/>
      <c r="L47" s="1528"/>
      <c r="M47" s="1528"/>
      <c r="N47" s="1528"/>
      <c r="O47" s="1528"/>
      <c r="P47" s="1528"/>
      <c r="Q47" s="1528"/>
      <c r="R47" s="1528"/>
      <c r="S47" s="1528"/>
      <c r="T47" s="1528"/>
      <c r="U47" s="1528"/>
      <c r="V47" s="1528"/>
      <c r="W47" s="1528"/>
      <c r="X47" s="1528"/>
      <c r="Y47" s="1529"/>
      <c r="Z47" s="1530"/>
      <c r="AA47" s="1530"/>
      <c r="AB47" s="1530"/>
      <c r="AC47" s="1530"/>
      <c r="AD47" s="1531"/>
      <c r="AE47" s="1532"/>
      <c r="AF47" s="1533"/>
      <c r="AG47" s="1534" t="s">
        <v>4488</v>
      </c>
      <c r="AH47" s="1535"/>
      <c r="AI47" s="1536">
        <f>IF(AI22-AI26+AI38&lt;0,0,AI22-AI26+AI38)</f>
        <v>0</v>
      </c>
      <c r="AJ47" s="1537"/>
      <c r="AK47" s="1538"/>
      <c r="AL47" s="1538"/>
      <c r="AM47" s="1538"/>
      <c r="AN47" s="1538"/>
      <c r="AO47" s="1539"/>
      <c r="AP47" s="1536">
        <f>IF(AP22-AP26+AP38&lt;0,0,AP22-AP26+AP38)</f>
        <v>0</v>
      </c>
      <c r="AQ47" s="1537"/>
      <c r="AR47" s="1538"/>
      <c r="AS47" s="1538"/>
      <c r="AT47" s="1538"/>
      <c r="AU47" s="1538"/>
      <c r="AV47" s="1539"/>
    </row>
    <row r="48" s="1341" customFormat="1" ht="20.25" customHeight="1" spans="1:48">
      <c r="A48" s="1540" t="s">
        <v>3985</v>
      </c>
      <c r="B48" s="1541"/>
      <c r="C48" s="1542" t="str">
        <f>Text!B81</f>
        <v>Gubitak prije oporezivanja (101-105+113)</v>
      </c>
      <c r="D48" s="1543"/>
      <c r="E48" s="1543"/>
      <c r="F48" s="1543"/>
      <c r="G48" s="1543"/>
      <c r="H48" s="1543"/>
      <c r="I48" s="1543"/>
      <c r="J48" s="1543"/>
      <c r="K48" s="1543"/>
      <c r="L48" s="1543"/>
      <c r="M48" s="1543"/>
      <c r="N48" s="1543"/>
      <c r="O48" s="1543"/>
      <c r="P48" s="1543"/>
      <c r="Q48" s="1543"/>
      <c r="R48" s="1543"/>
      <c r="S48" s="1543"/>
      <c r="T48" s="1543"/>
      <c r="U48" s="1543"/>
      <c r="V48" s="1543"/>
      <c r="W48" s="1543"/>
      <c r="X48" s="1543"/>
      <c r="Y48" s="1544"/>
      <c r="Z48" s="1545"/>
      <c r="AA48" s="1545"/>
      <c r="AB48" s="1545"/>
      <c r="AC48" s="1545"/>
      <c r="AD48" s="1546"/>
      <c r="AE48" s="1547"/>
      <c r="AF48" s="1548"/>
      <c r="AG48" s="1549" t="s">
        <v>4489</v>
      </c>
      <c r="AH48" s="1550"/>
      <c r="AI48" s="1551">
        <f>IF(AI22-AI26+AI38&lt;0,(AI22-AI26+AI38)*-1,0)</f>
        <v>59197</v>
      </c>
      <c r="AJ48" s="1552"/>
      <c r="AK48" s="1553"/>
      <c r="AL48" s="1553"/>
      <c r="AM48" s="1553"/>
      <c r="AN48" s="1553"/>
      <c r="AO48" s="1554"/>
      <c r="AP48" s="1551">
        <f>IF(AP22-AP26+AP38&lt;0,(AP22-AP26+AP38)*-1,0)</f>
        <v>0</v>
      </c>
      <c r="AQ48" s="1552"/>
      <c r="AR48" s="1553"/>
      <c r="AS48" s="1553"/>
      <c r="AT48" s="1553"/>
      <c r="AU48" s="1553"/>
      <c r="AV48" s="1554"/>
    </row>
    <row r="49" s="1341" customFormat="1" ht="20.25" customHeight="1" spans="1:48">
      <c r="A49" s="1555" t="s">
        <v>3987</v>
      </c>
      <c r="B49" s="1556"/>
      <c r="C49" s="1557" t="str">
        <f>Text!B82</f>
        <v>Porez na dobit (125+126)</v>
      </c>
      <c r="D49" s="1558"/>
      <c r="E49" s="1558"/>
      <c r="F49" s="1558"/>
      <c r="G49" s="1558"/>
      <c r="H49" s="1558"/>
      <c r="I49" s="1558"/>
      <c r="J49" s="1558"/>
      <c r="K49" s="1558"/>
      <c r="L49" s="1558"/>
      <c r="M49" s="1558"/>
      <c r="N49" s="1558"/>
      <c r="O49" s="1558"/>
      <c r="P49" s="1558"/>
      <c r="Q49" s="1558"/>
      <c r="R49" s="1558"/>
      <c r="S49" s="1558"/>
      <c r="T49" s="1558"/>
      <c r="U49" s="1558"/>
      <c r="V49" s="1558"/>
      <c r="W49" s="1558"/>
      <c r="X49" s="1558"/>
      <c r="Y49" s="1467"/>
      <c r="Z49" s="1468"/>
      <c r="AA49" s="1468"/>
      <c r="AB49" s="1468"/>
      <c r="AC49" s="1468"/>
      <c r="AD49" s="1469"/>
      <c r="AE49" s="1559"/>
      <c r="AF49" s="1560"/>
      <c r="AG49" s="1472" t="s">
        <v>513</v>
      </c>
      <c r="AH49" s="1473"/>
      <c r="AI49" s="1561">
        <f>SUM(AI50:AO51)</f>
        <v>0</v>
      </c>
      <c r="AJ49" s="1562"/>
      <c r="AK49" s="1563"/>
      <c r="AL49" s="1563"/>
      <c r="AM49" s="1563"/>
      <c r="AN49" s="1563"/>
      <c r="AO49" s="1564"/>
      <c r="AP49" s="1561">
        <f>SUM(AP50:AV51)</f>
        <v>0</v>
      </c>
      <c r="AQ49" s="1562"/>
      <c r="AR49" s="1563"/>
      <c r="AS49" s="1563"/>
      <c r="AT49" s="1563"/>
      <c r="AU49" s="1563"/>
      <c r="AV49" s="1564"/>
    </row>
    <row r="50" s="1340" customFormat="1" ht="20.25" customHeight="1" spans="1:48">
      <c r="A50" s="1478" t="s">
        <v>3953</v>
      </c>
      <c r="B50" s="1479"/>
      <c r="C50" s="1480" t="str">
        <f>Text!B83</f>
        <v>Tekući porez na dobit</v>
      </c>
      <c r="D50" s="1481"/>
      <c r="E50" s="1481"/>
      <c r="F50" s="1481"/>
      <c r="G50" s="1481"/>
      <c r="H50" s="1481"/>
      <c r="I50" s="1481"/>
      <c r="J50" s="1481"/>
      <c r="K50" s="1481"/>
      <c r="L50" s="1481"/>
      <c r="M50" s="1481"/>
      <c r="N50" s="1481"/>
      <c r="O50" s="1481"/>
      <c r="P50" s="1481"/>
      <c r="Q50" s="1481"/>
      <c r="R50" s="1481"/>
      <c r="S50" s="1481"/>
      <c r="T50" s="1481"/>
      <c r="U50" s="1481"/>
      <c r="V50" s="1481"/>
      <c r="W50" s="1481"/>
      <c r="X50" s="1481"/>
      <c r="Y50" s="1482"/>
      <c r="Z50" s="1483"/>
      <c r="AA50" s="1483"/>
      <c r="AB50" s="1483"/>
      <c r="AC50" s="1483"/>
      <c r="AD50" s="1484"/>
      <c r="AE50" s="1485"/>
      <c r="AF50" s="1486"/>
      <c r="AG50" s="1487" t="s">
        <v>4490</v>
      </c>
      <c r="AH50" s="1488"/>
      <c r="AI50" s="1489">
        <f>ROUND(PorBilans!AE122-AI59,0)</f>
        <v>0</v>
      </c>
      <c r="AJ50" s="1490"/>
      <c r="AK50" s="1491"/>
      <c r="AL50" s="1491"/>
      <c r="AM50" s="1491"/>
      <c r="AN50" s="1491"/>
      <c r="AO50" s="1492"/>
      <c r="AP50" s="1489">
        <f>Prethodna_2024!D246</f>
        <v>0</v>
      </c>
      <c r="AQ50" s="1490"/>
      <c r="AR50" s="1491"/>
      <c r="AS50" s="1491"/>
      <c r="AT50" s="1491"/>
      <c r="AU50" s="1491"/>
      <c r="AV50" s="1492"/>
    </row>
    <row r="51" s="1340" customFormat="1" ht="20.25" customHeight="1" spans="1:48">
      <c r="A51" s="1369" t="s">
        <v>3891</v>
      </c>
      <c r="B51" s="1368"/>
      <c r="C51" s="1493" t="str">
        <f>Text!B84</f>
        <v>Odgođeni porez na dobit</v>
      </c>
      <c r="D51" s="1494"/>
      <c r="E51" s="1494"/>
      <c r="F51" s="1494"/>
      <c r="G51" s="1494"/>
      <c r="H51" s="1494"/>
      <c r="I51" s="1494"/>
      <c r="J51" s="1494"/>
      <c r="K51" s="1494"/>
      <c r="L51" s="1494"/>
      <c r="M51" s="1494"/>
      <c r="N51" s="1494"/>
      <c r="O51" s="1494"/>
      <c r="P51" s="1494"/>
      <c r="Q51" s="1494"/>
      <c r="R51" s="1494"/>
      <c r="S51" s="1494"/>
      <c r="T51" s="1494"/>
      <c r="U51" s="1494"/>
      <c r="V51" s="1494"/>
      <c r="W51" s="1494"/>
      <c r="X51" s="1494"/>
      <c r="Y51" s="1495" t="s">
        <v>7524</v>
      </c>
      <c r="Z51" s="1496"/>
      <c r="AA51" s="1496"/>
      <c r="AB51" s="1496"/>
      <c r="AC51" s="1496"/>
      <c r="AD51" s="1497"/>
      <c r="AE51" s="1498"/>
      <c r="AF51" s="1499"/>
      <c r="AG51" s="1500" t="s">
        <v>4491</v>
      </c>
      <c r="AH51" s="1371"/>
      <c r="AI51" s="1501">
        <f>ROUND(UnosPod!F393,0)</f>
        <v>0</v>
      </c>
      <c r="AJ51" s="1502"/>
      <c r="AK51" s="1503"/>
      <c r="AL51" s="1503"/>
      <c r="AM51" s="1503"/>
      <c r="AN51" s="1503"/>
      <c r="AO51" s="1504"/>
      <c r="AP51" s="1489">
        <f>Prethodna_2024!D247</f>
        <v>0</v>
      </c>
      <c r="AQ51" s="1490"/>
      <c r="AR51" s="1491"/>
      <c r="AS51" s="1491"/>
      <c r="AT51" s="1491"/>
      <c r="AU51" s="1491"/>
      <c r="AV51" s="1492"/>
    </row>
    <row r="52" s="1341" customFormat="1" ht="20.25" customHeight="1" spans="1:48">
      <c r="A52" s="1565" t="s">
        <v>4040</v>
      </c>
      <c r="B52" s="1566"/>
      <c r="C52" s="1567" t="str">
        <f>Text!B85</f>
        <v>Dobit (122+124)</v>
      </c>
      <c r="D52" s="1568"/>
      <c r="E52" s="1568"/>
      <c r="F52" s="1568"/>
      <c r="G52" s="1568"/>
      <c r="H52" s="1568"/>
      <c r="I52" s="1568"/>
      <c r="J52" s="1568"/>
      <c r="K52" s="1568"/>
      <c r="L52" s="1568"/>
      <c r="M52" s="1568"/>
      <c r="N52" s="1568"/>
      <c r="O52" s="1568"/>
      <c r="P52" s="1568"/>
      <c r="Q52" s="1568"/>
      <c r="R52" s="1568"/>
      <c r="S52" s="1568"/>
      <c r="T52" s="1568"/>
      <c r="U52" s="1568"/>
      <c r="V52" s="1568"/>
      <c r="W52" s="1568"/>
      <c r="X52" s="1568"/>
      <c r="Y52" s="1569"/>
      <c r="Z52" s="1570"/>
      <c r="AA52" s="1570"/>
      <c r="AB52" s="1570"/>
      <c r="AC52" s="1570"/>
      <c r="AD52" s="1571"/>
      <c r="AE52" s="1572"/>
      <c r="AF52" s="1573"/>
      <c r="AG52" s="1574" t="s">
        <v>4492</v>
      </c>
      <c r="AH52" s="1575"/>
      <c r="AI52" s="1576">
        <f>IF(AI47-AI48-AI49&lt;0,0,AI47-AI48-AI49)</f>
        <v>0</v>
      </c>
      <c r="AJ52" s="1577"/>
      <c r="AK52" s="1578"/>
      <c r="AL52" s="1578"/>
      <c r="AM52" s="1578"/>
      <c r="AN52" s="1578"/>
      <c r="AO52" s="1579"/>
      <c r="AP52" s="1576">
        <f>IF(AP47-AP48-AP49&lt;0,0,AP47-AP48-AP49)</f>
        <v>0</v>
      </c>
      <c r="AQ52" s="1577"/>
      <c r="AR52" s="1578"/>
      <c r="AS52" s="1578"/>
      <c r="AT52" s="1578"/>
      <c r="AU52" s="1578"/>
      <c r="AV52" s="1579"/>
    </row>
    <row r="53" s="1341" customFormat="1" ht="20.25" customHeight="1" spans="1:48">
      <c r="A53" s="1580" t="s">
        <v>4041</v>
      </c>
      <c r="B53" s="1581"/>
      <c r="C53" s="1582" t="str">
        <f>Text!B86</f>
        <v>Gubitak (123+124)</v>
      </c>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09"/>
      <c r="Z53" s="1510"/>
      <c r="AA53" s="1510"/>
      <c r="AB53" s="1510"/>
      <c r="AC53" s="1510"/>
      <c r="AD53" s="1511"/>
      <c r="AE53" s="1584"/>
      <c r="AF53" s="1585"/>
      <c r="AG53" s="1514" t="s">
        <v>579</v>
      </c>
      <c r="AH53" s="1515"/>
      <c r="AI53" s="1586">
        <f>IF(AI47-AI48-AI49&lt;0,(AI47-AI48-AI49)*-1,0)</f>
        <v>59197</v>
      </c>
      <c r="AJ53" s="1587"/>
      <c r="AK53" s="1588"/>
      <c r="AL53" s="1588"/>
      <c r="AM53" s="1588"/>
      <c r="AN53" s="1588"/>
      <c r="AO53" s="1589"/>
      <c r="AP53" s="1586">
        <f>IF(AP47-AP48-AP49&lt;0,(AP47-AP48-AP49)*-1,0)</f>
        <v>0</v>
      </c>
      <c r="AQ53" s="1587"/>
      <c r="AR53" s="1588"/>
      <c r="AS53" s="1588"/>
      <c r="AT53" s="1588"/>
      <c r="AU53" s="1588"/>
      <c r="AV53" s="1589"/>
    </row>
    <row r="54" s="1341" customFormat="1" ht="20.25" customHeight="1" spans="1:48">
      <c r="A54" s="1590"/>
      <c r="B54" s="1591"/>
      <c r="C54" s="1592" t="str">
        <f>Text!B87</f>
        <v>IZVJEŠTAJ O OSTALOM UKUPNOM REZULTATU</v>
      </c>
      <c r="D54" s="1593"/>
      <c r="E54" s="1593"/>
      <c r="F54" s="1593"/>
      <c r="G54" s="1593"/>
      <c r="H54" s="1593"/>
      <c r="I54" s="1593"/>
      <c r="J54" s="1593"/>
      <c r="K54" s="1593"/>
      <c r="L54" s="1593"/>
      <c r="M54" s="1593"/>
      <c r="N54" s="1593"/>
      <c r="O54" s="1593"/>
      <c r="P54" s="1593"/>
      <c r="Q54" s="1593"/>
      <c r="R54" s="1593"/>
      <c r="S54" s="1593"/>
      <c r="T54" s="1593"/>
      <c r="U54" s="1593"/>
      <c r="V54" s="1593"/>
      <c r="W54" s="1593"/>
      <c r="X54" s="1593"/>
      <c r="Y54" s="1594"/>
      <c r="Z54" s="1595"/>
      <c r="AA54" s="1595"/>
      <c r="AB54" s="1595"/>
      <c r="AC54" s="1595"/>
      <c r="AD54" s="1596"/>
      <c r="AE54" s="1597"/>
      <c r="AF54" s="1598"/>
      <c r="AG54" s="1599"/>
      <c r="AH54" s="1600"/>
      <c r="AI54" s="1601"/>
      <c r="AJ54" s="1602"/>
      <c r="AK54" s="1603"/>
      <c r="AL54" s="1603"/>
      <c r="AM54" s="1603"/>
      <c r="AN54" s="1603"/>
      <c r="AO54" s="1604"/>
      <c r="AP54" s="1601"/>
      <c r="AQ54" s="1602"/>
      <c r="AR54" s="1603"/>
      <c r="AS54" s="1603"/>
      <c r="AT54" s="1603"/>
      <c r="AU54" s="1603"/>
      <c r="AV54" s="1604"/>
    </row>
    <row r="55" s="1341" customFormat="1" ht="20.25" customHeight="1" spans="1:48">
      <c r="A55" s="1555" t="s">
        <v>4146</v>
      </c>
      <c r="B55" s="1556"/>
      <c r="C55" s="1465" t="str">
        <f>Text!B88</f>
        <v>Ostali ukupni rezultat (+130+131+132-133)</v>
      </c>
      <c r="D55" s="1466"/>
      <c r="E55" s="1466"/>
      <c r="F55" s="1466"/>
      <c r="G55" s="1466"/>
      <c r="H55" s="1466"/>
      <c r="I55" s="1466"/>
      <c r="J55" s="1466"/>
      <c r="K55" s="1466"/>
      <c r="L55" s="1466"/>
      <c r="M55" s="1466"/>
      <c r="N55" s="1466"/>
      <c r="O55" s="1466"/>
      <c r="P55" s="1466"/>
      <c r="Q55" s="1466"/>
      <c r="R55" s="1466"/>
      <c r="S55" s="1466"/>
      <c r="T55" s="1466"/>
      <c r="U55" s="1466"/>
      <c r="V55" s="1466"/>
      <c r="W55" s="1466"/>
      <c r="X55" s="1466"/>
      <c r="Y55" s="1467"/>
      <c r="Z55" s="1468"/>
      <c r="AA55" s="1468"/>
      <c r="AB55" s="1468"/>
      <c r="AC55" s="1468"/>
      <c r="AD55" s="1469"/>
      <c r="AE55" s="1559"/>
      <c r="AF55" s="1560"/>
      <c r="AG55" s="1472" t="s">
        <v>4493</v>
      </c>
      <c r="AH55" s="1473"/>
      <c r="AI55" s="1561">
        <f>SUM(AI56:AO58)-AI59</f>
        <v>0</v>
      </c>
      <c r="AJ55" s="1562"/>
      <c r="AK55" s="1563"/>
      <c r="AL55" s="1563"/>
      <c r="AM55" s="1563"/>
      <c r="AN55" s="1563"/>
      <c r="AO55" s="1564"/>
      <c r="AP55" s="1561">
        <f>SUM(AP56:AV58)-AP59</f>
        <v>0</v>
      </c>
      <c r="AQ55" s="1562"/>
      <c r="AR55" s="1563"/>
      <c r="AS55" s="1563"/>
      <c r="AT55" s="1563"/>
      <c r="AU55" s="1563"/>
      <c r="AV55" s="1564"/>
    </row>
    <row r="56" s="1340" customFormat="1" ht="20.25" customHeight="1" spans="1:48">
      <c r="A56" s="1478" t="s">
        <v>3953</v>
      </c>
      <c r="B56" s="1479"/>
      <c r="C56" s="1480" t="str">
        <f>Text!B89</f>
        <v>Revalorizacija zemljišta i građevina</v>
      </c>
      <c r="D56" s="1481"/>
      <c r="E56" s="1481"/>
      <c r="F56" s="1481"/>
      <c r="G56" s="1481"/>
      <c r="H56" s="1481"/>
      <c r="I56" s="1481"/>
      <c r="J56" s="1481"/>
      <c r="K56" s="1481"/>
      <c r="L56" s="1481"/>
      <c r="M56" s="1481"/>
      <c r="N56" s="1481"/>
      <c r="O56" s="1481"/>
      <c r="P56" s="1481"/>
      <c r="Q56" s="1481"/>
      <c r="R56" s="1481"/>
      <c r="S56" s="1481"/>
      <c r="T56" s="1481"/>
      <c r="U56" s="1481"/>
      <c r="V56" s="1481"/>
      <c r="W56" s="1481"/>
      <c r="X56" s="1481"/>
      <c r="Y56" s="1482">
        <v>330</v>
      </c>
      <c r="Z56" s="1483"/>
      <c r="AA56" s="1483"/>
      <c r="AB56" s="1483"/>
      <c r="AC56" s="1483"/>
      <c r="AD56" s="1484"/>
      <c r="AE56" s="1485"/>
      <c r="AF56" s="1486"/>
      <c r="AG56" s="1487" t="s">
        <v>4494</v>
      </c>
      <c r="AH56" s="1488"/>
      <c r="AI56" s="1489">
        <f>ROUND(UnosPod!F402,0)</f>
        <v>0</v>
      </c>
      <c r="AJ56" s="1490"/>
      <c r="AK56" s="1491"/>
      <c r="AL56" s="1491"/>
      <c r="AM56" s="1491"/>
      <c r="AN56" s="1491"/>
      <c r="AO56" s="1492"/>
      <c r="AP56" s="1489">
        <f>Prethodna_2024!D251</f>
        <v>0</v>
      </c>
      <c r="AQ56" s="1490"/>
      <c r="AR56" s="1491"/>
      <c r="AS56" s="1491"/>
      <c r="AT56" s="1491"/>
      <c r="AU56" s="1491"/>
      <c r="AV56" s="1492"/>
    </row>
    <row r="57" s="1340" customFormat="1" ht="20.25" customHeight="1" spans="1:48">
      <c r="A57" s="1478" t="s">
        <v>3891</v>
      </c>
      <c r="B57" s="1479"/>
      <c r="C57" s="1480" t="str">
        <f>Text!B90</f>
        <v>Povećanje/(smanjenje) fer vrijednosti finansijske imovine</v>
      </c>
      <c r="D57" s="1481"/>
      <c r="E57" s="1481"/>
      <c r="F57" s="1481"/>
      <c r="G57" s="1481"/>
      <c r="H57" s="1481"/>
      <c r="I57" s="1481"/>
      <c r="J57" s="1481"/>
      <c r="K57" s="1481"/>
      <c r="L57" s="1481"/>
      <c r="M57" s="1481"/>
      <c r="N57" s="1481"/>
      <c r="O57" s="1481"/>
      <c r="P57" s="1481"/>
      <c r="Q57" s="1481"/>
      <c r="R57" s="1481"/>
      <c r="S57" s="1481"/>
      <c r="T57" s="1481"/>
      <c r="U57" s="1481"/>
      <c r="V57" s="1481"/>
      <c r="W57" s="1481"/>
      <c r="X57" s="1481"/>
      <c r="Y57" s="1482">
        <v>332</v>
      </c>
      <c r="Z57" s="1483"/>
      <c r="AA57" s="1483"/>
      <c r="AB57" s="1483"/>
      <c r="AC57" s="1483"/>
      <c r="AD57" s="1484"/>
      <c r="AE57" s="1485"/>
      <c r="AF57" s="1486"/>
      <c r="AG57" s="1487" t="s">
        <v>4495</v>
      </c>
      <c r="AH57" s="1488"/>
      <c r="AI57" s="1489">
        <f>ROUND(UnosPod!F397+UnosPod!F403,0)</f>
        <v>0</v>
      </c>
      <c r="AJ57" s="1490"/>
      <c r="AK57" s="1491"/>
      <c r="AL57" s="1491"/>
      <c r="AM57" s="1491"/>
      <c r="AN57" s="1491"/>
      <c r="AO57" s="1492"/>
      <c r="AP57" s="1489">
        <f>Prethodna_2024!D252</f>
        <v>0</v>
      </c>
      <c r="AQ57" s="1490"/>
      <c r="AR57" s="1491"/>
      <c r="AS57" s="1491"/>
      <c r="AT57" s="1491"/>
      <c r="AU57" s="1491"/>
      <c r="AV57" s="1492"/>
    </row>
    <row r="58" s="1340" customFormat="1" ht="20.25" customHeight="1" spans="1:48">
      <c r="A58" s="1478" t="s">
        <v>3902</v>
      </c>
      <c r="B58" s="1479"/>
      <c r="C58" s="1480" t="str">
        <f>Text!B91</f>
        <v>Ostalo</v>
      </c>
      <c r="D58" s="1481"/>
      <c r="E58" s="1481"/>
      <c r="F58" s="1481"/>
      <c r="G58" s="1481"/>
      <c r="H58" s="1481"/>
      <c r="I58" s="1481"/>
      <c r="J58" s="1481"/>
      <c r="K58" s="1481"/>
      <c r="L58" s="1481"/>
      <c r="M58" s="1481"/>
      <c r="N58" s="1481"/>
      <c r="O58" s="1481"/>
      <c r="P58" s="1481"/>
      <c r="Q58" s="1481"/>
      <c r="R58" s="1481"/>
      <c r="S58" s="1481"/>
      <c r="T58" s="1481"/>
      <c r="U58" s="1481"/>
      <c r="V58" s="1481"/>
      <c r="W58" s="1481"/>
      <c r="X58" s="1481"/>
      <c r="Y58" s="1482">
        <v>339</v>
      </c>
      <c r="Z58" s="1483"/>
      <c r="AA58" s="1483"/>
      <c r="AB58" s="1483"/>
      <c r="AC58" s="1483"/>
      <c r="AD58" s="1484"/>
      <c r="AE58" s="1485"/>
      <c r="AF58" s="1486"/>
      <c r="AG58" s="1487" t="s">
        <v>475</v>
      </c>
      <c r="AH58" s="1488"/>
      <c r="AI58" s="1489">
        <f>ROUND(UnosPod!F409-B_Uspjeha_M!AI56-B_Uspjeha_M!AI57,0)</f>
        <v>0</v>
      </c>
      <c r="AJ58" s="1490"/>
      <c r="AK58" s="1491"/>
      <c r="AL58" s="1491"/>
      <c r="AM58" s="1491"/>
      <c r="AN58" s="1491"/>
      <c r="AO58" s="1492"/>
      <c r="AP58" s="1489">
        <f>Prethodna_2024!D253</f>
        <v>0</v>
      </c>
      <c r="AQ58" s="1490"/>
      <c r="AR58" s="1491"/>
      <c r="AS58" s="1491"/>
      <c r="AT58" s="1491"/>
      <c r="AU58" s="1491"/>
      <c r="AV58" s="1492"/>
    </row>
    <row r="59" s="1340" customFormat="1" ht="20.25" customHeight="1" spans="1:48">
      <c r="A59" s="1369" t="s">
        <v>3905</v>
      </c>
      <c r="B59" s="1368"/>
      <c r="C59" s="1493" t="str">
        <f>Text!B92</f>
        <v>Porez na dobit koji se odnosi na ove stavke</v>
      </c>
      <c r="D59" s="1494"/>
      <c r="E59" s="1494"/>
      <c r="F59" s="1494"/>
      <c r="G59" s="1494"/>
      <c r="H59" s="1494"/>
      <c r="I59" s="1494"/>
      <c r="J59" s="1494"/>
      <c r="K59" s="1494"/>
      <c r="L59" s="1494"/>
      <c r="M59" s="1494"/>
      <c r="N59" s="1494"/>
      <c r="O59" s="1494"/>
      <c r="P59" s="1494"/>
      <c r="Q59" s="1494"/>
      <c r="R59" s="1494"/>
      <c r="S59" s="1494"/>
      <c r="T59" s="1494"/>
      <c r="U59" s="1494"/>
      <c r="V59" s="1494"/>
      <c r="W59" s="1494"/>
      <c r="X59" s="1494"/>
      <c r="Y59" s="1495"/>
      <c r="Z59" s="1496"/>
      <c r="AA59" s="1496"/>
      <c r="AB59" s="1496"/>
      <c r="AC59" s="1496"/>
      <c r="AD59" s="1497"/>
      <c r="AE59" s="1498"/>
      <c r="AF59" s="1499"/>
      <c r="AG59" s="1500" t="s">
        <v>4496</v>
      </c>
      <c r="AH59" s="1371"/>
      <c r="AI59" s="1501">
        <f>ROUND(IF(PorBilans!AE122&lt;1,0,IF(SUM(AI56:AO58)&lt;0,0,SUM(AI56:AO58)*(UnosPorBilans!Y18/100))),0)</f>
        <v>0</v>
      </c>
      <c r="AJ59" s="1502"/>
      <c r="AK59" s="1503"/>
      <c r="AL59" s="1503"/>
      <c r="AM59" s="1503"/>
      <c r="AN59" s="1503"/>
      <c r="AO59" s="1504"/>
      <c r="AP59" s="1605">
        <f>Prethodna_2024!D254</f>
        <v>0</v>
      </c>
      <c r="AQ59" s="1606"/>
      <c r="AR59" s="1607"/>
      <c r="AS59" s="1607"/>
      <c r="AT59" s="1607"/>
      <c r="AU59" s="1607"/>
      <c r="AV59" s="1608"/>
    </row>
    <row r="60" s="1341" customFormat="1" ht="20.25" customHeight="1" spans="1:48">
      <c r="A60" s="1609" t="s">
        <v>4153</v>
      </c>
      <c r="B60" s="1610"/>
      <c r="C60" s="1611" t="str">
        <f>Text!B93</f>
        <v>UKUPNI REZULTAT (127 ili 128 + 129)</v>
      </c>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3"/>
      <c r="Z60" s="1614"/>
      <c r="AA60" s="1614"/>
      <c r="AB60" s="1614"/>
      <c r="AC60" s="1614"/>
      <c r="AD60" s="1615"/>
      <c r="AE60" s="1616"/>
      <c r="AF60" s="1617"/>
      <c r="AG60" s="1618" t="s">
        <v>410</v>
      </c>
      <c r="AH60" s="1619"/>
      <c r="AI60" s="1620">
        <f>AI52-AI53+AI55</f>
        <v>-59197</v>
      </c>
      <c r="AJ60" s="1621"/>
      <c r="AK60" s="1622"/>
      <c r="AL60" s="1622"/>
      <c r="AM60" s="1622"/>
      <c r="AN60" s="1622"/>
      <c r="AO60" s="1623"/>
      <c r="AP60" s="1620">
        <f>AP52-AP53+AP55</f>
        <v>0</v>
      </c>
      <c r="AQ60" s="1621"/>
      <c r="AR60" s="1622"/>
      <c r="AS60" s="1622"/>
      <c r="AT60" s="1622"/>
      <c r="AU60" s="1622"/>
      <c r="AV60" s="1623"/>
    </row>
    <row r="61" s="1341" customFormat="1" ht="18" customHeight="1"/>
    <row r="62" s="1340" customFormat="1" ht="14.25" customHeight="1" spans="1:48">
      <c r="A62" s="1440" t="str">
        <f>Text!B43</f>
        <v>U</v>
      </c>
      <c r="B62" s="1440"/>
      <c r="C62" s="1340" t="str">
        <f>Sjedište</f>
        <v>Sarajevo-Stari Grad</v>
      </c>
      <c r="AM62" s="1244" t="str">
        <f>Text!B44</f>
        <v>Direktor</v>
      </c>
      <c r="AN62" s="1244"/>
      <c r="AO62" s="1244"/>
      <c r="AP62" s="1244"/>
      <c r="AQ62" s="1244"/>
      <c r="AR62" s="1244"/>
      <c r="AS62" s="1244"/>
      <c r="AT62" s="1244"/>
      <c r="AU62" s="1244"/>
      <c r="AV62" s="1244"/>
    </row>
    <row r="63" s="1340" customFormat="1" ht="14.25" customHeight="1" spans="1:48">
      <c r="A63" s="1440" t="str">
        <f>Text!B40</f>
        <v>Dana</v>
      </c>
      <c r="B63" s="1440"/>
      <c r="C63" s="1441" t="str">
        <f>UnosPod!AA22&amp;UnosPod!AB22&amp;"."&amp;UnosPod!AC22&amp;UnosPod!AD22&amp;"."&amp;UnosPod!AE22&amp;UnosPod!AF22&amp;UnosPod!AG22&amp;UnosPod!AH22&amp;"."&amp;Text!B31</f>
        <v>28.02.2026.godine</v>
      </c>
      <c r="D63" s="1441"/>
      <c r="E63" s="1441"/>
      <c r="F63" s="1441"/>
      <c r="G63" s="1441"/>
      <c r="O63" s="1440" t="str">
        <f>Text!B41</f>
        <v>Certificirani računovođa : </v>
      </c>
      <c r="P63" s="1442" t="str">
        <f>Racunovoda</f>
        <v>Elvira Žilić</v>
      </c>
      <c r="AI63" s="1340" t="s">
        <v>7039</v>
      </c>
      <c r="AN63" s="1443"/>
      <c r="AO63" s="1443"/>
      <c r="AP63" s="1443"/>
      <c r="AQ63" s="1443"/>
      <c r="AR63" s="1443"/>
      <c r="AS63" s="1443"/>
      <c r="AT63" s="1443"/>
      <c r="AU63" s="1443"/>
      <c r="AV63" s="1443"/>
    </row>
    <row r="64" s="1340" customFormat="1" ht="14.25" customHeight="1" spans="1:48">
      <c r="O64" s="1440" t="str">
        <f>Text!B42</f>
        <v>Broj dozvole : </v>
      </c>
      <c r="P64" s="1444" t="str">
        <f>UnosPod!AA3</f>
        <v>CR-8559/5</v>
      </c>
      <c r="Q64" s="1445"/>
      <c r="R64" s="1445"/>
      <c r="S64" s="1445"/>
      <c r="T64" s="1445"/>
      <c r="U64" s="1445"/>
      <c r="V64" s="1445"/>
      <c r="W64" s="1445"/>
      <c r="X64" s="1445"/>
      <c r="AM64" s="1446" t="str">
        <f>Direktor</f>
        <v>Nedim Vilogorac</v>
      </c>
      <c r="AN64" s="1446"/>
      <c r="AO64" s="1446"/>
      <c r="AP64" s="1446"/>
      <c r="AQ64" s="1446"/>
      <c r="AR64" s="1446"/>
      <c r="AS64" s="1446"/>
      <c r="AT64" s="1446"/>
      <c r="AU64" s="1446"/>
      <c r="AV64" s="1446"/>
    </row>
    <row r="65" s="1340" customFormat="1" ht="14.25" customHeight="1"/>
    <row r="66" s="1224" customFormat="1" spans="1:1">
      <c r="A66" s="1245"/>
    </row>
  </sheetData>
  <mergeCells count="291">
    <mergeCell ref="AL1:AV1"/>
    <mergeCell ref="AM2:AV2"/>
    <mergeCell ref="AL3:AV3"/>
    <mergeCell ref="AM4:AV4"/>
    <mergeCell ref="AM6:AV6"/>
    <mergeCell ref="AM8:AV8"/>
    <mergeCell ref="AM10:AV10"/>
    <mergeCell ref="A14:AV14"/>
    <mergeCell ref="A15:AV15"/>
    <mergeCell ref="A16:AV16"/>
    <mergeCell ref="AI18:AO18"/>
    <mergeCell ref="AP18:AV18"/>
    <mergeCell ref="AI19:AO19"/>
    <mergeCell ref="AP19:AV19"/>
    <mergeCell ref="A20:B20"/>
    <mergeCell ref="C20:X20"/>
    <mergeCell ref="Y20:AD20"/>
    <mergeCell ref="AE20:AF20"/>
    <mergeCell ref="AG20:AH20"/>
    <mergeCell ref="AI20:AO20"/>
    <mergeCell ref="AP20:AV20"/>
    <mergeCell ref="A21:B21"/>
    <mergeCell ref="C21:X21"/>
    <mergeCell ref="Y21:AD21"/>
    <mergeCell ref="AE21:AF21"/>
    <mergeCell ref="AG21:AH21"/>
    <mergeCell ref="AI21:AO21"/>
    <mergeCell ref="AP21:AV21"/>
    <mergeCell ref="A22:B22"/>
    <mergeCell ref="C22:X22"/>
    <mergeCell ref="Y22:AD22"/>
    <mergeCell ref="AE22:AF22"/>
    <mergeCell ref="AG22:AH22"/>
    <mergeCell ref="AI22:AO22"/>
    <mergeCell ref="AP22:AV22"/>
    <mergeCell ref="A23:B23"/>
    <mergeCell ref="C23:X23"/>
    <mergeCell ref="Y23:AD23"/>
    <mergeCell ref="AE23:AF23"/>
    <mergeCell ref="AG23:AH23"/>
    <mergeCell ref="AI23:AO23"/>
    <mergeCell ref="AP23:AV23"/>
    <mergeCell ref="A24:B24"/>
    <mergeCell ref="C24:X24"/>
    <mergeCell ref="Y24:AD24"/>
    <mergeCell ref="AE24:AF24"/>
    <mergeCell ref="AG24:AH24"/>
    <mergeCell ref="AI24:AO24"/>
    <mergeCell ref="AP24:AV24"/>
    <mergeCell ref="A25:B25"/>
    <mergeCell ref="C25:X25"/>
    <mergeCell ref="Y25:AD25"/>
    <mergeCell ref="AE25:AF25"/>
    <mergeCell ref="AG25:AH25"/>
    <mergeCell ref="AI25:AO25"/>
    <mergeCell ref="AP25:AV25"/>
    <mergeCell ref="A26:B26"/>
    <mergeCell ref="C26:X26"/>
    <mergeCell ref="Y26:AD26"/>
    <mergeCell ref="AE26:AF26"/>
    <mergeCell ref="AG26:AH26"/>
    <mergeCell ref="AI26:AO26"/>
    <mergeCell ref="AP26:AV26"/>
    <mergeCell ref="A27:B27"/>
    <mergeCell ref="C27:X27"/>
    <mergeCell ref="Y27:AD27"/>
    <mergeCell ref="AE27:AF27"/>
    <mergeCell ref="AG27:AH27"/>
    <mergeCell ref="AI27:AO27"/>
    <mergeCell ref="AP27:AV27"/>
    <mergeCell ref="A28:B28"/>
    <mergeCell ref="C28:X28"/>
    <mergeCell ref="Y28:AD28"/>
    <mergeCell ref="AE28:AF28"/>
    <mergeCell ref="AG28:AH28"/>
    <mergeCell ref="AI28:AO28"/>
    <mergeCell ref="AP28:AV28"/>
    <mergeCell ref="A29:B29"/>
    <mergeCell ref="C29:X29"/>
    <mergeCell ref="Y29:AD29"/>
    <mergeCell ref="AE29:AF29"/>
    <mergeCell ref="AG29:AH29"/>
    <mergeCell ref="AI29:AO29"/>
    <mergeCell ref="AP29:AV29"/>
    <mergeCell ref="A30:B30"/>
    <mergeCell ref="C30:X30"/>
    <mergeCell ref="Y30:AD30"/>
    <mergeCell ref="AE30:AF30"/>
    <mergeCell ref="AG30:AH30"/>
    <mergeCell ref="AI30:AO30"/>
    <mergeCell ref="AP30:AV30"/>
    <mergeCell ref="A31:B31"/>
    <mergeCell ref="C31:X31"/>
    <mergeCell ref="Y31:AD31"/>
    <mergeCell ref="AE31:AF31"/>
    <mergeCell ref="AG31:AH31"/>
    <mergeCell ref="AI31:AO31"/>
    <mergeCell ref="AP31:AV31"/>
    <mergeCell ref="A32:B32"/>
    <mergeCell ref="C32:X32"/>
    <mergeCell ref="Y32:AD32"/>
    <mergeCell ref="AE32:AF32"/>
    <mergeCell ref="AG32:AH32"/>
    <mergeCell ref="AI32:AO32"/>
    <mergeCell ref="AP32:AV32"/>
    <mergeCell ref="A33:B33"/>
    <mergeCell ref="C33:X33"/>
    <mergeCell ref="Y33:AD33"/>
    <mergeCell ref="AE33:AF33"/>
    <mergeCell ref="AG33:AH33"/>
    <mergeCell ref="AI33:AO33"/>
    <mergeCell ref="AP33:AV33"/>
    <mergeCell ref="A37:B37"/>
    <mergeCell ref="C37:X37"/>
    <mergeCell ref="Y37:AD37"/>
    <mergeCell ref="AE37:AF37"/>
    <mergeCell ref="AG37:AH37"/>
    <mergeCell ref="AI37:AO37"/>
    <mergeCell ref="AP37:AV37"/>
    <mergeCell ref="A38:B38"/>
    <mergeCell ref="C38:X38"/>
    <mergeCell ref="Y38:AD38"/>
    <mergeCell ref="AE38:AF38"/>
    <mergeCell ref="AG38:AH38"/>
    <mergeCell ref="AI38:AO38"/>
    <mergeCell ref="AP38:AV38"/>
    <mergeCell ref="A39:B39"/>
    <mergeCell ref="C39:X39"/>
    <mergeCell ref="Y39:AD39"/>
    <mergeCell ref="AE39:AF39"/>
    <mergeCell ref="AG39:AH39"/>
    <mergeCell ref="AI39:AO39"/>
    <mergeCell ref="AP39:AV39"/>
    <mergeCell ref="A40:B40"/>
    <mergeCell ref="C40:X40"/>
    <mergeCell ref="Y40:AD40"/>
    <mergeCell ref="AE40:AF40"/>
    <mergeCell ref="AG40:AH40"/>
    <mergeCell ref="AI40:AO40"/>
    <mergeCell ref="AP40:AV40"/>
    <mergeCell ref="A41:B41"/>
    <mergeCell ref="C41:X41"/>
    <mergeCell ref="Y41:AD41"/>
    <mergeCell ref="AE41:AF41"/>
    <mergeCell ref="AG41:AH41"/>
    <mergeCell ref="AI41:AO41"/>
    <mergeCell ref="AP41:AV41"/>
    <mergeCell ref="A42:B42"/>
    <mergeCell ref="C42:X42"/>
    <mergeCell ref="Y42:AD42"/>
    <mergeCell ref="AE42:AF42"/>
    <mergeCell ref="AG42:AH42"/>
    <mergeCell ref="AI42:AO42"/>
    <mergeCell ref="AP42:AV42"/>
    <mergeCell ref="A43:B43"/>
    <mergeCell ref="C43:X43"/>
    <mergeCell ref="Y43:AD43"/>
    <mergeCell ref="AE43:AF43"/>
    <mergeCell ref="AG43:AH43"/>
    <mergeCell ref="AI43:AO43"/>
    <mergeCell ref="AP43:AV43"/>
    <mergeCell ref="A44:B44"/>
    <mergeCell ref="C44:X44"/>
    <mergeCell ref="Y44:AD44"/>
    <mergeCell ref="AE44:AF44"/>
    <mergeCell ref="AG44:AH44"/>
    <mergeCell ref="AI44:AO44"/>
    <mergeCell ref="AP44:AV44"/>
    <mergeCell ref="A45:B45"/>
    <mergeCell ref="C45:X45"/>
    <mergeCell ref="Y45:AD45"/>
    <mergeCell ref="AE45:AF45"/>
    <mergeCell ref="AG45:AH45"/>
    <mergeCell ref="AI45:AO45"/>
    <mergeCell ref="AP45:AV45"/>
    <mergeCell ref="A46:B46"/>
    <mergeCell ref="C46:X46"/>
    <mergeCell ref="Y46:AD46"/>
    <mergeCell ref="AE46:AF46"/>
    <mergeCell ref="AG46:AH46"/>
    <mergeCell ref="AI46:AO46"/>
    <mergeCell ref="AP46:AV46"/>
    <mergeCell ref="A47:B47"/>
    <mergeCell ref="C47:X47"/>
    <mergeCell ref="Y47:AD47"/>
    <mergeCell ref="AE47:AF47"/>
    <mergeCell ref="AG47:AH47"/>
    <mergeCell ref="AI47:AO47"/>
    <mergeCell ref="AP47:AV47"/>
    <mergeCell ref="A48:B48"/>
    <mergeCell ref="C48:X48"/>
    <mergeCell ref="Y48:AD48"/>
    <mergeCell ref="AE48:AF48"/>
    <mergeCell ref="AG48:AH48"/>
    <mergeCell ref="AI48:AO48"/>
    <mergeCell ref="AP48:AV48"/>
    <mergeCell ref="A49:B49"/>
    <mergeCell ref="C49:X49"/>
    <mergeCell ref="Y49:AD49"/>
    <mergeCell ref="AE49:AF49"/>
    <mergeCell ref="AG49:AH49"/>
    <mergeCell ref="AI49:AO49"/>
    <mergeCell ref="AP49:AV49"/>
    <mergeCell ref="A50:B50"/>
    <mergeCell ref="C50:X50"/>
    <mergeCell ref="Y50:AD50"/>
    <mergeCell ref="AE50:AF50"/>
    <mergeCell ref="AG50:AH50"/>
    <mergeCell ref="AI50:AO50"/>
    <mergeCell ref="AP50:AV50"/>
    <mergeCell ref="A51:B51"/>
    <mergeCell ref="C51:X51"/>
    <mergeCell ref="Y51:AD51"/>
    <mergeCell ref="AE51:AF51"/>
    <mergeCell ref="AG51:AH51"/>
    <mergeCell ref="AI51:AO51"/>
    <mergeCell ref="AP51:AV51"/>
    <mergeCell ref="A52:B52"/>
    <mergeCell ref="C52:X52"/>
    <mergeCell ref="Y52:AD52"/>
    <mergeCell ref="AE52:AF52"/>
    <mergeCell ref="AG52:AH52"/>
    <mergeCell ref="AI52:AO52"/>
    <mergeCell ref="AP52:AV52"/>
    <mergeCell ref="A53:B53"/>
    <mergeCell ref="C53:X53"/>
    <mergeCell ref="Y53:AD53"/>
    <mergeCell ref="AE53:AF53"/>
    <mergeCell ref="AG53:AH53"/>
    <mergeCell ref="AI53:AO53"/>
    <mergeCell ref="AP53:AV53"/>
    <mergeCell ref="A54:B54"/>
    <mergeCell ref="C54:X54"/>
    <mergeCell ref="Y54:AD54"/>
    <mergeCell ref="AE54:AF54"/>
    <mergeCell ref="AG54:AH54"/>
    <mergeCell ref="AI54:AO54"/>
    <mergeCell ref="AP54:AV54"/>
    <mergeCell ref="A55:B55"/>
    <mergeCell ref="C55:X55"/>
    <mergeCell ref="Y55:AD55"/>
    <mergeCell ref="AE55:AF55"/>
    <mergeCell ref="AG55:AH55"/>
    <mergeCell ref="AI55:AO55"/>
    <mergeCell ref="AP55:AV55"/>
    <mergeCell ref="A56:B56"/>
    <mergeCell ref="C56:X56"/>
    <mergeCell ref="Y56:AD56"/>
    <mergeCell ref="AE56:AF56"/>
    <mergeCell ref="AG56:AH56"/>
    <mergeCell ref="AI56:AO56"/>
    <mergeCell ref="AP56:AV56"/>
    <mergeCell ref="A57:B57"/>
    <mergeCell ref="C57:X57"/>
    <mergeCell ref="Y57:AD57"/>
    <mergeCell ref="AE57:AF57"/>
    <mergeCell ref="AG57:AH57"/>
    <mergeCell ref="AI57:AO57"/>
    <mergeCell ref="AP57:AV57"/>
    <mergeCell ref="A58:B58"/>
    <mergeCell ref="C58:X58"/>
    <mergeCell ref="Y58:AD58"/>
    <mergeCell ref="AE58:AF58"/>
    <mergeCell ref="AG58:AH58"/>
    <mergeCell ref="AI58:AO58"/>
    <mergeCell ref="AP58:AV58"/>
    <mergeCell ref="A59:B59"/>
    <mergeCell ref="C59:X59"/>
    <mergeCell ref="Y59:AD59"/>
    <mergeCell ref="AE59:AF59"/>
    <mergeCell ref="AG59:AH59"/>
    <mergeCell ref="AI59:AO59"/>
    <mergeCell ref="AP59:AV59"/>
    <mergeCell ref="A60:B60"/>
    <mergeCell ref="C60:X60"/>
    <mergeCell ref="Y60:AD60"/>
    <mergeCell ref="AE60:AF60"/>
    <mergeCell ref="AG60:AH60"/>
    <mergeCell ref="AI60:AO60"/>
    <mergeCell ref="AP60:AV60"/>
    <mergeCell ref="A62:B62"/>
    <mergeCell ref="AM62:AV62"/>
    <mergeCell ref="A63:B63"/>
    <mergeCell ref="C63:G63"/>
    <mergeCell ref="AM64:AV64"/>
    <mergeCell ref="C18:X19"/>
    <mergeCell ref="A18:B19"/>
    <mergeCell ref="AE18:AF19"/>
    <mergeCell ref="AG18:AH19"/>
    <mergeCell ref="A8:X9"/>
    <mergeCell ref="Y18:AD19"/>
  </mergeCells>
  <conditionalFormatting sqref="AI22:AV60">
    <cfRule type="cellIs" dxfId="10" priority="1" operator="lessThan">
      <formula>0</formula>
    </cfRule>
  </conditionalFormatting>
  <pageMargins left="0.511811023622047" right="0.708661417322835" top="0.748031496062992" bottom="0.748031496062992" header="0.31496062992126" footer="0.31496062992126"/>
  <pageSetup paperSize="9" scale="68" fitToHeight="0" orientation="landscape"/>
  <headerFooter>
    <oddFooter>&amp;L&amp;"Arial Narrow,Uobičajeno"&amp;9ekonomika.doo@bih.net.ba - 037/511-739&amp;R&amp;"Arial Narrow,Uobičajeno"Strana &amp;P</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82">
    <tabColor theme="5" tint="-0.249977111117893"/>
    <pageSetUpPr fitToPage="1"/>
  </sheetPr>
  <dimension ref="A1:AV79"/>
  <sheetViews>
    <sheetView showGridLines="0" topLeftCell="A61" workbookViewId="0">
      <selection activeCell="AP74" sqref="AP74:AV74"/>
    </sheetView>
  </sheetViews>
  <sheetFormatPr defaultColWidth="3.71428571428571" defaultRowHeight="16.5"/>
  <cols>
    <col min="1" max="1" width="3.71428571428571" style="1245"/>
    <col min="2" max="16384" width="3.71428571428571" style="1224"/>
  </cols>
  <sheetData>
    <row r="1" s="874" customFormat="1" ht="15" customHeight="1" spans="1:48">
      <c r="A1" s="877" t="str">
        <f>Text!B2</f>
        <v>Naziv pravnog lica</v>
      </c>
      <c r="AE1" s="874" t="s">
        <v>4636</v>
      </c>
      <c r="AL1" s="878" t="str">
        <f>Text!B4</f>
        <v>Identifikacioni broj za direktne poreze</v>
      </c>
      <c r="AM1" s="878"/>
      <c r="AN1" s="878"/>
      <c r="AO1" s="878"/>
      <c r="AP1" s="878"/>
      <c r="AQ1" s="878"/>
      <c r="AR1" s="878"/>
      <c r="AS1" s="878"/>
      <c r="AT1" s="878"/>
      <c r="AU1" s="878"/>
      <c r="AV1" s="878"/>
    </row>
    <row r="2" s="875" customFormat="1" ht="18.75" customHeight="1" spans="1:48">
      <c r="A2" s="879" t="str">
        <f>Firma</f>
        <v>LILIUM ASSET MANAGEMENT d.o.o. Sarajevo</v>
      </c>
      <c r="AE2" s="875" t="s">
        <v>4636</v>
      </c>
      <c r="AJ2" s="880"/>
      <c r="AK2" s="880"/>
      <c r="AL2" s="880"/>
      <c r="AM2" s="1231" t="str">
        <f>IdBroj</f>
        <v>4201337670009</v>
      </c>
      <c r="AN2" s="1231"/>
      <c r="AO2" s="1231"/>
      <c r="AP2" s="1231"/>
      <c r="AQ2" s="1231"/>
      <c r="AR2" s="1231"/>
      <c r="AS2" s="1231"/>
      <c r="AT2" s="1231"/>
      <c r="AU2" s="1231"/>
      <c r="AV2" s="1231"/>
    </row>
    <row r="3" s="874" customFormat="1" ht="15" customHeight="1" spans="1:48">
      <c r="A3" s="877" t="str">
        <f>Text!B3</f>
        <v>Sjedište i adresa pravnog lica</v>
      </c>
      <c r="AE3" s="874" t="s">
        <v>4636</v>
      </c>
      <c r="AL3" s="878" t="str">
        <f>Text!B5</f>
        <v>Identifikacioni  broj za indirektne poreze</v>
      </c>
      <c r="AM3" s="878"/>
      <c r="AN3" s="878"/>
      <c r="AO3" s="878"/>
      <c r="AP3" s="878"/>
      <c r="AQ3" s="878"/>
      <c r="AR3" s="878"/>
      <c r="AS3" s="878"/>
      <c r="AT3" s="878"/>
      <c r="AU3" s="878"/>
      <c r="AV3" s="878"/>
    </row>
    <row r="4" s="875" customFormat="1" ht="19.5" customHeight="1" spans="1:48">
      <c r="A4" s="882" t="str">
        <f>Sjedište&amp;", "&amp;Adresa</f>
        <v>Sarajevo-Stari Grad, Dženetića čikma br.8</v>
      </c>
      <c r="AE4" s="875" t="s">
        <v>4636</v>
      </c>
      <c r="AK4" s="880"/>
      <c r="AL4" s="880"/>
      <c r="AM4" s="1231" t="str">
        <f>Pdv_Broj</f>
        <v>201337670009</v>
      </c>
      <c r="AN4" s="1231"/>
      <c r="AO4" s="1231"/>
      <c r="AP4" s="1231"/>
      <c r="AQ4" s="1231"/>
      <c r="AR4" s="1231"/>
      <c r="AS4" s="1231"/>
      <c r="AT4" s="1231"/>
      <c r="AU4" s="1231"/>
      <c r="AV4" s="1231"/>
    </row>
    <row r="5" s="876" customFormat="1" customHeight="1" spans="1:48">
      <c r="A5" s="877" t="str">
        <f>Text!B22&amp;" KD BiH 2010"</f>
        <v>Šifra djelatnosti po KD BiH 2010</v>
      </c>
      <c r="B5" s="877"/>
      <c r="C5" s="877"/>
      <c r="D5" s="877"/>
      <c r="E5" s="877"/>
      <c r="F5" s="877"/>
      <c r="G5" s="877"/>
      <c r="H5" s="877"/>
      <c r="I5" s="877"/>
      <c r="J5" s="877"/>
      <c r="AV5" s="878" t="str">
        <f>Text!B24</f>
        <v>Naziv banke</v>
      </c>
    </row>
    <row r="6" s="875" customFormat="1" customHeight="1" spans="1:48">
      <c r="A6" s="1232" t="str">
        <f>Sif_Djelatn</f>
        <v>66.30</v>
      </c>
      <c r="B6" s="880"/>
      <c r="C6" s="880"/>
      <c r="AM6" s="1231" t="str">
        <f>Banka</f>
        <v>Raiffeisen Bank d.d. BiH</v>
      </c>
      <c r="AN6" s="1231"/>
      <c r="AO6" s="1231"/>
      <c r="AP6" s="1231"/>
      <c r="AQ6" s="1231"/>
      <c r="AR6" s="1231"/>
      <c r="AS6" s="1231"/>
      <c r="AT6" s="1231"/>
      <c r="AU6" s="1231"/>
      <c r="AV6" s="1231"/>
    </row>
    <row r="7" s="876" customFormat="1" customHeight="1" spans="1:48">
      <c r="A7" s="877" t="str">
        <f>Text!B23</f>
        <v>Djelatnost</v>
      </c>
      <c r="AV7" s="878" t="str">
        <f>Text!B25</f>
        <v>Broj računa</v>
      </c>
    </row>
    <row r="8" s="876" customFormat="1" customHeight="1" spans="1:48">
      <c r="A8" s="1234" t="str">
        <f>Djelatnost</f>
        <v>Djelatnosti upravljanja fondovima</v>
      </c>
      <c r="B8" s="1234"/>
      <c r="C8" s="1234"/>
      <c r="D8" s="1234"/>
      <c r="E8" s="1234"/>
      <c r="F8" s="1234"/>
      <c r="G8" s="1234"/>
      <c r="H8" s="1234"/>
      <c r="I8" s="1234"/>
      <c r="J8" s="1234"/>
      <c r="K8" s="1234"/>
      <c r="L8" s="1234"/>
      <c r="M8" s="1234"/>
      <c r="N8" s="1234"/>
      <c r="O8" s="1234"/>
      <c r="P8" s="1234"/>
      <c r="Q8" s="1234"/>
      <c r="R8" s="1234"/>
      <c r="S8" s="1234"/>
      <c r="T8" s="1234"/>
      <c r="U8" s="1234"/>
      <c r="V8" s="1234"/>
      <c r="W8" s="1234"/>
      <c r="X8" s="1234"/>
      <c r="Y8" s="1234"/>
      <c r="Z8" s="1234"/>
      <c r="AA8" s="1234"/>
      <c r="AB8" s="1234"/>
      <c r="AC8" s="1234"/>
      <c r="AD8" s="1234"/>
      <c r="AH8" s="880"/>
      <c r="AI8" s="880"/>
      <c r="AJ8" s="880"/>
      <c r="AK8" s="880"/>
      <c r="AL8" s="880"/>
      <c r="AM8" s="1231" t="str">
        <f>Glavni_racun</f>
        <v>1610000189480005</v>
      </c>
      <c r="AN8" s="1231"/>
      <c r="AO8" s="1231"/>
      <c r="AP8" s="1231"/>
      <c r="AQ8" s="1231"/>
      <c r="AR8" s="1231"/>
      <c r="AS8" s="1231"/>
      <c r="AT8" s="1231"/>
      <c r="AU8" s="1231"/>
      <c r="AV8" s="1231"/>
    </row>
    <row r="9" s="876" customFormat="1" customHeight="1" spans="1:48">
      <c r="A9" s="1234"/>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M9" s="877"/>
      <c r="AN9" s="877"/>
      <c r="AO9" s="877"/>
      <c r="AP9" s="877"/>
      <c r="AQ9" s="877"/>
      <c r="AR9" s="877"/>
      <c r="AS9" s="877"/>
      <c r="AT9" s="877"/>
      <c r="AU9" s="877"/>
      <c r="AV9" s="878" t="str">
        <f>Text!B26</f>
        <v>Šifra općine</v>
      </c>
    </row>
    <row r="10" s="876" customFormat="1" customHeight="1" spans="1:48">
      <c r="A10" s="886"/>
      <c r="AM10" s="881" t="str">
        <f>Sifra_opcine</f>
        <v>109</v>
      </c>
      <c r="AN10" s="881"/>
      <c r="AO10" s="881"/>
      <c r="AP10" s="881"/>
      <c r="AQ10" s="881"/>
      <c r="AR10" s="881"/>
      <c r="AS10" s="881"/>
      <c r="AT10" s="881"/>
      <c r="AU10" s="881"/>
      <c r="AV10" s="881"/>
    </row>
    <row r="11" s="876" customFormat="1" customHeight="1" spans="1:48">
      <c r="A11" s="886"/>
      <c r="B11" s="886"/>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c r="AQ11" s="886"/>
      <c r="AR11" s="886"/>
      <c r="AS11" s="886"/>
      <c r="AT11" s="886"/>
      <c r="AU11" s="886"/>
    </row>
    <row r="12" ht="15" customHeight="1" spans="1:48">
      <c r="A12" s="1342"/>
      <c r="AL12" s="1343"/>
      <c r="AM12" s="1343"/>
      <c r="AN12" s="1343"/>
      <c r="AO12" s="1344"/>
      <c r="AP12" s="1344"/>
      <c r="AQ12" s="1344"/>
      <c r="AR12" s="1344"/>
      <c r="AS12" s="1344"/>
      <c r="AT12" s="1344"/>
      <c r="AU12" s="1344"/>
      <c r="AV12" s="1345" t="str">
        <f>ObavRazv!X30</f>
        <v>Mikro</v>
      </c>
    </row>
    <row r="13" ht="20.25" customHeight="1" spans="1:48">
      <c r="A13" s="1346" t="str">
        <f>Text!B97</f>
        <v>IZVJEŠTAJ O FINANSIJSKOM POLOŽAJU NA KRAJU PERIODA</v>
      </c>
      <c r="B13" s="1346"/>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6"/>
      <c r="AU13" s="1346"/>
      <c r="AV13" s="1346"/>
    </row>
    <row r="14" ht="20.25" customHeight="1" spans="1:48">
      <c r="A14" s="1347" t="str">
        <f>Text!B98</f>
        <v>(BILANS STANJA)</v>
      </c>
      <c r="B14" s="1347"/>
      <c r="C14" s="1347"/>
      <c r="D14" s="1347"/>
      <c r="E14" s="1347"/>
      <c r="F14" s="1347"/>
      <c r="G14" s="1347"/>
      <c r="H14" s="1347"/>
      <c r="I14" s="1347"/>
      <c r="J14" s="1347"/>
      <c r="K14" s="1347"/>
      <c r="L14" s="1347"/>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7"/>
      <c r="AL14" s="1347"/>
      <c r="AM14" s="1347"/>
      <c r="AN14" s="1347"/>
      <c r="AO14" s="1347"/>
      <c r="AP14" s="1347"/>
      <c r="AQ14" s="1347"/>
      <c r="AR14" s="1347"/>
      <c r="AS14" s="1347"/>
      <c r="AT14" s="1347"/>
      <c r="AU14" s="1347"/>
      <c r="AV14" s="1347"/>
    </row>
    <row r="15" ht="17.25" customHeight="1" spans="1:48">
      <c r="A15" s="1348" t="str">
        <f ca="1">Text!B99</f>
        <v>na dan 31.12.2025.godine</v>
      </c>
      <c r="B15" s="1348"/>
      <c r="C15" s="1348"/>
      <c r="D15" s="1348"/>
      <c r="E15" s="1348"/>
      <c r="F15" s="1348"/>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c r="AT15" s="1348"/>
      <c r="AU15" s="1348"/>
      <c r="AV15" s="1348"/>
    </row>
    <row r="16" ht="12.75" customHeight="1" spans="1:48">
      <c r="AT16" s="1226"/>
      <c r="AV16" s="1349" t="s">
        <v>7516</v>
      </c>
    </row>
    <row r="17" s="1340" customFormat="1" ht="18" customHeight="1" spans="1:48">
      <c r="A17" s="1350" t="str">
        <f>Text!B27</f>
        <v>Redni broj</v>
      </c>
      <c r="B17" s="1351"/>
      <c r="C17" s="1352" t="str">
        <f>Text!B28</f>
        <v>P O Z I C I J A</v>
      </c>
      <c r="D17" s="1352"/>
      <c r="E17" s="1352"/>
      <c r="F17" s="1352"/>
      <c r="G17" s="1352"/>
      <c r="H17" s="1352"/>
      <c r="I17" s="1352"/>
      <c r="J17" s="1352"/>
      <c r="K17" s="1352"/>
      <c r="L17" s="1352"/>
      <c r="M17" s="1352"/>
      <c r="N17" s="1352"/>
      <c r="O17" s="1352"/>
      <c r="P17" s="1352"/>
      <c r="Q17" s="1352"/>
      <c r="R17" s="1352"/>
      <c r="S17" s="1352"/>
      <c r="T17" s="1352"/>
      <c r="U17" s="1352"/>
      <c r="V17" s="1352"/>
      <c r="W17" s="1352"/>
      <c r="X17" s="1352"/>
      <c r="Y17" s="1353" t="str">
        <f>Text!B29</f>
        <v>Konto</v>
      </c>
      <c r="Z17" s="1354"/>
      <c r="AA17" s="1354"/>
      <c r="AB17" s="1354"/>
      <c r="AC17" s="1354"/>
      <c r="AD17" s="1351"/>
      <c r="AE17" s="1355" t="str">
        <f>Text!B30</f>
        <v>Bilješka</v>
      </c>
      <c r="AF17" s="1356"/>
      <c r="AG17" s="1350" t="s">
        <v>2438</v>
      </c>
      <c r="AH17" s="1351"/>
      <c r="AI17" s="1357" t="str">
        <f>Text!B35</f>
        <v>Iznos tekuće godine</v>
      </c>
      <c r="AJ17" s="1357"/>
      <c r="AK17" s="1357"/>
      <c r="AL17" s="1357"/>
      <c r="AM17" s="1357"/>
      <c r="AN17" s="1357"/>
      <c r="AO17" s="1357"/>
      <c r="AP17" s="1358" t="str">
        <f>Text!B36</f>
        <v>Iznos prethodne godine</v>
      </c>
      <c r="AQ17" s="1358"/>
      <c r="AR17" s="1358"/>
      <c r="AS17" s="1358"/>
      <c r="AT17" s="1358"/>
      <c r="AU17" s="1358"/>
      <c r="AV17" s="1358"/>
    </row>
    <row r="18" s="1340" customFormat="1" ht="18" customHeight="1" spans="1:48">
      <c r="A18" s="1359"/>
      <c r="B18" s="1360"/>
      <c r="C18" s="1361"/>
      <c r="D18" s="1361"/>
      <c r="E18" s="1361"/>
      <c r="F18" s="1361"/>
      <c r="G18" s="1361"/>
      <c r="H18" s="1361"/>
      <c r="I18" s="1361"/>
      <c r="J18" s="1361"/>
      <c r="K18" s="1361"/>
      <c r="L18" s="1361"/>
      <c r="M18" s="1361"/>
      <c r="N18" s="1361"/>
      <c r="O18" s="1361"/>
      <c r="P18" s="1361"/>
      <c r="Q18" s="1361"/>
      <c r="R18" s="1361"/>
      <c r="S18" s="1361"/>
      <c r="T18" s="1361"/>
      <c r="U18" s="1361"/>
      <c r="V18" s="1361"/>
      <c r="W18" s="1361"/>
      <c r="X18" s="1361"/>
      <c r="Y18" s="1362"/>
      <c r="Z18" s="1363"/>
      <c r="AA18" s="1363"/>
      <c r="AB18" s="1363"/>
      <c r="AC18" s="1363"/>
      <c r="AD18" s="1360"/>
      <c r="AE18" s="1364"/>
      <c r="AF18" s="1365"/>
      <c r="AG18" s="1359"/>
      <c r="AH18" s="1360"/>
      <c r="AI18" s="1366"/>
      <c r="AJ18" s="1366"/>
      <c r="AK18" s="1366"/>
      <c r="AL18" s="1366"/>
      <c r="AM18" s="1366"/>
      <c r="AN18" s="1366"/>
      <c r="AO18" s="1366"/>
      <c r="AP18" s="1366" t="str">
        <f>Text!B37</f>
        <v>(početno stanje)</v>
      </c>
      <c r="AQ18" s="1366"/>
      <c r="AR18" s="1366"/>
      <c r="AS18" s="1366"/>
      <c r="AT18" s="1366"/>
      <c r="AU18" s="1366"/>
      <c r="AV18" s="1366"/>
    </row>
    <row r="19" s="1340" customFormat="1" ht="17.25" customHeight="1" spans="1:48">
      <c r="A19" s="1367">
        <v>1</v>
      </c>
      <c r="B19" s="1367"/>
      <c r="C19" s="1368">
        <v>2</v>
      </c>
      <c r="D19" s="1367"/>
      <c r="E19" s="1367"/>
      <c r="F19" s="1367"/>
      <c r="G19" s="1367"/>
      <c r="H19" s="1367"/>
      <c r="I19" s="1367"/>
      <c r="J19" s="1367"/>
      <c r="K19" s="1367"/>
      <c r="L19" s="1367"/>
      <c r="M19" s="1367"/>
      <c r="N19" s="1367"/>
      <c r="O19" s="1367"/>
      <c r="P19" s="1367"/>
      <c r="Q19" s="1367"/>
      <c r="R19" s="1367"/>
      <c r="S19" s="1367"/>
      <c r="T19" s="1367"/>
      <c r="U19" s="1367"/>
      <c r="V19" s="1367"/>
      <c r="W19" s="1367"/>
      <c r="X19" s="1369"/>
      <c r="Y19" s="1370"/>
      <c r="Z19" s="1370"/>
      <c r="AA19" s="1370"/>
      <c r="AB19" s="1370"/>
      <c r="AC19" s="1370"/>
      <c r="AD19" s="1371"/>
      <c r="AE19" s="1367">
        <v>3</v>
      </c>
      <c r="AF19" s="1367"/>
      <c r="AG19" s="1367">
        <v>4</v>
      </c>
      <c r="AH19" s="1367"/>
      <c r="AI19" s="1367">
        <v>5</v>
      </c>
      <c r="AJ19" s="1367"/>
      <c r="AK19" s="1367"/>
      <c r="AL19" s="1367"/>
      <c r="AM19" s="1367"/>
      <c r="AN19" s="1367"/>
      <c r="AO19" s="1367"/>
      <c r="AP19" s="1367">
        <v>6</v>
      </c>
      <c r="AQ19" s="1367"/>
      <c r="AR19" s="1367"/>
      <c r="AS19" s="1367"/>
      <c r="AT19" s="1367"/>
      <c r="AU19" s="1367"/>
      <c r="AV19" s="1367"/>
    </row>
    <row r="20" s="1340" customFormat="1" ht="17.25" customHeight="1" spans="1:48">
      <c r="A20" s="1372"/>
      <c r="B20" s="1373"/>
      <c r="C20" s="1374" t="str">
        <f>Text!B100</f>
        <v>IMOVINA</v>
      </c>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6"/>
      <c r="Z20" s="1377"/>
      <c r="AA20" s="1377"/>
      <c r="AB20" s="1377"/>
      <c r="AC20" s="1377"/>
      <c r="AD20" s="1378"/>
      <c r="AE20" s="1379"/>
      <c r="AF20" s="1380"/>
      <c r="AG20" s="1381"/>
      <c r="AH20" s="1382"/>
      <c r="AI20" s="1383"/>
      <c r="AJ20" s="1384"/>
      <c r="AK20" s="1385"/>
      <c r="AL20" s="1385"/>
      <c r="AM20" s="1385"/>
      <c r="AN20" s="1385"/>
      <c r="AO20" s="1386"/>
      <c r="AP20" s="1383"/>
      <c r="AQ20" s="1384"/>
      <c r="AR20" s="1385"/>
      <c r="AS20" s="1385"/>
      <c r="AT20" s="1385"/>
      <c r="AU20" s="1385"/>
      <c r="AV20" s="1386"/>
    </row>
    <row r="21" s="1341" customFormat="1" ht="17.25" customHeight="1" spans="1:48">
      <c r="A21" s="1387" t="s">
        <v>3872</v>
      </c>
      <c r="B21" s="1388"/>
      <c r="C21" s="1374" t="str">
        <f>Text!B101</f>
        <v>Dugoročna imovina (002 do 008)</v>
      </c>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389"/>
      <c r="Z21" s="1390"/>
      <c r="AA21" s="1390"/>
      <c r="AB21" s="1390"/>
      <c r="AC21" s="1390"/>
      <c r="AD21" s="1391"/>
      <c r="AE21" s="1392"/>
      <c r="AF21" s="1392"/>
      <c r="AG21" s="1387" t="s">
        <v>384</v>
      </c>
      <c r="AH21" s="1393"/>
      <c r="AI21" s="1394">
        <f>SUM(AI22:AO28)</f>
        <v>22107</v>
      </c>
      <c r="AJ21" s="1395"/>
      <c r="AK21" s="1396"/>
      <c r="AL21" s="1396"/>
      <c r="AM21" s="1396"/>
      <c r="AN21" s="1396"/>
      <c r="AO21" s="1397"/>
      <c r="AP21" s="1398">
        <f>SUM(AP22:AV28)</f>
        <v>0</v>
      </c>
      <c r="AQ21" s="1399"/>
      <c r="AR21" s="1399"/>
      <c r="AS21" s="1399"/>
      <c r="AT21" s="1399"/>
      <c r="AU21" s="1399"/>
      <c r="AV21" s="1400"/>
    </row>
    <row r="22" s="1340" customFormat="1" ht="17.25" customHeight="1" spans="1:48">
      <c r="A22" s="1401" t="s">
        <v>3953</v>
      </c>
      <c r="B22" s="1373"/>
      <c r="C22" s="1402" t="str">
        <f>Text!B102</f>
        <v>Nekretnine, postrojenja i oprema </v>
      </c>
      <c r="D22" s="1403"/>
      <c r="E22" s="1403"/>
      <c r="F22" s="1403"/>
      <c r="G22" s="1403"/>
      <c r="H22" s="1403"/>
      <c r="I22" s="1403"/>
      <c r="J22" s="1403"/>
      <c r="K22" s="1403"/>
      <c r="L22" s="1403"/>
      <c r="M22" s="1403"/>
      <c r="N22" s="1403"/>
      <c r="O22" s="1403"/>
      <c r="P22" s="1403"/>
      <c r="Q22" s="1403"/>
      <c r="R22" s="1403"/>
      <c r="S22" s="1403"/>
      <c r="T22" s="1403"/>
      <c r="U22" s="1403"/>
      <c r="V22" s="1403"/>
      <c r="W22" s="1403"/>
      <c r="X22" s="1403"/>
      <c r="Y22" s="1389" t="s">
        <v>5275</v>
      </c>
      <c r="Z22" s="1390"/>
      <c r="AA22" s="1390"/>
      <c r="AB22" s="1390"/>
      <c r="AC22" s="1390"/>
      <c r="AD22" s="1391"/>
      <c r="AE22" s="1379"/>
      <c r="AF22" s="1380"/>
      <c r="AG22" s="1372" t="s">
        <v>3874</v>
      </c>
      <c r="AH22" s="1404"/>
      <c r="AI22" s="1405">
        <f>ROUND(UnosPod!F615-UnosPod!M615,0)</f>
        <v>22107</v>
      </c>
      <c r="AJ22" s="1406"/>
      <c r="AK22" s="1407"/>
      <c r="AL22" s="1407"/>
      <c r="AM22" s="1407"/>
      <c r="AN22" s="1407"/>
      <c r="AO22" s="1408"/>
      <c r="AP22" s="1409">
        <f>Prethodna_2024!D160</f>
        <v>0</v>
      </c>
      <c r="AQ22" s="1410"/>
      <c r="AR22" s="1410"/>
      <c r="AS22" s="1410"/>
      <c r="AT22" s="1410"/>
      <c r="AU22" s="1410"/>
      <c r="AV22" s="1411"/>
    </row>
    <row r="23" s="1340" customFormat="1" ht="17.25" customHeight="1" spans="1:48">
      <c r="A23" s="1401" t="s">
        <v>3891</v>
      </c>
      <c r="B23" s="1373"/>
      <c r="C23" s="1402" t="str">
        <f>Text!B103</f>
        <v>Imovina s pravom korištenja </v>
      </c>
      <c r="D23" s="1403"/>
      <c r="E23" s="1403"/>
      <c r="F23" s="1403"/>
      <c r="G23" s="1403"/>
      <c r="H23" s="1403"/>
      <c r="I23" s="1403"/>
      <c r="J23" s="1403"/>
      <c r="K23" s="1403"/>
      <c r="L23" s="1403"/>
      <c r="M23" s="1403"/>
      <c r="N23" s="1403"/>
      <c r="O23" s="1403"/>
      <c r="P23" s="1403"/>
      <c r="Q23" s="1403"/>
      <c r="R23" s="1403"/>
      <c r="S23" s="1403"/>
      <c r="T23" s="1403"/>
      <c r="U23" s="1403"/>
      <c r="V23" s="1403"/>
      <c r="W23" s="1403"/>
      <c r="X23" s="1403"/>
      <c r="Y23" s="1389" t="s">
        <v>5294</v>
      </c>
      <c r="Z23" s="1390"/>
      <c r="AA23" s="1390"/>
      <c r="AB23" s="1390"/>
      <c r="AC23" s="1390"/>
      <c r="AD23" s="1391"/>
      <c r="AE23" s="1379"/>
      <c r="AF23" s="1380"/>
      <c r="AG23" s="1372" t="s">
        <v>405</v>
      </c>
      <c r="AH23" s="1404"/>
      <c r="AI23" s="1405">
        <f>ROUND(UnosPod!F635-UnosPod!M635,0)</f>
        <v>0</v>
      </c>
      <c r="AJ23" s="1406"/>
      <c r="AK23" s="1407"/>
      <c r="AL23" s="1407"/>
      <c r="AM23" s="1407"/>
      <c r="AN23" s="1407"/>
      <c r="AO23" s="1408"/>
      <c r="AP23" s="1409">
        <f>Prethodna_2024!D161</f>
        <v>0</v>
      </c>
      <c r="AQ23" s="1410"/>
      <c r="AR23" s="1410"/>
      <c r="AS23" s="1410"/>
      <c r="AT23" s="1410"/>
      <c r="AU23" s="1410"/>
      <c r="AV23" s="1411"/>
    </row>
    <row r="24" s="1340" customFormat="1" ht="17.25" customHeight="1" spans="1:48">
      <c r="A24" s="1401" t="s">
        <v>3902</v>
      </c>
      <c r="B24" s="1373"/>
      <c r="C24" s="1402" t="str">
        <f>Text!B104</f>
        <v>Ulaganja u investicijske nekretnine</v>
      </c>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389" t="s">
        <v>5284</v>
      </c>
      <c r="Z24" s="1390"/>
      <c r="AA24" s="1390"/>
      <c r="AB24" s="1390"/>
      <c r="AC24" s="1390"/>
      <c r="AD24" s="1391"/>
      <c r="AE24" s="1379"/>
      <c r="AF24" s="1380"/>
      <c r="AG24" s="1372" t="s">
        <v>3878</v>
      </c>
      <c r="AH24" s="1404"/>
      <c r="AI24" s="1405">
        <f>ROUND(UnosPod!F623-UnosPod!M623,0)</f>
        <v>0</v>
      </c>
      <c r="AJ24" s="1406"/>
      <c r="AK24" s="1407"/>
      <c r="AL24" s="1407"/>
      <c r="AM24" s="1407"/>
      <c r="AN24" s="1407"/>
      <c r="AO24" s="1408"/>
      <c r="AP24" s="1409">
        <f>Prethodna_2024!D162</f>
        <v>0</v>
      </c>
      <c r="AQ24" s="1410"/>
      <c r="AR24" s="1410"/>
      <c r="AS24" s="1410"/>
      <c r="AT24" s="1410"/>
      <c r="AU24" s="1410"/>
      <c r="AV24" s="1411"/>
    </row>
    <row r="25" s="1340" customFormat="1" ht="17.25" customHeight="1" spans="1:48">
      <c r="A25" s="1401" t="s">
        <v>3905</v>
      </c>
      <c r="B25" s="1373"/>
      <c r="C25" s="1402" t="str">
        <f>Text!B105</f>
        <v>Nematerijalna imovina </v>
      </c>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389" t="s">
        <v>5267</v>
      </c>
      <c r="Z25" s="1390"/>
      <c r="AA25" s="1390"/>
      <c r="AB25" s="1390"/>
      <c r="AC25" s="1390"/>
      <c r="AD25" s="1391"/>
      <c r="AE25" s="1379"/>
      <c r="AF25" s="1380"/>
      <c r="AG25" s="1372" t="s">
        <v>3881</v>
      </c>
      <c r="AH25" s="1404"/>
      <c r="AI25" s="1405">
        <f>ROUND(UnosPod!F606-UnosPod!M606,0)</f>
        <v>0</v>
      </c>
      <c r="AJ25" s="1406"/>
      <c r="AK25" s="1407"/>
      <c r="AL25" s="1407"/>
      <c r="AM25" s="1407"/>
      <c r="AN25" s="1407"/>
      <c r="AO25" s="1408"/>
      <c r="AP25" s="1409">
        <f>Prethodna_2024!D163</f>
        <v>0</v>
      </c>
      <c r="AQ25" s="1410"/>
      <c r="AR25" s="1410"/>
      <c r="AS25" s="1410"/>
      <c r="AT25" s="1410"/>
      <c r="AU25" s="1410"/>
      <c r="AV25" s="1411"/>
    </row>
    <row r="26" s="1340" customFormat="1" ht="17.25" customHeight="1" spans="1:48">
      <c r="A26" s="1401" t="s">
        <v>3915</v>
      </c>
      <c r="B26" s="1373"/>
      <c r="C26" s="1402" t="str">
        <f>Text!B106</f>
        <v>Biološka imovina </v>
      </c>
      <c r="D26" s="1403"/>
      <c r="E26" s="1403"/>
      <c r="F26" s="1403"/>
      <c r="G26" s="1403"/>
      <c r="H26" s="1403"/>
      <c r="I26" s="1403"/>
      <c r="J26" s="1403"/>
      <c r="K26" s="1403"/>
      <c r="L26" s="1403"/>
      <c r="M26" s="1403"/>
      <c r="N26" s="1403"/>
      <c r="O26" s="1403"/>
      <c r="P26" s="1403"/>
      <c r="Q26" s="1403"/>
      <c r="R26" s="1403"/>
      <c r="S26" s="1403"/>
      <c r="T26" s="1403"/>
      <c r="U26" s="1403"/>
      <c r="V26" s="1403"/>
      <c r="W26" s="1403"/>
      <c r="X26" s="1403"/>
      <c r="Y26" s="1389" t="s">
        <v>5292</v>
      </c>
      <c r="Z26" s="1390"/>
      <c r="AA26" s="1390"/>
      <c r="AB26" s="1390"/>
      <c r="AC26" s="1390"/>
      <c r="AD26" s="1391"/>
      <c r="AE26" s="1379"/>
      <c r="AF26" s="1380"/>
      <c r="AG26" s="1372" t="s">
        <v>3884</v>
      </c>
      <c r="AH26" s="1404"/>
      <c r="AI26" s="1405">
        <f>ROUND(UnosPod!F630-UnosPod!M630,0)</f>
        <v>0</v>
      </c>
      <c r="AJ26" s="1406"/>
      <c r="AK26" s="1407"/>
      <c r="AL26" s="1407"/>
      <c r="AM26" s="1407"/>
      <c r="AN26" s="1407"/>
      <c r="AO26" s="1408"/>
      <c r="AP26" s="1409">
        <f>Prethodna_2024!D164</f>
        <v>0</v>
      </c>
      <c r="AQ26" s="1410"/>
      <c r="AR26" s="1410"/>
      <c r="AS26" s="1410"/>
      <c r="AT26" s="1410"/>
      <c r="AU26" s="1410"/>
      <c r="AV26" s="1411"/>
    </row>
    <row r="27" s="1340" customFormat="1" ht="17.25" customHeight="1" spans="1:48">
      <c r="A27" s="1401" t="s">
        <v>3918</v>
      </c>
      <c r="B27" s="1373"/>
      <c r="C27" s="1402" t="str">
        <f>Text!B107</f>
        <v>Finansijska imovina i ulaganja</v>
      </c>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389" t="s">
        <v>5318</v>
      </c>
      <c r="Z27" s="1390"/>
      <c r="AA27" s="1390"/>
      <c r="AB27" s="1390"/>
      <c r="AC27" s="1390"/>
      <c r="AD27" s="1391"/>
      <c r="AE27" s="1379"/>
      <c r="AF27" s="1380"/>
      <c r="AG27" s="1372" t="s">
        <v>3887</v>
      </c>
      <c r="AH27" s="1404"/>
      <c r="AI27" s="1405">
        <f>ROUND(UnosPod!F652-UnosPod!M652,0)</f>
        <v>0</v>
      </c>
      <c r="AJ27" s="1406"/>
      <c r="AK27" s="1407"/>
      <c r="AL27" s="1407"/>
      <c r="AM27" s="1407"/>
      <c r="AN27" s="1407"/>
      <c r="AO27" s="1408"/>
      <c r="AP27" s="1409">
        <f>Prethodna_2024!D165</f>
        <v>0</v>
      </c>
      <c r="AQ27" s="1410"/>
      <c r="AR27" s="1410"/>
      <c r="AS27" s="1410"/>
      <c r="AT27" s="1410"/>
      <c r="AU27" s="1410"/>
      <c r="AV27" s="1411"/>
    </row>
    <row r="28" s="1340" customFormat="1" ht="17.25" customHeight="1" spans="1:48">
      <c r="A28" s="1401" t="s">
        <v>3920</v>
      </c>
      <c r="B28" s="1373"/>
      <c r="C28" s="1402" t="str">
        <f>Text!B108</f>
        <v>Ostala imovina i potraživanja</v>
      </c>
      <c r="D28" s="1403"/>
      <c r="E28" s="1403"/>
      <c r="F28" s="1403"/>
      <c r="G28" s="1403"/>
      <c r="H28" s="1403"/>
      <c r="I28" s="1403"/>
      <c r="J28" s="1403"/>
      <c r="K28" s="1403"/>
      <c r="L28" s="1403"/>
      <c r="M28" s="1403"/>
      <c r="N28" s="1403"/>
      <c r="O28" s="1403"/>
      <c r="P28" s="1403"/>
      <c r="Q28" s="1403"/>
      <c r="R28" s="1403"/>
      <c r="S28" s="1403"/>
      <c r="T28" s="1403"/>
      <c r="U28" s="1403"/>
      <c r="V28" s="1403"/>
      <c r="W28" s="1403"/>
      <c r="X28" s="1403"/>
      <c r="Y28" s="1389" t="s">
        <v>7525</v>
      </c>
      <c r="Z28" s="1390"/>
      <c r="AA28" s="1390"/>
      <c r="AB28" s="1390"/>
      <c r="AC28" s="1390"/>
      <c r="AD28" s="1391"/>
      <c r="AE28" s="1379"/>
      <c r="AF28" s="1380"/>
      <c r="AG28" s="1372" t="s">
        <v>423</v>
      </c>
      <c r="AH28" s="1404"/>
      <c r="AI28" s="1405">
        <f>ROUND(UnosPod!F656-UnosPod!M656+UnosPod!F660-UnosPod!M660,0)</f>
        <v>0</v>
      </c>
      <c r="AJ28" s="1406"/>
      <c r="AK28" s="1407"/>
      <c r="AL28" s="1407"/>
      <c r="AM28" s="1407"/>
      <c r="AN28" s="1407"/>
      <c r="AO28" s="1408"/>
      <c r="AP28" s="1409">
        <f>Prethodna_2024!D166</f>
        <v>0</v>
      </c>
      <c r="AQ28" s="1410"/>
      <c r="AR28" s="1410"/>
      <c r="AS28" s="1410"/>
      <c r="AT28" s="1410"/>
      <c r="AU28" s="1410"/>
      <c r="AV28" s="1411"/>
    </row>
    <row r="29" s="1341" customFormat="1" ht="17.25" customHeight="1" spans="1:48">
      <c r="A29" s="1412" t="s">
        <v>3949</v>
      </c>
      <c r="B29" s="1388"/>
      <c r="C29" s="1374" t="str">
        <f>Text!B109</f>
        <v>Kratkoročna imovina (010 do 016)</v>
      </c>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89"/>
      <c r="Z29" s="1390"/>
      <c r="AA29" s="1390"/>
      <c r="AB29" s="1390"/>
      <c r="AC29" s="1390"/>
      <c r="AD29" s="1391"/>
      <c r="AE29" s="1413"/>
      <c r="AF29" s="1414"/>
      <c r="AG29" s="1387" t="s">
        <v>3892</v>
      </c>
      <c r="AH29" s="1393"/>
      <c r="AI29" s="1394">
        <f>SUM(AI30:AO36)</f>
        <v>577192</v>
      </c>
      <c r="AJ29" s="1395"/>
      <c r="AK29" s="1396"/>
      <c r="AL29" s="1396"/>
      <c r="AM29" s="1396"/>
      <c r="AN29" s="1396"/>
      <c r="AO29" s="1397"/>
      <c r="AP29" s="1398">
        <f>SUM(AP30:AV36)</f>
        <v>0</v>
      </c>
      <c r="AQ29" s="1399"/>
      <c r="AR29" s="1399"/>
      <c r="AS29" s="1399"/>
      <c r="AT29" s="1399"/>
      <c r="AU29" s="1399"/>
      <c r="AV29" s="1400"/>
    </row>
    <row r="30" s="1340" customFormat="1" ht="17.25" customHeight="1" spans="1:48">
      <c r="A30" s="1401" t="s">
        <v>3953</v>
      </c>
      <c r="B30" s="1373"/>
      <c r="C30" s="1402" t="str">
        <f>Text!B110</f>
        <v>Zalihe </v>
      </c>
      <c r="D30" s="1403"/>
      <c r="E30" s="1403"/>
      <c r="F30" s="1403"/>
      <c r="G30" s="1403"/>
      <c r="H30" s="1403"/>
      <c r="I30" s="1403"/>
      <c r="J30" s="1403"/>
      <c r="K30" s="1403"/>
      <c r="L30" s="1403"/>
      <c r="M30" s="1403"/>
      <c r="N30" s="1403"/>
      <c r="O30" s="1403"/>
      <c r="P30" s="1403"/>
      <c r="Q30" s="1403"/>
      <c r="R30" s="1403"/>
      <c r="S30" s="1403"/>
      <c r="T30" s="1403"/>
      <c r="U30" s="1403"/>
      <c r="V30" s="1403"/>
      <c r="W30" s="1403"/>
      <c r="X30" s="1403"/>
      <c r="Y30" s="1389" t="s">
        <v>7526</v>
      </c>
      <c r="Z30" s="1390"/>
      <c r="AA30" s="1390"/>
      <c r="AB30" s="1390"/>
      <c r="AC30" s="1390"/>
      <c r="AD30" s="1391"/>
      <c r="AE30" s="1379"/>
      <c r="AF30" s="1380"/>
      <c r="AG30" s="1372" t="s">
        <v>3894</v>
      </c>
      <c r="AH30" s="1404"/>
      <c r="AI30" s="1405">
        <f>ROUND((SUM(UnosPod!F662:L665)+UnosPod!F667)-(SUM(UnosPod!M662:S665)+UnosPod!M667),0)</f>
        <v>0</v>
      </c>
      <c r="AJ30" s="1406"/>
      <c r="AK30" s="1407"/>
      <c r="AL30" s="1407"/>
      <c r="AM30" s="1407"/>
      <c r="AN30" s="1407"/>
      <c r="AO30" s="1408"/>
      <c r="AP30" s="1409">
        <f>Prethodna_2024!D168</f>
        <v>0</v>
      </c>
      <c r="AQ30" s="1410"/>
      <c r="AR30" s="1410"/>
      <c r="AS30" s="1410"/>
      <c r="AT30" s="1410"/>
      <c r="AU30" s="1410"/>
      <c r="AV30" s="1411"/>
    </row>
    <row r="31" ht="17.25" customHeight="1" spans="1:48">
      <c r="A31" s="1401" t="s">
        <v>3891</v>
      </c>
      <c r="B31" s="1373"/>
      <c r="C31" s="1402" t="str">
        <f>Text!B111</f>
        <v>Dugoročna imovina namijenjena prodaji i imovina poslovanja koje se obustavlja</v>
      </c>
      <c r="D31" s="1403"/>
      <c r="E31" s="1403"/>
      <c r="F31" s="1403"/>
      <c r="G31" s="1403"/>
      <c r="H31" s="1403"/>
      <c r="I31" s="1403"/>
      <c r="J31" s="1403"/>
      <c r="K31" s="1403"/>
      <c r="L31" s="1403"/>
      <c r="M31" s="1403"/>
      <c r="N31" s="1403"/>
      <c r="O31" s="1403"/>
      <c r="P31" s="1403"/>
      <c r="Q31" s="1403"/>
      <c r="R31" s="1403"/>
      <c r="S31" s="1403"/>
      <c r="T31" s="1403"/>
      <c r="U31" s="1403"/>
      <c r="V31" s="1403"/>
      <c r="W31" s="1403"/>
      <c r="X31" s="1403"/>
      <c r="Y31" s="1389" t="s">
        <v>309</v>
      </c>
      <c r="Z31" s="1390"/>
      <c r="AA31" s="1390"/>
      <c r="AB31" s="1390"/>
      <c r="AC31" s="1390"/>
      <c r="AD31" s="1391"/>
      <c r="AE31" s="1379"/>
      <c r="AF31" s="1380"/>
      <c r="AG31" s="1372" t="s">
        <v>441</v>
      </c>
      <c r="AH31" s="1404"/>
      <c r="AI31" s="1405">
        <f>ROUND(UnosPod!F666-UnosPod!M666,0)</f>
        <v>0</v>
      </c>
      <c r="AJ31" s="1406"/>
      <c r="AK31" s="1407"/>
      <c r="AL31" s="1407"/>
      <c r="AM31" s="1407"/>
      <c r="AN31" s="1407"/>
      <c r="AO31" s="1408"/>
      <c r="AP31" s="1409">
        <f>Prethodna_2024!D169</f>
        <v>0</v>
      </c>
      <c r="AQ31" s="1410"/>
      <c r="AR31" s="1410"/>
      <c r="AS31" s="1410"/>
      <c r="AT31" s="1410"/>
      <c r="AU31" s="1410"/>
      <c r="AV31" s="1411"/>
    </row>
    <row r="32" ht="17.25" customHeight="1" spans="1:48">
      <c r="A32" s="1401" t="s">
        <v>3902</v>
      </c>
      <c r="B32" s="1373"/>
      <c r="C32" s="1402" t="str">
        <f>Text!B112</f>
        <v>Potraživanja od kupaca i ugovorna imovina</v>
      </c>
      <c r="D32" s="1403"/>
      <c r="E32" s="1403"/>
      <c r="F32" s="1403"/>
      <c r="G32" s="1403"/>
      <c r="H32" s="1403"/>
      <c r="I32" s="1403"/>
      <c r="J32" s="1403"/>
      <c r="K32" s="1403"/>
      <c r="L32" s="1403"/>
      <c r="M32" s="1403"/>
      <c r="N32" s="1403"/>
      <c r="O32" s="1403"/>
      <c r="P32" s="1403"/>
      <c r="Q32" s="1403"/>
      <c r="R32" s="1403"/>
      <c r="S32" s="1403"/>
      <c r="T32" s="1403"/>
      <c r="U32" s="1403"/>
      <c r="V32" s="1403"/>
      <c r="W32" s="1403"/>
      <c r="X32" s="1403"/>
      <c r="Y32" s="1389" t="s">
        <v>7527</v>
      </c>
      <c r="Z32" s="1390"/>
      <c r="AA32" s="1390"/>
      <c r="AB32" s="1390"/>
      <c r="AC32" s="1390"/>
      <c r="AD32" s="1391"/>
      <c r="AE32" s="1379"/>
      <c r="AF32" s="1380"/>
      <c r="AG32" s="1372" t="s">
        <v>616</v>
      </c>
      <c r="AH32" s="1404"/>
      <c r="AI32" s="1405">
        <f>ROUND(UnosPod!F682-UnosPod!M682+UnosPod!F719-UnosPod!M719,0)</f>
        <v>20312</v>
      </c>
      <c r="AJ32" s="1406"/>
      <c r="AK32" s="1407"/>
      <c r="AL32" s="1407"/>
      <c r="AM32" s="1407"/>
      <c r="AN32" s="1407"/>
      <c r="AO32" s="1408"/>
      <c r="AP32" s="1409">
        <f>Prethodna_2024!D170</f>
        <v>0</v>
      </c>
      <c r="AQ32" s="1410"/>
      <c r="AR32" s="1410"/>
      <c r="AS32" s="1410"/>
      <c r="AT32" s="1410"/>
      <c r="AU32" s="1410"/>
      <c r="AV32" s="1411"/>
    </row>
    <row r="33" ht="32.25" customHeight="1" spans="1:48">
      <c r="A33" s="1401" t="s">
        <v>3905</v>
      </c>
      <c r="B33" s="1373"/>
      <c r="C33" s="1402" t="str">
        <f>Text!B113</f>
        <v>Ostala finansijska imovina </v>
      </c>
      <c r="D33" s="1403"/>
      <c r="E33" s="1403"/>
      <c r="F33" s="1403"/>
      <c r="G33" s="1403"/>
      <c r="H33" s="1403"/>
      <c r="I33" s="1403"/>
      <c r="J33" s="1403"/>
      <c r="K33" s="1403"/>
      <c r="L33" s="1403"/>
      <c r="M33" s="1403"/>
      <c r="N33" s="1403"/>
      <c r="O33" s="1403"/>
      <c r="P33" s="1403"/>
      <c r="Q33" s="1403"/>
      <c r="R33" s="1403"/>
      <c r="S33" s="1403"/>
      <c r="T33" s="1403"/>
      <c r="U33" s="1403"/>
      <c r="V33" s="1403"/>
      <c r="W33" s="1403"/>
      <c r="X33" s="1403"/>
      <c r="Y33" s="1389" t="s">
        <v>7528</v>
      </c>
      <c r="Z33" s="1390"/>
      <c r="AA33" s="1390"/>
      <c r="AB33" s="1390"/>
      <c r="AC33" s="1390"/>
      <c r="AD33" s="1391"/>
      <c r="AE33" s="1379"/>
      <c r="AF33" s="1380"/>
      <c r="AG33" s="1372" t="s">
        <v>455</v>
      </c>
      <c r="AH33" s="1404"/>
      <c r="AI33" s="1405">
        <f>ROUND((UnosPod!F685-UnosPod!M685)+(UnosPod!F692-UnosPod!M692)+(UnosPod!F704-UnosPod!M704)+(UnosPod!F705-UnosPod!M705)+(UnosPod!F706-UnosPod!M706),0)</f>
        <v>427682</v>
      </c>
      <c r="AJ33" s="1406"/>
      <c r="AK33" s="1407"/>
      <c r="AL33" s="1407"/>
      <c r="AM33" s="1407"/>
      <c r="AN33" s="1407"/>
      <c r="AO33" s="1408"/>
      <c r="AP33" s="1409">
        <f>Prethodna_2024!D171</f>
        <v>0</v>
      </c>
      <c r="AQ33" s="1410"/>
      <c r="AR33" s="1410"/>
      <c r="AS33" s="1410"/>
      <c r="AT33" s="1410"/>
      <c r="AU33" s="1410"/>
      <c r="AV33" s="1411"/>
    </row>
    <row r="34" ht="17.25" customHeight="1" spans="1:48">
      <c r="A34" s="1401" t="s">
        <v>3915</v>
      </c>
      <c r="B34" s="1373"/>
      <c r="C34" s="1402" t="str">
        <f>Text!B114</f>
        <v>Gotovina i gotovinski ekvivalenti </v>
      </c>
      <c r="D34" s="1403"/>
      <c r="E34" s="1403"/>
      <c r="F34" s="1403"/>
      <c r="G34" s="1403"/>
      <c r="H34" s="1403"/>
      <c r="I34" s="1403"/>
      <c r="J34" s="1403"/>
      <c r="K34" s="1403"/>
      <c r="L34" s="1403"/>
      <c r="M34" s="1403"/>
      <c r="N34" s="1403"/>
      <c r="O34" s="1403"/>
      <c r="P34" s="1403"/>
      <c r="Q34" s="1403"/>
      <c r="R34" s="1403"/>
      <c r="S34" s="1403"/>
      <c r="T34" s="1403"/>
      <c r="U34" s="1403"/>
      <c r="V34" s="1403"/>
      <c r="W34" s="1403"/>
      <c r="X34" s="1403"/>
      <c r="Y34" s="1389" t="s">
        <v>550</v>
      </c>
      <c r="Z34" s="1390"/>
      <c r="AA34" s="1390"/>
      <c r="AB34" s="1390"/>
      <c r="AC34" s="1390"/>
      <c r="AD34" s="1391"/>
      <c r="AE34" s="1379"/>
      <c r="AF34" s="1380"/>
      <c r="AG34" s="1372" t="s">
        <v>3903</v>
      </c>
      <c r="AH34" s="1404"/>
      <c r="AI34" s="1405">
        <f>ROUND(UnosPod!F678-UnosPod!M678,0)</f>
        <v>2327</v>
      </c>
      <c r="AJ34" s="1406"/>
      <c r="AK34" s="1407"/>
      <c r="AL34" s="1407"/>
      <c r="AM34" s="1407"/>
      <c r="AN34" s="1407"/>
      <c r="AO34" s="1408"/>
      <c r="AP34" s="1409">
        <f>Prethodna_2024!D172</f>
        <v>0</v>
      </c>
      <c r="AQ34" s="1410"/>
      <c r="AR34" s="1410"/>
      <c r="AS34" s="1410"/>
      <c r="AT34" s="1410"/>
      <c r="AU34" s="1410"/>
      <c r="AV34" s="1411"/>
    </row>
    <row r="35" ht="17.25" customHeight="1" spans="1:48">
      <c r="A35" s="1401" t="s">
        <v>3918</v>
      </c>
      <c r="B35" s="1373"/>
      <c r="C35" s="1402" t="str">
        <f>Text!B115</f>
        <v>Akontacije poreza na dobit</v>
      </c>
      <c r="D35" s="1403"/>
      <c r="E35" s="1403"/>
      <c r="F35" s="1403"/>
      <c r="G35" s="1403"/>
      <c r="H35" s="1403"/>
      <c r="I35" s="1403"/>
      <c r="J35" s="1403"/>
      <c r="K35" s="1403"/>
      <c r="L35" s="1403"/>
      <c r="M35" s="1403"/>
      <c r="N35" s="1403"/>
      <c r="O35" s="1403"/>
      <c r="P35" s="1403"/>
      <c r="Q35" s="1403"/>
      <c r="R35" s="1403"/>
      <c r="S35" s="1403"/>
      <c r="T35" s="1403"/>
      <c r="U35" s="1403"/>
      <c r="V35" s="1403"/>
      <c r="W35" s="1403"/>
      <c r="X35" s="1403"/>
      <c r="Y35" s="1389" t="s">
        <v>7072</v>
      </c>
      <c r="Z35" s="1390"/>
      <c r="AA35" s="1390"/>
      <c r="AB35" s="1390"/>
      <c r="AC35" s="1390"/>
      <c r="AD35" s="1391"/>
      <c r="AE35" s="1379"/>
      <c r="AF35" s="1380"/>
      <c r="AG35" s="1372" t="s">
        <v>3906</v>
      </c>
      <c r="AH35" s="1404"/>
      <c r="AI35" s="1405">
        <f>ROUND(UnosPod!F695-UnosPod!M695,0)</f>
        <v>0</v>
      </c>
      <c r="AJ35" s="1406"/>
      <c r="AK35" s="1407"/>
      <c r="AL35" s="1407"/>
      <c r="AM35" s="1407"/>
      <c r="AN35" s="1407"/>
      <c r="AO35" s="1408"/>
      <c r="AP35" s="1409">
        <f>Prethodna_2024!D173</f>
        <v>0</v>
      </c>
      <c r="AQ35" s="1410"/>
      <c r="AR35" s="1410"/>
      <c r="AS35" s="1410"/>
      <c r="AT35" s="1410"/>
      <c r="AU35" s="1410"/>
      <c r="AV35" s="1411"/>
    </row>
    <row r="36" ht="31.5" customHeight="1" spans="1:48">
      <c r="A36" s="1401" t="s">
        <v>3920</v>
      </c>
      <c r="B36" s="1373"/>
      <c r="C36" s="1402" t="str">
        <f>Text!B116</f>
        <v>Ostala imovina i potraživanja, uključujući i razgraničenja</v>
      </c>
      <c r="D36" s="1403"/>
      <c r="E36" s="1403"/>
      <c r="F36" s="1403"/>
      <c r="G36" s="1403"/>
      <c r="H36" s="1403"/>
      <c r="I36" s="1403"/>
      <c r="J36" s="1403"/>
      <c r="K36" s="1403"/>
      <c r="L36" s="1403"/>
      <c r="M36" s="1403"/>
      <c r="N36" s="1403"/>
      <c r="O36" s="1403"/>
      <c r="P36" s="1403"/>
      <c r="Q36" s="1403"/>
      <c r="R36" s="1403"/>
      <c r="S36" s="1403"/>
      <c r="T36" s="1403"/>
      <c r="U36" s="1403"/>
      <c r="V36" s="1403"/>
      <c r="W36" s="1403"/>
      <c r="X36" s="1403"/>
      <c r="Y36" s="1389" t="s">
        <v>7529</v>
      </c>
      <c r="Z36" s="1390"/>
      <c r="AA36" s="1390"/>
      <c r="AB36" s="1390"/>
      <c r="AC36" s="1390"/>
      <c r="AD36" s="1391"/>
      <c r="AE36" s="1379"/>
      <c r="AF36" s="1380"/>
      <c r="AG36" s="1372" t="s">
        <v>469</v>
      </c>
      <c r="AH36" s="1404"/>
      <c r="AI36" s="1405">
        <f>ROUND((UnosPod!F717-UnosPod!M717)+(UnosPod!F721-UnosPod!M721-(UnosPod!F719-UnosPod!M719)+(UnosPod!F686-UnosPod!M686)+(UnosPod!F693-UnosPod!M693)+(UnosPod!F694-UnosPod!M694)+(UnosPod!F696-UnosPod!M696)+(UnosPod!F697-UnosPod!M697)+UnosPod!F698-UnosPod!M698),0)</f>
        <v>126871</v>
      </c>
      <c r="AJ36" s="1406"/>
      <c r="AK36" s="1407"/>
      <c r="AL36" s="1407"/>
      <c r="AM36" s="1407"/>
      <c r="AN36" s="1407"/>
      <c r="AO36" s="1408"/>
      <c r="AP36" s="1409">
        <f>Prethodna_2024!D174</f>
        <v>0</v>
      </c>
      <c r="AQ36" s="1410"/>
      <c r="AR36" s="1410"/>
      <c r="AS36" s="1410"/>
      <c r="AT36" s="1410"/>
      <c r="AU36" s="1410"/>
      <c r="AV36" s="1411"/>
    </row>
    <row r="37" s="1227" customFormat="1" ht="18.75" customHeight="1" spans="1:48">
      <c r="A37" s="1412" t="s">
        <v>3951</v>
      </c>
      <c r="B37" s="1388"/>
      <c r="C37" s="1374" t="str">
        <f>Text!B117</f>
        <v>UKUPNO IMOVINA (001+009)</v>
      </c>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89"/>
      <c r="Z37" s="1390"/>
      <c r="AA37" s="1390"/>
      <c r="AB37" s="1390"/>
      <c r="AC37" s="1390"/>
      <c r="AD37" s="1391"/>
      <c r="AE37" s="1413"/>
      <c r="AF37" s="1414"/>
      <c r="AG37" s="1387" t="s">
        <v>484</v>
      </c>
      <c r="AH37" s="1393"/>
      <c r="AI37" s="1394">
        <f>AI21+AI29</f>
        <v>599299</v>
      </c>
      <c r="AJ37" s="1395"/>
      <c r="AK37" s="1396"/>
      <c r="AL37" s="1396"/>
      <c r="AM37" s="1396"/>
      <c r="AN37" s="1396"/>
      <c r="AO37" s="1397"/>
      <c r="AP37" s="1398">
        <f>AP21+AP29</f>
        <v>0</v>
      </c>
      <c r="AQ37" s="1399"/>
      <c r="AR37" s="1399"/>
      <c r="AS37" s="1399"/>
      <c r="AT37" s="1399"/>
      <c r="AU37" s="1399"/>
      <c r="AV37" s="1400"/>
    </row>
    <row r="38" ht="18.75" customHeight="1" spans="1:48">
      <c r="A38" s="1401" t="s">
        <v>3983</v>
      </c>
      <c r="B38" s="1373"/>
      <c r="C38" s="1402" t="str">
        <f>Text!B118</f>
        <v>VANBILANSNA EVIDENCIJA</v>
      </c>
      <c r="D38" s="1403"/>
      <c r="E38" s="1403"/>
      <c r="F38" s="1403"/>
      <c r="G38" s="1403"/>
      <c r="H38" s="1403"/>
      <c r="I38" s="1403"/>
      <c r="J38" s="1403"/>
      <c r="K38" s="1403"/>
      <c r="L38" s="1403"/>
      <c r="M38" s="1403"/>
      <c r="N38" s="1403"/>
      <c r="O38" s="1403"/>
      <c r="P38" s="1403"/>
      <c r="Q38" s="1403"/>
      <c r="R38" s="1403"/>
      <c r="S38" s="1403"/>
      <c r="T38" s="1403"/>
      <c r="U38" s="1403"/>
      <c r="V38" s="1403"/>
      <c r="W38" s="1403"/>
      <c r="X38" s="1403"/>
      <c r="Y38" s="1389"/>
      <c r="Z38" s="1390"/>
      <c r="AA38" s="1390"/>
      <c r="AB38" s="1390"/>
      <c r="AC38" s="1390"/>
      <c r="AD38" s="1391"/>
      <c r="AE38" s="1379"/>
      <c r="AF38" s="1380"/>
      <c r="AG38" s="1372" t="s">
        <v>498</v>
      </c>
      <c r="AH38" s="1404"/>
      <c r="AI38" s="1405">
        <f>UnosPod!F725-UnosPod!M725</f>
        <v>0</v>
      </c>
      <c r="AJ38" s="1406"/>
      <c r="AK38" s="1407"/>
      <c r="AL38" s="1407"/>
      <c r="AM38" s="1407"/>
      <c r="AN38" s="1407"/>
      <c r="AO38" s="1408"/>
      <c r="AP38" s="1409">
        <f>Prethodna_2024!D176</f>
        <v>0</v>
      </c>
      <c r="AQ38" s="1410"/>
      <c r="AR38" s="1410"/>
      <c r="AS38" s="1410"/>
      <c r="AT38" s="1410"/>
      <c r="AU38" s="1410"/>
      <c r="AV38" s="1411"/>
    </row>
    <row r="39" s="1227" customFormat="1" ht="18.75" customHeight="1" spans="1:48">
      <c r="A39" s="1412" t="s">
        <v>3985</v>
      </c>
      <c r="B39" s="1388"/>
      <c r="C39" s="1374" t="str">
        <f>Text!B119</f>
        <v>UKUPNO IMOVINA I VANBILANSNA EVIDENCIJA (017+018)</v>
      </c>
      <c r="D39" s="1375"/>
      <c r="E39" s="1375"/>
      <c r="F39" s="1375"/>
      <c r="G39" s="1375"/>
      <c r="H39" s="1375"/>
      <c r="I39" s="1375"/>
      <c r="J39" s="1375"/>
      <c r="K39" s="1375"/>
      <c r="L39" s="1375"/>
      <c r="M39" s="1375"/>
      <c r="N39" s="1375"/>
      <c r="O39" s="1375"/>
      <c r="P39" s="1375"/>
      <c r="Q39" s="1375"/>
      <c r="R39" s="1375"/>
      <c r="S39" s="1375"/>
      <c r="T39" s="1375"/>
      <c r="U39" s="1375"/>
      <c r="V39" s="1375"/>
      <c r="W39" s="1375"/>
      <c r="X39" s="1375"/>
      <c r="Y39" s="1389"/>
      <c r="Z39" s="1390"/>
      <c r="AA39" s="1390"/>
      <c r="AB39" s="1390"/>
      <c r="AC39" s="1390"/>
      <c r="AD39" s="1391"/>
      <c r="AE39" s="1413"/>
      <c r="AF39" s="1414"/>
      <c r="AG39" s="1387" t="s">
        <v>526</v>
      </c>
      <c r="AH39" s="1393"/>
      <c r="AI39" s="1394">
        <f>AI37+AI38</f>
        <v>599299</v>
      </c>
      <c r="AJ39" s="1395"/>
      <c r="AK39" s="1396"/>
      <c r="AL39" s="1396"/>
      <c r="AM39" s="1396"/>
      <c r="AN39" s="1396"/>
      <c r="AO39" s="1397"/>
      <c r="AP39" s="1398">
        <f>AP37+AP38</f>
        <v>0</v>
      </c>
      <c r="AQ39" s="1399"/>
      <c r="AR39" s="1399"/>
      <c r="AS39" s="1399"/>
      <c r="AT39" s="1399"/>
      <c r="AU39" s="1399"/>
      <c r="AV39" s="1400"/>
    </row>
    <row r="40" ht="15" customHeight="1" spans="1:48">
      <c r="A40" s="1224"/>
      <c r="AI40" s="1415"/>
      <c r="AJ40" s="1415"/>
      <c r="AK40" s="1415"/>
      <c r="AL40" s="1415"/>
      <c r="AM40" s="1415"/>
      <c r="AN40" s="1415"/>
      <c r="AO40" s="1415"/>
      <c r="AP40" s="1415"/>
      <c r="AQ40" s="1415"/>
      <c r="AR40" s="1415"/>
      <c r="AS40" s="1415"/>
      <c r="AT40" s="1415"/>
      <c r="AU40" s="1415"/>
      <c r="AV40" s="1415"/>
    </row>
    <row r="41" ht="15" customHeight="1" spans="1:48">
      <c r="A41" s="1224"/>
      <c r="AI41" s="1416"/>
      <c r="AJ41" s="1416"/>
      <c r="AK41" s="1416"/>
      <c r="AL41" s="1416"/>
      <c r="AM41" s="1416"/>
      <c r="AN41" s="1416"/>
      <c r="AO41" s="1416"/>
      <c r="AP41" s="1416"/>
      <c r="AQ41" s="1416"/>
      <c r="AR41" s="1416"/>
      <c r="AS41" s="1416"/>
      <c r="AT41" s="1416"/>
      <c r="AU41" s="1416"/>
      <c r="AV41" s="1416"/>
    </row>
    <row r="42" ht="15" customHeight="1" spans="1:48">
      <c r="A42" s="1224"/>
      <c r="AI42" s="1416"/>
      <c r="AJ42" s="1416"/>
      <c r="AK42" s="1416"/>
      <c r="AL42" s="1416"/>
      <c r="AM42" s="1416"/>
      <c r="AN42" s="1416"/>
      <c r="AO42" s="1416"/>
      <c r="AP42" s="1416"/>
      <c r="AQ42" s="1416"/>
      <c r="AR42" s="1416"/>
      <c r="AS42" s="1416"/>
      <c r="AT42" s="1416"/>
      <c r="AU42" s="1416"/>
      <c r="AV42" s="1416"/>
    </row>
    <row r="43" ht="15" customHeight="1" spans="1:48">
      <c r="A43" s="1224"/>
    </row>
    <row r="44" s="1340" customFormat="1" ht="15.75" customHeight="1" spans="1:48">
      <c r="A44" s="1417" t="s">
        <v>7074</v>
      </c>
      <c r="B44" s="1418"/>
      <c r="C44" s="1352" t="s">
        <v>2507</v>
      </c>
      <c r="D44" s="1352"/>
      <c r="E44" s="1352"/>
      <c r="F44" s="1352"/>
      <c r="G44" s="1352"/>
      <c r="H44" s="1352"/>
      <c r="I44" s="1352"/>
      <c r="J44" s="1352"/>
      <c r="K44" s="1352"/>
      <c r="L44" s="1352"/>
      <c r="M44" s="1352"/>
      <c r="N44" s="1352"/>
      <c r="O44" s="1352"/>
      <c r="P44" s="1352"/>
      <c r="Q44" s="1352"/>
      <c r="R44" s="1352"/>
      <c r="S44" s="1352"/>
      <c r="T44" s="1352"/>
      <c r="U44" s="1352"/>
      <c r="V44" s="1352"/>
      <c r="W44" s="1352"/>
      <c r="X44" s="1352"/>
      <c r="Y44" s="1419" t="s">
        <v>2509</v>
      </c>
      <c r="Z44" s="1420"/>
      <c r="AA44" s="1420"/>
      <c r="AB44" s="1420"/>
      <c r="AC44" s="1420"/>
      <c r="AD44" s="1421"/>
      <c r="AE44" s="1355" t="s">
        <v>2511</v>
      </c>
      <c r="AF44" s="1356"/>
      <c r="AG44" s="1350" t="s">
        <v>5680</v>
      </c>
      <c r="AH44" s="1351"/>
      <c r="AI44" s="1357" t="s">
        <v>7075</v>
      </c>
      <c r="AJ44" s="1357"/>
      <c r="AK44" s="1357"/>
      <c r="AL44" s="1357"/>
      <c r="AM44" s="1357"/>
      <c r="AN44" s="1357"/>
      <c r="AO44" s="1357"/>
      <c r="AP44" s="1358" t="s">
        <v>2523</v>
      </c>
      <c r="AQ44" s="1358"/>
      <c r="AR44" s="1358"/>
      <c r="AS44" s="1358"/>
      <c r="AT44" s="1358"/>
      <c r="AU44" s="1358"/>
      <c r="AV44" s="1358"/>
    </row>
    <row r="45" s="1340" customFormat="1" ht="15.75" customHeight="1" spans="1:48">
      <c r="A45" s="1422" t="s">
        <v>7076</v>
      </c>
      <c r="B45" s="1423"/>
      <c r="C45" s="1244"/>
      <c r="D45" s="1244"/>
      <c r="E45" s="1244"/>
      <c r="F45" s="1244"/>
      <c r="G45" s="1244"/>
      <c r="H45" s="1244"/>
      <c r="I45" s="1244"/>
      <c r="J45" s="1244"/>
      <c r="K45" s="1244"/>
      <c r="L45" s="1244"/>
      <c r="M45" s="1244"/>
      <c r="N45" s="1244"/>
      <c r="O45" s="1244"/>
      <c r="P45" s="1244"/>
      <c r="Q45" s="1244"/>
      <c r="R45" s="1244"/>
      <c r="S45" s="1244"/>
      <c r="T45" s="1244"/>
      <c r="U45" s="1244"/>
      <c r="V45" s="1244"/>
      <c r="W45" s="1244"/>
      <c r="X45" s="1244"/>
      <c r="Y45" s="1424"/>
      <c r="Z45" s="1425"/>
      <c r="AA45" s="1425"/>
      <c r="AB45" s="1425"/>
      <c r="AC45" s="1425"/>
      <c r="AD45" s="1426"/>
      <c r="AE45" s="1427"/>
      <c r="AF45" s="1428"/>
      <c r="AG45" s="1429" t="s">
        <v>5686</v>
      </c>
      <c r="AH45" s="1430"/>
      <c r="AI45" s="1431" t="s">
        <v>2513</v>
      </c>
      <c r="AJ45" s="1431"/>
      <c r="AK45" s="1431"/>
      <c r="AL45" s="1431"/>
      <c r="AM45" s="1431"/>
      <c r="AN45" s="1431"/>
      <c r="AO45" s="1431"/>
      <c r="AP45" s="1431" t="s">
        <v>2525</v>
      </c>
      <c r="AQ45" s="1431"/>
      <c r="AR45" s="1431"/>
      <c r="AS45" s="1431"/>
      <c r="AT45" s="1431"/>
      <c r="AU45" s="1431"/>
      <c r="AV45" s="1431"/>
    </row>
    <row r="46" s="1340" customFormat="1" ht="15" customHeight="1" spans="1:48">
      <c r="A46" s="1367">
        <v>1</v>
      </c>
      <c r="B46" s="1367"/>
      <c r="C46" s="1368">
        <v>2</v>
      </c>
      <c r="D46" s="1367"/>
      <c r="E46" s="1367"/>
      <c r="F46" s="1367"/>
      <c r="G46" s="1367"/>
      <c r="H46" s="1367"/>
      <c r="I46" s="1367"/>
      <c r="J46" s="1367"/>
      <c r="K46" s="1367"/>
      <c r="L46" s="1367"/>
      <c r="M46" s="1367"/>
      <c r="N46" s="1367"/>
      <c r="O46" s="1367"/>
      <c r="P46" s="1367"/>
      <c r="Q46" s="1367"/>
      <c r="R46" s="1367"/>
      <c r="S46" s="1367"/>
      <c r="T46" s="1367"/>
      <c r="U46" s="1367"/>
      <c r="V46" s="1367"/>
      <c r="W46" s="1367"/>
      <c r="X46" s="1369"/>
      <c r="Y46" s="1370"/>
      <c r="Z46" s="1370"/>
      <c r="AA46" s="1370"/>
      <c r="AB46" s="1370"/>
      <c r="AC46" s="1370"/>
      <c r="AD46" s="1371"/>
      <c r="AE46" s="1367">
        <v>3</v>
      </c>
      <c r="AF46" s="1367"/>
      <c r="AG46" s="1367">
        <v>4</v>
      </c>
      <c r="AH46" s="1367"/>
      <c r="AI46" s="1367">
        <v>5</v>
      </c>
      <c r="AJ46" s="1367"/>
      <c r="AK46" s="1367"/>
      <c r="AL46" s="1367"/>
      <c r="AM46" s="1367"/>
      <c r="AN46" s="1367"/>
      <c r="AO46" s="1367"/>
      <c r="AP46" s="1367">
        <v>6</v>
      </c>
      <c r="AQ46" s="1367"/>
      <c r="AR46" s="1367"/>
      <c r="AS46" s="1367"/>
      <c r="AT46" s="1367"/>
      <c r="AU46" s="1367"/>
      <c r="AV46" s="1367"/>
    </row>
    <row r="47" ht="17.25" customHeight="1" spans="1:48">
      <c r="A47" s="1372"/>
      <c r="B47" s="1373"/>
      <c r="C47" s="1374" t="str">
        <f>Text!B120</f>
        <v>KAPITAL</v>
      </c>
      <c r="D47" s="1375"/>
      <c r="E47" s="1375"/>
      <c r="F47" s="1375"/>
      <c r="G47" s="1375"/>
      <c r="H47" s="1375"/>
      <c r="I47" s="1375"/>
      <c r="J47" s="1375"/>
      <c r="K47" s="1375"/>
      <c r="L47" s="1375"/>
      <c r="M47" s="1375"/>
      <c r="N47" s="1375"/>
      <c r="O47" s="1375"/>
      <c r="P47" s="1375"/>
      <c r="Q47" s="1375"/>
      <c r="R47" s="1375"/>
      <c r="S47" s="1375"/>
      <c r="T47" s="1375"/>
      <c r="U47" s="1375"/>
      <c r="V47" s="1375"/>
      <c r="W47" s="1375"/>
      <c r="X47" s="1375"/>
      <c r="Y47" s="1376"/>
      <c r="Z47" s="1377"/>
      <c r="AA47" s="1377"/>
      <c r="AB47" s="1377"/>
      <c r="AC47" s="1377"/>
      <c r="AD47" s="1378"/>
      <c r="AE47" s="1379"/>
      <c r="AF47" s="1380"/>
      <c r="AG47" s="1381"/>
      <c r="AH47" s="1382"/>
      <c r="AI47" s="1432"/>
      <c r="AJ47" s="1433"/>
      <c r="AK47" s="1434"/>
      <c r="AL47" s="1434"/>
      <c r="AM47" s="1434"/>
      <c r="AN47" s="1434"/>
      <c r="AO47" s="1435"/>
      <c r="AP47" s="1432"/>
      <c r="AQ47" s="1433"/>
      <c r="AR47" s="1434"/>
      <c r="AS47" s="1434"/>
      <c r="AT47" s="1434"/>
      <c r="AU47" s="1434"/>
      <c r="AV47" s="1435"/>
    </row>
    <row r="48" ht="17.25" customHeight="1" spans="1:48">
      <c r="A48" s="1401" t="s">
        <v>3953</v>
      </c>
      <c r="B48" s="1373"/>
      <c r="C48" s="1402" t="str">
        <f>Text!B121</f>
        <v>Vlasnički kapital </v>
      </c>
      <c r="D48" s="1403"/>
      <c r="E48" s="1403"/>
      <c r="F48" s="1403"/>
      <c r="G48" s="1403"/>
      <c r="H48" s="1403"/>
      <c r="I48" s="1403"/>
      <c r="J48" s="1403"/>
      <c r="K48" s="1403"/>
      <c r="L48" s="1403"/>
      <c r="M48" s="1403"/>
      <c r="N48" s="1403"/>
      <c r="O48" s="1403"/>
      <c r="P48" s="1403"/>
      <c r="Q48" s="1403"/>
      <c r="R48" s="1403"/>
      <c r="S48" s="1403"/>
      <c r="T48" s="1403"/>
      <c r="U48" s="1403"/>
      <c r="V48" s="1403"/>
      <c r="W48" s="1403"/>
      <c r="X48" s="1403"/>
      <c r="Y48" s="1389" t="s">
        <v>7530</v>
      </c>
      <c r="Z48" s="1390"/>
      <c r="AA48" s="1390"/>
      <c r="AB48" s="1390"/>
      <c r="AC48" s="1390"/>
      <c r="AD48" s="1391"/>
      <c r="AE48" s="1379"/>
      <c r="AF48" s="1380"/>
      <c r="AG48" s="1372" t="s">
        <v>3916</v>
      </c>
      <c r="AH48" s="1404"/>
      <c r="AI48" s="1405">
        <f>UnosPod!F736-UnosPod!F754</f>
        <v>350000</v>
      </c>
      <c r="AJ48" s="1406"/>
      <c r="AK48" s="1407"/>
      <c r="AL48" s="1407"/>
      <c r="AM48" s="1407"/>
      <c r="AN48" s="1407"/>
      <c r="AO48" s="1408"/>
      <c r="AP48" s="1405">
        <f>Prethodna_2024!D178</f>
        <v>0</v>
      </c>
      <c r="AQ48" s="1406"/>
      <c r="AR48" s="1407"/>
      <c r="AS48" s="1407"/>
      <c r="AT48" s="1407"/>
      <c r="AU48" s="1407"/>
      <c r="AV48" s="1408"/>
    </row>
    <row r="49" ht="17.25" customHeight="1" spans="1:48">
      <c r="A49" s="1401" t="s">
        <v>3891</v>
      </c>
      <c r="B49" s="1373"/>
      <c r="C49" s="1402" t="str">
        <f>Text!B122</f>
        <v>Dionička premija</v>
      </c>
      <c r="D49" s="1403"/>
      <c r="E49" s="1403"/>
      <c r="F49" s="1403"/>
      <c r="G49" s="1403"/>
      <c r="H49" s="1403"/>
      <c r="I49" s="1403"/>
      <c r="J49" s="1403"/>
      <c r="K49" s="1403"/>
      <c r="L49" s="1403"/>
      <c r="M49" s="1403"/>
      <c r="N49" s="1403"/>
      <c r="O49" s="1403"/>
      <c r="P49" s="1403"/>
      <c r="Q49" s="1403"/>
      <c r="R49" s="1403"/>
      <c r="S49" s="1403"/>
      <c r="T49" s="1403"/>
      <c r="U49" s="1403"/>
      <c r="V49" s="1403"/>
      <c r="W49" s="1403"/>
      <c r="X49" s="1403"/>
      <c r="Y49" s="1389" t="s">
        <v>5447</v>
      </c>
      <c r="Z49" s="1390"/>
      <c r="AA49" s="1390"/>
      <c r="AB49" s="1390"/>
      <c r="AC49" s="1390"/>
      <c r="AD49" s="1391"/>
      <c r="AE49" s="1379"/>
      <c r="AF49" s="1380"/>
      <c r="AG49" s="1372" t="s">
        <v>541</v>
      </c>
      <c r="AH49" s="1404"/>
      <c r="AI49" s="1405">
        <f>ROUND(UnosPod!F739,0)</f>
        <v>0</v>
      </c>
      <c r="AJ49" s="1406"/>
      <c r="AK49" s="1407"/>
      <c r="AL49" s="1407"/>
      <c r="AM49" s="1407"/>
      <c r="AN49" s="1407"/>
      <c r="AO49" s="1408"/>
      <c r="AP49" s="1405">
        <f>Prethodna_2024!D179</f>
        <v>0</v>
      </c>
      <c r="AQ49" s="1406"/>
      <c r="AR49" s="1407"/>
      <c r="AS49" s="1407"/>
      <c r="AT49" s="1407"/>
      <c r="AU49" s="1407"/>
      <c r="AV49" s="1408"/>
    </row>
    <row r="50" ht="17.25" customHeight="1" spans="1:48">
      <c r="A50" s="1401" t="s">
        <v>3902</v>
      </c>
      <c r="B50" s="1373"/>
      <c r="C50" s="1402" t="str">
        <f>Text!B123</f>
        <v>Rezerve </v>
      </c>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389" t="s">
        <v>7531</v>
      </c>
      <c r="Z50" s="1390"/>
      <c r="AA50" s="1390"/>
      <c r="AB50" s="1390"/>
      <c r="AC50" s="1390"/>
      <c r="AD50" s="1391"/>
      <c r="AE50" s="1379"/>
      <c r="AF50" s="1380"/>
      <c r="AG50" s="1372" t="s">
        <v>3921</v>
      </c>
      <c r="AH50" s="1404"/>
      <c r="AI50" s="1405">
        <f>ROUND(UnosPod!F740+UnosPod!F741,0)</f>
        <v>18462</v>
      </c>
      <c r="AJ50" s="1406"/>
      <c r="AK50" s="1407"/>
      <c r="AL50" s="1407"/>
      <c r="AM50" s="1407"/>
      <c r="AN50" s="1407"/>
      <c r="AO50" s="1408"/>
      <c r="AP50" s="1405">
        <f>Prethodna_2024!D180</f>
        <v>0</v>
      </c>
      <c r="AQ50" s="1406"/>
      <c r="AR50" s="1407"/>
      <c r="AS50" s="1407"/>
      <c r="AT50" s="1407"/>
      <c r="AU50" s="1407"/>
      <c r="AV50" s="1408"/>
    </row>
    <row r="51" ht="17.25" customHeight="1" spans="1:48">
      <c r="A51" s="1401" t="s">
        <v>3905</v>
      </c>
      <c r="B51" s="1373"/>
      <c r="C51" s="1402" t="str">
        <f>Text!B124</f>
        <v>Revalorizacione rezerve </v>
      </c>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389" t="s">
        <v>693</v>
      </c>
      <c r="Z51" s="1390"/>
      <c r="AA51" s="1390"/>
      <c r="AB51" s="1390"/>
      <c r="AC51" s="1390"/>
      <c r="AD51" s="1391"/>
      <c r="AE51" s="1379"/>
      <c r="AF51" s="1380"/>
      <c r="AG51" s="1372" t="s">
        <v>566</v>
      </c>
      <c r="AH51" s="1404"/>
      <c r="AI51" s="1405">
        <f>ROUND(UnosPod!F747,0)</f>
        <v>0</v>
      </c>
      <c r="AJ51" s="1406"/>
      <c r="AK51" s="1407"/>
      <c r="AL51" s="1407"/>
      <c r="AM51" s="1407"/>
      <c r="AN51" s="1407"/>
      <c r="AO51" s="1408"/>
      <c r="AP51" s="1405">
        <f>Prethodna_2024!D181</f>
        <v>0</v>
      </c>
      <c r="AQ51" s="1406"/>
      <c r="AR51" s="1407"/>
      <c r="AS51" s="1407"/>
      <c r="AT51" s="1407"/>
      <c r="AU51" s="1407"/>
      <c r="AV51" s="1408"/>
    </row>
    <row r="52" ht="17.25" customHeight="1" spans="1:48">
      <c r="A52" s="1401" t="s">
        <v>3915</v>
      </c>
      <c r="B52" s="1373"/>
      <c r="C52" s="1402" t="str">
        <f>Text!B125</f>
        <v>Dobit (025+026)</v>
      </c>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389"/>
      <c r="Z52" s="1390"/>
      <c r="AA52" s="1390"/>
      <c r="AB52" s="1390"/>
      <c r="AC52" s="1390"/>
      <c r="AD52" s="1391"/>
      <c r="AE52" s="1379"/>
      <c r="AF52" s="1380"/>
      <c r="AG52" s="1372" t="s">
        <v>3926</v>
      </c>
      <c r="AH52" s="1404"/>
      <c r="AI52" s="1405">
        <f>SUM(AI53:AO54)</f>
        <v>0</v>
      </c>
      <c r="AJ52" s="1406"/>
      <c r="AK52" s="1407"/>
      <c r="AL52" s="1407"/>
      <c r="AM52" s="1407"/>
      <c r="AN52" s="1407"/>
      <c r="AO52" s="1408"/>
      <c r="AP52" s="1405">
        <f>SUM(AP53:AV54)</f>
        <v>0</v>
      </c>
      <c r="AQ52" s="1406"/>
      <c r="AR52" s="1407"/>
      <c r="AS52" s="1407"/>
      <c r="AT52" s="1407"/>
      <c r="AU52" s="1407"/>
      <c r="AV52" s="1408"/>
    </row>
    <row r="53" ht="17.25" customHeight="1" spans="1:48">
      <c r="A53" s="1401" t="s">
        <v>3967</v>
      </c>
      <c r="B53" s="1373"/>
      <c r="C53" s="1436" t="str">
        <f>Text!B126</f>
        <v>Akumulirana, neraspoređena dobit iz prethodnih perioda</v>
      </c>
      <c r="D53" s="1437"/>
      <c r="E53" s="1437"/>
      <c r="F53" s="1437"/>
      <c r="G53" s="1437"/>
      <c r="H53" s="1437"/>
      <c r="I53" s="1437"/>
      <c r="J53" s="1437"/>
      <c r="K53" s="1437"/>
      <c r="L53" s="1437"/>
      <c r="M53" s="1437"/>
      <c r="N53" s="1437"/>
      <c r="O53" s="1437"/>
      <c r="P53" s="1437"/>
      <c r="Q53" s="1437"/>
      <c r="R53" s="1437"/>
      <c r="S53" s="1437"/>
      <c r="T53" s="1437"/>
      <c r="U53" s="1437"/>
      <c r="V53" s="1437"/>
      <c r="W53" s="1437"/>
      <c r="X53" s="1437"/>
      <c r="Y53" s="1389" t="s">
        <v>5459</v>
      </c>
      <c r="Z53" s="1390"/>
      <c r="AA53" s="1390"/>
      <c r="AB53" s="1390"/>
      <c r="AC53" s="1390"/>
      <c r="AD53" s="1391"/>
      <c r="AE53" s="1379"/>
      <c r="AF53" s="1380"/>
      <c r="AG53" s="1372" t="s">
        <v>967</v>
      </c>
      <c r="AH53" s="1404"/>
      <c r="AI53" s="1405">
        <f>ROUND(UnosPod!F748,0)</f>
        <v>0</v>
      </c>
      <c r="AJ53" s="1406"/>
      <c r="AK53" s="1407"/>
      <c r="AL53" s="1407"/>
      <c r="AM53" s="1407"/>
      <c r="AN53" s="1407"/>
      <c r="AO53" s="1408"/>
      <c r="AP53" s="1405">
        <f>Prethodna_2024!D183</f>
        <v>0</v>
      </c>
      <c r="AQ53" s="1406"/>
      <c r="AR53" s="1407"/>
      <c r="AS53" s="1407"/>
      <c r="AT53" s="1407"/>
      <c r="AU53" s="1407"/>
      <c r="AV53" s="1408"/>
    </row>
    <row r="54" ht="17.25" customHeight="1" spans="1:48">
      <c r="A54" s="1401" t="s">
        <v>3969</v>
      </c>
      <c r="B54" s="1373"/>
      <c r="C54" s="1436" t="str">
        <f>Text!B127</f>
        <v>Dobit tekućeg perioda</v>
      </c>
      <c r="D54" s="1437"/>
      <c r="E54" s="1437"/>
      <c r="F54" s="1437"/>
      <c r="G54" s="1437"/>
      <c r="H54" s="1437"/>
      <c r="I54" s="1437"/>
      <c r="J54" s="1437"/>
      <c r="K54" s="1437"/>
      <c r="L54" s="1437"/>
      <c r="M54" s="1437"/>
      <c r="N54" s="1437"/>
      <c r="O54" s="1437"/>
      <c r="P54" s="1437"/>
      <c r="Q54" s="1437"/>
      <c r="R54" s="1437"/>
      <c r="S54" s="1437"/>
      <c r="T54" s="1437"/>
      <c r="U54" s="1437"/>
      <c r="V54" s="1437"/>
      <c r="W54" s="1437"/>
      <c r="X54" s="1437"/>
      <c r="Y54" s="1389" t="s">
        <v>5461</v>
      </c>
      <c r="Z54" s="1390"/>
      <c r="AA54" s="1390"/>
      <c r="AB54" s="1390"/>
      <c r="AC54" s="1390"/>
      <c r="AD54" s="1391"/>
      <c r="AE54" s="1379"/>
      <c r="AF54" s="1380"/>
      <c r="AG54" s="1372" t="s">
        <v>628</v>
      </c>
      <c r="AH54" s="1404"/>
      <c r="AI54" s="1405">
        <f>ROUND(UnosPod!F749,0)</f>
        <v>0</v>
      </c>
      <c r="AJ54" s="1406"/>
      <c r="AK54" s="1407"/>
      <c r="AL54" s="1407"/>
      <c r="AM54" s="1407"/>
      <c r="AN54" s="1407"/>
      <c r="AO54" s="1408"/>
      <c r="AP54" s="1405">
        <f>Prethodna_2024!D184</f>
        <v>0</v>
      </c>
      <c r="AQ54" s="1406"/>
      <c r="AR54" s="1407"/>
      <c r="AS54" s="1407"/>
      <c r="AT54" s="1407"/>
      <c r="AU54" s="1407"/>
      <c r="AV54" s="1408"/>
    </row>
    <row r="55" ht="17.25" customHeight="1" spans="1:48">
      <c r="A55" s="1401" t="s">
        <v>3918</v>
      </c>
      <c r="B55" s="1373"/>
      <c r="C55" s="1402" t="str">
        <f>Text!B128</f>
        <v>Gubitak (028+029)</v>
      </c>
      <c r="D55" s="1403"/>
      <c r="E55" s="1403"/>
      <c r="F55" s="1403"/>
      <c r="G55" s="1403"/>
      <c r="H55" s="1403"/>
      <c r="I55" s="1403"/>
      <c r="J55" s="1403"/>
      <c r="K55" s="1403"/>
      <c r="L55" s="1403"/>
      <c r="M55" s="1403"/>
      <c r="N55" s="1403"/>
      <c r="O55" s="1403"/>
      <c r="P55" s="1403"/>
      <c r="Q55" s="1403"/>
      <c r="R55" s="1403"/>
      <c r="S55" s="1403"/>
      <c r="T55" s="1403"/>
      <c r="U55" s="1403"/>
      <c r="V55" s="1403"/>
      <c r="W55" s="1403"/>
      <c r="X55" s="1403"/>
      <c r="Y55" s="1389"/>
      <c r="Z55" s="1390"/>
      <c r="AA55" s="1390"/>
      <c r="AB55" s="1390"/>
      <c r="AC55" s="1390"/>
      <c r="AD55" s="1391"/>
      <c r="AE55" s="1379"/>
      <c r="AF55" s="1380"/>
      <c r="AG55" s="1372" t="s">
        <v>640</v>
      </c>
      <c r="AH55" s="1404"/>
      <c r="AI55" s="1405">
        <f>SUM(AI56:AO57)</f>
        <v>59197</v>
      </c>
      <c r="AJ55" s="1406"/>
      <c r="AK55" s="1407"/>
      <c r="AL55" s="1407"/>
      <c r="AM55" s="1407"/>
      <c r="AN55" s="1407"/>
      <c r="AO55" s="1408"/>
      <c r="AP55" s="1405">
        <f>SUM(AP56:AV57)</f>
        <v>0</v>
      </c>
      <c r="AQ55" s="1406"/>
      <c r="AR55" s="1407"/>
      <c r="AS55" s="1407"/>
      <c r="AT55" s="1407"/>
      <c r="AU55" s="1407"/>
      <c r="AV55" s="1408"/>
    </row>
    <row r="56" ht="17.25" customHeight="1" spans="1:48">
      <c r="A56" s="1401" t="s">
        <v>4010</v>
      </c>
      <c r="B56" s="1373"/>
      <c r="C56" s="1436" t="str">
        <f>Text!B129</f>
        <v>Akumulirani, nepokriveni gubici iz prethodnih perioda</v>
      </c>
      <c r="D56" s="1437"/>
      <c r="E56" s="1437"/>
      <c r="F56" s="1437"/>
      <c r="G56" s="1437"/>
      <c r="H56" s="1437"/>
      <c r="I56" s="1437"/>
      <c r="J56" s="1437"/>
      <c r="K56" s="1437"/>
      <c r="L56" s="1437"/>
      <c r="M56" s="1437"/>
      <c r="N56" s="1437"/>
      <c r="O56" s="1437"/>
      <c r="P56" s="1437"/>
      <c r="Q56" s="1437"/>
      <c r="R56" s="1437"/>
      <c r="S56" s="1437"/>
      <c r="T56" s="1437"/>
      <c r="U56" s="1437"/>
      <c r="V56" s="1437"/>
      <c r="W56" s="1437"/>
      <c r="X56" s="1437"/>
      <c r="Y56" s="1389" t="s">
        <v>5464</v>
      </c>
      <c r="Z56" s="1390"/>
      <c r="AA56" s="1390"/>
      <c r="AB56" s="1390"/>
      <c r="AC56" s="1390"/>
      <c r="AD56" s="1391"/>
      <c r="AE56" s="1379"/>
      <c r="AF56" s="1380"/>
      <c r="AG56" s="1372" t="s">
        <v>946</v>
      </c>
      <c r="AH56" s="1404"/>
      <c r="AI56" s="1405">
        <f>ROUND(UnosPod!F751,0)</f>
        <v>0</v>
      </c>
      <c r="AJ56" s="1406"/>
      <c r="AK56" s="1407"/>
      <c r="AL56" s="1407"/>
      <c r="AM56" s="1407"/>
      <c r="AN56" s="1407"/>
      <c r="AO56" s="1408"/>
      <c r="AP56" s="1405">
        <f>Prethodna_2024!D186</f>
        <v>0</v>
      </c>
      <c r="AQ56" s="1406"/>
      <c r="AR56" s="1407"/>
      <c r="AS56" s="1407"/>
      <c r="AT56" s="1407"/>
      <c r="AU56" s="1407"/>
      <c r="AV56" s="1408"/>
    </row>
    <row r="57" ht="17.25" customHeight="1" spans="1:48">
      <c r="A57" s="1401" t="s">
        <v>4012</v>
      </c>
      <c r="B57" s="1373"/>
      <c r="C57" s="1436" t="str">
        <f>Text!B130</f>
        <v>Gubitak tekućeg perioda</v>
      </c>
      <c r="D57" s="1437"/>
      <c r="E57" s="1437"/>
      <c r="F57" s="1437"/>
      <c r="G57" s="1437"/>
      <c r="H57" s="1437"/>
      <c r="I57" s="1437"/>
      <c r="J57" s="1437"/>
      <c r="K57" s="1437"/>
      <c r="L57" s="1437"/>
      <c r="M57" s="1437"/>
      <c r="N57" s="1437"/>
      <c r="O57" s="1437"/>
      <c r="P57" s="1437"/>
      <c r="Q57" s="1437"/>
      <c r="R57" s="1437"/>
      <c r="S57" s="1437"/>
      <c r="T57" s="1437"/>
      <c r="U57" s="1437"/>
      <c r="V57" s="1437"/>
      <c r="W57" s="1437"/>
      <c r="X57" s="1437"/>
      <c r="Y57" s="1389" t="s">
        <v>4013</v>
      </c>
      <c r="Z57" s="1390"/>
      <c r="AA57" s="1390"/>
      <c r="AB57" s="1390"/>
      <c r="AC57" s="1390"/>
      <c r="AD57" s="1391"/>
      <c r="AE57" s="1379"/>
      <c r="AF57" s="1380"/>
      <c r="AG57" s="1372" t="s">
        <v>3936</v>
      </c>
      <c r="AH57" s="1404"/>
      <c r="AI57" s="1405">
        <f>ROUND(UnosPod!F752,0)</f>
        <v>59197</v>
      </c>
      <c r="AJ57" s="1406"/>
      <c r="AK57" s="1407"/>
      <c r="AL57" s="1407"/>
      <c r="AM57" s="1407"/>
      <c r="AN57" s="1407"/>
      <c r="AO57" s="1408"/>
      <c r="AP57" s="1405">
        <f>Prethodna_2024!D187</f>
        <v>0</v>
      </c>
      <c r="AQ57" s="1406"/>
      <c r="AR57" s="1407"/>
      <c r="AS57" s="1407"/>
      <c r="AT57" s="1407"/>
      <c r="AU57" s="1407"/>
      <c r="AV57" s="1408"/>
    </row>
    <row r="58" s="1227" customFormat="1" ht="17.25" customHeight="1" spans="1:48">
      <c r="A58" s="1412" t="s">
        <v>3872</v>
      </c>
      <c r="B58" s="1388"/>
      <c r="C58" s="1374" t="str">
        <f>Text!B131</f>
        <v>UKUPNO KAPITAL (020+021+022+023+024-027)</v>
      </c>
      <c r="D58" s="1375"/>
      <c r="E58" s="1375"/>
      <c r="F58" s="1375"/>
      <c r="G58" s="1375"/>
      <c r="H58" s="1375"/>
      <c r="I58" s="1375"/>
      <c r="J58" s="1375"/>
      <c r="K58" s="1375"/>
      <c r="L58" s="1375"/>
      <c r="M58" s="1375"/>
      <c r="N58" s="1375"/>
      <c r="O58" s="1375"/>
      <c r="P58" s="1375"/>
      <c r="Q58" s="1375"/>
      <c r="R58" s="1375"/>
      <c r="S58" s="1375"/>
      <c r="T58" s="1375"/>
      <c r="U58" s="1375"/>
      <c r="V58" s="1375"/>
      <c r="W58" s="1375"/>
      <c r="X58" s="1375"/>
      <c r="Y58" s="1389"/>
      <c r="Z58" s="1390"/>
      <c r="AA58" s="1390"/>
      <c r="AB58" s="1390"/>
      <c r="AC58" s="1390"/>
      <c r="AD58" s="1391"/>
      <c r="AE58" s="1413"/>
      <c r="AF58" s="1414"/>
      <c r="AG58" s="1387" t="s">
        <v>660</v>
      </c>
      <c r="AH58" s="1393"/>
      <c r="AI58" s="1394">
        <f>SUM(AI48:AO51)+AI52-AI55</f>
        <v>309265</v>
      </c>
      <c r="AJ58" s="1395"/>
      <c r="AK58" s="1396"/>
      <c r="AL58" s="1396"/>
      <c r="AM58" s="1396"/>
      <c r="AN58" s="1396"/>
      <c r="AO58" s="1397"/>
      <c r="AP58" s="1394">
        <f>SUM(AP48:AV51)+AP52-AP55</f>
        <v>0</v>
      </c>
      <c r="AQ58" s="1395"/>
      <c r="AR58" s="1396"/>
      <c r="AS58" s="1396"/>
      <c r="AT58" s="1396"/>
      <c r="AU58" s="1396"/>
      <c r="AV58" s="1397"/>
    </row>
    <row r="59" s="1227" customFormat="1" ht="17.25" customHeight="1" spans="1:48">
      <c r="A59" s="1412"/>
      <c r="B59" s="1388"/>
      <c r="C59" s="1402" t="str">
        <f>Text!B132</f>
        <v>OBAVEZE</v>
      </c>
      <c r="D59" s="1403"/>
      <c r="E59" s="1403"/>
      <c r="F59" s="1403"/>
      <c r="G59" s="1403"/>
      <c r="H59" s="1403"/>
      <c r="I59" s="1403"/>
      <c r="J59" s="1403"/>
      <c r="K59" s="1403"/>
      <c r="L59" s="1403"/>
      <c r="M59" s="1403"/>
      <c r="N59" s="1403"/>
      <c r="O59" s="1403"/>
      <c r="P59" s="1403"/>
      <c r="Q59" s="1403"/>
      <c r="R59" s="1403"/>
      <c r="S59" s="1403"/>
      <c r="T59" s="1403"/>
      <c r="U59" s="1403"/>
      <c r="V59" s="1403"/>
      <c r="W59" s="1403"/>
      <c r="X59" s="1403"/>
      <c r="Y59" s="1389"/>
      <c r="Z59" s="1390"/>
      <c r="AA59" s="1390"/>
      <c r="AB59" s="1390"/>
      <c r="AC59" s="1390"/>
      <c r="AD59" s="1391"/>
      <c r="AE59" s="1413"/>
      <c r="AF59" s="1414"/>
      <c r="AG59" s="1387"/>
      <c r="AH59" s="1393"/>
      <c r="AI59" s="1405"/>
      <c r="AJ59" s="1406"/>
      <c r="AK59" s="1407"/>
      <c r="AL59" s="1407"/>
      <c r="AM59" s="1407"/>
      <c r="AN59" s="1407"/>
      <c r="AO59" s="1408"/>
      <c r="AP59" s="1405"/>
      <c r="AQ59" s="1406"/>
      <c r="AR59" s="1407"/>
      <c r="AS59" s="1407"/>
      <c r="AT59" s="1407"/>
      <c r="AU59" s="1407"/>
      <c r="AV59" s="1408"/>
    </row>
    <row r="60" s="1227" customFormat="1" ht="17.25" customHeight="1" spans="1:48">
      <c r="A60" s="1412" t="s">
        <v>3949</v>
      </c>
      <c r="B60" s="1388"/>
      <c r="C60" s="1374" t="str">
        <f>Text!B133</f>
        <v>Dugoročne obaveze (032 do 034)</v>
      </c>
      <c r="D60" s="1375"/>
      <c r="E60" s="1375"/>
      <c r="F60" s="1375"/>
      <c r="G60" s="1375"/>
      <c r="H60" s="1375"/>
      <c r="I60" s="1375"/>
      <c r="J60" s="1375"/>
      <c r="K60" s="1375"/>
      <c r="L60" s="1375"/>
      <c r="M60" s="1375"/>
      <c r="N60" s="1375"/>
      <c r="O60" s="1375"/>
      <c r="P60" s="1375"/>
      <c r="Q60" s="1375"/>
      <c r="R60" s="1375"/>
      <c r="S60" s="1375"/>
      <c r="T60" s="1375"/>
      <c r="U60" s="1375"/>
      <c r="V60" s="1375"/>
      <c r="W60" s="1375"/>
      <c r="X60" s="1375"/>
      <c r="Y60" s="1389"/>
      <c r="Z60" s="1390"/>
      <c r="AA60" s="1390"/>
      <c r="AB60" s="1390"/>
      <c r="AC60" s="1390"/>
      <c r="AD60" s="1391"/>
      <c r="AE60" s="1413"/>
      <c r="AF60" s="1414"/>
      <c r="AG60" s="1387" t="s">
        <v>3941</v>
      </c>
      <c r="AH60" s="1393"/>
      <c r="AI60" s="1394">
        <f>SUM(AI61:AO63)</f>
        <v>0</v>
      </c>
      <c r="AJ60" s="1395"/>
      <c r="AK60" s="1396"/>
      <c r="AL60" s="1396"/>
      <c r="AM60" s="1396"/>
      <c r="AN60" s="1396"/>
      <c r="AO60" s="1397"/>
      <c r="AP60" s="1394">
        <f>SUM(AP61:AV63)</f>
        <v>0</v>
      </c>
      <c r="AQ60" s="1395"/>
      <c r="AR60" s="1396"/>
      <c r="AS60" s="1396"/>
      <c r="AT60" s="1396"/>
      <c r="AU60" s="1396"/>
      <c r="AV60" s="1397"/>
    </row>
    <row r="61" ht="33.75" customHeight="1" spans="1:48">
      <c r="A61" s="1401" t="s">
        <v>3953</v>
      </c>
      <c r="B61" s="1373"/>
      <c r="C61" s="1402" t="str">
        <f>Text!B134</f>
        <v>Finansijske obaveze </v>
      </c>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389" t="s">
        <v>7532</v>
      </c>
      <c r="Z61" s="1390"/>
      <c r="AA61" s="1390"/>
      <c r="AB61" s="1390"/>
      <c r="AC61" s="1390"/>
      <c r="AD61" s="1391"/>
      <c r="AE61" s="1379"/>
      <c r="AF61" s="1380"/>
      <c r="AG61" s="1372" t="s">
        <v>669</v>
      </c>
      <c r="AH61" s="1404"/>
      <c r="AI61" s="1405">
        <f>ROUND(SUM(UnosPod!F772:L777),0)</f>
        <v>0</v>
      </c>
      <c r="AJ61" s="1406"/>
      <c r="AK61" s="1407"/>
      <c r="AL61" s="1407"/>
      <c r="AM61" s="1407"/>
      <c r="AN61" s="1407"/>
      <c r="AO61" s="1408"/>
      <c r="AP61" s="1405">
        <f>Prethodna_2024!D191</f>
        <v>0</v>
      </c>
      <c r="AQ61" s="1406"/>
      <c r="AR61" s="1407"/>
      <c r="AS61" s="1407"/>
      <c r="AT61" s="1407"/>
      <c r="AU61" s="1407"/>
      <c r="AV61" s="1408"/>
    </row>
    <row r="62" s="1227" customFormat="1" ht="33" customHeight="1" spans="1:48">
      <c r="A62" s="1401" t="s">
        <v>3891</v>
      </c>
      <c r="B62" s="1373"/>
      <c r="C62" s="1402" t="str">
        <f>Text!B135</f>
        <v>Rezervisanja</v>
      </c>
      <c r="D62" s="1403"/>
      <c r="E62" s="1403"/>
      <c r="F62" s="1403"/>
      <c r="G62" s="1403"/>
      <c r="H62" s="1403"/>
      <c r="I62" s="1403"/>
      <c r="J62" s="1403"/>
      <c r="K62" s="1403"/>
      <c r="L62" s="1403"/>
      <c r="M62" s="1403"/>
      <c r="N62" s="1403"/>
      <c r="O62" s="1403"/>
      <c r="P62" s="1403"/>
      <c r="Q62" s="1403"/>
      <c r="R62" s="1403"/>
      <c r="S62" s="1403"/>
      <c r="T62" s="1403"/>
      <c r="U62" s="1403"/>
      <c r="V62" s="1403"/>
      <c r="W62" s="1403"/>
      <c r="X62" s="1403"/>
      <c r="Y62" s="1389" t="s">
        <v>7533</v>
      </c>
      <c r="Z62" s="1390"/>
      <c r="AA62" s="1390"/>
      <c r="AB62" s="1390"/>
      <c r="AC62" s="1390"/>
      <c r="AD62" s="1391"/>
      <c r="AE62" s="1413"/>
      <c r="AF62" s="1414"/>
      <c r="AG62" s="1372" t="s">
        <v>677</v>
      </c>
      <c r="AH62" s="1404"/>
      <c r="AI62" s="1405">
        <f>ROUND(SUM(UnosPod!F758:L764)+UnosPod!F767,0)</f>
        <v>0</v>
      </c>
      <c r="AJ62" s="1406"/>
      <c r="AK62" s="1407"/>
      <c r="AL62" s="1407"/>
      <c r="AM62" s="1407"/>
      <c r="AN62" s="1407"/>
      <c r="AO62" s="1408"/>
      <c r="AP62" s="1405">
        <f>Prethodna_2024!D192</f>
        <v>0</v>
      </c>
      <c r="AQ62" s="1406"/>
      <c r="AR62" s="1407"/>
      <c r="AS62" s="1407"/>
      <c r="AT62" s="1407"/>
      <c r="AU62" s="1407"/>
      <c r="AV62" s="1408"/>
    </row>
    <row r="63" ht="35.25" customHeight="1" spans="1:48">
      <c r="A63" s="1401" t="s">
        <v>3902</v>
      </c>
      <c r="B63" s="1373"/>
      <c r="C63" s="1402" t="str">
        <f>Text!B136</f>
        <v>Ostale obaveze, uključujući i razgraničenja</v>
      </c>
      <c r="D63" s="1403"/>
      <c r="E63" s="1403"/>
      <c r="F63" s="1403"/>
      <c r="G63" s="1403"/>
      <c r="H63" s="1403"/>
      <c r="I63" s="1403"/>
      <c r="J63" s="1403"/>
      <c r="K63" s="1403"/>
      <c r="L63" s="1403"/>
      <c r="M63" s="1403"/>
      <c r="N63" s="1403"/>
      <c r="O63" s="1403"/>
      <c r="P63" s="1403"/>
      <c r="Q63" s="1403"/>
      <c r="R63" s="1403"/>
      <c r="S63" s="1403"/>
      <c r="T63" s="1403"/>
      <c r="U63" s="1403"/>
      <c r="V63" s="1403"/>
      <c r="W63" s="1403"/>
      <c r="X63" s="1403"/>
      <c r="Y63" s="1389" t="s">
        <v>7534</v>
      </c>
      <c r="Z63" s="1390"/>
      <c r="AA63" s="1390"/>
      <c r="AB63" s="1390"/>
      <c r="AC63" s="1390"/>
      <c r="AD63" s="1391"/>
      <c r="AE63" s="1379"/>
      <c r="AF63" s="1380"/>
      <c r="AG63" s="1372" t="s">
        <v>686</v>
      </c>
      <c r="AH63" s="1404"/>
      <c r="AI63" s="1405">
        <f>ROUND(UnosPod!F765+UnosPod!F766+UnosPod!F768+UnosPod!F771+UnosPod!F778,0)</f>
        <v>0</v>
      </c>
      <c r="AJ63" s="1406"/>
      <c r="AK63" s="1407"/>
      <c r="AL63" s="1407"/>
      <c r="AM63" s="1407"/>
      <c r="AN63" s="1407"/>
      <c r="AO63" s="1408"/>
      <c r="AP63" s="1405">
        <f>Prethodna_2024!D193</f>
        <v>0</v>
      </c>
      <c r="AQ63" s="1406"/>
      <c r="AR63" s="1407"/>
      <c r="AS63" s="1407"/>
      <c r="AT63" s="1407"/>
      <c r="AU63" s="1407"/>
      <c r="AV63" s="1408"/>
    </row>
    <row r="64" s="1227" customFormat="1" ht="17.25" customHeight="1" spans="1:48">
      <c r="A64" s="1412" t="s">
        <v>3951</v>
      </c>
      <c r="B64" s="1388"/>
      <c r="C64" s="1374" t="str">
        <f>Text!B137</f>
        <v>Kratkoročne obaveze (036 do 040)</v>
      </c>
      <c r="D64" s="1375"/>
      <c r="E64" s="1375"/>
      <c r="F64" s="1375"/>
      <c r="G64" s="1375"/>
      <c r="H64" s="1375"/>
      <c r="I64" s="1375"/>
      <c r="J64" s="1375"/>
      <c r="K64" s="1375"/>
      <c r="L64" s="1375"/>
      <c r="M64" s="1375"/>
      <c r="N64" s="1375"/>
      <c r="O64" s="1375"/>
      <c r="P64" s="1375"/>
      <c r="Q64" s="1375"/>
      <c r="R64" s="1375"/>
      <c r="S64" s="1375"/>
      <c r="T64" s="1375"/>
      <c r="U64" s="1375"/>
      <c r="V64" s="1375"/>
      <c r="W64" s="1375"/>
      <c r="X64" s="1375"/>
      <c r="Y64" s="1389"/>
      <c r="Z64" s="1390"/>
      <c r="AA64" s="1390"/>
      <c r="AB64" s="1390"/>
      <c r="AC64" s="1390"/>
      <c r="AD64" s="1391"/>
      <c r="AE64" s="1413"/>
      <c r="AF64" s="1414"/>
      <c r="AG64" s="1387" t="s">
        <v>695</v>
      </c>
      <c r="AH64" s="1393"/>
      <c r="AI64" s="1394">
        <f>SUM(AI65:AO69)</f>
        <v>290034</v>
      </c>
      <c r="AJ64" s="1395"/>
      <c r="AK64" s="1396"/>
      <c r="AL64" s="1396"/>
      <c r="AM64" s="1396"/>
      <c r="AN64" s="1396"/>
      <c r="AO64" s="1397"/>
      <c r="AP64" s="1394">
        <f>SUM(AP65:AV69)</f>
        <v>0</v>
      </c>
      <c r="AQ64" s="1395"/>
      <c r="AR64" s="1396"/>
      <c r="AS64" s="1396"/>
      <c r="AT64" s="1396"/>
      <c r="AU64" s="1396"/>
      <c r="AV64" s="1397"/>
    </row>
    <row r="65" ht="17.25" customHeight="1" spans="1:48">
      <c r="A65" s="1401" t="s">
        <v>3953</v>
      </c>
      <c r="B65" s="1373"/>
      <c r="C65" s="1402" t="str">
        <f>Text!B138</f>
        <v>Obaveze prema dobavljačima i ugovorne obaveze</v>
      </c>
      <c r="D65" s="1403"/>
      <c r="E65" s="1403"/>
      <c r="F65" s="1403"/>
      <c r="G65" s="1403"/>
      <c r="H65" s="1403"/>
      <c r="I65" s="1403"/>
      <c r="J65" s="1403"/>
      <c r="K65" s="1403"/>
      <c r="L65" s="1403"/>
      <c r="M65" s="1403"/>
      <c r="N65" s="1403"/>
      <c r="O65" s="1403"/>
      <c r="P65" s="1403"/>
      <c r="Q65" s="1403"/>
      <c r="R65" s="1403"/>
      <c r="S65" s="1403"/>
      <c r="T65" s="1403"/>
      <c r="U65" s="1403"/>
      <c r="V65" s="1403"/>
      <c r="W65" s="1403"/>
      <c r="X65" s="1403"/>
      <c r="Y65" s="1389" t="s">
        <v>7535</v>
      </c>
      <c r="Z65" s="1390"/>
      <c r="AA65" s="1390"/>
      <c r="AB65" s="1390"/>
      <c r="AC65" s="1390"/>
      <c r="AD65" s="1391"/>
      <c r="AE65" s="1379"/>
      <c r="AF65" s="1380"/>
      <c r="AG65" s="1372" t="s">
        <v>704</v>
      </c>
      <c r="AH65" s="1404"/>
      <c r="AI65" s="1405">
        <f>ROUND(SUM(UnosPod!F790:L794),0)</f>
        <v>22856</v>
      </c>
      <c r="AJ65" s="1406"/>
      <c r="AK65" s="1407"/>
      <c r="AL65" s="1407"/>
      <c r="AM65" s="1407"/>
      <c r="AN65" s="1407"/>
      <c r="AO65" s="1408"/>
      <c r="AP65" s="1405">
        <f>Prethodna_2024!D195</f>
        <v>0</v>
      </c>
      <c r="AQ65" s="1406"/>
      <c r="AR65" s="1407"/>
      <c r="AS65" s="1407"/>
      <c r="AT65" s="1407"/>
      <c r="AU65" s="1407"/>
      <c r="AV65" s="1408"/>
    </row>
    <row r="66" ht="17.25" customHeight="1" spans="1:48">
      <c r="A66" s="1401" t="s">
        <v>3891</v>
      </c>
      <c r="B66" s="1373"/>
      <c r="C66" s="1402" t="str">
        <f>Text!B139</f>
        <v>Ostale finansijske obaveze </v>
      </c>
      <c r="D66" s="1403"/>
      <c r="E66" s="1403"/>
      <c r="F66" s="1403"/>
      <c r="G66" s="1403"/>
      <c r="H66" s="1403"/>
      <c r="I66" s="1403"/>
      <c r="J66" s="1403"/>
      <c r="K66" s="1403"/>
      <c r="L66" s="1403"/>
      <c r="M66" s="1403"/>
      <c r="N66" s="1403"/>
      <c r="O66" s="1403"/>
      <c r="P66" s="1403"/>
      <c r="Q66" s="1403"/>
      <c r="R66" s="1403"/>
      <c r="S66" s="1403"/>
      <c r="T66" s="1403"/>
      <c r="U66" s="1403"/>
      <c r="V66" s="1403"/>
      <c r="W66" s="1403"/>
      <c r="X66" s="1403"/>
      <c r="Y66" s="1389" t="s">
        <v>7536</v>
      </c>
      <c r="Z66" s="1390"/>
      <c r="AA66" s="1390"/>
      <c r="AB66" s="1390"/>
      <c r="AC66" s="1390"/>
      <c r="AD66" s="1391"/>
      <c r="AE66" s="1379"/>
      <c r="AF66" s="1380"/>
      <c r="AG66" s="1372" t="s">
        <v>712</v>
      </c>
      <c r="AH66" s="1404"/>
      <c r="AI66" s="1405">
        <f>ROUND(UnosPod!F788+UnosPod!F800+UnosPod!F815,0)</f>
        <v>0</v>
      </c>
      <c r="AJ66" s="1406"/>
      <c r="AK66" s="1407"/>
      <c r="AL66" s="1407"/>
      <c r="AM66" s="1407"/>
      <c r="AN66" s="1407"/>
      <c r="AO66" s="1408"/>
      <c r="AP66" s="1405">
        <f>Prethodna_2024!D196</f>
        <v>0</v>
      </c>
      <c r="AQ66" s="1406"/>
      <c r="AR66" s="1407"/>
      <c r="AS66" s="1407"/>
      <c r="AT66" s="1407"/>
      <c r="AU66" s="1407"/>
      <c r="AV66" s="1408"/>
    </row>
    <row r="67" ht="17.25" customHeight="1" spans="1:48">
      <c r="A67" s="1401" t="s">
        <v>3902</v>
      </c>
      <c r="B67" s="1373"/>
      <c r="C67" s="1402" t="str">
        <f>Text!B140</f>
        <v>Rezervisanja</v>
      </c>
      <c r="D67" s="1403"/>
      <c r="E67" s="1403"/>
      <c r="F67" s="1403"/>
      <c r="G67" s="1403"/>
      <c r="H67" s="1403"/>
      <c r="I67" s="1403"/>
      <c r="J67" s="1403"/>
      <c r="K67" s="1403"/>
      <c r="L67" s="1403"/>
      <c r="M67" s="1403"/>
      <c r="N67" s="1403"/>
      <c r="O67" s="1403"/>
      <c r="P67" s="1403"/>
      <c r="Q67" s="1403"/>
      <c r="R67" s="1403"/>
      <c r="S67" s="1403"/>
      <c r="T67" s="1403"/>
      <c r="U67" s="1403"/>
      <c r="V67" s="1403"/>
      <c r="W67" s="1403"/>
      <c r="X67" s="1403"/>
      <c r="Y67" s="1389" t="s">
        <v>5590</v>
      </c>
      <c r="Z67" s="1390"/>
      <c r="AA67" s="1390"/>
      <c r="AB67" s="1390"/>
      <c r="AC67" s="1390"/>
      <c r="AD67" s="1391"/>
      <c r="AE67" s="1379"/>
      <c r="AF67" s="1380"/>
      <c r="AG67" s="1372" t="s">
        <v>720</v>
      </c>
      <c r="AH67" s="1404"/>
      <c r="AI67" s="1405">
        <f>ROUND(UnosPod!F844,0)</f>
        <v>0</v>
      </c>
      <c r="AJ67" s="1406"/>
      <c r="AK67" s="1407"/>
      <c r="AL67" s="1407"/>
      <c r="AM67" s="1407"/>
      <c r="AN67" s="1407"/>
      <c r="AO67" s="1408"/>
      <c r="AP67" s="1405">
        <f>Prethodna_2024!D197</f>
        <v>0</v>
      </c>
      <c r="AQ67" s="1406"/>
      <c r="AR67" s="1407"/>
      <c r="AS67" s="1407"/>
      <c r="AT67" s="1407"/>
      <c r="AU67" s="1407"/>
      <c r="AV67" s="1408"/>
    </row>
    <row r="68" ht="17.25" customHeight="1" spans="1:48">
      <c r="A68" s="1401" t="s">
        <v>3905</v>
      </c>
      <c r="B68" s="1373"/>
      <c r="C68" s="1402" t="str">
        <f>Text!B141</f>
        <v>Obaveze za porez na dobit</v>
      </c>
      <c r="D68" s="1403"/>
      <c r="E68" s="1403"/>
      <c r="F68" s="1403"/>
      <c r="G68" s="1403"/>
      <c r="H68" s="1403"/>
      <c r="I68" s="1403"/>
      <c r="J68" s="1403"/>
      <c r="K68" s="1403"/>
      <c r="L68" s="1403"/>
      <c r="M68" s="1403"/>
      <c r="N68" s="1403"/>
      <c r="O68" s="1403"/>
      <c r="P68" s="1403"/>
      <c r="Q68" s="1403"/>
      <c r="R68" s="1403"/>
      <c r="S68" s="1403"/>
      <c r="T68" s="1403"/>
      <c r="U68" s="1403"/>
      <c r="V68" s="1403"/>
      <c r="W68" s="1403"/>
      <c r="X68" s="1403"/>
      <c r="Y68" s="1389" t="s">
        <v>7089</v>
      </c>
      <c r="Z68" s="1390"/>
      <c r="AA68" s="1390"/>
      <c r="AB68" s="1390"/>
      <c r="AC68" s="1390"/>
      <c r="AD68" s="1391"/>
      <c r="AE68" s="1379"/>
      <c r="AF68" s="1380"/>
      <c r="AG68" s="1372" t="s">
        <v>3955</v>
      </c>
      <c r="AH68" s="1404"/>
      <c r="AI68" s="1405">
        <f>ROUND(UnosPod!F836,0)</f>
        <v>22437</v>
      </c>
      <c r="AJ68" s="1406"/>
      <c r="AK68" s="1407"/>
      <c r="AL68" s="1407"/>
      <c r="AM68" s="1407"/>
      <c r="AN68" s="1407"/>
      <c r="AO68" s="1408"/>
      <c r="AP68" s="1405">
        <f>Prethodna_2024!D198</f>
        <v>0</v>
      </c>
      <c r="AQ68" s="1406"/>
      <c r="AR68" s="1407"/>
      <c r="AS68" s="1407"/>
      <c r="AT68" s="1407"/>
      <c r="AU68" s="1407"/>
      <c r="AV68" s="1408"/>
    </row>
    <row r="69" ht="81.75" customHeight="1" spans="1:48">
      <c r="A69" s="1401" t="s">
        <v>3915</v>
      </c>
      <c r="B69" s="1373"/>
      <c r="C69" s="1402" t="str">
        <f>Text!B142</f>
        <v>Ostale obaveze, uključujući i razgraničenja</v>
      </c>
      <c r="D69" s="1403"/>
      <c r="E69" s="1403"/>
      <c r="F69" s="1403"/>
      <c r="G69" s="1403"/>
      <c r="H69" s="1403"/>
      <c r="I69" s="1403"/>
      <c r="J69" s="1403"/>
      <c r="K69" s="1403"/>
      <c r="L69" s="1403"/>
      <c r="M69" s="1403"/>
      <c r="N69" s="1403"/>
      <c r="O69" s="1403"/>
      <c r="P69" s="1403"/>
      <c r="Q69" s="1403"/>
      <c r="R69" s="1403"/>
      <c r="S69" s="1403"/>
      <c r="T69" s="1403"/>
      <c r="U69" s="1403"/>
      <c r="V69" s="1403"/>
      <c r="W69" s="1403"/>
      <c r="X69" s="1403"/>
      <c r="Y69" s="1389" t="s">
        <v>7537</v>
      </c>
      <c r="Z69" s="1390"/>
      <c r="AA69" s="1390"/>
      <c r="AB69" s="1390"/>
      <c r="AC69" s="1390"/>
      <c r="AD69" s="1391"/>
      <c r="AE69" s="1379"/>
      <c r="AF69" s="1380"/>
      <c r="AG69" s="1372" t="s">
        <v>735</v>
      </c>
      <c r="AH69" s="1404"/>
      <c r="AI69" s="1405">
        <f>ROUND(UnosPod!F810+UnosPod!F834+UnosPod!F849-UnosPod!F844+UnosPod!F789+UnosPod!F795+UnosPod!F796+SUM(UnosPod!F816:L824)+UnosPod!F841-UnosPod!F836,0)</f>
        <v>244741</v>
      </c>
      <c r="AJ69" s="1406"/>
      <c r="AK69" s="1407"/>
      <c r="AL69" s="1407"/>
      <c r="AM69" s="1407"/>
      <c r="AN69" s="1407"/>
      <c r="AO69" s="1408"/>
      <c r="AP69" s="1405">
        <f>Prethodna_2024!D199</f>
        <v>0</v>
      </c>
      <c r="AQ69" s="1406"/>
      <c r="AR69" s="1407"/>
      <c r="AS69" s="1407"/>
      <c r="AT69" s="1407"/>
      <c r="AU69" s="1407"/>
      <c r="AV69" s="1408"/>
    </row>
    <row r="70" s="1227" customFormat="1" ht="17.25" customHeight="1" spans="1:48">
      <c r="A70" s="1412" t="s">
        <v>3983</v>
      </c>
      <c r="B70" s="1388"/>
      <c r="C70" s="1374" t="str">
        <f>Text!B143</f>
        <v>UKUPNO OBAVEZE (031+035)</v>
      </c>
      <c r="D70" s="1375"/>
      <c r="E70" s="1375"/>
      <c r="F70" s="1375"/>
      <c r="G70" s="1375"/>
      <c r="H70" s="1375"/>
      <c r="I70" s="1375"/>
      <c r="J70" s="1375"/>
      <c r="K70" s="1375"/>
      <c r="L70" s="1375"/>
      <c r="M70" s="1375"/>
      <c r="N70" s="1375"/>
      <c r="O70" s="1375"/>
      <c r="P70" s="1375"/>
      <c r="Q70" s="1375"/>
      <c r="R70" s="1375"/>
      <c r="S70" s="1375"/>
      <c r="T70" s="1375"/>
      <c r="U70" s="1375"/>
      <c r="V70" s="1375"/>
      <c r="W70" s="1375"/>
      <c r="X70" s="1375"/>
      <c r="Y70" s="1389"/>
      <c r="Z70" s="1390"/>
      <c r="AA70" s="1390"/>
      <c r="AB70" s="1390"/>
      <c r="AC70" s="1390"/>
      <c r="AD70" s="1391"/>
      <c r="AE70" s="1413"/>
      <c r="AF70" s="1414"/>
      <c r="AG70" s="1387" t="s">
        <v>742</v>
      </c>
      <c r="AH70" s="1393"/>
      <c r="AI70" s="1394">
        <f>AI60+AI64</f>
        <v>290034</v>
      </c>
      <c r="AJ70" s="1395"/>
      <c r="AK70" s="1396"/>
      <c r="AL70" s="1396"/>
      <c r="AM70" s="1396"/>
      <c r="AN70" s="1396"/>
      <c r="AO70" s="1397"/>
      <c r="AP70" s="1394">
        <f>AP60+AP64</f>
        <v>0</v>
      </c>
      <c r="AQ70" s="1395"/>
      <c r="AR70" s="1396"/>
      <c r="AS70" s="1396"/>
      <c r="AT70" s="1396"/>
      <c r="AU70" s="1396"/>
      <c r="AV70" s="1397"/>
    </row>
    <row r="71" s="1227" customFormat="1" ht="17.25" customHeight="1" spans="1:48">
      <c r="A71" s="1412" t="s">
        <v>3985</v>
      </c>
      <c r="B71" s="1388"/>
      <c r="C71" s="1374" t="str">
        <f>Text!B144</f>
        <v>UKUPNO KAPITAL I OBAVEZE</v>
      </c>
      <c r="D71" s="1375"/>
      <c r="E71" s="1375"/>
      <c r="F71" s="1375"/>
      <c r="G71" s="1375"/>
      <c r="H71" s="1375"/>
      <c r="I71" s="1375"/>
      <c r="J71" s="1375"/>
      <c r="K71" s="1375"/>
      <c r="L71" s="1375"/>
      <c r="M71" s="1375"/>
      <c r="N71" s="1375"/>
      <c r="O71" s="1375"/>
      <c r="P71" s="1375"/>
      <c r="Q71" s="1375"/>
      <c r="R71" s="1375"/>
      <c r="S71" s="1375"/>
      <c r="T71" s="1375"/>
      <c r="U71" s="1375"/>
      <c r="V71" s="1375"/>
      <c r="W71" s="1375"/>
      <c r="X71" s="1375"/>
      <c r="Y71" s="1389"/>
      <c r="Z71" s="1390"/>
      <c r="AA71" s="1390"/>
      <c r="AB71" s="1390"/>
      <c r="AC71" s="1390"/>
      <c r="AD71" s="1391"/>
      <c r="AE71" s="1413"/>
      <c r="AF71" s="1414"/>
      <c r="AG71" s="1387" t="s">
        <v>750</v>
      </c>
      <c r="AH71" s="1393"/>
      <c r="AI71" s="1398">
        <f>AI58+AI70</f>
        <v>599299</v>
      </c>
      <c r="AJ71" s="1399"/>
      <c r="AK71" s="1399"/>
      <c r="AL71" s="1399"/>
      <c r="AM71" s="1399"/>
      <c r="AN71" s="1399"/>
      <c r="AO71" s="1400"/>
      <c r="AP71" s="1398">
        <f>AP58+AP70</f>
        <v>0</v>
      </c>
      <c r="AQ71" s="1399"/>
      <c r="AR71" s="1399"/>
      <c r="AS71" s="1399"/>
      <c r="AT71" s="1399"/>
      <c r="AU71" s="1399"/>
      <c r="AV71" s="1400"/>
    </row>
    <row r="72" ht="17.25" customHeight="1" spans="1:48">
      <c r="A72" s="1401" t="s">
        <v>3987</v>
      </c>
      <c r="B72" s="1373"/>
      <c r="C72" s="1402" t="str">
        <f>Text!B145</f>
        <v>VANBILANSNA EVIDENCIJA</v>
      </c>
      <c r="D72" s="1403"/>
      <c r="E72" s="1403"/>
      <c r="F72" s="1403"/>
      <c r="G72" s="1403"/>
      <c r="H72" s="1403"/>
      <c r="I72" s="1403"/>
      <c r="J72" s="1403"/>
      <c r="K72" s="1403"/>
      <c r="L72" s="1403"/>
      <c r="M72" s="1403"/>
      <c r="N72" s="1403"/>
      <c r="O72" s="1403"/>
      <c r="P72" s="1403"/>
      <c r="Q72" s="1403"/>
      <c r="R72" s="1403"/>
      <c r="S72" s="1403"/>
      <c r="T72" s="1403"/>
      <c r="U72" s="1403"/>
      <c r="V72" s="1403"/>
      <c r="W72" s="1403"/>
      <c r="X72" s="1403"/>
      <c r="Y72" s="1389"/>
      <c r="Z72" s="1390"/>
      <c r="AA72" s="1390"/>
      <c r="AB72" s="1390"/>
      <c r="AC72" s="1390"/>
      <c r="AD72" s="1391"/>
      <c r="AE72" s="1379"/>
      <c r="AF72" s="1380"/>
      <c r="AG72" s="1372" t="s">
        <v>756</v>
      </c>
      <c r="AH72" s="1404"/>
      <c r="AI72" s="1405">
        <f>ROUND(UnosPod!F853,0)</f>
        <v>0</v>
      </c>
      <c r="AJ72" s="1406"/>
      <c r="AK72" s="1407"/>
      <c r="AL72" s="1407"/>
      <c r="AM72" s="1407"/>
      <c r="AN72" s="1407"/>
      <c r="AO72" s="1408"/>
      <c r="AP72" s="1405">
        <f>Prethodna_2024!D202</f>
        <v>0</v>
      </c>
      <c r="AQ72" s="1406"/>
      <c r="AR72" s="1407"/>
      <c r="AS72" s="1407"/>
      <c r="AT72" s="1407"/>
      <c r="AU72" s="1407"/>
      <c r="AV72" s="1408"/>
    </row>
    <row r="73" s="1227" customFormat="1" ht="17.25" customHeight="1" spans="1:48">
      <c r="A73" s="1412" t="s">
        <v>4041</v>
      </c>
      <c r="B73" s="1388"/>
      <c r="C73" s="1374" t="str">
        <f>Text!B146</f>
        <v>UKUPNO KAPITAL, OBAVEZE I VANBILANSNA EVIDENCIJA (042+043)</v>
      </c>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89"/>
      <c r="Z73" s="1390"/>
      <c r="AA73" s="1390"/>
      <c r="AB73" s="1390"/>
      <c r="AC73" s="1390"/>
      <c r="AD73" s="1391"/>
      <c r="AE73" s="1413"/>
      <c r="AF73" s="1414"/>
      <c r="AG73" s="1387" t="s">
        <v>765</v>
      </c>
      <c r="AH73" s="1393"/>
      <c r="AI73" s="1394">
        <f>AI71+AI72</f>
        <v>599299</v>
      </c>
      <c r="AJ73" s="1395"/>
      <c r="AK73" s="1396"/>
      <c r="AL73" s="1396"/>
      <c r="AM73" s="1396"/>
      <c r="AN73" s="1396"/>
      <c r="AO73" s="1397"/>
      <c r="AP73" s="1394">
        <f>AP71+AP72</f>
        <v>0</v>
      </c>
      <c r="AQ73" s="1395"/>
      <c r="AR73" s="1396"/>
      <c r="AS73" s="1396"/>
      <c r="AT73" s="1396"/>
      <c r="AU73" s="1396"/>
      <c r="AV73" s="1397"/>
    </row>
    <row r="74" s="1227" customFormat="1" ht="18" customHeight="1" spans="1:48">
      <c r="AI74" s="1438">
        <f>AI39-AI73</f>
        <v>0</v>
      </c>
      <c r="AJ74" s="1438"/>
      <c r="AK74" s="1438"/>
      <c r="AL74" s="1438"/>
      <c r="AM74" s="1438"/>
      <c r="AN74" s="1438"/>
      <c r="AO74" s="1438"/>
      <c r="AP74" s="1438">
        <f>AP39-AP73</f>
        <v>0</v>
      </c>
      <c r="AQ74" s="1438"/>
      <c r="AR74" s="1438"/>
      <c r="AS74" s="1438"/>
      <c r="AT74" s="1438"/>
      <c r="AU74" s="1438"/>
      <c r="AV74" s="1438"/>
    </row>
    <row r="75" s="1227" customFormat="1" ht="18" customHeight="1" spans="1:48">
      <c r="AI75" s="1439"/>
      <c r="AJ75" s="1439"/>
      <c r="AK75" s="1439"/>
      <c r="AL75" s="1439"/>
      <c r="AM75" s="1439"/>
      <c r="AN75" s="1439"/>
      <c r="AO75" s="1439"/>
      <c r="AP75" s="1439"/>
      <c r="AQ75" s="1439"/>
      <c r="AR75" s="1439"/>
      <c r="AS75" s="1439"/>
      <c r="AT75" s="1439"/>
      <c r="AU75" s="1439"/>
      <c r="AV75" s="1439"/>
    </row>
    <row r="76" s="1340" customFormat="1" ht="14.25" customHeight="1" spans="1:48">
      <c r="A76" s="1440" t="str">
        <f>Text!B43</f>
        <v>U</v>
      </c>
      <c r="B76" s="1440"/>
      <c r="C76" s="1340" t="str">
        <f>Sjedište</f>
        <v>Sarajevo-Stari Grad</v>
      </c>
      <c r="AM76" s="1244" t="str">
        <f>Text!B44</f>
        <v>Direktor</v>
      </c>
      <c r="AN76" s="1244"/>
      <c r="AO76" s="1244"/>
      <c r="AP76" s="1244"/>
      <c r="AQ76" s="1244"/>
      <c r="AR76" s="1244"/>
      <c r="AS76" s="1244"/>
      <c r="AT76" s="1244"/>
      <c r="AU76" s="1244"/>
      <c r="AV76" s="1244"/>
    </row>
    <row r="77" s="1340" customFormat="1" ht="14.25" customHeight="1" spans="1:48">
      <c r="A77" s="1440" t="str">
        <f>Text!B40</f>
        <v>Dana</v>
      </c>
      <c r="B77" s="1440"/>
      <c r="C77" s="1441" t="str">
        <f>UnosPod!AA22&amp;UnosPod!AB22&amp;"."&amp;UnosPod!AC22&amp;UnosPod!AD22&amp;"."&amp;UnosPod!AE22&amp;UnosPod!AF22&amp;UnosPod!AG22&amp;UnosPod!AH22&amp;"."&amp;Text!B31</f>
        <v>28.02.2026.godine</v>
      </c>
      <c r="D77" s="1441"/>
      <c r="E77" s="1441"/>
      <c r="F77" s="1441"/>
      <c r="G77" s="1441"/>
      <c r="O77" s="1440" t="str">
        <f>Text!B41</f>
        <v>Certificirani računovođa : </v>
      </c>
      <c r="P77" s="1442" t="str">
        <f>Racunovoda</f>
        <v>Elvira Žilić</v>
      </c>
      <c r="AI77" s="1340" t="s">
        <v>7039</v>
      </c>
      <c r="AN77" s="1443"/>
      <c r="AO77" s="1443"/>
      <c r="AP77" s="1443"/>
      <c r="AQ77" s="1443"/>
      <c r="AR77" s="1443"/>
      <c r="AS77" s="1443"/>
      <c r="AT77" s="1443"/>
      <c r="AU77" s="1443"/>
      <c r="AV77" s="1443"/>
    </row>
    <row r="78" s="1340" customFormat="1" ht="14.25" customHeight="1" spans="1:48">
      <c r="O78" s="1440" t="str">
        <f>Text!B42</f>
        <v>Broj dozvole : </v>
      </c>
      <c r="P78" s="1444" t="str">
        <f>UnosPod!AA3</f>
        <v>CR-8559/5</v>
      </c>
      <c r="Q78" s="1445"/>
      <c r="R78" s="1445"/>
      <c r="S78" s="1445"/>
      <c r="T78" s="1445"/>
      <c r="U78" s="1445"/>
      <c r="V78" s="1445"/>
      <c r="W78" s="1445"/>
      <c r="X78" s="1445"/>
      <c r="AM78" s="1446" t="str">
        <f>Direktor</f>
        <v>Nedim Vilogorac</v>
      </c>
      <c r="AN78" s="1446"/>
      <c r="AO78" s="1446"/>
      <c r="AP78" s="1446"/>
      <c r="AQ78" s="1446"/>
      <c r="AR78" s="1446"/>
      <c r="AS78" s="1446"/>
      <c r="AT78" s="1446"/>
      <c r="AU78" s="1446"/>
      <c r="AV78" s="1446"/>
    </row>
    <row r="79" s="1340" customFormat="1" ht="14.25" customHeight="1"/>
  </sheetData>
  <mergeCells count="377">
    <mergeCell ref="AL1:AV1"/>
    <mergeCell ref="AM2:AV2"/>
    <mergeCell ref="AL3:AV3"/>
    <mergeCell ref="AM4:AV4"/>
    <mergeCell ref="AM6:AV6"/>
    <mergeCell ref="AM8:AV8"/>
    <mergeCell ref="AM10:AV10"/>
    <mergeCell ref="A13:AV13"/>
    <mergeCell ref="A14:AV14"/>
    <mergeCell ref="A15:AV15"/>
    <mergeCell ref="AI17:AO17"/>
    <mergeCell ref="AP17:AV17"/>
    <mergeCell ref="AI18:AO18"/>
    <mergeCell ref="AP18:AV18"/>
    <mergeCell ref="A19:B19"/>
    <mergeCell ref="C19:X19"/>
    <mergeCell ref="Y19:AD19"/>
    <mergeCell ref="AE19:AF19"/>
    <mergeCell ref="AG19:AH19"/>
    <mergeCell ref="AI19:AO19"/>
    <mergeCell ref="AP19:AV19"/>
    <mergeCell ref="A20:B20"/>
    <mergeCell ref="C20:X20"/>
    <mergeCell ref="AE20:AF20"/>
    <mergeCell ref="AI20:AO20"/>
    <mergeCell ref="AP20:AV20"/>
    <mergeCell ref="A21:B21"/>
    <mergeCell ref="C21:X21"/>
    <mergeCell ref="Y21:AD21"/>
    <mergeCell ref="AE21:AF21"/>
    <mergeCell ref="AG21:AH21"/>
    <mergeCell ref="AI21:AO21"/>
    <mergeCell ref="AP21:AV21"/>
    <mergeCell ref="A22:B22"/>
    <mergeCell ref="C22:X22"/>
    <mergeCell ref="Y22:AD22"/>
    <mergeCell ref="AE22:AF22"/>
    <mergeCell ref="AG22:AH22"/>
    <mergeCell ref="AI22:AO22"/>
    <mergeCell ref="AP22:AV22"/>
    <mergeCell ref="A23:B23"/>
    <mergeCell ref="C23:X23"/>
    <mergeCell ref="Y23:AD23"/>
    <mergeCell ref="AE23:AF23"/>
    <mergeCell ref="AG23:AH23"/>
    <mergeCell ref="AI23:AO23"/>
    <mergeCell ref="AP23:AV23"/>
    <mergeCell ref="A24:B24"/>
    <mergeCell ref="C24:X24"/>
    <mergeCell ref="Y24:AD24"/>
    <mergeCell ref="AE24:AF24"/>
    <mergeCell ref="AG24:AH24"/>
    <mergeCell ref="AI24:AO24"/>
    <mergeCell ref="AP24:AV24"/>
    <mergeCell ref="A25:B25"/>
    <mergeCell ref="C25:X25"/>
    <mergeCell ref="Y25:AD25"/>
    <mergeCell ref="AE25:AF25"/>
    <mergeCell ref="AG25:AH25"/>
    <mergeCell ref="AI25:AO25"/>
    <mergeCell ref="AP25:AV25"/>
    <mergeCell ref="A26:B26"/>
    <mergeCell ref="C26:X26"/>
    <mergeCell ref="Y26:AD26"/>
    <mergeCell ref="AE26:AF26"/>
    <mergeCell ref="AG26:AH26"/>
    <mergeCell ref="AI26:AO26"/>
    <mergeCell ref="AP26:AV26"/>
    <mergeCell ref="A27:B27"/>
    <mergeCell ref="C27:X27"/>
    <mergeCell ref="Y27:AD27"/>
    <mergeCell ref="AE27:AF27"/>
    <mergeCell ref="AG27:AH27"/>
    <mergeCell ref="AI27:AO27"/>
    <mergeCell ref="AP27:AV27"/>
    <mergeCell ref="A28:B28"/>
    <mergeCell ref="C28:X28"/>
    <mergeCell ref="Y28:AD28"/>
    <mergeCell ref="AE28:AF28"/>
    <mergeCell ref="AG28:AH28"/>
    <mergeCell ref="AI28:AO28"/>
    <mergeCell ref="AP28:AV28"/>
    <mergeCell ref="A29:B29"/>
    <mergeCell ref="C29:X29"/>
    <mergeCell ref="Y29:AD29"/>
    <mergeCell ref="AE29:AF29"/>
    <mergeCell ref="AG29:AH29"/>
    <mergeCell ref="AI29:AO29"/>
    <mergeCell ref="AP29:AV29"/>
    <mergeCell ref="A30:B30"/>
    <mergeCell ref="C30:X30"/>
    <mergeCell ref="Y30:AD30"/>
    <mergeCell ref="AE30:AF30"/>
    <mergeCell ref="AG30:AH30"/>
    <mergeCell ref="AI30:AO30"/>
    <mergeCell ref="AP30:AV30"/>
    <mergeCell ref="A31:B31"/>
    <mergeCell ref="C31:X31"/>
    <mergeCell ref="Y31:AD31"/>
    <mergeCell ref="AE31:AF31"/>
    <mergeCell ref="AG31:AH31"/>
    <mergeCell ref="AI31:AO31"/>
    <mergeCell ref="AP31:AV31"/>
    <mergeCell ref="A32:B32"/>
    <mergeCell ref="C32:X32"/>
    <mergeCell ref="Y32:AD32"/>
    <mergeCell ref="AE32:AF32"/>
    <mergeCell ref="AG32:AH32"/>
    <mergeCell ref="AI32:AO32"/>
    <mergeCell ref="AP32:AV32"/>
    <mergeCell ref="A33:B33"/>
    <mergeCell ref="C33:X33"/>
    <mergeCell ref="Y33:AD33"/>
    <mergeCell ref="AE33:AF33"/>
    <mergeCell ref="AG33:AH33"/>
    <mergeCell ref="AI33:AO33"/>
    <mergeCell ref="AP33:AV33"/>
    <mergeCell ref="A34:B34"/>
    <mergeCell ref="C34:X34"/>
    <mergeCell ref="Y34:AD34"/>
    <mergeCell ref="AE34:AF34"/>
    <mergeCell ref="AG34:AH34"/>
    <mergeCell ref="AI34:AO34"/>
    <mergeCell ref="AP34:AV34"/>
    <mergeCell ref="A35:B35"/>
    <mergeCell ref="C35:X35"/>
    <mergeCell ref="Y35:AD35"/>
    <mergeCell ref="AE35:AF35"/>
    <mergeCell ref="AG35:AH35"/>
    <mergeCell ref="AI35:AO35"/>
    <mergeCell ref="AP35:AV35"/>
    <mergeCell ref="A36:B36"/>
    <mergeCell ref="C36:X36"/>
    <mergeCell ref="Y36:AD36"/>
    <mergeCell ref="AE36:AF36"/>
    <mergeCell ref="AG36:AH36"/>
    <mergeCell ref="AI36:AO36"/>
    <mergeCell ref="AP36:AV36"/>
    <mergeCell ref="A37:B37"/>
    <mergeCell ref="C37:X37"/>
    <mergeCell ref="Y37:AD37"/>
    <mergeCell ref="AE37:AF37"/>
    <mergeCell ref="AG37:AH37"/>
    <mergeCell ref="AI37:AO37"/>
    <mergeCell ref="AP37:AV37"/>
    <mergeCell ref="A38:B38"/>
    <mergeCell ref="C38:X38"/>
    <mergeCell ref="Y38:AD38"/>
    <mergeCell ref="AE38:AF38"/>
    <mergeCell ref="AG38:AH38"/>
    <mergeCell ref="AI38:AO38"/>
    <mergeCell ref="AP38:AV38"/>
    <mergeCell ref="A39:B39"/>
    <mergeCell ref="C39:X39"/>
    <mergeCell ref="Y39:AD39"/>
    <mergeCell ref="AE39:AF39"/>
    <mergeCell ref="AG39:AH39"/>
    <mergeCell ref="AI39:AO39"/>
    <mergeCell ref="AP39:AV39"/>
    <mergeCell ref="A44:B44"/>
    <mergeCell ref="AG44:AH44"/>
    <mergeCell ref="AI44:AO44"/>
    <mergeCell ref="AP44:AV44"/>
    <mergeCell ref="A45:B45"/>
    <mergeCell ref="AG45:AH45"/>
    <mergeCell ref="AI45:AO45"/>
    <mergeCell ref="AP45:AV45"/>
    <mergeCell ref="A46:B46"/>
    <mergeCell ref="C46:X46"/>
    <mergeCell ref="Y46:AD46"/>
    <mergeCell ref="AE46:AF46"/>
    <mergeCell ref="AG46:AH46"/>
    <mergeCell ref="AI46:AO46"/>
    <mergeCell ref="AP46:AV46"/>
    <mergeCell ref="A47:B47"/>
    <mergeCell ref="C47:X47"/>
    <mergeCell ref="AE47:AF47"/>
    <mergeCell ref="AI47:AO47"/>
    <mergeCell ref="AP47:AV47"/>
    <mergeCell ref="A48:B48"/>
    <mergeCell ref="C48:X48"/>
    <mergeCell ref="Y48:AD48"/>
    <mergeCell ref="AE48:AF48"/>
    <mergeCell ref="AG48:AH48"/>
    <mergeCell ref="AI48:AO48"/>
    <mergeCell ref="AP48:AV48"/>
    <mergeCell ref="A49:B49"/>
    <mergeCell ref="C49:X49"/>
    <mergeCell ref="Y49:AD49"/>
    <mergeCell ref="AE49:AF49"/>
    <mergeCell ref="AG49:AH49"/>
    <mergeCell ref="AI49:AO49"/>
    <mergeCell ref="AP49:AV49"/>
    <mergeCell ref="A50:B50"/>
    <mergeCell ref="C50:X50"/>
    <mergeCell ref="Y50:AD50"/>
    <mergeCell ref="AE50:AF50"/>
    <mergeCell ref="AG50:AH50"/>
    <mergeCell ref="AI50:AO50"/>
    <mergeCell ref="AP50:AV50"/>
    <mergeCell ref="A51:B51"/>
    <mergeCell ref="C51:X51"/>
    <mergeCell ref="Y51:AD51"/>
    <mergeCell ref="AE51:AF51"/>
    <mergeCell ref="AG51:AH51"/>
    <mergeCell ref="AI51:AO51"/>
    <mergeCell ref="AP51:AV51"/>
    <mergeCell ref="A52:B52"/>
    <mergeCell ref="C52:X52"/>
    <mergeCell ref="Y52:AD52"/>
    <mergeCell ref="AE52:AF52"/>
    <mergeCell ref="AG52:AH52"/>
    <mergeCell ref="AI52:AO52"/>
    <mergeCell ref="AP52:AV52"/>
    <mergeCell ref="A53:B53"/>
    <mergeCell ref="C53:X53"/>
    <mergeCell ref="Y53:AD53"/>
    <mergeCell ref="AE53:AF53"/>
    <mergeCell ref="AG53:AH53"/>
    <mergeCell ref="AI53:AO53"/>
    <mergeCell ref="AP53:AV53"/>
    <mergeCell ref="A54:B54"/>
    <mergeCell ref="C54:X54"/>
    <mergeCell ref="Y54:AD54"/>
    <mergeCell ref="AE54:AF54"/>
    <mergeCell ref="AG54:AH54"/>
    <mergeCell ref="AI54:AO54"/>
    <mergeCell ref="AP54:AV54"/>
    <mergeCell ref="A55:B55"/>
    <mergeCell ref="C55:X55"/>
    <mergeCell ref="Y55:AD55"/>
    <mergeCell ref="AE55:AF55"/>
    <mergeCell ref="AG55:AH55"/>
    <mergeCell ref="AI55:AO55"/>
    <mergeCell ref="AP55:AV55"/>
    <mergeCell ref="A56:B56"/>
    <mergeCell ref="C56:X56"/>
    <mergeCell ref="Y56:AD56"/>
    <mergeCell ref="AE56:AF56"/>
    <mergeCell ref="AG56:AH56"/>
    <mergeCell ref="AI56:AO56"/>
    <mergeCell ref="AP56:AV56"/>
    <mergeCell ref="A57:B57"/>
    <mergeCell ref="C57:X57"/>
    <mergeCell ref="Y57:AD57"/>
    <mergeCell ref="AE57:AF57"/>
    <mergeCell ref="AG57:AH57"/>
    <mergeCell ref="AI57:AO57"/>
    <mergeCell ref="AP57:AV57"/>
    <mergeCell ref="A58:B58"/>
    <mergeCell ref="C58:X58"/>
    <mergeCell ref="Y58:AD58"/>
    <mergeCell ref="AE58:AF58"/>
    <mergeCell ref="AG58:AH58"/>
    <mergeCell ref="AI58:AO58"/>
    <mergeCell ref="AP58:AV58"/>
    <mergeCell ref="A59:B59"/>
    <mergeCell ref="C59:X59"/>
    <mergeCell ref="Y59:AD59"/>
    <mergeCell ref="AE59:AF59"/>
    <mergeCell ref="AG59:AH59"/>
    <mergeCell ref="AI59:AO59"/>
    <mergeCell ref="AP59:AV59"/>
    <mergeCell ref="A60:B60"/>
    <mergeCell ref="C60:X60"/>
    <mergeCell ref="Y60:AD60"/>
    <mergeCell ref="AE60:AF60"/>
    <mergeCell ref="AG60:AH60"/>
    <mergeCell ref="AI60:AO60"/>
    <mergeCell ref="AP60:AV60"/>
    <mergeCell ref="A61:B61"/>
    <mergeCell ref="C61:X61"/>
    <mergeCell ref="Y61:AD61"/>
    <mergeCell ref="AE61:AF61"/>
    <mergeCell ref="AG61:AH61"/>
    <mergeCell ref="AI61:AO61"/>
    <mergeCell ref="AP61:AV61"/>
    <mergeCell ref="A62:B62"/>
    <mergeCell ref="C62:X62"/>
    <mergeCell ref="Y62:AD62"/>
    <mergeCell ref="AE62:AF62"/>
    <mergeCell ref="AG62:AH62"/>
    <mergeCell ref="AI62:AO62"/>
    <mergeCell ref="AP62:AV62"/>
    <mergeCell ref="A63:B63"/>
    <mergeCell ref="C63:X63"/>
    <mergeCell ref="Y63:AD63"/>
    <mergeCell ref="AE63:AF63"/>
    <mergeCell ref="AG63:AH63"/>
    <mergeCell ref="AI63:AO63"/>
    <mergeCell ref="AP63:AV63"/>
    <mergeCell ref="A64:B64"/>
    <mergeCell ref="C64:X64"/>
    <mergeCell ref="Y64:AD64"/>
    <mergeCell ref="AE64:AF64"/>
    <mergeCell ref="AG64:AH64"/>
    <mergeCell ref="AI64:AO64"/>
    <mergeCell ref="AP64:AV64"/>
    <mergeCell ref="A65:B65"/>
    <mergeCell ref="C65:X65"/>
    <mergeCell ref="Y65:AD65"/>
    <mergeCell ref="AE65:AF65"/>
    <mergeCell ref="AG65:AH65"/>
    <mergeCell ref="AI65:AO65"/>
    <mergeCell ref="AP65:AV65"/>
    <mergeCell ref="A66:B66"/>
    <mergeCell ref="C66:X66"/>
    <mergeCell ref="Y66:AD66"/>
    <mergeCell ref="AE66:AF66"/>
    <mergeCell ref="AG66:AH66"/>
    <mergeCell ref="AI66:AO66"/>
    <mergeCell ref="AP66:AV66"/>
    <mergeCell ref="A67:B67"/>
    <mergeCell ref="C67:X67"/>
    <mergeCell ref="Y67:AD67"/>
    <mergeCell ref="AE67:AF67"/>
    <mergeCell ref="AG67:AH67"/>
    <mergeCell ref="AI67:AO67"/>
    <mergeCell ref="AP67:AV67"/>
    <mergeCell ref="A68:B68"/>
    <mergeCell ref="C68:X68"/>
    <mergeCell ref="Y68:AD68"/>
    <mergeCell ref="AE68:AF68"/>
    <mergeCell ref="AG68:AH68"/>
    <mergeCell ref="AI68:AO68"/>
    <mergeCell ref="AP68:AV68"/>
    <mergeCell ref="A69:B69"/>
    <mergeCell ref="C69:X69"/>
    <mergeCell ref="Y69:AD69"/>
    <mergeCell ref="AE69:AF69"/>
    <mergeCell ref="AG69:AH69"/>
    <mergeCell ref="AI69:AO69"/>
    <mergeCell ref="AP69:AV69"/>
    <mergeCell ref="A70:B70"/>
    <mergeCell ref="C70:X70"/>
    <mergeCell ref="Y70:AD70"/>
    <mergeCell ref="AE70:AF70"/>
    <mergeCell ref="AG70:AH70"/>
    <mergeCell ref="AI70:AO70"/>
    <mergeCell ref="AP70:AV70"/>
    <mergeCell ref="A71:B71"/>
    <mergeCell ref="C71:X71"/>
    <mergeCell ref="Y71:AD71"/>
    <mergeCell ref="AE71:AF71"/>
    <mergeCell ref="AG71:AH71"/>
    <mergeCell ref="AI71:AO71"/>
    <mergeCell ref="AP71:AV71"/>
    <mergeCell ref="A72:B72"/>
    <mergeCell ref="C72:X72"/>
    <mergeCell ref="Y72:AD72"/>
    <mergeCell ref="AE72:AF72"/>
    <mergeCell ref="AG72:AH72"/>
    <mergeCell ref="AI72:AO72"/>
    <mergeCell ref="AP72:AV72"/>
    <mergeCell ref="A73:B73"/>
    <mergeCell ref="C73:X73"/>
    <mergeCell ref="Y73:AD73"/>
    <mergeCell ref="AE73:AF73"/>
    <mergeCell ref="AG73:AH73"/>
    <mergeCell ref="AI73:AO73"/>
    <mergeCell ref="AP73:AV73"/>
    <mergeCell ref="AI74:AO74"/>
    <mergeCell ref="AP74:AV74"/>
    <mergeCell ref="A76:B76"/>
    <mergeCell ref="AM76:AV76"/>
    <mergeCell ref="A77:B77"/>
    <mergeCell ref="C77:G77"/>
    <mergeCell ref="AM78:AV78"/>
    <mergeCell ref="Y44:AD45"/>
    <mergeCell ref="C17:X18"/>
    <mergeCell ref="A17:B18"/>
    <mergeCell ref="AE17:AF18"/>
    <mergeCell ref="AG17:AH18"/>
    <mergeCell ref="Y17:AD18"/>
    <mergeCell ref="C44:X45"/>
    <mergeCell ref="AE44:AF45"/>
    <mergeCell ref="A8:X9"/>
  </mergeCells>
  <conditionalFormatting sqref="AI21:AV42">
    <cfRule type="cellIs" dxfId="10" priority="5" operator="lessThan">
      <formula>0</formula>
    </cfRule>
  </conditionalFormatting>
  <conditionalFormatting sqref="AI48:AV70;AI71;AP71">
    <cfRule type="cellIs" dxfId="10" priority="3" operator="lessThan">
      <formula>0</formula>
    </cfRule>
  </conditionalFormatting>
  <conditionalFormatting sqref="AI72:AV75">
    <cfRule type="cellIs" dxfId="10" priority="1" operator="lessThan">
      <formula>0</formula>
    </cfRule>
  </conditionalFormatting>
  <pageMargins left="0.708661417322835" right="0.708661417322835" top="0.354330708661417" bottom="0.354330708661417" header="0.31496062992126" footer="0.31496062992126"/>
  <pageSetup paperSize="9" scale="75" fitToHeight="0" orientation="landscape"/>
  <headerFooter>
    <oddFooter>&amp;L&amp;"Arial Narrow,Uobičajeno"ekonomika.doo@bih.net.ba - 037/511-739&amp;R&amp;"Arial Narrow,Uobičajeno"Strana &amp;P</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
    <tabColor theme="5" tint="-0.249977111117893"/>
    <pageSetUpPr fitToPage="1"/>
  </sheetPr>
  <dimension ref="A1:AV154"/>
  <sheetViews>
    <sheetView showGridLines="0" topLeftCell="A37" workbookViewId="0">
      <selection activeCell="BY67" sqref="BY67"/>
    </sheetView>
  </sheetViews>
  <sheetFormatPr defaultColWidth="2.14285714285714" defaultRowHeight="16.5"/>
  <cols>
    <col min="1" max="1" width="3.14285714285714" style="886" customWidth="1"/>
    <col min="2" max="2" width="3" style="876" customWidth="1"/>
    <col min="3" max="16384" width="2.14285714285714" style="876"/>
  </cols>
  <sheetData>
    <row r="1" s="874" customFormat="1" ht="15" customHeight="1" spans="1:48">
      <c r="A1" s="877" t="str">
        <f>Text!B2</f>
        <v>Naziv pravnog lica</v>
      </c>
      <c r="Y1" s="874" t="s">
        <v>4636</v>
      </c>
      <c r="AI1" s="1229"/>
      <c r="AJ1" s="1230" t="str">
        <f>Text!B4</f>
        <v>Identifikacioni broj za direktne poreze</v>
      </c>
      <c r="AK1" s="1230"/>
      <c r="AL1" s="1230"/>
      <c r="AM1" s="1230"/>
      <c r="AN1" s="1230"/>
      <c r="AO1" s="1230"/>
      <c r="AP1" s="1230"/>
      <c r="AQ1" s="1230"/>
      <c r="AR1" s="1230"/>
      <c r="AS1" s="1230"/>
      <c r="AT1" s="1230"/>
      <c r="AU1" s="1230"/>
      <c r="AV1" s="1230"/>
    </row>
    <row r="2" s="875" customFormat="1" ht="18.75" customHeight="1" spans="1:48">
      <c r="A2" s="879" t="str">
        <f>Firma</f>
        <v>LILIUM ASSET MANAGEMENT d.o.o. Sarajevo</v>
      </c>
      <c r="Y2" s="875" t="s">
        <v>4636</v>
      </c>
      <c r="AJ2" s="880"/>
      <c r="AK2" s="880"/>
      <c r="AL2" s="880"/>
      <c r="AM2" s="1231" t="str">
        <f>IdBroj</f>
        <v>4201337670009</v>
      </c>
      <c r="AN2" s="1231"/>
      <c r="AO2" s="1231"/>
      <c r="AP2" s="1231"/>
      <c r="AQ2" s="1231"/>
      <c r="AR2" s="1231"/>
      <c r="AS2" s="1231"/>
      <c r="AT2" s="1231"/>
      <c r="AU2" s="1231"/>
      <c r="AV2" s="1231"/>
    </row>
    <row r="3" s="874" customFormat="1" ht="15" customHeight="1" spans="1:48">
      <c r="A3" s="877" t="str">
        <f>Text!B3</f>
        <v>Sjedište i adresa pravnog lica</v>
      </c>
      <c r="Y3" s="874" t="s">
        <v>4636</v>
      </c>
      <c r="AJ3" s="1230" t="str">
        <f>Text!B5</f>
        <v>Identifikacioni  broj za indirektne poreze</v>
      </c>
      <c r="AK3" s="1230"/>
      <c r="AL3" s="1230"/>
      <c r="AM3" s="1230"/>
      <c r="AN3" s="1230"/>
      <c r="AO3" s="1230"/>
      <c r="AP3" s="1230"/>
      <c r="AQ3" s="1230"/>
      <c r="AR3" s="1230"/>
      <c r="AS3" s="1230"/>
      <c r="AT3" s="1230"/>
      <c r="AU3" s="1230"/>
      <c r="AV3" s="1230"/>
    </row>
    <row r="4" s="875" customFormat="1" ht="19.5" customHeight="1" spans="1:48">
      <c r="A4" s="882" t="str">
        <f>Sjedište&amp;", "&amp;Adresa</f>
        <v>Sarajevo-Stari Grad, Dženetića čikma br.8</v>
      </c>
      <c r="Y4" s="875" t="s">
        <v>4636</v>
      </c>
      <c r="AK4" s="880"/>
      <c r="AL4" s="880"/>
      <c r="AM4" s="1231" t="str">
        <f>Pdv_Broj</f>
        <v>201337670009</v>
      </c>
      <c r="AN4" s="1231"/>
      <c r="AO4" s="1231"/>
      <c r="AP4" s="1231"/>
      <c r="AQ4" s="1231"/>
      <c r="AR4" s="1231"/>
      <c r="AS4" s="1231"/>
      <c r="AT4" s="1231"/>
      <c r="AU4" s="1231"/>
      <c r="AV4" s="1231"/>
    </row>
    <row r="5" s="1223" customFormat="1" customHeight="1" spans="1:48">
      <c r="A5" s="1229" t="str">
        <f>Text!B22&amp;" KD BiH 2010"</f>
        <v>Šifra djelatnosti po KD BiH 2010</v>
      </c>
      <c r="B5" s="1229"/>
      <c r="C5" s="1229"/>
      <c r="D5" s="1229"/>
      <c r="E5" s="1229"/>
      <c r="F5" s="1229"/>
      <c r="G5" s="1229"/>
      <c r="H5" s="1229"/>
      <c r="I5" s="1229"/>
      <c r="J5" s="1229"/>
      <c r="AV5" s="1230" t="str">
        <f>Text!B24</f>
        <v>Naziv banke</v>
      </c>
    </row>
    <row r="6" s="875" customFormat="1" customHeight="1" spans="1:48">
      <c r="A6" s="1232" t="str">
        <f>Sif_Djelatn</f>
        <v>66.30</v>
      </c>
      <c r="B6" s="880"/>
      <c r="C6" s="880"/>
      <c r="AJ6" s="1233" t="str">
        <f>Banka</f>
        <v>Raiffeisen Bank d.d. BiH</v>
      </c>
      <c r="AK6" s="1233"/>
      <c r="AL6" s="1233"/>
      <c r="AM6" s="1233"/>
      <c r="AN6" s="1233"/>
      <c r="AO6" s="1233"/>
      <c r="AP6" s="1233"/>
      <c r="AQ6" s="1233"/>
      <c r="AR6" s="1233"/>
      <c r="AS6" s="1233"/>
      <c r="AT6" s="1233"/>
      <c r="AU6" s="1233"/>
      <c r="AV6" s="1233"/>
    </row>
    <row r="7" s="1223" customFormat="1" customHeight="1" spans="1:48">
      <c r="A7" s="1229" t="str">
        <f>Text!B23</f>
        <v>Djelatnost</v>
      </c>
      <c r="AV7" s="1230" t="str">
        <f>Text!B25</f>
        <v>Broj računa</v>
      </c>
    </row>
    <row r="8" customHeight="1" spans="1:48">
      <c r="A8" s="1234" t="str">
        <f>Djelatnost</f>
        <v>Djelatnosti upravljanja fondovima</v>
      </c>
      <c r="B8" s="1234"/>
      <c r="C8" s="1234"/>
      <c r="D8" s="1234"/>
      <c r="E8" s="1234"/>
      <c r="F8" s="1234"/>
      <c r="G8" s="1234"/>
      <c r="H8" s="1234"/>
      <c r="I8" s="1234"/>
      <c r="J8" s="1234"/>
      <c r="K8" s="1234"/>
      <c r="L8" s="1234"/>
      <c r="M8" s="1234"/>
      <c r="N8" s="1234"/>
      <c r="O8" s="1234"/>
      <c r="P8" s="1234"/>
      <c r="Q8" s="1234"/>
      <c r="R8" s="1234"/>
      <c r="S8" s="1234"/>
      <c r="T8" s="1234"/>
      <c r="U8" s="1234"/>
      <c r="V8" s="1234"/>
      <c r="W8" s="1234"/>
      <c r="X8" s="1234"/>
      <c r="AG8" s="880"/>
      <c r="AH8" s="880"/>
      <c r="AI8" s="880"/>
      <c r="AJ8" s="880"/>
      <c r="AK8" s="880"/>
      <c r="AL8" s="880"/>
      <c r="AM8" s="1231" t="str">
        <f>Glavni_racun</f>
        <v>1610000189480005</v>
      </c>
      <c r="AN8" s="1231"/>
      <c r="AO8" s="1231"/>
      <c r="AP8" s="1231"/>
      <c r="AQ8" s="1231"/>
      <c r="AR8" s="1231"/>
      <c r="AS8" s="1231"/>
      <c r="AT8" s="1231"/>
      <c r="AU8" s="1231"/>
      <c r="AV8" s="1231"/>
    </row>
    <row r="9" customHeight="1" spans="1:48">
      <c r="A9" s="1234"/>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AM9" s="877"/>
      <c r="AN9" s="877"/>
      <c r="AO9" s="877"/>
      <c r="AP9" s="877"/>
      <c r="AQ9" s="877"/>
      <c r="AR9" s="877"/>
      <c r="AS9" s="877"/>
      <c r="AT9" s="877"/>
      <c r="AU9" s="877"/>
      <c r="AV9" s="1230" t="str">
        <f>Text!B26</f>
        <v>Šifra općine</v>
      </c>
    </row>
    <row r="10" customHeight="1" spans="1:48">
      <c r="AM10" s="1231" t="str">
        <f>Sifra_opcine</f>
        <v>109</v>
      </c>
      <c r="AN10" s="1231"/>
      <c r="AO10" s="1231"/>
      <c r="AP10" s="1231"/>
      <c r="AQ10" s="1231"/>
      <c r="AR10" s="1231"/>
      <c r="AS10" s="1231"/>
      <c r="AT10" s="1231"/>
      <c r="AU10" s="1231"/>
      <c r="AV10" s="1231"/>
    </row>
    <row r="11" customHeight="1" spans="1:48">
      <c r="B11" s="886"/>
      <c r="C11" s="886"/>
      <c r="D11" s="886"/>
      <c r="E11" s="886"/>
      <c r="F11" s="886"/>
      <c r="G11" s="886"/>
      <c r="H11" s="886"/>
      <c r="I11" s="886"/>
      <c r="J11" s="886"/>
      <c r="K11" s="886"/>
      <c r="L11" s="886"/>
      <c r="M11" s="886"/>
      <c r="N11" s="886"/>
      <c r="O11" s="886"/>
      <c r="P11" s="886"/>
      <c r="Q11" s="886"/>
      <c r="R11" s="886"/>
      <c r="S11" s="886"/>
      <c r="T11" s="886"/>
      <c r="U11" s="886"/>
      <c r="V11" s="886"/>
      <c r="W11" s="886"/>
      <c r="X11" s="886"/>
      <c r="Y11" s="1235" t="str">
        <f>Text!B6</f>
        <v>Za pravna lica koja vode knjigovodstvo u skladu sa kontnim okvirom za privredna društva</v>
      </c>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c r="AT11" s="1236"/>
      <c r="AU11" s="1236"/>
      <c r="AV11" s="1237"/>
    </row>
    <row r="12" s="874" customFormat="1" ht="15" customHeight="1" spans="1:48">
      <c r="A12" s="1238"/>
      <c r="Y12" s="1239"/>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T12" s="1240"/>
      <c r="AU12" s="1240"/>
      <c r="AV12" s="1241"/>
    </row>
    <row r="13" s="874" customFormat="1" ht="15" customHeight="1" spans="1:48">
      <c r="A13" s="1238"/>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row>
    <row r="14" s="1224" customFormat="1" ht="22.5" customHeight="1" spans="1:48">
      <c r="A14" s="1243" t="s">
        <v>7538</v>
      </c>
      <c r="B14" s="1243"/>
      <c r="C14" s="1243"/>
      <c r="D14" s="1243"/>
      <c r="E14" s="1243"/>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1243"/>
      <c r="AM14" s="1243"/>
      <c r="AN14" s="1243"/>
      <c r="AO14" s="1243"/>
      <c r="AP14" s="1243"/>
      <c r="AQ14" s="1243"/>
      <c r="AR14" s="1243"/>
      <c r="AS14" s="1243"/>
      <c r="AT14" s="1243"/>
      <c r="AU14" s="1243"/>
      <c r="AV14" s="1243"/>
    </row>
    <row r="15" s="1224" customFormat="1" ht="15" customHeight="1" spans="1:48">
      <c r="A15" s="1244" t="str">
        <f ca="1">Text!B56</f>
        <v>za period od 01.01.2025. do 31.12.2025. godine</v>
      </c>
      <c r="B15" s="1244"/>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row>
    <row r="16" s="1224" customFormat="1" ht="12.75" customHeight="1" spans="1:48">
      <c r="A16" s="1245"/>
      <c r="AV16" s="1246" t="s">
        <v>7115</v>
      </c>
    </row>
    <row r="17" s="1224" customFormat="1" ht="13.5" customHeight="1" spans="1:48">
      <c r="A17" s="1247" t="str">
        <f>Text!B27</f>
        <v>Redni broj</v>
      </c>
      <c r="B17" s="1248"/>
      <c r="C17" s="1249" t="str">
        <f>Text!B28</f>
        <v>P O Z I C I J A</v>
      </c>
      <c r="D17" s="1249"/>
      <c r="E17" s="1249"/>
      <c r="F17" s="1249"/>
      <c r="G17" s="1249"/>
      <c r="H17" s="1249"/>
      <c r="I17" s="1249"/>
      <c r="J17" s="1249"/>
      <c r="K17" s="1249"/>
      <c r="L17" s="1249"/>
      <c r="M17" s="1249"/>
      <c r="N17" s="1249"/>
      <c r="O17" s="1249"/>
      <c r="P17" s="1249"/>
      <c r="Q17" s="1249"/>
      <c r="R17" s="1249"/>
      <c r="S17" s="1249"/>
      <c r="T17" s="1249"/>
      <c r="U17" s="1249"/>
      <c r="V17" s="1249"/>
      <c r="W17" s="1249"/>
      <c r="X17" s="1250"/>
      <c r="Y17" s="1251" t="str">
        <f>Text!B38</f>
        <v>Grupa konta, konto, dio konta</v>
      </c>
      <c r="Z17" s="1252"/>
      <c r="AA17" s="1252"/>
      <c r="AB17" s="1252"/>
      <c r="AC17" s="1252"/>
      <c r="AD17" s="1252"/>
      <c r="AE17" s="1253"/>
      <c r="AF17" s="1251" t="s">
        <v>2438</v>
      </c>
      <c r="AG17" s="1252"/>
      <c r="AH17" s="1253"/>
      <c r="AI17" s="1254" t="str">
        <f>Text!B39</f>
        <v>IZNOS</v>
      </c>
      <c r="AJ17" s="1255"/>
      <c r="AK17" s="1255"/>
      <c r="AL17" s="1255"/>
      <c r="AM17" s="1255"/>
      <c r="AN17" s="1255"/>
      <c r="AO17" s="1255"/>
      <c r="AP17" s="1255"/>
      <c r="AQ17" s="1255"/>
      <c r="AR17" s="1255"/>
      <c r="AS17" s="1255"/>
      <c r="AT17" s="1255"/>
      <c r="AU17" s="1255"/>
      <c r="AV17" s="1256"/>
    </row>
    <row r="18" s="1224" customFormat="1" ht="13.5" customHeight="1" spans="1:48">
      <c r="A18" s="1257"/>
      <c r="B18" s="1258"/>
      <c r="C18" s="1259"/>
      <c r="D18" s="1259"/>
      <c r="E18" s="1259"/>
      <c r="F18" s="1259"/>
      <c r="G18" s="1259"/>
      <c r="H18" s="1259"/>
      <c r="I18" s="1259"/>
      <c r="J18" s="1259"/>
      <c r="K18" s="1259"/>
      <c r="L18" s="1259"/>
      <c r="M18" s="1259"/>
      <c r="N18" s="1259"/>
      <c r="O18" s="1259"/>
      <c r="P18" s="1259"/>
      <c r="Q18" s="1259"/>
      <c r="R18" s="1259"/>
      <c r="S18" s="1259"/>
      <c r="T18" s="1259"/>
      <c r="U18" s="1259"/>
      <c r="V18" s="1259"/>
      <c r="W18" s="1259"/>
      <c r="X18" s="1260"/>
      <c r="Y18" s="1261"/>
      <c r="Z18" s="1262"/>
      <c r="AA18" s="1262"/>
      <c r="AB18" s="1262"/>
      <c r="AC18" s="1262"/>
      <c r="AD18" s="1262"/>
      <c r="AE18" s="1263"/>
      <c r="AF18" s="1261"/>
      <c r="AG18" s="1262"/>
      <c r="AH18" s="1263"/>
      <c r="AI18" s="1264" t="str">
        <f>Text!B32</f>
        <v>tekuće godine</v>
      </c>
      <c r="AJ18" s="1264"/>
      <c r="AK18" s="1264"/>
      <c r="AL18" s="1264"/>
      <c r="AM18" s="1264"/>
      <c r="AN18" s="1264"/>
      <c r="AO18" s="1264"/>
      <c r="AP18" s="1265" t="str">
        <f>Text!B33</f>
        <v>prethodne godine</v>
      </c>
      <c r="AQ18" s="1265"/>
      <c r="AR18" s="1265"/>
      <c r="AS18" s="1265"/>
      <c r="AT18" s="1265"/>
      <c r="AU18" s="1265"/>
      <c r="AV18" s="1265"/>
    </row>
    <row r="19" s="1224" customFormat="1" ht="13.5" customHeight="1" spans="1:48">
      <c r="A19" s="1266">
        <v>1</v>
      </c>
      <c r="B19" s="1266"/>
      <c r="C19" s="1267">
        <v>2</v>
      </c>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v>3</v>
      </c>
      <c r="Z19" s="1266"/>
      <c r="AA19" s="1266"/>
      <c r="AB19" s="1266"/>
      <c r="AC19" s="1266"/>
      <c r="AD19" s="1266"/>
      <c r="AE19" s="1266"/>
      <c r="AF19" s="1266">
        <v>4</v>
      </c>
      <c r="AG19" s="1266"/>
      <c r="AH19" s="1266"/>
      <c r="AI19" s="1266">
        <v>5</v>
      </c>
      <c r="AJ19" s="1266"/>
      <c r="AK19" s="1266"/>
      <c r="AL19" s="1266"/>
      <c r="AM19" s="1266"/>
      <c r="AN19" s="1266"/>
      <c r="AO19" s="1266"/>
      <c r="AP19" s="1266">
        <v>6</v>
      </c>
      <c r="AQ19" s="1266"/>
      <c r="AR19" s="1266"/>
      <c r="AS19" s="1266"/>
      <c r="AT19" s="1266"/>
      <c r="AU19" s="1266"/>
      <c r="AV19" s="1266"/>
    </row>
    <row r="20" s="1225" customFormat="1" ht="14.25" customHeight="1" spans="1:48">
      <c r="A20" s="1268" t="s">
        <v>3953</v>
      </c>
      <c r="B20" s="1269"/>
      <c r="C20" s="1270" t="s">
        <v>7539</v>
      </c>
      <c r="D20" s="1271"/>
      <c r="E20" s="1271"/>
      <c r="F20" s="1271"/>
      <c r="G20" s="1271"/>
      <c r="H20" s="1271"/>
      <c r="I20" s="1271"/>
      <c r="J20" s="1271"/>
      <c r="K20" s="1271"/>
      <c r="L20" s="1271"/>
      <c r="M20" s="1271"/>
      <c r="N20" s="1271"/>
      <c r="O20" s="1271"/>
      <c r="P20" s="1271"/>
      <c r="Q20" s="1271"/>
      <c r="R20" s="1271"/>
      <c r="S20" s="1271"/>
      <c r="T20" s="1271"/>
      <c r="U20" s="1271"/>
      <c r="V20" s="1271"/>
      <c r="W20" s="1271"/>
      <c r="X20" s="1272"/>
      <c r="Y20" s="1273"/>
      <c r="Z20" s="1274"/>
      <c r="AA20" s="1274"/>
      <c r="AB20" s="1274"/>
      <c r="AC20" s="1274"/>
      <c r="AD20" s="1274"/>
      <c r="AE20" s="1275"/>
      <c r="AF20" s="1268">
        <v>601</v>
      </c>
      <c r="AG20" s="1276"/>
      <c r="AH20" s="1269"/>
      <c r="AI20" s="1277">
        <f>AI21+AI25+AI29</f>
        <v>245707</v>
      </c>
      <c r="AJ20" s="1278"/>
      <c r="AK20" s="1279"/>
      <c r="AL20" s="1279"/>
      <c r="AM20" s="1279"/>
      <c r="AN20" s="1279"/>
      <c r="AO20" s="1280"/>
      <c r="AP20" s="1281">
        <f>AP21+AP25+AP29</f>
        <v>0</v>
      </c>
      <c r="AQ20" s="1282"/>
      <c r="AR20" s="1283"/>
      <c r="AS20" s="1283"/>
      <c r="AT20" s="1283"/>
      <c r="AU20" s="1283"/>
      <c r="AV20" s="1284"/>
    </row>
    <row r="21" s="1225" customFormat="1" ht="14.25" customHeight="1" spans="1:48">
      <c r="A21" s="1268" t="s">
        <v>3891</v>
      </c>
      <c r="B21" s="1269"/>
      <c r="C21" s="1270" t="s">
        <v>7540</v>
      </c>
      <c r="D21" s="1271"/>
      <c r="E21" s="1271"/>
      <c r="F21" s="1271"/>
      <c r="G21" s="1271"/>
      <c r="H21" s="1271"/>
      <c r="I21" s="1271"/>
      <c r="J21" s="1271"/>
      <c r="K21" s="1271"/>
      <c r="L21" s="1271"/>
      <c r="M21" s="1271"/>
      <c r="N21" s="1271"/>
      <c r="O21" s="1271"/>
      <c r="P21" s="1271"/>
      <c r="Q21" s="1271"/>
      <c r="R21" s="1271"/>
      <c r="S21" s="1271"/>
      <c r="T21" s="1271"/>
      <c r="U21" s="1271"/>
      <c r="V21" s="1271"/>
      <c r="W21" s="1271"/>
      <c r="X21" s="1272"/>
      <c r="Y21" s="1273">
        <v>60</v>
      </c>
      <c r="Z21" s="1274"/>
      <c r="AA21" s="1274"/>
      <c r="AB21" s="1274"/>
      <c r="AC21" s="1274"/>
      <c r="AD21" s="1274"/>
      <c r="AE21" s="1275"/>
      <c r="AF21" s="1268">
        <v>602</v>
      </c>
      <c r="AG21" s="1276"/>
      <c r="AH21" s="1269"/>
      <c r="AI21" s="1277">
        <f>SUM(AI22:AO24)</f>
        <v>0</v>
      </c>
      <c r="AJ21" s="1278"/>
      <c r="AK21" s="1279"/>
      <c r="AL21" s="1279"/>
      <c r="AM21" s="1279"/>
      <c r="AN21" s="1279"/>
      <c r="AO21" s="1280"/>
      <c r="AP21" s="1281">
        <f>SUM(AP22:AV24)</f>
        <v>0</v>
      </c>
      <c r="AQ21" s="1282"/>
      <c r="AR21" s="1283"/>
      <c r="AS21" s="1283"/>
      <c r="AT21" s="1283"/>
      <c r="AU21" s="1283"/>
      <c r="AV21" s="1284"/>
    </row>
    <row r="22" s="1226" customFormat="1" ht="24.75" customHeight="1" spans="1:48">
      <c r="A22" s="1285" t="s">
        <v>3902</v>
      </c>
      <c r="B22" s="1286"/>
      <c r="C22" s="1287" t="s">
        <v>7541</v>
      </c>
      <c r="D22" s="1288"/>
      <c r="E22" s="1288"/>
      <c r="F22" s="1288"/>
      <c r="G22" s="1288"/>
      <c r="H22" s="1288"/>
      <c r="I22" s="1288"/>
      <c r="J22" s="1288"/>
      <c r="K22" s="1288"/>
      <c r="L22" s="1288"/>
      <c r="M22" s="1288"/>
      <c r="N22" s="1288"/>
      <c r="O22" s="1288"/>
      <c r="P22" s="1288"/>
      <c r="Q22" s="1288"/>
      <c r="R22" s="1288"/>
      <c r="S22" s="1288"/>
      <c r="T22" s="1288"/>
      <c r="U22" s="1288"/>
      <c r="V22" s="1288"/>
      <c r="W22" s="1288"/>
      <c r="X22" s="1289"/>
      <c r="Y22" s="1290" t="s">
        <v>7542</v>
      </c>
      <c r="Z22" s="1291"/>
      <c r="AA22" s="1291"/>
      <c r="AB22" s="1291"/>
      <c r="AC22" s="1291"/>
      <c r="AD22" s="1291"/>
      <c r="AE22" s="1292"/>
      <c r="AF22" s="1285">
        <v>603</v>
      </c>
      <c r="AG22" s="1293"/>
      <c r="AH22" s="1286"/>
      <c r="AI22" s="1294">
        <f>ROUND(UnosPod!F112-UnosPod!F119,0)</f>
        <v>0</v>
      </c>
      <c r="AJ22" s="1295"/>
      <c r="AK22" s="1296"/>
      <c r="AL22" s="1296"/>
      <c r="AM22" s="1296"/>
      <c r="AN22" s="1296"/>
      <c r="AO22" s="1297"/>
      <c r="AP22" s="1294">
        <f>Prethodna_2024!D280</f>
        <v>0</v>
      </c>
      <c r="AQ22" s="1295"/>
      <c r="AR22" s="1296"/>
      <c r="AS22" s="1296"/>
      <c r="AT22" s="1296"/>
      <c r="AU22" s="1296"/>
      <c r="AV22" s="1297"/>
    </row>
    <row r="23" s="1226" customFormat="1" ht="27.75" customHeight="1" spans="1:48">
      <c r="A23" s="1285" t="s">
        <v>3905</v>
      </c>
      <c r="B23" s="1286"/>
      <c r="C23" s="1287" t="s">
        <v>7543</v>
      </c>
      <c r="D23" s="1288"/>
      <c r="E23" s="1288"/>
      <c r="F23" s="1288"/>
      <c r="G23" s="1288"/>
      <c r="H23" s="1288"/>
      <c r="I23" s="1288"/>
      <c r="J23" s="1288"/>
      <c r="K23" s="1288"/>
      <c r="L23" s="1288"/>
      <c r="M23" s="1288"/>
      <c r="N23" s="1288"/>
      <c r="O23" s="1288"/>
      <c r="P23" s="1288"/>
      <c r="Q23" s="1288"/>
      <c r="R23" s="1288"/>
      <c r="S23" s="1288"/>
      <c r="T23" s="1288"/>
      <c r="U23" s="1288"/>
      <c r="V23" s="1288"/>
      <c r="W23" s="1288"/>
      <c r="X23" s="1289"/>
      <c r="Y23" s="1290" t="s">
        <v>7544</v>
      </c>
      <c r="Z23" s="1291"/>
      <c r="AA23" s="1291"/>
      <c r="AB23" s="1291"/>
      <c r="AC23" s="1291"/>
      <c r="AD23" s="1291"/>
      <c r="AE23" s="1292"/>
      <c r="AF23" s="1285">
        <v>604</v>
      </c>
      <c r="AG23" s="1293"/>
      <c r="AH23" s="1286"/>
      <c r="AI23" s="1294">
        <f>ROUND(UnosPod!F115-UnosPod!F120,0)</f>
        <v>0</v>
      </c>
      <c r="AJ23" s="1295"/>
      <c r="AK23" s="1296"/>
      <c r="AL23" s="1296"/>
      <c r="AM23" s="1296"/>
      <c r="AN23" s="1296"/>
      <c r="AO23" s="1297"/>
      <c r="AP23" s="1294">
        <f>Prethodna_2024!D281</f>
        <v>0</v>
      </c>
      <c r="AQ23" s="1295"/>
      <c r="AR23" s="1296"/>
      <c r="AS23" s="1296"/>
      <c r="AT23" s="1296"/>
      <c r="AU23" s="1296"/>
      <c r="AV23" s="1297"/>
    </row>
    <row r="24" s="1226" customFormat="1" ht="25.5" customHeight="1" spans="1:48">
      <c r="A24" s="1285" t="s">
        <v>3915</v>
      </c>
      <c r="B24" s="1286"/>
      <c r="C24" s="1287" t="s">
        <v>7545</v>
      </c>
      <c r="D24" s="1288"/>
      <c r="E24" s="1288"/>
      <c r="F24" s="1288"/>
      <c r="G24" s="1288"/>
      <c r="H24" s="1288"/>
      <c r="I24" s="1288"/>
      <c r="J24" s="1288"/>
      <c r="K24" s="1288"/>
      <c r="L24" s="1288"/>
      <c r="M24" s="1288"/>
      <c r="N24" s="1288"/>
      <c r="O24" s="1288"/>
      <c r="P24" s="1288"/>
      <c r="Q24" s="1288"/>
      <c r="R24" s="1288"/>
      <c r="S24" s="1288"/>
      <c r="T24" s="1288"/>
      <c r="U24" s="1288"/>
      <c r="V24" s="1288"/>
      <c r="W24" s="1288"/>
      <c r="X24" s="1289"/>
      <c r="Y24" s="1290" t="s">
        <v>7546</v>
      </c>
      <c r="Z24" s="1291"/>
      <c r="AA24" s="1291"/>
      <c r="AB24" s="1291"/>
      <c r="AC24" s="1291"/>
      <c r="AD24" s="1291"/>
      <c r="AE24" s="1292"/>
      <c r="AF24" s="1285">
        <v>605</v>
      </c>
      <c r="AG24" s="1293"/>
      <c r="AH24" s="1286"/>
      <c r="AI24" s="1294">
        <f>ROUND(UnosPod!F118-UnosPod!F121,0)</f>
        <v>0</v>
      </c>
      <c r="AJ24" s="1295"/>
      <c r="AK24" s="1296"/>
      <c r="AL24" s="1296"/>
      <c r="AM24" s="1296"/>
      <c r="AN24" s="1296"/>
      <c r="AO24" s="1297"/>
      <c r="AP24" s="1294">
        <f>Prethodna_2024!D282</f>
        <v>0</v>
      </c>
      <c r="AQ24" s="1295"/>
      <c r="AR24" s="1296"/>
      <c r="AS24" s="1296"/>
      <c r="AT24" s="1296"/>
      <c r="AU24" s="1296"/>
      <c r="AV24" s="1297"/>
    </row>
    <row r="25" s="1225" customFormat="1" ht="14.25" customHeight="1" spans="1:48">
      <c r="A25" s="1268" t="s">
        <v>3918</v>
      </c>
      <c r="B25" s="1269"/>
      <c r="C25" s="1270" t="s">
        <v>7547</v>
      </c>
      <c r="D25" s="1271"/>
      <c r="E25" s="1271"/>
      <c r="F25" s="1271"/>
      <c r="G25" s="1271"/>
      <c r="H25" s="1271"/>
      <c r="I25" s="1271"/>
      <c r="J25" s="1271"/>
      <c r="K25" s="1271"/>
      <c r="L25" s="1271"/>
      <c r="M25" s="1271"/>
      <c r="N25" s="1271"/>
      <c r="O25" s="1271"/>
      <c r="P25" s="1271"/>
      <c r="Q25" s="1271"/>
      <c r="R25" s="1271"/>
      <c r="S25" s="1271"/>
      <c r="T25" s="1271"/>
      <c r="U25" s="1271"/>
      <c r="V25" s="1271"/>
      <c r="W25" s="1271"/>
      <c r="X25" s="1272"/>
      <c r="Y25" s="1273">
        <v>61</v>
      </c>
      <c r="Z25" s="1274"/>
      <c r="AA25" s="1274"/>
      <c r="AB25" s="1274"/>
      <c r="AC25" s="1274"/>
      <c r="AD25" s="1274"/>
      <c r="AE25" s="1275"/>
      <c r="AF25" s="1268">
        <v>606</v>
      </c>
      <c r="AG25" s="1276"/>
      <c r="AH25" s="1269"/>
      <c r="AI25" s="1277">
        <f>SUM(AI26:AO28)</f>
        <v>0</v>
      </c>
      <c r="AJ25" s="1278"/>
      <c r="AK25" s="1279"/>
      <c r="AL25" s="1279"/>
      <c r="AM25" s="1279"/>
      <c r="AN25" s="1279"/>
      <c r="AO25" s="1280"/>
      <c r="AP25" s="1281">
        <f>SUM(AP26:AV28)</f>
        <v>0</v>
      </c>
      <c r="AQ25" s="1282"/>
      <c r="AR25" s="1283"/>
      <c r="AS25" s="1283"/>
      <c r="AT25" s="1283"/>
      <c r="AU25" s="1283"/>
      <c r="AV25" s="1284"/>
    </row>
    <row r="26" s="1226" customFormat="1" ht="27" customHeight="1" spans="1:48">
      <c r="A26" s="1285" t="s">
        <v>3920</v>
      </c>
      <c r="B26" s="1286"/>
      <c r="C26" s="1287" t="s">
        <v>7541</v>
      </c>
      <c r="D26" s="1288"/>
      <c r="E26" s="1288"/>
      <c r="F26" s="1288"/>
      <c r="G26" s="1288"/>
      <c r="H26" s="1288"/>
      <c r="I26" s="1288"/>
      <c r="J26" s="1288"/>
      <c r="K26" s="1288"/>
      <c r="L26" s="1288"/>
      <c r="M26" s="1288"/>
      <c r="N26" s="1288"/>
      <c r="O26" s="1288"/>
      <c r="P26" s="1288"/>
      <c r="Q26" s="1288"/>
      <c r="R26" s="1288"/>
      <c r="S26" s="1288"/>
      <c r="T26" s="1288"/>
      <c r="U26" s="1288"/>
      <c r="V26" s="1288"/>
      <c r="W26" s="1288"/>
      <c r="X26" s="1289"/>
      <c r="Y26" s="1290" t="s">
        <v>7548</v>
      </c>
      <c r="Z26" s="1291"/>
      <c r="AA26" s="1291"/>
      <c r="AB26" s="1291"/>
      <c r="AC26" s="1291"/>
      <c r="AD26" s="1291"/>
      <c r="AE26" s="1292"/>
      <c r="AF26" s="1285">
        <v>607</v>
      </c>
      <c r="AG26" s="1293"/>
      <c r="AH26" s="1286"/>
      <c r="AI26" s="1294">
        <f>ROUND(UnosPod!F126-UnosPod!F133,0)</f>
        <v>0</v>
      </c>
      <c r="AJ26" s="1295"/>
      <c r="AK26" s="1296"/>
      <c r="AL26" s="1296"/>
      <c r="AM26" s="1296"/>
      <c r="AN26" s="1296"/>
      <c r="AO26" s="1297"/>
      <c r="AP26" s="1294">
        <f>Prethodna_2024!D284</f>
        <v>0</v>
      </c>
      <c r="AQ26" s="1295"/>
      <c r="AR26" s="1296"/>
      <c r="AS26" s="1296"/>
      <c r="AT26" s="1296"/>
      <c r="AU26" s="1296"/>
      <c r="AV26" s="1297"/>
    </row>
    <row r="27" s="1226" customFormat="1" ht="24" customHeight="1" spans="1:48">
      <c r="A27" s="1285" t="s">
        <v>3923</v>
      </c>
      <c r="B27" s="1286"/>
      <c r="C27" s="1287" t="s">
        <v>7549</v>
      </c>
      <c r="D27" s="1288"/>
      <c r="E27" s="1288"/>
      <c r="F27" s="1288"/>
      <c r="G27" s="1288"/>
      <c r="H27" s="1288"/>
      <c r="I27" s="1288"/>
      <c r="J27" s="1288"/>
      <c r="K27" s="1288"/>
      <c r="L27" s="1288"/>
      <c r="M27" s="1288"/>
      <c r="N27" s="1288"/>
      <c r="O27" s="1288"/>
      <c r="P27" s="1288"/>
      <c r="Q27" s="1288"/>
      <c r="R27" s="1288"/>
      <c r="S27" s="1288"/>
      <c r="T27" s="1288"/>
      <c r="U27" s="1288"/>
      <c r="V27" s="1288"/>
      <c r="W27" s="1288"/>
      <c r="X27" s="1289"/>
      <c r="Y27" s="1290" t="s">
        <v>7550</v>
      </c>
      <c r="Z27" s="1291"/>
      <c r="AA27" s="1291"/>
      <c r="AB27" s="1291"/>
      <c r="AC27" s="1291"/>
      <c r="AD27" s="1291"/>
      <c r="AE27" s="1292"/>
      <c r="AF27" s="1285">
        <v>608</v>
      </c>
      <c r="AG27" s="1293"/>
      <c r="AH27" s="1286"/>
      <c r="AI27" s="1294">
        <f>ROUND(UnosPod!F129-UnosPod!F134,0)</f>
        <v>0</v>
      </c>
      <c r="AJ27" s="1295"/>
      <c r="AK27" s="1296"/>
      <c r="AL27" s="1296"/>
      <c r="AM27" s="1296"/>
      <c r="AN27" s="1296"/>
      <c r="AO27" s="1297"/>
      <c r="AP27" s="1294">
        <f>Prethodna_2024!D285</f>
        <v>0</v>
      </c>
      <c r="AQ27" s="1295"/>
      <c r="AR27" s="1296"/>
      <c r="AS27" s="1296"/>
      <c r="AT27" s="1296"/>
      <c r="AU27" s="1296"/>
      <c r="AV27" s="1297"/>
    </row>
    <row r="28" s="1226" customFormat="1" ht="27" customHeight="1" spans="1:48">
      <c r="A28" s="1285" t="s">
        <v>3925</v>
      </c>
      <c r="B28" s="1286"/>
      <c r="C28" s="1287" t="s">
        <v>7545</v>
      </c>
      <c r="D28" s="1288"/>
      <c r="E28" s="1288"/>
      <c r="F28" s="1288"/>
      <c r="G28" s="1288"/>
      <c r="H28" s="1288"/>
      <c r="I28" s="1288"/>
      <c r="J28" s="1288"/>
      <c r="K28" s="1288"/>
      <c r="L28" s="1288"/>
      <c r="M28" s="1288"/>
      <c r="N28" s="1288"/>
      <c r="O28" s="1288"/>
      <c r="P28" s="1288"/>
      <c r="Q28" s="1288"/>
      <c r="R28" s="1288"/>
      <c r="S28" s="1288"/>
      <c r="T28" s="1288"/>
      <c r="U28" s="1288"/>
      <c r="V28" s="1288"/>
      <c r="W28" s="1288"/>
      <c r="X28" s="1289"/>
      <c r="Y28" s="1290" t="s">
        <v>7551</v>
      </c>
      <c r="Z28" s="1291"/>
      <c r="AA28" s="1291"/>
      <c r="AB28" s="1291"/>
      <c r="AC28" s="1291"/>
      <c r="AD28" s="1291"/>
      <c r="AE28" s="1292"/>
      <c r="AF28" s="1285">
        <v>609</v>
      </c>
      <c r="AG28" s="1293"/>
      <c r="AH28" s="1286"/>
      <c r="AI28" s="1294">
        <f>ROUND(UnosPod!F132-UnosPod!F135,0)</f>
        <v>0</v>
      </c>
      <c r="AJ28" s="1295"/>
      <c r="AK28" s="1296"/>
      <c r="AL28" s="1296"/>
      <c r="AM28" s="1296"/>
      <c r="AN28" s="1296"/>
      <c r="AO28" s="1297"/>
      <c r="AP28" s="1294">
        <f>Prethodna_2024!D286</f>
        <v>0</v>
      </c>
      <c r="AQ28" s="1295"/>
      <c r="AR28" s="1296"/>
      <c r="AS28" s="1296"/>
      <c r="AT28" s="1296"/>
      <c r="AU28" s="1296"/>
      <c r="AV28" s="1297"/>
    </row>
    <row r="29" s="1225" customFormat="1" ht="14.25" customHeight="1" spans="1:48">
      <c r="A29" s="1268" t="s">
        <v>3928</v>
      </c>
      <c r="B29" s="1269"/>
      <c r="C29" s="1270" t="s">
        <v>7552</v>
      </c>
      <c r="D29" s="1271"/>
      <c r="E29" s="1271"/>
      <c r="F29" s="1271"/>
      <c r="G29" s="1271"/>
      <c r="H29" s="1271"/>
      <c r="I29" s="1271"/>
      <c r="J29" s="1271"/>
      <c r="K29" s="1271"/>
      <c r="L29" s="1271"/>
      <c r="M29" s="1271"/>
      <c r="N29" s="1271"/>
      <c r="O29" s="1271"/>
      <c r="P29" s="1271"/>
      <c r="Q29" s="1271"/>
      <c r="R29" s="1271"/>
      <c r="S29" s="1271"/>
      <c r="T29" s="1271"/>
      <c r="U29" s="1271"/>
      <c r="V29" s="1271"/>
      <c r="W29" s="1271"/>
      <c r="X29" s="1272"/>
      <c r="Y29" s="1273">
        <v>62</v>
      </c>
      <c r="Z29" s="1274"/>
      <c r="AA29" s="1274"/>
      <c r="AB29" s="1274"/>
      <c r="AC29" s="1274"/>
      <c r="AD29" s="1274"/>
      <c r="AE29" s="1275"/>
      <c r="AF29" s="1268">
        <v>610</v>
      </c>
      <c r="AG29" s="1276"/>
      <c r="AH29" s="1269"/>
      <c r="AI29" s="1277">
        <f>SUM(AI30:AO32)</f>
        <v>245707</v>
      </c>
      <c r="AJ29" s="1278"/>
      <c r="AK29" s="1279"/>
      <c r="AL29" s="1279"/>
      <c r="AM29" s="1279"/>
      <c r="AN29" s="1279"/>
      <c r="AO29" s="1280"/>
      <c r="AP29" s="1281">
        <f>SUM(AP30:AV32)</f>
        <v>0</v>
      </c>
      <c r="AQ29" s="1282"/>
      <c r="AR29" s="1283"/>
      <c r="AS29" s="1283"/>
      <c r="AT29" s="1283"/>
      <c r="AU29" s="1283"/>
      <c r="AV29" s="1284"/>
    </row>
    <row r="30" s="1226" customFormat="1" ht="27.75" customHeight="1" spans="1:48">
      <c r="A30" s="1285" t="s">
        <v>3934</v>
      </c>
      <c r="B30" s="1286"/>
      <c r="C30" s="1287" t="s">
        <v>7553</v>
      </c>
      <c r="D30" s="1288"/>
      <c r="E30" s="1288"/>
      <c r="F30" s="1288"/>
      <c r="G30" s="1288"/>
      <c r="H30" s="1288"/>
      <c r="I30" s="1288"/>
      <c r="J30" s="1288"/>
      <c r="K30" s="1288"/>
      <c r="L30" s="1288"/>
      <c r="M30" s="1288"/>
      <c r="N30" s="1288"/>
      <c r="O30" s="1288"/>
      <c r="P30" s="1288"/>
      <c r="Q30" s="1288"/>
      <c r="R30" s="1288"/>
      <c r="S30" s="1288"/>
      <c r="T30" s="1288"/>
      <c r="U30" s="1288"/>
      <c r="V30" s="1288"/>
      <c r="W30" s="1288"/>
      <c r="X30" s="1289"/>
      <c r="Y30" s="1290" t="s">
        <v>7554</v>
      </c>
      <c r="Z30" s="1291"/>
      <c r="AA30" s="1291"/>
      <c r="AB30" s="1291"/>
      <c r="AC30" s="1291"/>
      <c r="AD30" s="1291"/>
      <c r="AE30" s="1292"/>
      <c r="AF30" s="1285">
        <v>611</v>
      </c>
      <c r="AG30" s="1293"/>
      <c r="AH30" s="1286"/>
      <c r="AI30" s="1294">
        <f>ROUND(UnosPod!F140-UnosPod!F147,0)</f>
        <v>0</v>
      </c>
      <c r="AJ30" s="1295"/>
      <c r="AK30" s="1296"/>
      <c r="AL30" s="1296"/>
      <c r="AM30" s="1296"/>
      <c r="AN30" s="1296"/>
      <c r="AO30" s="1297"/>
      <c r="AP30" s="1294">
        <f>Prethodna_2024!D288</f>
        <v>0</v>
      </c>
      <c r="AQ30" s="1295"/>
      <c r="AR30" s="1296"/>
      <c r="AS30" s="1296"/>
      <c r="AT30" s="1296"/>
      <c r="AU30" s="1296"/>
      <c r="AV30" s="1297"/>
    </row>
    <row r="31" s="1226" customFormat="1" ht="28.5" customHeight="1" spans="1:48">
      <c r="A31" s="1285" t="s">
        <v>3945</v>
      </c>
      <c r="B31" s="1286"/>
      <c r="C31" s="1287" t="s">
        <v>7555</v>
      </c>
      <c r="D31" s="1288"/>
      <c r="E31" s="1288"/>
      <c r="F31" s="1288"/>
      <c r="G31" s="1288"/>
      <c r="H31" s="1288"/>
      <c r="I31" s="1288"/>
      <c r="J31" s="1288"/>
      <c r="K31" s="1288"/>
      <c r="L31" s="1288"/>
      <c r="M31" s="1288"/>
      <c r="N31" s="1288"/>
      <c r="O31" s="1288"/>
      <c r="P31" s="1288"/>
      <c r="Q31" s="1288"/>
      <c r="R31" s="1288"/>
      <c r="S31" s="1288"/>
      <c r="T31" s="1288"/>
      <c r="U31" s="1288"/>
      <c r="V31" s="1288"/>
      <c r="W31" s="1288"/>
      <c r="X31" s="1289"/>
      <c r="Y31" s="1290" t="s">
        <v>7556</v>
      </c>
      <c r="Z31" s="1291"/>
      <c r="AA31" s="1291"/>
      <c r="AB31" s="1291"/>
      <c r="AC31" s="1291"/>
      <c r="AD31" s="1291"/>
      <c r="AE31" s="1292"/>
      <c r="AF31" s="1285">
        <v>612</v>
      </c>
      <c r="AG31" s="1293"/>
      <c r="AH31" s="1286"/>
      <c r="AI31" s="1294">
        <f>ROUND(UnosPod!F143-UnosPod!F148,0)</f>
        <v>245707</v>
      </c>
      <c r="AJ31" s="1295"/>
      <c r="AK31" s="1296"/>
      <c r="AL31" s="1296"/>
      <c r="AM31" s="1296"/>
      <c r="AN31" s="1296"/>
      <c r="AO31" s="1297"/>
      <c r="AP31" s="1294">
        <f>Prethodna_2024!D289</f>
        <v>0</v>
      </c>
      <c r="AQ31" s="1295"/>
      <c r="AR31" s="1296"/>
      <c r="AS31" s="1296"/>
      <c r="AT31" s="1296"/>
      <c r="AU31" s="1296"/>
      <c r="AV31" s="1297"/>
    </row>
    <row r="32" s="1226" customFormat="1" ht="28.5" customHeight="1" spans="1:48">
      <c r="A32" s="1285" t="s">
        <v>3947</v>
      </c>
      <c r="B32" s="1286"/>
      <c r="C32" s="1287" t="s">
        <v>7557</v>
      </c>
      <c r="D32" s="1288"/>
      <c r="E32" s="1288"/>
      <c r="F32" s="1288"/>
      <c r="G32" s="1288"/>
      <c r="H32" s="1288"/>
      <c r="I32" s="1288"/>
      <c r="J32" s="1288"/>
      <c r="K32" s="1288"/>
      <c r="L32" s="1288"/>
      <c r="M32" s="1288"/>
      <c r="N32" s="1288"/>
      <c r="O32" s="1288"/>
      <c r="P32" s="1288"/>
      <c r="Q32" s="1288"/>
      <c r="R32" s="1288"/>
      <c r="S32" s="1288"/>
      <c r="T32" s="1288"/>
      <c r="U32" s="1288"/>
      <c r="V32" s="1288"/>
      <c r="W32" s="1288"/>
      <c r="X32" s="1289"/>
      <c r="Y32" s="1290" t="s">
        <v>7558</v>
      </c>
      <c r="Z32" s="1291"/>
      <c r="AA32" s="1291"/>
      <c r="AB32" s="1291"/>
      <c r="AC32" s="1291"/>
      <c r="AD32" s="1291"/>
      <c r="AE32" s="1292"/>
      <c r="AF32" s="1285">
        <v>613</v>
      </c>
      <c r="AG32" s="1293"/>
      <c r="AH32" s="1286"/>
      <c r="AI32" s="1294">
        <f>ROUND(UnosPod!F146-UnosPod!F149,0)</f>
        <v>0</v>
      </c>
      <c r="AJ32" s="1295"/>
      <c r="AK32" s="1296"/>
      <c r="AL32" s="1296"/>
      <c r="AM32" s="1296"/>
      <c r="AN32" s="1296"/>
      <c r="AO32" s="1297"/>
      <c r="AP32" s="1294">
        <f>Prethodna_2024!D290</f>
        <v>0</v>
      </c>
      <c r="AQ32" s="1295"/>
      <c r="AR32" s="1296"/>
      <c r="AS32" s="1296"/>
      <c r="AT32" s="1296"/>
      <c r="AU32" s="1296"/>
      <c r="AV32" s="1297"/>
    </row>
    <row r="33" s="1225" customFormat="1" ht="29.25" customHeight="1" spans="1:48">
      <c r="A33" s="1268" t="s">
        <v>5705</v>
      </c>
      <c r="B33" s="1269"/>
      <c r="C33" s="1270" t="s">
        <v>7559</v>
      </c>
      <c r="D33" s="1271"/>
      <c r="E33" s="1271"/>
      <c r="F33" s="1271"/>
      <c r="G33" s="1271"/>
      <c r="H33" s="1271"/>
      <c r="I33" s="1271"/>
      <c r="J33" s="1271"/>
      <c r="K33" s="1271"/>
      <c r="L33" s="1271"/>
      <c r="M33" s="1271"/>
      <c r="N33" s="1271"/>
      <c r="O33" s="1271"/>
      <c r="P33" s="1271"/>
      <c r="Q33" s="1271"/>
      <c r="R33" s="1271"/>
      <c r="S33" s="1271"/>
      <c r="T33" s="1271"/>
      <c r="U33" s="1271"/>
      <c r="V33" s="1271"/>
      <c r="W33" s="1271"/>
      <c r="X33" s="1272"/>
      <c r="Y33" s="1273"/>
      <c r="Z33" s="1274"/>
      <c r="AA33" s="1274"/>
      <c r="AB33" s="1274"/>
      <c r="AC33" s="1274"/>
      <c r="AD33" s="1274"/>
      <c r="AE33" s="1275"/>
      <c r="AF33" s="1268">
        <v>614</v>
      </c>
      <c r="AG33" s="1276"/>
      <c r="AH33" s="1269"/>
      <c r="AI33" s="1277">
        <f>AI34+SUM(AI37:AO46)</f>
        <v>1319</v>
      </c>
      <c r="AJ33" s="1278"/>
      <c r="AK33" s="1279"/>
      <c r="AL33" s="1279"/>
      <c r="AM33" s="1279"/>
      <c r="AN33" s="1279"/>
      <c r="AO33" s="1280"/>
      <c r="AP33" s="1281">
        <f>AP34+SUM(AP37:AV46)</f>
        <v>0</v>
      </c>
      <c r="AQ33" s="1282"/>
      <c r="AR33" s="1283"/>
      <c r="AS33" s="1283"/>
      <c r="AT33" s="1283"/>
      <c r="AU33" s="1283"/>
      <c r="AV33" s="1284"/>
    </row>
    <row r="34" s="1226" customFormat="1" ht="15.75" customHeight="1" spans="1:48">
      <c r="A34" s="1285" t="s">
        <v>5707</v>
      </c>
      <c r="B34" s="1286"/>
      <c r="C34" s="1287" t="s">
        <v>3591</v>
      </c>
      <c r="D34" s="1288"/>
      <c r="E34" s="1288"/>
      <c r="F34" s="1288"/>
      <c r="G34" s="1288"/>
      <c r="H34" s="1288"/>
      <c r="I34" s="1288"/>
      <c r="J34" s="1288"/>
      <c r="K34" s="1288"/>
      <c r="L34" s="1288"/>
      <c r="M34" s="1288"/>
      <c r="N34" s="1288"/>
      <c r="O34" s="1288"/>
      <c r="P34" s="1288"/>
      <c r="Q34" s="1288"/>
      <c r="R34" s="1288"/>
      <c r="S34" s="1288"/>
      <c r="T34" s="1288"/>
      <c r="U34" s="1288"/>
      <c r="V34" s="1288"/>
      <c r="W34" s="1288"/>
      <c r="X34" s="1289"/>
      <c r="Y34" s="1290">
        <v>650</v>
      </c>
      <c r="Z34" s="1291"/>
      <c r="AA34" s="1291"/>
      <c r="AB34" s="1291"/>
      <c r="AC34" s="1291"/>
      <c r="AD34" s="1291"/>
      <c r="AE34" s="1292"/>
      <c r="AF34" s="1285">
        <v>615</v>
      </c>
      <c r="AG34" s="1293"/>
      <c r="AH34" s="1286"/>
      <c r="AI34" s="1294">
        <f>ROUND(UnosPod!F157,0)</f>
        <v>0</v>
      </c>
      <c r="AJ34" s="1295"/>
      <c r="AK34" s="1296"/>
      <c r="AL34" s="1296"/>
      <c r="AM34" s="1296"/>
      <c r="AN34" s="1296"/>
      <c r="AO34" s="1297"/>
      <c r="AP34" s="1294">
        <f>Prethodna_2024!D292</f>
        <v>0</v>
      </c>
      <c r="AQ34" s="1295"/>
      <c r="AR34" s="1296"/>
      <c r="AS34" s="1296"/>
      <c r="AT34" s="1296"/>
      <c r="AU34" s="1296"/>
      <c r="AV34" s="1297"/>
    </row>
    <row r="35" s="1226" customFormat="1" ht="15.75" customHeight="1" spans="1:48">
      <c r="A35" s="1285" t="s">
        <v>5708</v>
      </c>
      <c r="B35" s="1286"/>
      <c r="C35" s="1287" t="s">
        <v>7560</v>
      </c>
      <c r="D35" s="1288"/>
      <c r="E35" s="1288"/>
      <c r="F35" s="1288"/>
      <c r="G35" s="1288"/>
      <c r="H35" s="1288"/>
      <c r="I35" s="1288"/>
      <c r="J35" s="1288"/>
      <c r="K35" s="1288"/>
      <c r="L35" s="1288"/>
      <c r="M35" s="1288"/>
      <c r="N35" s="1288"/>
      <c r="O35" s="1288"/>
      <c r="P35" s="1288"/>
      <c r="Q35" s="1288"/>
      <c r="R35" s="1288"/>
      <c r="S35" s="1288"/>
      <c r="T35" s="1288"/>
      <c r="U35" s="1288"/>
      <c r="V35" s="1288"/>
      <c r="W35" s="1288"/>
      <c r="X35" s="1289"/>
      <c r="Y35" s="1290" t="s">
        <v>5129</v>
      </c>
      <c r="Z35" s="1291"/>
      <c r="AA35" s="1291"/>
      <c r="AB35" s="1291"/>
      <c r="AC35" s="1291"/>
      <c r="AD35" s="1291"/>
      <c r="AE35" s="1292"/>
      <c r="AF35" s="1285">
        <v>616</v>
      </c>
      <c r="AG35" s="1293"/>
      <c r="AH35" s="1286"/>
      <c r="AI35" s="1294">
        <f>ROUND(UnosPod!F448,0)</f>
        <v>0</v>
      </c>
      <c r="AJ35" s="1295"/>
      <c r="AK35" s="1296"/>
      <c r="AL35" s="1296"/>
      <c r="AM35" s="1296"/>
      <c r="AN35" s="1296"/>
      <c r="AO35" s="1297"/>
      <c r="AP35" s="1294">
        <f>Prethodna_2024!D293</f>
        <v>0</v>
      </c>
      <c r="AQ35" s="1295"/>
      <c r="AR35" s="1296"/>
      <c r="AS35" s="1296"/>
      <c r="AT35" s="1296"/>
      <c r="AU35" s="1296"/>
      <c r="AV35" s="1297"/>
    </row>
    <row r="36" s="1226" customFormat="1" ht="15.75" customHeight="1" spans="1:48">
      <c r="A36" s="1285" t="s">
        <v>5709</v>
      </c>
      <c r="B36" s="1286"/>
      <c r="C36" s="1287" t="s">
        <v>7561</v>
      </c>
      <c r="D36" s="1288"/>
      <c r="E36" s="1288"/>
      <c r="F36" s="1288"/>
      <c r="G36" s="1288"/>
      <c r="H36" s="1288"/>
      <c r="I36" s="1288"/>
      <c r="J36" s="1288"/>
      <c r="K36" s="1288"/>
      <c r="L36" s="1288"/>
      <c r="M36" s="1288"/>
      <c r="N36" s="1288"/>
      <c r="O36" s="1288"/>
      <c r="P36" s="1288"/>
      <c r="Q36" s="1288"/>
      <c r="R36" s="1288"/>
      <c r="S36" s="1288"/>
      <c r="T36" s="1288"/>
      <c r="U36" s="1288"/>
      <c r="V36" s="1288"/>
      <c r="W36" s="1288"/>
      <c r="X36" s="1289"/>
      <c r="Y36" s="1290" t="s">
        <v>5129</v>
      </c>
      <c r="Z36" s="1291"/>
      <c r="AA36" s="1291"/>
      <c r="AB36" s="1291"/>
      <c r="AC36" s="1291"/>
      <c r="AD36" s="1291"/>
      <c r="AE36" s="1292"/>
      <c r="AF36" s="1285">
        <v>617</v>
      </c>
      <c r="AG36" s="1293"/>
      <c r="AH36" s="1286"/>
      <c r="AI36" s="1294">
        <f>AI34-AI35</f>
        <v>0</v>
      </c>
      <c r="AJ36" s="1295"/>
      <c r="AK36" s="1296"/>
      <c r="AL36" s="1296"/>
      <c r="AM36" s="1296"/>
      <c r="AN36" s="1296"/>
      <c r="AO36" s="1297"/>
      <c r="AP36" s="1294">
        <f>Prethodna_2024!D294</f>
        <v>0</v>
      </c>
      <c r="AQ36" s="1295"/>
      <c r="AR36" s="1296"/>
      <c r="AS36" s="1296"/>
      <c r="AT36" s="1296"/>
      <c r="AU36" s="1296"/>
      <c r="AV36" s="1297"/>
    </row>
    <row r="37" s="1226" customFormat="1" ht="15.75" customHeight="1" spans="1:48">
      <c r="A37" s="1285" t="s">
        <v>5710</v>
      </c>
      <c r="B37" s="1286"/>
      <c r="C37" s="1287" t="s">
        <v>3599</v>
      </c>
      <c r="D37" s="1288"/>
      <c r="E37" s="1288"/>
      <c r="F37" s="1288"/>
      <c r="G37" s="1288"/>
      <c r="H37" s="1288"/>
      <c r="I37" s="1288"/>
      <c r="J37" s="1288"/>
      <c r="K37" s="1288"/>
      <c r="L37" s="1288"/>
      <c r="M37" s="1288"/>
      <c r="N37" s="1288"/>
      <c r="O37" s="1288"/>
      <c r="P37" s="1288"/>
      <c r="Q37" s="1288"/>
      <c r="R37" s="1288"/>
      <c r="S37" s="1288"/>
      <c r="T37" s="1288"/>
      <c r="U37" s="1288"/>
      <c r="V37" s="1288"/>
      <c r="W37" s="1288"/>
      <c r="X37" s="1289"/>
      <c r="Y37" s="1290">
        <v>651</v>
      </c>
      <c r="Z37" s="1291"/>
      <c r="AA37" s="1291"/>
      <c r="AB37" s="1291"/>
      <c r="AC37" s="1291"/>
      <c r="AD37" s="1291"/>
      <c r="AE37" s="1292"/>
      <c r="AF37" s="1285">
        <v>618</v>
      </c>
      <c r="AG37" s="1293"/>
      <c r="AH37" s="1286"/>
      <c r="AI37" s="1294">
        <f>ROUND(UnosPod!F158,0)</f>
        <v>0</v>
      </c>
      <c r="AJ37" s="1295"/>
      <c r="AK37" s="1296"/>
      <c r="AL37" s="1296"/>
      <c r="AM37" s="1296"/>
      <c r="AN37" s="1296"/>
      <c r="AO37" s="1297"/>
      <c r="AP37" s="1294">
        <f>Prethodna_2024!D295</f>
        <v>0</v>
      </c>
      <c r="AQ37" s="1295"/>
      <c r="AR37" s="1296"/>
      <c r="AS37" s="1296"/>
      <c r="AT37" s="1296"/>
      <c r="AU37" s="1296"/>
      <c r="AV37" s="1297"/>
    </row>
    <row r="38" s="1226" customFormat="1" ht="15.75" customHeight="1" spans="1:48">
      <c r="A38" s="1285" t="s">
        <v>5711</v>
      </c>
      <c r="B38" s="1286"/>
      <c r="C38" s="1287" t="s">
        <v>3601</v>
      </c>
      <c r="D38" s="1288"/>
      <c r="E38" s="1288"/>
      <c r="F38" s="1288"/>
      <c r="G38" s="1288"/>
      <c r="H38" s="1288"/>
      <c r="I38" s="1288"/>
      <c r="J38" s="1288"/>
      <c r="K38" s="1288"/>
      <c r="L38" s="1288"/>
      <c r="M38" s="1288"/>
      <c r="N38" s="1288"/>
      <c r="O38" s="1288"/>
      <c r="P38" s="1288"/>
      <c r="Q38" s="1288"/>
      <c r="R38" s="1288"/>
      <c r="S38" s="1288"/>
      <c r="T38" s="1288"/>
      <c r="U38" s="1288"/>
      <c r="V38" s="1288"/>
      <c r="W38" s="1288"/>
      <c r="X38" s="1289"/>
      <c r="Y38" s="1290">
        <v>652</v>
      </c>
      <c r="Z38" s="1291"/>
      <c r="AA38" s="1291"/>
      <c r="AB38" s="1291"/>
      <c r="AC38" s="1291"/>
      <c r="AD38" s="1291"/>
      <c r="AE38" s="1292"/>
      <c r="AF38" s="1285">
        <v>619</v>
      </c>
      <c r="AG38" s="1293"/>
      <c r="AH38" s="1286"/>
      <c r="AI38" s="1294">
        <f>ROUND(UnosPod!F159,0)</f>
        <v>0</v>
      </c>
      <c r="AJ38" s="1295"/>
      <c r="AK38" s="1296"/>
      <c r="AL38" s="1296"/>
      <c r="AM38" s="1296"/>
      <c r="AN38" s="1296"/>
      <c r="AO38" s="1297"/>
      <c r="AP38" s="1294">
        <f>Prethodna_2024!D296</f>
        <v>0</v>
      </c>
      <c r="AQ38" s="1295"/>
      <c r="AR38" s="1296"/>
      <c r="AS38" s="1296"/>
      <c r="AT38" s="1296"/>
      <c r="AU38" s="1296"/>
      <c r="AV38" s="1297"/>
    </row>
    <row r="39" s="1226" customFormat="1" ht="15.75" customHeight="1" spans="1:48">
      <c r="A39" s="1285" t="s">
        <v>5713</v>
      </c>
      <c r="B39" s="1286"/>
      <c r="C39" s="1287" t="s">
        <v>3603</v>
      </c>
      <c r="D39" s="1288"/>
      <c r="E39" s="1288"/>
      <c r="F39" s="1288"/>
      <c r="G39" s="1288"/>
      <c r="H39" s="1288"/>
      <c r="I39" s="1288"/>
      <c r="J39" s="1288"/>
      <c r="K39" s="1288"/>
      <c r="L39" s="1288"/>
      <c r="M39" s="1288"/>
      <c r="N39" s="1288"/>
      <c r="O39" s="1288"/>
      <c r="P39" s="1288"/>
      <c r="Q39" s="1288"/>
      <c r="R39" s="1288"/>
      <c r="S39" s="1288"/>
      <c r="T39" s="1288"/>
      <c r="U39" s="1288"/>
      <c r="V39" s="1288"/>
      <c r="W39" s="1288"/>
      <c r="X39" s="1289"/>
      <c r="Y39" s="1290">
        <v>653</v>
      </c>
      <c r="Z39" s="1291"/>
      <c r="AA39" s="1291"/>
      <c r="AB39" s="1291"/>
      <c r="AC39" s="1291"/>
      <c r="AD39" s="1291"/>
      <c r="AE39" s="1292"/>
      <c r="AF39" s="1285">
        <v>620</v>
      </c>
      <c r="AG39" s="1293"/>
      <c r="AH39" s="1286"/>
      <c r="AI39" s="1294">
        <f>ROUND(UnosPod!F160,0)</f>
        <v>0</v>
      </c>
      <c r="AJ39" s="1295"/>
      <c r="AK39" s="1296"/>
      <c r="AL39" s="1296"/>
      <c r="AM39" s="1296"/>
      <c r="AN39" s="1296"/>
      <c r="AO39" s="1297"/>
      <c r="AP39" s="1294">
        <f>Prethodna_2024!D297</f>
        <v>0</v>
      </c>
      <c r="AQ39" s="1295"/>
      <c r="AR39" s="1296"/>
      <c r="AS39" s="1296"/>
      <c r="AT39" s="1296"/>
      <c r="AU39" s="1296"/>
      <c r="AV39" s="1297"/>
    </row>
    <row r="40" s="1226" customFormat="1" ht="15.75" customHeight="1" spans="1:48">
      <c r="A40" s="1285" t="s">
        <v>5714</v>
      </c>
      <c r="B40" s="1286"/>
      <c r="C40" s="1287" t="s">
        <v>7562</v>
      </c>
      <c r="D40" s="1288"/>
      <c r="E40" s="1288"/>
      <c r="F40" s="1288"/>
      <c r="G40" s="1288"/>
      <c r="H40" s="1288"/>
      <c r="I40" s="1288"/>
      <c r="J40" s="1288"/>
      <c r="K40" s="1288"/>
      <c r="L40" s="1288"/>
      <c r="M40" s="1288"/>
      <c r="N40" s="1288"/>
      <c r="O40" s="1288"/>
      <c r="P40" s="1288"/>
      <c r="Q40" s="1288"/>
      <c r="R40" s="1288"/>
      <c r="S40" s="1288"/>
      <c r="T40" s="1288"/>
      <c r="U40" s="1288"/>
      <c r="V40" s="1288"/>
      <c r="W40" s="1288"/>
      <c r="X40" s="1289"/>
      <c r="Y40" s="1290">
        <v>654</v>
      </c>
      <c r="Z40" s="1291"/>
      <c r="AA40" s="1291"/>
      <c r="AB40" s="1291"/>
      <c r="AC40" s="1291"/>
      <c r="AD40" s="1291"/>
      <c r="AE40" s="1292"/>
      <c r="AF40" s="1285">
        <v>621</v>
      </c>
      <c r="AG40" s="1293"/>
      <c r="AH40" s="1286"/>
      <c r="AI40" s="1294">
        <f>ROUND(UnosPod!F161,0)</f>
        <v>0</v>
      </c>
      <c r="AJ40" s="1295"/>
      <c r="AK40" s="1296"/>
      <c r="AL40" s="1296"/>
      <c r="AM40" s="1296"/>
      <c r="AN40" s="1296"/>
      <c r="AO40" s="1297"/>
      <c r="AP40" s="1294">
        <f>Prethodna_2024!D298</f>
        <v>0</v>
      </c>
      <c r="AQ40" s="1295"/>
      <c r="AR40" s="1296"/>
      <c r="AS40" s="1296"/>
      <c r="AT40" s="1296"/>
      <c r="AU40" s="1296"/>
      <c r="AV40" s="1297"/>
    </row>
    <row r="41" s="1226" customFormat="1" ht="15.75" customHeight="1" spans="1:48">
      <c r="A41" s="1285" t="s">
        <v>5715</v>
      </c>
      <c r="B41" s="1286"/>
      <c r="C41" s="1287" t="s">
        <v>3607</v>
      </c>
      <c r="D41" s="1288"/>
      <c r="E41" s="1288"/>
      <c r="F41" s="1288"/>
      <c r="G41" s="1288"/>
      <c r="H41" s="1288"/>
      <c r="I41" s="1288"/>
      <c r="J41" s="1288"/>
      <c r="K41" s="1288"/>
      <c r="L41" s="1288"/>
      <c r="M41" s="1288"/>
      <c r="N41" s="1288"/>
      <c r="O41" s="1288"/>
      <c r="P41" s="1288"/>
      <c r="Q41" s="1288"/>
      <c r="R41" s="1288"/>
      <c r="S41" s="1288"/>
      <c r="T41" s="1288"/>
      <c r="U41" s="1288"/>
      <c r="V41" s="1288"/>
      <c r="W41" s="1288"/>
      <c r="X41" s="1289"/>
      <c r="Y41" s="1290">
        <v>655</v>
      </c>
      <c r="Z41" s="1291"/>
      <c r="AA41" s="1291"/>
      <c r="AB41" s="1291"/>
      <c r="AC41" s="1291"/>
      <c r="AD41" s="1291"/>
      <c r="AE41" s="1292"/>
      <c r="AF41" s="1285">
        <v>622</v>
      </c>
      <c r="AG41" s="1293"/>
      <c r="AH41" s="1286"/>
      <c r="AI41" s="1294">
        <f>ROUND(UnosPod!F162,0)</f>
        <v>0</v>
      </c>
      <c r="AJ41" s="1295"/>
      <c r="AK41" s="1296"/>
      <c r="AL41" s="1296"/>
      <c r="AM41" s="1296"/>
      <c r="AN41" s="1296"/>
      <c r="AO41" s="1297"/>
      <c r="AP41" s="1294">
        <f>Prethodna_2024!D299</f>
        <v>0</v>
      </c>
      <c r="AQ41" s="1295"/>
      <c r="AR41" s="1296"/>
      <c r="AS41" s="1296"/>
      <c r="AT41" s="1296"/>
      <c r="AU41" s="1296"/>
      <c r="AV41" s="1297"/>
    </row>
    <row r="42" s="1226" customFormat="1" ht="15.75" customHeight="1" spans="1:48">
      <c r="A42" s="1285" t="s">
        <v>5716</v>
      </c>
      <c r="B42" s="1286"/>
      <c r="C42" s="1287" t="s">
        <v>2844</v>
      </c>
      <c r="D42" s="1288"/>
      <c r="E42" s="1288"/>
      <c r="F42" s="1288"/>
      <c r="G42" s="1288"/>
      <c r="H42" s="1288"/>
      <c r="I42" s="1288"/>
      <c r="J42" s="1288"/>
      <c r="K42" s="1288"/>
      <c r="L42" s="1288"/>
      <c r="M42" s="1288"/>
      <c r="N42" s="1288"/>
      <c r="O42" s="1288"/>
      <c r="P42" s="1288"/>
      <c r="Q42" s="1288"/>
      <c r="R42" s="1288"/>
      <c r="S42" s="1288"/>
      <c r="T42" s="1288"/>
      <c r="U42" s="1288"/>
      <c r="V42" s="1288"/>
      <c r="W42" s="1288"/>
      <c r="X42" s="1289"/>
      <c r="Y42" s="1290">
        <v>656</v>
      </c>
      <c r="Z42" s="1291"/>
      <c r="AA42" s="1291"/>
      <c r="AB42" s="1291"/>
      <c r="AC42" s="1291"/>
      <c r="AD42" s="1291"/>
      <c r="AE42" s="1292"/>
      <c r="AF42" s="1285">
        <v>623</v>
      </c>
      <c r="AG42" s="1293"/>
      <c r="AH42" s="1286"/>
      <c r="AI42" s="1294">
        <f>ROUND(UnosPod!F163,0)</f>
        <v>0</v>
      </c>
      <c r="AJ42" s="1295"/>
      <c r="AK42" s="1296"/>
      <c r="AL42" s="1296"/>
      <c r="AM42" s="1296"/>
      <c r="AN42" s="1296"/>
      <c r="AO42" s="1297"/>
      <c r="AP42" s="1294">
        <f>Prethodna_2024!D300</f>
        <v>0</v>
      </c>
      <c r="AQ42" s="1295"/>
      <c r="AR42" s="1296"/>
      <c r="AS42" s="1296"/>
      <c r="AT42" s="1296"/>
      <c r="AU42" s="1296"/>
      <c r="AV42" s="1297"/>
    </row>
    <row r="43" s="1226" customFormat="1" ht="15.75" customHeight="1" spans="1:48">
      <c r="A43" s="1285" t="s">
        <v>5717</v>
      </c>
      <c r="B43" s="1286"/>
      <c r="C43" s="1287" t="s">
        <v>3610</v>
      </c>
      <c r="D43" s="1288"/>
      <c r="E43" s="1288"/>
      <c r="F43" s="1288"/>
      <c r="G43" s="1288"/>
      <c r="H43" s="1288"/>
      <c r="I43" s="1288"/>
      <c r="J43" s="1288"/>
      <c r="K43" s="1288"/>
      <c r="L43" s="1288"/>
      <c r="M43" s="1288"/>
      <c r="N43" s="1288"/>
      <c r="O43" s="1288"/>
      <c r="P43" s="1288"/>
      <c r="Q43" s="1288"/>
      <c r="R43" s="1288"/>
      <c r="S43" s="1288"/>
      <c r="T43" s="1288"/>
      <c r="U43" s="1288"/>
      <c r="V43" s="1288"/>
      <c r="W43" s="1288"/>
      <c r="X43" s="1289"/>
      <c r="Y43" s="1290">
        <v>659</v>
      </c>
      <c r="Z43" s="1291"/>
      <c r="AA43" s="1291"/>
      <c r="AB43" s="1291"/>
      <c r="AC43" s="1291"/>
      <c r="AD43" s="1291"/>
      <c r="AE43" s="1292"/>
      <c r="AF43" s="1285">
        <v>624</v>
      </c>
      <c r="AG43" s="1293"/>
      <c r="AH43" s="1286"/>
      <c r="AI43" s="1294">
        <f>ROUND(UnosPod!F164,0)</f>
        <v>0</v>
      </c>
      <c r="AJ43" s="1295"/>
      <c r="AK43" s="1296"/>
      <c r="AL43" s="1296"/>
      <c r="AM43" s="1296"/>
      <c r="AN43" s="1296"/>
      <c r="AO43" s="1297"/>
      <c r="AP43" s="1294">
        <f>Prethodna_2024!D301</f>
        <v>0</v>
      </c>
      <c r="AQ43" s="1295"/>
      <c r="AR43" s="1296"/>
      <c r="AS43" s="1296"/>
      <c r="AT43" s="1296"/>
      <c r="AU43" s="1296"/>
      <c r="AV43" s="1297"/>
    </row>
    <row r="44" s="1226" customFormat="1" ht="15.75" customHeight="1" spans="1:48">
      <c r="A44" s="1285" t="s">
        <v>5718</v>
      </c>
      <c r="B44" s="1286"/>
      <c r="C44" s="1287" t="s">
        <v>2849</v>
      </c>
      <c r="D44" s="1288"/>
      <c r="E44" s="1288"/>
      <c r="F44" s="1288"/>
      <c r="G44" s="1288"/>
      <c r="H44" s="1288"/>
      <c r="I44" s="1288"/>
      <c r="J44" s="1288"/>
      <c r="K44" s="1288"/>
      <c r="L44" s="1288"/>
      <c r="M44" s="1288"/>
      <c r="N44" s="1288"/>
      <c r="O44" s="1288"/>
      <c r="P44" s="1288"/>
      <c r="Q44" s="1288"/>
      <c r="R44" s="1288"/>
      <c r="S44" s="1288"/>
      <c r="T44" s="1288"/>
      <c r="U44" s="1288"/>
      <c r="V44" s="1288"/>
      <c r="W44" s="1288"/>
      <c r="X44" s="1289"/>
      <c r="Y44" s="1290" t="s">
        <v>7563</v>
      </c>
      <c r="Z44" s="1291"/>
      <c r="AA44" s="1291"/>
      <c r="AB44" s="1291"/>
      <c r="AC44" s="1291"/>
      <c r="AD44" s="1291"/>
      <c r="AE44" s="1292"/>
      <c r="AF44" s="1285">
        <v>625</v>
      </c>
      <c r="AG44" s="1293"/>
      <c r="AH44" s="1286"/>
      <c r="AI44" s="1294">
        <f>ROUND(UnosPod!F166+UnosPod!F167,0)</f>
        <v>1319</v>
      </c>
      <c r="AJ44" s="1295"/>
      <c r="AK44" s="1296"/>
      <c r="AL44" s="1296"/>
      <c r="AM44" s="1296"/>
      <c r="AN44" s="1296"/>
      <c r="AO44" s="1297"/>
      <c r="AP44" s="1294">
        <f>Prethodna_2024!D302</f>
        <v>0</v>
      </c>
      <c r="AQ44" s="1295"/>
      <c r="AR44" s="1296"/>
      <c r="AS44" s="1296"/>
      <c r="AT44" s="1296"/>
      <c r="AU44" s="1296"/>
      <c r="AV44" s="1297"/>
    </row>
    <row r="45" s="1226" customFormat="1" ht="15.75" customHeight="1" spans="1:48">
      <c r="A45" s="1285" t="s">
        <v>5835</v>
      </c>
      <c r="B45" s="1286"/>
      <c r="C45" s="1287" t="s">
        <v>3612</v>
      </c>
      <c r="D45" s="1288"/>
      <c r="E45" s="1288"/>
      <c r="F45" s="1288"/>
      <c r="G45" s="1288"/>
      <c r="H45" s="1288"/>
      <c r="I45" s="1288"/>
      <c r="J45" s="1288"/>
      <c r="K45" s="1288"/>
      <c r="L45" s="1288"/>
      <c r="M45" s="1288"/>
      <c r="N45" s="1288"/>
      <c r="O45" s="1288"/>
      <c r="P45" s="1288"/>
      <c r="Q45" s="1288"/>
      <c r="R45" s="1288"/>
      <c r="S45" s="1288"/>
      <c r="T45" s="1288"/>
      <c r="U45" s="1288"/>
      <c r="V45" s="1288"/>
      <c r="W45" s="1288"/>
      <c r="X45" s="1289"/>
      <c r="Y45" s="1290">
        <v>675</v>
      </c>
      <c r="Z45" s="1291"/>
      <c r="AA45" s="1291"/>
      <c r="AB45" s="1291"/>
      <c r="AC45" s="1291"/>
      <c r="AD45" s="1291"/>
      <c r="AE45" s="1292"/>
      <c r="AF45" s="1285">
        <v>626</v>
      </c>
      <c r="AG45" s="1293"/>
      <c r="AH45" s="1286"/>
      <c r="AI45" s="1294">
        <f>ROUND(UnosPod!F187,0)</f>
        <v>0</v>
      </c>
      <c r="AJ45" s="1295"/>
      <c r="AK45" s="1296"/>
      <c r="AL45" s="1296"/>
      <c r="AM45" s="1296"/>
      <c r="AN45" s="1296"/>
      <c r="AO45" s="1297"/>
      <c r="AP45" s="1294">
        <f>Prethodna_2024!D303</f>
        <v>0</v>
      </c>
      <c r="AQ45" s="1295"/>
      <c r="AR45" s="1296"/>
      <c r="AS45" s="1296"/>
      <c r="AT45" s="1296"/>
      <c r="AU45" s="1296"/>
      <c r="AV45" s="1297"/>
    </row>
    <row r="46" s="1226" customFormat="1" ht="15.75" customHeight="1" spans="1:48">
      <c r="A46" s="1285" t="s">
        <v>5837</v>
      </c>
      <c r="B46" s="1286"/>
      <c r="C46" s="1287" t="s">
        <v>3614</v>
      </c>
      <c r="D46" s="1288"/>
      <c r="E46" s="1288"/>
      <c r="F46" s="1288"/>
      <c r="G46" s="1288"/>
      <c r="H46" s="1288"/>
      <c r="I46" s="1288"/>
      <c r="J46" s="1288"/>
      <c r="K46" s="1288"/>
      <c r="L46" s="1288"/>
      <c r="M46" s="1288"/>
      <c r="N46" s="1288"/>
      <c r="O46" s="1288"/>
      <c r="P46" s="1288"/>
      <c r="Q46" s="1288"/>
      <c r="R46" s="1288"/>
      <c r="S46" s="1288"/>
      <c r="T46" s="1288"/>
      <c r="U46" s="1288"/>
      <c r="V46" s="1288"/>
      <c r="W46" s="1288"/>
      <c r="X46" s="1289"/>
      <c r="Y46" s="1290">
        <v>685</v>
      </c>
      <c r="Z46" s="1291"/>
      <c r="AA46" s="1291"/>
      <c r="AB46" s="1291"/>
      <c r="AC46" s="1291"/>
      <c r="AD46" s="1291"/>
      <c r="AE46" s="1292"/>
      <c r="AF46" s="1285">
        <v>627</v>
      </c>
      <c r="AG46" s="1293"/>
      <c r="AH46" s="1286"/>
      <c r="AI46" s="1294">
        <f>ROUND(UnosPod!F206,0)</f>
        <v>0</v>
      </c>
      <c r="AJ46" s="1295"/>
      <c r="AK46" s="1296"/>
      <c r="AL46" s="1296"/>
      <c r="AM46" s="1296"/>
      <c r="AN46" s="1296"/>
      <c r="AO46" s="1297"/>
      <c r="AP46" s="1294">
        <f>Prethodna_2024!D304</f>
        <v>0</v>
      </c>
      <c r="AQ46" s="1295"/>
      <c r="AR46" s="1296"/>
      <c r="AS46" s="1296"/>
      <c r="AT46" s="1296"/>
      <c r="AU46" s="1296"/>
      <c r="AV46" s="1297"/>
    </row>
    <row r="47" s="1226" customFormat="1" ht="13.5" customHeight="1" spans="1:48">
      <c r="A47" s="1298" t="s">
        <v>7118</v>
      </c>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row>
    <row r="48" s="1226" customFormat="1" ht="13.5" customHeight="1" spans="1:48">
      <c r="A48" s="1298" t="s">
        <v>7564</v>
      </c>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row>
    <row r="49" s="1226" customFormat="1" ht="13.5" customHeight="1"/>
    <row r="50" s="1226" customFormat="1" ht="13.5" customHeight="1"/>
    <row r="51" s="1226" customFormat="1" ht="13.5" customHeight="1"/>
    <row r="52" s="1226" customFormat="1" ht="13.5" customHeight="1"/>
    <row r="53" s="1226" customFormat="1" ht="13.5" customHeight="1"/>
    <row r="54" s="1226" customFormat="1" ht="13.5" customHeight="1"/>
    <row r="55" s="1224" customFormat="1" ht="12.75" customHeight="1" spans="1:48">
      <c r="A55" s="1245"/>
      <c r="AV55" s="1246" t="s">
        <v>7115</v>
      </c>
    </row>
    <row r="56" s="1224" customFormat="1" ht="13.5" customHeight="1" spans="1:48">
      <c r="A56" s="1299" t="s">
        <v>7074</v>
      </c>
      <c r="B56" s="1300"/>
      <c r="C56" s="1249" t="s">
        <v>2507</v>
      </c>
      <c r="D56" s="1249"/>
      <c r="E56" s="1249"/>
      <c r="F56" s="1249"/>
      <c r="G56" s="1249"/>
      <c r="H56" s="1249"/>
      <c r="I56" s="1249"/>
      <c r="J56" s="1249"/>
      <c r="K56" s="1249"/>
      <c r="L56" s="1249"/>
      <c r="M56" s="1249"/>
      <c r="N56" s="1249"/>
      <c r="O56" s="1249"/>
      <c r="P56" s="1249"/>
      <c r="Q56" s="1249"/>
      <c r="R56" s="1249"/>
      <c r="S56" s="1249"/>
      <c r="T56" s="1249"/>
      <c r="U56" s="1249"/>
      <c r="V56" s="1249"/>
      <c r="W56" s="1249"/>
      <c r="X56" s="1250"/>
      <c r="Y56" s="1251" t="s">
        <v>2527</v>
      </c>
      <c r="Z56" s="1252"/>
      <c r="AA56" s="1252"/>
      <c r="AB56" s="1252"/>
      <c r="AC56" s="1252"/>
      <c r="AD56" s="1252"/>
      <c r="AE56" s="1253"/>
      <c r="AF56" s="1251" t="s">
        <v>2438</v>
      </c>
      <c r="AG56" s="1252"/>
      <c r="AH56" s="1253"/>
      <c r="AI56" s="1254" t="s">
        <v>2529</v>
      </c>
      <c r="AJ56" s="1255"/>
      <c r="AK56" s="1255"/>
      <c r="AL56" s="1255"/>
      <c r="AM56" s="1255"/>
      <c r="AN56" s="1255"/>
      <c r="AO56" s="1255"/>
      <c r="AP56" s="1255"/>
      <c r="AQ56" s="1255"/>
      <c r="AR56" s="1255"/>
      <c r="AS56" s="1255"/>
      <c r="AT56" s="1255"/>
      <c r="AU56" s="1255"/>
      <c r="AV56" s="1256"/>
    </row>
    <row r="57" s="1224" customFormat="1" ht="13.5" customHeight="1" spans="1:48">
      <c r="A57" s="1301" t="s">
        <v>7076</v>
      </c>
      <c r="B57" s="1302"/>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60"/>
      <c r="Y57" s="1261"/>
      <c r="Z57" s="1262"/>
      <c r="AA57" s="1262"/>
      <c r="AB57" s="1262"/>
      <c r="AC57" s="1262"/>
      <c r="AD57" s="1262"/>
      <c r="AE57" s="1263"/>
      <c r="AF57" s="1261"/>
      <c r="AG57" s="1262"/>
      <c r="AH57" s="1263"/>
      <c r="AI57" s="1264" t="s">
        <v>4676</v>
      </c>
      <c r="AJ57" s="1264"/>
      <c r="AK57" s="1264"/>
      <c r="AL57" s="1264"/>
      <c r="AM57" s="1264"/>
      <c r="AN57" s="1264"/>
      <c r="AO57" s="1264"/>
      <c r="AP57" s="1265" t="s">
        <v>7116</v>
      </c>
      <c r="AQ57" s="1265"/>
      <c r="AR57" s="1265"/>
      <c r="AS57" s="1265"/>
      <c r="AT57" s="1265"/>
      <c r="AU57" s="1265"/>
      <c r="AV57" s="1265"/>
    </row>
    <row r="58" s="1224" customFormat="1" ht="13.5" customHeight="1" spans="1:48">
      <c r="A58" s="1266">
        <v>1</v>
      </c>
      <c r="B58" s="1266"/>
      <c r="C58" s="1267">
        <v>2</v>
      </c>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v>3</v>
      </c>
      <c r="Z58" s="1266"/>
      <c r="AA58" s="1266"/>
      <c r="AB58" s="1266"/>
      <c r="AC58" s="1266"/>
      <c r="AD58" s="1266"/>
      <c r="AE58" s="1266"/>
      <c r="AF58" s="1266">
        <v>4</v>
      </c>
      <c r="AG58" s="1266"/>
      <c r="AH58" s="1266"/>
      <c r="AI58" s="1266">
        <v>5</v>
      </c>
      <c r="AJ58" s="1266"/>
      <c r="AK58" s="1266"/>
      <c r="AL58" s="1266"/>
      <c r="AM58" s="1266"/>
      <c r="AN58" s="1266"/>
      <c r="AO58" s="1266"/>
      <c r="AP58" s="1266">
        <v>6</v>
      </c>
      <c r="AQ58" s="1266"/>
      <c r="AR58" s="1266"/>
      <c r="AS58" s="1266"/>
      <c r="AT58" s="1266"/>
      <c r="AU58" s="1266"/>
      <c r="AV58" s="1266"/>
    </row>
    <row r="59" s="1227" customFormat="1" ht="27" customHeight="1" spans="1:48">
      <c r="A59" s="1285" t="s">
        <v>5839</v>
      </c>
      <c r="B59" s="1286"/>
      <c r="C59" s="1270" t="s">
        <v>7565</v>
      </c>
      <c r="D59" s="1271"/>
      <c r="E59" s="1271"/>
      <c r="F59" s="1271"/>
      <c r="G59" s="1271"/>
      <c r="H59" s="1271"/>
      <c r="I59" s="1271"/>
      <c r="J59" s="1271"/>
      <c r="K59" s="1271"/>
      <c r="L59" s="1271"/>
      <c r="M59" s="1271"/>
      <c r="N59" s="1271"/>
      <c r="O59" s="1271"/>
      <c r="P59" s="1271"/>
      <c r="Q59" s="1271"/>
      <c r="R59" s="1271"/>
      <c r="S59" s="1271"/>
      <c r="T59" s="1271"/>
      <c r="U59" s="1271"/>
      <c r="V59" s="1271"/>
      <c r="W59" s="1271"/>
      <c r="X59" s="1272"/>
      <c r="Y59" s="1303">
        <v>52</v>
      </c>
      <c r="Z59" s="1304"/>
      <c r="AA59" s="1304"/>
      <c r="AB59" s="1304"/>
      <c r="AC59" s="1304"/>
      <c r="AD59" s="1304"/>
      <c r="AE59" s="1305"/>
      <c r="AF59" s="1268">
        <v>628</v>
      </c>
      <c r="AG59" s="1276"/>
      <c r="AH59" s="1269"/>
      <c r="AI59" s="1277">
        <f>SUM(AI60:AO64)+AI66+AI67+AI68</f>
        <v>206367</v>
      </c>
      <c r="AJ59" s="1278"/>
      <c r="AK59" s="1279"/>
      <c r="AL59" s="1279"/>
      <c r="AM59" s="1279"/>
      <c r="AN59" s="1279"/>
      <c r="AO59" s="1280"/>
      <c r="AP59" s="1281">
        <f>SUM(AP60:AV64)+AP66+AP67+AP68</f>
        <v>0</v>
      </c>
      <c r="AQ59" s="1282"/>
      <c r="AR59" s="1283"/>
      <c r="AS59" s="1283"/>
      <c r="AT59" s="1283"/>
      <c r="AU59" s="1283"/>
      <c r="AV59" s="1284"/>
    </row>
    <row r="60" s="1226" customFormat="1" ht="14.25" customHeight="1" spans="1:48">
      <c r="A60" s="1285" t="s">
        <v>5841</v>
      </c>
      <c r="B60" s="1286"/>
      <c r="C60" s="1287" t="s">
        <v>3620</v>
      </c>
      <c r="D60" s="1288"/>
      <c r="E60" s="1288"/>
      <c r="F60" s="1288"/>
      <c r="G60" s="1288"/>
      <c r="H60" s="1288"/>
      <c r="I60" s="1288"/>
      <c r="J60" s="1288"/>
      <c r="K60" s="1288"/>
      <c r="L60" s="1288"/>
      <c r="M60" s="1288"/>
      <c r="N60" s="1288"/>
      <c r="O60" s="1288"/>
      <c r="P60" s="1288"/>
      <c r="Q60" s="1288"/>
      <c r="R60" s="1288"/>
      <c r="S60" s="1288"/>
      <c r="T60" s="1288"/>
      <c r="U60" s="1288"/>
      <c r="V60" s="1288"/>
      <c r="W60" s="1288"/>
      <c r="X60" s="1289"/>
      <c r="Y60" s="1306" t="s">
        <v>7117</v>
      </c>
      <c r="Z60" s="1307"/>
      <c r="AA60" s="1307"/>
      <c r="AB60" s="1307"/>
      <c r="AC60" s="1307"/>
      <c r="AD60" s="1307"/>
      <c r="AE60" s="1308"/>
      <c r="AF60" s="1285">
        <v>629</v>
      </c>
      <c r="AG60" s="1293"/>
      <c r="AH60" s="1286"/>
      <c r="AI60" s="1294">
        <f>ROUND(UnosPod!F240+UnosPod!F245,0)</f>
        <v>87679</v>
      </c>
      <c r="AJ60" s="1295"/>
      <c r="AK60" s="1296"/>
      <c r="AL60" s="1296"/>
      <c r="AM60" s="1296"/>
      <c r="AN60" s="1296"/>
      <c r="AO60" s="1297"/>
      <c r="AP60" s="1294">
        <f>Prethodna_2024!D306</f>
        <v>0</v>
      </c>
      <c r="AQ60" s="1295"/>
      <c r="AR60" s="1296"/>
      <c r="AS60" s="1296"/>
      <c r="AT60" s="1296"/>
      <c r="AU60" s="1296"/>
      <c r="AV60" s="1297"/>
    </row>
    <row r="61" s="1226" customFormat="1" ht="14.25" customHeight="1" spans="1:48">
      <c r="A61" s="1285" t="s">
        <v>5843</v>
      </c>
      <c r="B61" s="1286"/>
      <c r="C61" s="1287" t="s">
        <v>3622</v>
      </c>
      <c r="D61" s="1288"/>
      <c r="E61" s="1288"/>
      <c r="F61" s="1288"/>
      <c r="G61" s="1288"/>
      <c r="H61" s="1288"/>
      <c r="I61" s="1288"/>
      <c r="J61" s="1288"/>
      <c r="K61" s="1288"/>
      <c r="L61" s="1288"/>
      <c r="M61" s="1288"/>
      <c r="N61" s="1288"/>
      <c r="O61" s="1288"/>
      <c r="P61" s="1288"/>
      <c r="Q61" s="1288"/>
      <c r="R61" s="1288"/>
      <c r="S61" s="1288"/>
      <c r="T61" s="1288"/>
      <c r="U61" s="1288"/>
      <c r="V61" s="1288"/>
      <c r="W61" s="1288"/>
      <c r="X61" s="1289"/>
      <c r="Y61" s="1306" t="s">
        <v>7117</v>
      </c>
      <c r="Z61" s="1307"/>
      <c r="AA61" s="1307"/>
      <c r="AB61" s="1307"/>
      <c r="AC61" s="1307"/>
      <c r="AD61" s="1307"/>
      <c r="AE61" s="1308"/>
      <c r="AF61" s="1285">
        <v>630</v>
      </c>
      <c r="AG61" s="1293"/>
      <c r="AH61" s="1286"/>
      <c r="AI61" s="1294">
        <f>ROUND(UnosPod!F241+UnosPod!F246,0)</f>
        <v>6929</v>
      </c>
      <c r="AJ61" s="1295"/>
      <c r="AK61" s="1296"/>
      <c r="AL61" s="1296"/>
      <c r="AM61" s="1296"/>
      <c r="AN61" s="1296"/>
      <c r="AO61" s="1297"/>
      <c r="AP61" s="1294">
        <f>Prethodna_2024!D307</f>
        <v>0</v>
      </c>
      <c r="AQ61" s="1295"/>
      <c r="AR61" s="1296"/>
      <c r="AS61" s="1296"/>
      <c r="AT61" s="1296"/>
      <c r="AU61" s="1296"/>
      <c r="AV61" s="1297"/>
    </row>
    <row r="62" s="1226" customFormat="1" ht="14.25" customHeight="1" spans="1:48">
      <c r="A62" s="1285" t="s">
        <v>5845</v>
      </c>
      <c r="B62" s="1286"/>
      <c r="C62" s="1287" t="s">
        <v>3624</v>
      </c>
      <c r="D62" s="1288"/>
      <c r="E62" s="1288"/>
      <c r="F62" s="1288"/>
      <c r="G62" s="1288"/>
      <c r="H62" s="1288"/>
      <c r="I62" s="1288"/>
      <c r="J62" s="1288"/>
      <c r="K62" s="1288"/>
      <c r="L62" s="1288"/>
      <c r="M62" s="1288"/>
      <c r="N62" s="1288"/>
      <c r="O62" s="1288"/>
      <c r="P62" s="1288"/>
      <c r="Q62" s="1288"/>
      <c r="R62" s="1288"/>
      <c r="S62" s="1288"/>
      <c r="T62" s="1288"/>
      <c r="U62" s="1288"/>
      <c r="V62" s="1288"/>
      <c r="W62" s="1288"/>
      <c r="X62" s="1289"/>
      <c r="Y62" s="1306" t="s">
        <v>7117</v>
      </c>
      <c r="Z62" s="1307"/>
      <c r="AA62" s="1307"/>
      <c r="AB62" s="1307"/>
      <c r="AC62" s="1307"/>
      <c r="AD62" s="1307"/>
      <c r="AE62" s="1308"/>
      <c r="AF62" s="1285">
        <v>631</v>
      </c>
      <c r="AG62" s="1293"/>
      <c r="AH62" s="1286"/>
      <c r="AI62" s="1294">
        <f>ROUND(UnosPod!F242+UnosPod!F247,0)</f>
        <v>57934</v>
      </c>
      <c r="AJ62" s="1295"/>
      <c r="AK62" s="1296"/>
      <c r="AL62" s="1296"/>
      <c r="AM62" s="1296"/>
      <c r="AN62" s="1296"/>
      <c r="AO62" s="1297"/>
      <c r="AP62" s="1294">
        <f>Prethodna_2024!D308</f>
        <v>0</v>
      </c>
      <c r="AQ62" s="1295"/>
      <c r="AR62" s="1296"/>
      <c r="AS62" s="1296"/>
      <c r="AT62" s="1296"/>
      <c r="AU62" s="1296"/>
      <c r="AV62" s="1297"/>
    </row>
    <row r="63" s="1226" customFormat="1" ht="14.25" customHeight="1" spans="1:48">
      <c r="A63" s="1285" t="s">
        <v>5847</v>
      </c>
      <c r="B63" s="1286"/>
      <c r="C63" s="1287" t="s">
        <v>7102</v>
      </c>
      <c r="D63" s="1288"/>
      <c r="E63" s="1288"/>
      <c r="F63" s="1288"/>
      <c r="G63" s="1288"/>
      <c r="H63" s="1288"/>
      <c r="I63" s="1288"/>
      <c r="J63" s="1288"/>
      <c r="K63" s="1288"/>
      <c r="L63" s="1288"/>
      <c r="M63" s="1288"/>
      <c r="N63" s="1288"/>
      <c r="O63" s="1288"/>
      <c r="P63" s="1288"/>
      <c r="Q63" s="1288"/>
      <c r="R63" s="1288"/>
      <c r="S63" s="1288"/>
      <c r="T63" s="1288"/>
      <c r="U63" s="1288"/>
      <c r="V63" s="1288"/>
      <c r="W63" s="1288"/>
      <c r="X63" s="1289"/>
      <c r="Y63" s="1306" t="s">
        <v>7117</v>
      </c>
      <c r="Z63" s="1307"/>
      <c r="AA63" s="1307"/>
      <c r="AB63" s="1307"/>
      <c r="AC63" s="1307"/>
      <c r="AD63" s="1307"/>
      <c r="AE63" s="1308"/>
      <c r="AF63" s="1285">
        <v>632</v>
      </c>
      <c r="AG63" s="1293"/>
      <c r="AH63" s="1286"/>
      <c r="AI63" s="1294">
        <f>ROUND(UnosPod!F243+UnosPod!F248,0)</f>
        <v>10605</v>
      </c>
      <c r="AJ63" s="1295"/>
      <c r="AK63" s="1296"/>
      <c r="AL63" s="1296"/>
      <c r="AM63" s="1296"/>
      <c r="AN63" s="1296"/>
      <c r="AO63" s="1297"/>
      <c r="AP63" s="1294">
        <f>Prethodna_2024!D309</f>
        <v>0</v>
      </c>
      <c r="AQ63" s="1295"/>
      <c r="AR63" s="1296"/>
      <c r="AS63" s="1296"/>
      <c r="AT63" s="1296"/>
      <c r="AU63" s="1296"/>
      <c r="AV63" s="1297"/>
    </row>
    <row r="64" s="1226" customFormat="1" ht="14.25" customHeight="1" spans="1:48">
      <c r="A64" s="1285" t="s">
        <v>5849</v>
      </c>
      <c r="B64" s="1286"/>
      <c r="C64" s="1287" t="s">
        <v>5130</v>
      </c>
      <c r="D64" s="1288"/>
      <c r="E64" s="1288"/>
      <c r="F64" s="1288"/>
      <c r="G64" s="1288"/>
      <c r="H64" s="1288"/>
      <c r="I64" s="1288"/>
      <c r="J64" s="1288"/>
      <c r="K64" s="1288"/>
      <c r="L64" s="1288"/>
      <c r="M64" s="1288"/>
      <c r="N64" s="1288"/>
      <c r="O64" s="1288"/>
      <c r="P64" s="1288"/>
      <c r="Q64" s="1288"/>
      <c r="R64" s="1288"/>
      <c r="S64" s="1288"/>
      <c r="T64" s="1288"/>
      <c r="U64" s="1288"/>
      <c r="V64" s="1288"/>
      <c r="W64" s="1288"/>
      <c r="X64" s="1289"/>
      <c r="Y64" s="1306">
        <v>523</v>
      </c>
      <c r="Z64" s="1307"/>
      <c r="AA64" s="1307"/>
      <c r="AB64" s="1307"/>
      <c r="AC64" s="1307"/>
      <c r="AD64" s="1307"/>
      <c r="AE64" s="1308"/>
      <c r="AF64" s="1285">
        <v>633</v>
      </c>
      <c r="AG64" s="1293"/>
      <c r="AH64" s="1286"/>
      <c r="AI64" s="1294">
        <f>ROUND(UnosPod!F250,9)</f>
        <v>9263</v>
      </c>
      <c r="AJ64" s="1295"/>
      <c r="AK64" s="1296"/>
      <c r="AL64" s="1296"/>
      <c r="AM64" s="1296"/>
      <c r="AN64" s="1296"/>
      <c r="AO64" s="1297"/>
      <c r="AP64" s="1294">
        <f>Prethodna_2024!D310</f>
        <v>0</v>
      </c>
      <c r="AQ64" s="1295"/>
      <c r="AR64" s="1296"/>
      <c r="AS64" s="1296"/>
      <c r="AT64" s="1296"/>
      <c r="AU64" s="1296"/>
      <c r="AV64" s="1297"/>
    </row>
    <row r="65" s="1226" customFormat="1" ht="14.25" customHeight="1" spans="1:48">
      <c r="A65" s="1285" t="s">
        <v>5851</v>
      </c>
      <c r="B65" s="1286"/>
      <c r="C65" s="1287" t="s">
        <v>5132</v>
      </c>
      <c r="D65" s="1288"/>
      <c r="E65" s="1288"/>
      <c r="F65" s="1288"/>
      <c r="G65" s="1288"/>
      <c r="H65" s="1288"/>
      <c r="I65" s="1288"/>
      <c r="J65" s="1288"/>
      <c r="K65" s="1288"/>
      <c r="L65" s="1288"/>
      <c r="M65" s="1288"/>
      <c r="N65" s="1288"/>
      <c r="O65" s="1288"/>
      <c r="P65" s="1288"/>
      <c r="Q65" s="1288"/>
      <c r="R65" s="1288"/>
      <c r="S65" s="1288"/>
      <c r="T65" s="1288"/>
      <c r="U65" s="1288"/>
      <c r="V65" s="1288"/>
      <c r="W65" s="1288"/>
      <c r="X65" s="1289"/>
      <c r="Y65" s="1306" t="s">
        <v>5131</v>
      </c>
      <c r="Z65" s="1307"/>
      <c r="AA65" s="1307"/>
      <c r="AB65" s="1307"/>
      <c r="AC65" s="1307"/>
      <c r="AD65" s="1307"/>
      <c r="AE65" s="1308"/>
      <c r="AF65" s="1285">
        <v>634</v>
      </c>
      <c r="AG65" s="1293"/>
      <c r="AH65" s="1286"/>
      <c r="AI65" s="1294">
        <f>ROUND(IF(UnosPod!F450=0,AI64,UnosPod!F450),0)</f>
        <v>9263</v>
      </c>
      <c r="AJ65" s="1295"/>
      <c r="AK65" s="1296"/>
      <c r="AL65" s="1296"/>
      <c r="AM65" s="1296"/>
      <c r="AN65" s="1296"/>
      <c r="AO65" s="1297"/>
      <c r="AP65" s="1294">
        <f>Prethodna_2024!D311</f>
        <v>0</v>
      </c>
      <c r="AQ65" s="1295"/>
      <c r="AR65" s="1296"/>
      <c r="AS65" s="1296"/>
      <c r="AT65" s="1296"/>
      <c r="AU65" s="1296"/>
      <c r="AV65" s="1297"/>
    </row>
    <row r="66" s="1226" customFormat="1" ht="14.25" customHeight="1" spans="1:48">
      <c r="A66" s="1285" t="s">
        <v>5853</v>
      </c>
      <c r="B66" s="1286"/>
      <c r="C66" s="1287" t="s">
        <v>3632</v>
      </c>
      <c r="D66" s="1288"/>
      <c r="E66" s="1288"/>
      <c r="F66" s="1288"/>
      <c r="G66" s="1288"/>
      <c r="H66" s="1288"/>
      <c r="I66" s="1288"/>
      <c r="J66" s="1288"/>
      <c r="K66" s="1288"/>
      <c r="L66" s="1288"/>
      <c r="M66" s="1288"/>
      <c r="N66" s="1288"/>
      <c r="O66" s="1288"/>
      <c r="P66" s="1288"/>
      <c r="Q66" s="1288"/>
      <c r="R66" s="1288"/>
      <c r="S66" s="1288"/>
      <c r="T66" s="1288"/>
      <c r="U66" s="1288"/>
      <c r="V66" s="1288"/>
      <c r="W66" s="1288"/>
      <c r="X66" s="1289"/>
      <c r="Y66" s="1306">
        <v>524</v>
      </c>
      <c r="Z66" s="1307"/>
      <c r="AA66" s="1307"/>
      <c r="AB66" s="1307"/>
      <c r="AC66" s="1307"/>
      <c r="AD66" s="1307"/>
      <c r="AE66" s="1308"/>
      <c r="AF66" s="1285">
        <v>635</v>
      </c>
      <c r="AG66" s="1293"/>
      <c r="AH66" s="1286"/>
      <c r="AI66" s="1294">
        <f>ROUND(UnosPod!F251,0)</f>
        <v>27191</v>
      </c>
      <c r="AJ66" s="1295"/>
      <c r="AK66" s="1296"/>
      <c r="AL66" s="1296"/>
      <c r="AM66" s="1296"/>
      <c r="AN66" s="1296"/>
      <c r="AO66" s="1297"/>
      <c r="AP66" s="1294">
        <f>Prethodna_2024!D312</f>
        <v>0</v>
      </c>
      <c r="AQ66" s="1295"/>
      <c r="AR66" s="1296"/>
      <c r="AS66" s="1296"/>
      <c r="AT66" s="1296"/>
      <c r="AU66" s="1296"/>
      <c r="AV66" s="1297"/>
    </row>
    <row r="67" s="1226" customFormat="1" ht="14.25" customHeight="1" spans="1:48">
      <c r="A67" s="1285" t="s">
        <v>5855</v>
      </c>
      <c r="B67" s="1286"/>
      <c r="C67" s="1287" t="s">
        <v>3634</v>
      </c>
      <c r="D67" s="1288"/>
      <c r="E67" s="1288"/>
      <c r="F67" s="1288"/>
      <c r="G67" s="1288"/>
      <c r="H67" s="1288"/>
      <c r="I67" s="1288"/>
      <c r="J67" s="1288"/>
      <c r="K67" s="1288"/>
      <c r="L67" s="1288"/>
      <c r="M67" s="1288"/>
      <c r="N67" s="1288"/>
      <c r="O67" s="1288"/>
      <c r="P67" s="1288"/>
      <c r="Q67" s="1288"/>
      <c r="R67" s="1288"/>
      <c r="S67" s="1288"/>
      <c r="T67" s="1288"/>
      <c r="U67" s="1288"/>
      <c r="V67" s="1288"/>
      <c r="W67" s="1288"/>
      <c r="X67" s="1289"/>
      <c r="Y67" s="1306">
        <v>527</v>
      </c>
      <c r="Z67" s="1307"/>
      <c r="AA67" s="1307"/>
      <c r="AB67" s="1307"/>
      <c r="AC67" s="1307"/>
      <c r="AD67" s="1307"/>
      <c r="AE67" s="1308"/>
      <c r="AF67" s="1285">
        <v>636</v>
      </c>
      <c r="AG67" s="1293"/>
      <c r="AH67" s="1286"/>
      <c r="AI67" s="1294">
        <f>ROUND(UnosPod!F252,0)</f>
        <v>6766</v>
      </c>
      <c r="AJ67" s="1295"/>
      <c r="AK67" s="1296"/>
      <c r="AL67" s="1296"/>
      <c r="AM67" s="1296"/>
      <c r="AN67" s="1296"/>
      <c r="AO67" s="1297"/>
      <c r="AP67" s="1294">
        <f>Prethodna_2024!D313</f>
        <v>0</v>
      </c>
      <c r="AQ67" s="1295"/>
      <c r="AR67" s="1296"/>
      <c r="AS67" s="1296"/>
      <c r="AT67" s="1296"/>
      <c r="AU67" s="1296"/>
      <c r="AV67" s="1297"/>
    </row>
    <row r="68" s="1226" customFormat="1" ht="14.25" customHeight="1" spans="1:48">
      <c r="A68" s="1285" t="s">
        <v>5856</v>
      </c>
      <c r="B68" s="1286"/>
      <c r="C68" s="1287" t="s">
        <v>3636</v>
      </c>
      <c r="D68" s="1288"/>
      <c r="E68" s="1288"/>
      <c r="F68" s="1288"/>
      <c r="G68" s="1288"/>
      <c r="H68" s="1288"/>
      <c r="I68" s="1288"/>
      <c r="J68" s="1288"/>
      <c r="K68" s="1288"/>
      <c r="L68" s="1288"/>
      <c r="M68" s="1288"/>
      <c r="N68" s="1288"/>
      <c r="O68" s="1288"/>
      <c r="P68" s="1288"/>
      <c r="Q68" s="1288"/>
      <c r="R68" s="1288"/>
      <c r="S68" s="1288"/>
      <c r="T68" s="1288"/>
      <c r="U68" s="1288"/>
      <c r="V68" s="1288"/>
      <c r="W68" s="1288"/>
      <c r="X68" s="1289"/>
      <c r="Y68" s="1306">
        <v>529</v>
      </c>
      <c r="Z68" s="1307"/>
      <c r="AA68" s="1307"/>
      <c r="AB68" s="1307"/>
      <c r="AC68" s="1307"/>
      <c r="AD68" s="1307"/>
      <c r="AE68" s="1308"/>
      <c r="AF68" s="1285">
        <v>637</v>
      </c>
      <c r="AG68" s="1293"/>
      <c r="AH68" s="1286"/>
      <c r="AI68" s="1294">
        <f>ROUND(UnosPod!F253,0)</f>
        <v>0</v>
      </c>
      <c r="AJ68" s="1295"/>
      <c r="AK68" s="1296"/>
      <c r="AL68" s="1296"/>
      <c r="AM68" s="1296"/>
      <c r="AN68" s="1296"/>
      <c r="AO68" s="1297"/>
      <c r="AP68" s="1294">
        <f>Prethodna_2024!D314</f>
        <v>0</v>
      </c>
      <c r="AQ68" s="1295"/>
      <c r="AR68" s="1296"/>
      <c r="AS68" s="1296"/>
      <c r="AT68" s="1296"/>
      <c r="AU68" s="1296"/>
      <c r="AV68" s="1297"/>
    </row>
    <row r="69" s="1225" customFormat="1" ht="14.25" customHeight="1" spans="1:48">
      <c r="A69" s="1285" t="s">
        <v>5857</v>
      </c>
      <c r="B69" s="1286"/>
      <c r="C69" s="1270" t="s">
        <v>7566</v>
      </c>
      <c r="D69" s="1271"/>
      <c r="E69" s="1271"/>
      <c r="F69" s="1271"/>
      <c r="G69" s="1271"/>
      <c r="H69" s="1271"/>
      <c r="I69" s="1271"/>
      <c r="J69" s="1271"/>
      <c r="K69" s="1271"/>
      <c r="L69" s="1271"/>
      <c r="M69" s="1271"/>
      <c r="N69" s="1271"/>
      <c r="O69" s="1271"/>
      <c r="P69" s="1271"/>
      <c r="Q69" s="1271"/>
      <c r="R69" s="1271"/>
      <c r="S69" s="1271"/>
      <c r="T69" s="1271"/>
      <c r="U69" s="1271"/>
      <c r="V69" s="1271"/>
      <c r="W69" s="1271"/>
      <c r="X69" s="1272"/>
      <c r="Y69" s="1303">
        <v>53</v>
      </c>
      <c r="Z69" s="1304"/>
      <c r="AA69" s="1304"/>
      <c r="AB69" s="1304"/>
      <c r="AC69" s="1304"/>
      <c r="AD69" s="1304"/>
      <c r="AE69" s="1305"/>
      <c r="AF69" s="1268">
        <v>638</v>
      </c>
      <c r="AG69" s="1276"/>
      <c r="AH69" s="1269"/>
      <c r="AI69" s="1277">
        <f>SUM(AI70:AO78)</f>
        <v>24172</v>
      </c>
      <c r="AJ69" s="1278"/>
      <c r="AK69" s="1279"/>
      <c r="AL69" s="1279"/>
      <c r="AM69" s="1279"/>
      <c r="AN69" s="1279"/>
      <c r="AO69" s="1280"/>
      <c r="AP69" s="1281">
        <f>SUM(AP70:AV78)</f>
        <v>0</v>
      </c>
      <c r="AQ69" s="1282"/>
      <c r="AR69" s="1283"/>
      <c r="AS69" s="1283"/>
      <c r="AT69" s="1283"/>
      <c r="AU69" s="1283"/>
      <c r="AV69" s="1284"/>
    </row>
    <row r="70" s="1226" customFormat="1" ht="14.25" customHeight="1" spans="1:48">
      <c r="A70" s="1285" t="s">
        <v>5859</v>
      </c>
      <c r="B70" s="1286"/>
      <c r="C70" s="1287" t="s">
        <v>7567</v>
      </c>
      <c r="D70" s="1288"/>
      <c r="E70" s="1288"/>
      <c r="F70" s="1288"/>
      <c r="G70" s="1288"/>
      <c r="H70" s="1288"/>
      <c r="I70" s="1288"/>
      <c r="J70" s="1288"/>
      <c r="K70" s="1288"/>
      <c r="L70" s="1288"/>
      <c r="M70" s="1288"/>
      <c r="N70" s="1288"/>
      <c r="O70" s="1288"/>
      <c r="P70" s="1288"/>
      <c r="Q70" s="1288"/>
      <c r="R70" s="1288"/>
      <c r="S70" s="1288"/>
      <c r="T70" s="1288"/>
      <c r="U70" s="1288"/>
      <c r="V70" s="1288"/>
      <c r="W70" s="1288"/>
      <c r="X70" s="1289"/>
      <c r="Y70" s="1306">
        <v>530</v>
      </c>
      <c r="Z70" s="1307"/>
      <c r="AA70" s="1307"/>
      <c r="AB70" s="1307"/>
      <c r="AC70" s="1307"/>
      <c r="AD70" s="1307"/>
      <c r="AE70" s="1308"/>
      <c r="AF70" s="1285">
        <v>639</v>
      </c>
      <c r="AG70" s="1293"/>
      <c r="AH70" s="1286"/>
      <c r="AI70" s="1294">
        <f>ROUND(UnosPod!F255,0)</f>
        <v>0</v>
      </c>
      <c r="AJ70" s="1295"/>
      <c r="AK70" s="1296"/>
      <c r="AL70" s="1296"/>
      <c r="AM70" s="1296"/>
      <c r="AN70" s="1296"/>
      <c r="AO70" s="1297"/>
      <c r="AP70" s="1294">
        <f>Prethodna_2024!D316</f>
        <v>0</v>
      </c>
      <c r="AQ70" s="1295"/>
      <c r="AR70" s="1296"/>
      <c r="AS70" s="1296"/>
      <c r="AT70" s="1296"/>
      <c r="AU70" s="1296"/>
      <c r="AV70" s="1297"/>
    </row>
    <row r="71" s="1226" customFormat="1" ht="14.25" customHeight="1" spans="1:48">
      <c r="A71" s="1285" t="s">
        <v>5862</v>
      </c>
      <c r="B71" s="1286"/>
      <c r="C71" s="1287" t="s">
        <v>3643</v>
      </c>
      <c r="D71" s="1288"/>
      <c r="E71" s="1288"/>
      <c r="F71" s="1288"/>
      <c r="G71" s="1288"/>
      <c r="H71" s="1288"/>
      <c r="I71" s="1288"/>
      <c r="J71" s="1288"/>
      <c r="K71" s="1288"/>
      <c r="L71" s="1288"/>
      <c r="M71" s="1288"/>
      <c r="N71" s="1288"/>
      <c r="O71" s="1288"/>
      <c r="P71" s="1288"/>
      <c r="Q71" s="1288"/>
      <c r="R71" s="1288"/>
      <c r="S71" s="1288"/>
      <c r="T71" s="1288"/>
      <c r="U71" s="1288"/>
      <c r="V71" s="1288"/>
      <c r="W71" s="1288"/>
      <c r="X71" s="1289"/>
      <c r="Y71" s="1306">
        <v>531</v>
      </c>
      <c r="Z71" s="1307"/>
      <c r="AA71" s="1307"/>
      <c r="AB71" s="1307"/>
      <c r="AC71" s="1307"/>
      <c r="AD71" s="1307"/>
      <c r="AE71" s="1308"/>
      <c r="AF71" s="1285">
        <v>640</v>
      </c>
      <c r="AG71" s="1293"/>
      <c r="AH71" s="1286"/>
      <c r="AI71" s="1294">
        <f>ROUND(UnosPod!F256,0)</f>
        <v>0</v>
      </c>
      <c r="AJ71" s="1295"/>
      <c r="AK71" s="1296"/>
      <c r="AL71" s="1296"/>
      <c r="AM71" s="1296"/>
      <c r="AN71" s="1296"/>
      <c r="AO71" s="1297"/>
      <c r="AP71" s="1294">
        <f>Prethodna_2024!D317</f>
        <v>0</v>
      </c>
      <c r="AQ71" s="1295"/>
      <c r="AR71" s="1296"/>
      <c r="AS71" s="1296"/>
      <c r="AT71" s="1296"/>
      <c r="AU71" s="1296"/>
      <c r="AV71" s="1297"/>
    </row>
    <row r="72" s="1226" customFormat="1" ht="14.25" customHeight="1" spans="1:48">
      <c r="A72" s="1285" t="s">
        <v>5864</v>
      </c>
      <c r="B72" s="1286"/>
      <c r="C72" s="1287" t="s">
        <v>3645</v>
      </c>
      <c r="D72" s="1288"/>
      <c r="E72" s="1288"/>
      <c r="F72" s="1288"/>
      <c r="G72" s="1288"/>
      <c r="H72" s="1288"/>
      <c r="I72" s="1288"/>
      <c r="J72" s="1288"/>
      <c r="K72" s="1288"/>
      <c r="L72" s="1288"/>
      <c r="M72" s="1288"/>
      <c r="N72" s="1288"/>
      <c r="O72" s="1288"/>
      <c r="P72" s="1288"/>
      <c r="Q72" s="1288"/>
      <c r="R72" s="1288"/>
      <c r="S72" s="1288"/>
      <c r="T72" s="1288"/>
      <c r="U72" s="1288"/>
      <c r="V72" s="1288"/>
      <c r="W72" s="1288"/>
      <c r="X72" s="1289"/>
      <c r="Y72" s="1306">
        <v>532</v>
      </c>
      <c r="Z72" s="1307"/>
      <c r="AA72" s="1307"/>
      <c r="AB72" s="1307"/>
      <c r="AC72" s="1307"/>
      <c r="AD72" s="1307"/>
      <c r="AE72" s="1308"/>
      <c r="AF72" s="1285">
        <v>641</v>
      </c>
      <c r="AG72" s="1293"/>
      <c r="AH72" s="1286"/>
      <c r="AI72" s="1294">
        <f>ROUND(UnosPod!F257,0)</f>
        <v>24172</v>
      </c>
      <c r="AJ72" s="1295"/>
      <c r="AK72" s="1296"/>
      <c r="AL72" s="1296"/>
      <c r="AM72" s="1296"/>
      <c r="AN72" s="1296"/>
      <c r="AO72" s="1297"/>
      <c r="AP72" s="1294">
        <f>Prethodna_2024!D318</f>
        <v>0</v>
      </c>
      <c r="AQ72" s="1295"/>
      <c r="AR72" s="1296"/>
      <c r="AS72" s="1296"/>
      <c r="AT72" s="1296"/>
      <c r="AU72" s="1296"/>
      <c r="AV72" s="1297"/>
    </row>
    <row r="73" s="1226" customFormat="1" ht="14.25" customHeight="1" spans="1:48">
      <c r="A73" s="1285" t="s">
        <v>5865</v>
      </c>
      <c r="B73" s="1286"/>
      <c r="C73" s="1287" t="s">
        <v>3647</v>
      </c>
      <c r="D73" s="1288"/>
      <c r="E73" s="1288"/>
      <c r="F73" s="1288"/>
      <c r="G73" s="1288"/>
      <c r="H73" s="1288"/>
      <c r="I73" s="1288"/>
      <c r="J73" s="1288"/>
      <c r="K73" s="1288"/>
      <c r="L73" s="1288"/>
      <c r="M73" s="1288"/>
      <c r="N73" s="1288"/>
      <c r="O73" s="1288"/>
      <c r="P73" s="1288"/>
      <c r="Q73" s="1288"/>
      <c r="R73" s="1288"/>
      <c r="S73" s="1288"/>
      <c r="T73" s="1288"/>
      <c r="U73" s="1288"/>
      <c r="V73" s="1288"/>
      <c r="W73" s="1288"/>
      <c r="X73" s="1289"/>
      <c r="Y73" s="1306">
        <v>533</v>
      </c>
      <c r="Z73" s="1307"/>
      <c r="AA73" s="1307"/>
      <c r="AB73" s="1307"/>
      <c r="AC73" s="1307"/>
      <c r="AD73" s="1307"/>
      <c r="AE73" s="1308"/>
      <c r="AF73" s="1285">
        <v>642</v>
      </c>
      <c r="AG73" s="1293"/>
      <c r="AH73" s="1286"/>
      <c r="AI73" s="1294">
        <f>ROUND(UnosPod!F258,0)</f>
        <v>0</v>
      </c>
      <c r="AJ73" s="1295"/>
      <c r="AK73" s="1296"/>
      <c r="AL73" s="1296"/>
      <c r="AM73" s="1296"/>
      <c r="AN73" s="1296"/>
      <c r="AO73" s="1297"/>
      <c r="AP73" s="1294">
        <f>Prethodna_2024!D319</f>
        <v>0</v>
      </c>
      <c r="AQ73" s="1295"/>
      <c r="AR73" s="1296"/>
      <c r="AS73" s="1296"/>
      <c r="AT73" s="1296"/>
      <c r="AU73" s="1296"/>
      <c r="AV73" s="1297"/>
    </row>
    <row r="74" s="1226" customFormat="1" ht="14.25" customHeight="1" spans="1:48">
      <c r="A74" s="1285" t="s">
        <v>5867</v>
      </c>
      <c r="B74" s="1286"/>
      <c r="C74" s="1287" t="s">
        <v>3649</v>
      </c>
      <c r="D74" s="1288"/>
      <c r="E74" s="1288"/>
      <c r="F74" s="1288"/>
      <c r="G74" s="1288"/>
      <c r="H74" s="1288"/>
      <c r="I74" s="1288"/>
      <c r="J74" s="1288"/>
      <c r="K74" s="1288"/>
      <c r="L74" s="1288"/>
      <c r="M74" s="1288"/>
      <c r="N74" s="1288"/>
      <c r="O74" s="1288"/>
      <c r="P74" s="1288"/>
      <c r="Q74" s="1288"/>
      <c r="R74" s="1288"/>
      <c r="S74" s="1288"/>
      <c r="T74" s="1288"/>
      <c r="U74" s="1288"/>
      <c r="V74" s="1288"/>
      <c r="W74" s="1288"/>
      <c r="X74" s="1289"/>
      <c r="Y74" s="1306">
        <v>534</v>
      </c>
      <c r="Z74" s="1307"/>
      <c r="AA74" s="1307"/>
      <c r="AB74" s="1307"/>
      <c r="AC74" s="1307"/>
      <c r="AD74" s="1307"/>
      <c r="AE74" s="1308"/>
      <c r="AF74" s="1285">
        <v>643</v>
      </c>
      <c r="AG74" s="1293"/>
      <c r="AH74" s="1286"/>
      <c r="AI74" s="1294">
        <f>ROUND(UnosPod!F259,0)</f>
        <v>0</v>
      </c>
      <c r="AJ74" s="1295"/>
      <c r="AK74" s="1296"/>
      <c r="AL74" s="1296"/>
      <c r="AM74" s="1296"/>
      <c r="AN74" s="1296"/>
      <c r="AO74" s="1297"/>
      <c r="AP74" s="1294">
        <f>Prethodna_2024!D320</f>
        <v>0</v>
      </c>
      <c r="AQ74" s="1295"/>
      <c r="AR74" s="1296"/>
      <c r="AS74" s="1296"/>
      <c r="AT74" s="1296"/>
      <c r="AU74" s="1296"/>
      <c r="AV74" s="1297"/>
    </row>
    <row r="75" s="1226" customFormat="1" ht="14.25" customHeight="1" spans="1:48">
      <c r="A75" s="1285" t="s">
        <v>5869</v>
      </c>
      <c r="B75" s="1286"/>
      <c r="C75" s="1287" t="s">
        <v>7568</v>
      </c>
      <c r="D75" s="1288"/>
      <c r="E75" s="1288"/>
      <c r="F75" s="1288"/>
      <c r="G75" s="1288"/>
      <c r="H75" s="1288"/>
      <c r="I75" s="1288"/>
      <c r="J75" s="1288"/>
      <c r="K75" s="1288"/>
      <c r="L75" s="1288"/>
      <c r="M75" s="1288"/>
      <c r="N75" s="1288"/>
      <c r="O75" s="1288"/>
      <c r="P75" s="1288"/>
      <c r="Q75" s="1288"/>
      <c r="R75" s="1288"/>
      <c r="S75" s="1288"/>
      <c r="T75" s="1288"/>
      <c r="U75" s="1288"/>
      <c r="V75" s="1288"/>
      <c r="W75" s="1288"/>
      <c r="X75" s="1289"/>
      <c r="Y75" s="1306">
        <v>535</v>
      </c>
      <c r="Z75" s="1307"/>
      <c r="AA75" s="1307"/>
      <c r="AB75" s="1307"/>
      <c r="AC75" s="1307"/>
      <c r="AD75" s="1307"/>
      <c r="AE75" s="1308"/>
      <c r="AF75" s="1285">
        <v>644</v>
      </c>
      <c r="AG75" s="1293"/>
      <c r="AH75" s="1286"/>
      <c r="AI75" s="1294">
        <f>ROUND(UnosPod!F260,0)</f>
        <v>0</v>
      </c>
      <c r="AJ75" s="1295"/>
      <c r="AK75" s="1296"/>
      <c r="AL75" s="1296"/>
      <c r="AM75" s="1296"/>
      <c r="AN75" s="1296"/>
      <c r="AO75" s="1297"/>
      <c r="AP75" s="1294">
        <f>Prethodna_2024!D321</f>
        <v>0</v>
      </c>
      <c r="AQ75" s="1295"/>
      <c r="AR75" s="1296"/>
      <c r="AS75" s="1296"/>
      <c r="AT75" s="1296"/>
      <c r="AU75" s="1296"/>
      <c r="AV75" s="1297"/>
    </row>
    <row r="76" s="1226" customFormat="1" ht="14.25" customHeight="1" spans="1:48">
      <c r="A76" s="1285" t="s">
        <v>5871</v>
      </c>
      <c r="B76" s="1286"/>
      <c r="C76" s="1287" t="s">
        <v>3653</v>
      </c>
      <c r="D76" s="1288"/>
      <c r="E76" s="1288"/>
      <c r="F76" s="1288"/>
      <c r="G76" s="1288"/>
      <c r="H76" s="1288"/>
      <c r="I76" s="1288"/>
      <c r="J76" s="1288"/>
      <c r="K76" s="1288"/>
      <c r="L76" s="1288"/>
      <c r="M76" s="1288"/>
      <c r="N76" s="1288"/>
      <c r="O76" s="1288"/>
      <c r="P76" s="1288"/>
      <c r="Q76" s="1288"/>
      <c r="R76" s="1288"/>
      <c r="S76" s="1288"/>
      <c r="T76" s="1288"/>
      <c r="U76" s="1288"/>
      <c r="V76" s="1288"/>
      <c r="W76" s="1288"/>
      <c r="X76" s="1289"/>
      <c r="Y76" s="1306">
        <v>536</v>
      </c>
      <c r="Z76" s="1307"/>
      <c r="AA76" s="1307"/>
      <c r="AB76" s="1307"/>
      <c r="AC76" s="1307"/>
      <c r="AD76" s="1307"/>
      <c r="AE76" s="1308"/>
      <c r="AF76" s="1285">
        <v>645</v>
      </c>
      <c r="AG76" s="1293"/>
      <c r="AH76" s="1286"/>
      <c r="AI76" s="1294">
        <f>ROUND(UnosPod!F261,0)</f>
        <v>0</v>
      </c>
      <c r="AJ76" s="1295"/>
      <c r="AK76" s="1296"/>
      <c r="AL76" s="1296"/>
      <c r="AM76" s="1296"/>
      <c r="AN76" s="1296"/>
      <c r="AO76" s="1297"/>
      <c r="AP76" s="1294">
        <f>Prethodna_2024!D322</f>
        <v>0</v>
      </c>
      <c r="AQ76" s="1295"/>
      <c r="AR76" s="1296"/>
      <c r="AS76" s="1296"/>
      <c r="AT76" s="1296"/>
      <c r="AU76" s="1296"/>
      <c r="AV76" s="1297"/>
    </row>
    <row r="77" s="1226" customFormat="1" ht="14.25" customHeight="1" spans="1:48">
      <c r="A77" s="1285" t="s">
        <v>5873</v>
      </c>
      <c r="B77" s="1286"/>
      <c r="C77" s="1287" t="s">
        <v>7569</v>
      </c>
      <c r="D77" s="1288"/>
      <c r="E77" s="1288"/>
      <c r="F77" s="1288"/>
      <c r="G77" s="1288"/>
      <c r="H77" s="1288"/>
      <c r="I77" s="1288"/>
      <c r="J77" s="1288"/>
      <c r="K77" s="1288"/>
      <c r="L77" s="1288"/>
      <c r="M77" s="1288"/>
      <c r="N77" s="1288"/>
      <c r="O77" s="1288"/>
      <c r="P77" s="1288"/>
      <c r="Q77" s="1288"/>
      <c r="R77" s="1288"/>
      <c r="S77" s="1288"/>
      <c r="T77" s="1288"/>
      <c r="U77" s="1288"/>
      <c r="V77" s="1288"/>
      <c r="W77" s="1288"/>
      <c r="X77" s="1289"/>
      <c r="Y77" s="1306">
        <v>537</v>
      </c>
      <c r="Z77" s="1307"/>
      <c r="AA77" s="1307"/>
      <c r="AB77" s="1307"/>
      <c r="AC77" s="1307"/>
      <c r="AD77" s="1307"/>
      <c r="AE77" s="1308"/>
      <c r="AF77" s="1285">
        <v>646</v>
      </c>
      <c r="AG77" s="1293"/>
      <c r="AH77" s="1286"/>
      <c r="AI77" s="1294">
        <f>ROUND(UnosPod!F262,0)</f>
        <v>0</v>
      </c>
      <c r="AJ77" s="1295"/>
      <c r="AK77" s="1296"/>
      <c r="AL77" s="1296"/>
      <c r="AM77" s="1296"/>
      <c r="AN77" s="1296"/>
      <c r="AO77" s="1297"/>
      <c r="AP77" s="1294">
        <f>Prethodna_2024!D323</f>
        <v>0</v>
      </c>
      <c r="AQ77" s="1295"/>
      <c r="AR77" s="1296"/>
      <c r="AS77" s="1296"/>
      <c r="AT77" s="1296"/>
      <c r="AU77" s="1296"/>
      <c r="AV77" s="1297"/>
    </row>
    <row r="78" s="1226" customFormat="1" ht="14.25" customHeight="1" spans="1:48">
      <c r="A78" s="1285" t="s">
        <v>5875</v>
      </c>
      <c r="B78" s="1286"/>
      <c r="C78" s="1287" t="s">
        <v>3657</v>
      </c>
      <c r="D78" s="1288"/>
      <c r="E78" s="1288"/>
      <c r="F78" s="1288"/>
      <c r="G78" s="1288"/>
      <c r="H78" s="1288"/>
      <c r="I78" s="1288"/>
      <c r="J78" s="1288"/>
      <c r="K78" s="1288"/>
      <c r="L78" s="1288"/>
      <c r="M78" s="1288"/>
      <c r="N78" s="1288"/>
      <c r="O78" s="1288"/>
      <c r="P78" s="1288"/>
      <c r="Q78" s="1288"/>
      <c r="R78" s="1288"/>
      <c r="S78" s="1288"/>
      <c r="T78" s="1288"/>
      <c r="U78" s="1288"/>
      <c r="V78" s="1288"/>
      <c r="W78" s="1288"/>
      <c r="X78" s="1289"/>
      <c r="Y78" s="1306">
        <v>539</v>
      </c>
      <c r="Z78" s="1307"/>
      <c r="AA78" s="1307"/>
      <c r="AB78" s="1307"/>
      <c r="AC78" s="1307"/>
      <c r="AD78" s="1307"/>
      <c r="AE78" s="1308"/>
      <c r="AF78" s="1285">
        <v>647</v>
      </c>
      <c r="AG78" s="1293"/>
      <c r="AH78" s="1286"/>
      <c r="AI78" s="1294">
        <f>ROUND(UnosPod!F263,0)</f>
        <v>0</v>
      </c>
      <c r="AJ78" s="1295"/>
      <c r="AK78" s="1296"/>
      <c r="AL78" s="1296"/>
      <c r="AM78" s="1296"/>
      <c r="AN78" s="1296"/>
      <c r="AO78" s="1297"/>
      <c r="AP78" s="1294">
        <f>Prethodna_2024!D324</f>
        <v>0</v>
      </c>
      <c r="AQ78" s="1295"/>
      <c r="AR78" s="1296"/>
      <c r="AS78" s="1296"/>
      <c r="AT78" s="1296"/>
      <c r="AU78" s="1296"/>
      <c r="AV78" s="1297"/>
    </row>
    <row r="79" s="1225" customFormat="1" ht="14.25" customHeight="1" spans="1:48">
      <c r="A79" s="1285" t="s">
        <v>5877</v>
      </c>
      <c r="B79" s="1286"/>
      <c r="C79" s="1270" t="s">
        <v>7570</v>
      </c>
      <c r="D79" s="1271"/>
      <c r="E79" s="1271"/>
      <c r="F79" s="1271"/>
      <c r="G79" s="1271"/>
      <c r="H79" s="1271"/>
      <c r="I79" s="1271"/>
      <c r="J79" s="1271"/>
      <c r="K79" s="1271"/>
      <c r="L79" s="1271"/>
      <c r="M79" s="1271"/>
      <c r="N79" s="1271"/>
      <c r="O79" s="1271"/>
      <c r="P79" s="1271"/>
      <c r="Q79" s="1271"/>
      <c r="R79" s="1271"/>
      <c r="S79" s="1271"/>
      <c r="T79" s="1271"/>
      <c r="U79" s="1271"/>
      <c r="V79" s="1271"/>
      <c r="W79" s="1271"/>
      <c r="X79" s="1272"/>
      <c r="Y79" s="1303">
        <v>55</v>
      </c>
      <c r="Z79" s="1304"/>
      <c r="AA79" s="1304"/>
      <c r="AB79" s="1304"/>
      <c r="AC79" s="1304"/>
      <c r="AD79" s="1304"/>
      <c r="AE79" s="1305"/>
      <c r="AF79" s="1268">
        <v>648</v>
      </c>
      <c r="AG79" s="1276"/>
      <c r="AH79" s="1269"/>
      <c r="AI79" s="1277">
        <f>SUM(AI80:AO87)</f>
        <v>48688</v>
      </c>
      <c r="AJ79" s="1278"/>
      <c r="AK79" s="1279"/>
      <c r="AL79" s="1279"/>
      <c r="AM79" s="1279"/>
      <c r="AN79" s="1279"/>
      <c r="AO79" s="1280"/>
      <c r="AP79" s="1281" t="e">
        <f>SUM(AP80:AV87)</f>
        <v>#REF!</v>
      </c>
      <c r="AQ79" s="1282"/>
      <c r="AR79" s="1283"/>
      <c r="AS79" s="1283"/>
      <c r="AT79" s="1283"/>
      <c r="AU79" s="1283"/>
      <c r="AV79" s="1284"/>
    </row>
    <row r="80" s="1226" customFormat="1" ht="14.25" customHeight="1" spans="1:48">
      <c r="A80" s="1285" t="s">
        <v>5879</v>
      </c>
      <c r="B80" s="1286"/>
      <c r="C80" s="1287" t="s">
        <v>3657</v>
      </c>
      <c r="D80" s="1288"/>
      <c r="E80" s="1288"/>
      <c r="F80" s="1288"/>
      <c r="G80" s="1288"/>
      <c r="H80" s="1288"/>
      <c r="I80" s="1288"/>
      <c r="J80" s="1288"/>
      <c r="K80" s="1288"/>
      <c r="L80" s="1288"/>
      <c r="M80" s="1288"/>
      <c r="N80" s="1288"/>
      <c r="O80" s="1288"/>
      <c r="P80" s="1288"/>
      <c r="Q80" s="1288"/>
      <c r="R80" s="1288"/>
      <c r="S80" s="1288"/>
      <c r="T80" s="1288"/>
      <c r="U80" s="1288"/>
      <c r="V80" s="1288"/>
      <c r="W80" s="1288"/>
      <c r="X80" s="1289"/>
      <c r="Y80" s="1306">
        <v>550</v>
      </c>
      <c r="Z80" s="1307"/>
      <c r="AA80" s="1307"/>
      <c r="AB80" s="1307"/>
      <c r="AC80" s="1307"/>
      <c r="AD80" s="1307"/>
      <c r="AE80" s="1308"/>
      <c r="AF80" s="1285">
        <v>649</v>
      </c>
      <c r="AG80" s="1293"/>
      <c r="AH80" s="1286"/>
      <c r="AI80" s="1294">
        <f>ROUND(UnosPod!F297,0)</f>
        <v>7255</v>
      </c>
      <c r="AJ80" s="1295"/>
      <c r="AK80" s="1296"/>
      <c r="AL80" s="1296"/>
      <c r="AM80" s="1296"/>
      <c r="AN80" s="1296"/>
      <c r="AO80" s="1297"/>
      <c r="AP80" s="1294">
        <f>Prethodna_2024!D326</f>
        <v>0</v>
      </c>
      <c r="AQ80" s="1295"/>
      <c r="AR80" s="1296"/>
      <c r="AS80" s="1296"/>
      <c r="AT80" s="1296"/>
      <c r="AU80" s="1296"/>
      <c r="AV80" s="1297"/>
    </row>
    <row r="81" s="1226" customFormat="1" ht="14.25" customHeight="1" spans="1:48">
      <c r="A81" s="1285" t="s">
        <v>5881</v>
      </c>
      <c r="B81" s="1286"/>
      <c r="C81" s="1287" t="s">
        <v>3661</v>
      </c>
      <c r="D81" s="1288"/>
      <c r="E81" s="1288"/>
      <c r="F81" s="1288"/>
      <c r="G81" s="1288"/>
      <c r="H81" s="1288"/>
      <c r="I81" s="1288"/>
      <c r="J81" s="1288"/>
      <c r="K81" s="1288"/>
      <c r="L81" s="1288"/>
      <c r="M81" s="1288"/>
      <c r="N81" s="1288"/>
      <c r="O81" s="1288"/>
      <c r="P81" s="1288"/>
      <c r="Q81" s="1288"/>
      <c r="R81" s="1288"/>
      <c r="S81" s="1288"/>
      <c r="T81" s="1288"/>
      <c r="U81" s="1288"/>
      <c r="V81" s="1288"/>
      <c r="W81" s="1288"/>
      <c r="X81" s="1289"/>
      <c r="Y81" s="1306">
        <v>551</v>
      </c>
      <c r="Z81" s="1307"/>
      <c r="AA81" s="1307"/>
      <c r="AB81" s="1307"/>
      <c r="AC81" s="1307"/>
      <c r="AD81" s="1307"/>
      <c r="AE81" s="1308"/>
      <c r="AF81" s="1285">
        <v>650</v>
      </c>
      <c r="AG81" s="1293"/>
      <c r="AH81" s="1286"/>
      <c r="AI81" s="1294">
        <f>ROUND(UnosPod!F298,0)</f>
        <v>775</v>
      </c>
      <c r="AJ81" s="1295"/>
      <c r="AK81" s="1296"/>
      <c r="AL81" s="1296"/>
      <c r="AM81" s="1296"/>
      <c r="AN81" s="1296"/>
      <c r="AO81" s="1297"/>
      <c r="AP81" s="1294">
        <f>Prethodna_2024!D327</f>
        <v>0</v>
      </c>
      <c r="AQ81" s="1295"/>
      <c r="AR81" s="1296"/>
      <c r="AS81" s="1296"/>
      <c r="AT81" s="1296"/>
      <c r="AU81" s="1296"/>
      <c r="AV81" s="1297"/>
    </row>
    <row r="82" s="1226" customFormat="1" ht="14.25" customHeight="1" spans="1:48">
      <c r="A82" s="1285" t="s">
        <v>5882</v>
      </c>
      <c r="B82" s="1286"/>
      <c r="C82" s="1287" t="s">
        <v>3663</v>
      </c>
      <c r="D82" s="1288"/>
      <c r="E82" s="1288"/>
      <c r="F82" s="1288"/>
      <c r="G82" s="1288"/>
      <c r="H82" s="1288"/>
      <c r="I82" s="1288"/>
      <c r="J82" s="1288"/>
      <c r="K82" s="1288"/>
      <c r="L82" s="1288"/>
      <c r="M82" s="1288"/>
      <c r="N82" s="1288"/>
      <c r="O82" s="1288"/>
      <c r="P82" s="1288"/>
      <c r="Q82" s="1288"/>
      <c r="R82" s="1288"/>
      <c r="S82" s="1288"/>
      <c r="T82" s="1288"/>
      <c r="U82" s="1288"/>
      <c r="V82" s="1288"/>
      <c r="W82" s="1288"/>
      <c r="X82" s="1289"/>
      <c r="Y82" s="1306">
        <v>552</v>
      </c>
      <c r="Z82" s="1307"/>
      <c r="AA82" s="1307"/>
      <c r="AB82" s="1307"/>
      <c r="AC82" s="1307"/>
      <c r="AD82" s="1307"/>
      <c r="AE82" s="1308"/>
      <c r="AF82" s="1285">
        <v>651</v>
      </c>
      <c r="AG82" s="1293"/>
      <c r="AH82" s="1286"/>
      <c r="AI82" s="1294">
        <f>ROUND(UnosPod!F299,0)</f>
        <v>0</v>
      </c>
      <c r="AJ82" s="1295"/>
      <c r="AK82" s="1296"/>
      <c r="AL82" s="1296"/>
      <c r="AM82" s="1296"/>
      <c r="AN82" s="1296"/>
      <c r="AO82" s="1297"/>
      <c r="AP82" s="1294">
        <f>Prethodna_2024!D328</f>
        <v>0</v>
      </c>
      <c r="AQ82" s="1295"/>
      <c r="AR82" s="1296"/>
      <c r="AS82" s="1296"/>
      <c r="AT82" s="1296"/>
      <c r="AU82" s="1296"/>
      <c r="AV82" s="1297"/>
    </row>
    <row r="83" s="1226" customFormat="1" ht="14.25" customHeight="1" spans="1:48">
      <c r="A83" s="1285" t="s">
        <v>5884</v>
      </c>
      <c r="B83" s="1286"/>
      <c r="C83" s="1287" t="s">
        <v>3665</v>
      </c>
      <c r="D83" s="1288"/>
      <c r="E83" s="1288"/>
      <c r="F83" s="1288"/>
      <c r="G83" s="1288"/>
      <c r="H83" s="1288"/>
      <c r="I83" s="1288"/>
      <c r="J83" s="1288"/>
      <c r="K83" s="1288"/>
      <c r="L83" s="1288"/>
      <c r="M83" s="1288"/>
      <c r="N83" s="1288"/>
      <c r="O83" s="1288"/>
      <c r="P83" s="1288"/>
      <c r="Q83" s="1288"/>
      <c r="R83" s="1288"/>
      <c r="S83" s="1288"/>
      <c r="T83" s="1288"/>
      <c r="U83" s="1288"/>
      <c r="V83" s="1288"/>
      <c r="W83" s="1288"/>
      <c r="X83" s="1289"/>
      <c r="Y83" s="1306">
        <v>553</v>
      </c>
      <c r="Z83" s="1307"/>
      <c r="AA83" s="1307"/>
      <c r="AB83" s="1307"/>
      <c r="AC83" s="1307"/>
      <c r="AD83" s="1307"/>
      <c r="AE83" s="1308"/>
      <c r="AF83" s="1285">
        <v>652</v>
      </c>
      <c r="AG83" s="1293"/>
      <c r="AH83" s="1286"/>
      <c r="AI83" s="1294">
        <f>ROUND(UnosPod!F300,0)</f>
        <v>1127</v>
      </c>
      <c r="AJ83" s="1295"/>
      <c r="AK83" s="1296"/>
      <c r="AL83" s="1296"/>
      <c r="AM83" s="1296"/>
      <c r="AN83" s="1296"/>
      <c r="AO83" s="1297"/>
      <c r="AP83" s="1294">
        <f>Prethodna_2024!D329</f>
        <v>0</v>
      </c>
      <c r="AQ83" s="1295"/>
      <c r="AR83" s="1296"/>
      <c r="AS83" s="1296"/>
      <c r="AT83" s="1296"/>
      <c r="AU83" s="1296"/>
      <c r="AV83" s="1297"/>
    </row>
    <row r="84" s="1226" customFormat="1" ht="14.25" customHeight="1" spans="1:48">
      <c r="A84" s="1285" t="s">
        <v>5886</v>
      </c>
      <c r="B84" s="1286"/>
      <c r="C84" s="1287" t="s">
        <v>7571</v>
      </c>
      <c r="D84" s="1288"/>
      <c r="E84" s="1288"/>
      <c r="F84" s="1288"/>
      <c r="G84" s="1288"/>
      <c r="H84" s="1288"/>
      <c r="I84" s="1288"/>
      <c r="J84" s="1288"/>
      <c r="K84" s="1288"/>
      <c r="L84" s="1288"/>
      <c r="M84" s="1288"/>
      <c r="N84" s="1288"/>
      <c r="O84" s="1288"/>
      <c r="P84" s="1288"/>
      <c r="Q84" s="1288"/>
      <c r="R84" s="1288"/>
      <c r="S84" s="1288"/>
      <c r="T84" s="1288"/>
      <c r="U84" s="1288"/>
      <c r="V84" s="1288"/>
      <c r="W84" s="1288"/>
      <c r="X84" s="1289"/>
      <c r="Y84" s="1306">
        <v>554</v>
      </c>
      <c r="Z84" s="1307"/>
      <c r="AA84" s="1307"/>
      <c r="AB84" s="1307"/>
      <c r="AC84" s="1307"/>
      <c r="AD84" s="1307"/>
      <c r="AE84" s="1308"/>
      <c r="AF84" s="1285">
        <v>653</v>
      </c>
      <c r="AG84" s="1293"/>
      <c r="AH84" s="1286"/>
      <c r="AI84" s="1294">
        <f>ROUND(UnosPod!F301,0)</f>
        <v>11889</v>
      </c>
      <c r="AJ84" s="1295"/>
      <c r="AK84" s="1296"/>
      <c r="AL84" s="1296"/>
      <c r="AM84" s="1296"/>
      <c r="AN84" s="1296"/>
      <c r="AO84" s="1297"/>
      <c r="AP84" s="1294">
        <f>Prethodna_2024!D330</f>
        <v>0</v>
      </c>
      <c r="AQ84" s="1295"/>
      <c r="AR84" s="1296"/>
      <c r="AS84" s="1296"/>
      <c r="AT84" s="1296"/>
      <c r="AU84" s="1296"/>
      <c r="AV84" s="1297"/>
    </row>
    <row r="85" s="1226" customFormat="1" ht="14.25" customHeight="1" spans="1:48">
      <c r="A85" s="1285" t="s">
        <v>5888</v>
      </c>
      <c r="B85" s="1286"/>
      <c r="C85" s="1309" t="s">
        <v>7572</v>
      </c>
      <c r="D85" s="1310"/>
      <c r="E85" s="1310"/>
      <c r="F85" s="1310"/>
      <c r="G85" s="1310"/>
      <c r="H85" s="1310"/>
      <c r="I85" s="1310"/>
      <c r="J85" s="1310"/>
      <c r="K85" s="1310"/>
      <c r="L85" s="1310"/>
      <c r="M85" s="1310"/>
      <c r="N85" s="1310"/>
      <c r="O85" s="1310"/>
      <c r="P85" s="1310"/>
      <c r="Q85" s="1310"/>
      <c r="R85" s="1310"/>
      <c r="S85" s="1310"/>
      <c r="T85" s="1310"/>
      <c r="U85" s="1310"/>
      <c r="V85" s="1310"/>
      <c r="W85" s="1310"/>
      <c r="X85" s="1311"/>
      <c r="Y85" s="1306">
        <v>555</v>
      </c>
      <c r="Z85" s="1307"/>
      <c r="AA85" s="1307"/>
      <c r="AB85" s="1307"/>
      <c r="AC85" s="1307"/>
      <c r="AD85" s="1307"/>
      <c r="AE85" s="1308"/>
      <c r="AF85" s="1285">
        <v>654</v>
      </c>
      <c r="AG85" s="1293"/>
      <c r="AH85" s="1286"/>
      <c r="AI85" s="1294">
        <f>ROUND(UnosPod!F302,0)</f>
        <v>27285</v>
      </c>
      <c r="AJ85" s="1295"/>
      <c r="AK85" s="1296"/>
      <c r="AL85" s="1296"/>
      <c r="AM85" s="1296"/>
      <c r="AN85" s="1296"/>
      <c r="AO85" s="1297"/>
      <c r="AP85" s="1294">
        <f>Prethodna_2024!D331</f>
        <v>0</v>
      </c>
      <c r="AQ85" s="1295"/>
      <c r="AR85" s="1296"/>
      <c r="AS85" s="1296"/>
      <c r="AT85" s="1296"/>
      <c r="AU85" s="1296"/>
      <c r="AV85" s="1297"/>
    </row>
    <row r="86" s="1226" customFormat="1" ht="14.25" customHeight="1" spans="1:48">
      <c r="A86" s="1285" t="s">
        <v>5890</v>
      </c>
      <c r="B86" s="1286"/>
      <c r="C86" s="1287" t="s">
        <v>3671</v>
      </c>
      <c r="D86" s="1288"/>
      <c r="E86" s="1288"/>
      <c r="F86" s="1288"/>
      <c r="G86" s="1288"/>
      <c r="H86" s="1288"/>
      <c r="I86" s="1288"/>
      <c r="J86" s="1288"/>
      <c r="K86" s="1288"/>
      <c r="L86" s="1288"/>
      <c r="M86" s="1288"/>
      <c r="N86" s="1288"/>
      <c r="O86" s="1288"/>
      <c r="P86" s="1288"/>
      <c r="Q86" s="1288"/>
      <c r="R86" s="1288"/>
      <c r="S86" s="1288"/>
      <c r="T86" s="1288"/>
      <c r="U86" s="1288"/>
      <c r="V86" s="1288"/>
      <c r="W86" s="1288"/>
      <c r="X86" s="1289"/>
      <c r="Y86" s="1306">
        <v>556</v>
      </c>
      <c r="Z86" s="1307"/>
      <c r="AA86" s="1307"/>
      <c r="AB86" s="1307"/>
      <c r="AC86" s="1307"/>
      <c r="AD86" s="1307"/>
      <c r="AE86" s="1308"/>
      <c r="AF86" s="1285">
        <v>655</v>
      </c>
      <c r="AG86" s="1293"/>
      <c r="AH86" s="1286"/>
      <c r="AI86" s="1294">
        <f>ROUND(UnosPod!F303,0)</f>
        <v>0</v>
      </c>
      <c r="AJ86" s="1295"/>
      <c r="AK86" s="1296"/>
      <c r="AL86" s="1296"/>
      <c r="AM86" s="1296"/>
      <c r="AN86" s="1296"/>
      <c r="AO86" s="1297"/>
      <c r="AP86" s="1294">
        <f>Prethodna_2024!D332</f>
        <v>0</v>
      </c>
      <c r="AQ86" s="1295"/>
      <c r="AR86" s="1296"/>
      <c r="AS86" s="1296"/>
      <c r="AT86" s="1296"/>
      <c r="AU86" s="1296"/>
      <c r="AV86" s="1297"/>
    </row>
    <row r="87" s="1226" customFormat="1" ht="14.25" customHeight="1" spans="1:48">
      <c r="A87" s="1285" t="s">
        <v>5892</v>
      </c>
      <c r="B87" s="1286"/>
      <c r="C87" s="1287" t="s">
        <v>3673</v>
      </c>
      <c r="D87" s="1288"/>
      <c r="E87" s="1288"/>
      <c r="F87" s="1288"/>
      <c r="G87" s="1288"/>
      <c r="H87" s="1288"/>
      <c r="I87" s="1288"/>
      <c r="J87" s="1288"/>
      <c r="K87" s="1288"/>
      <c r="L87" s="1288"/>
      <c r="M87" s="1288"/>
      <c r="N87" s="1288"/>
      <c r="O87" s="1288"/>
      <c r="P87" s="1288"/>
      <c r="Q87" s="1288"/>
      <c r="R87" s="1288"/>
      <c r="S87" s="1288"/>
      <c r="T87" s="1288"/>
      <c r="U87" s="1288"/>
      <c r="V87" s="1288"/>
      <c r="W87" s="1288"/>
      <c r="X87" s="1289"/>
      <c r="Y87" s="1306">
        <v>559</v>
      </c>
      <c r="Z87" s="1307"/>
      <c r="AA87" s="1307"/>
      <c r="AB87" s="1307"/>
      <c r="AC87" s="1307"/>
      <c r="AD87" s="1307"/>
      <c r="AE87" s="1308"/>
      <c r="AF87" s="1285">
        <v>656</v>
      </c>
      <c r="AG87" s="1293"/>
      <c r="AH87" s="1286"/>
      <c r="AI87" s="1294">
        <f>ROUND(UnosPod!F304,0)</f>
        <v>357</v>
      </c>
      <c r="AJ87" s="1295"/>
      <c r="AK87" s="1296"/>
      <c r="AL87" s="1296"/>
      <c r="AM87" s="1296"/>
      <c r="AN87" s="1296"/>
      <c r="AO87" s="1297"/>
      <c r="AP87" s="1294" t="e">
        <f>Prethodna_2024!#REF!</f>
        <v>#REF!</v>
      </c>
      <c r="AQ87" s="1295"/>
      <c r="AR87" s="1296"/>
      <c r="AS87" s="1296"/>
      <c r="AT87" s="1296"/>
      <c r="AU87" s="1296"/>
      <c r="AV87" s="1297"/>
    </row>
    <row r="88" s="1225" customFormat="1" ht="14.25" customHeight="1" spans="1:48">
      <c r="A88" s="1285" t="s">
        <v>5894</v>
      </c>
      <c r="B88" s="1286"/>
      <c r="C88" s="1270" t="s">
        <v>7573</v>
      </c>
      <c r="D88" s="1271"/>
      <c r="E88" s="1271"/>
      <c r="F88" s="1271"/>
      <c r="G88" s="1271"/>
      <c r="H88" s="1271"/>
      <c r="I88" s="1271"/>
      <c r="J88" s="1271"/>
      <c r="K88" s="1271"/>
      <c r="L88" s="1271"/>
      <c r="M88" s="1271"/>
      <c r="N88" s="1271"/>
      <c r="O88" s="1271"/>
      <c r="P88" s="1271"/>
      <c r="Q88" s="1271"/>
      <c r="R88" s="1271"/>
      <c r="S88" s="1271"/>
      <c r="T88" s="1271"/>
      <c r="U88" s="1271"/>
      <c r="V88" s="1271"/>
      <c r="W88" s="1271"/>
      <c r="X88" s="1271"/>
      <c r="Y88" s="1304"/>
      <c r="Z88" s="1304"/>
      <c r="AA88" s="1304"/>
      <c r="AB88" s="1304"/>
      <c r="AC88" s="1304"/>
      <c r="AD88" s="1304"/>
      <c r="AE88" s="1304"/>
      <c r="AF88" s="1276"/>
      <c r="AG88" s="1276"/>
      <c r="AH88" s="1276"/>
      <c r="AI88" s="1312"/>
      <c r="AJ88" s="1312"/>
      <c r="AK88" s="1312"/>
      <c r="AL88" s="1312"/>
      <c r="AM88" s="1312"/>
      <c r="AN88" s="1312"/>
      <c r="AO88" s="1312"/>
      <c r="AP88" s="1312"/>
      <c r="AQ88" s="1312"/>
      <c r="AR88" s="1312"/>
      <c r="AS88" s="1312"/>
      <c r="AT88" s="1312"/>
      <c r="AU88" s="1312"/>
      <c r="AV88" s="1313"/>
    </row>
    <row r="89" s="1226" customFormat="1" ht="28.5" customHeight="1" spans="1:48">
      <c r="A89" s="1285" t="s">
        <v>5896</v>
      </c>
      <c r="B89" s="1286"/>
      <c r="C89" s="1287" t="s">
        <v>7574</v>
      </c>
      <c r="D89" s="1288"/>
      <c r="E89" s="1288"/>
      <c r="F89" s="1288"/>
      <c r="G89" s="1288"/>
      <c r="H89" s="1288"/>
      <c r="I89" s="1288"/>
      <c r="J89" s="1288"/>
      <c r="K89" s="1288"/>
      <c r="L89" s="1288"/>
      <c r="M89" s="1288"/>
      <c r="N89" s="1288"/>
      <c r="O89" s="1288"/>
      <c r="P89" s="1288"/>
      <c r="Q89" s="1288"/>
      <c r="R89" s="1288"/>
      <c r="S89" s="1288"/>
      <c r="T89" s="1288"/>
      <c r="U89" s="1288"/>
      <c r="V89" s="1288"/>
      <c r="W89" s="1288"/>
      <c r="X89" s="1289"/>
      <c r="Y89" s="1306" t="s">
        <v>7121</v>
      </c>
      <c r="Z89" s="1307"/>
      <c r="AA89" s="1307"/>
      <c r="AB89" s="1307"/>
      <c r="AC89" s="1307"/>
      <c r="AD89" s="1307"/>
      <c r="AE89" s="1308"/>
      <c r="AF89" s="1285">
        <v>657</v>
      </c>
      <c r="AG89" s="1293"/>
      <c r="AH89" s="1286"/>
      <c r="AI89" s="1294">
        <f>ROUND(UnosPod!F269+UnosPod!F277+UnosPod!F285,0)</f>
        <v>4549</v>
      </c>
      <c r="AJ89" s="1295"/>
      <c r="AK89" s="1296"/>
      <c r="AL89" s="1296"/>
      <c r="AM89" s="1296"/>
      <c r="AN89" s="1296"/>
      <c r="AO89" s="1297"/>
      <c r="AP89" s="1294" t="e">
        <f>Prethodna_2024!#REF!</f>
        <v>#REF!</v>
      </c>
      <c r="AQ89" s="1295"/>
      <c r="AR89" s="1296"/>
      <c r="AS89" s="1296"/>
      <c r="AT89" s="1296"/>
      <c r="AU89" s="1296"/>
      <c r="AV89" s="1297"/>
    </row>
    <row r="90" s="1226" customFormat="1" ht="28.5" customHeight="1" spans="1:48">
      <c r="A90" s="1285" t="s">
        <v>5898</v>
      </c>
      <c r="B90" s="1286"/>
      <c r="C90" s="1287" t="s">
        <v>5134</v>
      </c>
      <c r="D90" s="1288"/>
      <c r="E90" s="1288"/>
      <c r="F90" s="1288"/>
      <c r="G90" s="1288"/>
      <c r="H90" s="1288"/>
      <c r="I90" s="1288"/>
      <c r="J90" s="1288"/>
      <c r="K90" s="1288"/>
      <c r="L90" s="1288"/>
      <c r="M90" s="1288"/>
      <c r="N90" s="1288"/>
      <c r="O90" s="1288"/>
      <c r="P90" s="1288"/>
      <c r="Q90" s="1288"/>
      <c r="R90" s="1288"/>
      <c r="S90" s="1288"/>
      <c r="T90" s="1288"/>
      <c r="U90" s="1288"/>
      <c r="V90" s="1288"/>
      <c r="W90" s="1288"/>
      <c r="X90" s="1289"/>
      <c r="Y90" s="1306" t="s">
        <v>7122</v>
      </c>
      <c r="Z90" s="1307"/>
      <c r="AA90" s="1307"/>
      <c r="AB90" s="1307"/>
      <c r="AC90" s="1307"/>
      <c r="AD90" s="1307"/>
      <c r="AE90" s="1308"/>
      <c r="AF90" s="1285">
        <v>658</v>
      </c>
      <c r="AG90" s="1293"/>
      <c r="AH90" s="1286"/>
      <c r="AI90" s="1294">
        <f>ROUND(UnosPod!F451,0)</f>
        <v>0</v>
      </c>
      <c r="AJ90" s="1295"/>
      <c r="AK90" s="1296"/>
      <c r="AL90" s="1296"/>
      <c r="AM90" s="1296"/>
      <c r="AN90" s="1296"/>
      <c r="AO90" s="1297"/>
      <c r="AP90" s="1294" t="e">
        <f>Prethodna_2024!#REF!</f>
        <v>#REF!</v>
      </c>
      <c r="AQ90" s="1295"/>
      <c r="AR90" s="1296"/>
      <c r="AS90" s="1296"/>
      <c r="AT90" s="1296"/>
      <c r="AU90" s="1296"/>
      <c r="AV90" s="1297"/>
    </row>
    <row r="91" s="1225" customFormat="1" ht="14.25" customHeight="1" spans="1:48">
      <c r="A91" s="1285" t="s">
        <v>5900</v>
      </c>
      <c r="B91" s="1286"/>
      <c r="C91" s="1270" t="s">
        <v>7575</v>
      </c>
      <c r="D91" s="1271"/>
      <c r="E91" s="1271"/>
      <c r="F91" s="1271"/>
      <c r="G91" s="1271"/>
      <c r="H91" s="1271"/>
      <c r="I91" s="1271"/>
      <c r="J91" s="1271"/>
      <c r="K91" s="1271"/>
      <c r="L91" s="1271"/>
      <c r="M91" s="1271"/>
      <c r="N91" s="1271"/>
      <c r="O91" s="1271"/>
      <c r="P91" s="1271"/>
      <c r="Q91" s="1271"/>
      <c r="R91" s="1271"/>
      <c r="S91" s="1271"/>
      <c r="T91" s="1271"/>
      <c r="U91" s="1271"/>
      <c r="V91" s="1271"/>
      <c r="W91" s="1271"/>
      <c r="X91" s="1272"/>
      <c r="Y91" s="1303"/>
      <c r="Z91" s="1304"/>
      <c r="AA91" s="1304"/>
      <c r="AB91" s="1304"/>
      <c r="AC91" s="1304"/>
      <c r="AD91" s="1304"/>
      <c r="AE91" s="1305"/>
      <c r="AF91" s="1268">
        <v>659</v>
      </c>
      <c r="AG91" s="1276"/>
      <c r="AH91" s="1269"/>
      <c r="AI91" s="1277">
        <f>SUM(AI92:AO95)</f>
        <v>0</v>
      </c>
      <c r="AJ91" s="1278"/>
      <c r="AK91" s="1279"/>
      <c r="AL91" s="1279"/>
      <c r="AM91" s="1279"/>
      <c r="AN91" s="1279"/>
      <c r="AO91" s="1280"/>
      <c r="AP91" s="1281" t="e">
        <f>SUM(AP92:AV95)</f>
        <v>#REF!</v>
      </c>
      <c r="AQ91" s="1282"/>
      <c r="AR91" s="1283"/>
      <c r="AS91" s="1283"/>
      <c r="AT91" s="1283"/>
      <c r="AU91" s="1283"/>
      <c r="AV91" s="1284"/>
    </row>
    <row r="92" s="1226" customFormat="1" ht="14.25" customHeight="1" spans="1:48">
      <c r="A92" s="1285" t="s">
        <v>5902</v>
      </c>
      <c r="B92" s="1286"/>
      <c r="C92" s="1287" t="s">
        <v>2969</v>
      </c>
      <c r="D92" s="1288"/>
      <c r="E92" s="1288"/>
      <c r="F92" s="1288"/>
      <c r="G92" s="1288"/>
      <c r="H92" s="1288"/>
      <c r="I92" s="1288"/>
      <c r="J92" s="1288"/>
      <c r="K92" s="1288"/>
      <c r="L92" s="1288"/>
      <c r="M92" s="1288"/>
      <c r="N92" s="1288"/>
      <c r="O92" s="1288"/>
      <c r="P92" s="1288"/>
      <c r="Q92" s="1288"/>
      <c r="R92" s="1288"/>
      <c r="S92" s="1288"/>
      <c r="T92" s="1288"/>
      <c r="U92" s="1288"/>
      <c r="V92" s="1288"/>
      <c r="W92" s="1288"/>
      <c r="X92" s="1289"/>
      <c r="Y92" s="1306" t="s">
        <v>7576</v>
      </c>
      <c r="Z92" s="1307"/>
      <c r="AA92" s="1307"/>
      <c r="AB92" s="1307"/>
      <c r="AC92" s="1307"/>
      <c r="AD92" s="1307"/>
      <c r="AE92" s="1308"/>
      <c r="AF92" s="1285">
        <v>660</v>
      </c>
      <c r="AG92" s="1293"/>
      <c r="AH92" s="1286"/>
      <c r="AI92" s="1294">
        <f>ROUND(UnosPod!F306+UnosPod!F307,0)</f>
        <v>0</v>
      </c>
      <c r="AJ92" s="1295"/>
      <c r="AK92" s="1296"/>
      <c r="AL92" s="1296"/>
      <c r="AM92" s="1296"/>
      <c r="AN92" s="1296"/>
      <c r="AO92" s="1297"/>
      <c r="AP92" s="1294" t="e">
        <f>Prethodna_2024!#REF!</f>
        <v>#REF!</v>
      </c>
      <c r="AQ92" s="1295"/>
      <c r="AR92" s="1296"/>
      <c r="AS92" s="1296"/>
      <c r="AT92" s="1296"/>
      <c r="AU92" s="1296"/>
      <c r="AV92" s="1297"/>
    </row>
    <row r="93" s="1226" customFormat="1" ht="14.25" customHeight="1" spans="1:48">
      <c r="A93" s="1285" t="s">
        <v>5904</v>
      </c>
      <c r="B93" s="1286"/>
      <c r="C93" s="1287" t="s">
        <v>3683</v>
      </c>
      <c r="D93" s="1288"/>
      <c r="E93" s="1288"/>
      <c r="F93" s="1288"/>
      <c r="G93" s="1288"/>
      <c r="H93" s="1288"/>
      <c r="I93" s="1288"/>
      <c r="J93" s="1288"/>
      <c r="K93" s="1288"/>
      <c r="L93" s="1288"/>
      <c r="M93" s="1288"/>
      <c r="N93" s="1288"/>
      <c r="O93" s="1288"/>
      <c r="P93" s="1288"/>
      <c r="Q93" s="1288"/>
      <c r="R93" s="1288"/>
      <c r="S93" s="1288"/>
      <c r="T93" s="1288"/>
      <c r="U93" s="1288"/>
      <c r="V93" s="1288"/>
      <c r="W93" s="1288"/>
      <c r="X93" s="1289"/>
      <c r="Y93" s="1306">
        <v>575</v>
      </c>
      <c r="Z93" s="1307"/>
      <c r="AA93" s="1307"/>
      <c r="AB93" s="1307"/>
      <c r="AC93" s="1307"/>
      <c r="AD93" s="1307"/>
      <c r="AE93" s="1308"/>
      <c r="AF93" s="1285">
        <v>661</v>
      </c>
      <c r="AG93" s="1293"/>
      <c r="AH93" s="1286"/>
      <c r="AI93" s="1294">
        <f>ROUND(UnosPod!F327,0)</f>
        <v>0</v>
      </c>
      <c r="AJ93" s="1295"/>
      <c r="AK93" s="1296"/>
      <c r="AL93" s="1296"/>
      <c r="AM93" s="1296"/>
      <c r="AN93" s="1296"/>
      <c r="AO93" s="1297"/>
      <c r="AP93" s="1294" t="e">
        <f>Prethodna_2024!#REF!</f>
        <v>#REF!</v>
      </c>
      <c r="AQ93" s="1295"/>
      <c r="AR93" s="1296"/>
      <c r="AS93" s="1296"/>
      <c r="AT93" s="1296"/>
      <c r="AU93" s="1296"/>
      <c r="AV93" s="1297"/>
    </row>
    <row r="94" s="1226" customFormat="1" ht="14.25" customHeight="1" spans="1:48">
      <c r="A94" s="1285" t="s">
        <v>5908</v>
      </c>
      <c r="B94" s="1286"/>
      <c r="C94" s="1287" t="s">
        <v>3685</v>
      </c>
      <c r="D94" s="1288"/>
      <c r="E94" s="1288"/>
      <c r="F94" s="1288"/>
      <c r="G94" s="1288"/>
      <c r="H94" s="1288"/>
      <c r="I94" s="1288"/>
      <c r="J94" s="1288"/>
      <c r="K94" s="1288"/>
      <c r="L94" s="1288"/>
      <c r="M94" s="1288"/>
      <c r="N94" s="1288"/>
      <c r="O94" s="1288"/>
      <c r="P94" s="1288"/>
      <c r="Q94" s="1288"/>
      <c r="R94" s="1288"/>
      <c r="S94" s="1288"/>
      <c r="T94" s="1288"/>
      <c r="U94" s="1288"/>
      <c r="V94" s="1288"/>
      <c r="W94" s="1288"/>
      <c r="X94" s="1289"/>
      <c r="Y94" s="1306" t="s">
        <v>7577</v>
      </c>
      <c r="Z94" s="1307"/>
      <c r="AA94" s="1307"/>
      <c r="AB94" s="1307"/>
      <c r="AC94" s="1307"/>
      <c r="AD94" s="1307"/>
      <c r="AE94" s="1308"/>
      <c r="AF94" s="1285">
        <v>662</v>
      </c>
      <c r="AG94" s="1293"/>
      <c r="AH94" s="1286"/>
      <c r="AI94" s="1294">
        <f>ROUND(UnosPod!F420,0)</f>
        <v>0</v>
      </c>
      <c r="AJ94" s="1295"/>
      <c r="AK94" s="1296"/>
      <c r="AL94" s="1296"/>
      <c r="AM94" s="1296"/>
      <c r="AN94" s="1296"/>
      <c r="AO94" s="1297"/>
      <c r="AP94" s="1294" t="e">
        <f>Prethodna_2024!#REF!</f>
        <v>#REF!</v>
      </c>
      <c r="AQ94" s="1295"/>
      <c r="AR94" s="1296"/>
      <c r="AS94" s="1296"/>
      <c r="AT94" s="1296"/>
      <c r="AU94" s="1296"/>
      <c r="AV94" s="1297"/>
    </row>
    <row r="95" s="1226" customFormat="1" ht="14.25" customHeight="1" spans="1:48">
      <c r="A95" s="1285" t="s">
        <v>5910</v>
      </c>
      <c r="B95" s="1286"/>
      <c r="C95" s="1287" t="s">
        <v>3687</v>
      </c>
      <c r="D95" s="1288"/>
      <c r="E95" s="1288"/>
      <c r="F95" s="1288"/>
      <c r="G95" s="1288"/>
      <c r="H95" s="1288"/>
      <c r="I95" s="1288"/>
      <c r="J95" s="1288"/>
      <c r="K95" s="1288"/>
      <c r="L95" s="1288"/>
      <c r="M95" s="1288"/>
      <c r="N95" s="1288"/>
      <c r="O95" s="1288"/>
      <c r="P95" s="1288"/>
      <c r="Q95" s="1288"/>
      <c r="R95" s="1288"/>
      <c r="S95" s="1288"/>
      <c r="T95" s="1288"/>
      <c r="U95" s="1288"/>
      <c r="V95" s="1288"/>
      <c r="W95" s="1288"/>
      <c r="X95" s="1289"/>
      <c r="Y95" s="1306">
        <v>585</v>
      </c>
      <c r="Z95" s="1307"/>
      <c r="AA95" s="1307"/>
      <c r="AB95" s="1307"/>
      <c r="AC95" s="1307"/>
      <c r="AD95" s="1307"/>
      <c r="AE95" s="1308"/>
      <c r="AF95" s="1285">
        <v>663</v>
      </c>
      <c r="AG95" s="1293"/>
      <c r="AH95" s="1286"/>
      <c r="AI95" s="1294">
        <f>ROUND(UnosPod!F350,)</f>
        <v>0</v>
      </c>
      <c r="AJ95" s="1295"/>
      <c r="AK95" s="1296"/>
      <c r="AL95" s="1296"/>
      <c r="AM95" s="1296"/>
      <c r="AN95" s="1296"/>
      <c r="AO95" s="1297"/>
      <c r="AP95" s="1294" t="e">
        <f>Prethodna_2024!#REF!</f>
        <v>#REF!</v>
      </c>
      <c r="AQ95" s="1295"/>
      <c r="AR95" s="1296"/>
      <c r="AS95" s="1296"/>
      <c r="AT95" s="1296"/>
      <c r="AU95" s="1296"/>
      <c r="AV95" s="1297"/>
    </row>
    <row r="96" s="1225" customFormat="1" ht="14.25" customHeight="1" spans="1:48">
      <c r="A96" s="1285" t="s">
        <v>5914</v>
      </c>
      <c r="B96" s="1286"/>
      <c r="C96" s="1270" t="s">
        <v>7578</v>
      </c>
      <c r="D96" s="1271"/>
      <c r="E96" s="1271"/>
      <c r="F96" s="1271"/>
      <c r="G96" s="1271"/>
      <c r="H96" s="1271"/>
      <c r="I96" s="1271"/>
      <c r="J96" s="1271"/>
      <c r="K96" s="1271"/>
      <c r="L96" s="1271"/>
      <c r="M96" s="1271"/>
      <c r="N96" s="1271"/>
      <c r="O96" s="1271"/>
      <c r="P96" s="1271"/>
      <c r="Q96" s="1271"/>
      <c r="R96" s="1271"/>
      <c r="S96" s="1271"/>
      <c r="T96" s="1271"/>
      <c r="U96" s="1271"/>
      <c r="V96" s="1271"/>
      <c r="W96" s="1271"/>
      <c r="X96" s="1271"/>
      <c r="Y96" s="1304"/>
      <c r="Z96" s="1304"/>
      <c r="AA96" s="1304"/>
      <c r="AB96" s="1304"/>
      <c r="AC96" s="1304"/>
      <c r="AD96" s="1304"/>
      <c r="AE96" s="1304"/>
      <c r="AF96" s="1276"/>
      <c r="AG96" s="1276"/>
      <c r="AH96" s="1276"/>
      <c r="AI96" s="1312"/>
      <c r="AJ96" s="1312"/>
      <c r="AK96" s="1312"/>
      <c r="AL96" s="1312"/>
      <c r="AM96" s="1312"/>
      <c r="AN96" s="1312"/>
      <c r="AO96" s="1312"/>
      <c r="AP96" s="1312"/>
      <c r="AQ96" s="1312"/>
      <c r="AR96" s="1312"/>
      <c r="AS96" s="1312"/>
      <c r="AT96" s="1312"/>
      <c r="AU96" s="1312"/>
      <c r="AV96" s="1313"/>
    </row>
    <row r="97" s="1226" customFormat="1" ht="14.25" customHeight="1" spans="1:48">
      <c r="A97" s="1285" t="s">
        <v>5916</v>
      </c>
      <c r="B97" s="1286"/>
      <c r="C97" s="1287" t="s">
        <v>3691</v>
      </c>
      <c r="D97" s="1288"/>
      <c r="E97" s="1288"/>
      <c r="F97" s="1288"/>
      <c r="G97" s="1288"/>
      <c r="H97" s="1288"/>
      <c r="I97" s="1288"/>
      <c r="J97" s="1288"/>
      <c r="K97" s="1288"/>
      <c r="L97" s="1288"/>
      <c r="M97" s="1288"/>
      <c r="N97" s="1288"/>
      <c r="O97" s="1288"/>
      <c r="P97" s="1288"/>
      <c r="Q97" s="1288"/>
      <c r="R97" s="1288"/>
      <c r="S97" s="1288"/>
      <c r="T97" s="1288"/>
      <c r="U97" s="1288"/>
      <c r="V97" s="1288"/>
      <c r="W97" s="1288"/>
      <c r="X97" s="1289"/>
      <c r="Y97" s="1306" t="s">
        <v>5135</v>
      </c>
      <c r="Z97" s="1307"/>
      <c r="AA97" s="1307"/>
      <c r="AB97" s="1307"/>
      <c r="AC97" s="1307"/>
      <c r="AD97" s="1307"/>
      <c r="AE97" s="1308"/>
      <c r="AF97" s="1285">
        <v>664</v>
      </c>
      <c r="AG97" s="1293"/>
      <c r="AH97" s="1286"/>
      <c r="AI97" s="1294">
        <f>ROUND(UnosPod!F452,0)</f>
        <v>0</v>
      </c>
      <c r="AJ97" s="1295"/>
      <c r="AK97" s="1296"/>
      <c r="AL97" s="1296"/>
      <c r="AM97" s="1296"/>
      <c r="AN97" s="1296"/>
      <c r="AO97" s="1297"/>
      <c r="AP97" s="1294" t="e">
        <f>Prethodna_2024!#REF!</f>
        <v>#REF!</v>
      </c>
      <c r="AQ97" s="1295"/>
      <c r="AR97" s="1296"/>
      <c r="AS97" s="1296"/>
      <c r="AT97" s="1296"/>
      <c r="AU97" s="1296"/>
      <c r="AV97" s="1297"/>
    </row>
    <row r="98" s="1226" customFormat="1" ht="14.25" customHeight="1" spans="1:48">
      <c r="A98" s="1285" t="s">
        <v>5918</v>
      </c>
      <c r="B98" s="1286"/>
      <c r="C98" s="1287" t="s">
        <v>5137</v>
      </c>
      <c r="D98" s="1288"/>
      <c r="E98" s="1288"/>
      <c r="F98" s="1288"/>
      <c r="G98" s="1288"/>
      <c r="H98" s="1288"/>
      <c r="I98" s="1288"/>
      <c r="J98" s="1288"/>
      <c r="K98" s="1288"/>
      <c r="L98" s="1288"/>
      <c r="M98" s="1288"/>
      <c r="N98" s="1288"/>
      <c r="O98" s="1288"/>
      <c r="P98" s="1288"/>
      <c r="Q98" s="1288"/>
      <c r="R98" s="1288"/>
      <c r="S98" s="1288"/>
      <c r="T98" s="1288"/>
      <c r="U98" s="1288"/>
      <c r="V98" s="1288"/>
      <c r="W98" s="1288"/>
      <c r="X98" s="1289"/>
      <c r="Y98" s="1306" t="s">
        <v>5136</v>
      </c>
      <c r="Z98" s="1307"/>
      <c r="AA98" s="1307"/>
      <c r="AB98" s="1307"/>
      <c r="AC98" s="1307"/>
      <c r="AD98" s="1307"/>
      <c r="AE98" s="1308"/>
      <c r="AF98" s="1285">
        <v>665</v>
      </c>
      <c r="AG98" s="1293"/>
      <c r="AH98" s="1286"/>
      <c r="AI98" s="1294">
        <f>ROUND(UnosPod!F453,0)</f>
        <v>0</v>
      </c>
      <c r="AJ98" s="1295"/>
      <c r="AK98" s="1296"/>
      <c r="AL98" s="1296"/>
      <c r="AM98" s="1296"/>
      <c r="AN98" s="1296"/>
      <c r="AO98" s="1297"/>
      <c r="AP98" s="1294" t="e">
        <f>Prethodna_2024!#REF!</f>
        <v>#REF!</v>
      </c>
      <c r="AQ98" s="1295"/>
      <c r="AR98" s="1296"/>
      <c r="AS98" s="1296"/>
      <c r="AT98" s="1296"/>
      <c r="AU98" s="1296"/>
      <c r="AV98" s="1297"/>
    </row>
    <row r="99" s="1226" customFormat="1" ht="14.25" customHeight="1" spans="1:48">
      <c r="A99" s="1285" t="s">
        <v>5923</v>
      </c>
      <c r="B99" s="1286"/>
      <c r="C99" s="1287" t="s">
        <v>3695</v>
      </c>
      <c r="D99" s="1288"/>
      <c r="E99" s="1288"/>
      <c r="F99" s="1288"/>
      <c r="G99" s="1288"/>
      <c r="H99" s="1288"/>
      <c r="I99" s="1288"/>
      <c r="J99" s="1288"/>
      <c r="K99" s="1288"/>
      <c r="L99" s="1288"/>
      <c r="M99" s="1288"/>
      <c r="N99" s="1288"/>
      <c r="O99" s="1288"/>
      <c r="P99" s="1288"/>
      <c r="Q99" s="1288"/>
      <c r="R99" s="1288"/>
      <c r="S99" s="1288"/>
      <c r="T99" s="1288"/>
      <c r="U99" s="1288"/>
      <c r="V99" s="1288"/>
      <c r="W99" s="1288"/>
      <c r="X99" s="1289"/>
      <c r="Y99" s="1306">
        <v>480</v>
      </c>
      <c r="Z99" s="1307"/>
      <c r="AA99" s="1307"/>
      <c r="AB99" s="1307"/>
      <c r="AC99" s="1307"/>
      <c r="AD99" s="1307"/>
      <c r="AE99" s="1308"/>
      <c r="AF99" s="1285">
        <v>666</v>
      </c>
      <c r="AG99" s="1293"/>
      <c r="AH99" s="1286"/>
      <c r="AI99" s="1294">
        <f>ROUND(UnosPod!F455,0)</f>
        <v>0</v>
      </c>
      <c r="AJ99" s="1295"/>
      <c r="AK99" s="1296"/>
      <c r="AL99" s="1296"/>
      <c r="AM99" s="1296"/>
      <c r="AN99" s="1296"/>
      <c r="AO99" s="1297"/>
      <c r="AP99" s="1294" t="e">
        <f>Prethodna_2024!#REF!</f>
        <v>#REF!</v>
      </c>
      <c r="AQ99" s="1295"/>
      <c r="AR99" s="1296"/>
      <c r="AS99" s="1296"/>
      <c r="AT99" s="1296"/>
      <c r="AU99" s="1296"/>
      <c r="AV99" s="1297"/>
    </row>
    <row r="100" s="1225" customFormat="1" ht="14.25" customHeight="1" spans="1:48">
      <c r="A100" s="1285" t="s">
        <v>5925</v>
      </c>
      <c r="B100" s="1286"/>
      <c r="C100" s="1270" t="s">
        <v>3697</v>
      </c>
      <c r="D100" s="1271"/>
      <c r="E100" s="1271"/>
      <c r="F100" s="1271"/>
      <c r="G100" s="1271"/>
      <c r="H100" s="1271"/>
      <c r="I100" s="1271"/>
      <c r="J100" s="1271"/>
      <c r="K100" s="1271"/>
      <c r="L100" s="1271"/>
      <c r="M100" s="1271"/>
      <c r="N100" s="1271"/>
      <c r="O100" s="1271"/>
      <c r="P100" s="1271"/>
      <c r="Q100" s="1271"/>
      <c r="R100" s="1271"/>
      <c r="S100" s="1271"/>
      <c r="T100" s="1271"/>
      <c r="U100" s="1271"/>
      <c r="V100" s="1271"/>
      <c r="W100" s="1271"/>
      <c r="X100" s="1271"/>
      <c r="Y100" s="1304"/>
      <c r="Z100" s="1304"/>
      <c r="AA100" s="1304"/>
      <c r="AB100" s="1304"/>
      <c r="AC100" s="1304"/>
      <c r="AD100" s="1304"/>
      <c r="AE100" s="1304"/>
      <c r="AF100" s="1276"/>
      <c r="AG100" s="1276"/>
      <c r="AH100" s="1276"/>
      <c r="AI100" s="1312"/>
      <c r="AJ100" s="1312"/>
      <c r="AK100" s="1312"/>
      <c r="AL100" s="1312"/>
      <c r="AM100" s="1312"/>
      <c r="AN100" s="1312"/>
      <c r="AO100" s="1312"/>
      <c r="AP100" s="1312"/>
      <c r="AQ100" s="1312"/>
      <c r="AR100" s="1312"/>
      <c r="AS100" s="1312"/>
      <c r="AT100" s="1312"/>
      <c r="AU100" s="1312"/>
      <c r="AV100" s="1313"/>
    </row>
    <row r="101" s="1226" customFormat="1" ht="14.25" customHeight="1" spans="1:48">
      <c r="A101" s="1285" t="s">
        <v>5929</v>
      </c>
      <c r="B101" s="1286"/>
      <c r="C101" s="1287" t="s">
        <v>3699</v>
      </c>
      <c r="D101" s="1288"/>
      <c r="E101" s="1288"/>
      <c r="F101" s="1288"/>
      <c r="G101" s="1288"/>
      <c r="H101" s="1288"/>
      <c r="I101" s="1288"/>
      <c r="J101" s="1288"/>
      <c r="K101" s="1288"/>
      <c r="L101" s="1288"/>
      <c r="M101" s="1288"/>
      <c r="N101" s="1288"/>
      <c r="O101" s="1288"/>
      <c r="P101" s="1288"/>
      <c r="Q101" s="1288"/>
      <c r="R101" s="1288"/>
      <c r="S101" s="1288"/>
      <c r="T101" s="1288"/>
      <c r="U101" s="1288"/>
      <c r="V101" s="1288"/>
      <c r="W101" s="1288"/>
      <c r="X101" s="1289"/>
      <c r="Y101" s="1306"/>
      <c r="Z101" s="1307"/>
      <c r="AA101" s="1307"/>
      <c r="AB101" s="1307"/>
      <c r="AC101" s="1307"/>
      <c r="AD101" s="1307"/>
      <c r="AE101" s="1308"/>
      <c r="AF101" s="1285">
        <v>667</v>
      </c>
      <c r="AG101" s="1293"/>
      <c r="AH101" s="1286"/>
      <c r="AI101" s="1294">
        <f>ROUND(UnosPod!AD481,0)</f>
        <v>6</v>
      </c>
      <c r="AJ101" s="1295"/>
      <c r="AK101" s="1296"/>
      <c r="AL101" s="1296"/>
      <c r="AM101" s="1296"/>
      <c r="AN101" s="1296"/>
      <c r="AO101" s="1297"/>
      <c r="AP101" s="1294" t="e">
        <f>Prethodna_2024!#REF!</f>
        <v>#REF!</v>
      </c>
      <c r="AQ101" s="1295"/>
      <c r="AR101" s="1296"/>
      <c r="AS101" s="1296"/>
      <c r="AT101" s="1296"/>
      <c r="AU101" s="1296"/>
      <c r="AV101" s="1297"/>
    </row>
    <row r="102" s="1226" customFormat="1" ht="14.25" customHeight="1" spans="1:48">
      <c r="A102" s="1285" t="s">
        <v>5931</v>
      </c>
      <c r="B102" s="1286"/>
      <c r="C102" s="1287" t="s">
        <v>3701</v>
      </c>
      <c r="D102" s="1288"/>
      <c r="E102" s="1288"/>
      <c r="F102" s="1288"/>
      <c r="G102" s="1288"/>
      <c r="H102" s="1288"/>
      <c r="I102" s="1288"/>
      <c r="J102" s="1288"/>
      <c r="K102" s="1288"/>
      <c r="L102" s="1288"/>
      <c r="M102" s="1288"/>
      <c r="N102" s="1288"/>
      <c r="O102" s="1288"/>
      <c r="P102" s="1288"/>
      <c r="Q102" s="1288"/>
      <c r="R102" s="1288"/>
      <c r="S102" s="1288"/>
      <c r="T102" s="1288"/>
      <c r="U102" s="1288"/>
      <c r="V102" s="1288"/>
      <c r="W102" s="1288"/>
      <c r="X102" s="1289"/>
      <c r="Y102" s="1306"/>
      <c r="Z102" s="1307"/>
      <c r="AA102" s="1307"/>
      <c r="AB102" s="1307"/>
      <c r="AC102" s="1307"/>
      <c r="AD102" s="1307"/>
      <c r="AE102" s="1308"/>
      <c r="AF102" s="1285">
        <v>668</v>
      </c>
      <c r="AG102" s="1293"/>
      <c r="AH102" s="1286"/>
      <c r="AI102" s="1294">
        <f>ROUND(UnosPod!H481,0)</f>
        <v>6</v>
      </c>
      <c r="AJ102" s="1295"/>
      <c r="AK102" s="1296"/>
      <c r="AL102" s="1296"/>
      <c r="AM102" s="1296"/>
      <c r="AN102" s="1296"/>
      <c r="AO102" s="1297"/>
      <c r="AP102" s="1294" t="e">
        <f>Prethodna_2024!#REF!</f>
        <v>#REF!</v>
      </c>
      <c r="AQ102" s="1295"/>
      <c r="AR102" s="1296"/>
      <c r="AS102" s="1296"/>
      <c r="AT102" s="1296"/>
      <c r="AU102" s="1296"/>
      <c r="AV102" s="1297"/>
    </row>
    <row r="103" s="1226" customFormat="1" ht="15.75" customHeight="1" spans="1:48">
      <c r="A103" s="1314" t="s">
        <v>7120</v>
      </c>
      <c r="B103" s="1314"/>
      <c r="C103" s="1314"/>
      <c r="D103" s="1314"/>
      <c r="E103" s="1314"/>
      <c r="F103" s="1314"/>
      <c r="G103" s="1314"/>
      <c r="H103" s="1314"/>
      <c r="I103" s="1314"/>
      <c r="J103" s="1314"/>
      <c r="K103" s="1314"/>
      <c r="L103" s="1314"/>
      <c r="M103" s="1314"/>
      <c r="N103" s="1314"/>
      <c r="O103" s="1314"/>
      <c r="P103" s="1314"/>
      <c r="Q103" s="1314"/>
      <c r="R103" s="1314"/>
      <c r="S103" s="1314"/>
      <c r="T103" s="1314"/>
      <c r="U103" s="1314"/>
      <c r="V103" s="1314"/>
      <c r="W103" s="1314"/>
      <c r="X103" s="1314"/>
      <c r="Y103" s="1314"/>
      <c r="Z103" s="1314"/>
      <c r="AA103" s="1314"/>
      <c r="AB103" s="1314"/>
      <c r="AC103" s="1314"/>
      <c r="AD103" s="1314"/>
      <c r="AE103" s="1314"/>
      <c r="AF103" s="1314"/>
      <c r="AG103" s="1314"/>
      <c r="AH103" s="1314"/>
      <c r="AI103" s="1314"/>
      <c r="AJ103" s="1314"/>
      <c r="AK103" s="1314"/>
      <c r="AL103" s="1314"/>
      <c r="AM103" s="1314"/>
      <c r="AN103" s="1314"/>
      <c r="AO103" s="1314"/>
      <c r="AP103" s="1314"/>
      <c r="AQ103" s="1314"/>
      <c r="AR103" s="1314"/>
      <c r="AS103" s="1314"/>
      <c r="AT103" s="1314"/>
      <c r="AU103" s="1314"/>
      <c r="AV103" s="1314"/>
    </row>
    <row r="104" s="1226" customFormat="1" ht="31.5" customHeight="1" spans="1:48">
      <c r="A104" s="1315" t="s">
        <v>7579</v>
      </c>
      <c r="B104" s="1315"/>
      <c r="C104" s="1315"/>
      <c r="D104" s="1315"/>
      <c r="E104" s="1315"/>
      <c r="F104" s="1315"/>
      <c r="G104" s="1315"/>
      <c r="H104" s="1315"/>
      <c r="I104" s="1315"/>
      <c r="J104" s="1315"/>
      <c r="K104" s="1315"/>
      <c r="L104" s="1315"/>
      <c r="M104" s="1315"/>
      <c r="N104" s="1315"/>
      <c r="O104" s="1315"/>
      <c r="P104" s="1315"/>
      <c r="Q104" s="1315"/>
      <c r="R104" s="1315"/>
      <c r="S104" s="1315"/>
      <c r="T104" s="1315"/>
      <c r="U104" s="1315"/>
      <c r="V104" s="1315"/>
      <c r="W104" s="1315"/>
      <c r="X104" s="1315"/>
      <c r="Y104" s="1315"/>
      <c r="Z104" s="1315"/>
      <c r="AA104" s="1315"/>
      <c r="AB104" s="1315"/>
      <c r="AC104" s="1315"/>
      <c r="AD104" s="1315"/>
      <c r="AE104" s="1315"/>
      <c r="AF104" s="1315"/>
      <c r="AG104" s="1315"/>
      <c r="AH104" s="1315"/>
      <c r="AI104" s="1315"/>
      <c r="AJ104" s="1315"/>
      <c r="AK104" s="1315"/>
      <c r="AL104" s="1315"/>
      <c r="AM104" s="1315"/>
      <c r="AN104" s="1315"/>
      <c r="AO104" s="1315"/>
      <c r="AP104" s="1315"/>
      <c r="AQ104" s="1315"/>
      <c r="AR104" s="1315"/>
      <c r="AS104" s="1315"/>
      <c r="AT104" s="1315"/>
      <c r="AU104" s="1315"/>
      <c r="AV104" s="1315"/>
    </row>
    <row r="105" s="1226" customFormat="1" ht="29.25" customHeight="1" spans="1:48">
      <c r="A105" s="1315" t="s">
        <v>7124</v>
      </c>
      <c r="B105" s="1315"/>
      <c r="C105" s="1315"/>
      <c r="D105" s="1315"/>
      <c r="E105" s="1315"/>
      <c r="F105" s="1315"/>
      <c r="G105" s="1315"/>
      <c r="H105" s="1315"/>
      <c r="I105" s="1315"/>
      <c r="J105" s="1315"/>
      <c r="K105" s="1315"/>
      <c r="L105" s="1315"/>
      <c r="M105" s="1315"/>
      <c r="N105" s="1315"/>
      <c r="O105" s="1315"/>
      <c r="P105" s="1315"/>
      <c r="Q105" s="1315"/>
      <c r="R105" s="1315"/>
      <c r="S105" s="1315"/>
      <c r="T105" s="1315"/>
      <c r="U105" s="1315"/>
      <c r="V105" s="1315"/>
      <c r="W105" s="1315"/>
      <c r="X105" s="1315"/>
      <c r="Y105" s="1315"/>
      <c r="Z105" s="1315"/>
      <c r="AA105" s="1315"/>
      <c r="AB105" s="1315"/>
      <c r="AC105" s="1315"/>
      <c r="AD105" s="1315"/>
      <c r="AE105" s="1315"/>
      <c r="AF105" s="1315"/>
      <c r="AG105" s="1315"/>
      <c r="AH105" s="1315"/>
      <c r="AI105" s="1315"/>
      <c r="AJ105" s="1315"/>
      <c r="AK105" s="1315"/>
      <c r="AL105" s="1315"/>
      <c r="AM105" s="1315"/>
      <c r="AN105" s="1315"/>
      <c r="AO105" s="1315"/>
      <c r="AP105" s="1315"/>
      <c r="AQ105" s="1315"/>
      <c r="AR105" s="1315"/>
      <c r="AS105" s="1315"/>
      <c r="AT105" s="1315"/>
      <c r="AU105" s="1315"/>
      <c r="AV105" s="1315"/>
    </row>
    <row r="106" s="1226" customFormat="1" ht="13.5" customHeight="1" spans="1:48">
      <c r="A106" s="1315" t="s">
        <v>7125</v>
      </c>
      <c r="B106" s="1315"/>
      <c r="C106" s="1315"/>
      <c r="D106" s="1315"/>
      <c r="E106" s="1315"/>
      <c r="F106" s="1315"/>
      <c r="G106" s="1315"/>
      <c r="H106" s="1315"/>
      <c r="I106" s="1315"/>
      <c r="J106" s="1315"/>
      <c r="K106" s="1315"/>
      <c r="L106" s="1315"/>
      <c r="M106" s="1315"/>
      <c r="N106" s="1315"/>
      <c r="O106" s="1315"/>
      <c r="P106" s="1315"/>
      <c r="Q106" s="1315"/>
      <c r="R106" s="1315"/>
      <c r="S106" s="1315"/>
      <c r="T106" s="1315"/>
      <c r="U106" s="1315"/>
      <c r="V106" s="1315"/>
      <c r="W106" s="1315"/>
      <c r="X106" s="1315"/>
      <c r="Y106" s="1315"/>
      <c r="Z106" s="1315"/>
      <c r="AA106" s="1315"/>
      <c r="AB106" s="1315"/>
      <c r="AC106" s="1315"/>
      <c r="AD106" s="1315"/>
      <c r="AE106" s="1315"/>
      <c r="AF106" s="1315"/>
      <c r="AG106" s="1315"/>
      <c r="AH106" s="1315"/>
      <c r="AI106" s="1315"/>
      <c r="AJ106" s="1315"/>
      <c r="AK106" s="1315"/>
      <c r="AL106" s="1315"/>
      <c r="AM106" s="1315"/>
      <c r="AN106" s="1315"/>
      <c r="AO106" s="1315"/>
      <c r="AP106" s="1315"/>
      <c r="AQ106" s="1315"/>
      <c r="AR106" s="1315"/>
      <c r="AS106" s="1315"/>
      <c r="AT106" s="1315"/>
      <c r="AU106" s="1315"/>
      <c r="AV106" s="1315"/>
    </row>
    <row r="107" s="1223" customFormat="1" ht="13.5" customHeight="1" spans="1:48">
      <c r="A107" s="1316" t="s">
        <v>7580</v>
      </c>
      <c r="B107" s="886"/>
      <c r="C107" s="886"/>
      <c r="D107" s="886"/>
      <c r="E107" s="886"/>
      <c r="F107" s="886"/>
      <c r="G107" s="886"/>
      <c r="H107" s="886"/>
      <c r="I107" s="886"/>
      <c r="J107" s="886"/>
      <c r="K107" s="886"/>
      <c r="L107" s="886"/>
      <c r="M107" s="886"/>
      <c r="N107" s="886"/>
      <c r="O107" s="886"/>
      <c r="P107" s="886"/>
      <c r="Q107" s="886"/>
      <c r="R107" s="886"/>
      <c r="S107" s="886"/>
      <c r="T107" s="886"/>
      <c r="U107" s="886"/>
      <c r="V107" s="886"/>
      <c r="W107" s="886"/>
      <c r="X107" s="886"/>
      <c r="Y107" s="886"/>
      <c r="Z107" s="886"/>
      <c r="AA107" s="886"/>
      <c r="AB107" s="886"/>
      <c r="AC107" s="886"/>
      <c r="AD107" s="886"/>
      <c r="AE107" s="886"/>
      <c r="AF107" s="886"/>
      <c r="AG107" s="886"/>
      <c r="AH107" s="886"/>
      <c r="AI107" s="886"/>
      <c r="AJ107" s="886"/>
      <c r="AK107" s="886"/>
      <c r="AL107" s="886"/>
      <c r="AM107" s="886"/>
      <c r="AN107" s="886"/>
      <c r="AO107" s="886"/>
      <c r="AP107" s="886"/>
      <c r="AQ107" s="886"/>
      <c r="AR107" s="886"/>
      <c r="AS107" s="886"/>
      <c r="AT107" s="886"/>
      <c r="AU107" s="886"/>
      <c r="AV107" s="886"/>
    </row>
    <row r="108" s="1223" customFormat="1" ht="12.75" customHeight="1" spans="1:48">
      <c r="A108" s="1317" t="s">
        <v>7581</v>
      </c>
      <c r="B108" s="1317"/>
      <c r="C108" s="1317"/>
      <c r="D108" s="1317"/>
      <c r="E108" s="1317"/>
      <c r="F108" s="1317"/>
      <c r="G108" s="1317"/>
      <c r="H108" s="1317"/>
      <c r="I108" s="1317"/>
      <c r="J108" s="1317"/>
      <c r="K108" s="1317"/>
      <c r="L108" s="1317"/>
      <c r="M108" s="1317"/>
      <c r="N108" s="1317"/>
      <c r="O108" s="1317"/>
      <c r="P108" s="1317"/>
      <c r="Q108" s="1317"/>
      <c r="R108" s="1317"/>
      <c r="S108" s="1317"/>
      <c r="T108" s="1317"/>
      <c r="U108" s="1317"/>
      <c r="V108" s="1317"/>
      <c r="W108" s="1317"/>
      <c r="X108" s="1317"/>
      <c r="Y108" s="1317"/>
      <c r="Z108" s="1317"/>
      <c r="AA108" s="1317"/>
      <c r="AB108" s="1317"/>
      <c r="AC108" s="1317"/>
      <c r="AD108" s="1317"/>
      <c r="AE108" s="1317"/>
      <c r="AF108" s="1317"/>
      <c r="AG108" s="1317"/>
      <c r="AH108" s="1317"/>
      <c r="AI108" s="1317"/>
      <c r="AJ108" s="1317"/>
      <c r="AK108" s="1317"/>
      <c r="AL108" s="1317"/>
      <c r="AM108" s="1317"/>
      <c r="AN108" s="1317"/>
      <c r="AO108" s="1317"/>
      <c r="AP108" s="1317"/>
      <c r="AQ108" s="1317"/>
      <c r="AR108" s="1317"/>
      <c r="AS108" s="1317"/>
      <c r="AT108" s="1317"/>
      <c r="AU108" s="1317"/>
      <c r="AV108" s="1317"/>
    </row>
    <row r="109" s="1223" customFormat="1" ht="12.75" customHeight="1" spans="1:48">
      <c r="A109" s="1317" t="s">
        <v>7128</v>
      </c>
      <c r="B109" s="1317"/>
      <c r="C109" s="1317"/>
      <c r="D109" s="1317"/>
      <c r="E109" s="1317"/>
      <c r="F109" s="1317"/>
      <c r="G109" s="1317"/>
      <c r="H109" s="1317"/>
      <c r="I109" s="1317"/>
      <c r="J109" s="1317"/>
      <c r="K109" s="1317"/>
      <c r="L109" s="1317"/>
      <c r="M109" s="1317"/>
      <c r="N109" s="1317"/>
      <c r="O109" s="1317"/>
      <c r="P109" s="1317"/>
      <c r="Q109" s="1317"/>
      <c r="R109" s="1317"/>
      <c r="S109" s="1317"/>
      <c r="T109" s="1317"/>
      <c r="U109" s="1317"/>
      <c r="V109" s="1317"/>
      <c r="W109" s="1317"/>
      <c r="X109" s="1317"/>
      <c r="Y109" s="1317"/>
      <c r="Z109" s="1317"/>
      <c r="AA109" s="1317"/>
      <c r="AB109" s="1317"/>
      <c r="AC109" s="1317"/>
      <c r="AD109" s="1317"/>
      <c r="AE109" s="1317"/>
      <c r="AF109" s="1317"/>
      <c r="AG109" s="1317"/>
      <c r="AH109" s="1317"/>
      <c r="AI109" s="1317"/>
      <c r="AJ109" s="1317"/>
      <c r="AK109" s="1317"/>
      <c r="AL109" s="1317"/>
      <c r="AM109" s="1317"/>
      <c r="AN109" s="1317"/>
      <c r="AO109" s="1317"/>
      <c r="AP109" s="1317"/>
      <c r="AQ109" s="1317"/>
      <c r="AR109" s="1317"/>
      <c r="AS109" s="1317"/>
      <c r="AT109" s="1317"/>
      <c r="AU109" s="1317"/>
      <c r="AV109" s="1317"/>
    </row>
    <row r="110" s="1223" customFormat="1" ht="12.75" spans="1:48">
      <c r="A110" s="1259"/>
      <c r="B110" s="1259"/>
      <c r="C110" s="1318"/>
      <c r="D110" s="1318"/>
      <c r="E110" s="1318"/>
      <c r="F110" s="1318"/>
      <c r="G110" s="1318"/>
      <c r="H110" s="1318"/>
      <c r="I110" s="1318"/>
      <c r="J110" s="1318"/>
      <c r="K110" s="1318"/>
      <c r="L110" s="1318"/>
      <c r="M110" s="1318"/>
      <c r="N110" s="1318"/>
      <c r="O110" s="1318"/>
      <c r="P110" s="1318"/>
      <c r="Q110" s="1318"/>
      <c r="R110" s="1318"/>
      <c r="S110" s="1318"/>
      <c r="T110" s="1318"/>
      <c r="U110" s="1318"/>
      <c r="V110" s="1318"/>
      <c r="W110" s="1318"/>
      <c r="X110" s="1318"/>
      <c r="Y110" s="1319"/>
      <c r="Z110" s="1319"/>
      <c r="AA110" s="1319"/>
      <c r="AB110" s="1319"/>
      <c r="AC110" s="1319"/>
      <c r="AD110" s="1319"/>
      <c r="AE110" s="1319"/>
      <c r="AF110" s="1259"/>
      <c r="AG110" s="1259"/>
      <c r="AH110" s="1259"/>
      <c r="AI110" s="1320"/>
      <c r="AJ110" s="1320"/>
      <c r="AK110" s="1320"/>
      <c r="AL110" s="1320"/>
      <c r="AM110" s="1320"/>
      <c r="AN110" s="1320"/>
      <c r="AO110" s="1320"/>
      <c r="AP110" s="1320"/>
      <c r="AQ110" s="1320"/>
      <c r="AR110" s="1320"/>
      <c r="AS110" s="1320"/>
      <c r="AT110" s="1320"/>
      <c r="AU110" s="1320"/>
      <c r="AV110" s="1320"/>
    </row>
    <row r="111" s="1223" customFormat="1" ht="12.75" spans="1:48">
      <c r="A111" s="1259"/>
      <c r="B111" s="1259"/>
      <c r="C111" s="1318"/>
      <c r="D111" s="1318"/>
      <c r="E111" s="1318"/>
      <c r="F111" s="1318"/>
      <c r="G111" s="1318"/>
      <c r="H111" s="1318"/>
      <c r="I111" s="1318"/>
      <c r="J111" s="1318"/>
      <c r="K111" s="1318"/>
      <c r="L111" s="1318"/>
      <c r="M111" s="1318"/>
      <c r="N111" s="1318"/>
      <c r="O111" s="1318"/>
      <c r="P111" s="1318"/>
      <c r="Q111" s="1318"/>
      <c r="R111" s="1318"/>
      <c r="S111" s="1318"/>
      <c r="T111" s="1318"/>
      <c r="U111" s="1318"/>
      <c r="V111" s="1318"/>
      <c r="W111" s="1318"/>
      <c r="X111" s="1318"/>
      <c r="Y111" s="1319"/>
      <c r="Z111" s="1319"/>
      <c r="AA111" s="1319"/>
      <c r="AB111" s="1319"/>
      <c r="AC111" s="1319"/>
      <c r="AD111" s="1319"/>
      <c r="AE111" s="1319"/>
      <c r="AF111" s="1259"/>
      <c r="AG111" s="1259"/>
      <c r="AH111" s="1259"/>
      <c r="AI111" s="1320"/>
      <c r="AJ111" s="1320"/>
      <c r="AK111" s="1320"/>
      <c r="AL111" s="1320"/>
      <c r="AM111" s="1320"/>
      <c r="AN111" s="1320"/>
      <c r="AO111" s="1320"/>
      <c r="AP111" s="1320"/>
      <c r="AQ111" s="1320"/>
      <c r="AR111" s="1320"/>
      <c r="AS111" s="1320"/>
      <c r="AT111" s="1320"/>
      <c r="AU111" s="1320"/>
      <c r="AV111" s="1320"/>
    </row>
    <row r="112" s="1223" customFormat="1" ht="12.75" spans="1:48">
      <c r="A112" s="1259"/>
      <c r="B112" s="1259"/>
      <c r="C112" s="1318"/>
      <c r="D112" s="1318"/>
      <c r="E112" s="1318"/>
      <c r="F112" s="1318"/>
      <c r="G112" s="1318"/>
      <c r="H112" s="1318"/>
      <c r="I112" s="1318"/>
      <c r="J112" s="1318"/>
      <c r="K112" s="1318"/>
      <c r="L112" s="1318"/>
      <c r="M112" s="1318"/>
      <c r="N112" s="1318"/>
      <c r="O112" s="1318"/>
      <c r="P112" s="1318"/>
      <c r="Q112" s="1318"/>
      <c r="R112" s="1318"/>
      <c r="S112" s="1318"/>
      <c r="T112" s="1318"/>
      <c r="U112" s="1318"/>
      <c r="V112" s="1318"/>
      <c r="W112" s="1318"/>
      <c r="X112" s="1318"/>
      <c r="Y112" s="1319"/>
      <c r="Z112" s="1319"/>
      <c r="AA112" s="1319"/>
      <c r="AB112" s="1319"/>
      <c r="AC112" s="1319"/>
      <c r="AD112" s="1319"/>
      <c r="AE112" s="1319"/>
      <c r="AF112" s="1259"/>
      <c r="AG112" s="1259"/>
      <c r="AH112" s="1259"/>
      <c r="AI112" s="1320"/>
      <c r="AJ112" s="1320"/>
      <c r="AK112" s="1320"/>
      <c r="AL112" s="1320"/>
      <c r="AM112" s="1320"/>
      <c r="AN112" s="1320"/>
      <c r="AO112" s="1320"/>
      <c r="AP112" s="1320"/>
      <c r="AQ112" s="1320"/>
      <c r="AR112" s="1320"/>
      <c r="AS112" s="1320"/>
      <c r="AT112" s="1320"/>
      <c r="AU112" s="1320"/>
      <c r="AV112" s="1320"/>
    </row>
    <row r="113" s="1223" customFormat="1" ht="12.75" spans="1:48">
      <c r="A113" s="1259"/>
      <c r="B113" s="1259"/>
      <c r="C113" s="1318"/>
      <c r="D113" s="1318"/>
      <c r="E113" s="1318"/>
      <c r="F113" s="1318"/>
      <c r="G113" s="1318"/>
      <c r="H113" s="1318"/>
      <c r="I113" s="1318"/>
      <c r="J113" s="1318"/>
      <c r="K113" s="1318"/>
      <c r="L113" s="1318"/>
      <c r="M113" s="1318"/>
      <c r="N113" s="1318"/>
      <c r="O113" s="1318"/>
      <c r="P113" s="1318"/>
      <c r="Q113" s="1318"/>
      <c r="R113" s="1318"/>
      <c r="S113" s="1318"/>
      <c r="T113" s="1318"/>
      <c r="U113" s="1318"/>
      <c r="V113" s="1318"/>
      <c r="W113" s="1318"/>
      <c r="X113" s="1318"/>
      <c r="Y113" s="1319"/>
      <c r="Z113" s="1319"/>
      <c r="AA113" s="1319"/>
      <c r="AB113" s="1319"/>
      <c r="AC113" s="1319"/>
      <c r="AD113" s="1319"/>
      <c r="AE113" s="1319"/>
      <c r="AF113" s="1259"/>
      <c r="AG113" s="1259"/>
      <c r="AH113" s="1259"/>
      <c r="AI113" s="1320"/>
      <c r="AJ113" s="1320"/>
      <c r="AK113" s="1320"/>
      <c r="AL113" s="1320"/>
      <c r="AM113" s="1320"/>
      <c r="AN113" s="1320"/>
      <c r="AO113" s="1320"/>
      <c r="AP113" s="1320"/>
      <c r="AQ113" s="1320"/>
      <c r="AR113" s="1320"/>
      <c r="AS113" s="1320"/>
      <c r="AT113" s="1320"/>
      <c r="AU113" s="1320"/>
      <c r="AV113" s="1320"/>
    </row>
    <row r="114" s="1223" customFormat="1" ht="12.75" spans="1:48">
      <c r="A114" s="1259"/>
      <c r="B114" s="1259"/>
      <c r="C114" s="1318"/>
      <c r="D114" s="1318"/>
      <c r="E114" s="1318"/>
      <c r="F114" s="1318"/>
      <c r="G114" s="1318"/>
      <c r="H114" s="1318"/>
      <c r="I114" s="1318"/>
      <c r="J114" s="1318"/>
      <c r="K114" s="1318"/>
      <c r="L114" s="1318"/>
      <c r="M114" s="1318"/>
      <c r="N114" s="1318"/>
      <c r="O114" s="1318"/>
      <c r="P114" s="1318"/>
      <c r="Q114" s="1318"/>
      <c r="R114" s="1318"/>
      <c r="S114" s="1318"/>
      <c r="T114" s="1318"/>
      <c r="U114" s="1318"/>
      <c r="V114" s="1318"/>
      <c r="W114" s="1318"/>
      <c r="X114" s="1318"/>
      <c r="Y114" s="1319"/>
      <c r="Z114" s="1319"/>
      <c r="AA114" s="1319"/>
      <c r="AB114" s="1319"/>
      <c r="AC114" s="1319"/>
      <c r="AD114" s="1319"/>
      <c r="AE114" s="1319"/>
      <c r="AF114" s="1259"/>
      <c r="AG114" s="1259"/>
      <c r="AH114" s="1259"/>
      <c r="AI114" s="1320"/>
      <c r="AJ114" s="1320"/>
      <c r="AK114" s="1320"/>
      <c r="AL114" s="1320"/>
      <c r="AM114" s="1320"/>
      <c r="AN114" s="1320"/>
      <c r="AO114" s="1320"/>
      <c r="AP114" s="1320"/>
      <c r="AQ114" s="1320"/>
      <c r="AR114" s="1320"/>
      <c r="AS114" s="1320"/>
      <c r="AT114" s="1320"/>
      <c r="AU114" s="1320"/>
      <c r="AV114" s="1320"/>
    </row>
    <row r="115" s="1223" customFormat="1" ht="12.75" spans="1:48">
      <c r="A115" s="1259"/>
      <c r="B115" s="1259"/>
      <c r="C115" s="1318"/>
      <c r="D115" s="1318"/>
      <c r="E115" s="1318"/>
      <c r="F115" s="1318"/>
      <c r="G115" s="1318"/>
      <c r="H115" s="1318"/>
      <c r="I115" s="1318"/>
      <c r="J115" s="1318"/>
      <c r="K115" s="1318"/>
      <c r="L115" s="1318"/>
      <c r="M115" s="1318"/>
      <c r="N115" s="1318"/>
      <c r="O115" s="1318"/>
      <c r="P115" s="1318"/>
      <c r="Q115" s="1318"/>
      <c r="R115" s="1318"/>
      <c r="S115" s="1318"/>
      <c r="T115" s="1318"/>
      <c r="U115" s="1318"/>
      <c r="V115" s="1318"/>
      <c r="W115" s="1318"/>
      <c r="X115" s="1318"/>
      <c r="Y115" s="1319"/>
      <c r="Z115" s="1319"/>
      <c r="AA115" s="1319"/>
      <c r="AB115" s="1319"/>
      <c r="AC115" s="1319"/>
      <c r="AD115" s="1319"/>
      <c r="AE115" s="1319"/>
      <c r="AF115" s="1259"/>
      <c r="AG115" s="1259"/>
      <c r="AH115" s="1259"/>
      <c r="AI115" s="1320"/>
      <c r="AJ115" s="1320"/>
      <c r="AK115" s="1320"/>
      <c r="AL115" s="1320"/>
      <c r="AM115" s="1320"/>
      <c r="AN115" s="1320"/>
      <c r="AO115" s="1320"/>
      <c r="AP115" s="1320"/>
      <c r="AQ115" s="1320"/>
      <c r="AR115" s="1320"/>
      <c r="AS115" s="1320"/>
      <c r="AT115" s="1320"/>
      <c r="AU115" s="1320"/>
      <c r="AV115" s="1246" t="s">
        <v>7115</v>
      </c>
    </row>
    <row r="116" s="1224" customFormat="1" ht="13.5" customHeight="1" spans="1:48">
      <c r="A116" s="1299" t="s">
        <v>7074</v>
      </c>
      <c r="B116" s="1300"/>
      <c r="C116" s="1249" t="s">
        <v>2507</v>
      </c>
      <c r="D116" s="1249"/>
      <c r="E116" s="1249"/>
      <c r="F116" s="1249"/>
      <c r="G116" s="1249"/>
      <c r="H116" s="1249"/>
      <c r="I116" s="1249"/>
      <c r="J116" s="1249"/>
      <c r="K116" s="1249"/>
      <c r="L116" s="1249"/>
      <c r="M116" s="1249"/>
      <c r="N116" s="1249"/>
      <c r="O116" s="1249"/>
      <c r="P116" s="1249"/>
      <c r="Q116" s="1249"/>
      <c r="R116" s="1249"/>
      <c r="S116" s="1249"/>
      <c r="T116" s="1249"/>
      <c r="U116" s="1249"/>
      <c r="V116" s="1249"/>
      <c r="W116" s="1249"/>
      <c r="X116" s="1249"/>
      <c r="Y116" s="1252"/>
      <c r="Z116" s="1252"/>
      <c r="AA116" s="1252"/>
      <c r="AB116" s="1252"/>
      <c r="AC116" s="1252"/>
      <c r="AD116" s="1252"/>
      <c r="AE116" s="1253"/>
      <c r="AF116" s="1251" t="s">
        <v>2438</v>
      </c>
      <c r="AG116" s="1252"/>
      <c r="AH116" s="1253"/>
      <c r="AI116" s="1254" t="s">
        <v>2529</v>
      </c>
      <c r="AJ116" s="1255"/>
      <c r="AK116" s="1255"/>
      <c r="AL116" s="1255"/>
      <c r="AM116" s="1255"/>
      <c r="AN116" s="1255"/>
      <c r="AO116" s="1255"/>
      <c r="AP116" s="1255"/>
      <c r="AQ116" s="1255"/>
      <c r="AR116" s="1255"/>
      <c r="AS116" s="1255"/>
      <c r="AT116" s="1255"/>
      <c r="AU116" s="1255"/>
      <c r="AV116" s="1256"/>
    </row>
    <row r="117" s="1224" customFormat="1" ht="13.5" customHeight="1" spans="1:48">
      <c r="A117" s="1301" t="s">
        <v>7076</v>
      </c>
      <c r="B117" s="1302"/>
      <c r="C117" s="1259"/>
      <c r="D117" s="1259"/>
      <c r="E117" s="1259"/>
      <c r="F117" s="1259"/>
      <c r="G117" s="1259"/>
      <c r="H117" s="1259"/>
      <c r="I117" s="1259"/>
      <c r="J117" s="1259"/>
      <c r="K117" s="1259"/>
      <c r="L117" s="1259"/>
      <c r="M117" s="1259"/>
      <c r="N117" s="1259"/>
      <c r="O117" s="1259"/>
      <c r="P117" s="1259"/>
      <c r="Q117" s="1259"/>
      <c r="R117" s="1259"/>
      <c r="S117" s="1259"/>
      <c r="T117" s="1259"/>
      <c r="U117" s="1259"/>
      <c r="V117" s="1259"/>
      <c r="W117" s="1259"/>
      <c r="X117" s="1259"/>
      <c r="Y117" s="1262"/>
      <c r="Z117" s="1262"/>
      <c r="AA117" s="1262"/>
      <c r="AB117" s="1262"/>
      <c r="AC117" s="1262"/>
      <c r="AD117" s="1262"/>
      <c r="AE117" s="1263"/>
      <c r="AF117" s="1261"/>
      <c r="AG117" s="1262"/>
      <c r="AH117" s="1263"/>
      <c r="AI117" s="1264" t="s">
        <v>4676</v>
      </c>
      <c r="AJ117" s="1264"/>
      <c r="AK117" s="1264"/>
      <c r="AL117" s="1264"/>
      <c r="AM117" s="1264"/>
      <c r="AN117" s="1264"/>
      <c r="AO117" s="1264"/>
      <c r="AP117" s="1265" t="s">
        <v>7116</v>
      </c>
      <c r="AQ117" s="1265"/>
      <c r="AR117" s="1265"/>
      <c r="AS117" s="1265"/>
      <c r="AT117" s="1265"/>
      <c r="AU117" s="1265"/>
      <c r="AV117" s="1265"/>
    </row>
    <row r="118" s="1224" customFormat="1" ht="13.5" customHeight="1" spans="1:48">
      <c r="A118" s="1266">
        <v>1</v>
      </c>
      <c r="B118" s="1266"/>
      <c r="C118" s="1267">
        <v>2</v>
      </c>
      <c r="D118" s="1266"/>
      <c r="E118" s="1266"/>
      <c r="F118" s="1266"/>
      <c r="G118" s="1266"/>
      <c r="H118" s="1266"/>
      <c r="I118" s="1266"/>
      <c r="J118" s="1266"/>
      <c r="K118" s="1266"/>
      <c r="L118" s="1266"/>
      <c r="M118" s="1266"/>
      <c r="N118" s="1266"/>
      <c r="O118" s="1266"/>
      <c r="P118" s="1266"/>
      <c r="Q118" s="1266"/>
      <c r="R118" s="1266"/>
      <c r="S118" s="1266"/>
      <c r="T118" s="1266"/>
      <c r="U118" s="1266"/>
      <c r="V118" s="1266"/>
      <c r="W118" s="1266"/>
      <c r="X118" s="1321"/>
      <c r="Y118" s="1267"/>
      <c r="Z118" s="1266"/>
      <c r="AA118" s="1266"/>
      <c r="AB118" s="1266"/>
      <c r="AC118" s="1266"/>
      <c r="AD118" s="1266"/>
      <c r="AE118" s="1266"/>
      <c r="AF118" s="1266">
        <v>3</v>
      </c>
      <c r="AG118" s="1266"/>
      <c r="AH118" s="1266"/>
      <c r="AI118" s="1266">
        <v>4</v>
      </c>
      <c r="AJ118" s="1266"/>
      <c r="AK118" s="1266"/>
      <c r="AL118" s="1266"/>
      <c r="AM118" s="1266"/>
      <c r="AN118" s="1266"/>
      <c r="AO118" s="1266"/>
      <c r="AP118" s="1266">
        <v>5</v>
      </c>
      <c r="AQ118" s="1266"/>
      <c r="AR118" s="1266"/>
      <c r="AS118" s="1266"/>
      <c r="AT118" s="1266"/>
      <c r="AU118" s="1266"/>
      <c r="AV118" s="1266"/>
    </row>
    <row r="119" s="1227" customFormat="1" ht="23.25" customHeight="1" spans="1:48">
      <c r="A119" s="1285">
        <v>72</v>
      </c>
      <c r="B119" s="1286"/>
      <c r="C119" s="1270" t="s">
        <v>7582</v>
      </c>
      <c r="D119" s="1271"/>
      <c r="E119" s="1271"/>
      <c r="F119" s="1271"/>
      <c r="G119" s="1271"/>
      <c r="H119" s="1271"/>
      <c r="I119" s="1271"/>
      <c r="J119" s="1271"/>
      <c r="K119" s="1271"/>
      <c r="L119" s="1271"/>
      <c r="M119" s="1271"/>
      <c r="N119" s="1271"/>
      <c r="O119" s="1271"/>
      <c r="P119" s="1271"/>
      <c r="Q119" s="1271"/>
      <c r="R119" s="1271"/>
      <c r="S119" s="1271"/>
      <c r="T119" s="1271"/>
      <c r="U119" s="1271"/>
      <c r="V119" s="1271"/>
      <c r="W119" s="1271"/>
      <c r="X119" s="1271"/>
      <c r="Y119" s="1304"/>
      <c r="Z119" s="1304"/>
      <c r="AA119" s="1304"/>
      <c r="AB119" s="1304"/>
      <c r="AC119" s="1304"/>
      <c r="AD119" s="1304"/>
      <c r="AE119" s="1305"/>
      <c r="AF119" s="1285">
        <v>669</v>
      </c>
      <c r="AG119" s="1293"/>
      <c r="AH119" s="1286"/>
      <c r="AI119" s="1277">
        <f>UnosPod!F457</f>
        <v>0</v>
      </c>
      <c r="AJ119" s="1278"/>
      <c r="AK119" s="1279"/>
      <c r="AL119" s="1279"/>
      <c r="AM119" s="1279"/>
      <c r="AN119" s="1279"/>
      <c r="AO119" s="1280"/>
      <c r="AP119" s="1277">
        <f>UnosPod!U457</f>
        <v>0</v>
      </c>
      <c r="AQ119" s="1278"/>
      <c r="AR119" s="1279"/>
      <c r="AS119" s="1279"/>
      <c r="AT119" s="1279"/>
      <c r="AU119" s="1279"/>
      <c r="AV119" s="1280"/>
    </row>
    <row r="120" s="1223" customFormat="1" ht="12.75" spans="1:48">
      <c r="A120" s="1259"/>
      <c r="B120" s="1259"/>
      <c r="C120" s="1318"/>
      <c r="D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9"/>
      <c r="Z120" s="1319"/>
      <c r="AA120" s="1319"/>
      <c r="AB120" s="1319"/>
      <c r="AC120" s="1319"/>
      <c r="AD120" s="1319"/>
      <c r="AE120" s="1319"/>
      <c r="AF120" s="1259"/>
      <c r="AG120" s="1259"/>
      <c r="AH120" s="1259"/>
      <c r="AI120" s="1320"/>
      <c r="AJ120" s="1320"/>
      <c r="AK120" s="1320"/>
      <c r="AL120" s="1320"/>
      <c r="AM120" s="1320"/>
      <c r="AN120" s="1320"/>
      <c r="AO120" s="1320"/>
      <c r="AP120" s="1320"/>
      <c r="AQ120" s="1320"/>
      <c r="AR120" s="1320"/>
      <c r="AS120" s="1320"/>
      <c r="AT120" s="1320"/>
      <c r="AU120" s="1320"/>
      <c r="AV120" s="1320"/>
    </row>
    <row r="121" s="1223" customFormat="1" ht="13.5" customHeight="1" spans="1:48">
      <c r="A121" s="1259"/>
      <c r="B121" s="1259"/>
      <c r="C121" s="1322" t="s">
        <v>5140</v>
      </c>
      <c r="Q121" s="1318"/>
      <c r="R121" s="1318"/>
      <c r="S121" s="1318"/>
      <c r="T121" s="1318"/>
      <c r="U121" s="1318"/>
      <c r="V121" s="1318"/>
      <c r="W121" s="1318"/>
      <c r="X121" s="1318"/>
      <c r="Y121" s="1319"/>
      <c r="Z121" s="1319"/>
      <c r="AA121" s="1319"/>
      <c r="AB121" s="1319"/>
      <c r="AC121" s="1319"/>
      <c r="AD121" s="1319"/>
      <c r="AE121" s="1319"/>
      <c r="AF121" s="1259"/>
      <c r="AG121" s="1259"/>
      <c r="AH121" s="1259"/>
      <c r="AI121" s="1320"/>
      <c r="AJ121" s="1320"/>
      <c r="AK121" s="1320"/>
      <c r="AL121" s="1320"/>
      <c r="AM121" s="1320"/>
      <c r="AN121" s="1320"/>
      <c r="AO121" s="1320"/>
      <c r="AP121" s="1320"/>
      <c r="AQ121" s="1320"/>
      <c r="AR121" s="1320"/>
      <c r="AS121" s="1320"/>
      <c r="AT121" s="1320"/>
      <c r="AU121" s="1320"/>
      <c r="AV121" s="1320"/>
    </row>
    <row r="122" s="1223" customFormat="1" ht="12.75" spans="1:48">
      <c r="A122" s="1259"/>
      <c r="B122" s="1259"/>
      <c r="C122" s="1323" t="s">
        <v>7583</v>
      </c>
      <c r="Q122" s="1318"/>
      <c r="R122" s="1318"/>
      <c r="S122" s="1318"/>
      <c r="T122" s="1318"/>
      <c r="U122" s="1318"/>
      <c r="V122" s="1318"/>
      <c r="W122" s="1318"/>
      <c r="X122" s="1318"/>
      <c r="Y122" s="1319"/>
      <c r="Z122" s="1319"/>
      <c r="AA122" s="1319"/>
      <c r="AB122" s="1319"/>
      <c r="AC122" s="1319"/>
      <c r="AD122" s="1319"/>
      <c r="AE122" s="1319"/>
      <c r="AF122" s="1259"/>
      <c r="AG122" s="1259"/>
      <c r="AH122" s="1259"/>
      <c r="AI122" s="1320"/>
      <c r="AJ122" s="1320"/>
      <c r="AK122" s="1320"/>
      <c r="AL122" s="1320"/>
      <c r="AM122" s="1320"/>
      <c r="AN122" s="1320"/>
      <c r="AO122" s="1320"/>
      <c r="AP122" s="1320"/>
      <c r="AQ122" s="1320"/>
      <c r="AR122" s="1320"/>
      <c r="AS122" s="1320"/>
      <c r="AT122" s="1320"/>
      <c r="AU122" s="1320"/>
      <c r="AV122" s="1320"/>
    </row>
    <row r="123" s="1223" customFormat="1" ht="12.75" spans="1:48">
      <c r="A123" s="1259"/>
      <c r="B123" s="1259"/>
      <c r="C123" s="1323" t="s">
        <v>7584</v>
      </c>
      <c r="Q123" s="1318"/>
      <c r="R123" s="1318"/>
      <c r="S123" s="1318"/>
      <c r="T123" s="1318"/>
      <c r="U123" s="1318"/>
      <c r="V123" s="1318"/>
      <c r="W123" s="1318"/>
      <c r="X123" s="1318"/>
      <c r="Y123" s="1319"/>
      <c r="Z123" s="1319"/>
      <c r="AA123" s="1319"/>
      <c r="AB123" s="1319"/>
      <c r="AC123" s="1319"/>
      <c r="AD123" s="1319"/>
      <c r="AE123" s="1319"/>
      <c r="AF123" s="1259"/>
      <c r="AG123" s="1259"/>
      <c r="AH123" s="1259"/>
      <c r="AI123" s="1320"/>
      <c r="AJ123" s="1320"/>
      <c r="AK123" s="1320"/>
      <c r="AL123" s="1320"/>
      <c r="AM123" s="1320"/>
      <c r="AN123" s="1320"/>
      <c r="AO123" s="1320"/>
      <c r="AP123" s="1320"/>
      <c r="AQ123" s="1320"/>
      <c r="AR123" s="1320"/>
      <c r="AS123" s="1320"/>
      <c r="AT123" s="1320"/>
      <c r="AU123" s="1320"/>
      <c r="AV123" s="1320"/>
    </row>
    <row r="124" s="1223" customFormat="1" ht="12.75" spans="1:48">
      <c r="A124" s="1259"/>
      <c r="B124" s="1259"/>
      <c r="C124" s="1323" t="s">
        <v>7585</v>
      </c>
      <c r="Q124" s="1318"/>
      <c r="R124" s="1318"/>
      <c r="S124" s="1318"/>
      <c r="T124" s="1318"/>
      <c r="U124" s="1318"/>
      <c r="V124" s="1318"/>
      <c r="W124" s="1318"/>
      <c r="X124" s="1318"/>
      <c r="Y124" s="1319"/>
      <c r="Z124" s="1319"/>
      <c r="AA124" s="1319"/>
      <c r="AB124" s="1319"/>
      <c r="AC124" s="1319"/>
      <c r="AD124" s="1319"/>
      <c r="AE124" s="1319"/>
      <c r="AF124" s="1259"/>
      <c r="AG124" s="1259"/>
      <c r="AH124" s="1259"/>
      <c r="AI124" s="1320"/>
      <c r="AJ124" s="1320"/>
      <c r="AK124" s="1320"/>
      <c r="AL124" s="1320"/>
      <c r="AM124" s="1320"/>
      <c r="AN124" s="1320"/>
      <c r="AO124" s="1320"/>
      <c r="AP124" s="1320"/>
      <c r="AQ124" s="1320"/>
      <c r="AR124" s="1320"/>
      <c r="AS124" s="1320"/>
      <c r="AT124" s="1320"/>
      <c r="AU124" s="1320"/>
      <c r="AV124" s="1320"/>
    </row>
    <row r="125" s="1223" customFormat="1" ht="12.75" spans="1:48">
      <c r="A125" s="1259"/>
      <c r="B125" s="1259"/>
      <c r="C125" s="1323" t="s">
        <v>7586</v>
      </c>
      <c r="Q125" s="1318"/>
      <c r="R125" s="1318"/>
      <c r="S125" s="1318"/>
      <c r="T125" s="1318"/>
      <c r="U125" s="1318"/>
      <c r="V125" s="1318"/>
      <c r="W125" s="1318"/>
      <c r="X125" s="1318"/>
      <c r="Y125" s="1319"/>
      <c r="Z125" s="1319"/>
      <c r="AA125" s="1319"/>
      <c r="AB125" s="1319"/>
      <c r="AC125" s="1319"/>
      <c r="AD125" s="1319"/>
      <c r="AE125" s="1319"/>
      <c r="AF125" s="1259"/>
      <c r="AG125" s="1259"/>
      <c r="AH125" s="1259"/>
      <c r="AI125" s="1320"/>
      <c r="AJ125" s="1320"/>
      <c r="AK125" s="1320"/>
      <c r="AL125" s="1320"/>
      <c r="AM125" s="1320"/>
      <c r="AN125" s="1320"/>
      <c r="AO125" s="1320"/>
      <c r="AP125" s="1320"/>
      <c r="AQ125" s="1320"/>
      <c r="AR125" s="1320"/>
      <c r="AS125" s="1320"/>
      <c r="AT125" s="1320"/>
      <c r="AU125" s="1320"/>
      <c r="AV125" s="1320"/>
    </row>
    <row r="126" s="1223" customFormat="1" ht="12.75" spans="1:48">
      <c r="A126" s="1259"/>
      <c r="B126" s="1259"/>
      <c r="C126" s="1323"/>
      <c r="Q126" s="1318"/>
      <c r="R126" s="1318"/>
      <c r="S126" s="1318"/>
      <c r="T126" s="1318"/>
      <c r="U126" s="1318"/>
      <c r="V126" s="1318"/>
      <c r="W126" s="1318"/>
      <c r="X126" s="1318"/>
      <c r="Y126" s="1319"/>
      <c r="Z126" s="1319"/>
      <c r="AA126" s="1319"/>
      <c r="AB126" s="1319"/>
      <c r="AC126" s="1319"/>
      <c r="AD126" s="1319"/>
      <c r="AE126" s="1319"/>
      <c r="AF126" s="1259"/>
      <c r="AG126" s="1259"/>
      <c r="AH126" s="1259"/>
      <c r="AI126" s="1320"/>
      <c r="AJ126" s="1320"/>
      <c r="AK126" s="1320"/>
      <c r="AL126" s="1320"/>
      <c r="AM126" s="1320"/>
      <c r="AN126" s="1320"/>
      <c r="AO126" s="1320"/>
      <c r="AP126" s="1320"/>
      <c r="AQ126" s="1320"/>
      <c r="AR126" s="1320"/>
      <c r="AS126" s="1320"/>
      <c r="AT126" s="1320"/>
      <c r="AU126" s="1320"/>
      <c r="AV126" s="1320"/>
    </row>
    <row r="127" s="1226" customFormat="1" ht="12.75" customHeight="1" spans="1:48">
      <c r="A127" s="1324"/>
      <c r="AV127" s="1246"/>
    </row>
    <row r="128" s="1226" customFormat="1" ht="13.5" customHeight="1" spans="1:48">
      <c r="A128" s="1299" t="s">
        <v>7074</v>
      </c>
      <c r="B128" s="1300"/>
      <c r="C128" s="1249" t="s">
        <v>2507</v>
      </c>
      <c r="D128" s="1249"/>
      <c r="E128" s="1249"/>
      <c r="F128" s="1249"/>
      <c r="G128" s="1249"/>
      <c r="H128" s="1249"/>
      <c r="I128" s="1249"/>
      <c r="J128" s="1249"/>
      <c r="K128" s="1249"/>
      <c r="L128" s="1249"/>
      <c r="M128" s="1249"/>
      <c r="N128" s="1249"/>
      <c r="O128" s="1249"/>
      <c r="P128" s="1249"/>
      <c r="Q128" s="1249"/>
      <c r="R128" s="1249"/>
      <c r="S128" s="1249"/>
      <c r="T128" s="1249"/>
      <c r="U128" s="1249"/>
      <c r="V128" s="1249"/>
      <c r="W128" s="1249"/>
      <c r="X128" s="1250"/>
      <c r="Y128" s="1251" t="s">
        <v>7587</v>
      </c>
      <c r="Z128" s="1252"/>
      <c r="AA128" s="1252"/>
      <c r="AB128" s="1252"/>
      <c r="AC128" s="1252"/>
      <c r="AD128" s="1252"/>
      <c r="AE128" s="1253"/>
      <c r="AF128" s="1251" t="s">
        <v>2438</v>
      </c>
      <c r="AG128" s="1252"/>
      <c r="AH128" s="1253"/>
      <c r="AI128" s="1254" t="s">
        <v>7588</v>
      </c>
      <c r="AJ128" s="1255"/>
      <c r="AK128" s="1255"/>
      <c r="AL128" s="1255"/>
      <c r="AM128" s="1255"/>
      <c r="AN128" s="1255"/>
      <c r="AO128" s="1255"/>
      <c r="AP128" s="1255"/>
      <c r="AQ128" s="1255"/>
      <c r="AR128" s="1255"/>
      <c r="AS128" s="1255"/>
      <c r="AT128" s="1255"/>
      <c r="AU128" s="1255"/>
      <c r="AV128" s="1256"/>
    </row>
    <row r="129" s="1226" customFormat="1" ht="13.5" customHeight="1" spans="1:48">
      <c r="A129" s="1301" t="s">
        <v>7076</v>
      </c>
      <c r="B129" s="1302"/>
      <c r="C129" s="1259"/>
      <c r="D129" s="1259"/>
      <c r="E129" s="1259"/>
      <c r="F129" s="1259"/>
      <c r="G129" s="1259"/>
      <c r="H129" s="1259"/>
      <c r="I129" s="1259"/>
      <c r="J129" s="1259"/>
      <c r="K129" s="1259"/>
      <c r="L129" s="1259"/>
      <c r="M129" s="1259"/>
      <c r="N129" s="1259"/>
      <c r="O129" s="1259"/>
      <c r="P129" s="1259"/>
      <c r="Q129" s="1259"/>
      <c r="R129" s="1259"/>
      <c r="S129" s="1259"/>
      <c r="T129" s="1259"/>
      <c r="U129" s="1259"/>
      <c r="V129" s="1259"/>
      <c r="W129" s="1259"/>
      <c r="X129" s="1260"/>
      <c r="Y129" s="1261"/>
      <c r="Z129" s="1262"/>
      <c r="AA129" s="1262"/>
      <c r="AB129" s="1262"/>
      <c r="AC129" s="1262"/>
      <c r="AD129" s="1262"/>
      <c r="AE129" s="1263"/>
      <c r="AF129" s="1261"/>
      <c r="AG129" s="1262"/>
      <c r="AH129" s="1263"/>
      <c r="AI129" s="1264" t="str">
        <f>UnosPod!F6&amp;UnosPod!G6&amp;"."&amp;UnosPod!H6&amp;UnosPod!I6&amp;"."&amp;UnosPod!J6</f>
        <v>01.01.2025</v>
      </c>
      <c r="AJ129" s="1264"/>
      <c r="AK129" s="1264"/>
      <c r="AL129" s="1264"/>
      <c r="AM129" s="1264"/>
      <c r="AN129" s="1264"/>
      <c r="AO129" s="1264"/>
      <c r="AP129" s="1265" t="str">
        <f>UnosPod!M6&amp;UnosPod!N6&amp;"."&amp;UnosPod!O6&amp;UnosPod!P6&amp;"."&amp;UnosPod!Q6</f>
        <v>31.12.2025</v>
      </c>
      <c r="AQ129" s="1265"/>
      <c r="AR129" s="1265"/>
      <c r="AS129" s="1265"/>
      <c r="AT129" s="1265"/>
      <c r="AU129" s="1265"/>
      <c r="AV129" s="1265"/>
    </row>
    <row r="130" s="1226" customFormat="1" ht="13.5" customHeight="1" spans="1:48">
      <c r="A130" s="1325">
        <v>1</v>
      </c>
      <c r="B130" s="1325"/>
      <c r="C130" s="1286">
        <v>2</v>
      </c>
      <c r="D130" s="1325"/>
      <c r="E130" s="1325"/>
      <c r="F130" s="1325"/>
      <c r="G130" s="1325"/>
      <c r="H130" s="1325"/>
      <c r="I130" s="1325"/>
      <c r="J130" s="1325"/>
      <c r="K130" s="1325"/>
      <c r="L130" s="1325"/>
      <c r="M130" s="1325"/>
      <c r="N130" s="1325"/>
      <c r="O130" s="1325"/>
      <c r="P130" s="1325"/>
      <c r="Q130" s="1325"/>
      <c r="R130" s="1325"/>
      <c r="S130" s="1325"/>
      <c r="T130" s="1325"/>
      <c r="U130" s="1325"/>
      <c r="V130" s="1325"/>
      <c r="W130" s="1325"/>
      <c r="X130" s="1325"/>
      <c r="Y130" s="1325">
        <v>3</v>
      </c>
      <c r="Z130" s="1325"/>
      <c r="AA130" s="1325"/>
      <c r="AB130" s="1325"/>
      <c r="AC130" s="1325"/>
      <c r="AD130" s="1325"/>
      <c r="AE130" s="1325"/>
      <c r="AF130" s="1325">
        <v>4</v>
      </c>
      <c r="AG130" s="1325"/>
      <c r="AH130" s="1325"/>
      <c r="AI130" s="1325">
        <v>5</v>
      </c>
      <c r="AJ130" s="1325"/>
      <c r="AK130" s="1325"/>
      <c r="AL130" s="1325"/>
      <c r="AM130" s="1325"/>
      <c r="AN130" s="1325"/>
      <c r="AO130" s="1325"/>
      <c r="AP130" s="1325">
        <v>6</v>
      </c>
      <c r="AQ130" s="1325"/>
      <c r="AR130" s="1325"/>
      <c r="AS130" s="1325"/>
      <c r="AT130" s="1325"/>
      <c r="AU130" s="1325"/>
      <c r="AV130" s="1325"/>
    </row>
    <row r="131" s="1226" customFormat="1" ht="15.75" customHeight="1" spans="1:48">
      <c r="A131" s="1285" t="s">
        <v>3953</v>
      </c>
      <c r="B131" s="1286"/>
      <c r="C131" s="1270" t="s">
        <v>7589</v>
      </c>
      <c r="D131" s="1271"/>
      <c r="E131" s="1271"/>
      <c r="F131" s="1271"/>
      <c r="G131" s="1271"/>
      <c r="H131" s="1271"/>
      <c r="I131" s="1271"/>
      <c r="J131" s="1271"/>
      <c r="K131" s="1271"/>
      <c r="L131" s="1271"/>
      <c r="M131" s="1271"/>
      <c r="N131" s="1271"/>
      <c r="O131" s="1271"/>
      <c r="P131" s="1271"/>
      <c r="Q131" s="1271"/>
      <c r="R131" s="1271"/>
      <c r="S131" s="1271"/>
      <c r="T131" s="1271"/>
      <c r="U131" s="1271"/>
      <c r="V131" s="1271"/>
      <c r="W131" s="1271"/>
      <c r="X131" s="1271"/>
      <c r="Y131" s="1291"/>
      <c r="Z131" s="1291"/>
      <c r="AA131" s="1291"/>
      <c r="AB131" s="1291"/>
      <c r="AC131" s="1291"/>
      <c r="AD131" s="1291"/>
      <c r="AE131" s="1291"/>
      <c r="AF131" s="1293"/>
      <c r="AG131" s="1293"/>
      <c r="AH131" s="1293"/>
      <c r="AI131" s="1326"/>
      <c r="AJ131" s="1326"/>
      <c r="AK131" s="1326"/>
      <c r="AL131" s="1326"/>
      <c r="AM131" s="1326"/>
      <c r="AN131" s="1326"/>
      <c r="AO131" s="1326"/>
      <c r="AP131" s="1326"/>
      <c r="AQ131" s="1326"/>
      <c r="AR131" s="1326"/>
      <c r="AS131" s="1326"/>
      <c r="AT131" s="1326"/>
      <c r="AU131" s="1326"/>
      <c r="AV131" s="1327"/>
    </row>
    <row r="132" s="1225" customFormat="1" ht="15.75" customHeight="1" spans="1:48">
      <c r="A132" s="1285" t="s">
        <v>3891</v>
      </c>
      <c r="B132" s="1286"/>
      <c r="C132" s="1287" t="s">
        <v>3115</v>
      </c>
      <c r="D132" s="1288"/>
      <c r="E132" s="1288"/>
      <c r="F132" s="1288"/>
      <c r="G132" s="1288"/>
      <c r="H132" s="1288"/>
      <c r="I132" s="1288"/>
      <c r="J132" s="1288"/>
      <c r="K132" s="1288"/>
      <c r="L132" s="1288"/>
      <c r="M132" s="1288"/>
      <c r="N132" s="1288"/>
      <c r="O132" s="1288"/>
      <c r="P132" s="1288"/>
      <c r="Q132" s="1288"/>
      <c r="R132" s="1288"/>
      <c r="S132" s="1288"/>
      <c r="T132" s="1288"/>
      <c r="U132" s="1288"/>
      <c r="V132" s="1288"/>
      <c r="W132" s="1288"/>
      <c r="X132" s="1288"/>
      <c r="Y132" s="1328">
        <v>10</v>
      </c>
      <c r="Z132" s="1328"/>
      <c r="AA132" s="1328"/>
      <c r="AB132" s="1328"/>
      <c r="AC132" s="1328"/>
      <c r="AD132" s="1328"/>
      <c r="AE132" s="1328"/>
      <c r="AF132" s="1285">
        <v>670</v>
      </c>
      <c r="AG132" s="1293"/>
      <c r="AH132" s="1286"/>
      <c r="AI132" s="1294">
        <f>B_Stanja!AP61</f>
        <v>0</v>
      </c>
      <c r="AJ132" s="1295"/>
      <c r="AK132" s="1296"/>
      <c r="AL132" s="1296"/>
      <c r="AM132" s="1296"/>
      <c r="AN132" s="1296"/>
      <c r="AO132" s="1297"/>
      <c r="AP132" s="1294">
        <f>B_Stanja!AI61</f>
        <v>0</v>
      </c>
      <c r="AQ132" s="1295"/>
      <c r="AR132" s="1296"/>
      <c r="AS132" s="1296"/>
      <c r="AT132" s="1296"/>
      <c r="AU132" s="1296"/>
      <c r="AV132" s="1297"/>
    </row>
    <row r="133" s="1226" customFormat="1" ht="15.75" customHeight="1" spans="1:48">
      <c r="A133" s="1285" t="s">
        <v>3902</v>
      </c>
      <c r="B133" s="1286"/>
      <c r="C133" s="1287" t="s">
        <v>3118</v>
      </c>
      <c r="D133" s="1288"/>
      <c r="E133" s="1288"/>
      <c r="F133" s="1288"/>
      <c r="G133" s="1288"/>
      <c r="H133" s="1288"/>
      <c r="I133" s="1288"/>
      <c r="J133" s="1288"/>
      <c r="K133" s="1288"/>
      <c r="L133" s="1288"/>
      <c r="M133" s="1288"/>
      <c r="N133" s="1288"/>
      <c r="O133" s="1288"/>
      <c r="P133" s="1288"/>
      <c r="Q133" s="1288"/>
      <c r="R133" s="1288"/>
      <c r="S133" s="1288"/>
      <c r="T133" s="1288"/>
      <c r="U133" s="1288"/>
      <c r="V133" s="1288"/>
      <c r="W133" s="1288"/>
      <c r="X133" s="1288"/>
      <c r="Y133" s="1306">
        <v>11</v>
      </c>
      <c r="Z133" s="1307"/>
      <c r="AA133" s="1307"/>
      <c r="AB133" s="1307"/>
      <c r="AC133" s="1307"/>
      <c r="AD133" s="1307"/>
      <c r="AE133" s="1308"/>
      <c r="AF133" s="1285">
        <v>671</v>
      </c>
      <c r="AG133" s="1293"/>
      <c r="AH133" s="1286"/>
      <c r="AI133" s="1294">
        <f>B_Stanja!AP62</f>
        <v>0</v>
      </c>
      <c r="AJ133" s="1295"/>
      <c r="AK133" s="1296"/>
      <c r="AL133" s="1296"/>
      <c r="AM133" s="1296"/>
      <c r="AN133" s="1296"/>
      <c r="AO133" s="1297"/>
      <c r="AP133" s="1294">
        <f>B_Stanja!AI62</f>
        <v>0</v>
      </c>
      <c r="AQ133" s="1295"/>
      <c r="AR133" s="1296"/>
      <c r="AS133" s="1296"/>
      <c r="AT133" s="1296"/>
      <c r="AU133" s="1296"/>
      <c r="AV133" s="1297"/>
    </row>
    <row r="134" s="1223" customFormat="1" ht="15.75" customHeight="1" spans="1:48">
      <c r="A134" s="1285" t="s">
        <v>3905</v>
      </c>
      <c r="B134" s="1286"/>
      <c r="C134" s="1287" t="s">
        <v>3121</v>
      </c>
      <c r="D134" s="1288"/>
      <c r="E134" s="1288"/>
      <c r="F134" s="1288"/>
      <c r="G134" s="1288"/>
      <c r="H134" s="1288"/>
      <c r="I134" s="1288"/>
      <c r="J134" s="1288"/>
      <c r="K134" s="1288"/>
      <c r="L134" s="1288"/>
      <c r="M134" s="1288"/>
      <c r="N134" s="1288"/>
      <c r="O134" s="1288"/>
      <c r="P134" s="1288"/>
      <c r="Q134" s="1288"/>
      <c r="R134" s="1288"/>
      <c r="S134" s="1288"/>
      <c r="T134" s="1288"/>
      <c r="U134" s="1288"/>
      <c r="V134" s="1288"/>
      <c r="W134" s="1288"/>
      <c r="X134" s="1288"/>
      <c r="Y134" s="1306">
        <v>12</v>
      </c>
      <c r="Z134" s="1307"/>
      <c r="AA134" s="1307"/>
      <c r="AB134" s="1307"/>
      <c r="AC134" s="1307"/>
      <c r="AD134" s="1307"/>
      <c r="AE134" s="1308"/>
      <c r="AF134" s="1285">
        <v>672</v>
      </c>
      <c r="AG134" s="1293"/>
      <c r="AH134" s="1286"/>
      <c r="AI134" s="1294">
        <f>B_Stanja!AP63</f>
        <v>0</v>
      </c>
      <c r="AJ134" s="1295"/>
      <c r="AK134" s="1296"/>
      <c r="AL134" s="1296"/>
      <c r="AM134" s="1296"/>
      <c r="AN134" s="1296"/>
      <c r="AO134" s="1297"/>
      <c r="AP134" s="1294">
        <f>B_Stanja!AI63</f>
        <v>0</v>
      </c>
      <c r="AQ134" s="1295"/>
      <c r="AR134" s="1296"/>
      <c r="AS134" s="1296"/>
      <c r="AT134" s="1296"/>
      <c r="AU134" s="1296"/>
      <c r="AV134" s="1297"/>
    </row>
    <row r="135" s="1223" customFormat="1" ht="15.75" customHeight="1" spans="1:48">
      <c r="A135" s="1285" t="s">
        <v>3915</v>
      </c>
      <c r="B135" s="1286"/>
      <c r="C135" s="1287" t="s">
        <v>3123</v>
      </c>
      <c r="D135" s="1288"/>
      <c r="E135" s="1288"/>
      <c r="F135" s="1288"/>
      <c r="G135" s="1288"/>
      <c r="H135" s="1288"/>
      <c r="I135" s="1288"/>
      <c r="J135" s="1288"/>
      <c r="K135" s="1288"/>
      <c r="L135" s="1288"/>
      <c r="M135" s="1288"/>
      <c r="N135" s="1288"/>
      <c r="O135" s="1288"/>
      <c r="P135" s="1288"/>
      <c r="Q135" s="1288"/>
      <c r="R135" s="1288"/>
      <c r="S135" s="1288"/>
      <c r="T135" s="1288"/>
      <c r="U135" s="1288"/>
      <c r="V135" s="1288"/>
      <c r="W135" s="1288"/>
      <c r="X135" s="1288"/>
      <c r="Y135" s="1306">
        <v>13</v>
      </c>
      <c r="Z135" s="1307"/>
      <c r="AA135" s="1307"/>
      <c r="AB135" s="1307"/>
      <c r="AC135" s="1307"/>
      <c r="AD135" s="1307"/>
      <c r="AE135" s="1308"/>
      <c r="AF135" s="1285">
        <v>673</v>
      </c>
      <c r="AG135" s="1293"/>
      <c r="AH135" s="1286"/>
      <c r="AI135" s="1294">
        <f>B_Stanja!AP64</f>
        <v>0</v>
      </c>
      <c r="AJ135" s="1295"/>
      <c r="AK135" s="1296"/>
      <c r="AL135" s="1296"/>
      <c r="AM135" s="1296"/>
      <c r="AN135" s="1296"/>
      <c r="AO135" s="1297"/>
      <c r="AP135" s="1294">
        <f>B_Stanja!AI64</f>
        <v>0</v>
      </c>
      <c r="AQ135" s="1295"/>
      <c r="AR135" s="1296"/>
      <c r="AS135" s="1296"/>
      <c r="AT135" s="1296"/>
      <c r="AU135" s="1296"/>
      <c r="AV135" s="1297"/>
    </row>
    <row r="136" s="1223" customFormat="1" ht="26.25" customHeight="1" spans="1:48">
      <c r="A136" s="1285" t="s">
        <v>3918</v>
      </c>
      <c r="B136" s="1286"/>
      <c r="C136" s="1287" t="s">
        <v>2669</v>
      </c>
      <c r="D136" s="1288"/>
      <c r="E136" s="1288"/>
      <c r="F136" s="1288"/>
      <c r="G136" s="1288"/>
      <c r="H136" s="1288"/>
      <c r="I136" s="1288"/>
      <c r="J136" s="1288"/>
      <c r="K136" s="1288"/>
      <c r="L136" s="1288"/>
      <c r="M136" s="1288"/>
      <c r="N136" s="1288"/>
      <c r="O136" s="1288"/>
      <c r="P136" s="1288"/>
      <c r="Q136" s="1288"/>
      <c r="R136" s="1288"/>
      <c r="S136" s="1288"/>
      <c r="T136" s="1288"/>
      <c r="U136" s="1288"/>
      <c r="V136" s="1288"/>
      <c r="W136" s="1288"/>
      <c r="X136" s="1288"/>
      <c r="Y136" s="1306">
        <v>14</v>
      </c>
      <c r="Z136" s="1307"/>
      <c r="AA136" s="1307"/>
      <c r="AB136" s="1307"/>
      <c r="AC136" s="1307"/>
      <c r="AD136" s="1307"/>
      <c r="AE136" s="1308"/>
      <c r="AF136" s="1285">
        <v>674</v>
      </c>
      <c r="AG136" s="1293"/>
      <c r="AH136" s="1286"/>
      <c r="AI136" s="1294">
        <f>B_Stanja!AP66</f>
        <v>0</v>
      </c>
      <c r="AJ136" s="1295"/>
      <c r="AK136" s="1296"/>
      <c r="AL136" s="1296"/>
      <c r="AM136" s="1296"/>
      <c r="AN136" s="1296"/>
      <c r="AO136" s="1297"/>
      <c r="AP136" s="1294">
        <f>B_Stanja!AI66</f>
        <v>0</v>
      </c>
      <c r="AQ136" s="1295"/>
      <c r="AR136" s="1296"/>
      <c r="AS136" s="1296"/>
      <c r="AT136" s="1296"/>
      <c r="AU136" s="1296"/>
      <c r="AV136" s="1297"/>
    </row>
    <row r="137" s="1223" customFormat="1" ht="12.75" spans="1:48">
      <c r="A137" s="1259"/>
      <c r="B137" s="1259"/>
      <c r="C137" s="1318"/>
      <c r="D137" s="1318"/>
      <c r="E137" s="1318"/>
      <c r="F137" s="1318"/>
      <c r="G137" s="1318"/>
      <c r="H137" s="1318"/>
      <c r="I137" s="1318"/>
      <c r="J137" s="1318"/>
      <c r="K137" s="1318"/>
      <c r="L137" s="1318"/>
      <c r="M137" s="1318"/>
      <c r="N137" s="1318"/>
      <c r="O137" s="1318"/>
      <c r="P137" s="1318"/>
      <c r="Q137" s="1318"/>
      <c r="R137" s="1318"/>
      <c r="S137" s="1318"/>
      <c r="T137" s="1318"/>
      <c r="U137" s="1318"/>
      <c r="V137" s="1318"/>
      <c r="W137" s="1318"/>
      <c r="X137" s="1318"/>
      <c r="Y137" s="1319"/>
      <c r="Z137" s="1319"/>
      <c r="AA137" s="1319"/>
      <c r="AB137" s="1319"/>
      <c r="AC137" s="1319"/>
      <c r="AD137" s="1319"/>
      <c r="AE137" s="1319"/>
      <c r="AF137" s="1259"/>
      <c r="AG137" s="1259"/>
      <c r="AH137" s="1259"/>
      <c r="AI137" s="1320"/>
      <c r="AJ137" s="1320"/>
      <c r="AK137" s="1320"/>
      <c r="AL137" s="1320"/>
      <c r="AM137" s="1320"/>
      <c r="AN137" s="1320"/>
      <c r="AO137" s="1320"/>
      <c r="AP137" s="1320"/>
      <c r="AQ137" s="1320"/>
      <c r="AR137" s="1320"/>
      <c r="AS137" s="1320"/>
      <c r="AT137" s="1320"/>
      <c r="AU137" s="1320"/>
      <c r="AV137" s="1320"/>
    </row>
    <row r="138" s="1223" customFormat="1" ht="13.5" spans="1:48">
      <c r="A138" s="1316" t="s">
        <v>7129</v>
      </c>
      <c r="B138" s="1316"/>
      <c r="C138" s="1316"/>
      <c r="D138" s="1316"/>
      <c r="E138" s="1316"/>
      <c r="F138" s="1316"/>
      <c r="G138" s="1316"/>
      <c r="H138" s="1316"/>
      <c r="I138" s="1316"/>
      <c r="J138" s="1316"/>
      <c r="K138" s="1316"/>
      <c r="L138" s="1316"/>
      <c r="M138" s="1316"/>
      <c r="N138" s="1316"/>
      <c r="O138" s="1316"/>
      <c r="P138" s="1316"/>
      <c r="Q138" s="1316"/>
      <c r="R138" s="1316"/>
      <c r="S138" s="1316"/>
      <c r="T138" s="1316"/>
      <c r="U138" s="1316"/>
      <c r="V138" s="1316"/>
      <c r="W138" s="1316"/>
      <c r="X138" s="1316"/>
      <c r="Y138" s="1316"/>
      <c r="Z138" s="1316"/>
      <c r="AA138" s="1316"/>
      <c r="AB138" s="1316"/>
      <c r="AC138" s="1316"/>
      <c r="AD138" s="1316"/>
      <c r="AE138" s="1316"/>
      <c r="AF138" s="1316"/>
      <c r="AG138" s="1316"/>
      <c r="AH138" s="1316"/>
      <c r="AI138" s="1316"/>
      <c r="AJ138" s="1316"/>
      <c r="AK138" s="1316"/>
      <c r="AL138" s="1316"/>
      <c r="AM138" s="1316"/>
      <c r="AN138" s="1316"/>
      <c r="AO138" s="1316"/>
      <c r="AP138" s="1316"/>
      <c r="AQ138" s="1316"/>
      <c r="AR138" s="1316"/>
      <c r="AS138" s="1316"/>
      <c r="AT138" s="1316"/>
      <c r="AU138" s="1316"/>
      <c r="AV138" s="1316"/>
    </row>
    <row r="139" s="1223" customFormat="1" ht="12.75" spans="1:48">
      <c r="A139" s="1259"/>
      <c r="B139" s="1259"/>
      <c r="C139" s="1318"/>
      <c r="D139" s="1318"/>
      <c r="E139" s="1318"/>
      <c r="F139" s="1318"/>
      <c r="G139" s="1318"/>
      <c r="H139" s="1318"/>
      <c r="I139" s="1318"/>
      <c r="J139" s="1318"/>
      <c r="K139" s="1318"/>
      <c r="L139" s="1318"/>
      <c r="M139" s="1318"/>
      <c r="N139" s="1318"/>
      <c r="O139" s="1318"/>
      <c r="P139" s="1318"/>
      <c r="Q139" s="1318"/>
      <c r="R139" s="1318"/>
      <c r="S139" s="1318"/>
      <c r="T139" s="1318"/>
      <c r="U139" s="1318"/>
      <c r="V139" s="1318"/>
      <c r="W139" s="1318"/>
      <c r="X139" s="1318"/>
      <c r="Y139" s="1319"/>
      <c r="Z139" s="1319"/>
      <c r="AA139" s="1319"/>
      <c r="AB139" s="1319"/>
      <c r="AC139" s="1319"/>
      <c r="AD139" s="1319"/>
      <c r="AE139" s="1319"/>
      <c r="AF139" s="1259"/>
      <c r="AG139" s="1259"/>
      <c r="AH139" s="1259"/>
      <c r="AI139" s="1320"/>
      <c r="AJ139" s="1320"/>
      <c r="AK139" s="1320"/>
      <c r="AL139" s="1320"/>
      <c r="AM139" s="1320"/>
      <c r="AN139" s="1320"/>
      <c r="AO139" s="1320"/>
      <c r="AP139" s="1320"/>
      <c r="AQ139" s="1320"/>
      <c r="AR139" s="1320"/>
      <c r="AS139" s="1320"/>
      <c r="AT139" s="1320"/>
      <c r="AU139" s="1320"/>
      <c r="AV139" s="1320"/>
    </row>
    <row r="140" s="1223" customFormat="1" ht="12.75" spans="1:48">
      <c r="A140" s="1259"/>
      <c r="B140" s="1259"/>
      <c r="C140" s="1318"/>
      <c r="D140" s="1318"/>
      <c r="E140" s="1318"/>
      <c r="F140" s="1318"/>
      <c r="G140" s="1318"/>
      <c r="H140" s="1318"/>
      <c r="I140" s="1318"/>
      <c r="J140" s="1318"/>
      <c r="K140" s="1318"/>
      <c r="L140" s="1318"/>
      <c r="M140" s="1318"/>
      <c r="N140" s="1318"/>
      <c r="O140" s="1318"/>
      <c r="P140" s="1318"/>
      <c r="Q140" s="1318"/>
      <c r="R140" s="1318"/>
      <c r="S140" s="1318"/>
      <c r="T140" s="1318"/>
      <c r="U140" s="1318"/>
      <c r="V140" s="1318"/>
      <c r="W140" s="1318"/>
      <c r="X140" s="1318"/>
      <c r="Y140" s="1319"/>
      <c r="Z140" s="1319"/>
      <c r="AA140" s="1319"/>
      <c r="AB140" s="1319"/>
      <c r="AC140" s="1319"/>
      <c r="AD140" s="1319"/>
      <c r="AE140" s="1319"/>
      <c r="AF140" s="1259"/>
      <c r="AG140" s="1259"/>
      <c r="AH140" s="1259"/>
      <c r="AI140" s="1320"/>
      <c r="AJ140" s="1320"/>
      <c r="AK140" s="1320"/>
      <c r="AL140" s="1320"/>
      <c r="AM140" s="1320"/>
      <c r="AN140" s="1320"/>
      <c r="AO140" s="1320"/>
      <c r="AP140" s="1320"/>
      <c r="AQ140" s="1320"/>
      <c r="AR140" s="1320"/>
      <c r="AS140" s="1320"/>
      <c r="AT140" s="1320"/>
      <c r="AU140" s="1320"/>
      <c r="AV140" s="1320"/>
    </row>
    <row r="141" s="1223" customFormat="1" ht="12.75" spans="1:48">
      <c r="A141" s="1259"/>
      <c r="B141" s="1259"/>
      <c r="C141" s="1318"/>
      <c r="D141" s="1318"/>
      <c r="E141" s="1318"/>
      <c r="F141" s="1318"/>
      <c r="G141" s="1318"/>
      <c r="H141" s="1318"/>
      <c r="I141" s="1318"/>
      <c r="J141" s="1318"/>
      <c r="K141" s="1318"/>
      <c r="L141" s="1318"/>
      <c r="M141" s="1318"/>
      <c r="N141" s="1318"/>
      <c r="O141" s="1318"/>
      <c r="P141" s="1318"/>
      <c r="Q141" s="1318"/>
      <c r="R141" s="1318"/>
      <c r="S141" s="1318"/>
      <c r="T141" s="1318"/>
      <c r="U141" s="1318"/>
      <c r="V141" s="1318"/>
      <c r="W141" s="1318"/>
      <c r="X141" s="1318"/>
      <c r="Y141" s="1319"/>
      <c r="Z141" s="1319"/>
      <c r="AA141" s="1319"/>
      <c r="AB141" s="1319"/>
      <c r="AC141" s="1319"/>
      <c r="AD141" s="1319"/>
      <c r="AE141" s="1319"/>
      <c r="AF141" s="1259"/>
      <c r="AG141" s="1259"/>
      <c r="AH141" s="1259"/>
      <c r="AI141" s="1320"/>
      <c r="AJ141" s="1320"/>
      <c r="AK141" s="1320"/>
      <c r="AL141" s="1320"/>
      <c r="AM141" s="1320"/>
      <c r="AN141" s="1320"/>
      <c r="AO141" s="1320"/>
      <c r="AP141" s="1320"/>
      <c r="AQ141" s="1320"/>
      <c r="AR141" s="1320"/>
      <c r="AS141" s="1320"/>
      <c r="AT141" s="1320"/>
      <c r="AU141" s="1320"/>
      <c r="AV141" s="1320"/>
    </row>
    <row r="142" s="1223" customFormat="1" ht="12.75" spans="1:48">
      <c r="A142" s="1259"/>
      <c r="B142" s="1259"/>
      <c r="C142" s="1318"/>
      <c r="D142" s="1318"/>
      <c r="E142" s="1318"/>
      <c r="F142" s="1318"/>
      <c r="G142" s="1318"/>
      <c r="H142" s="1318"/>
      <c r="I142" s="1318"/>
      <c r="J142" s="1318"/>
      <c r="K142" s="1318"/>
      <c r="L142" s="1318"/>
      <c r="M142" s="1318"/>
      <c r="N142" s="1318"/>
      <c r="O142" s="1318"/>
      <c r="P142" s="1318"/>
      <c r="Q142" s="1318"/>
      <c r="R142" s="1318"/>
      <c r="S142" s="1318"/>
      <c r="T142" s="1318"/>
      <c r="U142" s="1318"/>
      <c r="V142" s="1318"/>
      <c r="W142" s="1318"/>
      <c r="X142" s="1318"/>
      <c r="Y142" s="1319"/>
      <c r="Z142" s="1319"/>
      <c r="AA142" s="1319"/>
      <c r="AB142" s="1319"/>
      <c r="AC142" s="1319"/>
      <c r="AD142" s="1319"/>
      <c r="AE142" s="1319"/>
      <c r="AF142" s="1259"/>
      <c r="AG142" s="1259"/>
      <c r="AH142" s="1259"/>
      <c r="AI142" s="1320"/>
      <c r="AJ142" s="1320"/>
      <c r="AK142" s="1320"/>
      <c r="AL142" s="1320"/>
      <c r="AM142" s="1320"/>
      <c r="AN142" s="1320"/>
      <c r="AO142" s="1320"/>
      <c r="AP142" s="1320"/>
      <c r="AQ142" s="1320"/>
      <c r="AR142" s="1320"/>
      <c r="AS142" s="1320"/>
      <c r="AT142" s="1320"/>
      <c r="AU142" s="1320"/>
      <c r="AV142" s="1320"/>
    </row>
    <row r="143" s="1223" customFormat="1" ht="12.75" spans="1:48">
      <c r="A143" s="1259"/>
      <c r="B143" s="1259"/>
      <c r="C143" s="1318"/>
      <c r="D143" s="1318"/>
      <c r="E143" s="1318"/>
      <c r="F143" s="1318"/>
      <c r="G143" s="1318"/>
      <c r="H143" s="1318"/>
      <c r="I143" s="1318"/>
      <c r="J143" s="1318"/>
      <c r="K143" s="1318"/>
      <c r="L143" s="1318"/>
      <c r="M143" s="1318"/>
      <c r="N143" s="1318"/>
      <c r="O143" s="1318"/>
      <c r="P143" s="1318"/>
      <c r="Q143" s="1318"/>
      <c r="R143" s="1318"/>
      <c r="S143" s="1318"/>
      <c r="T143" s="1318"/>
      <c r="U143" s="1318"/>
      <c r="V143" s="1318"/>
      <c r="W143" s="1318"/>
      <c r="X143" s="1318"/>
      <c r="Y143" s="1319"/>
      <c r="Z143" s="1319"/>
      <c r="AA143" s="1319"/>
      <c r="AB143" s="1319"/>
      <c r="AC143" s="1319"/>
      <c r="AD143" s="1319"/>
      <c r="AE143" s="1319"/>
      <c r="AF143" s="1259"/>
      <c r="AG143" s="1259"/>
      <c r="AH143" s="1259"/>
      <c r="AI143" s="1320"/>
      <c r="AJ143" s="1320"/>
      <c r="AK143" s="1320"/>
      <c r="AL143" s="1320"/>
      <c r="AM143" s="1320"/>
      <c r="AN143" s="1320"/>
      <c r="AO143" s="1320"/>
      <c r="AP143" s="1320"/>
      <c r="AQ143" s="1320"/>
      <c r="AR143" s="1320"/>
      <c r="AS143" s="1320"/>
      <c r="AT143" s="1320"/>
      <c r="AU143" s="1320"/>
      <c r="AV143" s="1320"/>
    </row>
    <row r="144" s="1223" customFormat="1" ht="12.75" spans="1:48">
      <c r="A144" s="1259"/>
      <c r="B144" s="1259"/>
      <c r="C144" s="1318"/>
      <c r="D144" s="1318"/>
      <c r="E144" s="1318"/>
      <c r="F144" s="1318"/>
      <c r="G144" s="1318"/>
      <c r="H144" s="1318"/>
      <c r="I144" s="1318"/>
      <c r="J144" s="1318"/>
      <c r="K144" s="1318"/>
      <c r="L144" s="1318"/>
      <c r="M144" s="1318"/>
      <c r="N144" s="1318"/>
      <c r="O144" s="1318"/>
      <c r="P144" s="1318"/>
      <c r="Q144" s="1318"/>
      <c r="R144" s="1318"/>
      <c r="S144" s="1318"/>
      <c r="T144" s="1318"/>
      <c r="U144" s="1318"/>
      <c r="V144" s="1318"/>
      <c r="W144" s="1318"/>
      <c r="X144" s="1318"/>
      <c r="Y144" s="1319"/>
      <c r="Z144" s="1319"/>
      <c r="AA144" s="1319"/>
      <c r="AB144" s="1319"/>
      <c r="AC144" s="1319"/>
      <c r="AD144" s="1319"/>
      <c r="AE144" s="1319"/>
      <c r="AF144" s="1259"/>
      <c r="AG144" s="1259"/>
      <c r="AH144" s="1259"/>
      <c r="AI144" s="1320"/>
      <c r="AJ144" s="1320"/>
      <c r="AK144" s="1320"/>
      <c r="AL144" s="1320"/>
      <c r="AM144" s="1320"/>
      <c r="AN144" s="1320"/>
      <c r="AO144" s="1320"/>
      <c r="AP144" s="1320"/>
      <c r="AQ144" s="1320"/>
      <c r="AR144" s="1320"/>
      <c r="AS144" s="1320"/>
      <c r="AT144" s="1320"/>
      <c r="AU144" s="1320"/>
      <c r="AV144" s="1320"/>
    </row>
    <row r="145" s="1223" customFormat="1" ht="12.75" spans="1:48">
      <c r="A145" s="1259"/>
      <c r="B145" s="1259"/>
      <c r="C145" s="1318"/>
      <c r="D145" s="1318"/>
      <c r="E145" s="1318"/>
      <c r="F145" s="1318"/>
      <c r="G145" s="1318"/>
      <c r="H145" s="1318"/>
      <c r="I145" s="1318"/>
      <c r="J145" s="1318"/>
      <c r="K145" s="1318"/>
      <c r="L145" s="1318"/>
      <c r="M145" s="1318"/>
      <c r="N145" s="1318"/>
      <c r="O145" s="1318"/>
      <c r="P145" s="1318"/>
      <c r="Q145" s="1318"/>
      <c r="R145" s="1318"/>
      <c r="S145" s="1318"/>
      <c r="T145" s="1318"/>
      <c r="U145" s="1318"/>
      <c r="V145" s="1318"/>
      <c r="W145" s="1318"/>
      <c r="X145" s="1318"/>
      <c r="Y145" s="1319"/>
      <c r="Z145" s="1319"/>
      <c r="AA145" s="1319"/>
      <c r="AB145" s="1319"/>
      <c r="AC145" s="1319"/>
      <c r="AD145" s="1319"/>
      <c r="AE145" s="1319"/>
      <c r="AF145" s="1259"/>
      <c r="AG145" s="1259"/>
      <c r="AH145" s="1259"/>
      <c r="AI145" s="1320"/>
      <c r="AJ145" s="1320"/>
      <c r="AK145" s="1320"/>
      <c r="AL145" s="1320"/>
      <c r="AM145" s="1320"/>
      <c r="AN145" s="1320"/>
      <c r="AO145" s="1320"/>
      <c r="AP145" s="1320"/>
      <c r="AQ145" s="1320"/>
      <c r="AR145" s="1320"/>
      <c r="AS145" s="1320"/>
      <c r="AT145" s="1320"/>
      <c r="AU145" s="1320"/>
      <c r="AV145" s="1320"/>
    </row>
    <row r="146" s="1223" customFormat="1" ht="12.75" spans="1:48">
      <c r="A146" s="1259"/>
      <c r="B146" s="1259"/>
      <c r="C146" s="1318"/>
      <c r="D146" s="1318"/>
      <c r="E146" s="1318"/>
      <c r="F146" s="1318"/>
      <c r="G146" s="1318"/>
      <c r="H146" s="1318"/>
      <c r="I146" s="1318"/>
      <c r="J146" s="1318"/>
      <c r="K146" s="1318"/>
      <c r="L146" s="1318"/>
      <c r="M146" s="1318"/>
      <c r="N146" s="1318"/>
      <c r="O146" s="1318"/>
      <c r="P146" s="1318"/>
      <c r="Q146" s="1318"/>
      <c r="R146" s="1318"/>
      <c r="S146" s="1318"/>
      <c r="T146" s="1318"/>
      <c r="U146" s="1318"/>
      <c r="V146" s="1318"/>
      <c r="W146" s="1318"/>
      <c r="X146" s="1318"/>
      <c r="Y146" s="1319"/>
      <c r="Z146" s="1319"/>
      <c r="AA146" s="1319"/>
      <c r="AB146" s="1319"/>
      <c r="AC146" s="1319"/>
      <c r="AD146" s="1319"/>
      <c r="AE146" s="1319"/>
      <c r="AF146" s="1259"/>
      <c r="AG146" s="1259"/>
      <c r="AH146" s="1259"/>
      <c r="AI146" s="1320"/>
      <c r="AJ146" s="1320"/>
      <c r="AK146" s="1320"/>
      <c r="AL146" s="1320"/>
      <c r="AM146" s="1320"/>
      <c r="AN146" s="1320"/>
      <c r="AO146" s="1320"/>
      <c r="AP146" s="1320"/>
      <c r="AQ146" s="1320"/>
      <c r="AR146" s="1320"/>
      <c r="AS146" s="1320"/>
      <c r="AT146" s="1320"/>
      <c r="AU146" s="1320"/>
      <c r="AV146" s="1320"/>
    </row>
    <row r="147" s="1223" customFormat="1" ht="12.75" spans="1:48">
      <c r="A147" s="1329"/>
    </row>
    <row r="148" s="1223" customFormat="1" ht="12.75" spans="1:48">
      <c r="A148" s="1329"/>
    </row>
    <row r="149" s="1223" customFormat="1" ht="14.25" customHeight="1" spans="1:48">
      <c r="A149" s="1330" t="s">
        <v>7130</v>
      </c>
      <c r="B149" s="1330"/>
      <c r="C149" s="1330"/>
      <c r="D149" s="1223" t="str">
        <f>Sjedište</f>
        <v>Sarajevo-Stari Grad</v>
      </c>
      <c r="P149" s="1323" t="s">
        <v>2533</v>
      </c>
      <c r="AM149" s="1331" t="s">
        <v>2539</v>
      </c>
      <c r="AN149" s="1331"/>
      <c r="AO149" s="1331"/>
      <c r="AP149" s="1331"/>
      <c r="AQ149" s="1331"/>
      <c r="AR149" s="1331"/>
      <c r="AS149" s="1331"/>
      <c r="AT149" s="1331"/>
      <c r="AU149" s="1331"/>
      <c r="AV149" s="1331"/>
    </row>
    <row r="150" s="1223" customFormat="1" ht="14.25" customHeight="1" spans="1:48">
      <c r="A150" s="1330" t="s">
        <v>7131</v>
      </c>
      <c r="B150" s="1330"/>
      <c r="C150" s="1330"/>
      <c r="D150" s="1332" t="str">
        <f>UnosPod!AA22&amp;UnosPod!AB22&amp;"."&amp;UnosPod!AC22&amp;UnosPod!AD22&amp;"."&amp;UnosPod!AE22&amp;UnosPod!AF22&amp;UnosPod!AG22&amp;UnosPod!AH22&amp;".godine"</f>
        <v>28.02.2026.godine</v>
      </c>
      <c r="E150" s="1332"/>
      <c r="F150" s="1332"/>
      <c r="G150" s="1332"/>
      <c r="H150" s="1332"/>
      <c r="I150" s="1332"/>
      <c r="J150" s="1332"/>
      <c r="N150" s="1333"/>
      <c r="P150" s="1333" t="str">
        <f>Racunovoda</f>
        <v>Elvira Žilić</v>
      </c>
      <c r="AI150" s="1223" t="s">
        <v>7039</v>
      </c>
      <c r="AN150" s="1334"/>
      <c r="AO150" s="1334"/>
      <c r="AP150" s="1334"/>
      <c r="AQ150" s="1334"/>
      <c r="AR150" s="1334"/>
      <c r="AS150" s="1334"/>
      <c r="AT150" s="1334"/>
      <c r="AU150" s="1334"/>
      <c r="AV150" s="1334"/>
    </row>
    <row r="151" s="1228" customFormat="1" ht="14.25" customHeight="1" spans="1:48">
      <c r="P151" s="1335"/>
      <c r="Q151" s="1335"/>
      <c r="R151" s="1335"/>
      <c r="S151" s="1335"/>
      <c r="T151" s="1335"/>
      <c r="U151" s="1335"/>
      <c r="V151" s="1335"/>
      <c r="W151" s="1335"/>
      <c r="X151" s="1335"/>
      <c r="Y151" s="1335"/>
      <c r="Z151" s="1335"/>
      <c r="AA151" s="1335"/>
      <c r="AB151" s="1335"/>
      <c r="AC151" s="1335"/>
      <c r="AM151" s="1336" t="str">
        <f>Direktor</f>
        <v>Nedim Vilogorac</v>
      </c>
      <c r="AN151" s="1336"/>
      <c r="AO151" s="1336"/>
      <c r="AP151" s="1336"/>
      <c r="AQ151" s="1336"/>
      <c r="AR151" s="1336"/>
      <c r="AS151" s="1336"/>
      <c r="AT151" s="1336"/>
      <c r="AU151" s="1336"/>
      <c r="AV151" s="1336"/>
    </row>
    <row r="152" s="1228" customFormat="1" ht="14.25" customHeight="1" spans="1:48">
      <c r="P152" s="1337" t="str">
        <f>"Broj dozvole : "&amp;UnosPod!AA3</f>
        <v>Broj dozvole : CR-8559/5</v>
      </c>
      <c r="Q152" s="1338"/>
      <c r="R152" s="1338"/>
      <c r="S152" s="1338"/>
      <c r="T152" s="1338"/>
      <c r="U152" s="1338"/>
      <c r="V152" s="1339"/>
      <c r="W152" s="1338"/>
      <c r="X152" s="1338"/>
      <c r="Y152" s="1338"/>
      <c r="Z152" s="1338"/>
      <c r="AA152" s="1338"/>
      <c r="AB152" s="1338"/>
      <c r="AC152" s="1338"/>
    </row>
    <row r="153" s="1223" customFormat="1" ht="12.75" spans="1:48">
      <c r="A153" s="1329"/>
      <c r="Q153" s="1335"/>
      <c r="R153" s="1335"/>
      <c r="S153" s="1335"/>
      <c r="T153" s="1335"/>
      <c r="U153" s="1335"/>
      <c r="V153" s="1335"/>
      <c r="W153" s="1335"/>
      <c r="X153" s="1335"/>
      <c r="Y153" s="1335"/>
      <c r="Z153" s="1335"/>
      <c r="AA153" s="1335"/>
      <c r="AB153" s="1335"/>
      <c r="AC153" s="1335"/>
    </row>
    <row r="154" s="1223" customFormat="1" ht="12.75" spans="1:48">
      <c r="A154" s="1329"/>
    </row>
  </sheetData>
  <mergeCells count="548">
    <mergeCell ref="AJ1:AV1"/>
    <mergeCell ref="AM2:AV2"/>
    <mergeCell ref="AJ3:AV3"/>
    <mergeCell ref="AM4:AV4"/>
    <mergeCell ref="AJ6:AV6"/>
    <mergeCell ref="AM8:AV8"/>
    <mergeCell ref="AM10:AV10"/>
    <mergeCell ref="A14:AV14"/>
    <mergeCell ref="A15:AV15"/>
    <mergeCell ref="AI17:AV17"/>
    <mergeCell ref="AI18:AO18"/>
    <mergeCell ref="AP18:AV18"/>
    <mergeCell ref="A19:B19"/>
    <mergeCell ref="C19:X19"/>
    <mergeCell ref="Y19:AE19"/>
    <mergeCell ref="AF19:AH19"/>
    <mergeCell ref="AI19:AO19"/>
    <mergeCell ref="AP19:AV19"/>
    <mergeCell ref="A20:B20"/>
    <mergeCell ref="C20:X20"/>
    <mergeCell ref="Y20:AE20"/>
    <mergeCell ref="AF20:AH20"/>
    <mergeCell ref="AI20:AO20"/>
    <mergeCell ref="AP20:AV20"/>
    <mergeCell ref="A21:B21"/>
    <mergeCell ref="C21:X21"/>
    <mergeCell ref="Y21:AE21"/>
    <mergeCell ref="AF21:AH21"/>
    <mergeCell ref="AI21:AO21"/>
    <mergeCell ref="AP21:AV21"/>
    <mergeCell ref="A22:B22"/>
    <mergeCell ref="C22:X22"/>
    <mergeCell ref="Y22:AE22"/>
    <mergeCell ref="AF22:AH22"/>
    <mergeCell ref="AI22:AO22"/>
    <mergeCell ref="AP22:AV22"/>
    <mergeCell ref="A23:B23"/>
    <mergeCell ref="C23:X23"/>
    <mergeCell ref="Y23:AE23"/>
    <mergeCell ref="AF23:AH23"/>
    <mergeCell ref="AI23:AO23"/>
    <mergeCell ref="AP23:AV23"/>
    <mergeCell ref="A24:B24"/>
    <mergeCell ref="C24:X24"/>
    <mergeCell ref="Y24:AE24"/>
    <mergeCell ref="AF24:AH24"/>
    <mergeCell ref="AI24:AO24"/>
    <mergeCell ref="AP24:AV24"/>
    <mergeCell ref="A25:B25"/>
    <mergeCell ref="C25:X25"/>
    <mergeCell ref="Y25:AE25"/>
    <mergeCell ref="AF25:AH25"/>
    <mergeCell ref="AI25:AO25"/>
    <mergeCell ref="AP25:AV25"/>
    <mergeCell ref="A26:B26"/>
    <mergeCell ref="C26:X26"/>
    <mergeCell ref="Y26:AE26"/>
    <mergeCell ref="AF26:AH26"/>
    <mergeCell ref="AI26:AO26"/>
    <mergeCell ref="AP26:AV26"/>
    <mergeCell ref="A27:B27"/>
    <mergeCell ref="C27:X27"/>
    <mergeCell ref="Y27:AE27"/>
    <mergeCell ref="AF27:AH27"/>
    <mergeCell ref="AI27:AO27"/>
    <mergeCell ref="AP27:AV27"/>
    <mergeCell ref="A28:B28"/>
    <mergeCell ref="C28:X28"/>
    <mergeCell ref="Y28:AE28"/>
    <mergeCell ref="AF28:AH28"/>
    <mergeCell ref="AI28:AO28"/>
    <mergeCell ref="AP28:AV28"/>
    <mergeCell ref="A29:B29"/>
    <mergeCell ref="C29:X29"/>
    <mergeCell ref="Y29:AE29"/>
    <mergeCell ref="AF29:AH29"/>
    <mergeCell ref="AI29:AO29"/>
    <mergeCell ref="AP29:AV29"/>
    <mergeCell ref="A30:B30"/>
    <mergeCell ref="C30:X30"/>
    <mergeCell ref="Y30:AE30"/>
    <mergeCell ref="AF30:AH30"/>
    <mergeCell ref="AI30:AO30"/>
    <mergeCell ref="AP30:AV30"/>
    <mergeCell ref="A31:B31"/>
    <mergeCell ref="C31:X31"/>
    <mergeCell ref="Y31:AE31"/>
    <mergeCell ref="AF31:AH31"/>
    <mergeCell ref="AI31:AO31"/>
    <mergeCell ref="AP31:AV31"/>
    <mergeCell ref="A32:B32"/>
    <mergeCell ref="C32:X32"/>
    <mergeCell ref="Y32:AE32"/>
    <mergeCell ref="AF32:AH32"/>
    <mergeCell ref="AI32:AO32"/>
    <mergeCell ref="AP32:AV32"/>
    <mergeCell ref="A33:B33"/>
    <mergeCell ref="C33:X33"/>
    <mergeCell ref="Y33:AE33"/>
    <mergeCell ref="AF33:AH33"/>
    <mergeCell ref="AI33:AO33"/>
    <mergeCell ref="AP33:AV33"/>
    <mergeCell ref="A34:B34"/>
    <mergeCell ref="C34:X34"/>
    <mergeCell ref="Y34:AE34"/>
    <mergeCell ref="AF34:AH34"/>
    <mergeCell ref="AI34:AO34"/>
    <mergeCell ref="AP34:AV34"/>
    <mergeCell ref="A35:B35"/>
    <mergeCell ref="C35:X35"/>
    <mergeCell ref="Y35:AE35"/>
    <mergeCell ref="AF35:AH35"/>
    <mergeCell ref="AI35:AO35"/>
    <mergeCell ref="AP35:AV35"/>
    <mergeCell ref="A36:B36"/>
    <mergeCell ref="C36:X36"/>
    <mergeCell ref="Y36:AE36"/>
    <mergeCell ref="AF36:AH36"/>
    <mergeCell ref="AI36:AO36"/>
    <mergeCell ref="AP36:AV36"/>
    <mergeCell ref="A37:B37"/>
    <mergeCell ref="C37:X37"/>
    <mergeCell ref="Y37:AE37"/>
    <mergeCell ref="AF37:AH37"/>
    <mergeCell ref="AI37:AO37"/>
    <mergeCell ref="AP37:AV37"/>
    <mergeCell ref="A38:B38"/>
    <mergeCell ref="C38:X38"/>
    <mergeCell ref="Y38:AE38"/>
    <mergeCell ref="AF38:AH38"/>
    <mergeCell ref="AI38:AO38"/>
    <mergeCell ref="AP38:AV38"/>
    <mergeCell ref="A39:B39"/>
    <mergeCell ref="C39:X39"/>
    <mergeCell ref="Y39:AE39"/>
    <mergeCell ref="AF39:AH39"/>
    <mergeCell ref="AI39:AO39"/>
    <mergeCell ref="AP39:AV39"/>
    <mergeCell ref="A40:B40"/>
    <mergeCell ref="C40:X40"/>
    <mergeCell ref="Y40:AE40"/>
    <mergeCell ref="AF40:AH40"/>
    <mergeCell ref="AI40:AO40"/>
    <mergeCell ref="AP40:AV40"/>
    <mergeCell ref="A41:B41"/>
    <mergeCell ref="C41:X41"/>
    <mergeCell ref="Y41:AE41"/>
    <mergeCell ref="AF41:AH41"/>
    <mergeCell ref="AI41:AO41"/>
    <mergeCell ref="AP41:AV41"/>
    <mergeCell ref="A42:B42"/>
    <mergeCell ref="C42:X42"/>
    <mergeCell ref="Y42:AE42"/>
    <mergeCell ref="AF42:AH42"/>
    <mergeCell ref="AI42:AO42"/>
    <mergeCell ref="AP42:AV42"/>
    <mergeCell ref="A43:B43"/>
    <mergeCell ref="C43:X43"/>
    <mergeCell ref="Y43:AE43"/>
    <mergeCell ref="AF43:AH43"/>
    <mergeCell ref="AI43:AO43"/>
    <mergeCell ref="AP43:AV43"/>
    <mergeCell ref="A44:B44"/>
    <mergeCell ref="C44:X44"/>
    <mergeCell ref="Y44:AE44"/>
    <mergeCell ref="AF44:AH44"/>
    <mergeCell ref="AI44:AO44"/>
    <mergeCell ref="AP44:AV44"/>
    <mergeCell ref="A45:B45"/>
    <mergeCell ref="C45:X45"/>
    <mergeCell ref="Y45:AE45"/>
    <mergeCell ref="AF45:AH45"/>
    <mergeCell ref="AI45:AO45"/>
    <mergeCell ref="AP45:AV45"/>
    <mergeCell ref="A46:B46"/>
    <mergeCell ref="C46:X46"/>
    <mergeCell ref="Y46:AE46"/>
    <mergeCell ref="AF46:AH46"/>
    <mergeCell ref="AI46:AO46"/>
    <mergeCell ref="AP46:AV46"/>
    <mergeCell ref="A47:AV47"/>
    <mergeCell ref="A48:AV48"/>
    <mergeCell ref="A56:B56"/>
    <mergeCell ref="AI56:AV56"/>
    <mergeCell ref="A57:B57"/>
    <mergeCell ref="AI57:AO57"/>
    <mergeCell ref="AP57:AV57"/>
    <mergeCell ref="A58:B58"/>
    <mergeCell ref="C58:X58"/>
    <mergeCell ref="Y58:AE58"/>
    <mergeCell ref="AF58:AH58"/>
    <mergeCell ref="AI58:AO58"/>
    <mergeCell ref="AP58:AV58"/>
    <mergeCell ref="A59:B59"/>
    <mergeCell ref="C59:X59"/>
    <mergeCell ref="Y59:AE59"/>
    <mergeCell ref="AF59:AH59"/>
    <mergeCell ref="AI59:AO59"/>
    <mergeCell ref="AP59:AV59"/>
    <mergeCell ref="A60:B60"/>
    <mergeCell ref="C60:X60"/>
    <mergeCell ref="Y60:AE60"/>
    <mergeCell ref="AF60:AH60"/>
    <mergeCell ref="AI60:AO60"/>
    <mergeCell ref="AP60:AV60"/>
    <mergeCell ref="A61:B61"/>
    <mergeCell ref="C61:X61"/>
    <mergeCell ref="Y61:AE61"/>
    <mergeCell ref="AF61:AH61"/>
    <mergeCell ref="AI61:AO61"/>
    <mergeCell ref="AP61:AV61"/>
    <mergeCell ref="A62:B62"/>
    <mergeCell ref="C62:X62"/>
    <mergeCell ref="Y62:AE62"/>
    <mergeCell ref="AF62:AH62"/>
    <mergeCell ref="AI62:AO62"/>
    <mergeCell ref="AP62:AV62"/>
    <mergeCell ref="A63:B63"/>
    <mergeCell ref="C63:X63"/>
    <mergeCell ref="Y63:AE63"/>
    <mergeCell ref="AF63:AH63"/>
    <mergeCell ref="AI63:AO63"/>
    <mergeCell ref="AP63:AV63"/>
    <mergeCell ref="A64:B64"/>
    <mergeCell ref="C64:X64"/>
    <mergeCell ref="Y64:AE64"/>
    <mergeCell ref="AF64:AH64"/>
    <mergeCell ref="AI64:AO64"/>
    <mergeCell ref="AP64:AV64"/>
    <mergeCell ref="A65:B65"/>
    <mergeCell ref="C65:X65"/>
    <mergeCell ref="Y65:AE65"/>
    <mergeCell ref="AF65:AH65"/>
    <mergeCell ref="AI65:AO65"/>
    <mergeCell ref="AP65:AV65"/>
    <mergeCell ref="A66:B66"/>
    <mergeCell ref="C66:X66"/>
    <mergeCell ref="Y66:AE66"/>
    <mergeCell ref="AF66:AH66"/>
    <mergeCell ref="AI66:AO66"/>
    <mergeCell ref="AP66:AV66"/>
    <mergeCell ref="A67:B67"/>
    <mergeCell ref="C67:X67"/>
    <mergeCell ref="Y67:AE67"/>
    <mergeCell ref="AF67:AH67"/>
    <mergeCell ref="AI67:AO67"/>
    <mergeCell ref="AP67:AV67"/>
    <mergeCell ref="A68:B68"/>
    <mergeCell ref="C68:X68"/>
    <mergeCell ref="Y68:AE68"/>
    <mergeCell ref="AF68:AH68"/>
    <mergeCell ref="AI68:AO68"/>
    <mergeCell ref="AP68:AV68"/>
    <mergeCell ref="A69:B69"/>
    <mergeCell ref="C69:X69"/>
    <mergeCell ref="Y69:AE69"/>
    <mergeCell ref="AF69:AH69"/>
    <mergeCell ref="AI69:AO69"/>
    <mergeCell ref="AP69:AV69"/>
    <mergeCell ref="A70:B70"/>
    <mergeCell ref="C70:X70"/>
    <mergeCell ref="Y70:AE70"/>
    <mergeCell ref="AF70:AH70"/>
    <mergeCell ref="AI70:AO70"/>
    <mergeCell ref="AP70:AV70"/>
    <mergeCell ref="A71:B71"/>
    <mergeCell ref="C71:X71"/>
    <mergeCell ref="Y71:AE71"/>
    <mergeCell ref="AF71:AH71"/>
    <mergeCell ref="AI71:AO71"/>
    <mergeCell ref="AP71:AV71"/>
    <mergeCell ref="A72:B72"/>
    <mergeCell ref="C72:X72"/>
    <mergeCell ref="Y72:AE72"/>
    <mergeCell ref="AF72:AH72"/>
    <mergeCell ref="AI72:AO72"/>
    <mergeCell ref="AP72:AV72"/>
    <mergeCell ref="A73:B73"/>
    <mergeCell ref="C73:X73"/>
    <mergeCell ref="Y73:AE73"/>
    <mergeCell ref="AF73:AH73"/>
    <mergeCell ref="AI73:AO73"/>
    <mergeCell ref="AP73:AV73"/>
    <mergeCell ref="A74:B74"/>
    <mergeCell ref="C74:X74"/>
    <mergeCell ref="Y74:AE74"/>
    <mergeCell ref="AF74:AH74"/>
    <mergeCell ref="AI74:AO74"/>
    <mergeCell ref="AP74:AV74"/>
    <mergeCell ref="A75:B75"/>
    <mergeCell ref="C75:X75"/>
    <mergeCell ref="Y75:AE75"/>
    <mergeCell ref="AF75:AH75"/>
    <mergeCell ref="AI75:AO75"/>
    <mergeCell ref="AP75:AV75"/>
    <mergeCell ref="A76:B76"/>
    <mergeCell ref="C76:X76"/>
    <mergeCell ref="Y76:AE76"/>
    <mergeCell ref="AF76:AH76"/>
    <mergeCell ref="AI76:AO76"/>
    <mergeCell ref="AP76:AV76"/>
    <mergeCell ref="A77:B77"/>
    <mergeCell ref="C77:X77"/>
    <mergeCell ref="Y77:AE77"/>
    <mergeCell ref="AF77:AH77"/>
    <mergeCell ref="AI77:AO77"/>
    <mergeCell ref="AP77:AV77"/>
    <mergeCell ref="A78:B78"/>
    <mergeCell ref="C78:X78"/>
    <mergeCell ref="Y78:AE78"/>
    <mergeCell ref="AF78:AH78"/>
    <mergeCell ref="AI78:AO78"/>
    <mergeCell ref="AP78:AV78"/>
    <mergeCell ref="A79:B79"/>
    <mergeCell ref="C79:X79"/>
    <mergeCell ref="Y79:AE79"/>
    <mergeCell ref="AF79:AH79"/>
    <mergeCell ref="AI79:AO79"/>
    <mergeCell ref="AP79:AV79"/>
    <mergeCell ref="A80:B80"/>
    <mergeCell ref="C80:X80"/>
    <mergeCell ref="Y80:AE80"/>
    <mergeCell ref="AF80:AH80"/>
    <mergeCell ref="AI80:AO80"/>
    <mergeCell ref="AP80:AV80"/>
    <mergeCell ref="A81:B81"/>
    <mergeCell ref="C81:X81"/>
    <mergeCell ref="Y81:AE81"/>
    <mergeCell ref="AF81:AH81"/>
    <mergeCell ref="AI81:AO81"/>
    <mergeCell ref="AP81:AV81"/>
    <mergeCell ref="A82:B82"/>
    <mergeCell ref="C82:X82"/>
    <mergeCell ref="Y82:AE82"/>
    <mergeCell ref="AF82:AH82"/>
    <mergeCell ref="AI82:AO82"/>
    <mergeCell ref="AP82:AV82"/>
    <mergeCell ref="A83:B83"/>
    <mergeCell ref="C83:X83"/>
    <mergeCell ref="Y83:AE83"/>
    <mergeCell ref="AF83:AH83"/>
    <mergeCell ref="AI83:AO83"/>
    <mergeCell ref="AP83:AV83"/>
    <mergeCell ref="A84:B84"/>
    <mergeCell ref="C84:X84"/>
    <mergeCell ref="Y84:AE84"/>
    <mergeCell ref="AF84:AH84"/>
    <mergeCell ref="AI84:AO84"/>
    <mergeCell ref="AP84:AV84"/>
    <mergeCell ref="A85:B85"/>
    <mergeCell ref="C85:X85"/>
    <mergeCell ref="Y85:AE85"/>
    <mergeCell ref="AF85:AH85"/>
    <mergeCell ref="AI85:AO85"/>
    <mergeCell ref="AP85:AV85"/>
    <mergeCell ref="A86:B86"/>
    <mergeCell ref="C86:X86"/>
    <mergeCell ref="Y86:AE86"/>
    <mergeCell ref="AF86:AH86"/>
    <mergeCell ref="AI86:AO86"/>
    <mergeCell ref="AP86:AV86"/>
    <mergeCell ref="A87:B87"/>
    <mergeCell ref="C87:X87"/>
    <mergeCell ref="Y87:AE87"/>
    <mergeCell ref="AF87:AH87"/>
    <mergeCell ref="AI87:AO87"/>
    <mergeCell ref="AP87:AV87"/>
    <mergeCell ref="A88:B88"/>
    <mergeCell ref="C88:X88"/>
    <mergeCell ref="Y88:AE88"/>
    <mergeCell ref="AF88:AH88"/>
    <mergeCell ref="AI88:AO88"/>
    <mergeCell ref="AP88:AV88"/>
    <mergeCell ref="A89:B89"/>
    <mergeCell ref="C89:X89"/>
    <mergeCell ref="Y89:AE89"/>
    <mergeCell ref="AF89:AH89"/>
    <mergeCell ref="AI89:AO89"/>
    <mergeCell ref="AP89:AV89"/>
    <mergeCell ref="A90:B90"/>
    <mergeCell ref="C90:X90"/>
    <mergeCell ref="Y90:AE90"/>
    <mergeCell ref="AF90:AH90"/>
    <mergeCell ref="AI90:AO90"/>
    <mergeCell ref="AP90:AV90"/>
    <mergeCell ref="A91:B91"/>
    <mergeCell ref="C91:X91"/>
    <mergeCell ref="Y91:AE91"/>
    <mergeCell ref="AF91:AH91"/>
    <mergeCell ref="AI91:AO91"/>
    <mergeCell ref="AP91:AV91"/>
    <mergeCell ref="A92:B92"/>
    <mergeCell ref="C92:X92"/>
    <mergeCell ref="Y92:AE92"/>
    <mergeCell ref="AF92:AH92"/>
    <mergeCell ref="AI92:AO92"/>
    <mergeCell ref="AP92:AV92"/>
    <mergeCell ref="A93:B93"/>
    <mergeCell ref="C93:X93"/>
    <mergeCell ref="Y93:AE93"/>
    <mergeCell ref="AF93:AH93"/>
    <mergeCell ref="AI93:AO93"/>
    <mergeCell ref="AP93:AV93"/>
    <mergeCell ref="A94:B94"/>
    <mergeCell ref="C94:X94"/>
    <mergeCell ref="Y94:AE94"/>
    <mergeCell ref="AF94:AH94"/>
    <mergeCell ref="AI94:AO94"/>
    <mergeCell ref="AP94:AV94"/>
    <mergeCell ref="A95:B95"/>
    <mergeCell ref="C95:X95"/>
    <mergeCell ref="Y95:AE95"/>
    <mergeCell ref="AF95:AH95"/>
    <mergeCell ref="AI95:AO95"/>
    <mergeCell ref="AP95:AV95"/>
    <mergeCell ref="A96:B96"/>
    <mergeCell ref="C96:X96"/>
    <mergeCell ref="Y96:AE96"/>
    <mergeCell ref="AF96:AH96"/>
    <mergeCell ref="AI96:AO96"/>
    <mergeCell ref="AP96:AV96"/>
    <mergeCell ref="A97:B97"/>
    <mergeCell ref="C97:X97"/>
    <mergeCell ref="Y97:AE97"/>
    <mergeCell ref="AF97:AH97"/>
    <mergeCell ref="AI97:AO97"/>
    <mergeCell ref="AP97:AV97"/>
    <mergeCell ref="A98:B98"/>
    <mergeCell ref="C98:X98"/>
    <mergeCell ref="Y98:AE98"/>
    <mergeCell ref="AF98:AH98"/>
    <mergeCell ref="AI98:AO98"/>
    <mergeCell ref="AP98:AV98"/>
    <mergeCell ref="A99:B99"/>
    <mergeCell ref="C99:X99"/>
    <mergeCell ref="Y99:AE99"/>
    <mergeCell ref="AF99:AH99"/>
    <mergeCell ref="AI99:AO99"/>
    <mergeCell ref="AP99:AV99"/>
    <mergeCell ref="A100:B100"/>
    <mergeCell ref="C100:X100"/>
    <mergeCell ref="Y100:AE100"/>
    <mergeCell ref="AF100:AH100"/>
    <mergeCell ref="AI100:AO100"/>
    <mergeCell ref="AP100:AV100"/>
    <mergeCell ref="A101:B101"/>
    <mergeCell ref="C101:X101"/>
    <mergeCell ref="Y101:AE101"/>
    <mergeCell ref="AF101:AH101"/>
    <mergeCell ref="AI101:AO101"/>
    <mergeCell ref="AP101:AV101"/>
    <mergeCell ref="A102:B102"/>
    <mergeCell ref="C102:X102"/>
    <mergeCell ref="Y102:AE102"/>
    <mergeCell ref="AF102:AH102"/>
    <mergeCell ref="AI102:AO102"/>
    <mergeCell ref="AP102:AV102"/>
    <mergeCell ref="A103:AV103"/>
    <mergeCell ref="A104:AV104"/>
    <mergeCell ref="A105:AV105"/>
    <mergeCell ref="A106:AV106"/>
    <mergeCell ref="A107:AV107"/>
    <mergeCell ref="A108:AV108"/>
    <mergeCell ref="A109:AV109"/>
    <mergeCell ref="A116:B116"/>
    <mergeCell ref="AI116:AV116"/>
    <mergeCell ref="A117:B117"/>
    <mergeCell ref="AI117:AO117"/>
    <mergeCell ref="AP117:AV117"/>
    <mergeCell ref="A118:B118"/>
    <mergeCell ref="C118:X118"/>
    <mergeCell ref="Y118:AE118"/>
    <mergeCell ref="AF118:AH118"/>
    <mergeCell ref="AI118:AO118"/>
    <mergeCell ref="AP118:AV118"/>
    <mergeCell ref="A119:B119"/>
    <mergeCell ref="C119:X119"/>
    <mergeCell ref="Y119:AE119"/>
    <mergeCell ref="AF119:AH119"/>
    <mergeCell ref="AI119:AO119"/>
    <mergeCell ref="AP119:AV119"/>
    <mergeCell ref="A128:B128"/>
    <mergeCell ref="AI128:AV128"/>
    <mergeCell ref="A129:B129"/>
    <mergeCell ref="AI129:AO129"/>
    <mergeCell ref="AP129:AV129"/>
    <mergeCell ref="A130:B130"/>
    <mergeCell ref="C130:X130"/>
    <mergeCell ref="Y130:AE130"/>
    <mergeCell ref="AF130:AH130"/>
    <mergeCell ref="AI130:AO130"/>
    <mergeCell ref="AP130:AV130"/>
    <mergeCell ref="A131:B131"/>
    <mergeCell ref="C131:X131"/>
    <mergeCell ref="Y131:AE131"/>
    <mergeCell ref="AF131:AH131"/>
    <mergeCell ref="AI131:AO131"/>
    <mergeCell ref="AP131:AV131"/>
    <mergeCell ref="A132:B132"/>
    <mergeCell ref="C132:X132"/>
    <mergeCell ref="Y132:AE132"/>
    <mergeCell ref="AF132:AH132"/>
    <mergeCell ref="AI132:AO132"/>
    <mergeCell ref="AP132:AV132"/>
    <mergeCell ref="A133:B133"/>
    <mergeCell ref="C133:X133"/>
    <mergeCell ref="Y133:AE133"/>
    <mergeCell ref="AF133:AH133"/>
    <mergeCell ref="AI133:AO133"/>
    <mergeCell ref="AP133:AV133"/>
    <mergeCell ref="A134:B134"/>
    <mergeCell ref="C134:X134"/>
    <mergeCell ref="Y134:AE134"/>
    <mergeCell ref="AF134:AH134"/>
    <mergeCell ref="AI134:AO134"/>
    <mergeCell ref="AP134:AV134"/>
    <mergeCell ref="A135:B135"/>
    <mergeCell ref="C135:X135"/>
    <mergeCell ref="Y135:AE135"/>
    <mergeCell ref="AF135:AH135"/>
    <mergeCell ref="AI135:AO135"/>
    <mergeCell ref="AP135:AV135"/>
    <mergeCell ref="A136:B136"/>
    <mergeCell ref="C136:X136"/>
    <mergeCell ref="Y136:AE136"/>
    <mergeCell ref="AF136:AH136"/>
    <mergeCell ref="AI136:AO136"/>
    <mergeCell ref="AP136:AV136"/>
    <mergeCell ref="A138:AV138"/>
    <mergeCell ref="A149:C149"/>
    <mergeCell ref="AM149:AV149"/>
    <mergeCell ref="A150:C150"/>
    <mergeCell ref="AM151:AV151"/>
    <mergeCell ref="A8:X9"/>
    <mergeCell ref="Y11:AV12"/>
    <mergeCell ref="C17:X18"/>
    <mergeCell ref="Y17:AE18"/>
    <mergeCell ref="AF17:AH18"/>
    <mergeCell ref="A17:B18"/>
    <mergeCell ref="C128:X129"/>
    <mergeCell ref="Y128:AE129"/>
    <mergeCell ref="AF128:AH129"/>
    <mergeCell ref="C56:X57"/>
    <mergeCell ref="Y56:AE57"/>
    <mergeCell ref="AF56:AH57"/>
    <mergeCell ref="C116:X117"/>
    <mergeCell ref="Y116:AE117"/>
    <mergeCell ref="AF116:AH117"/>
  </mergeCells>
  <conditionalFormatting sqref="AI21:AV46;AI59:AV102;AI110:AV114;AI115:AU115;AI119:AV126;AI139:AV146">
    <cfRule type="cellIs" dxfId="10" priority="2" operator="lessThan">
      <formula>0</formula>
    </cfRule>
  </conditionalFormatting>
  <conditionalFormatting sqref="AI132:AV137">
    <cfRule type="cellIs" dxfId="10" priority="1" operator="lessThan">
      <formula>0</formula>
    </cfRule>
  </conditionalFormatting>
  <pageMargins left="0.708661417322835" right="0.511811023622047" top="0.551181102362205" bottom="0.354330708661417" header="0.31496062992126" footer="0.31496062992126"/>
  <pageSetup paperSize="9" scale="8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
    <tabColor rgb="FFFFFF00"/>
    <pageSetUpPr fitToPage="1"/>
  </sheetPr>
  <dimension ref="A1:AK42"/>
  <sheetViews>
    <sheetView showGridLines="0" topLeftCell="A4" workbookViewId="0">
      <selection activeCell="AT21" sqref="AT21"/>
    </sheetView>
  </sheetViews>
  <sheetFormatPr defaultColWidth="2.71428571428571" defaultRowHeight="15"/>
  <cols>
    <col min="1" max="16384" width="2.71428571428571" style="1201"/>
  </cols>
  <sheetData>
    <row r="1" ht="18.75" spans="1:37">
      <c r="A1" s="1202" t="str">
        <f>Firma</f>
        <v>LILIUM ASSET MANAGEMENT d.o.o. Sarajevo</v>
      </c>
    </row>
    <row r="2" spans="1:37">
      <c r="A2" s="1203" t="s">
        <v>2439</v>
      </c>
    </row>
    <row r="3" ht="15.75" spans="1:37">
      <c r="A3" s="1204" t="str">
        <f>Sjedište&amp;", "&amp;Adresa</f>
        <v>Sarajevo-Stari Grad, Dženetića čikma br.8</v>
      </c>
    </row>
    <row r="4" spans="1:37">
      <c r="A4" s="1203" t="s">
        <v>7485</v>
      </c>
      <c r="B4" s="1205"/>
      <c r="C4" s="1205"/>
      <c r="D4" s="1205"/>
      <c r="E4" s="1205"/>
      <c r="F4" s="1205"/>
      <c r="G4" s="1205"/>
      <c r="H4" s="1205"/>
      <c r="I4" s="1205"/>
      <c r="J4" s="1205"/>
      <c r="K4" s="1205"/>
      <c r="L4" s="1205"/>
      <c r="M4" s="1205"/>
    </row>
    <row r="5" ht="15.75" spans="1:37">
      <c r="A5" s="1204" t="str">
        <f>IdBroj</f>
        <v>4201337670009</v>
      </c>
      <c r="B5" s="1206"/>
      <c r="C5" s="1206"/>
    </row>
    <row r="6" spans="1:37">
      <c r="A6" s="1203" t="s">
        <v>7486</v>
      </c>
    </row>
    <row r="7" ht="15.75" spans="1:37">
      <c r="A7" s="1207" t="str">
        <f>UnosPod!AA22&amp;UnosPod!AB22&amp;"."&amp;UnosPod!AC22&amp;UnosPod!AD22&amp;"."&amp;UnosPod!AE22&amp;UnosPod!AF22&amp;UnosPod!AG22&amp;UnosPod!AH22&amp;".godine"</f>
        <v>28.02.2026.godine</v>
      </c>
      <c r="B7" s="1207"/>
      <c r="C7" s="1207"/>
      <c r="D7" s="1207"/>
      <c r="E7" s="1207"/>
    </row>
    <row r="8" spans="1:37">
      <c r="A8" s="1203" t="s">
        <v>7336</v>
      </c>
    </row>
    <row r="9" ht="15.75" spans="1:37">
      <c r="A9" s="1204" t="str">
        <f ca="1">"GodObr-"&amp;UnosPod!O6&amp;UnosPod!P6&amp;"/"&amp;PoslGod</f>
        <v>GodObr-12/2025</v>
      </c>
      <c r="V9" s="1205"/>
    </row>
    <row r="10" spans="1:37">
      <c r="A10" s="1203" t="s">
        <v>7419</v>
      </c>
    </row>
    <row r="11" ht="15.75" spans="1:37">
      <c r="A11" s="1208"/>
      <c r="E11" s="1208"/>
      <c r="F11" s="1208"/>
      <c r="G11" s="1208"/>
      <c r="H11" s="1208"/>
      <c r="I11" s="1208"/>
      <c r="J11" s="1208"/>
      <c r="K11" s="1208"/>
      <c r="L11" s="1208"/>
      <c r="M11" s="1208"/>
    </row>
    <row r="13" spans="1:37">
      <c r="A13" s="1209" t="str">
        <f>"Na osnovu člana  339. Zakona o privrednim društvima („Službene novine Federacije BiH“, br. 81/15) i odredbi Statuta "&amp;UnosPod!F8&amp;" , a u smislu člana 44. stav 2. Zakona o računovodstvu i reviziji u Federaciji BiH („Službene novine Federacije BiH“, broj 15/21),  direktor donosi"</f>
        <v>Na osnovu člana  339. Zakona o privrednim društvima („Službene novine Federacije BiH“, br. 81/15) i odredbi Statuta LILIUM ASSET MANAGEMENT d.o.o. Sarajevo , a u smislu člana 44. stav 2. Zakona o računovodstvu i reviziji u Federaciji BiH („Službene novine Federacije BiH“, broj 15/21),  direktor donosi</v>
      </c>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D13" s="1209"/>
      <c r="AE13" s="1209"/>
      <c r="AF13" s="1209"/>
      <c r="AG13" s="1209"/>
      <c r="AH13" s="1209"/>
      <c r="AI13" s="1209"/>
      <c r="AJ13" s="1209"/>
      <c r="AK13" s="1209"/>
    </row>
    <row r="14" spans="1:37">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1209"/>
      <c r="AB14" s="1209"/>
      <c r="AC14" s="1209"/>
      <c r="AD14" s="1209"/>
      <c r="AE14" s="1209"/>
      <c r="AF14" s="1209"/>
      <c r="AG14" s="1209"/>
      <c r="AH14" s="1209"/>
      <c r="AI14" s="1209"/>
      <c r="AJ14" s="1209"/>
      <c r="AK14" s="1209"/>
    </row>
    <row r="15" spans="1:37">
      <c r="A15" s="1209"/>
      <c r="B15" s="1209"/>
      <c r="C15" s="1209"/>
      <c r="D15" s="1209"/>
      <c r="E15" s="1209"/>
      <c r="F15" s="1209"/>
      <c r="G15" s="1209"/>
      <c r="H15" s="1209"/>
      <c r="I15" s="1209"/>
      <c r="J15" s="1209"/>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row>
    <row r="16" spans="1:37">
      <c r="A16" s="1209"/>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row>
    <row r="17" spans="1:37">
      <c r="A17" s="1209"/>
      <c r="B17" s="1209"/>
      <c r="C17" s="1209"/>
      <c r="D17" s="1209"/>
      <c r="E17" s="1209"/>
      <c r="F17" s="1209"/>
      <c r="G17" s="1209"/>
      <c r="H17" s="1209"/>
      <c r="I17" s="1209"/>
      <c r="J17" s="1209"/>
      <c r="K17" s="1209"/>
      <c r="L17" s="1209"/>
      <c r="M17" s="1209"/>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row>
    <row r="18" spans="1:37">
      <c r="B18" s="1210"/>
      <c r="C18" s="1210"/>
      <c r="D18" s="1210"/>
      <c r="F18" s="1210"/>
      <c r="G18" s="1210"/>
      <c r="H18" s="1210"/>
      <c r="I18" s="1210"/>
    </row>
    <row r="19" spans="1:37">
      <c r="B19" s="1210"/>
      <c r="C19" s="1210"/>
      <c r="D19" s="1210"/>
      <c r="F19" s="1210"/>
      <c r="G19" s="1210"/>
      <c r="H19" s="1210"/>
      <c r="I19" s="1210"/>
    </row>
    <row r="20" ht="22.5" spans="1:37">
      <c r="A20" s="1211" t="str">
        <f>IF(B_Uspjeha!AI153-B_Uspjeha!AI154&lt;0,"ODLUKU O PRIJEDLOGU ZA POKRIĆE GUBITKA ","ODLUKU O PRIJEDLOGU RASPODJELE DOBITI")</f>
        <v>ODLUKU O PRIJEDLOGU ZA POKRIĆE GUBITKA </v>
      </c>
      <c r="B20" s="1211"/>
      <c r="C20" s="1211"/>
      <c r="D20" s="1211"/>
      <c r="E20" s="1211"/>
      <c r="F20" s="1211"/>
      <c r="G20" s="1211"/>
      <c r="H20" s="121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row>
    <row r="21" ht="15.75" spans="1:37">
      <c r="A21" s="1212" t="str">
        <f ca="1">"za period od "&amp;PeriodOd&amp;" do "&amp;PeriodDo&amp;".godine, za potrebe njegove predaje ovlaštenoj instituciji"</f>
        <v>za period od 01.01.2025 do 31.12.2025.godine, za potrebe njegove predaje ovlaštenoj instituciji</v>
      </c>
      <c r="B21" s="1212"/>
      <c r="C21" s="1212"/>
      <c r="D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row>
    <row r="22" ht="15.75" spans="1:37">
      <c r="A22" s="577"/>
      <c r="B22" s="1210"/>
      <c r="C22" s="1210"/>
      <c r="D22" s="1210"/>
      <c r="F22" s="1210"/>
      <c r="G22" s="1210"/>
      <c r="H22" s="1210"/>
      <c r="I22" s="1210"/>
    </row>
    <row r="23" spans="1:37">
      <c r="A23" s="1213" t="str">
        <f ca="1">"Isključivo za potrebe predaje finansijskih izvještaja ovlaštenoj instituciji u smislu člana 44. stav 6. Zakona o računovodstvu i reviziji u Federaciji BiH, direktor donosi "&amp;A20&amp;" za period "&amp;PeriodOd&amp;" - "&amp;PeriodDo&amp;". godine, u iznosu od: "&amp;B_Uspjeha!AI153-B_Uspjeha!AI154&amp;", u sljedeće namjene:"</f>
        <v>Isključivo za potrebe predaje finansijskih izvještaja ovlaštenoj instituciji u smislu člana 44. stav 6. Zakona o računovodstvu i reviziji u Federaciji BiH, direktor donosi ODLUKU O PRIJEDLOGU ZA POKRIĆE GUBITKA  za period 01.01.2025 - 31.12.2025. godine, u iznosu od: -59197, u sljedeće namjene:</v>
      </c>
      <c r="B23" s="1213"/>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row>
    <row r="24" spans="1:37">
      <c r="A24" s="1213"/>
      <c r="B24" s="1213"/>
      <c r="C24" s="1213"/>
      <c r="D24" s="1213"/>
      <c r="E24" s="1213"/>
      <c r="F24" s="1213"/>
      <c r="G24" s="1213"/>
      <c r="H24" s="1213"/>
      <c r="I24" s="1213"/>
      <c r="J24" s="1213"/>
      <c r="K24" s="1213"/>
      <c r="L24" s="1213"/>
      <c r="M24" s="1213"/>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3"/>
    </row>
    <row r="25" spans="1:37">
      <c r="A25" s="1213"/>
      <c r="B25" s="1213"/>
      <c r="C25" s="1213"/>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213"/>
      <c r="AG25" s="1213"/>
      <c r="AH25" s="1213"/>
      <c r="AI25" s="1213"/>
      <c r="AJ25" s="1213"/>
      <c r="AK25" s="1213"/>
    </row>
    <row r="26" spans="1:37">
      <c r="A26" s="1213"/>
      <c r="B26" s="1213"/>
      <c r="C26" s="1213"/>
      <c r="D26" s="1213"/>
      <c r="E26" s="1213"/>
      <c r="F26" s="1213"/>
      <c r="G26" s="1213"/>
      <c r="H26" s="1213"/>
      <c r="I26" s="1213"/>
      <c r="J26" s="1213"/>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3"/>
    </row>
    <row r="27" hidden="1" spans="1:37">
      <c r="A27" s="1214" t="s">
        <v>7590</v>
      </c>
      <c r="B27" s="1213"/>
      <c r="C27" s="1213"/>
      <c r="D27" s="1213"/>
      <c r="E27" s="1213"/>
      <c r="F27" s="1213"/>
      <c r="G27" s="1213"/>
      <c r="H27" s="1213"/>
      <c r="I27" s="1213"/>
      <c r="J27" s="1213"/>
      <c r="K27" s="1215">
        <f>B_Uspjeha!AI153-B_Uspjeha!AI154</f>
        <v>-59197</v>
      </c>
      <c r="L27" s="1215"/>
      <c r="M27" s="1215"/>
      <c r="N27" s="1215"/>
      <c r="O27" s="1215"/>
      <c r="P27" s="1215"/>
      <c r="Q27" s="1215"/>
      <c r="R27" s="1215"/>
      <c r="S27" s="1215"/>
      <c r="T27" s="1215"/>
      <c r="W27" s="1213"/>
      <c r="X27" s="1213"/>
      <c r="Y27" s="1213"/>
      <c r="Z27" s="1213"/>
      <c r="AA27" s="1213"/>
      <c r="AB27" s="1213"/>
      <c r="AC27" s="1213"/>
      <c r="AD27" s="1213"/>
      <c r="AE27" s="1213"/>
      <c r="AF27" s="1213"/>
      <c r="AG27" s="1213"/>
      <c r="AH27" s="1213"/>
      <c r="AI27" s="1213"/>
      <c r="AJ27" s="1213"/>
      <c r="AK27" s="1213"/>
    </row>
    <row r="28" ht="15.75" spans="1:37">
      <c r="A28" s="577"/>
      <c r="B28" s="1216"/>
      <c r="C28" s="1216"/>
      <c r="D28" s="1216"/>
      <c r="E28" s="1216"/>
      <c r="F28" s="1216"/>
      <c r="G28" s="1216"/>
      <c r="H28" s="1216"/>
      <c r="I28" s="1216"/>
    </row>
    <row r="29" ht="15.75" spans="1:37">
      <c r="A29" s="577"/>
      <c r="E29" s="1217">
        <v>0</v>
      </c>
      <c r="F29" s="1217"/>
      <c r="G29" s="1217"/>
      <c r="H29" s="1217"/>
      <c r="I29" s="1217"/>
      <c r="J29" s="1217"/>
      <c r="K29" s="1217"/>
      <c r="L29" s="1217"/>
      <c r="M29" s="1217"/>
      <c r="N29" s="1217"/>
      <c r="O29" s="1201" t="s">
        <v>5188</v>
      </c>
      <c r="Q29" s="1210" t="str">
        <f>IF(B_Uspjeha!AI153-B_Uspjeha!AI154&lt;0,"iz neraspoređene dobiti ranijih godina; ","za pokriće gubitka iz ranijih godina;")</f>
        <v>iz neraspoređene dobiti ranijih godina; </v>
      </c>
      <c r="AG29" s="1210"/>
    </row>
    <row r="30" ht="15.75" spans="1:37">
      <c r="A30" s="577"/>
      <c r="E30" s="1217">
        <v>0</v>
      </c>
      <c r="F30" s="1217"/>
      <c r="G30" s="1217"/>
      <c r="H30" s="1217"/>
      <c r="I30" s="1217"/>
      <c r="J30" s="1217"/>
      <c r="K30" s="1217"/>
      <c r="L30" s="1217"/>
      <c r="M30" s="1217"/>
      <c r="N30" s="1217"/>
      <c r="O30" s="1201" t="s">
        <v>5188</v>
      </c>
      <c r="Q30" s="1210" t="str">
        <f>IF(B_Uspjeha!AI153-B_Uspjeha!AI154&lt;0,"iz rezervi; ","u rezerve;")</f>
        <v>iz rezervi; </v>
      </c>
      <c r="AG30" s="1218"/>
    </row>
    <row r="31" ht="15.75" spans="1:37">
      <c r="A31" s="577"/>
      <c r="E31" s="1217">
        <v>0</v>
      </c>
      <c r="F31" s="1217"/>
      <c r="G31" s="1217"/>
      <c r="H31" s="1217"/>
      <c r="I31" s="1217"/>
      <c r="J31" s="1217"/>
      <c r="K31" s="1217"/>
      <c r="L31" s="1217"/>
      <c r="M31" s="1217"/>
      <c r="N31" s="1217"/>
      <c r="O31" s="1201" t="s">
        <v>5188</v>
      </c>
      <c r="Q31" s="1210" t="str">
        <f>IF(B_Uspjeha!AI153-B_Uspjeha!AI154&lt;0,"na teret osnovnog kapitala; ","za isplatu vlasnicima;")</f>
        <v>na teret osnovnog kapitala; </v>
      </c>
      <c r="AG31" s="1218"/>
    </row>
    <row r="32" ht="15.75" spans="1:37">
      <c r="A32" s="577"/>
      <c r="E32" s="1217">
        <f>K27-E29-E30-E31</f>
        <v>-59197</v>
      </c>
      <c r="F32" s="1217"/>
      <c r="G32" s="1217"/>
      <c r="H32" s="1217"/>
      <c r="I32" s="1217"/>
      <c r="J32" s="1217"/>
      <c r="K32" s="1217"/>
      <c r="L32" s="1217"/>
      <c r="M32" s="1217"/>
      <c r="N32" s="1217"/>
      <c r="O32" s="1201" t="s">
        <v>5188</v>
      </c>
      <c r="Q32" s="1210" t="str">
        <f>IF(B_Uspjeha!AI153-B_Uspjeha!AI154&lt;0,"kao nepokriveni gubitak. ","kao neraspoređena dobit.")</f>
        <v>kao nepokriveni gubitak. </v>
      </c>
      <c r="AG32" s="1218"/>
    </row>
    <row r="33" ht="15.75" spans="1:37">
      <c r="A33" s="577"/>
      <c r="B33" s="1216"/>
      <c r="C33" s="1216"/>
      <c r="D33" s="1216"/>
      <c r="E33" s="1216"/>
      <c r="F33" s="1216"/>
      <c r="G33" s="1216"/>
      <c r="H33" s="1216"/>
      <c r="I33" s="1216"/>
    </row>
    <row r="34" spans="1:37">
      <c r="A34" s="1209" t="s">
        <v>7591</v>
      </c>
      <c r="B34" s="1209"/>
      <c r="C34" s="1209"/>
      <c r="D34" s="1209"/>
      <c r="E34" s="1209"/>
      <c r="F34" s="1209"/>
      <c r="G34" s="1209"/>
      <c r="H34" s="1209"/>
      <c r="I34" s="1209"/>
      <c r="J34" s="1209"/>
      <c r="K34" s="1209"/>
      <c r="L34" s="1209"/>
      <c r="M34" s="1209"/>
      <c r="N34" s="1209"/>
      <c r="O34" s="1209"/>
      <c r="P34" s="1209"/>
      <c r="Q34" s="1209"/>
      <c r="R34" s="1209"/>
      <c r="S34" s="1209"/>
      <c r="T34" s="1209"/>
      <c r="U34" s="1209"/>
      <c r="V34" s="1209"/>
      <c r="W34" s="1209"/>
      <c r="X34" s="1209"/>
      <c r="Y34" s="1209"/>
      <c r="Z34" s="1209"/>
      <c r="AA34" s="1209"/>
      <c r="AB34" s="1209"/>
      <c r="AC34" s="1209"/>
      <c r="AD34" s="1209"/>
      <c r="AE34" s="1209"/>
      <c r="AF34" s="1209"/>
      <c r="AG34" s="1209"/>
      <c r="AH34" s="1209"/>
      <c r="AI34" s="1209"/>
      <c r="AJ34" s="1209"/>
      <c r="AK34" s="1209"/>
    </row>
    <row r="35" spans="1:37">
      <c r="A35" s="1209"/>
      <c r="B35" s="1209"/>
      <c r="C35" s="1209"/>
      <c r="D35" s="1209"/>
      <c r="E35" s="1209"/>
      <c r="F35" s="1209"/>
      <c r="G35" s="1209"/>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row>
    <row r="36" spans="1:37">
      <c r="A36" s="1209"/>
      <c r="B36" s="1209"/>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c r="AJ36" s="1209"/>
      <c r="AK36" s="1209"/>
    </row>
    <row r="37" ht="15.75" spans="1:37">
      <c r="A37" s="577"/>
    </row>
    <row r="38" ht="15.75" spans="1:37">
      <c r="A38" s="577"/>
    </row>
    <row r="39" ht="15.75" spans="1:37">
      <c r="A39" s="577"/>
    </row>
    <row r="40" spans="1:37">
      <c r="T40" s="1205" t="s">
        <v>7039</v>
      </c>
      <c r="U40" s="1205"/>
      <c r="V40" s="1205"/>
      <c r="W40" s="1205"/>
      <c r="X40" s="1219"/>
      <c r="Y40" s="1219"/>
      <c r="Z40" s="1219"/>
      <c r="AA40" s="1219"/>
      <c r="AB40" s="1219"/>
      <c r="AC40" s="1219"/>
      <c r="AD40" s="1219"/>
      <c r="AE40" s="1219"/>
      <c r="AF40" s="1219"/>
      <c r="AG40" s="1219"/>
      <c r="AH40" s="1219"/>
      <c r="AI40" s="1205"/>
    </row>
    <row r="41" ht="15.75" spans="1:37">
      <c r="T41" s="1205"/>
      <c r="U41" s="1205"/>
      <c r="V41" s="1205"/>
      <c r="W41" s="1205"/>
      <c r="Y41" s="1220"/>
      <c r="Z41" s="1220"/>
      <c r="AA41" s="1220"/>
      <c r="AB41" s="1220"/>
      <c r="AC41" s="1220"/>
      <c r="AD41" s="1220"/>
      <c r="AE41" s="1220"/>
      <c r="AF41" s="1220"/>
      <c r="AG41" s="1220"/>
      <c r="AH41" s="1221" t="str">
        <f>Direktor</f>
        <v>Nedim Vilogorac</v>
      </c>
      <c r="AI41" s="1205"/>
    </row>
    <row r="42" spans="1:37">
      <c r="AH42" s="1222" t="s">
        <v>2465</v>
      </c>
    </row>
  </sheetData>
  <mergeCells count="10">
    <mergeCell ref="A20:AK20"/>
    <mergeCell ref="A21:AK21"/>
    <mergeCell ref="K27:T27"/>
    <mergeCell ref="E29:N29"/>
    <mergeCell ref="E30:N30"/>
    <mergeCell ref="E31:N31"/>
    <mergeCell ref="E32:N32"/>
    <mergeCell ref="A34:AK36"/>
    <mergeCell ref="A13:AK17"/>
    <mergeCell ref="A23:AK26"/>
  </mergeCells>
  <pageMargins left="0.7" right="0.7" top="0.75" bottom="0.75" header="0.3" footer="0.3"/>
  <pageSetup paperSize="1" scale="91"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7">
    <tabColor rgb="FF0070C0"/>
  </sheetPr>
  <dimension ref="A3:AD18"/>
  <sheetViews>
    <sheetView showGridLines="0" workbookViewId="0">
      <selection activeCell="AB5" sqref="AB5"/>
    </sheetView>
  </sheetViews>
  <sheetFormatPr defaultColWidth="3" defaultRowHeight="18.75"/>
  <cols>
    <col min="1" max="16384" width="3" style="1195"/>
  </cols>
  <sheetData>
    <row r="3" ht="20.25" spans="1:22">
      <c r="A3" s="1195" t="s">
        <v>7592</v>
      </c>
      <c r="H3" s="1196" t="str">
        <f>UnosPod!F8</f>
        <v>LILIUM ASSET MANAGEMENT d.o.o. Sarajevo</v>
      </c>
      <c r="I3" s="1196"/>
      <c r="J3" s="1196"/>
      <c r="K3" s="1196"/>
      <c r="L3" s="1196"/>
      <c r="M3" s="1196"/>
      <c r="N3" s="1196"/>
      <c r="O3" s="1196"/>
      <c r="P3" s="1196"/>
      <c r="Q3" s="1196"/>
      <c r="R3" s="1196"/>
      <c r="S3" s="1196"/>
      <c r="T3" s="1196"/>
      <c r="U3" s="1196"/>
      <c r="V3" s="1196"/>
    </row>
    <row r="4" spans="1:22">
      <c r="H4" s="1197"/>
      <c r="I4" s="1197"/>
      <c r="J4" s="1197"/>
      <c r="K4" s="1197"/>
      <c r="L4" s="1197"/>
      <c r="M4" s="1197"/>
      <c r="N4" s="1197"/>
      <c r="O4" s="1197"/>
      <c r="P4" s="1197"/>
      <c r="Q4" s="1197"/>
      <c r="R4" s="1197"/>
      <c r="S4" s="1197"/>
      <c r="T4" s="1197"/>
    </row>
    <row r="5" ht="20.25" spans="1:22">
      <c r="A5" s="1195" t="s">
        <v>7593</v>
      </c>
      <c r="H5" s="1198" t="str">
        <f>Baza!I21</f>
        <v>Sarajevo-Stari Grad</v>
      </c>
      <c r="I5" s="1198"/>
      <c r="J5" s="1198"/>
      <c r="K5" s="1198"/>
      <c r="L5" s="1198"/>
      <c r="M5" s="1198"/>
      <c r="N5" s="1198"/>
      <c r="O5" s="1198"/>
      <c r="P5" s="1198"/>
      <c r="Q5" s="1198"/>
      <c r="R5" s="1198"/>
      <c r="S5" s="1198"/>
      <c r="T5" s="1198"/>
    </row>
    <row r="7" spans="1:22">
      <c r="F7" s="1195" t="s">
        <v>4636</v>
      </c>
    </row>
    <row r="17" ht="45" spans="1:30">
      <c r="A17" s="1199" t="str">
        <f>PROPER(LEFT(UnosPod!A1,FIND(" ",UnosPod!A1)-1))&amp;" obračun"</f>
        <v>Godišnji obračun</v>
      </c>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row>
    <row r="18" ht="30" customHeight="1" spans="1:30">
      <c r="A18" s="1200" t="str">
        <f ca="1">" "&amp;PeriodOd&amp;". do "&amp;PeriodDo&amp;". godine"</f>
        <v> 01.01.2025. do 31.12.2025. godine</v>
      </c>
      <c r="B18" s="1200"/>
      <c r="C18" s="1200"/>
      <c r="D18" s="1200"/>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row>
  </sheetData>
  <customSheetViews>
    <customSheetView guid="{7A886FB3-8F08-4D3E-B7EB-0851AD05C3C6}" showGridLines="0" topLeftCell="A10">
      <selection activeCell="AB21" sqref="AB21"/>
      <pageMargins left="0.590551181102362" right="0.354330708661417" top="0.984251968503937" bottom="0.984251968503937" header="0.511811023622047" footer="0.511811023622047"/>
      <pageSetup paperSize="9" orientation="portrait"/>
      <headerFooter alignWithMargins="0"/>
    </customSheetView>
  </customSheetViews>
  <mergeCells count="2">
    <mergeCell ref="A17:AD17"/>
    <mergeCell ref="A18:AD18"/>
  </mergeCells>
  <pageMargins left="0.590551181102362" right="0.354330708661417" top="0.984251968503937" bottom="0.984251968503937" header="0.511811023622047" footer="0.511811023622047"/>
  <pageSetup paperSize="9" orientation="portrait"/>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4">
    <tabColor rgb="FF7030A0"/>
    <pageSetUpPr fitToPage="1"/>
  </sheetPr>
  <dimension ref="A1:CM817"/>
  <sheetViews>
    <sheetView showGridLines="0" workbookViewId="0">
      <selection activeCell="A780" sqref="A780"/>
    </sheetView>
  </sheetViews>
  <sheetFormatPr defaultColWidth="2" defaultRowHeight="12.75"/>
  <cols>
    <col min="1" max="1" width="3.14285714285714" customWidth="1"/>
    <col min="2" max="2" width="2.28571428571429" customWidth="1"/>
    <col min="3" max="7" width="2" customWidth="1"/>
    <col min="8" max="8" width="2.42857142857143" customWidth="1"/>
    <col min="9" max="9" width="2.57142857142857" customWidth="1"/>
    <col min="10" max="18" width="2" customWidth="1"/>
    <col min="19" max="19" width="2.28571428571429" customWidth="1"/>
    <col min="20" max="27" width="2" customWidth="1"/>
    <col min="28" max="31" width="3" customWidth="1"/>
    <col min="32" max="33" width="2" customWidth="1"/>
    <col min="34" max="40" width="2.28571428571429" customWidth="1"/>
    <col min="41" max="46" width="2.71428571428571" customWidth="1"/>
    <col min="47" max="50" width="2" customWidth="1"/>
    <col min="51" max="51" width="14" customWidth="1"/>
    <col min="52" max="52" width="10.1428571428571" customWidth="1"/>
    <col min="53" max="93" width="2.85714285714286" customWidth="1"/>
  </cols>
  <sheetData>
    <row r="1" s="874" customFormat="1" ht="15" customHeight="1" spans="1:46">
      <c r="A1" s="877" t="str">
        <f>Text!B2</f>
        <v>Naziv pravnog lica</v>
      </c>
      <c r="AK1" s="878"/>
      <c r="AL1" s="878"/>
      <c r="AM1" s="878"/>
      <c r="AN1" s="878"/>
      <c r="AO1" s="878"/>
      <c r="AP1" s="878"/>
      <c r="AQ1" s="878"/>
      <c r="AR1" s="878"/>
      <c r="AS1" s="878"/>
      <c r="AT1" s="878" t="str">
        <f>Text!B4</f>
        <v>Identifikacioni broj za direktne poreze</v>
      </c>
    </row>
    <row r="2" s="875" customFormat="1" ht="18.75" customHeight="1" spans="1:46">
      <c r="A2" s="879" t="str">
        <f>Firma</f>
        <v>LILIUM ASSET MANAGEMENT d.o.o. Sarajevo</v>
      </c>
      <c r="AJ2" s="880"/>
      <c r="AK2" s="881" t="str">
        <f>IdBroj</f>
        <v>4201337670009</v>
      </c>
      <c r="AL2" s="881"/>
      <c r="AM2" s="881"/>
      <c r="AN2" s="881"/>
      <c r="AO2" s="881"/>
      <c r="AP2" s="881"/>
      <c r="AQ2" s="881"/>
      <c r="AR2" s="881"/>
      <c r="AS2" s="881"/>
      <c r="AT2" s="881"/>
    </row>
    <row r="3" s="874" customFormat="1" ht="15" customHeight="1" spans="1:46">
      <c r="A3" s="877" t="str">
        <f>Text!B3</f>
        <v>Sjedište i adresa pravnog lica</v>
      </c>
      <c r="AK3" s="878"/>
      <c r="AL3" s="878"/>
      <c r="AM3" s="878"/>
      <c r="AN3" s="878"/>
      <c r="AO3" s="878"/>
      <c r="AP3" s="878"/>
      <c r="AQ3" s="878"/>
      <c r="AR3" s="878"/>
      <c r="AS3" s="878"/>
      <c r="AT3" s="878" t="str">
        <f>Text!B5</f>
        <v>Identifikacioni  broj za indirektne poreze</v>
      </c>
    </row>
    <row r="4" s="875" customFormat="1" ht="19.5" customHeight="1" spans="1:46">
      <c r="A4" s="882" t="str">
        <f>Sjedište&amp;", "&amp;Adresa</f>
        <v>Sarajevo-Stari Grad, Dženetića čikma br.8</v>
      </c>
      <c r="AJ4" s="880"/>
      <c r="AK4" s="881" t="str">
        <f>Pdv_Broj</f>
        <v>201337670009</v>
      </c>
      <c r="AL4" s="881"/>
      <c r="AM4" s="881"/>
      <c r="AN4" s="881"/>
      <c r="AO4" s="881"/>
      <c r="AP4" s="881"/>
      <c r="AQ4" s="881"/>
      <c r="AR4" s="881"/>
      <c r="AS4" s="881"/>
      <c r="AT4" s="881"/>
    </row>
    <row r="5" s="876" customFormat="1" ht="16.5" customHeight="1" spans="1:46">
      <c r="A5" s="877" t="s">
        <v>7457</v>
      </c>
      <c r="B5" s="877"/>
      <c r="C5" s="877"/>
      <c r="D5" s="877"/>
      <c r="E5" s="877"/>
      <c r="F5" s="877"/>
      <c r="G5" s="877"/>
      <c r="H5" s="877"/>
      <c r="I5" s="877"/>
      <c r="J5" s="877"/>
      <c r="K5" s="877"/>
      <c r="L5" s="877"/>
      <c r="M5" s="877"/>
      <c r="N5" s="877"/>
      <c r="O5" s="877"/>
      <c r="P5" s="877"/>
      <c r="Q5" s="877"/>
      <c r="R5" s="877"/>
      <c r="S5" s="877"/>
      <c r="T5" s="877"/>
      <c r="AT5" s="878" t="s">
        <v>364</v>
      </c>
    </row>
    <row r="6" s="875" customFormat="1" ht="16.5" customHeight="1" spans="1:46">
      <c r="A6" s="883" t="str">
        <f>Sif_Djelatn</f>
        <v>66.30</v>
      </c>
      <c r="B6" s="880"/>
      <c r="C6" s="880"/>
      <c r="D6" s="880"/>
      <c r="AK6" s="881" t="str">
        <f>Banka</f>
        <v>Raiffeisen Bank d.d. BiH</v>
      </c>
      <c r="AL6" s="881"/>
      <c r="AM6" s="881"/>
      <c r="AN6" s="881"/>
      <c r="AO6" s="881"/>
      <c r="AP6" s="881"/>
      <c r="AQ6" s="881"/>
      <c r="AR6" s="881"/>
      <c r="AS6" s="881"/>
      <c r="AT6" s="881"/>
    </row>
    <row r="7" s="876" customFormat="1" ht="16.5" customHeight="1" spans="1:46">
      <c r="A7" s="877" t="s">
        <v>2498</v>
      </c>
      <c r="AT7" s="878" t="s">
        <v>2501</v>
      </c>
    </row>
    <row r="8" s="876" customFormat="1" ht="16.5" customHeight="1" spans="1:46">
      <c r="A8" s="884" t="str">
        <f>Djelatnost</f>
        <v>Djelatnosti upravljanja fondovima</v>
      </c>
      <c r="B8" s="884"/>
      <c r="C8" s="884"/>
      <c r="D8" s="884"/>
      <c r="E8" s="884"/>
      <c r="F8" s="884"/>
      <c r="G8" s="884"/>
      <c r="H8" s="884"/>
      <c r="I8" s="884"/>
      <c r="J8" s="884"/>
      <c r="K8" s="884"/>
      <c r="L8" s="884"/>
      <c r="M8" s="884"/>
      <c r="N8" s="884"/>
      <c r="O8" s="884"/>
      <c r="P8" s="884"/>
      <c r="Q8" s="884"/>
      <c r="R8" s="884"/>
      <c r="S8" s="884"/>
      <c r="T8" s="884"/>
      <c r="U8" s="884"/>
      <c r="V8" s="884"/>
      <c r="W8" s="884"/>
      <c r="X8" s="884"/>
      <c r="Y8" s="884"/>
      <c r="Z8" s="884"/>
      <c r="AA8" s="885"/>
      <c r="AB8" s="885"/>
      <c r="AC8" s="885"/>
      <c r="AD8" s="885"/>
      <c r="AE8" s="885"/>
      <c r="AF8" s="885"/>
      <c r="AG8" s="885"/>
      <c r="AH8" s="885"/>
      <c r="AI8" s="885"/>
      <c r="AJ8" s="880"/>
      <c r="AK8" s="881" t="str">
        <f>Glavni_racun</f>
        <v>1610000189480005</v>
      </c>
      <c r="AL8" s="881"/>
      <c r="AM8" s="881"/>
      <c r="AN8" s="881"/>
      <c r="AO8" s="881"/>
      <c r="AP8" s="881"/>
      <c r="AQ8" s="881"/>
      <c r="AR8" s="881"/>
      <c r="AS8" s="881"/>
      <c r="AT8" s="881"/>
    </row>
    <row r="9" s="876" customFormat="1" ht="16.5" customHeight="1" spans="1:46">
      <c r="A9" s="884"/>
      <c r="B9" s="884"/>
      <c r="C9" s="884"/>
      <c r="D9" s="884"/>
      <c r="E9" s="884"/>
      <c r="F9" s="884"/>
      <c r="G9" s="884"/>
      <c r="H9" s="884"/>
      <c r="I9" s="884"/>
      <c r="J9" s="884"/>
      <c r="K9" s="884"/>
      <c r="L9" s="884"/>
      <c r="M9" s="884"/>
      <c r="N9" s="884"/>
      <c r="O9" s="884"/>
      <c r="P9" s="884"/>
      <c r="Q9" s="884"/>
      <c r="R9" s="884"/>
      <c r="S9" s="884"/>
      <c r="T9" s="884"/>
      <c r="U9" s="884"/>
      <c r="V9" s="884"/>
      <c r="W9" s="884"/>
      <c r="X9" s="884"/>
      <c r="Y9" s="884"/>
      <c r="Z9" s="884"/>
      <c r="AA9" s="885"/>
      <c r="AB9" s="885"/>
      <c r="AC9" s="885"/>
      <c r="AD9" s="885"/>
      <c r="AE9" s="885"/>
      <c r="AF9" s="885"/>
      <c r="AG9" s="885"/>
      <c r="AH9" s="885"/>
      <c r="AI9" s="885"/>
      <c r="AK9" s="877"/>
      <c r="AL9" s="877"/>
      <c r="AM9" s="877"/>
      <c r="AN9" s="877"/>
      <c r="AO9" s="877"/>
      <c r="AP9" s="877"/>
      <c r="AQ9" s="877"/>
      <c r="AR9" s="877"/>
      <c r="AS9" s="877"/>
      <c r="AT9" s="878" t="s">
        <v>2503</v>
      </c>
    </row>
    <row r="10" s="876" customFormat="1" ht="16.5" customHeight="1" spans="1:46">
      <c r="A10" s="886"/>
      <c r="AK10" s="881" t="str">
        <f>Sifra_opcine</f>
        <v>109</v>
      </c>
      <c r="AL10" s="881"/>
      <c r="AM10" s="881"/>
      <c r="AN10" s="881"/>
      <c r="AO10" s="881"/>
      <c r="AP10" s="881"/>
      <c r="AQ10" s="881"/>
      <c r="AR10" s="881"/>
      <c r="AS10" s="881"/>
      <c r="AT10" s="881"/>
    </row>
    <row r="22" spans="1:46">
      <c r="AE22" t="s">
        <v>4636</v>
      </c>
    </row>
    <row r="29" ht="20.25" spans="1:46">
      <c r="A29" s="887"/>
      <c r="B29" s="887"/>
      <c r="C29" s="887"/>
      <c r="D29" s="887"/>
      <c r="E29" s="887"/>
      <c r="F29" s="887"/>
      <c r="G29" s="887"/>
      <c r="H29" s="887"/>
      <c r="I29" s="887"/>
      <c r="J29" s="887"/>
      <c r="K29" s="887"/>
      <c r="L29" s="887"/>
      <c r="M29" s="887"/>
      <c r="N29" s="887"/>
      <c r="O29" s="887"/>
      <c r="P29" s="887"/>
      <c r="Q29" s="887"/>
      <c r="R29" s="887"/>
      <c r="S29" s="887"/>
      <c r="T29" s="887"/>
      <c r="U29" s="887"/>
      <c r="V29" s="887"/>
      <c r="W29" s="887"/>
      <c r="X29" s="887"/>
      <c r="Y29" s="887"/>
      <c r="Z29" s="887"/>
      <c r="AA29" s="887"/>
      <c r="AB29" s="887"/>
      <c r="AC29" s="887"/>
      <c r="AD29" s="887"/>
      <c r="AE29" s="887"/>
      <c r="AF29" s="887"/>
      <c r="AG29" s="887"/>
      <c r="AH29" s="887"/>
      <c r="AI29" s="887"/>
      <c r="AJ29" s="887"/>
      <c r="AK29" s="887"/>
      <c r="AL29" s="887"/>
      <c r="AM29" s="887"/>
      <c r="AN29" s="887"/>
      <c r="AO29" s="887"/>
      <c r="AP29" s="887"/>
      <c r="AQ29" s="887"/>
      <c r="AR29" s="887"/>
      <c r="AS29" s="887"/>
      <c r="AT29" s="887"/>
    </row>
    <row r="30" ht="30.75" spans="1:46">
      <c r="A30" s="888" t="s">
        <v>7594</v>
      </c>
      <c r="B30" s="888"/>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row>
    <row r="31" ht="26.25" spans="1:46">
      <c r="A31" s="889" t="s">
        <v>7595</v>
      </c>
      <c r="B31" s="889"/>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889"/>
      <c r="AS31" s="889"/>
      <c r="AT31" s="889"/>
    </row>
    <row r="32" ht="19.5" spans="1:46">
      <c r="A32" s="890" t="str">
        <f ca="1">"za period "&amp;PeriodOd&amp;". do "&amp;PeriodDo&amp;". godine"</f>
        <v>za period 01.01.2025. do 31.12.2025. godine</v>
      </c>
      <c r="B32" s="890"/>
      <c r="C32" s="890"/>
      <c r="D32" s="890"/>
      <c r="E32" s="890"/>
      <c r="F32" s="890"/>
      <c r="G32" s="890"/>
      <c r="H32" s="890"/>
      <c r="I32" s="890"/>
      <c r="J32" s="890"/>
      <c r="K32" s="890"/>
      <c r="L32" s="890"/>
      <c r="M32" s="890"/>
      <c r="N32" s="890"/>
      <c r="O32" s="890"/>
      <c r="P32" s="890"/>
      <c r="Q32" s="890"/>
      <c r="R32" s="890"/>
      <c r="S32" s="890"/>
      <c r="T32" s="890"/>
      <c r="U32" s="890"/>
      <c r="V32" s="890"/>
      <c r="W32" s="890"/>
      <c r="X32" s="890"/>
      <c r="Y32" s="890"/>
      <c r="Z32" s="890"/>
      <c r="AA32" s="890"/>
      <c r="AB32" s="890"/>
      <c r="AC32" s="890"/>
      <c r="AD32" s="890"/>
      <c r="AE32" s="890"/>
      <c r="AF32" s="890"/>
      <c r="AG32" s="890"/>
      <c r="AH32" s="890"/>
      <c r="AI32" s="890"/>
      <c r="AJ32" s="890"/>
      <c r="AK32" s="890"/>
      <c r="AL32" s="890"/>
      <c r="AM32" s="890"/>
      <c r="AN32" s="890"/>
      <c r="AO32" s="890"/>
      <c r="AP32" s="890"/>
      <c r="AQ32" s="890"/>
      <c r="AR32" s="890"/>
      <c r="AS32" s="890"/>
      <c r="AT32" s="890"/>
    </row>
    <row r="33" ht="30" spans="1:46">
      <c r="A33" s="891"/>
      <c r="B33" s="891"/>
      <c r="C33" s="891"/>
      <c r="D33" s="891"/>
      <c r="E33" s="891"/>
      <c r="F33" s="891"/>
      <c r="G33" s="891"/>
      <c r="H33" s="89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c r="AL33" s="891"/>
      <c r="AM33" s="891"/>
      <c r="AN33" s="891"/>
      <c r="AO33" s="891"/>
      <c r="AP33" s="891"/>
      <c r="AQ33" s="891"/>
      <c r="AR33" s="891"/>
      <c r="AS33" s="891"/>
      <c r="AT33" s="891"/>
    </row>
    <row r="34" ht="30" spans="1:46">
      <c r="A34" s="1"/>
      <c r="B34" s="892"/>
      <c r="C34" s="892"/>
      <c r="D34" s="892"/>
      <c r="E34" s="892"/>
      <c r="F34" s="892"/>
      <c r="G34" s="892"/>
      <c r="H34" s="892"/>
      <c r="I34" s="892"/>
      <c r="J34" s="892"/>
      <c r="K34" s="892"/>
      <c r="L34" s="892"/>
      <c r="M34" s="892"/>
      <c r="N34" s="892"/>
      <c r="O34" s="892"/>
      <c r="P34" s="892"/>
      <c r="Q34" s="892"/>
      <c r="R34" s="892"/>
      <c r="S34" s="892"/>
      <c r="T34" s="892"/>
      <c r="U34" s="892"/>
      <c r="V34" s="892"/>
      <c r="W34" s="892"/>
      <c r="X34" s="892"/>
      <c r="Y34" s="892"/>
      <c r="Z34" s="892"/>
      <c r="AA34" s="892"/>
      <c r="AB34" s="892"/>
      <c r="AC34" s="892"/>
      <c r="AD34" s="892"/>
      <c r="AE34" s="892"/>
      <c r="AF34" s="892"/>
      <c r="AG34" s="892"/>
      <c r="AH34" s="892"/>
      <c r="AI34" s="892"/>
      <c r="AJ34" s="892"/>
      <c r="AK34" s="892"/>
      <c r="AL34" s="892"/>
      <c r="AM34" s="892"/>
      <c r="AN34" s="892"/>
      <c r="AO34" s="892"/>
      <c r="AP34" s="892"/>
      <c r="AQ34" s="892"/>
      <c r="AR34" s="892"/>
      <c r="AS34" s="892"/>
      <c r="AT34" s="892"/>
    </row>
    <row r="35" ht="30.75" spans="1:46">
      <c r="A35" s="1"/>
      <c r="B35" s="893"/>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894"/>
      <c r="AG35" s="893"/>
      <c r="AH35" s="893"/>
      <c r="AI35" s="893"/>
      <c r="AJ35" s="893"/>
      <c r="AK35" s="893"/>
      <c r="AL35" s="893"/>
      <c r="AM35" s="893"/>
      <c r="AN35" s="893"/>
      <c r="AO35" s="893"/>
      <c r="AP35" s="893"/>
      <c r="AQ35" s="893"/>
      <c r="AR35" s="893"/>
      <c r="AS35" s="893"/>
      <c r="AT35" s="893"/>
    </row>
    <row r="47" spans="1:46">
      <c r="A47" s="572" t="s">
        <v>7596</v>
      </c>
      <c r="B47" s="324"/>
      <c r="C47" s="324"/>
      <c r="D47" s="324"/>
      <c r="E47" s="324"/>
      <c r="F47" s="324"/>
      <c r="G47" s="324"/>
      <c r="H47" s="324"/>
      <c r="I47" s="324"/>
      <c r="J47" s="324"/>
      <c r="K47" s="572"/>
      <c r="L47" s="572"/>
      <c r="M47" s="572"/>
      <c r="N47" s="572"/>
      <c r="AA47" s="572"/>
      <c r="AB47" s="572"/>
      <c r="AC47" s="572"/>
      <c r="AD47" s="572"/>
      <c r="AE47" s="572"/>
      <c r="AF47" s="572"/>
      <c r="AG47" s="572"/>
      <c r="AH47" s="572"/>
      <c r="AI47" s="572"/>
      <c r="AJ47" s="572"/>
      <c r="AK47" s="572"/>
      <c r="AL47" s="572"/>
      <c r="AM47" s="572"/>
      <c r="AN47" s="572"/>
      <c r="AO47" s="572"/>
      <c r="AP47" s="572"/>
      <c r="AQ47" s="572"/>
      <c r="AR47" s="572"/>
      <c r="AS47" s="572"/>
    </row>
    <row r="48" ht="17.25" customHeight="1" spans="1:46">
      <c r="A48" s="582" t="str">
        <f>UnosPod!F3</f>
        <v>Elvira Žilić</v>
      </c>
      <c r="B48" s="895"/>
      <c r="C48" s="895"/>
      <c r="D48" s="895"/>
      <c r="E48" s="895"/>
      <c r="F48" s="895"/>
      <c r="G48" s="895"/>
      <c r="H48" s="895"/>
      <c r="I48" s="895"/>
      <c r="J48" s="895"/>
      <c r="K48" s="895"/>
      <c r="L48" s="895"/>
      <c r="M48" s="895"/>
      <c r="N48" s="572"/>
      <c r="AB48" s="572"/>
      <c r="AC48" s="572"/>
      <c r="AD48" s="572"/>
      <c r="AE48" s="572"/>
      <c r="AF48" s="572"/>
      <c r="AG48" s="572"/>
      <c r="AH48" s="572"/>
      <c r="AI48" s="572"/>
      <c r="AJ48" s="572"/>
      <c r="AK48" s="572"/>
      <c r="AL48" s="572"/>
      <c r="AM48" s="572"/>
      <c r="AN48" s="572"/>
      <c r="AO48" s="572"/>
      <c r="AP48" s="572"/>
      <c r="AQ48" s="572"/>
      <c r="AR48" s="572"/>
      <c r="AS48" s="572"/>
    </row>
    <row r="49" spans="1:46">
      <c r="A49" s="324"/>
      <c r="B49" s="324"/>
      <c r="C49" s="324"/>
      <c r="D49" s="324"/>
      <c r="E49" s="324"/>
      <c r="F49" s="324"/>
      <c r="G49" s="324"/>
      <c r="H49" s="324"/>
      <c r="I49" s="324"/>
      <c r="J49" s="324"/>
      <c r="K49" s="324"/>
      <c r="L49" s="324"/>
      <c r="M49" s="324"/>
      <c r="N49" s="572"/>
      <c r="AA49" s="572"/>
      <c r="AB49" s="572"/>
      <c r="AC49" s="572"/>
      <c r="AD49" s="572"/>
      <c r="AE49" s="572"/>
      <c r="AF49" s="572"/>
      <c r="AG49" s="572"/>
      <c r="AH49" s="572"/>
      <c r="AI49" s="572"/>
      <c r="AJ49" s="572"/>
      <c r="AK49" s="572"/>
      <c r="AL49" s="572"/>
      <c r="AM49" s="572"/>
      <c r="AN49" s="572"/>
      <c r="AO49" s="572"/>
      <c r="AP49" s="572"/>
      <c r="AQ49" s="572"/>
      <c r="AR49" s="572"/>
      <c r="AS49" s="572"/>
    </row>
    <row r="50" spans="1:46">
      <c r="A50" s="324" t="s">
        <v>7113</v>
      </c>
      <c r="B50" s="324"/>
      <c r="C50" s="324"/>
      <c r="D50" s="324"/>
      <c r="E50" s="324"/>
      <c r="G50" s="896" t="str">
        <f>UnosPod!AA3</f>
        <v>CR-8559/5</v>
      </c>
      <c r="H50" s="897"/>
      <c r="I50" s="897"/>
      <c r="J50" s="897"/>
      <c r="K50" s="897"/>
      <c r="L50" s="898"/>
      <c r="M50" s="898"/>
      <c r="N50" s="898"/>
      <c r="AA50" s="572"/>
      <c r="AB50" s="572"/>
      <c r="AC50" s="572"/>
      <c r="AD50" s="572"/>
      <c r="AE50" s="572"/>
      <c r="AF50" s="572"/>
      <c r="AG50" s="572"/>
      <c r="AH50" s="572"/>
      <c r="AI50" s="572"/>
      <c r="AJ50" s="572"/>
      <c r="AK50" s="572"/>
      <c r="AL50" s="572"/>
      <c r="AM50" s="572"/>
      <c r="AN50" s="572"/>
      <c r="AO50" s="572"/>
      <c r="AQ50" s="572"/>
      <c r="AR50" s="572"/>
      <c r="AS50" s="572"/>
    </row>
    <row r="51" spans="1:46">
      <c r="A51" s="324" t="s">
        <v>7114</v>
      </c>
      <c r="B51" s="324"/>
      <c r="C51" s="324"/>
      <c r="D51" s="324"/>
      <c r="E51" s="899"/>
      <c r="G51" s="900" t="str">
        <f>UnosPod!AL3</f>
        <v>061/599-615</v>
      </c>
      <c r="H51" s="901"/>
      <c r="I51" s="901"/>
      <c r="J51" s="901"/>
      <c r="K51" s="901"/>
      <c r="L51" s="572"/>
      <c r="M51" s="572"/>
      <c r="N51" s="572"/>
      <c r="O51" s="572"/>
      <c r="P51" s="572"/>
      <c r="Q51" s="572"/>
      <c r="R51" s="572"/>
      <c r="S51" s="572"/>
      <c r="T51" s="572"/>
      <c r="U51" s="572"/>
      <c r="V51" s="572"/>
      <c r="W51" s="572"/>
      <c r="X51" s="572"/>
      <c r="Y51" s="572"/>
      <c r="Z51" s="572"/>
      <c r="AA51" s="572"/>
      <c r="AB51" s="572"/>
      <c r="AR51" s="572"/>
      <c r="AS51" s="572"/>
    </row>
    <row r="52" spans="1:46">
      <c r="AG52" s="572" t="s">
        <v>4636</v>
      </c>
    </row>
    <row r="61" ht="13.5" customHeight="1" spans="1:46">
      <c r="A61" s="570"/>
      <c r="B61" s="570"/>
      <c r="C61" s="570"/>
      <c r="D61" s="570"/>
      <c r="E61" s="570"/>
      <c r="F61" s="570"/>
      <c r="G61" s="570"/>
      <c r="H61" s="570"/>
      <c r="I61" s="570"/>
      <c r="J61" s="570"/>
      <c r="K61" s="570"/>
      <c r="L61" s="570"/>
      <c r="M61" s="570"/>
      <c r="N61" s="570"/>
    </row>
    <row r="62" ht="18" spans="1:46">
      <c r="A62" s="902"/>
      <c r="B62" s="902" t="s">
        <v>7597</v>
      </c>
      <c r="C62" s="903"/>
      <c r="D62" s="904"/>
      <c r="E62" s="904"/>
      <c r="F62" s="904"/>
      <c r="G62" s="904"/>
      <c r="H62" s="904"/>
      <c r="I62" s="904"/>
      <c r="J62" s="904"/>
      <c r="K62" s="904"/>
      <c r="L62" s="904"/>
      <c r="M62" s="904"/>
      <c r="N62" s="904"/>
      <c r="O62" s="903"/>
      <c r="P62" s="903"/>
      <c r="Q62" s="903"/>
      <c r="R62" s="903"/>
      <c r="S62" s="903"/>
      <c r="T62" s="903"/>
      <c r="U62" s="903"/>
      <c r="V62" s="903"/>
      <c r="W62" s="903"/>
      <c r="X62" s="903"/>
      <c r="Y62" s="903"/>
      <c r="Z62" s="903"/>
      <c r="AA62" s="903"/>
      <c r="AB62" s="903"/>
      <c r="AC62" s="903"/>
      <c r="AD62" s="903"/>
      <c r="AE62" s="903"/>
      <c r="AF62" s="903"/>
      <c r="AG62" s="903"/>
      <c r="AH62" s="903"/>
      <c r="AI62" s="903"/>
      <c r="AJ62" s="903"/>
      <c r="AK62" s="903"/>
      <c r="AL62" s="903"/>
      <c r="AM62" s="903"/>
      <c r="AN62" s="903"/>
      <c r="AO62" s="903"/>
      <c r="AP62" s="903"/>
      <c r="AQ62" s="903"/>
      <c r="AR62" s="903"/>
      <c r="AS62" s="903"/>
      <c r="AT62" s="903"/>
    </row>
    <row r="63" ht="13.5" customHeight="1" spans="1:46">
      <c r="A63" s="905"/>
      <c r="B63" s="905"/>
      <c r="D63" s="570"/>
      <c r="E63" s="570"/>
      <c r="F63" s="570"/>
      <c r="G63" s="570"/>
      <c r="H63" s="570"/>
      <c r="I63" s="570"/>
      <c r="J63" s="570"/>
      <c r="K63" s="570"/>
      <c r="L63" s="570"/>
      <c r="M63" s="570"/>
      <c r="N63" s="570"/>
    </row>
    <row r="64" s="1" customFormat="1" ht="15.75" spans="1:46">
      <c r="B64" s="571" t="s">
        <v>7598</v>
      </c>
    </row>
    <row r="65" s="1" customFormat="1" ht="21.75" customHeight="1" spans="1:46">
      <c r="A65" s="906" t="str">
        <f ca="1">IF(AH125=0,"-U obračunskom periodu nisu ostvareni prihodi.","-Ostvareni neto ukupan prihod prema bilansu uspjeha u periodu "&amp;PeriodOd&amp;". do "&amp;PeriodDo&amp;". godine, iznosi: "&amp;TEXT(Baza!C33,"#.## [$KM-141A]")&amp;", što je u odnosu na isti period prethodne godine, "&amp;Baza!H33&amp;" za "&amp;TEXT(Baza!F33,"#.## [$KM-141A]")&amp;" ili "&amp;ROUND(Baza!G33*100,1)&amp;" %.")</f>
        <v>-Ostvareni neto ukupan prihod prema bilansu uspjeha u periodu 01.01.2025. do 31.12.2025. godine, iznosi: 247.772 KM, što je u odnosu na isti period prethodne godine, SMANJENJE za 136.751 KM ili 35,6 %.</v>
      </c>
      <c r="B65" s="906"/>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c r="AB65" s="906"/>
      <c r="AC65" s="906"/>
      <c r="AD65" s="906"/>
      <c r="AE65" s="906"/>
      <c r="AF65" s="906"/>
      <c r="AG65" s="906"/>
      <c r="AH65" s="906"/>
      <c r="AI65" s="906"/>
      <c r="AJ65" s="906"/>
      <c r="AK65" s="906"/>
      <c r="AL65" s="906"/>
      <c r="AM65" s="906"/>
      <c r="AN65" s="906"/>
      <c r="AO65" s="906"/>
      <c r="AP65" s="906"/>
      <c r="AQ65" s="906"/>
      <c r="AR65" s="906"/>
      <c r="AS65" s="906"/>
      <c r="AT65" s="906"/>
    </row>
    <row r="66" s="1" customFormat="1" ht="21.75" customHeight="1" spans="1:46">
      <c r="A66" s="906"/>
      <c r="B66" s="906"/>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906"/>
      <c r="AM66" s="906"/>
      <c r="AN66" s="906"/>
      <c r="AO66" s="906"/>
      <c r="AP66" s="906"/>
      <c r="AQ66" s="906"/>
      <c r="AR66" s="906"/>
      <c r="AS66" s="906"/>
      <c r="AT66" s="906"/>
    </row>
    <row r="67" s="1" customFormat="1" ht="14.25" customHeight="1" spans="1:46">
      <c r="A67" s="906"/>
      <c r="B67" s="906"/>
      <c r="C67" s="906"/>
      <c r="D67" s="906"/>
      <c r="E67" s="906"/>
      <c r="F67" s="906"/>
      <c r="G67" s="906"/>
      <c r="H67" s="906"/>
      <c r="I67" s="906"/>
      <c r="J67" s="906"/>
      <c r="K67" s="906"/>
      <c r="L67" s="906"/>
      <c r="M67" s="906"/>
      <c r="N67" s="906"/>
      <c r="O67" s="906"/>
      <c r="P67" s="906"/>
      <c r="Q67" s="906"/>
      <c r="R67" s="906"/>
      <c r="S67" s="906"/>
      <c r="T67" s="906"/>
      <c r="U67" s="906"/>
      <c r="V67" s="906"/>
      <c r="W67" s="906"/>
      <c r="X67" s="906"/>
      <c r="Y67" s="906"/>
      <c r="Z67" s="906"/>
      <c r="AA67" s="906"/>
      <c r="AB67" s="906"/>
      <c r="AC67" s="906"/>
      <c r="AD67" s="906"/>
      <c r="AE67" s="906"/>
      <c r="AF67" s="906"/>
      <c r="AG67" s="906"/>
      <c r="AH67" s="906"/>
      <c r="AI67" s="906"/>
      <c r="AJ67" s="906"/>
      <c r="AK67" s="906"/>
      <c r="AL67" s="906"/>
      <c r="AM67" s="906"/>
      <c r="AN67" s="906"/>
      <c r="AO67" s="906"/>
      <c r="AP67" s="906"/>
      <c r="AQ67" s="906"/>
      <c r="AR67" s="906"/>
      <c r="AS67" s="906"/>
      <c r="AT67" s="906"/>
    </row>
    <row r="68" s="1" customFormat="1" ht="18.75" customHeight="1" spans="1:46">
      <c r="A68" s="906" t="str">
        <f ca="1">IF(Baza!C34=0,"-","U obračunskom periodu "&amp;PoslGod&amp;". godine, POSLOVNI PRIHODI iznose "&amp;TEXT(Baza!C34,"#.## [$KM-141A]")&amp;", što je "&amp;ROUND(Baza!C35*100,1)&amp;"% ukupnog prihoda.")</f>
        <v>U obračunskom periodu 2025. godine, POSLOVNI PRIHODI iznose 245.707 KM, što je 99,2% ukupnog prihoda.</v>
      </c>
      <c r="B68" s="906"/>
      <c r="C68" s="906"/>
      <c r="D68" s="906"/>
      <c r="E68" s="906"/>
      <c r="F68" s="906"/>
      <c r="G68" s="906"/>
      <c r="H68" s="906"/>
      <c r="I68" s="906"/>
      <c r="J68" s="906"/>
      <c r="K68" s="906"/>
      <c r="L68" s="906"/>
      <c r="M68" s="906"/>
      <c r="N68" s="906"/>
      <c r="O68" s="906"/>
      <c r="P68" s="906"/>
      <c r="Q68" s="906"/>
      <c r="R68" s="906"/>
      <c r="S68" s="906"/>
      <c r="T68" s="906"/>
      <c r="U68" s="906"/>
      <c r="V68" s="906"/>
      <c r="W68" s="906"/>
      <c r="X68" s="906"/>
      <c r="Y68" s="906"/>
      <c r="Z68" s="906"/>
      <c r="AA68" s="906"/>
      <c r="AB68" s="906"/>
      <c r="AC68" s="906"/>
      <c r="AD68" s="906"/>
      <c r="AE68" s="906"/>
      <c r="AF68" s="906"/>
      <c r="AG68" s="906"/>
      <c r="AH68" s="906"/>
      <c r="AI68" s="906"/>
      <c r="AJ68" s="906"/>
      <c r="AK68" s="906"/>
      <c r="AL68" s="906"/>
      <c r="AM68" s="906"/>
      <c r="AN68" s="906"/>
      <c r="AO68" s="906"/>
      <c r="AP68" s="906"/>
      <c r="AQ68" s="906"/>
      <c r="AR68" s="906"/>
      <c r="AS68" s="906"/>
      <c r="AT68" s="906"/>
    </row>
    <row r="69" s="1" customFormat="1" ht="14.25" customHeight="1" spans="1:46">
      <c r="A69" s="906"/>
      <c r="B69" s="906"/>
      <c r="C69" s="906"/>
      <c r="D69" s="906"/>
      <c r="E69" s="906"/>
      <c r="F69" s="906"/>
      <c r="G69" s="906"/>
      <c r="H69" s="906"/>
      <c r="I69" s="906"/>
      <c r="J69" s="906"/>
      <c r="K69" s="906"/>
      <c r="L69" s="906"/>
      <c r="M69" s="906"/>
      <c r="N69" s="906"/>
      <c r="O69" s="906"/>
      <c r="P69" s="906"/>
      <c r="Q69" s="906"/>
      <c r="R69" s="906"/>
      <c r="S69" s="906"/>
      <c r="T69" s="906"/>
      <c r="U69" s="906"/>
      <c r="V69" s="906"/>
      <c r="W69" s="906"/>
      <c r="X69" s="906"/>
      <c r="Y69" s="906"/>
      <c r="Z69" s="906"/>
      <c r="AA69" s="906"/>
      <c r="AB69" s="906"/>
      <c r="AC69" s="906"/>
      <c r="AD69" s="906"/>
      <c r="AE69" s="906"/>
      <c r="AF69" s="906"/>
      <c r="AG69" s="906"/>
      <c r="AH69" s="906"/>
      <c r="AI69" s="906"/>
      <c r="AJ69" s="906"/>
      <c r="AK69" s="906"/>
      <c r="AL69" s="906"/>
      <c r="AM69" s="906"/>
      <c r="AN69" s="906"/>
      <c r="AO69" s="906"/>
      <c r="AP69" s="906"/>
      <c r="AQ69" s="906"/>
      <c r="AR69" s="906"/>
      <c r="AS69" s="906"/>
      <c r="AT69" s="906"/>
    </row>
    <row r="70" s="1" customFormat="1" ht="15.75" customHeight="1" spans="1:46">
      <c r="A70" s="907" t="str">
        <f>IF(Baza!D34=0,"-","U odnosu na isti period prethodne godine, ovi prihodi imaju "&amp;Baza!H34&amp;" za "&amp;TEXT(Baza!F34,"#.## [$KM-141A]")&amp;" ili "&amp;ROUND(Baza!G34*100,1)&amp;" %.")</f>
        <v>U odnosu na isti period prethodne godine, ovi prihodi imaju SMANJENJE za 62.793 KM ili 20,4 %.</v>
      </c>
      <c r="B70" s="907"/>
      <c r="C70" s="907"/>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907"/>
    </row>
    <row r="71" s="1" customFormat="1" ht="29.25" customHeight="1" spans="1:46">
      <c r="A71" s="906" t="str">
        <f ca="1">IF(AH119=0,"-","P1 -U obračunskom periodu "&amp;PoslGod&amp;". godine, najveći prihodi su : "&amp;B119&amp;", u iznosu od "&amp;TEXT(AH119,"#.## [$KM-141A]")&amp;", što je "&amp;ROUND(AQ119*100,1)&amp;"% ukupnog prihoda.")</f>
        <v>P1 -U obračunskom periodu 2025. godine, najveći prihodi su : Prihodi od pruženih usluga na domaćem tržištu (AOP 209), u iznosu od 245.707 KM, što je 99,2% ukupnog prihoda.</v>
      </c>
      <c r="B71" s="906"/>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row>
    <row r="72" s="1" customFormat="1" ht="14.25" customHeight="1" spans="1:46">
      <c r="A72" s="906"/>
      <c r="B72" s="906"/>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row>
    <row r="73" s="1" customFormat="1" ht="15.75" customHeight="1" spans="1:46">
      <c r="A73" s="907" t="str">
        <f>IF(Baza!D27=0,"-","U odnosu na isti period prethodne godine, ovaj prihod ima "&amp;Baza!H27&amp;" za "&amp;TEXT(Baza!F27,"#.## [$KM-141A]")&amp;" ili "&amp;ROUND(Baza!G27*100,1)&amp;" %.")</f>
        <v>U odnosu na isti period prethodne godine, ovaj prihod ima SMANJENJE za 62.793 KM ili 20,4 %.</v>
      </c>
      <c r="B73" s="907"/>
      <c r="C73" s="907"/>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c r="AE73" s="907"/>
      <c r="AF73" s="907"/>
      <c r="AG73" s="907"/>
      <c r="AH73" s="907"/>
      <c r="AI73" s="907"/>
      <c r="AJ73" s="907"/>
      <c r="AK73" s="907"/>
      <c r="AL73" s="907"/>
      <c r="AM73" s="907"/>
      <c r="AN73" s="907"/>
      <c r="AO73" s="907"/>
      <c r="AP73" s="907"/>
      <c r="AQ73" s="907"/>
      <c r="AR73" s="907"/>
      <c r="AS73" s="907"/>
      <c r="AT73" s="907"/>
    </row>
    <row r="74" s="1" customFormat="1" ht="22.5" customHeight="1" spans="1:46">
      <c r="A74" s="906" t="str">
        <f>IF(AH120=0,"-","P2. -Na drugom mjestu po veličini su : "&amp;B120&amp;", u iznosu od "&amp;TEXT(AH120,"#.## [$KM-141A]")&amp;", što je "&amp;ROUND(AQ120*100,1)&amp;"% ukupnog prihoda. ")</f>
        <v>P2. -Na drugom mjestu po veličini su : Finansijski rashodi (AOP 247), u iznosu od 1.319 KM, što je 0,5% ukupnog prihoda. </v>
      </c>
      <c r="B74" s="906"/>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row>
    <row r="75" s="1" customFormat="1" ht="14.25" customHeight="1" spans="1:46">
      <c r="A75" s="906"/>
      <c r="B75" s="906"/>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c r="AB75" s="906"/>
      <c r="AC75" s="906"/>
      <c r="AD75" s="906"/>
      <c r="AE75" s="906"/>
      <c r="AF75" s="906"/>
      <c r="AG75" s="906"/>
      <c r="AH75" s="906"/>
      <c r="AI75" s="906"/>
      <c r="AJ75" s="906"/>
      <c r="AK75" s="906"/>
      <c r="AL75" s="906"/>
      <c r="AM75" s="906"/>
      <c r="AN75" s="906"/>
      <c r="AO75" s="906"/>
      <c r="AP75" s="906"/>
      <c r="AQ75" s="906"/>
      <c r="AR75" s="906"/>
      <c r="AS75" s="906"/>
      <c r="AT75" s="906"/>
    </row>
    <row r="76" s="1" customFormat="1" ht="14.25" customHeight="1" spans="1:46">
      <c r="A76" s="907" t="str">
        <f>IF(Baza!D28=0,"-","U odnosu na isti period prethodne godine, ovaj prihod ima "&amp;Baza!H28&amp;" za "&amp;TEXT(Baza!F28,"#.## [$KM-141A]")&amp;" ili "&amp;ROUND(Baza!G28*100,1)&amp;" %.")</f>
        <v>U odnosu na isti period prethodne godine, ovaj prihod ima SMANJENJE za 2.623 KM ili 66,5 %.</v>
      </c>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row>
    <row r="77" s="1" customFormat="1" ht="22.5" customHeight="1" spans="1:46">
      <c r="A77" s="906" t="str">
        <f>IF(AH121=0,"-","P3. -Na trećem mjestu po veličini su : "&amp;B121&amp;", od "&amp;TEXT(AH121,"#.## [$KM-141A]")&amp;", što je "&amp;ROUND(AQ121*100,1)&amp;"% ukupnog prihoda. ")</f>
        <v>P3. -Na trećem mjestu po veličini su : Ostali prihodi i dobici (AOP 251), od 746 KM, što je 0,3% ukupnog prihoda. </v>
      </c>
      <c r="B77" s="906"/>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906"/>
      <c r="AF77" s="906"/>
      <c r="AG77" s="906"/>
      <c r="AH77" s="906"/>
      <c r="AI77" s="906"/>
      <c r="AJ77" s="906"/>
      <c r="AK77" s="906"/>
      <c r="AL77" s="906"/>
      <c r="AM77" s="906"/>
      <c r="AN77" s="906"/>
      <c r="AO77" s="906"/>
      <c r="AP77" s="906"/>
      <c r="AQ77" s="906"/>
      <c r="AR77" s="906"/>
      <c r="AS77" s="906"/>
      <c r="AT77" s="906"/>
    </row>
    <row r="78" s="1" customFormat="1" ht="14.25" customHeight="1" spans="1:46">
      <c r="A78" s="906"/>
      <c r="B78" s="906"/>
      <c r="C78" s="906"/>
      <c r="D78" s="906"/>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906"/>
      <c r="AM78" s="906"/>
      <c r="AN78" s="906"/>
      <c r="AO78" s="906"/>
      <c r="AP78" s="906"/>
      <c r="AQ78" s="906"/>
      <c r="AR78" s="906"/>
      <c r="AS78" s="906"/>
      <c r="AT78" s="906"/>
    </row>
    <row r="79" s="1" customFormat="1" ht="14.25" customHeight="1" spans="1:46">
      <c r="A79" s="907" t="str">
        <f>IF(Baza!D29=0,"-","U odnosu na isti period prethodne godine, ovaj prihod ima "&amp;Baza!H29&amp;" za "&amp;TEXT(Baza!F29,"#.## [$KM-141A]")&amp;" ili "&amp;ROUND(Baza!G29*100,1)&amp;" %.")</f>
        <v>U odnosu na isti period prethodne godine, ovaj prihod ima SMANJENJE za 7.444 KM ili 90,9 %.</v>
      </c>
      <c r="B79" s="907"/>
      <c r="C79" s="907"/>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7"/>
      <c r="AK79" s="907"/>
      <c r="AL79" s="907"/>
      <c r="AM79" s="907"/>
      <c r="AN79" s="907"/>
      <c r="AO79" s="907"/>
      <c r="AP79" s="907"/>
      <c r="AQ79" s="907"/>
      <c r="AR79" s="907"/>
      <c r="AS79" s="907"/>
      <c r="AT79" s="907"/>
    </row>
    <row r="80" ht="18" customHeight="1" spans="1:46">
      <c r="A80" s="906" t="str">
        <f>IF(AH122=0,"-","P4. -Na četvrtom mjestu su : "&amp;B122&amp;", od "&amp;TEXT(AH122,"#.## [$KM-141A]")&amp;", što je "&amp;ROUND(AQ122*100,1)&amp;"% ukupnog prihoda. ")</f>
        <v>-</v>
      </c>
      <c r="B80" s="906"/>
      <c r="C80" s="906"/>
      <c r="D80" s="906"/>
      <c r="E80" s="906"/>
      <c r="F80" s="906"/>
      <c r="G80" s="906"/>
      <c r="H80" s="906"/>
      <c r="I80" s="906"/>
      <c r="J80" s="906"/>
      <c r="K80" s="906"/>
      <c r="L80" s="906"/>
      <c r="M80" s="906"/>
      <c r="N80" s="906"/>
      <c r="O80" s="906"/>
      <c r="P80" s="906"/>
      <c r="Q80" s="906"/>
      <c r="R80" s="906"/>
      <c r="S80" s="906"/>
      <c r="T80" s="906"/>
      <c r="U80" s="906"/>
      <c r="V80" s="906"/>
      <c r="W80" s="906"/>
      <c r="X80" s="906"/>
      <c r="Y80" s="906"/>
      <c r="Z80" s="906"/>
      <c r="AA80" s="906"/>
      <c r="AB80" s="906"/>
      <c r="AC80" s="906"/>
      <c r="AD80" s="906"/>
      <c r="AE80" s="906"/>
      <c r="AF80" s="906"/>
      <c r="AG80" s="906"/>
      <c r="AH80" s="906"/>
      <c r="AI80" s="906"/>
      <c r="AJ80" s="906"/>
      <c r="AK80" s="906"/>
      <c r="AL80" s="906"/>
      <c r="AM80" s="906"/>
      <c r="AN80" s="906"/>
      <c r="AO80" s="906"/>
      <c r="AP80" s="906"/>
      <c r="AQ80" s="906"/>
      <c r="AR80" s="906"/>
      <c r="AS80" s="906"/>
      <c r="AT80" s="906"/>
    </row>
    <row r="81" ht="14.25" customHeight="1" spans="1:46">
      <c r="A81" s="906"/>
      <c r="B81" s="906"/>
      <c r="C81" s="906"/>
      <c r="D81" s="906"/>
      <c r="E81" s="906"/>
      <c r="F81" s="906"/>
      <c r="G81" s="906"/>
      <c r="H81" s="906"/>
      <c r="I81" s="906"/>
      <c r="J81" s="906"/>
      <c r="K81" s="906"/>
      <c r="L81" s="906"/>
      <c r="M81" s="906"/>
      <c r="N81" s="906"/>
      <c r="O81" s="906"/>
      <c r="P81" s="906"/>
      <c r="Q81" s="906"/>
      <c r="R81" s="906"/>
      <c r="S81" s="906"/>
      <c r="T81" s="906"/>
      <c r="U81" s="906"/>
      <c r="V81" s="906"/>
      <c r="W81" s="906"/>
      <c r="X81" s="906"/>
      <c r="Y81" s="906"/>
      <c r="Z81" s="906"/>
      <c r="AA81" s="906"/>
      <c r="AB81" s="906"/>
      <c r="AC81" s="906"/>
      <c r="AD81" s="906"/>
      <c r="AE81" s="906"/>
      <c r="AF81" s="906"/>
      <c r="AG81" s="906"/>
      <c r="AH81" s="906"/>
      <c r="AI81" s="906"/>
      <c r="AJ81" s="906"/>
      <c r="AK81" s="906"/>
      <c r="AL81" s="906"/>
      <c r="AM81" s="906"/>
      <c r="AN81" s="906"/>
      <c r="AO81" s="906"/>
      <c r="AP81" s="906"/>
      <c r="AQ81" s="906"/>
      <c r="AR81" s="906"/>
      <c r="AS81" s="906"/>
      <c r="AT81" s="906"/>
    </row>
    <row r="82" ht="14.25" customHeight="1" spans="1:46">
      <c r="A82" s="907" t="str">
        <f>IF(Baza!D30=0,"-","U odnosu na isti period prethodne godine, ovaj prihod ima "&amp;Baza!H30&amp;" za "&amp;TEXT(Baza!F30,"#.## [$KM-141A]")&amp;" ili "&amp;ROUND(Baza!G30*100,1)&amp;" %.")</f>
        <v>-</v>
      </c>
      <c r="B82" s="907"/>
      <c r="C82" s="907"/>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c r="AE82" s="907"/>
      <c r="AF82" s="907"/>
      <c r="AG82" s="907"/>
      <c r="AH82" s="907"/>
      <c r="AI82" s="907"/>
      <c r="AJ82" s="907"/>
      <c r="AK82" s="907"/>
      <c r="AL82" s="907"/>
      <c r="AM82" s="907"/>
      <c r="AN82" s="907"/>
      <c r="AO82" s="907"/>
      <c r="AP82" s="907"/>
      <c r="AQ82" s="907"/>
      <c r="AR82" s="907"/>
      <c r="AS82" s="907"/>
      <c r="AT82" s="907"/>
    </row>
    <row r="83" ht="14.25" customHeight="1" spans="1:46">
      <c r="A83" s="907"/>
      <c r="B83" s="907"/>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row>
    <row r="84" ht="14.25" customHeight="1" spans="1:46">
      <c r="A84" s="570"/>
      <c r="B84" s="908"/>
      <c r="C84" s="908"/>
      <c r="E84" s="908"/>
      <c r="F84" s="908"/>
      <c r="G84" s="908"/>
      <c r="H84" s="908"/>
      <c r="I84" s="908"/>
      <c r="J84" s="908"/>
      <c r="K84" s="908"/>
      <c r="L84" s="908"/>
    </row>
    <row r="85" ht="15.75" customHeight="1" spans="1:46">
      <c r="A85" s="909" t="s">
        <v>5787</v>
      </c>
      <c r="B85" s="910"/>
      <c r="C85" s="910"/>
      <c r="D85" s="910"/>
      <c r="E85" s="910"/>
      <c r="F85" s="910"/>
      <c r="G85" s="910"/>
      <c r="H85" s="910"/>
      <c r="I85" s="910"/>
      <c r="J85" s="910"/>
      <c r="K85" s="910"/>
      <c r="L85" s="910"/>
      <c r="M85" s="910"/>
      <c r="N85" s="910"/>
      <c r="O85" s="910"/>
      <c r="P85" s="910"/>
      <c r="Q85" s="910"/>
      <c r="R85" s="911" t="str">
        <f ca="1">PeriodOd&amp;". - "&amp;PeriodDo</f>
        <v>01.01.2025. - 31.12.2025</v>
      </c>
      <c r="S85" s="911"/>
      <c r="T85" s="911"/>
      <c r="U85" s="911"/>
      <c r="V85" s="911"/>
      <c r="W85" s="911"/>
      <c r="X85" s="911"/>
      <c r="Y85" s="911"/>
      <c r="Z85" s="911"/>
      <c r="AA85" s="911"/>
      <c r="AB85" s="911"/>
      <c r="AC85" s="911"/>
      <c r="AD85" s="911" t="str">
        <f ca="1">UnosPod!F6&amp;UnosPod!G6&amp;"."&amp;UnosPod!H6&amp;UnosPod!I6&amp;"."&amp;PoslGod-1&amp;" - "&amp;UnosPod!M6&amp;UnosPod!N6&amp;"."&amp;UnosPod!O6&amp;UnosPod!P6&amp;"."&amp;PoslGod-1</f>
        <v>01.01.2024 - 31.12.2024</v>
      </c>
      <c r="AE85" s="911"/>
      <c r="AF85" s="911"/>
      <c r="AG85" s="911"/>
      <c r="AH85" s="911"/>
      <c r="AI85" s="911"/>
      <c r="AJ85" s="911"/>
      <c r="AK85" s="911"/>
      <c r="AL85" s="911"/>
      <c r="AM85" s="911"/>
      <c r="AN85" s="911"/>
      <c r="AO85" s="911"/>
      <c r="AP85" s="912" t="s">
        <v>7461</v>
      </c>
      <c r="AQ85" s="912"/>
      <c r="AR85" s="912"/>
      <c r="AS85" s="912"/>
      <c r="AT85" s="913"/>
    </row>
    <row r="86" ht="13.5" customHeight="1" spans="1:46">
      <c r="A86" s="914" t="s">
        <v>5791</v>
      </c>
      <c r="B86" s="915" t="s">
        <v>4043</v>
      </c>
      <c r="C86" s="915"/>
      <c r="D86" s="915"/>
      <c r="E86" s="915"/>
      <c r="F86" s="915"/>
      <c r="G86" s="915"/>
      <c r="H86" s="915"/>
      <c r="I86" s="915"/>
      <c r="J86" s="915"/>
      <c r="K86" s="915"/>
      <c r="L86" s="915"/>
      <c r="M86" s="915"/>
      <c r="N86" s="915"/>
      <c r="O86" s="915"/>
      <c r="P86" s="915"/>
      <c r="Q86" s="915"/>
      <c r="R86" s="916" t="s">
        <v>7462</v>
      </c>
      <c r="S86" s="916"/>
      <c r="T86" s="916"/>
      <c r="U86" s="916"/>
      <c r="V86" s="916"/>
      <c r="W86" s="916"/>
      <c r="X86" s="916"/>
      <c r="Y86" s="916"/>
      <c r="Z86" s="917" t="s">
        <v>20</v>
      </c>
      <c r="AA86" s="917"/>
      <c r="AB86" s="917"/>
      <c r="AC86" s="917"/>
      <c r="AD86" s="916" t="s">
        <v>7462</v>
      </c>
      <c r="AE86" s="916"/>
      <c r="AF86" s="916"/>
      <c r="AG86" s="916"/>
      <c r="AH86" s="916"/>
      <c r="AI86" s="916"/>
      <c r="AJ86" s="916"/>
      <c r="AK86" s="916"/>
      <c r="AL86" s="917" t="s">
        <v>20</v>
      </c>
      <c r="AM86" s="917"/>
      <c r="AN86" s="917"/>
      <c r="AO86" s="917"/>
      <c r="AP86" s="918" t="s">
        <v>7599</v>
      </c>
      <c r="AQ86" s="918"/>
      <c r="AR86" s="918"/>
      <c r="AS86" s="918"/>
      <c r="AT86" s="919"/>
    </row>
    <row r="87" ht="13.5" customHeight="1" spans="1:46">
      <c r="A87" s="920">
        <v>0</v>
      </c>
      <c r="B87" s="921">
        <v>1</v>
      </c>
      <c r="C87" s="921"/>
      <c r="D87" s="921"/>
      <c r="E87" s="921"/>
      <c r="F87" s="921"/>
      <c r="G87" s="921"/>
      <c r="H87" s="921"/>
      <c r="I87" s="921"/>
      <c r="J87" s="921"/>
      <c r="K87" s="921"/>
      <c r="L87" s="921"/>
      <c r="M87" s="921"/>
      <c r="N87" s="921"/>
      <c r="O87" s="921"/>
      <c r="P87" s="921"/>
      <c r="Q87" s="921"/>
      <c r="R87" s="922">
        <v>2</v>
      </c>
      <c r="S87" s="922"/>
      <c r="T87" s="922"/>
      <c r="U87" s="922"/>
      <c r="V87" s="922"/>
      <c r="W87" s="922"/>
      <c r="X87" s="922"/>
      <c r="Y87" s="922"/>
      <c r="Z87" s="922">
        <v>3</v>
      </c>
      <c r="AA87" s="922"/>
      <c r="AB87" s="922"/>
      <c r="AC87" s="922"/>
      <c r="AD87" s="922">
        <v>4</v>
      </c>
      <c r="AE87" s="922"/>
      <c r="AF87" s="922"/>
      <c r="AG87" s="922"/>
      <c r="AH87" s="922"/>
      <c r="AI87" s="922"/>
      <c r="AJ87" s="922"/>
      <c r="AK87" s="922"/>
      <c r="AL87" s="922">
        <v>5</v>
      </c>
      <c r="AM87" s="922"/>
      <c r="AN87" s="922"/>
      <c r="AO87" s="922"/>
      <c r="AP87" s="922">
        <v>6</v>
      </c>
      <c r="AQ87" s="922"/>
      <c r="AR87" s="922"/>
      <c r="AS87" s="922"/>
      <c r="AT87" s="923"/>
    </row>
    <row r="88" ht="20.25" customHeight="1" spans="1:46">
      <c r="A88" s="924">
        <v>1</v>
      </c>
      <c r="B88" s="925" t="s">
        <v>7600</v>
      </c>
      <c r="C88" s="926"/>
      <c r="D88" s="926"/>
      <c r="E88" s="926"/>
      <c r="F88" s="926"/>
      <c r="G88" s="926"/>
      <c r="H88" s="926"/>
      <c r="I88" s="926"/>
      <c r="J88" s="926"/>
      <c r="K88" s="927"/>
      <c r="L88" s="927"/>
      <c r="M88" s="927"/>
      <c r="N88" s="927"/>
      <c r="O88" s="927"/>
      <c r="P88" s="928"/>
      <c r="Q88" s="929"/>
      <c r="R88" s="930">
        <f>B_Uspjeha!AI21</f>
        <v>245707</v>
      </c>
      <c r="S88" s="930"/>
      <c r="T88" s="930"/>
      <c r="U88" s="930"/>
      <c r="V88" s="930"/>
      <c r="W88" s="930"/>
      <c r="X88" s="930"/>
      <c r="Y88" s="930"/>
      <c r="Z88" s="931">
        <f>IFERROR(R88/$R$90,"-")</f>
        <v>0.991665724940671</v>
      </c>
      <c r="AA88" s="931"/>
      <c r="AB88" s="931"/>
      <c r="AC88" s="931"/>
      <c r="AD88" s="930">
        <f>B_Uspjeha!AP21</f>
        <v>308500</v>
      </c>
      <c r="AE88" s="930"/>
      <c r="AF88" s="930"/>
      <c r="AG88" s="930"/>
      <c r="AH88" s="930"/>
      <c r="AI88" s="930"/>
      <c r="AJ88" s="930"/>
      <c r="AK88" s="930"/>
      <c r="AL88" s="932">
        <f>IFERROR(AD88/$AD$90,"-")</f>
        <v>0.802292710709112</v>
      </c>
      <c r="AM88" s="932"/>
      <c r="AN88" s="932"/>
      <c r="AO88" s="932"/>
      <c r="AP88" s="933">
        <f>IF(R88/(AD88+0.00001)*100&gt;10000,0,R88/(AD88+0.00001)*100)</f>
        <v>79.6457050217295</v>
      </c>
      <c r="AQ88" s="933"/>
      <c r="AR88" s="933"/>
      <c r="AS88" s="933"/>
      <c r="AT88" s="934"/>
    </row>
    <row r="89" ht="20.25" customHeight="1" spans="1:46">
      <c r="A89" s="935">
        <v>2</v>
      </c>
      <c r="B89" s="936" t="s">
        <v>7601</v>
      </c>
      <c r="C89" s="937"/>
      <c r="D89" s="937"/>
      <c r="E89" s="937"/>
      <c r="F89" s="937"/>
      <c r="G89" s="937"/>
      <c r="H89" s="937"/>
      <c r="I89" s="937"/>
      <c r="J89" s="937"/>
      <c r="K89" s="937"/>
      <c r="L89" s="937"/>
      <c r="M89" s="938"/>
      <c r="N89" s="938"/>
      <c r="O89" s="938"/>
      <c r="P89" s="939"/>
      <c r="Q89" s="940"/>
      <c r="R89" s="941">
        <f>R90-R88</f>
        <v>2065</v>
      </c>
      <c r="S89" s="941"/>
      <c r="T89" s="941"/>
      <c r="U89" s="941"/>
      <c r="V89" s="941"/>
      <c r="W89" s="941"/>
      <c r="X89" s="941"/>
      <c r="Y89" s="941"/>
      <c r="Z89" s="931">
        <f>IFERROR(R89/$R$90,"-")</f>
        <v>0.00833427505932874</v>
      </c>
      <c r="AA89" s="931"/>
      <c r="AB89" s="931"/>
      <c r="AC89" s="931"/>
      <c r="AD89" s="941">
        <f>AD90-AD88</f>
        <v>76023</v>
      </c>
      <c r="AE89" s="941"/>
      <c r="AF89" s="941"/>
      <c r="AG89" s="941"/>
      <c r="AH89" s="941"/>
      <c r="AI89" s="941"/>
      <c r="AJ89" s="941"/>
      <c r="AK89" s="941"/>
      <c r="AL89" s="942">
        <f>IFERROR(AD89/$AD$90,"-")</f>
        <v>0.197707289290888</v>
      </c>
      <c r="AM89" s="942"/>
      <c r="AN89" s="942"/>
      <c r="AO89" s="942"/>
      <c r="AP89" s="943">
        <f>IF(R89/(AD89+0.00001)*100&gt;10000,0,R89/(AD89+0.00001)*100)</f>
        <v>2.71628322971781</v>
      </c>
      <c r="AQ89" s="943"/>
      <c r="AR89" s="943"/>
      <c r="AS89" s="943"/>
      <c r="AT89" s="944"/>
    </row>
    <row r="90" ht="20.25" customHeight="1" spans="1:46">
      <c r="A90" s="945">
        <v>4</v>
      </c>
      <c r="B90" s="946" t="s">
        <v>22</v>
      </c>
      <c r="C90" s="947"/>
      <c r="D90" s="947"/>
      <c r="E90" s="947"/>
      <c r="F90" s="947"/>
      <c r="G90" s="947"/>
      <c r="H90" s="947"/>
      <c r="I90" s="947"/>
      <c r="J90" s="947"/>
      <c r="K90" s="947"/>
      <c r="L90" s="947"/>
      <c r="M90" s="948"/>
      <c r="N90" s="948"/>
      <c r="O90" s="948"/>
      <c r="P90" s="948"/>
      <c r="Q90" s="949"/>
      <c r="R90" s="950">
        <f>B_Uspjeha!AI76</f>
        <v>247772</v>
      </c>
      <c r="S90" s="950"/>
      <c r="T90" s="950"/>
      <c r="U90" s="950"/>
      <c r="V90" s="950"/>
      <c r="W90" s="950"/>
      <c r="X90" s="950"/>
      <c r="Y90" s="950"/>
      <c r="Z90" s="951">
        <f>IFERROR(R90/$R$90,"-")</f>
        <v>1</v>
      </c>
      <c r="AA90" s="951"/>
      <c r="AB90" s="951"/>
      <c r="AC90" s="951"/>
      <c r="AD90" s="950">
        <f>B_Uspjeha!AP76</f>
        <v>384523</v>
      </c>
      <c r="AE90" s="950"/>
      <c r="AF90" s="950"/>
      <c r="AG90" s="950"/>
      <c r="AH90" s="950"/>
      <c r="AI90" s="950"/>
      <c r="AJ90" s="950"/>
      <c r="AK90" s="950"/>
      <c r="AL90" s="952">
        <f>IFERROR(AD90/$AD$90,"-")</f>
        <v>1</v>
      </c>
      <c r="AM90" s="952"/>
      <c r="AN90" s="952"/>
      <c r="AO90" s="952"/>
      <c r="AP90" s="953">
        <f>IF(R90/(AD90+0.00001)*100&gt;10000,0,R90/(AD90+0.00001)*100)</f>
        <v>64.4361975729817</v>
      </c>
      <c r="AQ90" s="953"/>
      <c r="AR90" s="953"/>
      <c r="AS90" s="953"/>
      <c r="AT90" s="954"/>
    </row>
    <row r="91" ht="15.75" spans="1:46">
      <c r="A91" s="908"/>
      <c r="B91" s="908"/>
      <c r="C91" s="908"/>
      <c r="D91" s="908"/>
      <c r="E91" s="908"/>
      <c r="F91" s="908"/>
      <c r="G91" s="908"/>
      <c r="H91" s="908"/>
      <c r="I91" s="908"/>
      <c r="J91" s="908"/>
      <c r="K91" s="908"/>
      <c r="L91" s="908"/>
      <c r="R91" s="955">
        <f>IF(R90-AD90&lt;0,0,R90-AD90)</f>
        <v>0</v>
      </c>
      <c r="S91" s="955"/>
      <c r="T91" s="955"/>
      <c r="U91" s="955"/>
      <c r="V91" s="955"/>
      <c r="W91" s="955"/>
      <c r="X91" s="955"/>
      <c r="Y91" s="955"/>
      <c r="AD91" s="955">
        <f>IF(AD90-R90&lt;0,0,AD90-R90)</f>
        <v>136751</v>
      </c>
      <c r="AE91" s="955"/>
      <c r="AF91" s="955"/>
      <c r="AG91" s="955"/>
      <c r="AH91" s="955"/>
      <c r="AI91" s="955"/>
      <c r="AJ91" s="955"/>
      <c r="AK91" s="955"/>
      <c r="AP91" s="956" t="str">
        <f>IF(R90&gt;AD90,"POVEĆANJE","SMANJENJE")</f>
        <v>SMANJENJE</v>
      </c>
      <c r="AQ91" s="957"/>
      <c r="AR91" s="957"/>
      <c r="AS91" s="957"/>
      <c r="AT91" s="957"/>
    </row>
    <row r="92" ht="15.75" spans="1:46">
      <c r="A92" s="908"/>
      <c r="B92" s="908"/>
      <c r="C92" s="908"/>
      <c r="D92" s="908"/>
      <c r="E92" s="908"/>
      <c r="F92" s="908"/>
      <c r="G92" s="908"/>
      <c r="H92" s="908"/>
      <c r="I92" s="908"/>
      <c r="J92" s="908"/>
      <c r="K92" s="908"/>
      <c r="L92" s="908"/>
      <c r="AP92" s="958"/>
      <c r="AQ92" s="958"/>
      <c r="AR92" s="958"/>
      <c r="AS92" s="958"/>
      <c r="AT92" s="958"/>
    </row>
    <row r="93" ht="15.75" spans="1:46">
      <c r="A93" s="908"/>
      <c r="B93" s="908"/>
      <c r="C93" s="908"/>
      <c r="D93" s="908"/>
      <c r="E93" s="908"/>
      <c r="F93" s="908"/>
      <c r="G93" s="908"/>
      <c r="H93" s="908"/>
      <c r="I93" s="908"/>
      <c r="J93" s="908"/>
      <c r="K93" s="908"/>
      <c r="L93" s="908"/>
      <c r="AP93" s="958"/>
      <c r="AQ93" s="958"/>
      <c r="AR93" s="958"/>
      <c r="AS93" s="958"/>
      <c r="AT93" s="958"/>
    </row>
    <row r="94" ht="15.75" spans="1:46">
      <c r="A94" s="570" t="str">
        <f ca="1">"Uporedni pregled ukupnog prihoda "&amp;PoslGod&amp;" i "&amp;PoslGod-1&amp;".g."</f>
        <v>Uporedni pregled ukupnog prihoda 2025 i 2024.g.</v>
      </c>
      <c r="B94" s="908"/>
      <c r="C94" s="908"/>
      <c r="D94" s="908"/>
      <c r="E94" s="908"/>
      <c r="F94" s="908"/>
      <c r="G94" s="908"/>
      <c r="H94" s="908"/>
      <c r="I94" s="908"/>
      <c r="J94" s="908"/>
      <c r="K94" s="908"/>
      <c r="L94" s="908"/>
      <c r="Y94" s="570"/>
      <c r="Z94" s="570"/>
      <c r="AB94" s="570" t="str">
        <f ca="1">"Pregled strukture ukupnih prihoda "&amp;PoslGod&amp;".godine"</f>
        <v>Pregled strukture ukupnih prihoda 2025.godine</v>
      </c>
    </row>
    <row r="95" ht="15.75" spans="1:46">
      <c r="A95" s="908"/>
      <c r="B95" s="908"/>
      <c r="C95" s="908"/>
      <c r="D95" s="908"/>
      <c r="E95" s="908"/>
      <c r="F95" s="908"/>
      <c r="G95" s="908"/>
      <c r="H95" s="908"/>
      <c r="I95" s="908"/>
      <c r="J95" s="908"/>
      <c r="K95" s="908"/>
      <c r="L95" s="908"/>
    </row>
    <row r="96" ht="15.75" spans="1:46">
      <c r="A96" s="908"/>
      <c r="B96" s="908"/>
      <c r="C96" s="908"/>
      <c r="D96" s="908"/>
      <c r="E96" s="908"/>
      <c r="F96" s="908"/>
      <c r="G96" s="908"/>
      <c r="H96" s="908"/>
      <c r="I96" s="908"/>
      <c r="J96" s="908"/>
      <c r="K96" s="908"/>
      <c r="L96" s="908"/>
      <c r="AJ96">
        <f ca="1">PoslGod</f>
        <v>2025</v>
      </c>
      <c r="AK96">
        <f ca="1">PoslGod-1</f>
        <v>2024</v>
      </c>
    </row>
    <row r="97" ht="15.75" spans="1:37">
      <c r="A97" s="908"/>
      <c r="B97" s="908"/>
      <c r="C97" s="908"/>
      <c r="D97" s="908"/>
      <c r="E97" s="908"/>
      <c r="F97" s="908"/>
      <c r="G97" s="908"/>
      <c r="H97" s="908"/>
      <c r="I97" s="908"/>
      <c r="J97" s="908"/>
      <c r="K97" s="908"/>
      <c r="L97" s="908"/>
      <c r="AI97" t="s">
        <v>7602</v>
      </c>
      <c r="AJ97" s="959">
        <f>R90</f>
        <v>247772</v>
      </c>
      <c r="AK97" s="959">
        <f>AD90</f>
        <v>384523</v>
      </c>
    </row>
    <row r="98" ht="15.75" spans="1:37">
      <c r="A98" s="908"/>
      <c r="B98" s="908"/>
      <c r="C98" s="908"/>
      <c r="D98" s="908"/>
      <c r="E98" s="908"/>
      <c r="F98" s="908"/>
      <c r="G98" s="908"/>
      <c r="H98" s="908"/>
      <c r="I98" s="908"/>
      <c r="J98" s="908"/>
      <c r="K98" s="908"/>
      <c r="L98" s="908"/>
    </row>
    <row r="99" ht="15.75" spans="1:37">
      <c r="A99" s="908"/>
      <c r="B99" s="908"/>
      <c r="C99" s="908"/>
      <c r="D99" s="908"/>
      <c r="E99" s="908"/>
      <c r="F99" s="908"/>
      <c r="G99" s="908"/>
      <c r="H99" s="908"/>
      <c r="I99" s="908"/>
      <c r="J99" s="908"/>
      <c r="K99" s="908"/>
      <c r="L99" s="908"/>
    </row>
    <row r="100" ht="15.75" spans="1:37">
      <c r="A100" s="908"/>
      <c r="B100" s="908"/>
      <c r="C100" s="908"/>
      <c r="D100" s="908"/>
      <c r="E100" s="908"/>
      <c r="F100" s="908"/>
      <c r="G100" s="908"/>
      <c r="H100" s="908"/>
      <c r="I100" s="908"/>
      <c r="J100" s="908"/>
      <c r="K100" s="908"/>
      <c r="L100" s="908"/>
      <c r="AI100" s="572" t="s">
        <v>7603</v>
      </c>
      <c r="AJ100" s="959">
        <f>R88</f>
        <v>245707</v>
      </c>
    </row>
    <row r="101" ht="15.75" spans="1:37">
      <c r="A101" s="908"/>
      <c r="B101" s="908"/>
      <c r="C101" s="908"/>
      <c r="D101" s="908"/>
      <c r="E101" s="908"/>
      <c r="F101" s="908"/>
      <c r="G101" s="908"/>
      <c r="H101" s="908"/>
      <c r="I101" s="908"/>
      <c r="J101" s="908"/>
      <c r="K101" s="908"/>
      <c r="L101" s="908"/>
      <c r="AI101" s="572" t="s">
        <v>2290</v>
      </c>
      <c r="AJ101" s="959">
        <f>R89</f>
        <v>2065</v>
      </c>
    </row>
    <row r="102" ht="15.75" spans="1:37">
      <c r="A102" s="908"/>
      <c r="B102" s="908"/>
      <c r="C102" s="908"/>
      <c r="D102" s="908"/>
      <c r="E102" s="908"/>
      <c r="F102" s="908"/>
      <c r="G102" s="908"/>
      <c r="H102" s="908"/>
      <c r="I102" s="908"/>
      <c r="J102" s="908"/>
      <c r="K102" s="908"/>
      <c r="L102" s="908"/>
      <c r="AI102" s="572"/>
      <c r="AJ102" s="959"/>
    </row>
    <row r="103" ht="15.75" spans="1:37">
      <c r="A103" s="908"/>
      <c r="B103" s="908"/>
      <c r="C103" s="908"/>
      <c r="D103" s="908"/>
      <c r="E103" s="908"/>
      <c r="F103" s="908"/>
      <c r="G103" s="908"/>
      <c r="H103" s="908"/>
      <c r="I103" s="908"/>
      <c r="J103" s="908"/>
      <c r="K103" s="908"/>
      <c r="L103" s="908"/>
    </row>
    <row r="104" ht="15.75" spans="1:37">
      <c r="A104" s="908"/>
      <c r="B104" s="908"/>
      <c r="C104" s="908"/>
      <c r="D104" s="908"/>
      <c r="E104" s="908"/>
      <c r="F104" s="908"/>
      <c r="G104" s="908"/>
      <c r="H104" s="908"/>
      <c r="I104" s="908"/>
      <c r="J104" s="908"/>
      <c r="K104" s="908"/>
      <c r="L104" s="908"/>
    </row>
    <row r="105" ht="15.75" spans="1:37">
      <c r="A105" s="908"/>
      <c r="B105" s="908"/>
      <c r="C105" s="908"/>
      <c r="D105" s="908"/>
      <c r="E105" s="908"/>
      <c r="F105" s="908"/>
      <c r="G105" s="908"/>
      <c r="H105" s="908"/>
      <c r="I105" s="908"/>
      <c r="J105" s="908"/>
      <c r="K105" s="908"/>
      <c r="L105" s="908"/>
    </row>
    <row r="106" ht="15.75" spans="1:37">
      <c r="A106" s="908"/>
      <c r="B106" s="908"/>
      <c r="C106" s="908"/>
      <c r="D106" s="908"/>
      <c r="E106" s="908"/>
      <c r="F106" s="908"/>
      <c r="G106" s="908"/>
      <c r="H106" s="908"/>
      <c r="I106" s="908"/>
      <c r="J106" s="908"/>
      <c r="K106" s="908"/>
      <c r="L106" s="908"/>
    </row>
    <row r="107" ht="15.75" spans="1:37">
      <c r="A107" s="908"/>
      <c r="B107" s="908"/>
      <c r="C107" s="908"/>
      <c r="D107" s="908"/>
      <c r="E107" s="908"/>
      <c r="F107" s="908"/>
      <c r="G107" s="908"/>
      <c r="H107" s="908"/>
      <c r="I107" s="908"/>
      <c r="J107" s="908"/>
      <c r="K107" s="908"/>
      <c r="L107" s="908"/>
    </row>
    <row r="108" ht="15.75" spans="1:37">
      <c r="A108" s="908"/>
      <c r="B108" s="908"/>
      <c r="C108" s="908"/>
      <c r="D108" s="908"/>
      <c r="E108" s="908"/>
      <c r="F108" s="908"/>
      <c r="G108" s="908"/>
      <c r="H108" s="908"/>
      <c r="I108" s="908"/>
      <c r="J108" s="908"/>
      <c r="K108" s="908"/>
      <c r="L108" s="908"/>
    </row>
    <row r="109" ht="15.75" spans="1:37">
      <c r="A109" s="908"/>
      <c r="B109" s="908"/>
      <c r="C109" s="908"/>
      <c r="D109" s="908"/>
      <c r="E109" s="908"/>
      <c r="F109" s="908"/>
      <c r="G109" s="908"/>
      <c r="H109" s="908"/>
      <c r="I109" s="908"/>
      <c r="J109" s="908"/>
      <c r="K109" s="908"/>
      <c r="L109" s="908"/>
    </row>
    <row r="110" ht="15.75" spans="1:37">
      <c r="A110" s="908"/>
      <c r="B110" s="908"/>
      <c r="C110" s="908"/>
      <c r="D110" s="908"/>
      <c r="E110" s="908"/>
      <c r="F110" s="908"/>
      <c r="G110" s="908"/>
      <c r="H110" s="908"/>
      <c r="I110" s="908"/>
      <c r="J110" s="908"/>
      <c r="K110" s="908"/>
      <c r="L110" s="908"/>
    </row>
    <row r="111" ht="15.75" spans="1:37">
      <c r="A111" s="908"/>
      <c r="B111" s="908"/>
      <c r="C111" s="908"/>
      <c r="D111" s="908"/>
      <c r="E111" s="908"/>
      <c r="F111" s="908"/>
      <c r="G111" s="908"/>
      <c r="H111" s="908"/>
      <c r="I111" s="908"/>
      <c r="J111" s="908"/>
      <c r="K111" s="908"/>
      <c r="L111" s="908"/>
    </row>
    <row r="112" ht="15.75" spans="1:37">
      <c r="A112" s="908"/>
      <c r="B112" s="908"/>
      <c r="C112" s="908"/>
      <c r="D112" s="908"/>
      <c r="E112" s="908"/>
      <c r="F112" s="908"/>
      <c r="G112" s="908"/>
      <c r="H112" s="908"/>
      <c r="I112" s="908"/>
      <c r="J112" s="908"/>
      <c r="K112" s="908"/>
      <c r="L112" s="908"/>
    </row>
    <row r="113" ht="15.75" spans="1:46">
      <c r="A113" s="908"/>
      <c r="B113" s="908"/>
      <c r="C113" s="908"/>
      <c r="D113" s="908"/>
      <c r="E113" s="908"/>
      <c r="F113" s="908"/>
      <c r="G113" s="908"/>
      <c r="H113" s="908"/>
      <c r="I113" s="908"/>
      <c r="J113" s="908"/>
      <c r="K113" s="908"/>
      <c r="L113" s="908"/>
    </row>
    <row r="114" ht="15" spans="1:46">
      <c r="A114" s="1" t="s">
        <v>7604</v>
      </c>
      <c r="B114" s="491"/>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491"/>
      <c r="AP114" s="491"/>
      <c r="AQ114" s="491"/>
      <c r="AR114" s="491"/>
    </row>
    <row r="115" ht="15" spans="1:46">
      <c r="A115" s="1"/>
      <c r="B115" s="491"/>
      <c r="C115" s="491"/>
      <c r="D115" s="491"/>
      <c r="E115" s="491"/>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c r="AF115" s="491"/>
      <c r="AG115" s="491"/>
      <c r="AH115" s="491"/>
      <c r="AI115" s="491"/>
      <c r="AJ115" s="491"/>
      <c r="AK115" s="491"/>
      <c r="AL115" s="491"/>
      <c r="AM115" s="491"/>
      <c r="AN115" s="491"/>
      <c r="AO115" s="491"/>
      <c r="AP115" s="491"/>
      <c r="AQ115" s="491"/>
      <c r="AR115" s="491"/>
    </row>
    <row r="116" ht="18.75" customHeight="1" spans="1:46">
      <c r="A116" s="960" t="s">
        <v>5787</v>
      </c>
      <c r="B116" s="961" t="s">
        <v>7605</v>
      </c>
      <c r="C116" s="962"/>
      <c r="D116" s="962"/>
      <c r="E116" s="962"/>
      <c r="F116" s="962"/>
      <c r="G116" s="962"/>
      <c r="H116" s="962"/>
      <c r="I116" s="962"/>
      <c r="J116" s="962"/>
      <c r="K116" s="962"/>
      <c r="L116" s="962"/>
      <c r="M116" s="962"/>
      <c r="N116" s="962"/>
      <c r="O116" s="962"/>
      <c r="P116" s="962"/>
      <c r="Q116" s="962"/>
      <c r="R116" s="962"/>
      <c r="S116" s="962"/>
      <c r="T116" s="962"/>
      <c r="U116" s="962"/>
      <c r="V116" s="962"/>
      <c r="W116" s="962"/>
      <c r="X116" s="962"/>
      <c r="Y116" s="962"/>
      <c r="Z116" s="962"/>
      <c r="AA116" s="962"/>
      <c r="AB116" s="962"/>
      <c r="AC116" s="962"/>
      <c r="AD116" s="962"/>
      <c r="AE116" s="962"/>
      <c r="AF116" s="962"/>
      <c r="AG116" s="963"/>
      <c r="AH116" s="964" t="str">
        <f ca="1">PeriodOd&amp;". - "&amp;PeriodDo</f>
        <v>01.01.2025. - 31.12.2025</v>
      </c>
      <c r="AI116" s="965"/>
      <c r="AJ116" s="965"/>
      <c r="AK116" s="965"/>
      <c r="AL116" s="965"/>
      <c r="AM116" s="965"/>
      <c r="AN116" s="965"/>
      <c r="AO116" s="965"/>
      <c r="AP116" s="965"/>
      <c r="AQ116" s="965"/>
      <c r="AR116" s="965"/>
      <c r="AS116" s="965"/>
      <c r="AT116" s="966"/>
    </row>
    <row r="117" ht="18.75" customHeight="1" spans="1:46">
      <c r="A117" s="967" t="s">
        <v>5791</v>
      </c>
      <c r="B117" s="968"/>
      <c r="C117" s="969"/>
      <c r="D117" s="969"/>
      <c r="E117" s="969"/>
      <c r="F117" s="969"/>
      <c r="G117" s="969"/>
      <c r="H117" s="969"/>
      <c r="I117" s="969"/>
      <c r="J117" s="969"/>
      <c r="K117" s="969"/>
      <c r="L117" s="969"/>
      <c r="M117" s="969"/>
      <c r="N117" s="969"/>
      <c r="O117" s="969"/>
      <c r="P117" s="969"/>
      <c r="Q117" s="969"/>
      <c r="R117" s="969"/>
      <c r="S117" s="969"/>
      <c r="T117" s="969"/>
      <c r="U117" s="969"/>
      <c r="V117" s="969"/>
      <c r="W117" s="969"/>
      <c r="X117" s="969"/>
      <c r="Y117" s="969"/>
      <c r="Z117" s="969"/>
      <c r="AA117" s="969"/>
      <c r="AB117" s="969"/>
      <c r="AC117" s="969"/>
      <c r="AD117" s="969"/>
      <c r="AE117" s="969"/>
      <c r="AF117" s="969"/>
      <c r="AG117" s="970"/>
      <c r="AH117" s="971" t="s">
        <v>7462</v>
      </c>
      <c r="AI117" s="971"/>
      <c r="AJ117" s="971"/>
      <c r="AK117" s="971"/>
      <c r="AL117" s="971"/>
      <c r="AM117" s="971"/>
      <c r="AN117" s="971"/>
      <c r="AO117" s="971"/>
      <c r="AP117" s="971"/>
      <c r="AQ117" s="971" t="s">
        <v>20</v>
      </c>
      <c r="AR117" s="971"/>
      <c r="AS117" s="971"/>
      <c r="AT117" s="971"/>
    </row>
    <row r="118" ht="15" customHeight="1" spans="1:46">
      <c r="A118" s="972">
        <v>0</v>
      </c>
      <c r="B118" s="972">
        <v>1</v>
      </c>
      <c r="C118" s="972"/>
      <c r="D118" s="972"/>
      <c r="E118" s="972"/>
      <c r="F118" s="972"/>
      <c r="G118" s="972"/>
      <c r="H118" s="972"/>
      <c r="I118" s="972"/>
      <c r="J118" s="972"/>
      <c r="K118" s="972"/>
      <c r="L118" s="972"/>
      <c r="M118" s="972"/>
      <c r="N118" s="972"/>
      <c r="O118" s="972"/>
      <c r="P118" s="972"/>
      <c r="Q118" s="972"/>
      <c r="R118" s="972"/>
      <c r="S118" s="972"/>
      <c r="T118" s="972"/>
      <c r="U118" s="972"/>
      <c r="V118" s="972"/>
      <c r="W118" s="972"/>
      <c r="X118" s="972"/>
      <c r="Y118" s="972"/>
      <c r="Z118" s="972"/>
      <c r="AA118" s="972"/>
      <c r="AB118" s="972"/>
      <c r="AC118" s="972"/>
      <c r="AD118" s="972"/>
      <c r="AE118" s="972"/>
      <c r="AF118" s="972"/>
      <c r="AG118" s="972"/>
      <c r="AH118" s="972">
        <v>3</v>
      </c>
      <c r="AI118" s="972"/>
      <c r="AJ118" s="972"/>
      <c r="AK118" s="972"/>
      <c r="AL118" s="972"/>
      <c r="AM118" s="972"/>
      <c r="AN118" s="972"/>
      <c r="AO118" s="972"/>
      <c r="AP118" s="972"/>
      <c r="AQ118" s="972">
        <v>4</v>
      </c>
      <c r="AR118" s="972"/>
      <c r="AS118" s="972"/>
      <c r="AT118" s="972"/>
    </row>
    <row r="119" ht="19.5" customHeight="1" spans="1:46">
      <c r="A119" s="973">
        <v>1</v>
      </c>
      <c r="B119" s="974" t="str">
        <f>IF(AH119=0,"-",Baza!B27)</f>
        <v>Prihodi od pruženih usluga na domaćem tržištu (AOP 209)</v>
      </c>
      <c r="C119" s="974"/>
      <c r="D119" s="974"/>
      <c r="E119" s="974"/>
      <c r="F119" s="974"/>
      <c r="G119" s="974"/>
      <c r="H119" s="974"/>
      <c r="I119" s="974"/>
      <c r="J119" s="974"/>
      <c r="K119" s="974"/>
      <c r="L119" s="974"/>
      <c r="M119" s="974"/>
      <c r="N119" s="974"/>
      <c r="O119" s="974"/>
      <c r="P119" s="974"/>
      <c r="Q119" s="974"/>
      <c r="R119" s="974"/>
      <c r="S119" s="974"/>
      <c r="T119" s="974"/>
      <c r="U119" s="974"/>
      <c r="V119" s="974"/>
      <c r="W119" s="974"/>
      <c r="X119" s="974"/>
      <c r="Y119" s="974"/>
      <c r="Z119" s="974"/>
      <c r="AA119" s="974"/>
      <c r="AB119" s="974"/>
      <c r="AC119" s="974"/>
      <c r="AD119" s="974"/>
      <c r="AE119" s="974"/>
      <c r="AF119" s="974"/>
      <c r="AG119" s="974"/>
      <c r="AH119" s="975">
        <f>Baza!C27</f>
        <v>245707</v>
      </c>
      <c r="AI119" s="975"/>
      <c r="AJ119" s="975"/>
      <c r="AK119" s="975"/>
      <c r="AL119" s="975"/>
      <c r="AM119" s="975"/>
      <c r="AN119" s="975"/>
      <c r="AO119" s="975"/>
      <c r="AP119" s="975"/>
      <c r="AQ119" s="976">
        <f>IFERROR(AH119/$AH$125,"-")</f>
        <v>0.991665724940671</v>
      </c>
      <c r="AR119" s="976"/>
      <c r="AS119" s="976"/>
      <c r="AT119" s="976"/>
    </row>
    <row r="120" ht="19.5" customHeight="1" spans="1:46">
      <c r="A120" s="977">
        <v>2</v>
      </c>
      <c r="B120" s="974" t="str">
        <f>IF(AH120=0,"-",Baza!B28)</f>
        <v>Finansijski rashodi (AOP 247)</v>
      </c>
      <c r="C120" s="974"/>
      <c r="D120" s="974"/>
      <c r="E120" s="974"/>
      <c r="F120" s="974"/>
      <c r="G120" s="974"/>
      <c r="H120" s="974"/>
      <c r="I120" s="974"/>
      <c r="J120" s="974"/>
      <c r="K120" s="974"/>
      <c r="L120" s="974"/>
      <c r="M120" s="974"/>
      <c r="N120" s="974"/>
      <c r="O120" s="974"/>
      <c r="P120" s="974"/>
      <c r="Q120" s="974"/>
      <c r="R120" s="974"/>
      <c r="S120" s="974"/>
      <c r="T120" s="974"/>
      <c r="U120" s="974"/>
      <c r="V120" s="974"/>
      <c r="W120" s="974"/>
      <c r="X120" s="974"/>
      <c r="Y120" s="974"/>
      <c r="Z120" s="974"/>
      <c r="AA120" s="974"/>
      <c r="AB120" s="974"/>
      <c r="AC120" s="974"/>
      <c r="AD120" s="974"/>
      <c r="AE120" s="974"/>
      <c r="AF120" s="974"/>
      <c r="AG120" s="974"/>
      <c r="AH120" s="978">
        <f>Baza!C28</f>
        <v>1319</v>
      </c>
      <c r="AI120" s="978"/>
      <c r="AJ120" s="978"/>
      <c r="AK120" s="978"/>
      <c r="AL120" s="978"/>
      <c r="AM120" s="978"/>
      <c r="AN120" s="978"/>
      <c r="AO120" s="978"/>
      <c r="AP120" s="978"/>
      <c r="AQ120" s="976">
        <f>IFERROR(AH120/$AH$125,"-")</f>
        <v>0.00532344251973589</v>
      </c>
      <c r="AR120" s="976"/>
      <c r="AS120" s="976"/>
      <c r="AT120" s="976"/>
    </row>
    <row r="121" ht="19.5" customHeight="1" spans="1:46">
      <c r="A121" s="977">
        <v>3</v>
      </c>
      <c r="B121" s="974" t="str">
        <f>IF(AH121=0,"-",Baza!B29)</f>
        <v>Ostali prihodi i dobici (AOP 251)</v>
      </c>
      <c r="C121" s="974"/>
      <c r="D121" s="974"/>
      <c r="E121" s="974"/>
      <c r="F121" s="974"/>
      <c r="G121" s="974"/>
      <c r="H121" s="974"/>
      <c r="I121" s="974"/>
      <c r="J121" s="974"/>
      <c r="K121" s="974"/>
      <c r="L121" s="974"/>
      <c r="M121" s="974"/>
      <c r="N121" s="974"/>
      <c r="O121" s="974"/>
      <c r="P121" s="974"/>
      <c r="Q121" s="974"/>
      <c r="R121" s="974"/>
      <c r="S121" s="974"/>
      <c r="T121" s="974"/>
      <c r="U121" s="974"/>
      <c r="V121" s="974"/>
      <c r="W121" s="974"/>
      <c r="X121" s="974"/>
      <c r="Y121" s="974"/>
      <c r="Z121" s="974"/>
      <c r="AA121" s="974"/>
      <c r="AB121" s="974"/>
      <c r="AC121" s="974"/>
      <c r="AD121" s="974"/>
      <c r="AE121" s="974"/>
      <c r="AF121" s="974"/>
      <c r="AG121" s="974"/>
      <c r="AH121" s="978">
        <f>Baza!C29</f>
        <v>746</v>
      </c>
      <c r="AI121" s="978"/>
      <c r="AJ121" s="978"/>
      <c r="AK121" s="978"/>
      <c r="AL121" s="978"/>
      <c r="AM121" s="978"/>
      <c r="AN121" s="978"/>
      <c r="AO121" s="978"/>
      <c r="AP121" s="978"/>
      <c r="AQ121" s="976">
        <f t="shared" ref="AQ121:AQ125" si="0">IFERROR(AH121/$AH$125,"-")</f>
        <v>0.00301083253959285</v>
      </c>
      <c r="AR121" s="976"/>
      <c r="AS121" s="976"/>
      <c r="AT121" s="976"/>
    </row>
    <row r="122" ht="19.5" customHeight="1" spans="1:46">
      <c r="A122" s="977">
        <v>4</v>
      </c>
      <c r="B122" s="974" t="str">
        <f>IF(AH122=0,"-",Baza!B30)</f>
        <v>-</v>
      </c>
      <c r="C122" s="974"/>
      <c r="D122" s="974"/>
      <c r="E122" s="974"/>
      <c r="F122" s="974"/>
      <c r="G122" s="974"/>
      <c r="H122" s="974"/>
      <c r="I122" s="974"/>
      <c r="J122" s="974"/>
      <c r="K122" s="974"/>
      <c r="L122" s="974"/>
      <c r="M122" s="974"/>
      <c r="N122" s="974"/>
      <c r="O122" s="974"/>
      <c r="P122" s="974"/>
      <c r="Q122" s="974"/>
      <c r="R122" s="974"/>
      <c r="S122" s="974"/>
      <c r="T122" s="974"/>
      <c r="U122" s="974"/>
      <c r="V122" s="974"/>
      <c r="W122" s="974"/>
      <c r="X122" s="974"/>
      <c r="Y122" s="974"/>
      <c r="Z122" s="974"/>
      <c r="AA122" s="974"/>
      <c r="AB122" s="974"/>
      <c r="AC122" s="974"/>
      <c r="AD122" s="974"/>
      <c r="AE122" s="974"/>
      <c r="AF122" s="974"/>
      <c r="AG122" s="974"/>
      <c r="AH122" s="978">
        <f>Baza!C30</f>
        <v>0</v>
      </c>
      <c r="AI122" s="978"/>
      <c r="AJ122" s="978"/>
      <c r="AK122" s="978"/>
      <c r="AL122" s="978"/>
      <c r="AM122" s="978"/>
      <c r="AN122" s="978"/>
      <c r="AO122" s="978"/>
      <c r="AP122" s="978"/>
      <c r="AQ122" s="976">
        <f t="shared" si="0"/>
        <v>0</v>
      </c>
      <c r="AR122" s="976"/>
      <c r="AS122" s="976"/>
      <c r="AT122" s="976"/>
    </row>
    <row r="123" ht="19.5" customHeight="1" spans="1:46">
      <c r="A123" s="977">
        <v>5</v>
      </c>
      <c r="B123" s="974" t="str">
        <f>IF(AH123=0,"-",Baza!B31)</f>
        <v>-</v>
      </c>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8">
        <f>Baza!C31</f>
        <v>0</v>
      </c>
      <c r="AI123" s="978"/>
      <c r="AJ123" s="978"/>
      <c r="AK123" s="978"/>
      <c r="AL123" s="978"/>
      <c r="AM123" s="978"/>
      <c r="AN123" s="978"/>
      <c r="AO123" s="978"/>
      <c r="AP123" s="978"/>
      <c r="AQ123" s="976">
        <f t="shared" si="0"/>
        <v>0</v>
      </c>
      <c r="AR123" s="976"/>
      <c r="AS123" s="976"/>
      <c r="AT123" s="976"/>
    </row>
    <row r="124" ht="19.5" customHeight="1" spans="1:46">
      <c r="A124" s="979">
        <v>6</v>
      </c>
      <c r="B124" s="974" t="str">
        <f>IF(AH124=0,"-","Ostali prihodi")</f>
        <v>-</v>
      </c>
      <c r="C124" s="974"/>
      <c r="D124" s="974"/>
      <c r="E124" s="974"/>
      <c r="F124" s="974"/>
      <c r="G124" s="974"/>
      <c r="H124" s="974"/>
      <c r="I124" s="974"/>
      <c r="J124" s="974"/>
      <c r="K124" s="974"/>
      <c r="L124" s="974"/>
      <c r="M124" s="974"/>
      <c r="N124" s="974"/>
      <c r="O124" s="974"/>
      <c r="P124" s="974"/>
      <c r="Q124" s="974"/>
      <c r="R124" s="974"/>
      <c r="S124" s="974"/>
      <c r="T124" s="974"/>
      <c r="U124" s="974"/>
      <c r="V124" s="974"/>
      <c r="W124" s="974"/>
      <c r="X124" s="974"/>
      <c r="Y124" s="974"/>
      <c r="Z124" s="974"/>
      <c r="AA124" s="974"/>
      <c r="AB124" s="974"/>
      <c r="AC124" s="974"/>
      <c r="AD124" s="974"/>
      <c r="AE124" s="974"/>
      <c r="AF124" s="974"/>
      <c r="AG124" s="974"/>
      <c r="AH124" s="980">
        <f>Baza!C32</f>
        <v>0</v>
      </c>
      <c r="AI124" s="980"/>
      <c r="AJ124" s="980"/>
      <c r="AK124" s="980"/>
      <c r="AL124" s="980"/>
      <c r="AM124" s="980"/>
      <c r="AN124" s="980"/>
      <c r="AO124" s="980"/>
      <c r="AP124" s="980"/>
      <c r="AQ124" s="981">
        <f t="shared" si="0"/>
        <v>0</v>
      </c>
      <c r="AR124" s="981"/>
      <c r="AS124" s="981"/>
      <c r="AT124" s="981"/>
    </row>
    <row r="125" ht="19.5" customHeight="1" spans="1:46">
      <c r="A125" s="982">
        <v>7</v>
      </c>
      <c r="B125" s="983" t="s">
        <v>22</v>
      </c>
      <c r="C125" s="983"/>
      <c r="D125" s="983"/>
      <c r="E125" s="983"/>
      <c r="F125" s="983"/>
      <c r="G125" s="983"/>
      <c r="H125" s="983"/>
      <c r="I125" s="983"/>
      <c r="J125" s="983"/>
      <c r="K125" s="983"/>
      <c r="L125" s="983"/>
      <c r="M125" s="983"/>
      <c r="N125" s="983"/>
      <c r="O125" s="983"/>
      <c r="P125" s="983"/>
      <c r="Q125" s="983"/>
      <c r="R125" s="983"/>
      <c r="S125" s="983"/>
      <c r="T125" s="983"/>
      <c r="U125" s="983"/>
      <c r="V125" s="983"/>
      <c r="W125" s="983"/>
      <c r="X125" s="983"/>
      <c r="Y125" s="983"/>
      <c r="Z125" s="983"/>
      <c r="AA125" s="983"/>
      <c r="AB125" s="983"/>
      <c r="AC125" s="983"/>
      <c r="AD125" s="983"/>
      <c r="AE125" s="983"/>
      <c r="AF125" s="983"/>
      <c r="AG125" s="983"/>
      <c r="AH125" s="984">
        <f>Baza!C33</f>
        <v>247772</v>
      </c>
      <c r="AI125" s="984"/>
      <c r="AJ125" s="984"/>
      <c r="AK125" s="984"/>
      <c r="AL125" s="984"/>
      <c r="AM125" s="984"/>
      <c r="AN125" s="984"/>
      <c r="AO125" s="984"/>
      <c r="AP125" s="984"/>
      <c r="AQ125" s="985">
        <f t="shared" si="0"/>
        <v>1</v>
      </c>
      <c r="AR125" s="985"/>
      <c r="AS125" s="985"/>
      <c r="AT125" s="985"/>
    </row>
    <row r="126" ht="19.5" customHeight="1" spans="1:46">
      <c r="A126" s="986"/>
      <c r="B126" s="987"/>
      <c r="C126" s="987"/>
      <c r="D126" s="987"/>
      <c r="E126" s="987"/>
      <c r="F126" s="987"/>
      <c r="G126" s="987"/>
      <c r="H126" s="987"/>
      <c r="I126" s="987"/>
      <c r="J126" s="987"/>
      <c r="K126" s="987"/>
      <c r="L126" s="987"/>
      <c r="M126" s="987"/>
      <c r="N126" s="987"/>
      <c r="O126" s="987"/>
      <c r="P126" s="987"/>
      <c r="Q126" s="987"/>
      <c r="R126" s="987"/>
      <c r="S126" s="987"/>
      <c r="T126" s="987"/>
      <c r="U126" s="987"/>
      <c r="V126" s="987"/>
      <c r="W126" s="987"/>
      <c r="X126" s="987"/>
      <c r="Y126" s="987"/>
      <c r="Z126" s="987"/>
      <c r="AA126" s="987"/>
      <c r="AB126" s="987"/>
      <c r="AC126" s="987"/>
      <c r="AD126" s="987"/>
      <c r="AE126" s="987"/>
      <c r="AF126" s="987"/>
      <c r="AG126" s="987"/>
      <c r="AH126" s="988"/>
      <c r="AI126" s="988"/>
      <c r="AJ126" s="988"/>
      <c r="AK126" s="988"/>
      <c r="AL126" s="988"/>
      <c r="AM126" s="988"/>
      <c r="AN126" s="988"/>
      <c r="AO126" s="988"/>
      <c r="AP126" s="988"/>
      <c r="AQ126" s="989"/>
      <c r="AR126" s="989"/>
      <c r="AS126" s="989"/>
      <c r="AT126" s="989"/>
    </row>
    <row r="127" ht="19.5" customHeight="1" spans="1:46">
      <c r="A127" s="986"/>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987"/>
      <c r="Y127" s="987"/>
      <c r="Z127" s="987"/>
      <c r="AA127" s="987"/>
      <c r="AB127" s="987"/>
      <c r="AC127" s="987"/>
      <c r="AD127" s="987"/>
      <c r="AE127" s="987"/>
      <c r="AF127" s="987"/>
      <c r="AG127" s="987"/>
      <c r="AH127" s="988"/>
      <c r="AI127" s="988"/>
      <c r="AJ127" s="988"/>
      <c r="AK127" s="988"/>
      <c r="AL127" s="988"/>
      <c r="AM127" s="988"/>
      <c r="AN127" s="988"/>
      <c r="AO127" s="988"/>
      <c r="AP127" s="988"/>
      <c r="AQ127" s="989"/>
      <c r="AR127" s="989"/>
      <c r="AS127" s="989"/>
      <c r="AT127" s="989"/>
    </row>
    <row r="128" ht="19.5" customHeight="1" spans="1:46">
      <c r="A128" s="907" t="s">
        <v>7606</v>
      </c>
      <c r="B128" s="907"/>
      <c r="C128" s="987"/>
      <c r="D128" s="987"/>
      <c r="E128" s="987"/>
      <c r="F128" s="987"/>
      <c r="G128" s="987"/>
      <c r="H128" s="987"/>
      <c r="I128" s="987"/>
      <c r="J128" s="987"/>
      <c r="K128" s="987"/>
      <c r="L128" s="987"/>
      <c r="M128" s="987"/>
      <c r="N128" s="987"/>
      <c r="O128" s="987"/>
      <c r="P128" s="987"/>
      <c r="Q128" s="987"/>
      <c r="R128" s="987"/>
      <c r="S128" s="987"/>
      <c r="T128" s="987"/>
      <c r="U128" s="987"/>
      <c r="V128" s="987"/>
      <c r="W128" s="987"/>
      <c r="X128" s="987"/>
      <c r="Y128" s="987"/>
      <c r="Z128" s="987"/>
      <c r="AA128" s="987"/>
      <c r="AB128" s="987"/>
      <c r="AC128" s="987"/>
      <c r="AD128" s="987"/>
      <c r="AE128" s="987"/>
      <c r="AF128" s="987"/>
      <c r="AG128" s="987"/>
      <c r="AH128" s="988"/>
      <c r="AI128" s="988"/>
      <c r="AJ128" s="988"/>
      <c r="AK128" s="988"/>
      <c r="AL128" s="988"/>
      <c r="AM128" s="988"/>
      <c r="AN128" s="988"/>
      <c r="AO128" s="988"/>
      <c r="AP128" s="988"/>
      <c r="AQ128" s="989"/>
      <c r="AR128" s="989"/>
      <c r="AS128" s="989"/>
      <c r="AT128" s="989"/>
    </row>
    <row r="129" ht="14.25" spans="1:29">
      <c r="A129" s="570"/>
      <c r="B129" s="570"/>
      <c r="C129" s="570"/>
      <c r="E129" s="570"/>
      <c r="F129" s="570"/>
      <c r="G129" s="570"/>
      <c r="H129" s="570"/>
      <c r="I129" s="570"/>
      <c r="J129" s="570"/>
      <c r="K129" s="570"/>
      <c r="L129" s="570"/>
      <c r="M129" s="570"/>
      <c r="N129" s="570"/>
    </row>
    <row r="130" ht="14.25" spans="1:29">
      <c r="A130" s="570"/>
      <c r="B130" s="570"/>
      <c r="C130" s="570"/>
      <c r="E130" s="570"/>
      <c r="F130" s="570"/>
      <c r="G130" s="570"/>
      <c r="H130" s="570"/>
      <c r="I130" s="570"/>
      <c r="J130" s="570"/>
      <c r="K130" s="570"/>
      <c r="L130" s="570"/>
      <c r="M130" s="570"/>
      <c r="N130" s="570"/>
    </row>
    <row r="131" ht="14.25" spans="1:29">
      <c r="A131" s="570"/>
      <c r="B131" s="570"/>
      <c r="C131" s="570"/>
      <c r="E131" s="570"/>
      <c r="F131" s="570"/>
      <c r="G131" s="570"/>
      <c r="H131" s="570"/>
      <c r="I131" s="570"/>
      <c r="J131" s="570"/>
      <c r="K131" s="570"/>
      <c r="L131" s="570"/>
      <c r="M131" s="570"/>
      <c r="N131" s="570"/>
    </row>
    <row r="132" ht="14.25" spans="1:29">
      <c r="A132" s="570"/>
      <c r="B132" s="570"/>
      <c r="C132" s="570"/>
      <c r="E132" s="570"/>
      <c r="F132" s="570"/>
      <c r="G132" s="570"/>
      <c r="H132" s="570"/>
      <c r="I132" s="570"/>
      <c r="J132" s="570"/>
      <c r="K132" s="570"/>
      <c r="L132" s="570"/>
      <c r="M132" s="570"/>
      <c r="N132" s="570"/>
    </row>
    <row r="133" ht="14.25" spans="1:29">
      <c r="A133" s="570"/>
      <c r="B133" s="570"/>
      <c r="C133" s="570"/>
      <c r="E133" s="570"/>
      <c r="F133" s="570"/>
      <c r="G133" s="570"/>
      <c r="H133" s="570"/>
      <c r="I133" s="570"/>
      <c r="J133" s="570"/>
      <c r="K133" s="570"/>
      <c r="L133" s="570"/>
      <c r="M133" s="570"/>
      <c r="N133" s="570"/>
    </row>
    <row r="134" ht="14.25" spans="1:29">
      <c r="A134" s="570"/>
      <c r="B134" s="570"/>
      <c r="C134" s="570"/>
      <c r="E134" s="570"/>
      <c r="F134" s="570"/>
      <c r="G134" s="570"/>
      <c r="H134" s="570"/>
      <c r="I134" s="570"/>
      <c r="J134" s="570"/>
      <c r="K134" s="570"/>
      <c r="L134" s="570"/>
      <c r="M134" s="570"/>
      <c r="N134" s="570"/>
      <c r="AB134" t="str">
        <f t="shared" ref="AB134:AB139" si="1">B119</f>
        <v>Prihodi od pruženih usluga na domaćem tržištu (AOP 209)</v>
      </c>
      <c r="AC134" s="959">
        <f t="shared" ref="AC134:AC139" si="2">AH119</f>
        <v>245707</v>
      </c>
    </row>
    <row r="135" ht="14.25" spans="1:29">
      <c r="A135" s="570"/>
      <c r="B135" s="570"/>
      <c r="C135" s="570"/>
      <c r="E135" s="570"/>
      <c r="F135" s="570"/>
      <c r="G135" s="570"/>
      <c r="H135" s="570"/>
      <c r="I135" s="570"/>
      <c r="J135" s="570"/>
      <c r="K135" s="570"/>
      <c r="L135" s="570"/>
      <c r="M135" s="570"/>
      <c r="N135" s="570"/>
      <c r="AB135" t="str">
        <f t="shared" si="1"/>
        <v>Finansijski rashodi (AOP 247)</v>
      </c>
      <c r="AC135" s="959">
        <f t="shared" si="2"/>
        <v>1319</v>
      </c>
    </row>
    <row r="136" ht="14.25" spans="1:29">
      <c r="A136" s="570"/>
      <c r="B136" s="570"/>
      <c r="C136" s="570"/>
      <c r="E136" s="570"/>
      <c r="F136" s="570"/>
      <c r="G136" s="570"/>
      <c r="H136" s="570"/>
      <c r="I136" s="570"/>
      <c r="J136" s="570"/>
      <c r="K136" s="570"/>
      <c r="L136" s="570"/>
      <c r="M136" s="570"/>
      <c r="N136" s="570"/>
      <c r="AB136" t="str">
        <f t="shared" si="1"/>
        <v>Ostali prihodi i dobici (AOP 251)</v>
      </c>
      <c r="AC136" s="959">
        <f t="shared" si="2"/>
        <v>746</v>
      </c>
    </row>
    <row r="137" ht="14.25" spans="1:29">
      <c r="A137" s="570"/>
      <c r="B137" s="570"/>
      <c r="C137" s="570"/>
      <c r="E137" s="570"/>
      <c r="F137" s="570"/>
      <c r="G137" s="570"/>
      <c r="H137" s="570"/>
      <c r="I137" s="570"/>
      <c r="J137" s="570"/>
      <c r="K137" s="570"/>
      <c r="L137" s="570"/>
      <c r="M137" s="570"/>
      <c r="N137" s="570"/>
      <c r="AB137" t="str">
        <f t="shared" si="1"/>
        <v>-</v>
      </c>
      <c r="AC137" s="959">
        <f t="shared" si="2"/>
        <v>0</v>
      </c>
    </row>
    <row r="138" ht="14.25" spans="1:29">
      <c r="A138" s="570"/>
      <c r="B138" s="570"/>
      <c r="C138" s="570"/>
      <c r="E138" s="570"/>
      <c r="F138" s="570"/>
      <c r="G138" s="570"/>
      <c r="H138" s="570"/>
      <c r="I138" s="570"/>
      <c r="J138" s="570"/>
      <c r="K138" s="570"/>
      <c r="L138" s="570"/>
      <c r="M138" s="570"/>
      <c r="N138" s="570"/>
      <c r="AB138" t="str">
        <f t="shared" si="1"/>
        <v>-</v>
      </c>
      <c r="AC138" s="959">
        <f t="shared" si="2"/>
        <v>0</v>
      </c>
    </row>
    <row r="139" ht="14.25" spans="1:29">
      <c r="A139" s="570"/>
      <c r="B139" s="570"/>
      <c r="C139" s="570"/>
      <c r="E139" s="570"/>
      <c r="F139" s="570"/>
      <c r="G139" s="570"/>
      <c r="H139" s="570"/>
      <c r="I139" s="570"/>
      <c r="J139" s="570"/>
      <c r="K139" s="570"/>
      <c r="L139" s="570"/>
      <c r="M139" s="570"/>
      <c r="N139" s="570"/>
      <c r="AB139" t="str">
        <f t="shared" si="1"/>
        <v>-</v>
      </c>
      <c r="AC139" s="959">
        <f t="shared" si="2"/>
        <v>0</v>
      </c>
    </row>
    <row r="140" ht="14.25" spans="1:29">
      <c r="A140" s="570"/>
      <c r="B140" s="570"/>
      <c r="C140" s="570"/>
      <c r="E140" s="570"/>
      <c r="F140" s="570"/>
      <c r="G140" s="570"/>
      <c r="H140" s="570"/>
      <c r="I140" s="570"/>
      <c r="J140" s="570"/>
      <c r="K140" s="570"/>
      <c r="L140" s="570"/>
      <c r="M140" s="570"/>
      <c r="N140" s="570"/>
    </row>
    <row r="141" ht="14.25" spans="1:29">
      <c r="A141" s="570"/>
      <c r="B141" s="570"/>
      <c r="C141" s="570"/>
      <c r="E141" s="570"/>
      <c r="F141" s="570"/>
      <c r="G141" s="570"/>
      <c r="H141" s="570"/>
      <c r="I141" s="570"/>
      <c r="J141" s="570"/>
      <c r="K141" s="570"/>
      <c r="L141" s="570"/>
      <c r="M141" s="570"/>
      <c r="N141" s="570"/>
    </row>
    <row r="142" ht="14.25" spans="1:29">
      <c r="A142" s="570"/>
      <c r="B142" s="570"/>
      <c r="C142" s="570"/>
      <c r="E142" s="570"/>
      <c r="F142" s="570"/>
      <c r="G142" s="570"/>
      <c r="H142" s="570"/>
      <c r="I142" s="570"/>
      <c r="J142" s="570"/>
      <c r="K142" s="570"/>
      <c r="L142" s="570"/>
      <c r="M142" s="570"/>
      <c r="N142" s="570"/>
    </row>
    <row r="143" ht="14.25" spans="1:29">
      <c r="A143" s="570"/>
      <c r="B143" s="570"/>
      <c r="C143" s="570"/>
      <c r="E143" s="570"/>
      <c r="F143" s="570"/>
      <c r="G143" s="570"/>
      <c r="H143" s="570"/>
      <c r="I143" s="570"/>
      <c r="J143" s="570"/>
      <c r="K143" s="570"/>
      <c r="L143" s="570"/>
      <c r="M143" s="570"/>
      <c r="N143" s="570"/>
    </row>
    <row r="144" ht="14.25" spans="1:29">
      <c r="A144" s="570"/>
      <c r="B144" s="570"/>
      <c r="C144" s="570"/>
      <c r="E144" s="570"/>
      <c r="F144" s="570"/>
      <c r="G144" s="570"/>
      <c r="H144" s="570"/>
      <c r="I144" s="570"/>
      <c r="J144" s="570"/>
      <c r="K144" s="570"/>
      <c r="L144" s="570"/>
      <c r="M144" s="570"/>
      <c r="N144" s="570"/>
    </row>
    <row r="145" ht="14.25" spans="1:14">
      <c r="A145" s="570"/>
      <c r="B145" s="570"/>
      <c r="C145" s="570"/>
      <c r="E145" s="570"/>
      <c r="F145" s="570"/>
      <c r="G145" s="570"/>
      <c r="H145" s="570"/>
      <c r="I145" s="570"/>
      <c r="J145" s="570"/>
      <c r="K145" s="570"/>
      <c r="L145" s="570"/>
      <c r="M145" s="570"/>
      <c r="N145" s="570"/>
    </row>
    <row r="146" ht="15.75" spans="1:14">
      <c r="A146" s="908"/>
      <c r="B146" s="908"/>
      <c r="C146" s="908"/>
      <c r="D146" s="908"/>
      <c r="E146" s="908"/>
      <c r="F146" s="908"/>
      <c r="G146" s="908"/>
      <c r="H146" s="908"/>
      <c r="I146" s="908"/>
      <c r="J146" s="908"/>
      <c r="K146" s="908"/>
      <c r="L146" s="908"/>
    </row>
    <row r="147" ht="15.75" spans="1:14">
      <c r="A147" s="908"/>
      <c r="B147" s="908"/>
      <c r="C147" s="908"/>
      <c r="D147" s="908"/>
      <c r="E147" s="908"/>
      <c r="F147" s="908"/>
      <c r="G147" s="908"/>
      <c r="H147" s="908"/>
      <c r="I147" s="908"/>
      <c r="J147" s="908"/>
      <c r="K147" s="908"/>
      <c r="L147" s="908"/>
    </row>
    <row r="148" ht="15.75" spans="1:14">
      <c r="A148" s="908"/>
      <c r="B148" s="908"/>
      <c r="C148" s="908"/>
      <c r="D148" s="908"/>
      <c r="E148" s="908"/>
      <c r="F148" s="908"/>
      <c r="G148" s="908"/>
      <c r="H148" s="908"/>
      <c r="I148" s="908"/>
      <c r="J148" s="908"/>
      <c r="K148" s="908"/>
      <c r="L148" s="908"/>
    </row>
    <row r="149" ht="15.75" spans="1:14">
      <c r="A149" s="908"/>
      <c r="B149" s="908"/>
      <c r="C149" s="908"/>
      <c r="D149" s="908"/>
      <c r="E149" s="908"/>
      <c r="F149" s="908"/>
      <c r="G149" s="908"/>
      <c r="H149" s="908"/>
      <c r="I149" s="908"/>
      <c r="J149" s="908"/>
      <c r="K149" s="908"/>
      <c r="L149" s="908"/>
    </row>
    <row r="150" ht="15.75" spans="1:14">
      <c r="A150" s="908"/>
      <c r="B150" s="908"/>
      <c r="C150" s="908"/>
      <c r="D150" s="908"/>
      <c r="E150" s="908"/>
      <c r="F150" s="908"/>
      <c r="G150" s="908"/>
      <c r="H150" s="908"/>
      <c r="I150" s="908"/>
      <c r="J150" s="908"/>
      <c r="K150" s="908"/>
      <c r="L150" s="908"/>
    </row>
    <row r="151" ht="15.75" spans="1:14">
      <c r="A151" s="908"/>
      <c r="B151" s="908"/>
      <c r="C151" s="908"/>
      <c r="D151" s="908"/>
      <c r="E151" s="908"/>
      <c r="F151" s="908"/>
      <c r="G151" s="908"/>
      <c r="H151" s="908"/>
      <c r="I151" s="908"/>
      <c r="J151" s="908"/>
      <c r="K151" s="908"/>
      <c r="L151" s="908"/>
    </row>
    <row r="152" ht="15.75" spans="1:14">
      <c r="A152" s="908"/>
      <c r="B152" s="908"/>
      <c r="C152" s="908"/>
      <c r="D152" s="908"/>
      <c r="E152" s="908"/>
      <c r="F152" s="908"/>
      <c r="G152" s="908"/>
      <c r="H152" s="908"/>
      <c r="I152" s="908"/>
      <c r="J152" s="908"/>
      <c r="K152" s="908"/>
      <c r="L152" s="908"/>
    </row>
    <row r="153" ht="15.75" spans="1:14">
      <c r="A153" s="908"/>
      <c r="B153" s="908"/>
      <c r="C153" s="908"/>
      <c r="D153" s="908"/>
      <c r="E153" s="908"/>
      <c r="F153" s="908"/>
      <c r="G153" s="908"/>
      <c r="H153" s="908"/>
      <c r="I153" s="908"/>
      <c r="J153" s="908"/>
      <c r="K153" s="908"/>
      <c r="L153" s="908"/>
    </row>
    <row r="154" ht="15.75" spans="1:14">
      <c r="A154" s="908"/>
      <c r="B154" s="908"/>
      <c r="C154" s="908"/>
      <c r="D154" s="908"/>
      <c r="E154" s="908"/>
      <c r="F154" s="908"/>
      <c r="G154" s="908"/>
      <c r="H154" s="908"/>
      <c r="I154" s="908"/>
      <c r="J154" s="908"/>
      <c r="K154" s="908"/>
      <c r="L154" s="908"/>
    </row>
    <row r="155" ht="15.75" spans="1:14">
      <c r="A155" s="908"/>
      <c r="B155" s="908"/>
      <c r="C155" s="908"/>
      <c r="D155" s="908"/>
      <c r="E155" s="908"/>
      <c r="F155" s="908"/>
      <c r="G155" s="908"/>
      <c r="H155" s="908"/>
      <c r="I155" s="908"/>
      <c r="J155" s="908"/>
      <c r="K155" s="908"/>
      <c r="L155" s="908"/>
    </row>
    <row r="156" ht="15.75" spans="1:14">
      <c r="A156" s="908"/>
      <c r="B156" s="908"/>
      <c r="C156" s="908"/>
      <c r="D156" s="908"/>
      <c r="E156" s="908"/>
      <c r="F156" s="908"/>
      <c r="G156" s="908"/>
      <c r="H156" s="908"/>
      <c r="I156" s="908"/>
      <c r="J156" s="908"/>
      <c r="K156" s="908"/>
      <c r="L156" s="908"/>
    </row>
    <row r="157" ht="15.75" spans="1:14">
      <c r="A157" s="908"/>
      <c r="B157" s="908"/>
      <c r="C157" s="908"/>
      <c r="D157" s="908"/>
      <c r="E157" s="908"/>
      <c r="F157" s="908"/>
      <c r="G157" s="908"/>
      <c r="H157" s="908"/>
      <c r="I157" s="908"/>
      <c r="J157" s="908"/>
      <c r="K157" s="908"/>
      <c r="L157" s="908"/>
    </row>
    <row r="158" ht="15.75" spans="1:14">
      <c r="A158" s="908"/>
      <c r="B158" s="908"/>
      <c r="C158" s="908"/>
      <c r="D158" s="908"/>
      <c r="E158" s="908"/>
      <c r="F158" s="908"/>
      <c r="G158" s="908"/>
      <c r="H158" s="908"/>
      <c r="I158" s="908"/>
      <c r="J158" s="908"/>
      <c r="K158" s="908"/>
      <c r="L158" s="908"/>
    </row>
    <row r="159" ht="15.75" spans="1:14">
      <c r="A159" s="908"/>
      <c r="B159" s="908"/>
      <c r="C159" s="908"/>
      <c r="D159" s="908"/>
      <c r="E159" s="908"/>
      <c r="F159" s="908"/>
      <c r="G159" s="908"/>
      <c r="H159" s="908"/>
      <c r="I159" s="908"/>
      <c r="J159" s="908"/>
      <c r="K159" s="908"/>
      <c r="L159" s="908"/>
    </row>
    <row r="160" ht="15.75" spans="1:14">
      <c r="A160" s="908"/>
      <c r="B160" s="908"/>
      <c r="C160" s="908"/>
      <c r="D160" s="908"/>
      <c r="E160" s="908"/>
      <c r="F160" s="908"/>
      <c r="G160" s="908"/>
      <c r="H160" s="908"/>
      <c r="I160" s="908"/>
      <c r="J160" s="908"/>
      <c r="K160" s="908"/>
      <c r="L160" s="908"/>
    </row>
    <row r="161" ht="15.75" spans="1:46">
      <c r="A161" s="908"/>
      <c r="B161" s="908"/>
      <c r="C161" s="908"/>
      <c r="D161" s="908"/>
      <c r="E161" s="908"/>
      <c r="F161" s="908"/>
      <c r="G161" s="908"/>
      <c r="H161" s="908"/>
      <c r="I161" s="908"/>
      <c r="J161" s="908"/>
      <c r="K161" s="908"/>
      <c r="L161" s="908"/>
    </row>
    <row r="162" ht="15.75" spans="1:46">
      <c r="A162" s="908"/>
      <c r="B162" s="908"/>
      <c r="C162" s="908"/>
      <c r="D162" s="908"/>
      <c r="E162" s="908"/>
      <c r="F162" s="908"/>
      <c r="G162" s="908"/>
      <c r="H162" s="908"/>
      <c r="I162" s="908"/>
      <c r="J162" s="908"/>
      <c r="K162" s="908"/>
      <c r="L162" s="908"/>
    </row>
    <row r="163" ht="15.75" spans="1:46">
      <c r="A163" s="908"/>
      <c r="B163" s="908"/>
      <c r="C163" s="908"/>
      <c r="D163" s="908"/>
      <c r="E163" s="908"/>
      <c r="F163" s="908"/>
      <c r="G163" s="908"/>
      <c r="H163" s="908"/>
      <c r="I163" s="908"/>
      <c r="J163" s="908"/>
      <c r="K163" s="908"/>
      <c r="L163" s="908"/>
    </row>
    <row r="164" ht="15.75" spans="1:46">
      <c r="A164" s="908"/>
      <c r="B164" s="908"/>
      <c r="C164" s="908"/>
      <c r="D164" s="908"/>
      <c r="E164" s="908"/>
      <c r="F164" s="908"/>
      <c r="G164" s="908"/>
      <c r="H164" s="908"/>
      <c r="I164" s="908"/>
      <c r="J164" s="908"/>
      <c r="K164" s="908"/>
      <c r="L164" s="908"/>
    </row>
    <row r="165" ht="15.75" spans="1:46">
      <c r="A165" s="908"/>
      <c r="B165" s="908"/>
      <c r="C165" s="908"/>
      <c r="D165" s="908"/>
      <c r="E165" s="908"/>
      <c r="F165" s="908"/>
      <c r="G165" s="908"/>
      <c r="H165" s="908"/>
      <c r="I165" s="908"/>
      <c r="J165" s="908"/>
      <c r="K165" s="908"/>
      <c r="L165" s="908"/>
    </row>
    <row r="166" ht="15.75" spans="1:46">
      <c r="A166" s="908"/>
      <c r="B166" s="908"/>
      <c r="C166" s="908"/>
      <c r="D166" s="908"/>
      <c r="E166" s="908"/>
      <c r="F166" s="908"/>
      <c r="G166" s="908"/>
      <c r="H166" s="908"/>
      <c r="I166" s="908"/>
      <c r="J166" s="908"/>
      <c r="K166" s="908"/>
      <c r="L166" s="908"/>
    </row>
    <row r="167" ht="15.75" spans="1:46">
      <c r="A167" s="908"/>
      <c r="B167" s="908"/>
      <c r="C167" s="908"/>
      <c r="D167" s="908"/>
      <c r="E167" s="908"/>
      <c r="F167" s="908"/>
      <c r="G167" s="908"/>
      <c r="H167" s="908"/>
      <c r="I167" s="908"/>
      <c r="J167" s="908"/>
      <c r="K167" s="908"/>
      <c r="L167" s="908"/>
    </row>
    <row r="168" ht="15.75" spans="1:46">
      <c r="A168" s="908"/>
      <c r="B168" s="908"/>
      <c r="C168" s="908"/>
      <c r="D168" s="908"/>
      <c r="E168" s="908"/>
      <c r="F168" s="908"/>
      <c r="G168" s="908"/>
      <c r="H168" s="908"/>
      <c r="I168" s="908"/>
      <c r="J168" s="908"/>
      <c r="K168" s="908"/>
      <c r="L168" s="908"/>
    </row>
    <row r="169" s="1" customFormat="1" ht="15.75" spans="1:46">
      <c r="A169" s="571"/>
      <c r="B169" s="571" t="s">
        <v>5774</v>
      </c>
    </row>
    <row r="170" s="1" customFormat="1" ht="15" spans="1:46">
      <c r="A170" s="906"/>
      <c r="B170" s="906"/>
      <c r="C170" s="906"/>
      <c r="D170" s="906"/>
      <c r="E170" s="906"/>
      <c r="F170" s="906"/>
      <c r="G170" s="906"/>
      <c r="H170" s="906"/>
      <c r="I170" s="906"/>
      <c r="J170" s="906"/>
      <c r="K170" s="906"/>
      <c r="L170" s="906"/>
      <c r="M170" s="906"/>
      <c r="N170" s="906"/>
      <c r="O170" s="906"/>
      <c r="P170" s="906"/>
      <c r="Q170" s="906"/>
      <c r="R170" s="906"/>
      <c r="S170" s="906"/>
      <c r="T170" s="906"/>
      <c r="U170" s="906"/>
      <c r="V170" s="906"/>
      <c r="W170" s="906"/>
      <c r="X170" s="906"/>
      <c r="Y170" s="906"/>
      <c r="Z170" s="906"/>
      <c r="AA170" s="906"/>
      <c r="AB170" s="906"/>
      <c r="AC170" s="906"/>
      <c r="AD170" s="906"/>
      <c r="AE170" s="906"/>
      <c r="AF170" s="906"/>
      <c r="AG170" s="906"/>
      <c r="AH170" s="906"/>
      <c r="AI170" s="906"/>
      <c r="AJ170" s="906"/>
      <c r="AK170" s="906"/>
      <c r="AL170" s="906"/>
      <c r="AM170" s="906"/>
      <c r="AN170" s="906"/>
      <c r="AO170" s="906"/>
      <c r="AP170" s="906"/>
      <c r="AQ170" s="906"/>
      <c r="AR170" s="906"/>
      <c r="AS170" s="906"/>
      <c r="AT170" s="906"/>
    </row>
    <row r="171" s="1" customFormat="1" ht="22.5" customHeight="1" spans="1:46">
      <c r="A171" s="906" t="str">
        <f ca="1">IF(AH241=0,"U obračunskom periodu nisu evidentirani rashodi.","Ostvareni neto ukupni rashodi prema bilansu uspjeha u obračunskom periodu "&amp;PoslGod&amp;". godine, iznose: "&amp;TEXT(Baza!C73,"#.## [$KM-141A]")&amp;", što je u odnosu na isti period prethodne godine, "&amp;Baza!H73&amp;" za "&amp;TEXT(Baza!F73,"#.## [$KM-141A]")&amp;" ili "&amp;ROUND(Baza!G73*100,1)&amp;" %.")</f>
        <v>Ostvareni neto ukupni rashodi prema bilansu uspjeha u obračunskom periodu 2025. godine, iznose: 306.969 KM, što je u odnosu na isti period prethodne godine, POVEĆANJE za 21.688 KM ili 7,6 %.</v>
      </c>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c r="AB171" s="906"/>
      <c r="AC171" s="906"/>
      <c r="AD171" s="906"/>
      <c r="AE171" s="906"/>
      <c r="AF171" s="906"/>
      <c r="AG171" s="906"/>
      <c r="AH171" s="906"/>
      <c r="AI171" s="906"/>
      <c r="AJ171" s="906"/>
      <c r="AK171" s="906"/>
      <c r="AL171" s="906"/>
      <c r="AM171" s="906"/>
      <c r="AN171" s="906"/>
      <c r="AO171" s="906"/>
      <c r="AP171" s="906"/>
      <c r="AQ171" s="906"/>
      <c r="AR171" s="906"/>
      <c r="AS171" s="906"/>
      <c r="AT171" s="906"/>
    </row>
    <row r="172" s="1" customFormat="1" ht="22.5" customHeight="1" spans="1:46">
      <c r="A172" s="90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c r="AB172" s="906"/>
      <c r="AC172" s="906"/>
      <c r="AD172" s="906"/>
      <c r="AE172" s="906"/>
      <c r="AF172" s="906"/>
      <c r="AG172" s="906"/>
      <c r="AH172" s="906"/>
      <c r="AI172" s="906"/>
      <c r="AJ172" s="906"/>
      <c r="AK172" s="906"/>
      <c r="AL172" s="906"/>
      <c r="AM172" s="906"/>
      <c r="AN172" s="906"/>
      <c r="AO172" s="906"/>
      <c r="AP172" s="906"/>
      <c r="AQ172" s="906"/>
      <c r="AR172" s="906"/>
      <c r="AS172" s="906"/>
      <c r="AT172" s="906"/>
    </row>
    <row r="173" s="1" customFormat="1" ht="14.25" customHeight="1" spans="1:46">
      <c r="A173" s="90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c r="AB173" s="906"/>
      <c r="AC173" s="906"/>
      <c r="AD173" s="906"/>
      <c r="AE173" s="906"/>
      <c r="AF173" s="906"/>
      <c r="AG173" s="906"/>
      <c r="AH173" s="906"/>
      <c r="AI173" s="906"/>
      <c r="AJ173" s="906"/>
      <c r="AK173" s="906"/>
      <c r="AL173" s="906"/>
      <c r="AM173" s="906"/>
      <c r="AN173" s="906"/>
      <c r="AO173" s="906"/>
      <c r="AP173" s="906"/>
      <c r="AQ173" s="906"/>
      <c r="AR173" s="906"/>
      <c r="AS173" s="906"/>
      <c r="AT173" s="906"/>
    </row>
    <row r="174" s="1" customFormat="1" ht="19.5" customHeight="1" spans="1:46">
      <c r="A174" s="906" t="str">
        <f ca="1">IF(Baza!C74=0,"-","U obračunskom periodu "&amp;PoslGod&amp;". godine, POSLOVNI RASHODI iznose "&amp;TEXT(Baza!C74,"#.## [$KM-141A]")&amp;", što je "&amp;ROUND(Baza!C75*100,1)&amp;"% ukupnih rashoda.")</f>
        <v>U obračunskom periodu 2025. godine, POSLOVNI RASHODI iznose 292.171 KM, što je 95,2% ukupnih rashoda.</v>
      </c>
      <c r="B174" s="906"/>
      <c r="C174" s="906"/>
      <c r="D174" s="906"/>
      <c r="E174" s="906"/>
      <c r="F174" s="906"/>
      <c r="G174" s="906"/>
      <c r="H174" s="906"/>
      <c r="I174" s="906"/>
      <c r="J174" s="906"/>
      <c r="K174" s="906"/>
      <c r="L174" s="906"/>
      <c r="M174" s="906"/>
      <c r="N174" s="906"/>
      <c r="O174" s="906"/>
      <c r="P174" s="906"/>
      <c r="Q174" s="906"/>
      <c r="R174" s="906"/>
      <c r="S174" s="906"/>
      <c r="T174" s="906"/>
      <c r="U174" s="906"/>
      <c r="V174" s="906"/>
      <c r="W174" s="906"/>
      <c r="X174" s="906"/>
      <c r="Y174" s="906"/>
      <c r="Z174" s="906"/>
      <c r="AA174" s="906"/>
      <c r="AB174" s="906"/>
      <c r="AC174" s="906"/>
      <c r="AD174" s="906"/>
      <c r="AE174" s="906"/>
      <c r="AF174" s="906"/>
      <c r="AG174" s="906"/>
      <c r="AH174" s="906"/>
      <c r="AI174" s="906"/>
      <c r="AJ174" s="906"/>
      <c r="AK174" s="906"/>
      <c r="AL174" s="906"/>
      <c r="AM174" s="906"/>
      <c r="AN174" s="906"/>
      <c r="AO174" s="906"/>
      <c r="AP174" s="906"/>
      <c r="AQ174" s="906"/>
      <c r="AR174" s="906"/>
      <c r="AS174" s="906"/>
      <c r="AT174" s="906"/>
    </row>
    <row r="175" s="1" customFormat="1" ht="14.25" customHeight="1" spans="1:46">
      <c r="A175" s="906"/>
      <c r="B175" s="906"/>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c r="AB175" s="906"/>
      <c r="AC175" s="906"/>
      <c r="AD175" s="906"/>
      <c r="AE175" s="906"/>
      <c r="AF175" s="906"/>
      <c r="AG175" s="906"/>
      <c r="AH175" s="906"/>
      <c r="AI175" s="906"/>
      <c r="AJ175" s="906"/>
      <c r="AK175" s="906"/>
      <c r="AL175" s="906"/>
      <c r="AM175" s="906"/>
      <c r="AN175" s="906"/>
      <c r="AO175" s="906"/>
      <c r="AP175" s="906"/>
      <c r="AQ175" s="906"/>
      <c r="AR175" s="906"/>
      <c r="AS175" s="906"/>
      <c r="AT175" s="906"/>
    </row>
    <row r="176" s="1" customFormat="1" ht="14.25" customHeight="1" spans="1:46">
      <c r="A176" s="907" t="str">
        <f>IF(Baza!D74=0,"-","U odnosu na isti period prethodne godine, ovi rashodi imaju "&amp;Baza!H74&amp;" za "&amp;TEXT(Baza!F74,"#.## [$KM-141A]")&amp;" ili "&amp;ROUND(Baza!G74*100,1)&amp;" %.")</f>
        <v>U odnosu na isti period prethodne godine, ovi rashodi imaju POVEĆANJE za 9.364 KM ili 3,3 %.</v>
      </c>
      <c r="B176" s="907"/>
      <c r="C176" s="907"/>
      <c r="D176" s="907"/>
      <c r="E176" s="907"/>
      <c r="F176" s="907"/>
      <c r="G176" s="907"/>
      <c r="H176" s="907"/>
      <c r="I176" s="907"/>
      <c r="J176" s="907"/>
      <c r="K176" s="907"/>
      <c r="L176" s="907"/>
      <c r="M176" s="907"/>
      <c r="N176" s="907"/>
      <c r="O176" s="907"/>
      <c r="P176" s="907"/>
      <c r="Q176" s="907"/>
      <c r="R176" s="907"/>
      <c r="S176" s="907"/>
      <c r="T176" s="907"/>
      <c r="U176" s="907"/>
      <c r="V176" s="907"/>
      <c r="W176" s="907"/>
      <c r="X176" s="907"/>
      <c r="Y176" s="907"/>
      <c r="Z176" s="907"/>
      <c r="AA176" s="907"/>
      <c r="AB176" s="907"/>
      <c r="AC176" s="907"/>
      <c r="AD176" s="907"/>
      <c r="AE176" s="907"/>
      <c r="AF176" s="907"/>
      <c r="AG176" s="907"/>
      <c r="AH176" s="907"/>
      <c r="AI176" s="907"/>
      <c r="AJ176" s="907"/>
      <c r="AK176" s="907"/>
      <c r="AL176" s="907"/>
      <c r="AM176" s="907"/>
      <c r="AN176" s="907"/>
      <c r="AO176" s="907"/>
      <c r="AP176" s="907"/>
      <c r="AQ176" s="907"/>
      <c r="AR176" s="907"/>
      <c r="AS176" s="907"/>
      <c r="AT176" s="907"/>
    </row>
    <row r="177" s="1" customFormat="1" ht="21.75" customHeight="1" spans="1:46">
      <c r="A177" s="906" t="str">
        <f ca="1">IF(AH230=0,"-","R1 -U obračunskom periodu "&amp;PoslGod&amp;". godine, najveći rashodi su - "&amp;B230&amp;", u iznosu od "&amp;TEXT(AH230,"#.## [$KM-141A]")&amp;", što je "&amp;ROUND(AQ230*100,1)&amp;"% ukupnih rashoda. ")</f>
        <v>R1 -U obračunskom periodu 2025. godine, najveći rashodi su - Troškovi plaća i ostalih ličnih primanja (AOP 258), u iznosu od 206.367 KM, što je 67,2% ukupnih rashoda. </v>
      </c>
      <c r="B177" s="906"/>
      <c r="C177" s="906"/>
      <c r="D177" s="906"/>
      <c r="E177" s="906"/>
      <c r="F177" s="906"/>
      <c r="G177" s="906"/>
      <c r="H177" s="906"/>
      <c r="I177" s="906"/>
      <c r="J177" s="906"/>
      <c r="K177" s="906"/>
      <c r="L177" s="906"/>
      <c r="M177" s="906"/>
      <c r="N177" s="906"/>
      <c r="O177" s="906"/>
      <c r="P177" s="906"/>
      <c r="Q177" s="906"/>
      <c r="R177" s="906"/>
      <c r="S177" s="906"/>
      <c r="T177" s="906"/>
      <c r="U177" s="906"/>
      <c r="V177" s="906"/>
      <c r="W177" s="906"/>
      <c r="X177" s="906"/>
      <c r="Y177" s="906"/>
      <c r="Z177" s="906"/>
      <c r="AA177" s="906"/>
      <c r="AB177" s="906"/>
      <c r="AC177" s="906"/>
      <c r="AD177" s="906"/>
      <c r="AE177" s="906"/>
      <c r="AF177" s="906"/>
      <c r="AG177" s="906"/>
      <c r="AH177" s="906"/>
      <c r="AI177" s="906"/>
      <c r="AJ177" s="906"/>
      <c r="AK177" s="906"/>
      <c r="AL177" s="906"/>
      <c r="AM177" s="906"/>
      <c r="AN177" s="906"/>
      <c r="AO177" s="906"/>
      <c r="AP177" s="906"/>
      <c r="AQ177" s="906"/>
      <c r="AR177" s="906"/>
      <c r="AS177" s="906"/>
      <c r="AT177" s="906"/>
    </row>
    <row r="178" s="1" customFormat="1" ht="14.25" customHeight="1" spans="1:46">
      <c r="A178" s="90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c r="AB178" s="906"/>
      <c r="AC178" s="906"/>
      <c r="AD178" s="906"/>
      <c r="AE178" s="906"/>
      <c r="AF178" s="906"/>
      <c r="AG178" s="906"/>
      <c r="AH178" s="906"/>
      <c r="AI178" s="906"/>
      <c r="AJ178" s="906"/>
      <c r="AK178" s="906"/>
      <c r="AL178" s="906"/>
      <c r="AM178" s="906"/>
      <c r="AN178" s="906"/>
      <c r="AO178" s="906"/>
      <c r="AP178" s="906"/>
      <c r="AQ178" s="906"/>
      <c r="AR178" s="906"/>
      <c r="AS178" s="906"/>
      <c r="AT178" s="906"/>
    </row>
    <row r="179" s="1" customFormat="1" ht="14.25" customHeight="1" spans="1:46">
      <c r="A179" s="907" t="str">
        <f>IF(Baza!D62=0,"-","U odnosu na isti period prethodne godine, ovaj rashod ima "&amp;Baza!H62&amp;" za "&amp;TEXT(Baza!F62,"#.## [$KM-141A]")&amp;" ili "&amp;ROUND(Baza!G62*100,1)&amp;" %.")</f>
        <v>U odnosu na isti period prethodne godine, ovaj rashod ima POVEĆANJE za 8.847 KM ili 4,5 %.</v>
      </c>
      <c r="B179" s="907"/>
      <c r="C179" s="907"/>
      <c r="D179" s="907"/>
      <c r="E179" s="907"/>
      <c r="F179" s="907"/>
      <c r="G179" s="907"/>
      <c r="H179" s="907"/>
      <c r="I179" s="907"/>
      <c r="J179" s="907"/>
      <c r="K179" s="907"/>
      <c r="L179" s="907"/>
      <c r="M179" s="907"/>
      <c r="N179" s="907"/>
      <c r="O179" s="907"/>
      <c r="P179" s="907"/>
      <c r="Q179" s="907"/>
      <c r="R179" s="907"/>
      <c r="S179" s="907"/>
      <c r="T179" s="907"/>
      <c r="U179" s="907"/>
      <c r="V179" s="907"/>
      <c r="W179" s="907"/>
      <c r="X179" s="907"/>
      <c r="Y179" s="907"/>
      <c r="Z179" s="907"/>
      <c r="AA179" s="907"/>
      <c r="AB179" s="907"/>
      <c r="AC179" s="907"/>
      <c r="AD179" s="907"/>
      <c r="AE179" s="907"/>
      <c r="AF179" s="907"/>
      <c r="AG179" s="907"/>
      <c r="AH179" s="907"/>
      <c r="AI179" s="907"/>
      <c r="AJ179" s="907"/>
      <c r="AK179" s="907"/>
      <c r="AL179" s="907"/>
      <c r="AM179" s="907"/>
      <c r="AN179" s="907"/>
      <c r="AO179" s="907"/>
      <c r="AP179" s="907"/>
      <c r="AQ179" s="907"/>
      <c r="AR179" s="907"/>
      <c r="AS179" s="907"/>
      <c r="AT179" s="907"/>
    </row>
    <row r="180" s="1" customFormat="1" ht="22.5" customHeight="1" spans="1:46">
      <c r="A180" s="906" t="str">
        <f>IF(AH231=0,"-","R2 -Na drugom mjestu po veličini : "&amp;B231&amp;", u iznosu od: "&amp;TEXT(AH231,"#.## [$KM-141A]")&amp;", što je "&amp;ROUND(AQ231*100,1)&amp;"% ukupnih rashoda. ")</f>
        <v>R2 -Na drugom mjestu po veličini : Ostali poslovni rashodi i troškovi (AOP 270), u iznosu od: 41.433 KM, što je 13,5% ukupnih rashoda. </v>
      </c>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c r="AB180" s="906"/>
      <c r="AC180" s="906"/>
      <c r="AD180" s="906"/>
      <c r="AE180" s="906"/>
      <c r="AF180" s="906"/>
      <c r="AG180" s="906"/>
      <c r="AH180" s="906"/>
      <c r="AI180" s="906"/>
      <c r="AJ180" s="906"/>
      <c r="AK180" s="906"/>
      <c r="AL180" s="906"/>
      <c r="AM180" s="906"/>
      <c r="AN180" s="906"/>
      <c r="AO180" s="906"/>
      <c r="AP180" s="906"/>
      <c r="AQ180" s="906"/>
      <c r="AR180" s="906"/>
      <c r="AS180" s="906"/>
      <c r="AT180" s="906"/>
    </row>
    <row r="181" s="1" customFormat="1" ht="14.25" customHeight="1" spans="1:46">
      <c r="A181" s="906"/>
      <c r="B181" s="906"/>
      <c r="C181" s="906"/>
      <c r="D181" s="906"/>
      <c r="E181" s="906"/>
      <c r="F181" s="906"/>
      <c r="G181" s="906"/>
      <c r="H181" s="906"/>
      <c r="I181" s="906"/>
      <c r="J181" s="906"/>
      <c r="K181" s="906"/>
      <c r="L181" s="906"/>
      <c r="M181" s="906"/>
      <c r="N181" s="906"/>
      <c r="O181" s="906"/>
      <c r="P181" s="906"/>
      <c r="Q181" s="906"/>
      <c r="R181" s="906"/>
      <c r="S181" s="906"/>
      <c r="T181" s="906"/>
      <c r="U181" s="906"/>
      <c r="V181" s="906"/>
      <c r="W181" s="906"/>
      <c r="X181" s="906"/>
      <c r="Y181" s="906"/>
      <c r="Z181" s="906"/>
      <c r="AA181" s="906"/>
      <c r="AB181" s="906"/>
      <c r="AC181" s="906"/>
      <c r="AD181" s="906"/>
      <c r="AE181" s="906"/>
      <c r="AF181" s="906"/>
      <c r="AG181" s="906"/>
      <c r="AH181" s="906"/>
      <c r="AI181" s="906"/>
      <c r="AJ181" s="906"/>
      <c r="AK181" s="906"/>
      <c r="AL181" s="906"/>
      <c r="AM181" s="906"/>
      <c r="AN181" s="906"/>
      <c r="AO181" s="906"/>
      <c r="AP181" s="906"/>
      <c r="AQ181" s="906"/>
      <c r="AR181" s="906"/>
      <c r="AS181" s="906"/>
      <c r="AT181" s="906"/>
    </row>
    <row r="182" s="1" customFormat="1" ht="14.25" customHeight="1" spans="1:46">
      <c r="A182" s="907" t="str">
        <f>IF(Baza!D63=0,"-","U odnosu na isti period prethodne godine, ovaj rashod ima "&amp;Baza!H63&amp;" za "&amp;TEXT(Baza!F63,"#.## [$KM-141A]")&amp;" ili "&amp;ROUND(Baza!G63*100,1)&amp;" %.")</f>
        <v>U odnosu na isti period prethodne godine, ovaj rashod ima POVEĆANJE za 22.237 KM ili 115,8 %.</v>
      </c>
      <c r="B182" s="907"/>
      <c r="C182" s="907"/>
      <c r="D182" s="907"/>
      <c r="E182" s="907"/>
      <c r="F182" s="907"/>
      <c r="G182" s="907"/>
      <c r="H182" s="907"/>
      <c r="I182" s="907"/>
      <c r="J182" s="907"/>
      <c r="K182" s="907"/>
      <c r="L182" s="907"/>
      <c r="M182" s="907"/>
      <c r="N182" s="907"/>
      <c r="O182" s="907"/>
      <c r="P182" s="907"/>
      <c r="Q182" s="907"/>
      <c r="R182" s="907"/>
      <c r="S182" s="907"/>
      <c r="T182" s="907"/>
      <c r="U182" s="907"/>
      <c r="V182" s="907"/>
      <c r="W182" s="907"/>
      <c r="X182" s="907"/>
      <c r="Y182" s="907"/>
      <c r="Z182" s="907"/>
      <c r="AA182" s="907"/>
      <c r="AB182" s="907"/>
      <c r="AC182" s="907"/>
      <c r="AD182" s="907"/>
      <c r="AE182" s="907"/>
      <c r="AF182" s="907"/>
      <c r="AG182" s="907"/>
      <c r="AH182" s="907"/>
      <c r="AI182" s="907"/>
      <c r="AJ182" s="907"/>
      <c r="AK182" s="907"/>
      <c r="AL182" s="907"/>
      <c r="AM182" s="907"/>
      <c r="AN182" s="907"/>
      <c r="AO182" s="907"/>
      <c r="AP182" s="907"/>
      <c r="AQ182" s="907"/>
      <c r="AR182" s="907"/>
      <c r="AS182" s="907"/>
      <c r="AT182" s="907"/>
    </row>
    <row r="183" s="1" customFormat="1" ht="22.5" customHeight="1" spans="1:46">
      <c r="A183" s="906" t="str">
        <f>IF(AH232=0,"-","R3 -Dok su na trećem mjestu po veličini su : "&amp;B232&amp;", od: "&amp;TEXT(AH232,"#.## [$KM-141A]")&amp;", što je "&amp;ROUND(AQ232*100,1)&amp;"% ukupnih rashoda. ")</f>
        <v>R3 -Dok su na trećem mjestu po veličini su : Troškovi primljenih usluga (AOP 269), od: 31.427 KM, što je 10,2% ukupnih rashoda. </v>
      </c>
      <c r="B183" s="906"/>
      <c r="C183" s="906"/>
      <c r="D183" s="906"/>
      <c r="E183" s="906"/>
      <c r="F183" s="906"/>
      <c r="G183" s="906"/>
      <c r="H183" s="906"/>
      <c r="I183" s="906"/>
      <c r="J183" s="906"/>
      <c r="K183" s="906"/>
      <c r="L183" s="906"/>
      <c r="M183" s="906"/>
      <c r="N183" s="906"/>
      <c r="O183" s="906"/>
      <c r="P183" s="906"/>
      <c r="Q183" s="906"/>
      <c r="R183" s="906"/>
      <c r="S183" s="906"/>
      <c r="T183" s="906"/>
      <c r="U183" s="906"/>
      <c r="V183" s="906"/>
      <c r="W183" s="906"/>
      <c r="X183" s="906"/>
      <c r="Y183" s="906"/>
      <c r="Z183" s="906"/>
      <c r="AA183" s="906"/>
      <c r="AB183" s="906"/>
      <c r="AC183" s="906"/>
      <c r="AD183" s="906"/>
      <c r="AE183" s="906"/>
      <c r="AF183" s="906"/>
      <c r="AG183" s="906"/>
      <c r="AH183" s="906"/>
      <c r="AI183" s="906"/>
      <c r="AJ183" s="906"/>
      <c r="AK183" s="906"/>
      <c r="AL183" s="906"/>
      <c r="AM183" s="906"/>
      <c r="AN183" s="906"/>
      <c r="AO183" s="906"/>
      <c r="AP183" s="906"/>
      <c r="AQ183" s="906"/>
      <c r="AR183" s="906"/>
      <c r="AS183" s="906"/>
      <c r="AT183" s="906"/>
    </row>
    <row r="184" s="1" customFormat="1" ht="14.25" customHeight="1" spans="1:46">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c r="AB184" s="906"/>
      <c r="AC184" s="906"/>
      <c r="AD184" s="906"/>
      <c r="AE184" s="906"/>
      <c r="AF184" s="906"/>
      <c r="AG184" s="906"/>
      <c r="AH184" s="906"/>
      <c r="AI184" s="906"/>
      <c r="AJ184" s="906"/>
      <c r="AK184" s="906"/>
      <c r="AL184" s="906"/>
      <c r="AM184" s="906"/>
      <c r="AN184" s="906"/>
      <c r="AO184" s="906"/>
      <c r="AP184" s="906"/>
      <c r="AQ184" s="906"/>
      <c r="AR184" s="906"/>
      <c r="AS184" s="906"/>
      <c r="AT184" s="906"/>
    </row>
    <row r="185" s="1" customFormat="1" ht="14.25" customHeight="1" spans="1:46">
      <c r="A185" s="907" t="str">
        <f>IF(Baza!D64=0,"-","U odnosu na isti period prethodne godine, ovaj rashod ima "&amp;Baza!H64&amp;" za "&amp;TEXT(Baza!F64,"#.## [$KM-141A]")&amp;" ili "&amp;ROUND(Baza!G64*100,1)&amp;" %.")</f>
        <v>U odnosu na isti period prethodne godine, ovaj rashod ima SMANJENJE za 19.836 KM ili 38,7 %.</v>
      </c>
      <c r="B185" s="907"/>
      <c r="C185" s="907"/>
      <c r="D185" s="907"/>
      <c r="E185" s="907"/>
      <c r="F185" s="907"/>
      <c r="G185" s="907"/>
      <c r="H185" s="907"/>
      <c r="I185" s="907"/>
      <c r="J185" s="907"/>
      <c r="K185" s="907"/>
      <c r="L185" s="907"/>
      <c r="M185" s="907"/>
      <c r="N185" s="907"/>
      <c r="O185" s="907"/>
      <c r="P185" s="907"/>
      <c r="Q185" s="907"/>
      <c r="R185" s="907"/>
      <c r="S185" s="907"/>
      <c r="T185" s="907"/>
      <c r="U185" s="907"/>
      <c r="V185" s="907"/>
      <c r="W185" s="907"/>
      <c r="X185" s="907"/>
      <c r="Y185" s="907"/>
      <c r="Z185" s="907"/>
      <c r="AA185" s="907"/>
      <c r="AB185" s="907"/>
      <c r="AC185" s="907"/>
      <c r="AD185" s="907"/>
      <c r="AE185" s="907"/>
      <c r="AF185" s="907"/>
      <c r="AG185" s="907"/>
      <c r="AH185" s="907"/>
      <c r="AI185" s="907"/>
      <c r="AJ185" s="907"/>
      <c r="AK185" s="907"/>
      <c r="AL185" s="907"/>
      <c r="AM185" s="907"/>
      <c r="AN185" s="907"/>
      <c r="AO185" s="907"/>
      <c r="AP185" s="907"/>
      <c r="AQ185" s="907"/>
      <c r="AR185" s="907"/>
      <c r="AS185" s="907"/>
      <c r="AT185" s="907"/>
    </row>
    <row r="186" s="1" customFormat="1" ht="19.5" customHeight="1" spans="1:46">
      <c r="A186" s="906" t="str">
        <f>IF(AH233=0,"-","R4 -Dalje slijede : "&amp;B233&amp;", od: "&amp;TEXT(AH233,"#.## [$KM-141A]")&amp;", što je "&amp;ROUND(AQ233*100,1)&amp;"% ukupnih rashoda. ")</f>
        <v>R4 -Dalje slijede : Ostali rashodi i gubici (AOP 308), od: 14.798 KM, što je 4,8% ukupnih rashoda. </v>
      </c>
      <c r="B186" s="906"/>
      <c r="C186" s="906"/>
      <c r="D186" s="906"/>
      <c r="E186" s="906"/>
      <c r="F186" s="906"/>
      <c r="G186" s="906"/>
      <c r="H186" s="906"/>
      <c r="I186" s="906"/>
      <c r="J186" s="906"/>
      <c r="K186" s="906"/>
      <c r="L186" s="906"/>
      <c r="M186" s="906"/>
      <c r="N186" s="906"/>
      <c r="O186" s="906"/>
      <c r="P186" s="906"/>
      <c r="Q186" s="906"/>
      <c r="R186" s="906"/>
      <c r="S186" s="906"/>
      <c r="T186" s="906"/>
      <c r="U186" s="906"/>
      <c r="V186" s="906"/>
      <c r="W186" s="906"/>
      <c r="X186" s="906"/>
      <c r="Y186" s="906"/>
      <c r="Z186" s="906"/>
      <c r="AA186" s="906"/>
      <c r="AB186" s="906"/>
      <c r="AC186" s="906"/>
      <c r="AD186" s="906"/>
      <c r="AE186" s="906"/>
      <c r="AF186" s="906"/>
      <c r="AG186" s="906"/>
      <c r="AH186" s="906"/>
      <c r="AI186" s="906"/>
      <c r="AJ186" s="906"/>
      <c r="AK186" s="906"/>
      <c r="AL186" s="906"/>
      <c r="AM186" s="906"/>
      <c r="AN186" s="906"/>
      <c r="AO186" s="906"/>
      <c r="AP186" s="906"/>
      <c r="AQ186" s="906"/>
      <c r="AR186" s="906"/>
      <c r="AS186" s="906"/>
      <c r="AT186" s="906"/>
    </row>
    <row r="187" s="1" customFormat="1" ht="15" spans="1:46">
      <c r="A187" s="906"/>
      <c r="B187" s="906"/>
      <c r="C187" s="906"/>
      <c r="D187" s="906"/>
      <c r="E187" s="906"/>
      <c r="F187" s="906"/>
      <c r="G187" s="906"/>
      <c r="H187" s="906"/>
      <c r="I187" s="906"/>
      <c r="J187" s="906"/>
      <c r="K187" s="906"/>
      <c r="L187" s="906"/>
      <c r="M187" s="906"/>
      <c r="N187" s="906"/>
      <c r="O187" s="906"/>
      <c r="P187" s="906"/>
      <c r="Q187" s="906"/>
      <c r="R187" s="906"/>
      <c r="S187" s="906"/>
      <c r="T187" s="906"/>
      <c r="U187" s="906"/>
      <c r="V187" s="906"/>
      <c r="W187" s="906"/>
      <c r="X187" s="906"/>
      <c r="Y187" s="906"/>
      <c r="Z187" s="906"/>
      <c r="AA187" s="906"/>
      <c r="AB187" s="906"/>
      <c r="AC187" s="906"/>
      <c r="AD187" s="906"/>
      <c r="AE187" s="906"/>
      <c r="AF187" s="906"/>
      <c r="AG187" s="906"/>
      <c r="AH187" s="906"/>
      <c r="AI187" s="906"/>
      <c r="AJ187" s="906"/>
      <c r="AK187" s="906"/>
      <c r="AL187" s="906"/>
      <c r="AM187" s="906"/>
      <c r="AN187" s="906"/>
      <c r="AO187" s="906"/>
      <c r="AP187" s="906"/>
      <c r="AQ187" s="906"/>
      <c r="AR187" s="906"/>
      <c r="AS187" s="906"/>
      <c r="AT187" s="906"/>
    </row>
    <row r="188" s="1" customFormat="1" ht="15" spans="1:46">
      <c r="A188" s="907" t="str">
        <f>IF(Baza!D65=0,"-","U odnosu na isti period prethodne godine, ovaj rashod ima "&amp;Baza!H65&amp;" za "&amp;TEXT(Baza!F65,"#.## [$KM-141A]")&amp;" ili "&amp;ROUND(Baza!G65*100,1)&amp;" %.")</f>
        <v>U odnosu na isti period prethodne godine, ovaj rashod ima POVEĆANJE za 14.362 KM ili 3294 %.</v>
      </c>
      <c r="B188" s="907"/>
      <c r="C188" s="907"/>
      <c r="D188" s="907"/>
      <c r="E188" s="907"/>
      <c r="F188" s="907"/>
      <c r="G188" s="907"/>
      <c r="H188" s="907"/>
      <c r="I188" s="907"/>
      <c r="J188" s="907"/>
      <c r="K188" s="907"/>
      <c r="L188" s="907"/>
      <c r="M188" s="907"/>
      <c r="N188" s="907"/>
      <c r="O188" s="907"/>
      <c r="P188" s="907"/>
      <c r="Q188" s="907"/>
      <c r="R188" s="907"/>
      <c r="S188" s="907"/>
      <c r="T188" s="907"/>
      <c r="U188" s="907"/>
      <c r="V188" s="907"/>
      <c r="W188" s="907"/>
      <c r="X188" s="907"/>
      <c r="Y188" s="907"/>
      <c r="Z188" s="907"/>
      <c r="AA188" s="907"/>
      <c r="AB188" s="907"/>
      <c r="AC188" s="907"/>
      <c r="AD188" s="907"/>
      <c r="AE188" s="907"/>
      <c r="AF188" s="907"/>
      <c r="AG188" s="907"/>
      <c r="AH188" s="907"/>
      <c r="AI188" s="907"/>
      <c r="AJ188" s="907"/>
      <c r="AK188" s="907"/>
      <c r="AL188" s="907"/>
      <c r="AM188" s="907"/>
      <c r="AN188" s="907"/>
      <c r="AO188" s="907"/>
      <c r="AP188" s="907"/>
      <c r="AQ188" s="907"/>
      <c r="AR188" s="907"/>
      <c r="AS188" s="907"/>
      <c r="AT188" s="907"/>
    </row>
    <row r="189" ht="18.75" customHeight="1" spans="1:46">
      <c r="A189" s="906" t="str">
        <f>IF(AH234=0,"-","R5 -"&amp;B234&amp;", od: "&amp;TEXT(AH234,"#.## [$KM-141A]")&amp;", su "&amp;ROUND(AQ234*100,1)&amp;"% ukupnih rashoda. ")</f>
        <v>R5 -Troškovi energije i goriva (AOP 257), od: 7.591 KM, su 2,5% ukupnih rashoda. </v>
      </c>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c r="AB189" s="906"/>
      <c r="AC189" s="906"/>
      <c r="AD189" s="906"/>
      <c r="AE189" s="906"/>
      <c r="AF189" s="906"/>
      <c r="AG189" s="906"/>
      <c r="AH189" s="906"/>
      <c r="AI189" s="906"/>
      <c r="AJ189" s="906"/>
      <c r="AK189" s="906"/>
      <c r="AL189" s="906"/>
      <c r="AM189" s="906"/>
      <c r="AN189" s="906"/>
      <c r="AO189" s="906"/>
      <c r="AP189" s="906"/>
      <c r="AQ189" s="906"/>
      <c r="AR189" s="906"/>
      <c r="AS189" s="906"/>
      <c r="AT189" s="906"/>
    </row>
    <row r="190" spans="1:46">
      <c r="A190" s="90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c r="AB190" s="906"/>
      <c r="AC190" s="906"/>
      <c r="AD190" s="906"/>
      <c r="AE190" s="906"/>
      <c r="AF190" s="906"/>
      <c r="AG190" s="906"/>
      <c r="AH190" s="906"/>
      <c r="AI190" s="906"/>
      <c r="AJ190" s="906"/>
      <c r="AK190" s="906"/>
      <c r="AL190" s="906"/>
      <c r="AM190" s="906"/>
      <c r="AN190" s="906"/>
      <c r="AO190" s="906"/>
      <c r="AP190" s="906"/>
      <c r="AQ190" s="906"/>
      <c r="AR190" s="906"/>
      <c r="AS190" s="906"/>
      <c r="AT190" s="906"/>
    </row>
    <row r="191" ht="15" spans="1:46">
      <c r="A191" s="907" t="str">
        <f>IF(Baza!D66=0,"-","U odnosu na isti period prethodne godine, ovaj rashod ima "&amp;Baza!H66&amp;" za "&amp;TEXT(Baza!F66,"#.## [$KM-141A]")&amp;" ili "&amp;ROUND(Baza!G66*100,1)&amp;" %.")</f>
        <v>U odnosu na isti period prethodne godine, ovaj rashod ima SMANJENJE za 1.502 KM ili 16,5 %.</v>
      </c>
      <c r="B191" s="907"/>
      <c r="C191" s="907"/>
      <c r="D191" s="907"/>
      <c r="E191" s="907"/>
      <c r="F191" s="907"/>
      <c r="G191" s="907"/>
      <c r="H191" s="907"/>
      <c r="I191" s="907"/>
      <c r="J191" s="907"/>
      <c r="K191" s="907"/>
      <c r="L191" s="907"/>
      <c r="M191" s="907"/>
      <c r="N191" s="907"/>
      <c r="O191" s="907"/>
      <c r="P191" s="907"/>
      <c r="Q191" s="907"/>
      <c r="R191" s="907"/>
      <c r="S191" s="907"/>
      <c r="T191" s="907"/>
      <c r="U191" s="907"/>
      <c r="V191" s="907"/>
      <c r="W191" s="907"/>
      <c r="X191" s="907"/>
      <c r="Y191" s="907"/>
      <c r="Z191" s="907"/>
      <c r="AA191" s="907"/>
      <c r="AB191" s="907"/>
      <c r="AC191" s="907"/>
      <c r="AD191" s="907"/>
      <c r="AE191" s="907"/>
      <c r="AF191" s="907"/>
      <c r="AG191" s="907"/>
      <c r="AH191" s="907"/>
      <c r="AI191" s="907"/>
      <c r="AJ191" s="907"/>
      <c r="AK191" s="907"/>
      <c r="AL191" s="907"/>
      <c r="AM191" s="907"/>
      <c r="AN191" s="907"/>
      <c r="AO191" s="907"/>
      <c r="AP191" s="907"/>
      <c r="AQ191" s="907"/>
      <c r="AR191" s="907"/>
      <c r="AS191" s="907"/>
      <c r="AT191" s="907"/>
    </row>
    <row r="192" ht="18.75" customHeight="1" spans="1:46">
      <c r="A192" s="906" t="str">
        <f>IF(AH235=0,"-","T6 - "&amp;B235&amp;", od: "&amp;TEXT(AH235,"#.## [$KM-141A]")&amp;", su "&amp;ROUND(AQ235*100,1)&amp;"% ukupnih rashoda. ")</f>
        <v>T6 - Amortizacija (AOP 262), od: 4.549 KM, su 1,5% ukupnih rashoda. </v>
      </c>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c r="AB192" s="906"/>
      <c r="AC192" s="906"/>
      <c r="AD192" s="906"/>
      <c r="AE192" s="906"/>
      <c r="AF192" s="906"/>
      <c r="AG192" s="906"/>
      <c r="AH192" s="906"/>
      <c r="AI192" s="906"/>
      <c r="AJ192" s="906"/>
      <c r="AK192" s="906"/>
      <c r="AL192" s="906"/>
      <c r="AM192" s="906"/>
      <c r="AN192" s="906"/>
      <c r="AO192" s="906"/>
      <c r="AP192" s="906"/>
      <c r="AQ192" s="906"/>
      <c r="AR192" s="906"/>
      <c r="AS192" s="906"/>
      <c r="AT192" s="906"/>
    </row>
    <row r="193" spans="1:46">
      <c r="A193" s="90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c r="AB193" s="906"/>
      <c r="AC193" s="906"/>
      <c r="AD193" s="906"/>
      <c r="AE193" s="906"/>
      <c r="AF193" s="906"/>
      <c r="AG193" s="906"/>
      <c r="AH193" s="906"/>
      <c r="AI193" s="906"/>
      <c r="AJ193" s="906"/>
      <c r="AK193" s="906"/>
      <c r="AL193" s="906"/>
      <c r="AM193" s="906"/>
      <c r="AN193" s="906"/>
      <c r="AO193" s="906"/>
      <c r="AP193" s="906"/>
      <c r="AQ193" s="906"/>
      <c r="AR193" s="906"/>
      <c r="AS193" s="906"/>
      <c r="AT193" s="906"/>
    </row>
    <row r="194" ht="15" spans="1:46">
      <c r="A194" s="907" t="str">
        <f>IF(Baza!D67=0,"-","U odnosu na isti period prethodne godine, ovaj rashod ima "&amp;Baza!H67&amp;" za "&amp;TEXT(Baza!F67,"#.## [$KM-141A]")&amp;" ili "&amp;ROUND(Baza!G67*100,1)&amp;" %.")</f>
        <v>U odnosu na isti period prethodne godine, ovaj rashod ima SMANJENJE za 623 KM ili 12 %.</v>
      </c>
      <c r="B194" s="907"/>
      <c r="C194" s="907"/>
      <c r="D194" s="907"/>
      <c r="E194" s="907"/>
      <c r="F194" s="907"/>
      <c r="G194" s="907"/>
      <c r="H194" s="907"/>
      <c r="I194" s="907"/>
      <c r="J194" s="907"/>
      <c r="K194" s="907"/>
      <c r="L194" s="907"/>
      <c r="M194" s="907"/>
      <c r="N194" s="907"/>
      <c r="O194" s="907"/>
      <c r="P194" s="907"/>
      <c r="Q194" s="907"/>
      <c r="R194" s="907"/>
      <c r="S194" s="907"/>
      <c r="T194" s="907"/>
      <c r="U194" s="907"/>
      <c r="V194" s="907"/>
      <c r="W194" s="907"/>
      <c r="X194" s="907"/>
      <c r="Y194" s="907"/>
      <c r="Z194" s="907"/>
      <c r="AA194" s="907"/>
      <c r="AB194" s="907"/>
      <c r="AC194" s="907"/>
      <c r="AD194" s="907"/>
      <c r="AE194" s="907"/>
      <c r="AF194" s="907"/>
      <c r="AG194" s="907"/>
      <c r="AH194" s="907"/>
      <c r="AI194" s="907"/>
      <c r="AJ194" s="907"/>
      <c r="AK194" s="907"/>
      <c r="AL194" s="907"/>
      <c r="AM194" s="907"/>
      <c r="AN194" s="907"/>
      <c r="AO194" s="907"/>
      <c r="AP194" s="907"/>
      <c r="AQ194" s="907"/>
      <c r="AR194" s="907"/>
      <c r="AS194" s="907"/>
      <c r="AT194" s="907"/>
    </row>
    <row r="195" ht="14.25" spans="1:46">
      <c r="A195" s="990"/>
      <c r="B195" s="990"/>
      <c r="C195" s="990"/>
      <c r="D195" s="990"/>
      <c r="E195" s="990"/>
      <c r="F195" s="990"/>
      <c r="G195" s="990"/>
      <c r="H195" s="990"/>
      <c r="I195" s="990"/>
      <c r="J195" s="990"/>
      <c r="K195" s="990"/>
      <c r="L195" s="990"/>
      <c r="M195" s="990"/>
      <c r="N195" s="990"/>
      <c r="O195" s="990"/>
      <c r="P195" s="990"/>
      <c r="Q195" s="990"/>
      <c r="R195" s="990"/>
      <c r="S195" s="990"/>
      <c r="T195" s="990"/>
      <c r="U195" s="990"/>
      <c r="V195" s="990"/>
      <c r="W195" s="990"/>
      <c r="X195" s="990"/>
      <c r="Y195" s="990"/>
      <c r="Z195" s="990"/>
      <c r="AA195" s="990"/>
      <c r="AB195" s="990"/>
      <c r="AC195" s="990"/>
      <c r="AD195" s="990"/>
      <c r="AE195" s="990"/>
      <c r="AF195" s="990"/>
      <c r="AG195" s="990"/>
      <c r="AH195" s="990"/>
      <c r="AI195" s="990"/>
      <c r="AJ195" s="990"/>
      <c r="AK195" s="990"/>
      <c r="AL195" s="990"/>
      <c r="AM195" s="990"/>
      <c r="AN195" s="990"/>
      <c r="AO195" s="990"/>
      <c r="AP195" s="990"/>
      <c r="AQ195" s="990"/>
      <c r="AR195" s="990"/>
      <c r="AS195" s="990"/>
      <c r="AT195" s="990"/>
    </row>
    <row r="196" ht="15.75" spans="1:46">
      <c r="A196" s="570" t="s">
        <v>7607</v>
      </c>
      <c r="C196" s="908"/>
      <c r="D196" s="908"/>
      <c r="E196" s="908"/>
      <c r="F196" s="908"/>
      <c r="G196" s="908"/>
      <c r="H196" s="908"/>
      <c r="I196" s="908"/>
      <c r="J196" s="908"/>
      <c r="K196" s="908"/>
      <c r="L196" s="908"/>
    </row>
    <row r="197" ht="18.75" customHeight="1" spans="1:46">
      <c r="A197" s="909" t="s">
        <v>5787</v>
      </c>
      <c r="B197" s="910"/>
      <c r="C197" s="910"/>
      <c r="D197" s="910"/>
      <c r="E197" s="910"/>
      <c r="F197" s="910"/>
      <c r="G197" s="910"/>
      <c r="H197" s="910"/>
      <c r="I197" s="910"/>
      <c r="J197" s="910"/>
      <c r="K197" s="910"/>
      <c r="L197" s="910"/>
      <c r="M197" s="910"/>
      <c r="N197" s="910"/>
      <c r="O197" s="910"/>
      <c r="P197" s="910"/>
      <c r="Q197" s="910"/>
      <c r="R197" s="991" t="str">
        <f ca="1">PeriodOd&amp;". - "&amp;PeriodDo</f>
        <v>01.01.2025. - 31.12.2025</v>
      </c>
      <c r="S197" s="992"/>
      <c r="T197" s="992"/>
      <c r="U197" s="992"/>
      <c r="V197" s="992"/>
      <c r="W197" s="992"/>
      <c r="X197" s="992"/>
      <c r="Y197" s="992"/>
      <c r="Z197" s="992"/>
      <c r="AA197" s="992"/>
      <c r="AB197" s="992"/>
      <c r="AC197" s="993"/>
      <c r="AD197" s="911" t="str">
        <f ca="1">UnosPod!F6&amp;UnosPod!G6&amp;"."&amp;UnosPod!H6&amp;UnosPod!I6&amp;"."&amp;PoslGod-1&amp;" - "&amp;UnosPod!M6&amp;UnosPod!N6&amp;"."&amp;UnosPod!O6&amp;UnosPod!P6&amp;"."&amp;PoslGod-1</f>
        <v>01.01.2024 - 31.12.2024</v>
      </c>
      <c r="AE197" s="911"/>
      <c r="AF197" s="911"/>
      <c r="AG197" s="911"/>
      <c r="AH197" s="911"/>
      <c r="AI197" s="911"/>
      <c r="AJ197" s="911"/>
      <c r="AK197" s="911"/>
      <c r="AL197" s="911"/>
      <c r="AM197" s="911"/>
      <c r="AN197" s="911"/>
      <c r="AO197" s="911"/>
      <c r="AP197" s="912" t="s">
        <v>7461</v>
      </c>
      <c r="AQ197" s="912"/>
      <c r="AR197" s="912"/>
      <c r="AS197" s="912"/>
      <c r="AT197" s="913"/>
    </row>
    <row r="198" ht="18.75" customHeight="1" spans="1:46">
      <c r="A198" s="914" t="s">
        <v>5791</v>
      </c>
      <c r="B198" s="915" t="s">
        <v>4043</v>
      </c>
      <c r="C198" s="915"/>
      <c r="D198" s="915"/>
      <c r="E198" s="915"/>
      <c r="F198" s="915"/>
      <c r="G198" s="915"/>
      <c r="H198" s="915"/>
      <c r="I198" s="915"/>
      <c r="J198" s="915"/>
      <c r="K198" s="915"/>
      <c r="L198" s="915"/>
      <c r="M198" s="915"/>
      <c r="N198" s="915"/>
      <c r="O198" s="915"/>
      <c r="P198" s="915"/>
      <c r="Q198" s="915"/>
      <c r="R198" s="916" t="s">
        <v>7462</v>
      </c>
      <c r="S198" s="916"/>
      <c r="T198" s="916"/>
      <c r="U198" s="916"/>
      <c r="V198" s="916"/>
      <c r="W198" s="916"/>
      <c r="X198" s="916"/>
      <c r="Y198" s="916"/>
      <c r="Z198" s="917" t="s">
        <v>20</v>
      </c>
      <c r="AA198" s="917"/>
      <c r="AB198" s="917"/>
      <c r="AC198" s="917"/>
      <c r="AD198" s="916" t="s">
        <v>7462</v>
      </c>
      <c r="AE198" s="916"/>
      <c r="AF198" s="916"/>
      <c r="AG198" s="916"/>
      <c r="AH198" s="916"/>
      <c r="AI198" s="916"/>
      <c r="AJ198" s="916"/>
      <c r="AK198" s="916"/>
      <c r="AL198" s="917" t="s">
        <v>20</v>
      </c>
      <c r="AM198" s="917"/>
      <c r="AN198" s="917"/>
      <c r="AO198" s="917"/>
      <c r="AP198" s="918" t="s">
        <v>7599</v>
      </c>
      <c r="AQ198" s="918"/>
      <c r="AR198" s="918"/>
      <c r="AS198" s="918"/>
      <c r="AT198" s="919"/>
    </row>
    <row r="199" ht="15" customHeight="1" spans="1:46">
      <c r="A199" s="920">
        <v>0</v>
      </c>
      <c r="B199" s="921">
        <v>1</v>
      </c>
      <c r="C199" s="921"/>
      <c r="D199" s="921"/>
      <c r="E199" s="921"/>
      <c r="F199" s="921"/>
      <c r="G199" s="921"/>
      <c r="H199" s="921"/>
      <c r="I199" s="921"/>
      <c r="J199" s="921"/>
      <c r="K199" s="921"/>
      <c r="L199" s="921"/>
      <c r="M199" s="921"/>
      <c r="N199" s="921"/>
      <c r="O199" s="921"/>
      <c r="P199" s="921"/>
      <c r="Q199" s="921"/>
      <c r="R199" s="922">
        <v>2</v>
      </c>
      <c r="S199" s="922"/>
      <c r="T199" s="922"/>
      <c r="U199" s="922"/>
      <c r="V199" s="922"/>
      <c r="W199" s="922"/>
      <c r="X199" s="922"/>
      <c r="Y199" s="922"/>
      <c r="Z199" s="922">
        <v>3</v>
      </c>
      <c r="AA199" s="922"/>
      <c r="AB199" s="922"/>
      <c r="AC199" s="922"/>
      <c r="AD199" s="922">
        <v>4</v>
      </c>
      <c r="AE199" s="922"/>
      <c r="AF199" s="922"/>
      <c r="AG199" s="922"/>
      <c r="AH199" s="922"/>
      <c r="AI199" s="922"/>
      <c r="AJ199" s="922"/>
      <c r="AK199" s="922"/>
      <c r="AL199" s="922">
        <v>5</v>
      </c>
      <c r="AM199" s="922"/>
      <c r="AN199" s="922"/>
      <c r="AO199" s="922"/>
      <c r="AP199" s="922">
        <v>6</v>
      </c>
      <c r="AQ199" s="922"/>
      <c r="AR199" s="922"/>
      <c r="AS199" s="922"/>
      <c r="AT199" s="923"/>
    </row>
    <row r="200" ht="21" customHeight="1" spans="1:46">
      <c r="A200" s="924">
        <v>1</v>
      </c>
      <c r="B200" s="925" t="s">
        <v>7608</v>
      </c>
      <c r="C200" s="926"/>
      <c r="D200" s="926"/>
      <c r="E200" s="926"/>
      <c r="F200" s="926"/>
      <c r="G200" s="926"/>
      <c r="H200" s="926"/>
      <c r="I200" s="926"/>
      <c r="J200" s="926"/>
      <c r="K200" s="927"/>
      <c r="L200" s="927"/>
      <c r="M200" s="927"/>
      <c r="N200" s="927"/>
      <c r="O200" s="927"/>
      <c r="P200" s="928"/>
      <c r="Q200" s="929"/>
      <c r="R200" s="930">
        <f>B_Uspjeha!AI80</f>
        <v>292171</v>
      </c>
      <c r="S200" s="930"/>
      <c r="T200" s="930"/>
      <c r="U200" s="930"/>
      <c r="V200" s="930"/>
      <c r="W200" s="930"/>
      <c r="X200" s="930"/>
      <c r="Y200" s="930"/>
      <c r="Z200" s="994">
        <f>IFERROR(R200/$R$202,"-")</f>
        <v>0.951793177812743</v>
      </c>
      <c r="AA200" s="994"/>
      <c r="AB200" s="994"/>
      <c r="AC200" s="994"/>
      <c r="AD200" s="930">
        <f>B_Uspjeha!AP80</f>
        <v>282807</v>
      </c>
      <c r="AE200" s="930"/>
      <c r="AF200" s="930"/>
      <c r="AG200" s="930"/>
      <c r="AH200" s="930"/>
      <c r="AI200" s="930"/>
      <c r="AJ200" s="930"/>
      <c r="AK200" s="930"/>
      <c r="AL200" s="932">
        <f>IFERROR(AD200/$AD$202,"-")</f>
        <v>0.991327848682527</v>
      </c>
      <c r="AM200" s="932"/>
      <c r="AN200" s="932"/>
      <c r="AO200" s="932"/>
      <c r="AP200" s="933">
        <f>IF(R200/(AD200+0.00001)*100&gt;10000,0,R200/(AD200+0.00001)*100)</f>
        <v>103.311092013164</v>
      </c>
      <c r="AQ200" s="933"/>
      <c r="AR200" s="933"/>
      <c r="AS200" s="933"/>
      <c r="AT200" s="934"/>
    </row>
    <row r="201" ht="21" customHeight="1" spans="1:46">
      <c r="A201" s="935">
        <v>2</v>
      </c>
      <c r="B201" s="936" t="s">
        <v>7609</v>
      </c>
      <c r="C201" s="937"/>
      <c r="D201" s="937"/>
      <c r="E201" s="937"/>
      <c r="F201" s="937"/>
      <c r="G201" s="937"/>
      <c r="H201" s="937"/>
      <c r="I201" s="937"/>
      <c r="J201" s="937"/>
      <c r="K201" s="937"/>
      <c r="L201" s="937"/>
      <c r="M201" s="938"/>
      <c r="N201" s="938"/>
      <c r="O201" s="938"/>
      <c r="P201" s="939"/>
      <c r="Q201" s="940"/>
      <c r="R201" s="941">
        <f>R202-R200</f>
        <v>14798</v>
      </c>
      <c r="S201" s="941"/>
      <c r="T201" s="941"/>
      <c r="U201" s="941"/>
      <c r="V201" s="941"/>
      <c r="W201" s="941"/>
      <c r="X201" s="941"/>
      <c r="Y201" s="941"/>
      <c r="Z201" s="931">
        <f>IFERROR(R201/$R$202,"-")</f>
        <v>0.0482068221872567</v>
      </c>
      <c r="AA201" s="931"/>
      <c r="AB201" s="931"/>
      <c r="AC201" s="931"/>
      <c r="AD201" s="941">
        <f>AD202-AD200</f>
        <v>2474</v>
      </c>
      <c r="AE201" s="941"/>
      <c r="AF201" s="941"/>
      <c r="AG201" s="941"/>
      <c r="AH201" s="941"/>
      <c r="AI201" s="941"/>
      <c r="AJ201" s="941"/>
      <c r="AK201" s="941"/>
      <c r="AL201" s="942">
        <f>IFERROR(AD201/$AD$202,"-")</f>
        <v>0.00867215131747295</v>
      </c>
      <c r="AM201" s="942"/>
      <c r="AN201" s="942"/>
      <c r="AO201" s="942"/>
      <c r="AP201" s="943">
        <f>IF(R201/(AD201+0.00001)*100&gt;10000,0,R201/(AD201+0.00001)*100)</f>
        <v>598.140660476392</v>
      </c>
      <c r="AQ201" s="943"/>
      <c r="AR201" s="943"/>
      <c r="AS201" s="943"/>
      <c r="AT201" s="944"/>
    </row>
    <row r="202" ht="21" customHeight="1" spans="1:46">
      <c r="A202" s="945">
        <v>4</v>
      </c>
      <c r="B202" s="946" t="s">
        <v>64</v>
      </c>
      <c r="C202" s="947"/>
      <c r="D202" s="947"/>
      <c r="E202" s="947"/>
      <c r="F202" s="947"/>
      <c r="G202" s="947"/>
      <c r="H202" s="947"/>
      <c r="I202" s="947"/>
      <c r="J202" s="947"/>
      <c r="K202" s="947"/>
      <c r="L202" s="947"/>
      <c r="M202" s="948"/>
      <c r="N202" s="948"/>
      <c r="O202" s="948"/>
      <c r="P202" s="948"/>
      <c r="Q202" s="949"/>
      <c r="R202" s="950">
        <f>B_Uspjeha!AI140</f>
        <v>306969</v>
      </c>
      <c r="S202" s="950"/>
      <c r="T202" s="950"/>
      <c r="U202" s="950"/>
      <c r="V202" s="950"/>
      <c r="W202" s="950"/>
      <c r="X202" s="950"/>
      <c r="Y202" s="950"/>
      <c r="Z202" s="951">
        <f>IFERROR(R202/$R$202,"-")</f>
        <v>1</v>
      </c>
      <c r="AA202" s="951"/>
      <c r="AB202" s="951"/>
      <c r="AC202" s="951"/>
      <c r="AD202" s="950">
        <f>B_Uspjeha!AP140</f>
        <v>285281</v>
      </c>
      <c r="AE202" s="950"/>
      <c r="AF202" s="950"/>
      <c r="AG202" s="950"/>
      <c r="AH202" s="950"/>
      <c r="AI202" s="950"/>
      <c r="AJ202" s="950"/>
      <c r="AK202" s="950"/>
      <c r="AL202" s="952">
        <f>IFERROR(AD202/$AD$202,"-")</f>
        <v>1</v>
      </c>
      <c r="AM202" s="952"/>
      <c r="AN202" s="952"/>
      <c r="AO202" s="952"/>
      <c r="AP202" s="953">
        <f>IF(R202/(AD202+0.00001)*100&gt;10000,0,R202/(AD202+0.00001)*100)</f>
        <v>107.602328928053</v>
      </c>
      <c r="AQ202" s="953"/>
      <c r="AR202" s="953"/>
      <c r="AS202" s="953"/>
      <c r="AT202" s="954"/>
    </row>
    <row r="203" ht="14.25" spans="1:46">
      <c r="A203" s="570"/>
      <c r="B203" s="570"/>
      <c r="C203" s="570"/>
      <c r="D203" s="570"/>
      <c r="E203" s="570"/>
      <c r="F203" s="570"/>
      <c r="G203" s="570"/>
      <c r="H203" s="570"/>
      <c r="I203" s="570"/>
      <c r="J203" s="570"/>
      <c r="K203" s="570"/>
      <c r="L203" s="570"/>
      <c r="M203" s="570"/>
      <c r="N203" s="570"/>
      <c r="O203" s="570"/>
      <c r="P203" s="570"/>
      <c r="R203" s="955"/>
      <c r="S203" s="955"/>
      <c r="T203" s="955"/>
      <c r="U203" s="955"/>
      <c r="V203" s="955"/>
      <c r="W203" s="955"/>
      <c r="X203" s="955"/>
      <c r="Y203" s="955"/>
      <c r="AD203" s="955">
        <f>IF(AD202-R202&lt;0,0,AD202-R202)</f>
        <v>0</v>
      </c>
      <c r="AE203" s="955"/>
      <c r="AF203" s="955"/>
      <c r="AG203" s="955"/>
      <c r="AH203" s="955"/>
      <c r="AI203" s="955"/>
      <c r="AJ203" s="955"/>
      <c r="AK203" s="955"/>
      <c r="AP203" s="956" t="str">
        <f>IF(R202&gt;AD202,"POVEĆANJE","SMANJENJE")</f>
        <v>POVEĆANJE</v>
      </c>
      <c r="AQ203" s="957"/>
      <c r="AR203" s="957"/>
      <c r="AS203" s="957"/>
      <c r="AT203" s="957"/>
    </row>
    <row r="204" ht="14.25" spans="1:46">
      <c r="A204" s="570"/>
      <c r="B204" s="570"/>
      <c r="C204" s="570"/>
      <c r="D204" s="570"/>
      <c r="E204" s="570"/>
      <c r="F204" s="570"/>
      <c r="G204" s="570"/>
      <c r="H204" s="570"/>
      <c r="I204" s="570"/>
      <c r="J204" s="570"/>
      <c r="K204" s="570"/>
      <c r="L204" s="570"/>
      <c r="M204" s="570"/>
      <c r="N204" s="570"/>
      <c r="O204" s="570"/>
      <c r="P204" s="570"/>
      <c r="AP204" s="958">
        <f>ROUND(IF(AP202&gt;100,AP202-100,100-AP202),1)</f>
        <v>7.6</v>
      </c>
      <c r="AQ204" s="958"/>
      <c r="AR204" s="958"/>
      <c r="AS204" s="958"/>
      <c r="AT204" s="958"/>
    </row>
    <row r="205" ht="15.75" spans="1:46">
      <c r="A205" s="570" t="str">
        <f ca="1">"Uporedni pregled rashoda za "&amp;PoslGod&amp;" i "&amp;PoslGod-1&amp;".g."</f>
        <v>Uporedni pregled rashoda za 2025 i 2024.g.</v>
      </c>
      <c r="B205" s="908"/>
      <c r="C205" s="908"/>
      <c r="D205" s="908"/>
      <c r="E205" s="908"/>
      <c r="F205" s="908"/>
      <c r="G205" s="908"/>
      <c r="H205" s="908"/>
      <c r="I205" s="908"/>
      <c r="J205" s="908"/>
      <c r="K205" s="908"/>
      <c r="L205" s="908"/>
      <c r="Y205" s="570" t="str">
        <f ca="1">"Pregled strukture ukupnih rashoda  "&amp;PoslGod&amp;". godine"</f>
        <v>Pregled strukture ukupnih rashoda  2025. godine</v>
      </c>
      <c r="Z205" s="570"/>
    </row>
    <row r="206" ht="14.25" spans="1:46">
      <c r="A206" s="570"/>
      <c r="B206" s="570"/>
      <c r="C206" s="570"/>
      <c r="D206" s="570"/>
      <c r="E206" s="570"/>
      <c r="F206" s="570"/>
      <c r="G206" s="570"/>
      <c r="H206" s="570"/>
      <c r="I206" s="570"/>
      <c r="J206" s="570"/>
      <c r="K206" s="570"/>
      <c r="L206" s="570"/>
      <c r="M206" s="570"/>
      <c r="N206" s="570"/>
      <c r="O206" s="570"/>
      <c r="P206" s="570"/>
      <c r="AP206" s="958"/>
      <c r="AQ206" s="958"/>
      <c r="AR206" s="958"/>
      <c r="AS206" s="958"/>
      <c r="AT206" s="958"/>
    </row>
    <row r="207" ht="14.25" spans="1:46">
      <c r="A207" s="570"/>
      <c r="B207" s="570"/>
      <c r="C207" s="570"/>
      <c r="D207" s="570"/>
      <c r="E207" s="570"/>
      <c r="F207" s="570"/>
      <c r="G207" s="570"/>
      <c r="H207" s="570"/>
      <c r="I207" s="570"/>
      <c r="J207" s="570"/>
      <c r="K207" s="570"/>
      <c r="L207" s="570"/>
      <c r="M207" s="570"/>
      <c r="N207" s="570"/>
      <c r="O207" s="570"/>
      <c r="P207" s="570"/>
      <c r="AP207" s="958"/>
      <c r="AQ207" s="958"/>
      <c r="AR207" s="958"/>
      <c r="AS207" s="958"/>
      <c r="AT207" s="958"/>
    </row>
    <row r="208" ht="14.25" spans="1:46">
      <c r="A208" s="570"/>
      <c r="B208" s="570"/>
      <c r="C208" s="570"/>
      <c r="D208" s="570"/>
      <c r="E208" s="570"/>
      <c r="F208" s="570"/>
      <c r="G208" s="570"/>
      <c r="H208" s="570"/>
      <c r="I208" s="570"/>
      <c r="J208" s="570"/>
      <c r="K208" s="570"/>
      <c r="L208" s="570"/>
      <c r="M208" s="570"/>
      <c r="N208" s="570"/>
      <c r="O208" s="570"/>
      <c r="P208" s="570"/>
      <c r="AP208" s="958"/>
      <c r="AQ208" s="958"/>
      <c r="AR208" s="958"/>
      <c r="AS208" s="958"/>
      <c r="AT208" s="958"/>
    </row>
    <row r="209" ht="14.25" spans="1:46">
      <c r="A209" s="570"/>
      <c r="B209" s="570"/>
      <c r="C209" s="570"/>
      <c r="D209" s="570"/>
      <c r="E209" s="570"/>
      <c r="F209" s="570"/>
      <c r="G209" s="570"/>
      <c r="H209" s="570"/>
      <c r="I209" s="570"/>
      <c r="J209" s="570"/>
      <c r="K209" s="570"/>
      <c r="L209" s="570"/>
      <c r="M209" s="570"/>
      <c r="N209" s="570"/>
      <c r="O209" s="570"/>
      <c r="P209" s="570"/>
      <c r="AI209">
        <f ca="1">PoslGod</f>
        <v>2025</v>
      </c>
      <c r="AJ209">
        <f ca="1">PoslGod-1</f>
        <v>2024</v>
      </c>
      <c r="AP209" s="958"/>
      <c r="AQ209" s="958"/>
      <c r="AR209" s="958"/>
      <c r="AS209" s="958"/>
      <c r="AT209" s="958"/>
    </row>
    <row r="210" ht="14.25" spans="1:46">
      <c r="A210" s="570"/>
      <c r="B210" s="570"/>
      <c r="C210" s="570"/>
      <c r="D210" s="570"/>
      <c r="E210" s="570"/>
      <c r="F210" s="570"/>
      <c r="G210" s="570"/>
      <c r="H210" s="570"/>
      <c r="I210" s="570"/>
      <c r="J210" s="570"/>
      <c r="K210" s="570"/>
      <c r="L210" s="570"/>
      <c r="M210" s="570"/>
      <c r="N210" s="570"/>
      <c r="O210" s="570"/>
      <c r="P210" s="570"/>
      <c r="AH210" t="s">
        <v>7610</v>
      </c>
      <c r="AI210" s="959">
        <f>R202</f>
        <v>306969</v>
      </c>
      <c r="AJ210" s="959">
        <f>AD202</f>
        <v>285281</v>
      </c>
      <c r="AP210" s="958"/>
      <c r="AQ210" s="958"/>
      <c r="AR210" s="958"/>
      <c r="AS210" s="958"/>
      <c r="AT210" s="958"/>
    </row>
    <row r="211" ht="14.25" spans="1:46">
      <c r="A211" s="570"/>
      <c r="B211" s="570"/>
      <c r="C211" s="570"/>
      <c r="D211" s="570"/>
      <c r="E211" s="570"/>
      <c r="F211" s="570"/>
      <c r="G211" s="570"/>
      <c r="H211" s="570"/>
      <c r="I211" s="570"/>
      <c r="J211" s="570"/>
      <c r="K211" s="570"/>
      <c r="L211" s="570"/>
      <c r="M211" s="570"/>
      <c r="N211" s="570"/>
      <c r="O211" s="570"/>
      <c r="P211" s="570"/>
      <c r="AP211" s="958"/>
      <c r="AQ211" s="958"/>
      <c r="AR211" s="958"/>
      <c r="AS211" s="958"/>
      <c r="AT211" s="958"/>
    </row>
    <row r="212" ht="14.25" spans="1:46">
      <c r="A212" s="570"/>
      <c r="B212" s="570"/>
      <c r="C212" s="570"/>
      <c r="D212" s="570"/>
      <c r="E212" s="570"/>
      <c r="F212" s="570"/>
      <c r="G212" s="570"/>
      <c r="H212" s="570"/>
      <c r="I212" s="570"/>
      <c r="J212" s="570"/>
      <c r="K212" s="570"/>
      <c r="L212" s="570"/>
      <c r="M212" s="570"/>
      <c r="N212" s="570"/>
      <c r="O212" s="570"/>
      <c r="P212" s="570"/>
      <c r="AP212" s="958"/>
      <c r="AQ212" s="958"/>
      <c r="AR212" s="958"/>
      <c r="AS212" s="958"/>
      <c r="AT212" s="958"/>
    </row>
    <row r="213" ht="14.25" spans="1:46">
      <c r="A213" s="570"/>
      <c r="B213" s="570"/>
      <c r="C213" s="570"/>
      <c r="D213" s="570"/>
      <c r="E213" s="570"/>
      <c r="F213" s="570"/>
      <c r="G213" s="570"/>
      <c r="H213" s="570"/>
      <c r="I213" s="570"/>
      <c r="J213" s="570"/>
      <c r="K213" s="570"/>
      <c r="L213" s="570"/>
      <c r="M213" s="570"/>
      <c r="N213" s="570"/>
      <c r="O213" s="570"/>
      <c r="P213" s="570"/>
      <c r="AH213" s="572" t="s">
        <v>7603</v>
      </c>
      <c r="AI213" s="959">
        <f>R200</f>
        <v>292171</v>
      </c>
      <c r="AP213" s="958"/>
      <c r="AQ213" s="958"/>
      <c r="AR213" s="958"/>
      <c r="AS213" s="958"/>
      <c r="AT213" s="958"/>
    </row>
    <row r="214" ht="14.25" spans="1:46">
      <c r="A214" s="570"/>
      <c r="B214" s="570"/>
      <c r="C214" s="570"/>
      <c r="D214" s="570"/>
      <c r="E214" s="570"/>
      <c r="F214" s="570"/>
      <c r="G214" s="570"/>
      <c r="H214" s="570"/>
      <c r="I214" s="570"/>
      <c r="J214" s="570"/>
      <c r="K214" s="570"/>
      <c r="L214" s="570"/>
      <c r="M214" s="570"/>
      <c r="N214" s="570"/>
      <c r="O214" s="570"/>
      <c r="P214" s="570"/>
      <c r="AH214" s="572" t="s">
        <v>2310</v>
      </c>
      <c r="AI214" s="959">
        <f>R201</f>
        <v>14798</v>
      </c>
      <c r="AP214" s="958"/>
      <c r="AQ214" s="958"/>
      <c r="AR214" s="958"/>
      <c r="AS214" s="958"/>
      <c r="AT214" s="958"/>
    </row>
    <row r="215" ht="14.25" spans="1:46">
      <c r="A215" s="570"/>
      <c r="B215" s="570"/>
      <c r="C215" s="570"/>
      <c r="D215" s="570"/>
      <c r="E215" s="570"/>
      <c r="F215" s="570"/>
      <c r="G215" s="570"/>
      <c r="H215" s="570"/>
      <c r="I215" s="570"/>
      <c r="J215" s="570"/>
      <c r="K215" s="570"/>
      <c r="L215" s="570"/>
      <c r="M215" s="570"/>
      <c r="N215" s="570"/>
      <c r="O215" s="570"/>
      <c r="P215" s="570"/>
      <c r="AH215" s="572"/>
      <c r="AI215" s="959"/>
      <c r="AP215" s="958"/>
      <c r="AQ215" s="958"/>
      <c r="AR215" s="958"/>
      <c r="AS215" s="958"/>
      <c r="AT215" s="958"/>
    </row>
    <row r="216" ht="14.25" spans="1:46">
      <c r="A216" s="570"/>
      <c r="B216" s="570"/>
      <c r="C216" s="570"/>
      <c r="D216" s="570"/>
      <c r="E216" s="570"/>
      <c r="F216" s="570"/>
      <c r="G216" s="570"/>
      <c r="H216" s="570"/>
      <c r="I216" s="570"/>
      <c r="J216" s="570"/>
      <c r="K216" s="570"/>
      <c r="L216" s="570"/>
      <c r="M216" s="570"/>
      <c r="N216" s="570"/>
      <c r="O216" s="570"/>
      <c r="P216" s="570"/>
      <c r="AP216" s="958"/>
      <c r="AQ216" s="958"/>
      <c r="AR216" s="958"/>
      <c r="AS216" s="958"/>
      <c r="AT216" s="958"/>
    </row>
    <row r="217" ht="14.25" spans="1:46">
      <c r="A217" s="570"/>
      <c r="B217" s="570"/>
      <c r="C217" s="570"/>
      <c r="D217" s="570"/>
      <c r="E217" s="570"/>
      <c r="F217" s="570"/>
      <c r="G217" s="570"/>
      <c r="H217" s="570"/>
      <c r="I217" s="570"/>
      <c r="J217" s="570"/>
      <c r="K217" s="570"/>
      <c r="L217" s="570"/>
      <c r="M217" s="570"/>
      <c r="N217" s="570"/>
      <c r="O217" s="570"/>
      <c r="P217" s="570"/>
      <c r="AP217" s="958"/>
      <c r="AQ217" s="958"/>
      <c r="AR217" s="958"/>
      <c r="AS217" s="958"/>
      <c r="AT217" s="958"/>
    </row>
    <row r="218" ht="14.25" spans="1:46">
      <c r="A218" s="570"/>
      <c r="B218" s="570"/>
      <c r="C218" s="570"/>
      <c r="D218" s="570"/>
      <c r="E218" s="570"/>
      <c r="F218" s="570"/>
      <c r="G218" s="570"/>
      <c r="H218" s="570"/>
      <c r="I218" s="570"/>
      <c r="J218" s="570"/>
      <c r="K218" s="570"/>
      <c r="L218" s="570"/>
      <c r="M218" s="570"/>
      <c r="N218" s="570"/>
      <c r="O218" s="570"/>
      <c r="P218" s="570"/>
      <c r="AP218" s="958"/>
      <c r="AQ218" s="958"/>
      <c r="AR218" s="958"/>
      <c r="AS218" s="958"/>
      <c r="AT218" s="958"/>
    </row>
    <row r="219" ht="14.25" spans="1:46">
      <c r="A219" s="570"/>
      <c r="B219" s="570"/>
      <c r="C219" s="570"/>
      <c r="D219" s="570"/>
      <c r="E219" s="570"/>
      <c r="F219" s="570"/>
      <c r="G219" s="570"/>
      <c r="H219" s="570"/>
      <c r="I219" s="570"/>
      <c r="J219" s="570"/>
      <c r="K219" s="570"/>
      <c r="L219" s="570"/>
      <c r="M219" s="570"/>
      <c r="N219" s="570"/>
      <c r="O219" s="570"/>
      <c r="P219" s="570"/>
      <c r="AP219" s="958"/>
      <c r="AQ219" s="958"/>
      <c r="AR219" s="958"/>
      <c r="AS219" s="958"/>
      <c r="AT219" s="958"/>
    </row>
    <row r="220" ht="14.25" spans="1:46">
      <c r="A220" s="570"/>
      <c r="B220" s="570"/>
      <c r="C220" s="570"/>
      <c r="D220" s="570"/>
      <c r="E220" s="570"/>
      <c r="F220" s="570"/>
      <c r="G220" s="570"/>
      <c r="H220" s="570"/>
      <c r="I220" s="570"/>
      <c r="J220" s="570"/>
      <c r="K220" s="570"/>
      <c r="L220" s="570"/>
      <c r="M220" s="570"/>
      <c r="N220" s="570"/>
      <c r="O220" s="570"/>
      <c r="P220" s="570"/>
      <c r="AP220" s="958"/>
      <c r="AQ220" s="958"/>
      <c r="AR220" s="958"/>
      <c r="AS220" s="958"/>
      <c r="AT220" s="958"/>
    </row>
    <row r="221" ht="14.25" spans="1:46">
      <c r="A221" s="570"/>
      <c r="B221" s="570"/>
      <c r="C221" s="570"/>
      <c r="D221" s="570"/>
      <c r="E221" s="570"/>
      <c r="F221" s="570"/>
      <c r="G221" s="570"/>
      <c r="H221" s="570"/>
      <c r="I221" s="570"/>
      <c r="J221" s="570"/>
      <c r="K221" s="570"/>
      <c r="L221" s="570"/>
      <c r="M221" s="570"/>
      <c r="N221" s="570"/>
      <c r="O221" s="570"/>
      <c r="P221" s="570"/>
      <c r="AP221" s="958"/>
      <c r="AQ221" s="958"/>
      <c r="AR221" s="958"/>
      <c r="AS221" s="958"/>
      <c r="AT221" s="958"/>
    </row>
    <row r="222" ht="14.25" spans="1:46">
      <c r="A222" s="570"/>
      <c r="B222" s="570"/>
      <c r="C222" s="570"/>
      <c r="D222" s="570"/>
      <c r="E222" s="570"/>
      <c r="F222" s="570"/>
      <c r="G222" s="570"/>
      <c r="H222" s="570"/>
      <c r="I222" s="570"/>
      <c r="J222" s="570"/>
      <c r="K222" s="570"/>
      <c r="L222" s="570"/>
      <c r="M222" s="570"/>
      <c r="N222" s="570"/>
      <c r="O222" s="570"/>
      <c r="P222" s="570"/>
      <c r="AP222" s="958"/>
      <c r="AQ222" s="958"/>
      <c r="AR222" s="958"/>
      <c r="AS222" s="958"/>
      <c r="AT222" s="958"/>
    </row>
    <row r="223" ht="14.25" spans="1:46">
      <c r="A223" s="570"/>
      <c r="B223" s="570"/>
      <c r="C223" s="570"/>
      <c r="D223" s="570"/>
      <c r="E223" s="570"/>
      <c r="F223" s="570"/>
      <c r="G223" s="570"/>
      <c r="H223" s="570"/>
      <c r="I223" s="570"/>
      <c r="J223" s="570"/>
      <c r="K223" s="570"/>
      <c r="L223" s="570"/>
      <c r="M223" s="570"/>
      <c r="N223" s="570"/>
      <c r="O223" s="570"/>
      <c r="P223" s="570"/>
      <c r="AP223" s="958"/>
      <c r="AQ223" s="958"/>
      <c r="AR223" s="958"/>
      <c r="AS223" s="958"/>
      <c r="AT223" s="958"/>
    </row>
    <row r="224" ht="14.25" spans="1:46">
      <c r="A224" s="570"/>
      <c r="B224" s="570"/>
      <c r="C224" s="570"/>
      <c r="D224" s="570"/>
      <c r="E224" s="570"/>
      <c r="F224" s="570"/>
      <c r="G224" s="570"/>
      <c r="H224" s="570"/>
      <c r="I224" s="570"/>
      <c r="J224" s="570"/>
      <c r="K224" s="570"/>
      <c r="L224" s="570"/>
      <c r="M224" s="570"/>
      <c r="N224" s="570"/>
      <c r="O224" s="570"/>
      <c r="P224" s="570"/>
      <c r="AP224" s="958"/>
      <c r="AQ224" s="958"/>
      <c r="AR224" s="958"/>
      <c r="AS224" s="958"/>
      <c r="AT224" s="958"/>
    </row>
    <row r="225" ht="15" spans="1:46">
      <c r="A225" s="1" t="s">
        <v>7611</v>
      </c>
      <c r="B225" s="491"/>
      <c r="C225" s="491"/>
      <c r="D225" s="491"/>
      <c r="E225" s="491"/>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1"/>
      <c r="AC225" s="491"/>
      <c r="AD225" s="491"/>
      <c r="AE225" s="491"/>
      <c r="AF225" s="491"/>
      <c r="AG225" s="491"/>
      <c r="AH225" s="491"/>
      <c r="AI225" s="491"/>
      <c r="AJ225" s="491"/>
      <c r="AK225" s="491"/>
      <c r="AL225" s="491"/>
      <c r="AM225" s="491"/>
      <c r="AN225" s="491"/>
      <c r="AO225" s="491"/>
      <c r="AP225" s="491"/>
      <c r="AQ225" s="491"/>
      <c r="AR225" s="491"/>
    </row>
    <row r="226" ht="15" spans="1:46">
      <c r="A226" s="1"/>
      <c r="B226" s="49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row>
    <row r="227" ht="18.75" customHeight="1" spans="1:46">
      <c r="A227" s="960" t="s">
        <v>5787</v>
      </c>
      <c r="B227" s="961" t="s">
        <v>7605</v>
      </c>
      <c r="C227" s="962"/>
      <c r="D227" s="962"/>
      <c r="E227" s="962"/>
      <c r="F227" s="962"/>
      <c r="G227" s="962"/>
      <c r="H227" s="962"/>
      <c r="I227" s="962"/>
      <c r="J227" s="962"/>
      <c r="K227" s="962"/>
      <c r="L227" s="962"/>
      <c r="M227" s="962"/>
      <c r="N227" s="962"/>
      <c r="O227" s="962"/>
      <c r="P227" s="962"/>
      <c r="Q227" s="962"/>
      <c r="R227" s="962"/>
      <c r="S227" s="962"/>
      <c r="T227" s="962"/>
      <c r="U227" s="962"/>
      <c r="V227" s="962"/>
      <c r="W227" s="962"/>
      <c r="X227" s="962"/>
      <c r="Y227" s="962"/>
      <c r="Z227" s="962"/>
      <c r="AA227" s="962"/>
      <c r="AB227" s="962"/>
      <c r="AC227" s="962"/>
      <c r="AD227" s="962"/>
      <c r="AE227" s="962"/>
      <c r="AF227" s="962"/>
      <c r="AG227" s="963"/>
      <c r="AH227" s="964" t="str">
        <f ca="1">PeriodOd&amp;". - "&amp;PeriodDo</f>
        <v>01.01.2025. - 31.12.2025</v>
      </c>
      <c r="AI227" s="965"/>
      <c r="AJ227" s="965"/>
      <c r="AK227" s="965"/>
      <c r="AL227" s="965"/>
      <c r="AM227" s="965"/>
      <c r="AN227" s="965"/>
      <c r="AO227" s="965"/>
      <c r="AP227" s="965"/>
      <c r="AQ227" s="965"/>
      <c r="AR227" s="965"/>
      <c r="AS227" s="965"/>
      <c r="AT227" s="966"/>
    </row>
    <row r="228" ht="18.75" customHeight="1" spans="1:46">
      <c r="A228" s="967" t="s">
        <v>5791</v>
      </c>
      <c r="B228" s="968"/>
      <c r="C228" s="969"/>
      <c r="D228" s="969"/>
      <c r="E228" s="969"/>
      <c r="F228" s="969"/>
      <c r="G228" s="969"/>
      <c r="H228" s="969"/>
      <c r="I228" s="969"/>
      <c r="J228" s="969"/>
      <c r="K228" s="969"/>
      <c r="L228" s="969"/>
      <c r="M228" s="969"/>
      <c r="N228" s="969"/>
      <c r="O228" s="969"/>
      <c r="P228" s="969"/>
      <c r="Q228" s="969"/>
      <c r="R228" s="969"/>
      <c r="S228" s="969"/>
      <c r="T228" s="969"/>
      <c r="U228" s="969"/>
      <c r="V228" s="969"/>
      <c r="W228" s="969"/>
      <c r="X228" s="969"/>
      <c r="Y228" s="969"/>
      <c r="Z228" s="969"/>
      <c r="AA228" s="969"/>
      <c r="AB228" s="969"/>
      <c r="AC228" s="969"/>
      <c r="AD228" s="969"/>
      <c r="AE228" s="969"/>
      <c r="AF228" s="969"/>
      <c r="AG228" s="970"/>
      <c r="AH228" s="971" t="s">
        <v>7462</v>
      </c>
      <c r="AI228" s="971"/>
      <c r="AJ228" s="971"/>
      <c r="AK228" s="971"/>
      <c r="AL228" s="971"/>
      <c r="AM228" s="971"/>
      <c r="AN228" s="971"/>
      <c r="AO228" s="971"/>
      <c r="AP228" s="971"/>
      <c r="AQ228" s="971" t="s">
        <v>20</v>
      </c>
      <c r="AR228" s="971"/>
      <c r="AS228" s="971"/>
      <c r="AT228" s="971"/>
    </row>
    <row r="229" ht="15" customHeight="1" spans="1:46">
      <c r="A229" s="972">
        <v>0</v>
      </c>
      <c r="B229" s="972">
        <v>1</v>
      </c>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2"/>
      <c r="Z229" s="972"/>
      <c r="AA229" s="972"/>
      <c r="AB229" s="972"/>
      <c r="AC229" s="972"/>
      <c r="AD229" s="972"/>
      <c r="AE229" s="972"/>
      <c r="AF229" s="972"/>
      <c r="AG229" s="972"/>
      <c r="AH229" s="972">
        <v>3</v>
      </c>
      <c r="AI229" s="972"/>
      <c r="AJ229" s="972"/>
      <c r="AK229" s="972"/>
      <c r="AL229" s="972"/>
      <c r="AM229" s="972"/>
      <c r="AN229" s="972"/>
      <c r="AO229" s="972"/>
      <c r="AP229" s="972"/>
      <c r="AQ229" s="972">
        <v>4</v>
      </c>
      <c r="AR229" s="972"/>
      <c r="AS229" s="972"/>
      <c r="AT229" s="972"/>
    </row>
    <row r="230" ht="19.5" customHeight="1" spans="1:46">
      <c r="A230" s="973">
        <v>1</v>
      </c>
      <c r="B230" s="974" t="str">
        <f>IF(AH230=0,"-",Baza!B62)</f>
        <v>Troškovi plaća i ostalih ličnih primanja (AOP 258)</v>
      </c>
      <c r="C230" s="974"/>
      <c r="D230" s="974"/>
      <c r="E230" s="974"/>
      <c r="F230" s="974"/>
      <c r="G230" s="974"/>
      <c r="H230" s="974"/>
      <c r="I230" s="974"/>
      <c r="J230" s="974"/>
      <c r="K230" s="974"/>
      <c r="L230" s="974"/>
      <c r="M230" s="974"/>
      <c r="N230" s="974"/>
      <c r="O230" s="974"/>
      <c r="P230" s="974"/>
      <c r="Q230" s="974"/>
      <c r="R230" s="974"/>
      <c r="S230" s="974"/>
      <c r="T230" s="974"/>
      <c r="U230" s="974"/>
      <c r="V230" s="974"/>
      <c r="W230" s="974"/>
      <c r="X230" s="974"/>
      <c r="Y230" s="974"/>
      <c r="Z230" s="974"/>
      <c r="AA230" s="974"/>
      <c r="AB230" s="974"/>
      <c r="AC230" s="974"/>
      <c r="AD230" s="974"/>
      <c r="AE230" s="974"/>
      <c r="AF230" s="974"/>
      <c r="AG230" s="974"/>
      <c r="AH230" s="978">
        <f>Baza!C62</f>
        <v>206367</v>
      </c>
      <c r="AI230" s="978"/>
      <c r="AJ230" s="978"/>
      <c r="AK230" s="978"/>
      <c r="AL230" s="978"/>
      <c r="AM230" s="978"/>
      <c r="AN230" s="978"/>
      <c r="AO230" s="978"/>
      <c r="AP230" s="978"/>
      <c r="AQ230" s="976">
        <f>IFERROR(AH230/$AH$241,"-")</f>
        <v>0.672273095980376</v>
      </c>
      <c r="AR230" s="976"/>
      <c r="AS230" s="976"/>
      <c r="AT230" s="976"/>
    </row>
    <row r="231" ht="19.5" customHeight="1" spans="1:46">
      <c r="A231" s="977">
        <v>2</v>
      </c>
      <c r="B231" s="974" t="str">
        <f>IF(AH231=0,"-",Baza!B63)</f>
        <v>Ostali poslovni rashodi i troškovi (AOP 270)</v>
      </c>
      <c r="C231" s="974"/>
      <c r="D231" s="974"/>
      <c r="E231" s="974"/>
      <c r="F231" s="974"/>
      <c r="G231" s="974"/>
      <c r="H231" s="974"/>
      <c r="I231" s="974"/>
      <c r="J231" s="974"/>
      <c r="K231" s="974"/>
      <c r="L231" s="974"/>
      <c r="M231" s="974"/>
      <c r="N231" s="974"/>
      <c r="O231" s="974"/>
      <c r="P231" s="974"/>
      <c r="Q231" s="974"/>
      <c r="R231" s="974"/>
      <c r="S231" s="974"/>
      <c r="T231" s="974"/>
      <c r="U231" s="974"/>
      <c r="V231" s="974"/>
      <c r="W231" s="974"/>
      <c r="X231" s="974"/>
      <c r="Y231" s="974"/>
      <c r="Z231" s="974"/>
      <c r="AA231" s="974"/>
      <c r="AB231" s="974"/>
      <c r="AC231" s="974"/>
      <c r="AD231" s="974"/>
      <c r="AE231" s="974"/>
      <c r="AF231" s="974"/>
      <c r="AG231" s="974"/>
      <c r="AH231" s="978">
        <f>Baza!C63</f>
        <v>41433</v>
      </c>
      <c r="AI231" s="978"/>
      <c r="AJ231" s="978"/>
      <c r="AK231" s="978"/>
      <c r="AL231" s="978"/>
      <c r="AM231" s="978"/>
      <c r="AN231" s="978"/>
      <c r="AO231" s="978"/>
      <c r="AP231" s="978"/>
      <c r="AQ231" s="976">
        <f t="shared" ref="AQ231:AQ241" si="3">IFERROR(AH231/$AH$241,"-")</f>
        <v>0.134974541403204</v>
      </c>
      <c r="AR231" s="976"/>
      <c r="AS231" s="976"/>
      <c r="AT231" s="976"/>
    </row>
    <row r="232" ht="19.5" customHeight="1" spans="1:46">
      <c r="A232" s="977">
        <v>3</v>
      </c>
      <c r="B232" s="974" t="str">
        <f>IF(AH232=0,"-",Baza!B64)</f>
        <v>Troškovi primljenih usluga (AOP 269)</v>
      </c>
      <c r="C232" s="974"/>
      <c r="D232" s="974"/>
      <c r="E232" s="974"/>
      <c r="F232" s="974"/>
      <c r="G232" s="974"/>
      <c r="H232" s="974"/>
      <c r="I232" s="974"/>
      <c r="J232" s="974"/>
      <c r="K232" s="974"/>
      <c r="L232" s="974"/>
      <c r="M232" s="974"/>
      <c r="N232" s="974"/>
      <c r="O232" s="974"/>
      <c r="P232" s="974"/>
      <c r="Q232" s="974"/>
      <c r="R232" s="974"/>
      <c r="S232" s="974"/>
      <c r="T232" s="974"/>
      <c r="U232" s="974"/>
      <c r="V232" s="974"/>
      <c r="W232" s="974"/>
      <c r="X232" s="974"/>
      <c r="Y232" s="974"/>
      <c r="Z232" s="974"/>
      <c r="AA232" s="974"/>
      <c r="AB232" s="974"/>
      <c r="AC232" s="974"/>
      <c r="AD232" s="974"/>
      <c r="AE232" s="974"/>
      <c r="AF232" s="974"/>
      <c r="AG232" s="974"/>
      <c r="AH232" s="978">
        <f>Baza!C64</f>
        <v>31427</v>
      </c>
      <c r="AI232" s="978"/>
      <c r="AJ232" s="978"/>
      <c r="AK232" s="978"/>
      <c r="AL232" s="978"/>
      <c r="AM232" s="978"/>
      <c r="AN232" s="978"/>
      <c r="AO232" s="978"/>
      <c r="AP232" s="978"/>
      <c r="AQ232" s="976">
        <f t="shared" si="3"/>
        <v>0.102378416061557</v>
      </c>
      <c r="AR232" s="976"/>
      <c r="AS232" s="976"/>
      <c r="AT232" s="976"/>
    </row>
    <row r="233" ht="19.5" customHeight="1" spans="1:46">
      <c r="A233" s="977">
        <v>4</v>
      </c>
      <c r="B233" s="974" t="str">
        <f>IF(AH233=0,"-",Baza!B65)</f>
        <v>Ostali rashodi i gubici (AOP 308)</v>
      </c>
      <c r="C233" s="974"/>
      <c r="D233" s="974"/>
      <c r="E233" s="974"/>
      <c r="F233" s="974"/>
      <c r="G233" s="974"/>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8">
        <f>Baza!C65</f>
        <v>14798</v>
      </c>
      <c r="AI233" s="978"/>
      <c r="AJ233" s="978"/>
      <c r="AK233" s="978"/>
      <c r="AL233" s="978"/>
      <c r="AM233" s="978"/>
      <c r="AN233" s="978"/>
      <c r="AO233" s="978"/>
      <c r="AP233" s="978"/>
      <c r="AQ233" s="976">
        <f t="shared" si="3"/>
        <v>0.0482068221872567</v>
      </c>
      <c r="AR233" s="976"/>
      <c r="AS233" s="976"/>
      <c r="AT233" s="976"/>
    </row>
    <row r="234" ht="19.5" customHeight="1" spans="1:46">
      <c r="A234" s="977">
        <v>5</v>
      </c>
      <c r="B234" s="974" t="str">
        <f>IF(AH234=0,"-",Baza!B66)</f>
        <v>Troškovi energije i goriva (AOP 257)</v>
      </c>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8">
        <f>Baza!C66</f>
        <v>7591</v>
      </c>
      <c r="AI234" s="978"/>
      <c r="AJ234" s="978"/>
      <c r="AK234" s="978"/>
      <c r="AL234" s="978"/>
      <c r="AM234" s="978"/>
      <c r="AN234" s="978"/>
      <c r="AO234" s="978"/>
      <c r="AP234" s="978"/>
      <c r="AQ234" s="976">
        <f t="shared" si="3"/>
        <v>0.0247288814179933</v>
      </c>
      <c r="AR234" s="976"/>
      <c r="AS234" s="976"/>
      <c r="AT234" s="976"/>
    </row>
    <row r="235" ht="19.5" customHeight="1" spans="1:46">
      <c r="A235" s="977">
        <v>6</v>
      </c>
      <c r="B235" s="974" t="str">
        <f>IF(AH235=0,"-",Baza!B67)</f>
        <v>Amortizacija (AOP 262)</v>
      </c>
      <c r="C235" s="974"/>
      <c r="D235" s="974"/>
      <c r="E235" s="974"/>
      <c r="F235" s="974"/>
      <c r="G235" s="974"/>
      <c r="H235" s="974"/>
      <c r="I235" s="974"/>
      <c r="J235" s="974"/>
      <c r="K235" s="974"/>
      <c r="L235" s="974"/>
      <c r="M235" s="974"/>
      <c r="N235" s="974"/>
      <c r="O235" s="974"/>
      <c r="P235" s="974"/>
      <c r="Q235" s="974"/>
      <c r="R235" s="974"/>
      <c r="S235" s="974"/>
      <c r="T235" s="974"/>
      <c r="U235" s="974"/>
      <c r="V235" s="974"/>
      <c r="W235" s="974"/>
      <c r="X235" s="974"/>
      <c r="Y235" s="974"/>
      <c r="Z235" s="974"/>
      <c r="AA235" s="974"/>
      <c r="AB235" s="974"/>
      <c r="AC235" s="974"/>
      <c r="AD235" s="974"/>
      <c r="AE235" s="974"/>
      <c r="AF235" s="974"/>
      <c r="AG235" s="974"/>
      <c r="AH235" s="978">
        <f>Baza!C67</f>
        <v>4549</v>
      </c>
      <c r="AI235" s="978"/>
      <c r="AJ235" s="978"/>
      <c r="AK235" s="978"/>
      <c r="AL235" s="978"/>
      <c r="AM235" s="978"/>
      <c r="AN235" s="978"/>
      <c r="AO235" s="978"/>
      <c r="AP235" s="978"/>
      <c r="AQ235" s="976">
        <f t="shared" si="3"/>
        <v>0.0148190859663354</v>
      </c>
      <c r="AR235" s="976"/>
      <c r="AS235" s="976"/>
      <c r="AT235" s="976"/>
    </row>
    <row r="236" ht="19.5" customHeight="1" spans="1:46">
      <c r="A236" s="977">
        <v>7</v>
      </c>
      <c r="B236" s="974" t="str">
        <f>IF(AH236=0,"-",Baza!B68)</f>
        <v>Troškovi sirovina i materijala (AOP 256)</v>
      </c>
      <c r="C236" s="974"/>
      <c r="D236" s="974"/>
      <c r="E236" s="974"/>
      <c r="F236" s="974"/>
      <c r="G236" s="974"/>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8">
        <f>Baza!C68</f>
        <v>804</v>
      </c>
      <c r="AI236" s="978"/>
      <c r="AJ236" s="978"/>
      <c r="AK236" s="978"/>
      <c r="AL236" s="978"/>
      <c r="AM236" s="978"/>
      <c r="AN236" s="978"/>
      <c r="AO236" s="978"/>
      <c r="AP236" s="978"/>
      <c r="AQ236" s="976">
        <f t="shared" si="3"/>
        <v>0.00261915698327844</v>
      </c>
      <c r="AR236" s="976"/>
      <c r="AS236" s="976"/>
      <c r="AT236" s="976"/>
    </row>
    <row r="237" ht="19.5" customHeight="1" spans="1:46">
      <c r="A237" s="977">
        <v>8</v>
      </c>
      <c r="B237" s="974" t="str">
        <f>IF(AH237=0,"-",Baza!B69)</f>
        <v>-</v>
      </c>
      <c r="C237" s="974"/>
      <c r="D237" s="974"/>
      <c r="E237" s="974"/>
      <c r="F237" s="974"/>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8">
        <f>Baza!C69</f>
        <v>0</v>
      </c>
      <c r="AI237" s="978"/>
      <c r="AJ237" s="978"/>
      <c r="AK237" s="978"/>
      <c r="AL237" s="978"/>
      <c r="AM237" s="978"/>
      <c r="AN237" s="978"/>
      <c r="AO237" s="978"/>
      <c r="AP237" s="978"/>
      <c r="AQ237" s="976">
        <f t="shared" si="3"/>
        <v>0</v>
      </c>
      <c r="AR237" s="976"/>
      <c r="AS237" s="976"/>
      <c r="AT237" s="976"/>
    </row>
    <row r="238" ht="19.5" customHeight="1" spans="1:46">
      <c r="A238" s="977">
        <v>9</v>
      </c>
      <c r="B238" s="974" t="str">
        <f>IF(AH238=0,"-",Baza!B70)</f>
        <v>-</v>
      </c>
      <c r="C238" s="974"/>
      <c r="D238" s="974"/>
      <c r="E238" s="974"/>
      <c r="F238" s="974"/>
      <c r="G238" s="974"/>
      <c r="H238" s="974"/>
      <c r="I238" s="974"/>
      <c r="J238" s="974"/>
      <c r="K238" s="974"/>
      <c r="L238" s="974"/>
      <c r="M238" s="974"/>
      <c r="N238" s="974"/>
      <c r="O238" s="974"/>
      <c r="P238" s="974"/>
      <c r="Q238" s="974"/>
      <c r="R238" s="974"/>
      <c r="S238" s="974"/>
      <c r="T238" s="974"/>
      <c r="U238" s="974"/>
      <c r="V238" s="974"/>
      <c r="W238" s="974"/>
      <c r="X238" s="974"/>
      <c r="Y238" s="974"/>
      <c r="Z238" s="974"/>
      <c r="AA238" s="974"/>
      <c r="AB238" s="974"/>
      <c r="AC238" s="974"/>
      <c r="AD238" s="974"/>
      <c r="AE238" s="974"/>
      <c r="AF238" s="974"/>
      <c r="AG238" s="974"/>
      <c r="AH238" s="978">
        <f>Baza!C70</f>
        <v>0</v>
      </c>
      <c r="AI238" s="978"/>
      <c r="AJ238" s="978"/>
      <c r="AK238" s="978"/>
      <c r="AL238" s="978"/>
      <c r="AM238" s="978"/>
      <c r="AN238" s="978"/>
      <c r="AO238" s="978"/>
      <c r="AP238" s="978"/>
      <c r="AQ238" s="976">
        <f t="shared" si="3"/>
        <v>0</v>
      </c>
      <c r="AR238" s="976"/>
      <c r="AS238" s="976"/>
      <c r="AT238" s="976"/>
    </row>
    <row r="239" ht="19.5" customHeight="1" spans="1:46">
      <c r="A239" s="977">
        <v>10</v>
      </c>
      <c r="B239" s="974" t="str">
        <f>IF(AH239=0,"-",Baza!B71)</f>
        <v>-</v>
      </c>
      <c r="C239" s="974"/>
      <c r="D239" s="974"/>
      <c r="E239" s="974"/>
      <c r="F239" s="974"/>
      <c r="G239" s="974"/>
      <c r="H239" s="974"/>
      <c r="I239" s="974"/>
      <c r="J239" s="974"/>
      <c r="K239" s="974"/>
      <c r="L239" s="974"/>
      <c r="M239" s="974"/>
      <c r="N239" s="974"/>
      <c r="O239" s="974"/>
      <c r="P239" s="974"/>
      <c r="Q239" s="974"/>
      <c r="R239" s="974"/>
      <c r="S239" s="974"/>
      <c r="T239" s="974"/>
      <c r="U239" s="974"/>
      <c r="V239" s="974"/>
      <c r="W239" s="974"/>
      <c r="X239" s="974"/>
      <c r="Y239" s="974"/>
      <c r="Z239" s="974"/>
      <c r="AA239" s="974"/>
      <c r="AB239" s="974"/>
      <c r="AC239" s="974"/>
      <c r="AD239" s="974"/>
      <c r="AE239" s="974"/>
      <c r="AF239" s="974"/>
      <c r="AG239" s="974"/>
      <c r="AH239" s="978">
        <f>Baza!C71</f>
        <v>0</v>
      </c>
      <c r="AI239" s="978"/>
      <c r="AJ239" s="978"/>
      <c r="AK239" s="978"/>
      <c r="AL239" s="978"/>
      <c r="AM239" s="978"/>
      <c r="AN239" s="978"/>
      <c r="AO239" s="978"/>
      <c r="AP239" s="978"/>
      <c r="AQ239" s="976">
        <f t="shared" si="3"/>
        <v>0</v>
      </c>
      <c r="AR239" s="976"/>
      <c r="AS239" s="976"/>
      <c r="AT239" s="976"/>
    </row>
    <row r="240" ht="19.5" customHeight="1" spans="1:46">
      <c r="A240" s="979">
        <v>11</v>
      </c>
      <c r="B240" s="974" t="str">
        <f>IF(AH240=0,"-",Baza!B72)</f>
        <v>-</v>
      </c>
      <c r="C240" s="974"/>
      <c r="D240" s="974"/>
      <c r="E240" s="974"/>
      <c r="F240" s="974"/>
      <c r="G240" s="974"/>
      <c r="H240" s="974"/>
      <c r="I240" s="974"/>
      <c r="J240" s="974"/>
      <c r="K240" s="974"/>
      <c r="L240" s="974"/>
      <c r="M240" s="974"/>
      <c r="N240" s="974"/>
      <c r="O240" s="974"/>
      <c r="P240" s="974"/>
      <c r="Q240" s="974"/>
      <c r="R240" s="974"/>
      <c r="S240" s="974"/>
      <c r="T240" s="974"/>
      <c r="U240" s="974"/>
      <c r="V240" s="974"/>
      <c r="W240" s="974"/>
      <c r="X240" s="974"/>
      <c r="Y240" s="974"/>
      <c r="Z240" s="974"/>
      <c r="AA240" s="974"/>
      <c r="AB240" s="974"/>
      <c r="AC240" s="974"/>
      <c r="AD240" s="974"/>
      <c r="AE240" s="974"/>
      <c r="AF240" s="974"/>
      <c r="AG240" s="974"/>
      <c r="AH240" s="980">
        <f>Baza!C72</f>
        <v>0</v>
      </c>
      <c r="AI240" s="980"/>
      <c r="AJ240" s="980"/>
      <c r="AK240" s="980"/>
      <c r="AL240" s="980"/>
      <c r="AM240" s="980"/>
      <c r="AN240" s="980"/>
      <c r="AO240" s="980"/>
      <c r="AP240" s="980"/>
      <c r="AQ240" s="981">
        <f t="shared" si="3"/>
        <v>0</v>
      </c>
      <c r="AR240" s="981"/>
      <c r="AS240" s="981"/>
      <c r="AT240" s="981"/>
    </row>
    <row r="241" ht="19.5" customHeight="1" spans="1:52">
      <c r="A241" s="982">
        <v>12</v>
      </c>
      <c r="B241" s="983" t="s">
        <v>64</v>
      </c>
      <c r="C241" s="983"/>
      <c r="D241" s="983"/>
      <c r="E241" s="983"/>
      <c r="F241" s="983"/>
      <c r="G241" s="983"/>
      <c r="H241" s="983"/>
      <c r="I241" s="983"/>
      <c r="J241" s="983"/>
      <c r="K241" s="983"/>
      <c r="L241" s="983"/>
      <c r="M241" s="983"/>
      <c r="N241" s="983"/>
      <c r="O241" s="983"/>
      <c r="P241" s="983"/>
      <c r="Q241" s="983"/>
      <c r="R241" s="983"/>
      <c r="S241" s="983"/>
      <c r="T241" s="983"/>
      <c r="U241" s="983"/>
      <c r="V241" s="983"/>
      <c r="W241" s="983"/>
      <c r="X241" s="983"/>
      <c r="Y241" s="983"/>
      <c r="Z241" s="983"/>
      <c r="AA241" s="983"/>
      <c r="AB241" s="983"/>
      <c r="AC241" s="983"/>
      <c r="AD241" s="983"/>
      <c r="AE241" s="983"/>
      <c r="AF241" s="983"/>
      <c r="AG241" s="983"/>
      <c r="AH241" s="995">
        <f>Baza!C73</f>
        <v>306969</v>
      </c>
      <c r="AI241" s="995"/>
      <c r="AJ241" s="995"/>
      <c r="AK241" s="995"/>
      <c r="AL241" s="995"/>
      <c r="AM241" s="995"/>
      <c r="AN241" s="995"/>
      <c r="AO241" s="995"/>
      <c r="AP241" s="995"/>
      <c r="AQ241" s="985">
        <f t="shared" si="3"/>
        <v>1</v>
      </c>
      <c r="AR241" s="985"/>
      <c r="AS241" s="985"/>
      <c r="AT241" s="985"/>
    </row>
    <row r="242" ht="14.25" spans="1:52">
      <c r="A242" s="570"/>
      <c r="B242" s="570"/>
      <c r="C242" s="570"/>
      <c r="D242" s="570"/>
      <c r="E242" s="570"/>
      <c r="F242" s="570"/>
      <c r="G242" s="570"/>
      <c r="H242" s="570"/>
      <c r="I242" s="570"/>
      <c r="J242" s="570"/>
      <c r="K242" s="570"/>
      <c r="L242" s="570"/>
      <c r="M242" s="570"/>
      <c r="N242" s="570"/>
      <c r="O242" s="570"/>
      <c r="P242" s="570"/>
      <c r="AP242" s="958"/>
      <c r="AQ242" s="958"/>
      <c r="AR242" s="958"/>
      <c r="AS242" s="958"/>
      <c r="AT242" s="958"/>
    </row>
    <row r="243" ht="14.25" spans="1:52">
      <c r="A243" s="570"/>
      <c r="B243" s="570"/>
      <c r="C243" s="570"/>
      <c r="D243" s="570"/>
      <c r="E243" s="570"/>
      <c r="F243" s="570"/>
      <c r="G243" s="570"/>
      <c r="H243" s="570"/>
      <c r="I243" s="570"/>
      <c r="J243" s="570"/>
      <c r="K243" s="570"/>
      <c r="L243" s="570"/>
      <c r="M243" s="570"/>
      <c r="N243" s="570"/>
      <c r="O243" s="570"/>
      <c r="P243" s="570"/>
      <c r="AP243" s="958"/>
      <c r="AQ243" s="958"/>
      <c r="AR243" s="958"/>
      <c r="AS243" s="958"/>
      <c r="AT243" s="958"/>
    </row>
    <row r="244" ht="15" spans="1:52">
      <c r="A244" s="907" t="s">
        <v>7612</v>
      </c>
      <c r="B244" s="907"/>
      <c r="C244" s="570"/>
      <c r="D244" s="570"/>
      <c r="E244" s="570"/>
      <c r="F244" s="570"/>
      <c r="G244" s="570"/>
      <c r="H244" s="570"/>
      <c r="I244" s="570"/>
      <c r="J244" s="570"/>
      <c r="K244" s="570"/>
      <c r="L244" s="570"/>
      <c r="M244" s="570"/>
      <c r="N244" s="570"/>
      <c r="O244" s="570"/>
      <c r="P244" s="570"/>
      <c r="AP244" s="958"/>
      <c r="AQ244" s="958"/>
      <c r="AR244" s="958"/>
      <c r="AS244" s="958"/>
      <c r="AT244" s="958"/>
      <c r="AZ244" s="959"/>
    </row>
    <row r="245" ht="14.25" spans="1:52">
      <c r="A245" s="570"/>
      <c r="B245" s="570"/>
      <c r="C245" s="570"/>
      <c r="D245" s="570"/>
      <c r="E245" s="570"/>
      <c r="F245" s="570"/>
      <c r="G245" s="570"/>
      <c r="H245" s="570"/>
      <c r="I245" s="570"/>
      <c r="J245" s="570"/>
      <c r="K245" s="570"/>
      <c r="L245" s="570"/>
      <c r="M245" s="570"/>
      <c r="N245" s="570"/>
      <c r="O245" s="570"/>
      <c r="P245" s="570"/>
      <c r="AP245" s="958"/>
      <c r="AQ245" s="958"/>
      <c r="AR245" s="958"/>
      <c r="AS245" s="958"/>
      <c r="AT245" s="958"/>
      <c r="AZ245" s="959"/>
    </row>
    <row r="246" ht="14.25" spans="1:52">
      <c r="A246" s="570"/>
      <c r="B246" s="570"/>
      <c r="C246" s="570"/>
      <c r="D246" s="570"/>
      <c r="E246" s="570"/>
      <c r="F246" s="570"/>
      <c r="G246" s="570"/>
      <c r="H246" s="570"/>
      <c r="I246" s="570"/>
      <c r="J246" s="570"/>
      <c r="K246" s="570"/>
      <c r="L246" s="570"/>
      <c r="M246" s="570"/>
      <c r="N246" s="570"/>
      <c r="O246" s="570"/>
      <c r="P246" s="570"/>
      <c r="AP246" s="958"/>
      <c r="AQ246" s="958"/>
      <c r="AR246" s="958"/>
      <c r="AS246" s="958"/>
      <c r="AT246" s="958"/>
      <c r="AZ246" s="959"/>
    </row>
    <row r="247" ht="14.25" spans="1:52">
      <c r="A247" s="570"/>
      <c r="B247" s="570"/>
      <c r="C247" s="570"/>
      <c r="D247" s="570"/>
      <c r="E247" s="570"/>
      <c r="F247" s="570"/>
      <c r="G247" s="570"/>
      <c r="H247" s="570"/>
      <c r="I247" s="570"/>
      <c r="J247" s="570"/>
      <c r="K247" s="570"/>
      <c r="L247" s="570"/>
      <c r="M247" s="570"/>
      <c r="N247" s="570"/>
      <c r="O247" s="570"/>
      <c r="P247" s="570"/>
      <c r="AP247" s="958"/>
      <c r="AQ247" s="958"/>
      <c r="AR247" s="958"/>
      <c r="AS247" s="958"/>
      <c r="AT247" s="958"/>
      <c r="AZ247" s="959"/>
    </row>
    <row r="248" ht="14.25" spans="1:52">
      <c r="A248" s="570"/>
      <c r="B248" s="570"/>
      <c r="C248" s="570"/>
      <c r="D248" s="570"/>
      <c r="E248" s="570"/>
      <c r="F248" s="570"/>
      <c r="G248" s="570"/>
      <c r="H248" s="570"/>
      <c r="I248" s="570"/>
      <c r="J248" s="570"/>
      <c r="K248" s="570"/>
      <c r="L248" s="570"/>
      <c r="M248" s="570"/>
      <c r="N248" s="570"/>
      <c r="O248" s="570"/>
      <c r="P248" s="570"/>
      <c r="AP248" s="958"/>
      <c r="AQ248" s="958"/>
      <c r="AR248" s="958"/>
      <c r="AS248" s="958"/>
      <c r="AT248" s="958"/>
      <c r="AZ248" s="959"/>
    </row>
    <row r="249" ht="14.25" spans="1:52">
      <c r="A249" s="570"/>
      <c r="B249" s="570"/>
      <c r="C249" s="570"/>
      <c r="D249" s="570"/>
      <c r="E249" s="570"/>
      <c r="F249" s="570"/>
      <c r="G249" s="570"/>
      <c r="H249" s="570"/>
      <c r="I249" s="570"/>
      <c r="J249" s="570"/>
      <c r="K249" s="570"/>
      <c r="L249" s="570"/>
      <c r="M249" s="570"/>
      <c r="N249" s="570"/>
      <c r="O249" s="570"/>
      <c r="P249" s="570"/>
      <c r="AP249" s="958"/>
      <c r="AQ249" s="958"/>
      <c r="AR249" s="958"/>
      <c r="AS249" s="958"/>
      <c r="AT249" s="958"/>
      <c r="AZ249" s="959"/>
    </row>
    <row r="250" ht="14.25" spans="1:52">
      <c r="A250" s="570"/>
      <c r="B250" s="570"/>
      <c r="C250" s="570"/>
      <c r="D250" s="570"/>
      <c r="E250" s="570"/>
      <c r="F250" s="570"/>
      <c r="G250" s="570"/>
      <c r="H250" s="570"/>
      <c r="I250" s="570"/>
      <c r="J250" s="570"/>
      <c r="K250" s="570"/>
      <c r="L250" s="570"/>
      <c r="M250" s="570"/>
      <c r="N250" s="570"/>
      <c r="O250" s="570"/>
      <c r="P250" s="570"/>
      <c r="AB250" t="str">
        <f t="shared" ref="AB250:AB260" si="4">B230</f>
        <v>Troškovi plaća i ostalih ličnih primanja (AOP 258)</v>
      </c>
      <c r="AC250" s="959">
        <f t="shared" ref="AC250:AC260" si="5">AH230</f>
        <v>206367</v>
      </c>
      <c r="AP250" s="958"/>
      <c r="AQ250" s="958"/>
      <c r="AR250" s="958"/>
      <c r="AS250" s="958"/>
      <c r="AT250" s="958"/>
      <c r="AZ250" s="959"/>
    </row>
    <row r="251" ht="14.25" spans="1:52">
      <c r="A251" s="570"/>
      <c r="B251" s="570"/>
      <c r="C251" s="570"/>
      <c r="D251" s="570"/>
      <c r="E251" s="570"/>
      <c r="F251" s="570"/>
      <c r="G251" s="570"/>
      <c r="H251" s="570"/>
      <c r="I251" s="570"/>
      <c r="J251" s="570"/>
      <c r="K251" s="570"/>
      <c r="L251" s="570"/>
      <c r="M251" s="570"/>
      <c r="N251" s="570"/>
      <c r="O251" s="570"/>
      <c r="P251" s="570"/>
      <c r="AB251" t="str">
        <f t="shared" si="4"/>
        <v>Ostali poslovni rashodi i troškovi (AOP 270)</v>
      </c>
      <c r="AC251" s="959">
        <f t="shared" si="5"/>
        <v>41433</v>
      </c>
      <c r="AP251" s="958"/>
      <c r="AQ251" s="958"/>
      <c r="AR251" s="958"/>
      <c r="AS251" s="958"/>
      <c r="AT251" s="958"/>
      <c r="AZ251" s="959"/>
    </row>
    <row r="252" ht="14.25" spans="1:52">
      <c r="A252" s="570"/>
      <c r="B252" s="570"/>
      <c r="C252" s="570"/>
      <c r="D252" s="570"/>
      <c r="E252" s="570"/>
      <c r="F252" s="570"/>
      <c r="G252" s="570"/>
      <c r="H252" s="570"/>
      <c r="I252" s="570"/>
      <c r="J252" s="570"/>
      <c r="K252" s="570"/>
      <c r="L252" s="570"/>
      <c r="M252" s="570"/>
      <c r="N252" s="570"/>
      <c r="O252" s="570"/>
      <c r="P252" s="570"/>
      <c r="AB252" t="str">
        <f t="shared" si="4"/>
        <v>Troškovi primljenih usluga (AOP 269)</v>
      </c>
      <c r="AC252" s="959">
        <f t="shared" si="5"/>
        <v>31427</v>
      </c>
      <c r="AP252" s="958"/>
      <c r="AQ252" s="958"/>
      <c r="AR252" s="958"/>
      <c r="AS252" s="958"/>
      <c r="AT252" s="958"/>
      <c r="AZ252" s="959"/>
    </row>
    <row r="253" ht="14.25" spans="1:52">
      <c r="A253" s="570"/>
      <c r="B253" s="570"/>
      <c r="C253" s="570"/>
      <c r="D253" s="570"/>
      <c r="E253" s="570"/>
      <c r="F253" s="570"/>
      <c r="G253" s="570"/>
      <c r="H253" s="570"/>
      <c r="I253" s="570"/>
      <c r="J253" s="570"/>
      <c r="K253" s="570"/>
      <c r="L253" s="570"/>
      <c r="M253" s="570"/>
      <c r="N253" s="570"/>
      <c r="O253" s="570"/>
      <c r="P253" s="570"/>
      <c r="AB253" t="str">
        <f t="shared" si="4"/>
        <v>Ostali rashodi i gubici (AOP 308)</v>
      </c>
      <c r="AC253" s="959">
        <f t="shared" si="5"/>
        <v>14798</v>
      </c>
      <c r="AP253" s="958"/>
      <c r="AQ253" s="958"/>
      <c r="AR253" s="958"/>
      <c r="AS253" s="958"/>
      <c r="AT253" s="958"/>
      <c r="AZ253" s="959"/>
    </row>
    <row r="254" ht="14.25" spans="1:52">
      <c r="A254" s="570"/>
      <c r="B254" s="570"/>
      <c r="C254" s="570"/>
      <c r="D254" s="570"/>
      <c r="E254" s="570"/>
      <c r="F254" s="570"/>
      <c r="G254" s="570"/>
      <c r="H254" s="570"/>
      <c r="I254" s="570"/>
      <c r="J254" s="570"/>
      <c r="K254" s="570"/>
      <c r="L254" s="570"/>
      <c r="M254" s="570"/>
      <c r="N254" s="570"/>
      <c r="O254" s="570"/>
      <c r="P254" s="570"/>
      <c r="AB254" t="str">
        <f t="shared" si="4"/>
        <v>Troškovi energije i goriva (AOP 257)</v>
      </c>
      <c r="AC254" s="959">
        <f t="shared" si="5"/>
        <v>7591</v>
      </c>
      <c r="AP254" s="958"/>
      <c r="AQ254" s="958"/>
      <c r="AR254" s="958"/>
      <c r="AS254" s="958"/>
      <c r="AT254" s="958"/>
      <c r="AZ254" s="959"/>
    </row>
    <row r="255" ht="14.25" spans="1:52">
      <c r="A255" s="570"/>
      <c r="B255" s="570"/>
      <c r="C255" s="570"/>
      <c r="D255" s="570"/>
      <c r="E255" s="570"/>
      <c r="F255" s="570"/>
      <c r="G255" s="570"/>
      <c r="H255" s="570"/>
      <c r="I255" s="570"/>
      <c r="J255" s="570"/>
      <c r="K255" s="570"/>
      <c r="L255" s="570"/>
      <c r="M255" s="570"/>
      <c r="N255" s="570"/>
      <c r="O255" s="570"/>
      <c r="P255" s="570"/>
      <c r="AB255" t="str">
        <f t="shared" si="4"/>
        <v>Amortizacija (AOP 262)</v>
      </c>
      <c r="AC255" s="959">
        <f t="shared" si="5"/>
        <v>4549</v>
      </c>
      <c r="AP255" s="958"/>
      <c r="AQ255" s="958"/>
      <c r="AR255" s="958"/>
      <c r="AS255" s="958"/>
      <c r="AT255" s="958"/>
    </row>
    <row r="256" ht="14.25" spans="1:52">
      <c r="A256" s="570"/>
      <c r="B256" s="570"/>
      <c r="C256" s="570"/>
      <c r="D256" s="570"/>
      <c r="E256" s="570"/>
      <c r="F256" s="570"/>
      <c r="G256" s="570"/>
      <c r="H256" s="570"/>
      <c r="I256" s="570"/>
      <c r="J256" s="570"/>
      <c r="K256" s="570"/>
      <c r="L256" s="570"/>
      <c r="M256" s="570"/>
      <c r="N256" s="570"/>
      <c r="O256" s="570"/>
      <c r="P256" s="570"/>
      <c r="AB256" t="str">
        <f t="shared" si="4"/>
        <v>Troškovi sirovina i materijala (AOP 256)</v>
      </c>
      <c r="AC256" s="959">
        <f t="shared" si="5"/>
        <v>804</v>
      </c>
      <c r="AP256" s="958"/>
      <c r="AQ256" s="958"/>
      <c r="AR256" s="958"/>
      <c r="AS256" s="958"/>
      <c r="AT256" s="958"/>
    </row>
    <row r="257" ht="14.25" spans="1:46">
      <c r="A257" s="570"/>
      <c r="B257" s="570"/>
      <c r="C257" s="570"/>
      <c r="D257" s="570"/>
      <c r="E257" s="570"/>
      <c r="F257" s="570"/>
      <c r="G257" s="570"/>
      <c r="H257" s="570"/>
      <c r="I257" s="570"/>
      <c r="J257" s="570"/>
      <c r="K257" s="570"/>
      <c r="L257" s="570"/>
      <c r="M257" s="570"/>
      <c r="N257" s="570"/>
      <c r="O257" s="570"/>
      <c r="P257" s="570"/>
      <c r="AB257" t="str">
        <f t="shared" si="4"/>
        <v>-</v>
      </c>
      <c r="AC257" s="959">
        <f t="shared" si="5"/>
        <v>0</v>
      </c>
      <c r="AP257" s="958"/>
      <c r="AQ257" s="958"/>
      <c r="AR257" s="958"/>
      <c r="AS257" s="958"/>
      <c r="AT257" s="958"/>
    </row>
    <row r="258" ht="14.25" spans="1:46">
      <c r="A258" s="570"/>
      <c r="B258" s="570"/>
      <c r="C258" s="570"/>
      <c r="D258" s="570"/>
      <c r="E258" s="570"/>
      <c r="F258" s="570"/>
      <c r="G258" s="570"/>
      <c r="H258" s="570"/>
      <c r="I258" s="570"/>
      <c r="J258" s="570"/>
      <c r="K258" s="570"/>
      <c r="L258" s="570"/>
      <c r="M258" s="570"/>
      <c r="N258" s="570"/>
      <c r="O258" s="570"/>
      <c r="P258" s="570"/>
      <c r="AB258" t="str">
        <f t="shared" si="4"/>
        <v>-</v>
      </c>
      <c r="AC258" s="959">
        <f t="shared" si="5"/>
        <v>0</v>
      </c>
      <c r="AP258" s="958"/>
      <c r="AQ258" s="958"/>
      <c r="AR258" s="958"/>
      <c r="AS258" s="958"/>
      <c r="AT258" s="958"/>
    </row>
    <row r="259" ht="14.25" spans="1:46">
      <c r="A259" s="570"/>
      <c r="B259" s="570"/>
      <c r="C259" s="570"/>
      <c r="D259" s="570"/>
      <c r="E259" s="570"/>
      <c r="F259" s="570"/>
      <c r="G259" s="570"/>
      <c r="H259" s="570"/>
      <c r="I259" s="570"/>
      <c r="J259" s="570"/>
      <c r="K259" s="570"/>
      <c r="L259" s="570"/>
      <c r="M259" s="570"/>
      <c r="N259" s="570"/>
      <c r="O259" s="570"/>
      <c r="P259" s="570"/>
      <c r="AB259" t="str">
        <f t="shared" si="4"/>
        <v>-</v>
      </c>
      <c r="AC259" s="959">
        <f t="shared" si="5"/>
        <v>0</v>
      </c>
      <c r="AP259" s="958"/>
      <c r="AQ259" s="958"/>
      <c r="AR259" s="958"/>
      <c r="AS259" s="958"/>
      <c r="AT259" s="958"/>
    </row>
    <row r="260" ht="14.25" spans="1:46">
      <c r="A260" s="570"/>
      <c r="B260" s="570"/>
      <c r="C260" s="570"/>
      <c r="D260" s="570"/>
      <c r="E260" s="570"/>
      <c r="F260" s="570"/>
      <c r="G260" s="570"/>
      <c r="H260" s="570"/>
      <c r="I260" s="570"/>
      <c r="J260" s="570"/>
      <c r="K260" s="570"/>
      <c r="L260" s="570"/>
      <c r="M260" s="570"/>
      <c r="N260" s="570"/>
      <c r="O260" s="570"/>
      <c r="P260" s="570"/>
      <c r="AB260" t="str">
        <f t="shared" si="4"/>
        <v>-</v>
      </c>
      <c r="AC260" s="959">
        <f t="shared" si="5"/>
        <v>0</v>
      </c>
      <c r="AP260" s="958"/>
      <c r="AQ260" s="958"/>
      <c r="AR260" s="958"/>
      <c r="AS260" s="958"/>
      <c r="AT260" s="958"/>
    </row>
    <row r="261" ht="14.25" spans="1:46">
      <c r="A261" s="570"/>
      <c r="B261" s="570"/>
      <c r="C261" s="570"/>
      <c r="D261" s="570"/>
      <c r="E261" s="570"/>
      <c r="F261" s="570"/>
      <c r="G261" s="570"/>
      <c r="H261" s="570"/>
      <c r="I261" s="570"/>
      <c r="J261" s="570"/>
      <c r="K261" s="570"/>
      <c r="L261" s="570"/>
      <c r="M261" s="570"/>
      <c r="N261" s="570"/>
      <c r="O261" s="570"/>
      <c r="P261" s="570"/>
      <c r="AP261" s="958"/>
      <c r="AQ261" s="958"/>
      <c r="AR261" s="958"/>
      <c r="AS261" s="958"/>
      <c r="AT261" s="958"/>
    </row>
    <row r="262" ht="14.25" spans="1:46">
      <c r="A262" s="570"/>
      <c r="B262" s="570"/>
      <c r="C262" s="570"/>
      <c r="D262" s="570"/>
      <c r="E262" s="570"/>
      <c r="F262" s="570"/>
      <c r="G262" s="570"/>
      <c r="H262" s="570"/>
      <c r="I262" s="570"/>
      <c r="J262" s="570"/>
      <c r="K262" s="570"/>
      <c r="L262" s="570"/>
      <c r="M262" s="570"/>
      <c r="N262" s="570"/>
      <c r="O262" s="570"/>
      <c r="P262" s="570"/>
      <c r="AP262" s="958"/>
      <c r="AQ262" s="958"/>
      <c r="AR262" s="958"/>
      <c r="AS262" s="958"/>
      <c r="AT262" s="958"/>
    </row>
    <row r="263" ht="14.25" spans="1:46">
      <c r="A263" s="570"/>
      <c r="B263" s="570"/>
      <c r="C263" s="570"/>
      <c r="D263" s="570"/>
      <c r="E263" s="570"/>
      <c r="F263" s="570"/>
      <c r="G263" s="570"/>
      <c r="H263" s="570"/>
      <c r="I263" s="570"/>
      <c r="J263" s="570"/>
      <c r="K263" s="570"/>
      <c r="L263" s="570"/>
      <c r="M263" s="570"/>
      <c r="N263" s="570"/>
      <c r="O263" s="570"/>
      <c r="P263" s="570"/>
      <c r="AP263" s="958"/>
      <c r="AQ263" s="958"/>
      <c r="AR263" s="958"/>
      <c r="AS263" s="958"/>
      <c r="AT263" s="958"/>
    </row>
    <row r="264" ht="14.25" spans="1:46">
      <c r="A264" s="570"/>
      <c r="B264" s="570"/>
      <c r="C264" s="570"/>
      <c r="D264" s="570"/>
      <c r="E264" s="570"/>
      <c r="F264" s="570"/>
      <c r="G264" s="570"/>
      <c r="H264" s="570"/>
      <c r="I264" s="570"/>
      <c r="J264" s="570"/>
      <c r="K264" s="570"/>
      <c r="L264" s="570"/>
      <c r="M264" s="570"/>
      <c r="N264" s="570"/>
      <c r="O264" s="570"/>
      <c r="P264" s="570"/>
      <c r="AP264" s="958"/>
      <c r="AQ264" s="958"/>
      <c r="AR264" s="958"/>
      <c r="AS264" s="958"/>
      <c r="AT264" s="958"/>
    </row>
    <row r="265" ht="14.25" spans="1:46">
      <c r="A265" s="570"/>
      <c r="B265" s="570"/>
      <c r="C265" s="570"/>
      <c r="D265" s="570"/>
      <c r="E265" s="570"/>
      <c r="F265" s="570"/>
      <c r="G265" s="570"/>
      <c r="H265" s="570"/>
      <c r="I265" s="570"/>
      <c r="J265" s="570"/>
      <c r="K265" s="570"/>
      <c r="L265" s="570"/>
      <c r="M265" s="570"/>
      <c r="N265" s="570"/>
      <c r="O265" s="570"/>
      <c r="P265" s="570"/>
      <c r="AP265" s="958"/>
      <c r="AQ265" s="958"/>
      <c r="AR265" s="958"/>
      <c r="AS265" s="958"/>
      <c r="AT265" s="958"/>
    </row>
    <row r="266" ht="14.25" spans="1:46">
      <c r="A266" s="570"/>
      <c r="B266" s="570"/>
      <c r="C266" s="570"/>
      <c r="D266" s="570"/>
      <c r="E266" s="570"/>
      <c r="F266" s="570"/>
      <c r="G266" s="570"/>
      <c r="H266" s="570"/>
      <c r="I266" s="570"/>
      <c r="J266" s="570"/>
      <c r="K266" s="570"/>
      <c r="L266" s="570"/>
      <c r="M266" s="570"/>
      <c r="N266" s="570"/>
      <c r="O266" s="570"/>
      <c r="P266" s="570"/>
      <c r="AP266" s="958"/>
      <c r="AQ266" s="958"/>
      <c r="AR266" s="958"/>
      <c r="AS266" s="958"/>
      <c r="AT266" s="958"/>
    </row>
    <row r="267" ht="14.25" spans="1:46">
      <c r="A267" s="570"/>
      <c r="B267" s="570"/>
      <c r="C267" s="570"/>
      <c r="D267" s="570"/>
      <c r="E267" s="570"/>
      <c r="F267" s="570"/>
      <c r="G267" s="570"/>
      <c r="H267" s="570"/>
      <c r="I267" s="570"/>
      <c r="J267" s="570"/>
      <c r="K267" s="570"/>
      <c r="L267" s="570"/>
      <c r="M267" s="570"/>
      <c r="N267" s="570"/>
      <c r="O267" s="570"/>
      <c r="P267" s="570"/>
      <c r="AP267" s="958"/>
      <c r="AQ267" s="958"/>
      <c r="AR267" s="958"/>
      <c r="AS267" s="958"/>
      <c r="AT267" s="958"/>
    </row>
    <row r="268" ht="14.25" spans="1:46">
      <c r="A268" s="570"/>
      <c r="B268" s="570"/>
      <c r="C268" s="570"/>
      <c r="D268" s="570"/>
      <c r="E268" s="570"/>
      <c r="F268" s="570"/>
      <c r="G268" s="570"/>
      <c r="H268" s="570"/>
      <c r="I268" s="570"/>
      <c r="J268" s="570"/>
      <c r="K268" s="570"/>
      <c r="L268" s="570"/>
      <c r="M268" s="570"/>
      <c r="N268" s="570"/>
      <c r="O268" s="570"/>
      <c r="P268" s="570"/>
      <c r="AP268" s="958"/>
      <c r="AQ268" s="958"/>
      <c r="AR268" s="958"/>
      <c r="AS268" s="958"/>
      <c r="AT268" s="958"/>
    </row>
    <row r="269" ht="14.25" spans="1:46">
      <c r="A269" s="570"/>
      <c r="B269" s="570"/>
      <c r="C269" s="570"/>
      <c r="D269" s="570"/>
      <c r="E269" s="570"/>
      <c r="F269" s="570"/>
      <c r="G269" s="570"/>
      <c r="H269" s="570"/>
      <c r="I269" s="570"/>
      <c r="J269" s="570"/>
      <c r="K269" s="570"/>
      <c r="L269" s="570"/>
      <c r="M269" s="570"/>
      <c r="N269" s="570"/>
      <c r="O269" s="570"/>
      <c r="P269" s="570"/>
      <c r="AP269" s="958"/>
      <c r="AQ269" s="958"/>
      <c r="AR269" s="958"/>
      <c r="AS269" s="958"/>
      <c r="AT269" s="958"/>
    </row>
    <row r="270" ht="14.25" spans="1:46">
      <c r="A270" s="570"/>
      <c r="B270" s="570"/>
      <c r="C270" s="570"/>
      <c r="D270" s="570"/>
      <c r="E270" s="570"/>
      <c r="F270" s="570"/>
      <c r="G270" s="570"/>
      <c r="H270" s="570"/>
      <c r="I270" s="570"/>
      <c r="J270" s="570"/>
      <c r="K270" s="570"/>
      <c r="L270" s="570"/>
      <c r="M270" s="570"/>
      <c r="N270" s="570"/>
      <c r="O270" s="570"/>
      <c r="P270" s="570"/>
      <c r="AP270" s="958"/>
      <c r="AQ270" s="958"/>
      <c r="AR270" s="958"/>
      <c r="AS270" s="958"/>
      <c r="AT270" s="958"/>
    </row>
    <row r="271" ht="14.25" spans="1:46">
      <c r="A271" s="570"/>
      <c r="B271" s="570"/>
      <c r="C271" s="570"/>
      <c r="D271" s="570"/>
      <c r="E271" s="570"/>
      <c r="F271" s="570"/>
      <c r="G271" s="570"/>
      <c r="H271" s="570"/>
      <c r="I271" s="570"/>
      <c r="J271" s="570"/>
      <c r="K271" s="570"/>
      <c r="L271" s="570"/>
      <c r="M271" s="570"/>
      <c r="N271" s="570"/>
      <c r="O271" s="570"/>
      <c r="P271" s="570"/>
      <c r="AP271" s="958"/>
      <c r="AQ271" s="958"/>
      <c r="AR271" s="958"/>
      <c r="AS271" s="958"/>
      <c r="AT271" s="958"/>
    </row>
    <row r="272" ht="14.25" spans="1:46">
      <c r="A272" s="570"/>
      <c r="B272" s="570"/>
      <c r="C272" s="570"/>
      <c r="D272" s="570"/>
      <c r="E272" s="570"/>
      <c r="F272" s="570"/>
      <c r="G272" s="570"/>
      <c r="H272" s="570"/>
      <c r="I272" s="570"/>
      <c r="J272" s="570"/>
      <c r="K272" s="570"/>
      <c r="L272" s="570"/>
      <c r="M272" s="570"/>
      <c r="N272" s="570"/>
      <c r="O272" s="570"/>
      <c r="P272" s="570"/>
      <c r="AP272" s="958"/>
      <c r="AQ272" s="958"/>
      <c r="AR272" s="958"/>
      <c r="AS272" s="958"/>
      <c r="AT272" s="958"/>
    </row>
    <row r="273" ht="14.25" spans="1:46">
      <c r="A273" s="570"/>
      <c r="B273" s="570"/>
      <c r="C273" s="570"/>
      <c r="D273" s="570"/>
      <c r="E273" s="570"/>
      <c r="F273" s="570"/>
      <c r="G273" s="570"/>
      <c r="H273" s="570"/>
      <c r="I273" s="570"/>
      <c r="J273" s="570"/>
      <c r="K273" s="570"/>
      <c r="L273" s="570"/>
      <c r="M273" s="570"/>
      <c r="N273" s="570"/>
      <c r="O273" s="570"/>
      <c r="P273" s="570"/>
      <c r="AP273" s="958"/>
      <c r="AQ273" s="958"/>
      <c r="AR273" s="958"/>
      <c r="AS273" s="958"/>
      <c r="AT273" s="958"/>
    </row>
    <row r="274" ht="14.25" spans="1:46">
      <c r="A274" s="570"/>
      <c r="B274" s="570"/>
      <c r="C274" s="570"/>
      <c r="D274" s="570"/>
      <c r="E274" s="570"/>
      <c r="F274" s="570"/>
      <c r="G274" s="570"/>
      <c r="H274" s="570"/>
      <c r="I274" s="570"/>
      <c r="J274" s="570"/>
      <c r="K274" s="570"/>
      <c r="L274" s="570"/>
      <c r="M274" s="570"/>
      <c r="N274" s="570"/>
      <c r="O274" s="570"/>
      <c r="P274" s="570"/>
      <c r="AP274" s="958"/>
      <c r="AQ274" s="958"/>
      <c r="AR274" s="958"/>
      <c r="AS274" s="958"/>
      <c r="AT274" s="958"/>
    </row>
    <row r="275" ht="14.25" spans="1:46">
      <c r="A275" s="570"/>
      <c r="B275" s="570"/>
      <c r="C275" s="570"/>
      <c r="D275" s="570"/>
      <c r="E275" s="570"/>
      <c r="F275" s="570"/>
      <c r="G275" s="570"/>
      <c r="H275" s="570"/>
      <c r="I275" s="570"/>
      <c r="J275" s="570"/>
      <c r="K275" s="570"/>
      <c r="L275" s="570"/>
      <c r="M275" s="570"/>
      <c r="N275" s="570"/>
      <c r="O275" s="570"/>
      <c r="P275" s="570"/>
      <c r="AP275" s="958"/>
      <c r="AQ275" s="958"/>
      <c r="AR275" s="958"/>
      <c r="AS275" s="958"/>
      <c r="AT275" s="958"/>
    </row>
    <row r="276" ht="14.25" spans="1:46">
      <c r="A276" s="570"/>
      <c r="B276" s="570"/>
      <c r="C276" s="570"/>
      <c r="D276" s="570"/>
      <c r="E276" s="570"/>
      <c r="F276" s="570"/>
      <c r="G276" s="570"/>
      <c r="H276" s="570"/>
      <c r="I276" s="570"/>
      <c r="J276" s="570"/>
      <c r="K276" s="570"/>
      <c r="L276" s="570"/>
      <c r="M276" s="570"/>
      <c r="N276" s="570"/>
      <c r="O276" s="570"/>
      <c r="P276" s="570"/>
      <c r="AP276" s="958"/>
      <c r="AQ276" s="958"/>
      <c r="AR276" s="958"/>
      <c r="AS276" s="958"/>
      <c r="AT276" s="958"/>
    </row>
    <row r="277" ht="14.25" spans="1:46">
      <c r="A277" s="570"/>
      <c r="B277" s="570"/>
      <c r="C277" s="570"/>
      <c r="D277" s="570"/>
      <c r="E277" s="570"/>
      <c r="F277" s="570"/>
      <c r="G277" s="570"/>
      <c r="H277" s="570"/>
      <c r="I277" s="570"/>
      <c r="J277" s="570"/>
      <c r="K277" s="570"/>
      <c r="L277" s="570"/>
      <c r="M277" s="570"/>
      <c r="N277" s="570"/>
      <c r="O277" s="570"/>
      <c r="P277" s="570"/>
      <c r="AP277" s="958"/>
      <c r="AQ277" s="958"/>
      <c r="AR277" s="958"/>
      <c r="AS277" s="958"/>
      <c r="AT277" s="958"/>
    </row>
    <row r="278" s="489" customFormat="1" ht="13.5" customHeight="1" spans="1:46">
      <c r="A278" s="996"/>
      <c r="B278" s="996"/>
    </row>
    <row r="279" s="570" customFormat="1" ht="15.75" hidden="1" customHeight="1" spans="1:46">
      <c r="A279" s="997" t="s">
        <v>5707</v>
      </c>
      <c r="B279" s="998"/>
      <c r="C279" s="999" t="s">
        <v>7110</v>
      </c>
      <c r="D279" s="999"/>
      <c r="E279" s="999"/>
      <c r="F279" s="999"/>
      <c r="G279" s="999"/>
      <c r="H279" s="999"/>
      <c r="I279" s="999"/>
      <c r="J279" s="999"/>
      <c r="K279" s="999"/>
      <c r="L279" s="999"/>
      <c r="M279" s="999"/>
      <c r="N279" s="999"/>
      <c r="O279" s="999"/>
      <c r="P279" s="999"/>
      <c r="Q279" s="999"/>
      <c r="R279" s="999"/>
      <c r="S279" s="999"/>
      <c r="T279" s="999"/>
      <c r="U279" s="999"/>
      <c r="V279" s="1000">
        <v>915</v>
      </c>
      <c r="W279" s="1000"/>
      <c r="X279" s="1000"/>
      <c r="Y279" s="1001">
        <f>P.Podaci!Y44</f>
        <v>6</v>
      </c>
      <c r="Z279" s="1001"/>
      <c r="AA279" s="1001"/>
      <c r="AB279" s="1001"/>
      <c r="AC279" s="1001"/>
      <c r="AD279" s="1001"/>
      <c r="AE279" s="1001">
        <f>P.Podaci!AE44</f>
        <v>6</v>
      </c>
      <c r="AF279" s="1001"/>
      <c r="AG279" s="1001"/>
      <c r="AH279" s="1001"/>
      <c r="AI279" s="1001"/>
      <c r="AJ279" s="1001"/>
    </row>
    <row r="280" s="570" customFormat="1" ht="15.75" customHeight="1" spans="1:46">
      <c r="A280" s="1002"/>
      <c r="B280" s="1002"/>
      <c r="C280" s="578"/>
      <c r="D280" s="578"/>
      <c r="E280" s="578"/>
      <c r="F280" s="578"/>
      <c r="G280" s="578"/>
      <c r="H280" s="578"/>
      <c r="I280" s="578"/>
      <c r="J280" s="578"/>
      <c r="K280" s="578"/>
      <c r="L280" s="578"/>
      <c r="M280" s="578"/>
      <c r="N280" s="578"/>
      <c r="O280" s="578"/>
      <c r="P280" s="578"/>
      <c r="Q280" s="578"/>
      <c r="R280" s="578"/>
      <c r="S280" s="578"/>
      <c r="T280" s="578"/>
      <c r="U280" s="578"/>
      <c r="V280" s="576"/>
      <c r="W280" s="576"/>
      <c r="X280" s="576"/>
      <c r="Y280" s="1003"/>
      <c r="Z280" s="1003"/>
      <c r="AA280" s="1003"/>
      <c r="AB280" s="1003"/>
      <c r="AC280" s="1003"/>
      <c r="AD280" s="1003"/>
      <c r="AE280" s="1003"/>
      <c r="AF280" s="1003"/>
      <c r="AG280" s="1003"/>
      <c r="AH280" s="1003"/>
      <c r="AI280" s="1003"/>
      <c r="AJ280" s="1003"/>
    </row>
    <row r="281" s="570" customFormat="1" ht="15.75" customHeight="1" spans="1:46">
      <c r="A281" s="1002"/>
      <c r="B281" s="1002"/>
      <c r="C281" s="578"/>
      <c r="D281" s="578"/>
      <c r="E281" s="578"/>
      <c r="F281" s="578"/>
      <c r="G281" s="578"/>
      <c r="H281" s="578"/>
      <c r="I281" s="578"/>
      <c r="J281" s="578"/>
      <c r="K281" s="578"/>
      <c r="L281" s="578"/>
      <c r="M281" s="578"/>
      <c r="N281" s="578"/>
      <c r="O281" s="578"/>
      <c r="P281" s="578"/>
      <c r="Q281" s="578"/>
      <c r="R281" s="578"/>
      <c r="S281" s="578"/>
      <c r="T281" s="578"/>
      <c r="U281" s="578"/>
      <c r="V281" s="576"/>
      <c r="W281" s="576"/>
      <c r="X281" s="576"/>
      <c r="Y281" s="1003"/>
      <c r="Z281" s="1003"/>
      <c r="AA281" s="1003"/>
      <c r="AB281" s="1003"/>
      <c r="AC281" s="1003"/>
      <c r="AD281" s="1003"/>
      <c r="AE281" s="1003"/>
      <c r="AF281" s="1003"/>
      <c r="AG281" s="1003"/>
      <c r="AH281" s="1003"/>
      <c r="AI281" s="1003"/>
      <c r="AJ281" s="1003"/>
    </row>
    <row r="282" s="570" customFormat="1" ht="15.75" customHeight="1" spans="1:46">
      <c r="A282" s="1002"/>
      <c r="B282" s="1002"/>
      <c r="C282" s="578"/>
      <c r="D282" s="578"/>
      <c r="E282" s="578"/>
      <c r="F282" s="578"/>
      <c r="G282" s="578"/>
      <c r="H282" s="578"/>
      <c r="I282" s="578"/>
      <c r="J282" s="578"/>
      <c r="K282" s="578"/>
      <c r="L282" s="578"/>
      <c r="M282" s="578"/>
      <c r="N282" s="578"/>
      <c r="O282" s="578"/>
      <c r="P282" s="578"/>
      <c r="Q282" s="578"/>
      <c r="R282" s="578"/>
      <c r="S282" s="578"/>
      <c r="T282" s="578"/>
      <c r="U282" s="578"/>
      <c r="V282" s="576"/>
      <c r="W282" s="576"/>
      <c r="X282" s="576"/>
      <c r="Y282" s="1003"/>
      <c r="Z282" s="1003"/>
      <c r="AA282" s="1003"/>
      <c r="AB282" s="1003"/>
      <c r="AC282" s="1003"/>
      <c r="AD282" s="1003"/>
      <c r="AE282" s="1003"/>
      <c r="AF282" s="1003"/>
      <c r="AG282" s="1003"/>
      <c r="AH282" s="1003"/>
      <c r="AI282" s="1003"/>
      <c r="AJ282" s="1003"/>
    </row>
    <row r="283" s="1" customFormat="1" ht="21.75" customHeight="1" spans="1:46">
      <c r="A283" s="571"/>
      <c r="B283" s="571" t="s">
        <v>5330</v>
      </c>
    </row>
    <row r="284" s="1" customFormat="1" ht="17.25" customHeight="1" spans="1:46">
      <c r="A284" s="906" t="str">
        <f ca="1">IF(UnosPod!F661=0,"-Na dan "&amp;PeriodDo&amp;". nije bilo dugoročne imovine.","Nabavna vrijednost dugoročne imovine na dan "&amp;PeriodDo&amp;". godine, iznosi: "&amp;TEXT(UnosPod!F661,"#.## [$KM-141A]")&amp;", ispravka vrijednosti je: "&amp;TEXT(UnosPod!M661,"#.## [$KM-141A]")&amp;", što znači da je ova imovina  amortizovana (otpisana) sa "&amp;ROUND(UnosPod!M661/UnosPod!F661*100,1)&amp;"%, odnosno NETO sadašnja vrijednost iznosi: "&amp;TEXT(UnosPod!F661-UnosPod!M661,"#.## [$KM-141A]")&amp;".")</f>
        <v>Nabavna vrijednost dugoročne imovine na dan 31.12.2025. godine, iznosi: 58.422 KM, ispravka vrijednosti je: 36.315 KM, što znači da je ova imovina  amortizovana (otpisana) sa 62,2%, odnosno NETO sadašnja vrijednost iznosi: 22.107 KM.</v>
      </c>
      <c r="B284" s="906"/>
      <c r="C284" s="906"/>
      <c r="D284" s="906"/>
      <c r="E284" s="906"/>
      <c r="F284" s="906"/>
      <c r="G284" s="906"/>
      <c r="H284" s="906"/>
      <c r="I284" s="906"/>
      <c r="J284" s="906"/>
      <c r="K284" s="906"/>
      <c r="L284" s="906"/>
      <c r="M284" s="906"/>
      <c r="N284" s="906"/>
      <c r="O284" s="906"/>
      <c r="P284" s="906"/>
      <c r="Q284" s="906"/>
      <c r="R284" s="906"/>
      <c r="S284" s="906"/>
      <c r="T284" s="906"/>
      <c r="U284" s="906"/>
      <c r="V284" s="906"/>
      <c r="W284" s="906"/>
      <c r="X284" s="906"/>
      <c r="Y284" s="906"/>
      <c r="Z284" s="906"/>
      <c r="AA284" s="906"/>
      <c r="AB284" s="906"/>
      <c r="AC284" s="906"/>
      <c r="AD284" s="906"/>
      <c r="AE284" s="906"/>
      <c r="AF284" s="906"/>
      <c r="AG284" s="906"/>
      <c r="AH284" s="906"/>
      <c r="AI284" s="906"/>
      <c r="AJ284" s="906"/>
      <c r="AK284" s="906"/>
      <c r="AL284" s="906"/>
      <c r="AM284" s="906"/>
      <c r="AN284" s="906"/>
      <c r="AO284" s="906"/>
      <c r="AP284" s="906"/>
      <c r="AQ284" s="906"/>
      <c r="AR284" s="906"/>
      <c r="AS284" s="906"/>
      <c r="AT284" s="906"/>
    </row>
    <row r="285" s="1" customFormat="1" ht="15" customHeight="1" spans="1:46">
      <c r="A285" s="906"/>
      <c r="B285" s="906"/>
      <c r="C285" s="906"/>
      <c r="D285" s="906"/>
      <c r="E285" s="906"/>
      <c r="F285" s="906"/>
      <c r="G285" s="906"/>
      <c r="H285" s="906"/>
      <c r="I285" s="906"/>
      <c r="J285" s="906"/>
      <c r="K285" s="906"/>
      <c r="L285" s="906"/>
      <c r="M285" s="906"/>
      <c r="N285" s="906"/>
      <c r="O285" s="906"/>
      <c r="P285" s="906"/>
      <c r="Q285" s="906"/>
      <c r="R285" s="906"/>
      <c r="S285" s="906"/>
      <c r="T285" s="906"/>
      <c r="U285" s="906"/>
      <c r="V285" s="906"/>
      <c r="W285" s="906"/>
      <c r="X285" s="906"/>
      <c r="Y285" s="906"/>
      <c r="Z285" s="906"/>
      <c r="AA285" s="906"/>
      <c r="AB285" s="906"/>
      <c r="AC285" s="906"/>
      <c r="AD285" s="906"/>
      <c r="AE285" s="906"/>
      <c r="AF285" s="906"/>
      <c r="AG285" s="906"/>
      <c r="AH285" s="906"/>
      <c r="AI285" s="906"/>
      <c r="AJ285" s="906"/>
      <c r="AK285" s="906"/>
      <c r="AL285" s="906"/>
      <c r="AM285" s="906"/>
      <c r="AN285" s="906"/>
      <c r="AO285" s="906"/>
      <c r="AP285" s="906"/>
      <c r="AQ285" s="906"/>
      <c r="AR285" s="906"/>
      <c r="AS285" s="906"/>
      <c r="AT285" s="906"/>
    </row>
    <row r="286" s="1" customFormat="1" ht="15" customHeight="1" spans="1:46">
      <c r="A286" s="906"/>
      <c r="B286" s="906"/>
      <c r="C286" s="906"/>
      <c r="D286" s="906"/>
      <c r="E286" s="906"/>
      <c r="F286" s="906"/>
      <c r="G286" s="906"/>
      <c r="H286" s="906"/>
      <c r="I286" s="906"/>
      <c r="J286" s="906"/>
      <c r="K286" s="906"/>
      <c r="L286" s="906"/>
      <c r="M286" s="906"/>
      <c r="N286" s="906"/>
      <c r="O286" s="906"/>
      <c r="P286" s="906"/>
      <c r="Q286" s="906"/>
      <c r="R286" s="906"/>
      <c r="S286" s="906"/>
      <c r="T286" s="906"/>
      <c r="U286" s="906"/>
      <c r="V286" s="906"/>
      <c r="W286" s="906"/>
      <c r="X286" s="906"/>
      <c r="Y286" s="906"/>
      <c r="Z286" s="906"/>
      <c r="AA286" s="906"/>
      <c r="AB286" s="906"/>
      <c r="AC286" s="906"/>
      <c r="AD286" s="906"/>
      <c r="AE286" s="906"/>
      <c r="AF286" s="906"/>
      <c r="AG286" s="906"/>
      <c r="AH286" s="906"/>
      <c r="AI286" s="906"/>
      <c r="AJ286" s="906"/>
      <c r="AK286" s="906"/>
      <c r="AL286" s="906"/>
      <c r="AM286" s="906"/>
      <c r="AN286" s="906"/>
      <c r="AO286" s="906"/>
      <c r="AP286" s="906"/>
      <c r="AQ286" s="906"/>
      <c r="AR286" s="906"/>
      <c r="AS286" s="906"/>
      <c r="AT286" s="906"/>
    </row>
    <row r="287" s="1" customFormat="1" ht="15" customHeight="1" spans="1:46">
      <c r="A287" s="906"/>
      <c r="B287" s="906"/>
      <c r="C287" s="906"/>
      <c r="D287" s="906"/>
      <c r="E287" s="906"/>
      <c r="F287" s="906"/>
      <c r="G287" s="906"/>
      <c r="H287" s="906"/>
      <c r="I287" s="906"/>
      <c r="J287" s="906"/>
      <c r="K287" s="906"/>
      <c r="L287" s="906"/>
      <c r="M287" s="906"/>
      <c r="N287" s="906"/>
      <c r="O287" s="906"/>
      <c r="P287" s="906"/>
      <c r="Q287" s="906"/>
      <c r="R287" s="906"/>
      <c r="S287" s="906"/>
      <c r="T287" s="906"/>
      <c r="U287" s="906"/>
      <c r="V287" s="906"/>
      <c r="W287" s="906"/>
      <c r="X287" s="906"/>
      <c r="Y287" s="906"/>
      <c r="Z287" s="906"/>
      <c r="AA287" s="906"/>
      <c r="AB287" s="906"/>
      <c r="AC287" s="906"/>
      <c r="AD287" s="906"/>
      <c r="AE287" s="906"/>
      <c r="AF287" s="906"/>
      <c r="AG287" s="906"/>
      <c r="AH287" s="906"/>
      <c r="AI287" s="906"/>
      <c r="AJ287" s="906"/>
      <c r="AK287" s="906"/>
      <c r="AL287" s="906"/>
      <c r="AM287" s="906"/>
      <c r="AN287" s="906"/>
      <c r="AO287" s="906"/>
      <c r="AP287" s="906"/>
      <c r="AQ287" s="906"/>
      <c r="AR287" s="906"/>
      <c r="AS287" s="906"/>
      <c r="AT287" s="906"/>
    </row>
    <row r="288" s="1" customFormat="1" ht="15" customHeight="1" spans="1:46">
      <c r="A288" s="907" t="str">
        <f ca="1">IF(B_Uspjeha!AI89=0,"-","Amortizacija za obračunski period "&amp;PoslGod&amp;". godine iznosi: "&amp;TEXT(B_Uspjeha!AI89,"#.## [$KM-141A]"&amp;"."))</f>
        <v>Amortizacija za obračunski period 2025. godine iznosi: 4.549 KM.</v>
      </c>
      <c r="B288" s="907"/>
      <c r="C288" s="907"/>
      <c r="D288" s="907"/>
      <c r="E288" s="907"/>
      <c r="F288" s="907"/>
      <c r="G288" s="907"/>
      <c r="H288" s="907"/>
      <c r="I288" s="907"/>
      <c r="J288" s="907"/>
      <c r="K288" s="907"/>
      <c r="L288" s="907"/>
      <c r="M288" s="907"/>
      <c r="N288" s="907"/>
      <c r="O288" s="907"/>
      <c r="P288" s="907"/>
      <c r="Q288" s="907"/>
      <c r="R288" s="907"/>
      <c r="S288" s="907"/>
      <c r="T288" s="907"/>
      <c r="U288" s="907"/>
      <c r="V288" s="907"/>
      <c r="W288" s="907"/>
      <c r="X288" s="907"/>
      <c r="Y288" s="907"/>
      <c r="Z288" s="907"/>
      <c r="AA288" s="907"/>
      <c r="AB288" s="907"/>
      <c r="AC288" s="907"/>
      <c r="AD288" s="907"/>
      <c r="AE288" s="907"/>
      <c r="AF288" s="907"/>
      <c r="AG288" s="907"/>
      <c r="AH288" s="907"/>
      <c r="AI288" s="907"/>
      <c r="AJ288" s="907"/>
      <c r="AK288" s="907"/>
      <c r="AL288" s="907"/>
      <c r="AM288" s="907"/>
      <c r="AN288" s="907"/>
      <c r="AO288" s="907"/>
      <c r="AP288" s="907"/>
      <c r="AQ288" s="907"/>
      <c r="AR288" s="907"/>
      <c r="AS288" s="907"/>
      <c r="AT288" s="907"/>
    </row>
    <row r="289" s="1" customFormat="1" ht="20.25" customHeight="1" spans="1:46">
      <c r="A289" s="1004" t="str">
        <f>IF(Baza!C101=0,"-","A1. -Najveća NETO sadašnja vrijednost dugoročne imovine je na: "&amp;Baza!B101&amp;" od "&amp;TEXT(Baza!C101,"#.## [$KM-141A]")&amp;", što je "&amp;ROUND(Baza!J101*100,1)&amp;"% ukupne dugoročne imovine.")</f>
        <v>A1. -Najveća NETO sadašnja vrijednost dugoročne imovine je na: Transportna sredstva (AOP 006) od 22.107 KM, što je 100% ukupne dugoročne imovine.</v>
      </c>
      <c r="B289" s="1004"/>
      <c r="C289" s="1004"/>
      <c r="D289" s="1004"/>
      <c r="E289" s="1004"/>
      <c r="F289" s="1004"/>
      <c r="G289" s="1004"/>
      <c r="H289" s="1004"/>
      <c r="I289" s="1004"/>
      <c r="J289" s="1004"/>
      <c r="K289" s="1004"/>
      <c r="L289" s="1004"/>
      <c r="M289" s="1004"/>
      <c r="N289" s="1004"/>
      <c r="O289" s="1004"/>
      <c r="P289" s="1004"/>
      <c r="Q289" s="1004"/>
      <c r="R289" s="1004"/>
      <c r="S289" s="1004"/>
      <c r="T289" s="1004"/>
      <c r="U289" s="1004"/>
      <c r="V289" s="1004"/>
      <c r="W289" s="1004"/>
      <c r="X289" s="1004"/>
      <c r="Y289" s="1004"/>
      <c r="Z289" s="1004"/>
      <c r="AA289" s="1004"/>
      <c r="AB289" s="1004"/>
      <c r="AC289" s="1004"/>
      <c r="AD289" s="1004"/>
      <c r="AE289" s="1004"/>
      <c r="AF289" s="1004"/>
      <c r="AG289" s="1004"/>
      <c r="AH289" s="1004"/>
      <c r="AI289" s="1004"/>
      <c r="AJ289" s="1004"/>
      <c r="AK289" s="1004"/>
      <c r="AL289" s="1004"/>
      <c r="AM289" s="1004"/>
      <c r="AN289" s="1004"/>
      <c r="AO289" s="1004"/>
      <c r="AP289" s="1004"/>
      <c r="AQ289" s="1004"/>
      <c r="AR289" s="1004"/>
      <c r="AS289" s="1004"/>
      <c r="AT289" s="1004"/>
    </row>
    <row r="290" s="1" customFormat="1" ht="20.25" customHeight="1" spans="1:46">
      <c r="A290" s="1004"/>
      <c r="B290" s="1004"/>
      <c r="C290" s="1004"/>
      <c r="D290" s="1004"/>
      <c r="E290" s="1004"/>
      <c r="F290" s="1004"/>
      <c r="G290" s="1004"/>
      <c r="H290" s="1004"/>
      <c r="I290" s="1004"/>
      <c r="J290" s="1004"/>
      <c r="K290" s="1004"/>
      <c r="L290" s="1004"/>
      <c r="M290" s="1004"/>
      <c r="N290" s="1004"/>
      <c r="O290" s="1004"/>
      <c r="P290" s="1004"/>
      <c r="Q290" s="1004"/>
      <c r="R290" s="1004"/>
      <c r="S290" s="1004"/>
      <c r="T290" s="1004"/>
      <c r="U290" s="1004"/>
      <c r="V290" s="1004"/>
      <c r="W290" s="1004"/>
      <c r="X290" s="1004"/>
      <c r="Y290" s="1004"/>
      <c r="Z290" s="1004"/>
      <c r="AA290" s="1004"/>
      <c r="AB290" s="1004"/>
      <c r="AC290" s="1004"/>
      <c r="AD290" s="1004"/>
      <c r="AE290" s="1004"/>
      <c r="AF290" s="1004"/>
      <c r="AG290" s="1004"/>
      <c r="AH290" s="1004"/>
      <c r="AI290" s="1004"/>
      <c r="AJ290" s="1004"/>
      <c r="AK290" s="1004"/>
      <c r="AL290" s="1004"/>
      <c r="AM290" s="1004"/>
      <c r="AN290" s="1004"/>
      <c r="AO290" s="1004"/>
      <c r="AP290" s="1004"/>
      <c r="AQ290" s="1004"/>
      <c r="AR290" s="1004"/>
      <c r="AS290" s="1004"/>
      <c r="AT290" s="1004"/>
    </row>
    <row r="291" s="1" customFormat="1" ht="14.25" customHeight="1" spans="1:46">
      <c r="A291" s="1004"/>
      <c r="B291" s="1004"/>
      <c r="C291" s="1004"/>
      <c r="D291" s="1004"/>
      <c r="E291" s="1004"/>
      <c r="F291" s="1004"/>
      <c r="G291" s="1004"/>
      <c r="H291" s="1004"/>
      <c r="I291" s="1004"/>
      <c r="J291" s="1004"/>
      <c r="K291" s="1004"/>
      <c r="L291" s="1004"/>
      <c r="M291" s="1004"/>
      <c r="N291" s="1004"/>
      <c r="O291" s="1004"/>
      <c r="P291" s="1004"/>
      <c r="Q291" s="1004"/>
      <c r="R291" s="1004"/>
      <c r="S291" s="1004"/>
      <c r="T291" s="1004"/>
      <c r="U291" s="1004"/>
      <c r="V291" s="1004"/>
      <c r="W291" s="1004"/>
      <c r="X291" s="1004"/>
      <c r="Y291" s="1004"/>
      <c r="Z291" s="1004"/>
      <c r="AA291" s="1004"/>
      <c r="AB291" s="1004"/>
      <c r="AC291" s="1004"/>
      <c r="AD291" s="1004"/>
      <c r="AE291" s="1004"/>
      <c r="AF291" s="1004"/>
      <c r="AG291" s="1004"/>
      <c r="AH291" s="1004"/>
      <c r="AI291" s="1004"/>
      <c r="AJ291" s="1004"/>
      <c r="AK291" s="1004"/>
      <c r="AL291" s="1004"/>
      <c r="AM291" s="1004"/>
      <c r="AN291" s="1004"/>
      <c r="AO291" s="1004"/>
      <c r="AP291" s="1004"/>
      <c r="AQ291" s="1004"/>
      <c r="AR291" s="1004"/>
      <c r="AS291" s="1004"/>
      <c r="AT291" s="1004"/>
    </row>
    <row r="292" s="1" customFormat="1" ht="14.25" customHeight="1" spans="1:46">
      <c r="A292" s="907" t="str">
        <f>IF(Baza!G101=0,"-","U odnosu na stanje početkom godine, ova sredstva imaju "&amp;Baza!K101&amp;", za "&amp;TEXT(Baza!I101,"#.## [$KM-141A]")&amp;" ili "&amp;ROUND(Baza!J101*100,1)&amp;" %.")</f>
        <v>U odnosu na stanje početkom godine, ova sredstva imaju SMANJENJE, za 4.549 KM ili 100 %.</v>
      </c>
      <c r="B292" s="907"/>
      <c r="C292" s="907"/>
      <c r="D292" s="907"/>
      <c r="E292" s="907"/>
      <c r="F292" s="907"/>
      <c r="G292" s="907"/>
      <c r="H292" s="907"/>
      <c r="I292" s="907"/>
      <c r="J292" s="907"/>
      <c r="K292" s="907"/>
      <c r="L292" s="907"/>
      <c r="M292" s="907"/>
      <c r="N292" s="907"/>
      <c r="O292" s="907"/>
      <c r="P292" s="907"/>
      <c r="Q292" s="907"/>
      <c r="R292" s="907"/>
      <c r="S292" s="907"/>
      <c r="T292" s="907"/>
      <c r="U292" s="907"/>
      <c r="V292" s="907"/>
      <c r="W292" s="907"/>
      <c r="X292" s="907"/>
      <c r="Y292" s="907"/>
      <c r="Z292" s="907"/>
      <c r="AA292" s="907"/>
      <c r="AB292" s="907"/>
      <c r="AC292" s="907"/>
      <c r="AD292" s="907"/>
      <c r="AE292" s="907"/>
      <c r="AF292" s="907"/>
      <c r="AG292" s="907"/>
      <c r="AH292" s="907"/>
      <c r="AI292" s="907"/>
      <c r="AJ292" s="907"/>
      <c r="AK292" s="907"/>
      <c r="AL292" s="907"/>
      <c r="AM292" s="907"/>
      <c r="AN292" s="907"/>
      <c r="AO292" s="907"/>
      <c r="AP292" s="907"/>
      <c r="AQ292" s="907"/>
      <c r="AR292" s="907"/>
      <c r="AS292" s="907"/>
      <c r="AT292" s="907"/>
    </row>
    <row r="293" s="1" customFormat="1" ht="14.25" customHeight="1" spans="1:46">
      <c r="A293" s="907"/>
      <c r="B293" s="907"/>
      <c r="C293" s="907"/>
      <c r="D293" s="907"/>
      <c r="E293" s="907"/>
      <c r="F293" s="907"/>
      <c r="G293" s="907"/>
      <c r="H293" s="907"/>
      <c r="I293" s="907"/>
      <c r="J293" s="907"/>
      <c r="K293" s="907"/>
      <c r="L293" s="907"/>
      <c r="M293" s="907"/>
      <c r="N293" s="907"/>
      <c r="O293" s="907"/>
      <c r="P293" s="907"/>
      <c r="Q293" s="907"/>
      <c r="R293" s="907"/>
      <c r="S293" s="907"/>
      <c r="T293" s="907"/>
      <c r="U293" s="907"/>
      <c r="V293" s="907"/>
      <c r="W293" s="907"/>
      <c r="X293" s="907"/>
      <c r="Y293" s="907"/>
      <c r="Z293" s="907"/>
      <c r="AA293" s="907"/>
      <c r="AB293" s="907"/>
      <c r="AC293" s="907"/>
      <c r="AD293" s="907"/>
      <c r="AE293" s="907"/>
      <c r="AF293" s="907"/>
      <c r="AG293" s="907"/>
      <c r="AH293" s="907"/>
      <c r="AI293" s="907"/>
      <c r="AJ293" s="907"/>
      <c r="AK293" s="907"/>
      <c r="AL293" s="907"/>
      <c r="AM293" s="907"/>
      <c r="AN293" s="907"/>
      <c r="AO293" s="907"/>
      <c r="AP293" s="907"/>
      <c r="AQ293" s="907"/>
      <c r="AR293" s="907"/>
      <c r="AS293" s="907"/>
      <c r="AT293" s="907"/>
    </row>
    <row r="294" s="1" customFormat="1" ht="20.25" customHeight="1" spans="1:46">
      <c r="B294" s="1005" t="s">
        <v>7445</v>
      </c>
      <c r="C294" s="1005"/>
    </row>
    <row r="295" s="1" customFormat="1" ht="22.5" customHeight="1" spans="1:46">
      <c r="A295" s="906" t="str">
        <f ca="1">IF(Baza!C123=0,"Na dan "&amp;PeriodDo&amp;". nije bilo tekućih sredstava.","Tekuća (obrtna) sredstva na dan "&amp;Baza!C14&amp;". godine, iznose: "&amp;TEXT(Baza!C123,"#.## [$KM-141A]")&amp;", što je u odnosu na stanje 01.01."&amp;PoslGod&amp;". godine, "&amp;Baza!H123&amp;", za "&amp;TEXT(Baza!F123,"#.## [$KM-141A]")&amp;" ili "&amp;ROUND(Baza!G123*100,1)&amp;"%. Prosječno korištena tekuća sredstva iznose "&amp;TEXT(Baza!I123,"#.## [$KM-141A]")&amp;", imaju koeficijent obrtaja "&amp;ROUND(Baza!J123,2)&amp;" i vrijeme vezivanja od "&amp;Baza!K123&amp;" dana.")</f>
        <v>Tekuća (obrtna) sredstva na dan 31.12.2025. godine, iznose: 574.865 KM, što je u odnosu na stanje 01.01.2025. godine, SMANJENJE, za 42.313 KM ili 6,9%. Prosječno korištena tekuća sredstva iznose 596.022 KM, imaju koeficijent obrtaja 0,42 i vrijeme vezivanja od 878 dana.</v>
      </c>
      <c r="B295" s="906"/>
      <c r="C295" s="906"/>
      <c r="D295" s="906"/>
      <c r="E295" s="906"/>
      <c r="F295" s="906"/>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6"/>
      <c r="AC295" s="906"/>
      <c r="AD295" s="906"/>
      <c r="AE295" s="906"/>
      <c r="AF295" s="906"/>
      <c r="AG295" s="906"/>
      <c r="AH295" s="906"/>
      <c r="AI295" s="906"/>
      <c r="AJ295" s="906"/>
      <c r="AK295" s="906"/>
      <c r="AL295" s="906"/>
      <c r="AM295" s="906"/>
      <c r="AN295" s="906"/>
      <c r="AO295" s="906"/>
      <c r="AP295" s="906"/>
      <c r="AQ295" s="906"/>
      <c r="AR295" s="906"/>
      <c r="AS295" s="906"/>
      <c r="AT295" s="906"/>
    </row>
    <row r="296" s="1" customFormat="1" ht="15" spans="1:46">
      <c r="A296" s="90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6"/>
      <c r="AC296" s="906"/>
      <c r="AD296" s="906"/>
      <c r="AE296" s="906"/>
      <c r="AF296" s="906"/>
      <c r="AG296" s="906"/>
      <c r="AH296" s="906"/>
      <c r="AI296" s="906"/>
      <c r="AJ296" s="906"/>
      <c r="AK296" s="906"/>
      <c r="AL296" s="906"/>
      <c r="AM296" s="906"/>
      <c r="AN296" s="906"/>
      <c r="AO296" s="906"/>
      <c r="AP296" s="906"/>
      <c r="AQ296" s="906"/>
      <c r="AR296" s="906"/>
      <c r="AS296" s="906"/>
      <c r="AT296" s="906"/>
    </row>
    <row r="297" s="1" customFormat="1" ht="15" spans="1:46">
      <c r="A297" s="906"/>
      <c r="B297" s="906"/>
      <c r="C297" s="906"/>
      <c r="D297" s="906"/>
      <c r="E297" s="906"/>
      <c r="F297" s="906"/>
      <c r="G297" s="906"/>
      <c r="H297" s="906"/>
      <c r="I297" s="906"/>
      <c r="J297" s="906"/>
      <c r="K297" s="906"/>
      <c r="L297" s="906"/>
      <c r="M297" s="906"/>
      <c r="N297" s="906"/>
      <c r="O297" s="906"/>
      <c r="P297" s="906"/>
      <c r="Q297" s="906"/>
      <c r="R297" s="906"/>
      <c r="S297" s="906"/>
      <c r="T297" s="906"/>
      <c r="U297" s="906"/>
      <c r="V297" s="906"/>
      <c r="W297" s="906"/>
      <c r="X297" s="906"/>
      <c r="Y297" s="906"/>
      <c r="Z297" s="906"/>
      <c r="AA297" s="906"/>
      <c r="AB297" s="906"/>
      <c r="AC297" s="906"/>
      <c r="AD297" s="906"/>
      <c r="AE297" s="906"/>
      <c r="AF297" s="906"/>
      <c r="AG297" s="906"/>
      <c r="AH297" s="906"/>
      <c r="AI297" s="906"/>
      <c r="AJ297" s="906"/>
      <c r="AK297" s="906"/>
      <c r="AL297" s="906"/>
      <c r="AM297" s="906"/>
      <c r="AN297" s="906"/>
      <c r="AO297" s="906"/>
      <c r="AP297" s="906"/>
      <c r="AQ297" s="906"/>
      <c r="AR297" s="906"/>
      <c r="AS297" s="906"/>
      <c r="AT297" s="906"/>
    </row>
    <row r="298" s="1" customFormat="1" ht="22.5" customHeight="1" spans="1:46">
      <c r="B298" s="571" t="s">
        <v>184</v>
      </c>
      <c r="C298" s="571"/>
    </row>
    <row r="299" s="1" customFormat="1" ht="18.75" customHeight="1" spans="1:46">
      <c r="A299" s="906" t="str">
        <f ca="1">IF(R399=0,"-Na dan "&amp;PeriodDo&amp;" nije bilo zaliha.","-Ukupne zalihe na dan "&amp;Baza!C14&amp;". godine  iznose: "&amp;TEXT(Baza!C129,"#.## [$KM-141A]")&amp;", što je u odnosu na stanje početkom godine "&amp;Baza!H129&amp;", za "&amp;TEXT(Baza!E129,"#.## [$KM-141A]")&amp;" ili "&amp;ROUND(AU400,1)&amp;" %, imaju koeficijent obrtaja "&amp;ROUND(Baza!J129,2)&amp;" i vrijeme vezivanja od "&amp;Baza!K129&amp;" dana.")</f>
        <v>-Na dan 31.12.2025 nije bilo zaliha.</v>
      </c>
      <c r="B299" s="906"/>
      <c r="C299" s="906"/>
      <c r="D299" s="906"/>
      <c r="E299" s="906"/>
      <c r="F299" s="906"/>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6"/>
      <c r="AC299" s="906"/>
      <c r="AD299" s="906"/>
      <c r="AE299" s="906"/>
      <c r="AF299" s="906"/>
      <c r="AG299" s="906"/>
      <c r="AH299" s="906"/>
      <c r="AI299" s="906"/>
      <c r="AJ299" s="906"/>
      <c r="AK299" s="906"/>
      <c r="AL299" s="906"/>
      <c r="AM299" s="906"/>
      <c r="AN299" s="906"/>
      <c r="AO299" s="906"/>
      <c r="AP299" s="906"/>
      <c r="AQ299" s="906"/>
      <c r="AR299" s="906"/>
      <c r="AS299" s="906"/>
      <c r="AT299" s="906"/>
    </row>
    <row r="300" s="1" customFormat="1" ht="18.75" customHeight="1" spans="1:46">
      <c r="A300" s="906"/>
      <c r="B300" s="906"/>
      <c r="C300" s="906"/>
      <c r="D300" s="906"/>
      <c r="E300" s="906"/>
      <c r="F300" s="906"/>
      <c r="G300" s="906"/>
      <c r="H300" s="906"/>
      <c r="I300" s="906"/>
      <c r="J300" s="906"/>
      <c r="K300" s="906"/>
      <c r="L300" s="906"/>
      <c r="M300" s="906"/>
      <c r="N300" s="906"/>
      <c r="O300" s="906"/>
      <c r="P300" s="906"/>
      <c r="Q300" s="906"/>
      <c r="R300" s="906"/>
      <c r="S300" s="906"/>
      <c r="T300" s="906"/>
      <c r="U300" s="906"/>
      <c r="V300" s="906"/>
      <c r="W300" s="906"/>
      <c r="X300" s="906"/>
      <c r="Y300" s="906"/>
      <c r="Z300" s="906"/>
      <c r="AA300" s="906"/>
      <c r="AB300" s="906"/>
      <c r="AC300" s="906"/>
      <c r="AD300" s="906"/>
      <c r="AE300" s="906"/>
      <c r="AF300" s="906"/>
      <c r="AG300" s="906"/>
      <c r="AH300" s="906"/>
      <c r="AI300" s="906"/>
      <c r="AJ300" s="906"/>
      <c r="AK300" s="906"/>
      <c r="AL300" s="906"/>
      <c r="AM300" s="906"/>
      <c r="AN300" s="906"/>
      <c r="AO300" s="906"/>
      <c r="AP300" s="906"/>
      <c r="AQ300" s="906"/>
      <c r="AR300" s="906"/>
      <c r="AS300" s="906"/>
      <c r="AT300" s="906"/>
    </row>
    <row r="301" s="1" customFormat="1" ht="14.25" customHeight="1" spans="1:46">
      <c r="A301" s="906"/>
      <c r="B301" s="906"/>
      <c r="C301" s="906"/>
      <c r="D301" s="906"/>
      <c r="E301" s="906"/>
      <c r="F301" s="906"/>
      <c r="G301" s="906"/>
      <c r="H301" s="906"/>
      <c r="I301" s="906"/>
      <c r="J301" s="906"/>
      <c r="K301" s="906"/>
      <c r="L301" s="906"/>
      <c r="M301" s="906"/>
      <c r="N301" s="906"/>
      <c r="O301" s="906"/>
      <c r="P301" s="906"/>
      <c r="Q301" s="906"/>
      <c r="R301" s="906"/>
      <c r="S301" s="906"/>
      <c r="T301" s="906"/>
      <c r="U301" s="906"/>
      <c r="V301" s="906"/>
      <c r="W301" s="906"/>
      <c r="X301" s="906"/>
      <c r="Y301" s="906"/>
      <c r="Z301" s="906"/>
      <c r="AA301" s="906"/>
      <c r="AB301" s="906"/>
      <c r="AC301" s="906"/>
      <c r="AD301" s="906"/>
      <c r="AE301" s="906"/>
      <c r="AF301" s="906"/>
      <c r="AG301" s="906"/>
      <c r="AH301" s="906"/>
      <c r="AI301" s="906"/>
      <c r="AJ301" s="906"/>
      <c r="AK301" s="906"/>
      <c r="AL301" s="906"/>
      <c r="AM301" s="906"/>
      <c r="AN301" s="906"/>
      <c r="AO301" s="906"/>
      <c r="AP301" s="906"/>
      <c r="AQ301" s="906"/>
      <c r="AR301" s="906"/>
      <c r="AS301" s="906"/>
      <c r="AT301" s="906"/>
    </row>
    <row r="302" s="1" customFormat="1" ht="22.5" customHeight="1" spans="1:46">
      <c r="A302" s="906" t="str">
        <f>IF(Baza!C126=0,"-","Najveće zalihe su na  poziciji: "&amp;Baza!B126&amp;", u iznosu od: "&amp;TEXT(Baza!C126,"#.## [$KM-141A]")&amp;", imaju koeficijent obrtaja "&amp;ROUND(Baza!J126,2)&amp;" i vrijeme vezivanja od "&amp;Baza!K126&amp;" dana.")</f>
        <v>-</v>
      </c>
      <c r="B302" s="906"/>
      <c r="C302" s="906"/>
      <c r="D302" s="906"/>
      <c r="E302" s="906"/>
      <c r="F302" s="906"/>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6"/>
      <c r="AC302" s="906"/>
      <c r="AD302" s="906"/>
      <c r="AE302" s="906"/>
      <c r="AF302" s="906"/>
      <c r="AG302" s="906"/>
      <c r="AH302" s="906"/>
      <c r="AI302" s="906"/>
      <c r="AJ302" s="906"/>
      <c r="AK302" s="906"/>
      <c r="AL302" s="906"/>
      <c r="AM302" s="906"/>
      <c r="AN302" s="906"/>
      <c r="AO302" s="906"/>
      <c r="AP302" s="906"/>
      <c r="AQ302" s="906"/>
      <c r="AR302" s="906"/>
      <c r="AS302" s="906"/>
      <c r="AT302" s="906"/>
    </row>
    <row r="303" s="1" customFormat="1" ht="14.25" customHeight="1" spans="1:46">
      <c r="A303" s="906"/>
      <c r="B303" s="906"/>
      <c r="C303" s="906"/>
      <c r="D303" s="906"/>
      <c r="E303" s="906"/>
      <c r="F303" s="906"/>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6"/>
      <c r="AC303" s="906"/>
      <c r="AD303" s="906"/>
      <c r="AE303" s="906"/>
      <c r="AF303" s="906"/>
      <c r="AG303" s="906"/>
      <c r="AH303" s="906"/>
      <c r="AI303" s="906"/>
      <c r="AJ303" s="906"/>
      <c r="AK303" s="906"/>
      <c r="AL303" s="906"/>
      <c r="AM303" s="906"/>
      <c r="AN303" s="906"/>
      <c r="AO303" s="906"/>
      <c r="AP303" s="906"/>
      <c r="AQ303" s="906"/>
      <c r="AR303" s="906"/>
      <c r="AS303" s="906"/>
      <c r="AT303" s="906"/>
    </row>
    <row r="304" s="1" customFormat="1" ht="14.25" customHeight="1" spans="1:46">
      <c r="A304" s="907" t="str">
        <f>IF(Baza!C129=0,"-","U odnosu na stanje početkom godine, ove zalihe imaju "&amp;Baza!H126&amp;", za "&amp;TEXT(Baza!F126,"#.## [$KM-141A]")&amp;" ili "&amp;ROUND(Baza!G126*100,1)&amp;" %.")</f>
        <v>-</v>
      </c>
      <c r="B304" s="907"/>
      <c r="C304" s="907"/>
      <c r="D304" s="907"/>
      <c r="E304" s="907"/>
      <c r="F304" s="907"/>
      <c r="G304" s="907"/>
      <c r="H304" s="907"/>
      <c r="I304" s="907"/>
      <c r="J304" s="907"/>
      <c r="K304" s="907"/>
      <c r="L304" s="907"/>
      <c r="M304" s="907"/>
      <c r="N304" s="907"/>
      <c r="O304" s="907"/>
      <c r="P304" s="907"/>
      <c r="Q304" s="907"/>
      <c r="R304" s="907"/>
      <c r="S304" s="907"/>
      <c r="T304" s="907"/>
      <c r="U304" s="907"/>
      <c r="V304" s="907"/>
      <c r="W304" s="907"/>
      <c r="X304" s="907"/>
      <c r="Y304" s="907"/>
      <c r="Z304" s="907"/>
      <c r="AA304" s="907"/>
      <c r="AB304" s="907"/>
      <c r="AC304" s="907"/>
      <c r="AD304" s="907"/>
      <c r="AE304" s="907"/>
      <c r="AF304" s="907"/>
      <c r="AG304" s="907"/>
      <c r="AH304" s="907"/>
      <c r="AI304" s="907"/>
      <c r="AJ304" s="907"/>
      <c r="AK304" s="907"/>
      <c r="AL304" s="907"/>
      <c r="AM304" s="907"/>
      <c r="AN304" s="907"/>
      <c r="AO304" s="907"/>
      <c r="AP304" s="907"/>
      <c r="AQ304" s="907"/>
      <c r="AR304" s="907"/>
      <c r="AS304" s="907"/>
      <c r="AT304" s="907"/>
    </row>
    <row r="305" s="1" customFormat="1" ht="24" customHeight="1" spans="1:46">
      <c r="A305" s="571"/>
      <c r="B305" s="571" t="s">
        <v>5777</v>
      </c>
    </row>
    <row r="306" s="1" customFormat="1" ht="21" customHeight="1" spans="1:46">
      <c r="A306" s="906" t="str">
        <f ca="1">IF(R400+R402+R401=0," -Na dan "&amp;PeriodDo&amp;". godine nije bilo kratkotočnih potraživanja i plasmana."," -Kratkoročna potraživanja i plasmani na dan "&amp;Baza!C14&amp;". godine  iznose: "&amp;TEXT(Baza!C135,"#.## [$KM-141A]")&amp;", što je u odnosu na stanje početkom godine "&amp;Baza!H135&amp;", za "&amp;TEXT(Baza!F135,"#.## [$KM-141A]")&amp;" ili "&amp;ROUND(Baza!G135*100,1)&amp;" %, imaju koeficijent obrtaja "&amp;ROUND(Baza!J135,2)&amp;" i vrijeme vezivanja od "&amp;Baza!K135&amp;" dana.")</f>
        <v> -Kratkoročna potraživanja i plasmani na dan 31.12.2025. godine  iznose: 574.865 KM, što je u odnosu na stanje početkom godine SMANJENJE, za 42.313 KM ili 6,9 %, imaju koeficijent obrtaja 0,42 i vrijeme vezivanja od 878 dana.</v>
      </c>
      <c r="B306" s="906"/>
      <c r="C306" s="906"/>
      <c r="D306" s="906"/>
      <c r="E306" s="906"/>
      <c r="F306" s="906"/>
      <c r="G306" s="906"/>
      <c r="H306" s="906"/>
      <c r="I306" s="906"/>
      <c r="J306" s="906"/>
      <c r="K306" s="906"/>
      <c r="L306" s="906"/>
      <c r="M306" s="906"/>
      <c r="N306" s="906"/>
      <c r="O306" s="906"/>
      <c r="P306" s="906"/>
      <c r="Q306" s="906"/>
      <c r="R306" s="906"/>
      <c r="S306" s="906"/>
      <c r="T306" s="906"/>
      <c r="U306" s="906"/>
      <c r="V306" s="906"/>
      <c r="W306" s="906"/>
      <c r="X306" s="906"/>
      <c r="Y306" s="906"/>
      <c r="Z306" s="906"/>
      <c r="AA306" s="906"/>
      <c r="AB306" s="906"/>
      <c r="AC306" s="906"/>
      <c r="AD306" s="906"/>
      <c r="AE306" s="906"/>
      <c r="AF306" s="906"/>
      <c r="AG306" s="906"/>
      <c r="AH306" s="906"/>
      <c r="AI306" s="906"/>
      <c r="AJ306" s="906"/>
      <c r="AK306" s="906"/>
      <c r="AL306" s="906"/>
      <c r="AM306" s="906"/>
      <c r="AN306" s="906"/>
      <c r="AO306" s="906"/>
      <c r="AP306" s="906"/>
      <c r="AQ306" s="906"/>
      <c r="AR306" s="906"/>
      <c r="AS306" s="906"/>
      <c r="AT306" s="906"/>
    </row>
    <row r="307" s="1" customFormat="1" ht="14.25" customHeight="1" spans="1:46">
      <c r="A307" s="90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6"/>
      <c r="AC307" s="906"/>
      <c r="AD307" s="906"/>
      <c r="AE307" s="906"/>
      <c r="AF307" s="906"/>
      <c r="AG307" s="906"/>
      <c r="AH307" s="906"/>
      <c r="AI307" s="906"/>
      <c r="AJ307" s="906"/>
      <c r="AK307" s="906"/>
      <c r="AL307" s="906"/>
      <c r="AM307" s="906"/>
      <c r="AN307" s="906"/>
      <c r="AO307" s="906"/>
      <c r="AP307" s="906"/>
      <c r="AQ307" s="906"/>
      <c r="AR307" s="906"/>
      <c r="AS307" s="906"/>
      <c r="AT307" s="906"/>
    </row>
    <row r="308" s="1" customFormat="1" ht="14.25" customHeight="1" spans="1:46">
      <c r="A308" s="906"/>
      <c r="B308" s="906"/>
      <c r="C308" s="906"/>
      <c r="D308" s="906"/>
      <c r="E308" s="906"/>
      <c r="F308" s="906"/>
      <c r="G308" s="906"/>
      <c r="H308" s="906"/>
      <c r="I308" s="906"/>
      <c r="J308" s="906"/>
      <c r="K308" s="906"/>
      <c r="L308" s="906"/>
      <c r="M308" s="906"/>
      <c r="N308" s="906"/>
      <c r="O308" s="906"/>
      <c r="P308" s="906"/>
      <c r="Q308" s="906"/>
      <c r="R308" s="906"/>
      <c r="S308" s="906"/>
      <c r="T308" s="906"/>
      <c r="U308" s="906"/>
      <c r="V308" s="906"/>
      <c r="W308" s="906"/>
      <c r="X308" s="906"/>
      <c r="Y308" s="906"/>
      <c r="Z308" s="906"/>
      <c r="AA308" s="906"/>
      <c r="AB308" s="906"/>
      <c r="AC308" s="906"/>
      <c r="AD308" s="906"/>
      <c r="AE308" s="906"/>
      <c r="AF308" s="906"/>
      <c r="AG308" s="906"/>
      <c r="AH308" s="906"/>
      <c r="AI308" s="906"/>
      <c r="AJ308" s="906"/>
      <c r="AK308" s="906"/>
      <c r="AL308" s="906"/>
      <c r="AM308" s="906"/>
      <c r="AN308" s="906"/>
      <c r="AO308" s="906"/>
      <c r="AP308" s="906"/>
      <c r="AQ308" s="906"/>
      <c r="AR308" s="906"/>
      <c r="AS308" s="906"/>
      <c r="AT308" s="906"/>
    </row>
    <row r="309" s="1" customFormat="1" ht="18" customHeight="1" spans="1:46">
      <c r="A309" s="906" t="str">
        <f>IF(Baza!C132=0,"-","Najveća potraživanja i plasmani su na poziciji: "&amp;Baza!B132&amp;", u iznosu od: "&amp;TEXT(Baza!C132,"#.## [$KM-141A]")&amp;",  imaju koeficijent obrtaja "&amp;ROUND(Baza!J132,2)&amp;" i vrijeme vezivanja od "&amp;Baza!K132&amp;" dana.")</f>
        <v>Najveća potraživanja i plasmani su na poziciji: Dati krediti  (AOP 051), u iznosu od: 427.682 KM,  imaju koeficijent obrtaja 0,52 i vrijeme vezivanja od 703 dana.</v>
      </c>
      <c r="B309" s="906"/>
      <c r="C309" s="906"/>
      <c r="D309" s="906"/>
      <c r="E309" s="906"/>
      <c r="F309" s="906"/>
      <c r="G309" s="906"/>
      <c r="H309" s="906"/>
      <c r="I309" s="906"/>
      <c r="J309" s="906"/>
      <c r="K309" s="906"/>
      <c r="L309" s="906"/>
      <c r="M309" s="906"/>
      <c r="N309" s="906"/>
      <c r="O309" s="906"/>
      <c r="P309" s="906"/>
      <c r="Q309" s="906"/>
      <c r="R309" s="906"/>
      <c r="S309" s="906"/>
      <c r="T309" s="906"/>
      <c r="U309" s="906"/>
      <c r="V309" s="906"/>
      <c r="W309" s="906"/>
      <c r="X309" s="906"/>
      <c r="Y309" s="906"/>
      <c r="Z309" s="906"/>
      <c r="AA309" s="906"/>
      <c r="AB309" s="906"/>
      <c r="AC309" s="906"/>
      <c r="AD309" s="906"/>
      <c r="AE309" s="906"/>
      <c r="AF309" s="906"/>
      <c r="AG309" s="906"/>
      <c r="AH309" s="906"/>
      <c r="AI309" s="906"/>
      <c r="AJ309" s="906"/>
      <c r="AK309" s="906"/>
      <c r="AL309" s="906"/>
      <c r="AM309" s="906"/>
      <c r="AN309" s="906"/>
      <c r="AO309" s="906"/>
      <c r="AP309" s="906"/>
      <c r="AQ309" s="906"/>
      <c r="AR309" s="906"/>
      <c r="AS309" s="906"/>
      <c r="AT309" s="906"/>
    </row>
    <row r="310" s="1" customFormat="1" ht="14.25" customHeight="1" spans="1:46">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6"/>
      <c r="AC310" s="906"/>
      <c r="AD310" s="906"/>
      <c r="AE310" s="906"/>
      <c r="AF310" s="906"/>
      <c r="AG310" s="906"/>
      <c r="AH310" s="906"/>
      <c r="AI310" s="906"/>
      <c r="AJ310" s="906"/>
      <c r="AK310" s="906"/>
      <c r="AL310" s="906"/>
      <c r="AM310" s="906"/>
      <c r="AN310" s="906"/>
      <c r="AO310" s="906"/>
      <c r="AP310" s="906"/>
      <c r="AQ310" s="906"/>
      <c r="AR310" s="906"/>
      <c r="AS310" s="906"/>
      <c r="AT310" s="906"/>
    </row>
    <row r="311" s="1" customFormat="1" ht="14.25" customHeight="1" spans="1:46">
      <c r="A311" s="907" t="str">
        <f>IF(Baza!D132=0,"-","U odnosu na stanje početkom godine, ova  potraživanja imaju "&amp;Baza!H132&amp;", za "&amp;TEXT(Baza!F132,"#.## [$KM-141A]")&amp;" ili "&amp;ROUND(Baza!G132*100,1)&amp;" %.")</f>
        <v>U odnosu na stanje početkom godine, ova  potraživanja imaju SMANJENJE, za 99.243 KM ili 18,8 %.</v>
      </c>
      <c r="B311" s="907"/>
      <c r="C311" s="907"/>
      <c r="D311" s="907"/>
      <c r="E311" s="907"/>
      <c r="F311" s="907"/>
      <c r="G311" s="907"/>
      <c r="H311" s="907"/>
      <c r="I311" s="907"/>
      <c r="J311" s="907"/>
      <c r="K311" s="907"/>
      <c r="L311" s="907"/>
      <c r="M311" s="907"/>
      <c r="N311" s="907"/>
      <c r="O311" s="907"/>
      <c r="P311" s="907"/>
      <c r="Q311" s="907"/>
      <c r="R311" s="907"/>
      <c r="S311" s="907"/>
      <c r="T311" s="907"/>
      <c r="U311" s="907"/>
      <c r="V311" s="907"/>
      <c r="W311" s="907"/>
      <c r="X311" s="907"/>
      <c r="Y311" s="907"/>
      <c r="Z311" s="907"/>
      <c r="AA311" s="907"/>
      <c r="AB311" s="907"/>
      <c r="AC311" s="907"/>
      <c r="AD311" s="907"/>
      <c r="AE311" s="907"/>
      <c r="AF311" s="907"/>
      <c r="AG311" s="907"/>
      <c r="AH311" s="907"/>
      <c r="AI311" s="907"/>
      <c r="AJ311" s="907"/>
      <c r="AK311" s="907"/>
      <c r="AL311" s="907"/>
      <c r="AM311" s="907"/>
      <c r="AN311" s="907"/>
      <c r="AO311" s="907"/>
      <c r="AP311" s="907"/>
      <c r="AQ311" s="907"/>
      <c r="AR311" s="907"/>
      <c r="AS311" s="907"/>
      <c r="AT311" s="907"/>
    </row>
    <row r="312" s="1" customFormat="1" ht="24" customHeight="1" spans="1:46">
      <c r="A312" s="906" t="str">
        <f>IF(Baza!C133=0,"-"," -Na drugom mjestu, po veličini, su potraživanja iskazana na rednom broju: "&amp;Baza!B133&amp;", u iznosu od "&amp;TEXT(Baza!C133,"#.## [$KM-141A]")&amp;",  imaju koeficijent obrtaja "&amp;ROUND(Baza!J133,2)&amp;" i vrijeme vezivanja od "&amp;Baza!K133&amp;" dana.")</f>
        <v> -Na drugom mjestu, po veličini, su potraživanja iskazana na rednom broju: Ostala imovina i potraživanja, uključujući i razgraničenja (AOP 059), u iznosu od 126.871 KM,  imaju koeficijent obrtaja 2,53 i vrijeme vezivanja od 144 dana.</v>
      </c>
      <c r="B312" s="906"/>
      <c r="C312" s="906"/>
      <c r="D312" s="906"/>
      <c r="E312" s="906"/>
      <c r="F312" s="906"/>
      <c r="G312" s="906"/>
      <c r="H312" s="906"/>
      <c r="I312" s="906"/>
      <c r="J312" s="906"/>
      <c r="K312" s="906"/>
      <c r="L312" s="906"/>
      <c r="M312" s="906"/>
      <c r="N312" s="906"/>
      <c r="O312" s="906"/>
      <c r="P312" s="906"/>
      <c r="Q312" s="906"/>
      <c r="R312" s="906"/>
      <c r="S312" s="906"/>
      <c r="T312" s="906"/>
      <c r="U312" s="906"/>
      <c r="V312" s="906"/>
      <c r="W312" s="906"/>
      <c r="X312" s="906"/>
      <c r="Y312" s="906"/>
      <c r="Z312" s="906"/>
      <c r="AA312" s="906"/>
      <c r="AB312" s="906"/>
      <c r="AC312" s="906"/>
      <c r="AD312" s="906"/>
      <c r="AE312" s="906"/>
      <c r="AF312" s="906"/>
      <c r="AG312" s="906"/>
      <c r="AH312" s="906"/>
      <c r="AI312" s="906"/>
      <c r="AJ312" s="906"/>
      <c r="AK312" s="906"/>
      <c r="AL312" s="906"/>
      <c r="AM312" s="906"/>
      <c r="AN312" s="906"/>
      <c r="AO312" s="906"/>
      <c r="AP312" s="906"/>
      <c r="AQ312" s="906"/>
      <c r="AR312" s="906"/>
      <c r="AS312" s="906"/>
      <c r="AT312" s="906"/>
    </row>
    <row r="313" s="1" customFormat="1" ht="25.5" customHeight="1" spans="1:46">
      <c r="A313" s="906"/>
      <c r="B313" s="906"/>
      <c r="C313" s="906"/>
      <c r="D313" s="906"/>
      <c r="E313" s="906"/>
      <c r="F313" s="906"/>
      <c r="G313" s="906"/>
      <c r="H313" s="906"/>
      <c r="I313" s="906"/>
      <c r="J313" s="906"/>
      <c r="K313" s="906"/>
      <c r="L313" s="906"/>
      <c r="M313" s="906"/>
      <c r="N313" s="906"/>
      <c r="O313" s="906"/>
      <c r="P313" s="906"/>
      <c r="Q313" s="906"/>
      <c r="R313" s="906"/>
      <c r="S313" s="906"/>
      <c r="T313" s="906"/>
      <c r="U313" s="906"/>
      <c r="V313" s="906"/>
      <c r="W313" s="906"/>
      <c r="X313" s="906"/>
      <c r="Y313" s="906"/>
      <c r="Z313" s="906"/>
      <c r="AA313" s="906"/>
      <c r="AB313" s="906"/>
      <c r="AC313" s="906"/>
      <c r="AD313" s="906"/>
      <c r="AE313" s="906"/>
      <c r="AF313" s="906"/>
      <c r="AG313" s="906"/>
      <c r="AH313" s="906"/>
      <c r="AI313" s="906"/>
      <c r="AJ313" s="906"/>
      <c r="AK313" s="906"/>
      <c r="AL313" s="906"/>
      <c r="AM313" s="906"/>
      <c r="AN313" s="906"/>
      <c r="AO313" s="906"/>
      <c r="AP313" s="906"/>
      <c r="AQ313" s="906"/>
      <c r="AR313" s="906"/>
      <c r="AS313" s="906"/>
      <c r="AT313" s="906"/>
    </row>
    <row r="314" s="1" customFormat="1" ht="14.25" customHeight="1" spans="1:46">
      <c r="A314" s="907" t="str">
        <f>IF(Baza!D133=0,"-","U odnosu na stanje početkom godine, ova  potraživanja imaju "&amp;Baza!H133&amp;", za "&amp;TEXT(Baza!F133,"#.## [$KM-141A]")&amp;" ili "&amp;ROUND(Baza!G133*100,1)&amp;" %.")</f>
        <v>U odnosu na stanje početkom godine, ova  potraživanja imaju POVEĆANJE, za 57.791 KM ili 83,7 %.</v>
      </c>
      <c r="B314" s="907"/>
      <c r="C314" s="907"/>
      <c r="D314" s="907"/>
      <c r="E314" s="907"/>
      <c r="F314" s="907"/>
      <c r="G314" s="907"/>
      <c r="H314" s="907"/>
      <c r="I314" s="907"/>
      <c r="J314" s="907"/>
      <c r="K314" s="907"/>
      <c r="L314" s="907"/>
      <c r="M314" s="907"/>
      <c r="N314" s="907"/>
      <c r="O314" s="907"/>
      <c r="P314" s="907"/>
      <c r="Q314" s="907"/>
      <c r="R314" s="907"/>
      <c r="S314" s="907"/>
      <c r="T314" s="907"/>
      <c r="U314" s="907"/>
      <c r="V314" s="907"/>
      <c r="W314" s="907"/>
      <c r="X314" s="907"/>
      <c r="Y314" s="907"/>
      <c r="Z314" s="907"/>
      <c r="AA314" s="907"/>
      <c r="AB314" s="907"/>
      <c r="AC314" s="907"/>
      <c r="AD314" s="907"/>
      <c r="AE314" s="907"/>
      <c r="AF314" s="907"/>
      <c r="AG314" s="907"/>
      <c r="AH314" s="907"/>
      <c r="AI314" s="907"/>
      <c r="AJ314" s="907"/>
      <c r="AK314" s="907"/>
      <c r="AL314" s="907"/>
      <c r="AM314" s="907"/>
      <c r="AN314" s="907"/>
      <c r="AO314" s="907"/>
      <c r="AP314" s="907"/>
      <c r="AQ314" s="907"/>
      <c r="AR314" s="907"/>
      <c r="AS314" s="907"/>
      <c r="AT314" s="907"/>
    </row>
    <row r="315" s="1" customFormat="1" ht="14.25" customHeight="1" spans="1:46">
      <c r="A315" s="906" t="str">
        <f ca="1">IF(Baza!C137=0,"-Na dan "&amp;PeriodDo&amp;". godine nije bilo sumljivih i spornih kratkotočnih potraživanja.","Sumljiva i sporna kratkoročna potraživanja na dan "&amp;Baza!C14&amp;". godine  iznosi: "&amp;TEXT(Baza!C137,"#.## [$KM-141A]")&amp;", što je "&amp;ROUND(Baza!G135*100,1)&amp;" % bruto vrijednosti ukupnih kratkoročnih potraživanja.")</f>
        <v>-Na dan 31.12.2025. godine nije bilo sumljivih i spornih kratkotočnih potraživanja.</v>
      </c>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6"/>
      <c r="AC315" s="906"/>
      <c r="AD315" s="906"/>
      <c r="AE315" s="906"/>
      <c r="AF315" s="906"/>
      <c r="AG315" s="906"/>
      <c r="AH315" s="906"/>
      <c r="AI315" s="906"/>
      <c r="AJ315" s="906"/>
      <c r="AK315" s="906"/>
      <c r="AL315" s="906"/>
      <c r="AM315" s="906"/>
      <c r="AN315" s="906"/>
      <c r="AO315" s="906"/>
      <c r="AP315" s="906"/>
      <c r="AQ315" s="906"/>
      <c r="AR315" s="906"/>
      <c r="AS315" s="906"/>
      <c r="AT315" s="906"/>
    </row>
    <row r="316" s="1" customFormat="1" ht="14.25" customHeight="1" spans="1:46">
      <c r="A316" s="906"/>
      <c r="B316" s="906"/>
      <c r="C316" s="906"/>
      <c r="D316" s="906"/>
      <c r="E316" s="906"/>
      <c r="F316" s="906"/>
      <c r="G316" s="906"/>
      <c r="H316" s="906"/>
      <c r="I316" s="906"/>
      <c r="J316" s="906"/>
      <c r="K316" s="906"/>
      <c r="L316" s="906"/>
      <c r="M316" s="906"/>
      <c r="N316" s="906"/>
      <c r="O316" s="906"/>
      <c r="P316" s="906"/>
      <c r="Q316" s="906"/>
      <c r="R316" s="906"/>
      <c r="S316" s="906"/>
      <c r="T316" s="906"/>
      <c r="U316" s="906"/>
      <c r="V316" s="906"/>
      <c r="W316" s="906"/>
      <c r="X316" s="906"/>
      <c r="Y316" s="906"/>
      <c r="Z316" s="906"/>
      <c r="AA316" s="906"/>
      <c r="AB316" s="906"/>
      <c r="AC316" s="906"/>
      <c r="AD316" s="906"/>
      <c r="AE316" s="906"/>
      <c r="AF316" s="906"/>
      <c r="AG316" s="906"/>
      <c r="AH316" s="906"/>
      <c r="AI316" s="906"/>
      <c r="AJ316" s="906"/>
      <c r="AK316" s="906"/>
      <c r="AL316" s="906"/>
      <c r="AM316" s="906"/>
      <c r="AN316" s="906"/>
      <c r="AO316" s="906"/>
      <c r="AP316" s="906"/>
      <c r="AQ316" s="906"/>
      <c r="AR316" s="906"/>
      <c r="AS316" s="906"/>
      <c r="AT316" s="906"/>
    </row>
    <row r="317" s="1" customFormat="1" ht="14.25" customHeight="1" spans="1:46">
      <c r="A317" s="906"/>
      <c r="B317" s="906"/>
      <c r="C317" s="906"/>
      <c r="D317" s="906"/>
      <c r="E317" s="906"/>
      <c r="F317" s="906"/>
      <c r="G317" s="906"/>
      <c r="H317" s="906"/>
      <c r="I317" s="906"/>
      <c r="J317" s="906"/>
      <c r="K317" s="906"/>
      <c r="L317" s="906"/>
      <c r="M317" s="906"/>
      <c r="N317" s="906"/>
      <c r="O317" s="906"/>
      <c r="P317" s="906"/>
      <c r="Q317" s="906"/>
      <c r="R317" s="906"/>
      <c r="S317" s="906"/>
      <c r="T317" s="906"/>
      <c r="U317" s="906"/>
      <c r="V317" s="906"/>
      <c r="W317" s="906"/>
      <c r="X317" s="906"/>
      <c r="Y317" s="906"/>
      <c r="Z317" s="906"/>
      <c r="AA317" s="906"/>
      <c r="AB317" s="906"/>
      <c r="AC317" s="906"/>
      <c r="AD317" s="906"/>
      <c r="AE317" s="906"/>
      <c r="AF317" s="906"/>
      <c r="AG317" s="906"/>
      <c r="AH317" s="906"/>
      <c r="AI317" s="906"/>
      <c r="AJ317" s="906"/>
      <c r="AK317" s="906"/>
      <c r="AL317" s="906"/>
      <c r="AM317" s="906"/>
      <c r="AN317" s="906"/>
      <c r="AO317" s="906"/>
      <c r="AP317" s="906"/>
      <c r="AQ317" s="906"/>
      <c r="AR317" s="906"/>
      <c r="AS317" s="906"/>
      <c r="AT317" s="906"/>
    </row>
    <row r="318" s="1" customFormat="1" ht="14.25" customHeight="1" spans="1:46">
      <c r="A318" s="907"/>
      <c r="B318" s="907"/>
      <c r="C318" s="907"/>
      <c r="D318" s="907"/>
      <c r="E318" s="907"/>
      <c r="F318" s="907"/>
      <c r="G318" s="907"/>
      <c r="H318" s="907"/>
      <c r="I318" s="907"/>
      <c r="J318" s="907"/>
      <c r="K318" s="907"/>
      <c r="L318" s="907"/>
      <c r="M318" s="907"/>
      <c r="N318" s="907"/>
      <c r="O318" s="907"/>
      <c r="P318" s="907"/>
      <c r="Q318" s="907"/>
      <c r="R318" s="907"/>
      <c r="S318" s="907"/>
      <c r="T318" s="907"/>
      <c r="U318" s="907"/>
      <c r="V318" s="907"/>
      <c r="W318" s="907"/>
      <c r="X318" s="907"/>
      <c r="Y318" s="907"/>
      <c r="Z318" s="907"/>
      <c r="AA318" s="907"/>
      <c r="AB318" s="907"/>
      <c r="AC318" s="907"/>
      <c r="AD318" s="907"/>
      <c r="AE318" s="907"/>
      <c r="AF318" s="907"/>
      <c r="AG318" s="907"/>
      <c r="AH318" s="907"/>
      <c r="AI318" s="907"/>
      <c r="AJ318" s="907"/>
      <c r="AK318" s="907"/>
      <c r="AL318" s="907"/>
      <c r="AM318" s="907"/>
      <c r="AN318" s="907"/>
      <c r="AO318" s="907"/>
      <c r="AP318" s="907"/>
      <c r="AQ318" s="907"/>
      <c r="AR318" s="907"/>
      <c r="AS318" s="907"/>
      <c r="AT318" s="907"/>
    </row>
    <row r="319" s="1" customFormat="1" ht="14.25" customHeight="1" spans="1:46">
      <c r="A319" s="907"/>
      <c r="B319" s="907"/>
      <c r="C319" s="907"/>
      <c r="D319" s="907"/>
      <c r="E319" s="907"/>
      <c r="F319" s="907"/>
      <c r="G319" s="907"/>
      <c r="H319" s="907"/>
      <c r="I319" s="907"/>
      <c r="J319" s="907"/>
      <c r="K319" s="907"/>
      <c r="L319" s="907"/>
      <c r="M319" s="907"/>
      <c r="N319" s="907"/>
      <c r="O319" s="907"/>
      <c r="P319" s="907"/>
      <c r="Q319" s="907"/>
      <c r="R319" s="907"/>
      <c r="S319" s="907"/>
      <c r="T319" s="907"/>
      <c r="U319" s="907"/>
      <c r="V319" s="907"/>
      <c r="W319" s="907"/>
      <c r="X319" s="907"/>
      <c r="Y319" s="907"/>
      <c r="Z319" s="907"/>
      <c r="AA319" s="907"/>
      <c r="AB319" s="907"/>
      <c r="AC319" s="907"/>
      <c r="AD319" s="907"/>
      <c r="AE319" s="907"/>
      <c r="AF319" s="907"/>
      <c r="AG319" s="907"/>
      <c r="AH319" s="907"/>
      <c r="AI319" s="907"/>
      <c r="AJ319" s="907"/>
      <c r="AK319" s="907"/>
      <c r="AL319" s="907"/>
      <c r="AM319" s="907"/>
      <c r="AN319" s="907"/>
      <c r="AO319" s="907"/>
      <c r="AP319" s="907"/>
      <c r="AQ319" s="907"/>
      <c r="AR319" s="907"/>
      <c r="AS319" s="907"/>
      <c r="AT319" s="907"/>
    </row>
    <row r="320" s="1" customFormat="1" ht="25.5" customHeight="1" spans="1:46">
      <c r="A320" s="571"/>
      <c r="B320" s="571" t="s">
        <v>7446</v>
      </c>
    </row>
    <row r="321" s="1" customFormat="1" ht="19.5" customHeight="1" spans="1:46">
      <c r="A321" s="906" t="str">
        <f ca="1">IF(R403=0," -Na dan "&amp;PeriodDo&amp;" nije bilo gotovine."," -Iskazani iznos gotovine i ekvivalenata gotovine u bilansu stanja na dan "&amp;Baza!C14&amp;". godine, u iznosu: "&amp;TEXT(R403,"#.## [$KM-141A]")&amp;", je "&amp;Baza!H147&amp;" za "&amp;TEXT(Baza!F147,"#.## [$KM-141A]")&amp;" ili "&amp;ROUND(Baza!G147*100,1)&amp;" %, u odnosu na 01.01."&amp;PoslGod&amp;". godine, ima koeficijent obrtaja "&amp;ROUND(Baza!J147,1)&amp;" i vrijeme vezivanja od "&amp;Baza!K147&amp;" dana.")</f>
        <v> -Iskazani iznos gotovine i ekvivalenata gotovine u bilansu stanja na dan 31.12.2025. godine, u iznosu: 2.327 KM, je POVEĆANJE za 2.280 KM ili 4851,1 %, u odnosu na 01.01.2025. godine, ima koeficijent obrtaja 208,7 i vrijeme vezivanja od 2 dana.</v>
      </c>
      <c r="B321" s="906"/>
      <c r="C321" s="906"/>
      <c r="D321" s="906"/>
      <c r="E321" s="906"/>
      <c r="F321" s="906"/>
      <c r="G321" s="906"/>
      <c r="H321" s="906"/>
      <c r="I321" s="906"/>
      <c r="J321" s="906"/>
      <c r="K321" s="906"/>
      <c r="L321" s="906"/>
      <c r="M321" s="906"/>
      <c r="N321" s="906"/>
      <c r="O321" s="906"/>
      <c r="P321" s="906"/>
      <c r="Q321" s="906"/>
      <c r="R321" s="906"/>
      <c r="S321" s="906"/>
      <c r="T321" s="906"/>
      <c r="U321" s="906"/>
      <c r="V321" s="906"/>
      <c r="W321" s="906"/>
      <c r="X321" s="906"/>
      <c r="Y321" s="906"/>
      <c r="Z321" s="906"/>
      <c r="AA321" s="906"/>
      <c r="AB321" s="906"/>
      <c r="AC321" s="906"/>
      <c r="AD321" s="906"/>
      <c r="AE321" s="906"/>
      <c r="AF321" s="906"/>
      <c r="AG321" s="906"/>
      <c r="AH321" s="906"/>
      <c r="AI321" s="906"/>
      <c r="AJ321" s="906"/>
      <c r="AK321" s="906"/>
      <c r="AL321" s="906"/>
      <c r="AM321" s="906"/>
      <c r="AN321" s="906"/>
      <c r="AO321" s="906"/>
      <c r="AP321" s="906"/>
      <c r="AQ321" s="906"/>
      <c r="AR321" s="906"/>
      <c r="AS321" s="906"/>
      <c r="AT321" s="906"/>
    </row>
    <row r="322" s="1" customFormat="1" ht="15" spans="1:46">
      <c r="A322" s="90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6"/>
      <c r="AC322" s="906"/>
      <c r="AD322" s="906"/>
      <c r="AE322" s="906"/>
      <c r="AF322" s="906"/>
      <c r="AG322" s="906"/>
      <c r="AH322" s="906"/>
      <c r="AI322" s="906"/>
      <c r="AJ322" s="906"/>
      <c r="AK322" s="906"/>
      <c r="AL322" s="906"/>
      <c r="AM322" s="906"/>
      <c r="AN322" s="906"/>
      <c r="AO322" s="906"/>
      <c r="AP322" s="906"/>
      <c r="AQ322" s="906"/>
      <c r="AR322" s="906"/>
      <c r="AS322" s="906"/>
      <c r="AT322" s="906"/>
    </row>
    <row r="323" s="1" customFormat="1" ht="15" spans="1:46">
      <c r="A323" s="906"/>
      <c r="B323" s="906"/>
      <c r="C323" s="906"/>
      <c r="D323" s="906"/>
      <c r="E323" s="906"/>
      <c r="F323" s="906"/>
      <c r="G323" s="906"/>
      <c r="H323" s="906"/>
      <c r="I323" s="906"/>
      <c r="J323" s="906"/>
      <c r="K323" s="906"/>
      <c r="L323" s="906"/>
      <c r="M323" s="906"/>
      <c r="N323" s="906"/>
      <c r="O323" s="906"/>
      <c r="P323" s="906"/>
      <c r="Q323" s="906"/>
      <c r="R323" s="906"/>
      <c r="S323" s="906"/>
      <c r="T323" s="906"/>
      <c r="U323" s="906"/>
      <c r="V323" s="906"/>
      <c r="W323" s="906"/>
      <c r="X323" s="906"/>
      <c r="Y323" s="906"/>
      <c r="Z323" s="906"/>
      <c r="AA323" s="906"/>
      <c r="AB323" s="906"/>
      <c r="AC323" s="906"/>
      <c r="AD323" s="906"/>
      <c r="AE323" s="906"/>
      <c r="AF323" s="906"/>
      <c r="AG323" s="906"/>
      <c r="AH323" s="906"/>
      <c r="AI323" s="906"/>
      <c r="AJ323" s="906"/>
      <c r="AK323" s="906"/>
      <c r="AL323" s="906"/>
      <c r="AM323" s="906"/>
      <c r="AN323" s="906"/>
      <c r="AO323" s="906"/>
      <c r="AP323" s="906"/>
      <c r="AQ323" s="906"/>
      <c r="AR323" s="906"/>
      <c r="AS323" s="906"/>
      <c r="AT323" s="906"/>
    </row>
    <row r="324" s="1" customFormat="1" ht="20.25" customHeight="1" spans="1:46">
      <c r="A324" s="571"/>
      <c r="B324" s="571"/>
    </row>
    <row r="325" s="1" customFormat="1" ht="15"/>
    <row r="326" s="1" customFormat="1" ht="15"/>
    <row r="327" s="1" customFormat="1" ht="15"/>
    <row r="328" s="1" customFormat="1" ht="15"/>
    <row r="329" s="1" customFormat="1" ht="15"/>
    <row r="330" s="1" customFormat="1" ht="15"/>
    <row r="331" s="1" customFormat="1" ht="15"/>
    <row r="332" s="1" customFormat="1" ht="15"/>
    <row r="333" s="1" customFormat="1" ht="15"/>
    <row r="334" s="1" customFormat="1" ht="15"/>
    <row r="335" s="1" customFormat="1" ht="15"/>
    <row r="336" ht="15" spans="1:46">
      <c r="A336" s="1" t="str">
        <f ca="1">"Pregled pozicija AKTIVE bilansa stanja, po veličini, na dan "&amp;PeriodDo&amp;". godine."</f>
        <v>Pregled pozicija AKTIVE bilansa stanja, po veličini, na dan 31.12.2025. godine.</v>
      </c>
      <c r="B336" s="491"/>
      <c r="C336" s="491"/>
      <c r="D336" s="491"/>
      <c r="E336" s="491"/>
      <c r="F336" s="491"/>
      <c r="G336" s="491"/>
      <c r="H336" s="491"/>
      <c r="I336" s="491"/>
      <c r="J336" s="491"/>
      <c r="K336" s="491"/>
      <c r="L336" s="491"/>
      <c r="M336" s="491"/>
      <c r="N336" s="491"/>
      <c r="O336" s="491"/>
      <c r="P336" s="491"/>
      <c r="Q336" s="491"/>
      <c r="R336" s="491"/>
      <c r="S336" s="491"/>
      <c r="T336" s="491"/>
      <c r="U336" s="491"/>
      <c r="V336" s="491"/>
      <c r="W336" s="491"/>
      <c r="X336" s="491"/>
      <c r="Y336" s="491"/>
      <c r="Z336" s="491"/>
      <c r="AA336" s="491"/>
      <c r="AB336" s="491"/>
      <c r="AC336" s="491"/>
      <c r="AD336" s="491"/>
      <c r="AE336" s="491"/>
      <c r="AF336" s="491"/>
      <c r="AG336" s="491"/>
      <c r="AH336" s="491"/>
      <c r="AI336" s="491"/>
      <c r="AJ336" s="491"/>
      <c r="AK336" s="491"/>
      <c r="AL336" s="491"/>
      <c r="AM336" s="491"/>
      <c r="AN336" s="491"/>
      <c r="AO336" s="491"/>
      <c r="AP336" s="491"/>
      <c r="AQ336" s="491"/>
      <c r="AR336" s="491"/>
    </row>
    <row r="337" ht="14.25" customHeight="1" spans="1:52">
      <c r="A337" s="960" t="s">
        <v>5787</v>
      </c>
      <c r="B337" s="961" t="s">
        <v>7613</v>
      </c>
      <c r="C337" s="962"/>
      <c r="D337" s="96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3"/>
      <c r="AE337" s="1006" t="str">
        <f ca="1">PeriodDo</f>
        <v>31.12.2025</v>
      </c>
      <c r="AF337" s="1007"/>
      <c r="AG337" s="1007"/>
      <c r="AH337" s="1007"/>
      <c r="AI337" s="1007"/>
      <c r="AJ337" s="1007"/>
      <c r="AK337" s="1007"/>
      <c r="AL337" s="1007"/>
      <c r="AM337" s="1007"/>
      <c r="AN337" s="1007"/>
      <c r="AO337" s="1007"/>
      <c r="AP337" s="1007"/>
      <c r="AQ337" s="1007"/>
      <c r="AR337" s="1007"/>
      <c r="AS337" s="1007"/>
      <c r="AT337" s="1008"/>
    </row>
    <row r="338" ht="18.75" customHeight="1" spans="1:52">
      <c r="A338" s="967" t="s">
        <v>5791</v>
      </c>
      <c r="B338" s="968"/>
      <c r="C338" s="969"/>
      <c r="D338" s="969"/>
      <c r="E338" s="969"/>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70"/>
      <c r="AE338" s="971" t="s">
        <v>7462</v>
      </c>
      <c r="AF338" s="971"/>
      <c r="AG338" s="971"/>
      <c r="AH338" s="971"/>
      <c r="AI338" s="971"/>
      <c r="AJ338" s="971"/>
      <c r="AK338" s="971"/>
      <c r="AL338" s="971"/>
      <c r="AM338" s="971" t="s">
        <v>20</v>
      </c>
      <c r="AN338" s="971"/>
      <c r="AO338" s="971"/>
      <c r="AP338" s="971"/>
      <c r="AQ338" s="971" t="s">
        <v>20</v>
      </c>
      <c r="AR338" s="971"/>
      <c r="AS338" s="971"/>
      <c r="AT338" s="971"/>
    </row>
    <row r="339" ht="15" customHeight="1" spans="1:52">
      <c r="A339" s="972">
        <v>0</v>
      </c>
      <c r="B339" s="972">
        <v>1</v>
      </c>
      <c r="C339" s="972"/>
      <c r="D339" s="972"/>
      <c r="E339" s="972"/>
      <c r="F339" s="972"/>
      <c r="G339" s="972"/>
      <c r="H339" s="972"/>
      <c r="I339" s="972"/>
      <c r="J339" s="972"/>
      <c r="K339" s="972"/>
      <c r="L339" s="972"/>
      <c r="M339" s="972"/>
      <c r="N339" s="972"/>
      <c r="O339" s="972"/>
      <c r="P339" s="972"/>
      <c r="Q339" s="972"/>
      <c r="R339" s="972"/>
      <c r="S339" s="972"/>
      <c r="T339" s="972"/>
      <c r="U339" s="972"/>
      <c r="V339" s="972"/>
      <c r="W339" s="972"/>
      <c r="X339" s="972"/>
      <c r="Y339" s="972"/>
      <c r="Z339" s="972"/>
      <c r="AA339" s="972"/>
      <c r="AB339" s="972"/>
      <c r="AC339" s="972"/>
      <c r="AD339" s="972"/>
      <c r="AE339" s="972">
        <v>3</v>
      </c>
      <c r="AF339" s="972"/>
      <c r="AG339" s="972"/>
      <c r="AH339" s="972"/>
      <c r="AI339" s="972"/>
      <c r="AJ339" s="972"/>
      <c r="AK339" s="972"/>
      <c r="AL339" s="972"/>
      <c r="AM339" s="972">
        <v>4</v>
      </c>
      <c r="AN339" s="972"/>
      <c r="AO339" s="972"/>
      <c r="AP339" s="972"/>
      <c r="AQ339" s="972">
        <v>5</v>
      </c>
      <c r="AR339" s="972"/>
      <c r="AS339" s="972"/>
      <c r="AT339" s="972"/>
    </row>
    <row r="340" ht="16.5" customHeight="1" spans="1:52">
      <c r="A340" s="973">
        <v>1</v>
      </c>
      <c r="B340" s="1009" t="str">
        <f>IF(AE340=0,"-",Baza!B101)</f>
        <v>Transportna sredstva (AOP 006)</v>
      </c>
      <c r="C340" s="1009"/>
      <c r="D340" s="1009"/>
      <c r="E340" s="1009"/>
      <c r="F340" s="1009"/>
      <c r="G340" s="1009"/>
      <c r="H340" s="1009"/>
      <c r="I340" s="1009"/>
      <c r="J340" s="1009"/>
      <c r="K340" s="1009"/>
      <c r="L340" s="1009"/>
      <c r="M340" s="1009"/>
      <c r="N340" s="1009"/>
      <c r="O340" s="1009"/>
      <c r="P340" s="1009"/>
      <c r="Q340" s="1009"/>
      <c r="R340" s="1009"/>
      <c r="S340" s="1009"/>
      <c r="T340" s="1009"/>
      <c r="U340" s="1009"/>
      <c r="V340" s="1009"/>
      <c r="W340" s="1009"/>
      <c r="X340" s="1009"/>
      <c r="Y340" s="1009"/>
      <c r="Z340" s="1009"/>
      <c r="AA340" s="1009"/>
      <c r="AB340" s="1009"/>
      <c r="AC340" s="1009"/>
      <c r="AD340" s="1009"/>
      <c r="AE340" s="975">
        <f>Baza!C101</f>
        <v>22107</v>
      </c>
      <c r="AF340" s="975"/>
      <c r="AG340" s="975"/>
      <c r="AH340" s="975"/>
      <c r="AI340" s="975"/>
      <c r="AJ340" s="975"/>
      <c r="AK340" s="975"/>
      <c r="AL340" s="975"/>
      <c r="AM340" s="1010">
        <f>IFERROR(AE340/$AE$346,"-")</f>
        <v>1</v>
      </c>
      <c r="AN340" s="1010"/>
      <c r="AO340" s="1010"/>
      <c r="AP340" s="1010"/>
      <c r="AQ340" s="1010">
        <f t="shared" ref="AQ340:AQ354" si="6">IFERROR(AE340/$AE$354,"-")</f>
        <v>0.0368880975940223</v>
      </c>
      <c r="AR340" s="1010"/>
      <c r="AS340" s="1010"/>
      <c r="AT340" s="1010"/>
      <c r="AZ340" s="959"/>
    </row>
    <row r="341" ht="16.5" customHeight="1" spans="1:52">
      <c r="A341" s="977">
        <v>2</v>
      </c>
      <c r="B341" s="974" t="str">
        <f>IF(AE341=0,"-",Baza!B102)</f>
        <v>-</v>
      </c>
      <c r="C341" s="974"/>
      <c r="D341" s="974"/>
      <c r="E341" s="974"/>
      <c r="F341" s="974"/>
      <c r="G341" s="974"/>
      <c r="H341" s="974"/>
      <c r="I341" s="974"/>
      <c r="J341" s="974"/>
      <c r="K341" s="974"/>
      <c r="L341" s="974"/>
      <c r="M341" s="974"/>
      <c r="N341" s="974"/>
      <c r="O341" s="974"/>
      <c r="P341" s="974"/>
      <c r="Q341" s="974"/>
      <c r="R341" s="974"/>
      <c r="S341" s="974"/>
      <c r="T341" s="974"/>
      <c r="U341" s="974"/>
      <c r="V341" s="974"/>
      <c r="W341" s="974"/>
      <c r="X341" s="974"/>
      <c r="Y341" s="974"/>
      <c r="Z341" s="974"/>
      <c r="AA341" s="974"/>
      <c r="AB341" s="974"/>
      <c r="AC341" s="974"/>
      <c r="AD341" s="974"/>
      <c r="AE341" s="978">
        <f>Baza!C102</f>
        <v>0</v>
      </c>
      <c r="AF341" s="978"/>
      <c r="AG341" s="978"/>
      <c r="AH341" s="978"/>
      <c r="AI341" s="978"/>
      <c r="AJ341" s="978"/>
      <c r="AK341" s="978"/>
      <c r="AL341" s="978"/>
      <c r="AM341" s="976">
        <f t="shared" ref="AM341:AM345" si="7">IFERROR(AE341/$AE$346,"-")</f>
        <v>0</v>
      </c>
      <c r="AN341" s="976"/>
      <c r="AO341" s="976"/>
      <c r="AP341" s="976"/>
      <c r="AQ341" s="976">
        <f t="shared" si="6"/>
        <v>0</v>
      </c>
      <c r="AR341" s="976"/>
      <c r="AS341" s="976"/>
      <c r="AT341" s="976"/>
      <c r="AZ341" s="959"/>
    </row>
    <row r="342" ht="16.5" customHeight="1" spans="1:52">
      <c r="A342" s="977">
        <v>3</v>
      </c>
      <c r="B342" s="974" t="str">
        <f>IF(AE342=0,"-",Baza!B103)</f>
        <v>-</v>
      </c>
      <c r="C342" s="974"/>
      <c r="D342" s="974"/>
      <c r="E342" s="974"/>
      <c r="F342" s="974"/>
      <c r="G342" s="974"/>
      <c r="H342" s="974"/>
      <c r="I342" s="974"/>
      <c r="J342" s="974"/>
      <c r="K342" s="974"/>
      <c r="L342" s="974"/>
      <c r="M342" s="974"/>
      <c r="N342" s="974"/>
      <c r="O342" s="974"/>
      <c r="P342" s="974"/>
      <c r="Q342" s="974"/>
      <c r="R342" s="974"/>
      <c r="S342" s="974"/>
      <c r="T342" s="974"/>
      <c r="U342" s="974"/>
      <c r="V342" s="974"/>
      <c r="W342" s="974"/>
      <c r="X342" s="974"/>
      <c r="Y342" s="974"/>
      <c r="Z342" s="974"/>
      <c r="AA342" s="974"/>
      <c r="AB342" s="974"/>
      <c r="AC342" s="974"/>
      <c r="AD342" s="974"/>
      <c r="AE342" s="978">
        <f>Baza!C103</f>
        <v>0</v>
      </c>
      <c r="AF342" s="978"/>
      <c r="AG342" s="978"/>
      <c r="AH342" s="978"/>
      <c r="AI342" s="978"/>
      <c r="AJ342" s="978"/>
      <c r="AK342" s="978"/>
      <c r="AL342" s="978"/>
      <c r="AM342" s="976">
        <f t="shared" si="7"/>
        <v>0</v>
      </c>
      <c r="AN342" s="976"/>
      <c r="AO342" s="976"/>
      <c r="AP342" s="976"/>
      <c r="AQ342" s="976">
        <f t="shared" si="6"/>
        <v>0</v>
      </c>
      <c r="AR342" s="976"/>
      <c r="AS342" s="976"/>
      <c r="AT342" s="976"/>
      <c r="AZ342" s="959"/>
    </row>
    <row r="343" ht="16.5" customHeight="1" spans="1:52">
      <c r="A343" s="977">
        <v>4</v>
      </c>
      <c r="B343" s="974" t="str">
        <f>IF(AE343=0,"-",Baza!B104)</f>
        <v>-</v>
      </c>
      <c r="C343" s="974"/>
      <c r="D343" s="974"/>
      <c r="E343" s="974"/>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8">
        <f>Baza!C104</f>
        <v>0</v>
      </c>
      <c r="AF343" s="978"/>
      <c r="AG343" s="978"/>
      <c r="AH343" s="978"/>
      <c r="AI343" s="978"/>
      <c r="AJ343" s="978"/>
      <c r="AK343" s="978"/>
      <c r="AL343" s="978"/>
      <c r="AM343" s="976">
        <f t="shared" si="7"/>
        <v>0</v>
      </c>
      <c r="AN343" s="976"/>
      <c r="AO343" s="976"/>
      <c r="AP343" s="976"/>
      <c r="AQ343" s="976">
        <f t="shared" si="6"/>
        <v>0</v>
      </c>
      <c r="AR343" s="976"/>
      <c r="AS343" s="976"/>
      <c r="AT343" s="976"/>
      <c r="AZ343" s="959"/>
    </row>
    <row r="344" ht="16.5" customHeight="1" spans="1:52">
      <c r="A344" s="977">
        <v>5</v>
      </c>
      <c r="B344" s="974" t="str">
        <f>IF(AE344=0,"-",Baza!B105)</f>
        <v>-</v>
      </c>
      <c r="C344" s="974"/>
      <c r="D344" s="974"/>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8">
        <f>Baza!C105</f>
        <v>0</v>
      </c>
      <c r="AF344" s="978"/>
      <c r="AG344" s="978"/>
      <c r="AH344" s="978"/>
      <c r="AI344" s="978"/>
      <c r="AJ344" s="978"/>
      <c r="AK344" s="978"/>
      <c r="AL344" s="978"/>
      <c r="AM344" s="976">
        <f t="shared" si="7"/>
        <v>0</v>
      </c>
      <c r="AN344" s="976"/>
      <c r="AO344" s="976"/>
      <c r="AP344" s="976"/>
      <c r="AQ344" s="976">
        <f t="shared" si="6"/>
        <v>0</v>
      </c>
      <c r="AR344" s="976"/>
      <c r="AS344" s="976"/>
      <c r="AT344" s="976"/>
      <c r="AZ344" s="959"/>
    </row>
    <row r="345" ht="16.5" customHeight="1" spans="1:52">
      <c r="A345" s="979">
        <v>6</v>
      </c>
      <c r="B345" s="1011" t="s">
        <v>7614</v>
      </c>
      <c r="C345" s="1011"/>
      <c r="D345" s="1011"/>
      <c r="E345" s="1011"/>
      <c r="F345" s="1011"/>
      <c r="G345" s="1011"/>
      <c r="H345" s="1011"/>
      <c r="I345" s="1011"/>
      <c r="J345" s="1011"/>
      <c r="K345" s="1011"/>
      <c r="L345" s="1011"/>
      <c r="M345" s="1011"/>
      <c r="N345" s="1011"/>
      <c r="O345" s="1011"/>
      <c r="P345" s="1011"/>
      <c r="Q345" s="1011"/>
      <c r="R345" s="1011"/>
      <c r="S345" s="1011"/>
      <c r="T345" s="1011"/>
      <c r="U345" s="1011"/>
      <c r="V345" s="1011"/>
      <c r="W345" s="1011"/>
      <c r="X345" s="1011"/>
      <c r="Y345" s="1011"/>
      <c r="Z345" s="1011"/>
      <c r="AA345" s="1011"/>
      <c r="AB345" s="1011"/>
      <c r="AC345" s="1011"/>
      <c r="AD345" s="1011"/>
      <c r="AE345" s="980">
        <f>AE346+AE340+AE341+AE342+AE343+AE344</f>
        <v>44214</v>
      </c>
      <c r="AF345" s="980"/>
      <c r="AG345" s="980"/>
      <c r="AH345" s="980"/>
      <c r="AI345" s="980"/>
      <c r="AJ345" s="980"/>
      <c r="AK345" s="980"/>
      <c r="AL345" s="980"/>
      <c r="AM345" s="981">
        <f t="shared" si="7"/>
        <v>2</v>
      </c>
      <c r="AN345" s="981"/>
      <c r="AO345" s="981"/>
      <c r="AP345" s="981"/>
      <c r="AQ345" s="981">
        <f t="shared" si="6"/>
        <v>0.0737761951880447</v>
      </c>
      <c r="AR345" s="981"/>
      <c r="AS345" s="981"/>
      <c r="AT345" s="981"/>
      <c r="AZ345" s="959"/>
    </row>
    <row r="346" ht="16.5" customHeight="1" spans="1:52">
      <c r="A346" s="1012">
        <v>7</v>
      </c>
      <c r="B346" s="1013" t="s">
        <v>7615</v>
      </c>
      <c r="C346" s="1013"/>
      <c r="D346" s="1013"/>
      <c r="E346" s="1013"/>
      <c r="F346" s="1013"/>
      <c r="G346" s="1013"/>
      <c r="H346" s="1013"/>
      <c r="I346" s="1013"/>
      <c r="J346" s="1013"/>
      <c r="K346" s="1013"/>
      <c r="L346" s="1013"/>
      <c r="M346" s="1013"/>
      <c r="N346" s="1013"/>
      <c r="O346" s="1013"/>
      <c r="P346" s="1013"/>
      <c r="Q346" s="1013"/>
      <c r="R346" s="1013"/>
      <c r="S346" s="1013"/>
      <c r="T346" s="1013"/>
      <c r="U346" s="1013"/>
      <c r="V346" s="1013"/>
      <c r="W346" s="1013"/>
      <c r="X346" s="1013"/>
      <c r="Y346" s="1013"/>
      <c r="Z346" s="1013"/>
      <c r="AA346" s="1013"/>
      <c r="AB346" s="1013"/>
      <c r="AC346" s="1013"/>
      <c r="AD346" s="1013"/>
      <c r="AE346" s="1014">
        <f>Baza!C107</f>
        <v>22107</v>
      </c>
      <c r="AF346" s="1014"/>
      <c r="AG346" s="1014"/>
      <c r="AH346" s="1014"/>
      <c r="AI346" s="1014"/>
      <c r="AJ346" s="1014"/>
      <c r="AK346" s="1014"/>
      <c r="AL346" s="1014"/>
      <c r="AM346" s="1015">
        <f t="shared" ref="AM346" si="8">IFERROR(AE346/$AE$346,"-")</f>
        <v>1</v>
      </c>
      <c r="AN346" s="1015"/>
      <c r="AO346" s="1015"/>
      <c r="AP346" s="1015"/>
      <c r="AQ346" s="1015">
        <f t="shared" si="6"/>
        <v>0.0368880975940223</v>
      </c>
      <c r="AR346" s="1015"/>
      <c r="AS346" s="1015"/>
      <c r="AT346" s="1015"/>
      <c r="AZ346" s="959"/>
    </row>
    <row r="347" ht="16.5" customHeight="1" spans="1:52">
      <c r="A347" s="1016">
        <v>8</v>
      </c>
      <c r="B347" s="1017" t="str">
        <f>IF(AE347=0,"-",Baza!B117)</f>
        <v>Dati krediti  (AOP 051)</v>
      </c>
      <c r="C347" s="1017"/>
      <c r="D347" s="1017"/>
      <c r="E347" s="1017"/>
      <c r="F347" s="1017"/>
      <c r="G347" s="1017"/>
      <c r="H347" s="1017"/>
      <c r="I347" s="1017"/>
      <c r="J347" s="1017"/>
      <c r="K347" s="1017"/>
      <c r="L347" s="1017"/>
      <c r="M347" s="1017"/>
      <c r="N347" s="1017"/>
      <c r="O347" s="1017"/>
      <c r="P347" s="1017"/>
      <c r="Q347" s="1017"/>
      <c r="R347" s="1017"/>
      <c r="S347" s="1017"/>
      <c r="T347" s="1017"/>
      <c r="U347" s="1017"/>
      <c r="V347" s="1017"/>
      <c r="W347" s="1017"/>
      <c r="X347" s="1017"/>
      <c r="Y347" s="1017"/>
      <c r="Z347" s="1017"/>
      <c r="AA347" s="1017"/>
      <c r="AB347" s="1017"/>
      <c r="AC347" s="1017"/>
      <c r="AD347" s="1017"/>
      <c r="AE347" s="1018">
        <f>Baza!C117</f>
        <v>427682</v>
      </c>
      <c r="AF347" s="1018"/>
      <c r="AG347" s="1018"/>
      <c r="AH347" s="1018"/>
      <c r="AI347" s="1018"/>
      <c r="AJ347" s="1018"/>
      <c r="AK347" s="1018"/>
      <c r="AL347" s="1018"/>
      <c r="AM347" s="1019">
        <f>IFERROR(AE347/$AE$353,"-")</f>
        <v>0.740970075815327</v>
      </c>
      <c r="AN347" s="1019"/>
      <c r="AO347" s="1019"/>
      <c r="AP347" s="1019"/>
      <c r="AQ347" s="1019">
        <f t="shared" si="6"/>
        <v>0.713637099344401</v>
      </c>
      <c r="AR347" s="1019"/>
      <c r="AS347" s="1019"/>
      <c r="AT347" s="1019"/>
      <c r="AZ347" s="959"/>
    </row>
    <row r="348" ht="16.5" customHeight="1" spans="1:52">
      <c r="A348" s="977">
        <v>9</v>
      </c>
      <c r="B348" s="974" t="str">
        <f>IF(AE348=0,"-",Baza!B118)</f>
        <v>Ostala imovina i potraživanja, uključujući i razgraničenja (AOP 059)</v>
      </c>
      <c r="C348" s="974"/>
      <c r="D348" s="974"/>
      <c r="E348" s="974"/>
      <c r="F348" s="974"/>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8">
        <f>Baza!C118</f>
        <v>126871</v>
      </c>
      <c r="AF348" s="978"/>
      <c r="AG348" s="978"/>
      <c r="AH348" s="978"/>
      <c r="AI348" s="978"/>
      <c r="AJ348" s="978"/>
      <c r="AK348" s="978"/>
      <c r="AL348" s="978"/>
      <c r="AM348" s="1019">
        <f>IFERROR(AE348/$AE$353,"-")</f>
        <v>0.219807273836089</v>
      </c>
      <c r="AN348" s="1019"/>
      <c r="AO348" s="1019"/>
      <c r="AP348" s="1019"/>
      <c r="AQ348" s="976">
        <f t="shared" si="6"/>
        <v>0.211699001666948</v>
      </c>
      <c r="AR348" s="976"/>
      <c r="AS348" s="976"/>
      <c r="AT348" s="976"/>
      <c r="AZ348" s="959"/>
    </row>
    <row r="349" ht="16.5" customHeight="1" spans="1:52">
      <c r="A349" s="977">
        <v>10</v>
      </c>
      <c r="B349" s="974" t="str">
        <f>IF(AE349=0,"-",Baza!B119)</f>
        <v>Kupci u zemlji (AOP 047)</v>
      </c>
      <c r="C349" s="974"/>
      <c r="D349" s="974"/>
      <c r="E349" s="974"/>
      <c r="F349" s="974"/>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8">
        <f>Baza!C119</f>
        <v>20312</v>
      </c>
      <c r="AF349" s="978"/>
      <c r="AG349" s="978"/>
      <c r="AH349" s="978"/>
      <c r="AI349" s="978"/>
      <c r="AJ349" s="978"/>
      <c r="AK349" s="978"/>
      <c r="AL349" s="978"/>
      <c r="AM349" s="1019">
        <f>IFERROR(AE349/$AE$353,"-")</f>
        <v>0.0351910629391953</v>
      </c>
      <c r="AN349" s="1019"/>
      <c r="AO349" s="1019"/>
      <c r="AP349" s="1019"/>
      <c r="AQ349" s="976">
        <f t="shared" si="6"/>
        <v>0.0338929315750569</v>
      </c>
      <c r="AR349" s="976"/>
      <c r="AS349" s="976"/>
      <c r="AT349" s="976"/>
      <c r="AZ349" s="959"/>
    </row>
    <row r="350" ht="16.5" customHeight="1" spans="1:52">
      <c r="A350" s="977">
        <v>11</v>
      </c>
      <c r="B350" s="974" t="str">
        <f>IF(AE350=0,"-",Baza!B120)</f>
        <v>-</v>
      </c>
      <c r="C350" s="974"/>
      <c r="D350" s="974"/>
      <c r="E350" s="974"/>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8">
        <f>Baza!C120</f>
        <v>0</v>
      </c>
      <c r="AF350" s="978"/>
      <c r="AG350" s="978"/>
      <c r="AH350" s="978"/>
      <c r="AI350" s="978"/>
      <c r="AJ350" s="978"/>
      <c r="AK350" s="978"/>
      <c r="AL350" s="978"/>
      <c r="AM350" s="1019">
        <f>IFERROR(AE350/$AE$353,"-")</f>
        <v>0</v>
      </c>
      <c r="AN350" s="1019"/>
      <c r="AO350" s="1019"/>
      <c r="AP350" s="1019"/>
      <c r="AQ350" s="976">
        <f t="shared" si="6"/>
        <v>0</v>
      </c>
      <c r="AR350" s="976"/>
      <c r="AS350" s="976"/>
      <c r="AT350" s="976"/>
      <c r="AZ350" s="959"/>
    </row>
    <row r="351" ht="16.5" customHeight="1" spans="1:52">
      <c r="A351" s="977">
        <v>12</v>
      </c>
      <c r="B351" s="974" t="str">
        <f>IF(AE351=0,"-",Baza!B121)</f>
        <v>-</v>
      </c>
      <c r="C351" s="974"/>
      <c r="D351" s="974"/>
      <c r="E351" s="974"/>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8">
        <f>Baza!C121</f>
        <v>0</v>
      </c>
      <c r="AF351" s="978"/>
      <c r="AG351" s="978"/>
      <c r="AH351" s="978"/>
      <c r="AI351" s="978"/>
      <c r="AJ351" s="978"/>
      <c r="AK351" s="978"/>
      <c r="AL351" s="978"/>
      <c r="AM351" s="1019">
        <f>IFERROR(AE351/$AE$353,"-")</f>
        <v>0</v>
      </c>
      <c r="AN351" s="1019"/>
      <c r="AO351" s="1019"/>
      <c r="AP351" s="1019"/>
      <c r="AQ351" s="976">
        <f t="shared" si="6"/>
        <v>0</v>
      </c>
      <c r="AR351" s="976"/>
      <c r="AS351" s="976"/>
      <c r="AT351" s="976"/>
      <c r="AZ351" s="959"/>
    </row>
    <row r="352" ht="16.5" customHeight="1" spans="1:52">
      <c r="A352" s="1020">
        <v>13</v>
      </c>
      <c r="B352" s="1021" t="s">
        <v>7616</v>
      </c>
      <c r="C352" s="1021"/>
      <c r="D352" s="1021"/>
      <c r="E352" s="1021"/>
      <c r="F352" s="1021"/>
      <c r="G352" s="1021"/>
      <c r="H352" s="1021"/>
      <c r="I352" s="1021"/>
      <c r="J352" s="1021"/>
      <c r="K352" s="1021"/>
      <c r="L352" s="1021"/>
      <c r="M352" s="1021"/>
      <c r="N352" s="1021"/>
      <c r="O352" s="1021"/>
      <c r="P352" s="1021"/>
      <c r="Q352" s="1021"/>
      <c r="R352" s="1021"/>
      <c r="S352" s="1021"/>
      <c r="T352" s="1021"/>
      <c r="U352" s="1021"/>
      <c r="V352" s="1021"/>
      <c r="W352" s="1021"/>
      <c r="X352" s="1021"/>
      <c r="Y352" s="1021"/>
      <c r="Z352" s="1021"/>
      <c r="AA352" s="1021"/>
      <c r="AB352" s="1021"/>
      <c r="AC352" s="1021"/>
      <c r="AD352" s="1021"/>
      <c r="AE352" s="1014">
        <f>AE353-AE347-AE348-AE349-AE350-AE351</f>
        <v>2327</v>
      </c>
      <c r="AF352" s="1014"/>
      <c r="AG352" s="1014"/>
      <c r="AH352" s="1014"/>
      <c r="AI352" s="1014"/>
      <c r="AJ352" s="1014"/>
      <c r="AK352" s="1014"/>
      <c r="AL352" s="1014"/>
      <c r="AM352" s="1015">
        <f t="shared" ref="AM352:AM353" si="9">IFERROR(AE352/$AE$353,"-")</f>
        <v>0.0040315874093889</v>
      </c>
      <c r="AN352" s="1015"/>
      <c r="AO352" s="1015"/>
      <c r="AP352" s="1015"/>
      <c r="AQ352" s="1015">
        <f t="shared" si="6"/>
        <v>0.00388286981957253</v>
      </c>
      <c r="AR352" s="1015"/>
      <c r="AS352" s="1015"/>
      <c r="AT352" s="1015"/>
      <c r="AZ352" s="959"/>
    </row>
    <row r="353" ht="16.5" customHeight="1" spans="1:52">
      <c r="A353" s="1022">
        <v>14</v>
      </c>
      <c r="B353" s="1023" t="s">
        <v>7617</v>
      </c>
      <c r="C353" s="1023"/>
      <c r="D353" s="1023"/>
      <c r="E353" s="1023"/>
      <c r="F353" s="1023"/>
      <c r="G353" s="1023"/>
      <c r="H353" s="1023"/>
      <c r="I353" s="1023"/>
      <c r="J353" s="1023"/>
      <c r="K353" s="1023"/>
      <c r="L353" s="1023"/>
      <c r="M353" s="1023"/>
      <c r="N353" s="1023"/>
      <c r="O353" s="1023"/>
      <c r="P353" s="1023"/>
      <c r="Q353" s="1023"/>
      <c r="R353" s="1023"/>
      <c r="S353" s="1023"/>
      <c r="T353" s="1023"/>
      <c r="U353" s="1023"/>
      <c r="V353" s="1023"/>
      <c r="W353" s="1023"/>
      <c r="X353" s="1023"/>
      <c r="Y353" s="1023"/>
      <c r="Z353" s="1023"/>
      <c r="AA353" s="1023"/>
      <c r="AB353" s="1023"/>
      <c r="AC353" s="1023"/>
      <c r="AD353" s="1023"/>
      <c r="AE353" s="1014">
        <f>B_Stanja!AI59</f>
        <v>577192</v>
      </c>
      <c r="AF353" s="1014"/>
      <c r="AG353" s="1014"/>
      <c r="AH353" s="1014"/>
      <c r="AI353" s="1014"/>
      <c r="AJ353" s="1014"/>
      <c r="AK353" s="1014"/>
      <c r="AL353" s="1014"/>
      <c r="AM353" s="1015">
        <f t="shared" si="9"/>
        <v>1</v>
      </c>
      <c r="AN353" s="1015"/>
      <c r="AO353" s="1015"/>
      <c r="AP353" s="1015"/>
      <c r="AQ353" s="1015">
        <f t="shared" si="6"/>
        <v>0.963111902405978</v>
      </c>
      <c r="AR353" s="1015"/>
      <c r="AS353" s="1015"/>
      <c r="AT353" s="1015"/>
      <c r="AZ353" s="959"/>
    </row>
    <row r="354" ht="16.5" customHeight="1" spans="1:52">
      <c r="A354" s="1024">
        <v>15</v>
      </c>
      <c r="B354" s="1025" t="s">
        <v>7618</v>
      </c>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c r="Z354" s="1025"/>
      <c r="AA354" s="1025"/>
      <c r="AB354" s="1025"/>
      <c r="AC354" s="1025"/>
      <c r="AD354" s="1025"/>
      <c r="AE354" s="1026">
        <f>B_Stanja!AI83</f>
        <v>599299</v>
      </c>
      <c r="AF354" s="1026"/>
      <c r="AG354" s="1026"/>
      <c r="AH354" s="1026"/>
      <c r="AI354" s="1026"/>
      <c r="AJ354" s="1026"/>
      <c r="AK354" s="1026"/>
      <c r="AL354" s="1026"/>
      <c r="AM354" s="1027"/>
      <c r="AN354" s="1027"/>
      <c r="AO354" s="1027"/>
      <c r="AP354" s="1027"/>
      <c r="AQ354" s="1027">
        <f t="shared" si="6"/>
        <v>1</v>
      </c>
      <c r="AR354" s="1027"/>
      <c r="AS354" s="1027"/>
      <c r="AT354" s="1027"/>
    </row>
    <row r="355" ht="15.75" customHeight="1" spans="1:52">
      <c r="AE355" s="1028"/>
      <c r="AF355" s="1028"/>
      <c r="AG355" s="1028"/>
      <c r="AH355" s="1028"/>
      <c r="AI355" s="1028"/>
      <c r="AJ355" s="1028"/>
      <c r="AK355" s="1028"/>
      <c r="AL355" s="1028"/>
    </row>
    <row r="356" ht="17.25" customHeight="1" spans="1:52">
      <c r="A356" s="907" t="str">
        <f ca="1">"Grafički prikaz strukture AKTIVE po veličini na dan "&amp;PeriodDo</f>
        <v>Grafički prikaz strukture AKTIVE po veličini na dan 31.12.2025</v>
      </c>
    </row>
    <row r="357" ht="17.25" customHeight="1"/>
    <row r="358" ht="17.25" customHeight="1"/>
    <row r="359" ht="17.25" customHeight="1"/>
    <row r="360" ht="17.25" customHeight="1" spans="1:52">
      <c r="AB360" t="str">
        <f t="shared" ref="AB360:AB365" si="10">B340</f>
        <v>Transportna sredstva (AOP 006)</v>
      </c>
      <c r="AC360" s="959">
        <f t="shared" ref="AC360:AC365" si="11">AE340</f>
        <v>22107</v>
      </c>
    </row>
    <row r="361" ht="17.25" customHeight="1" spans="1:52">
      <c r="AB361" t="str">
        <f t="shared" si="10"/>
        <v>-</v>
      </c>
      <c r="AC361" s="959">
        <f t="shared" si="11"/>
        <v>0</v>
      </c>
    </row>
    <row r="362" ht="17.25" customHeight="1" spans="1:52">
      <c r="AB362" t="str">
        <f t="shared" si="10"/>
        <v>-</v>
      </c>
      <c r="AC362" s="959">
        <f t="shared" si="11"/>
        <v>0</v>
      </c>
    </row>
    <row r="363" ht="17.25" customHeight="1" spans="1:52">
      <c r="AB363" t="str">
        <f t="shared" si="10"/>
        <v>-</v>
      </c>
      <c r="AC363" s="959">
        <f t="shared" si="11"/>
        <v>0</v>
      </c>
    </row>
    <row r="364" ht="17.25" customHeight="1" spans="1:52">
      <c r="AB364" t="str">
        <f t="shared" si="10"/>
        <v>-</v>
      </c>
      <c r="AC364" s="959">
        <f t="shared" si="11"/>
        <v>0</v>
      </c>
    </row>
    <row r="365" ht="17.25" customHeight="1" spans="1:52">
      <c r="AB365" t="str">
        <f t="shared" si="10"/>
        <v>Ostala dugoročna imovina</v>
      </c>
      <c r="AC365" s="959">
        <f t="shared" si="11"/>
        <v>44214</v>
      </c>
    </row>
    <row r="366" ht="17.25" customHeight="1"/>
    <row r="367" ht="17.25" customHeight="1" spans="1:52">
      <c r="AC367" s="959"/>
    </row>
    <row r="368" ht="17.25" customHeight="1" spans="1:52">
      <c r="AC368" s="959"/>
    </row>
    <row r="369" ht="17.25" customHeight="1" spans="28:29">
      <c r="AC369" s="959"/>
    </row>
    <row r="370" ht="17.25" customHeight="1" spans="28:29">
      <c r="AC370" s="959"/>
    </row>
    <row r="371" ht="17.25" customHeight="1" spans="28:29">
      <c r="AB371" t="str">
        <f>B347</f>
        <v>Dati krediti  (AOP 051)</v>
      </c>
      <c r="AC371" s="959">
        <f>AE347</f>
        <v>427682</v>
      </c>
    </row>
    <row r="372" ht="17.25" customHeight="1" spans="28:29">
      <c r="AB372" t="str">
        <f>B348</f>
        <v>Ostala imovina i potraživanja, uključujući i razgraničenja (AOP 059)</v>
      </c>
      <c r="AC372" s="959">
        <f>AE348</f>
        <v>126871</v>
      </c>
    </row>
    <row r="373" ht="17.25" customHeight="1" spans="28:29">
      <c r="AB373" t="str">
        <f>B349</f>
        <v>Kupci u zemlji (AOP 047)</v>
      </c>
      <c r="AC373" s="959">
        <f>AE349</f>
        <v>20312</v>
      </c>
    </row>
    <row r="374" ht="17.25" customHeight="1" spans="28:29">
      <c r="AB374" t="str">
        <f>B350</f>
        <v>-</v>
      </c>
      <c r="AC374" s="959">
        <f>AE350</f>
        <v>0</v>
      </c>
    </row>
    <row r="375" ht="17.25" customHeight="1" spans="28:29">
      <c r="AB375" t="str">
        <f>B351</f>
        <v>-</v>
      </c>
      <c r="AC375" s="959">
        <f>AE351</f>
        <v>0</v>
      </c>
    </row>
    <row r="376" ht="17.25" customHeight="1" spans="28:29">
      <c r="AB376" t="e">
        <f>#REF!</f>
        <v>#REF!</v>
      </c>
      <c r="AC376" s="959" t="e">
        <f>#REF!</f>
        <v>#REF!</v>
      </c>
    </row>
    <row r="377" ht="17.25" customHeight="1"/>
    <row r="378" ht="17.25" customHeight="1"/>
    <row r="379" ht="17.25" customHeight="1"/>
    <row r="380" ht="17.25" customHeight="1"/>
    <row r="381" ht="17.25" customHeight="1"/>
    <row r="382" ht="17.25" customHeight="1"/>
    <row r="383" ht="17.25" customHeight="1"/>
    <row r="384" ht="17.25" customHeight="1"/>
    <row r="385" ht="17.25" customHeight="1"/>
    <row r="386" ht="22.5" customHeight="1"/>
    <row r="387" ht="17.25" customHeight="1"/>
    <row r="388" ht="15" spans="1:51">
      <c r="A388" s="905"/>
      <c r="B388" s="905" t="str">
        <f ca="1">" - Analiza struktura sredstava na dan "&amp;PeriodDo&amp;" i "&amp;PeriodOd&amp;". godine."</f>
        <v> - Analiza struktura sredstava na dan 31.12.2025 i 01.01.2025. godine.</v>
      </c>
      <c r="C388" s="905"/>
    </row>
    <row r="389" ht="24" customHeight="1" spans="1:51">
      <c r="A389" s="908"/>
      <c r="B389" s="570" t="str">
        <f ca="1">"Pregled raspoloživih sredstava u aktivi na dan "&amp;PeriodDo&amp;" i "&amp;PeriodOd&amp;". godine."</f>
        <v>Pregled raspoloživih sredstava u aktivi na dan 31.12.2025 i 01.01.2025. godine.</v>
      </c>
      <c r="C389" s="908"/>
      <c r="D389" s="908"/>
      <c r="E389" s="908"/>
      <c r="F389" s="908"/>
      <c r="G389" s="908"/>
      <c r="H389" s="908"/>
      <c r="I389" s="908"/>
      <c r="J389" s="908"/>
      <c r="K389" s="908"/>
      <c r="L389" s="908"/>
    </row>
    <row r="390" ht="18" customHeight="1" spans="1:51">
      <c r="A390" s="909" t="s">
        <v>5787</v>
      </c>
      <c r="B390" s="910"/>
      <c r="C390" s="910"/>
      <c r="D390" s="910"/>
      <c r="E390" s="910"/>
      <c r="F390" s="910"/>
      <c r="G390" s="910"/>
      <c r="H390" s="910"/>
      <c r="I390" s="910"/>
      <c r="J390" s="910"/>
      <c r="K390" s="910"/>
      <c r="L390" s="910"/>
      <c r="M390" s="910"/>
      <c r="N390" s="910"/>
      <c r="O390" s="910"/>
      <c r="P390" s="910"/>
      <c r="Q390" s="910"/>
      <c r="R390" s="991" t="str">
        <f ca="1">PeriodDo</f>
        <v>31.12.2025</v>
      </c>
      <c r="S390" s="992"/>
      <c r="T390" s="992"/>
      <c r="U390" s="992"/>
      <c r="V390" s="992"/>
      <c r="W390" s="992"/>
      <c r="X390" s="992"/>
      <c r="Y390" s="992"/>
      <c r="Z390" s="992"/>
      <c r="AA390" s="992"/>
      <c r="AB390" s="992"/>
      <c r="AC390" s="993"/>
      <c r="AD390" s="911" t="str">
        <f>PeriodOd</f>
        <v>01.01.2025</v>
      </c>
      <c r="AE390" s="911"/>
      <c r="AF390" s="911"/>
      <c r="AG390" s="911"/>
      <c r="AH390" s="911"/>
      <c r="AI390" s="911"/>
      <c r="AJ390" s="911"/>
      <c r="AK390" s="911"/>
      <c r="AL390" s="911"/>
      <c r="AM390" s="911"/>
      <c r="AN390" s="911"/>
      <c r="AO390" s="911"/>
      <c r="AP390" s="912" t="s">
        <v>7461</v>
      </c>
      <c r="AQ390" s="912"/>
      <c r="AR390" s="912"/>
      <c r="AS390" s="912"/>
      <c r="AT390" s="913"/>
    </row>
    <row r="391" ht="18" customHeight="1" spans="1:51">
      <c r="A391" s="914" t="s">
        <v>5791</v>
      </c>
      <c r="B391" s="915" t="s">
        <v>4043</v>
      </c>
      <c r="C391" s="915"/>
      <c r="D391" s="915"/>
      <c r="E391" s="915"/>
      <c r="F391" s="915"/>
      <c r="G391" s="915"/>
      <c r="H391" s="915"/>
      <c r="I391" s="915"/>
      <c r="J391" s="915"/>
      <c r="K391" s="915"/>
      <c r="L391" s="915"/>
      <c r="M391" s="915"/>
      <c r="N391" s="915"/>
      <c r="O391" s="915"/>
      <c r="P391" s="915"/>
      <c r="Q391" s="915"/>
      <c r="R391" s="916" t="s">
        <v>7462</v>
      </c>
      <c r="S391" s="916"/>
      <c r="T391" s="916"/>
      <c r="U391" s="916"/>
      <c r="V391" s="916"/>
      <c r="W391" s="916"/>
      <c r="X391" s="916"/>
      <c r="Y391" s="916"/>
      <c r="Z391" s="917" t="s">
        <v>20</v>
      </c>
      <c r="AA391" s="917"/>
      <c r="AB391" s="917"/>
      <c r="AC391" s="917"/>
      <c r="AD391" s="916" t="s">
        <v>7462</v>
      </c>
      <c r="AE391" s="916"/>
      <c r="AF391" s="916"/>
      <c r="AG391" s="916"/>
      <c r="AH391" s="916"/>
      <c r="AI391" s="916"/>
      <c r="AJ391" s="916"/>
      <c r="AK391" s="916"/>
      <c r="AL391" s="917" t="s">
        <v>20</v>
      </c>
      <c r="AM391" s="917"/>
      <c r="AN391" s="917"/>
      <c r="AO391" s="917"/>
      <c r="AP391" s="918" t="s">
        <v>7599</v>
      </c>
      <c r="AQ391" s="918"/>
      <c r="AR391" s="918"/>
      <c r="AS391" s="918"/>
      <c r="AT391" s="919"/>
    </row>
    <row r="392" spans="1:51">
      <c r="A392" s="920">
        <v>0</v>
      </c>
      <c r="B392" s="921">
        <v>1</v>
      </c>
      <c r="C392" s="921"/>
      <c r="D392" s="921"/>
      <c r="E392" s="921"/>
      <c r="F392" s="921"/>
      <c r="G392" s="921"/>
      <c r="H392" s="921"/>
      <c r="I392" s="921"/>
      <c r="J392" s="921"/>
      <c r="K392" s="921"/>
      <c r="L392" s="921"/>
      <c r="M392" s="921"/>
      <c r="N392" s="921"/>
      <c r="O392" s="921"/>
      <c r="P392" s="921"/>
      <c r="Q392" s="921"/>
      <c r="R392" s="922">
        <v>2</v>
      </c>
      <c r="S392" s="922"/>
      <c r="T392" s="922"/>
      <c r="U392" s="922"/>
      <c r="V392" s="922"/>
      <c r="W392" s="922"/>
      <c r="X392" s="922"/>
      <c r="Y392" s="922"/>
      <c r="Z392" s="922">
        <v>3</v>
      </c>
      <c r="AA392" s="922"/>
      <c r="AB392" s="922"/>
      <c r="AC392" s="922"/>
      <c r="AD392" s="922">
        <v>4</v>
      </c>
      <c r="AE392" s="922"/>
      <c r="AF392" s="922"/>
      <c r="AG392" s="922"/>
      <c r="AH392" s="922"/>
      <c r="AI392" s="922"/>
      <c r="AJ392" s="922"/>
      <c r="AK392" s="922"/>
      <c r="AL392" s="922">
        <v>5</v>
      </c>
      <c r="AM392" s="922"/>
      <c r="AN392" s="922"/>
      <c r="AO392" s="922"/>
      <c r="AP392" s="922">
        <v>6</v>
      </c>
      <c r="AQ392" s="922"/>
      <c r="AR392" s="922"/>
      <c r="AS392" s="922"/>
      <c r="AT392" s="923"/>
    </row>
    <row r="393" ht="18" customHeight="1" spans="1:51">
      <c r="A393" s="1029">
        <v>1</v>
      </c>
      <c r="B393" s="1030" t="s">
        <v>5330</v>
      </c>
      <c r="C393" s="1031"/>
      <c r="D393" s="1031"/>
      <c r="E393" s="1031"/>
      <c r="F393" s="1031"/>
      <c r="G393" s="1031"/>
      <c r="H393" s="1031"/>
      <c r="I393" s="1031"/>
      <c r="J393" s="1031"/>
      <c r="K393" s="1032"/>
      <c r="L393" s="1032"/>
      <c r="M393" s="1032"/>
      <c r="N393" s="1032"/>
      <c r="O393" s="1032"/>
      <c r="P393" s="1032"/>
      <c r="Q393" s="1033"/>
      <c r="R393" s="950">
        <f>B_Stanja!AI21</f>
        <v>22107</v>
      </c>
      <c r="S393" s="950"/>
      <c r="T393" s="950"/>
      <c r="U393" s="950"/>
      <c r="V393" s="950"/>
      <c r="W393" s="950"/>
      <c r="X393" s="950"/>
      <c r="Y393" s="950"/>
      <c r="Z393" s="1034">
        <f t="shared" ref="Z393:Z404" si="12">IFERROR(R393/$R$404,"-")</f>
        <v>0.0368880975940223</v>
      </c>
      <c r="AA393" s="1035"/>
      <c r="AB393" s="1035"/>
      <c r="AC393" s="1036"/>
      <c r="AD393" s="1037">
        <f>B_Stanja!AP21</f>
        <v>151656</v>
      </c>
      <c r="AE393" s="1038"/>
      <c r="AF393" s="1038"/>
      <c r="AG393" s="1038"/>
      <c r="AH393" s="1038"/>
      <c r="AI393" s="1038"/>
      <c r="AJ393" s="1038"/>
      <c r="AK393" s="1039"/>
      <c r="AL393" s="1040">
        <f t="shared" ref="AL393:AL404" si="13">IFERROR(AD393/$AD$404,"-")</f>
        <v>0.197242486158456</v>
      </c>
      <c r="AM393" s="1041"/>
      <c r="AN393" s="1041"/>
      <c r="AO393" s="1042"/>
      <c r="AP393" s="1043">
        <f>IF(R393/(AD393+0.00001)*100&gt;10000,0,R393/(AD393+0.00001)*100)</f>
        <v>14.5770691555509</v>
      </c>
      <c r="AQ393" s="1043"/>
      <c r="AR393" s="1043"/>
      <c r="AS393" s="1043"/>
      <c r="AT393" s="1044"/>
      <c r="AU393" s="956" t="str">
        <f>IF((R393-AD393)&gt;0,"POVEĆANJE","SMANJENJE")</f>
        <v>SMANJENJE</v>
      </c>
      <c r="AV393" s="957" t="s">
        <v>7295</v>
      </c>
      <c r="AW393" s="957"/>
      <c r="AX393" s="957"/>
      <c r="AY393" s="957"/>
    </row>
    <row r="394" ht="18" customHeight="1" spans="1:51">
      <c r="A394" s="1045"/>
      <c r="B394" s="1046" t="s">
        <v>2876</v>
      </c>
      <c r="C394" s="926"/>
      <c r="D394" s="926"/>
      <c r="E394" s="926"/>
      <c r="F394" s="926"/>
      <c r="G394" s="926"/>
      <c r="H394" s="926"/>
      <c r="I394" s="926"/>
      <c r="J394" s="926"/>
      <c r="K394" s="1047"/>
      <c r="L394" s="1047"/>
      <c r="M394" s="1047"/>
      <c r="N394" s="1047"/>
      <c r="O394" s="1047"/>
      <c r="P394" s="1047"/>
      <c r="Q394" s="1048"/>
      <c r="R394" s="930">
        <f>B_Stanja!AI22</f>
        <v>22107</v>
      </c>
      <c r="S394" s="930"/>
      <c r="T394" s="930"/>
      <c r="U394" s="930"/>
      <c r="V394" s="930"/>
      <c r="W394" s="930"/>
      <c r="X394" s="930"/>
      <c r="Y394" s="930"/>
      <c r="Z394" s="1034">
        <f t="shared" si="12"/>
        <v>0.0368880975940223</v>
      </c>
      <c r="AA394" s="1035"/>
      <c r="AB394" s="1035"/>
      <c r="AC394" s="1036"/>
      <c r="AD394" s="1049">
        <f>B_Stanja!AP22</f>
        <v>26656</v>
      </c>
      <c r="AE394" s="1050"/>
      <c r="AF394" s="1050"/>
      <c r="AG394" s="1050"/>
      <c r="AH394" s="1050"/>
      <c r="AI394" s="1050"/>
      <c r="AJ394" s="1050"/>
      <c r="AK394" s="1051"/>
      <c r="AL394" s="1040">
        <f t="shared" si="13"/>
        <v>0.034668563795958</v>
      </c>
      <c r="AM394" s="1041"/>
      <c r="AN394" s="1041"/>
      <c r="AO394" s="1042"/>
      <c r="AP394" s="933">
        <f>IF(R394/(AD394+0.00001)*100&gt;10000,0,R394/(AD394+0.00001)*100)</f>
        <v>82.9344237383949</v>
      </c>
      <c r="AQ394" s="933"/>
      <c r="AR394" s="933"/>
      <c r="AS394" s="933"/>
      <c r="AT394" s="934"/>
      <c r="AU394" s="958">
        <f>ROUND(IF(AP393&gt;100,AP393-100,100-AP393),1)</f>
        <v>85.4</v>
      </c>
      <c r="AV394" s="958"/>
      <c r="AW394" s="958"/>
      <c r="AX394" s="958"/>
      <c r="AY394" s="958"/>
    </row>
    <row r="395" ht="18" customHeight="1" spans="1:51">
      <c r="A395" s="1052"/>
      <c r="B395" s="1053" t="s">
        <v>2879</v>
      </c>
      <c r="C395" s="937"/>
      <c r="D395" s="937"/>
      <c r="E395" s="937"/>
      <c r="F395" s="937"/>
      <c r="G395" s="937"/>
      <c r="H395" s="937"/>
      <c r="I395" s="937"/>
      <c r="J395" s="937"/>
      <c r="K395" s="1054"/>
      <c r="L395" s="1054"/>
      <c r="M395" s="1054"/>
      <c r="N395" s="1054"/>
      <c r="O395" s="1054"/>
      <c r="P395" s="1054"/>
      <c r="Q395" s="1055"/>
      <c r="R395" s="941">
        <f>B_Stanja!AI29</f>
        <v>0</v>
      </c>
      <c r="S395" s="941"/>
      <c r="T395" s="941"/>
      <c r="U395" s="941"/>
      <c r="V395" s="941"/>
      <c r="W395" s="941"/>
      <c r="X395" s="941"/>
      <c r="Y395" s="941"/>
      <c r="Z395" s="1056">
        <f t="shared" si="12"/>
        <v>0</v>
      </c>
      <c r="AA395" s="1057"/>
      <c r="AB395" s="1057"/>
      <c r="AC395" s="1058"/>
      <c r="AD395" s="1059">
        <f>B_Stanja!AP29</f>
        <v>0</v>
      </c>
      <c r="AE395" s="1060"/>
      <c r="AF395" s="1060"/>
      <c r="AG395" s="1060"/>
      <c r="AH395" s="1060"/>
      <c r="AI395" s="1060"/>
      <c r="AJ395" s="1060"/>
      <c r="AK395" s="1061"/>
      <c r="AL395" s="1062">
        <f t="shared" si="13"/>
        <v>0</v>
      </c>
      <c r="AM395" s="1063"/>
      <c r="AN395" s="1063"/>
      <c r="AO395" s="1064"/>
      <c r="AP395" s="943">
        <f>IF(R395/(AD395+0.00001)*100&gt;10000,0,R395/(AD395+0.00001)*100)</f>
        <v>0</v>
      </c>
      <c r="AQ395" s="943"/>
      <c r="AR395" s="943"/>
      <c r="AS395" s="943"/>
      <c r="AT395" s="944"/>
      <c r="AU395" s="958">
        <f>IF(R393-AD393&lt;0,0,R393-AD393)</f>
        <v>0</v>
      </c>
    </row>
    <row r="396" ht="18" customHeight="1" spans="1:51">
      <c r="A396" s="1052"/>
      <c r="B396" s="1065" t="s">
        <v>2880</v>
      </c>
      <c r="C396" s="937"/>
      <c r="D396" s="937"/>
      <c r="E396" s="937"/>
      <c r="F396" s="937"/>
      <c r="G396" s="937"/>
      <c r="H396" s="937"/>
      <c r="I396" s="937"/>
      <c r="J396" s="937"/>
      <c r="K396" s="1054"/>
      <c r="L396" s="1054"/>
      <c r="M396" s="1054"/>
      <c r="N396" s="1054"/>
      <c r="O396" s="1054"/>
      <c r="P396" s="1054"/>
      <c r="Q396" s="1055"/>
      <c r="R396" s="941">
        <f>B_Stanja!AI35</f>
        <v>0</v>
      </c>
      <c r="S396" s="941"/>
      <c r="T396" s="941"/>
      <c r="U396" s="941"/>
      <c r="V396" s="941"/>
      <c r="W396" s="941"/>
      <c r="X396" s="941"/>
      <c r="Y396" s="941"/>
      <c r="Z396" s="1056">
        <f t="shared" si="12"/>
        <v>0</v>
      </c>
      <c r="AA396" s="1057"/>
      <c r="AB396" s="1057"/>
      <c r="AC396" s="1058"/>
      <c r="AD396" s="1059">
        <f>B_Stanja!AP35</f>
        <v>0</v>
      </c>
      <c r="AE396" s="1060"/>
      <c r="AF396" s="1060"/>
      <c r="AG396" s="1060"/>
      <c r="AH396" s="1060"/>
      <c r="AI396" s="1060"/>
      <c r="AJ396" s="1060"/>
      <c r="AK396" s="1061"/>
      <c r="AL396" s="1062">
        <f t="shared" si="13"/>
        <v>0</v>
      </c>
      <c r="AM396" s="1063"/>
      <c r="AN396" s="1063"/>
      <c r="AO396" s="1064"/>
      <c r="AP396" s="943">
        <f>IF(R396/(AD396+0.00001)*100&gt;10000,0,R396/(AD396+0.00001)*100)</f>
        <v>0</v>
      </c>
      <c r="AQ396" s="943"/>
      <c r="AR396" s="943"/>
      <c r="AS396" s="943"/>
      <c r="AT396" s="944"/>
      <c r="AU396" s="958">
        <f>IF(AD393-R393&lt;0,0,AD393-R393)</f>
        <v>129549</v>
      </c>
    </row>
    <row r="397" ht="18" customHeight="1" spans="1:51">
      <c r="A397" s="1066"/>
      <c r="B397" s="1067" t="s">
        <v>7614</v>
      </c>
      <c r="C397" s="1068"/>
      <c r="D397" s="1068"/>
      <c r="E397" s="1068"/>
      <c r="F397" s="1068"/>
      <c r="G397" s="1068"/>
      <c r="H397" s="1068"/>
      <c r="I397" s="1068"/>
      <c r="J397" s="1068"/>
      <c r="K397" s="1069"/>
      <c r="L397" s="1069"/>
      <c r="M397" s="1069"/>
      <c r="N397" s="1069"/>
      <c r="O397" s="1069"/>
      <c r="P397" s="1069"/>
      <c r="Q397" s="1070"/>
      <c r="R397" s="1071">
        <f>R393-R394-R395-R396</f>
        <v>0</v>
      </c>
      <c r="S397" s="1071"/>
      <c r="T397" s="1071"/>
      <c r="U397" s="1071"/>
      <c r="V397" s="1071"/>
      <c r="W397" s="1071"/>
      <c r="X397" s="1071"/>
      <c r="Y397" s="1071"/>
      <c r="Z397" s="1072">
        <f t="shared" si="12"/>
        <v>0</v>
      </c>
      <c r="AA397" s="1073"/>
      <c r="AB397" s="1073"/>
      <c r="AC397" s="1074"/>
      <c r="AD397" s="1075">
        <f>AD393-AD394-AD395-AD396</f>
        <v>125000</v>
      </c>
      <c r="AE397" s="1076"/>
      <c r="AF397" s="1076"/>
      <c r="AG397" s="1076"/>
      <c r="AH397" s="1076"/>
      <c r="AI397" s="1076"/>
      <c r="AJ397" s="1076"/>
      <c r="AK397" s="1077"/>
      <c r="AL397" s="1078">
        <f t="shared" si="13"/>
        <v>0.162573922362498</v>
      </c>
      <c r="AM397" s="1079"/>
      <c r="AN397" s="1079"/>
      <c r="AO397" s="1080"/>
      <c r="AP397" s="1081">
        <f>IF(R397/(AD397+0.00001)*100&gt;10000,0,R397/(AD397+0.00001)*100)</f>
        <v>0</v>
      </c>
      <c r="AQ397" s="1081"/>
      <c r="AR397" s="1081"/>
      <c r="AS397" s="1081"/>
      <c r="AT397" s="1082"/>
    </row>
    <row r="398" ht="18" customHeight="1" spans="1:51">
      <c r="A398" s="945">
        <v>2</v>
      </c>
      <c r="B398" s="946" t="s">
        <v>7619</v>
      </c>
      <c r="C398" s="947"/>
      <c r="D398" s="947"/>
      <c r="E398" s="947"/>
      <c r="F398" s="947"/>
      <c r="G398" s="947"/>
      <c r="H398" s="947"/>
      <c r="I398" s="947"/>
      <c r="J398" s="947"/>
      <c r="K398" s="948"/>
      <c r="L398" s="948"/>
      <c r="M398" s="948"/>
      <c r="N398" s="948"/>
      <c r="O398" s="948"/>
      <c r="P398" s="1032"/>
      <c r="Q398" s="1033"/>
      <c r="R398" s="950">
        <f>B_Stanja!AI59</f>
        <v>577192</v>
      </c>
      <c r="S398" s="950"/>
      <c r="T398" s="950"/>
      <c r="U398" s="950"/>
      <c r="V398" s="950"/>
      <c r="W398" s="950"/>
      <c r="X398" s="950"/>
      <c r="Y398" s="950"/>
      <c r="Z398" s="1034">
        <f t="shared" si="12"/>
        <v>0.963111902405978</v>
      </c>
      <c r="AA398" s="1035"/>
      <c r="AB398" s="1035"/>
      <c r="AC398" s="1036"/>
      <c r="AD398" s="1037">
        <f>B_Stanja!AP59</f>
        <v>617225</v>
      </c>
      <c r="AE398" s="1038"/>
      <c r="AF398" s="1038"/>
      <c r="AG398" s="1038"/>
      <c r="AH398" s="1038"/>
      <c r="AI398" s="1038"/>
      <c r="AJ398" s="1038"/>
      <c r="AK398" s="1039"/>
      <c r="AL398" s="1040">
        <f t="shared" si="13"/>
        <v>0.802757513841544</v>
      </c>
      <c r="AM398" s="1041"/>
      <c r="AN398" s="1041"/>
      <c r="AO398" s="1042"/>
      <c r="AP398" s="1043">
        <f t="shared" ref="AP398:AP404" si="14">IF(R398/(AD398+0.00001)*100&gt;10000,0,R398/(AD398+0.00001)*100)</f>
        <v>93.5140345887883</v>
      </c>
      <c r="AQ398" s="1043"/>
      <c r="AR398" s="1043"/>
      <c r="AS398" s="1043"/>
      <c r="AT398" s="1044"/>
    </row>
    <row r="399" ht="18" customHeight="1" spans="1:51">
      <c r="A399" s="1045"/>
      <c r="B399" s="1083" t="s">
        <v>184</v>
      </c>
      <c r="C399" s="926"/>
      <c r="D399" s="926"/>
      <c r="E399" s="926"/>
      <c r="F399" s="926"/>
      <c r="G399" s="926"/>
      <c r="H399" s="926"/>
      <c r="I399" s="926"/>
      <c r="J399" s="926"/>
      <c r="K399" s="1047"/>
      <c r="L399" s="1047"/>
      <c r="M399" s="1047"/>
      <c r="N399" s="1047"/>
      <c r="O399" s="1047"/>
      <c r="P399" s="1047"/>
      <c r="Q399" s="1048"/>
      <c r="R399" s="930">
        <f>B_Stanja!AI60</f>
        <v>0</v>
      </c>
      <c r="S399" s="930"/>
      <c r="T399" s="930"/>
      <c r="U399" s="930"/>
      <c r="V399" s="930"/>
      <c r="W399" s="930"/>
      <c r="X399" s="930"/>
      <c r="Y399" s="930"/>
      <c r="Z399" s="1034">
        <f t="shared" si="12"/>
        <v>0</v>
      </c>
      <c r="AA399" s="1035"/>
      <c r="AB399" s="1035"/>
      <c r="AC399" s="1036"/>
      <c r="AD399" s="1049">
        <f>B_Stanja!AP60</f>
        <v>0</v>
      </c>
      <c r="AE399" s="1050"/>
      <c r="AF399" s="1050"/>
      <c r="AG399" s="1050"/>
      <c r="AH399" s="1050"/>
      <c r="AI399" s="1050"/>
      <c r="AJ399" s="1050"/>
      <c r="AK399" s="1051"/>
      <c r="AL399" s="1040">
        <f t="shared" si="13"/>
        <v>0</v>
      </c>
      <c r="AM399" s="1041"/>
      <c r="AN399" s="1041"/>
      <c r="AO399" s="1042"/>
      <c r="AP399" s="933">
        <f t="shared" si="14"/>
        <v>0</v>
      </c>
      <c r="AQ399" s="933"/>
      <c r="AR399" s="933"/>
      <c r="AS399" s="933"/>
      <c r="AT399" s="934"/>
      <c r="AU399" s="956" t="str">
        <f>IF(AP399&gt;100,"POVEĆANJE","SMANJENJE")</f>
        <v>SMANJENJE</v>
      </c>
      <c r="AV399" t="s">
        <v>4636</v>
      </c>
    </row>
    <row r="400" ht="18" customHeight="1" spans="1:51">
      <c r="A400" s="1052"/>
      <c r="B400" s="1053" t="s">
        <v>7620</v>
      </c>
      <c r="C400" s="937"/>
      <c r="D400" s="937"/>
      <c r="E400" s="937"/>
      <c r="F400" s="937"/>
      <c r="G400" s="937"/>
      <c r="H400" s="937"/>
      <c r="I400" s="937"/>
      <c r="J400" s="937"/>
      <c r="K400" s="1054"/>
      <c r="L400" s="1054"/>
      <c r="M400" s="1054"/>
      <c r="N400" s="1054"/>
      <c r="O400" s="1054"/>
      <c r="P400" s="1054"/>
      <c r="Q400" s="1055"/>
      <c r="R400" s="941">
        <f>B_Stanja!AI68</f>
        <v>20312</v>
      </c>
      <c r="S400" s="941"/>
      <c r="T400" s="941"/>
      <c r="U400" s="941"/>
      <c r="V400" s="941"/>
      <c r="W400" s="941"/>
      <c r="X400" s="941"/>
      <c r="Y400" s="941"/>
      <c r="Z400" s="1056">
        <f t="shared" si="12"/>
        <v>0.0338929315750569</v>
      </c>
      <c r="AA400" s="1057"/>
      <c r="AB400" s="1057"/>
      <c r="AC400" s="1058"/>
      <c r="AD400" s="1059">
        <f>B_Stanja!AP68</f>
        <v>21173</v>
      </c>
      <c r="AE400" s="1060"/>
      <c r="AF400" s="1060"/>
      <c r="AG400" s="1060"/>
      <c r="AH400" s="1060"/>
      <c r="AI400" s="1060"/>
      <c r="AJ400" s="1060"/>
      <c r="AK400" s="1061"/>
      <c r="AL400" s="1062">
        <f t="shared" si="13"/>
        <v>0.0275374212654494</v>
      </c>
      <c r="AM400" s="1063"/>
      <c r="AN400" s="1063"/>
      <c r="AO400" s="1064"/>
      <c r="AP400" s="943">
        <f t="shared" si="14"/>
        <v>95.9335001672255</v>
      </c>
      <c r="AQ400" s="943"/>
      <c r="AR400" s="943"/>
      <c r="AS400" s="943"/>
      <c r="AT400" s="944"/>
      <c r="AU400" s="958">
        <f>ROUND(IF(AP399&gt;100,AP399-100,100-AP399),1)</f>
        <v>100</v>
      </c>
    </row>
    <row r="401" ht="18" customHeight="1" spans="1:55">
      <c r="A401" s="1052"/>
      <c r="B401" s="1065" t="s">
        <v>7621</v>
      </c>
      <c r="C401" s="937"/>
      <c r="D401" s="937"/>
      <c r="E401" s="937"/>
      <c r="F401" s="937"/>
      <c r="G401" s="937"/>
      <c r="H401" s="937"/>
      <c r="I401" s="937"/>
      <c r="J401" s="937"/>
      <c r="K401" s="1054"/>
      <c r="L401" s="1054"/>
      <c r="M401" s="1054"/>
      <c r="N401" s="1054"/>
      <c r="O401" s="1054"/>
      <c r="P401" s="1054"/>
      <c r="Q401" s="1055"/>
      <c r="R401" s="941">
        <f>B_Stanja!AI72</f>
        <v>427682</v>
      </c>
      <c r="S401" s="941"/>
      <c r="T401" s="941"/>
      <c r="U401" s="941"/>
      <c r="V401" s="941"/>
      <c r="W401" s="941"/>
      <c r="X401" s="941"/>
      <c r="Y401" s="941"/>
      <c r="Z401" s="1056">
        <f t="shared" si="12"/>
        <v>0.713637099344401</v>
      </c>
      <c r="AA401" s="1057"/>
      <c r="AB401" s="1057"/>
      <c r="AC401" s="1058"/>
      <c r="AD401" s="1059">
        <f>B_Stanja!AP72</f>
        <v>526925</v>
      </c>
      <c r="AE401" s="1060"/>
      <c r="AF401" s="1060"/>
      <c r="AG401" s="1060"/>
      <c r="AH401" s="1060"/>
      <c r="AI401" s="1060"/>
      <c r="AJ401" s="1060"/>
      <c r="AK401" s="1061"/>
      <c r="AL401" s="1062">
        <f t="shared" si="13"/>
        <v>0.685314112326875</v>
      </c>
      <c r="AM401" s="1063"/>
      <c r="AN401" s="1063"/>
      <c r="AO401" s="1064"/>
      <c r="AP401" s="943">
        <f t="shared" si="14"/>
        <v>81.165630780829</v>
      </c>
      <c r="AQ401" s="943"/>
      <c r="AR401" s="943"/>
      <c r="AS401" s="943"/>
      <c r="AT401" s="944"/>
      <c r="AU401" s="958">
        <f>IF(AD399-R399&lt;0,0,AD399-R399)</f>
        <v>0</v>
      </c>
    </row>
    <row r="402" ht="18" customHeight="1" spans="1:55">
      <c r="A402" s="1052"/>
      <c r="B402" s="1065" t="s">
        <v>7622</v>
      </c>
      <c r="C402" s="937"/>
      <c r="D402" s="937"/>
      <c r="E402" s="937"/>
      <c r="F402" s="937"/>
      <c r="G402" s="937"/>
      <c r="H402" s="937"/>
      <c r="I402" s="937"/>
      <c r="J402" s="937"/>
      <c r="K402" s="1054"/>
      <c r="L402" s="1054"/>
      <c r="M402" s="1054"/>
      <c r="N402" s="1054"/>
      <c r="O402" s="1054"/>
      <c r="P402" s="1054"/>
      <c r="Q402" s="1055"/>
      <c r="R402" s="941">
        <f>R398-R399-R400-R401-R403</f>
        <v>126871</v>
      </c>
      <c r="S402" s="941"/>
      <c r="T402" s="941"/>
      <c r="U402" s="941"/>
      <c r="V402" s="941"/>
      <c r="W402" s="941"/>
      <c r="X402" s="941"/>
      <c r="Y402" s="941"/>
      <c r="Z402" s="1056">
        <f t="shared" si="12"/>
        <v>0.211699001666948</v>
      </c>
      <c r="AA402" s="1057"/>
      <c r="AB402" s="1057"/>
      <c r="AC402" s="1058"/>
      <c r="AD402" s="1059">
        <f>AD398-AD399-AD400-AD401-AD403</f>
        <v>69080</v>
      </c>
      <c r="AE402" s="1060"/>
      <c r="AF402" s="1060"/>
      <c r="AG402" s="1060"/>
      <c r="AH402" s="1060"/>
      <c r="AI402" s="1060"/>
      <c r="AJ402" s="1060"/>
      <c r="AK402" s="1061"/>
      <c r="AL402" s="1062">
        <f t="shared" si="13"/>
        <v>0.089844852454411</v>
      </c>
      <c r="AM402" s="1063"/>
      <c r="AN402" s="1063"/>
      <c r="AO402" s="1064"/>
      <c r="AP402" s="943">
        <f t="shared" si="14"/>
        <v>183.658077564612</v>
      </c>
      <c r="AQ402" s="943"/>
      <c r="AR402" s="943"/>
      <c r="AS402" s="943"/>
      <c r="AT402" s="944"/>
      <c r="AU402" s="958">
        <f>IF(R399-AD399&lt;0,0,R399-AD399)</f>
        <v>0</v>
      </c>
    </row>
    <row r="403" ht="18" customHeight="1" spans="1:55">
      <c r="A403" s="1052"/>
      <c r="B403" s="1065" t="s">
        <v>7623</v>
      </c>
      <c r="C403" s="937"/>
      <c r="D403" s="937"/>
      <c r="E403" s="937"/>
      <c r="F403" s="937"/>
      <c r="G403" s="937"/>
      <c r="H403" s="937"/>
      <c r="I403" s="937"/>
      <c r="J403" s="937"/>
      <c r="K403" s="1054"/>
      <c r="L403" s="1054"/>
      <c r="M403" s="1054"/>
      <c r="N403" s="1054"/>
      <c r="O403" s="1054"/>
      <c r="P403" s="1054"/>
      <c r="Q403" s="1055"/>
      <c r="R403" s="941">
        <f>B_Stanja!AI80</f>
        <v>2327</v>
      </c>
      <c r="S403" s="941"/>
      <c r="T403" s="941"/>
      <c r="U403" s="941"/>
      <c r="V403" s="941"/>
      <c r="W403" s="941"/>
      <c r="X403" s="941"/>
      <c r="Y403" s="941"/>
      <c r="Z403" s="1056">
        <f t="shared" si="12"/>
        <v>0.00388286981957253</v>
      </c>
      <c r="AA403" s="1057"/>
      <c r="AB403" s="1057"/>
      <c r="AC403" s="1058"/>
      <c r="AD403" s="1059">
        <f>B_Stanja!AP80</f>
        <v>47</v>
      </c>
      <c r="AE403" s="1060"/>
      <c r="AF403" s="1060"/>
      <c r="AG403" s="1060"/>
      <c r="AH403" s="1060"/>
      <c r="AI403" s="1060"/>
      <c r="AJ403" s="1060"/>
      <c r="AK403" s="1061"/>
      <c r="AL403" s="1062">
        <f t="shared" si="13"/>
        <v>6.11277948082993e-5</v>
      </c>
      <c r="AM403" s="1063"/>
      <c r="AN403" s="1063"/>
      <c r="AO403" s="1064"/>
      <c r="AP403" s="943">
        <f t="shared" si="14"/>
        <v>4951.06277636962</v>
      </c>
      <c r="AQ403" s="943"/>
      <c r="AR403" s="943"/>
      <c r="AS403" s="943"/>
      <c r="AT403" s="944"/>
    </row>
    <row r="404" ht="18" customHeight="1" spans="1:55">
      <c r="A404" s="945">
        <v>4</v>
      </c>
      <c r="B404" s="946" t="s">
        <v>7624</v>
      </c>
      <c r="C404" s="947"/>
      <c r="D404" s="947"/>
      <c r="E404" s="947"/>
      <c r="F404" s="947"/>
      <c r="G404" s="947"/>
      <c r="H404" s="947"/>
      <c r="I404" s="947"/>
      <c r="J404" s="947"/>
      <c r="K404" s="948"/>
      <c r="L404" s="948"/>
      <c r="M404" s="948"/>
      <c r="N404" s="948"/>
      <c r="O404" s="948"/>
      <c r="P404" s="948"/>
      <c r="Q404" s="949"/>
      <c r="R404" s="950">
        <f>B_Stanja!AI83</f>
        <v>599299</v>
      </c>
      <c r="S404" s="950"/>
      <c r="T404" s="950"/>
      <c r="U404" s="950"/>
      <c r="V404" s="950"/>
      <c r="W404" s="950"/>
      <c r="X404" s="950"/>
      <c r="Y404" s="950"/>
      <c r="Z404" s="1084">
        <f t="shared" si="12"/>
        <v>1</v>
      </c>
      <c r="AA404" s="1085"/>
      <c r="AB404" s="1085"/>
      <c r="AC404" s="1086"/>
      <c r="AD404" s="1037">
        <f>B_Stanja!AP83</f>
        <v>768881</v>
      </c>
      <c r="AE404" s="1038"/>
      <c r="AF404" s="1038"/>
      <c r="AG404" s="1038"/>
      <c r="AH404" s="1038"/>
      <c r="AI404" s="1038"/>
      <c r="AJ404" s="1038"/>
      <c r="AK404" s="1039"/>
      <c r="AL404" s="1084">
        <f t="shared" si="13"/>
        <v>1</v>
      </c>
      <c r="AM404" s="1085"/>
      <c r="AN404" s="1085"/>
      <c r="AO404" s="1086"/>
      <c r="AP404" s="1043">
        <f t="shared" si="14"/>
        <v>77.9443112773245</v>
      </c>
      <c r="AQ404" s="1043"/>
      <c r="AR404" s="1043"/>
      <c r="AS404" s="1043"/>
      <c r="AT404" s="1044"/>
    </row>
    <row r="406" ht="16.5" customHeight="1" spans="1:55">
      <c r="B406" s="570" t="str">
        <f ca="1">"Grafički prikaz strukture raspoloživih sredstava u aktivi "&amp;PeriodDo&amp;" i "&amp;PeriodOd&amp;".godine"</f>
        <v>Grafički prikaz strukture raspoloživih sredstava u aktivi 31.12.2025 i 01.01.2025.godine</v>
      </c>
    </row>
    <row r="407" spans="1:55">
      <c r="BA407" s="1087"/>
      <c r="BB407" s="1087"/>
      <c r="BC407" s="1087"/>
    </row>
    <row r="408" spans="1:55">
      <c r="AK408">
        <f ca="1">PoslGod</f>
        <v>2025</v>
      </c>
      <c r="BA408" s="1087"/>
      <c r="BB408" s="1087"/>
      <c r="BC408" s="1087"/>
    </row>
    <row r="409" spans="1:55">
      <c r="AJ409" s="572" t="s">
        <v>3873</v>
      </c>
      <c r="AK409" s="1087">
        <f>R393</f>
        <v>22107</v>
      </c>
      <c r="BA409" s="1087"/>
      <c r="BB409" s="1087"/>
      <c r="BC409" s="1087"/>
    </row>
    <row r="410" spans="1:55">
      <c r="AJ410" s="572" t="s">
        <v>7625</v>
      </c>
      <c r="AK410" s="1087">
        <f>R398</f>
        <v>577192</v>
      </c>
      <c r="BA410" s="1087"/>
      <c r="BB410" s="1087"/>
      <c r="BC410" s="1087"/>
    </row>
    <row r="411" spans="1:55">
      <c r="AK411" s="1087"/>
      <c r="BA411" s="1087"/>
      <c r="BB411" s="1087"/>
      <c r="BC411" s="1087"/>
    </row>
    <row r="412" spans="1:55">
      <c r="AK412" s="1087"/>
      <c r="BA412" s="1087"/>
      <c r="BB412" s="1087"/>
      <c r="BC412" s="1087"/>
    </row>
    <row r="413" spans="1:55">
      <c r="AK413">
        <f ca="1">PoslGod-1</f>
        <v>2024</v>
      </c>
      <c r="BA413" s="1087"/>
      <c r="BB413" s="1087"/>
      <c r="BC413" s="1087"/>
    </row>
    <row r="414" spans="1:55">
      <c r="AJ414" s="572" t="s">
        <v>3873</v>
      </c>
      <c r="AK414" s="1087">
        <f>AD393</f>
        <v>151656</v>
      </c>
      <c r="BA414" s="1087"/>
      <c r="BB414" s="1087"/>
      <c r="BC414" s="1087"/>
    </row>
    <row r="415" spans="1:55">
      <c r="AJ415" s="572" t="s">
        <v>7626</v>
      </c>
      <c r="AK415" s="1087">
        <f>AD398</f>
        <v>617225</v>
      </c>
      <c r="BA415" s="1087"/>
      <c r="BB415" s="1087"/>
      <c r="BC415" s="1087"/>
    </row>
    <row r="416" spans="1:55">
      <c r="AK416" s="1087"/>
    </row>
    <row r="425" ht="14.25" spans="2:39">
      <c r="B425" s="570" t="str">
        <f ca="1">"Aktiva bilansa stanja "&amp;PoslGod&amp;" i "&amp;PoslGod-1&amp;".godine"</f>
        <v>Aktiva bilansa stanja 2025 i 2024.godine</v>
      </c>
      <c r="Y425" s="570" t="str">
        <f ca="1">"Pasiva bilansa stanja "&amp;PoslGod&amp;" i "&amp;PoslGod-1&amp;".godine"</f>
        <v>Pasiva bilansa stanja 2025 i 2024.godine</v>
      </c>
    </row>
    <row r="427" spans="2:39">
      <c r="B427" s="572"/>
      <c r="C427" s="572"/>
      <c r="D427" s="572"/>
      <c r="E427" s="572"/>
      <c r="F427" s="572"/>
      <c r="G427" s="572"/>
      <c r="H427" s="572"/>
      <c r="I427" s="572"/>
      <c r="J427" s="572"/>
      <c r="K427" s="572"/>
      <c r="L427" s="572"/>
      <c r="M427" s="572"/>
      <c r="N427" s="572"/>
      <c r="O427" s="572"/>
      <c r="P427" s="572"/>
      <c r="Q427" s="572"/>
      <c r="R427" s="572"/>
      <c r="S427" s="572"/>
      <c r="T427" s="572"/>
      <c r="U427" s="572"/>
    </row>
    <row r="428" spans="2:39">
      <c r="B428" s="572"/>
      <c r="C428" s="572"/>
      <c r="D428" s="572"/>
      <c r="E428" s="572"/>
      <c r="F428" s="572"/>
      <c r="G428" s="572"/>
      <c r="H428" s="572"/>
      <c r="I428" s="572"/>
      <c r="J428" s="572"/>
      <c r="K428" s="572"/>
      <c r="L428" s="572"/>
      <c r="M428" s="572"/>
      <c r="N428" s="572"/>
      <c r="O428" s="572"/>
      <c r="P428" s="572"/>
      <c r="Q428" s="572"/>
      <c r="R428" s="572"/>
      <c r="S428" s="572"/>
      <c r="T428" s="572"/>
      <c r="U428" s="572"/>
      <c r="AL428">
        <f ca="1">PoslGod</f>
        <v>2025</v>
      </c>
      <c r="AM428">
        <f ca="1">PoslGod-1</f>
        <v>2024</v>
      </c>
    </row>
    <row r="429" spans="2:39">
      <c r="B429" s="572"/>
      <c r="C429" s="572"/>
      <c r="D429" s="572"/>
      <c r="E429" s="572"/>
      <c r="F429" s="572"/>
      <c r="G429" s="572"/>
      <c r="H429" s="572"/>
      <c r="I429" s="572"/>
      <c r="J429" s="572"/>
      <c r="K429" s="572"/>
      <c r="L429" s="572"/>
      <c r="M429" s="572"/>
      <c r="N429" s="572"/>
      <c r="O429" s="572"/>
      <c r="P429" s="572"/>
      <c r="Q429" s="572"/>
      <c r="R429" s="572"/>
      <c r="S429" s="572"/>
      <c r="T429" s="572"/>
      <c r="U429" s="572"/>
      <c r="AK429" s="572" t="s">
        <v>3873</v>
      </c>
      <c r="AL429" s="1087">
        <f>R393</f>
        <v>22107</v>
      </c>
      <c r="AM429" s="959">
        <f>AD393</f>
        <v>151656</v>
      </c>
    </row>
    <row r="430" spans="2:39">
      <c r="B430" s="572"/>
      <c r="C430" s="572"/>
      <c r="D430" s="572"/>
      <c r="E430" s="572"/>
      <c r="F430" s="572"/>
      <c r="G430" s="572"/>
      <c r="H430" s="572"/>
      <c r="I430" s="572"/>
      <c r="J430" s="572"/>
      <c r="K430" s="572"/>
      <c r="L430" s="572"/>
      <c r="M430" s="572"/>
      <c r="N430" s="572"/>
      <c r="O430" s="572"/>
      <c r="P430" s="572"/>
      <c r="Q430" s="572"/>
      <c r="R430" s="572"/>
      <c r="S430" s="572"/>
      <c r="T430" s="572"/>
      <c r="U430" s="572"/>
      <c r="AK430" s="572" t="s">
        <v>7626</v>
      </c>
      <c r="AL430" s="1087">
        <f>R398</f>
        <v>577192</v>
      </c>
      <c r="AM430" s="959">
        <f>AD398</f>
        <v>617225</v>
      </c>
    </row>
    <row r="431" spans="2:39">
      <c r="B431" s="572"/>
      <c r="C431" s="572"/>
      <c r="D431" s="572"/>
      <c r="E431" s="572"/>
      <c r="F431" s="572"/>
      <c r="G431" s="572"/>
      <c r="H431" s="572"/>
      <c r="I431" s="572"/>
      <c r="J431" s="572"/>
      <c r="K431" s="572"/>
      <c r="L431" s="572"/>
      <c r="M431" s="572"/>
      <c r="N431" s="572"/>
      <c r="O431" s="572"/>
      <c r="P431" s="572"/>
      <c r="Q431" s="572"/>
      <c r="R431" s="572"/>
      <c r="S431" s="572"/>
      <c r="T431" s="572"/>
      <c r="U431" s="572"/>
      <c r="AK431" s="572"/>
      <c r="AL431" s="1087"/>
      <c r="AM431" s="959"/>
    </row>
    <row r="432" spans="2:39">
      <c r="B432" s="572"/>
      <c r="C432" s="572"/>
      <c r="D432" s="572"/>
      <c r="E432" s="572"/>
      <c r="F432" s="572"/>
      <c r="G432" s="572"/>
      <c r="H432" s="572"/>
      <c r="I432" s="572"/>
      <c r="J432" s="572"/>
      <c r="K432" s="572"/>
      <c r="L432" s="572"/>
      <c r="M432" s="572"/>
      <c r="N432" s="572"/>
      <c r="O432" s="572"/>
      <c r="P432" s="572"/>
      <c r="Q432" s="572"/>
      <c r="R432" s="572"/>
      <c r="S432" s="572"/>
      <c r="T432" s="572"/>
      <c r="U432" s="572"/>
    </row>
    <row r="433" spans="2:39">
      <c r="B433" s="572"/>
      <c r="C433" s="572"/>
      <c r="D433" s="572"/>
      <c r="E433" s="572"/>
      <c r="F433" s="572"/>
      <c r="G433" s="572"/>
      <c r="H433" s="572"/>
      <c r="I433" s="572"/>
      <c r="J433" s="572"/>
      <c r="K433" s="572"/>
      <c r="L433" s="572"/>
      <c r="M433" s="572"/>
      <c r="N433" s="572"/>
      <c r="O433" s="572"/>
      <c r="P433" s="572"/>
      <c r="Q433" s="572"/>
      <c r="R433" s="572"/>
      <c r="S433" s="572"/>
      <c r="T433" s="572"/>
      <c r="U433" s="572"/>
    </row>
    <row r="434" spans="2:39">
      <c r="B434" s="572"/>
      <c r="C434" s="572"/>
      <c r="D434" s="572"/>
      <c r="E434" s="572"/>
      <c r="F434" s="572"/>
      <c r="G434" s="572"/>
      <c r="H434" s="572"/>
      <c r="I434" s="572"/>
      <c r="J434" s="572"/>
      <c r="K434" s="572"/>
      <c r="L434" s="572"/>
      <c r="M434" s="572"/>
      <c r="N434" s="572"/>
      <c r="O434" s="572"/>
      <c r="P434" s="572"/>
      <c r="Q434" s="572"/>
      <c r="R434" s="572"/>
      <c r="S434" s="572"/>
      <c r="T434" s="572"/>
      <c r="U434" s="572"/>
      <c r="AL434">
        <f ca="1">PoslGod</f>
        <v>2025</v>
      </c>
      <c r="AM434">
        <f ca="1">PoslGod-1</f>
        <v>2024</v>
      </c>
    </row>
    <row r="435" spans="2:39">
      <c r="B435" s="572"/>
      <c r="C435" s="572"/>
      <c r="D435" s="572"/>
      <c r="E435" s="572"/>
      <c r="F435" s="572"/>
      <c r="G435" s="572"/>
      <c r="H435" s="572"/>
      <c r="I435" s="572"/>
      <c r="J435" s="572"/>
      <c r="K435" s="572"/>
      <c r="L435" s="572"/>
      <c r="M435" s="572"/>
      <c r="N435" s="572"/>
      <c r="O435" s="572"/>
      <c r="P435" s="572"/>
      <c r="Q435" s="572"/>
      <c r="R435" s="572"/>
      <c r="S435" s="572"/>
      <c r="T435" s="572"/>
      <c r="U435" s="572"/>
      <c r="AK435" s="572" t="s">
        <v>7627</v>
      </c>
      <c r="AL435" s="1087">
        <f>R547</f>
        <v>309265</v>
      </c>
      <c r="AM435" s="959">
        <f>AD547</f>
        <v>459768</v>
      </c>
    </row>
    <row r="436" spans="2:39">
      <c r="B436" s="572"/>
      <c r="C436" s="572"/>
      <c r="D436" s="572"/>
      <c r="E436" s="572"/>
      <c r="F436" s="572"/>
      <c r="G436" s="572"/>
      <c r="H436" s="572"/>
      <c r="I436" s="572"/>
      <c r="J436" s="572"/>
      <c r="K436" s="572"/>
      <c r="L436" s="572"/>
      <c r="M436" s="572"/>
      <c r="N436" s="572"/>
      <c r="O436" s="572"/>
      <c r="P436" s="572"/>
      <c r="Q436" s="572"/>
      <c r="R436" s="572"/>
      <c r="S436" s="572"/>
      <c r="T436" s="572"/>
      <c r="U436" s="572"/>
      <c r="AK436" s="572" t="s">
        <v>7628</v>
      </c>
      <c r="AL436" s="1087">
        <f>R549</f>
        <v>0</v>
      </c>
      <c r="AM436" s="959">
        <f>AD549</f>
        <v>16678</v>
      </c>
    </row>
    <row r="437" spans="2:39">
      <c r="B437" s="572"/>
      <c r="C437" s="572"/>
      <c r="D437" s="572"/>
      <c r="E437" s="572"/>
      <c r="F437" s="572"/>
      <c r="G437" s="572"/>
      <c r="H437" s="572"/>
      <c r="I437" s="572"/>
      <c r="J437" s="572"/>
      <c r="K437" s="572"/>
      <c r="L437" s="572"/>
      <c r="M437" s="572"/>
      <c r="N437" s="572"/>
      <c r="O437" s="572"/>
      <c r="P437" s="572"/>
      <c r="Q437" s="572"/>
      <c r="R437" s="572"/>
      <c r="S437" s="572"/>
      <c r="T437" s="572"/>
      <c r="U437" s="572"/>
      <c r="AK437" s="572" t="s">
        <v>7629</v>
      </c>
      <c r="AL437" s="1087">
        <f>R550</f>
        <v>290034</v>
      </c>
      <c r="AM437" s="959">
        <f>AD550</f>
        <v>292435</v>
      </c>
    </row>
    <row r="438" spans="2:39">
      <c r="B438" s="572"/>
      <c r="C438" s="572"/>
      <c r="D438" s="572"/>
      <c r="E438" s="572"/>
      <c r="F438" s="572"/>
      <c r="G438" s="572"/>
      <c r="H438" s="572"/>
      <c r="I438" s="572"/>
      <c r="J438" s="572"/>
      <c r="K438" s="572"/>
      <c r="L438" s="572"/>
      <c r="M438" s="572"/>
      <c r="N438" s="572"/>
      <c r="O438" s="572"/>
      <c r="P438" s="572"/>
      <c r="Q438" s="572"/>
      <c r="R438" s="572"/>
      <c r="S438" s="572"/>
      <c r="T438" s="572"/>
      <c r="U438" s="572"/>
    </row>
    <row r="439" spans="2:39">
      <c r="B439" s="572"/>
      <c r="C439" s="572"/>
      <c r="D439" s="572"/>
      <c r="E439" s="572"/>
      <c r="F439" s="572"/>
      <c r="G439" s="572"/>
      <c r="H439" s="572"/>
      <c r="I439" s="572"/>
      <c r="J439" s="572"/>
      <c r="K439" s="572"/>
      <c r="L439" s="572"/>
      <c r="M439" s="572"/>
      <c r="N439" s="572"/>
      <c r="O439" s="572"/>
      <c r="P439" s="572"/>
      <c r="Q439" s="572"/>
      <c r="R439" s="572"/>
      <c r="S439" s="572"/>
      <c r="T439" s="572"/>
      <c r="U439" s="572"/>
    </row>
    <row r="440" spans="2:39">
      <c r="B440" s="572"/>
      <c r="C440" s="572"/>
      <c r="D440" s="572"/>
      <c r="E440" s="572"/>
      <c r="F440" s="572"/>
      <c r="G440" s="572"/>
      <c r="H440" s="572"/>
      <c r="I440" s="572"/>
      <c r="J440" s="572"/>
      <c r="K440" s="572"/>
      <c r="L440" s="572"/>
      <c r="M440" s="572"/>
      <c r="N440" s="572"/>
      <c r="O440" s="572"/>
      <c r="P440" s="572"/>
      <c r="Q440" s="572"/>
      <c r="R440" s="572"/>
      <c r="S440" s="572"/>
      <c r="T440" s="572"/>
      <c r="U440" s="572"/>
    </row>
    <row r="441" spans="2:39">
      <c r="B441" s="572"/>
      <c r="C441" s="572"/>
      <c r="D441" s="572"/>
      <c r="E441" s="572"/>
      <c r="F441" s="572"/>
      <c r="G441" s="572"/>
      <c r="H441" s="572"/>
      <c r="I441" s="572"/>
      <c r="J441" s="572"/>
      <c r="K441" s="572"/>
      <c r="L441" s="572"/>
      <c r="M441" s="572"/>
      <c r="N441" s="572"/>
      <c r="O441" s="572"/>
      <c r="P441" s="572"/>
      <c r="Q441" s="572"/>
      <c r="R441" s="572"/>
      <c r="S441" s="572"/>
      <c r="T441" s="572"/>
      <c r="U441" s="572"/>
    </row>
    <row r="442" spans="2:39">
      <c r="B442" s="572"/>
      <c r="C442" s="572"/>
      <c r="D442" s="572"/>
      <c r="E442" s="572"/>
      <c r="F442" s="572"/>
      <c r="G442" s="572"/>
      <c r="H442" s="572"/>
      <c r="I442" s="572"/>
      <c r="J442" s="572"/>
      <c r="K442" s="572"/>
      <c r="L442" s="572"/>
      <c r="M442" s="572"/>
      <c r="N442" s="572"/>
      <c r="O442" s="572"/>
      <c r="P442" s="572"/>
      <c r="Q442" s="572"/>
      <c r="R442" s="572"/>
      <c r="S442" s="572"/>
      <c r="T442" s="572"/>
      <c r="U442" s="572"/>
    </row>
    <row r="443" spans="2:39">
      <c r="B443" s="572"/>
      <c r="C443" s="572"/>
      <c r="D443" s="572"/>
      <c r="E443" s="572"/>
      <c r="F443" s="572"/>
      <c r="G443" s="572"/>
      <c r="H443" s="572"/>
      <c r="I443" s="572"/>
      <c r="J443" s="572"/>
      <c r="K443" s="572"/>
      <c r="L443" s="572"/>
      <c r="M443" s="572"/>
      <c r="N443" s="572"/>
      <c r="O443" s="572"/>
      <c r="P443" s="572"/>
      <c r="Q443" s="572"/>
      <c r="R443" s="572"/>
      <c r="S443" s="572"/>
      <c r="T443" s="572"/>
      <c r="U443" s="572"/>
    </row>
    <row r="444" spans="2:39">
      <c r="B444" s="572"/>
      <c r="C444" s="572"/>
      <c r="D444" s="572"/>
      <c r="E444" s="572"/>
      <c r="F444" s="572"/>
      <c r="G444" s="572"/>
      <c r="H444" s="572"/>
      <c r="I444" s="572"/>
      <c r="J444" s="572"/>
      <c r="K444" s="572"/>
      <c r="L444" s="572"/>
      <c r="M444" s="572"/>
      <c r="N444" s="572"/>
      <c r="O444" s="572"/>
      <c r="P444" s="572"/>
      <c r="Q444" s="572"/>
      <c r="R444" s="572"/>
      <c r="S444" s="572"/>
      <c r="T444" s="572"/>
      <c r="U444" s="572"/>
    </row>
    <row r="445" spans="2:39">
      <c r="B445" s="572"/>
      <c r="C445" s="572"/>
      <c r="D445" s="572"/>
      <c r="E445" s="572"/>
      <c r="F445" s="572"/>
      <c r="G445" s="572"/>
      <c r="H445" s="572"/>
      <c r="I445" s="572"/>
      <c r="J445" s="572"/>
      <c r="K445" s="572"/>
      <c r="L445" s="572"/>
      <c r="M445" s="572"/>
      <c r="N445" s="572"/>
      <c r="O445" s="572"/>
      <c r="P445" s="572"/>
      <c r="Q445" s="572"/>
      <c r="R445" s="572"/>
      <c r="S445" s="572"/>
      <c r="T445" s="572"/>
      <c r="U445" s="572"/>
    </row>
    <row r="446" spans="2:39">
      <c r="B446" s="572"/>
      <c r="C446" s="572"/>
      <c r="D446" s="572"/>
      <c r="E446" s="572"/>
      <c r="F446" s="572"/>
      <c r="G446" s="572"/>
      <c r="H446" s="572"/>
      <c r="I446" s="572"/>
      <c r="J446" s="572"/>
      <c r="K446" s="572"/>
      <c r="L446" s="572"/>
      <c r="M446" s="572"/>
      <c r="N446" s="572"/>
      <c r="O446" s="572"/>
      <c r="P446" s="572"/>
      <c r="Q446" s="572"/>
      <c r="R446" s="572"/>
      <c r="S446" s="572"/>
      <c r="T446" s="572"/>
      <c r="U446" s="572"/>
    </row>
    <row r="447" spans="2:39">
      <c r="B447" s="572"/>
      <c r="C447" s="572"/>
      <c r="D447" s="572"/>
      <c r="E447" s="572"/>
      <c r="F447" s="572"/>
      <c r="G447" s="572"/>
      <c r="H447" s="572"/>
      <c r="I447" s="572"/>
      <c r="J447" s="572"/>
      <c r="K447" s="572"/>
      <c r="L447" s="572"/>
      <c r="M447" s="572"/>
      <c r="N447" s="572"/>
      <c r="O447" s="572"/>
      <c r="P447" s="572"/>
      <c r="Q447" s="572"/>
      <c r="R447" s="572"/>
      <c r="S447" s="572"/>
      <c r="T447" s="572"/>
      <c r="U447" s="572"/>
    </row>
    <row r="448" spans="2:39">
      <c r="B448" s="572"/>
      <c r="C448" s="572"/>
      <c r="D448" s="572"/>
      <c r="E448" s="572"/>
      <c r="F448" s="572"/>
      <c r="G448" s="572"/>
      <c r="H448" s="572"/>
      <c r="I448" s="572"/>
      <c r="J448" s="572"/>
      <c r="K448" s="572"/>
      <c r="L448" s="572"/>
      <c r="M448" s="572"/>
      <c r="N448" s="572"/>
      <c r="O448" s="572"/>
      <c r="P448" s="572"/>
      <c r="Q448" s="572"/>
      <c r="R448" s="572"/>
      <c r="S448" s="572"/>
      <c r="T448" s="572"/>
      <c r="U448" s="572"/>
    </row>
    <row r="449" spans="1:52">
      <c r="B449" s="572"/>
      <c r="C449" s="572"/>
      <c r="D449" s="572"/>
      <c r="E449" s="572"/>
      <c r="F449" s="572"/>
      <c r="G449" s="572"/>
      <c r="H449" s="572"/>
      <c r="I449" s="572"/>
      <c r="J449" s="572"/>
      <c r="K449" s="572"/>
      <c r="L449" s="572"/>
      <c r="M449" s="572"/>
      <c r="N449" s="572"/>
      <c r="O449" s="572"/>
      <c r="P449" s="572"/>
      <c r="Q449" s="572"/>
      <c r="R449" s="572"/>
      <c r="S449" s="572"/>
      <c r="T449" s="572"/>
      <c r="U449" s="572"/>
    </row>
    <row r="450" ht="15" spans="1:52">
      <c r="A450" s="1" t="str">
        <f ca="1">"Pregled prosječno korištenih tekućih sredstava u obračunskom periodu "&amp;PoslGod&amp;". godine. (po veličini)"</f>
        <v>Pregled prosječno korištenih tekućih sredstava u obračunskom periodu 2025. godine. (po veličini)</v>
      </c>
      <c r="B450" s="491"/>
      <c r="C450" s="491"/>
      <c r="D450" s="491"/>
      <c r="E450" s="491"/>
      <c r="F450" s="491"/>
      <c r="G450" s="491"/>
      <c r="H450" s="491"/>
      <c r="I450" s="491"/>
      <c r="J450" s="491"/>
      <c r="K450" s="491"/>
      <c r="L450" s="491"/>
      <c r="M450" s="491"/>
      <c r="N450" s="491"/>
      <c r="O450" s="491"/>
      <c r="P450" s="491"/>
      <c r="Q450" s="491"/>
      <c r="R450" s="491"/>
      <c r="S450" s="491"/>
      <c r="T450" s="491"/>
      <c r="U450" s="491"/>
      <c r="V450" s="491"/>
      <c r="W450" s="491"/>
      <c r="X450" s="491"/>
      <c r="Y450" s="491"/>
      <c r="Z450" s="491"/>
      <c r="AA450" s="491"/>
      <c r="AB450" s="491"/>
      <c r="AC450" s="491"/>
      <c r="AD450" s="491"/>
      <c r="AE450" s="491"/>
      <c r="AF450" s="491"/>
      <c r="AG450" s="491"/>
      <c r="AH450" s="491"/>
      <c r="AI450" s="491"/>
      <c r="AJ450" s="491"/>
      <c r="AK450" s="491"/>
      <c r="AL450" s="491"/>
      <c r="AM450" s="491"/>
      <c r="AN450" s="491"/>
      <c r="AO450" s="491"/>
      <c r="AP450" s="491"/>
      <c r="AQ450" s="491"/>
      <c r="AR450" s="491"/>
    </row>
    <row r="451" ht="18.75" customHeight="1" spans="1:52">
      <c r="A451" s="960" t="s">
        <v>5787</v>
      </c>
      <c r="B451" s="961" t="s">
        <v>7613</v>
      </c>
      <c r="C451" s="962"/>
      <c r="D451" s="962"/>
      <c r="E451" s="962"/>
      <c r="F451" s="962"/>
      <c r="G451" s="962"/>
      <c r="H451" s="962"/>
      <c r="I451" s="962"/>
      <c r="J451" s="962"/>
      <c r="K451" s="962"/>
      <c r="L451" s="962"/>
      <c r="M451" s="962"/>
      <c r="N451" s="962"/>
      <c r="O451" s="962"/>
      <c r="P451" s="962"/>
      <c r="Q451" s="962"/>
      <c r="R451" s="962"/>
      <c r="S451" s="962"/>
      <c r="T451" s="962"/>
      <c r="U451" s="962"/>
      <c r="V451" s="962"/>
      <c r="W451" s="962"/>
      <c r="X451" s="962"/>
      <c r="Y451" s="962"/>
      <c r="Z451" s="963"/>
      <c r="AA451" s="1088" t="s">
        <v>7630</v>
      </c>
      <c r="AB451" s="1088"/>
      <c r="AC451" s="1088"/>
      <c r="AD451" s="1088"/>
      <c r="AE451" s="1088"/>
      <c r="AF451" s="1088"/>
      <c r="AG451" s="1088"/>
      <c r="AH451" s="1088"/>
      <c r="AI451" s="1088"/>
      <c r="AJ451" s="1088"/>
      <c r="AK451" s="1088"/>
      <c r="AL451" s="1088"/>
      <c r="AM451" s="1088" t="s">
        <v>7631</v>
      </c>
      <c r="AN451" s="1088"/>
      <c r="AO451" s="1088"/>
      <c r="AP451" s="1088"/>
      <c r="AQ451" s="1088" t="s">
        <v>119</v>
      </c>
      <c r="AR451" s="1088"/>
      <c r="AS451" s="1088"/>
      <c r="AT451" s="1088"/>
    </row>
    <row r="452" ht="18.75" customHeight="1" spans="1:52">
      <c r="A452" s="967" t="s">
        <v>5791</v>
      </c>
      <c r="B452" s="968"/>
      <c r="C452" s="969"/>
      <c r="D452" s="969"/>
      <c r="E452" s="969"/>
      <c r="F452" s="969"/>
      <c r="G452" s="969"/>
      <c r="H452" s="969"/>
      <c r="I452" s="969"/>
      <c r="J452" s="969"/>
      <c r="K452" s="969"/>
      <c r="L452" s="969"/>
      <c r="M452" s="969"/>
      <c r="N452" s="969"/>
      <c r="O452" s="969"/>
      <c r="P452" s="969"/>
      <c r="Q452" s="969"/>
      <c r="R452" s="969"/>
      <c r="S452" s="969"/>
      <c r="T452" s="969"/>
      <c r="U452" s="969"/>
      <c r="V452" s="969"/>
      <c r="W452" s="969"/>
      <c r="X452" s="969"/>
      <c r="Y452" s="969"/>
      <c r="Z452" s="970"/>
      <c r="AA452" s="1089" t="s">
        <v>7632</v>
      </c>
      <c r="AB452" s="1089"/>
      <c r="AC452" s="1089"/>
      <c r="AD452" s="1089"/>
      <c r="AE452" s="1089"/>
      <c r="AF452" s="1089"/>
      <c r="AG452" s="1089"/>
      <c r="AH452" s="1089"/>
      <c r="AI452" s="1089" t="s">
        <v>20</v>
      </c>
      <c r="AJ452" s="1089"/>
      <c r="AK452" s="1089"/>
      <c r="AL452" s="1089"/>
      <c r="AM452" s="1089" t="s">
        <v>7633</v>
      </c>
      <c r="AN452" s="1089"/>
      <c r="AO452" s="1089"/>
      <c r="AP452" s="1089"/>
      <c r="AQ452" s="1089" t="s">
        <v>7634</v>
      </c>
      <c r="AR452" s="1089"/>
      <c r="AS452" s="1089"/>
      <c r="AT452" s="1089"/>
    </row>
    <row r="453" ht="15" customHeight="1" spans="1:52">
      <c r="A453" s="972">
        <v>0</v>
      </c>
      <c r="B453" s="972">
        <v>1</v>
      </c>
      <c r="C453" s="972"/>
      <c r="D453" s="972"/>
      <c r="E453" s="972"/>
      <c r="F453" s="972"/>
      <c r="G453" s="972"/>
      <c r="H453" s="972"/>
      <c r="I453" s="972"/>
      <c r="J453" s="972"/>
      <c r="K453" s="972"/>
      <c r="L453" s="972"/>
      <c r="M453" s="972"/>
      <c r="N453" s="972"/>
      <c r="O453" s="972"/>
      <c r="P453" s="972"/>
      <c r="Q453" s="972"/>
      <c r="R453" s="972"/>
      <c r="S453" s="972"/>
      <c r="T453" s="972"/>
      <c r="U453" s="972"/>
      <c r="V453" s="972"/>
      <c r="W453" s="972"/>
      <c r="X453" s="972"/>
      <c r="Y453" s="972"/>
      <c r="Z453" s="972"/>
      <c r="AA453" s="972">
        <v>3</v>
      </c>
      <c r="AB453" s="972"/>
      <c r="AC453" s="972"/>
      <c r="AD453" s="972"/>
      <c r="AE453" s="972"/>
      <c r="AF453" s="972"/>
      <c r="AG453" s="972"/>
      <c r="AH453" s="972"/>
      <c r="AI453" s="972">
        <v>4</v>
      </c>
      <c r="AJ453" s="972"/>
      <c r="AK453" s="972"/>
      <c r="AL453" s="972"/>
      <c r="AM453" s="972">
        <v>5</v>
      </c>
      <c r="AN453" s="972"/>
      <c r="AO453" s="972"/>
      <c r="AP453" s="972"/>
      <c r="AQ453" s="972">
        <v>6</v>
      </c>
      <c r="AR453" s="972"/>
      <c r="AS453" s="972"/>
      <c r="AT453" s="972"/>
    </row>
    <row r="454" ht="19.5" customHeight="1" spans="1:52">
      <c r="A454" s="973">
        <v>1</v>
      </c>
      <c r="B454" s="1009" t="str">
        <f>IF(AA454=0,"-",Baza!B117)</f>
        <v>Dati krediti  (AOP 051)</v>
      </c>
      <c r="C454" s="1009"/>
      <c r="D454" s="1009"/>
      <c r="E454" s="1009"/>
      <c r="F454" s="1009"/>
      <c r="G454" s="1009"/>
      <c r="H454" s="1009"/>
      <c r="I454" s="1009"/>
      <c r="J454" s="1009"/>
      <c r="K454" s="1009"/>
      <c r="L454" s="1009"/>
      <c r="M454" s="1009"/>
      <c r="N454" s="1009"/>
      <c r="O454" s="1009"/>
      <c r="P454" s="1009"/>
      <c r="Q454" s="1009"/>
      <c r="R454" s="1009"/>
      <c r="S454" s="1009"/>
      <c r="T454" s="1009"/>
      <c r="U454" s="1009"/>
      <c r="V454" s="1009"/>
      <c r="W454" s="1009"/>
      <c r="X454" s="1009"/>
      <c r="Y454" s="1009"/>
      <c r="Z454" s="1009"/>
      <c r="AA454" s="975">
        <f>Baza!I117</f>
        <v>477303.5</v>
      </c>
      <c r="AB454" s="975"/>
      <c r="AC454" s="975"/>
      <c r="AD454" s="975"/>
      <c r="AE454" s="975"/>
      <c r="AF454" s="975"/>
      <c r="AG454" s="975"/>
      <c r="AH454" s="975"/>
      <c r="AI454" s="1010">
        <f t="shared" ref="AI454:AI460" si="15">IFERROR(AA454/$AA$460,"-")</f>
        <v>0.800815910164315</v>
      </c>
      <c r="AJ454" s="1010"/>
      <c r="AK454" s="1010"/>
      <c r="AL454" s="1010"/>
      <c r="AM454" s="1090">
        <f>Baza!J117</f>
        <v>0.519107863235866</v>
      </c>
      <c r="AN454" s="1090"/>
      <c r="AO454" s="1090"/>
      <c r="AP454" s="1090"/>
      <c r="AQ454" s="1091">
        <f>Baza!K117</f>
        <v>703</v>
      </c>
      <c r="AR454" s="1091"/>
      <c r="AS454" s="1091"/>
      <c r="AT454" s="1091"/>
      <c r="AZ454" s="959"/>
    </row>
    <row r="455" ht="19.5" customHeight="1" spans="1:52">
      <c r="A455" s="977">
        <v>2</v>
      </c>
      <c r="B455" s="974" t="str">
        <f>IF(AA455=0,"-",Baza!B118)</f>
        <v>Ostala imovina i potraživanja, uključujući i razgraničenja (AOP 059)</v>
      </c>
      <c r="C455" s="974"/>
      <c r="D455" s="974"/>
      <c r="E455" s="974"/>
      <c r="F455" s="974"/>
      <c r="G455" s="974"/>
      <c r="H455" s="974"/>
      <c r="I455" s="974"/>
      <c r="J455" s="974"/>
      <c r="K455" s="974"/>
      <c r="L455" s="974"/>
      <c r="M455" s="974"/>
      <c r="N455" s="974"/>
      <c r="O455" s="974"/>
      <c r="P455" s="974"/>
      <c r="Q455" s="974"/>
      <c r="R455" s="974"/>
      <c r="S455" s="974"/>
      <c r="T455" s="974"/>
      <c r="U455" s="974"/>
      <c r="V455" s="974"/>
      <c r="W455" s="974"/>
      <c r="X455" s="974"/>
      <c r="Y455" s="974"/>
      <c r="Z455" s="974"/>
      <c r="AA455" s="978">
        <f>Baza!I118</f>
        <v>97975.5</v>
      </c>
      <c r="AB455" s="978"/>
      <c r="AC455" s="978"/>
      <c r="AD455" s="978"/>
      <c r="AE455" s="978"/>
      <c r="AF455" s="978"/>
      <c r="AG455" s="978"/>
      <c r="AH455" s="978"/>
      <c r="AI455" s="976">
        <f t="shared" si="15"/>
        <v>0.164382492913427</v>
      </c>
      <c r="AJ455" s="976"/>
      <c r="AK455" s="976"/>
      <c r="AL455" s="976"/>
      <c r="AM455" s="1092">
        <f>Baza!J118</f>
        <v>2.52891794377166</v>
      </c>
      <c r="AN455" s="1092"/>
      <c r="AO455" s="1092"/>
      <c r="AP455" s="1092"/>
      <c r="AQ455" s="1093">
        <f>Baza!K118</f>
        <v>144</v>
      </c>
      <c r="AR455" s="1093"/>
      <c r="AS455" s="1093"/>
      <c r="AT455" s="1093"/>
      <c r="AZ455" s="959"/>
    </row>
    <row r="456" ht="19.5" customHeight="1" spans="1:52">
      <c r="A456" s="977">
        <v>3</v>
      </c>
      <c r="B456" s="974" t="str">
        <f>IF(AA456=0,"-",Baza!B119)</f>
        <v>Kupci u zemlji (AOP 047)</v>
      </c>
      <c r="C456" s="974"/>
      <c r="D456" s="974"/>
      <c r="E456" s="974"/>
      <c r="F456" s="974"/>
      <c r="G456" s="974"/>
      <c r="H456" s="974"/>
      <c r="I456" s="974"/>
      <c r="J456" s="974"/>
      <c r="K456" s="974"/>
      <c r="L456" s="974"/>
      <c r="M456" s="974"/>
      <c r="N456" s="974"/>
      <c r="O456" s="974"/>
      <c r="P456" s="974"/>
      <c r="Q456" s="974"/>
      <c r="R456" s="974"/>
      <c r="S456" s="974"/>
      <c r="T456" s="974"/>
      <c r="U456" s="974"/>
      <c r="V456" s="974"/>
      <c r="W456" s="974"/>
      <c r="X456" s="974"/>
      <c r="Y456" s="974"/>
      <c r="Z456" s="974"/>
      <c r="AA456" s="978">
        <f>Baza!I119</f>
        <v>20742.5</v>
      </c>
      <c r="AB456" s="978"/>
      <c r="AC456" s="978"/>
      <c r="AD456" s="978"/>
      <c r="AE456" s="978"/>
      <c r="AF456" s="978"/>
      <c r="AG456" s="978"/>
      <c r="AH456" s="978"/>
      <c r="AI456" s="976">
        <f t="shared" si="15"/>
        <v>0.0348015969222587</v>
      </c>
      <c r="AJ456" s="976"/>
      <c r="AK456" s="976"/>
      <c r="AL456" s="976"/>
      <c r="AM456" s="1092">
        <f>Baza!J119</f>
        <v>11.9451367964324</v>
      </c>
      <c r="AN456" s="1092"/>
      <c r="AO456" s="1092"/>
      <c r="AP456" s="1092"/>
      <c r="AQ456" s="1093">
        <f>Baza!K119</f>
        <v>31</v>
      </c>
      <c r="AR456" s="1093"/>
      <c r="AS456" s="1093"/>
      <c r="AT456" s="1093"/>
      <c r="AZ456" s="959"/>
    </row>
    <row r="457" ht="19.5" customHeight="1" spans="1:52">
      <c r="A457" s="977">
        <v>4</v>
      </c>
      <c r="B457" s="974" t="str">
        <f>IF(AA457=0,"-",Baza!B120)</f>
        <v>-</v>
      </c>
      <c r="C457" s="974"/>
      <c r="D457" s="974"/>
      <c r="E457" s="974"/>
      <c r="F457" s="974"/>
      <c r="G457" s="974"/>
      <c r="H457" s="974"/>
      <c r="I457" s="974"/>
      <c r="J457" s="974"/>
      <c r="K457" s="974"/>
      <c r="L457" s="974"/>
      <c r="M457" s="974"/>
      <c r="N457" s="974"/>
      <c r="O457" s="974"/>
      <c r="P457" s="974"/>
      <c r="Q457" s="974"/>
      <c r="R457" s="974"/>
      <c r="S457" s="974"/>
      <c r="T457" s="974"/>
      <c r="U457" s="974"/>
      <c r="V457" s="974"/>
      <c r="W457" s="974"/>
      <c r="X457" s="974"/>
      <c r="Y457" s="974"/>
      <c r="Z457" s="974"/>
      <c r="AA457" s="978">
        <f>Baza!I120</f>
        <v>0</v>
      </c>
      <c r="AB457" s="978"/>
      <c r="AC457" s="978"/>
      <c r="AD457" s="978"/>
      <c r="AE457" s="978"/>
      <c r="AF457" s="978"/>
      <c r="AG457" s="978"/>
      <c r="AH457" s="978"/>
      <c r="AI457" s="976">
        <f t="shared" si="15"/>
        <v>0</v>
      </c>
      <c r="AJ457" s="976"/>
      <c r="AK457" s="976"/>
      <c r="AL457" s="976"/>
      <c r="AM457" s="1092">
        <f>Baza!J120</f>
        <v>0</v>
      </c>
      <c r="AN457" s="1092"/>
      <c r="AO457" s="1092"/>
      <c r="AP457" s="1092"/>
      <c r="AQ457" s="1093">
        <f>Baza!K120</f>
        <v>0</v>
      </c>
      <c r="AR457" s="1093"/>
      <c r="AS457" s="1093"/>
      <c r="AT457" s="1093"/>
      <c r="AZ457" s="959"/>
    </row>
    <row r="458" ht="19.5" customHeight="1" spans="1:52">
      <c r="A458" s="977">
        <v>5</v>
      </c>
      <c r="B458" s="974" t="str">
        <f>IF(AA458=0,"-",Baza!B121)</f>
        <v>-</v>
      </c>
      <c r="C458" s="974"/>
      <c r="D458" s="974"/>
      <c r="E458" s="974"/>
      <c r="F458" s="974"/>
      <c r="G458" s="974"/>
      <c r="H458" s="974"/>
      <c r="I458" s="974"/>
      <c r="J458" s="974"/>
      <c r="K458" s="974"/>
      <c r="L458" s="974"/>
      <c r="M458" s="974"/>
      <c r="N458" s="974"/>
      <c r="O458" s="974"/>
      <c r="P458" s="974"/>
      <c r="Q458" s="974"/>
      <c r="R458" s="974"/>
      <c r="S458" s="974"/>
      <c r="T458" s="974"/>
      <c r="U458" s="974"/>
      <c r="V458" s="974"/>
      <c r="W458" s="974"/>
      <c r="X458" s="974"/>
      <c r="Y458" s="974"/>
      <c r="Z458" s="974"/>
      <c r="AA458" s="978">
        <f>Baza!I121</f>
        <v>0</v>
      </c>
      <c r="AB458" s="978"/>
      <c r="AC458" s="978"/>
      <c r="AD458" s="978"/>
      <c r="AE458" s="978"/>
      <c r="AF458" s="978"/>
      <c r="AG458" s="978"/>
      <c r="AH458" s="978"/>
      <c r="AI458" s="976">
        <f t="shared" si="15"/>
        <v>0</v>
      </c>
      <c r="AJ458" s="976"/>
      <c r="AK458" s="976"/>
      <c r="AL458" s="976"/>
      <c r="AM458" s="1092">
        <f>Baza!J121</f>
        <v>0</v>
      </c>
      <c r="AN458" s="1092"/>
      <c r="AO458" s="1092"/>
      <c r="AP458" s="1092"/>
      <c r="AQ458" s="1093">
        <f>Baza!K121</f>
        <v>0</v>
      </c>
      <c r="AR458" s="1093"/>
      <c r="AS458" s="1093"/>
      <c r="AT458" s="1093"/>
      <c r="AZ458" s="959"/>
    </row>
    <row r="459" ht="19.5" customHeight="1" spans="1:52">
      <c r="A459" s="979">
        <v>6</v>
      </c>
      <c r="B459" s="1011" t="s">
        <v>2330</v>
      </c>
      <c r="C459" s="1011"/>
      <c r="D459" s="1011"/>
      <c r="E459" s="1011"/>
      <c r="F459" s="1011"/>
      <c r="G459" s="1011"/>
      <c r="H459" s="1011"/>
      <c r="I459" s="1011"/>
      <c r="J459" s="1011"/>
      <c r="K459" s="1011"/>
      <c r="L459" s="1011"/>
      <c r="M459" s="1011"/>
      <c r="N459" s="1011"/>
      <c r="O459" s="1011"/>
      <c r="P459" s="1011"/>
      <c r="Q459" s="1011"/>
      <c r="R459" s="1011"/>
      <c r="S459" s="1011"/>
      <c r="T459" s="1011"/>
      <c r="U459" s="1011"/>
      <c r="V459" s="1011"/>
      <c r="W459" s="1011"/>
      <c r="X459" s="1011"/>
      <c r="Y459" s="1011"/>
      <c r="Z459" s="1011"/>
      <c r="AA459" s="1094">
        <f>Baza!I122</f>
        <v>0</v>
      </c>
      <c r="AB459" s="1094"/>
      <c r="AC459" s="1094"/>
      <c r="AD459" s="1094"/>
      <c r="AE459" s="1094"/>
      <c r="AF459" s="1094"/>
      <c r="AG459" s="1094"/>
      <c r="AH459" s="1094"/>
      <c r="AI459" s="1095">
        <f t="shared" si="15"/>
        <v>0</v>
      </c>
      <c r="AJ459" s="1095"/>
      <c r="AK459" s="1095"/>
      <c r="AL459" s="1095"/>
      <c r="AM459" s="1096">
        <f>Baza!J122</f>
        <v>0</v>
      </c>
      <c r="AN459" s="1096"/>
      <c r="AO459" s="1096"/>
      <c r="AP459" s="1096"/>
      <c r="AQ459" s="1097">
        <f>Baza!K122</f>
        <v>0</v>
      </c>
      <c r="AR459" s="1097"/>
      <c r="AS459" s="1097"/>
      <c r="AT459" s="1097"/>
      <c r="AZ459" s="959"/>
    </row>
    <row r="460" ht="19.5" customHeight="1" spans="1:52">
      <c r="A460" s="1098">
        <v>7</v>
      </c>
      <c r="B460" s="1099" t="s">
        <v>7635</v>
      </c>
      <c r="C460" s="1099"/>
      <c r="D460" s="1099"/>
      <c r="E460" s="1099"/>
      <c r="F460" s="1099"/>
      <c r="G460" s="1099"/>
      <c r="H460" s="1099"/>
      <c r="I460" s="1099"/>
      <c r="J460" s="1099"/>
      <c r="K460" s="1099"/>
      <c r="L460" s="1099"/>
      <c r="M460" s="1099"/>
      <c r="N460" s="1099"/>
      <c r="O460" s="1099"/>
      <c r="P460" s="1099"/>
      <c r="Q460" s="1099"/>
      <c r="R460" s="1099"/>
      <c r="S460" s="1099"/>
      <c r="T460" s="1099"/>
      <c r="U460" s="1099"/>
      <c r="V460" s="1099"/>
      <c r="W460" s="1099"/>
      <c r="X460" s="1099"/>
      <c r="Y460" s="1099"/>
      <c r="Z460" s="1099"/>
      <c r="AA460" s="995">
        <f>Baza!I123</f>
        <v>596021.5</v>
      </c>
      <c r="AB460" s="995"/>
      <c r="AC460" s="995"/>
      <c r="AD460" s="995"/>
      <c r="AE460" s="995"/>
      <c r="AF460" s="995"/>
      <c r="AG460" s="995"/>
      <c r="AH460" s="995"/>
      <c r="AI460" s="985">
        <f t="shared" si="15"/>
        <v>1</v>
      </c>
      <c r="AJ460" s="985"/>
      <c r="AK460" s="985"/>
      <c r="AL460" s="985"/>
      <c r="AM460" s="1100">
        <f>Baza!J123</f>
        <v>0.415709835970682</v>
      </c>
      <c r="AN460" s="1100"/>
      <c r="AO460" s="1100"/>
      <c r="AP460" s="1100"/>
      <c r="AQ460" s="1101">
        <f>Baza!K123</f>
        <v>878</v>
      </c>
      <c r="AR460" s="1101"/>
      <c r="AS460" s="1101"/>
      <c r="AT460" s="1101"/>
      <c r="AZ460" s="959"/>
    </row>
    <row r="461" spans="1:52">
      <c r="B461" s="572"/>
      <c r="C461" s="572"/>
      <c r="D461" s="572"/>
      <c r="E461" s="572"/>
      <c r="F461" s="572"/>
      <c r="G461" s="572"/>
      <c r="H461" s="572"/>
      <c r="I461" s="572"/>
      <c r="J461" s="572"/>
      <c r="K461" s="572"/>
      <c r="L461" s="572"/>
      <c r="M461" s="572"/>
      <c r="N461" s="572"/>
      <c r="O461" s="572"/>
      <c r="P461" s="572"/>
      <c r="Q461" s="572"/>
      <c r="R461" s="572"/>
      <c r="S461" s="572"/>
      <c r="T461" s="572"/>
      <c r="U461" s="572"/>
    </row>
    <row r="462" spans="1:52">
      <c r="B462" s="572"/>
      <c r="C462" s="572"/>
      <c r="D462" s="572"/>
      <c r="E462" s="572"/>
      <c r="F462" s="572"/>
      <c r="G462" s="572"/>
      <c r="H462" s="572"/>
      <c r="I462" s="572"/>
      <c r="J462" s="572"/>
      <c r="K462" s="572"/>
      <c r="L462" s="572"/>
      <c r="M462" s="572"/>
      <c r="N462" s="572"/>
      <c r="O462" s="572"/>
      <c r="P462" s="572"/>
      <c r="Q462" s="572"/>
      <c r="R462" s="572"/>
      <c r="S462" s="572"/>
      <c r="T462" s="572"/>
      <c r="U462" s="572"/>
    </row>
    <row r="463" ht="15" spans="1:52">
      <c r="A463" s="1" t="str">
        <f ca="1">"Pregled prosječno korištenih tekućih sredstava u obračunskom periodu "&amp;PoslGod&amp;". godine. (po strukturi)"</f>
        <v>Pregled prosječno korištenih tekućih sredstava u obračunskom periodu 2025. godine. (po strukturi)</v>
      </c>
      <c r="B463" s="572"/>
      <c r="C463" s="572"/>
      <c r="D463" s="572"/>
      <c r="E463" s="572"/>
      <c r="F463" s="572"/>
      <c r="G463" s="572"/>
      <c r="H463" s="572"/>
      <c r="I463" s="572"/>
      <c r="J463" s="572"/>
      <c r="K463" s="572"/>
      <c r="L463" s="572"/>
      <c r="M463" s="572"/>
      <c r="N463" s="572"/>
      <c r="O463" s="572"/>
      <c r="P463" s="572"/>
      <c r="Q463" s="572"/>
      <c r="R463" s="572"/>
      <c r="S463" s="572"/>
      <c r="T463" s="572"/>
      <c r="U463" s="572"/>
    </row>
    <row r="464" ht="18.75" customHeight="1" spans="1:52">
      <c r="A464" s="960" t="s">
        <v>5787</v>
      </c>
      <c r="B464" s="961" t="s">
        <v>7636</v>
      </c>
      <c r="C464" s="962"/>
      <c r="D464" s="962"/>
      <c r="E464" s="962"/>
      <c r="F464" s="962"/>
      <c r="G464" s="962"/>
      <c r="H464" s="962"/>
      <c r="I464" s="962"/>
      <c r="J464" s="962"/>
      <c r="K464" s="962"/>
      <c r="L464" s="962"/>
      <c r="M464" s="962"/>
      <c r="N464" s="962"/>
      <c r="O464" s="962"/>
      <c r="P464" s="962"/>
      <c r="Q464" s="962"/>
      <c r="R464" s="962"/>
      <c r="S464" s="962"/>
      <c r="T464" s="962"/>
      <c r="U464" s="962"/>
      <c r="V464" s="962"/>
      <c r="W464" s="962"/>
      <c r="X464" s="962"/>
      <c r="Y464" s="962"/>
      <c r="Z464" s="963"/>
      <c r="AA464" s="1088" t="s">
        <v>7630</v>
      </c>
      <c r="AB464" s="1088"/>
      <c r="AC464" s="1088"/>
      <c r="AD464" s="1088"/>
      <c r="AE464" s="1088"/>
      <c r="AF464" s="1088"/>
      <c r="AG464" s="1088"/>
      <c r="AH464" s="1088"/>
      <c r="AI464" s="1088"/>
      <c r="AJ464" s="1088"/>
      <c r="AK464" s="1088"/>
      <c r="AL464" s="1088"/>
      <c r="AM464" s="1088" t="s">
        <v>7631</v>
      </c>
      <c r="AN464" s="1088"/>
      <c r="AO464" s="1088"/>
      <c r="AP464" s="1088"/>
      <c r="AQ464" s="1088" t="s">
        <v>119</v>
      </c>
      <c r="AR464" s="1088"/>
      <c r="AS464" s="1088"/>
      <c r="AT464" s="1088"/>
    </row>
    <row r="465" ht="18.75" customHeight="1" spans="1:52">
      <c r="A465" s="967" t="s">
        <v>5791</v>
      </c>
      <c r="B465" s="968"/>
      <c r="C465" s="969"/>
      <c r="D465" s="969"/>
      <c r="E465" s="969"/>
      <c r="F465" s="969"/>
      <c r="G465" s="969"/>
      <c r="H465" s="969"/>
      <c r="I465" s="969"/>
      <c r="J465" s="969"/>
      <c r="K465" s="969"/>
      <c r="L465" s="969"/>
      <c r="M465" s="969"/>
      <c r="N465" s="969"/>
      <c r="O465" s="969"/>
      <c r="P465" s="969"/>
      <c r="Q465" s="969"/>
      <c r="R465" s="969"/>
      <c r="S465" s="969"/>
      <c r="T465" s="969"/>
      <c r="U465" s="969"/>
      <c r="V465" s="969"/>
      <c r="W465" s="969"/>
      <c r="X465" s="969"/>
      <c r="Y465" s="969"/>
      <c r="Z465" s="970"/>
      <c r="AA465" s="1089" t="s">
        <v>7632</v>
      </c>
      <c r="AB465" s="1089"/>
      <c r="AC465" s="1089"/>
      <c r="AD465" s="1089"/>
      <c r="AE465" s="1089"/>
      <c r="AF465" s="1089"/>
      <c r="AG465" s="1089"/>
      <c r="AH465" s="1089"/>
      <c r="AI465" s="1089" t="s">
        <v>20</v>
      </c>
      <c r="AJ465" s="1089"/>
      <c r="AK465" s="1089"/>
      <c r="AL465" s="1089"/>
      <c r="AM465" s="1089" t="s">
        <v>7633</v>
      </c>
      <c r="AN465" s="1089"/>
      <c r="AO465" s="1089"/>
      <c r="AP465" s="1089"/>
      <c r="AQ465" s="1089" t="s">
        <v>7634</v>
      </c>
      <c r="AR465" s="1089"/>
      <c r="AS465" s="1089"/>
      <c r="AT465" s="1089"/>
    </row>
    <row r="466" ht="15" customHeight="1" spans="1:52">
      <c r="A466" s="972">
        <v>0</v>
      </c>
      <c r="B466" s="972">
        <v>1</v>
      </c>
      <c r="C466" s="972"/>
      <c r="D466" s="972"/>
      <c r="E466" s="972"/>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v>3</v>
      </c>
      <c r="AB466" s="972"/>
      <c r="AC466" s="972"/>
      <c r="AD466" s="972"/>
      <c r="AE466" s="972"/>
      <c r="AF466" s="972"/>
      <c r="AG466" s="972"/>
      <c r="AH466" s="972"/>
      <c r="AI466" s="972">
        <v>4</v>
      </c>
      <c r="AJ466" s="972"/>
      <c r="AK466" s="972"/>
      <c r="AL466" s="972"/>
      <c r="AM466" s="972">
        <v>5</v>
      </c>
      <c r="AN466" s="972"/>
      <c r="AO466" s="972"/>
      <c r="AP466" s="972"/>
      <c r="AQ466" s="972">
        <v>6</v>
      </c>
      <c r="AR466" s="972"/>
      <c r="AS466" s="972"/>
      <c r="AT466" s="972"/>
    </row>
    <row r="467" ht="19.5" customHeight="1" spans="1:52">
      <c r="A467" s="973">
        <v>1</v>
      </c>
      <c r="B467" s="1009" t="str">
        <f>IF(AA467=0,"-",Baza!B141)</f>
        <v>Potraživanja</v>
      </c>
      <c r="C467" s="1009"/>
      <c r="D467" s="1009"/>
      <c r="E467" s="1009"/>
      <c r="F467" s="1009"/>
      <c r="G467" s="1009"/>
      <c r="H467" s="1009"/>
      <c r="I467" s="1009"/>
      <c r="J467" s="1009"/>
      <c r="K467" s="1009"/>
      <c r="L467" s="1009"/>
      <c r="M467" s="1009"/>
      <c r="N467" s="1009"/>
      <c r="O467" s="1009"/>
      <c r="P467" s="1009"/>
      <c r="Q467" s="1009"/>
      <c r="R467" s="1009"/>
      <c r="S467" s="1009"/>
      <c r="T467" s="1009"/>
      <c r="U467" s="1009"/>
      <c r="V467" s="1009"/>
      <c r="W467" s="1009"/>
      <c r="X467" s="1009"/>
      <c r="Y467" s="1009"/>
      <c r="Z467" s="1009"/>
      <c r="AA467" s="975">
        <f>Baza!I141</f>
        <v>596021.5</v>
      </c>
      <c r="AB467" s="975"/>
      <c r="AC467" s="975"/>
      <c r="AD467" s="975"/>
      <c r="AE467" s="975"/>
      <c r="AF467" s="975"/>
      <c r="AG467" s="975"/>
      <c r="AH467" s="975"/>
      <c r="AI467" s="1102">
        <f>IFERROR(AA467/$AA$470,"-")</f>
        <v>1</v>
      </c>
      <c r="AJ467" s="1102"/>
      <c r="AK467" s="1102"/>
      <c r="AL467" s="1102"/>
      <c r="AM467" s="1103">
        <f>Baza!J141</f>
        <v>0.415709835970682</v>
      </c>
      <c r="AN467" s="1103"/>
      <c r="AO467" s="1103"/>
      <c r="AP467" s="1103"/>
      <c r="AQ467" s="1104">
        <f>Baza!K141</f>
        <v>878</v>
      </c>
      <c r="AR467" s="1104"/>
      <c r="AS467" s="1104"/>
      <c r="AT467" s="1104"/>
      <c r="AZ467" s="959"/>
    </row>
    <row r="468" ht="19.5" customHeight="1" spans="1:52">
      <c r="A468" s="977">
        <v>2</v>
      </c>
      <c r="B468" s="974" t="str">
        <f>IF(AA468=0,"-",Baza!B142)</f>
        <v>Gotovina -novčana sredstva</v>
      </c>
      <c r="C468" s="974"/>
      <c r="D468" s="974"/>
      <c r="E468" s="974"/>
      <c r="F468" s="974"/>
      <c r="G468" s="974"/>
      <c r="H468" s="974"/>
      <c r="I468" s="974"/>
      <c r="J468" s="974"/>
      <c r="K468" s="974"/>
      <c r="L468" s="974"/>
      <c r="M468" s="974"/>
      <c r="N468" s="974"/>
      <c r="O468" s="974"/>
      <c r="P468" s="974"/>
      <c r="Q468" s="974"/>
      <c r="R468" s="974"/>
      <c r="S468" s="974"/>
      <c r="T468" s="974"/>
      <c r="U468" s="974"/>
      <c r="V468" s="974"/>
      <c r="W468" s="974"/>
      <c r="X468" s="974"/>
      <c r="Y468" s="974"/>
      <c r="Z468" s="974"/>
      <c r="AA468" s="978">
        <f>Baza!I142</f>
        <v>1187</v>
      </c>
      <c r="AB468" s="978"/>
      <c r="AC468" s="978"/>
      <c r="AD468" s="978"/>
      <c r="AE468" s="978"/>
      <c r="AF468" s="978"/>
      <c r="AG468" s="978"/>
      <c r="AH468" s="978"/>
      <c r="AI468" s="1105">
        <f t="shared" ref="AI468:AI470" si="16">IFERROR(AA468/$AA$470,"-")</f>
        <v>0.00199153889582842</v>
      </c>
      <c r="AJ468" s="1105"/>
      <c r="AK468" s="1105"/>
      <c r="AL468" s="1105"/>
      <c r="AM468" s="1106">
        <f>Baza!J142</f>
        <v>208.73799494524</v>
      </c>
      <c r="AN468" s="1106"/>
      <c r="AO468" s="1106"/>
      <c r="AP468" s="1106"/>
      <c r="AQ468" s="1107">
        <f>Baza!K142</f>
        <v>2</v>
      </c>
      <c r="AR468" s="1107"/>
      <c r="AS468" s="1107"/>
      <c r="AT468" s="1107"/>
      <c r="AZ468" s="959"/>
    </row>
    <row r="469" ht="19.5" customHeight="1" spans="1:52">
      <c r="A469" s="979">
        <v>3</v>
      </c>
      <c r="B469" s="1011" t="str">
        <f>IF(AA469=0,"-",Baza!B143)</f>
        <v>-</v>
      </c>
      <c r="C469" s="1011"/>
      <c r="D469" s="1011"/>
      <c r="E469" s="1011"/>
      <c r="F469" s="1011"/>
      <c r="G469" s="1011"/>
      <c r="H469" s="1011"/>
      <c r="I469" s="1011"/>
      <c r="J469" s="1011"/>
      <c r="K469" s="1011"/>
      <c r="L469" s="1011"/>
      <c r="M469" s="1011"/>
      <c r="N469" s="1011"/>
      <c r="O469" s="1011"/>
      <c r="P469" s="1011"/>
      <c r="Q469" s="1011"/>
      <c r="R469" s="1011"/>
      <c r="S469" s="1011"/>
      <c r="T469" s="1011"/>
      <c r="U469" s="1011"/>
      <c r="V469" s="1011"/>
      <c r="W469" s="1011"/>
      <c r="X469" s="1011"/>
      <c r="Y469" s="1011"/>
      <c r="Z469" s="1011"/>
      <c r="AA469" s="1094">
        <f>Baza!I143</f>
        <v>0</v>
      </c>
      <c r="AB469" s="1094"/>
      <c r="AC469" s="1094"/>
      <c r="AD469" s="1094"/>
      <c r="AE469" s="1094"/>
      <c r="AF469" s="1094"/>
      <c r="AG469" s="1094"/>
      <c r="AH469" s="1094"/>
      <c r="AI469" s="1108">
        <f t="shared" si="16"/>
        <v>0</v>
      </c>
      <c r="AJ469" s="1108"/>
      <c r="AK469" s="1108"/>
      <c r="AL469" s="1108"/>
      <c r="AM469" s="1109">
        <f>Baza!J143</f>
        <v>0</v>
      </c>
      <c r="AN469" s="1109"/>
      <c r="AO469" s="1109"/>
      <c r="AP469" s="1109"/>
      <c r="AQ469" s="1110">
        <f>Baza!K143</f>
        <v>0</v>
      </c>
      <c r="AR469" s="1110"/>
      <c r="AS469" s="1110"/>
      <c r="AT469" s="1110"/>
      <c r="AZ469" s="959"/>
    </row>
    <row r="470" ht="19.5" customHeight="1" spans="1:52">
      <c r="A470" s="1098">
        <v>4</v>
      </c>
      <c r="B470" s="1099" t="s">
        <v>7635</v>
      </c>
      <c r="C470" s="1099"/>
      <c r="D470" s="1099"/>
      <c r="E470" s="1099"/>
      <c r="F470" s="1099"/>
      <c r="G470" s="1099"/>
      <c r="H470" s="1099"/>
      <c r="I470" s="1099"/>
      <c r="J470" s="1099"/>
      <c r="K470" s="1099"/>
      <c r="L470" s="1099"/>
      <c r="M470" s="1099"/>
      <c r="N470" s="1099"/>
      <c r="O470" s="1099"/>
      <c r="P470" s="1099"/>
      <c r="Q470" s="1099"/>
      <c r="R470" s="1099"/>
      <c r="S470" s="1099"/>
      <c r="T470" s="1099"/>
      <c r="U470" s="1099"/>
      <c r="V470" s="1099"/>
      <c r="W470" s="1099"/>
      <c r="X470" s="1099"/>
      <c r="Y470" s="1099"/>
      <c r="Z470" s="1099"/>
      <c r="AA470" s="995">
        <f>AA460</f>
        <v>596021.5</v>
      </c>
      <c r="AB470" s="995"/>
      <c r="AC470" s="995"/>
      <c r="AD470" s="995"/>
      <c r="AE470" s="995"/>
      <c r="AF470" s="995"/>
      <c r="AG470" s="995"/>
      <c r="AH470" s="995"/>
      <c r="AI470" s="1111">
        <f t="shared" si="16"/>
        <v>1</v>
      </c>
      <c r="AJ470" s="1111"/>
      <c r="AK470" s="1111"/>
      <c r="AL470" s="1111"/>
      <c r="AM470" s="1100">
        <f>AM460</f>
        <v>0.415709835970682</v>
      </c>
      <c r="AN470" s="1100"/>
      <c r="AO470" s="1100"/>
      <c r="AP470" s="1100"/>
      <c r="AQ470" s="1101">
        <f>AQ460</f>
        <v>878</v>
      </c>
      <c r="AR470" s="1101"/>
      <c r="AS470" s="1101"/>
      <c r="AT470" s="1101"/>
      <c r="AZ470" s="959"/>
    </row>
    <row r="471" spans="1:52">
      <c r="B471" s="572"/>
      <c r="C471" s="572"/>
      <c r="D471" s="572"/>
      <c r="E471" s="572"/>
      <c r="F471" s="572"/>
      <c r="G471" s="572"/>
      <c r="H471" s="572"/>
      <c r="I471" s="572"/>
      <c r="J471" s="572"/>
      <c r="K471" s="572"/>
      <c r="L471" s="572"/>
      <c r="M471" s="572"/>
      <c r="N471" s="572"/>
      <c r="O471" s="572"/>
      <c r="P471" s="572"/>
      <c r="Q471" s="572"/>
      <c r="R471" s="572"/>
      <c r="S471" s="572"/>
      <c r="T471" s="572"/>
      <c r="U471" s="572"/>
    </row>
    <row r="472" spans="1:52">
      <c r="B472" s="572"/>
      <c r="C472" s="572"/>
      <c r="D472" s="572"/>
      <c r="E472" s="572"/>
      <c r="F472" s="572"/>
      <c r="G472" s="572"/>
      <c r="H472" s="572"/>
      <c r="I472" s="572"/>
      <c r="J472" s="572"/>
      <c r="K472" s="572"/>
      <c r="L472" s="572"/>
      <c r="M472" s="572"/>
      <c r="N472" s="572"/>
      <c r="O472" s="572"/>
      <c r="P472" s="572"/>
      <c r="Q472" s="572"/>
      <c r="R472" s="572"/>
      <c r="S472" s="572"/>
      <c r="T472" s="572"/>
      <c r="U472" s="572"/>
    </row>
    <row r="473" spans="1:52">
      <c r="B473" s="572"/>
      <c r="C473" s="572"/>
      <c r="D473" s="572"/>
      <c r="E473" s="572"/>
      <c r="F473" s="572"/>
      <c r="G473" s="572"/>
      <c r="H473" s="572"/>
      <c r="I473" s="572"/>
      <c r="J473" s="572"/>
      <c r="K473" s="572"/>
      <c r="L473" s="572"/>
      <c r="M473" s="572"/>
      <c r="N473" s="572"/>
      <c r="O473" s="572"/>
      <c r="P473" s="572"/>
      <c r="Q473" s="572"/>
      <c r="R473" s="572"/>
      <c r="S473" s="572"/>
      <c r="T473" s="572"/>
      <c r="U473" s="572"/>
    </row>
    <row r="474" spans="1:52">
      <c r="B474" s="572"/>
      <c r="C474" s="572"/>
      <c r="D474" s="572"/>
      <c r="E474" s="572"/>
      <c r="F474" s="572"/>
      <c r="G474" s="572"/>
      <c r="H474" s="572"/>
      <c r="I474" s="572"/>
      <c r="J474" s="572"/>
      <c r="K474" s="572"/>
      <c r="L474" s="572"/>
      <c r="M474" s="572"/>
      <c r="N474" s="572"/>
      <c r="O474" s="572"/>
      <c r="P474" s="572"/>
      <c r="Q474" s="572"/>
      <c r="R474" s="572"/>
      <c r="S474" s="572"/>
      <c r="T474" s="572"/>
      <c r="U474" s="572"/>
    </row>
    <row r="475" spans="1:52">
      <c r="B475" s="572"/>
      <c r="C475" s="572"/>
      <c r="D475" s="572"/>
      <c r="E475" s="572"/>
      <c r="F475" s="572"/>
      <c r="G475" s="572"/>
      <c r="H475" s="572"/>
      <c r="I475" s="572"/>
      <c r="J475" s="572"/>
      <c r="K475" s="572"/>
      <c r="L475" s="572"/>
      <c r="M475" s="572"/>
      <c r="N475" s="572"/>
      <c r="O475" s="572"/>
      <c r="P475" s="572"/>
      <c r="Q475" s="572"/>
      <c r="R475" s="572"/>
      <c r="S475" s="572"/>
      <c r="T475" s="572"/>
      <c r="U475" s="572"/>
    </row>
    <row r="476" spans="1:52">
      <c r="B476" s="572"/>
      <c r="C476" s="572"/>
      <c r="D476" s="572"/>
      <c r="E476" s="572"/>
      <c r="F476" s="572"/>
      <c r="G476" s="572"/>
      <c r="H476" s="572"/>
      <c r="I476" s="572"/>
      <c r="J476" s="572"/>
      <c r="K476" s="572"/>
      <c r="L476" s="572"/>
      <c r="M476" s="572"/>
      <c r="N476" s="572"/>
      <c r="O476" s="572"/>
      <c r="P476" s="572"/>
      <c r="Q476" s="572"/>
      <c r="R476" s="572"/>
      <c r="S476" s="572"/>
      <c r="T476" s="572"/>
      <c r="U476" s="572"/>
    </row>
    <row r="477" spans="1:52">
      <c r="B477" s="572"/>
      <c r="C477" s="572"/>
      <c r="D477" s="572"/>
      <c r="E477" s="572"/>
      <c r="F477" s="572"/>
      <c r="G477" s="572"/>
      <c r="H477" s="572"/>
      <c r="I477" s="572"/>
      <c r="J477" s="572"/>
      <c r="K477" s="572"/>
      <c r="L477" s="572"/>
      <c r="M477" s="572"/>
      <c r="N477" s="572"/>
      <c r="O477" s="572"/>
      <c r="P477" s="572"/>
      <c r="Q477" s="572"/>
      <c r="R477" s="572"/>
      <c r="S477" s="572"/>
      <c r="T477" s="572"/>
      <c r="U477" s="572"/>
    </row>
    <row r="478" spans="1:52">
      <c r="B478" s="572"/>
      <c r="C478" s="572"/>
      <c r="D478" s="572"/>
      <c r="E478" s="572"/>
      <c r="F478" s="572"/>
      <c r="G478" s="572"/>
      <c r="H478" s="572"/>
      <c r="I478" s="572"/>
      <c r="J478" s="572"/>
      <c r="K478" s="572"/>
      <c r="L478" s="572"/>
      <c r="M478" s="572"/>
      <c r="N478" s="572"/>
      <c r="O478" s="572"/>
      <c r="P478" s="572"/>
      <c r="Q478" s="572"/>
      <c r="R478" s="572"/>
      <c r="S478" s="572"/>
      <c r="T478" s="572"/>
      <c r="U478" s="572"/>
      <c r="AB478" s="572" t="s">
        <v>4043</v>
      </c>
      <c r="AC478" t="s">
        <v>7637</v>
      </c>
    </row>
    <row r="479" spans="1:52">
      <c r="B479" s="572"/>
      <c r="C479" s="572"/>
      <c r="D479" s="572"/>
      <c r="E479" s="572"/>
      <c r="F479" s="572"/>
      <c r="G479" s="572"/>
      <c r="H479" s="572"/>
      <c r="I479" s="572"/>
      <c r="J479" s="572"/>
      <c r="K479" s="572"/>
      <c r="L479" s="572"/>
      <c r="M479" s="572"/>
      <c r="N479" s="572"/>
      <c r="O479" s="572"/>
      <c r="P479" s="572"/>
      <c r="Q479" s="572"/>
      <c r="R479" s="572"/>
      <c r="S479" s="572"/>
      <c r="T479" s="572"/>
      <c r="U479" s="572"/>
      <c r="AB479" t="str">
        <f>B454</f>
        <v>Dati krediti  (AOP 051)</v>
      </c>
      <c r="AC479" s="1112">
        <f>AA454</f>
        <v>477303.5</v>
      </c>
    </row>
    <row r="480" spans="1:52">
      <c r="B480" s="572"/>
      <c r="C480" s="572"/>
      <c r="D480" s="572"/>
      <c r="E480" s="572"/>
      <c r="F480" s="572"/>
      <c r="G480" s="572"/>
      <c r="H480" s="572"/>
      <c r="I480" s="572"/>
      <c r="J480" s="572"/>
      <c r="K480" s="572"/>
      <c r="L480" s="572"/>
      <c r="M480" s="572"/>
      <c r="N480" s="572"/>
      <c r="O480" s="572"/>
      <c r="P480" s="572"/>
      <c r="Q480" s="572"/>
      <c r="R480" s="572"/>
      <c r="S480" s="572"/>
      <c r="T480" s="572"/>
      <c r="U480" s="572"/>
      <c r="AB480" t="str">
        <f t="shared" ref="AB480:AB484" si="17">B455</f>
        <v>Ostala imovina i potraživanja, uključujući i razgraničenja (AOP 059)</v>
      </c>
      <c r="AC480" s="1112">
        <f t="shared" ref="AC480:AC484" si="18">AA455</f>
        <v>97975.5</v>
      </c>
    </row>
    <row r="481" spans="2:29">
      <c r="B481" s="572"/>
      <c r="C481" s="572"/>
      <c r="D481" s="572"/>
      <c r="E481" s="572"/>
      <c r="F481" s="572"/>
      <c r="G481" s="572"/>
      <c r="H481" s="572"/>
      <c r="I481" s="572"/>
      <c r="J481" s="572"/>
      <c r="K481" s="572"/>
      <c r="L481" s="572"/>
      <c r="M481" s="572"/>
      <c r="N481" s="572"/>
      <c r="O481" s="572"/>
      <c r="P481" s="572"/>
      <c r="Q481" s="572"/>
      <c r="R481" s="572"/>
      <c r="S481" s="572"/>
      <c r="T481" s="572"/>
      <c r="U481" s="572"/>
      <c r="AB481" t="str">
        <f t="shared" si="17"/>
        <v>Kupci u zemlji (AOP 047)</v>
      </c>
      <c r="AC481" s="1112">
        <f t="shared" si="18"/>
        <v>20742.5</v>
      </c>
    </row>
    <row r="482" spans="2:29">
      <c r="B482" s="572"/>
      <c r="C482" s="572"/>
      <c r="D482" s="572"/>
      <c r="E482" s="572"/>
      <c r="F482" s="572"/>
      <c r="G482" s="572"/>
      <c r="H482" s="572"/>
      <c r="I482" s="572"/>
      <c r="J482" s="572"/>
      <c r="K482" s="572"/>
      <c r="L482" s="572"/>
      <c r="M482" s="572"/>
      <c r="N482" s="572"/>
      <c r="O482" s="572"/>
      <c r="P482" s="572"/>
      <c r="Q482" s="572"/>
      <c r="R482" s="572"/>
      <c r="S482" s="572"/>
      <c r="T482" s="572"/>
      <c r="U482" s="572"/>
      <c r="AB482" t="str">
        <f t="shared" si="17"/>
        <v>-</v>
      </c>
      <c r="AC482" s="1112">
        <f t="shared" si="18"/>
        <v>0</v>
      </c>
    </row>
    <row r="483" spans="2:29">
      <c r="B483" s="572"/>
      <c r="C483" s="572"/>
      <c r="D483" s="572"/>
      <c r="E483" s="572"/>
      <c r="F483" s="572"/>
      <c r="G483" s="572"/>
      <c r="H483" s="572"/>
      <c r="I483" s="572"/>
      <c r="J483" s="572"/>
      <c r="K483" s="572"/>
      <c r="L483" s="572"/>
      <c r="M483" s="572"/>
      <c r="N483" s="572"/>
      <c r="O483" s="572"/>
      <c r="P483" s="572"/>
      <c r="Q483" s="572"/>
      <c r="R483" s="572"/>
      <c r="S483" s="572"/>
      <c r="T483" s="572"/>
      <c r="U483" s="572"/>
      <c r="AB483" t="str">
        <f t="shared" si="17"/>
        <v>-</v>
      </c>
      <c r="AC483" s="1112">
        <f t="shared" si="18"/>
        <v>0</v>
      </c>
    </row>
    <row r="484" spans="2:29">
      <c r="B484" s="572"/>
      <c r="C484" s="572"/>
      <c r="D484" s="572"/>
      <c r="E484" s="572"/>
      <c r="F484" s="572"/>
      <c r="G484" s="572"/>
      <c r="H484" s="572"/>
      <c r="I484" s="572"/>
      <c r="J484" s="572"/>
      <c r="K484" s="572"/>
      <c r="L484" s="572"/>
      <c r="M484" s="572"/>
      <c r="N484" s="572"/>
      <c r="O484" s="572"/>
      <c r="P484" s="572"/>
      <c r="Q484" s="572"/>
      <c r="R484" s="572"/>
      <c r="S484" s="572"/>
      <c r="T484" s="572"/>
      <c r="U484" s="572"/>
      <c r="AB484" t="str">
        <f t="shared" si="17"/>
        <v>Ostala tekuća (obrtna) sredstva</v>
      </c>
      <c r="AC484" s="1112">
        <f t="shared" si="18"/>
        <v>0</v>
      </c>
    </row>
    <row r="485" spans="2:29">
      <c r="B485" s="572"/>
      <c r="C485" s="572"/>
      <c r="D485" s="572"/>
      <c r="E485" s="572"/>
      <c r="F485" s="572"/>
      <c r="G485" s="572"/>
      <c r="H485" s="572"/>
      <c r="I485" s="572"/>
      <c r="J485" s="572"/>
      <c r="K485" s="572"/>
      <c r="L485" s="572"/>
      <c r="M485" s="572"/>
      <c r="N485" s="572"/>
      <c r="O485" s="572"/>
      <c r="P485" s="572"/>
      <c r="Q485" s="572"/>
      <c r="R485" s="572"/>
      <c r="S485" s="572"/>
      <c r="T485" s="572"/>
      <c r="U485" s="572"/>
    </row>
    <row r="486" spans="2:29">
      <c r="B486" s="572"/>
      <c r="C486" s="572"/>
      <c r="D486" s="572"/>
      <c r="E486" s="572"/>
      <c r="F486" s="572"/>
      <c r="G486" s="572"/>
      <c r="H486" s="572"/>
      <c r="I486" s="572"/>
      <c r="J486" s="572"/>
      <c r="K486" s="572"/>
      <c r="L486" s="572"/>
      <c r="M486" s="572"/>
      <c r="N486" s="572"/>
      <c r="O486" s="572"/>
      <c r="P486" s="572"/>
      <c r="Q486" s="572"/>
      <c r="R486" s="572"/>
      <c r="S486" s="572"/>
      <c r="T486" s="572"/>
      <c r="U486" s="572"/>
    </row>
    <row r="487" spans="2:29">
      <c r="B487" s="572"/>
      <c r="C487" s="572"/>
      <c r="D487" s="572"/>
      <c r="E487" s="572"/>
      <c r="F487" s="572"/>
      <c r="G487" s="572"/>
      <c r="H487" s="572"/>
      <c r="I487" s="572"/>
      <c r="J487" s="572"/>
      <c r="K487" s="572"/>
      <c r="L487" s="572"/>
      <c r="M487" s="572"/>
      <c r="N487" s="572"/>
      <c r="O487" s="572"/>
      <c r="P487" s="572"/>
      <c r="Q487" s="572"/>
      <c r="R487" s="572"/>
      <c r="S487" s="572"/>
      <c r="T487" s="572"/>
      <c r="U487" s="572"/>
    </row>
    <row r="488" spans="2:29">
      <c r="B488" s="572"/>
      <c r="C488" s="572"/>
      <c r="D488" s="572"/>
      <c r="E488" s="572"/>
      <c r="F488" s="572"/>
      <c r="G488" s="572"/>
      <c r="H488" s="572"/>
      <c r="I488" s="572"/>
      <c r="J488" s="572"/>
      <c r="K488" s="572"/>
      <c r="L488" s="572"/>
      <c r="M488" s="572"/>
      <c r="N488" s="572"/>
      <c r="O488" s="572"/>
      <c r="P488" s="572"/>
      <c r="Q488" s="572"/>
      <c r="R488" s="572"/>
      <c r="S488" s="572"/>
      <c r="T488" s="572"/>
      <c r="U488" s="572"/>
    </row>
    <row r="489" spans="2:29">
      <c r="B489" s="572"/>
      <c r="C489" s="572"/>
      <c r="D489" s="572"/>
      <c r="E489" s="572"/>
      <c r="F489" s="572"/>
      <c r="G489" s="572"/>
      <c r="H489" s="572"/>
      <c r="I489" s="572"/>
      <c r="J489" s="572"/>
      <c r="K489" s="572"/>
      <c r="L489" s="572"/>
      <c r="M489" s="572"/>
      <c r="N489" s="572"/>
      <c r="O489" s="572"/>
      <c r="P489" s="572"/>
      <c r="Q489" s="572"/>
      <c r="R489" s="572"/>
      <c r="S489" s="572"/>
      <c r="T489" s="572"/>
      <c r="U489" s="572"/>
    </row>
    <row r="490" spans="2:29">
      <c r="B490" s="572"/>
      <c r="C490" s="572"/>
      <c r="D490" s="572"/>
      <c r="E490" s="572"/>
      <c r="F490" s="572"/>
      <c r="G490" s="572"/>
      <c r="H490" s="572"/>
      <c r="I490" s="572"/>
      <c r="J490" s="572"/>
      <c r="K490" s="572"/>
      <c r="L490" s="572"/>
      <c r="M490" s="572"/>
      <c r="N490" s="572"/>
      <c r="O490" s="572"/>
      <c r="P490" s="572"/>
      <c r="Q490" s="572"/>
      <c r="R490" s="572"/>
      <c r="S490" s="572"/>
      <c r="T490" s="572"/>
      <c r="U490" s="572"/>
    </row>
    <row r="491" spans="2:29">
      <c r="B491" s="572"/>
      <c r="C491" s="572"/>
      <c r="D491" s="572"/>
      <c r="E491" s="572"/>
      <c r="F491" s="572"/>
      <c r="G491" s="572"/>
      <c r="H491" s="572"/>
      <c r="I491" s="572"/>
      <c r="J491" s="572"/>
      <c r="K491" s="572"/>
      <c r="L491" s="572"/>
      <c r="M491" s="572"/>
      <c r="N491" s="572"/>
      <c r="O491" s="572"/>
      <c r="P491" s="572"/>
      <c r="Q491" s="572"/>
      <c r="R491" s="572"/>
      <c r="S491" s="572"/>
      <c r="T491" s="572"/>
      <c r="U491" s="572"/>
    </row>
    <row r="492" spans="2:29">
      <c r="B492" s="572"/>
      <c r="C492" s="572"/>
      <c r="D492" s="572"/>
      <c r="E492" s="572"/>
      <c r="F492" s="572"/>
      <c r="G492" s="572"/>
      <c r="H492" s="572"/>
      <c r="I492" s="572"/>
      <c r="J492" s="572"/>
      <c r="K492" s="572"/>
      <c r="L492" s="572"/>
      <c r="M492" s="572"/>
      <c r="N492" s="572"/>
      <c r="O492" s="572"/>
      <c r="P492" s="572"/>
      <c r="Q492" s="572"/>
      <c r="R492" s="572"/>
      <c r="S492" s="572"/>
      <c r="T492" s="572"/>
      <c r="U492" s="572"/>
      <c r="AB492" s="572" t="s">
        <v>4043</v>
      </c>
      <c r="AC492" t="s">
        <v>7637</v>
      </c>
    </row>
    <row r="493" spans="2:29">
      <c r="B493" s="572"/>
      <c r="C493" s="572"/>
      <c r="D493" s="572"/>
      <c r="E493" s="572"/>
      <c r="F493" s="572"/>
      <c r="G493" s="572"/>
      <c r="H493" s="572"/>
      <c r="I493" s="572"/>
      <c r="J493" s="572"/>
      <c r="K493" s="572"/>
      <c r="L493" s="572"/>
      <c r="M493" s="572"/>
      <c r="N493" s="572"/>
      <c r="O493" s="572"/>
      <c r="P493" s="572"/>
      <c r="Q493" s="572"/>
      <c r="R493" s="572"/>
      <c r="S493" s="572"/>
      <c r="T493" s="572"/>
      <c r="U493" s="572"/>
      <c r="AB493" t="str">
        <f>B467</f>
        <v>Potraživanja</v>
      </c>
      <c r="AC493" s="1112">
        <f>AA467</f>
        <v>596021.5</v>
      </c>
    </row>
    <row r="494" spans="2:29">
      <c r="B494" s="572"/>
      <c r="C494" s="572"/>
      <c r="D494" s="572"/>
      <c r="E494" s="572"/>
      <c r="F494" s="572"/>
      <c r="G494" s="572"/>
      <c r="H494" s="572"/>
      <c r="I494" s="572"/>
      <c r="J494" s="572"/>
      <c r="K494" s="572"/>
      <c r="L494" s="572"/>
      <c r="M494" s="572"/>
      <c r="N494" s="572"/>
      <c r="O494" s="572"/>
      <c r="P494" s="572"/>
      <c r="Q494" s="572"/>
      <c r="R494" s="572"/>
      <c r="S494" s="572"/>
      <c r="T494" s="572"/>
      <c r="U494" s="572"/>
      <c r="AB494" t="str">
        <f t="shared" ref="AB494:AB495" si="19">B468</f>
        <v>Gotovina -novčana sredstva</v>
      </c>
      <c r="AC494" s="1112">
        <f t="shared" ref="AC494:AC495" si="20">AA468</f>
        <v>1187</v>
      </c>
    </row>
    <row r="495" spans="2:29">
      <c r="B495" s="572"/>
      <c r="C495" s="572"/>
      <c r="D495" s="572"/>
      <c r="E495" s="572"/>
      <c r="F495" s="572"/>
      <c r="G495" s="572"/>
      <c r="H495" s="572"/>
      <c r="I495" s="572"/>
      <c r="J495" s="572"/>
      <c r="K495" s="572"/>
      <c r="L495" s="572"/>
      <c r="M495" s="572"/>
      <c r="N495" s="572"/>
      <c r="O495" s="572"/>
      <c r="P495" s="572"/>
      <c r="Q495" s="572"/>
      <c r="R495" s="572"/>
      <c r="S495" s="572"/>
      <c r="T495" s="572"/>
      <c r="U495" s="572"/>
      <c r="AB495" t="str">
        <f t="shared" si="19"/>
        <v>-</v>
      </c>
      <c r="AC495" s="1112">
        <f t="shared" si="20"/>
        <v>0</v>
      </c>
    </row>
    <row r="496" spans="2:29">
      <c r="B496" s="572"/>
      <c r="C496" s="572"/>
      <c r="D496" s="572"/>
      <c r="E496" s="572"/>
      <c r="F496" s="572"/>
      <c r="G496" s="572"/>
      <c r="H496" s="572"/>
      <c r="I496" s="572"/>
      <c r="J496" s="572"/>
      <c r="K496" s="572"/>
      <c r="L496" s="572"/>
      <c r="M496" s="572"/>
      <c r="N496" s="572"/>
      <c r="O496" s="572"/>
      <c r="P496" s="572"/>
      <c r="Q496" s="572"/>
      <c r="R496" s="572"/>
      <c r="S496" s="572"/>
      <c r="T496" s="572"/>
      <c r="U496" s="572"/>
      <c r="AC496" s="1112"/>
    </row>
    <row r="497" spans="1:46">
      <c r="B497" s="572"/>
      <c r="C497" s="572"/>
      <c r="D497" s="572"/>
      <c r="E497" s="572"/>
      <c r="F497" s="572"/>
      <c r="G497" s="572"/>
      <c r="H497" s="572"/>
      <c r="I497" s="572"/>
      <c r="J497" s="572"/>
      <c r="K497" s="572"/>
      <c r="L497" s="572"/>
      <c r="M497" s="572"/>
      <c r="N497" s="572"/>
      <c r="O497" s="572"/>
      <c r="P497" s="572"/>
      <c r="Q497" s="572"/>
      <c r="R497" s="572"/>
      <c r="S497" s="572"/>
      <c r="T497" s="572"/>
      <c r="U497" s="572"/>
    </row>
    <row r="498" spans="1:46">
      <c r="B498" s="572"/>
      <c r="C498" s="572"/>
      <c r="D498" s="572"/>
      <c r="E498" s="572"/>
      <c r="F498" s="572"/>
      <c r="G498" s="572"/>
      <c r="H498" s="572"/>
      <c r="I498" s="572"/>
      <c r="J498" s="572"/>
      <c r="K498" s="572"/>
      <c r="L498" s="572"/>
      <c r="M498" s="572"/>
      <c r="N498" s="572"/>
      <c r="O498" s="572"/>
      <c r="P498" s="572"/>
      <c r="Q498" s="572"/>
      <c r="R498" s="572"/>
      <c r="S498" s="572"/>
      <c r="T498" s="572"/>
      <c r="U498" s="572"/>
    </row>
    <row r="499" spans="1:46">
      <c r="B499" s="572"/>
      <c r="C499" s="572"/>
      <c r="D499" s="572"/>
      <c r="E499" s="572"/>
      <c r="F499" s="572"/>
      <c r="G499" s="572"/>
      <c r="H499" s="572"/>
      <c r="I499" s="572"/>
      <c r="J499" s="572"/>
      <c r="K499" s="572"/>
      <c r="L499" s="572"/>
      <c r="M499" s="572"/>
      <c r="N499" s="572"/>
      <c r="O499" s="572"/>
      <c r="P499" s="572"/>
      <c r="Q499" s="572"/>
      <c r="R499" s="572"/>
      <c r="S499" s="572"/>
      <c r="T499" s="572"/>
      <c r="U499" s="572"/>
    </row>
    <row r="500" spans="1:46">
      <c r="B500" s="572"/>
      <c r="C500" s="572"/>
      <c r="D500" s="572"/>
      <c r="E500" s="572"/>
      <c r="F500" s="572"/>
      <c r="G500" s="572"/>
      <c r="H500" s="572"/>
      <c r="I500" s="572"/>
      <c r="J500" s="572"/>
      <c r="K500" s="572"/>
      <c r="L500" s="572"/>
      <c r="M500" s="572"/>
      <c r="N500" s="572"/>
      <c r="O500" s="572"/>
      <c r="P500" s="572"/>
      <c r="Q500" s="572"/>
      <c r="R500" s="572"/>
      <c r="S500" s="572"/>
      <c r="T500" s="572"/>
      <c r="U500" s="572"/>
    </row>
    <row r="501" spans="1:46">
      <c r="B501" s="572"/>
      <c r="C501" s="572"/>
      <c r="D501" s="572"/>
      <c r="E501" s="572"/>
      <c r="F501" s="572"/>
      <c r="G501" s="572"/>
      <c r="H501" s="572"/>
      <c r="I501" s="572"/>
      <c r="J501" s="572"/>
      <c r="K501" s="572"/>
      <c r="L501" s="572"/>
      <c r="M501" s="572"/>
      <c r="N501" s="572"/>
      <c r="O501" s="572"/>
      <c r="P501" s="572"/>
      <c r="Q501" s="572"/>
      <c r="R501" s="572"/>
      <c r="S501" s="572"/>
      <c r="T501" s="572"/>
      <c r="U501" s="572"/>
    </row>
    <row r="502" spans="1:46">
      <c r="B502" s="572"/>
      <c r="C502" s="572"/>
      <c r="D502" s="572"/>
      <c r="E502" s="572"/>
      <c r="F502" s="572"/>
      <c r="G502" s="572"/>
      <c r="H502" s="572"/>
      <c r="I502" s="572"/>
      <c r="J502" s="572"/>
      <c r="K502" s="572"/>
      <c r="L502" s="572"/>
      <c r="M502" s="572"/>
      <c r="N502" s="572"/>
      <c r="O502" s="572"/>
      <c r="P502" s="572"/>
      <c r="Q502" s="572"/>
      <c r="R502" s="572"/>
      <c r="S502" s="572"/>
      <c r="T502" s="572"/>
      <c r="U502" s="572"/>
    </row>
    <row r="503" spans="1:46">
      <c r="B503" s="572"/>
      <c r="C503" s="572"/>
      <c r="D503" s="572"/>
      <c r="E503" s="572"/>
      <c r="F503" s="572"/>
      <c r="G503" s="572"/>
      <c r="H503" s="572"/>
      <c r="I503" s="572"/>
      <c r="J503" s="572"/>
      <c r="K503" s="572"/>
      <c r="L503" s="572"/>
      <c r="M503" s="572"/>
      <c r="N503" s="572"/>
      <c r="O503" s="572"/>
      <c r="P503" s="572"/>
      <c r="Q503" s="572"/>
      <c r="R503" s="572"/>
      <c r="S503" s="572"/>
      <c r="T503" s="572"/>
      <c r="U503" s="572"/>
    </row>
    <row r="504" spans="1:46">
      <c r="B504" s="572"/>
      <c r="C504" s="572"/>
      <c r="D504" s="572"/>
      <c r="E504" s="572"/>
      <c r="F504" s="572"/>
      <c r="G504" s="572"/>
      <c r="H504" s="572"/>
      <c r="I504" s="572"/>
      <c r="J504" s="572"/>
      <c r="K504" s="572"/>
      <c r="L504" s="572"/>
      <c r="M504" s="572"/>
      <c r="N504" s="572"/>
      <c r="O504" s="572"/>
      <c r="P504" s="572"/>
      <c r="Q504" s="572"/>
      <c r="R504" s="572"/>
      <c r="S504" s="572"/>
      <c r="T504" s="572"/>
      <c r="U504" s="572"/>
    </row>
    <row r="505" spans="1:46">
      <c r="B505" s="572"/>
      <c r="C505" s="572"/>
      <c r="D505" s="572"/>
      <c r="E505" s="572"/>
      <c r="F505" s="572"/>
      <c r="G505" s="572"/>
      <c r="H505" s="572"/>
      <c r="I505" s="572"/>
      <c r="J505" s="572"/>
      <c r="K505" s="572"/>
      <c r="L505" s="572"/>
      <c r="M505" s="572"/>
      <c r="N505" s="572"/>
      <c r="O505" s="572"/>
      <c r="P505" s="572"/>
      <c r="Q505" s="572"/>
      <c r="R505" s="572"/>
      <c r="S505" s="572"/>
      <c r="T505" s="572"/>
      <c r="U505" s="572"/>
    </row>
    <row r="506" spans="1:46">
      <c r="B506" s="572"/>
      <c r="C506" s="572"/>
      <c r="D506" s="572"/>
      <c r="E506" s="572"/>
      <c r="F506" s="572"/>
      <c r="G506" s="572"/>
      <c r="H506" s="572"/>
      <c r="I506" s="572"/>
      <c r="J506" s="572"/>
      <c r="K506" s="572"/>
      <c r="L506" s="572"/>
      <c r="M506" s="572"/>
      <c r="N506" s="572"/>
      <c r="O506" s="572"/>
      <c r="P506" s="572"/>
      <c r="Q506" s="572"/>
      <c r="R506" s="572"/>
      <c r="S506" s="572"/>
      <c r="T506" s="572"/>
      <c r="U506" s="572"/>
    </row>
    <row r="507" spans="1:46">
      <c r="B507" s="572"/>
      <c r="C507" s="572"/>
      <c r="D507" s="572"/>
      <c r="E507" s="572"/>
      <c r="F507" s="572"/>
      <c r="G507" s="572"/>
      <c r="H507" s="572"/>
      <c r="I507" s="572"/>
      <c r="J507" s="572"/>
      <c r="K507" s="572"/>
      <c r="L507" s="572"/>
      <c r="M507" s="572"/>
      <c r="N507" s="572"/>
      <c r="O507" s="572"/>
      <c r="P507" s="572"/>
      <c r="Q507" s="572"/>
      <c r="R507" s="572"/>
      <c r="S507" s="572"/>
      <c r="T507" s="572"/>
      <c r="U507" s="572"/>
    </row>
    <row r="508" spans="1:46">
      <c r="B508" s="572"/>
      <c r="C508" s="572"/>
      <c r="D508" s="572"/>
      <c r="E508" s="572"/>
      <c r="F508" s="572"/>
      <c r="G508" s="572"/>
      <c r="H508" s="572"/>
      <c r="I508" s="572"/>
      <c r="J508" s="572"/>
      <c r="K508" s="572"/>
      <c r="L508" s="572"/>
      <c r="M508" s="572"/>
      <c r="N508" s="572"/>
      <c r="O508" s="572"/>
      <c r="P508" s="572"/>
      <c r="Q508" s="572"/>
      <c r="R508" s="572"/>
      <c r="S508" s="572"/>
      <c r="T508" s="572"/>
      <c r="U508" s="572"/>
    </row>
    <row r="509" spans="1:46">
      <c r="B509" s="572"/>
      <c r="C509" s="572"/>
      <c r="D509" s="572"/>
      <c r="E509" s="572"/>
      <c r="F509" s="572"/>
      <c r="G509" s="572"/>
      <c r="H509" s="572"/>
      <c r="I509" s="572"/>
      <c r="J509" s="572"/>
      <c r="K509" s="572"/>
      <c r="L509" s="572"/>
      <c r="M509" s="572"/>
      <c r="N509" s="572"/>
      <c r="O509" s="572"/>
      <c r="P509" s="572"/>
      <c r="Q509" s="572"/>
      <c r="R509" s="572"/>
      <c r="S509" s="572"/>
      <c r="T509" s="572"/>
      <c r="U509" s="572"/>
    </row>
    <row r="510" spans="1:46">
      <c r="B510" s="572"/>
      <c r="C510" s="572"/>
      <c r="D510" s="572"/>
      <c r="E510" s="572"/>
      <c r="F510" s="572"/>
      <c r="G510" s="572"/>
      <c r="H510" s="572"/>
      <c r="I510" s="572"/>
      <c r="J510" s="572"/>
      <c r="K510" s="572"/>
      <c r="L510" s="572"/>
      <c r="M510" s="572"/>
      <c r="N510" s="572"/>
      <c r="O510" s="572"/>
      <c r="P510" s="572"/>
      <c r="Q510" s="572"/>
      <c r="R510" s="572"/>
      <c r="S510" s="572"/>
      <c r="T510" s="572"/>
      <c r="U510" s="572"/>
    </row>
    <row r="511" s="1" customFormat="1" ht="15.75" spans="1:46">
      <c r="A511" s="571"/>
      <c r="B511" s="571" t="s">
        <v>7447</v>
      </c>
    </row>
    <row r="512" s="1" customFormat="1" ht="18.75" customHeight="1" spans="1:46">
      <c r="A512" s="906" t="str">
        <f ca="1">IF(Baza!C214=0,"-Na dan "&amp;PeriodDo&amp;". godine, nije bilo kapitala.","Ukupni kapital društva (vlastita sredstva) na dan "&amp;Baza!C14&amp;". godine,  iznosi: "&amp;TEXT(Baza!C214,"#.## [$KM-141A]")&amp;", što je u odnosu na stanje početkom godine, "&amp;Baza!H214&amp;" za "&amp;TEXT(Baza!F214,"#.## [$KM-141A]")&amp;" ili "&amp;ROUND(Baza!G214*100,1)&amp;" %. ")</f>
        <v>Ukupni kapital društva (vlastita sredstva) na dan 31.12.2025. godine,  iznosi: 309.265 KM, što je u odnosu na stanje početkom godine, SMANJENJE za 150.503 KM ili 32,7 %. </v>
      </c>
      <c r="B512" s="906"/>
      <c r="C512" s="906"/>
      <c r="D512" s="906"/>
      <c r="E512" s="906"/>
      <c r="F512" s="906"/>
      <c r="G512" s="906"/>
      <c r="H512" s="906"/>
      <c r="I512" s="906"/>
      <c r="J512" s="906"/>
      <c r="K512" s="906"/>
      <c r="L512" s="906"/>
      <c r="M512" s="906"/>
      <c r="N512" s="906"/>
      <c r="O512" s="906"/>
      <c r="P512" s="906"/>
      <c r="Q512" s="906"/>
      <c r="R512" s="906"/>
      <c r="S512" s="906"/>
      <c r="T512" s="906"/>
      <c r="U512" s="906"/>
      <c r="V512" s="906"/>
      <c r="W512" s="906"/>
      <c r="X512" s="906"/>
      <c r="Y512" s="906"/>
      <c r="Z512" s="906"/>
      <c r="AA512" s="906"/>
      <c r="AB512" s="906"/>
      <c r="AC512" s="906"/>
      <c r="AD512" s="906"/>
      <c r="AE512" s="906"/>
      <c r="AF512" s="906"/>
      <c r="AG512" s="906"/>
      <c r="AH512" s="906"/>
      <c r="AI512" s="906"/>
      <c r="AJ512" s="906"/>
      <c r="AK512" s="906"/>
      <c r="AL512" s="906"/>
      <c r="AM512" s="906"/>
      <c r="AN512" s="906"/>
      <c r="AO512" s="906"/>
      <c r="AP512" s="906"/>
      <c r="AQ512" s="906"/>
      <c r="AR512" s="906"/>
      <c r="AS512" s="906"/>
      <c r="AT512" s="906"/>
    </row>
    <row r="513" s="1" customFormat="1" ht="15" spans="1:46">
      <c r="A513" s="906"/>
      <c r="B513" s="906"/>
      <c r="C513" s="906"/>
      <c r="D513" s="906"/>
      <c r="E513" s="906"/>
      <c r="F513" s="906"/>
      <c r="G513" s="906"/>
      <c r="H513" s="906"/>
      <c r="I513" s="906"/>
      <c r="J513" s="906"/>
      <c r="K513" s="906"/>
      <c r="L513" s="906"/>
      <c r="M513" s="906"/>
      <c r="N513" s="906"/>
      <c r="O513" s="906"/>
      <c r="P513" s="906"/>
      <c r="Q513" s="906"/>
      <c r="R513" s="906"/>
      <c r="S513" s="906"/>
      <c r="T513" s="906"/>
      <c r="U513" s="906"/>
      <c r="V513" s="906"/>
      <c r="W513" s="906"/>
      <c r="X513" s="906"/>
      <c r="Y513" s="906"/>
      <c r="Z513" s="906"/>
      <c r="AA513" s="906"/>
      <c r="AB513" s="906"/>
      <c r="AC513" s="906"/>
      <c r="AD513" s="906"/>
      <c r="AE513" s="906"/>
      <c r="AF513" s="906"/>
      <c r="AG513" s="906"/>
      <c r="AH513" s="906"/>
      <c r="AI513" s="906"/>
      <c r="AJ513" s="906"/>
      <c r="AK513" s="906"/>
      <c r="AL513" s="906"/>
      <c r="AM513" s="906"/>
      <c r="AN513" s="906"/>
      <c r="AO513" s="906"/>
      <c r="AP513" s="906"/>
      <c r="AQ513" s="906"/>
      <c r="AR513" s="906"/>
      <c r="AS513" s="906"/>
      <c r="AT513" s="906"/>
    </row>
    <row r="514" s="1" customFormat="1" ht="15" spans="1:46">
      <c r="A514" s="906" t="str">
        <f ca="1">IF(Baza!C214=0,"-","Na dan "&amp;PeriodDo&amp;". godine, društvo je kapitalom (vlastitim sredstvima) finansiralo "&amp;ROUND(Z547*100,1)&amp;"% raspoložive aktive. ")</f>
        <v>Na dan 31.12.2025. godine, društvo je kapitalom (vlastitim sredstvima) finansiralo 51,6% raspoložive aktive. </v>
      </c>
      <c r="B514" s="906"/>
      <c r="C514" s="906"/>
      <c r="D514" s="906"/>
      <c r="E514" s="906"/>
      <c r="F514" s="906"/>
      <c r="G514" s="906"/>
      <c r="H514" s="906"/>
      <c r="I514" s="906"/>
      <c r="J514" s="906"/>
      <c r="K514" s="906"/>
      <c r="L514" s="906"/>
      <c r="M514" s="906"/>
      <c r="N514" s="906"/>
      <c r="O514" s="906"/>
      <c r="P514" s="906"/>
      <c r="Q514" s="906"/>
      <c r="R514" s="906"/>
      <c r="S514" s="906"/>
      <c r="T514" s="906"/>
      <c r="U514" s="906"/>
      <c r="V514" s="906"/>
      <c r="W514" s="906"/>
      <c r="X514" s="906"/>
      <c r="Y514" s="906"/>
      <c r="Z514" s="906"/>
      <c r="AA514" s="906"/>
      <c r="AB514" s="906"/>
      <c r="AC514" s="906"/>
      <c r="AD514" s="906"/>
      <c r="AE514" s="906"/>
      <c r="AF514" s="906"/>
      <c r="AG514" s="906"/>
      <c r="AH514" s="906"/>
      <c r="AI514" s="906"/>
      <c r="AJ514" s="906"/>
      <c r="AK514" s="906"/>
      <c r="AL514" s="906"/>
      <c r="AM514" s="906"/>
      <c r="AN514" s="906"/>
      <c r="AO514" s="906"/>
      <c r="AP514" s="906"/>
      <c r="AQ514" s="906"/>
      <c r="AR514" s="906"/>
      <c r="AS514" s="906"/>
      <c r="AT514" s="906"/>
    </row>
    <row r="515" s="1" customFormat="1" ht="15" spans="1:46">
      <c r="A515" s="906"/>
      <c r="B515" s="906"/>
      <c r="C515" s="906"/>
      <c r="D515" s="906"/>
      <c r="E515" s="906"/>
      <c r="F515" s="906"/>
      <c r="G515" s="906"/>
      <c r="H515" s="906"/>
      <c r="I515" s="906"/>
      <c r="J515" s="906"/>
      <c r="K515" s="906"/>
      <c r="L515" s="906"/>
      <c r="M515" s="906"/>
      <c r="N515" s="906"/>
      <c r="O515" s="906"/>
      <c r="P515" s="906"/>
      <c r="Q515" s="906"/>
      <c r="R515" s="906"/>
      <c r="S515" s="906"/>
      <c r="T515" s="906"/>
      <c r="U515" s="906"/>
      <c r="V515" s="906"/>
      <c r="W515" s="906"/>
      <c r="X515" s="906"/>
      <c r="Y515" s="906"/>
      <c r="Z515" s="906"/>
      <c r="AA515" s="906"/>
      <c r="AB515" s="906"/>
      <c r="AC515" s="906"/>
      <c r="AD515" s="906"/>
      <c r="AE515" s="906"/>
      <c r="AF515" s="906"/>
      <c r="AG515" s="906"/>
      <c r="AH515" s="906"/>
      <c r="AI515" s="906"/>
      <c r="AJ515" s="906"/>
      <c r="AK515" s="906"/>
      <c r="AL515" s="906"/>
      <c r="AM515" s="906"/>
      <c r="AN515" s="906"/>
      <c r="AO515" s="906"/>
      <c r="AP515" s="906"/>
      <c r="AQ515" s="906"/>
      <c r="AR515" s="906"/>
      <c r="AS515" s="906"/>
      <c r="AT515" s="906"/>
    </row>
    <row r="516" s="1" customFormat="1" ht="15" spans="1:46">
      <c r="A516" s="907" t="str">
        <f>IF(Baza!C214=0,"-","Poželjno je da ovaj pokazatelj nije manji od 50%.")</f>
        <v>Poželjno je da ovaj pokazatelj nije manji od 50%.</v>
      </c>
      <c r="B516" s="907"/>
      <c r="C516" s="907"/>
      <c r="D516" s="907"/>
      <c r="E516" s="907"/>
      <c r="F516" s="907"/>
      <c r="G516" s="907"/>
      <c r="H516" s="907"/>
      <c r="I516" s="907"/>
      <c r="J516" s="907"/>
      <c r="K516" s="907"/>
      <c r="L516" s="907"/>
      <c r="M516" s="907"/>
      <c r="N516" s="907"/>
      <c r="O516" s="907"/>
      <c r="P516" s="907"/>
      <c r="Q516" s="907"/>
      <c r="R516" s="907"/>
      <c r="S516" s="907"/>
      <c r="T516" s="907"/>
      <c r="U516" s="907"/>
      <c r="V516" s="907"/>
      <c r="W516" s="907"/>
      <c r="X516" s="907"/>
      <c r="Y516" s="907"/>
      <c r="Z516" s="907"/>
      <c r="AA516" s="907"/>
      <c r="AB516" s="907"/>
      <c r="AC516" s="907"/>
      <c r="AD516" s="907"/>
      <c r="AE516" s="907"/>
      <c r="AF516" s="907"/>
      <c r="AG516" s="907"/>
      <c r="AH516" s="907"/>
      <c r="AI516" s="907"/>
      <c r="AJ516" s="907"/>
      <c r="AK516" s="907"/>
      <c r="AL516" s="907"/>
      <c r="AM516" s="907"/>
      <c r="AN516" s="907"/>
      <c r="AO516" s="907"/>
      <c r="AP516" s="907"/>
      <c r="AQ516" s="907"/>
      <c r="AR516" s="907"/>
      <c r="AS516" s="907"/>
      <c r="AT516" s="907"/>
    </row>
    <row r="517" s="1" customFormat="1" ht="15.75" customHeight="1" spans="1:46">
      <c r="A517" s="907" t="str">
        <f ca="1">IF(Baza!C214=0,"-Na dan "&amp;PeriodDo&amp;". godine, nije bilo vlasničkog kapitala.","Vlasnički kapital evidentiran na  AOP 102  iznosi: "&amp;TEXT(B_Stanja!AI93,"#.## [$KM-141A]")&amp;".")</f>
        <v>Vlasnički kapital evidentiran na  AOP 102  iznosi: 350.000 KM.</v>
      </c>
      <c r="B517" s="907"/>
      <c r="C517" s="907"/>
      <c r="D517" s="907"/>
      <c r="E517" s="907"/>
      <c r="F517" s="907"/>
      <c r="G517" s="907"/>
      <c r="H517" s="907"/>
      <c r="I517" s="907"/>
      <c r="J517" s="907"/>
      <c r="K517" s="907"/>
      <c r="L517" s="907"/>
      <c r="M517" s="907"/>
      <c r="N517" s="907"/>
      <c r="O517" s="907"/>
      <c r="P517" s="907"/>
      <c r="Q517" s="907"/>
      <c r="R517" s="907"/>
      <c r="S517" s="907"/>
      <c r="T517" s="907"/>
      <c r="U517" s="907"/>
      <c r="V517" s="907"/>
      <c r="W517" s="907"/>
      <c r="X517" s="907"/>
      <c r="Y517" s="907"/>
      <c r="Z517" s="907"/>
      <c r="AA517" s="907"/>
      <c r="AB517" s="907"/>
      <c r="AC517" s="907"/>
      <c r="AD517" s="907"/>
      <c r="AE517" s="907"/>
      <c r="AF517" s="907"/>
      <c r="AG517" s="907"/>
      <c r="AH517" s="907"/>
      <c r="AI517" s="907"/>
      <c r="AJ517" s="907"/>
      <c r="AK517" s="907"/>
      <c r="AL517" s="907"/>
      <c r="AM517" s="907"/>
      <c r="AN517" s="907"/>
      <c r="AO517" s="907"/>
      <c r="AP517" s="907"/>
      <c r="AQ517" s="907"/>
      <c r="AR517" s="907"/>
      <c r="AS517" s="907"/>
      <c r="AT517" s="907"/>
    </row>
    <row r="518" s="1" customFormat="1" ht="24" customHeight="1" spans="1:46">
      <c r="A518" s="906" t="str">
        <f>IF(Baza!C208=0,"-","Najveća stavka u kapitalu nalazi se na poziciji: "&amp;Baza!B208&amp;", u iznosu od: "&amp;TEXT(Baza!C208,"#.## [$KM-141A]")&amp;".")</f>
        <v>Najveća stavka u kapitalu nalazi se na poziciji: Udjeli članova društva sa ograničenom odgovornošću (AOP 104), u iznosu od: 350.000 KM.</v>
      </c>
      <c r="B518" s="906"/>
      <c r="C518" s="906"/>
      <c r="D518" s="906"/>
      <c r="E518" s="906"/>
      <c r="F518" s="906"/>
      <c r="G518" s="906"/>
      <c r="H518" s="906"/>
      <c r="I518" s="906"/>
      <c r="J518" s="906"/>
      <c r="K518" s="906"/>
      <c r="L518" s="906"/>
      <c r="M518" s="906"/>
      <c r="N518" s="906"/>
      <c r="O518" s="906"/>
      <c r="P518" s="906"/>
      <c r="Q518" s="906"/>
      <c r="R518" s="906"/>
      <c r="S518" s="906"/>
      <c r="T518" s="906"/>
      <c r="U518" s="906"/>
      <c r="V518" s="906"/>
      <c r="W518" s="906"/>
      <c r="X518" s="906"/>
      <c r="Y518" s="906"/>
      <c r="Z518" s="906"/>
      <c r="AA518" s="906"/>
      <c r="AB518" s="906"/>
      <c r="AC518" s="906"/>
      <c r="AD518" s="906"/>
      <c r="AE518" s="906"/>
      <c r="AF518" s="906"/>
      <c r="AG518" s="906"/>
      <c r="AH518" s="906"/>
      <c r="AI518" s="906"/>
      <c r="AJ518" s="906"/>
      <c r="AK518" s="906"/>
      <c r="AL518" s="906"/>
      <c r="AM518" s="906"/>
      <c r="AN518" s="906"/>
      <c r="AO518" s="906"/>
      <c r="AP518" s="906"/>
      <c r="AQ518" s="906"/>
      <c r="AR518" s="906"/>
      <c r="AS518" s="906"/>
      <c r="AT518" s="906"/>
    </row>
    <row r="519" s="1" customFormat="1" ht="15" spans="1:46">
      <c r="A519" s="906"/>
      <c r="B519" s="906"/>
      <c r="C519" s="906"/>
      <c r="D519" s="906"/>
      <c r="E519" s="906"/>
      <c r="F519" s="906"/>
      <c r="G519" s="906"/>
      <c r="H519" s="906"/>
      <c r="I519" s="906"/>
      <c r="J519" s="906"/>
      <c r="K519" s="906"/>
      <c r="L519" s="906"/>
      <c r="M519" s="906"/>
      <c r="N519" s="906"/>
      <c r="O519" s="906"/>
      <c r="P519" s="906"/>
      <c r="Q519" s="906"/>
      <c r="R519" s="906"/>
      <c r="S519" s="906"/>
      <c r="T519" s="906"/>
      <c r="U519" s="906"/>
      <c r="V519" s="906"/>
      <c r="W519" s="906"/>
      <c r="X519" s="906"/>
      <c r="Y519" s="906"/>
      <c r="Z519" s="906"/>
      <c r="AA519" s="906"/>
      <c r="AB519" s="906"/>
      <c r="AC519" s="906"/>
      <c r="AD519" s="906"/>
      <c r="AE519" s="906"/>
      <c r="AF519" s="906"/>
      <c r="AG519" s="906"/>
      <c r="AH519" s="906"/>
      <c r="AI519" s="906"/>
      <c r="AJ519" s="906"/>
      <c r="AK519" s="906"/>
      <c r="AL519" s="906"/>
      <c r="AM519" s="906"/>
      <c r="AN519" s="906"/>
      <c r="AO519" s="906"/>
      <c r="AP519" s="906"/>
      <c r="AQ519" s="906"/>
      <c r="AR519" s="906"/>
      <c r="AS519" s="906"/>
      <c r="AT519" s="906"/>
    </row>
    <row r="520" s="1" customFormat="1" ht="15" customHeight="1" spans="1:46">
      <c r="A520" s="907" t="str">
        <f>IF(Baza!D208=0,"-","U odnosu na stanje početkom godine, ova  pozicija ima "&amp;Baza!H208&amp;", za "&amp;TEXT(Baza!F208,"#.## [$KM-141A]")&amp;" ili "&amp;ROUND(Baza!G208*100,1)&amp;" %.")</f>
        <v>U odnosu na stanje početkom godine, ova  pozicija ima POVEĆANJE, za  KM ili 0 %.</v>
      </c>
      <c r="B520" s="907"/>
      <c r="C520" s="907"/>
      <c r="D520" s="907"/>
      <c r="E520" s="907"/>
      <c r="F520" s="907"/>
      <c r="G520" s="907"/>
      <c r="H520" s="907"/>
      <c r="I520" s="907"/>
      <c r="J520" s="907"/>
      <c r="K520" s="907"/>
      <c r="L520" s="907"/>
      <c r="M520" s="907"/>
      <c r="N520" s="907"/>
      <c r="O520" s="907"/>
      <c r="P520" s="907"/>
      <c r="Q520" s="907"/>
      <c r="R520" s="907"/>
      <c r="S520" s="907"/>
      <c r="T520" s="907"/>
      <c r="U520" s="907"/>
      <c r="V520" s="907"/>
      <c r="W520" s="907"/>
      <c r="X520" s="907"/>
      <c r="Y520" s="907"/>
      <c r="Z520" s="907"/>
      <c r="AA520" s="907"/>
      <c r="AB520" s="907"/>
      <c r="AC520" s="907"/>
      <c r="AD520" s="907"/>
      <c r="AE520" s="907"/>
      <c r="AF520" s="907"/>
      <c r="AG520" s="907"/>
      <c r="AH520" s="907"/>
      <c r="AI520" s="907"/>
      <c r="AJ520" s="907"/>
      <c r="AK520" s="907"/>
      <c r="AL520" s="907"/>
      <c r="AM520" s="907"/>
      <c r="AN520" s="907"/>
      <c r="AO520" s="907"/>
      <c r="AP520" s="907"/>
      <c r="AQ520" s="907"/>
      <c r="AR520" s="907"/>
      <c r="AS520" s="907"/>
      <c r="AT520" s="907"/>
    </row>
    <row r="521" s="1" customFormat="1" ht="19.5" customHeight="1" spans="1:46">
      <c r="A521" s="906" t="str">
        <f>IF(Baza!C208=0,"-","Druga po veličini stavka u kapitalu nalazi se na poziciji: "&amp;Baza!B209&amp;", u iznosu od: "&amp;TEXT(Baza!C209,"#.## [$KM-141A]")&amp;". ")</f>
        <v>Druga po veličini stavka u kapitalu nalazi se na poziciji: Ostale rezerve (AOP 110), u iznosu od: 18.462 KM. </v>
      </c>
      <c r="B521" s="906"/>
      <c r="C521" s="906"/>
      <c r="D521" s="906"/>
      <c r="E521" s="906"/>
      <c r="F521" s="906"/>
      <c r="G521" s="906"/>
      <c r="H521" s="906"/>
      <c r="I521" s="906"/>
      <c r="J521" s="906"/>
      <c r="K521" s="906"/>
      <c r="L521" s="906"/>
      <c r="M521" s="906"/>
      <c r="N521" s="906"/>
      <c r="O521" s="906"/>
      <c r="P521" s="906"/>
      <c r="Q521" s="906"/>
      <c r="R521" s="906"/>
      <c r="S521" s="906"/>
      <c r="T521" s="906"/>
      <c r="U521" s="906"/>
      <c r="V521" s="906"/>
      <c r="W521" s="906"/>
      <c r="X521" s="906"/>
      <c r="Y521" s="906"/>
      <c r="Z521" s="906"/>
      <c r="AA521" s="906"/>
      <c r="AB521" s="906"/>
      <c r="AC521" s="906"/>
      <c r="AD521" s="906"/>
      <c r="AE521" s="906"/>
      <c r="AF521" s="906"/>
      <c r="AG521" s="906"/>
      <c r="AH521" s="906"/>
      <c r="AI521" s="906"/>
      <c r="AJ521" s="906"/>
      <c r="AK521" s="906"/>
      <c r="AL521" s="906"/>
      <c r="AM521" s="906"/>
      <c r="AN521" s="906"/>
      <c r="AO521" s="906"/>
      <c r="AP521" s="906"/>
      <c r="AQ521" s="906"/>
      <c r="AR521" s="906"/>
      <c r="AS521" s="906"/>
      <c r="AT521" s="906"/>
    </row>
    <row r="522" s="1" customFormat="1" ht="15" spans="1:46">
      <c r="A522" s="906"/>
      <c r="B522" s="906"/>
      <c r="C522" s="906"/>
      <c r="D522" s="906"/>
      <c r="E522" s="906"/>
      <c r="F522" s="906"/>
      <c r="G522" s="906"/>
      <c r="H522" s="906"/>
      <c r="I522" s="906"/>
      <c r="J522" s="906"/>
      <c r="K522" s="906"/>
      <c r="L522" s="906"/>
      <c r="M522" s="906"/>
      <c r="N522" s="906"/>
      <c r="O522" s="906"/>
      <c r="P522" s="906"/>
      <c r="Q522" s="906"/>
      <c r="R522" s="906"/>
      <c r="S522" s="906"/>
      <c r="T522" s="906"/>
      <c r="U522" s="906"/>
      <c r="V522" s="906"/>
      <c r="W522" s="906"/>
      <c r="X522" s="906"/>
      <c r="Y522" s="906"/>
      <c r="Z522" s="906"/>
      <c r="AA522" s="906"/>
      <c r="AB522" s="906"/>
      <c r="AC522" s="906"/>
      <c r="AD522" s="906"/>
      <c r="AE522" s="906"/>
      <c r="AF522" s="906"/>
      <c r="AG522" s="906"/>
      <c r="AH522" s="906"/>
      <c r="AI522" s="906"/>
      <c r="AJ522" s="906"/>
      <c r="AK522" s="906"/>
      <c r="AL522" s="906"/>
      <c r="AM522" s="906"/>
      <c r="AN522" s="906"/>
      <c r="AO522" s="906"/>
      <c r="AP522" s="906"/>
      <c r="AQ522" s="906"/>
      <c r="AR522" s="906"/>
      <c r="AS522" s="906"/>
      <c r="AT522" s="906"/>
    </row>
    <row r="523" s="1" customFormat="1" ht="15" customHeight="1" spans="1:46">
      <c r="A523" s="907" t="str">
        <f>IF(Baza!D209=0,"-","U odnosu na stanje početkom godine, ova  pozicija ima "&amp;Baza!H209&amp;", za "&amp;TEXT(Baza!F209,"#.## [$KM-141A]")&amp;" ili "&amp;ROUND(Baza!G209*100,1)&amp;" %.")</f>
        <v>U odnosu na stanje početkom godine, ova  pozicija ima POVEĆANJE, za 1 KM ili 0 %.</v>
      </c>
      <c r="B523" s="907"/>
      <c r="C523" s="907"/>
      <c r="D523" s="907"/>
      <c r="E523" s="907"/>
      <c r="F523" s="907"/>
      <c r="G523" s="907"/>
      <c r="H523" s="907"/>
      <c r="I523" s="907"/>
      <c r="J523" s="907"/>
      <c r="K523" s="907"/>
      <c r="L523" s="907"/>
      <c r="M523" s="907"/>
      <c r="N523" s="907"/>
      <c r="O523" s="907"/>
      <c r="P523" s="907"/>
      <c r="Q523" s="907"/>
      <c r="R523" s="907"/>
      <c r="S523" s="907"/>
      <c r="T523" s="907"/>
      <c r="U523" s="907"/>
      <c r="V523" s="907"/>
      <c r="W523" s="907"/>
      <c r="X523" s="907"/>
      <c r="Y523" s="907"/>
      <c r="Z523" s="907"/>
      <c r="AA523" s="907"/>
      <c r="AB523" s="907"/>
      <c r="AC523" s="907"/>
      <c r="AD523" s="907"/>
      <c r="AE523" s="907"/>
      <c r="AF523" s="907"/>
      <c r="AG523" s="907"/>
      <c r="AH523" s="907"/>
      <c r="AI523" s="907"/>
      <c r="AJ523" s="907"/>
      <c r="AK523" s="907"/>
      <c r="AL523" s="907"/>
      <c r="AM523" s="907"/>
      <c r="AN523" s="907"/>
      <c r="AO523" s="907"/>
      <c r="AP523" s="907"/>
      <c r="AQ523" s="907"/>
      <c r="AR523" s="907"/>
      <c r="AS523" s="907"/>
      <c r="AT523" s="907"/>
    </row>
    <row r="524" s="1" customFormat="1" ht="15"/>
    <row r="525" s="1" customFormat="1" ht="15.75" spans="1:46">
      <c r="B525" s="571" t="s">
        <v>7448</v>
      </c>
    </row>
    <row r="526" s="1" customFormat="1" ht="19.5" customHeight="1" spans="1:46">
      <c r="A526" s="906" t="str">
        <f ca="1">IF(Baza!C223=0,"-Na dan "&amp;PeriodDo&amp;". godine, nije bilo evidentiranih obaveza.","Obaveze društva (zaduženost) na dan "&amp;PeriodDo&amp;". godine,  iznose: "&amp;TEXT(Baza!C223,"#.## [$KM-141A]")&amp;", što je u odnosu na stanje početkom godine "&amp;Baza!H223&amp;" za "&amp;TEXT(Baza!F223,"#.## [$KM-141A]")&amp;" ili "&amp;ROUND(Baza!G223*100,1)&amp;" %. ")</f>
        <v>Obaveze društva (zaduženost) na dan 31.12.2025. godine,  iznose: 290.034 KM, što je u odnosu na stanje početkom godine SMANJENJE za 19.079 KM ili 6,2 %. </v>
      </c>
      <c r="B526" s="906"/>
      <c r="C526" s="906"/>
      <c r="D526" s="906"/>
      <c r="E526" s="906"/>
      <c r="F526" s="906"/>
      <c r="G526" s="906"/>
      <c r="H526" s="906"/>
      <c r="I526" s="906"/>
      <c r="J526" s="906"/>
      <c r="K526" s="906"/>
      <c r="L526" s="906"/>
      <c r="M526" s="906"/>
      <c r="N526" s="906"/>
      <c r="O526" s="906"/>
      <c r="P526" s="906"/>
      <c r="Q526" s="906"/>
      <c r="R526" s="906"/>
      <c r="S526" s="906"/>
      <c r="T526" s="906"/>
      <c r="U526" s="906"/>
      <c r="V526" s="906"/>
      <c r="W526" s="906"/>
      <c r="X526" s="906"/>
      <c r="Y526" s="906"/>
      <c r="Z526" s="906"/>
      <c r="AA526" s="906"/>
      <c r="AB526" s="906"/>
      <c r="AC526" s="906"/>
      <c r="AD526" s="906"/>
      <c r="AE526" s="906"/>
      <c r="AF526" s="906"/>
      <c r="AG526" s="906"/>
      <c r="AH526" s="906"/>
      <c r="AI526" s="906"/>
      <c r="AJ526" s="906"/>
      <c r="AK526" s="906"/>
      <c r="AL526" s="906"/>
      <c r="AM526" s="906"/>
      <c r="AN526" s="906"/>
      <c r="AO526" s="906"/>
      <c r="AP526" s="906"/>
      <c r="AQ526" s="906"/>
      <c r="AR526" s="906"/>
      <c r="AS526" s="906"/>
      <c r="AT526" s="906"/>
    </row>
    <row r="527" s="1" customFormat="1" ht="15" spans="1:46">
      <c r="A527" s="906"/>
      <c r="B527" s="906"/>
      <c r="C527" s="906"/>
      <c r="D527" s="906"/>
      <c r="E527" s="906"/>
      <c r="F527" s="906"/>
      <c r="G527" s="906"/>
      <c r="H527" s="906"/>
      <c r="I527" s="906"/>
      <c r="J527" s="906"/>
      <c r="K527" s="906"/>
      <c r="L527" s="906"/>
      <c r="M527" s="906"/>
      <c r="N527" s="906"/>
      <c r="O527" s="906"/>
      <c r="P527" s="906"/>
      <c r="Q527" s="906"/>
      <c r="R527" s="906"/>
      <c r="S527" s="906"/>
      <c r="T527" s="906"/>
      <c r="U527" s="906"/>
      <c r="V527" s="906"/>
      <c r="W527" s="906"/>
      <c r="X527" s="906"/>
      <c r="Y527" s="906"/>
      <c r="Z527" s="906"/>
      <c r="AA527" s="906"/>
      <c r="AB527" s="906"/>
      <c r="AC527" s="906"/>
      <c r="AD527" s="906"/>
      <c r="AE527" s="906"/>
      <c r="AF527" s="906"/>
      <c r="AG527" s="906"/>
      <c r="AH527" s="906"/>
      <c r="AI527" s="906"/>
      <c r="AJ527" s="906"/>
      <c r="AK527" s="906"/>
      <c r="AL527" s="906"/>
      <c r="AM527" s="906"/>
      <c r="AN527" s="906"/>
      <c r="AO527" s="906"/>
      <c r="AP527" s="906"/>
      <c r="AQ527" s="906"/>
      <c r="AR527" s="906"/>
      <c r="AS527" s="906"/>
      <c r="AT527" s="906"/>
    </row>
    <row r="528" s="1" customFormat="1" ht="15" spans="1:46">
      <c r="A528" s="906" t="str">
        <f ca="1">IF(Baza!C223=0,"-","Na dan "&amp;PeriodDo&amp;". godine, društvo je obavezama (tuđim sredstvima) finansiralo "&amp;ROUND(Z548*100,1)&amp;"% raspoložive aktive. ")</f>
        <v>Na dan 31.12.2025. godine, društvo je obavezama (tuđim sredstvima) finansiralo 48,4% raspoložive aktive. </v>
      </c>
      <c r="B528" s="906"/>
      <c r="C528" s="906"/>
      <c r="D528" s="906"/>
      <c r="E528" s="906"/>
      <c r="F528" s="906"/>
      <c r="G528" s="906"/>
      <c r="H528" s="906"/>
      <c r="I528" s="906"/>
      <c r="J528" s="906"/>
      <c r="K528" s="906"/>
      <c r="L528" s="906"/>
      <c r="M528" s="906"/>
      <c r="N528" s="906"/>
      <c r="O528" s="906"/>
      <c r="P528" s="906"/>
      <c r="Q528" s="906"/>
      <c r="R528" s="906"/>
      <c r="S528" s="906"/>
      <c r="T528" s="906"/>
      <c r="U528" s="906"/>
      <c r="V528" s="906"/>
      <c r="W528" s="906"/>
      <c r="X528" s="906"/>
      <c r="Y528" s="906"/>
      <c r="Z528" s="906"/>
      <c r="AA528" s="906"/>
      <c r="AB528" s="906"/>
      <c r="AC528" s="906"/>
      <c r="AD528" s="906"/>
      <c r="AE528" s="906"/>
      <c r="AF528" s="906"/>
      <c r="AG528" s="906"/>
      <c r="AH528" s="906"/>
      <c r="AI528" s="906"/>
      <c r="AJ528" s="906"/>
      <c r="AK528" s="906"/>
      <c r="AL528" s="906"/>
      <c r="AM528" s="906"/>
      <c r="AN528" s="906"/>
      <c r="AO528" s="906"/>
      <c r="AP528" s="906"/>
      <c r="AQ528" s="906"/>
      <c r="AR528" s="906"/>
      <c r="AS528" s="906"/>
      <c r="AT528" s="906"/>
    </row>
    <row r="529" s="1" customFormat="1" ht="15" spans="1:46">
      <c r="A529" s="906"/>
      <c r="B529" s="906"/>
      <c r="C529" s="906"/>
      <c r="D529" s="906"/>
      <c r="E529" s="906"/>
      <c r="F529" s="906"/>
      <c r="G529" s="906"/>
      <c r="H529" s="906"/>
      <c r="I529" s="906"/>
      <c r="J529" s="906"/>
      <c r="K529" s="906"/>
      <c r="L529" s="906"/>
      <c r="M529" s="906"/>
      <c r="N529" s="906"/>
      <c r="O529" s="906"/>
      <c r="P529" s="906"/>
      <c r="Q529" s="906"/>
      <c r="R529" s="906"/>
      <c r="S529" s="906"/>
      <c r="T529" s="906"/>
      <c r="U529" s="906"/>
      <c r="V529" s="906"/>
      <c r="W529" s="906"/>
      <c r="X529" s="906"/>
      <c r="Y529" s="906"/>
      <c r="Z529" s="906"/>
      <c r="AA529" s="906"/>
      <c r="AB529" s="906"/>
      <c r="AC529" s="906"/>
      <c r="AD529" s="906"/>
      <c r="AE529" s="906"/>
      <c r="AF529" s="906"/>
      <c r="AG529" s="906"/>
      <c r="AH529" s="906"/>
      <c r="AI529" s="906"/>
      <c r="AJ529" s="906"/>
      <c r="AK529" s="906"/>
      <c r="AL529" s="906"/>
      <c r="AM529" s="906"/>
      <c r="AN529" s="906"/>
      <c r="AO529" s="906"/>
      <c r="AP529" s="906"/>
      <c r="AQ529" s="906"/>
      <c r="AR529" s="906"/>
      <c r="AS529" s="906"/>
      <c r="AT529" s="906"/>
    </row>
    <row r="530" s="1" customFormat="1" ht="15" spans="1:46">
      <c r="A530" s="907" t="str">
        <f>IF(Baza!C223=0,"-","Poželjno je da ovaj pokazatelj nije veći od 50%.")</f>
        <v>Poželjno je da ovaj pokazatelj nije veći od 50%.</v>
      </c>
      <c r="B530" s="907"/>
      <c r="C530" s="907"/>
      <c r="D530" s="907"/>
      <c r="E530" s="907"/>
      <c r="F530" s="907"/>
      <c r="G530" s="907"/>
      <c r="H530" s="907"/>
      <c r="I530" s="907"/>
      <c r="J530" s="907"/>
      <c r="K530" s="907"/>
      <c r="L530" s="907"/>
      <c r="M530" s="907"/>
      <c r="N530" s="907"/>
      <c r="O530" s="907"/>
      <c r="P530" s="907"/>
      <c r="Q530" s="907"/>
      <c r="R530" s="907"/>
      <c r="S530" s="907"/>
      <c r="T530" s="907"/>
      <c r="U530" s="907"/>
      <c r="V530" s="907"/>
      <c r="W530" s="907"/>
      <c r="X530" s="907"/>
      <c r="Y530" s="907"/>
      <c r="Z530" s="907"/>
      <c r="AA530" s="907"/>
      <c r="AB530" s="907"/>
      <c r="AC530" s="907"/>
      <c r="AD530" s="907"/>
      <c r="AE530" s="907"/>
      <c r="AF530" s="907"/>
      <c r="AG530" s="907"/>
      <c r="AH530" s="907"/>
      <c r="AI530" s="907"/>
      <c r="AJ530" s="907"/>
      <c r="AK530" s="907"/>
      <c r="AL530" s="907"/>
      <c r="AM530" s="907"/>
      <c r="AN530" s="907"/>
      <c r="AO530" s="907"/>
      <c r="AP530" s="907"/>
      <c r="AQ530" s="907"/>
      <c r="AR530" s="907"/>
      <c r="AS530" s="907"/>
      <c r="AT530" s="907"/>
    </row>
    <row r="531" s="1" customFormat="1" ht="23.25" customHeight="1" spans="1:46">
      <c r="A531" s="906" t="str">
        <f>IF(Baza!C217=0,"-","-Najveće obaveze evidentirane su na poziciji: "&amp;Baza!B217&amp;", u iznosu od: "&amp;TEXT(Baza!C217,"#.## [$KM-141A]")&amp;".")</f>
        <v>-Najveće obaveze evidentirane su na poziciji: Kratkoročne ostale obaveze, uključujući i razgraničenja (AOP 147), u iznosu od: 244.741 KM.</v>
      </c>
      <c r="B531" s="906"/>
      <c r="C531" s="906"/>
      <c r="D531" s="906"/>
      <c r="E531" s="906"/>
      <c r="F531" s="906"/>
      <c r="G531" s="906"/>
      <c r="H531" s="906"/>
      <c r="I531" s="906"/>
      <c r="J531" s="906"/>
      <c r="K531" s="906"/>
      <c r="L531" s="906"/>
      <c r="M531" s="906"/>
      <c r="N531" s="906"/>
      <c r="O531" s="906"/>
      <c r="P531" s="906"/>
      <c r="Q531" s="906"/>
      <c r="R531" s="906"/>
      <c r="S531" s="906"/>
      <c r="T531" s="906"/>
      <c r="U531" s="906"/>
      <c r="V531" s="906"/>
      <c r="W531" s="906"/>
      <c r="X531" s="906"/>
      <c r="Y531" s="906"/>
      <c r="Z531" s="906"/>
      <c r="AA531" s="906"/>
      <c r="AB531" s="906"/>
      <c r="AC531" s="906"/>
      <c r="AD531" s="906"/>
      <c r="AE531" s="906"/>
      <c r="AF531" s="906"/>
      <c r="AG531" s="906"/>
      <c r="AH531" s="906"/>
      <c r="AI531" s="906"/>
      <c r="AJ531" s="906"/>
      <c r="AK531" s="906"/>
      <c r="AL531" s="906"/>
      <c r="AM531" s="906"/>
      <c r="AN531" s="906"/>
      <c r="AO531" s="906"/>
      <c r="AP531" s="906"/>
      <c r="AQ531" s="906"/>
      <c r="AR531" s="906"/>
      <c r="AS531" s="906"/>
      <c r="AT531" s="906"/>
    </row>
    <row r="532" s="1" customFormat="1" ht="28.5" customHeight="1" spans="1:46">
      <c r="A532" s="906"/>
      <c r="B532" s="906"/>
      <c r="C532" s="906"/>
      <c r="D532" s="906"/>
      <c r="E532" s="906"/>
      <c r="F532" s="906"/>
      <c r="G532" s="906"/>
      <c r="H532" s="906"/>
      <c r="I532" s="906"/>
      <c r="J532" s="906"/>
      <c r="K532" s="906"/>
      <c r="L532" s="906"/>
      <c r="M532" s="906"/>
      <c r="N532" s="906"/>
      <c r="O532" s="906"/>
      <c r="P532" s="906"/>
      <c r="Q532" s="906"/>
      <c r="R532" s="906"/>
      <c r="S532" s="906"/>
      <c r="T532" s="906"/>
      <c r="U532" s="906"/>
      <c r="V532" s="906"/>
      <c r="W532" s="906"/>
      <c r="X532" s="906"/>
      <c r="Y532" s="906"/>
      <c r="Z532" s="906"/>
      <c r="AA532" s="906"/>
      <c r="AB532" s="906"/>
      <c r="AC532" s="906"/>
      <c r="AD532" s="906"/>
      <c r="AE532" s="906"/>
      <c r="AF532" s="906"/>
      <c r="AG532" s="906"/>
      <c r="AH532" s="906"/>
      <c r="AI532" s="906"/>
      <c r="AJ532" s="906"/>
      <c r="AK532" s="906"/>
      <c r="AL532" s="906"/>
      <c r="AM532" s="906"/>
      <c r="AN532" s="906"/>
      <c r="AO532" s="906"/>
      <c r="AP532" s="906"/>
      <c r="AQ532" s="906"/>
      <c r="AR532" s="906"/>
      <c r="AS532" s="906"/>
      <c r="AT532" s="906"/>
    </row>
    <row r="533" s="1" customFormat="1" ht="15" spans="1:46">
      <c r="A533" s="907" t="str">
        <f>IF(Baza!D217=0,"-","U odnosu na stanje početkom godine, ove obaveze imaju "&amp;Baza!H217&amp;", za "&amp;TEXT(Baza!F217,"#.## [$KM-141A]")&amp;" ili "&amp;ROUND(Baza!G217*100,1)&amp;" %.")</f>
        <v>U odnosu na stanje početkom godine, ove obaveze imaju POVEĆANJE, za 47.070 KM ili 23,8 %.</v>
      </c>
      <c r="B533" s="907"/>
      <c r="C533" s="907"/>
      <c r="D533" s="907"/>
      <c r="E533" s="907"/>
      <c r="F533" s="907"/>
      <c r="G533" s="907"/>
      <c r="H533" s="907"/>
      <c r="I533" s="907"/>
      <c r="J533" s="907"/>
      <c r="K533" s="907"/>
      <c r="L533" s="907"/>
      <c r="M533" s="907"/>
      <c r="N533" s="907"/>
      <c r="O533" s="907"/>
      <c r="P533" s="907"/>
      <c r="Q533" s="907"/>
      <c r="R533" s="907"/>
      <c r="S533" s="907"/>
      <c r="T533" s="907"/>
      <c r="U533" s="907"/>
      <c r="V533" s="907"/>
      <c r="W533" s="907"/>
      <c r="X533" s="907"/>
      <c r="Y533" s="907"/>
      <c r="Z533" s="907"/>
      <c r="AA533" s="907"/>
      <c r="AB533" s="907"/>
      <c r="AC533" s="907"/>
      <c r="AD533" s="907"/>
      <c r="AE533" s="907"/>
      <c r="AF533" s="907"/>
      <c r="AG533" s="907"/>
      <c r="AH533" s="907"/>
      <c r="AI533" s="907"/>
      <c r="AJ533" s="907"/>
      <c r="AK533" s="907"/>
      <c r="AL533" s="907"/>
      <c r="AM533" s="907"/>
      <c r="AN533" s="907"/>
      <c r="AO533" s="907"/>
      <c r="AP533" s="907"/>
      <c r="AQ533" s="907"/>
      <c r="AR533" s="907"/>
      <c r="AS533" s="907"/>
      <c r="AT533" s="907"/>
    </row>
    <row r="534" s="1" customFormat="1" ht="23.25" customHeight="1" spans="1:46">
      <c r="A534" s="906" t="str">
        <f>IF(Baza!C218=0,"-"," -Na drugom mjestu po veličini su obaveze iskazane na poziciji: "&amp;Baza!B218&amp;", u iznosu od: "&amp;TEXT(Baza!C218,"#.## [$KM-141A]")&amp;", .")</f>
        <v> -Na drugom mjestu po veličini su obaveze iskazane na poziciji: Obaveze prema dobavljačima (AOP 136), u iznosu od: 22.856 KM, .</v>
      </c>
      <c r="B534" s="906"/>
      <c r="C534" s="906"/>
      <c r="D534" s="906"/>
      <c r="E534" s="906"/>
      <c r="F534" s="906"/>
      <c r="G534" s="906"/>
      <c r="H534" s="906"/>
      <c r="I534" s="906"/>
      <c r="J534" s="906"/>
      <c r="K534" s="906"/>
      <c r="L534" s="906"/>
      <c r="M534" s="906"/>
      <c r="N534" s="906"/>
      <c r="O534" s="906"/>
      <c r="P534" s="906"/>
      <c r="Q534" s="906"/>
      <c r="R534" s="906"/>
      <c r="S534" s="906"/>
      <c r="T534" s="906"/>
      <c r="U534" s="906"/>
      <c r="V534" s="906"/>
      <c r="W534" s="906"/>
      <c r="X534" s="906"/>
      <c r="Y534" s="906"/>
      <c r="Z534" s="906"/>
      <c r="AA534" s="906"/>
      <c r="AB534" s="906"/>
      <c r="AC534" s="906"/>
      <c r="AD534" s="906"/>
      <c r="AE534" s="906"/>
      <c r="AF534" s="906"/>
      <c r="AG534" s="906"/>
      <c r="AH534" s="906"/>
      <c r="AI534" s="906"/>
      <c r="AJ534" s="906"/>
      <c r="AK534" s="906"/>
      <c r="AL534" s="906"/>
      <c r="AM534" s="906"/>
      <c r="AN534" s="906"/>
      <c r="AO534" s="906"/>
      <c r="AP534" s="906"/>
      <c r="AQ534" s="906"/>
      <c r="AR534" s="906"/>
      <c r="AS534" s="906"/>
      <c r="AT534" s="906"/>
    </row>
    <row r="535" s="1" customFormat="1" ht="21.75" customHeight="1" spans="1:46">
      <c r="A535" s="906"/>
      <c r="B535" s="906"/>
      <c r="C535" s="906"/>
      <c r="D535" s="906"/>
      <c r="E535" s="906"/>
      <c r="F535" s="906"/>
      <c r="G535" s="906"/>
      <c r="H535" s="906"/>
      <c r="I535" s="906"/>
      <c r="J535" s="906"/>
      <c r="K535" s="906"/>
      <c r="L535" s="906"/>
      <c r="M535" s="906"/>
      <c r="N535" s="906"/>
      <c r="O535" s="906"/>
      <c r="P535" s="906"/>
      <c r="Q535" s="906"/>
      <c r="R535" s="906"/>
      <c r="S535" s="906"/>
      <c r="T535" s="906"/>
      <c r="U535" s="906"/>
      <c r="V535" s="906"/>
      <c r="W535" s="906"/>
      <c r="X535" s="906"/>
      <c r="Y535" s="906"/>
      <c r="Z535" s="906"/>
      <c r="AA535" s="906"/>
      <c r="AB535" s="906"/>
      <c r="AC535" s="906"/>
      <c r="AD535" s="906"/>
      <c r="AE535" s="906"/>
      <c r="AF535" s="906"/>
      <c r="AG535" s="906"/>
      <c r="AH535" s="906"/>
      <c r="AI535" s="906"/>
      <c r="AJ535" s="906"/>
      <c r="AK535" s="906"/>
      <c r="AL535" s="906"/>
      <c r="AM535" s="906"/>
      <c r="AN535" s="906"/>
      <c r="AO535" s="906"/>
      <c r="AP535" s="906"/>
      <c r="AQ535" s="906"/>
      <c r="AR535" s="906"/>
      <c r="AS535" s="906"/>
      <c r="AT535" s="906"/>
    </row>
    <row r="536" s="1" customFormat="1" ht="15" spans="1:46">
      <c r="A536" s="907" t="str">
        <f>IF(Baza!D218=0,"-","U odnosu na stanje početkom godine, ove obaveze imaju "&amp;Baza!H218&amp;", za "&amp;TEXT(Baza!F218,"#.## [$KM-141A]")&amp;" ili "&amp;ROUND(Baza!G218*100,1)&amp;" %.")</f>
        <v>U odnosu na stanje početkom godine, ove obaveze imaju SMANJENJE, za 41.326 KM ili 64,4 %.</v>
      </c>
      <c r="B536" s="907"/>
      <c r="C536" s="907"/>
      <c r="D536" s="907"/>
      <c r="E536" s="907"/>
      <c r="F536" s="907"/>
      <c r="G536" s="907"/>
      <c r="H536" s="907"/>
      <c r="I536" s="907"/>
      <c r="J536" s="907"/>
      <c r="K536" s="907"/>
      <c r="L536" s="907"/>
      <c r="M536" s="907"/>
      <c r="N536" s="907"/>
      <c r="O536" s="907"/>
      <c r="P536" s="907"/>
      <c r="Q536" s="907"/>
      <c r="R536" s="907"/>
      <c r="S536" s="907"/>
      <c r="T536" s="907"/>
      <c r="U536" s="907"/>
      <c r="V536" s="907"/>
      <c r="W536" s="907"/>
      <c r="X536" s="907"/>
      <c r="Y536" s="907"/>
      <c r="Z536" s="907"/>
      <c r="AA536" s="907"/>
      <c r="AB536" s="907"/>
      <c r="AC536" s="907"/>
      <c r="AD536" s="907"/>
      <c r="AE536" s="907"/>
      <c r="AF536" s="907"/>
      <c r="AG536" s="907"/>
      <c r="AH536" s="907"/>
      <c r="AI536" s="907"/>
      <c r="AJ536" s="907"/>
      <c r="AK536" s="907"/>
      <c r="AL536" s="907"/>
      <c r="AM536" s="907"/>
      <c r="AN536" s="907"/>
      <c r="AO536" s="907"/>
      <c r="AP536" s="907"/>
      <c r="AQ536" s="907"/>
      <c r="AR536" s="907"/>
      <c r="AS536" s="907"/>
      <c r="AT536" s="907"/>
    </row>
    <row r="537" s="1" customFormat="1" ht="33.75" customHeight="1" spans="1:46">
      <c r="A537" s="906" t="str">
        <f>IF(Baza!C219=0,"-"," -Na trećem mjestu su obaveze evidentirane na poziciji: "&amp;Baza!B219&amp;",  od: "&amp;TEXT(Baza!C219,"#.## [$KM-141A]")&amp;"a.")</f>
        <v> -Na trećem mjestu su obaveze evidentirane na poziciji: Obaveze za porez na dobit (AOP 146),  od: 22.437 KMa.</v>
      </c>
      <c r="B537" s="906"/>
      <c r="C537" s="906"/>
      <c r="D537" s="906"/>
      <c r="E537" s="906"/>
      <c r="F537" s="906"/>
      <c r="G537" s="906"/>
      <c r="H537" s="906"/>
      <c r="I537" s="906"/>
      <c r="J537" s="906"/>
      <c r="K537" s="906"/>
      <c r="L537" s="906"/>
      <c r="M537" s="906"/>
      <c r="N537" s="906"/>
      <c r="O537" s="906"/>
      <c r="P537" s="906"/>
      <c r="Q537" s="906"/>
      <c r="R537" s="906"/>
      <c r="S537" s="906"/>
      <c r="T537" s="906"/>
      <c r="U537" s="906"/>
      <c r="V537" s="906"/>
      <c r="W537" s="906"/>
      <c r="X537" s="906"/>
      <c r="Y537" s="906"/>
      <c r="Z537" s="906"/>
      <c r="AA537" s="906"/>
      <c r="AB537" s="906"/>
      <c r="AC537" s="906"/>
      <c r="AD537" s="906"/>
      <c r="AE537" s="906"/>
      <c r="AF537" s="906"/>
      <c r="AG537" s="906"/>
      <c r="AH537" s="906"/>
      <c r="AI537" s="906"/>
      <c r="AJ537" s="906"/>
      <c r="AK537" s="906"/>
      <c r="AL537" s="906"/>
      <c r="AM537" s="906"/>
      <c r="AN537" s="906"/>
      <c r="AO537" s="906"/>
      <c r="AP537" s="906"/>
      <c r="AQ537" s="906"/>
      <c r="AR537" s="906"/>
      <c r="AS537" s="906"/>
      <c r="AT537" s="906"/>
    </row>
    <row r="538" s="1" customFormat="1" ht="15" spans="1:46">
      <c r="A538" s="906"/>
      <c r="B538" s="906"/>
      <c r="C538" s="906"/>
      <c r="D538" s="906"/>
      <c r="E538" s="906"/>
      <c r="F538" s="906"/>
      <c r="G538" s="906"/>
      <c r="H538" s="906"/>
      <c r="I538" s="906"/>
      <c r="J538" s="906"/>
      <c r="K538" s="906"/>
      <c r="L538" s="906"/>
      <c r="M538" s="906"/>
      <c r="N538" s="906"/>
      <c r="O538" s="906"/>
      <c r="P538" s="906"/>
      <c r="Q538" s="906"/>
      <c r="R538" s="906"/>
      <c r="S538" s="906"/>
      <c r="T538" s="906"/>
      <c r="U538" s="906"/>
      <c r="V538" s="906"/>
      <c r="W538" s="906"/>
      <c r="X538" s="906"/>
      <c r="Y538" s="906"/>
      <c r="Z538" s="906"/>
      <c r="AA538" s="906"/>
      <c r="AB538" s="906"/>
      <c r="AC538" s="906"/>
      <c r="AD538" s="906"/>
      <c r="AE538" s="906"/>
      <c r="AF538" s="906"/>
      <c r="AG538" s="906"/>
      <c r="AH538" s="906"/>
      <c r="AI538" s="906"/>
      <c r="AJ538" s="906"/>
      <c r="AK538" s="906"/>
      <c r="AL538" s="906"/>
      <c r="AM538" s="906"/>
      <c r="AN538" s="906"/>
      <c r="AO538" s="906"/>
      <c r="AP538" s="906"/>
      <c r="AQ538" s="906"/>
      <c r="AR538" s="906"/>
      <c r="AS538" s="906"/>
      <c r="AT538" s="906"/>
    </row>
    <row r="539" s="1" customFormat="1" ht="15" spans="1:46">
      <c r="A539" s="907" t="str">
        <f>IF(Baza!D219=0,"-","U odnosu na stanje početkom godine, ove obaveze imaju "&amp;Baza!H219&amp;", za "&amp;TEXT(Baza!F219,"#.## [$KM-141A]")&amp;" ili "&amp;ROUND(Baza!G219*100,1)&amp;" %.")</f>
        <v>U odnosu na stanje početkom godine, ove obaveze imaju POVEĆANJE, za 1.164 KM ili 5,5 %.</v>
      </c>
      <c r="B539" s="907"/>
      <c r="C539" s="907"/>
      <c r="D539" s="907"/>
      <c r="E539" s="907"/>
      <c r="F539" s="907"/>
      <c r="G539" s="907"/>
      <c r="H539" s="907"/>
      <c r="I539" s="907"/>
      <c r="J539" s="907"/>
      <c r="K539" s="907"/>
      <c r="L539" s="907"/>
      <c r="M539" s="907"/>
      <c r="N539" s="907"/>
      <c r="O539" s="907"/>
      <c r="P539" s="907"/>
      <c r="Q539" s="907"/>
      <c r="R539" s="907"/>
      <c r="S539" s="907"/>
      <c r="T539" s="907"/>
      <c r="U539" s="907"/>
      <c r="V539" s="907"/>
      <c r="W539" s="907"/>
      <c r="X539" s="907"/>
      <c r="Y539" s="907"/>
      <c r="Z539" s="907"/>
      <c r="AA539" s="907"/>
      <c r="AB539" s="907"/>
      <c r="AC539" s="907"/>
      <c r="AD539" s="907"/>
      <c r="AE539" s="907"/>
      <c r="AF539" s="907"/>
      <c r="AG539" s="907"/>
      <c r="AH539" s="907"/>
      <c r="AI539" s="907"/>
      <c r="AJ539" s="907"/>
      <c r="AK539" s="907"/>
      <c r="AL539" s="907"/>
      <c r="AM539" s="907"/>
      <c r="AN539" s="907"/>
      <c r="AO539" s="907"/>
      <c r="AP539" s="907"/>
      <c r="AQ539" s="907"/>
      <c r="AR539" s="907"/>
      <c r="AS539" s="907"/>
      <c r="AT539" s="907"/>
    </row>
    <row r="540" s="1" customFormat="1" ht="18.75" customHeight="1" spans="1:46">
      <c r="A540" s="906" t="str">
        <f>IF(Baza!C220=0,"-"," -Zatim sljedi: "&amp;Baza!B220&amp;",  od: "&amp;TEXT(Baza!C220,"#.## [$KM-141A]")&amp;".")</f>
        <v>-</v>
      </c>
      <c r="B540" s="906"/>
      <c r="C540" s="906"/>
      <c r="D540" s="906"/>
      <c r="E540" s="906"/>
      <c r="F540" s="906"/>
      <c r="G540" s="906"/>
      <c r="H540" s="906"/>
      <c r="I540" s="906"/>
      <c r="J540" s="906"/>
      <c r="K540" s="906"/>
      <c r="L540" s="906"/>
      <c r="M540" s="906"/>
      <c r="N540" s="906"/>
      <c r="O540" s="906"/>
      <c r="P540" s="906"/>
      <c r="Q540" s="906"/>
      <c r="R540" s="906"/>
      <c r="S540" s="906"/>
      <c r="T540" s="906"/>
      <c r="U540" s="906"/>
      <c r="V540" s="906"/>
      <c r="W540" s="906"/>
      <c r="X540" s="906"/>
      <c r="Y540" s="906"/>
      <c r="Z540" s="906"/>
      <c r="AA540" s="906"/>
      <c r="AB540" s="906"/>
      <c r="AC540" s="906"/>
      <c r="AD540" s="906"/>
      <c r="AE540" s="906"/>
      <c r="AF540" s="906"/>
      <c r="AG540" s="906"/>
      <c r="AH540" s="906"/>
      <c r="AI540" s="906"/>
      <c r="AJ540" s="906"/>
      <c r="AK540" s="906"/>
      <c r="AL540" s="906"/>
      <c r="AM540" s="906"/>
      <c r="AN540" s="906"/>
      <c r="AO540" s="906"/>
      <c r="AP540" s="906"/>
      <c r="AQ540" s="906"/>
      <c r="AR540" s="906"/>
      <c r="AS540" s="906"/>
      <c r="AT540" s="906"/>
    </row>
    <row r="541" s="1" customFormat="1" ht="15" spans="1:46">
      <c r="A541" s="906"/>
      <c r="B541" s="906"/>
      <c r="C541" s="906"/>
      <c r="D541" s="906"/>
      <c r="E541" s="906"/>
      <c r="F541" s="906"/>
      <c r="G541" s="906"/>
      <c r="H541" s="906"/>
      <c r="I541" s="906"/>
      <c r="J541" s="906"/>
      <c r="K541" s="906"/>
      <c r="L541" s="906"/>
      <c r="M541" s="906"/>
      <c r="N541" s="906"/>
      <c r="O541" s="906"/>
      <c r="P541" s="906"/>
      <c r="Q541" s="906"/>
      <c r="R541" s="906"/>
      <c r="S541" s="906"/>
      <c r="T541" s="906"/>
      <c r="U541" s="906"/>
      <c r="V541" s="906"/>
      <c r="W541" s="906"/>
      <c r="X541" s="906"/>
      <c r="Y541" s="906"/>
      <c r="Z541" s="906"/>
      <c r="AA541" s="906"/>
      <c r="AB541" s="906"/>
      <c r="AC541" s="906"/>
      <c r="AD541" s="906"/>
      <c r="AE541" s="906"/>
      <c r="AF541" s="906"/>
      <c r="AG541" s="906"/>
      <c r="AH541" s="906"/>
      <c r="AI541" s="906"/>
      <c r="AJ541" s="906"/>
      <c r="AK541" s="906"/>
      <c r="AL541" s="906"/>
      <c r="AM541" s="906"/>
      <c r="AN541" s="906"/>
      <c r="AO541" s="906"/>
      <c r="AP541" s="906"/>
      <c r="AQ541" s="906"/>
      <c r="AR541" s="906"/>
      <c r="AS541" s="906"/>
      <c r="AT541" s="906"/>
    </row>
    <row r="542" s="1" customFormat="1" ht="15" spans="1:46">
      <c r="A542" s="907" t="str">
        <f>IF(Baza!D220=0,"-","U odnosu na stanje početkom godine, ove obaveze imaju "&amp;Baza!H220&amp;", za "&amp;TEXT(Baza!F220,"#.## [$KM-141A]")&amp;" ili "&amp;ROUND(Baza!G220*100,1)&amp;" %.")</f>
        <v>-</v>
      </c>
      <c r="B542" s="907"/>
      <c r="C542" s="907"/>
      <c r="D542" s="907"/>
      <c r="E542" s="907"/>
      <c r="F542" s="907"/>
      <c r="G542" s="907"/>
      <c r="H542" s="907"/>
      <c r="I542" s="907"/>
      <c r="J542" s="907"/>
      <c r="K542" s="907"/>
      <c r="L542" s="907"/>
      <c r="M542" s="907"/>
      <c r="N542" s="907"/>
      <c r="O542" s="907"/>
      <c r="P542" s="907"/>
      <c r="Q542" s="907"/>
      <c r="R542" s="907"/>
      <c r="S542" s="907"/>
      <c r="T542" s="907"/>
      <c r="U542" s="907"/>
      <c r="V542" s="907"/>
      <c r="W542" s="907"/>
      <c r="X542" s="907"/>
      <c r="Y542" s="907"/>
      <c r="Z542" s="907"/>
      <c r="AA542" s="907"/>
      <c r="AB542" s="907"/>
      <c r="AC542" s="907"/>
      <c r="AD542" s="907"/>
      <c r="AE542" s="907"/>
      <c r="AF542" s="907"/>
      <c r="AG542" s="907"/>
      <c r="AH542" s="907"/>
      <c r="AI542" s="907"/>
      <c r="AJ542" s="907"/>
      <c r="AK542" s="907"/>
      <c r="AL542" s="907"/>
      <c r="AM542" s="907"/>
      <c r="AN542" s="907"/>
      <c r="AO542" s="907"/>
      <c r="AP542" s="907"/>
      <c r="AQ542" s="907"/>
      <c r="AR542" s="907"/>
      <c r="AS542" s="907"/>
      <c r="AT542" s="907"/>
    </row>
    <row r="543" ht="9" customHeight="1" spans="1:46">
      <c r="B543" s="570"/>
    </row>
    <row r="544" ht="14.25" customHeight="1" spans="1:46">
      <c r="A544" s="909" t="s">
        <v>5787</v>
      </c>
      <c r="B544" s="910"/>
      <c r="C544" s="910"/>
      <c r="D544" s="910"/>
      <c r="E544" s="910"/>
      <c r="F544" s="910"/>
      <c r="G544" s="910"/>
      <c r="H544" s="910"/>
      <c r="I544" s="910"/>
      <c r="J544" s="910"/>
      <c r="K544" s="910"/>
      <c r="L544" s="910"/>
      <c r="M544" s="910"/>
      <c r="N544" s="910"/>
      <c r="O544" s="910"/>
      <c r="P544" s="910"/>
      <c r="Q544" s="1113"/>
      <c r="R544" s="1114" t="str">
        <f ca="1">PeriodDo</f>
        <v>31.12.2025</v>
      </c>
      <c r="S544" s="992"/>
      <c r="T544" s="992"/>
      <c r="U544" s="992"/>
      <c r="V544" s="992"/>
      <c r="W544" s="992"/>
      <c r="X544" s="992"/>
      <c r="Y544" s="992"/>
      <c r="Z544" s="992"/>
      <c r="AA544" s="992"/>
      <c r="AB544" s="992"/>
      <c r="AC544" s="1115"/>
      <c r="AD544" s="1116" t="str">
        <f>PeriodOd</f>
        <v>01.01.2025</v>
      </c>
      <c r="AE544" s="911"/>
      <c r="AF544" s="911"/>
      <c r="AG544" s="911"/>
      <c r="AH544" s="911"/>
      <c r="AI544" s="911"/>
      <c r="AJ544" s="911"/>
      <c r="AK544" s="911"/>
      <c r="AL544" s="911"/>
      <c r="AM544" s="911"/>
      <c r="AN544" s="911"/>
      <c r="AO544" s="1117"/>
      <c r="AP544" s="1118" t="s">
        <v>7461</v>
      </c>
      <c r="AQ544" s="912"/>
      <c r="AR544" s="912"/>
      <c r="AS544" s="912"/>
      <c r="AT544" s="913"/>
    </row>
    <row r="545" ht="14.25" customHeight="1" spans="1:46">
      <c r="A545" s="914" t="s">
        <v>5791</v>
      </c>
      <c r="B545" s="915" t="s">
        <v>4043</v>
      </c>
      <c r="C545" s="915"/>
      <c r="D545" s="915"/>
      <c r="E545" s="915"/>
      <c r="F545" s="915"/>
      <c r="G545" s="915"/>
      <c r="H545" s="915"/>
      <c r="I545" s="915"/>
      <c r="J545" s="915"/>
      <c r="K545" s="915"/>
      <c r="L545" s="915"/>
      <c r="M545" s="915"/>
      <c r="N545" s="915"/>
      <c r="O545" s="915"/>
      <c r="P545" s="915"/>
      <c r="Q545" s="1119"/>
      <c r="R545" s="1120" t="s">
        <v>7462</v>
      </c>
      <c r="S545" s="916"/>
      <c r="T545" s="916"/>
      <c r="U545" s="916"/>
      <c r="V545" s="916"/>
      <c r="W545" s="916"/>
      <c r="X545" s="916"/>
      <c r="Y545" s="916"/>
      <c r="Z545" s="917" t="s">
        <v>20</v>
      </c>
      <c r="AA545" s="917"/>
      <c r="AB545" s="917"/>
      <c r="AC545" s="1121"/>
      <c r="AD545" s="1120" t="s">
        <v>7462</v>
      </c>
      <c r="AE545" s="916"/>
      <c r="AF545" s="916"/>
      <c r="AG545" s="916"/>
      <c r="AH545" s="916"/>
      <c r="AI545" s="916"/>
      <c r="AJ545" s="916"/>
      <c r="AK545" s="916"/>
      <c r="AL545" s="917" t="s">
        <v>20</v>
      </c>
      <c r="AM545" s="917"/>
      <c r="AN545" s="917"/>
      <c r="AO545" s="1121"/>
      <c r="AP545" s="1122" t="s">
        <v>7599</v>
      </c>
      <c r="AQ545" s="918"/>
      <c r="AR545" s="918"/>
      <c r="AS545" s="918"/>
      <c r="AT545" s="919"/>
    </row>
    <row r="546" ht="14.25" customHeight="1" spans="1:46">
      <c r="A546" s="920">
        <v>0</v>
      </c>
      <c r="B546" s="921">
        <v>1</v>
      </c>
      <c r="C546" s="921"/>
      <c r="D546" s="921"/>
      <c r="E546" s="921"/>
      <c r="F546" s="921"/>
      <c r="G546" s="921"/>
      <c r="H546" s="921"/>
      <c r="I546" s="921"/>
      <c r="J546" s="921"/>
      <c r="K546" s="921"/>
      <c r="L546" s="921"/>
      <c r="M546" s="921"/>
      <c r="N546" s="921"/>
      <c r="O546" s="921"/>
      <c r="P546" s="921"/>
      <c r="Q546" s="1123"/>
      <c r="R546" s="1124">
        <v>2</v>
      </c>
      <c r="S546" s="922"/>
      <c r="T546" s="922"/>
      <c r="U546" s="922"/>
      <c r="V546" s="922"/>
      <c r="W546" s="922"/>
      <c r="X546" s="922"/>
      <c r="Y546" s="922"/>
      <c r="Z546" s="922">
        <v>3</v>
      </c>
      <c r="AA546" s="922"/>
      <c r="AB546" s="922"/>
      <c r="AC546" s="923"/>
      <c r="AD546" s="1124">
        <v>4</v>
      </c>
      <c r="AE546" s="922"/>
      <c r="AF546" s="922"/>
      <c r="AG546" s="922"/>
      <c r="AH546" s="922"/>
      <c r="AI546" s="922"/>
      <c r="AJ546" s="922"/>
      <c r="AK546" s="922"/>
      <c r="AL546" s="922">
        <v>5</v>
      </c>
      <c r="AM546" s="922"/>
      <c r="AN546" s="922"/>
      <c r="AO546" s="923"/>
      <c r="AP546" s="1125">
        <v>6</v>
      </c>
      <c r="AQ546" s="922"/>
      <c r="AR546" s="922"/>
      <c r="AS546" s="922"/>
      <c r="AT546" s="923"/>
    </row>
    <row r="547" ht="14.25" customHeight="1" spans="1:46">
      <c r="A547" s="1029">
        <v>1</v>
      </c>
      <c r="B547" s="1030" t="s">
        <v>2690</v>
      </c>
      <c r="C547" s="1031"/>
      <c r="D547" s="1031"/>
      <c r="E547" s="1031"/>
      <c r="F547" s="1031"/>
      <c r="G547" s="1031"/>
      <c r="H547" s="1031"/>
      <c r="I547" s="1031"/>
      <c r="J547" s="1031"/>
      <c r="K547" s="1032"/>
      <c r="L547" s="1032"/>
      <c r="M547" s="1032"/>
      <c r="N547" s="1032"/>
      <c r="O547" s="1032"/>
      <c r="P547" s="1032"/>
      <c r="Q547" s="1032"/>
      <c r="R547" s="1126">
        <f>B_Stanja!AI115</f>
        <v>309265</v>
      </c>
      <c r="S547" s="950"/>
      <c r="T547" s="950"/>
      <c r="U547" s="950"/>
      <c r="V547" s="950"/>
      <c r="W547" s="950"/>
      <c r="X547" s="950"/>
      <c r="Y547" s="950"/>
      <c r="Z547" s="1127">
        <f>IFERROR(R547/$R$552,"-")</f>
        <v>0.516044578749506</v>
      </c>
      <c r="AA547" s="1128"/>
      <c r="AB547" s="1128"/>
      <c r="AC547" s="1129"/>
      <c r="AD547" s="1130">
        <f>B_Stanja!AP115</f>
        <v>459768</v>
      </c>
      <c r="AE547" s="1038"/>
      <c r="AF547" s="1038"/>
      <c r="AG547" s="1038"/>
      <c r="AH547" s="1038"/>
      <c r="AI547" s="1038"/>
      <c r="AJ547" s="1038"/>
      <c r="AK547" s="1039"/>
      <c r="AL547" s="1127">
        <f>IFERROR(AD547/$AD$552,"-")</f>
        <v>0.597970297094089</v>
      </c>
      <c r="AM547" s="1128"/>
      <c r="AN547" s="1128"/>
      <c r="AO547" s="1129"/>
      <c r="AP547" s="1131">
        <f t="shared" ref="AP547:AP552" si="21">IF(R547/(AD547+0.00001)*100&gt;10000,0,R547/(AD547+0.00001)*100)</f>
        <v>67.2654469195928</v>
      </c>
      <c r="AQ547" s="953"/>
      <c r="AR547" s="953"/>
      <c r="AS547" s="953"/>
      <c r="AT547" s="954"/>
    </row>
    <row r="548" ht="14.25" customHeight="1" spans="1:46">
      <c r="A548" s="945">
        <v>2</v>
      </c>
      <c r="B548" s="946" t="s">
        <v>2719</v>
      </c>
      <c r="C548" s="947"/>
      <c r="D548" s="947"/>
      <c r="E548" s="947"/>
      <c r="F548" s="947"/>
      <c r="G548" s="947"/>
      <c r="H548" s="947"/>
      <c r="I548" s="947"/>
      <c r="J548" s="947"/>
      <c r="K548" s="948"/>
      <c r="L548" s="948"/>
      <c r="M548" s="948"/>
      <c r="N548" s="948"/>
      <c r="O548" s="948"/>
      <c r="P548" s="948"/>
      <c r="Q548" s="948"/>
      <c r="R548" s="1126">
        <f>R549+R550</f>
        <v>290034</v>
      </c>
      <c r="S548" s="950"/>
      <c r="T548" s="950"/>
      <c r="U548" s="950"/>
      <c r="V548" s="950"/>
      <c r="W548" s="950"/>
      <c r="X548" s="950"/>
      <c r="Y548" s="950"/>
      <c r="Z548" s="1127">
        <f t="shared" ref="Z548:Z552" si="22">IFERROR(R548/$R$552,"-")</f>
        <v>0.483955421250494</v>
      </c>
      <c r="AA548" s="1128"/>
      <c r="AB548" s="1128"/>
      <c r="AC548" s="1129"/>
      <c r="AD548" s="1130">
        <f>AD549+AD550</f>
        <v>309113</v>
      </c>
      <c r="AE548" s="1038"/>
      <c r="AF548" s="1038"/>
      <c r="AG548" s="1038"/>
      <c r="AH548" s="1038"/>
      <c r="AI548" s="1038"/>
      <c r="AJ548" s="1038"/>
      <c r="AK548" s="1039"/>
      <c r="AL548" s="1127">
        <f t="shared" ref="AL548:AL552" si="23">IFERROR(AD548/$AD$552,"-")</f>
        <v>0.402029702905911</v>
      </c>
      <c r="AM548" s="1128"/>
      <c r="AN548" s="1128"/>
      <c r="AO548" s="1129"/>
      <c r="AP548" s="1131">
        <f t="shared" si="21"/>
        <v>93.8278234789922</v>
      </c>
      <c r="AQ548" s="953"/>
      <c r="AR548" s="953"/>
      <c r="AS548" s="953"/>
      <c r="AT548" s="954"/>
    </row>
    <row r="549" ht="14.25" customHeight="1" spans="1:46">
      <c r="A549" s="1045"/>
      <c r="B549" s="1083" t="s">
        <v>4017</v>
      </c>
      <c r="C549" s="926"/>
      <c r="D549" s="926"/>
      <c r="E549" s="926"/>
      <c r="F549" s="926"/>
      <c r="G549" s="926"/>
      <c r="H549" s="926"/>
      <c r="I549" s="926"/>
      <c r="J549" s="926"/>
      <c r="K549" s="1047"/>
      <c r="L549" s="1047"/>
      <c r="M549" s="1047"/>
      <c r="N549" s="1047"/>
      <c r="O549" s="1047"/>
      <c r="P549" s="1047"/>
      <c r="Q549" s="1047"/>
      <c r="R549" s="1132">
        <f>B_Stanja!AI125</f>
        <v>0</v>
      </c>
      <c r="S549" s="930"/>
      <c r="T549" s="930"/>
      <c r="U549" s="930"/>
      <c r="V549" s="930"/>
      <c r="W549" s="930"/>
      <c r="X549" s="930"/>
      <c r="Y549" s="930"/>
      <c r="Z549" s="1034">
        <f t="shared" si="22"/>
        <v>0</v>
      </c>
      <c r="AA549" s="1035"/>
      <c r="AB549" s="1035"/>
      <c r="AC549" s="1133"/>
      <c r="AD549" s="1134">
        <f>B_Stanja!AP125</f>
        <v>16678</v>
      </c>
      <c r="AE549" s="1050"/>
      <c r="AF549" s="1050"/>
      <c r="AG549" s="1050"/>
      <c r="AH549" s="1050"/>
      <c r="AI549" s="1050"/>
      <c r="AJ549" s="1050"/>
      <c r="AK549" s="1051"/>
      <c r="AL549" s="1034">
        <f t="shared" si="23"/>
        <v>0.021691263017294</v>
      </c>
      <c r="AM549" s="1035"/>
      <c r="AN549" s="1035"/>
      <c r="AO549" s="1133"/>
      <c r="AP549" s="1135">
        <f t="shared" si="21"/>
        <v>0</v>
      </c>
      <c r="AQ549" s="1136"/>
      <c r="AR549" s="1136"/>
      <c r="AS549" s="1136"/>
      <c r="AT549" s="1137"/>
    </row>
    <row r="550" ht="14.25" customHeight="1" spans="1:46">
      <c r="A550" s="1066"/>
      <c r="B550" s="1138" t="s">
        <v>4027</v>
      </c>
      <c r="C550" s="1068"/>
      <c r="D550" s="1068"/>
      <c r="E550" s="1068"/>
      <c r="F550" s="1068"/>
      <c r="G550" s="1068"/>
      <c r="H550" s="1068"/>
      <c r="I550" s="1068"/>
      <c r="J550" s="1068"/>
      <c r="K550" s="1069"/>
      <c r="L550" s="1069"/>
      <c r="M550" s="1069"/>
      <c r="N550" s="1069"/>
      <c r="O550" s="1069"/>
      <c r="P550" s="1069"/>
      <c r="Q550" s="1069"/>
      <c r="R550" s="1139">
        <f>B_Stanja!AI135</f>
        <v>290034</v>
      </c>
      <c r="S550" s="1071"/>
      <c r="T550" s="1071"/>
      <c r="U550" s="1071"/>
      <c r="V550" s="1071"/>
      <c r="W550" s="1071"/>
      <c r="X550" s="1071"/>
      <c r="Y550" s="1071"/>
      <c r="Z550" s="1072">
        <f t="shared" si="22"/>
        <v>0.483955421250494</v>
      </c>
      <c r="AA550" s="1073"/>
      <c r="AB550" s="1073"/>
      <c r="AC550" s="1140"/>
      <c r="AD550" s="1141">
        <f>B_Stanja!AP135</f>
        <v>292435</v>
      </c>
      <c r="AE550" s="1076"/>
      <c r="AF550" s="1076"/>
      <c r="AG550" s="1076"/>
      <c r="AH550" s="1076"/>
      <c r="AI550" s="1076"/>
      <c r="AJ550" s="1076"/>
      <c r="AK550" s="1077"/>
      <c r="AL550" s="1072">
        <f t="shared" si="23"/>
        <v>0.380338439888617</v>
      </c>
      <c r="AM550" s="1073"/>
      <c r="AN550" s="1073"/>
      <c r="AO550" s="1140"/>
      <c r="AP550" s="1142">
        <f t="shared" si="21"/>
        <v>99.178962843053</v>
      </c>
      <c r="AQ550" s="1143"/>
      <c r="AR550" s="1143"/>
      <c r="AS550" s="1143"/>
      <c r="AT550" s="1144"/>
    </row>
    <row r="551" ht="14.25" customHeight="1" spans="1:46">
      <c r="A551" s="945">
        <v>3</v>
      </c>
      <c r="B551" s="946" t="s">
        <v>7638</v>
      </c>
      <c r="C551" s="947"/>
      <c r="D551" s="947"/>
      <c r="E551" s="947"/>
      <c r="F551" s="947"/>
      <c r="G551" s="947"/>
      <c r="H551" s="947"/>
      <c r="I551" s="947"/>
      <c r="J551" s="947"/>
      <c r="K551" s="948"/>
      <c r="L551" s="948"/>
      <c r="M551" s="948"/>
      <c r="N551" s="948"/>
      <c r="O551" s="948"/>
      <c r="P551" s="948"/>
      <c r="Q551" s="948"/>
      <c r="R551" s="1126">
        <f>R552-R547-R548</f>
        <v>0</v>
      </c>
      <c r="S551" s="950"/>
      <c r="T551" s="950"/>
      <c r="U551" s="950"/>
      <c r="V551" s="950"/>
      <c r="W551" s="950"/>
      <c r="X551" s="950"/>
      <c r="Y551" s="950"/>
      <c r="Z551" s="1127">
        <f t="shared" si="22"/>
        <v>0</v>
      </c>
      <c r="AA551" s="1128"/>
      <c r="AB551" s="1128"/>
      <c r="AC551" s="1129"/>
      <c r="AD551" s="1130">
        <f>AD552-AD547-AD548</f>
        <v>0</v>
      </c>
      <c r="AE551" s="1038"/>
      <c r="AF551" s="1038"/>
      <c r="AG551" s="1038"/>
      <c r="AH551" s="1038"/>
      <c r="AI551" s="1038"/>
      <c r="AJ551" s="1038"/>
      <c r="AK551" s="1039"/>
      <c r="AL551" s="1127">
        <f t="shared" si="23"/>
        <v>0</v>
      </c>
      <c r="AM551" s="1128"/>
      <c r="AN551" s="1128"/>
      <c r="AO551" s="1129"/>
      <c r="AP551" s="1131">
        <f t="shared" si="21"/>
        <v>0</v>
      </c>
      <c r="AQ551" s="953"/>
      <c r="AR551" s="953"/>
      <c r="AS551" s="953"/>
      <c r="AT551" s="954"/>
    </row>
    <row r="552" ht="14.25" customHeight="1" spans="1:46">
      <c r="A552" s="945">
        <v>4</v>
      </c>
      <c r="B552" s="946" t="s">
        <v>7639</v>
      </c>
      <c r="C552" s="947"/>
      <c r="D552" s="947"/>
      <c r="E552" s="947"/>
      <c r="F552" s="947"/>
      <c r="G552" s="947"/>
      <c r="H552" s="947"/>
      <c r="I552" s="947"/>
      <c r="J552" s="947"/>
      <c r="K552" s="948"/>
      <c r="L552" s="948"/>
      <c r="M552" s="948"/>
      <c r="N552" s="948"/>
      <c r="O552" s="948"/>
      <c r="P552" s="948"/>
      <c r="Q552" s="948"/>
      <c r="R552" s="1126">
        <f>B_Stanja!AI150</f>
        <v>599299</v>
      </c>
      <c r="S552" s="950"/>
      <c r="T552" s="950"/>
      <c r="U552" s="950"/>
      <c r="V552" s="950"/>
      <c r="W552" s="950"/>
      <c r="X552" s="950"/>
      <c r="Y552" s="950"/>
      <c r="Z552" s="1084">
        <f t="shared" si="22"/>
        <v>1</v>
      </c>
      <c r="AA552" s="1085"/>
      <c r="AB552" s="1085"/>
      <c r="AC552" s="1145"/>
      <c r="AD552" s="1130">
        <f>B_Stanja!AP150</f>
        <v>768881</v>
      </c>
      <c r="AE552" s="1038"/>
      <c r="AF552" s="1038"/>
      <c r="AG552" s="1038"/>
      <c r="AH552" s="1038"/>
      <c r="AI552" s="1038"/>
      <c r="AJ552" s="1038"/>
      <c r="AK552" s="1039"/>
      <c r="AL552" s="1084">
        <f t="shared" si="23"/>
        <v>1</v>
      </c>
      <c r="AM552" s="1085"/>
      <c r="AN552" s="1085"/>
      <c r="AO552" s="1145"/>
      <c r="AP552" s="1131">
        <f t="shared" si="21"/>
        <v>77.9443112773245</v>
      </c>
      <c r="AQ552" s="953"/>
      <c r="AR552" s="953"/>
      <c r="AS552" s="953"/>
      <c r="AT552" s="954"/>
    </row>
    <row r="554" ht="11.25" customHeight="1" spans="1:46">
      <c r="B554" s="570" t="str">
        <f ca="1">"Grafički prikaz strukture pasive (izvora sredstava) "&amp;Baza!C14&amp;" i 31.12."&amp;PoslGod-1&amp;".godine"</f>
        <v>Grafički prikaz strukture pasive (izvora sredstava) 31.12.2025 i 31.12.2024.godine</v>
      </c>
    </row>
    <row r="556" spans="1:46">
      <c r="AM556">
        <f ca="1">PoslGod</f>
        <v>2025</v>
      </c>
    </row>
    <row r="557" spans="1:46">
      <c r="AL557" s="572" t="s">
        <v>7640</v>
      </c>
      <c r="AM557" s="1087">
        <f>R547</f>
        <v>309265</v>
      </c>
    </row>
    <row r="558" spans="1:46">
      <c r="AL558" s="572" t="s">
        <v>7641</v>
      </c>
      <c r="AM558" s="1087">
        <f>R549</f>
        <v>0</v>
      </c>
    </row>
    <row r="559" spans="1:46">
      <c r="AL559" s="572" t="s">
        <v>7642</v>
      </c>
      <c r="AM559" s="1087">
        <f>R550</f>
        <v>290034</v>
      </c>
    </row>
    <row r="560" spans="1:46">
      <c r="AM560" s="1087"/>
    </row>
    <row r="561" spans="1:46">
      <c r="AM561">
        <f ca="1">PoslGod-1</f>
        <v>2024</v>
      </c>
    </row>
    <row r="562" spans="1:46">
      <c r="AL562" s="572" t="s">
        <v>7640</v>
      </c>
      <c r="AM562" s="1087">
        <f>AD547</f>
        <v>459768</v>
      </c>
    </row>
    <row r="563" spans="1:46">
      <c r="AL563" s="572" t="s">
        <v>7643</v>
      </c>
      <c r="AM563" s="1087">
        <f>AD549</f>
        <v>16678</v>
      </c>
    </row>
    <row r="564" spans="1:46">
      <c r="AL564" s="572" t="s">
        <v>7644</v>
      </c>
      <c r="AM564" s="1087">
        <f>AD550</f>
        <v>292435</v>
      </c>
    </row>
    <row r="568" ht="16.5" customHeight="1"/>
    <row r="569" ht="15" spans="1:46">
      <c r="A569" s="1" t="str">
        <f ca="1">"Pregled pozicija PASIVE bilanca stanja, po veličini, na dan "&amp;PeriodDo&amp;". godine"</f>
        <v>Pregled pozicija PASIVE bilanca stanja, po veličini, na dan 31.12.2025. godine</v>
      </c>
      <c r="B569" s="491"/>
      <c r="C569" s="491"/>
      <c r="D569" s="491"/>
      <c r="E569" s="491"/>
      <c r="F569" s="491"/>
      <c r="G569" s="491"/>
      <c r="H569" s="491"/>
      <c r="I569" s="491"/>
      <c r="J569" s="491"/>
      <c r="K569" s="491"/>
      <c r="L569" s="491"/>
      <c r="M569" s="491"/>
      <c r="N569" s="491"/>
      <c r="O569" s="491"/>
      <c r="P569" s="491"/>
      <c r="Q569" s="491"/>
      <c r="R569" s="491"/>
      <c r="S569" s="491"/>
      <c r="T569" s="491"/>
      <c r="U569" s="491"/>
      <c r="V569" s="491"/>
      <c r="W569" s="491"/>
      <c r="X569" s="491"/>
      <c r="Y569" s="491"/>
      <c r="Z569" s="491"/>
      <c r="AA569" s="491"/>
      <c r="AB569" s="491"/>
      <c r="AC569" s="491"/>
      <c r="AD569" s="491"/>
      <c r="AE569" s="491"/>
      <c r="AF569" s="491"/>
      <c r="AG569" s="491"/>
      <c r="AH569" s="491"/>
      <c r="AI569" s="491"/>
      <c r="AJ569" s="491"/>
      <c r="AK569" s="491"/>
      <c r="AL569" s="491"/>
      <c r="AM569" s="491"/>
      <c r="AN569" s="491"/>
      <c r="AO569" s="491"/>
      <c r="AP569" s="491"/>
      <c r="AQ569" s="491"/>
      <c r="AR569" s="491"/>
    </row>
    <row r="570" ht="18.75" customHeight="1" spans="1:46">
      <c r="A570" s="960" t="s">
        <v>5787</v>
      </c>
      <c r="B570" s="961" t="s">
        <v>7613</v>
      </c>
      <c r="C570" s="962"/>
      <c r="D570" s="962"/>
      <c r="E570" s="962"/>
      <c r="F570" s="962"/>
      <c r="G570" s="962"/>
      <c r="H570" s="962"/>
      <c r="I570" s="962"/>
      <c r="J570" s="962"/>
      <c r="K570" s="962"/>
      <c r="L570" s="962"/>
      <c r="M570" s="962"/>
      <c r="N570" s="962"/>
      <c r="O570" s="962"/>
      <c r="P570" s="962"/>
      <c r="Q570" s="962"/>
      <c r="R570" s="962"/>
      <c r="S570" s="962"/>
      <c r="T570" s="962"/>
      <c r="U570" s="962"/>
      <c r="V570" s="962"/>
      <c r="W570" s="962"/>
      <c r="X570" s="962"/>
      <c r="Y570" s="962"/>
      <c r="Z570" s="962"/>
      <c r="AA570" s="962"/>
      <c r="AB570" s="962"/>
      <c r="AC570" s="962"/>
      <c r="AD570" s="963"/>
      <c r="AE570" s="1146" t="str">
        <f ca="1">PeriodDo</f>
        <v>31.12.2025</v>
      </c>
      <c r="AF570" s="1147"/>
      <c r="AG570" s="1147"/>
      <c r="AH570" s="1147"/>
      <c r="AI570" s="1147"/>
      <c r="AJ570" s="1147"/>
      <c r="AK570" s="1147"/>
      <c r="AL570" s="1147"/>
      <c r="AM570" s="1147"/>
      <c r="AN570" s="1147"/>
      <c r="AO570" s="1147"/>
      <c r="AP570" s="1147"/>
      <c r="AQ570" s="1147"/>
      <c r="AR570" s="1147"/>
      <c r="AS570" s="1147"/>
      <c r="AT570" s="1148"/>
    </row>
    <row r="571" ht="18.75" customHeight="1" spans="1:46">
      <c r="A571" s="967" t="s">
        <v>5791</v>
      </c>
      <c r="B571" s="968"/>
      <c r="C571" s="969"/>
      <c r="D571" s="969"/>
      <c r="E571" s="969"/>
      <c r="F571" s="969"/>
      <c r="G571" s="969"/>
      <c r="H571" s="969"/>
      <c r="I571" s="969"/>
      <c r="J571" s="969"/>
      <c r="K571" s="969"/>
      <c r="L571" s="969"/>
      <c r="M571" s="969"/>
      <c r="N571" s="969"/>
      <c r="O571" s="969"/>
      <c r="P571" s="969"/>
      <c r="Q571" s="969"/>
      <c r="R571" s="969"/>
      <c r="S571" s="969"/>
      <c r="T571" s="969"/>
      <c r="U571" s="969"/>
      <c r="V571" s="969"/>
      <c r="W571" s="969"/>
      <c r="X571" s="969"/>
      <c r="Y571" s="969"/>
      <c r="Z571" s="969"/>
      <c r="AA571" s="969"/>
      <c r="AB571" s="969"/>
      <c r="AC571" s="969"/>
      <c r="AD571" s="970"/>
      <c r="AE571" s="971" t="s">
        <v>7462</v>
      </c>
      <c r="AF571" s="971"/>
      <c r="AG571" s="971"/>
      <c r="AH571" s="971"/>
      <c r="AI571" s="971"/>
      <c r="AJ571" s="971"/>
      <c r="AK571" s="971"/>
      <c r="AL571" s="971"/>
      <c r="AM571" s="971" t="s">
        <v>20</v>
      </c>
      <c r="AN571" s="971"/>
      <c r="AO571" s="971"/>
      <c r="AP571" s="971"/>
      <c r="AQ571" s="971" t="s">
        <v>20</v>
      </c>
      <c r="AR571" s="971"/>
      <c r="AS571" s="971"/>
      <c r="AT571" s="971"/>
    </row>
    <row r="572" ht="15" customHeight="1" spans="1:46">
      <c r="A572" s="972">
        <v>0</v>
      </c>
      <c r="B572" s="972">
        <v>1</v>
      </c>
      <c r="C572" s="972"/>
      <c r="D572" s="972"/>
      <c r="E572" s="972"/>
      <c r="F572" s="972"/>
      <c r="G572" s="972"/>
      <c r="H572" s="972"/>
      <c r="I572" s="972"/>
      <c r="J572" s="972"/>
      <c r="K572" s="972"/>
      <c r="L572" s="972"/>
      <c r="M572" s="972"/>
      <c r="N572" s="972"/>
      <c r="O572" s="972"/>
      <c r="P572" s="972"/>
      <c r="Q572" s="972"/>
      <c r="R572" s="972"/>
      <c r="S572" s="972"/>
      <c r="T572" s="972"/>
      <c r="U572" s="972"/>
      <c r="V572" s="972"/>
      <c r="W572" s="972"/>
      <c r="X572" s="972"/>
      <c r="Y572" s="972"/>
      <c r="Z572" s="972"/>
      <c r="AA572" s="972"/>
      <c r="AB572" s="972"/>
      <c r="AC572" s="972"/>
      <c r="AD572" s="972"/>
      <c r="AE572" s="972">
        <v>3</v>
      </c>
      <c r="AF572" s="972"/>
      <c r="AG572" s="972"/>
      <c r="AH572" s="972"/>
      <c r="AI572" s="972"/>
      <c r="AJ572" s="972"/>
      <c r="AK572" s="972"/>
      <c r="AL572" s="972"/>
      <c r="AM572" s="972">
        <v>4</v>
      </c>
      <c r="AN572" s="972"/>
      <c r="AO572" s="972"/>
      <c r="AP572" s="972"/>
      <c r="AQ572" s="972">
        <v>5</v>
      </c>
      <c r="AR572" s="972"/>
      <c r="AS572" s="972"/>
      <c r="AT572" s="972"/>
    </row>
    <row r="573" ht="19.5" customHeight="1" spans="1:46">
      <c r="A573" s="973">
        <v>1</v>
      </c>
      <c r="B573" s="974" t="str">
        <f>IF(AE573=0,"-",Baza!B208)</f>
        <v>Udjeli članova društva sa ograničenom odgovornošću (AOP 104)</v>
      </c>
      <c r="C573" s="974"/>
      <c r="D573" s="974"/>
      <c r="E573" s="974"/>
      <c r="F573" s="974"/>
      <c r="G573" s="974"/>
      <c r="H573" s="974"/>
      <c r="I573" s="974"/>
      <c r="J573" s="974"/>
      <c r="K573" s="974"/>
      <c r="L573" s="974"/>
      <c r="M573" s="974"/>
      <c r="N573" s="974"/>
      <c r="O573" s="974"/>
      <c r="P573" s="974"/>
      <c r="Q573" s="974"/>
      <c r="R573" s="974"/>
      <c r="S573" s="974"/>
      <c r="T573" s="974"/>
      <c r="U573" s="974"/>
      <c r="V573" s="974"/>
      <c r="W573" s="974"/>
      <c r="X573" s="974"/>
      <c r="Y573" s="974"/>
      <c r="Z573" s="974"/>
      <c r="AA573" s="974"/>
      <c r="AB573" s="974"/>
      <c r="AC573" s="974"/>
      <c r="AD573" s="974"/>
      <c r="AE573" s="978">
        <f>Baza!C208</f>
        <v>350000</v>
      </c>
      <c r="AF573" s="978"/>
      <c r="AG573" s="978"/>
      <c r="AH573" s="978"/>
      <c r="AI573" s="978"/>
      <c r="AJ573" s="978"/>
      <c r="AK573" s="978"/>
      <c r="AL573" s="978"/>
      <c r="AM573" s="976">
        <f>IFERROR(AE573/$AE$579,"-")</f>
        <v>1.13171551905324</v>
      </c>
      <c r="AN573" s="976"/>
      <c r="AO573" s="976"/>
      <c r="AP573" s="976"/>
      <c r="AQ573" s="976">
        <f t="shared" ref="AQ573:AQ588" si="24">IFERROR(AE573/$AE$588,"-")</f>
        <v>0.584015658294107</v>
      </c>
      <c r="AR573" s="976"/>
      <c r="AS573" s="976"/>
      <c r="AT573" s="976"/>
    </row>
    <row r="574" ht="19.5" customHeight="1" spans="1:46">
      <c r="A574" s="977">
        <v>2</v>
      </c>
      <c r="B574" s="974" t="str">
        <f>IF(AE574=0,"-",Baza!B209)</f>
        <v>Ostale rezerve (AOP 110)</v>
      </c>
      <c r="C574" s="974"/>
      <c r="D574" s="974"/>
      <c r="E574" s="974"/>
      <c r="F574" s="974"/>
      <c r="G574" s="974"/>
      <c r="H574" s="974"/>
      <c r="I574" s="974"/>
      <c r="J574" s="974"/>
      <c r="K574" s="974"/>
      <c r="L574" s="974"/>
      <c r="M574" s="974"/>
      <c r="N574" s="974"/>
      <c r="O574" s="974"/>
      <c r="P574" s="974"/>
      <c r="Q574" s="974"/>
      <c r="R574" s="974"/>
      <c r="S574" s="974"/>
      <c r="T574" s="974"/>
      <c r="U574" s="974"/>
      <c r="V574" s="974"/>
      <c r="W574" s="974"/>
      <c r="X574" s="974"/>
      <c r="Y574" s="974"/>
      <c r="Z574" s="974"/>
      <c r="AA574" s="974"/>
      <c r="AB574" s="974"/>
      <c r="AC574" s="974"/>
      <c r="AD574" s="974"/>
      <c r="AE574" s="978">
        <f>Baza!C209</f>
        <v>18462</v>
      </c>
      <c r="AF574" s="978"/>
      <c r="AG574" s="978"/>
      <c r="AH574" s="978"/>
      <c r="AI574" s="978"/>
      <c r="AJ574" s="978"/>
      <c r="AK574" s="978"/>
      <c r="AL574" s="978"/>
      <c r="AM574" s="976">
        <f t="shared" ref="AM574:AM579" si="25">IFERROR(AE574/$AE$579,"-")</f>
        <v>0.0596963768936026</v>
      </c>
      <c r="AN574" s="976"/>
      <c r="AO574" s="976"/>
      <c r="AP574" s="976"/>
      <c r="AQ574" s="976">
        <f t="shared" si="24"/>
        <v>0.0308059916669309</v>
      </c>
      <c r="AR574" s="976"/>
      <c r="AS574" s="976"/>
      <c r="AT574" s="976"/>
    </row>
    <row r="575" ht="19.5" customHeight="1" spans="1:46">
      <c r="A575" s="977">
        <v>3</v>
      </c>
      <c r="B575" s="974" t="str">
        <f>IF(AE575=0,"-",Baza!B210)</f>
        <v>-</v>
      </c>
      <c r="C575" s="974"/>
      <c r="D575" s="974"/>
      <c r="E575" s="974"/>
      <c r="F575" s="974"/>
      <c r="G575" s="974"/>
      <c r="H575" s="974"/>
      <c r="I575" s="974"/>
      <c r="J575" s="974"/>
      <c r="K575" s="974"/>
      <c r="L575" s="974"/>
      <c r="M575" s="974"/>
      <c r="N575" s="974"/>
      <c r="O575" s="974"/>
      <c r="P575" s="974"/>
      <c r="Q575" s="974"/>
      <c r="R575" s="974"/>
      <c r="S575" s="974"/>
      <c r="T575" s="974"/>
      <c r="U575" s="974"/>
      <c r="V575" s="974"/>
      <c r="W575" s="974"/>
      <c r="X575" s="974"/>
      <c r="Y575" s="974"/>
      <c r="Z575" s="974"/>
      <c r="AA575" s="974"/>
      <c r="AB575" s="974"/>
      <c r="AC575" s="974"/>
      <c r="AD575" s="974"/>
      <c r="AE575" s="978">
        <f>Baza!C210</f>
        <v>0</v>
      </c>
      <c r="AF575" s="978"/>
      <c r="AG575" s="978"/>
      <c r="AH575" s="978"/>
      <c r="AI575" s="978"/>
      <c r="AJ575" s="978"/>
      <c r="AK575" s="978"/>
      <c r="AL575" s="978"/>
      <c r="AM575" s="976">
        <f t="shared" si="25"/>
        <v>0</v>
      </c>
      <c r="AN575" s="976"/>
      <c r="AO575" s="976"/>
      <c r="AP575" s="976"/>
      <c r="AQ575" s="976">
        <f t="shared" si="24"/>
        <v>0</v>
      </c>
      <c r="AR575" s="976"/>
      <c r="AS575" s="976"/>
      <c r="AT575" s="976"/>
    </row>
    <row r="576" ht="19.5" customHeight="1" spans="1:46">
      <c r="A576" s="977">
        <v>4</v>
      </c>
      <c r="B576" s="974" t="str">
        <f>IF(AE576=0,"-",Baza!B211)</f>
        <v>-</v>
      </c>
      <c r="C576" s="974"/>
      <c r="D576" s="974"/>
      <c r="E576" s="974"/>
      <c r="F576" s="974"/>
      <c r="G576" s="974"/>
      <c r="H576" s="974"/>
      <c r="I576" s="974"/>
      <c r="J576" s="974"/>
      <c r="K576" s="974"/>
      <c r="L576" s="974"/>
      <c r="M576" s="974"/>
      <c r="N576" s="974"/>
      <c r="O576" s="974"/>
      <c r="P576" s="974"/>
      <c r="Q576" s="974"/>
      <c r="R576" s="974"/>
      <c r="S576" s="974"/>
      <c r="T576" s="974"/>
      <c r="U576" s="974"/>
      <c r="V576" s="974"/>
      <c r="W576" s="974"/>
      <c r="X576" s="974"/>
      <c r="Y576" s="974"/>
      <c r="Z576" s="974"/>
      <c r="AA576" s="974"/>
      <c r="AB576" s="974"/>
      <c r="AC576" s="974"/>
      <c r="AD576" s="974"/>
      <c r="AE576" s="978">
        <f>Baza!C211</f>
        <v>0</v>
      </c>
      <c r="AF576" s="978"/>
      <c r="AG576" s="978"/>
      <c r="AH576" s="978"/>
      <c r="AI576" s="978"/>
      <c r="AJ576" s="978"/>
      <c r="AK576" s="978"/>
      <c r="AL576" s="978"/>
      <c r="AM576" s="976">
        <f t="shared" si="25"/>
        <v>0</v>
      </c>
      <c r="AN576" s="976"/>
      <c r="AO576" s="976"/>
      <c r="AP576" s="976"/>
      <c r="AQ576" s="976">
        <f t="shared" si="24"/>
        <v>0</v>
      </c>
      <c r="AR576" s="976"/>
      <c r="AS576" s="976"/>
      <c r="AT576" s="976"/>
    </row>
    <row r="577" ht="19.5" customHeight="1" spans="1:52">
      <c r="A577" s="977">
        <v>5</v>
      </c>
      <c r="B577" s="974" t="str">
        <f>IF(AE577=0,"-",Baza!B212)</f>
        <v>-</v>
      </c>
      <c r="C577" s="974"/>
      <c r="D577" s="974"/>
      <c r="E577" s="974"/>
      <c r="F577" s="974"/>
      <c r="G577" s="974"/>
      <c r="H577" s="974"/>
      <c r="I577" s="974"/>
      <c r="J577" s="974"/>
      <c r="K577" s="974"/>
      <c r="L577" s="974"/>
      <c r="M577" s="974"/>
      <c r="N577" s="974"/>
      <c r="O577" s="974"/>
      <c r="P577" s="974"/>
      <c r="Q577" s="974"/>
      <c r="R577" s="974"/>
      <c r="S577" s="974"/>
      <c r="T577" s="974"/>
      <c r="U577" s="974"/>
      <c r="V577" s="974"/>
      <c r="W577" s="974"/>
      <c r="X577" s="974"/>
      <c r="Y577" s="974"/>
      <c r="Z577" s="974"/>
      <c r="AA577" s="974"/>
      <c r="AB577" s="974"/>
      <c r="AC577" s="974"/>
      <c r="AD577" s="974"/>
      <c r="AE577" s="978">
        <f>Baza!C212</f>
        <v>0</v>
      </c>
      <c r="AF577" s="978"/>
      <c r="AG577" s="978"/>
      <c r="AH577" s="978"/>
      <c r="AI577" s="978"/>
      <c r="AJ577" s="978"/>
      <c r="AK577" s="978"/>
      <c r="AL577" s="978"/>
      <c r="AM577" s="976">
        <f t="shared" si="25"/>
        <v>0</v>
      </c>
      <c r="AN577" s="976"/>
      <c r="AO577" s="976"/>
      <c r="AP577" s="976"/>
      <c r="AQ577" s="976">
        <f t="shared" si="24"/>
        <v>0</v>
      </c>
      <c r="AR577" s="976"/>
      <c r="AS577" s="976"/>
      <c r="AT577" s="976"/>
    </row>
    <row r="578" ht="19.5" customHeight="1" spans="1:52">
      <c r="A578" s="1149">
        <v>6</v>
      </c>
      <c r="B578" s="1150" t="str">
        <f>IF(AE578=0,"-",Baza!B213)</f>
        <v>Ostalo iz kapitala</v>
      </c>
      <c r="C578" s="1150"/>
      <c r="D578" s="1150"/>
      <c r="E578" s="1150"/>
      <c r="F578" s="1150"/>
      <c r="G578" s="1150"/>
      <c r="H578" s="1150"/>
      <c r="I578" s="1150"/>
      <c r="J578" s="1150"/>
      <c r="K578" s="1150"/>
      <c r="L578" s="1150"/>
      <c r="M578" s="1150"/>
      <c r="N578" s="1150"/>
      <c r="O578" s="1150"/>
      <c r="P578" s="1150"/>
      <c r="Q578" s="1150"/>
      <c r="R578" s="1150"/>
      <c r="S578" s="1150"/>
      <c r="T578" s="1150"/>
      <c r="U578" s="1150"/>
      <c r="V578" s="1150"/>
      <c r="W578" s="1150"/>
      <c r="X578" s="1150"/>
      <c r="Y578" s="1150"/>
      <c r="Z578" s="1150"/>
      <c r="AA578" s="1150"/>
      <c r="AB578" s="1150"/>
      <c r="AC578" s="1150"/>
      <c r="AD578" s="1150"/>
      <c r="AE578" s="980">
        <f>Baza!C213</f>
        <v>-59197</v>
      </c>
      <c r="AF578" s="980"/>
      <c r="AG578" s="980"/>
      <c r="AH578" s="980"/>
      <c r="AI578" s="980"/>
      <c r="AJ578" s="980"/>
      <c r="AK578" s="980"/>
      <c r="AL578" s="980"/>
      <c r="AM578" s="981">
        <f t="shared" si="25"/>
        <v>-0.191411895946842</v>
      </c>
      <c r="AN578" s="981"/>
      <c r="AO578" s="981"/>
      <c r="AP578" s="981"/>
      <c r="AQ578" s="981">
        <f t="shared" si="24"/>
        <v>-0.0987770712115321</v>
      </c>
      <c r="AR578" s="981"/>
      <c r="AS578" s="981"/>
      <c r="AT578" s="981"/>
    </row>
    <row r="579" ht="19.5" customHeight="1" spans="1:52">
      <c r="A579" s="1151">
        <v>7</v>
      </c>
      <c r="B579" s="1152" t="str">
        <f>IF(AE579=0,"-",Baza!B214)</f>
        <v>UKUPNO KAPITAL - VLASTITA SREDSTVA</v>
      </c>
      <c r="C579" s="1152"/>
      <c r="D579" s="1152"/>
      <c r="E579" s="1152"/>
      <c r="F579" s="1152"/>
      <c r="G579" s="1152"/>
      <c r="H579" s="1152"/>
      <c r="I579" s="1152"/>
      <c r="J579" s="1152"/>
      <c r="K579" s="1152"/>
      <c r="L579" s="1152"/>
      <c r="M579" s="1152"/>
      <c r="N579" s="1152"/>
      <c r="O579" s="1152"/>
      <c r="P579" s="1152"/>
      <c r="Q579" s="1152"/>
      <c r="R579" s="1152"/>
      <c r="S579" s="1152"/>
      <c r="T579" s="1152"/>
      <c r="U579" s="1152"/>
      <c r="V579" s="1152"/>
      <c r="W579" s="1152"/>
      <c r="X579" s="1152"/>
      <c r="Y579" s="1152"/>
      <c r="Z579" s="1152"/>
      <c r="AA579" s="1152"/>
      <c r="AB579" s="1152"/>
      <c r="AC579" s="1152"/>
      <c r="AD579" s="1152"/>
      <c r="AE579" s="1014">
        <f>Baza!C214</f>
        <v>309265</v>
      </c>
      <c r="AF579" s="1014"/>
      <c r="AG579" s="1014"/>
      <c r="AH579" s="1014"/>
      <c r="AI579" s="1014"/>
      <c r="AJ579" s="1014"/>
      <c r="AK579" s="1014"/>
      <c r="AL579" s="1014"/>
      <c r="AM579" s="1015">
        <f t="shared" si="25"/>
        <v>1</v>
      </c>
      <c r="AN579" s="1015"/>
      <c r="AO579" s="1015"/>
      <c r="AP579" s="1015"/>
      <c r="AQ579" s="1153">
        <f t="shared" si="24"/>
        <v>0.516044578749506</v>
      </c>
      <c r="AR579" s="1153"/>
      <c r="AS579" s="1153"/>
      <c r="AT579" s="1153"/>
    </row>
    <row r="580" ht="19.5" customHeight="1" spans="1:52">
      <c r="A580" s="1154">
        <v>8</v>
      </c>
      <c r="B580" s="1155" t="str">
        <f>IF(AE580=0,"-",Baza!B217)</f>
        <v>Kratkoročne ostale obaveze, uključujući i razgraničenja (AOP 147)</v>
      </c>
      <c r="C580" s="1155"/>
      <c r="D580" s="1155"/>
      <c r="E580" s="1155"/>
      <c r="F580" s="1155"/>
      <c r="G580" s="1155"/>
      <c r="H580" s="1155"/>
      <c r="I580" s="1155"/>
      <c r="J580" s="1155"/>
      <c r="K580" s="1155"/>
      <c r="L580" s="1155"/>
      <c r="M580" s="1155"/>
      <c r="N580" s="1155"/>
      <c r="O580" s="1155"/>
      <c r="P580" s="1155"/>
      <c r="Q580" s="1155"/>
      <c r="R580" s="1155"/>
      <c r="S580" s="1155"/>
      <c r="T580" s="1155"/>
      <c r="U580" s="1155"/>
      <c r="V580" s="1155"/>
      <c r="W580" s="1155"/>
      <c r="X580" s="1155"/>
      <c r="Y580" s="1155"/>
      <c r="Z580" s="1155"/>
      <c r="AA580" s="1155"/>
      <c r="AB580" s="1155"/>
      <c r="AC580" s="1155"/>
      <c r="AD580" s="1155"/>
      <c r="AE580" s="1018">
        <f>Baza!C217</f>
        <v>244741</v>
      </c>
      <c r="AF580" s="1018"/>
      <c r="AG580" s="1018"/>
      <c r="AH580" s="1018"/>
      <c r="AI580" s="1018"/>
      <c r="AJ580" s="1018"/>
      <c r="AK580" s="1018"/>
      <c r="AL580" s="1018"/>
      <c r="AM580" s="1019">
        <f t="shared" ref="AM580:AM586" si="26">IFERROR(AE580/$AE$586,"-")</f>
        <v>0.843835550314791</v>
      </c>
      <c r="AN580" s="1019"/>
      <c r="AO580" s="1019"/>
      <c r="AP580" s="1019"/>
      <c r="AQ580" s="1019">
        <f t="shared" si="24"/>
        <v>0.408378789218737</v>
      </c>
      <c r="AR580" s="1019"/>
      <c r="AS580" s="1019"/>
      <c r="AT580" s="1019"/>
    </row>
    <row r="581" ht="19.5" customHeight="1" spans="1:52">
      <c r="A581" s="977">
        <v>9</v>
      </c>
      <c r="B581" s="1155" t="str">
        <f>IF(AE581=0,"-",Baza!B218)</f>
        <v>Obaveze prema dobavljačima (AOP 136)</v>
      </c>
      <c r="C581" s="1155"/>
      <c r="D581" s="1155"/>
      <c r="E581" s="1155"/>
      <c r="F581" s="1155"/>
      <c r="G581" s="1155"/>
      <c r="H581" s="1155"/>
      <c r="I581" s="1155"/>
      <c r="J581" s="1155"/>
      <c r="K581" s="1155"/>
      <c r="L581" s="1155"/>
      <c r="M581" s="1155"/>
      <c r="N581" s="1155"/>
      <c r="O581" s="1155"/>
      <c r="P581" s="1155"/>
      <c r="Q581" s="1155"/>
      <c r="R581" s="1155"/>
      <c r="S581" s="1155"/>
      <c r="T581" s="1155"/>
      <c r="U581" s="1155"/>
      <c r="V581" s="1155"/>
      <c r="W581" s="1155"/>
      <c r="X581" s="1155"/>
      <c r="Y581" s="1155"/>
      <c r="Z581" s="1155"/>
      <c r="AA581" s="1155"/>
      <c r="AB581" s="1155"/>
      <c r="AC581" s="1155"/>
      <c r="AD581" s="1155"/>
      <c r="AE581" s="1018">
        <f>Baza!C218</f>
        <v>22856</v>
      </c>
      <c r="AF581" s="1018"/>
      <c r="AG581" s="1018"/>
      <c r="AH581" s="1018"/>
      <c r="AI581" s="1018"/>
      <c r="AJ581" s="1018"/>
      <c r="AK581" s="1018"/>
      <c r="AL581" s="1018"/>
      <c r="AM581" s="976">
        <f t="shared" si="26"/>
        <v>0.0788045539488474</v>
      </c>
      <c r="AN581" s="976"/>
      <c r="AO581" s="976"/>
      <c r="AP581" s="976"/>
      <c r="AQ581" s="976">
        <f t="shared" si="24"/>
        <v>0.0381378911027717</v>
      </c>
      <c r="AR581" s="976"/>
      <c r="AS581" s="976"/>
      <c r="AT581" s="976"/>
    </row>
    <row r="582" ht="19.5" customHeight="1" spans="1:52">
      <c r="A582" s="977">
        <v>10</v>
      </c>
      <c r="B582" s="1155" t="str">
        <f>IF(AE582=0,"-",Baza!B219)</f>
        <v>Obaveze za porez na dobit (AOP 146)</v>
      </c>
      <c r="C582" s="1155"/>
      <c r="D582" s="1155"/>
      <c r="E582" s="1155"/>
      <c r="F582" s="1155"/>
      <c r="G582" s="1155"/>
      <c r="H582" s="1155"/>
      <c r="I582" s="1155"/>
      <c r="J582" s="1155"/>
      <c r="K582" s="1155"/>
      <c r="L582" s="1155"/>
      <c r="M582" s="1155"/>
      <c r="N582" s="1155"/>
      <c r="O582" s="1155"/>
      <c r="P582" s="1155"/>
      <c r="Q582" s="1155"/>
      <c r="R582" s="1155"/>
      <c r="S582" s="1155"/>
      <c r="T582" s="1155"/>
      <c r="U582" s="1155"/>
      <c r="V582" s="1155"/>
      <c r="W582" s="1155"/>
      <c r="X582" s="1155"/>
      <c r="Y582" s="1155"/>
      <c r="Z582" s="1155"/>
      <c r="AA582" s="1155"/>
      <c r="AB582" s="1155"/>
      <c r="AC582" s="1155"/>
      <c r="AD582" s="1155"/>
      <c r="AE582" s="1018">
        <f>Baza!C219</f>
        <v>22437</v>
      </c>
      <c r="AF582" s="1018"/>
      <c r="AG582" s="1018"/>
      <c r="AH582" s="1018"/>
      <c r="AI582" s="1018"/>
      <c r="AJ582" s="1018"/>
      <c r="AK582" s="1018"/>
      <c r="AL582" s="1018"/>
      <c r="AM582" s="976">
        <f t="shared" si="26"/>
        <v>0.0773598957363619</v>
      </c>
      <c r="AN582" s="976"/>
      <c r="AO582" s="976"/>
      <c r="AP582" s="976"/>
      <c r="AQ582" s="976">
        <f t="shared" si="24"/>
        <v>0.0374387409289854</v>
      </c>
      <c r="AR582" s="976"/>
      <c r="AS582" s="976"/>
      <c r="AT582" s="976"/>
    </row>
    <row r="583" ht="19.5" customHeight="1" spans="1:52">
      <c r="A583" s="977">
        <v>11</v>
      </c>
      <c r="B583" s="1155" t="str">
        <f>IF(AE583=0,"-",Baza!B220)</f>
        <v>-</v>
      </c>
      <c r="C583" s="1155"/>
      <c r="D583" s="1155"/>
      <c r="E583" s="1155"/>
      <c r="F583" s="1155"/>
      <c r="G583" s="1155"/>
      <c r="H583" s="1155"/>
      <c r="I583" s="1155"/>
      <c r="J583" s="1155"/>
      <c r="K583" s="1155"/>
      <c r="L583" s="1155"/>
      <c r="M583" s="1155"/>
      <c r="N583" s="1155"/>
      <c r="O583" s="1155"/>
      <c r="P583" s="1155"/>
      <c r="Q583" s="1155"/>
      <c r="R583" s="1155"/>
      <c r="S583" s="1155"/>
      <c r="T583" s="1155"/>
      <c r="U583" s="1155"/>
      <c r="V583" s="1155"/>
      <c r="W583" s="1155"/>
      <c r="X583" s="1155"/>
      <c r="Y583" s="1155"/>
      <c r="Z583" s="1155"/>
      <c r="AA583" s="1155"/>
      <c r="AB583" s="1155"/>
      <c r="AC583" s="1155"/>
      <c r="AD583" s="1155"/>
      <c r="AE583" s="1018">
        <f>Baza!C220</f>
        <v>0</v>
      </c>
      <c r="AF583" s="1018"/>
      <c r="AG583" s="1018"/>
      <c r="AH583" s="1018"/>
      <c r="AI583" s="1018"/>
      <c r="AJ583" s="1018"/>
      <c r="AK583" s="1018"/>
      <c r="AL583" s="1018"/>
      <c r="AM583" s="976">
        <f t="shared" si="26"/>
        <v>0</v>
      </c>
      <c r="AN583" s="976"/>
      <c r="AO583" s="976"/>
      <c r="AP583" s="976"/>
      <c r="AQ583" s="976">
        <f t="shared" si="24"/>
        <v>0</v>
      </c>
      <c r="AR583" s="976"/>
      <c r="AS583" s="976"/>
      <c r="AT583" s="976"/>
    </row>
    <row r="584" ht="19.5" customHeight="1" spans="1:52">
      <c r="A584" s="977">
        <v>12</v>
      </c>
      <c r="B584" s="1155" t="str">
        <f>IF(AE584=0,"-",Baza!B221)</f>
        <v>-</v>
      </c>
      <c r="C584" s="1155"/>
      <c r="D584" s="1155"/>
      <c r="E584" s="1155"/>
      <c r="F584" s="1155"/>
      <c r="G584" s="1155"/>
      <c r="H584" s="1155"/>
      <c r="I584" s="1155"/>
      <c r="J584" s="1155"/>
      <c r="K584" s="1155"/>
      <c r="L584" s="1155"/>
      <c r="M584" s="1155"/>
      <c r="N584" s="1155"/>
      <c r="O584" s="1155"/>
      <c r="P584" s="1155"/>
      <c r="Q584" s="1155"/>
      <c r="R584" s="1155"/>
      <c r="S584" s="1155"/>
      <c r="T584" s="1155"/>
      <c r="U584" s="1155"/>
      <c r="V584" s="1155"/>
      <c r="W584" s="1155"/>
      <c r="X584" s="1155"/>
      <c r="Y584" s="1155"/>
      <c r="Z584" s="1155"/>
      <c r="AA584" s="1155"/>
      <c r="AB584" s="1155"/>
      <c r="AC584" s="1155"/>
      <c r="AD584" s="1155"/>
      <c r="AE584" s="1018">
        <f>Baza!C221</f>
        <v>0</v>
      </c>
      <c r="AF584" s="1018"/>
      <c r="AG584" s="1018"/>
      <c r="AH584" s="1018"/>
      <c r="AI584" s="1018"/>
      <c r="AJ584" s="1018"/>
      <c r="AK584" s="1018"/>
      <c r="AL584" s="1018"/>
      <c r="AM584" s="976">
        <f t="shared" si="26"/>
        <v>0</v>
      </c>
      <c r="AN584" s="976"/>
      <c r="AO584" s="976"/>
      <c r="AP584" s="976"/>
      <c r="AQ584" s="976">
        <f t="shared" si="24"/>
        <v>0</v>
      </c>
      <c r="AR584" s="976"/>
      <c r="AS584" s="976"/>
      <c r="AT584" s="976"/>
    </row>
    <row r="585" ht="19.5" customHeight="1" spans="1:52">
      <c r="A585" s="1149">
        <v>13</v>
      </c>
      <c r="B585" s="1156" t="str">
        <f>IF(AE585=0,"-",Baza!B222)</f>
        <v>-</v>
      </c>
      <c r="C585" s="1156"/>
      <c r="D585" s="1156"/>
      <c r="E585" s="1156"/>
      <c r="F585" s="1156"/>
      <c r="G585" s="1156"/>
      <c r="H585" s="1156"/>
      <c r="I585" s="1156"/>
      <c r="J585" s="1156"/>
      <c r="K585" s="1156"/>
      <c r="L585" s="1156"/>
      <c r="M585" s="1156"/>
      <c r="N585" s="1156"/>
      <c r="O585" s="1156"/>
      <c r="P585" s="1156"/>
      <c r="Q585" s="1156"/>
      <c r="R585" s="1156"/>
      <c r="S585" s="1156"/>
      <c r="T585" s="1156"/>
      <c r="U585" s="1156"/>
      <c r="V585" s="1156"/>
      <c r="W585" s="1156"/>
      <c r="X585" s="1156"/>
      <c r="Y585" s="1156"/>
      <c r="Z585" s="1156"/>
      <c r="AA585" s="1156"/>
      <c r="AB585" s="1156"/>
      <c r="AC585" s="1156"/>
      <c r="AD585" s="1156"/>
      <c r="AE585" s="1157">
        <f>Baza!C222</f>
        <v>0</v>
      </c>
      <c r="AF585" s="1157"/>
      <c r="AG585" s="1157"/>
      <c r="AH585" s="1157"/>
      <c r="AI585" s="1157"/>
      <c r="AJ585" s="1157"/>
      <c r="AK585" s="1157"/>
      <c r="AL585" s="1157"/>
      <c r="AM585" s="981">
        <f t="shared" si="26"/>
        <v>0</v>
      </c>
      <c r="AN585" s="981"/>
      <c r="AO585" s="981"/>
      <c r="AP585" s="981"/>
      <c r="AQ585" s="981">
        <f t="shared" si="24"/>
        <v>0</v>
      </c>
      <c r="AR585" s="981"/>
      <c r="AS585" s="981"/>
      <c r="AT585" s="981"/>
    </row>
    <row r="586" ht="19.5" customHeight="1" spans="1:52">
      <c r="A586" s="1158">
        <v>14</v>
      </c>
      <c r="B586" s="1159" t="str">
        <f>IF(AE586=0,"-",Baza!B223)</f>
        <v>UKUPNO OBAVEZE - ZADUŽENOST</v>
      </c>
      <c r="C586" s="1159"/>
      <c r="D586" s="1159"/>
      <c r="E586" s="1159"/>
      <c r="F586" s="1159"/>
      <c r="G586" s="1159"/>
      <c r="H586" s="1159"/>
      <c r="I586" s="1159"/>
      <c r="J586" s="1159"/>
      <c r="K586" s="1159"/>
      <c r="L586" s="1159"/>
      <c r="M586" s="1159"/>
      <c r="N586" s="1159"/>
      <c r="O586" s="1159"/>
      <c r="P586" s="1159"/>
      <c r="Q586" s="1159"/>
      <c r="R586" s="1159"/>
      <c r="S586" s="1159"/>
      <c r="T586" s="1159"/>
      <c r="U586" s="1159"/>
      <c r="V586" s="1159"/>
      <c r="W586" s="1159"/>
      <c r="X586" s="1159"/>
      <c r="Y586" s="1159"/>
      <c r="Z586" s="1159"/>
      <c r="AA586" s="1159"/>
      <c r="AB586" s="1159"/>
      <c r="AC586" s="1159"/>
      <c r="AD586" s="1159"/>
      <c r="AE586" s="1014">
        <f>Baza!C223</f>
        <v>290034</v>
      </c>
      <c r="AF586" s="1014"/>
      <c r="AG586" s="1014"/>
      <c r="AH586" s="1014"/>
      <c r="AI586" s="1014"/>
      <c r="AJ586" s="1014"/>
      <c r="AK586" s="1014"/>
      <c r="AL586" s="1014"/>
      <c r="AM586" s="1015">
        <f t="shared" si="26"/>
        <v>1</v>
      </c>
      <c r="AN586" s="1015"/>
      <c r="AO586" s="1015"/>
      <c r="AP586" s="1015"/>
      <c r="AQ586" s="1153">
        <f t="shared" si="24"/>
        <v>0.483955421250494</v>
      </c>
      <c r="AR586" s="1153"/>
      <c r="AS586" s="1153"/>
      <c r="AT586" s="1153"/>
    </row>
    <row r="587" ht="19.5" customHeight="1" spans="1:52">
      <c r="A587" s="1160">
        <v>15</v>
      </c>
      <c r="B587" s="1161" t="s">
        <v>7645</v>
      </c>
      <c r="C587" s="1161"/>
      <c r="D587" s="1161"/>
      <c r="E587" s="1161"/>
      <c r="F587" s="1161"/>
      <c r="G587" s="1161"/>
      <c r="H587" s="1161"/>
      <c r="I587" s="1161"/>
      <c r="J587" s="1161"/>
      <c r="K587" s="1161"/>
      <c r="L587" s="1161"/>
      <c r="M587" s="1161"/>
      <c r="N587" s="1161"/>
      <c r="O587" s="1161"/>
      <c r="P587" s="1161"/>
      <c r="Q587" s="1161"/>
      <c r="R587" s="1161"/>
      <c r="S587" s="1161"/>
      <c r="T587" s="1161"/>
      <c r="U587" s="1161"/>
      <c r="V587" s="1161"/>
      <c r="W587" s="1161"/>
      <c r="X587" s="1161"/>
      <c r="Y587" s="1161"/>
      <c r="Z587" s="1161"/>
      <c r="AA587" s="1161"/>
      <c r="AB587" s="1161"/>
      <c r="AC587" s="1161"/>
      <c r="AD587" s="1161"/>
      <c r="AE587" s="1014"/>
      <c r="AF587" s="1014"/>
      <c r="AG587" s="1014"/>
      <c r="AH587" s="1014"/>
      <c r="AI587" s="1014"/>
      <c r="AJ587" s="1014"/>
      <c r="AK587" s="1014"/>
      <c r="AL587" s="1014"/>
      <c r="AM587" s="1015">
        <f t="shared" ref="AM587" si="27">IFERROR(AE587/$AE$586,"-")</f>
        <v>0</v>
      </c>
      <c r="AN587" s="1015"/>
      <c r="AO587" s="1015"/>
      <c r="AP587" s="1015"/>
      <c r="AQ587" s="1153">
        <f t="shared" si="24"/>
        <v>0</v>
      </c>
      <c r="AR587" s="1153"/>
      <c r="AS587" s="1153"/>
      <c r="AT587" s="1153"/>
    </row>
    <row r="588" ht="19.5" customHeight="1" spans="1:52">
      <c r="A588" s="1024">
        <v>16</v>
      </c>
      <c r="B588" s="1025" t="s">
        <v>7646</v>
      </c>
      <c r="C588" s="1025"/>
      <c r="D588" s="1025"/>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c r="Y588" s="1025"/>
      <c r="Z588" s="1025"/>
      <c r="AA588" s="1025"/>
      <c r="AB588" s="1025"/>
      <c r="AC588" s="1025"/>
      <c r="AD588" s="1025"/>
      <c r="AE588" s="1026">
        <f>AE579+AE586+AE587</f>
        <v>599299</v>
      </c>
      <c r="AF588" s="1026"/>
      <c r="AG588" s="1026"/>
      <c r="AH588" s="1026"/>
      <c r="AI588" s="1026"/>
      <c r="AJ588" s="1026"/>
      <c r="AK588" s="1026"/>
      <c r="AL588" s="1026"/>
      <c r="AM588" s="1027"/>
      <c r="AN588" s="1027"/>
      <c r="AO588" s="1027"/>
      <c r="AP588" s="1027"/>
      <c r="AQ588" s="1027">
        <f t="shared" si="24"/>
        <v>1</v>
      </c>
      <c r="AR588" s="1027"/>
      <c r="AS588" s="1027"/>
      <c r="AT588" s="1027"/>
    </row>
    <row r="589" ht="17.25" customHeight="1" spans="1:52">
      <c r="AE589" s="1162"/>
      <c r="AF589" s="1163"/>
      <c r="AG589" s="1163"/>
      <c r="AH589" s="1163"/>
      <c r="AI589" s="1163"/>
      <c r="AJ589" s="1163"/>
      <c r="AK589" s="1163"/>
      <c r="AL589" s="1164"/>
    </row>
    <row r="590" ht="17.25" customHeight="1" spans="1:52">
      <c r="A590" s="907" t="str">
        <f ca="1">"Grafički prikaz strukture PASIVA po veličini na dan "&amp;PeriodDo</f>
        <v>Grafički prikaz strukture PASIVA po veličini na dan 31.12.2025</v>
      </c>
    </row>
    <row r="591" ht="17.25" customHeight="1"/>
    <row r="592" ht="17.25" customHeight="1" spans="1:52">
      <c r="AY592" s="959"/>
      <c r="AZ592" s="959"/>
    </row>
    <row r="593" ht="17.25" customHeight="1" spans="28:52">
      <c r="AB593" t="str">
        <f t="shared" ref="AB593:AB598" si="28">B573</f>
        <v>Udjeli članova društva sa ograničenom odgovornošću (AOP 104)</v>
      </c>
      <c r="AC593" s="959">
        <f t="shared" ref="AC593:AC598" si="29">AE573</f>
        <v>350000</v>
      </c>
      <c r="AY593" s="959"/>
      <c r="AZ593" s="959"/>
    </row>
    <row r="594" ht="17.25" customHeight="1" spans="28:52">
      <c r="AB594" t="str">
        <f t="shared" si="28"/>
        <v>Ostale rezerve (AOP 110)</v>
      </c>
      <c r="AC594" s="959">
        <f t="shared" si="29"/>
        <v>18462</v>
      </c>
      <c r="AY594" s="959"/>
      <c r="AZ594" s="959"/>
    </row>
    <row r="595" ht="17.25" customHeight="1" spans="28:52">
      <c r="AB595" t="str">
        <f t="shared" si="28"/>
        <v>-</v>
      </c>
      <c r="AC595" s="959">
        <f t="shared" si="29"/>
        <v>0</v>
      </c>
      <c r="AY595" s="959"/>
      <c r="AZ595" s="959"/>
    </row>
    <row r="596" ht="17.25" customHeight="1" spans="28:52">
      <c r="AB596" t="str">
        <f t="shared" si="28"/>
        <v>-</v>
      </c>
      <c r="AC596" s="959">
        <f t="shared" si="29"/>
        <v>0</v>
      </c>
      <c r="AY596" s="959"/>
      <c r="AZ596" s="959"/>
    </row>
    <row r="597" ht="17.25" customHeight="1" spans="28:52">
      <c r="AB597" t="str">
        <f t="shared" si="28"/>
        <v>-</v>
      </c>
      <c r="AC597" s="959">
        <f t="shared" si="29"/>
        <v>0</v>
      </c>
      <c r="AY597" s="959"/>
      <c r="AZ597" s="959"/>
    </row>
    <row r="598" ht="17.25" customHeight="1" spans="28:52">
      <c r="AB598" t="str">
        <f t="shared" si="28"/>
        <v>Ostalo iz kapitala</v>
      </c>
      <c r="AC598" s="959">
        <f t="shared" si="29"/>
        <v>-59197</v>
      </c>
    </row>
    <row r="599" ht="17.25" customHeight="1"/>
    <row r="600" ht="17.25" customHeight="1"/>
    <row r="601" ht="17.25" customHeight="1" spans="28:52">
      <c r="AY601" s="1112"/>
    </row>
    <row r="602" ht="17.25" customHeight="1" spans="28:52">
      <c r="AB602" s="959"/>
      <c r="AC602" s="959"/>
      <c r="AY602" s="1112"/>
    </row>
    <row r="603" ht="17.25" customHeight="1" spans="28:52">
      <c r="AC603" s="959"/>
      <c r="AY603" s="1112"/>
    </row>
    <row r="604" ht="17.25" customHeight="1" spans="28:52">
      <c r="AC604" s="959"/>
      <c r="AY604" s="1112"/>
    </row>
    <row r="605" ht="17.25" customHeight="1" spans="28:52">
      <c r="AC605" s="959"/>
      <c r="AY605" s="1112"/>
    </row>
    <row r="606" ht="17.25" customHeight="1" spans="28:52">
      <c r="AC606" s="959" t="str">
        <f t="shared" ref="AC606:AC611" si="30">B580</f>
        <v>Kratkoročne ostale obaveze, uključujući i razgraničenja (AOP 147)</v>
      </c>
      <c r="AD606" s="959">
        <f t="shared" ref="AD606:AD611" si="31">AE580</f>
        <v>244741</v>
      </c>
      <c r="AY606" s="1112"/>
    </row>
    <row r="607" ht="17.25" customHeight="1" spans="28:52">
      <c r="AC607" s="959" t="str">
        <f t="shared" si="30"/>
        <v>Obaveze prema dobavljačima (AOP 136)</v>
      </c>
      <c r="AD607" s="959">
        <f t="shared" si="31"/>
        <v>22856</v>
      </c>
    </row>
    <row r="608" ht="17.25" customHeight="1" spans="28:52">
      <c r="AC608" s="959" t="str">
        <f t="shared" si="30"/>
        <v>Obaveze za porez na dobit (AOP 146)</v>
      </c>
      <c r="AD608" s="959">
        <f t="shared" si="31"/>
        <v>22437</v>
      </c>
    </row>
    <row r="609" ht="17.25" customHeight="1" spans="1:47">
      <c r="AC609" s="959" t="str">
        <f t="shared" si="30"/>
        <v>-</v>
      </c>
      <c r="AD609" s="959">
        <f t="shared" si="31"/>
        <v>0</v>
      </c>
    </row>
    <row r="610" ht="17.25" customHeight="1" spans="1:47">
      <c r="AC610" s="959" t="str">
        <f t="shared" si="30"/>
        <v>-</v>
      </c>
      <c r="AD610" s="959">
        <f t="shared" si="31"/>
        <v>0</v>
      </c>
    </row>
    <row r="611" ht="17.25" customHeight="1" spans="1:47">
      <c r="AC611" s="959" t="str">
        <f t="shared" si="30"/>
        <v>-</v>
      </c>
      <c r="AD611" s="959">
        <f t="shared" si="31"/>
        <v>0</v>
      </c>
    </row>
    <row r="612" ht="17.25" customHeight="1" spans="1:47">
      <c r="AC612" s="959"/>
    </row>
    <row r="613" ht="17.25" customHeight="1" spans="1:47">
      <c r="AC613" s="959"/>
    </row>
    <row r="614" ht="17.25" customHeight="1" spans="1:47">
      <c r="AC614" s="959"/>
    </row>
    <row r="615" ht="17.25" customHeight="1" spans="1:47">
      <c r="AC615" s="959"/>
    </row>
    <row r="616" ht="17.25" customHeight="1" spans="1:47">
      <c r="AC616" s="959"/>
    </row>
    <row r="618" ht="18" spans="1:47">
      <c r="A618" s="902"/>
      <c r="B618" s="902" t="s">
        <v>7647</v>
      </c>
      <c r="C618" s="1165"/>
      <c r="D618" s="903"/>
      <c r="E618" s="903"/>
      <c r="F618" s="903"/>
      <c r="G618" s="903"/>
      <c r="H618" s="903"/>
      <c r="I618" s="903"/>
      <c r="J618" s="903"/>
      <c r="K618" s="903"/>
      <c r="L618" s="903"/>
      <c r="M618" s="903"/>
      <c r="N618" s="903"/>
      <c r="O618" s="903"/>
      <c r="P618" s="903"/>
      <c r="Q618" s="903"/>
      <c r="R618" s="903"/>
      <c r="S618" s="903"/>
      <c r="T618" s="903"/>
      <c r="U618" s="903"/>
      <c r="V618" s="903"/>
      <c r="W618" s="903"/>
      <c r="X618" s="903"/>
      <c r="Y618" s="903"/>
      <c r="Z618" s="903"/>
      <c r="AA618" s="903"/>
      <c r="AB618" s="903"/>
      <c r="AC618" s="903"/>
      <c r="AD618" s="903"/>
      <c r="AE618" s="903"/>
      <c r="AF618" s="903"/>
      <c r="AG618" s="903"/>
      <c r="AH618" s="903"/>
      <c r="AI618" s="903"/>
      <c r="AJ618" s="903"/>
      <c r="AK618" s="903"/>
      <c r="AL618" s="903"/>
      <c r="AM618" s="903"/>
      <c r="AN618" s="903"/>
      <c r="AO618" s="903"/>
      <c r="AP618" s="903"/>
      <c r="AQ618" s="903"/>
      <c r="AR618" s="903"/>
      <c r="AS618" s="903"/>
      <c r="AT618" s="903"/>
    </row>
    <row r="619" ht="16.5" customHeight="1"/>
    <row r="620" s="570" customFormat="1" ht="16.5" customHeight="1" spans="1:47">
      <c r="D620" s="1166" t="s">
        <v>7450</v>
      </c>
    </row>
    <row r="621" s="570" customFormat="1" ht="12" customHeight="1"/>
    <row r="622" s="570" customFormat="1" ht="16.5" customHeight="1" spans="1:47">
      <c r="A622" s="1167" t="s">
        <v>7648</v>
      </c>
      <c r="B622" s="1167"/>
      <c r="C622" s="1167"/>
      <c r="D622" s="1167"/>
      <c r="E622" s="1167"/>
      <c r="F622" s="1167"/>
      <c r="G622" s="1167"/>
      <c r="H622" s="1167"/>
      <c r="I622" s="1167"/>
      <c r="J622" s="1167"/>
      <c r="K622" s="1167"/>
      <c r="L622" s="1167"/>
      <c r="M622" s="1167"/>
      <c r="N622" s="1167"/>
      <c r="O622" s="1167"/>
      <c r="P622" s="570" t="s">
        <v>7625</v>
      </c>
      <c r="Z622" s="1168" t="s">
        <v>7649</v>
      </c>
      <c r="AA622" s="1168"/>
      <c r="AB622" s="1168"/>
      <c r="AC622" s="1168"/>
      <c r="AD622" s="1169"/>
      <c r="AE622" s="1169"/>
      <c r="AF622" s="1169"/>
      <c r="AG622" s="1169"/>
      <c r="AH622" s="1170"/>
      <c r="AI622" s="1170"/>
    </row>
    <row r="623" s="570" customFormat="1" ht="16.5" customHeight="1" spans="1:47">
      <c r="A623" s="1167"/>
      <c r="B623" s="1167"/>
      <c r="C623" s="1167"/>
      <c r="D623" s="1167"/>
      <c r="E623" s="1167"/>
      <c r="F623" s="1167"/>
      <c r="G623" s="1167"/>
      <c r="H623" s="1167"/>
      <c r="I623" s="1167"/>
      <c r="J623" s="1167"/>
      <c r="K623" s="1167"/>
      <c r="L623" s="1167"/>
      <c r="M623" s="1167"/>
      <c r="N623" s="1167"/>
      <c r="O623" s="1167"/>
      <c r="P623" s="1171" t="s">
        <v>7650</v>
      </c>
      <c r="Q623" s="1171"/>
      <c r="R623" s="1171"/>
      <c r="S623" s="1171"/>
      <c r="T623" s="1171"/>
      <c r="U623" s="1171"/>
      <c r="V623" s="1171"/>
      <c r="W623" s="1171"/>
      <c r="X623" s="1171"/>
      <c r="Y623" s="1171"/>
      <c r="Z623" s="1168"/>
      <c r="AA623" s="1168"/>
      <c r="AB623" s="1168"/>
      <c r="AC623" s="1168"/>
      <c r="AD623" s="1169"/>
      <c r="AE623" s="1169"/>
      <c r="AF623" s="1169"/>
      <c r="AG623" s="1169"/>
      <c r="AH623" s="1170"/>
      <c r="AI623" s="1170"/>
    </row>
    <row r="624" s="570" customFormat="1" ht="16.5" customHeight="1" spans="1:47">
      <c r="A624" s="1172"/>
      <c r="B624" s="1172"/>
      <c r="C624" s="1172"/>
      <c r="D624" s="1172"/>
      <c r="E624" s="1172"/>
      <c r="F624" s="1172"/>
      <c r="G624" s="1172"/>
      <c r="H624" s="1172"/>
      <c r="I624" s="1172"/>
      <c r="J624" s="1172"/>
      <c r="K624" s="1172"/>
      <c r="L624" s="1172"/>
      <c r="M624" s="1172"/>
      <c r="N624" s="1172"/>
      <c r="O624" s="1172"/>
      <c r="Z624" s="1173"/>
      <c r="AA624" s="1173"/>
      <c r="AB624" s="1173"/>
      <c r="AC624" s="1173"/>
      <c r="AD624" s="1173"/>
      <c r="AE624" s="1173"/>
      <c r="AF624" s="1173"/>
      <c r="AG624" s="1173"/>
      <c r="AJ624" s="1174"/>
      <c r="AK624" s="1174"/>
      <c r="AL624" s="1174"/>
      <c r="AM624" s="1174"/>
      <c r="AN624" s="1174"/>
      <c r="AO624" s="1174"/>
      <c r="AP624" s="1174"/>
      <c r="AQ624" s="1174"/>
      <c r="AR624" s="1174"/>
      <c r="AS624" s="1174"/>
      <c r="AT624" s="1174"/>
      <c r="AU624" s="1174"/>
    </row>
    <row r="625" s="570" customFormat="1" ht="16.5" customHeight="1" spans="1:91">
      <c r="A625" s="1172"/>
      <c r="B625" s="1172"/>
      <c r="C625" s="1172"/>
      <c r="D625" s="1172"/>
      <c r="E625" s="1172"/>
      <c r="F625" s="1172"/>
      <c r="G625" s="1175" t="str">
        <f ca="1">PeriodDo&amp;" ="</f>
        <v>31.12.2025 =</v>
      </c>
      <c r="H625" s="1175"/>
      <c r="I625" s="1175"/>
      <c r="J625" s="1175"/>
      <c r="K625" s="1175"/>
      <c r="L625" s="1175"/>
      <c r="M625" s="1175"/>
      <c r="N625" s="1175"/>
      <c r="O625" s="1175"/>
      <c r="P625" s="1176">
        <f>R398</f>
        <v>577192</v>
      </c>
      <c r="Q625" s="1176"/>
      <c r="R625" s="1176"/>
      <c r="S625" s="1176"/>
      <c r="T625" s="1176"/>
      <c r="U625" s="1176"/>
      <c r="V625" s="1176"/>
      <c r="W625" s="1176"/>
      <c r="X625" s="1176"/>
      <c r="Y625" s="1176"/>
      <c r="Z625" s="1168" t="s">
        <v>7649</v>
      </c>
      <c r="AA625" s="1168"/>
      <c r="AB625" s="1168"/>
      <c r="AC625" s="1168"/>
      <c r="AD625" s="1177">
        <f>P625/P626</f>
        <v>1.99008392112683</v>
      </c>
      <c r="AE625" s="1177"/>
      <c r="AF625" s="1177"/>
      <c r="AG625" s="1177"/>
      <c r="AH625" s="1177"/>
      <c r="AI625" s="1177"/>
      <c r="AJ625" s="570" t="str">
        <f>IF(AD625-AD628&gt;0,"POVEĆAN","SMANJEN")</f>
        <v>SMANJEN</v>
      </c>
      <c r="AL625" s="1174"/>
      <c r="AM625" s="1174"/>
      <c r="AN625" s="1174"/>
      <c r="AO625" s="1178">
        <f>ROUND(IF(AD625/AD628&gt;1,AD625/AD628*100-100,100-(AD625/AD628*100)),1)</f>
        <v>5.7</v>
      </c>
      <c r="AP625" s="1178"/>
      <c r="AQ625" s="1178"/>
      <c r="AR625" s="1178"/>
      <c r="AS625" s="1178"/>
      <c r="AT625" s="1174" t="s">
        <v>20</v>
      </c>
      <c r="AU625" s="1174"/>
      <c r="CM625" s="1179"/>
    </row>
    <row r="626" s="570" customFormat="1" ht="16.5" customHeight="1" spans="1:91">
      <c r="A626" s="1172"/>
      <c r="B626" s="1172"/>
      <c r="C626" s="1172"/>
      <c r="D626" s="1172"/>
      <c r="E626" s="1172"/>
      <c r="F626" s="1172"/>
      <c r="G626" s="1175"/>
      <c r="H626" s="1175"/>
      <c r="I626" s="1175"/>
      <c r="J626" s="1175"/>
      <c r="K626" s="1175"/>
      <c r="L626" s="1175"/>
      <c r="M626" s="1175"/>
      <c r="N626" s="1175"/>
      <c r="O626" s="1175"/>
      <c r="P626" s="1180">
        <f>B_Stanja!AI135+0.00001</f>
        <v>290034.00001</v>
      </c>
      <c r="Q626" s="1180"/>
      <c r="R626" s="1180"/>
      <c r="S626" s="1180"/>
      <c r="T626" s="1180"/>
      <c r="U626" s="1180"/>
      <c r="V626" s="1180"/>
      <c r="W626" s="1180"/>
      <c r="X626" s="1180"/>
      <c r="Y626" s="1180"/>
      <c r="Z626" s="1168"/>
      <c r="AA626" s="1168"/>
      <c r="AB626" s="1168"/>
      <c r="AC626" s="1168"/>
      <c r="AD626" s="1177"/>
      <c r="AE626" s="1177"/>
      <c r="AF626" s="1177"/>
      <c r="AG626" s="1177"/>
      <c r="AH626" s="1177"/>
      <c r="AI626" s="1177"/>
    </row>
    <row r="627" s="570" customFormat="1" ht="16.5" customHeight="1" spans="1:91">
      <c r="A627" s="1172"/>
      <c r="B627" s="1172"/>
      <c r="C627" s="1172"/>
      <c r="D627" s="1172"/>
      <c r="E627" s="1172"/>
      <c r="F627" s="1172"/>
      <c r="G627" s="1172"/>
      <c r="H627" s="1172"/>
      <c r="I627" s="1172"/>
      <c r="J627" s="1172"/>
      <c r="K627" s="1172"/>
      <c r="L627" s="1172"/>
      <c r="M627" s="1172"/>
      <c r="N627" s="1172"/>
      <c r="O627" s="1172"/>
      <c r="Z627" s="1173"/>
      <c r="AA627" s="1173"/>
      <c r="AB627" s="1173"/>
      <c r="AC627" s="1173"/>
      <c r="AD627" s="1173"/>
      <c r="AE627" s="1173"/>
      <c r="AF627" s="1173"/>
      <c r="AG627" s="1173"/>
    </row>
    <row r="628" s="570" customFormat="1" ht="16.5" customHeight="1" spans="1:91">
      <c r="A628" s="1172"/>
      <c r="B628" s="1172"/>
      <c r="C628" s="1172"/>
      <c r="D628" s="1172"/>
      <c r="E628" s="1172"/>
      <c r="F628" s="1172"/>
      <c r="G628" s="1175" t="str">
        <f>PeriodOd&amp;" ="</f>
        <v>01.01.2025 =</v>
      </c>
      <c r="H628" s="1175"/>
      <c r="I628" s="1175"/>
      <c r="J628" s="1175"/>
      <c r="K628" s="1175"/>
      <c r="L628" s="1175"/>
      <c r="M628" s="1175"/>
      <c r="N628" s="1175"/>
      <c r="O628" s="1175"/>
      <c r="P628" s="1176">
        <f>AD398</f>
        <v>617225</v>
      </c>
      <c r="Q628" s="1176"/>
      <c r="R628" s="1176"/>
      <c r="S628" s="1176"/>
      <c r="T628" s="1176"/>
      <c r="U628" s="1176"/>
      <c r="V628" s="1176"/>
      <c r="W628" s="1176"/>
      <c r="X628" s="1176"/>
      <c r="Y628" s="1176"/>
      <c r="Z628" s="1168" t="s">
        <v>7649</v>
      </c>
      <c r="AA628" s="1168"/>
      <c r="AB628" s="1168"/>
      <c r="AC628" s="1168"/>
      <c r="AD628" s="1177">
        <f>P628/P629</f>
        <v>2.11063997120349</v>
      </c>
      <c r="AE628" s="1177"/>
      <c r="AF628" s="1177"/>
      <c r="AG628" s="1177"/>
      <c r="AH628" s="1177"/>
      <c r="AI628" s="1177"/>
    </row>
    <row r="629" s="570" customFormat="1" ht="16.5" customHeight="1" spans="1:91">
      <c r="A629" s="1172"/>
      <c r="B629" s="1172"/>
      <c r="C629" s="1172"/>
      <c r="D629" s="1172"/>
      <c r="E629" s="1172"/>
      <c r="F629" s="1172"/>
      <c r="G629" s="1175"/>
      <c r="H629" s="1175"/>
      <c r="I629" s="1175"/>
      <c r="J629" s="1175"/>
      <c r="K629" s="1175"/>
      <c r="L629" s="1175"/>
      <c r="M629" s="1175"/>
      <c r="N629" s="1175"/>
      <c r="O629" s="1175"/>
      <c r="P629" s="1180">
        <f>B_Stanja!AP135+0.00001</f>
        <v>292435.00001</v>
      </c>
      <c r="Q629" s="1180"/>
      <c r="R629" s="1180"/>
      <c r="S629" s="1180"/>
      <c r="T629" s="1180"/>
      <c r="U629" s="1180"/>
      <c r="V629" s="1180"/>
      <c r="W629" s="1180"/>
      <c r="X629" s="1180"/>
      <c r="Y629" s="1180"/>
      <c r="Z629" s="1168"/>
      <c r="AA629" s="1168"/>
      <c r="AB629" s="1168"/>
      <c r="AC629" s="1168"/>
      <c r="AD629" s="1177"/>
      <c r="AE629" s="1177"/>
      <c r="AF629" s="1177"/>
      <c r="AG629" s="1177"/>
      <c r="AH629" s="1177"/>
      <c r="AI629" s="1177"/>
    </row>
    <row r="630" s="1" customFormat="1" customHeight="1" spans="1:91">
      <c r="A630" s="906" t="str">
        <f ca="1">IFERROR("Na dan "&amp;Baza!C14&amp;". za plaćanje svakih 100 KM kratkoročnih obaveza, preduzeće je imalo "&amp;ROUND(AD625*100,2)&amp;" KM tekućih sredstava, "&amp;PeriodOd&amp;". godine, za ovu namjenu imalo je "&amp;ROUND(AD628*100,2)&amp;" KM tekućih sredstava.",0)</f>
        <v>Na dan 31.12.2025. za plaćanje svakih 100 KM kratkoročnih obaveza, preduzeće je imalo 199,01 KM tekućih sredstava, 01.01.2025. godine, za ovu namjenu imalo je 211,06 KM tekućih sredstava.</v>
      </c>
      <c r="B630" s="906"/>
      <c r="C630" s="906"/>
      <c r="D630" s="906"/>
      <c r="E630" s="906"/>
      <c r="F630" s="906"/>
      <c r="G630" s="906"/>
      <c r="H630" s="906"/>
      <c r="I630" s="906"/>
      <c r="J630" s="906"/>
      <c r="K630" s="906"/>
      <c r="L630" s="906"/>
      <c r="M630" s="906"/>
      <c r="N630" s="906"/>
      <c r="O630" s="906"/>
      <c r="P630" s="906"/>
      <c r="Q630" s="906"/>
      <c r="R630" s="906"/>
      <c r="S630" s="906"/>
      <c r="T630" s="906"/>
      <c r="U630" s="906"/>
      <c r="V630" s="906"/>
      <c r="W630" s="906"/>
      <c r="X630" s="906"/>
      <c r="Y630" s="906"/>
      <c r="Z630" s="906"/>
      <c r="AA630" s="906"/>
      <c r="AB630" s="906"/>
      <c r="AC630" s="906"/>
      <c r="AD630" s="906"/>
      <c r="AE630" s="906"/>
      <c r="AF630" s="906"/>
      <c r="AG630" s="906"/>
      <c r="AH630" s="906"/>
      <c r="AI630" s="906"/>
      <c r="AJ630" s="906"/>
      <c r="AK630" s="906"/>
      <c r="AL630" s="906"/>
      <c r="AM630" s="906"/>
      <c r="AN630" s="906"/>
      <c r="AO630" s="906"/>
      <c r="AP630" s="906"/>
      <c r="AQ630" s="906"/>
      <c r="AR630" s="906"/>
      <c r="AS630" s="906"/>
      <c r="AT630" s="906"/>
    </row>
    <row r="631" s="1" customFormat="1" ht="16.5" customHeight="1" spans="1:91">
      <c r="A631" s="906"/>
      <c r="B631" s="906"/>
      <c r="C631" s="906"/>
      <c r="D631" s="906"/>
      <c r="E631" s="906"/>
      <c r="F631" s="906"/>
      <c r="G631" s="906"/>
      <c r="H631" s="906"/>
      <c r="I631" s="906"/>
      <c r="J631" s="906"/>
      <c r="K631" s="906"/>
      <c r="L631" s="906"/>
      <c r="M631" s="906"/>
      <c r="N631" s="906"/>
      <c r="O631" s="906"/>
      <c r="P631" s="906"/>
      <c r="Q631" s="906"/>
      <c r="R631" s="906"/>
      <c r="S631" s="906"/>
      <c r="T631" s="906"/>
      <c r="U631" s="906"/>
      <c r="V631" s="906"/>
      <c r="W631" s="906"/>
      <c r="X631" s="906"/>
      <c r="Y631" s="906"/>
      <c r="Z631" s="906"/>
      <c r="AA631" s="906"/>
      <c r="AB631" s="906"/>
      <c r="AC631" s="906"/>
      <c r="AD631" s="906"/>
      <c r="AE631" s="906"/>
      <c r="AF631" s="906"/>
      <c r="AG631" s="906"/>
      <c r="AH631" s="906"/>
      <c r="AI631" s="906"/>
      <c r="AJ631" s="906"/>
      <c r="AK631" s="906"/>
      <c r="AL631" s="906"/>
      <c r="AM631" s="906"/>
      <c r="AN631" s="906"/>
      <c r="AO631" s="906"/>
      <c r="AP631" s="906"/>
      <c r="AQ631" s="906"/>
      <c r="AR631" s="906"/>
      <c r="AS631" s="906"/>
      <c r="AT631" s="906"/>
    </row>
    <row r="632" s="1" customFormat="1" ht="16.5" customHeight="1" spans="1:91">
      <c r="A632" s="906"/>
      <c r="B632" s="906"/>
      <c r="C632" s="906"/>
      <c r="D632" s="906"/>
      <c r="E632" s="906"/>
      <c r="F632" s="906"/>
      <c r="G632" s="906"/>
      <c r="H632" s="906"/>
      <c r="I632" s="906"/>
      <c r="J632" s="906"/>
      <c r="K632" s="906"/>
      <c r="L632" s="906"/>
      <c r="M632" s="906"/>
      <c r="N632" s="906"/>
      <c r="O632" s="906"/>
      <c r="P632" s="906"/>
      <c r="Q632" s="906"/>
      <c r="R632" s="906"/>
      <c r="S632" s="906"/>
      <c r="T632" s="906"/>
      <c r="U632" s="906"/>
      <c r="V632" s="906"/>
      <c r="W632" s="906"/>
      <c r="X632" s="906"/>
      <c r="Y632" s="906"/>
      <c r="Z632" s="906"/>
      <c r="AA632" s="906"/>
      <c r="AB632" s="906"/>
      <c r="AC632" s="906"/>
      <c r="AD632" s="906"/>
      <c r="AE632" s="906"/>
      <c r="AF632" s="906"/>
      <c r="AG632" s="906"/>
      <c r="AH632" s="906"/>
      <c r="AI632" s="906"/>
      <c r="AJ632" s="906"/>
      <c r="AK632" s="906"/>
      <c r="AL632" s="906"/>
      <c r="AM632" s="906"/>
      <c r="AN632" s="906"/>
      <c r="AO632" s="906"/>
      <c r="AP632" s="906"/>
      <c r="AQ632" s="906"/>
      <c r="AR632" s="906"/>
      <c r="AS632" s="906"/>
      <c r="AT632" s="906"/>
    </row>
    <row r="633" s="1" customFormat="1" ht="16.5" customHeight="1" spans="1:91">
      <c r="A633" s="907" t="str">
        <f>IFERROR("Ovaj pokazatelj je "&amp;AJ625&amp;" u odnosu na prošlu godinu za "&amp;ROUND(AO625,1)&amp;"%",0)&amp;"."</f>
        <v>Ovaj pokazatelj je SMANJEN u odnosu na prošlu godinu za 5,7%.</v>
      </c>
      <c r="B633" s="907"/>
      <c r="C633" s="907"/>
      <c r="D633" s="907"/>
      <c r="E633" s="907"/>
      <c r="F633" s="907"/>
      <c r="G633" s="907"/>
      <c r="H633" s="907"/>
      <c r="I633" s="907"/>
      <c r="J633" s="907"/>
      <c r="K633" s="907"/>
      <c r="L633" s="907"/>
      <c r="M633" s="907"/>
      <c r="N633" s="907"/>
      <c r="O633" s="907"/>
      <c r="P633" s="907"/>
      <c r="Q633" s="907"/>
      <c r="R633" s="907"/>
      <c r="S633" s="907"/>
      <c r="T633" s="907"/>
      <c r="U633" s="907"/>
      <c r="V633" s="907"/>
      <c r="W633" s="907"/>
      <c r="X633" s="907"/>
      <c r="Y633" s="907"/>
      <c r="Z633" s="907"/>
      <c r="AA633" s="907"/>
      <c r="AB633" s="907"/>
      <c r="AC633" s="907"/>
      <c r="AD633" s="907"/>
      <c r="AE633" s="907"/>
      <c r="AF633" s="907"/>
      <c r="AG633" s="907"/>
      <c r="AH633" s="907"/>
      <c r="AI633" s="907"/>
      <c r="AJ633" s="907"/>
      <c r="AK633" s="907"/>
      <c r="AL633" s="907"/>
      <c r="AM633" s="907"/>
      <c r="AN633" s="907"/>
      <c r="AO633" s="907"/>
      <c r="AP633" s="907"/>
      <c r="AQ633" s="907"/>
      <c r="AR633" s="907"/>
      <c r="AS633" s="907"/>
      <c r="AT633" s="907"/>
    </row>
    <row r="634" s="1" customFormat="1" ht="16.5" customHeight="1" spans="1:91">
      <c r="A634" s="906" t="s">
        <v>7651</v>
      </c>
      <c r="B634" s="906"/>
      <c r="C634" s="906"/>
      <c r="D634" s="906"/>
      <c r="E634" s="906"/>
      <c r="F634" s="906"/>
      <c r="G634" s="906"/>
      <c r="H634" s="906"/>
      <c r="I634" s="906"/>
      <c r="J634" s="906"/>
      <c r="K634" s="906"/>
      <c r="L634" s="906"/>
      <c r="M634" s="906"/>
      <c r="N634" s="906"/>
      <c r="O634" s="906"/>
      <c r="P634" s="906"/>
      <c r="Q634" s="906"/>
      <c r="R634" s="906"/>
      <c r="S634" s="906"/>
      <c r="T634" s="906"/>
      <c r="U634" s="906"/>
      <c r="V634" s="906"/>
      <c r="W634" s="906"/>
      <c r="X634" s="906"/>
      <c r="Y634" s="906"/>
      <c r="Z634" s="906"/>
      <c r="AA634" s="906"/>
      <c r="AB634" s="906"/>
      <c r="AC634" s="906"/>
      <c r="AD634" s="906"/>
      <c r="AE634" s="906"/>
      <c r="AF634" s="906"/>
      <c r="AG634" s="906"/>
      <c r="AH634" s="906"/>
      <c r="AI634" s="906"/>
      <c r="AJ634" s="906"/>
      <c r="AK634" s="906"/>
      <c r="AL634" s="906"/>
      <c r="AM634" s="906"/>
      <c r="AN634" s="906"/>
      <c r="AO634" s="906"/>
      <c r="AP634" s="906"/>
      <c r="AQ634" s="906"/>
      <c r="AR634" s="906"/>
      <c r="AS634" s="906"/>
      <c r="AT634" s="906"/>
    </row>
    <row r="635" s="1" customFormat="1" ht="16.5" customHeight="1" spans="1:91">
      <c r="A635" s="906"/>
      <c r="B635" s="906"/>
      <c r="C635" s="906"/>
      <c r="D635" s="906"/>
      <c r="E635" s="906"/>
      <c r="F635" s="906"/>
      <c r="G635" s="906"/>
      <c r="H635" s="906"/>
      <c r="I635" s="906"/>
      <c r="J635" s="906"/>
      <c r="K635" s="906"/>
      <c r="L635" s="906"/>
      <c r="M635" s="906"/>
      <c r="N635" s="906"/>
      <c r="O635" s="906"/>
      <c r="P635" s="906"/>
      <c r="Q635" s="906"/>
      <c r="R635" s="906"/>
      <c r="S635" s="906"/>
      <c r="T635" s="906"/>
      <c r="U635" s="906"/>
      <c r="V635" s="906"/>
      <c r="W635" s="906"/>
      <c r="X635" s="906"/>
      <c r="Y635" s="906"/>
      <c r="Z635" s="906"/>
      <c r="AA635" s="906"/>
      <c r="AB635" s="906"/>
      <c r="AC635" s="906"/>
      <c r="AD635" s="906"/>
      <c r="AE635" s="906"/>
      <c r="AF635" s="906"/>
      <c r="AG635" s="906"/>
      <c r="AH635" s="906"/>
      <c r="AI635" s="906"/>
      <c r="AJ635" s="906"/>
      <c r="AK635" s="906"/>
      <c r="AL635" s="906"/>
      <c r="AM635" s="906"/>
      <c r="AN635" s="906"/>
      <c r="AO635" s="906"/>
      <c r="AP635" s="906"/>
      <c r="AQ635" s="906"/>
      <c r="AR635" s="906"/>
      <c r="AS635" s="906"/>
      <c r="AT635" s="906"/>
    </row>
    <row r="636" s="1" customFormat="1" ht="16.5" customHeight="1" spans="1:91">
      <c r="A636" s="906"/>
      <c r="B636" s="906"/>
      <c r="C636" s="906"/>
      <c r="D636" s="906"/>
      <c r="E636" s="906"/>
      <c r="F636" s="906"/>
      <c r="G636" s="906"/>
      <c r="H636" s="906"/>
      <c r="I636" s="906"/>
      <c r="J636" s="906"/>
      <c r="K636" s="906"/>
      <c r="L636" s="906"/>
      <c r="M636" s="906"/>
      <c r="N636" s="906"/>
      <c r="O636" s="906"/>
      <c r="P636" s="906"/>
      <c r="Q636" s="906"/>
      <c r="R636" s="906"/>
      <c r="S636" s="906"/>
      <c r="T636" s="906"/>
      <c r="U636" s="906"/>
      <c r="V636" s="906"/>
      <c r="W636" s="906"/>
      <c r="X636" s="906"/>
      <c r="Y636" s="906"/>
      <c r="Z636" s="906"/>
      <c r="AA636" s="906"/>
      <c r="AB636" s="906"/>
      <c r="AC636" s="906"/>
      <c r="AD636" s="906"/>
      <c r="AE636" s="906"/>
      <c r="AF636" s="906"/>
      <c r="AG636" s="906"/>
      <c r="AH636" s="906"/>
      <c r="AI636" s="906"/>
      <c r="AJ636" s="906"/>
      <c r="AK636" s="906"/>
      <c r="AL636" s="906"/>
      <c r="AM636" s="906"/>
      <c r="AN636" s="906"/>
      <c r="AO636" s="906"/>
      <c r="AP636" s="906"/>
      <c r="AQ636" s="906"/>
      <c r="AR636" s="906"/>
      <c r="AS636" s="906"/>
      <c r="AT636" s="906"/>
    </row>
    <row r="637" s="1" customFormat="1" ht="16.5" customHeight="1" spans="1:91">
      <c r="A637" s="906"/>
      <c r="B637" s="906"/>
      <c r="C637" s="906"/>
      <c r="D637" s="906"/>
      <c r="E637" s="906"/>
      <c r="F637" s="906"/>
      <c r="G637" s="906"/>
      <c r="H637" s="906"/>
      <c r="I637" s="906"/>
      <c r="J637" s="906"/>
      <c r="K637" s="906"/>
      <c r="L637" s="906"/>
      <c r="M637" s="906"/>
      <c r="N637" s="906"/>
      <c r="O637" s="906"/>
      <c r="P637" s="906"/>
      <c r="Q637" s="906"/>
      <c r="R637" s="906"/>
      <c r="S637" s="906"/>
      <c r="T637" s="906"/>
      <c r="U637" s="906"/>
      <c r="V637" s="906"/>
      <c r="W637" s="906"/>
      <c r="X637" s="906"/>
      <c r="Y637" s="906"/>
      <c r="Z637" s="906"/>
      <c r="AA637" s="906"/>
      <c r="AB637" s="906"/>
      <c r="AC637" s="906"/>
      <c r="AD637" s="906"/>
      <c r="AE637" s="906"/>
      <c r="AF637" s="906"/>
      <c r="AG637" s="906"/>
      <c r="AH637" s="906"/>
      <c r="AI637" s="906"/>
      <c r="AJ637" s="906"/>
      <c r="AK637" s="906"/>
      <c r="AL637" s="906"/>
      <c r="AM637" s="906"/>
      <c r="AN637" s="906"/>
      <c r="AO637" s="906"/>
      <c r="AP637" s="906"/>
      <c r="AQ637" s="906"/>
      <c r="AR637" s="906"/>
      <c r="AS637" s="906"/>
      <c r="AT637" s="906"/>
    </row>
    <row r="638" s="570" customFormat="1" ht="12" customHeight="1"/>
    <row r="639" s="570" customFormat="1" ht="16.5" customHeight="1" spans="1:91">
      <c r="A639" s="1167" t="s">
        <v>7652</v>
      </c>
      <c r="B639" s="1167"/>
      <c r="C639" s="1167"/>
      <c r="D639" s="1167"/>
      <c r="E639" s="1167"/>
      <c r="F639" s="1167"/>
      <c r="G639" s="1167"/>
      <c r="H639" s="1167"/>
      <c r="I639" s="1167"/>
      <c r="J639" s="1167"/>
      <c r="K639" s="1167"/>
      <c r="L639" s="1167"/>
      <c r="M639" s="1167"/>
      <c r="N639" s="1167"/>
      <c r="O639" s="1167"/>
      <c r="P639" s="570" t="s">
        <v>7653</v>
      </c>
      <c r="Z639" s="1168" t="s">
        <v>7649</v>
      </c>
      <c r="AA639" s="1168"/>
      <c r="AB639" s="1168"/>
      <c r="AC639" s="1168"/>
      <c r="AD639" s="1169"/>
      <c r="AE639" s="1169"/>
      <c r="AF639" s="1169"/>
      <c r="AG639" s="1169"/>
      <c r="AH639" s="1170"/>
      <c r="AI639" s="1170"/>
    </row>
    <row r="640" s="570" customFormat="1" ht="16.5" customHeight="1" spans="1:91">
      <c r="A640" s="1167"/>
      <c r="B640" s="1167"/>
      <c r="C640" s="1167"/>
      <c r="D640" s="1167"/>
      <c r="E640" s="1167"/>
      <c r="F640" s="1167"/>
      <c r="G640" s="1167"/>
      <c r="H640" s="1167"/>
      <c r="I640" s="1167"/>
      <c r="J640" s="1167"/>
      <c r="K640" s="1167"/>
      <c r="L640" s="1167"/>
      <c r="M640" s="1167"/>
      <c r="N640" s="1167"/>
      <c r="O640" s="1167"/>
      <c r="P640" s="1171" t="s">
        <v>7650</v>
      </c>
      <c r="Q640" s="1171"/>
      <c r="R640" s="1171"/>
      <c r="S640" s="1171"/>
      <c r="T640" s="1171"/>
      <c r="U640" s="1171"/>
      <c r="V640" s="1171"/>
      <c r="W640" s="1171"/>
      <c r="X640" s="1171"/>
      <c r="Y640" s="1171"/>
      <c r="Z640" s="1168"/>
      <c r="AA640" s="1168"/>
      <c r="AB640" s="1168"/>
      <c r="AC640" s="1168"/>
      <c r="AD640" s="1169"/>
      <c r="AE640" s="1169"/>
      <c r="AF640" s="1169"/>
      <c r="AG640" s="1169"/>
      <c r="AH640" s="1170"/>
      <c r="AI640" s="1170"/>
    </row>
    <row r="641" s="570" customFormat="1" ht="16.5" customHeight="1" spans="1:91">
      <c r="A641" s="1172"/>
      <c r="B641" s="1172"/>
      <c r="C641" s="1172"/>
      <c r="D641" s="1172"/>
      <c r="E641" s="1172"/>
      <c r="F641" s="1172"/>
      <c r="G641" s="1172"/>
      <c r="H641" s="1172"/>
      <c r="I641" s="1172"/>
      <c r="J641" s="1172"/>
      <c r="K641" s="1172"/>
      <c r="L641" s="1172"/>
      <c r="M641" s="1172"/>
      <c r="N641" s="1172"/>
      <c r="O641" s="1172"/>
      <c r="Z641" s="1173"/>
      <c r="AA641" s="1173"/>
      <c r="AB641" s="1173"/>
      <c r="AC641" s="1173"/>
      <c r="AD641" s="1173"/>
      <c r="AE641" s="1173"/>
      <c r="AF641" s="1173"/>
      <c r="AG641" s="1173"/>
      <c r="AJ641" s="1174"/>
      <c r="AK641" s="1174"/>
      <c r="AL641" s="1174"/>
      <c r="AM641" s="1174"/>
      <c r="AN641" s="1174"/>
      <c r="AO641" s="1174"/>
      <c r="AP641" s="1174"/>
      <c r="AQ641" s="1174"/>
      <c r="AR641" s="1174"/>
      <c r="AS641" s="1174"/>
      <c r="AT641" s="1174"/>
      <c r="AU641" s="1174"/>
    </row>
    <row r="642" s="570" customFormat="1" ht="16.5" customHeight="1" spans="1:91">
      <c r="A642" s="1172"/>
      <c r="B642" s="1172"/>
      <c r="C642" s="1172"/>
      <c r="D642" s="1172"/>
      <c r="E642" s="1172"/>
      <c r="F642" s="1172"/>
      <c r="G642" s="1175" t="str">
        <f ca="1">PeriodDo&amp;" ="</f>
        <v>31.12.2025 =</v>
      </c>
      <c r="H642" s="1175"/>
      <c r="I642" s="1175"/>
      <c r="J642" s="1175"/>
      <c r="K642" s="1175"/>
      <c r="L642" s="1175"/>
      <c r="M642" s="1175"/>
      <c r="N642" s="1175"/>
      <c r="O642" s="1175"/>
      <c r="P642" s="1176">
        <f>R403+R400+R402</f>
        <v>149510</v>
      </c>
      <c r="Q642" s="1176"/>
      <c r="R642" s="1176"/>
      <c r="S642" s="1176"/>
      <c r="T642" s="1176"/>
      <c r="U642" s="1176"/>
      <c r="V642" s="1176"/>
      <c r="W642" s="1176"/>
      <c r="X642" s="1176"/>
      <c r="Y642" s="1176"/>
      <c r="Z642" s="1168" t="s">
        <v>7649</v>
      </c>
      <c r="AA642" s="1168"/>
      <c r="AB642" s="1168"/>
      <c r="AC642" s="1168"/>
      <c r="AD642" s="1177">
        <f>P642/P643</f>
        <v>0.515491287226617</v>
      </c>
      <c r="AE642" s="1177"/>
      <c r="AF642" s="1177"/>
      <c r="AG642" s="1177"/>
      <c r="AH642" s="1177"/>
      <c r="AI642" s="1177"/>
      <c r="AJ642" s="570" t="str">
        <f>IF(AD642-AD645&gt;0,"POVEĆAN","SMANJEN")</f>
        <v>POVEĆAN</v>
      </c>
      <c r="AK642" s="1174"/>
      <c r="AL642" s="1174"/>
      <c r="AM642" s="1174"/>
      <c r="AN642" s="1174"/>
      <c r="AO642" s="1178">
        <f>ROUND(IF(AD642/AD645&gt;1,AD642/AD645*100-100,100-(AD642/AD645*100)),1)</f>
        <v>66.9</v>
      </c>
      <c r="AP642" s="1178"/>
      <c r="AQ642" s="1178"/>
      <c r="AR642" s="1178"/>
      <c r="AS642" s="1178"/>
      <c r="AT642" s="1174" t="s">
        <v>20</v>
      </c>
      <c r="AU642" s="1174"/>
      <c r="CM642" s="1179"/>
    </row>
    <row r="643" s="570" customFormat="1" ht="16.5" customHeight="1" spans="1:91">
      <c r="A643" s="1172"/>
      <c r="B643" s="1172"/>
      <c r="C643" s="1172"/>
      <c r="D643" s="1172"/>
      <c r="E643" s="1172"/>
      <c r="F643" s="1172"/>
      <c r="G643" s="1175"/>
      <c r="H643" s="1175"/>
      <c r="I643" s="1175"/>
      <c r="J643" s="1175"/>
      <c r="K643" s="1175"/>
      <c r="L643" s="1175"/>
      <c r="M643" s="1175"/>
      <c r="N643" s="1175"/>
      <c r="O643" s="1175"/>
      <c r="P643" s="1180">
        <f>B_Stanja!AI135+0.000001</f>
        <v>290034.000001</v>
      </c>
      <c r="Q643" s="1180"/>
      <c r="R643" s="1180"/>
      <c r="S643" s="1180"/>
      <c r="T643" s="1180"/>
      <c r="U643" s="1180"/>
      <c r="V643" s="1180"/>
      <c r="W643" s="1180"/>
      <c r="X643" s="1180"/>
      <c r="Y643" s="1180"/>
      <c r="Z643" s="1168"/>
      <c r="AA643" s="1168"/>
      <c r="AB643" s="1168"/>
      <c r="AC643" s="1168"/>
      <c r="AD643" s="1177"/>
      <c r="AE643" s="1177"/>
      <c r="AF643" s="1177"/>
      <c r="AG643" s="1177"/>
      <c r="AH643" s="1177"/>
      <c r="AI643" s="1177"/>
    </row>
    <row r="644" s="570" customFormat="1" ht="16.5" customHeight="1" spans="1:91">
      <c r="A644" s="1172"/>
      <c r="B644" s="1172"/>
      <c r="C644" s="1172"/>
      <c r="D644" s="1172"/>
      <c r="E644" s="1172"/>
      <c r="F644" s="1172"/>
      <c r="G644" s="1172"/>
      <c r="H644" s="1172"/>
      <c r="I644" s="1172"/>
      <c r="J644" s="1172"/>
      <c r="K644" s="1172"/>
      <c r="L644" s="1172"/>
      <c r="M644" s="1172"/>
      <c r="N644" s="1172"/>
      <c r="O644" s="1172"/>
      <c r="Z644" s="1173"/>
      <c r="AA644" s="1173"/>
      <c r="AB644" s="1173"/>
      <c r="AC644" s="1173"/>
      <c r="AD644" s="1173"/>
      <c r="AE644" s="1173"/>
      <c r="AF644" s="1173"/>
      <c r="AG644" s="1173"/>
    </row>
    <row r="645" s="570" customFormat="1" ht="16.5" customHeight="1" spans="1:91">
      <c r="A645" s="1172"/>
      <c r="B645" s="1172"/>
      <c r="C645" s="1172"/>
      <c r="D645" s="1172"/>
      <c r="E645" s="1172"/>
      <c r="F645" s="1172"/>
      <c r="G645" s="1175" t="str">
        <f>PeriodOd&amp;" ="</f>
        <v>01.01.2025 =</v>
      </c>
      <c r="H645" s="1175"/>
      <c r="I645" s="1175"/>
      <c r="J645" s="1175"/>
      <c r="K645" s="1175"/>
      <c r="L645" s="1175"/>
      <c r="M645" s="1175"/>
      <c r="N645" s="1175"/>
      <c r="O645" s="1175"/>
      <c r="P645" s="1176">
        <f>AD403+AD400+AD402</f>
        <v>90300</v>
      </c>
      <c r="Q645" s="1176"/>
      <c r="R645" s="1176"/>
      <c r="S645" s="1176"/>
      <c r="T645" s="1176"/>
      <c r="U645" s="1176"/>
      <c r="V645" s="1176"/>
      <c r="W645" s="1176"/>
      <c r="X645" s="1176"/>
      <c r="Y645" s="1176"/>
      <c r="Z645" s="1168" t="s">
        <v>7649</v>
      </c>
      <c r="AA645" s="1168"/>
      <c r="AB645" s="1168"/>
      <c r="AC645" s="1168"/>
      <c r="AD645" s="1177">
        <f>P645/P646</f>
        <v>0.308786567954216</v>
      </c>
      <c r="AE645" s="1177"/>
      <c r="AF645" s="1177"/>
      <c r="AG645" s="1177"/>
      <c r="AH645" s="1177"/>
      <c r="AI645" s="1177"/>
    </row>
    <row r="646" s="570" customFormat="1" ht="16.5" customHeight="1" spans="1:91">
      <c r="A646" s="1172"/>
      <c r="B646" s="1172"/>
      <c r="C646" s="1172"/>
      <c r="D646" s="1172"/>
      <c r="E646" s="1172"/>
      <c r="F646" s="1172"/>
      <c r="G646" s="1175"/>
      <c r="H646" s="1175"/>
      <c r="I646" s="1175"/>
      <c r="J646" s="1175"/>
      <c r="K646" s="1175"/>
      <c r="L646" s="1175"/>
      <c r="M646" s="1175"/>
      <c r="N646" s="1175"/>
      <c r="O646" s="1175"/>
      <c r="P646" s="1180">
        <f>B_Stanja!AP135+0.000001</f>
        <v>292435.000001</v>
      </c>
      <c r="Q646" s="1180"/>
      <c r="R646" s="1180"/>
      <c r="S646" s="1180"/>
      <c r="T646" s="1180"/>
      <c r="U646" s="1180"/>
      <c r="V646" s="1180"/>
      <c r="W646" s="1180"/>
      <c r="X646" s="1180"/>
      <c r="Y646" s="1180"/>
      <c r="Z646" s="1168"/>
      <c r="AA646" s="1168"/>
      <c r="AB646" s="1168"/>
      <c r="AC646" s="1168"/>
      <c r="AD646" s="1177"/>
      <c r="AE646" s="1177"/>
      <c r="AF646" s="1177"/>
      <c r="AG646" s="1177"/>
      <c r="AH646" s="1177"/>
      <c r="AI646" s="1177"/>
    </row>
    <row r="647" s="570" customFormat="1" ht="16.5" customHeight="1" spans="1:91">
      <c r="A647" s="1172"/>
      <c r="B647" s="1172"/>
      <c r="C647" s="1172"/>
      <c r="D647" s="1172"/>
      <c r="E647" s="1172"/>
      <c r="F647" s="1172"/>
      <c r="G647" s="1172"/>
      <c r="H647" s="1172"/>
      <c r="I647" s="1172"/>
      <c r="J647" s="1172"/>
      <c r="K647" s="1172"/>
      <c r="L647" s="1181"/>
      <c r="M647" s="1181"/>
      <c r="N647" s="1181"/>
      <c r="O647" s="1181"/>
      <c r="P647" s="1182"/>
      <c r="Q647" s="1182"/>
      <c r="R647" s="1182"/>
      <c r="S647" s="1182"/>
      <c r="T647" s="1182"/>
      <c r="U647" s="1182"/>
      <c r="V647" s="1182"/>
      <c r="W647" s="1182"/>
      <c r="X647" s="1182"/>
      <c r="Y647" s="1182"/>
      <c r="Z647" s="1168"/>
      <c r="AA647" s="1168"/>
      <c r="AB647" s="1168"/>
      <c r="AC647" s="1168"/>
      <c r="AD647" s="1177"/>
      <c r="AE647" s="1177"/>
      <c r="AF647" s="1177"/>
      <c r="AG647" s="1177"/>
    </row>
    <row r="648" s="1" customFormat="1" customHeight="1" spans="1:91">
      <c r="A648" s="906" t="str">
        <f ca="1">IFERROR("Na dan "&amp;Baza!C14&amp;". za plaćanje svakih 100 KM kratkoročni obaveza, preduzeće ima "&amp;ROUND(AD642*100,2)&amp;" KM novčanih sredstava i potraživanja, 31.12."&amp;PoslGod-1&amp;". godine, za ovu namjenu imalo je "&amp;ROUND(AD645*100,2)&amp;" KM novčanih sredstava i potraživanja.",0)</f>
        <v>Na dan 31.12.2025. za plaćanje svakih 100 KM kratkoročni obaveza, preduzeće ima 51,55 KM novčanih sredstava i potraživanja, 31.12.2024. godine, za ovu namjenu imalo je 30,88 KM novčanih sredstava i potraživanja.</v>
      </c>
      <c r="B648" s="906"/>
      <c r="C648" s="906"/>
      <c r="D648" s="906"/>
      <c r="E648" s="906"/>
      <c r="F648" s="906"/>
      <c r="G648" s="906"/>
      <c r="H648" s="906"/>
      <c r="I648" s="906"/>
      <c r="J648" s="906"/>
      <c r="K648" s="906"/>
      <c r="L648" s="906"/>
      <c r="M648" s="906"/>
      <c r="N648" s="906"/>
      <c r="O648" s="906"/>
      <c r="P648" s="906"/>
      <c r="Q648" s="906"/>
      <c r="R648" s="906"/>
      <c r="S648" s="906"/>
      <c r="T648" s="906"/>
      <c r="U648" s="906"/>
      <c r="V648" s="906"/>
      <c r="W648" s="906"/>
      <c r="X648" s="906"/>
      <c r="Y648" s="906"/>
      <c r="Z648" s="906"/>
      <c r="AA648" s="906"/>
      <c r="AB648" s="906"/>
      <c r="AC648" s="906"/>
      <c r="AD648" s="906"/>
      <c r="AE648" s="906"/>
      <c r="AF648" s="906"/>
      <c r="AG648" s="906"/>
      <c r="AH648" s="906"/>
      <c r="AI648" s="906"/>
      <c r="AJ648" s="906"/>
      <c r="AK648" s="906"/>
      <c r="AL648" s="906"/>
      <c r="AM648" s="906"/>
      <c r="AN648" s="906"/>
      <c r="AO648" s="906"/>
      <c r="AP648" s="906"/>
      <c r="AQ648" s="906"/>
      <c r="AR648" s="906"/>
      <c r="AS648" s="906"/>
      <c r="AT648" s="906"/>
    </row>
    <row r="649" s="1" customFormat="1" ht="16.5" customHeight="1" spans="1:91">
      <c r="A649" s="906"/>
      <c r="B649" s="906"/>
      <c r="C649" s="906"/>
      <c r="D649" s="906"/>
      <c r="E649" s="906"/>
      <c r="F649" s="906"/>
      <c r="G649" s="906"/>
      <c r="H649" s="906"/>
      <c r="I649" s="906"/>
      <c r="J649" s="906"/>
      <c r="K649" s="906"/>
      <c r="L649" s="906"/>
      <c r="M649" s="906"/>
      <c r="N649" s="906"/>
      <c r="O649" s="906"/>
      <c r="P649" s="906"/>
      <c r="Q649" s="906"/>
      <c r="R649" s="906"/>
      <c r="S649" s="906"/>
      <c r="T649" s="906"/>
      <c r="U649" s="906"/>
      <c r="V649" s="906"/>
      <c r="W649" s="906"/>
      <c r="X649" s="906"/>
      <c r="Y649" s="906"/>
      <c r="Z649" s="906"/>
      <c r="AA649" s="906"/>
      <c r="AB649" s="906"/>
      <c r="AC649" s="906"/>
      <c r="AD649" s="906"/>
      <c r="AE649" s="906"/>
      <c r="AF649" s="906"/>
      <c r="AG649" s="906"/>
      <c r="AH649" s="906"/>
      <c r="AI649" s="906"/>
      <c r="AJ649" s="906"/>
      <c r="AK649" s="906"/>
      <c r="AL649" s="906"/>
      <c r="AM649" s="906"/>
      <c r="AN649" s="906"/>
      <c r="AO649" s="906"/>
      <c r="AP649" s="906"/>
      <c r="AQ649" s="906"/>
      <c r="AR649" s="906"/>
      <c r="AS649" s="906"/>
      <c r="AT649" s="906"/>
    </row>
    <row r="650" s="1" customFormat="1" ht="15" customHeight="1" spans="1:91">
      <c r="A650" s="906"/>
      <c r="B650" s="906"/>
      <c r="C650" s="906"/>
      <c r="D650" s="906"/>
      <c r="E650" s="906"/>
      <c r="F650" s="906"/>
      <c r="G650" s="906"/>
      <c r="H650" s="906"/>
      <c r="I650" s="906"/>
      <c r="J650" s="906"/>
      <c r="K650" s="906"/>
      <c r="L650" s="906"/>
      <c r="M650" s="906"/>
      <c r="N650" s="906"/>
      <c r="O650" s="906"/>
      <c r="P650" s="906"/>
      <c r="Q650" s="906"/>
      <c r="R650" s="906"/>
      <c r="S650" s="906"/>
      <c r="T650" s="906"/>
      <c r="U650" s="906"/>
      <c r="V650" s="906"/>
      <c r="W650" s="906"/>
      <c r="X650" s="906"/>
      <c r="Y650" s="906"/>
      <c r="Z650" s="906"/>
      <c r="AA650" s="906"/>
      <c r="AB650" s="906"/>
      <c r="AC650" s="906"/>
      <c r="AD650" s="906"/>
      <c r="AE650" s="906"/>
      <c r="AF650" s="906"/>
      <c r="AG650" s="906"/>
      <c r="AH650" s="906"/>
      <c r="AI650" s="906"/>
      <c r="AJ650" s="906"/>
      <c r="AK650" s="906"/>
      <c r="AL650" s="906"/>
      <c r="AM650" s="906"/>
      <c r="AN650" s="906"/>
      <c r="AO650" s="906"/>
      <c r="AP650" s="906"/>
      <c r="AQ650" s="906"/>
      <c r="AR650" s="906"/>
      <c r="AS650" s="906"/>
      <c r="AT650" s="906"/>
    </row>
    <row r="651" s="1" customFormat="1" ht="16.5" customHeight="1" spans="1:91">
      <c r="A651" s="907" t="str">
        <f>IFERROR("Ovaj pokazatelj je "&amp;AJ642&amp;" u odnosu na prošlu godinu za "&amp;ROUND(AO642,1)&amp;"%",0)&amp;"."</f>
        <v>Ovaj pokazatelj je POVEĆAN u odnosu na prošlu godinu za 66,9%.</v>
      </c>
      <c r="B651" s="907"/>
      <c r="C651" s="907"/>
      <c r="D651" s="907"/>
      <c r="E651" s="907"/>
      <c r="F651" s="907"/>
      <c r="G651" s="907"/>
      <c r="H651" s="907"/>
      <c r="I651" s="907"/>
      <c r="J651" s="907"/>
      <c r="K651" s="907"/>
      <c r="L651" s="907"/>
      <c r="M651" s="907"/>
      <c r="N651" s="907"/>
      <c r="O651" s="907"/>
      <c r="P651" s="907"/>
      <c r="Q651" s="907"/>
      <c r="R651" s="907"/>
      <c r="S651" s="907"/>
      <c r="T651" s="907"/>
      <c r="U651" s="907"/>
      <c r="V651" s="907"/>
      <c r="W651" s="907"/>
      <c r="X651" s="907"/>
      <c r="Y651" s="907"/>
      <c r="Z651" s="907"/>
      <c r="AA651" s="907"/>
      <c r="AB651" s="907"/>
      <c r="AC651" s="907"/>
      <c r="AD651" s="907"/>
      <c r="AE651" s="907"/>
      <c r="AF651" s="907"/>
      <c r="AG651" s="907"/>
      <c r="AH651" s="907"/>
      <c r="AI651" s="907"/>
      <c r="AJ651" s="907"/>
      <c r="AK651" s="907"/>
      <c r="AL651" s="907"/>
      <c r="AM651" s="907"/>
      <c r="AN651" s="907"/>
      <c r="AO651" s="907"/>
      <c r="AP651" s="907"/>
      <c r="AQ651" s="907"/>
      <c r="AR651" s="907"/>
      <c r="AS651" s="907"/>
      <c r="AT651" s="907"/>
    </row>
    <row r="652" s="1" customFormat="1" ht="16.5" customHeight="1" spans="1:91">
      <c r="A652" s="906" t="s">
        <v>7654</v>
      </c>
      <c r="B652" s="906"/>
      <c r="C652" s="906"/>
      <c r="D652" s="906"/>
      <c r="E652" s="906"/>
      <c r="F652" s="906"/>
      <c r="G652" s="906"/>
      <c r="H652" s="906"/>
      <c r="I652" s="906"/>
      <c r="J652" s="906"/>
      <c r="K652" s="906"/>
      <c r="L652" s="906"/>
      <c r="M652" s="906"/>
      <c r="N652" s="906"/>
      <c r="O652" s="906"/>
      <c r="P652" s="906"/>
      <c r="Q652" s="906"/>
      <c r="R652" s="906"/>
      <c r="S652" s="906"/>
      <c r="T652" s="906"/>
      <c r="U652" s="906"/>
      <c r="V652" s="906"/>
      <c r="W652" s="906"/>
      <c r="X652" s="906"/>
      <c r="Y652" s="906"/>
      <c r="Z652" s="906"/>
      <c r="AA652" s="906"/>
      <c r="AB652" s="906"/>
      <c r="AC652" s="906"/>
      <c r="AD652" s="906"/>
      <c r="AE652" s="906"/>
      <c r="AF652" s="906"/>
      <c r="AG652" s="906"/>
      <c r="AH652" s="906"/>
      <c r="AI652" s="906"/>
      <c r="AJ652" s="906"/>
      <c r="AK652" s="906"/>
      <c r="AL652" s="906"/>
      <c r="AM652" s="906"/>
      <c r="AN652" s="906"/>
      <c r="AO652" s="906"/>
      <c r="AP652" s="906"/>
      <c r="AQ652" s="906"/>
      <c r="AR652" s="906"/>
      <c r="AS652" s="906"/>
      <c r="AT652" s="906"/>
    </row>
    <row r="653" s="1" customFormat="1" ht="16.5" customHeight="1" spans="1:91">
      <c r="A653" s="906"/>
      <c r="B653" s="906"/>
      <c r="C653" s="906"/>
      <c r="D653" s="906"/>
      <c r="E653" s="906"/>
      <c r="F653" s="906"/>
      <c r="G653" s="906"/>
      <c r="H653" s="906"/>
      <c r="I653" s="906"/>
      <c r="J653" s="906"/>
      <c r="K653" s="906"/>
      <c r="L653" s="906"/>
      <c r="M653" s="906"/>
      <c r="N653" s="906"/>
      <c r="O653" s="906"/>
      <c r="P653" s="906"/>
      <c r="Q653" s="906"/>
      <c r="R653" s="906"/>
      <c r="S653" s="906"/>
      <c r="T653" s="906"/>
      <c r="U653" s="906"/>
      <c r="V653" s="906"/>
      <c r="W653" s="906"/>
      <c r="X653" s="906"/>
      <c r="Y653" s="906"/>
      <c r="Z653" s="906"/>
      <c r="AA653" s="906"/>
      <c r="AB653" s="906"/>
      <c r="AC653" s="906"/>
      <c r="AD653" s="906"/>
      <c r="AE653" s="906"/>
      <c r="AF653" s="906"/>
      <c r="AG653" s="906"/>
      <c r="AH653" s="906"/>
      <c r="AI653" s="906"/>
      <c r="AJ653" s="906"/>
      <c r="AK653" s="906"/>
      <c r="AL653" s="906"/>
      <c r="AM653" s="906"/>
      <c r="AN653" s="906"/>
      <c r="AO653" s="906"/>
      <c r="AP653" s="906"/>
      <c r="AQ653" s="906"/>
      <c r="AR653" s="906"/>
      <c r="AS653" s="906"/>
      <c r="AT653" s="906"/>
    </row>
    <row r="654" s="1" customFormat="1" ht="16.5" customHeight="1" spans="1:91">
      <c r="A654" s="906"/>
      <c r="B654" s="906"/>
      <c r="C654" s="906"/>
      <c r="D654" s="906"/>
      <c r="E654" s="906"/>
      <c r="F654" s="906"/>
      <c r="G654" s="906"/>
      <c r="H654" s="906"/>
      <c r="I654" s="906"/>
      <c r="J654" s="906"/>
      <c r="K654" s="906"/>
      <c r="L654" s="906"/>
      <c r="M654" s="906"/>
      <c r="N654" s="906"/>
      <c r="O654" s="906"/>
      <c r="P654" s="906"/>
      <c r="Q654" s="906"/>
      <c r="R654" s="906"/>
      <c r="S654" s="906"/>
      <c r="T654" s="906"/>
      <c r="U654" s="906"/>
      <c r="V654" s="906"/>
      <c r="W654" s="906"/>
      <c r="X654" s="906"/>
      <c r="Y654" s="906"/>
      <c r="Z654" s="906"/>
      <c r="AA654" s="906"/>
      <c r="AB654" s="906"/>
      <c r="AC654" s="906"/>
      <c r="AD654" s="906"/>
      <c r="AE654" s="906"/>
      <c r="AF654" s="906"/>
      <c r="AG654" s="906"/>
      <c r="AH654" s="906"/>
      <c r="AI654" s="906"/>
      <c r="AJ654" s="906"/>
      <c r="AK654" s="906"/>
      <c r="AL654" s="906"/>
      <c r="AM654" s="906"/>
      <c r="AN654" s="906"/>
      <c r="AO654" s="906"/>
      <c r="AP654" s="906"/>
      <c r="AQ654" s="906"/>
      <c r="AR654" s="906"/>
      <c r="AS654" s="906"/>
      <c r="AT654" s="906"/>
    </row>
    <row r="655" s="1" customFormat="1" ht="16.5" customHeight="1" spans="1:91">
      <c r="A655" s="906"/>
      <c r="B655" s="906"/>
      <c r="C655" s="906"/>
      <c r="D655" s="906"/>
      <c r="E655" s="906"/>
      <c r="F655" s="906"/>
      <c r="G655" s="906"/>
      <c r="H655" s="906"/>
      <c r="I655" s="906"/>
      <c r="J655" s="906"/>
      <c r="K655" s="906"/>
      <c r="L655" s="906"/>
      <c r="M655" s="906"/>
      <c r="N655" s="906"/>
      <c r="O655" s="906"/>
      <c r="P655" s="906"/>
      <c r="Q655" s="906"/>
      <c r="R655" s="906"/>
      <c r="S655" s="906"/>
      <c r="T655" s="906"/>
      <c r="U655" s="906"/>
      <c r="V655" s="906"/>
      <c r="W655" s="906"/>
      <c r="X655" s="906"/>
      <c r="Y655" s="906"/>
      <c r="Z655" s="906"/>
      <c r="AA655" s="906"/>
      <c r="AB655" s="906"/>
      <c r="AC655" s="906"/>
      <c r="AD655" s="906"/>
      <c r="AE655" s="906"/>
      <c r="AF655" s="906"/>
      <c r="AG655" s="906"/>
      <c r="AH655" s="906"/>
      <c r="AI655" s="906"/>
      <c r="AJ655" s="906"/>
      <c r="AK655" s="906"/>
      <c r="AL655" s="906"/>
      <c r="AM655" s="906"/>
      <c r="AN655" s="906"/>
      <c r="AO655" s="906"/>
      <c r="AP655" s="906"/>
      <c r="AQ655" s="906"/>
      <c r="AR655" s="906"/>
      <c r="AS655" s="906"/>
      <c r="AT655" s="906"/>
    </row>
    <row r="656" s="570" customFormat="1" ht="16.5" customHeight="1"/>
    <row r="657" s="570" customFormat="1" ht="16.5" customHeight="1" spans="1:91">
      <c r="A657" s="1167" t="s">
        <v>7655</v>
      </c>
      <c r="B657" s="1167"/>
      <c r="C657" s="1167"/>
      <c r="D657" s="1167"/>
      <c r="E657" s="1167"/>
      <c r="F657" s="1167"/>
      <c r="G657" s="1167"/>
      <c r="H657" s="1167"/>
      <c r="I657" s="1167"/>
      <c r="J657" s="1167"/>
      <c r="K657" s="1167"/>
      <c r="L657" s="1167"/>
      <c r="M657" s="1167"/>
      <c r="N657" s="1167"/>
      <c r="O657" s="1167"/>
      <c r="S657" s="570" t="s">
        <v>7656</v>
      </c>
      <c r="Z657" s="1181" t="s">
        <v>7649</v>
      </c>
      <c r="AA657" s="1181"/>
      <c r="AB657" s="1181"/>
      <c r="AC657" s="1181"/>
      <c r="AD657" s="1183"/>
      <c r="AE657" s="1183"/>
      <c r="AF657" s="1183"/>
      <c r="AG657" s="1183"/>
      <c r="AH657" s="1170"/>
      <c r="AI657" s="1170"/>
    </row>
    <row r="658" s="570" customFormat="1" ht="16.5" customHeight="1" spans="1:91">
      <c r="A658" s="1167"/>
      <c r="B658" s="1167"/>
      <c r="C658" s="1167"/>
      <c r="D658" s="1167"/>
      <c r="E658" s="1167"/>
      <c r="F658" s="1167"/>
      <c r="G658" s="1167"/>
      <c r="H658" s="1167"/>
      <c r="I658" s="1167"/>
      <c r="J658" s="1167"/>
      <c r="K658" s="1167"/>
      <c r="L658" s="1167"/>
      <c r="M658" s="1167"/>
      <c r="N658" s="1167"/>
      <c r="O658" s="1167"/>
      <c r="P658" s="1171" t="s">
        <v>7650</v>
      </c>
      <c r="Q658" s="1171"/>
      <c r="R658" s="1171"/>
      <c r="S658" s="1171"/>
      <c r="T658" s="1171"/>
      <c r="U658" s="1171"/>
      <c r="V658" s="1171"/>
      <c r="W658" s="1171"/>
      <c r="X658" s="1171"/>
      <c r="Y658" s="1171"/>
      <c r="Z658" s="1181"/>
      <c r="AA658" s="1181"/>
      <c r="AB658" s="1181"/>
      <c r="AC658" s="1181"/>
      <c r="AD658" s="1183"/>
      <c r="AE658" s="1183"/>
      <c r="AF658" s="1183"/>
      <c r="AG658" s="1183"/>
      <c r="AH658" s="1170"/>
      <c r="AI658" s="1170"/>
    </row>
    <row r="659" s="570" customFormat="1" ht="16.5" customHeight="1" spans="1:91">
      <c r="A659" s="1172"/>
      <c r="B659" s="1172"/>
      <c r="C659" s="1172"/>
      <c r="D659" s="1172"/>
      <c r="E659" s="1172"/>
      <c r="F659" s="1172"/>
      <c r="G659" s="1172"/>
      <c r="H659" s="1172"/>
      <c r="I659" s="1172"/>
      <c r="J659" s="1172"/>
      <c r="K659" s="1172"/>
      <c r="L659" s="1172"/>
      <c r="M659" s="1172"/>
      <c r="N659" s="1172"/>
      <c r="O659" s="1172"/>
      <c r="Z659" s="1172"/>
      <c r="AA659" s="1172"/>
      <c r="AB659" s="1172"/>
      <c r="AC659" s="1172"/>
      <c r="AD659" s="1172"/>
      <c r="AE659" s="1172"/>
      <c r="AF659" s="1172"/>
      <c r="AG659" s="1172"/>
      <c r="AJ659" s="1174"/>
      <c r="AK659" s="1174"/>
      <c r="AL659" s="1174"/>
      <c r="AM659" s="1174"/>
      <c r="AN659" s="1174"/>
      <c r="AO659" s="1174"/>
      <c r="AP659" s="1174"/>
      <c r="AQ659" s="1174"/>
      <c r="AR659" s="1174"/>
      <c r="AS659" s="1174"/>
      <c r="AT659" s="1174"/>
      <c r="AU659" s="1174"/>
    </row>
    <row r="660" s="570" customFormat="1" ht="16.5" customHeight="1" spans="1:91">
      <c r="A660" s="1172"/>
      <c r="B660" s="1172"/>
      <c r="C660" s="1172"/>
      <c r="D660" s="1172"/>
      <c r="E660" s="1172"/>
      <c r="F660" s="1172"/>
      <c r="G660" s="1175" t="str">
        <f ca="1">PeriodDo&amp;" ="</f>
        <v>31.12.2025 =</v>
      </c>
      <c r="H660" s="1175"/>
      <c r="I660" s="1175"/>
      <c r="J660" s="1175"/>
      <c r="K660" s="1175"/>
      <c r="L660" s="1175"/>
      <c r="M660" s="1175"/>
      <c r="N660" s="1175"/>
      <c r="O660" s="1175"/>
      <c r="P660" s="1176">
        <f>R403</f>
        <v>2327</v>
      </c>
      <c r="Q660" s="1176"/>
      <c r="R660" s="1176"/>
      <c r="S660" s="1176"/>
      <c r="T660" s="1176"/>
      <c r="U660" s="1176"/>
      <c r="V660" s="1176"/>
      <c r="W660" s="1176"/>
      <c r="X660" s="1176"/>
      <c r="Y660" s="1176"/>
      <c r="Z660" s="1181" t="s">
        <v>7649</v>
      </c>
      <c r="AA660" s="1181"/>
      <c r="AB660" s="1181"/>
      <c r="AC660" s="1181"/>
      <c r="AD660" s="1184">
        <f>P660/P661</f>
        <v>0.00802319728004223</v>
      </c>
      <c r="AE660" s="1184"/>
      <c r="AF660" s="1184"/>
      <c r="AG660" s="1184"/>
      <c r="AH660" s="1184"/>
      <c r="AI660" s="1184"/>
      <c r="AJ660" s="570" t="str">
        <f>IF(AD660-AD663&gt;0,"POVEĆAN","SMANJEN")</f>
        <v>POVEĆAN</v>
      </c>
      <c r="AK660" s="1174"/>
      <c r="AL660" s="1174"/>
      <c r="AM660" s="1174"/>
      <c r="AN660" s="1174"/>
      <c r="AO660" s="1178">
        <f>ROUND(IF(AD660/AD663&gt;1,AD660/AD663*100-100,100-(AD660/AD663*100)),1)</f>
        <v>4892.1</v>
      </c>
      <c r="AP660" s="1178"/>
      <c r="AQ660" s="1178"/>
      <c r="AR660" s="1178"/>
      <c r="AS660" s="1178"/>
      <c r="AT660" s="1174" t="s">
        <v>20</v>
      </c>
      <c r="AU660" s="1174"/>
      <c r="CM660" s="1179"/>
    </row>
    <row r="661" s="570" customFormat="1" ht="16.5" customHeight="1" spans="1:91">
      <c r="A661" s="1172"/>
      <c r="B661" s="1172"/>
      <c r="C661" s="1172"/>
      <c r="D661" s="1172"/>
      <c r="E661" s="1172"/>
      <c r="F661" s="1172"/>
      <c r="G661" s="1175"/>
      <c r="H661" s="1175"/>
      <c r="I661" s="1175"/>
      <c r="J661" s="1175"/>
      <c r="K661" s="1175"/>
      <c r="L661" s="1175"/>
      <c r="M661" s="1175"/>
      <c r="N661" s="1175"/>
      <c r="O661" s="1175"/>
      <c r="P661" s="1180">
        <f>B_Stanja!AI135+0.00001</f>
        <v>290034.00001</v>
      </c>
      <c r="Q661" s="1180"/>
      <c r="R661" s="1180"/>
      <c r="S661" s="1180"/>
      <c r="T661" s="1180"/>
      <c r="U661" s="1180"/>
      <c r="V661" s="1180"/>
      <c r="W661" s="1180"/>
      <c r="X661" s="1180"/>
      <c r="Y661" s="1180"/>
      <c r="Z661" s="1181"/>
      <c r="AA661" s="1181"/>
      <c r="AB661" s="1181"/>
      <c r="AC661" s="1181"/>
      <c r="AD661" s="1184"/>
      <c r="AE661" s="1184"/>
      <c r="AF661" s="1184"/>
      <c r="AG661" s="1184"/>
      <c r="AH661" s="1184"/>
      <c r="AI661" s="1184"/>
      <c r="AJ661" s="1174"/>
      <c r="AK661" s="1174"/>
      <c r="AL661" s="1174"/>
      <c r="AM661" s="1174"/>
      <c r="AN661" s="1174"/>
      <c r="AO661" s="1185"/>
      <c r="AP661" s="1185"/>
      <c r="AQ661" s="1185"/>
      <c r="AR661" s="1185"/>
      <c r="AS661" s="1185"/>
      <c r="AT661" s="1174"/>
      <c r="AU661" s="1174"/>
    </row>
    <row r="662" s="570" customFormat="1" ht="16.5" customHeight="1" spans="1:91">
      <c r="A662" s="1172"/>
      <c r="B662" s="1172"/>
      <c r="C662" s="1172"/>
      <c r="D662" s="1172"/>
      <c r="E662" s="1172"/>
      <c r="F662" s="1172"/>
      <c r="G662" s="1172"/>
      <c r="H662" s="1172"/>
      <c r="I662" s="1172"/>
      <c r="J662" s="1172"/>
      <c r="K662" s="1172"/>
      <c r="L662" s="1172"/>
      <c r="M662" s="1172"/>
      <c r="N662" s="1172"/>
      <c r="O662" s="1172"/>
      <c r="Z662" s="1172"/>
      <c r="AA662" s="1172"/>
      <c r="AB662" s="1172"/>
      <c r="AC662" s="1172"/>
      <c r="AD662" s="1172"/>
      <c r="AE662" s="1172"/>
      <c r="AF662" s="1172"/>
      <c r="AG662" s="1172"/>
    </row>
    <row r="663" s="570" customFormat="1" ht="16.5" customHeight="1" spans="1:91">
      <c r="A663" s="1172"/>
      <c r="B663" s="1172"/>
      <c r="C663" s="1172"/>
      <c r="D663" s="1172"/>
      <c r="E663" s="1172"/>
      <c r="F663" s="1172"/>
      <c r="G663" s="1175" t="str">
        <f>PeriodOd&amp;" ="</f>
        <v>01.01.2025 =</v>
      </c>
      <c r="H663" s="1175"/>
      <c r="I663" s="1175"/>
      <c r="J663" s="1175"/>
      <c r="K663" s="1175"/>
      <c r="L663" s="1175"/>
      <c r="M663" s="1175"/>
      <c r="N663" s="1175"/>
      <c r="O663" s="1175"/>
      <c r="P663" s="1176">
        <f>AD403</f>
        <v>47</v>
      </c>
      <c r="Q663" s="1176"/>
      <c r="R663" s="1176"/>
      <c r="S663" s="1176"/>
      <c r="T663" s="1176"/>
      <c r="U663" s="1176"/>
      <c r="V663" s="1176"/>
      <c r="W663" s="1176"/>
      <c r="X663" s="1176"/>
      <c r="Y663" s="1176"/>
      <c r="Z663" s="1181" t="s">
        <v>7649</v>
      </c>
      <c r="AA663" s="1181"/>
      <c r="AB663" s="1181"/>
      <c r="AC663" s="1181"/>
      <c r="AD663" s="1184">
        <f>P663/P664</f>
        <v>0.000160719476117403</v>
      </c>
      <c r="AE663" s="1184"/>
      <c r="AF663" s="1184"/>
      <c r="AG663" s="1184"/>
      <c r="AH663" s="1184"/>
      <c r="AI663" s="1184"/>
    </row>
    <row r="664" s="570" customFormat="1" ht="16.5" customHeight="1" spans="1:91">
      <c r="A664" s="1172"/>
      <c r="B664" s="1172"/>
      <c r="C664" s="1172"/>
      <c r="D664" s="1172"/>
      <c r="E664" s="1172"/>
      <c r="F664" s="1172"/>
      <c r="G664" s="1175"/>
      <c r="H664" s="1175"/>
      <c r="I664" s="1175"/>
      <c r="J664" s="1175"/>
      <c r="K664" s="1175"/>
      <c r="L664" s="1175"/>
      <c r="M664" s="1175"/>
      <c r="N664" s="1175"/>
      <c r="O664" s="1175"/>
      <c r="P664" s="1180">
        <f>B_Stanja!AP135+0.00001</f>
        <v>292435.00001</v>
      </c>
      <c r="Q664" s="1180"/>
      <c r="R664" s="1180"/>
      <c r="S664" s="1180"/>
      <c r="T664" s="1180"/>
      <c r="U664" s="1180"/>
      <c r="V664" s="1180"/>
      <c r="W664" s="1180"/>
      <c r="X664" s="1180"/>
      <c r="Y664" s="1180"/>
      <c r="Z664" s="1181"/>
      <c r="AA664" s="1181"/>
      <c r="AB664" s="1181"/>
      <c r="AC664" s="1181"/>
      <c r="AD664" s="1184"/>
      <c r="AE664" s="1184"/>
      <c r="AF664" s="1184"/>
      <c r="AG664" s="1184"/>
      <c r="AH664" s="1184"/>
      <c r="AI664" s="1184"/>
    </row>
    <row r="665" s="1" customFormat="1" ht="12" customHeight="1" spans="1:91">
      <c r="A665" s="906" t="str">
        <f ca="1">IFERROR("Na dan "&amp;Baza!C14&amp;".godine za plaćanje svakih 100 KM kratkoročnih obaveza, preduzeće ima "&amp;ROUND(AD660*100,2)&amp;" KM novčanih sredstava 31.12."&amp;PoslGod-1&amp;". godine, za ovu namjenu imalo je na raspolaganju "&amp;ROUND(AD663*100,2)&amp;" KM u novčanim sredstvima.",0)</f>
        <v>Na dan 31.12.2025.godine za plaćanje svakih 100 KM kratkoročnih obaveza, preduzeće ima 0,8 KM novčanih sredstava 31.12.2024. godine, za ovu namjenu imalo je na raspolaganju 0,02 KM u novčanim sredstvima.</v>
      </c>
      <c r="B665" s="906"/>
      <c r="C665" s="906"/>
      <c r="D665" s="906"/>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6"/>
      <c r="AG665" s="906"/>
      <c r="AH665" s="906"/>
      <c r="AI665" s="906"/>
      <c r="AJ665" s="906"/>
      <c r="AK665" s="906"/>
      <c r="AL665" s="906"/>
      <c r="AM665" s="906"/>
      <c r="AN665" s="906"/>
      <c r="AO665" s="906"/>
      <c r="AP665" s="906"/>
      <c r="AQ665" s="906"/>
      <c r="AR665" s="906"/>
      <c r="AS665" s="906"/>
      <c r="AT665" s="906"/>
    </row>
    <row r="666" s="1" customFormat="1" ht="16.5" customHeight="1" spans="1:91">
      <c r="A666" s="906"/>
      <c r="B666" s="906"/>
      <c r="C666" s="906"/>
      <c r="D666" s="906"/>
      <c r="E666" s="906"/>
      <c r="F666" s="906"/>
      <c r="G666" s="906"/>
      <c r="H666" s="906"/>
      <c r="I666" s="906"/>
      <c r="J666" s="906"/>
      <c r="K666" s="906"/>
      <c r="L666" s="906"/>
      <c r="M666" s="906"/>
      <c r="N666" s="906"/>
      <c r="O666" s="906"/>
      <c r="P666" s="906"/>
      <c r="Q666" s="906"/>
      <c r="R666" s="906"/>
      <c r="S666" s="906"/>
      <c r="T666" s="906"/>
      <c r="U666" s="906"/>
      <c r="V666" s="906"/>
      <c r="W666" s="906"/>
      <c r="X666" s="906"/>
      <c r="Y666" s="906"/>
      <c r="Z666" s="906"/>
      <c r="AA666" s="906"/>
      <c r="AB666" s="906"/>
      <c r="AC666" s="906"/>
      <c r="AD666" s="906"/>
      <c r="AE666" s="906"/>
      <c r="AF666" s="906"/>
      <c r="AG666" s="906"/>
      <c r="AH666" s="906"/>
      <c r="AI666" s="906"/>
      <c r="AJ666" s="906"/>
      <c r="AK666" s="906"/>
      <c r="AL666" s="906"/>
      <c r="AM666" s="906"/>
      <c r="AN666" s="906"/>
      <c r="AO666" s="906"/>
      <c r="AP666" s="906"/>
      <c r="AQ666" s="906"/>
      <c r="AR666" s="906"/>
      <c r="AS666" s="906"/>
      <c r="AT666" s="906"/>
    </row>
    <row r="667" s="1" customFormat="1" ht="16.5" customHeight="1" spans="1:91">
      <c r="A667" s="906"/>
      <c r="B667" s="906"/>
      <c r="C667" s="906"/>
      <c r="D667" s="906"/>
      <c r="E667" s="906"/>
      <c r="F667" s="906"/>
      <c r="G667" s="906"/>
      <c r="H667" s="906"/>
      <c r="I667" s="906"/>
      <c r="J667" s="906"/>
      <c r="K667" s="906"/>
      <c r="L667" s="906"/>
      <c r="M667" s="906"/>
      <c r="N667" s="906"/>
      <c r="O667" s="906"/>
      <c r="P667" s="906"/>
      <c r="Q667" s="906"/>
      <c r="R667" s="906"/>
      <c r="S667" s="906"/>
      <c r="T667" s="906"/>
      <c r="U667" s="906"/>
      <c r="V667" s="906"/>
      <c r="W667" s="906"/>
      <c r="X667" s="906"/>
      <c r="Y667" s="906"/>
      <c r="Z667" s="906"/>
      <c r="AA667" s="906"/>
      <c r="AB667" s="906"/>
      <c r="AC667" s="906"/>
      <c r="AD667" s="906"/>
      <c r="AE667" s="906"/>
      <c r="AF667" s="906"/>
      <c r="AG667" s="906"/>
      <c r="AH667" s="906"/>
      <c r="AI667" s="906"/>
      <c r="AJ667" s="906"/>
      <c r="AK667" s="906"/>
      <c r="AL667" s="906"/>
      <c r="AM667" s="906"/>
      <c r="AN667" s="906"/>
      <c r="AO667" s="906"/>
      <c r="AP667" s="906"/>
      <c r="AQ667" s="906"/>
      <c r="AR667" s="906"/>
      <c r="AS667" s="906"/>
      <c r="AT667" s="906"/>
    </row>
    <row r="668" s="1" customFormat="1" ht="16.5" customHeight="1" spans="1:91">
      <c r="A668" s="907" t="str">
        <f>IFERROR("Ovaj pokazatelj je "&amp;AJ660&amp;" u odnosu na prošlu godinu za "&amp;ROUND(AO660,1)&amp;"%",0)&amp;"."</f>
        <v>Ovaj pokazatelj je POVEĆAN u odnosu na prošlu godinu za 4892,1%.</v>
      </c>
      <c r="B668" s="907"/>
      <c r="C668" s="907"/>
      <c r="D668" s="907"/>
      <c r="E668" s="907"/>
      <c r="F668" s="907"/>
      <c r="G668" s="907"/>
      <c r="H668" s="907"/>
      <c r="I668" s="907"/>
      <c r="J668" s="907"/>
      <c r="K668" s="907"/>
      <c r="L668" s="907"/>
      <c r="M668" s="907"/>
      <c r="N668" s="907"/>
      <c r="O668" s="907"/>
      <c r="P668" s="907"/>
      <c r="Q668" s="907"/>
      <c r="R668" s="907"/>
      <c r="S668" s="907"/>
      <c r="T668" s="907"/>
      <c r="U668" s="907"/>
      <c r="V668" s="907"/>
      <c r="W668" s="907"/>
      <c r="X668" s="907"/>
      <c r="Y668" s="907"/>
      <c r="Z668" s="907"/>
      <c r="AA668" s="907"/>
      <c r="AB668" s="907"/>
      <c r="AC668" s="907"/>
      <c r="AD668" s="907"/>
      <c r="AE668" s="907"/>
      <c r="AF668" s="907"/>
      <c r="AG668" s="907"/>
      <c r="AH668" s="907"/>
      <c r="AI668" s="907"/>
      <c r="AJ668" s="907"/>
      <c r="AK668" s="907"/>
      <c r="AL668" s="907"/>
      <c r="AM668" s="907"/>
      <c r="AN668" s="907"/>
      <c r="AO668" s="907"/>
      <c r="AP668" s="907"/>
      <c r="AQ668" s="907"/>
      <c r="AR668" s="907"/>
      <c r="AS668" s="907"/>
      <c r="AT668" s="907"/>
    </row>
    <row r="669" s="1" customFormat="1" ht="16.5" customHeight="1" spans="1:91">
      <c r="A669" s="906" t="s">
        <v>7657</v>
      </c>
      <c r="B669" s="906"/>
      <c r="C669" s="906"/>
      <c r="D669" s="906"/>
      <c r="E669" s="906"/>
      <c r="F669" s="906"/>
      <c r="G669" s="906"/>
      <c r="H669" s="906"/>
      <c r="I669" s="906"/>
      <c r="J669" s="906"/>
      <c r="K669" s="906"/>
      <c r="L669" s="906"/>
      <c r="M669" s="906"/>
      <c r="N669" s="906"/>
      <c r="O669" s="906"/>
      <c r="P669" s="906"/>
      <c r="Q669" s="906"/>
      <c r="R669" s="906"/>
      <c r="S669" s="906"/>
      <c r="T669" s="906"/>
      <c r="U669" s="906"/>
      <c r="V669" s="906"/>
      <c r="W669" s="906"/>
      <c r="X669" s="906"/>
      <c r="Y669" s="906"/>
      <c r="Z669" s="906"/>
      <c r="AA669" s="906"/>
      <c r="AB669" s="906"/>
      <c r="AC669" s="906"/>
      <c r="AD669" s="906"/>
      <c r="AE669" s="906"/>
      <c r="AF669" s="906"/>
      <c r="AG669" s="906"/>
      <c r="AH669" s="906"/>
      <c r="AI669" s="906"/>
      <c r="AJ669" s="906"/>
      <c r="AK669" s="906"/>
      <c r="AL669" s="906"/>
      <c r="AM669" s="906"/>
      <c r="AN669" s="906"/>
      <c r="AO669" s="906"/>
      <c r="AP669" s="906"/>
      <c r="AQ669" s="906"/>
      <c r="AR669" s="906"/>
      <c r="AS669" s="906"/>
      <c r="AT669" s="906"/>
    </row>
    <row r="670" s="1" customFormat="1" ht="16.5" customHeight="1" spans="1:91">
      <c r="A670" s="906"/>
      <c r="B670" s="906"/>
      <c r="C670" s="906"/>
      <c r="D670" s="906"/>
      <c r="E670" s="906"/>
      <c r="F670" s="906"/>
      <c r="G670" s="906"/>
      <c r="H670" s="906"/>
      <c r="I670" s="906"/>
      <c r="J670" s="906"/>
      <c r="K670" s="906"/>
      <c r="L670" s="906"/>
      <c r="M670" s="906"/>
      <c r="N670" s="906"/>
      <c r="O670" s="906"/>
      <c r="P670" s="906"/>
      <c r="Q670" s="906"/>
      <c r="R670" s="906"/>
      <c r="S670" s="906"/>
      <c r="T670" s="906"/>
      <c r="U670" s="906"/>
      <c r="V670" s="906"/>
      <c r="W670" s="906"/>
      <c r="X670" s="906"/>
      <c r="Y670" s="906"/>
      <c r="Z670" s="906"/>
      <c r="AA670" s="906"/>
      <c r="AB670" s="906"/>
      <c r="AC670" s="906"/>
      <c r="AD670" s="906"/>
      <c r="AE670" s="906"/>
      <c r="AF670" s="906"/>
      <c r="AG670" s="906"/>
      <c r="AH670" s="906"/>
      <c r="AI670" s="906"/>
      <c r="AJ670" s="906"/>
      <c r="AK670" s="906"/>
      <c r="AL670" s="906"/>
      <c r="AM670" s="906"/>
      <c r="AN670" s="906"/>
      <c r="AO670" s="906"/>
      <c r="AP670" s="906"/>
      <c r="AQ670" s="906"/>
      <c r="AR670" s="906"/>
      <c r="AS670" s="906"/>
      <c r="AT670" s="906"/>
    </row>
    <row r="671" s="570" customFormat="1" ht="16.5" customHeight="1"/>
    <row r="672" s="570" customFormat="1" ht="16.5" customHeight="1"/>
    <row r="673" s="570" customFormat="1" ht="12" customHeight="1"/>
    <row r="674" s="570" customFormat="1" ht="16.5" customHeight="1" spans="1:91">
      <c r="A674" s="1167" t="s">
        <v>7658</v>
      </c>
      <c r="B674" s="1167"/>
      <c r="C674" s="1167"/>
      <c r="D674" s="1167"/>
      <c r="E674" s="1167"/>
      <c r="F674" s="1167"/>
      <c r="G674" s="1167"/>
      <c r="H674" s="1167"/>
      <c r="I674" s="1167"/>
      <c r="J674" s="1167"/>
      <c r="K674" s="1167"/>
      <c r="L674" s="1167"/>
      <c r="M674" s="1167"/>
      <c r="N674" s="1167"/>
      <c r="O674" s="1167"/>
      <c r="Q674" s="570" t="s">
        <v>7659</v>
      </c>
      <c r="Z674" s="1173"/>
      <c r="AA674" s="1173"/>
      <c r="AD674" s="1168" t="s">
        <v>7649</v>
      </c>
      <c r="AE674" s="1168"/>
      <c r="AF674" s="1168"/>
      <c r="AG674" s="1168"/>
      <c r="AH674" s="1170"/>
      <c r="AI674" s="1170"/>
    </row>
    <row r="675" s="570" customFormat="1" ht="16.5" customHeight="1" spans="1:91">
      <c r="A675" s="1167"/>
      <c r="B675" s="1167"/>
      <c r="C675" s="1167"/>
      <c r="D675" s="1167"/>
      <c r="E675" s="1167"/>
      <c r="F675" s="1167"/>
      <c r="G675" s="1167"/>
      <c r="H675" s="1167"/>
      <c r="I675" s="1167"/>
      <c r="J675" s="1167"/>
      <c r="K675" s="1167"/>
      <c r="L675" s="1167"/>
      <c r="M675" s="1167"/>
      <c r="N675" s="1167"/>
      <c r="O675" s="1167"/>
      <c r="P675" s="1171" t="s">
        <v>7660</v>
      </c>
      <c r="Q675" s="1171"/>
      <c r="R675" s="1171"/>
      <c r="S675" s="1171"/>
      <c r="T675" s="1171"/>
      <c r="U675" s="1171"/>
      <c r="V675" s="1171"/>
      <c r="W675" s="1171"/>
      <c r="X675" s="1171"/>
      <c r="Y675" s="1171"/>
      <c r="Z675" s="1186"/>
      <c r="AA675" s="1186"/>
      <c r="AB675" s="1171"/>
      <c r="AC675" s="1171"/>
      <c r="AD675" s="1168"/>
      <c r="AE675" s="1168"/>
      <c r="AF675" s="1168"/>
      <c r="AG675" s="1168"/>
      <c r="AH675" s="1170"/>
      <c r="AI675" s="1170"/>
    </row>
    <row r="676" s="570" customFormat="1" ht="16.5" customHeight="1" spans="1:91">
      <c r="A676" s="1187"/>
      <c r="B676" s="1187"/>
      <c r="C676" s="1187"/>
      <c r="D676" s="1187"/>
      <c r="E676" s="1187"/>
      <c r="F676" s="1187"/>
      <c r="G676" s="1187"/>
      <c r="H676" s="1187"/>
      <c r="I676" s="1187"/>
      <c r="J676" s="1187"/>
      <c r="K676" s="1187"/>
      <c r="L676" s="1187"/>
      <c r="M676" s="1187"/>
      <c r="N676" s="1187"/>
      <c r="O676" s="1187"/>
      <c r="Z676" s="1173"/>
      <c r="AA676" s="1173"/>
      <c r="AB676" s="1173"/>
      <c r="AC676" s="1173"/>
      <c r="AD676" s="1173"/>
      <c r="AE676" s="1173"/>
      <c r="AF676" s="1173"/>
      <c r="AG676" s="1173"/>
      <c r="AJ676" s="1174"/>
      <c r="AK676" s="1174"/>
      <c r="AL676" s="1174"/>
      <c r="AM676" s="1174"/>
      <c r="AN676" s="1174"/>
      <c r="AO676" s="1174"/>
      <c r="AP676" s="1174"/>
      <c r="AQ676" s="1174"/>
      <c r="AR676" s="1174"/>
      <c r="AS676" s="1174"/>
      <c r="AT676" s="1174"/>
      <c r="AU676" s="1174"/>
    </row>
    <row r="677" s="570" customFormat="1" ht="16.5" customHeight="1" spans="1:91">
      <c r="A677" s="1187"/>
      <c r="B677" s="1187"/>
      <c r="C677" s="1187"/>
      <c r="D677" s="1187"/>
      <c r="E677" s="1187"/>
      <c r="F677" s="1187"/>
      <c r="G677" s="1175" t="str">
        <f ca="1">PeriodDo&amp;" ="</f>
        <v>31.12.2025 =</v>
      </c>
      <c r="H677" s="1175"/>
      <c r="I677" s="1175"/>
      <c r="J677" s="1175"/>
      <c r="K677" s="1175"/>
      <c r="L677" s="1175"/>
      <c r="M677" s="1175"/>
      <c r="N677" s="1175"/>
      <c r="O677" s="1175"/>
      <c r="P677" s="1176">
        <f>R393</f>
        <v>22107</v>
      </c>
      <c r="Q677" s="1176"/>
      <c r="R677" s="1176"/>
      <c r="S677" s="1176"/>
      <c r="T677" s="1176"/>
      <c r="U677" s="1176"/>
      <c r="V677" s="1176"/>
      <c r="W677" s="1176"/>
      <c r="X677" s="1176"/>
      <c r="Y677" s="1176"/>
      <c r="Z677" s="1168" t="s">
        <v>7649</v>
      </c>
      <c r="AA677" s="1168"/>
      <c r="AB677" s="1168"/>
      <c r="AC677" s="1168"/>
      <c r="AD677" s="1177">
        <f>P677/P678</f>
        <v>0.0714823856540028</v>
      </c>
      <c r="AE677" s="1177"/>
      <c r="AF677" s="1177"/>
      <c r="AG677" s="1177"/>
      <c r="AH677" s="1177"/>
      <c r="AI677" s="1177"/>
      <c r="AJ677" s="570" t="str">
        <f>IF(AD677-AD680&gt;0,"POVEĆAN","SMANJEN")</f>
        <v>SMANJEN</v>
      </c>
      <c r="AK677" s="1174"/>
      <c r="AL677" s="1174"/>
      <c r="AM677" s="1174"/>
      <c r="AN677" s="1174"/>
      <c r="AO677" s="1178">
        <f>ROUND(IF(AD677/AD680&gt;1,AD677/AD680*100-100,100-(AD677/AD680*100)),1)</f>
        <v>77.5</v>
      </c>
      <c r="AP677" s="1178"/>
      <c r="AQ677" s="1178"/>
      <c r="AR677" s="1178"/>
      <c r="AS677" s="1178"/>
      <c r="AT677" s="1174" t="s">
        <v>20</v>
      </c>
      <c r="AU677" s="1174"/>
      <c r="CM677" s="1179"/>
    </row>
    <row r="678" s="570" customFormat="1" ht="16.5" customHeight="1" spans="1:91">
      <c r="A678" s="1187"/>
      <c r="B678" s="1187"/>
      <c r="C678" s="1187"/>
      <c r="D678" s="1187"/>
      <c r="E678" s="1187"/>
      <c r="F678" s="1187"/>
      <c r="G678" s="1175"/>
      <c r="H678" s="1175"/>
      <c r="I678" s="1175"/>
      <c r="J678" s="1175"/>
      <c r="K678" s="1175"/>
      <c r="L678" s="1175"/>
      <c r="M678" s="1175"/>
      <c r="N678" s="1175"/>
      <c r="O678" s="1175"/>
      <c r="P678" s="1180">
        <f>B_Stanja!AI115+B_Stanja!AI125+0.00001</f>
        <v>309265.00001</v>
      </c>
      <c r="Q678" s="1180"/>
      <c r="R678" s="1180"/>
      <c r="S678" s="1180"/>
      <c r="T678" s="1180"/>
      <c r="U678" s="1180"/>
      <c r="V678" s="1180"/>
      <c r="W678" s="1180"/>
      <c r="X678" s="1180"/>
      <c r="Y678" s="1180"/>
      <c r="Z678" s="1168"/>
      <c r="AA678" s="1168"/>
      <c r="AB678" s="1168"/>
      <c r="AC678" s="1168"/>
      <c r="AD678" s="1177"/>
      <c r="AE678" s="1177"/>
      <c r="AF678" s="1177"/>
      <c r="AG678" s="1177"/>
      <c r="AH678" s="1177"/>
      <c r="AI678" s="1177"/>
    </row>
    <row r="679" s="570" customFormat="1" ht="16.5" customHeight="1" spans="1:91">
      <c r="A679" s="1187"/>
      <c r="B679" s="1187"/>
      <c r="C679" s="1187"/>
      <c r="D679" s="1187"/>
      <c r="E679" s="1187"/>
      <c r="F679" s="1187"/>
      <c r="G679" s="1187"/>
      <c r="H679" s="1187"/>
      <c r="I679" s="1187"/>
      <c r="J679" s="1187"/>
      <c r="K679" s="1187"/>
      <c r="L679" s="1172"/>
      <c r="M679" s="1172"/>
      <c r="N679" s="1172"/>
      <c r="O679" s="1172"/>
      <c r="Z679" s="1173"/>
      <c r="AA679" s="1173"/>
      <c r="AB679" s="1173"/>
      <c r="AC679" s="1173"/>
      <c r="AD679" s="1173"/>
      <c r="AE679" s="1173"/>
      <c r="AF679" s="1173"/>
      <c r="AG679" s="1173"/>
    </row>
    <row r="680" s="570" customFormat="1" ht="16.5" customHeight="1" spans="1:91">
      <c r="A680" s="1187"/>
      <c r="B680" s="1187"/>
      <c r="C680" s="1187"/>
      <c r="D680" s="1187"/>
      <c r="E680" s="1187"/>
      <c r="F680" s="1187"/>
      <c r="G680" s="1175" t="str">
        <f>PeriodOd&amp;" ="</f>
        <v>01.01.2025 =</v>
      </c>
      <c r="H680" s="1175"/>
      <c r="I680" s="1175"/>
      <c r="J680" s="1175"/>
      <c r="K680" s="1175"/>
      <c r="L680" s="1175"/>
      <c r="M680" s="1175"/>
      <c r="N680" s="1175"/>
      <c r="O680" s="1175"/>
      <c r="P680" s="1176">
        <f>AD393</f>
        <v>151656</v>
      </c>
      <c r="Q680" s="1176"/>
      <c r="R680" s="1176"/>
      <c r="S680" s="1176"/>
      <c r="T680" s="1176"/>
      <c r="U680" s="1176"/>
      <c r="V680" s="1176"/>
      <c r="W680" s="1176"/>
      <c r="X680" s="1176"/>
      <c r="Y680" s="1176"/>
      <c r="Z680" s="1168" t="s">
        <v>7649</v>
      </c>
      <c r="AA680" s="1168"/>
      <c r="AB680" s="1168"/>
      <c r="AC680" s="1168"/>
      <c r="AD680" s="1177">
        <f>P680/P681</f>
        <v>0.318306796566278</v>
      </c>
      <c r="AE680" s="1177"/>
      <c r="AF680" s="1177"/>
      <c r="AG680" s="1177"/>
      <c r="AH680" s="1177"/>
      <c r="AI680" s="1177"/>
    </row>
    <row r="681" s="570" customFormat="1" ht="16.5" customHeight="1" spans="1:91">
      <c r="A681" s="1187"/>
      <c r="B681" s="1187"/>
      <c r="C681" s="1187"/>
      <c r="D681" s="1187"/>
      <c r="E681" s="1187"/>
      <c r="F681" s="1187"/>
      <c r="G681" s="1175"/>
      <c r="H681" s="1175"/>
      <c r="I681" s="1175"/>
      <c r="J681" s="1175"/>
      <c r="K681" s="1175"/>
      <c r="L681" s="1175"/>
      <c r="M681" s="1175"/>
      <c r="N681" s="1175"/>
      <c r="O681" s="1175"/>
      <c r="P681" s="1180">
        <f>B_Stanja!AP115+B_Stanja!AP125+0.00001</f>
        <v>476446.00001</v>
      </c>
      <c r="Q681" s="1180"/>
      <c r="R681" s="1180"/>
      <c r="S681" s="1180"/>
      <c r="T681" s="1180"/>
      <c r="U681" s="1180"/>
      <c r="V681" s="1180"/>
      <c r="W681" s="1180"/>
      <c r="X681" s="1180"/>
      <c r="Y681" s="1180"/>
      <c r="Z681" s="1168"/>
      <c r="AA681" s="1168"/>
      <c r="AB681" s="1168"/>
      <c r="AC681" s="1168"/>
      <c r="AD681" s="1177"/>
      <c r="AE681" s="1177"/>
      <c r="AF681" s="1177"/>
      <c r="AG681" s="1177"/>
      <c r="AH681" s="1177"/>
      <c r="AI681" s="1177"/>
    </row>
    <row r="682" s="1" customFormat="1" ht="15" customHeight="1" spans="1:91">
      <c r="A682" s="906" t="str">
        <f ca="1">IFERROR("Na dan "&amp;Baza!C14&amp;". preduzeće je sa "&amp;ROUND(AD677*100,2)&amp;" KM vlasničkog kapitala i dugoročnih obaveza finansiralo svakih 100 KM stalnih sredstava (dugoročne imovine), "&amp;PeriodOd&amp;". godine, za ovu namjenu imalo je "&amp;ROUND(AD680*100,2)&amp;" KM.",0)</f>
        <v>Na dan 31.12.2025. preduzeće je sa 7,15 KM vlasničkog kapitala i dugoročnih obaveza finansiralo svakih 100 KM stalnih sredstava (dugoročne imovine), 01.01.2025. godine, za ovu namjenu imalo je 31,83 KM.</v>
      </c>
      <c r="B682" s="906"/>
      <c r="C682" s="906"/>
      <c r="D682" s="906"/>
      <c r="E682" s="906"/>
      <c r="F682" s="906"/>
      <c r="G682" s="906"/>
      <c r="H682" s="906"/>
      <c r="I682" s="906"/>
      <c r="J682" s="906"/>
      <c r="K682" s="906"/>
      <c r="L682" s="906"/>
      <c r="M682" s="906"/>
      <c r="N682" s="906"/>
      <c r="O682" s="906"/>
      <c r="P682" s="906"/>
      <c r="Q682" s="906"/>
      <c r="R682" s="906"/>
      <c r="S682" s="906"/>
      <c r="T682" s="906"/>
      <c r="U682" s="906"/>
      <c r="V682" s="906"/>
      <c r="W682" s="906"/>
      <c r="X682" s="906"/>
      <c r="Y682" s="906"/>
      <c r="Z682" s="906"/>
      <c r="AA682" s="906"/>
      <c r="AB682" s="906"/>
      <c r="AC682" s="906"/>
      <c r="AD682" s="906"/>
      <c r="AE682" s="906"/>
      <c r="AF682" s="906"/>
      <c r="AG682" s="906"/>
      <c r="AH682" s="906"/>
      <c r="AI682" s="906"/>
      <c r="AJ682" s="906"/>
      <c r="AK682" s="906"/>
      <c r="AL682" s="906"/>
      <c r="AM682" s="906"/>
      <c r="AN682" s="906"/>
      <c r="AO682" s="906"/>
      <c r="AP682" s="906"/>
      <c r="AQ682" s="906"/>
      <c r="AR682" s="906"/>
      <c r="AS682" s="906"/>
      <c r="AT682" s="906"/>
    </row>
    <row r="683" s="1" customFormat="1" ht="16.5" customHeight="1" spans="1:91">
      <c r="A683" s="906"/>
      <c r="B683" s="906"/>
      <c r="C683" s="906"/>
      <c r="D683" s="906"/>
      <c r="E683" s="906"/>
      <c r="F683" s="906"/>
      <c r="G683" s="906"/>
      <c r="H683" s="906"/>
      <c r="I683" s="906"/>
      <c r="J683" s="906"/>
      <c r="K683" s="906"/>
      <c r="L683" s="906"/>
      <c r="M683" s="906"/>
      <c r="N683" s="906"/>
      <c r="O683" s="906"/>
      <c r="P683" s="906"/>
      <c r="Q683" s="906"/>
      <c r="R683" s="906"/>
      <c r="S683" s="906"/>
      <c r="T683" s="906"/>
      <c r="U683" s="906"/>
      <c r="V683" s="906"/>
      <c r="W683" s="906"/>
      <c r="X683" s="906"/>
      <c r="Y683" s="906"/>
      <c r="Z683" s="906"/>
      <c r="AA683" s="906"/>
      <c r="AB683" s="906"/>
      <c r="AC683" s="906"/>
      <c r="AD683" s="906"/>
      <c r="AE683" s="906"/>
      <c r="AF683" s="906"/>
      <c r="AG683" s="906"/>
      <c r="AH683" s="906"/>
      <c r="AI683" s="906"/>
      <c r="AJ683" s="906"/>
      <c r="AK683" s="906"/>
      <c r="AL683" s="906"/>
      <c r="AM683" s="906"/>
      <c r="AN683" s="906"/>
      <c r="AO683" s="906"/>
      <c r="AP683" s="906"/>
      <c r="AQ683" s="906"/>
      <c r="AR683" s="906"/>
      <c r="AS683" s="906"/>
      <c r="AT683" s="906"/>
    </row>
    <row r="684" s="1" customFormat="1" ht="16.5" customHeight="1" spans="1:91">
      <c r="A684" s="906"/>
      <c r="B684" s="906"/>
      <c r="C684" s="906"/>
      <c r="D684" s="906"/>
      <c r="E684" s="906"/>
      <c r="F684" s="906"/>
      <c r="G684" s="906"/>
      <c r="H684" s="906"/>
      <c r="I684" s="906"/>
      <c r="J684" s="906"/>
      <c r="K684" s="906"/>
      <c r="L684" s="906"/>
      <c r="M684" s="906"/>
      <c r="N684" s="906"/>
      <c r="O684" s="906"/>
      <c r="P684" s="906"/>
      <c r="Q684" s="906"/>
      <c r="R684" s="906"/>
      <c r="S684" s="906"/>
      <c r="T684" s="906"/>
      <c r="U684" s="906"/>
      <c r="V684" s="906"/>
      <c r="W684" s="906"/>
      <c r="X684" s="906"/>
      <c r="Y684" s="906"/>
      <c r="Z684" s="906"/>
      <c r="AA684" s="906"/>
      <c r="AB684" s="906"/>
      <c r="AC684" s="906"/>
      <c r="AD684" s="906"/>
      <c r="AE684" s="906"/>
      <c r="AF684" s="906"/>
      <c r="AG684" s="906"/>
      <c r="AH684" s="906"/>
      <c r="AI684" s="906"/>
      <c r="AJ684" s="906"/>
      <c r="AK684" s="906"/>
      <c r="AL684" s="906"/>
      <c r="AM684" s="906"/>
      <c r="AN684" s="906"/>
      <c r="AO684" s="906"/>
      <c r="AP684" s="906"/>
      <c r="AQ684" s="906"/>
      <c r="AR684" s="906"/>
      <c r="AS684" s="906"/>
      <c r="AT684" s="906"/>
    </row>
    <row r="685" s="1" customFormat="1" ht="16.5" customHeight="1" spans="1:91">
      <c r="A685" s="907" t="str">
        <f>IFERROR("Ovaj pokazatelj je "&amp;AJ677&amp;" u odnosu na prošlu godinu za "&amp;ROUND(AO677,1)&amp;"%",0)&amp;"."</f>
        <v>Ovaj pokazatelj je SMANJEN u odnosu na prošlu godinu za 77,5%.</v>
      </c>
      <c r="B685" s="907"/>
      <c r="C685" s="907"/>
      <c r="D685" s="907"/>
      <c r="E685" s="907"/>
      <c r="F685" s="907"/>
      <c r="G685" s="907"/>
      <c r="H685" s="907"/>
      <c r="I685" s="907"/>
      <c r="J685" s="907"/>
      <c r="K685" s="907"/>
      <c r="L685" s="907"/>
      <c r="M685" s="907"/>
      <c r="N685" s="907"/>
      <c r="O685" s="907"/>
      <c r="P685" s="907"/>
      <c r="Q685" s="907"/>
      <c r="R685" s="907"/>
      <c r="S685" s="907"/>
      <c r="T685" s="907"/>
      <c r="U685" s="907"/>
      <c r="V685" s="907"/>
      <c r="W685" s="907"/>
      <c r="X685" s="907"/>
      <c r="Y685" s="907"/>
      <c r="Z685" s="907"/>
      <c r="AA685" s="907"/>
      <c r="AB685" s="907"/>
      <c r="AC685" s="907"/>
      <c r="AD685" s="907"/>
      <c r="AE685" s="907"/>
      <c r="AF685" s="907"/>
      <c r="AG685" s="907"/>
      <c r="AH685" s="907"/>
      <c r="AI685" s="907"/>
      <c r="AJ685" s="907"/>
      <c r="AK685" s="907"/>
      <c r="AL685" s="907"/>
      <c r="AM685" s="907"/>
      <c r="AN685" s="907"/>
      <c r="AO685" s="907"/>
      <c r="AP685" s="907"/>
      <c r="AQ685" s="907"/>
      <c r="AR685" s="907"/>
      <c r="AS685" s="907"/>
      <c r="AT685" s="907"/>
    </row>
    <row r="686" s="1" customFormat="1" ht="16.5" customHeight="1" spans="1:91">
      <c r="A686" s="906" t="s">
        <v>7661</v>
      </c>
      <c r="B686" s="906"/>
      <c r="C686" s="906"/>
      <c r="D686" s="906"/>
      <c r="E686" s="906"/>
      <c r="F686" s="906"/>
      <c r="G686" s="906"/>
      <c r="H686" s="906"/>
      <c r="I686" s="906"/>
      <c r="J686" s="906"/>
      <c r="K686" s="906"/>
      <c r="L686" s="906"/>
      <c r="M686" s="906"/>
      <c r="N686" s="906"/>
      <c r="O686" s="906"/>
      <c r="P686" s="906"/>
      <c r="Q686" s="906"/>
      <c r="R686" s="906"/>
      <c r="S686" s="906"/>
      <c r="T686" s="906"/>
      <c r="U686" s="906"/>
      <c r="V686" s="906"/>
      <c r="W686" s="906"/>
      <c r="X686" s="906"/>
      <c r="Y686" s="906"/>
      <c r="Z686" s="906"/>
      <c r="AA686" s="906"/>
      <c r="AB686" s="906"/>
      <c r="AC686" s="906"/>
      <c r="AD686" s="906"/>
      <c r="AE686" s="906"/>
      <c r="AF686" s="906"/>
      <c r="AG686" s="906"/>
      <c r="AH686" s="906"/>
      <c r="AI686" s="906"/>
      <c r="AJ686" s="906"/>
      <c r="AK686" s="906"/>
      <c r="AL686" s="906"/>
      <c r="AM686" s="906"/>
      <c r="AN686" s="906"/>
      <c r="AO686" s="906"/>
      <c r="AP686" s="906"/>
      <c r="AQ686" s="906"/>
      <c r="AR686" s="906"/>
      <c r="AS686" s="906"/>
      <c r="AT686" s="906"/>
    </row>
    <row r="687" s="1" customFormat="1" ht="16.5" customHeight="1" spans="1:91">
      <c r="A687" s="906"/>
      <c r="B687" s="906"/>
      <c r="C687" s="906"/>
      <c r="D687" s="906"/>
      <c r="E687" s="906"/>
      <c r="F687" s="906"/>
      <c r="G687" s="906"/>
      <c r="H687" s="906"/>
      <c r="I687" s="906"/>
      <c r="J687" s="906"/>
      <c r="K687" s="906"/>
      <c r="L687" s="906"/>
      <c r="M687" s="906"/>
      <c r="N687" s="906"/>
      <c r="O687" s="906"/>
      <c r="P687" s="906"/>
      <c r="Q687" s="906"/>
      <c r="R687" s="906"/>
      <c r="S687" s="906"/>
      <c r="T687" s="906"/>
      <c r="U687" s="906"/>
      <c r="V687" s="906"/>
      <c r="W687" s="906"/>
      <c r="X687" s="906"/>
      <c r="Y687" s="906"/>
      <c r="Z687" s="906"/>
      <c r="AA687" s="906"/>
      <c r="AB687" s="906"/>
      <c r="AC687" s="906"/>
      <c r="AD687" s="906"/>
      <c r="AE687" s="906"/>
      <c r="AF687" s="906"/>
      <c r="AG687" s="906"/>
      <c r="AH687" s="906"/>
      <c r="AI687" s="906"/>
      <c r="AJ687" s="906"/>
      <c r="AK687" s="906"/>
      <c r="AL687" s="906"/>
      <c r="AM687" s="906"/>
      <c r="AN687" s="906"/>
      <c r="AO687" s="906"/>
      <c r="AP687" s="906"/>
      <c r="AQ687" s="906"/>
      <c r="AR687" s="906"/>
      <c r="AS687" s="906"/>
      <c r="AT687" s="906"/>
    </row>
    <row r="688" s="1" customFormat="1" ht="16.5" customHeight="1" spans="1:91">
      <c r="A688" s="906"/>
      <c r="B688" s="906"/>
      <c r="C688" s="906"/>
      <c r="D688" s="906"/>
      <c r="E688" s="906"/>
      <c r="F688" s="906"/>
      <c r="G688" s="906"/>
      <c r="H688" s="906"/>
      <c r="I688" s="906"/>
      <c r="J688" s="906"/>
      <c r="K688" s="906"/>
      <c r="L688" s="906"/>
      <c r="M688" s="906"/>
      <c r="N688" s="906"/>
      <c r="O688" s="906"/>
      <c r="P688" s="906"/>
      <c r="Q688" s="906"/>
      <c r="R688" s="906"/>
      <c r="S688" s="906"/>
      <c r="T688" s="906"/>
      <c r="U688" s="906"/>
      <c r="V688" s="906"/>
      <c r="W688" s="906"/>
      <c r="X688" s="906"/>
      <c r="Y688" s="906"/>
      <c r="Z688" s="906"/>
      <c r="AA688" s="906"/>
      <c r="AB688" s="906"/>
      <c r="AC688" s="906"/>
      <c r="AD688" s="906"/>
      <c r="AE688" s="906"/>
      <c r="AF688" s="906"/>
      <c r="AG688" s="906"/>
      <c r="AH688" s="906"/>
      <c r="AI688" s="906"/>
      <c r="AJ688" s="906"/>
      <c r="AK688" s="906"/>
      <c r="AL688" s="906"/>
      <c r="AM688" s="906"/>
      <c r="AN688" s="906"/>
      <c r="AO688" s="906"/>
      <c r="AP688" s="906"/>
      <c r="AQ688" s="906"/>
      <c r="AR688" s="906"/>
      <c r="AS688" s="906"/>
      <c r="AT688" s="906"/>
    </row>
    <row r="689" s="570" customFormat="1" ht="16.5" customHeight="1"/>
    <row r="690" s="570" customFormat="1" ht="18.75" customHeight="1" spans="1:91">
      <c r="D690" s="1166" t="s">
        <v>7451</v>
      </c>
      <c r="AO690" s="570" t="s">
        <v>4636</v>
      </c>
    </row>
    <row r="691" s="570" customFormat="1" ht="16.5" customHeight="1"/>
    <row r="692" s="570" customFormat="1" ht="16.5" customHeight="1" spans="1:91">
      <c r="A692" s="1167" t="s">
        <v>7662</v>
      </c>
      <c r="B692" s="1167"/>
      <c r="C692" s="1167"/>
      <c r="D692" s="1167"/>
      <c r="E692" s="1167"/>
      <c r="F692" s="1167"/>
      <c r="G692" s="1167"/>
      <c r="H692" s="1167"/>
      <c r="I692" s="1167"/>
      <c r="J692" s="1167"/>
      <c r="K692" s="1167"/>
      <c r="L692" s="1167"/>
      <c r="M692" s="1167"/>
      <c r="N692" s="1167"/>
      <c r="O692" s="1167"/>
      <c r="Q692" s="570" t="s">
        <v>7663</v>
      </c>
      <c r="Z692" s="1168" t="s">
        <v>7649</v>
      </c>
      <c r="AA692" s="1168"/>
      <c r="AB692" s="1168"/>
      <c r="AC692" s="1168"/>
      <c r="AD692" s="1169"/>
      <c r="AE692" s="1169"/>
      <c r="AF692" s="1169"/>
      <c r="AG692" s="1169"/>
      <c r="AH692" s="1170"/>
      <c r="AI692" s="1170"/>
    </row>
    <row r="693" s="570" customFormat="1" ht="16.5" customHeight="1" spans="1:91">
      <c r="A693" s="1167"/>
      <c r="B693" s="1167"/>
      <c r="C693" s="1167"/>
      <c r="D693" s="1167"/>
      <c r="E693" s="1167"/>
      <c r="F693" s="1167"/>
      <c r="G693" s="1167"/>
      <c r="H693" s="1167"/>
      <c r="I693" s="1167"/>
      <c r="J693" s="1167"/>
      <c r="K693" s="1167"/>
      <c r="L693" s="1167"/>
      <c r="M693" s="1167"/>
      <c r="N693" s="1167"/>
      <c r="O693" s="1167"/>
      <c r="P693" s="1171"/>
      <c r="Q693" s="1171" t="s">
        <v>7664</v>
      </c>
      <c r="R693" s="1171"/>
      <c r="S693" s="1171"/>
      <c r="T693" s="1171"/>
      <c r="U693" s="1171"/>
      <c r="V693" s="1171"/>
      <c r="W693" s="1171"/>
      <c r="X693" s="1171"/>
      <c r="Y693" s="1171"/>
      <c r="Z693" s="1168"/>
      <c r="AA693" s="1168"/>
      <c r="AB693" s="1168"/>
      <c r="AC693" s="1168"/>
      <c r="AD693" s="1169"/>
      <c r="AE693" s="1169"/>
      <c r="AF693" s="1169"/>
      <c r="AG693" s="1169"/>
      <c r="AH693" s="1170"/>
      <c r="AI693" s="1170"/>
    </row>
    <row r="694" s="570" customFormat="1" ht="16.5" customHeight="1" spans="1:91">
      <c r="A694" s="1172"/>
      <c r="B694" s="1172"/>
      <c r="C694" s="1172"/>
      <c r="D694" s="1172"/>
      <c r="E694" s="1172"/>
      <c r="F694" s="1172"/>
      <c r="G694" s="1172"/>
      <c r="H694" s="1172"/>
      <c r="I694" s="1172"/>
      <c r="J694" s="1172"/>
      <c r="K694" s="1172"/>
      <c r="L694" s="1172"/>
      <c r="M694" s="1172"/>
      <c r="N694" s="1172"/>
      <c r="O694" s="1172"/>
      <c r="Z694" s="1173"/>
      <c r="AA694" s="1173"/>
      <c r="AB694" s="1173"/>
      <c r="AC694" s="1173"/>
      <c r="AD694" s="1173"/>
      <c r="AE694" s="1173"/>
      <c r="AF694" s="1173"/>
      <c r="AG694" s="1173"/>
      <c r="AJ694" s="1174"/>
      <c r="AK694" s="1174"/>
      <c r="AL694" s="1174"/>
      <c r="AM694" s="1174"/>
      <c r="AN694" s="1174"/>
      <c r="AO694" s="1174"/>
      <c r="AP694" s="1174"/>
      <c r="AQ694" s="1174"/>
      <c r="AR694" s="1174"/>
      <c r="AS694" s="1174"/>
      <c r="AT694" s="1174"/>
      <c r="AU694" s="1174"/>
    </row>
    <row r="695" s="570" customFormat="1" ht="16.5" customHeight="1" spans="1:91">
      <c r="A695" s="1172"/>
      <c r="B695" s="1172"/>
      <c r="C695" s="1172"/>
      <c r="D695" s="1172"/>
      <c r="E695" s="1172"/>
      <c r="F695" s="1172"/>
      <c r="G695" s="1175" t="str">
        <f ca="1">PeriodDo&amp;" ="</f>
        <v>31.12.2025 =</v>
      </c>
      <c r="H695" s="1175"/>
      <c r="I695" s="1175"/>
      <c r="J695" s="1175"/>
      <c r="K695" s="1175"/>
      <c r="L695" s="1175"/>
      <c r="M695" s="1175"/>
      <c r="N695" s="1175"/>
      <c r="O695" s="1175"/>
      <c r="P695" s="1176">
        <f>B_Stanja!AI125+B_Stanja!AI135</f>
        <v>290034</v>
      </c>
      <c r="Q695" s="1176"/>
      <c r="R695" s="1176"/>
      <c r="S695" s="1176"/>
      <c r="T695" s="1176"/>
      <c r="U695" s="1176"/>
      <c r="V695" s="1176"/>
      <c r="W695" s="1176"/>
      <c r="X695" s="1176"/>
      <c r="Y695" s="1176"/>
      <c r="Z695" s="1168" t="s">
        <v>7649</v>
      </c>
      <c r="AA695" s="1168"/>
      <c r="AB695" s="1168"/>
      <c r="AC695" s="1168"/>
      <c r="AD695" s="1177">
        <f>IFERROR(P695/P696,0)</f>
        <v>0.483955421169741</v>
      </c>
      <c r="AE695" s="1177"/>
      <c r="AF695" s="1177"/>
      <c r="AG695" s="1177"/>
      <c r="AH695" s="1177"/>
      <c r="AI695" s="1177"/>
      <c r="AJ695" s="570" t="str">
        <f>IF(AD695-AD698&gt;0,"POVEĆAN","SMANJEN")</f>
        <v>POVEĆAN</v>
      </c>
      <c r="AK695" s="1174"/>
      <c r="AL695" s="1174"/>
      <c r="AM695" s="1174"/>
      <c r="AN695" s="1174"/>
      <c r="AO695" s="1178">
        <f>ROUND(IF(AD695/AD698&gt;1,AD695/AD698*100-100,100-(AD695/AD698*100)),1)</f>
        <v>20.4</v>
      </c>
      <c r="AP695" s="1178"/>
      <c r="AQ695" s="1178"/>
      <c r="AR695" s="1178"/>
      <c r="AS695" s="1178"/>
      <c r="AT695" s="1174" t="s">
        <v>20</v>
      </c>
      <c r="AU695" s="1174"/>
      <c r="CM695" s="1179"/>
    </row>
    <row r="696" s="570" customFormat="1" ht="16.5" customHeight="1" spans="1:91">
      <c r="A696" s="1172"/>
      <c r="B696" s="1172"/>
      <c r="C696" s="1172"/>
      <c r="D696" s="1172"/>
      <c r="E696" s="1172"/>
      <c r="F696" s="1172"/>
      <c r="G696" s="1175"/>
      <c r="H696" s="1175"/>
      <c r="I696" s="1175"/>
      <c r="J696" s="1175"/>
      <c r="K696" s="1175"/>
      <c r="L696" s="1175"/>
      <c r="M696" s="1175"/>
      <c r="N696" s="1175"/>
      <c r="O696" s="1175"/>
      <c r="P696" s="1180">
        <f>B_Stanja!AI83+0.0001</f>
        <v>599299.0001</v>
      </c>
      <c r="Q696" s="1180"/>
      <c r="R696" s="1180"/>
      <c r="S696" s="1180"/>
      <c r="T696" s="1180"/>
      <c r="U696" s="1180"/>
      <c r="V696" s="1180"/>
      <c r="W696" s="1180"/>
      <c r="X696" s="1180"/>
      <c r="Y696" s="1180"/>
      <c r="Z696" s="1168"/>
      <c r="AA696" s="1168"/>
      <c r="AB696" s="1168"/>
      <c r="AC696" s="1168"/>
      <c r="AD696" s="1177"/>
      <c r="AE696" s="1177"/>
      <c r="AF696" s="1177"/>
      <c r="AG696" s="1177"/>
      <c r="AH696" s="1177"/>
      <c r="AI696" s="1177"/>
      <c r="AJ696" s="1174"/>
      <c r="AK696" s="1174"/>
      <c r="AL696" s="1174"/>
      <c r="AM696" s="1174"/>
      <c r="AN696" s="1174"/>
      <c r="AO696" s="1185"/>
      <c r="AP696" s="1185"/>
      <c r="AQ696" s="1185"/>
      <c r="AR696" s="1185"/>
      <c r="AS696" s="1185"/>
      <c r="AT696" s="1174"/>
      <c r="AU696" s="1174"/>
    </row>
    <row r="697" s="570" customFormat="1" ht="16.5" customHeight="1" spans="1:91">
      <c r="A697" s="1172"/>
      <c r="B697" s="1172"/>
      <c r="C697" s="1172"/>
      <c r="D697" s="1172"/>
      <c r="E697" s="1172"/>
      <c r="F697" s="1172"/>
      <c r="G697" s="1172"/>
      <c r="H697" s="1172"/>
      <c r="I697" s="1172"/>
      <c r="J697" s="1172"/>
      <c r="K697" s="1172"/>
      <c r="L697" s="1172"/>
      <c r="M697" s="1172"/>
      <c r="N697" s="1172"/>
      <c r="O697" s="1172"/>
      <c r="Z697" s="1173"/>
      <c r="AA697" s="1173"/>
      <c r="AB697" s="1173"/>
      <c r="AC697" s="1173"/>
      <c r="AD697" s="1173"/>
      <c r="AE697" s="1173"/>
      <c r="AF697" s="1173"/>
      <c r="AG697" s="1173"/>
    </row>
    <row r="698" s="570" customFormat="1" ht="16.5" customHeight="1" spans="1:91">
      <c r="A698" s="1172"/>
      <c r="B698" s="1172"/>
      <c r="C698" s="1172"/>
      <c r="D698" s="1172"/>
      <c r="E698" s="1172"/>
      <c r="F698" s="1172"/>
      <c r="G698" s="1175" t="str">
        <f>PeriodOd&amp;" ="</f>
        <v>01.01.2025 =</v>
      </c>
      <c r="H698" s="1175"/>
      <c r="I698" s="1175"/>
      <c r="J698" s="1175"/>
      <c r="K698" s="1175"/>
      <c r="L698" s="1175"/>
      <c r="M698" s="1175"/>
      <c r="N698" s="1175"/>
      <c r="O698" s="1175"/>
      <c r="P698" s="1176">
        <f>B_Stanja!AP125+B_Stanja!AP135</f>
        <v>309113</v>
      </c>
      <c r="Q698" s="1176"/>
      <c r="R698" s="1176"/>
      <c r="S698" s="1176"/>
      <c r="T698" s="1176"/>
      <c r="U698" s="1176"/>
      <c r="V698" s="1176"/>
      <c r="W698" s="1176"/>
      <c r="X698" s="1176"/>
      <c r="Y698" s="1176"/>
      <c r="Z698" s="1168" t="s">
        <v>7649</v>
      </c>
      <c r="AA698" s="1168"/>
      <c r="AB698" s="1168"/>
      <c r="AC698" s="1168"/>
      <c r="AD698" s="1177">
        <f>IFERROR(P698/P699,0)</f>
        <v>0.402029702900683</v>
      </c>
      <c r="AE698" s="1177"/>
      <c r="AF698" s="1177"/>
      <c r="AG698" s="1177"/>
      <c r="AH698" s="1177"/>
      <c r="AI698" s="1177"/>
    </row>
    <row r="699" s="570" customFormat="1" ht="16.5" customHeight="1" spans="1:91">
      <c r="A699" s="1172"/>
      <c r="B699" s="1172"/>
      <c r="C699" s="1172"/>
      <c r="D699" s="1172"/>
      <c r="E699" s="1172"/>
      <c r="F699" s="1172"/>
      <c r="G699" s="1175"/>
      <c r="H699" s="1175"/>
      <c r="I699" s="1175"/>
      <c r="J699" s="1175"/>
      <c r="K699" s="1175"/>
      <c r="L699" s="1175"/>
      <c r="M699" s="1175"/>
      <c r="N699" s="1175"/>
      <c r="O699" s="1175"/>
      <c r="P699" s="1180">
        <f>B_Stanja!AP83+0.00001</f>
        <v>768881.00001</v>
      </c>
      <c r="Q699" s="1180"/>
      <c r="R699" s="1180"/>
      <c r="S699" s="1180"/>
      <c r="T699" s="1180"/>
      <c r="U699" s="1180"/>
      <c r="V699" s="1180"/>
      <c r="W699" s="1180"/>
      <c r="X699" s="1180"/>
      <c r="Y699" s="1180"/>
      <c r="Z699" s="1168"/>
      <c r="AA699" s="1168"/>
      <c r="AB699" s="1168"/>
      <c r="AC699" s="1168"/>
      <c r="AD699" s="1177"/>
      <c r="AE699" s="1177"/>
      <c r="AF699" s="1177"/>
      <c r="AG699" s="1177"/>
      <c r="AH699" s="1177"/>
      <c r="AI699" s="1177"/>
    </row>
    <row r="700" s="1" customFormat="1" ht="16.5" customHeight="1" spans="1:91">
      <c r="A700" s="906" t="str">
        <f ca="1">IFERROR("Na dan "&amp;Baza!C14&amp;".godine, ukupna imovina finansirana je iz tuđih sredstava sa "&amp;ROUND(AD695*100,2)&amp;"% ili sa "&amp;TEXT(P695,"#.## [$KM-141A]")&amp;". "&amp;PeriodOd&amp;". godine, zaduženost je bila "&amp;ROUND(AD698*100,2)&amp;"%.",0)</f>
        <v>Na dan 31.12.2025.godine, ukupna imovina finansirana je iz tuđih sredstava sa 48,4% ili sa 290.034 KM. 01.01.2025. godine, zaduženost je bila 40,2%.</v>
      </c>
      <c r="B700" s="906"/>
      <c r="C700" s="906"/>
      <c r="D700" s="906"/>
      <c r="E700" s="906"/>
      <c r="F700" s="906"/>
      <c r="G700" s="906"/>
      <c r="H700" s="906"/>
      <c r="I700" s="906"/>
      <c r="J700" s="906"/>
      <c r="K700" s="906"/>
      <c r="L700" s="906"/>
      <c r="M700" s="906"/>
      <c r="N700" s="906"/>
      <c r="O700" s="906"/>
      <c r="P700" s="906"/>
      <c r="Q700" s="906"/>
      <c r="R700" s="906"/>
      <c r="S700" s="906"/>
      <c r="T700" s="906"/>
      <c r="U700" s="906"/>
      <c r="V700" s="906"/>
      <c r="W700" s="906"/>
      <c r="X700" s="906"/>
      <c r="Y700" s="906"/>
      <c r="Z700" s="906"/>
      <c r="AA700" s="906"/>
      <c r="AB700" s="906"/>
      <c r="AC700" s="906"/>
      <c r="AD700" s="906"/>
      <c r="AE700" s="906"/>
      <c r="AF700" s="906"/>
      <c r="AG700" s="906"/>
      <c r="AH700" s="906"/>
      <c r="AI700" s="906"/>
      <c r="AJ700" s="906"/>
      <c r="AK700" s="906"/>
      <c r="AL700" s="906"/>
      <c r="AM700" s="906"/>
      <c r="AN700" s="906"/>
      <c r="AO700" s="906"/>
      <c r="AP700" s="906"/>
      <c r="AQ700" s="906"/>
      <c r="AR700" s="906"/>
      <c r="AS700" s="906"/>
      <c r="AT700" s="906"/>
    </row>
    <row r="701" s="1" customFormat="1" ht="16.5" customHeight="1" spans="1:91">
      <c r="A701" s="906"/>
      <c r="B701" s="906"/>
      <c r="C701" s="906"/>
      <c r="D701" s="906"/>
      <c r="E701" s="906"/>
      <c r="F701" s="906"/>
      <c r="G701" s="906"/>
      <c r="H701" s="906"/>
      <c r="I701" s="906"/>
      <c r="J701" s="906"/>
      <c r="K701" s="906"/>
      <c r="L701" s="906"/>
      <c r="M701" s="906"/>
      <c r="N701" s="906"/>
      <c r="O701" s="906"/>
      <c r="P701" s="906"/>
      <c r="Q701" s="906"/>
      <c r="R701" s="906"/>
      <c r="S701" s="906"/>
      <c r="T701" s="906"/>
      <c r="U701" s="906"/>
      <c r="V701" s="906"/>
      <c r="W701" s="906"/>
      <c r="X701" s="906"/>
      <c r="Y701" s="906"/>
      <c r="Z701" s="906"/>
      <c r="AA701" s="906"/>
      <c r="AB701" s="906"/>
      <c r="AC701" s="906"/>
      <c r="AD701" s="906"/>
      <c r="AE701" s="906"/>
      <c r="AF701" s="906"/>
      <c r="AG701" s="906"/>
      <c r="AH701" s="906"/>
      <c r="AI701" s="906"/>
      <c r="AJ701" s="906"/>
      <c r="AK701" s="906"/>
      <c r="AL701" s="906"/>
      <c r="AM701" s="906"/>
      <c r="AN701" s="906"/>
      <c r="AO701" s="906"/>
      <c r="AP701" s="906"/>
      <c r="AQ701" s="906"/>
      <c r="AR701" s="906"/>
      <c r="AS701" s="906"/>
      <c r="AT701" s="906"/>
    </row>
    <row r="702" s="1" customFormat="1" ht="16.5" customHeight="1" spans="1:91">
      <c r="A702" s="906"/>
      <c r="B702" s="906"/>
      <c r="C702" s="906"/>
      <c r="D702" s="906"/>
      <c r="E702" s="906"/>
      <c r="F702" s="906"/>
      <c r="G702" s="906"/>
      <c r="H702" s="906"/>
      <c r="I702" s="906"/>
      <c r="J702" s="906"/>
      <c r="K702" s="906"/>
      <c r="L702" s="906"/>
      <c r="M702" s="906"/>
      <c r="N702" s="906"/>
      <c r="O702" s="906"/>
      <c r="P702" s="906"/>
      <c r="Q702" s="906"/>
      <c r="R702" s="906"/>
      <c r="S702" s="906"/>
      <c r="T702" s="906"/>
      <c r="U702" s="906"/>
      <c r="V702" s="906"/>
      <c r="W702" s="906"/>
      <c r="X702" s="906"/>
      <c r="Y702" s="906"/>
      <c r="Z702" s="906"/>
      <c r="AA702" s="906"/>
      <c r="AB702" s="906"/>
      <c r="AC702" s="906"/>
      <c r="AD702" s="906"/>
      <c r="AE702" s="906"/>
      <c r="AF702" s="906"/>
      <c r="AG702" s="906"/>
      <c r="AH702" s="906"/>
      <c r="AI702" s="906"/>
      <c r="AJ702" s="906"/>
      <c r="AK702" s="906"/>
      <c r="AL702" s="906"/>
      <c r="AM702" s="906"/>
      <c r="AN702" s="906"/>
      <c r="AO702" s="906"/>
      <c r="AP702" s="906"/>
      <c r="AQ702" s="906"/>
      <c r="AR702" s="906"/>
      <c r="AS702" s="906"/>
      <c r="AT702" s="906"/>
    </row>
    <row r="703" s="1" customFormat="1" ht="16.5" customHeight="1" spans="1:91">
      <c r="A703" s="907" t="str">
        <f>IFERROR("Ovaj pokazatelj je "&amp;AJ695&amp;" u odnosu na prošlu godinu za "&amp;ROUND(AO695,1)&amp;"%",0)&amp;"."</f>
        <v>Ovaj pokazatelj je POVEĆAN u odnosu na prošlu godinu za 20,4%.</v>
      </c>
      <c r="B703" s="907"/>
      <c r="C703" s="907"/>
      <c r="D703" s="907"/>
      <c r="E703" s="907"/>
      <c r="F703" s="907"/>
      <c r="G703" s="907"/>
      <c r="H703" s="907"/>
      <c r="I703" s="907"/>
      <c r="J703" s="907"/>
      <c r="K703" s="907"/>
      <c r="L703" s="907"/>
      <c r="M703" s="907"/>
      <c r="N703" s="907"/>
      <c r="O703" s="907"/>
      <c r="P703" s="907"/>
      <c r="Q703" s="907"/>
      <c r="R703" s="907"/>
      <c r="S703" s="907"/>
      <c r="T703" s="907"/>
      <c r="U703" s="907"/>
      <c r="V703" s="907"/>
      <c r="W703" s="907"/>
      <c r="X703" s="907"/>
      <c r="Y703" s="907"/>
      <c r="Z703" s="907"/>
      <c r="AA703" s="907"/>
      <c r="AB703" s="907"/>
      <c r="AC703" s="907"/>
      <c r="AD703" s="907"/>
      <c r="AE703" s="907"/>
      <c r="AF703" s="907"/>
      <c r="AG703" s="907"/>
      <c r="AH703" s="907"/>
      <c r="AI703" s="907"/>
      <c r="AJ703" s="907"/>
      <c r="AK703" s="907"/>
      <c r="AL703" s="907"/>
      <c r="AM703" s="907"/>
      <c r="AN703" s="907"/>
      <c r="AO703" s="907"/>
      <c r="AP703" s="907"/>
      <c r="AQ703" s="907"/>
      <c r="AR703" s="907"/>
      <c r="AS703" s="907"/>
      <c r="AT703" s="907"/>
    </row>
    <row r="704" s="1" customFormat="1" ht="16.5" customHeight="1" spans="1:91">
      <c r="A704" s="906" t="s">
        <v>7665</v>
      </c>
      <c r="B704" s="906"/>
      <c r="C704" s="906"/>
      <c r="D704" s="906"/>
      <c r="E704" s="906"/>
      <c r="F704" s="906"/>
      <c r="G704" s="906"/>
      <c r="H704" s="906"/>
      <c r="I704" s="906"/>
      <c r="J704" s="906"/>
      <c r="K704" s="906"/>
      <c r="L704" s="906"/>
      <c r="M704" s="906"/>
      <c r="N704" s="906"/>
      <c r="O704" s="906"/>
      <c r="P704" s="906"/>
      <c r="Q704" s="906"/>
      <c r="R704" s="906"/>
      <c r="S704" s="906"/>
      <c r="T704" s="906"/>
      <c r="U704" s="906"/>
      <c r="V704" s="906"/>
      <c r="W704" s="906"/>
      <c r="X704" s="906"/>
      <c r="Y704" s="906"/>
      <c r="Z704" s="906"/>
      <c r="AA704" s="906"/>
      <c r="AB704" s="906"/>
      <c r="AC704" s="906"/>
      <c r="AD704" s="906"/>
      <c r="AE704" s="906"/>
      <c r="AF704" s="906"/>
      <c r="AG704" s="906"/>
      <c r="AH704" s="906"/>
      <c r="AI704" s="906"/>
      <c r="AJ704" s="906"/>
      <c r="AK704" s="906"/>
      <c r="AL704" s="906"/>
      <c r="AM704" s="906"/>
      <c r="AN704" s="906"/>
      <c r="AO704" s="906"/>
      <c r="AP704" s="906"/>
      <c r="AQ704" s="906"/>
      <c r="AR704" s="906"/>
      <c r="AS704" s="906"/>
      <c r="AT704" s="906"/>
    </row>
    <row r="705" s="1" customFormat="1" ht="16.5" customHeight="1" spans="1:91">
      <c r="A705" s="906"/>
      <c r="B705" s="906"/>
      <c r="C705" s="906"/>
      <c r="D705" s="906"/>
      <c r="E705" s="906"/>
      <c r="F705" s="906"/>
      <c r="G705" s="906"/>
      <c r="H705" s="906"/>
      <c r="I705" s="906"/>
      <c r="J705" s="906"/>
      <c r="K705" s="906"/>
      <c r="L705" s="906"/>
      <c r="M705" s="906"/>
      <c r="N705" s="906"/>
      <c r="O705" s="906"/>
      <c r="P705" s="906"/>
      <c r="Q705" s="906"/>
      <c r="R705" s="906"/>
      <c r="S705" s="906"/>
      <c r="T705" s="906"/>
      <c r="U705" s="906"/>
      <c r="V705" s="906"/>
      <c r="W705" s="906"/>
      <c r="X705" s="906"/>
      <c r="Y705" s="906"/>
      <c r="Z705" s="906"/>
      <c r="AA705" s="906"/>
      <c r="AB705" s="906"/>
      <c r="AC705" s="906"/>
      <c r="AD705" s="906"/>
      <c r="AE705" s="906"/>
      <c r="AF705" s="906"/>
      <c r="AG705" s="906"/>
      <c r="AH705" s="906"/>
      <c r="AI705" s="906"/>
      <c r="AJ705" s="906"/>
      <c r="AK705" s="906"/>
      <c r="AL705" s="906"/>
      <c r="AM705" s="906"/>
      <c r="AN705" s="906"/>
      <c r="AO705" s="906"/>
      <c r="AP705" s="906"/>
      <c r="AQ705" s="906"/>
      <c r="AR705" s="906"/>
      <c r="AS705" s="906"/>
      <c r="AT705" s="906"/>
    </row>
    <row r="706" s="1" customFormat="1" ht="16.5" customHeight="1" spans="1:91">
      <c r="A706" s="906"/>
      <c r="B706" s="906"/>
      <c r="C706" s="906"/>
      <c r="D706" s="906"/>
      <c r="E706" s="906"/>
      <c r="F706" s="906"/>
      <c r="G706" s="906"/>
      <c r="H706" s="906"/>
      <c r="I706" s="906"/>
      <c r="J706" s="906"/>
      <c r="K706" s="906"/>
      <c r="L706" s="906"/>
      <c r="M706" s="906"/>
      <c r="N706" s="906"/>
      <c r="O706" s="906"/>
      <c r="P706" s="906"/>
      <c r="Q706" s="906"/>
      <c r="R706" s="906"/>
      <c r="S706" s="906"/>
      <c r="T706" s="906"/>
      <c r="U706" s="906"/>
      <c r="V706" s="906"/>
      <c r="W706" s="906"/>
      <c r="X706" s="906"/>
      <c r="Y706" s="906"/>
      <c r="Z706" s="906"/>
      <c r="AA706" s="906"/>
      <c r="AB706" s="906"/>
      <c r="AC706" s="906"/>
      <c r="AD706" s="906"/>
      <c r="AE706" s="906"/>
      <c r="AF706" s="906"/>
      <c r="AG706" s="906"/>
      <c r="AH706" s="906"/>
      <c r="AI706" s="906"/>
      <c r="AJ706" s="906"/>
      <c r="AK706" s="906"/>
      <c r="AL706" s="906"/>
      <c r="AM706" s="906"/>
      <c r="AN706" s="906"/>
      <c r="AO706" s="906"/>
      <c r="AP706" s="906"/>
      <c r="AQ706" s="906"/>
      <c r="AR706" s="906"/>
      <c r="AS706" s="906"/>
      <c r="AT706" s="906"/>
    </row>
    <row r="707" s="1" customFormat="1" ht="16.5" customHeight="1" spans="1:91">
      <c r="A707" s="906"/>
      <c r="B707" s="906"/>
      <c r="C707" s="906"/>
      <c r="D707" s="906"/>
      <c r="E707" s="906"/>
      <c r="F707" s="906"/>
      <c r="G707" s="906"/>
      <c r="H707" s="906"/>
      <c r="I707" s="906"/>
      <c r="J707" s="906"/>
      <c r="K707" s="906"/>
      <c r="L707" s="906"/>
      <c r="M707" s="906"/>
      <c r="N707" s="906"/>
      <c r="O707" s="906"/>
      <c r="P707" s="906"/>
      <c r="Q707" s="906"/>
      <c r="R707" s="906"/>
      <c r="S707" s="906"/>
      <c r="T707" s="906"/>
      <c r="U707" s="906"/>
      <c r="V707" s="906"/>
      <c r="W707" s="906"/>
      <c r="X707" s="906"/>
      <c r="Y707" s="906"/>
      <c r="Z707" s="906"/>
      <c r="AA707" s="906"/>
      <c r="AB707" s="906"/>
      <c r="AC707" s="906"/>
      <c r="AD707" s="906"/>
      <c r="AE707" s="906"/>
      <c r="AF707" s="906"/>
      <c r="AG707" s="906"/>
      <c r="AH707" s="906"/>
      <c r="AI707" s="906"/>
      <c r="AJ707" s="906"/>
      <c r="AK707" s="906"/>
      <c r="AL707" s="906"/>
      <c r="AM707" s="906"/>
      <c r="AN707" s="906"/>
      <c r="AO707" s="906"/>
      <c r="AP707" s="906"/>
      <c r="AQ707" s="906"/>
      <c r="AR707" s="906"/>
      <c r="AS707" s="906"/>
      <c r="AT707" s="906"/>
    </row>
    <row r="708" s="570" customFormat="1" ht="16.5" customHeight="1"/>
    <row r="709" s="570" customFormat="1" ht="16.5" customHeight="1" spans="1:91">
      <c r="A709" s="1167" t="s">
        <v>7666</v>
      </c>
      <c r="B709" s="1167"/>
      <c r="C709" s="1167"/>
      <c r="D709" s="1167"/>
      <c r="E709" s="1167"/>
      <c r="F709" s="1167"/>
      <c r="G709" s="1167"/>
      <c r="H709" s="1167"/>
      <c r="I709" s="1167"/>
      <c r="J709" s="1167"/>
      <c r="K709" s="1167"/>
      <c r="L709" s="1167"/>
      <c r="M709" s="1167"/>
      <c r="N709" s="1167"/>
      <c r="O709" s="1167"/>
      <c r="Q709" s="570" t="s">
        <v>7667</v>
      </c>
      <c r="Z709" s="1168" t="s">
        <v>7649</v>
      </c>
      <c r="AA709" s="1168"/>
      <c r="AB709" s="1168"/>
      <c r="AC709" s="1168"/>
      <c r="AD709" s="1169"/>
      <c r="AE709" s="1169"/>
      <c r="AF709" s="1169"/>
      <c r="AG709" s="1169"/>
      <c r="AH709" s="1170"/>
      <c r="AI709" s="1170"/>
    </row>
    <row r="710" s="570" customFormat="1" ht="16.5" customHeight="1" spans="1:91">
      <c r="A710" s="1167"/>
      <c r="B710" s="1167"/>
      <c r="C710" s="1167"/>
      <c r="D710" s="1167"/>
      <c r="E710" s="1167"/>
      <c r="F710" s="1167"/>
      <c r="G710" s="1167"/>
      <c r="H710" s="1167"/>
      <c r="I710" s="1167"/>
      <c r="J710" s="1167"/>
      <c r="K710" s="1167"/>
      <c r="L710" s="1167"/>
      <c r="M710" s="1167"/>
      <c r="N710" s="1167"/>
      <c r="O710" s="1167"/>
      <c r="P710" s="1171"/>
      <c r="Q710" s="1171" t="s">
        <v>7664</v>
      </c>
      <c r="R710" s="1171"/>
      <c r="S710" s="1171"/>
      <c r="T710" s="1171"/>
      <c r="U710" s="1171"/>
      <c r="V710" s="1171"/>
      <c r="W710" s="1171"/>
      <c r="X710" s="1171"/>
      <c r="Y710" s="1171"/>
      <c r="Z710" s="1168"/>
      <c r="AA710" s="1168"/>
      <c r="AB710" s="1168"/>
      <c r="AC710" s="1168"/>
      <c r="AD710" s="1169"/>
      <c r="AE710" s="1169"/>
      <c r="AF710" s="1169"/>
      <c r="AG710" s="1169"/>
      <c r="AH710" s="1170"/>
      <c r="AI710" s="1170"/>
    </row>
    <row r="711" s="570" customFormat="1" ht="16.5" customHeight="1" spans="1:91">
      <c r="A711" s="1172"/>
      <c r="B711" s="1172"/>
      <c r="C711" s="1172"/>
      <c r="D711" s="1172"/>
      <c r="E711" s="1172"/>
      <c r="F711" s="1172"/>
      <c r="G711" s="1172"/>
      <c r="H711" s="1172"/>
      <c r="I711" s="1172"/>
      <c r="J711" s="1172"/>
      <c r="K711" s="1172"/>
      <c r="L711" s="1172"/>
      <c r="M711" s="1172"/>
      <c r="N711" s="1172"/>
      <c r="O711" s="1172"/>
      <c r="Z711" s="1173"/>
      <c r="AA711" s="1173"/>
      <c r="AB711" s="1173"/>
      <c r="AC711" s="1173"/>
      <c r="AD711" s="1173"/>
      <c r="AE711" s="1173"/>
      <c r="AF711" s="1173"/>
      <c r="AG711" s="1173"/>
      <c r="AJ711" s="1174"/>
      <c r="AK711" s="1174"/>
      <c r="AL711" s="1174"/>
      <c r="AM711" s="1174"/>
      <c r="AN711" s="1174"/>
      <c r="AO711" s="1174"/>
      <c r="AP711" s="1174"/>
      <c r="AQ711" s="1174"/>
      <c r="AR711" s="1174"/>
      <c r="AS711" s="1174"/>
      <c r="AT711" s="1174"/>
      <c r="AU711" s="1174"/>
    </row>
    <row r="712" s="570" customFormat="1" ht="16.5" customHeight="1" spans="1:91">
      <c r="A712" s="1172"/>
      <c r="B712" s="1172"/>
      <c r="C712" s="1172"/>
      <c r="D712" s="1172"/>
      <c r="E712" s="1172"/>
      <c r="F712" s="1172"/>
      <c r="G712" s="1175" t="str">
        <f ca="1">PeriodDo&amp;" ="</f>
        <v>31.12.2025 =</v>
      </c>
      <c r="H712" s="1175"/>
      <c r="I712" s="1175"/>
      <c r="J712" s="1175"/>
      <c r="K712" s="1175"/>
      <c r="L712" s="1175"/>
      <c r="M712" s="1175"/>
      <c r="N712" s="1175"/>
      <c r="O712" s="1175"/>
      <c r="P712" s="1176">
        <f>B_Stanja!AI115</f>
        <v>309265</v>
      </c>
      <c r="Q712" s="1176"/>
      <c r="R712" s="1176"/>
      <c r="S712" s="1176"/>
      <c r="T712" s="1176"/>
      <c r="U712" s="1176"/>
      <c r="V712" s="1176"/>
      <c r="W712" s="1176"/>
      <c r="X712" s="1176"/>
      <c r="Y712" s="1176"/>
      <c r="Z712" s="1168" t="s">
        <v>7649</v>
      </c>
      <c r="AA712" s="1168"/>
      <c r="AB712" s="1168"/>
      <c r="AC712" s="1168"/>
      <c r="AD712" s="1177">
        <f>IFERROR(P712/P713,0)</f>
        <v>0.516044578663398</v>
      </c>
      <c r="AE712" s="1177"/>
      <c r="AF712" s="1177"/>
      <c r="AG712" s="1177"/>
      <c r="AH712" s="1177"/>
      <c r="AI712" s="1177"/>
      <c r="AJ712" s="570" t="str">
        <f>IF(AD712-AD715&gt;0,"POVEĆAN","SMANJEN")</f>
        <v>SMANJEN</v>
      </c>
      <c r="AK712" s="1174"/>
      <c r="AL712" s="1174"/>
      <c r="AM712" s="1174"/>
      <c r="AN712" s="1174"/>
      <c r="AO712" s="1178">
        <f>ROUND(IF(AD712/AD715&gt;1,AD712/AD715*100-100,100-(AD712/AD715*100)),1)</f>
        <v>13.7</v>
      </c>
      <c r="AP712" s="1178"/>
      <c r="AQ712" s="1178"/>
      <c r="AR712" s="1178"/>
      <c r="AS712" s="1178"/>
      <c r="AT712" s="1174" t="s">
        <v>20</v>
      </c>
      <c r="AU712" s="1174"/>
      <c r="CM712" s="1179"/>
    </row>
    <row r="713" s="570" customFormat="1" ht="16.5" customHeight="1" spans="1:91">
      <c r="A713" s="1172"/>
      <c r="B713" s="1172"/>
      <c r="C713" s="1172"/>
      <c r="D713" s="1172"/>
      <c r="E713" s="1172"/>
      <c r="F713" s="1172"/>
      <c r="G713" s="1175"/>
      <c r="H713" s="1175"/>
      <c r="I713" s="1175"/>
      <c r="J713" s="1175"/>
      <c r="K713" s="1175"/>
      <c r="L713" s="1175"/>
      <c r="M713" s="1175"/>
      <c r="N713" s="1175"/>
      <c r="O713" s="1175"/>
      <c r="P713" s="1180">
        <f>B_Stanja!AI83+0.0001</f>
        <v>599299.0001</v>
      </c>
      <c r="Q713" s="1180"/>
      <c r="R713" s="1180"/>
      <c r="S713" s="1180"/>
      <c r="T713" s="1180"/>
      <c r="U713" s="1180"/>
      <c r="V713" s="1180"/>
      <c r="W713" s="1180"/>
      <c r="X713" s="1180"/>
      <c r="Y713" s="1180"/>
      <c r="Z713" s="1168"/>
      <c r="AA713" s="1168"/>
      <c r="AB713" s="1168"/>
      <c r="AC713" s="1168"/>
      <c r="AD713" s="1177"/>
      <c r="AE713" s="1177"/>
      <c r="AF713" s="1177"/>
      <c r="AG713" s="1177"/>
      <c r="AH713" s="1177"/>
      <c r="AI713" s="1177"/>
      <c r="AJ713" s="1174"/>
      <c r="AK713" s="1174"/>
      <c r="AL713" s="1174"/>
      <c r="AM713" s="1174"/>
      <c r="AN713" s="1174"/>
      <c r="AO713" s="1185"/>
      <c r="AP713" s="1185"/>
      <c r="AQ713" s="1185"/>
      <c r="AR713" s="1185"/>
      <c r="AS713" s="1185"/>
      <c r="AT713" s="1174"/>
      <c r="AU713" s="1174"/>
    </row>
    <row r="714" s="570" customFormat="1" ht="16.5" customHeight="1" spans="1:91">
      <c r="A714" s="1172"/>
      <c r="B714" s="1172"/>
      <c r="C714" s="1172"/>
      <c r="D714" s="1172"/>
      <c r="E714" s="1172"/>
      <c r="F714" s="1172"/>
      <c r="G714" s="1172"/>
      <c r="H714" s="1172"/>
      <c r="I714" s="1172"/>
      <c r="J714" s="1172"/>
      <c r="K714" s="1172"/>
      <c r="L714" s="1172"/>
      <c r="M714" s="1172"/>
      <c r="N714" s="1172"/>
      <c r="O714" s="1172"/>
      <c r="Z714" s="1173"/>
      <c r="AA714" s="1173"/>
      <c r="AB714" s="1173"/>
      <c r="AC714" s="1173"/>
      <c r="AD714" s="1173"/>
      <c r="AE714" s="1173"/>
      <c r="AF714" s="1173"/>
      <c r="AG714" s="1173"/>
    </row>
    <row r="715" s="570" customFormat="1" ht="16.5" customHeight="1" spans="1:91">
      <c r="A715" s="1172"/>
      <c r="B715" s="1172"/>
      <c r="C715" s="1172"/>
      <c r="D715" s="1172"/>
      <c r="E715" s="1172"/>
      <c r="F715" s="1172"/>
      <c r="G715" s="1175" t="str">
        <f>PeriodOd&amp;" ="</f>
        <v>01.01.2025 =</v>
      </c>
      <c r="H715" s="1175"/>
      <c r="I715" s="1175"/>
      <c r="J715" s="1175"/>
      <c r="K715" s="1175"/>
      <c r="L715" s="1175"/>
      <c r="M715" s="1175"/>
      <c r="N715" s="1175"/>
      <c r="O715" s="1175"/>
      <c r="P715" s="1176">
        <f>B_Stanja!AP115</f>
        <v>459768</v>
      </c>
      <c r="Q715" s="1176"/>
      <c r="R715" s="1176"/>
      <c r="S715" s="1176"/>
      <c r="T715" s="1176"/>
      <c r="U715" s="1176"/>
      <c r="V715" s="1176"/>
      <c r="W715" s="1176"/>
      <c r="X715" s="1176"/>
      <c r="Y715" s="1176"/>
      <c r="Z715" s="1168" t="s">
        <v>7649</v>
      </c>
      <c r="AA715" s="1168"/>
      <c r="AB715" s="1168"/>
      <c r="AC715" s="1168"/>
      <c r="AD715" s="1177">
        <f>IFERROR(P715/P716,0)</f>
        <v>0.597970297086312</v>
      </c>
      <c r="AE715" s="1177"/>
      <c r="AF715" s="1177"/>
      <c r="AG715" s="1177"/>
      <c r="AH715" s="1177"/>
      <c r="AI715" s="1177"/>
    </row>
    <row r="716" s="570" customFormat="1" ht="16.5" customHeight="1" spans="1:91">
      <c r="A716" s="1172"/>
      <c r="B716" s="1172"/>
      <c r="C716" s="1172"/>
      <c r="D716" s="1172"/>
      <c r="E716" s="1172"/>
      <c r="F716" s="1172"/>
      <c r="G716" s="1175"/>
      <c r="H716" s="1175"/>
      <c r="I716" s="1175"/>
      <c r="J716" s="1175"/>
      <c r="K716" s="1175"/>
      <c r="L716" s="1175"/>
      <c r="M716" s="1175"/>
      <c r="N716" s="1175"/>
      <c r="O716" s="1175"/>
      <c r="P716" s="1180">
        <f>B_Stanja!AP83+0.00001</f>
        <v>768881.00001</v>
      </c>
      <c r="Q716" s="1180"/>
      <c r="R716" s="1180"/>
      <c r="S716" s="1180"/>
      <c r="T716" s="1180"/>
      <c r="U716" s="1180"/>
      <c r="V716" s="1180"/>
      <c r="W716" s="1180"/>
      <c r="X716" s="1180"/>
      <c r="Y716" s="1180"/>
      <c r="Z716" s="1168"/>
      <c r="AA716" s="1168"/>
      <c r="AB716" s="1168"/>
      <c r="AC716" s="1168"/>
      <c r="AD716" s="1177"/>
      <c r="AE716" s="1177"/>
      <c r="AF716" s="1177"/>
      <c r="AG716" s="1177"/>
      <c r="AH716" s="1177"/>
      <c r="AI716" s="1177"/>
    </row>
    <row r="717" s="1" customFormat="1" ht="16.5" customHeight="1" spans="1:91">
      <c r="A717" s="906" t="str">
        <f ca="1">IFERROR("Na dan "&amp;Baza!C14&amp;". godine, ukupna imovina finansirana je iz vlastitih sredstava sa "&amp;ROUND(AD712*100,2)&amp;"% ili sa "&amp;TEXT(P712,"#.## [$KM-141A]")&amp;". 31.12."&amp;PoslGod-1&amp;". godine, vlastito finansiranje je bila "&amp;ROUND(AD715*100,2)&amp;"%.",0)</f>
        <v>Na dan 31.12.2025. godine, ukupna imovina finansirana je iz vlastitih sredstava sa 51,6% ili sa 309.265 KM. 31.12.2024. godine, vlastito finansiranje je bila 59,8%.</v>
      </c>
      <c r="B717" s="906"/>
      <c r="C717" s="906"/>
      <c r="D717" s="906"/>
      <c r="E717" s="906"/>
      <c r="F717" s="906"/>
      <c r="G717" s="906"/>
      <c r="H717" s="906"/>
      <c r="I717" s="906"/>
      <c r="J717" s="906"/>
      <c r="K717" s="906"/>
      <c r="L717" s="906"/>
      <c r="M717" s="906"/>
      <c r="N717" s="906"/>
      <c r="O717" s="906"/>
      <c r="P717" s="906"/>
      <c r="Q717" s="906"/>
      <c r="R717" s="906"/>
      <c r="S717" s="906"/>
      <c r="T717" s="906"/>
      <c r="U717" s="906"/>
      <c r="V717" s="906"/>
      <c r="W717" s="906"/>
      <c r="X717" s="906"/>
      <c r="Y717" s="906"/>
      <c r="Z717" s="906"/>
      <c r="AA717" s="906"/>
      <c r="AB717" s="906"/>
      <c r="AC717" s="906"/>
      <c r="AD717" s="906"/>
      <c r="AE717" s="906"/>
      <c r="AF717" s="906"/>
      <c r="AG717" s="906"/>
      <c r="AH717" s="906"/>
      <c r="AI717" s="906"/>
      <c r="AJ717" s="906"/>
      <c r="AK717" s="906"/>
      <c r="AL717" s="906"/>
      <c r="AM717" s="906"/>
      <c r="AN717" s="906"/>
      <c r="AO717" s="906"/>
      <c r="AP717" s="906"/>
      <c r="AQ717" s="906"/>
      <c r="AR717" s="906"/>
      <c r="AS717" s="906"/>
      <c r="AT717" s="906"/>
    </row>
    <row r="718" s="1" customFormat="1" ht="16.5" customHeight="1" spans="1:91">
      <c r="A718" s="906"/>
      <c r="B718" s="906"/>
      <c r="C718" s="906"/>
      <c r="D718" s="906"/>
      <c r="E718" s="906"/>
      <c r="F718" s="906"/>
      <c r="G718" s="906"/>
      <c r="H718" s="906"/>
      <c r="I718" s="906"/>
      <c r="J718" s="906"/>
      <c r="K718" s="906"/>
      <c r="L718" s="906"/>
      <c r="M718" s="906"/>
      <c r="N718" s="906"/>
      <c r="O718" s="906"/>
      <c r="P718" s="906"/>
      <c r="Q718" s="906"/>
      <c r="R718" s="906"/>
      <c r="S718" s="906"/>
      <c r="T718" s="906"/>
      <c r="U718" s="906"/>
      <c r="V718" s="906"/>
      <c r="W718" s="906"/>
      <c r="X718" s="906"/>
      <c r="Y718" s="906"/>
      <c r="Z718" s="906"/>
      <c r="AA718" s="906"/>
      <c r="AB718" s="906"/>
      <c r="AC718" s="906"/>
      <c r="AD718" s="906"/>
      <c r="AE718" s="906"/>
      <c r="AF718" s="906"/>
      <c r="AG718" s="906"/>
      <c r="AH718" s="906"/>
      <c r="AI718" s="906"/>
      <c r="AJ718" s="906"/>
      <c r="AK718" s="906"/>
      <c r="AL718" s="906"/>
      <c r="AM718" s="906"/>
      <c r="AN718" s="906"/>
      <c r="AO718" s="906"/>
      <c r="AP718" s="906"/>
      <c r="AQ718" s="906"/>
      <c r="AR718" s="906"/>
      <c r="AS718" s="906"/>
      <c r="AT718" s="906"/>
    </row>
    <row r="719" s="1" customFormat="1" ht="16.5" customHeight="1" spans="1:91">
      <c r="A719" s="906"/>
      <c r="B719" s="906"/>
      <c r="C719" s="906"/>
      <c r="D719" s="906"/>
      <c r="E719" s="906"/>
      <c r="F719" s="906"/>
      <c r="G719" s="906"/>
      <c r="H719" s="906"/>
      <c r="I719" s="906"/>
      <c r="J719" s="906"/>
      <c r="K719" s="906"/>
      <c r="L719" s="906"/>
      <c r="M719" s="906"/>
      <c r="N719" s="906"/>
      <c r="O719" s="906"/>
      <c r="P719" s="906"/>
      <c r="Q719" s="906"/>
      <c r="R719" s="906"/>
      <c r="S719" s="906"/>
      <c r="T719" s="906"/>
      <c r="U719" s="906"/>
      <c r="V719" s="906"/>
      <c r="W719" s="906"/>
      <c r="X719" s="906"/>
      <c r="Y719" s="906"/>
      <c r="Z719" s="906"/>
      <c r="AA719" s="906"/>
      <c r="AB719" s="906"/>
      <c r="AC719" s="906"/>
      <c r="AD719" s="906"/>
      <c r="AE719" s="906"/>
      <c r="AF719" s="906"/>
      <c r="AG719" s="906"/>
      <c r="AH719" s="906"/>
      <c r="AI719" s="906"/>
      <c r="AJ719" s="906"/>
      <c r="AK719" s="906"/>
      <c r="AL719" s="906"/>
      <c r="AM719" s="906"/>
      <c r="AN719" s="906"/>
      <c r="AO719" s="906"/>
      <c r="AP719" s="906"/>
      <c r="AQ719" s="906"/>
      <c r="AR719" s="906"/>
      <c r="AS719" s="906"/>
      <c r="AT719" s="906"/>
    </row>
    <row r="720" s="1" customFormat="1" ht="16.5" customHeight="1" spans="1:91">
      <c r="A720" s="907" t="str">
        <f>IFERROR("Ovaj pokazatelj je "&amp;AJ712&amp;" u odnosu na prošlu godinu za "&amp;ROUND(AO712,1)&amp;"%",0)&amp;"."</f>
        <v>Ovaj pokazatelj je SMANJEN u odnosu na prošlu godinu za 13,7%.</v>
      </c>
      <c r="B720" s="907"/>
      <c r="C720" s="907"/>
      <c r="D720" s="907"/>
      <c r="E720" s="907"/>
      <c r="F720" s="907"/>
      <c r="G720" s="907"/>
      <c r="H720" s="907"/>
      <c r="I720" s="907"/>
      <c r="J720" s="907"/>
      <c r="K720" s="907"/>
      <c r="L720" s="907"/>
      <c r="M720" s="907"/>
      <c r="N720" s="907"/>
      <c r="O720" s="907"/>
      <c r="P720" s="907"/>
      <c r="Q720" s="907"/>
      <c r="R720" s="907"/>
      <c r="S720" s="907"/>
      <c r="T720" s="907"/>
      <c r="U720" s="907"/>
      <c r="V720" s="907"/>
      <c r="W720" s="907"/>
      <c r="X720" s="907"/>
      <c r="Y720" s="907"/>
      <c r="Z720" s="907"/>
      <c r="AA720" s="907"/>
      <c r="AB720" s="907"/>
      <c r="AC720" s="907"/>
      <c r="AD720" s="907"/>
      <c r="AE720" s="907"/>
      <c r="AF720" s="907"/>
      <c r="AG720" s="907"/>
      <c r="AH720" s="907"/>
      <c r="AI720" s="907"/>
      <c r="AJ720" s="907"/>
      <c r="AK720" s="907"/>
      <c r="AL720" s="907"/>
      <c r="AM720" s="907"/>
      <c r="AN720" s="907"/>
      <c r="AO720" s="907"/>
      <c r="AP720" s="907"/>
      <c r="AQ720" s="907"/>
      <c r="AR720" s="907"/>
      <c r="AS720" s="907"/>
      <c r="AT720" s="907"/>
    </row>
    <row r="721" s="1" customFormat="1" ht="16.5" customHeight="1" spans="1:91">
      <c r="A721" s="906" t="s">
        <v>7668</v>
      </c>
      <c r="B721" s="906"/>
      <c r="C721" s="906"/>
      <c r="D721" s="906"/>
      <c r="E721" s="906"/>
      <c r="F721" s="906"/>
      <c r="G721" s="906"/>
      <c r="H721" s="906"/>
      <c r="I721" s="906"/>
      <c r="J721" s="906"/>
      <c r="K721" s="906"/>
      <c r="L721" s="906"/>
      <c r="M721" s="906"/>
      <c r="N721" s="906"/>
      <c r="O721" s="906"/>
      <c r="P721" s="906"/>
      <c r="Q721" s="906"/>
      <c r="R721" s="906"/>
      <c r="S721" s="906"/>
      <c r="T721" s="906"/>
      <c r="U721" s="906"/>
      <c r="V721" s="906"/>
      <c r="W721" s="906"/>
      <c r="X721" s="906"/>
      <c r="Y721" s="906"/>
      <c r="Z721" s="906"/>
      <c r="AA721" s="906"/>
      <c r="AB721" s="906"/>
      <c r="AC721" s="906"/>
      <c r="AD721" s="906"/>
      <c r="AE721" s="906"/>
      <c r="AF721" s="906"/>
      <c r="AG721" s="906"/>
      <c r="AH721" s="906"/>
      <c r="AI721" s="906"/>
      <c r="AJ721" s="906"/>
      <c r="AK721" s="906"/>
      <c r="AL721" s="906"/>
      <c r="AM721" s="906"/>
      <c r="AN721" s="906"/>
      <c r="AO721" s="906"/>
      <c r="AP721" s="906"/>
      <c r="AQ721" s="906"/>
      <c r="AR721" s="906"/>
      <c r="AS721" s="906"/>
      <c r="AT721" s="906"/>
    </row>
    <row r="722" s="1" customFormat="1" ht="16.5" customHeight="1" spans="1:91">
      <c r="A722" s="906"/>
      <c r="B722" s="906"/>
      <c r="C722" s="906"/>
      <c r="D722" s="906"/>
      <c r="E722" s="906"/>
      <c r="F722" s="906"/>
      <c r="G722" s="906"/>
      <c r="H722" s="906"/>
      <c r="I722" s="906"/>
      <c r="J722" s="906"/>
      <c r="K722" s="906"/>
      <c r="L722" s="906"/>
      <c r="M722" s="906"/>
      <c r="N722" s="906"/>
      <c r="O722" s="906"/>
      <c r="P722" s="906"/>
      <c r="Q722" s="906"/>
      <c r="R722" s="906"/>
      <c r="S722" s="906"/>
      <c r="T722" s="906"/>
      <c r="U722" s="906"/>
      <c r="V722" s="906"/>
      <c r="W722" s="906"/>
      <c r="X722" s="906"/>
      <c r="Y722" s="906"/>
      <c r="Z722" s="906"/>
      <c r="AA722" s="906"/>
      <c r="AB722" s="906"/>
      <c r="AC722" s="906"/>
      <c r="AD722" s="906"/>
      <c r="AE722" s="906"/>
      <c r="AF722" s="906"/>
      <c r="AG722" s="906"/>
      <c r="AH722" s="906"/>
      <c r="AI722" s="906"/>
      <c r="AJ722" s="906"/>
      <c r="AK722" s="906"/>
      <c r="AL722" s="906"/>
      <c r="AM722" s="906"/>
      <c r="AN722" s="906"/>
      <c r="AO722" s="906"/>
      <c r="AP722" s="906"/>
      <c r="AQ722" s="906"/>
      <c r="AR722" s="906"/>
      <c r="AS722" s="906"/>
      <c r="AT722" s="906"/>
    </row>
    <row r="723" s="1" customFormat="1" ht="16.5" customHeight="1" spans="1:91">
      <c r="A723" s="906"/>
      <c r="B723" s="906"/>
      <c r="C723" s="906"/>
      <c r="D723" s="906"/>
      <c r="E723" s="906"/>
      <c r="F723" s="906"/>
      <c r="G723" s="906"/>
      <c r="H723" s="906"/>
      <c r="I723" s="906"/>
      <c r="J723" s="906"/>
      <c r="K723" s="906"/>
      <c r="L723" s="906"/>
      <c r="M723" s="906"/>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06"/>
      <c r="AN723" s="906"/>
      <c r="AO723" s="906"/>
      <c r="AP723" s="906"/>
      <c r="AQ723" s="906"/>
      <c r="AR723" s="906"/>
      <c r="AS723" s="906"/>
      <c r="AT723" s="906"/>
    </row>
    <row r="724" s="570" customFormat="1" ht="16.5" customHeight="1"/>
    <row r="725" s="570" customFormat="1" ht="16.5" customHeight="1"/>
    <row r="726" s="570" customFormat="1" ht="16.5" customHeight="1"/>
    <row r="727" s="570" customFormat="1" ht="16.5" customHeight="1" spans="1:91">
      <c r="A727" s="1188" t="s">
        <v>7669</v>
      </c>
      <c r="B727" s="1188"/>
      <c r="C727" s="1188"/>
      <c r="D727" s="1188"/>
      <c r="E727" s="1188"/>
      <c r="F727" s="1188"/>
      <c r="G727" s="1188"/>
      <c r="H727" s="1188"/>
      <c r="I727" s="1188"/>
      <c r="J727" s="1188"/>
      <c r="K727" s="1188"/>
      <c r="L727" s="1188"/>
      <c r="M727" s="1188"/>
      <c r="N727" s="1189" t="s">
        <v>7670</v>
      </c>
      <c r="O727" s="1189"/>
      <c r="P727" s="1190" t="s">
        <v>7667</v>
      </c>
      <c r="Q727" s="1190"/>
      <c r="R727" s="1190"/>
      <c r="S727" s="1190"/>
      <c r="T727" s="1190"/>
      <c r="U727" s="1190"/>
      <c r="V727" s="1190"/>
      <c r="W727" s="1190"/>
      <c r="X727" s="1190"/>
      <c r="Y727" s="1190"/>
      <c r="Z727" s="1168" t="s">
        <v>7649</v>
      </c>
      <c r="AA727" s="1168"/>
      <c r="AB727" s="1168"/>
      <c r="AC727" s="1168"/>
      <c r="AD727" s="1169"/>
      <c r="AE727" s="1169"/>
      <c r="AF727" s="1169"/>
      <c r="AG727" s="1169"/>
      <c r="AH727" s="1170"/>
      <c r="AI727" s="1170"/>
    </row>
    <row r="728" s="570" customFormat="1" ht="16.5" customHeight="1" spans="1:91">
      <c r="A728" s="1188" t="s">
        <v>7671</v>
      </c>
      <c r="B728" s="1188"/>
      <c r="C728" s="1188"/>
      <c r="D728" s="1188"/>
      <c r="E728" s="1188"/>
      <c r="F728" s="1188"/>
      <c r="G728" s="1188"/>
      <c r="H728" s="1188"/>
      <c r="I728" s="1188"/>
      <c r="J728" s="1188"/>
      <c r="K728" s="1188"/>
      <c r="L728" s="1188"/>
      <c r="M728" s="1188"/>
      <c r="N728" s="1189"/>
      <c r="O728" s="1189"/>
      <c r="P728" s="1191" t="s">
        <v>7672</v>
      </c>
      <c r="Q728" s="1191"/>
      <c r="R728" s="1191"/>
      <c r="S728" s="1191"/>
      <c r="T728" s="1191"/>
      <c r="U728" s="1191"/>
      <c r="V728" s="1191"/>
      <c r="W728" s="1191"/>
      <c r="X728" s="1191"/>
      <c r="Y728" s="1191"/>
      <c r="Z728" s="1168"/>
      <c r="AA728" s="1168"/>
      <c r="AB728" s="1168"/>
      <c r="AC728" s="1168"/>
      <c r="AD728" s="1169"/>
      <c r="AE728" s="1169"/>
      <c r="AF728" s="1169"/>
      <c r="AG728" s="1169"/>
      <c r="AH728" s="1170"/>
      <c r="AI728" s="1170"/>
    </row>
    <row r="729" s="570" customFormat="1" ht="16.5" customHeight="1" spans="1:91">
      <c r="A729" s="1172"/>
      <c r="B729" s="1172"/>
      <c r="C729" s="1172"/>
      <c r="D729" s="1172"/>
      <c r="E729" s="1172"/>
      <c r="F729" s="1172"/>
      <c r="G729" s="1172"/>
      <c r="H729" s="1172"/>
      <c r="I729" s="1172"/>
      <c r="J729" s="1172"/>
      <c r="K729" s="1172"/>
      <c r="L729" s="1172"/>
      <c r="M729" s="1172"/>
      <c r="N729" s="1172"/>
      <c r="O729" s="1172"/>
      <c r="Z729" s="1173"/>
      <c r="AA729" s="1173"/>
      <c r="AB729" s="1173"/>
      <c r="AC729" s="1173"/>
      <c r="AD729" s="1173"/>
      <c r="AE729" s="1173"/>
      <c r="AF729" s="1173"/>
      <c r="AG729" s="1173"/>
      <c r="AJ729" s="1174"/>
      <c r="AK729" s="1174"/>
      <c r="AL729" s="1174"/>
      <c r="AM729" s="1174"/>
      <c r="AN729" s="1174"/>
      <c r="AO729" s="1174"/>
      <c r="AP729" s="1174"/>
      <c r="AQ729" s="1174"/>
      <c r="AR729" s="1174"/>
      <c r="AS729" s="1174"/>
      <c r="AT729" s="1174"/>
      <c r="AU729" s="1174"/>
    </row>
    <row r="730" s="570" customFormat="1" ht="16.5" customHeight="1" spans="1:91">
      <c r="A730" s="1172"/>
      <c r="B730" s="1172"/>
      <c r="C730" s="1172"/>
      <c r="D730" s="1172"/>
      <c r="E730" s="1172"/>
      <c r="F730" s="1172"/>
      <c r="G730" s="1175" t="str">
        <f ca="1">PeriodDo&amp;" ="</f>
        <v>31.12.2025 =</v>
      </c>
      <c r="H730" s="1175"/>
      <c r="I730" s="1175"/>
      <c r="J730" s="1175"/>
      <c r="K730" s="1175"/>
      <c r="L730" s="1175"/>
      <c r="M730" s="1175"/>
      <c r="N730" s="1175"/>
      <c r="O730" s="1175"/>
      <c r="P730" s="1176">
        <f>B_Stanja!AI115</f>
        <v>309265</v>
      </c>
      <c r="Q730" s="1176"/>
      <c r="R730" s="1176"/>
      <c r="S730" s="1176"/>
      <c r="T730" s="1176"/>
      <c r="U730" s="1176"/>
      <c r="V730" s="1176"/>
      <c r="W730" s="1176"/>
      <c r="X730" s="1176"/>
      <c r="Y730" s="1176"/>
      <c r="Z730" s="1168" t="s">
        <v>7649</v>
      </c>
      <c r="AA730" s="1168"/>
      <c r="AB730" s="1168"/>
      <c r="AC730" s="1168"/>
      <c r="AD730" s="1177">
        <f>IFERROR(P730/P731,0)</f>
        <v>13.9894603455967</v>
      </c>
      <c r="AE730" s="1177"/>
      <c r="AF730" s="1177"/>
      <c r="AG730" s="1177"/>
      <c r="AH730" s="1177"/>
      <c r="AI730" s="1177"/>
      <c r="AJ730" s="570" t="str">
        <f>IF(AD730-AD733&gt;0,"POVEĆAN","SMANJEN")</f>
        <v>POVEĆAN</v>
      </c>
      <c r="AK730" s="1174"/>
      <c r="AL730" s="1174"/>
      <c r="AM730" s="1174"/>
      <c r="AN730" s="1174"/>
      <c r="AO730" s="1178">
        <f>ROUND(IF(AD730/AD733&gt;1,AD730/AD733*100-100,100-(AD730/AD733*100)),1)</f>
        <v>361.4</v>
      </c>
      <c r="AP730" s="1178"/>
      <c r="AQ730" s="1178"/>
      <c r="AR730" s="1178"/>
      <c r="AS730" s="1178"/>
      <c r="AT730" s="1174" t="s">
        <v>20</v>
      </c>
      <c r="AU730" s="1174"/>
      <c r="CM730" s="1179"/>
    </row>
    <row r="731" s="570" customFormat="1" ht="16.5" customHeight="1" spans="1:91">
      <c r="A731" s="1172"/>
      <c r="B731" s="1172"/>
      <c r="C731" s="1172"/>
      <c r="D731" s="1172"/>
      <c r="E731" s="1172"/>
      <c r="F731" s="1172"/>
      <c r="G731" s="1175"/>
      <c r="H731" s="1175"/>
      <c r="I731" s="1175"/>
      <c r="J731" s="1175"/>
      <c r="K731" s="1175"/>
      <c r="L731" s="1175"/>
      <c r="M731" s="1175"/>
      <c r="N731" s="1175"/>
      <c r="O731" s="1175"/>
      <c r="P731" s="1180">
        <f>B_Stanja!AI21+0.00001</f>
        <v>22107.00001</v>
      </c>
      <c r="Q731" s="1180"/>
      <c r="R731" s="1180"/>
      <c r="S731" s="1180"/>
      <c r="T731" s="1180"/>
      <c r="U731" s="1180"/>
      <c r="V731" s="1180"/>
      <c r="W731" s="1180"/>
      <c r="X731" s="1180"/>
      <c r="Y731" s="1180"/>
      <c r="Z731" s="1168"/>
      <c r="AA731" s="1168"/>
      <c r="AB731" s="1168"/>
      <c r="AC731" s="1168"/>
      <c r="AD731" s="1177"/>
      <c r="AE731" s="1177"/>
      <c r="AF731" s="1177"/>
      <c r="AG731" s="1177"/>
      <c r="AH731" s="1177"/>
      <c r="AI731" s="1177"/>
      <c r="AJ731" s="1174"/>
      <c r="AK731" s="1174"/>
      <c r="AL731" s="1174"/>
      <c r="AM731" s="1174"/>
      <c r="AN731" s="1174"/>
      <c r="AO731" s="1185"/>
      <c r="AP731" s="1185"/>
      <c r="AQ731" s="1185"/>
      <c r="AR731" s="1185"/>
      <c r="AS731" s="1185"/>
      <c r="AT731" s="1174"/>
      <c r="AU731" s="1174"/>
    </row>
    <row r="732" s="570" customFormat="1" ht="16.5" customHeight="1" spans="1:91">
      <c r="A732" s="1172"/>
      <c r="B732" s="1172"/>
      <c r="C732" s="1172"/>
      <c r="D732" s="1172"/>
      <c r="E732" s="1172"/>
      <c r="F732" s="1172"/>
      <c r="G732" s="1172"/>
      <c r="H732" s="1172"/>
      <c r="I732" s="1172"/>
      <c r="J732" s="1172"/>
      <c r="K732" s="1172"/>
      <c r="L732" s="1172"/>
      <c r="M732" s="1172"/>
      <c r="N732" s="1172"/>
      <c r="O732" s="1172"/>
      <c r="Z732" s="1173"/>
      <c r="AA732" s="1173"/>
      <c r="AB732" s="1173"/>
      <c r="AC732" s="1173"/>
      <c r="AD732" s="1173"/>
      <c r="AE732" s="1173"/>
      <c r="AF732" s="1173"/>
      <c r="AG732" s="1173"/>
    </row>
    <row r="733" s="570" customFormat="1" ht="16.5" customHeight="1" spans="1:91">
      <c r="A733" s="1172"/>
      <c r="B733" s="1172"/>
      <c r="C733" s="1172"/>
      <c r="D733" s="1172"/>
      <c r="E733" s="1172"/>
      <c r="F733" s="1172"/>
      <c r="G733" s="1175" t="str">
        <f>PeriodOd&amp;" ="</f>
        <v>01.01.2025 =</v>
      </c>
      <c r="H733" s="1175"/>
      <c r="I733" s="1175"/>
      <c r="J733" s="1175"/>
      <c r="K733" s="1175"/>
      <c r="L733" s="1175"/>
      <c r="M733" s="1175"/>
      <c r="N733" s="1175"/>
      <c r="O733" s="1175"/>
      <c r="P733" s="1176">
        <f>B_Stanja!AP115</f>
        <v>459768</v>
      </c>
      <c r="Q733" s="1176"/>
      <c r="R733" s="1176"/>
      <c r="S733" s="1176"/>
      <c r="T733" s="1176"/>
      <c r="U733" s="1176"/>
      <c r="V733" s="1176"/>
      <c r="W733" s="1176"/>
      <c r="X733" s="1176"/>
      <c r="Y733" s="1176"/>
      <c r="Z733" s="1168" t="s">
        <v>7649</v>
      </c>
      <c r="AA733" s="1168"/>
      <c r="AB733" s="1168"/>
      <c r="AC733" s="1168"/>
      <c r="AD733" s="1177">
        <f>IFERROR(P733/P734,0)</f>
        <v>3.03165057562401</v>
      </c>
      <c r="AE733" s="1177"/>
      <c r="AF733" s="1177"/>
      <c r="AG733" s="1177"/>
      <c r="AH733" s="1177"/>
      <c r="AI733" s="1177"/>
    </row>
    <row r="734" s="570" customFormat="1" ht="16.5" customHeight="1" spans="1:91">
      <c r="A734" s="1172"/>
      <c r="B734" s="1172"/>
      <c r="C734" s="1172"/>
      <c r="D734" s="1172"/>
      <c r="E734" s="1172"/>
      <c r="F734" s="1172"/>
      <c r="G734" s="1175"/>
      <c r="H734" s="1175"/>
      <c r="I734" s="1175"/>
      <c r="J734" s="1175"/>
      <c r="K734" s="1175"/>
      <c r="L734" s="1175"/>
      <c r="M734" s="1175"/>
      <c r="N734" s="1175"/>
      <c r="O734" s="1175"/>
      <c r="P734" s="1180">
        <f>B_Stanja!AP21+0.0001</f>
        <v>151656.0001</v>
      </c>
      <c r="Q734" s="1180"/>
      <c r="R734" s="1180"/>
      <c r="S734" s="1180"/>
      <c r="T734" s="1180"/>
      <c r="U734" s="1180"/>
      <c r="V734" s="1180"/>
      <c r="W734" s="1180"/>
      <c r="X734" s="1180"/>
      <c r="Y734" s="1180"/>
      <c r="Z734" s="1168"/>
      <c r="AA734" s="1168"/>
      <c r="AB734" s="1168"/>
      <c r="AC734" s="1168"/>
      <c r="AD734" s="1177"/>
      <c r="AE734" s="1177"/>
      <c r="AF734" s="1177"/>
      <c r="AG734" s="1177"/>
      <c r="AH734" s="1177"/>
      <c r="AI734" s="1177"/>
    </row>
    <row r="735" s="1" customFormat="1" ht="16.5" customHeight="1" spans="1:91">
      <c r="A735" s="906" t="str">
        <f ca="1">IFERROR("Na dan "&amp;Baza!C14&amp;". godine, stalna imovina finansirana je iz vlastitih sredstava sa "&amp;ROUND(AD730*100,1)&amp;"% ili sa "&amp;TEXT(P730,"#.## [$KM-141A]")&amp;". 31.12."&amp;PoslGod-1&amp;". godine, vlastito finansiranje stalne imovine je bila "&amp;ROUND(AD733*100,1)&amp;"%.",0)</f>
        <v>Na dan 31.12.2025. godine, stalna imovina finansirana je iz vlastitih sredstava sa 1398,9% ili sa 309.265 KM. 31.12.2024. godine, vlastito finansiranje stalne imovine je bila 303,2%.</v>
      </c>
      <c r="B735" s="906"/>
      <c r="C735" s="906"/>
      <c r="D735" s="906"/>
      <c r="E735" s="906"/>
      <c r="F735" s="906"/>
      <c r="G735" s="906"/>
      <c r="H735" s="906"/>
      <c r="I735" s="906"/>
      <c r="J735" s="906"/>
      <c r="K735" s="906"/>
      <c r="L735" s="906"/>
      <c r="M735" s="906"/>
      <c r="N735" s="906"/>
      <c r="O735" s="906"/>
      <c r="P735" s="906"/>
      <c r="Q735" s="906"/>
      <c r="R735" s="906"/>
      <c r="S735" s="906"/>
      <c r="T735" s="906"/>
      <c r="U735" s="906"/>
      <c r="V735" s="906"/>
      <c r="W735" s="906"/>
      <c r="X735" s="906"/>
      <c r="Y735" s="906"/>
      <c r="Z735" s="906"/>
      <c r="AA735" s="906"/>
      <c r="AB735" s="906"/>
      <c r="AC735" s="906"/>
      <c r="AD735" s="906"/>
      <c r="AE735" s="906"/>
      <c r="AF735" s="906"/>
      <c r="AG735" s="906"/>
      <c r="AH735" s="906"/>
      <c r="AI735" s="906"/>
      <c r="AJ735" s="906"/>
      <c r="AK735" s="906"/>
      <c r="AL735" s="906"/>
      <c r="AM735" s="906"/>
      <c r="AN735" s="906"/>
      <c r="AO735" s="906"/>
      <c r="AP735" s="906"/>
      <c r="AQ735" s="906"/>
      <c r="AR735" s="906"/>
      <c r="AS735" s="906"/>
      <c r="AT735" s="906"/>
    </row>
    <row r="736" s="1" customFormat="1" ht="16.5" customHeight="1" spans="1:91">
      <c r="A736" s="906"/>
      <c r="B736" s="906"/>
      <c r="C736" s="906"/>
      <c r="D736" s="906"/>
      <c r="E736" s="906"/>
      <c r="F736" s="906"/>
      <c r="G736" s="906"/>
      <c r="H736" s="906"/>
      <c r="I736" s="906"/>
      <c r="J736" s="906"/>
      <c r="K736" s="906"/>
      <c r="L736" s="906"/>
      <c r="M736" s="906"/>
      <c r="N736" s="906"/>
      <c r="O736" s="906"/>
      <c r="P736" s="906"/>
      <c r="Q736" s="906"/>
      <c r="R736" s="906"/>
      <c r="S736" s="906"/>
      <c r="T736" s="906"/>
      <c r="U736" s="906"/>
      <c r="V736" s="906"/>
      <c r="W736" s="906"/>
      <c r="X736" s="906"/>
      <c r="Y736" s="906"/>
      <c r="Z736" s="906"/>
      <c r="AA736" s="906"/>
      <c r="AB736" s="906"/>
      <c r="AC736" s="906"/>
      <c r="AD736" s="906"/>
      <c r="AE736" s="906"/>
      <c r="AF736" s="906"/>
      <c r="AG736" s="906"/>
      <c r="AH736" s="906"/>
      <c r="AI736" s="906"/>
      <c r="AJ736" s="906"/>
      <c r="AK736" s="906"/>
      <c r="AL736" s="906"/>
      <c r="AM736" s="906"/>
      <c r="AN736" s="906"/>
      <c r="AO736" s="906"/>
      <c r="AP736" s="906"/>
      <c r="AQ736" s="906"/>
      <c r="AR736" s="906"/>
      <c r="AS736" s="906"/>
      <c r="AT736" s="906"/>
    </row>
    <row r="737" s="1" customFormat="1" ht="16.5" customHeight="1" spans="1:91">
      <c r="A737" s="906"/>
      <c r="B737" s="906"/>
      <c r="C737" s="906"/>
      <c r="D737" s="906"/>
      <c r="E737" s="906"/>
      <c r="F737" s="906"/>
      <c r="G737" s="906"/>
      <c r="H737" s="906"/>
      <c r="I737" s="906"/>
      <c r="J737" s="906"/>
      <c r="K737" s="906"/>
      <c r="L737" s="906"/>
      <c r="M737" s="906"/>
      <c r="N737" s="906"/>
      <c r="O737" s="906"/>
      <c r="P737" s="906"/>
      <c r="Q737" s="906"/>
      <c r="R737" s="906"/>
      <c r="S737" s="906"/>
      <c r="T737" s="906"/>
      <c r="U737" s="906"/>
      <c r="V737" s="906"/>
      <c r="W737" s="906"/>
      <c r="X737" s="906"/>
      <c r="Y737" s="906"/>
      <c r="Z737" s="906"/>
      <c r="AA737" s="906"/>
      <c r="AB737" s="906"/>
      <c r="AC737" s="906"/>
      <c r="AD737" s="906"/>
      <c r="AE737" s="906"/>
      <c r="AF737" s="906"/>
      <c r="AG737" s="906"/>
      <c r="AH737" s="906"/>
      <c r="AI737" s="906"/>
      <c r="AJ737" s="906"/>
      <c r="AK737" s="906"/>
      <c r="AL737" s="906"/>
      <c r="AM737" s="906"/>
      <c r="AN737" s="906"/>
      <c r="AO737" s="906"/>
      <c r="AP737" s="906"/>
      <c r="AQ737" s="906"/>
      <c r="AR737" s="906"/>
      <c r="AS737" s="906"/>
      <c r="AT737" s="906"/>
    </row>
    <row r="738" s="1" customFormat="1" ht="16.5" customHeight="1" spans="1:91">
      <c r="A738" s="907" t="str">
        <f>IFERROR("Ovaj pokazatelj je "&amp;AJ730&amp;" u odnosu na prošlu godinu za "&amp;ROUND(AO730,1)&amp;"%",0)&amp;"."</f>
        <v>Ovaj pokazatelj je POVEĆAN u odnosu na prošlu godinu za 361,4%.</v>
      </c>
      <c r="B738" s="907"/>
      <c r="C738" s="907"/>
      <c r="D738" s="907"/>
      <c r="E738" s="907"/>
      <c r="F738" s="907"/>
      <c r="G738" s="907"/>
      <c r="H738" s="907"/>
      <c r="I738" s="907"/>
      <c r="J738" s="907"/>
      <c r="K738" s="907"/>
      <c r="L738" s="907"/>
      <c r="M738" s="907"/>
      <c r="N738" s="907"/>
      <c r="O738" s="907"/>
      <c r="P738" s="907"/>
      <c r="Q738" s="907"/>
      <c r="R738" s="907"/>
      <c r="S738" s="907"/>
      <c r="T738" s="907"/>
      <c r="U738" s="907"/>
      <c r="V738" s="907"/>
      <c r="W738" s="907"/>
      <c r="X738" s="907"/>
      <c r="Y738" s="907"/>
      <c r="Z738" s="907"/>
      <c r="AA738" s="907"/>
      <c r="AB738" s="907"/>
      <c r="AC738" s="907"/>
      <c r="AD738" s="907"/>
      <c r="AE738" s="907"/>
      <c r="AF738" s="907"/>
      <c r="AG738" s="907"/>
      <c r="AH738" s="907"/>
      <c r="AI738" s="907"/>
      <c r="AJ738" s="907"/>
      <c r="AK738" s="907"/>
      <c r="AL738" s="907"/>
      <c r="AM738" s="907"/>
      <c r="AN738" s="907"/>
      <c r="AO738" s="907"/>
      <c r="AP738" s="907"/>
      <c r="AQ738" s="907"/>
      <c r="AR738" s="907"/>
      <c r="AS738" s="907"/>
      <c r="AT738" s="907"/>
    </row>
    <row r="739" s="1" customFormat="1" ht="16.5" customHeight="1" spans="1:91">
      <c r="A739" s="906" t="s">
        <v>7673</v>
      </c>
      <c r="B739" s="906"/>
      <c r="C739" s="906"/>
      <c r="D739" s="906"/>
      <c r="E739" s="906"/>
      <c r="F739" s="906"/>
      <c r="G739" s="906"/>
      <c r="H739" s="906"/>
      <c r="I739" s="906"/>
      <c r="J739" s="906"/>
      <c r="K739" s="906"/>
      <c r="L739" s="906"/>
      <c r="M739" s="906"/>
      <c r="N739" s="906"/>
      <c r="O739" s="906"/>
      <c r="P739" s="906"/>
      <c r="Q739" s="906"/>
      <c r="R739" s="906"/>
      <c r="S739" s="906"/>
      <c r="T739" s="906"/>
      <c r="U739" s="906"/>
      <c r="V739" s="906"/>
      <c r="W739" s="906"/>
      <c r="X739" s="906"/>
      <c r="Y739" s="906"/>
      <c r="Z739" s="906"/>
      <c r="AA739" s="906"/>
      <c r="AB739" s="906"/>
      <c r="AC739" s="906"/>
      <c r="AD739" s="906"/>
      <c r="AE739" s="906"/>
      <c r="AF739" s="906"/>
      <c r="AG739" s="906"/>
      <c r="AH739" s="906"/>
      <c r="AI739" s="906"/>
      <c r="AJ739" s="906"/>
      <c r="AK739" s="906"/>
      <c r="AL739" s="906"/>
      <c r="AM739" s="906"/>
      <c r="AN739" s="906"/>
      <c r="AO739" s="906"/>
      <c r="AP739" s="906"/>
      <c r="AQ739" s="906"/>
      <c r="AR739" s="906"/>
      <c r="AS739" s="906"/>
      <c r="AT739" s="906"/>
    </row>
    <row r="740" s="1" customFormat="1" ht="16.5" customHeight="1" spans="1:91">
      <c r="A740" s="906"/>
      <c r="B740" s="906"/>
      <c r="C740" s="906"/>
      <c r="D740" s="906"/>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06"/>
      <c r="AN740" s="906"/>
      <c r="AO740" s="906"/>
      <c r="AP740" s="906"/>
      <c r="AQ740" s="906"/>
      <c r="AR740" s="906"/>
      <c r="AS740" s="906"/>
      <c r="AT740" s="906"/>
    </row>
    <row r="741" s="1" customFormat="1" ht="16.5" customHeight="1" spans="1:91">
      <c r="A741" s="906"/>
      <c r="B741" s="906"/>
      <c r="C741" s="906"/>
      <c r="D741" s="906"/>
      <c r="E741" s="906"/>
      <c r="F741" s="906"/>
      <c r="G741" s="906"/>
      <c r="H741" s="906"/>
      <c r="I741" s="906"/>
      <c r="J741" s="906"/>
      <c r="K741" s="906"/>
      <c r="L741" s="906"/>
      <c r="M741" s="906"/>
      <c r="N741" s="906"/>
      <c r="O741" s="906"/>
      <c r="P741" s="906"/>
      <c r="Q741" s="906"/>
      <c r="R741" s="906"/>
      <c r="S741" s="906"/>
      <c r="T741" s="906"/>
      <c r="U741" s="906"/>
      <c r="V741" s="906"/>
      <c r="W741" s="906"/>
      <c r="X741" s="906"/>
      <c r="Y741" s="906"/>
      <c r="Z741" s="906"/>
      <c r="AA741" s="906"/>
      <c r="AB741" s="906"/>
      <c r="AC741" s="906"/>
      <c r="AD741" s="906"/>
      <c r="AE741" s="906"/>
      <c r="AF741" s="906"/>
      <c r="AG741" s="906"/>
      <c r="AH741" s="906"/>
      <c r="AI741" s="906"/>
      <c r="AJ741" s="906"/>
      <c r="AK741" s="906"/>
      <c r="AL741" s="906"/>
      <c r="AM741" s="906"/>
      <c r="AN741" s="906"/>
      <c r="AO741" s="906"/>
      <c r="AP741" s="906"/>
      <c r="AQ741" s="906"/>
      <c r="AR741" s="906"/>
      <c r="AS741" s="906"/>
      <c r="AT741" s="906"/>
    </row>
    <row r="742" s="570" customFormat="1" ht="16.5" customHeight="1"/>
    <row r="743" s="570" customFormat="1" ht="16.5" customHeight="1"/>
    <row r="744" s="570" customFormat="1" ht="16.5" customHeight="1" spans="1:91">
      <c r="A744" s="1188" t="s">
        <v>7674</v>
      </c>
      <c r="B744" s="1188"/>
      <c r="C744" s="1188"/>
      <c r="D744" s="1188"/>
      <c r="E744" s="1188"/>
      <c r="F744" s="1188"/>
      <c r="G744" s="1188"/>
      <c r="H744" s="1188"/>
      <c r="I744" s="1188"/>
      <c r="J744" s="1188"/>
      <c r="K744" s="1188"/>
      <c r="L744" s="1188"/>
      <c r="M744" s="1188"/>
      <c r="N744" s="1189" t="s">
        <v>7670</v>
      </c>
      <c r="O744" s="1189"/>
      <c r="P744" s="570" t="s">
        <v>7675</v>
      </c>
      <c r="AD744" s="1169"/>
      <c r="AE744" s="1169"/>
      <c r="AF744" s="1169"/>
      <c r="AG744" s="1168" t="s">
        <v>7649</v>
      </c>
      <c r="AH744" s="1168"/>
      <c r="AI744" s="1168"/>
      <c r="AJ744" s="1168"/>
    </row>
    <row r="745" s="570" customFormat="1" ht="16.5" customHeight="1" spans="1:91">
      <c r="A745" s="1188" t="s">
        <v>7676</v>
      </c>
      <c r="B745" s="1188"/>
      <c r="C745" s="1188"/>
      <c r="D745" s="1188"/>
      <c r="E745" s="1188"/>
      <c r="F745" s="1188"/>
      <c r="G745" s="1188"/>
      <c r="H745" s="1188"/>
      <c r="I745" s="1188"/>
      <c r="J745" s="1188"/>
      <c r="K745" s="1188"/>
      <c r="L745" s="1188"/>
      <c r="M745" s="1188"/>
      <c r="N745" s="1189"/>
      <c r="O745" s="1189"/>
      <c r="P745" s="1191" t="s">
        <v>7672</v>
      </c>
      <c r="Q745" s="1191"/>
      <c r="R745" s="1191"/>
      <c r="S745" s="1191"/>
      <c r="T745" s="1191"/>
      <c r="U745" s="1191"/>
      <c r="V745" s="1191"/>
      <c r="W745" s="1191"/>
      <c r="X745" s="1191"/>
      <c r="Y745" s="1191"/>
      <c r="Z745" s="1191"/>
      <c r="AA745" s="1191"/>
      <c r="AB745" s="1191"/>
      <c r="AC745" s="1191"/>
      <c r="AD745" s="1191"/>
      <c r="AE745" s="1191"/>
      <c r="AF745" s="1169"/>
      <c r="AG745" s="1168"/>
      <c r="AH745" s="1168"/>
      <c r="AI745" s="1168"/>
      <c r="AJ745" s="1168"/>
    </row>
    <row r="746" s="570" customFormat="1" ht="16.5" customHeight="1" spans="1:91">
      <c r="A746" s="1172"/>
      <c r="B746" s="1172"/>
      <c r="C746" s="1172"/>
      <c r="D746" s="1172"/>
      <c r="E746" s="1172"/>
      <c r="F746" s="1172"/>
      <c r="G746" s="1172"/>
      <c r="H746" s="1172"/>
      <c r="I746" s="1172"/>
      <c r="J746" s="1172"/>
      <c r="K746" s="1172"/>
      <c r="L746" s="1172"/>
      <c r="M746" s="1172"/>
      <c r="N746" s="1172"/>
      <c r="O746" s="1172"/>
      <c r="Z746" s="1173"/>
      <c r="AA746" s="1173"/>
      <c r="AB746" s="1173"/>
      <c r="AC746" s="1173"/>
      <c r="AD746" s="1173"/>
      <c r="AE746" s="1173"/>
      <c r="AF746" s="1173"/>
      <c r="AG746" s="1173"/>
      <c r="AJ746" s="1174"/>
      <c r="AK746" s="1174"/>
      <c r="AL746" s="1174"/>
      <c r="AM746" s="1174"/>
      <c r="AN746" s="1174"/>
      <c r="AO746" s="1174"/>
      <c r="AP746" s="1174"/>
      <c r="AQ746" s="1174"/>
      <c r="AR746" s="1174"/>
      <c r="AS746" s="1174"/>
      <c r="AT746" s="1174"/>
      <c r="AU746" s="1174"/>
    </row>
    <row r="747" s="570" customFormat="1" ht="16.5" customHeight="1" spans="1:91">
      <c r="A747" s="1172"/>
      <c r="B747" s="1172"/>
      <c r="C747" s="1172"/>
      <c r="D747" s="1172"/>
      <c r="E747" s="1172"/>
      <c r="F747" s="1172"/>
      <c r="G747" s="1175" t="str">
        <f ca="1">PeriodDo&amp;" ="</f>
        <v>31.12.2025 =</v>
      </c>
      <c r="H747" s="1175"/>
      <c r="I747" s="1175"/>
      <c r="J747" s="1175"/>
      <c r="K747" s="1175"/>
      <c r="L747" s="1175"/>
      <c r="M747" s="1175"/>
      <c r="N747" s="1175"/>
      <c r="O747" s="1175"/>
      <c r="P747" s="1192">
        <f>B_Stanja!AI115+B_Stanja!AI125</f>
        <v>309265</v>
      </c>
      <c r="Q747" s="1192"/>
      <c r="R747" s="1192"/>
      <c r="S747" s="1192"/>
      <c r="T747" s="1192"/>
      <c r="U747" s="1192"/>
      <c r="V747" s="1192"/>
      <c r="W747" s="1192"/>
      <c r="X747" s="1192"/>
      <c r="Y747" s="1192"/>
      <c r="Z747" s="1168" t="s">
        <v>7649</v>
      </c>
      <c r="AA747" s="1168"/>
      <c r="AB747" s="1168"/>
      <c r="AC747" s="1168"/>
      <c r="AD747" s="1177">
        <f>IFERROR(P747/P748,0)</f>
        <v>13.989460288644</v>
      </c>
      <c r="AE747" s="1177"/>
      <c r="AF747" s="1177"/>
      <c r="AG747" s="1177"/>
      <c r="AH747" s="1177"/>
      <c r="AI747" s="1177"/>
      <c r="AJ747" s="570" t="str">
        <f>IF(AD747-AD750&gt;0,"POVEĆAN","SMANJEN")</f>
        <v>POVEĆAN</v>
      </c>
      <c r="AK747" s="1174"/>
      <c r="AL747" s="1174"/>
      <c r="AM747" s="1174"/>
      <c r="AN747" s="1174"/>
      <c r="AO747" s="1178">
        <f>ROUND(IF(AD747/AD750&gt;1,AD747/AD750*100-100,100-(AD747/AD750*100)),1)</f>
        <v>345.3</v>
      </c>
      <c r="AP747" s="1178"/>
      <c r="AQ747" s="1178"/>
      <c r="AR747" s="1178"/>
      <c r="AS747" s="1178"/>
      <c r="AT747" s="1174" t="s">
        <v>20</v>
      </c>
      <c r="AU747" s="1174"/>
      <c r="CM747" s="1179"/>
    </row>
    <row r="748" s="570" customFormat="1" ht="16.5" customHeight="1" spans="1:91">
      <c r="A748" s="1172"/>
      <c r="B748" s="1172"/>
      <c r="C748" s="1172"/>
      <c r="D748" s="1172"/>
      <c r="E748" s="1172"/>
      <c r="F748" s="1172"/>
      <c r="G748" s="1175"/>
      <c r="H748" s="1175"/>
      <c r="I748" s="1175"/>
      <c r="J748" s="1175"/>
      <c r="K748" s="1175"/>
      <c r="L748" s="1175"/>
      <c r="M748" s="1175"/>
      <c r="N748" s="1175"/>
      <c r="O748" s="1175"/>
      <c r="P748" s="1193">
        <f>B_Stanja!AI21+0.0001</f>
        <v>22107.0001</v>
      </c>
      <c r="Q748" s="1193"/>
      <c r="R748" s="1193"/>
      <c r="S748" s="1193"/>
      <c r="T748" s="1193"/>
      <c r="U748" s="1193"/>
      <c r="V748" s="1193"/>
      <c r="W748" s="1193"/>
      <c r="X748" s="1193"/>
      <c r="Y748" s="1193"/>
      <c r="Z748" s="1168"/>
      <c r="AA748" s="1168"/>
      <c r="AB748" s="1168"/>
      <c r="AC748" s="1168"/>
      <c r="AD748" s="1177"/>
      <c r="AE748" s="1177"/>
      <c r="AF748" s="1177"/>
      <c r="AG748" s="1177"/>
      <c r="AH748" s="1177"/>
      <c r="AI748" s="1177"/>
      <c r="AJ748" s="1174"/>
      <c r="AK748" s="1174"/>
      <c r="AL748" s="1174"/>
      <c r="AM748" s="1174"/>
      <c r="AN748" s="1174"/>
      <c r="AO748" s="1185"/>
      <c r="AP748" s="1185"/>
      <c r="AQ748" s="1185"/>
      <c r="AR748" s="1185"/>
      <c r="AS748" s="1185"/>
      <c r="AT748" s="1174"/>
      <c r="AU748" s="1174"/>
    </row>
    <row r="749" s="570" customFormat="1" ht="16.5" customHeight="1" spans="1:91">
      <c r="A749" s="1172"/>
      <c r="B749" s="1172"/>
      <c r="C749" s="1172"/>
      <c r="D749" s="1172"/>
      <c r="E749" s="1172"/>
      <c r="F749" s="1172"/>
      <c r="G749" s="1172"/>
      <c r="H749" s="1172"/>
      <c r="I749" s="1172"/>
      <c r="J749" s="1172"/>
      <c r="K749" s="1172"/>
      <c r="L749" s="1172"/>
      <c r="M749" s="1172"/>
      <c r="N749" s="1172"/>
      <c r="O749" s="1172"/>
      <c r="Z749" s="1173"/>
      <c r="AA749" s="1173"/>
      <c r="AB749" s="1173"/>
      <c r="AC749" s="1173"/>
      <c r="AD749" s="1173"/>
      <c r="AE749" s="1173"/>
      <c r="AF749" s="1173"/>
      <c r="AG749" s="1173"/>
    </row>
    <row r="750" s="570" customFormat="1" ht="16.5" customHeight="1" spans="1:91">
      <c r="A750" s="1172"/>
      <c r="B750" s="1172"/>
      <c r="C750" s="1172"/>
      <c r="D750" s="1172"/>
      <c r="E750" s="1172"/>
      <c r="F750" s="1172"/>
      <c r="G750" s="1175" t="str">
        <f>PeriodOd&amp;" ="</f>
        <v>01.01.2025 =</v>
      </c>
      <c r="H750" s="1175"/>
      <c r="I750" s="1175"/>
      <c r="J750" s="1175"/>
      <c r="K750" s="1175"/>
      <c r="L750" s="1175"/>
      <c r="M750" s="1175"/>
      <c r="N750" s="1175"/>
      <c r="O750" s="1175"/>
      <c r="P750" s="1192">
        <f>B_Stanja!AP115+B_Stanja!AP125</f>
        <v>476446</v>
      </c>
      <c r="Q750" s="1192"/>
      <c r="R750" s="1192"/>
      <c r="S750" s="1192"/>
      <c r="T750" s="1192"/>
      <c r="U750" s="1192"/>
      <c r="V750" s="1192"/>
      <c r="W750" s="1192"/>
      <c r="X750" s="1192"/>
      <c r="Y750" s="1192"/>
      <c r="Z750" s="1168" t="s">
        <v>7649</v>
      </c>
      <c r="AA750" s="1168"/>
      <c r="AB750" s="1168"/>
      <c r="AC750" s="1168"/>
      <c r="AD750" s="1177">
        <f>IFERROR(P750/P751,0)</f>
        <v>3.14162314505089</v>
      </c>
      <c r="AE750" s="1177"/>
      <c r="AF750" s="1177"/>
      <c r="AG750" s="1177"/>
      <c r="AH750" s="1177"/>
      <c r="AI750" s="1177"/>
    </row>
    <row r="751" s="570" customFormat="1" ht="16.5" customHeight="1" spans="1:91">
      <c r="A751" s="1172"/>
      <c r="B751" s="1172"/>
      <c r="C751" s="1172"/>
      <c r="D751" s="1172"/>
      <c r="E751" s="1172"/>
      <c r="F751" s="1172"/>
      <c r="G751" s="1175"/>
      <c r="H751" s="1175"/>
      <c r="I751" s="1175"/>
      <c r="J751" s="1175"/>
      <c r="K751" s="1175"/>
      <c r="L751" s="1175"/>
      <c r="M751" s="1175"/>
      <c r="N751" s="1175"/>
      <c r="O751" s="1175"/>
      <c r="P751" s="1180">
        <f>B_Stanja!AP21+0.0001</f>
        <v>151656.0001</v>
      </c>
      <c r="Q751" s="1180"/>
      <c r="R751" s="1180"/>
      <c r="S751" s="1180"/>
      <c r="T751" s="1180"/>
      <c r="U751" s="1180"/>
      <c r="V751" s="1180"/>
      <c r="W751" s="1180"/>
      <c r="X751" s="1180"/>
      <c r="Y751" s="1180"/>
      <c r="Z751" s="1168"/>
      <c r="AA751" s="1168"/>
      <c r="AB751" s="1168"/>
      <c r="AC751" s="1168"/>
      <c r="AD751" s="1177"/>
      <c r="AE751" s="1177"/>
      <c r="AF751" s="1177"/>
      <c r="AG751" s="1177"/>
      <c r="AH751" s="1177"/>
      <c r="AI751" s="1177"/>
    </row>
    <row r="752" s="1" customFormat="1" ht="18" customHeight="1" spans="1:91">
      <c r="A752" s="906" t="str">
        <f ca="1">IFERROR("Na dan "&amp;Baza!C14&amp;". godine, stalna imovina finansirana je iz vlastitih sredstava i dugoročnih obaveza sa "&amp;ROUND(AD747*100,1)&amp;"% ili sa "&amp;TEXT(P747,"#.## [$KM-141A]")&amp;". 31.12."&amp;PoslGod-1&amp;". godine, finansiranje stalne imovine iz dugoročnih izvora je bila "&amp;ROUND(AD750*100,1)&amp;"%.",0)</f>
        <v>Na dan 31.12.2025. godine, stalna imovina finansirana je iz vlastitih sredstava i dugoročnih obaveza sa 1398,9% ili sa 309.265 KM. 31.12.2024. godine, finansiranje stalne imovine iz dugoročnih izvora je bila 314,2%.</v>
      </c>
      <c r="B752" s="906"/>
      <c r="C752" s="906"/>
      <c r="D752" s="906"/>
      <c r="E752" s="906"/>
      <c r="F752" s="906"/>
      <c r="G752" s="906"/>
      <c r="H752" s="906"/>
      <c r="I752" s="906"/>
      <c r="J752" s="906"/>
      <c r="K752" s="906"/>
      <c r="L752" s="906"/>
      <c r="M752" s="906"/>
      <c r="N752" s="906"/>
      <c r="O752" s="906"/>
      <c r="P752" s="906"/>
      <c r="Q752" s="906"/>
      <c r="R752" s="906"/>
      <c r="S752" s="906"/>
      <c r="T752" s="906"/>
      <c r="U752" s="906"/>
      <c r="V752" s="906"/>
      <c r="W752" s="906"/>
      <c r="X752" s="906"/>
      <c r="Y752" s="906"/>
      <c r="Z752" s="906"/>
      <c r="AA752" s="906"/>
      <c r="AB752" s="906"/>
      <c r="AC752" s="906"/>
      <c r="AD752" s="906"/>
      <c r="AE752" s="906"/>
      <c r="AF752" s="906"/>
      <c r="AG752" s="906"/>
      <c r="AH752" s="906"/>
      <c r="AI752" s="906"/>
      <c r="AJ752" s="906"/>
      <c r="AK752" s="906"/>
      <c r="AL752" s="906"/>
      <c r="AM752" s="906"/>
      <c r="AN752" s="906"/>
      <c r="AO752" s="906"/>
      <c r="AP752" s="906"/>
      <c r="AQ752" s="906"/>
      <c r="AR752" s="906"/>
      <c r="AS752" s="906"/>
      <c r="AT752" s="906"/>
    </row>
    <row r="753" s="1" customFormat="1" ht="16.5" customHeight="1" spans="1:91">
      <c r="A753" s="906"/>
      <c r="B753" s="906"/>
      <c r="C753" s="906"/>
      <c r="D753" s="906"/>
      <c r="E753" s="906"/>
      <c r="F753" s="906"/>
      <c r="G753" s="906"/>
      <c r="H753" s="906"/>
      <c r="I753" s="906"/>
      <c r="J753" s="906"/>
      <c r="K753" s="906"/>
      <c r="L753" s="906"/>
      <c r="M753" s="906"/>
      <c r="N753" s="906"/>
      <c r="O753" s="906"/>
      <c r="P753" s="906"/>
      <c r="Q753" s="906"/>
      <c r="R753" s="906"/>
      <c r="S753" s="906"/>
      <c r="T753" s="906"/>
      <c r="U753" s="906"/>
      <c r="V753" s="906"/>
      <c r="W753" s="906"/>
      <c r="X753" s="906"/>
      <c r="Y753" s="906"/>
      <c r="Z753" s="906"/>
      <c r="AA753" s="906"/>
      <c r="AB753" s="906"/>
      <c r="AC753" s="906"/>
      <c r="AD753" s="906"/>
      <c r="AE753" s="906"/>
      <c r="AF753" s="906"/>
      <c r="AG753" s="906"/>
      <c r="AH753" s="906"/>
      <c r="AI753" s="906"/>
      <c r="AJ753" s="906"/>
      <c r="AK753" s="906"/>
      <c r="AL753" s="906"/>
      <c r="AM753" s="906"/>
      <c r="AN753" s="906"/>
      <c r="AO753" s="906"/>
      <c r="AP753" s="906"/>
      <c r="AQ753" s="906"/>
      <c r="AR753" s="906"/>
      <c r="AS753" s="906"/>
      <c r="AT753" s="906"/>
    </row>
    <row r="754" s="1" customFormat="1" ht="16.5" customHeight="1" spans="1:91">
      <c r="A754" s="906"/>
      <c r="B754" s="906"/>
      <c r="C754" s="906"/>
      <c r="D754" s="906"/>
      <c r="E754" s="906"/>
      <c r="F754" s="906"/>
      <c r="G754" s="906"/>
      <c r="H754" s="906"/>
      <c r="I754" s="906"/>
      <c r="J754" s="906"/>
      <c r="K754" s="906"/>
      <c r="L754" s="906"/>
      <c r="M754" s="906"/>
      <c r="N754" s="906"/>
      <c r="O754" s="906"/>
      <c r="P754" s="906"/>
      <c r="Q754" s="906"/>
      <c r="R754" s="906"/>
      <c r="S754" s="906"/>
      <c r="T754" s="906"/>
      <c r="U754" s="906"/>
      <c r="V754" s="906"/>
      <c r="W754" s="906"/>
      <c r="X754" s="906"/>
      <c r="Y754" s="906"/>
      <c r="Z754" s="906"/>
      <c r="AA754" s="906"/>
      <c r="AB754" s="906"/>
      <c r="AC754" s="906"/>
      <c r="AD754" s="906"/>
      <c r="AE754" s="906"/>
      <c r="AF754" s="906"/>
      <c r="AG754" s="906"/>
      <c r="AH754" s="906"/>
      <c r="AI754" s="906"/>
      <c r="AJ754" s="906"/>
      <c r="AK754" s="906"/>
      <c r="AL754" s="906"/>
      <c r="AM754" s="906"/>
      <c r="AN754" s="906"/>
      <c r="AO754" s="906"/>
      <c r="AP754" s="906"/>
      <c r="AQ754" s="906"/>
      <c r="AR754" s="906"/>
      <c r="AS754" s="906"/>
      <c r="AT754" s="906"/>
    </row>
    <row r="755" s="1" customFormat="1" ht="16.5" customHeight="1" spans="1:91">
      <c r="A755" s="907" t="str">
        <f>IFERROR("Ovaj pokazatelj je "&amp;AJ747&amp;" u odnosu na prošlu godinu za "&amp;ROUND(AO747,1)&amp;"%",0)&amp;"."</f>
        <v>Ovaj pokazatelj je POVEĆAN u odnosu na prošlu godinu za 345,3%.</v>
      </c>
      <c r="B755" s="907"/>
      <c r="C755" s="907"/>
      <c r="D755" s="907"/>
      <c r="E755" s="907"/>
      <c r="F755" s="907"/>
      <c r="G755" s="907"/>
      <c r="H755" s="907"/>
      <c r="I755" s="907"/>
      <c r="J755" s="907"/>
      <c r="K755" s="907"/>
      <c r="L755" s="907"/>
      <c r="M755" s="907"/>
      <c r="N755" s="907"/>
      <c r="O755" s="907"/>
      <c r="P755" s="907"/>
      <c r="Q755" s="907"/>
      <c r="R755" s="907"/>
      <c r="S755" s="907"/>
      <c r="T755" s="907"/>
      <c r="U755" s="907"/>
      <c r="V755" s="907"/>
      <c r="W755" s="907"/>
      <c r="X755" s="907"/>
      <c r="Y755" s="907"/>
      <c r="Z755" s="907"/>
      <c r="AA755" s="907"/>
      <c r="AB755" s="907"/>
      <c r="AC755" s="907"/>
      <c r="AD755" s="907"/>
      <c r="AE755" s="907"/>
      <c r="AF755" s="907"/>
      <c r="AG755" s="907"/>
      <c r="AH755" s="907"/>
      <c r="AI755" s="907"/>
      <c r="AJ755" s="907"/>
      <c r="AK755" s="907"/>
      <c r="AL755" s="907"/>
      <c r="AM755" s="907"/>
      <c r="AN755" s="907"/>
      <c r="AO755" s="907"/>
      <c r="AP755" s="907"/>
      <c r="AQ755" s="907"/>
      <c r="AR755" s="907"/>
      <c r="AS755" s="907"/>
    </row>
    <row r="756" s="1" customFormat="1" ht="16.5" customHeight="1" spans="1:91">
      <c r="A756" s="906" t="s">
        <v>7677</v>
      </c>
      <c r="B756" s="906"/>
      <c r="C756" s="906"/>
      <c r="D756" s="906"/>
      <c r="E756" s="906"/>
      <c r="F756" s="906"/>
      <c r="G756" s="906"/>
      <c r="H756" s="906"/>
      <c r="I756" s="906"/>
      <c r="J756" s="906"/>
      <c r="K756" s="906"/>
      <c r="L756" s="906"/>
      <c r="M756" s="906"/>
      <c r="N756" s="906"/>
      <c r="O756" s="906"/>
      <c r="P756" s="906"/>
      <c r="Q756" s="906"/>
      <c r="R756" s="906"/>
      <c r="S756" s="906"/>
      <c r="T756" s="906"/>
      <c r="U756" s="906"/>
      <c r="V756" s="906"/>
      <c r="W756" s="906"/>
      <c r="X756" s="906"/>
      <c r="Y756" s="906"/>
      <c r="Z756" s="906"/>
      <c r="AA756" s="906"/>
      <c r="AB756" s="906"/>
      <c r="AC756" s="906"/>
      <c r="AD756" s="906"/>
      <c r="AE756" s="906"/>
      <c r="AF756" s="906"/>
      <c r="AG756" s="906"/>
      <c r="AH756" s="906"/>
      <c r="AI756" s="906"/>
      <c r="AJ756" s="906"/>
      <c r="AK756" s="906"/>
      <c r="AL756" s="906"/>
      <c r="AM756" s="906"/>
      <c r="AN756" s="906"/>
      <c r="AO756" s="906"/>
      <c r="AP756" s="906"/>
      <c r="AQ756" s="906"/>
      <c r="AR756" s="906"/>
      <c r="AS756" s="906"/>
      <c r="AT756" s="906"/>
    </row>
    <row r="757" s="1" customFormat="1" ht="16.5" customHeight="1" spans="1:91">
      <c r="A757" s="906"/>
      <c r="B757" s="906"/>
      <c r="C757" s="906"/>
      <c r="D757" s="906"/>
      <c r="E757" s="906"/>
      <c r="F757" s="906"/>
      <c r="G757" s="906"/>
      <c r="H757" s="906"/>
      <c r="I757" s="906"/>
      <c r="J757" s="906"/>
      <c r="K757" s="906"/>
      <c r="L757" s="906"/>
      <c r="M757" s="906"/>
      <c r="N757" s="906"/>
      <c r="O757" s="906"/>
      <c r="P757" s="906"/>
      <c r="Q757" s="906"/>
      <c r="R757" s="906"/>
      <c r="S757" s="906"/>
      <c r="T757" s="906"/>
      <c r="U757" s="906"/>
      <c r="V757" s="906"/>
      <c r="W757" s="906"/>
      <c r="X757" s="906"/>
      <c r="Y757" s="906"/>
      <c r="Z757" s="906"/>
      <c r="AA757" s="906"/>
      <c r="AB757" s="906"/>
      <c r="AC757" s="906"/>
      <c r="AD757" s="906"/>
      <c r="AE757" s="906"/>
      <c r="AF757" s="906"/>
      <c r="AG757" s="906"/>
      <c r="AH757" s="906"/>
      <c r="AI757" s="906"/>
      <c r="AJ757" s="906"/>
      <c r="AK757" s="906"/>
      <c r="AL757" s="906"/>
      <c r="AM757" s="906"/>
      <c r="AN757" s="906"/>
      <c r="AO757" s="906"/>
      <c r="AP757" s="906"/>
      <c r="AQ757" s="906"/>
      <c r="AR757" s="906"/>
      <c r="AS757" s="906"/>
      <c r="AT757" s="906"/>
    </row>
    <row r="758" s="1" customFormat="1" ht="16.5" customHeight="1" spans="1:91">
      <c r="A758" s="906"/>
      <c r="B758" s="906"/>
      <c r="C758" s="906"/>
      <c r="D758" s="906"/>
      <c r="E758" s="906"/>
      <c r="F758" s="906"/>
      <c r="G758" s="906"/>
      <c r="H758" s="906"/>
      <c r="I758" s="906"/>
      <c r="J758" s="906"/>
      <c r="K758" s="906"/>
      <c r="L758" s="906"/>
      <c r="M758" s="906"/>
      <c r="N758" s="906"/>
      <c r="O758" s="906"/>
      <c r="P758" s="906"/>
      <c r="Q758" s="906"/>
      <c r="R758" s="906"/>
      <c r="S758" s="906"/>
      <c r="T758" s="906"/>
      <c r="U758" s="906"/>
      <c r="V758" s="906"/>
      <c r="W758" s="906"/>
      <c r="X758" s="906"/>
      <c r="Y758" s="906"/>
      <c r="Z758" s="906"/>
      <c r="AA758" s="906"/>
      <c r="AB758" s="906"/>
      <c r="AC758" s="906"/>
      <c r="AD758" s="906"/>
      <c r="AE758" s="906"/>
      <c r="AF758" s="906"/>
      <c r="AG758" s="906"/>
      <c r="AH758" s="906"/>
      <c r="AI758" s="906"/>
      <c r="AJ758" s="906"/>
      <c r="AK758" s="906"/>
      <c r="AL758" s="906"/>
      <c r="AM758" s="906"/>
      <c r="AN758" s="906"/>
      <c r="AO758" s="906"/>
      <c r="AP758" s="906"/>
      <c r="AQ758" s="906"/>
      <c r="AR758" s="906"/>
      <c r="AS758" s="906"/>
      <c r="AT758" s="906"/>
    </row>
    <row r="759" s="570" customFormat="1" ht="16.5" customHeight="1"/>
    <row r="760" s="570" customFormat="1" ht="16.5" customHeight="1"/>
    <row r="761" s="570" customFormat="1" ht="16.5" customHeight="1" spans="1:91">
      <c r="D761" s="1166" t="s">
        <v>7453</v>
      </c>
    </row>
    <row r="762" s="570" customFormat="1" ht="9" customHeight="1"/>
    <row r="763" s="570" customFormat="1" ht="16.5" customHeight="1" spans="1:91">
      <c r="A763" s="1175" t="s">
        <v>7678</v>
      </c>
      <c r="B763" s="1175"/>
      <c r="C763" s="1175"/>
      <c r="D763" s="1175"/>
      <c r="E763" s="1175"/>
      <c r="F763" s="1175"/>
      <c r="G763" s="1175"/>
      <c r="H763" s="1175"/>
      <c r="I763" s="1175"/>
      <c r="J763" s="1175"/>
      <c r="K763" s="1175"/>
      <c r="L763" s="1175"/>
      <c r="M763" s="1175"/>
      <c r="N763" s="1175"/>
      <c r="O763" s="1175"/>
      <c r="R763" s="570" t="s">
        <v>7679</v>
      </c>
      <c r="Z763" s="1168" t="s">
        <v>7649</v>
      </c>
      <c r="AA763" s="1168"/>
      <c r="AB763" s="1168"/>
      <c r="AC763" s="1168"/>
      <c r="AD763" s="1169"/>
      <c r="AE763" s="1169"/>
      <c r="AF763" s="1169"/>
      <c r="AG763" s="1169"/>
      <c r="AH763" s="1170"/>
      <c r="AI763" s="1170"/>
    </row>
    <row r="764" s="570" customFormat="1" ht="16.5" customHeight="1" spans="1:91">
      <c r="A764" s="1175"/>
      <c r="B764" s="1175"/>
      <c r="C764" s="1175"/>
      <c r="D764" s="1175"/>
      <c r="E764" s="1175"/>
      <c r="F764" s="1175"/>
      <c r="G764" s="1175"/>
      <c r="H764" s="1175"/>
      <c r="I764" s="1175"/>
      <c r="J764" s="1175"/>
      <c r="K764" s="1175"/>
      <c r="L764" s="1175"/>
      <c r="M764" s="1175"/>
      <c r="N764" s="1175"/>
      <c r="O764" s="1175"/>
      <c r="P764" s="1171"/>
      <c r="Q764" s="1171"/>
      <c r="R764" s="1171" t="s">
        <v>7680</v>
      </c>
      <c r="S764" s="1171"/>
      <c r="T764" s="1171"/>
      <c r="U764" s="1171"/>
      <c r="V764" s="1171"/>
      <c r="W764" s="1171"/>
      <c r="X764" s="1171"/>
      <c r="Y764" s="1171"/>
      <c r="Z764" s="1168"/>
      <c r="AA764" s="1168"/>
      <c r="AB764" s="1168"/>
      <c r="AC764" s="1168"/>
      <c r="AD764" s="1169"/>
      <c r="AE764" s="1169"/>
      <c r="AF764" s="1169"/>
      <c r="AG764" s="1169"/>
      <c r="AH764" s="1170"/>
      <c r="AI764" s="1170"/>
    </row>
    <row r="765" s="570" customFormat="1" ht="10.5" customHeight="1" spans="1:91">
      <c r="A765" s="1172"/>
      <c r="B765" s="1172"/>
      <c r="C765" s="1172"/>
      <c r="D765" s="1172"/>
      <c r="E765" s="1172"/>
      <c r="F765" s="1172"/>
      <c r="G765" s="1172"/>
      <c r="H765" s="1172"/>
      <c r="I765" s="1172"/>
      <c r="J765" s="1172"/>
      <c r="K765" s="1172"/>
      <c r="L765" s="1172"/>
      <c r="M765" s="1172"/>
      <c r="N765" s="1172"/>
      <c r="O765" s="1172"/>
      <c r="Z765" s="1173"/>
      <c r="AA765" s="1173"/>
      <c r="AB765" s="1173"/>
      <c r="AC765" s="1173"/>
      <c r="AD765" s="1173"/>
      <c r="AE765" s="1173"/>
      <c r="AF765" s="1173"/>
      <c r="AG765" s="1173"/>
      <c r="AJ765" s="1174"/>
      <c r="AK765" s="1174"/>
      <c r="AL765" s="1174"/>
      <c r="AM765" s="1174"/>
      <c r="AN765" s="1174"/>
      <c r="AO765" s="1174"/>
      <c r="AP765" s="1174"/>
      <c r="AQ765" s="1174"/>
      <c r="AR765" s="1174"/>
      <c r="AS765" s="1174"/>
      <c r="AT765" s="1174"/>
      <c r="AU765" s="1174"/>
    </row>
    <row r="766" s="570" customFormat="1" ht="16.5" customHeight="1" spans="1:91">
      <c r="A766" s="1172"/>
      <c r="B766" s="1172"/>
      <c r="C766" s="1172"/>
      <c r="D766" s="1172"/>
      <c r="E766" s="1172"/>
      <c r="F766" s="1172"/>
      <c r="G766" s="1172"/>
      <c r="H766" s="1172"/>
      <c r="I766" s="1172"/>
      <c r="J766" s="1172"/>
      <c r="K766" s="1172"/>
      <c r="L766" s="1181" t="str">
        <f ca="1">PoslGod&amp;" ="</f>
        <v>2025 =</v>
      </c>
      <c r="M766" s="1181"/>
      <c r="N766" s="1181"/>
      <c r="O766" s="1181"/>
      <c r="P766" s="1176">
        <f>R90</f>
        <v>247772</v>
      </c>
      <c r="Q766" s="1176"/>
      <c r="R766" s="1176"/>
      <c r="S766" s="1176"/>
      <c r="T766" s="1176"/>
      <c r="U766" s="1176"/>
      <c r="V766" s="1176"/>
      <c r="W766" s="1176"/>
      <c r="X766" s="1176"/>
      <c r="Y766" s="1176"/>
      <c r="Z766" s="1168" t="s">
        <v>7649</v>
      </c>
      <c r="AA766" s="1168"/>
      <c r="AB766" s="1168"/>
      <c r="AC766" s="1168"/>
      <c r="AD766" s="1177">
        <f>IFERROR(P766/P767,0)</f>
        <v>0.807156422934982</v>
      </c>
      <c r="AE766" s="1177"/>
      <c r="AF766" s="1177"/>
      <c r="AG766" s="1177"/>
      <c r="AH766" s="1177"/>
      <c r="AI766" s="1177"/>
      <c r="AJ766" s="570" t="str">
        <f>IF(AD766-AD769&gt;0,"POVEĆAN","SMANJEN")</f>
        <v>SMANJEN</v>
      </c>
      <c r="AK766" s="1174"/>
      <c r="AL766" s="1174"/>
      <c r="AM766" s="1174"/>
      <c r="AN766" s="1174"/>
      <c r="AO766" s="1178">
        <f>ROUND(IF(AD766/AD769&gt;1,AD766/AD769*100-100,100-(AD766/AD769*100)),1)</f>
        <v>40.1</v>
      </c>
      <c r="AP766" s="1178"/>
      <c r="AQ766" s="1178"/>
      <c r="AR766" s="1178"/>
      <c r="AS766" s="1178"/>
      <c r="AT766" s="1174" t="s">
        <v>20</v>
      </c>
      <c r="AU766" s="1174"/>
      <c r="CM766" s="1179"/>
    </row>
    <row r="767" s="570" customFormat="1" ht="16.5" customHeight="1" spans="1:91">
      <c r="A767" s="1172"/>
      <c r="B767" s="1172"/>
      <c r="C767" s="1172"/>
      <c r="D767" s="1172"/>
      <c r="E767" s="1172"/>
      <c r="F767" s="1172"/>
      <c r="G767" s="1172"/>
      <c r="H767" s="1172"/>
      <c r="I767" s="1172"/>
      <c r="J767" s="1172"/>
      <c r="K767" s="1172"/>
      <c r="L767" s="1181"/>
      <c r="M767" s="1181"/>
      <c r="N767" s="1181"/>
      <c r="O767" s="1181"/>
      <c r="P767" s="1180">
        <f>R202+0.00001</f>
        <v>306969.00001</v>
      </c>
      <c r="Q767" s="1180"/>
      <c r="R767" s="1180"/>
      <c r="S767" s="1180"/>
      <c r="T767" s="1180"/>
      <c r="U767" s="1180"/>
      <c r="V767" s="1180"/>
      <c r="W767" s="1180"/>
      <c r="X767" s="1180"/>
      <c r="Y767" s="1180"/>
      <c r="Z767" s="1168"/>
      <c r="AA767" s="1168"/>
      <c r="AB767" s="1168"/>
      <c r="AC767" s="1168"/>
      <c r="AD767" s="1177"/>
      <c r="AE767" s="1177"/>
      <c r="AF767" s="1177"/>
      <c r="AG767" s="1177"/>
      <c r="AH767" s="1177"/>
      <c r="AI767" s="1177"/>
      <c r="AJ767" s="1174"/>
      <c r="AK767" s="1174"/>
      <c r="AL767" s="1174"/>
      <c r="AM767" s="1174"/>
      <c r="AN767" s="1174"/>
      <c r="AO767" s="1185"/>
      <c r="AP767" s="1185"/>
      <c r="AQ767" s="1185"/>
      <c r="AR767" s="1185"/>
      <c r="AS767" s="1185"/>
      <c r="AT767" s="1174"/>
      <c r="AU767" s="1174"/>
    </row>
    <row r="768" s="570" customFormat="1" ht="13.5" customHeight="1" spans="1:91">
      <c r="A768" s="1172"/>
      <c r="B768" s="1172"/>
      <c r="C768" s="1172"/>
      <c r="D768" s="1172"/>
      <c r="E768" s="1172"/>
      <c r="F768" s="1172"/>
      <c r="G768" s="1172"/>
      <c r="H768" s="1172"/>
      <c r="I768" s="1172"/>
      <c r="J768" s="1172"/>
      <c r="K768" s="1172"/>
      <c r="L768" s="1172"/>
      <c r="M768" s="1172"/>
      <c r="N768" s="1172"/>
      <c r="O768" s="1172"/>
      <c r="Z768" s="1173"/>
      <c r="AA768" s="1173"/>
      <c r="AB768" s="1173"/>
      <c r="AC768" s="1173"/>
      <c r="AD768" s="1173"/>
      <c r="AE768" s="1173"/>
      <c r="AF768" s="1173"/>
      <c r="AG768" s="1173"/>
    </row>
    <row r="769" s="570" customFormat="1" ht="16.5" customHeight="1" spans="1:91">
      <c r="A769" s="1172"/>
      <c r="B769" s="1172"/>
      <c r="C769" s="1172"/>
      <c r="D769" s="1172"/>
      <c r="E769" s="1172"/>
      <c r="F769" s="1172"/>
      <c r="G769" s="1172"/>
      <c r="H769" s="1172"/>
      <c r="I769" s="1172"/>
      <c r="J769" s="1172"/>
      <c r="K769" s="1172"/>
      <c r="L769" s="1181" t="str">
        <f ca="1">PoslGod-1&amp;" ="</f>
        <v>2024 =</v>
      </c>
      <c r="M769" s="1181"/>
      <c r="N769" s="1181"/>
      <c r="O769" s="1181"/>
      <c r="P769" s="1176">
        <f>AD90</f>
        <v>384523</v>
      </c>
      <c r="Q769" s="1176"/>
      <c r="R769" s="1176"/>
      <c r="S769" s="1176"/>
      <c r="T769" s="1176"/>
      <c r="U769" s="1176"/>
      <c r="V769" s="1176"/>
      <c r="W769" s="1176"/>
      <c r="X769" s="1176"/>
      <c r="Y769" s="1176"/>
      <c r="Z769" s="1168" t="s">
        <v>7649</v>
      </c>
      <c r="AA769" s="1168"/>
      <c r="AB769" s="1168"/>
      <c r="AC769" s="1168"/>
      <c r="AD769" s="1177">
        <f>IFERROR(P769/P770,0)</f>
        <v>1.34787455171049</v>
      </c>
      <c r="AE769" s="1177"/>
      <c r="AF769" s="1177"/>
      <c r="AG769" s="1177"/>
      <c r="AH769" s="1177"/>
      <c r="AI769" s="1177"/>
    </row>
    <row r="770" s="570" customFormat="1" ht="16.5" customHeight="1" spans="1:91">
      <c r="A770" s="1172"/>
      <c r="B770" s="1172"/>
      <c r="C770" s="1172"/>
      <c r="D770" s="1172"/>
      <c r="E770" s="1172"/>
      <c r="F770" s="1172"/>
      <c r="G770" s="1172"/>
      <c r="H770" s="1172"/>
      <c r="I770" s="1172"/>
      <c r="J770" s="1172"/>
      <c r="K770" s="1172"/>
      <c r="L770" s="1181"/>
      <c r="M770" s="1181"/>
      <c r="N770" s="1181"/>
      <c r="O770" s="1181"/>
      <c r="P770" s="1180">
        <f>AD202+0.00001</f>
        <v>285281.00001</v>
      </c>
      <c r="Q770" s="1180"/>
      <c r="R770" s="1180"/>
      <c r="S770" s="1180"/>
      <c r="T770" s="1180"/>
      <c r="U770" s="1180"/>
      <c r="V770" s="1180"/>
      <c r="W770" s="1180"/>
      <c r="X770" s="1180"/>
      <c r="Y770" s="1180"/>
      <c r="Z770" s="1168"/>
      <c r="AA770" s="1168"/>
      <c r="AB770" s="1168"/>
      <c r="AC770" s="1168"/>
      <c r="AD770" s="1177"/>
      <c r="AE770" s="1177"/>
      <c r="AF770" s="1177"/>
      <c r="AG770" s="1177"/>
      <c r="AH770" s="1177"/>
      <c r="AI770" s="1177"/>
    </row>
    <row r="771" s="1" customFormat="1" ht="25.5" customHeight="1" spans="1:91">
      <c r="A771" s="906" t="str">
        <f ca="1">IFERROR("U "&amp;PoslGod&amp;". godini, za svakih 100 KM rashoda, preduzeće ostvari "&amp;ROUND(AD766*100,2)&amp;" KM prihoda. U istom periodu prošle godine, za svakih 100 KM rashoda ostvarilo je "&amp;ROUND(AD769*100,2)&amp;" KM prihoda.",0)</f>
        <v>U 2025. godini, za svakih 100 KM rashoda, preduzeće ostvari 80,72 KM prihoda. U istom periodu prošle godine, za svakih 100 KM rashoda ostvarilo je 134,79 KM prihoda.</v>
      </c>
      <c r="B771" s="906"/>
      <c r="C771" s="906"/>
      <c r="D771" s="906"/>
      <c r="E771" s="906"/>
      <c r="F771" s="906"/>
      <c r="G771" s="906"/>
      <c r="H771" s="906"/>
      <c r="I771" s="906"/>
      <c r="J771" s="906"/>
      <c r="K771" s="906"/>
      <c r="L771" s="906"/>
      <c r="M771" s="906"/>
      <c r="N771" s="906"/>
      <c r="O771" s="906"/>
      <c r="P771" s="906"/>
      <c r="Q771" s="906"/>
      <c r="R771" s="906"/>
      <c r="S771" s="906"/>
      <c r="T771" s="906"/>
      <c r="U771" s="906"/>
      <c r="V771" s="906"/>
      <c r="W771" s="906"/>
      <c r="X771" s="906"/>
      <c r="Y771" s="906"/>
      <c r="Z771" s="906"/>
      <c r="AA771" s="906"/>
      <c r="AB771" s="906"/>
      <c r="AC771" s="906"/>
      <c r="AD771" s="906"/>
      <c r="AE771" s="906"/>
      <c r="AF771" s="906"/>
      <c r="AG771" s="906"/>
      <c r="AH771" s="906"/>
      <c r="AI771" s="906"/>
      <c r="AJ771" s="906"/>
      <c r="AK771" s="906"/>
      <c r="AL771" s="906"/>
      <c r="AM771" s="906"/>
      <c r="AN771" s="906"/>
      <c r="AO771" s="906"/>
      <c r="AP771" s="906"/>
      <c r="AQ771" s="906"/>
      <c r="AR771" s="906"/>
      <c r="AS771" s="906"/>
      <c r="AT771" s="906"/>
    </row>
    <row r="772" s="1" customFormat="1" ht="16.5" customHeight="1" spans="1:91">
      <c r="A772" s="906"/>
      <c r="B772" s="906"/>
      <c r="C772" s="906"/>
      <c r="D772" s="906"/>
      <c r="E772" s="906"/>
      <c r="F772" s="906"/>
      <c r="G772" s="906"/>
      <c r="H772" s="906"/>
      <c r="I772" s="906"/>
      <c r="J772" s="906"/>
      <c r="K772" s="906"/>
      <c r="L772" s="906"/>
      <c r="M772" s="906"/>
      <c r="N772" s="906"/>
      <c r="O772" s="906"/>
      <c r="P772" s="906"/>
      <c r="Q772" s="906"/>
      <c r="R772" s="906"/>
      <c r="S772" s="906"/>
      <c r="T772" s="906"/>
      <c r="U772" s="906"/>
      <c r="V772" s="906"/>
      <c r="W772" s="906"/>
      <c r="X772" s="906"/>
      <c r="Y772" s="906"/>
      <c r="Z772" s="906"/>
      <c r="AA772" s="906"/>
      <c r="AB772" s="906"/>
      <c r="AC772" s="906"/>
      <c r="AD772" s="906"/>
      <c r="AE772" s="906"/>
      <c r="AF772" s="906"/>
      <c r="AG772" s="906"/>
      <c r="AH772" s="906"/>
      <c r="AI772" s="906"/>
      <c r="AJ772" s="906"/>
      <c r="AK772" s="906"/>
      <c r="AL772" s="906"/>
      <c r="AM772" s="906"/>
      <c r="AN772" s="906"/>
      <c r="AO772" s="906"/>
      <c r="AP772" s="906"/>
      <c r="AQ772" s="906"/>
      <c r="AR772" s="906"/>
      <c r="AS772" s="906"/>
      <c r="AT772" s="906"/>
    </row>
    <row r="773" s="1" customFormat="1" ht="16.5" customHeight="1" spans="1:91">
      <c r="A773" s="907" t="str">
        <f>IFERROR("Ovaj pokazatelj je "&amp;AJ766&amp;" u odnosu na prošlu godinu za "&amp;ROUND(AO766,1)&amp;"%",0)&amp;"."</f>
        <v>Ovaj pokazatelj je SMANJEN u odnosu na prošlu godinu za 40,1%.</v>
      </c>
      <c r="B773" s="907"/>
      <c r="C773" s="907"/>
      <c r="D773" s="907"/>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907"/>
      <c r="AF773" s="907"/>
      <c r="AG773" s="907"/>
      <c r="AH773" s="907"/>
      <c r="AI773" s="907"/>
      <c r="AJ773" s="907"/>
      <c r="AK773" s="907"/>
      <c r="AL773" s="907"/>
      <c r="AM773" s="907"/>
      <c r="AN773" s="907"/>
      <c r="AO773" s="907"/>
      <c r="AP773" s="907"/>
      <c r="AQ773" s="907"/>
      <c r="AR773" s="907"/>
      <c r="AS773" s="907"/>
      <c r="AT773" s="907"/>
    </row>
    <row r="774" s="1" customFormat="1" ht="16.5" customHeight="1" spans="1:91">
      <c r="A774" s="906" t="s">
        <v>7681</v>
      </c>
      <c r="B774" s="906"/>
      <c r="C774" s="906"/>
      <c r="D774" s="906"/>
      <c r="E774" s="906"/>
      <c r="F774" s="906"/>
      <c r="G774" s="906"/>
      <c r="H774" s="906"/>
      <c r="I774" s="906"/>
      <c r="J774" s="906"/>
      <c r="K774" s="906"/>
      <c r="L774" s="906"/>
      <c r="M774" s="906"/>
      <c r="N774" s="906"/>
      <c r="O774" s="906"/>
      <c r="P774" s="906"/>
      <c r="Q774" s="906"/>
      <c r="R774" s="906"/>
      <c r="S774" s="906"/>
      <c r="T774" s="906"/>
      <c r="U774" s="906"/>
      <c r="V774" s="906"/>
      <c r="W774" s="906"/>
      <c r="X774" s="906"/>
      <c r="Y774" s="906"/>
      <c r="Z774" s="906"/>
      <c r="AA774" s="906"/>
      <c r="AB774" s="906"/>
      <c r="AC774" s="906"/>
      <c r="AD774" s="906"/>
      <c r="AE774" s="906"/>
      <c r="AF774" s="906"/>
      <c r="AG774" s="906"/>
      <c r="AH774" s="906"/>
      <c r="AI774" s="906"/>
      <c r="AJ774" s="906"/>
      <c r="AK774" s="906"/>
      <c r="AL774" s="906"/>
      <c r="AM774" s="906"/>
      <c r="AN774" s="906"/>
      <c r="AO774" s="906"/>
      <c r="AP774" s="906"/>
      <c r="AQ774" s="906"/>
      <c r="AR774" s="906"/>
      <c r="AS774" s="906"/>
      <c r="AT774" s="906"/>
    </row>
    <row r="775" s="1" customFormat="1" ht="16.5" customHeight="1" spans="1:91">
      <c r="A775" s="906"/>
      <c r="B775" s="906"/>
      <c r="C775" s="906"/>
      <c r="D775" s="906"/>
      <c r="E775" s="906"/>
      <c r="F775" s="906"/>
      <c r="G775" s="906"/>
      <c r="H775" s="906"/>
      <c r="I775" s="906"/>
      <c r="J775" s="906"/>
      <c r="K775" s="906"/>
      <c r="L775" s="906"/>
      <c r="M775" s="906"/>
      <c r="N775" s="906"/>
      <c r="O775" s="906"/>
      <c r="P775" s="906"/>
      <c r="Q775" s="906"/>
      <c r="R775" s="906"/>
      <c r="S775" s="906"/>
      <c r="T775" s="906"/>
      <c r="U775" s="906"/>
      <c r="V775" s="906"/>
      <c r="W775" s="906"/>
      <c r="X775" s="906"/>
      <c r="Y775" s="906"/>
      <c r="Z775" s="906"/>
      <c r="AA775" s="906"/>
      <c r="AB775" s="906"/>
      <c r="AC775" s="906"/>
      <c r="AD775" s="906"/>
      <c r="AE775" s="906"/>
      <c r="AF775" s="906"/>
      <c r="AG775" s="906"/>
      <c r="AH775" s="906"/>
      <c r="AI775" s="906"/>
      <c r="AJ775" s="906"/>
      <c r="AK775" s="906"/>
      <c r="AL775" s="906"/>
      <c r="AM775" s="906"/>
      <c r="AN775" s="906"/>
      <c r="AO775" s="906"/>
      <c r="AP775" s="906"/>
      <c r="AQ775" s="906"/>
      <c r="AR775" s="906"/>
      <c r="AS775" s="906"/>
      <c r="AT775" s="906"/>
    </row>
    <row r="776" s="1" customFormat="1" ht="16.5" customHeight="1" spans="1:91">
      <c r="A776" s="906"/>
      <c r="B776" s="906"/>
      <c r="C776" s="906"/>
      <c r="D776" s="906"/>
      <c r="E776" s="906"/>
      <c r="F776" s="906"/>
      <c r="G776" s="906"/>
      <c r="H776" s="906"/>
      <c r="I776" s="906"/>
      <c r="J776" s="906"/>
      <c r="K776" s="906"/>
      <c r="L776" s="906"/>
      <c r="M776" s="906"/>
      <c r="N776" s="906"/>
      <c r="O776" s="906"/>
      <c r="P776" s="906"/>
      <c r="Q776" s="906"/>
      <c r="R776" s="906"/>
      <c r="S776" s="906"/>
      <c r="T776" s="906"/>
      <c r="U776" s="906"/>
      <c r="V776" s="906"/>
      <c r="W776" s="906"/>
      <c r="X776" s="906"/>
      <c r="Y776" s="906"/>
      <c r="Z776" s="906"/>
      <c r="AA776" s="906"/>
      <c r="AB776" s="906"/>
      <c r="AC776" s="906"/>
      <c r="AD776" s="906"/>
      <c r="AE776" s="906"/>
      <c r="AF776" s="906"/>
      <c r="AG776" s="906"/>
      <c r="AH776" s="906"/>
      <c r="AI776" s="906"/>
      <c r="AJ776" s="906"/>
      <c r="AK776" s="906"/>
      <c r="AL776" s="906"/>
      <c r="AM776" s="906"/>
      <c r="AN776" s="906"/>
      <c r="AO776" s="906"/>
      <c r="AP776" s="906"/>
      <c r="AQ776" s="906"/>
      <c r="AR776" s="906"/>
      <c r="AS776" s="906"/>
      <c r="AT776" s="906"/>
    </row>
    <row r="777" s="570" customFormat="1" ht="16.5" customHeight="1"/>
    <row r="778" s="570" customFormat="1" ht="16.5" customHeight="1"/>
    <row r="779" s="570" customFormat="1" ht="16.5" customHeight="1"/>
    <row r="780" s="570" customFormat="1" ht="16.5" customHeight="1"/>
    <row r="781" s="570" customFormat="1" ht="16.5" customHeight="1" spans="1:91">
      <c r="A781" s="1175" t="s">
        <v>7682</v>
      </c>
      <c r="B781" s="1175"/>
      <c r="C781" s="1175"/>
      <c r="D781" s="1175"/>
      <c r="E781" s="1175"/>
      <c r="F781" s="1175"/>
      <c r="G781" s="1175"/>
      <c r="H781" s="1175"/>
      <c r="I781" s="1175"/>
      <c r="J781" s="1175"/>
      <c r="K781" s="1175"/>
      <c r="L781" s="1175"/>
      <c r="M781" s="1175"/>
      <c r="N781" s="1175"/>
      <c r="O781" s="1175"/>
      <c r="P781" s="1190" t="s">
        <v>7683</v>
      </c>
      <c r="Q781" s="1190"/>
      <c r="R781" s="1190"/>
      <c r="S781" s="1190"/>
      <c r="T781" s="1190"/>
      <c r="U781" s="1190"/>
      <c r="V781" s="1190"/>
      <c r="W781" s="1190"/>
      <c r="X781" s="1190"/>
      <c r="Y781" s="1190"/>
      <c r="Z781" s="1181" t="s">
        <v>7649</v>
      </c>
      <c r="AA781" s="1181"/>
      <c r="AB781" s="1181"/>
      <c r="AC781" s="1181"/>
      <c r="AD781" s="1183"/>
      <c r="AE781" s="1183"/>
      <c r="AF781" s="1183"/>
      <c r="AG781" s="1183"/>
      <c r="AH781" s="1170"/>
      <c r="AI781" s="1170"/>
    </row>
    <row r="782" s="570" customFormat="1" ht="16.5" customHeight="1" spans="1:91">
      <c r="A782" s="1175"/>
      <c r="B782" s="1175"/>
      <c r="C782" s="1175"/>
      <c r="D782" s="1175"/>
      <c r="E782" s="1175"/>
      <c r="F782" s="1175"/>
      <c r="G782" s="1175"/>
      <c r="H782" s="1175"/>
      <c r="I782" s="1175"/>
      <c r="J782" s="1175"/>
      <c r="K782" s="1175"/>
      <c r="L782" s="1175"/>
      <c r="M782" s="1175"/>
      <c r="N782" s="1175"/>
      <c r="O782" s="1175"/>
      <c r="P782" s="1191" t="s">
        <v>7684</v>
      </c>
      <c r="Q782" s="1191"/>
      <c r="R782" s="1191"/>
      <c r="S782" s="1191"/>
      <c r="T782" s="1191"/>
      <c r="U782" s="1191"/>
      <c r="V782" s="1191"/>
      <c r="W782" s="1191"/>
      <c r="X782" s="1191"/>
      <c r="Y782" s="1191"/>
      <c r="Z782" s="1181"/>
      <c r="AA782" s="1181"/>
      <c r="AB782" s="1181"/>
      <c r="AC782" s="1181"/>
      <c r="AD782" s="1183"/>
      <c r="AE782" s="1183"/>
      <c r="AF782" s="1183"/>
      <c r="AG782" s="1183"/>
      <c r="AH782" s="1170"/>
      <c r="AI782" s="1170"/>
    </row>
    <row r="783" s="570" customFormat="1" ht="14.25" customHeight="1" spans="1:91">
      <c r="A783" s="1172"/>
      <c r="B783" s="1172"/>
      <c r="C783" s="1172"/>
      <c r="D783" s="1172"/>
      <c r="E783" s="1172"/>
      <c r="F783" s="1172"/>
      <c r="G783" s="1172"/>
      <c r="H783" s="1172"/>
      <c r="I783" s="1172"/>
      <c r="J783" s="1172"/>
      <c r="K783" s="1172"/>
      <c r="L783" s="1172"/>
      <c r="M783" s="1172"/>
      <c r="N783" s="1172"/>
      <c r="O783" s="1172"/>
      <c r="Z783" s="1172"/>
      <c r="AA783" s="1172"/>
      <c r="AB783" s="1172"/>
      <c r="AC783" s="1172"/>
      <c r="AD783" s="1172"/>
      <c r="AE783" s="1172"/>
      <c r="AF783" s="1172"/>
      <c r="AG783" s="1172"/>
      <c r="AJ783" s="1174"/>
      <c r="AK783" s="1174"/>
      <c r="AL783" s="1174"/>
      <c r="AM783" s="1174"/>
      <c r="AN783" s="1174"/>
      <c r="AO783" s="1174"/>
      <c r="AP783" s="1174"/>
      <c r="AQ783" s="1174"/>
      <c r="AR783" s="1174"/>
      <c r="AS783" s="1174"/>
      <c r="AT783" s="1174"/>
      <c r="AU783" s="1174"/>
    </row>
    <row r="784" s="570" customFormat="1" ht="16.5" customHeight="1" spans="1:91">
      <c r="A784" s="1172"/>
      <c r="B784" s="1172"/>
      <c r="C784" s="1172"/>
      <c r="D784" s="1172"/>
      <c r="E784" s="1172"/>
      <c r="F784" s="1172"/>
      <c r="G784" s="1172"/>
      <c r="H784" s="1172"/>
      <c r="I784" s="1172"/>
      <c r="J784" s="1172"/>
      <c r="K784" s="1172"/>
      <c r="L784" s="1181" t="str">
        <f ca="1">PoslGod&amp;" ="</f>
        <v>2025 =</v>
      </c>
      <c r="M784" s="1181"/>
      <c r="N784" s="1181"/>
      <c r="O784" s="1181"/>
      <c r="P784" s="1176">
        <f>B_Uspjeha!AI21</f>
        <v>245707</v>
      </c>
      <c r="Q784" s="1176"/>
      <c r="R784" s="1176"/>
      <c r="S784" s="1176"/>
      <c r="T784" s="1176"/>
      <c r="U784" s="1176"/>
      <c r="V784" s="1176"/>
      <c r="W784" s="1176"/>
      <c r="X784" s="1176"/>
      <c r="Y784" s="1176"/>
      <c r="Z784" s="1181" t="s">
        <v>7649</v>
      </c>
      <c r="AA784" s="1181"/>
      <c r="AB784" s="1181"/>
      <c r="AC784" s="1181"/>
      <c r="AD784" s="1184">
        <f>IFERROR(P784/P785,0)</f>
        <v>0.840969842715064</v>
      </c>
      <c r="AE784" s="1184"/>
      <c r="AF784" s="1184"/>
      <c r="AG784" s="1184"/>
      <c r="AH784" s="1184"/>
      <c r="AI784" s="1184"/>
      <c r="AJ784" s="570" t="str">
        <f>IF(AD784-AD787&gt;0,"POVEĆAN","SMANJEN")</f>
        <v>SMANJEN</v>
      </c>
      <c r="AK784" s="1174"/>
      <c r="AL784" s="1174"/>
      <c r="AM784" s="1174"/>
      <c r="AN784" s="1174"/>
      <c r="AO784" s="1178">
        <f>ROUND(IF(AD784/AD787&gt;1,AD784/AD787*100-100,100-(AD784/AD787*100)),1)</f>
        <v>22.9</v>
      </c>
      <c r="AP784" s="1178"/>
      <c r="AQ784" s="1178"/>
      <c r="AR784" s="1178"/>
      <c r="AS784" s="1178"/>
      <c r="AT784" s="1174" t="s">
        <v>20</v>
      </c>
      <c r="AU784" s="1174"/>
      <c r="CM784" s="1179"/>
    </row>
    <row r="785" s="570" customFormat="1" ht="16.5" customHeight="1" spans="1:47">
      <c r="A785" s="1172"/>
      <c r="B785" s="1172"/>
      <c r="C785" s="1172"/>
      <c r="D785" s="1172"/>
      <c r="E785" s="1172"/>
      <c r="F785" s="1172"/>
      <c r="G785" s="1172"/>
      <c r="H785" s="1172"/>
      <c r="I785" s="1172"/>
      <c r="J785" s="1172"/>
      <c r="K785" s="1172"/>
      <c r="L785" s="1181"/>
      <c r="M785" s="1181"/>
      <c r="N785" s="1181"/>
      <c r="O785" s="1181"/>
      <c r="P785" s="1180">
        <f>B_Uspjeha!AI80+0.0001</f>
        <v>292171.0001</v>
      </c>
      <c r="Q785" s="1180"/>
      <c r="R785" s="1180"/>
      <c r="S785" s="1180"/>
      <c r="T785" s="1180"/>
      <c r="U785" s="1180"/>
      <c r="V785" s="1180"/>
      <c r="W785" s="1180"/>
      <c r="X785" s="1180"/>
      <c r="Y785" s="1180"/>
      <c r="Z785" s="1181"/>
      <c r="AA785" s="1181"/>
      <c r="AB785" s="1181"/>
      <c r="AC785" s="1181"/>
      <c r="AD785" s="1184"/>
      <c r="AE785" s="1184"/>
      <c r="AF785" s="1184"/>
      <c r="AG785" s="1184"/>
      <c r="AH785" s="1184"/>
      <c r="AI785" s="1184"/>
      <c r="AJ785" s="1174"/>
      <c r="AK785" s="1174"/>
      <c r="AL785" s="1174"/>
      <c r="AM785" s="1174"/>
      <c r="AN785" s="1174"/>
      <c r="AO785" s="1185"/>
      <c r="AP785" s="1185"/>
      <c r="AQ785" s="1185"/>
      <c r="AR785" s="1185"/>
      <c r="AS785" s="1185"/>
      <c r="AT785" s="1174"/>
      <c r="AU785" s="1174"/>
    </row>
    <row r="786" s="570" customFormat="1" ht="16.5" customHeight="1" spans="1:47">
      <c r="A786" s="1172"/>
      <c r="B786" s="1172"/>
      <c r="C786" s="1172"/>
      <c r="D786" s="1172"/>
      <c r="E786" s="1172"/>
      <c r="F786" s="1172"/>
      <c r="G786" s="1172"/>
      <c r="H786" s="1172"/>
      <c r="I786" s="1172"/>
      <c r="J786" s="1172"/>
      <c r="K786" s="1172"/>
      <c r="L786" s="1172"/>
      <c r="M786" s="1172"/>
      <c r="N786" s="1172"/>
      <c r="O786" s="1172"/>
      <c r="Z786" s="1172"/>
      <c r="AA786" s="1172"/>
      <c r="AB786" s="1172"/>
      <c r="AC786" s="1172"/>
      <c r="AD786" s="1172"/>
      <c r="AE786" s="1172"/>
      <c r="AF786" s="1172"/>
      <c r="AG786" s="1172"/>
    </row>
    <row r="787" s="570" customFormat="1" ht="16.5" customHeight="1" spans="1:47">
      <c r="A787" s="1172"/>
      <c r="B787" s="1172"/>
      <c r="C787" s="1172"/>
      <c r="D787" s="1172"/>
      <c r="E787" s="1172"/>
      <c r="F787" s="1172"/>
      <c r="G787" s="1172"/>
      <c r="H787" s="1172"/>
      <c r="I787" s="1172"/>
      <c r="J787" s="1172"/>
      <c r="K787" s="1172"/>
      <c r="L787" s="1181" t="str">
        <f ca="1">PoslGod-1&amp;" ="</f>
        <v>2024 =</v>
      </c>
      <c r="M787" s="1181"/>
      <c r="N787" s="1181"/>
      <c r="O787" s="1181"/>
      <c r="P787" s="1176">
        <f>B_Uspjeha!AP21</f>
        <v>308500</v>
      </c>
      <c r="Q787" s="1176"/>
      <c r="R787" s="1176"/>
      <c r="S787" s="1176"/>
      <c r="T787" s="1176"/>
      <c r="U787" s="1176"/>
      <c r="V787" s="1176"/>
      <c r="W787" s="1176"/>
      <c r="X787" s="1176"/>
      <c r="Y787" s="1176"/>
      <c r="Z787" s="1181" t="s">
        <v>7649</v>
      </c>
      <c r="AA787" s="1181"/>
      <c r="AB787" s="1181"/>
      <c r="AC787" s="1181"/>
      <c r="AD787" s="1184">
        <f>IFERROR(P787/P788,0)</f>
        <v>1.09084994321539</v>
      </c>
      <c r="AE787" s="1184"/>
      <c r="AF787" s="1184"/>
      <c r="AG787" s="1184"/>
      <c r="AH787" s="1184"/>
      <c r="AI787" s="1184"/>
    </row>
    <row r="788" s="570" customFormat="1" ht="16.5" customHeight="1" spans="1:47">
      <c r="A788" s="1172"/>
      <c r="B788" s="1172"/>
      <c r="C788" s="1172"/>
      <c r="D788" s="1172"/>
      <c r="E788" s="1172"/>
      <c r="F788" s="1172"/>
      <c r="G788" s="1172"/>
      <c r="H788" s="1172"/>
      <c r="I788" s="1172"/>
      <c r="J788" s="1172"/>
      <c r="K788" s="1172"/>
      <c r="L788" s="1181"/>
      <c r="M788" s="1181"/>
      <c r="N788" s="1181"/>
      <c r="O788" s="1181"/>
      <c r="P788" s="1180">
        <f>B_Uspjeha!AP80+0.0001</f>
        <v>282807.0001</v>
      </c>
      <c r="Q788" s="1180"/>
      <c r="R788" s="1180"/>
      <c r="S788" s="1180"/>
      <c r="T788" s="1180"/>
      <c r="U788" s="1180"/>
      <c r="V788" s="1180"/>
      <c r="W788" s="1180"/>
      <c r="X788" s="1180"/>
      <c r="Y788" s="1180"/>
      <c r="Z788" s="1181"/>
      <c r="AA788" s="1181"/>
      <c r="AB788" s="1181"/>
      <c r="AC788" s="1181"/>
      <c r="AD788" s="1184"/>
      <c r="AE788" s="1184"/>
      <c r="AF788" s="1184"/>
      <c r="AG788" s="1184"/>
      <c r="AH788" s="1184"/>
      <c r="AI788" s="1184"/>
    </row>
    <row r="789" s="1" customFormat="1" ht="23.25" customHeight="1" spans="1:47">
      <c r="A789" s="906" t="str">
        <f ca="1">IFERROR("U "&amp;PoslGod&amp;". godini, za svakih 100 KM poslovnih rashoda, preduzeće ostvari "&amp;ROUND(AD784*100,2)&amp;" KM poslovnih prihoda. U istom periodu prošle godine, za svakih 100 KM poslovnih rashoda ostvarilo je "&amp;ROUND(AD787*100,2)&amp;" KM poslovnih prihoda.",0)</f>
        <v>U 2025. godini, za svakih 100 KM poslovnih rashoda, preduzeće ostvari 84,1 KM poslovnih prihoda. U istom periodu prošle godine, za svakih 100 KM poslovnih rashoda ostvarilo je 109,08 KM poslovnih prihoda.</v>
      </c>
      <c r="B789" s="906"/>
      <c r="C789" s="906"/>
      <c r="D789" s="906"/>
      <c r="E789" s="906"/>
      <c r="F789" s="906"/>
      <c r="G789" s="906"/>
      <c r="H789" s="906"/>
      <c r="I789" s="906"/>
      <c r="J789" s="906"/>
      <c r="K789" s="906"/>
      <c r="L789" s="906"/>
      <c r="M789" s="906"/>
      <c r="N789" s="906"/>
      <c r="O789" s="906"/>
      <c r="P789" s="906"/>
      <c r="Q789" s="906"/>
      <c r="R789" s="906"/>
      <c r="S789" s="906"/>
      <c r="T789" s="906"/>
      <c r="U789" s="906"/>
      <c r="V789" s="906"/>
      <c r="W789" s="906"/>
      <c r="X789" s="906"/>
      <c r="Y789" s="906"/>
      <c r="Z789" s="906"/>
      <c r="AA789" s="906"/>
      <c r="AB789" s="906"/>
      <c r="AC789" s="906"/>
      <c r="AD789" s="906"/>
      <c r="AE789" s="906"/>
      <c r="AF789" s="906"/>
      <c r="AG789" s="906"/>
      <c r="AH789" s="906"/>
      <c r="AI789" s="906"/>
      <c r="AJ789" s="906"/>
      <c r="AK789" s="906"/>
      <c r="AL789" s="906"/>
      <c r="AM789" s="906"/>
      <c r="AN789" s="906"/>
      <c r="AO789" s="906"/>
      <c r="AP789" s="906"/>
      <c r="AQ789" s="906"/>
      <c r="AR789" s="906"/>
      <c r="AS789" s="906"/>
      <c r="AT789" s="906"/>
    </row>
    <row r="790" s="1" customFormat="1" ht="16.5" customHeight="1" spans="1:47">
      <c r="A790" s="906"/>
      <c r="B790" s="906"/>
      <c r="C790" s="906"/>
      <c r="D790" s="906"/>
      <c r="E790" s="906"/>
      <c r="F790" s="906"/>
      <c r="G790" s="906"/>
      <c r="H790" s="906"/>
      <c r="I790" s="906"/>
      <c r="J790" s="906"/>
      <c r="K790" s="906"/>
      <c r="L790" s="906"/>
      <c r="M790" s="906"/>
      <c r="N790" s="906"/>
      <c r="O790" s="906"/>
      <c r="P790" s="906"/>
      <c r="Q790" s="906"/>
      <c r="R790" s="906"/>
      <c r="S790" s="906"/>
      <c r="T790" s="906"/>
      <c r="U790" s="906"/>
      <c r="V790" s="906"/>
      <c r="W790" s="906"/>
      <c r="X790" s="906"/>
      <c r="Y790" s="906"/>
      <c r="Z790" s="906"/>
      <c r="AA790" s="906"/>
      <c r="AB790" s="906"/>
      <c r="AC790" s="906"/>
      <c r="AD790" s="906"/>
      <c r="AE790" s="906"/>
      <c r="AF790" s="906"/>
      <c r="AG790" s="906"/>
      <c r="AH790" s="906"/>
      <c r="AI790" s="906"/>
      <c r="AJ790" s="906"/>
      <c r="AK790" s="906"/>
      <c r="AL790" s="906"/>
      <c r="AM790" s="906"/>
      <c r="AN790" s="906"/>
      <c r="AO790" s="906"/>
      <c r="AP790" s="906"/>
      <c r="AQ790" s="906"/>
      <c r="AR790" s="906"/>
      <c r="AS790" s="906"/>
      <c r="AT790" s="906"/>
    </row>
    <row r="791" s="1" customFormat="1" ht="16.5" customHeight="1" spans="1:47">
      <c r="A791" s="906"/>
      <c r="B791" s="906"/>
      <c r="C791" s="906"/>
      <c r="D791" s="906"/>
      <c r="E791" s="906"/>
      <c r="F791" s="906"/>
      <c r="G791" s="906"/>
      <c r="H791" s="906"/>
      <c r="I791" s="906"/>
      <c r="J791" s="906"/>
      <c r="K791" s="906"/>
      <c r="L791" s="906"/>
      <c r="M791" s="906"/>
      <c r="N791" s="906"/>
      <c r="O791" s="906"/>
      <c r="P791" s="906"/>
      <c r="Q791" s="906"/>
      <c r="R791" s="906"/>
      <c r="S791" s="906"/>
      <c r="T791" s="906"/>
      <c r="U791" s="906"/>
      <c r="V791" s="906"/>
      <c r="W791" s="906"/>
      <c r="X791" s="906"/>
      <c r="Y791" s="906"/>
      <c r="Z791" s="906"/>
      <c r="AA791" s="906"/>
      <c r="AB791" s="906"/>
      <c r="AC791" s="906"/>
      <c r="AD791" s="906"/>
      <c r="AE791" s="906"/>
      <c r="AF791" s="906"/>
      <c r="AG791" s="906"/>
      <c r="AH791" s="906"/>
      <c r="AI791" s="906"/>
      <c r="AJ791" s="906"/>
      <c r="AK791" s="906"/>
      <c r="AL791" s="906"/>
      <c r="AM791" s="906"/>
      <c r="AN791" s="906"/>
      <c r="AO791" s="906"/>
      <c r="AP791" s="906"/>
      <c r="AQ791" s="906"/>
      <c r="AR791" s="906"/>
      <c r="AS791" s="906"/>
      <c r="AT791" s="906"/>
    </row>
    <row r="792" s="1" customFormat="1" ht="16.5" customHeight="1" spans="1:47">
      <c r="A792" s="907" t="str">
        <f>IFERROR("Ovaj pokazatelj je "&amp;AJ784&amp;" u odnosu na prošlu godinu za "&amp;ROUND(AO784,1)&amp;"%",0)&amp;"."</f>
        <v>Ovaj pokazatelj je SMANJEN u odnosu na prošlu godinu za 22,9%.</v>
      </c>
      <c r="B792" s="907"/>
      <c r="C792" s="907"/>
      <c r="D792" s="907"/>
      <c r="E792" s="907"/>
      <c r="F792" s="907"/>
      <c r="G792" s="907"/>
      <c r="H792" s="907"/>
      <c r="I792" s="907"/>
      <c r="J792" s="907"/>
      <c r="K792" s="907"/>
      <c r="L792" s="907"/>
      <c r="M792" s="907"/>
      <c r="N792" s="907"/>
      <c r="O792" s="907"/>
      <c r="P792" s="907"/>
      <c r="Q792" s="907"/>
      <c r="R792" s="907"/>
      <c r="S792" s="907"/>
      <c r="T792" s="907"/>
      <c r="U792" s="907"/>
      <c r="V792" s="907"/>
      <c r="W792" s="907"/>
      <c r="X792" s="907"/>
      <c r="Y792" s="907"/>
      <c r="Z792" s="907"/>
      <c r="AA792" s="907"/>
      <c r="AB792" s="907"/>
      <c r="AC792" s="907"/>
      <c r="AD792" s="907"/>
      <c r="AE792" s="907"/>
      <c r="AF792" s="907"/>
      <c r="AG792" s="907"/>
      <c r="AH792" s="907"/>
      <c r="AI792" s="907"/>
      <c r="AJ792" s="907"/>
      <c r="AK792" s="907"/>
      <c r="AL792" s="907"/>
      <c r="AM792" s="907"/>
      <c r="AN792" s="907"/>
      <c r="AO792" s="907"/>
      <c r="AP792" s="907"/>
      <c r="AQ792" s="907"/>
      <c r="AR792" s="907"/>
      <c r="AS792" s="907"/>
      <c r="AT792" s="907"/>
    </row>
    <row r="793" s="1" customFormat="1" ht="16.5" customHeight="1" spans="1:47">
      <c r="A793" s="906" t="s">
        <v>7685</v>
      </c>
      <c r="B793" s="906"/>
      <c r="C793" s="906"/>
      <c r="D793" s="906"/>
      <c r="E793" s="906"/>
      <c r="F793" s="906"/>
      <c r="G793" s="906"/>
      <c r="H793" s="906"/>
      <c r="I793" s="906"/>
      <c r="J793" s="906"/>
      <c r="K793" s="906"/>
      <c r="L793" s="906"/>
      <c r="M793" s="906"/>
      <c r="N793" s="906"/>
      <c r="O793" s="906"/>
      <c r="P793" s="906"/>
      <c r="Q793" s="906"/>
      <c r="R793" s="906"/>
      <c r="S793" s="906"/>
      <c r="T793" s="906"/>
      <c r="U793" s="906"/>
      <c r="V793" s="906"/>
      <c r="W793" s="906"/>
      <c r="X793" s="906"/>
      <c r="Y793" s="906"/>
      <c r="Z793" s="906"/>
      <c r="AA793" s="906"/>
      <c r="AB793" s="906"/>
      <c r="AC793" s="906"/>
      <c r="AD793" s="906"/>
      <c r="AE793" s="906"/>
      <c r="AF793" s="906"/>
      <c r="AG793" s="906"/>
      <c r="AH793" s="906"/>
      <c r="AI793" s="906"/>
      <c r="AJ793" s="906"/>
      <c r="AK793" s="906"/>
      <c r="AL793" s="906"/>
      <c r="AM793" s="906"/>
      <c r="AN793" s="906"/>
      <c r="AO793" s="906"/>
      <c r="AP793" s="906"/>
      <c r="AQ793" s="906"/>
      <c r="AR793" s="906"/>
      <c r="AS793" s="906"/>
      <c r="AT793" s="906"/>
    </row>
    <row r="794" s="1" customFormat="1" ht="16.5" customHeight="1" spans="1:47">
      <c r="A794" s="906"/>
      <c r="B794" s="906"/>
      <c r="C794" s="906"/>
      <c r="D794" s="906"/>
      <c r="E794" s="906"/>
      <c r="F794" s="906"/>
      <c r="G794" s="906"/>
      <c r="H794" s="906"/>
      <c r="I794" s="906"/>
      <c r="J794" s="906"/>
      <c r="K794" s="906"/>
      <c r="L794" s="906"/>
      <c r="M794" s="906"/>
      <c r="N794" s="906"/>
      <c r="O794" s="906"/>
      <c r="P794" s="906"/>
      <c r="Q794" s="906"/>
      <c r="R794" s="906"/>
      <c r="S794" s="906"/>
      <c r="T794" s="906"/>
      <c r="U794" s="906"/>
      <c r="V794" s="906"/>
      <c r="W794" s="906"/>
      <c r="X794" s="906"/>
      <c r="Y794" s="906"/>
      <c r="Z794" s="906"/>
      <c r="AA794" s="906"/>
      <c r="AB794" s="906"/>
      <c r="AC794" s="906"/>
      <c r="AD794" s="906"/>
      <c r="AE794" s="906"/>
      <c r="AF794" s="906"/>
      <c r="AG794" s="906"/>
      <c r="AH794" s="906"/>
      <c r="AI794" s="906"/>
      <c r="AJ794" s="906"/>
      <c r="AK794" s="906"/>
      <c r="AL794" s="906"/>
      <c r="AM794" s="906"/>
      <c r="AN794" s="906"/>
      <c r="AO794" s="906"/>
      <c r="AP794" s="906"/>
      <c r="AQ794" s="906"/>
      <c r="AR794" s="906"/>
      <c r="AS794" s="906"/>
      <c r="AT794" s="906"/>
    </row>
    <row r="795" s="1" customFormat="1" ht="16.5" customHeight="1" spans="1:47">
      <c r="A795" s="906"/>
      <c r="B795" s="906"/>
      <c r="C795" s="906"/>
      <c r="D795" s="906"/>
      <c r="E795" s="906"/>
      <c r="F795" s="906"/>
      <c r="G795" s="906"/>
      <c r="H795" s="906"/>
      <c r="I795" s="906"/>
      <c r="J795" s="906"/>
      <c r="K795" s="906"/>
      <c r="L795" s="906"/>
      <c r="M795" s="906"/>
      <c r="N795" s="906"/>
      <c r="O795" s="906"/>
      <c r="P795" s="906"/>
      <c r="Q795" s="906"/>
      <c r="R795" s="906"/>
      <c r="S795" s="906"/>
      <c r="T795" s="906"/>
      <c r="U795" s="906"/>
      <c r="V795" s="906"/>
      <c r="W795" s="906"/>
      <c r="X795" s="906"/>
      <c r="Y795" s="906"/>
      <c r="Z795" s="906"/>
      <c r="AA795" s="906"/>
      <c r="AB795" s="906"/>
      <c r="AC795" s="906"/>
      <c r="AD795" s="906"/>
      <c r="AE795" s="906"/>
      <c r="AF795" s="906"/>
      <c r="AG795" s="906"/>
      <c r="AH795" s="906"/>
      <c r="AI795" s="906"/>
      <c r="AJ795" s="906"/>
      <c r="AK795" s="906"/>
      <c r="AL795" s="906"/>
      <c r="AM795" s="906"/>
      <c r="AN795" s="906"/>
      <c r="AO795" s="906"/>
      <c r="AP795" s="906"/>
      <c r="AQ795" s="906"/>
      <c r="AR795" s="906"/>
      <c r="AS795" s="906"/>
      <c r="AT795" s="906"/>
    </row>
    <row r="796" s="1" customFormat="1" ht="16.5" customHeight="1" spans="1:47">
      <c r="A796" s="906"/>
      <c r="B796" s="906"/>
      <c r="C796" s="906"/>
      <c r="D796" s="906"/>
      <c r="E796" s="906"/>
      <c r="F796" s="906"/>
      <c r="G796" s="906"/>
      <c r="H796" s="906"/>
      <c r="I796" s="906"/>
      <c r="J796" s="906"/>
      <c r="K796" s="906"/>
      <c r="L796" s="906"/>
      <c r="M796" s="906"/>
      <c r="N796" s="906"/>
      <c r="O796" s="906"/>
      <c r="P796" s="906"/>
      <c r="Q796" s="906"/>
      <c r="R796" s="906"/>
      <c r="S796" s="906"/>
      <c r="T796" s="906"/>
      <c r="U796" s="906"/>
      <c r="V796" s="906"/>
      <c r="W796" s="906"/>
      <c r="X796" s="906"/>
      <c r="Y796" s="906"/>
      <c r="Z796" s="906"/>
      <c r="AA796" s="906"/>
      <c r="AB796" s="906"/>
      <c r="AC796" s="906"/>
      <c r="AD796" s="906"/>
      <c r="AE796" s="906"/>
      <c r="AF796" s="906"/>
      <c r="AG796" s="906"/>
      <c r="AH796" s="906"/>
      <c r="AI796" s="906"/>
      <c r="AJ796" s="906"/>
      <c r="AK796" s="906"/>
      <c r="AL796" s="906"/>
      <c r="AM796" s="906"/>
      <c r="AN796" s="906"/>
      <c r="AO796" s="906"/>
      <c r="AP796" s="906"/>
      <c r="AQ796" s="906"/>
      <c r="AR796" s="906"/>
      <c r="AS796" s="906"/>
      <c r="AT796" s="906"/>
    </row>
    <row r="797" s="570" customFormat="1" ht="16.5" customHeight="1"/>
    <row r="799" s="570" customFormat="1" ht="16.5" customHeight="1" spans="1:47">
      <c r="B799" s="1166" t="s">
        <v>7454</v>
      </c>
    </row>
    <row r="800" s="570" customFormat="1" ht="16.5" customHeight="1"/>
    <row r="801" s="570" customFormat="1" ht="16.5" customHeight="1" spans="1:91">
      <c r="A801" s="1175" t="s">
        <v>7686</v>
      </c>
      <c r="B801" s="1175"/>
      <c r="C801" s="1175"/>
      <c r="D801" s="1175"/>
      <c r="E801" s="1175"/>
      <c r="F801" s="1175"/>
      <c r="G801" s="1175"/>
      <c r="H801" s="1175"/>
      <c r="I801" s="1175"/>
      <c r="J801" s="1175"/>
      <c r="K801" s="1175"/>
      <c r="L801" s="1175"/>
      <c r="M801" s="1175"/>
      <c r="N801" s="1175"/>
      <c r="O801" s="1175"/>
      <c r="P801" s="1190" t="s">
        <v>7687</v>
      </c>
      <c r="Q801" s="1190"/>
      <c r="R801" s="1190"/>
      <c r="S801" s="1190"/>
      <c r="T801" s="1190"/>
      <c r="U801" s="1190"/>
      <c r="V801" s="1190"/>
      <c r="W801" s="1190"/>
      <c r="X801" s="1190"/>
      <c r="Y801" s="1190"/>
      <c r="Z801" s="1181" t="s">
        <v>7649</v>
      </c>
      <c r="AA801" s="1181"/>
      <c r="AB801" s="1181"/>
      <c r="AC801" s="1181"/>
      <c r="AD801" s="1183"/>
      <c r="AE801" s="1183"/>
      <c r="AF801" s="1183"/>
      <c r="AG801" s="1183"/>
      <c r="AH801" s="1170"/>
      <c r="AI801" s="1170"/>
    </row>
    <row r="802" s="570" customFormat="1" ht="16.5" customHeight="1" spans="1:91">
      <c r="A802" s="1175"/>
      <c r="B802" s="1175"/>
      <c r="C802" s="1175"/>
      <c r="D802" s="1175"/>
      <c r="E802" s="1175"/>
      <c r="F802" s="1175"/>
      <c r="G802" s="1175"/>
      <c r="H802" s="1175"/>
      <c r="I802" s="1175"/>
      <c r="J802" s="1175"/>
      <c r="K802" s="1175"/>
      <c r="L802" s="1175"/>
      <c r="M802" s="1175"/>
      <c r="N802" s="1175"/>
      <c r="O802" s="1175"/>
      <c r="P802" s="1191" t="s">
        <v>7679</v>
      </c>
      <c r="Q802" s="1191"/>
      <c r="R802" s="1191"/>
      <c r="S802" s="1191"/>
      <c r="T802" s="1191"/>
      <c r="U802" s="1191"/>
      <c r="V802" s="1191"/>
      <c r="W802" s="1191"/>
      <c r="X802" s="1191"/>
      <c r="Y802" s="1191"/>
      <c r="Z802" s="1181"/>
      <c r="AA802" s="1181"/>
      <c r="AB802" s="1181"/>
      <c r="AC802" s="1181"/>
      <c r="AD802" s="1183"/>
      <c r="AE802" s="1183"/>
      <c r="AF802" s="1183"/>
      <c r="AG802" s="1183"/>
      <c r="AH802" s="1170"/>
      <c r="AI802" s="1170"/>
    </row>
    <row r="803" s="570" customFormat="1" ht="16.5" customHeight="1" spans="1:91">
      <c r="A803" s="1194"/>
      <c r="B803" s="1194"/>
      <c r="C803" s="1194"/>
      <c r="D803" s="1194"/>
      <c r="E803" s="1194"/>
      <c r="F803" s="1194"/>
      <c r="G803" s="1194"/>
      <c r="H803" s="1194"/>
      <c r="I803" s="1194"/>
      <c r="J803" s="1194"/>
      <c r="K803" s="1194"/>
      <c r="L803" s="1194"/>
      <c r="M803" s="1194"/>
      <c r="N803" s="1194"/>
      <c r="O803" s="1194"/>
      <c r="Z803" s="1172"/>
      <c r="AA803" s="1172"/>
      <c r="AB803" s="1172"/>
      <c r="AC803" s="1172"/>
      <c r="AD803" s="1172"/>
      <c r="AE803" s="1172"/>
      <c r="AF803" s="1172"/>
      <c r="AG803" s="1172"/>
      <c r="AJ803" s="1174"/>
      <c r="AK803" s="1174"/>
      <c r="AL803" s="1174"/>
      <c r="AM803" s="1174"/>
      <c r="AN803" s="1174"/>
      <c r="AO803" s="1174"/>
      <c r="AP803" s="1174"/>
      <c r="AQ803" s="1174"/>
      <c r="AR803" s="1174"/>
      <c r="AS803" s="1174"/>
      <c r="AT803" s="1174"/>
      <c r="AU803" s="1174"/>
    </row>
    <row r="804" s="570" customFormat="1" ht="16.5" customHeight="1" spans="1:91">
      <c r="A804" s="1194"/>
      <c r="B804" s="1194"/>
      <c r="C804" s="1194"/>
      <c r="D804" s="1194"/>
      <c r="E804" s="1194"/>
      <c r="F804" s="1194"/>
      <c r="G804" s="1194"/>
      <c r="H804" s="1194"/>
      <c r="I804" s="1194"/>
      <c r="J804" s="1194"/>
      <c r="K804" s="1194"/>
      <c r="L804" s="1181" t="str">
        <f ca="1">PoslGod&amp;" ="</f>
        <v>2025 =</v>
      </c>
      <c r="M804" s="1181"/>
      <c r="N804" s="1181"/>
      <c r="O804" s="1181"/>
      <c r="P804" s="1176">
        <f>B_Uspjeha!AI141-B_Uspjeha!AI142</f>
        <v>-59197</v>
      </c>
      <c r="Q804" s="1176"/>
      <c r="R804" s="1176"/>
      <c r="S804" s="1176"/>
      <c r="T804" s="1176"/>
      <c r="U804" s="1176"/>
      <c r="V804" s="1176"/>
      <c r="W804" s="1176"/>
      <c r="X804" s="1176"/>
      <c r="Y804" s="1176"/>
      <c r="Z804" s="1181" t="s">
        <v>7649</v>
      </c>
      <c r="AA804" s="1181"/>
      <c r="AB804" s="1181"/>
      <c r="AC804" s="1181"/>
      <c r="AD804" s="1184">
        <f>IFERROR(P804/P805,0)</f>
        <v>-0.238917230260515</v>
      </c>
      <c r="AE804" s="1184"/>
      <c r="AF804" s="1184"/>
      <c r="AG804" s="1184"/>
      <c r="AH804" s="1184"/>
      <c r="AI804" s="1184"/>
      <c r="AJ804" s="570" t="str">
        <f>IF(AD804-AD807&gt;0,"POVEĆAN","SMANJEN")</f>
        <v>SMANJEN</v>
      </c>
      <c r="AK804" s="1174"/>
      <c r="AL804" s="1174"/>
      <c r="AM804" s="1174"/>
      <c r="AN804" s="1174"/>
      <c r="AO804" s="1178">
        <f>ROUND(IF(AD804/AD807&gt;1,AD804/AD807*100-100,100-(AD804/AD807*100)),1)</f>
        <v>192.6</v>
      </c>
      <c r="AP804" s="1178"/>
      <c r="AQ804" s="1178"/>
      <c r="AR804" s="1178"/>
      <c r="AS804" s="1178"/>
      <c r="AT804" s="1174" t="s">
        <v>20</v>
      </c>
      <c r="AU804" s="1174"/>
      <c r="CM804" s="1179"/>
    </row>
    <row r="805" s="570" customFormat="1" ht="16.5" customHeight="1" spans="1:91">
      <c r="A805" s="1194"/>
      <c r="B805" s="1194"/>
      <c r="C805" s="1194"/>
      <c r="D805" s="1194"/>
      <c r="E805" s="1194"/>
      <c r="F805" s="1194"/>
      <c r="G805" s="1194"/>
      <c r="H805" s="1194"/>
      <c r="I805" s="1194"/>
      <c r="J805" s="1194"/>
      <c r="K805" s="1194"/>
      <c r="L805" s="1181"/>
      <c r="M805" s="1181"/>
      <c r="N805" s="1181"/>
      <c r="O805" s="1181"/>
      <c r="P805" s="1180">
        <f>R90+0.0001</f>
        <v>247772.0001</v>
      </c>
      <c r="Q805" s="1180"/>
      <c r="R805" s="1180"/>
      <c r="S805" s="1180"/>
      <c r="T805" s="1180"/>
      <c r="U805" s="1180"/>
      <c r="V805" s="1180"/>
      <c r="W805" s="1180"/>
      <c r="X805" s="1180"/>
      <c r="Y805" s="1180"/>
      <c r="Z805" s="1181"/>
      <c r="AA805" s="1181"/>
      <c r="AB805" s="1181"/>
      <c r="AC805" s="1181"/>
      <c r="AD805" s="1184"/>
      <c r="AE805" s="1184"/>
      <c r="AF805" s="1184"/>
      <c r="AG805" s="1184"/>
      <c r="AH805" s="1184"/>
      <c r="AI805" s="1184"/>
      <c r="AJ805" s="1174"/>
      <c r="AK805" s="1174"/>
      <c r="AL805" s="1174"/>
      <c r="AM805" s="1174"/>
      <c r="AN805" s="1174"/>
      <c r="AO805" s="1185"/>
      <c r="AP805" s="1185"/>
      <c r="AQ805" s="1185"/>
      <c r="AR805" s="1185"/>
      <c r="AS805" s="1185"/>
      <c r="AT805" s="1174"/>
      <c r="AU805" s="1174"/>
    </row>
    <row r="806" s="570" customFormat="1" ht="16.5" customHeight="1" spans="1:91">
      <c r="A806" s="1194"/>
      <c r="B806" s="1194"/>
      <c r="C806" s="1194"/>
      <c r="D806" s="1194"/>
      <c r="E806" s="1194"/>
      <c r="F806" s="1194"/>
      <c r="G806" s="1194"/>
      <c r="H806" s="1194"/>
      <c r="I806" s="1194"/>
      <c r="J806" s="1194"/>
      <c r="K806" s="1194"/>
      <c r="L806" s="1172"/>
      <c r="M806" s="1172"/>
      <c r="N806" s="1172"/>
      <c r="O806" s="1172"/>
      <c r="Z806" s="1172"/>
      <c r="AA806" s="1172"/>
      <c r="AB806" s="1172"/>
      <c r="AC806" s="1172"/>
      <c r="AD806" s="1172"/>
      <c r="AE806" s="1172"/>
      <c r="AF806" s="1172"/>
      <c r="AG806" s="1172"/>
    </row>
    <row r="807" s="570" customFormat="1" ht="16.5" customHeight="1" spans="1:91">
      <c r="A807" s="1194"/>
      <c r="B807" s="1194"/>
      <c r="C807" s="1194"/>
      <c r="D807" s="1194"/>
      <c r="E807" s="1194"/>
      <c r="F807" s="1194"/>
      <c r="G807" s="1194"/>
      <c r="H807" s="1194"/>
      <c r="I807" s="1194"/>
      <c r="J807" s="1194"/>
      <c r="K807" s="1194"/>
      <c r="L807" s="1181" t="str">
        <f ca="1">PoslGod-1&amp;" ="</f>
        <v>2024 =</v>
      </c>
      <c r="M807" s="1181"/>
      <c r="N807" s="1181"/>
      <c r="O807" s="1181"/>
      <c r="P807" s="1176">
        <f>B_Uspjeha!AP141-B_Uspjeha!AP142</f>
        <v>99242</v>
      </c>
      <c r="Q807" s="1176"/>
      <c r="R807" s="1176"/>
      <c r="S807" s="1176"/>
      <c r="T807" s="1176"/>
      <c r="U807" s="1176"/>
      <c r="V807" s="1176"/>
      <c r="W807" s="1176"/>
      <c r="X807" s="1176"/>
      <c r="Y807" s="1176"/>
      <c r="Z807" s="1181" t="s">
        <v>7649</v>
      </c>
      <c r="AA807" s="1181"/>
      <c r="AB807" s="1181"/>
      <c r="AC807" s="1181"/>
      <c r="AD807" s="1184">
        <f>IFERROR(P807/P808,0)</f>
        <v>0.25809119343756</v>
      </c>
      <c r="AE807" s="1184"/>
      <c r="AF807" s="1184"/>
      <c r="AG807" s="1184"/>
      <c r="AH807" s="1184"/>
      <c r="AI807" s="1184"/>
    </row>
    <row r="808" s="570" customFormat="1" ht="16.5" customHeight="1" spans="1:91">
      <c r="A808" s="1194"/>
      <c r="B808" s="1194"/>
      <c r="C808" s="1194"/>
      <c r="D808" s="1194"/>
      <c r="E808" s="1194"/>
      <c r="F808" s="1194"/>
      <c r="G808" s="1194"/>
      <c r="H808" s="1194"/>
      <c r="I808" s="1194"/>
      <c r="J808" s="1194"/>
      <c r="K808" s="1194"/>
      <c r="L808" s="1181"/>
      <c r="M808" s="1181"/>
      <c r="N808" s="1181"/>
      <c r="O808" s="1181"/>
      <c r="P808" s="1180">
        <f>AD90+0.0001</f>
        <v>384523.0001</v>
      </c>
      <c r="Q808" s="1180"/>
      <c r="R808" s="1180"/>
      <c r="S808" s="1180"/>
      <c r="T808" s="1180"/>
      <c r="U808" s="1180"/>
      <c r="V808" s="1180"/>
      <c r="W808" s="1180"/>
      <c r="X808" s="1180"/>
      <c r="Y808" s="1180"/>
      <c r="Z808" s="1181"/>
      <c r="AA808" s="1181"/>
      <c r="AB808" s="1181"/>
      <c r="AC808" s="1181"/>
      <c r="AD808" s="1184"/>
      <c r="AE808" s="1184"/>
      <c r="AF808" s="1184"/>
      <c r="AG808" s="1184"/>
      <c r="AH808" s="1184"/>
      <c r="AI808" s="1184"/>
    </row>
    <row r="809" s="1" customFormat="1" ht="20.25" customHeight="1" spans="1:91">
      <c r="A809" s="906" t="str">
        <f ca="1">IFERROR("U "&amp;PoslGod&amp;". godini, za svakih 100 KM ukupnog prihoda, preduzeće ostvari "&amp;ROUND(AD804*100,2)&amp;" KM bruto dobiti (gubitka). U istom periodu prošle godine, za svakih 100 KM ukupnog prihoda ostvarilo je "&amp;ROUND(AD807*100,2)&amp;" KM bruto dobiti (gubitka).",0)</f>
        <v>U 2025. godini, za svakih 100 KM ukupnog prihoda, preduzeće ostvari -23,89 KM bruto dobiti (gubitka). U istom periodu prošle godine, za svakih 100 KM ukupnog prihoda ostvarilo je 25,81 KM bruto dobiti (gubitka).</v>
      </c>
      <c r="B809" s="906"/>
      <c r="C809" s="906"/>
      <c r="D809" s="906"/>
      <c r="E809" s="906"/>
      <c r="F809" s="906"/>
      <c r="G809" s="906"/>
      <c r="H809" s="906"/>
      <c r="I809" s="906"/>
      <c r="J809" s="906"/>
      <c r="K809" s="906"/>
      <c r="L809" s="906"/>
      <c r="M809" s="906"/>
      <c r="N809" s="906"/>
      <c r="O809" s="906"/>
      <c r="P809" s="906"/>
      <c r="Q809" s="906"/>
      <c r="R809" s="906"/>
      <c r="S809" s="906"/>
      <c r="T809" s="906"/>
      <c r="U809" s="906"/>
      <c r="V809" s="906"/>
      <c r="W809" s="906"/>
      <c r="X809" s="906"/>
      <c r="Y809" s="906"/>
      <c r="Z809" s="906"/>
      <c r="AA809" s="906"/>
      <c r="AB809" s="906"/>
      <c r="AC809" s="906"/>
      <c r="AD809" s="906"/>
      <c r="AE809" s="906"/>
      <c r="AF809" s="906"/>
      <c r="AG809" s="906"/>
      <c r="AH809" s="906"/>
      <c r="AI809" s="906"/>
      <c r="AJ809" s="906"/>
      <c r="AK809" s="906"/>
      <c r="AL809" s="906"/>
      <c r="AM809" s="906"/>
      <c r="AN809" s="906"/>
      <c r="AO809" s="906"/>
      <c r="AP809" s="906"/>
      <c r="AQ809" s="906"/>
      <c r="AR809" s="906"/>
      <c r="AS809" s="906"/>
      <c r="AT809" s="906"/>
    </row>
    <row r="810" s="1" customFormat="1" ht="16.5" customHeight="1" spans="1:91">
      <c r="A810" s="906"/>
      <c r="B810" s="906"/>
      <c r="C810" s="906"/>
      <c r="D810" s="906"/>
      <c r="E810" s="906"/>
      <c r="F810" s="906"/>
      <c r="G810" s="906"/>
      <c r="H810" s="906"/>
      <c r="I810" s="906"/>
      <c r="J810" s="906"/>
      <c r="K810" s="906"/>
      <c r="L810" s="906"/>
      <c r="M810" s="906"/>
      <c r="N810" s="906"/>
      <c r="O810" s="906"/>
      <c r="P810" s="906"/>
      <c r="Q810" s="906"/>
      <c r="R810" s="906"/>
      <c r="S810" s="906"/>
      <c r="T810" s="906"/>
      <c r="U810" s="906"/>
      <c r="V810" s="906"/>
      <c r="W810" s="906"/>
      <c r="X810" s="906"/>
      <c r="Y810" s="906"/>
      <c r="Z810" s="906"/>
      <c r="AA810" s="906"/>
      <c r="AB810" s="906"/>
      <c r="AC810" s="906"/>
      <c r="AD810" s="906"/>
      <c r="AE810" s="906"/>
      <c r="AF810" s="906"/>
      <c r="AG810" s="906"/>
      <c r="AH810" s="906"/>
      <c r="AI810" s="906"/>
      <c r="AJ810" s="906"/>
      <c r="AK810" s="906"/>
      <c r="AL810" s="906"/>
      <c r="AM810" s="906"/>
      <c r="AN810" s="906"/>
      <c r="AO810" s="906"/>
      <c r="AP810" s="906"/>
      <c r="AQ810" s="906"/>
      <c r="AR810" s="906"/>
      <c r="AS810" s="906"/>
      <c r="AT810" s="906"/>
    </row>
    <row r="811" s="1" customFormat="1" ht="18.75" customHeight="1" spans="1:91">
      <c r="A811" s="906"/>
      <c r="B811" s="906"/>
      <c r="C811" s="906"/>
      <c r="D811" s="906"/>
      <c r="E811" s="906"/>
      <c r="F811" s="906"/>
      <c r="G811" s="906"/>
      <c r="H811" s="906"/>
      <c r="I811" s="906"/>
      <c r="J811" s="906"/>
      <c r="K811" s="906"/>
      <c r="L811" s="906"/>
      <c r="M811" s="906"/>
      <c r="N811" s="906"/>
      <c r="O811" s="906"/>
      <c r="P811" s="906"/>
      <c r="Q811" s="906"/>
      <c r="R811" s="906"/>
      <c r="S811" s="906"/>
      <c r="T811" s="906"/>
      <c r="U811" s="906"/>
      <c r="V811" s="906"/>
      <c r="W811" s="906"/>
      <c r="X811" s="906"/>
      <c r="Y811" s="906"/>
      <c r="Z811" s="906"/>
      <c r="AA811" s="906"/>
      <c r="AB811" s="906"/>
      <c r="AC811" s="906"/>
      <c r="AD811" s="906"/>
      <c r="AE811" s="906"/>
      <c r="AF811" s="906"/>
      <c r="AG811" s="906"/>
      <c r="AH811" s="906"/>
      <c r="AI811" s="906"/>
      <c r="AJ811" s="906"/>
      <c r="AK811" s="906"/>
      <c r="AL811" s="906"/>
      <c r="AM811" s="906"/>
      <c r="AN811" s="906"/>
      <c r="AO811" s="906"/>
      <c r="AP811" s="906"/>
      <c r="AQ811" s="906"/>
      <c r="AR811" s="906"/>
      <c r="AS811" s="906"/>
      <c r="AT811" s="906"/>
    </row>
    <row r="812" s="1" customFormat="1" ht="16.5" customHeight="1" spans="1:91">
      <c r="A812" s="907" t="str">
        <f>IFERROR("Ovaj pokazatelj je "&amp;AJ804&amp;" u odnosu na prošlu godinu za "&amp;ROUND(AO804,1)&amp;"%",0)&amp;"."</f>
        <v>Ovaj pokazatelj je SMANJEN u odnosu na prošlu godinu za 192,6%.</v>
      </c>
      <c r="B812" s="907"/>
      <c r="C812" s="907"/>
      <c r="D812" s="907"/>
      <c r="E812" s="907"/>
      <c r="F812" s="907"/>
      <c r="G812" s="907"/>
      <c r="H812" s="907"/>
      <c r="I812" s="907"/>
      <c r="J812" s="907"/>
      <c r="K812" s="907"/>
      <c r="L812" s="907"/>
      <c r="M812" s="907"/>
      <c r="N812" s="907"/>
      <c r="O812" s="907"/>
      <c r="P812" s="907"/>
      <c r="Q812" s="907"/>
      <c r="R812" s="907"/>
      <c r="S812" s="907"/>
      <c r="T812" s="907"/>
      <c r="U812" s="907"/>
      <c r="V812" s="907"/>
      <c r="W812" s="907"/>
      <c r="X812" s="907"/>
      <c r="Y812" s="907"/>
      <c r="Z812" s="907"/>
      <c r="AA812" s="907"/>
      <c r="AB812" s="907"/>
      <c r="AC812" s="907"/>
      <c r="AD812" s="907"/>
      <c r="AE812" s="907"/>
      <c r="AF812" s="907"/>
      <c r="AG812" s="907"/>
      <c r="AH812" s="907"/>
      <c r="AI812" s="907"/>
      <c r="AJ812" s="907"/>
      <c r="AK812" s="907"/>
      <c r="AL812" s="907"/>
      <c r="AM812" s="907"/>
      <c r="AN812" s="907"/>
      <c r="AO812" s="907"/>
      <c r="AP812" s="907"/>
      <c r="AQ812" s="907"/>
      <c r="AR812" s="907"/>
      <c r="AS812" s="907"/>
      <c r="AT812" s="907"/>
    </row>
    <row r="813" s="1" customFormat="1" ht="16.5" customHeight="1" spans="1:91">
      <c r="A813" s="906" t="s">
        <v>7688</v>
      </c>
      <c r="B813" s="906"/>
      <c r="C813" s="906"/>
      <c r="D813" s="906"/>
      <c r="E813" s="906"/>
      <c r="F813" s="906"/>
      <c r="G813" s="906"/>
      <c r="H813" s="906"/>
      <c r="I813" s="906"/>
      <c r="J813" s="906"/>
      <c r="K813" s="906"/>
      <c r="L813" s="906"/>
      <c r="M813" s="906"/>
      <c r="N813" s="906"/>
      <c r="O813" s="906"/>
      <c r="P813" s="906"/>
      <c r="Q813" s="906"/>
      <c r="R813" s="906"/>
      <c r="S813" s="906"/>
      <c r="T813" s="906"/>
      <c r="U813" s="906"/>
      <c r="V813" s="906"/>
      <c r="W813" s="906"/>
      <c r="X813" s="906"/>
      <c r="Y813" s="906"/>
      <c r="Z813" s="906"/>
      <c r="AA813" s="906"/>
      <c r="AB813" s="906"/>
      <c r="AC813" s="906"/>
      <c r="AD813" s="906"/>
      <c r="AE813" s="906"/>
      <c r="AF813" s="906"/>
      <c r="AG813" s="906"/>
      <c r="AH813" s="906"/>
      <c r="AI813" s="906"/>
      <c r="AJ813" s="906"/>
      <c r="AK813" s="906"/>
      <c r="AL813" s="906"/>
      <c r="AM813" s="906"/>
      <c r="AN813" s="906"/>
      <c r="AO813" s="906"/>
      <c r="AP813" s="906"/>
      <c r="AQ813" s="906"/>
      <c r="AR813" s="906"/>
      <c r="AS813" s="906"/>
      <c r="AT813" s="906"/>
    </row>
    <row r="814" s="1" customFormat="1" ht="16.5" customHeight="1" spans="1:91">
      <c r="A814" s="906"/>
      <c r="B814" s="906"/>
      <c r="C814" s="906"/>
      <c r="D814" s="906"/>
      <c r="E814" s="906"/>
      <c r="F814" s="906"/>
      <c r="G814" s="906"/>
      <c r="H814" s="906"/>
      <c r="I814" s="906"/>
      <c r="J814" s="906"/>
      <c r="K814" s="906"/>
      <c r="L814" s="906"/>
      <c r="M814" s="906"/>
      <c r="N814" s="906"/>
      <c r="O814" s="906"/>
      <c r="P814" s="906"/>
      <c r="Q814" s="906"/>
      <c r="R814" s="906"/>
      <c r="S814" s="906"/>
      <c r="T814" s="906"/>
      <c r="U814" s="906"/>
      <c r="V814" s="906"/>
      <c r="W814" s="906"/>
      <c r="X814" s="906"/>
      <c r="Y814" s="906"/>
      <c r="Z814" s="906"/>
      <c r="AA814" s="906"/>
      <c r="AB814" s="906"/>
      <c r="AC814" s="906"/>
      <c r="AD814" s="906"/>
      <c r="AE814" s="906"/>
      <c r="AF814" s="906"/>
      <c r="AG814" s="906"/>
      <c r="AH814" s="906"/>
      <c r="AI814" s="906"/>
      <c r="AJ814" s="906"/>
      <c r="AK814" s="906"/>
      <c r="AL814" s="906"/>
      <c r="AM814" s="906"/>
      <c r="AN814" s="906"/>
      <c r="AO814" s="906"/>
      <c r="AP814" s="906"/>
      <c r="AQ814" s="906"/>
      <c r="AR814" s="906"/>
      <c r="AS814" s="906"/>
      <c r="AT814" s="906"/>
    </row>
    <row r="815" s="570" customFormat="1" ht="16.5" customHeight="1"/>
    <row r="816" s="570" customFormat="1" ht="16.5" customHeight="1"/>
    <row r="817" s="570" customFormat="1" ht="16.5" customHeight="1"/>
  </sheetData>
  <customSheetViews>
    <customSheetView guid="{7A886FB3-8F08-4D3E-B7EB-0851AD05C3C6}" showGridLines="0" topLeftCell="A538">
      <selection activeCell="AY718" sqref="AY718"/>
      <pageMargins left="0.62992125984252" right="0.236220472440945" top="0.62992125984252" bottom="0.47244094488189" header="0.354330708661417" footer="0.196850393700787"/>
      <pageSetup paperSize="9" scale="88" fitToWidth="0" fitToHeight="0" orientation="portrait"/>
      <headerFooter alignWithMargins="0">
        <oddHeader>&amp;C  </oddHeader>
        <oddFooter>&amp;L&amp;8ekonomika.doo@bih.net.ba - 037/511-739&amp;RStrana &amp;P</oddFooter>
      </headerFooter>
    </customSheetView>
  </customSheetViews>
  <mergeCells count="755">
    <mergeCell ref="AK2:AT2"/>
    <mergeCell ref="AK4:AT4"/>
    <mergeCell ref="AK6:AT6"/>
    <mergeCell ref="AK8:AT8"/>
    <mergeCell ref="AK10:AT10"/>
    <mergeCell ref="A29:AT29"/>
    <mergeCell ref="A30:AT30"/>
    <mergeCell ref="A31:AT31"/>
    <mergeCell ref="A32:AT32"/>
    <mergeCell ref="A33:AT33"/>
    <mergeCell ref="A70:AT70"/>
    <mergeCell ref="A73:AT73"/>
    <mergeCell ref="A76:AT76"/>
    <mergeCell ref="A79:AT79"/>
    <mergeCell ref="A82:AT82"/>
    <mergeCell ref="B85:Q85"/>
    <mergeCell ref="R85:AC85"/>
    <mergeCell ref="AD85:AO85"/>
    <mergeCell ref="AP85:AT85"/>
    <mergeCell ref="B86:Q86"/>
    <mergeCell ref="R86:Y86"/>
    <mergeCell ref="Z86:AC86"/>
    <mergeCell ref="AD86:AK86"/>
    <mergeCell ref="AL86:AO86"/>
    <mergeCell ref="AP86:AT86"/>
    <mergeCell ref="B87:Q87"/>
    <mergeCell ref="R87:Y87"/>
    <mergeCell ref="Z87:AC87"/>
    <mergeCell ref="AD87:AK87"/>
    <mergeCell ref="AL87:AO87"/>
    <mergeCell ref="AP87:AT87"/>
    <mergeCell ref="P88:Q88"/>
    <mergeCell ref="R88:Y88"/>
    <mergeCell ref="Z88:AC88"/>
    <mergeCell ref="AD88:AK88"/>
    <mergeCell ref="AL88:AO88"/>
    <mergeCell ref="AP88:AT88"/>
    <mergeCell ref="P89:Q89"/>
    <mergeCell ref="R89:Y89"/>
    <mergeCell ref="Z89:AC89"/>
    <mergeCell ref="AD89:AK89"/>
    <mergeCell ref="AL89:AO89"/>
    <mergeCell ref="AP89:AT89"/>
    <mergeCell ref="R90:Y90"/>
    <mergeCell ref="Z90:AC90"/>
    <mergeCell ref="AD90:AK90"/>
    <mergeCell ref="AL90:AO90"/>
    <mergeCell ref="AP90:AT90"/>
    <mergeCell ref="R91:Y91"/>
    <mergeCell ref="AD91:AK91"/>
    <mergeCell ref="AH116:AT116"/>
    <mergeCell ref="AH117:AP117"/>
    <mergeCell ref="AQ117:AT117"/>
    <mergeCell ref="B118:AG118"/>
    <mergeCell ref="AH118:AP118"/>
    <mergeCell ref="AQ118:AT118"/>
    <mergeCell ref="B119:AG119"/>
    <mergeCell ref="AH119:AP119"/>
    <mergeCell ref="AQ119:AT119"/>
    <mergeCell ref="B120:AG120"/>
    <mergeCell ref="AH120:AP120"/>
    <mergeCell ref="AQ120:AT120"/>
    <mergeCell ref="B121:AG121"/>
    <mergeCell ref="AH121:AP121"/>
    <mergeCell ref="AQ121:AT121"/>
    <mergeCell ref="B122:AG122"/>
    <mergeCell ref="AH122:AP122"/>
    <mergeCell ref="AQ122:AT122"/>
    <mergeCell ref="B123:AG123"/>
    <mergeCell ref="AH123:AP123"/>
    <mergeCell ref="AQ123:AT123"/>
    <mergeCell ref="B124:AG124"/>
    <mergeCell ref="AH124:AP124"/>
    <mergeCell ref="AQ124:AT124"/>
    <mergeCell ref="B125:AG125"/>
    <mergeCell ref="AH125:AP125"/>
    <mergeCell ref="AQ125:AT125"/>
    <mergeCell ref="A170:AT170"/>
    <mergeCell ref="A176:AT176"/>
    <mergeCell ref="A179:AT179"/>
    <mergeCell ref="A182:AT182"/>
    <mergeCell ref="A185:AT185"/>
    <mergeCell ref="A188:AT188"/>
    <mergeCell ref="A191:AT191"/>
    <mergeCell ref="A194:AT194"/>
    <mergeCell ref="B197:Q197"/>
    <mergeCell ref="R197:AC197"/>
    <mergeCell ref="AD197:AO197"/>
    <mergeCell ref="AP197:AT197"/>
    <mergeCell ref="B198:Q198"/>
    <mergeCell ref="R198:Y198"/>
    <mergeCell ref="Z198:AC198"/>
    <mergeCell ref="AD198:AK198"/>
    <mergeCell ref="AL198:AO198"/>
    <mergeCell ref="AP198:AT198"/>
    <mergeCell ref="B199:Q199"/>
    <mergeCell ref="R199:Y199"/>
    <mergeCell ref="Z199:AC199"/>
    <mergeCell ref="AD199:AK199"/>
    <mergeCell ref="AL199:AO199"/>
    <mergeCell ref="AP199:AT199"/>
    <mergeCell ref="P200:Q200"/>
    <mergeCell ref="R200:Y200"/>
    <mergeCell ref="Z200:AC200"/>
    <mergeCell ref="AD200:AK200"/>
    <mergeCell ref="AL200:AO200"/>
    <mergeCell ref="AP200:AT200"/>
    <mergeCell ref="P201:Q201"/>
    <mergeCell ref="R201:Y201"/>
    <mergeCell ref="Z201:AC201"/>
    <mergeCell ref="AD201:AK201"/>
    <mergeCell ref="AL201:AO201"/>
    <mergeCell ref="AP201:AT201"/>
    <mergeCell ref="R202:Y202"/>
    <mergeCell ref="Z202:AC202"/>
    <mergeCell ref="AD202:AK202"/>
    <mergeCell ref="AL202:AO202"/>
    <mergeCell ref="AP202:AT202"/>
    <mergeCell ref="R203:Y203"/>
    <mergeCell ref="AD203:AK203"/>
    <mergeCell ref="AP204:AT204"/>
    <mergeCell ref="AH227:AT227"/>
    <mergeCell ref="AH228:AP228"/>
    <mergeCell ref="AQ228:AT228"/>
    <mergeCell ref="B229:AG229"/>
    <mergeCell ref="AH229:AP229"/>
    <mergeCell ref="AQ229:AT229"/>
    <mergeCell ref="B230:AG230"/>
    <mergeCell ref="AH230:AP230"/>
    <mergeCell ref="AQ230:AT230"/>
    <mergeCell ref="B231:AG231"/>
    <mergeCell ref="AH231:AP231"/>
    <mergeCell ref="AQ231:AT231"/>
    <mergeCell ref="B232:AG232"/>
    <mergeCell ref="AH232:AP232"/>
    <mergeCell ref="AQ232:AT232"/>
    <mergeCell ref="B233:AG233"/>
    <mergeCell ref="AH233:AP233"/>
    <mergeCell ref="AQ233:AT233"/>
    <mergeCell ref="B234:AG234"/>
    <mergeCell ref="AH234:AP234"/>
    <mergeCell ref="AQ234:AT234"/>
    <mergeCell ref="B235:AG235"/>
    <mergeCell ref="AH235:AP235"/>
    <mergeCell ref="AQ235:AT235"/>
    <mergeCell ref="B236:AG236"/>
    <mergeCell ref="AH236:AP236"/>
    <mergeCell ref="AQ236:AT236"/>
    <mergeCell ref="B237:AG237"/>
    <mergeCell ref="AH237:AP237"/>
    <mergeCell ref="AQ237:AT237"/>
    <mergeCell ref="B238:AG238"/>
    <mergeCell ref="AH238:AP238"/>
    <mergeCell ref="AQ238:AT238"/>
    <mergeCell ref="B239:AG239"/>
    <mergeCell ref="AH239:AP239"/>
    <mergeCell ref="AQ239:AT239"/>
    <mergeCell ref="B240:AG240"/>
    <mergeCell ref="AH240:AP240"/>
    <mergeCell ref="AQ240:AT240"/>
    <mergeCell ref="B241:AG241"/>
    <mergeCell ref="AH241:AP241"/>
    <mergeCell ref="AQ241:AT241"/>
    <mergeCell ref="A279:B279"/>
    <mergeCell ref="C279:U279"/>
    <mergeCell ref="V279:X279"/>
    <mergeCell ref="Y279:AD279"/>
    <mergeCell ref="AE279:AJ279"/>
    <mergeCell ref="A288:AT288"/>
    <mergeCell ref="A292:AT292"/>
    <mergeCell ref="A304:AT304"/>
    <mergeCell ref="A311:AT311"/>
    <mergeCell ref="A314:AT314"/>
    <mergeCell ref="AE337:AT337"/>
    <mergeCell ref="AE338:AL338"/>
    <mergeCell ref="AM338:AP338"/>
    <mergeCell ref="AQ338:AT338"/>
    <mergeCell ref="B339:AD339"/>
    <mergeCell ref="AE339:AL339"/>
    <mergeCell ref="AM339:AP339"/>
    <mergeCell ref="AQ339:AT339"/>
    <mergeCell ref="B340:AD340"/>
    <mergeCell ref="AE340:AL340"/>
    <mergeCell ref="AM340:AP340"/>
    <mergeCell ref="AQ340:AT340"/>
    <mergeCell ref="B341:AD341"/>
    <mergeCell ref="AE341:AL341"/>
    <mergeCell ref="AM341:AP341"/>
    <mergeCell ref="AQ341:AT341"/>
    <mergeCell ref="B342:AD342"/>
    <mergeCell ref="AE342:AL342"/>
    <mergeCell ref="AM342:AP342"/>
    <mergeCell ref="AQ342:AT342"/>
    <mergeCell ref="B343:AD343"/>
    <mergeCell ref="AE343:AL343"/>
    <mergeCell ref="AM343:AP343"/>
    <mergeCell ref="AQ343:AT343"/>
    <mergeCell ref="B344:AD344"/>
    <mergeCell ref="AE344:AL344"/>
    <mergeCell ref="AM344:AP344"/>
    <mergeCell ref="AQ344:AT344"/>
    <mergeCell ref="B345:AD345"/>
    <mergeCell ref="AE345:AL345"/>
    <mergeCell ref="AM345:AP345"/>
    <mergeCell ref="AQ345:AT345"/>
    <mergeCell ref="B346:AD346"/>
    <mergeCell ref="AE346:AL346"/>
    <mergeCell ref="AM346:AP346"/>
    <mergeCell ref="AQ346:AT346"/>
    <mergeCell ref="B347:AD347"/>
    <mergeCell ref="AE347:AL347"/>
    <mergeCell ref="AM347:AP347"/>
    <mergeCell ref="AQ347:AT347"/>
    <mergeCell ref="B348:AD348"/>
    <mergeCell ref="AE348:AL348"/>
    <mergeCell ref="AM348:AP348"/>
    <mergeCell ref="AQ348:AT348"/>
    <mergeCell ref="B349:AD349"/>
    <mergeCell ref="AE349:AL349"/>
    <mergeCell ref="AM349:AP349"/>
    <mergeCell ref="AQ349:AT349"/>
    <mergeCell ref="B350:AD350"/>
    <mergeCell ref="AE350:AL350"/>
    <mergeCell ref="AM350:AP350"/>
    <mergeCell ref="AQ350:AT350"/>
    <mergeCell ref="B351:AD351"/>
    <mergeCell ref="AE351:AL351"/>
    <mergeCell ref="AM351:AP351"/>
    <mergeCell ref="AQ351:AT351"/>
    <mergeCell ref="B352:AD352"/>
    <mergeCell ref="AE352:AL352"/>
    <mergeCell ref="AM352:AP352"/>
    <mergeCell ref="AQ352:AT352"/>
    <mergeCell ref="B353:AD353"/>
    <mergeCell ref="AE353:AL353"/>
    <mergeCell ref="AM353:AP353"/>
    <mergeCell ref="AQ353:AT353"/>
    <mergeCell ref="B354:AD354"/>
    <mergeCell ref="AE354:AL354"/>
    <mergeCell ref="AM354:AP354"/>
    <mergeCell ref="AQ354:AT354"/>
    <mergeCell ref="AE355:AL355"/>
    <mergeCell ref="B390:Q390"/>
    <mergeCell ref="R390:AC390"/>
    <mergeCell ref="AD390:AO390"/>
    <mergeCell ref="AP390:AT390"/>
    <mergeCell ref="B391:Q391"/>
    <mergeCell ref="R391:Y391"/>
    <mergeCell ref="Z391:AC391"/>
    <mergeCell ref="AD391:AK391"/>
    <mergeCell ref="AL391:AO391"/>
    <mergeCell ref="AP391:AT391"/>
    <mergeCell ref="B392:Q392"/>
    <mergeCell ref="R392:Y392"/>
    <mergeCell ref="Z392:AC392"/>
    <mergeCell ref="AD392:AK392"/>
    <mergeCell ref="AL392:AO392"/>
    <mergeCell ref="AP392:AT392"/>
    <mergeCell ref="R393:Y393"/>
    <mergeCell ref="Z393:AC393"/>
    <mergeCell ref="AD393:AK393"/>
    <mergeCell ref="AL393:AO393"/>
    <mergeCell ref="AP393:AT393"/>
    <mergeCell ref="R394:Y394"/>
    <mergeCell ref="Z394:AC394"/>
    <mergeCell ref="AD394:AK394"/>
    <mergeCell ref="AL394:AO394"/>
    <mergeCell ref="AP394:AT394"/>
    <mergeCell ref="R395:Y395"/>
    <mergeCell ref="Z395:AC395"/>
    <mergeCell ref="AD395:AK395"/>
    <mergeCell ref="AL395:AO395"/>
    <mergeCell ref="AP395:AT395"/>
    <mergeCell ref="R396:Y396"/>
    <mergeCell ref="Z396:AC396"/>
    <mergeCell ref="AD396:AK396"/>
    <mergeCell ref="AL396:AO396"/>
    <mergeCell ref="AP396:AT396"/>
    <mergeCell ref="R397:Y397"/>
    <mergeCell ref="Z397:AC397"/>
    <mergeCell ref="AD397:AK397"/>
    <mergeCell ref="AL397:AO397"/>
    <mergeCell ref="AP397:AT397"/>
    <mergeCell ref="R398:Y398"/>
    <mergeCell ref="Z398:AC398"/>
    <mergeCell ref="AD398:AK398"/>
    <mergeCell ref="AL398:AO398"/>
    <mergeCell ref="AP398:AT398"/>
    <mergeCell ref="R399:Y399"/>
    <mergeCell ref="Z399:AC399"/>
    <mergeCell ref="AD399:AK399"/>
    <mergeCell ref="AL399:AO399"/>
    <mergeCell ref="AP399:AT399"/>
    <mergeCell ref="R400:Y400"/>
    <mergeCell ref="Z400:AC400"/>
    <mergeCell ref="AD400:AK400"/>
    <mergeCell ref="AL400:AO400"/>
    <mergeCell ref="AP400:AT400"/>
    <mergeCell ref="R401:Y401"/>
    <mergeCell ref="Z401:AC401"/>
    <mergeCell ref="AD401:AK401"/>
    <mergeCell ref="AL401:AO401"/>
    <mergeCell ref="AP401:AT401"/>
    <mergeCell ref="R402:Y402"/>
    <mergeCell ref="Z402:AC402"/>
    <mergeCell ref="AD402:AK402"/>
    <mergeCell ref="AL402:AO402"/>
    <mergeCell ref="AP402:AT402"/>
    <mergeCell ref="R403:Y403"/>
    <mergeCell ref="Z403:AC403"/>
    <mergeCell ref="AD403:AK403"/>
    <mergeCell ref="AL403:AO403"/>
    <mergeCell ref="AP403:AT403"/>
    <mergeCell ref="R404:Y404"/>
    <mergeCell ref="Z404:AC404"/>
    <mergeCell ref="AD404:AK404"/>
    <mergeCell ref="AL404:AO404"/>
    <mergeCell ref="AP404:AT404"/>
    <mergeCell ref="AA451:AH451"/>
    <mergeCell ref="AI451:AL451"/>
    <mergeCell ref="AM451:AP451"/>
    <mergeCell ref="AQ451:AT451"/>
    <mergeCell ref="AA452:AH452"/>
    <mergeCell ref="AI452:AL452"/>
    <mergeCell ref="AM452:AP452"/>
    <mergeCell ref="AQ452:AT452"/>
    <mergeCell ref="B453:Z453"/>
    <mergeCell ref="AA453:AH453"/>
    <mergeCell ref="AI453:AL453"/>
    <mergeCell ref="AM453:AP453"/>
    <mergeCell ref="AQ453:AT453"/>
    <mergeCell ref="B454:Z454"/>
    <mergeCell ref="AA454:AH454"/>
    <mergeCell ref="AI454:AL454"/>
    <mergeCell ref="AM454:AP454"/>
    <mergeCell ref="AQ454:AT454"/>
    <mergeCell ref="B455:Z455"/>
    <mergeCell ref="AA455:AH455"/>
    <mergeCell ref="AI455:AL455"/>
    <mergeCell ref="AM455:AP455"/>
    <mergeCell ref="AQ455:AT455"/>
    <mergeCell ref="B456:Z456"/>
    <mergeCell ref="AA456:AH456"/>
    <mergeCell ref="AI456:AL456"/>
    <mergeCell ref="AM456:AP456"/>
    <mergeCell ref="AQ456:AT456"/>
    <mergeCell ref="B457:Z457"/>
    <mergeCell ref="AA457:AH457"/>
    <mergeCell ref="AI457:AL457"/>
    <mergeCell ref="AM457:AP457"/>
    <mergeCell ref="AQ457:AT457"/>
    <mergeCell ref="B458:Z458"/>
    <mergeCell ref="AA458:AH458"/>
    <mergeCell ref="AI458:AL458"/>
    <mergeCell ref="AM458:AP458"/>
    <mergeCell ref="AQ458:AT458"/>
    <mergeCell ref="B459:Z459"/>
    <mergeCell ref="AA459:AH459"/>
    <mergeCell ref="AI459:AL459"/>
    <mergeCell ref="AM459:AP459"/>
    <mergeCell ref="AQ459:AT459"/>
    <mergeCell ref="B460:Z460"/>
    <mergeCell ref="AA460:AH460"/>
    <mergeCell ref="AI460:AL460"/>
    <mergeCell ref="AM460:AP460"/>
    <mergeCell ref="AQ460:AT460"/>
    <mergeCell ref="AA464:AH464"/>
    <mergeCell ref="AI464:AL464"/>
    <mergeCell ref="AM464:AP464"/>
    <mergeCell ref="AQ464:AT464"/>
    <mergeCell ref="AA465:AH465"/>
    <mergeCell ref="AI465:AL465"/>
    <mergeCell ref="AM465:AP465"/>
    <mergeCell ref="AQ465:AT465"/>
    <mergeCell ref="B466:Z466"/>
    <mergeCell ref="AA466:AH466"/>
    <mergeCell ref="AI466:AL466"/>
    <mergeCell ref="AM466:AP466"/>
    <mergeCell ref="AQ466:AT466"/>
    <mergeCell ref="B467:Z467"/>
    <mergeCell ref="AA467:AH467"/>
    <mergeCell ref="AI467:AL467"/>
    <mergeCell ref="AM467:AP467"/>
    <mergeCell ref="AQ467:AT467"/>
    <mergeCell ref="B468:Z468"/>
    <mergeCell ref="AA468:AH468"/>
    <mergeCell ref="AI468:AL468"/>
    <mergeCell ref="AM468:AP468"/>
    <mergeCell ref="AQ468:AT468"/>
    <mergeCell ref="B469:Z469"/>
    <mergeCell ref="AA469:AH469"/>
    <mergeCell ref="AI469:AL469"/>
    <mergeCell ref="AM469:AP469"/>
    <mergeCell ref="AQ469:AT469"/>
    <mergeCell ref="B470:Z470"/>
    <mergeCell ref="AA470:AH470"/>
    <mergeCell ref="AI470:AL470"/>
    <mergeCell ref="AM470:AP470"/>
    <mergeCell ref="AQ470:AT470"/>
    <mergeCell ref="A516:AT516"/>
    <mergeCell ref="A517:AT517"/>
    <mergeCell ref="A520:AT520"/>
    <mergeCell ref="A523:AT523"/>
    <mergeCell ref="A530:AT530"/>
    <mergeCell ref="A533:AT533"/>
    <mergeCell ref="A536:AT536"/>
    <mergeCell ref="A539:AT539"/>
    <mergeCell ref="A542:AT542"/>
    <mergeCell ref="B544:Q544"/>
    <mergeCell ref="R544:AC544"/>
    <mergeCell ref="AD544:AO544"/>
    <mergeCell ref="AP544:AT544"/>
    <mergeCell ref="B545:Q545"/>
    <mergeCell ref="R545:Y545"/>
    <mergeCell ref="Z545:AC545"/>
    <mergeCell ref="AD545:AK545"/>
    <mergeCell ref="AL545:AO545"/>
    <mergeCell ref="AP545:AT545"/>
    <mergeCell ref="B546:Q546"/>
    <mergeCell ref="R546:Y546"/>
    <mergeCell ref="Z546:AC546"/>
    <mergeCell ref="AD546:AK546"/>
    <mergeCell ref="AL546:AO546"/>
    <mergeCell ref="AP546:AT546"/>
    <mergeCell ref="R547:Y547"/>
    <mergeCell ref="Z547:AC547"/>
    <mergeCell ref="AD547:AK547"/>
    <mergeCell ref="AL547:AO547"/>
    <mergeCell ref="AP547:AT547"/>
    <mergeCell ref="R548:Y548"/>
    <mergeCell ref="Z548:AC548"/>
    <mergeCell ref="AD548:AK548"/>
    <mergeCell ref="AL548:AO548"/>
    <mergeCell ref="AP548:AT548"/>
    <mergeCell ref="R549:Y549"/>
    <mergeCell ref="Z549:AC549"/>
    <mergeCell ref="AD549:AK549"/>
    <mergeCell ref="AL549:AO549"/>
    <mergeCell ref="AP549:AT549"/>
    <mergeCell ref="R550:Y550"/>
    <mergeCell ref="Z550:AC550"/>
    <mergeCell ref="AD550:AK550"/>
    <mergeCell ref="AL550:AO550"/>
    <mergeCell ref="AP550:AT550"/>
    <mergeCell ref="R551:Y551"/>
    <mergeCell ref="Z551:AC551"/>
    <mergeCell ref="AD551:AK551"/>
    <mergeCell ref="AL551:AO551"/>
    <mergeCell ref="AP551:AT551"/>
    <mergeCell ref="R552:Y552"/>
    <mergeCell ref="Z552:AC552"/>
    <mergeCell ref="AD552:AK552"/>
    <mergeCell ref="AL552:AO552"/>
    <mergeCell ref="AP552:AT552"/>
    <mergeCell ref="AE570:AT570"/>
    <mergeCell ref="AE571:AL571"/>
    <mergeCell ref="AM571:AP571"/>
    <mergeCell ref="AQ571:AT571"/>
    <mergeCell ref="B572:AD572"/>
    <mergeCell ref="AE572:AL572"/>
    <mergeCell ref="AM572:AP572"/>
    <mergeCell ref="AQ572:AT572"/>
    <mergeCell ref="B573:AD573"/>
    <mergeCell ref="AE573:AL573"/>
    <mergeCell ref="AM573:AP573"/>
    <mergeCell ref="AQ573:AT573"/>
    <mergeCell ref="B574:AD574"/>
    <mergeCell ref="AE574:AL574"/>
    <mergeCell ref="AM574:AP574"/>
    <mergeCell ref="AQ574:AT574"/>
    <mergeCell ref="B575:AD575"/>
    <mergeCell ref="AE575:AL575"/>
    <mergeCell ref="AM575:AP575"/>
    <mergeCell ref="AQ575:AT575"/>
    <mergeCell ref="B576:AD576"/>
    <mergeCell ref="AE576:AL576"/>
    <mergeCell ref="AM576:AP576"/>
    <mergeCell ref="AQ576:AT576"/>
    <mergeCell ref="B577:AD577"/>
    <mergeCell ref="AE577:AL577"/>
    <mergeCell ref="AM577:AP577"/>
    <mergeCell ref="AQ577:AT577"/>
    <mergeCell ref="B578:AD578"/>
    <mergeCell ref="AE578:AL578"/>
    <mergeCell ref="AM578:AP578"/>
    <mergeCell ref="AQ578:AT578"/>
    <mergeCell ref="B579:AD579"/>
    <mergeCell ref="AE579:AL579"/>
    <mergeCell ref="AM579:AP579"/>
    <mergeCell ref="AQ579:AT579"/>
    <mergeCell ref="B580:AD580"/>
    <mergeCell ref="AE580:AL580"/>
    <mergeCell ref="AM580:AP580"/>
    <mergeCell ref="AQ580:AT580"/>
    <mergeCell ref="B581:AD581"/>
    <mergeCell ref="AE581:AL581"/>
    <mergeCell ref="AM581:AP581"/>
    <mergeCell ref="AQ581:AT581"/>
    <mergeCell ref="B582:AD582"/>
    <mergeCell ref="AE582:AL582"/>
    <mergeCell ref="AM582:AP582"/>
    <mergeCell ref="AQ582:AT582"/>
    <mergeCell ref="B583:AD583"/>
    <mergeCell ref="AE583:AL583"/>
    <mergeCell ref="AM583:AP583"/>
    <mergeCell ref="AQ583:AT583"/>
    <mergeCell ref="B584:AD584"/>
    <mergeCell ref="AE584:AL584"/>
    <mergeCell ref="AM584:AP584"/>
    <mergeCell ref="AQ584:AT584"/>
    <mergeCell ref="B585:AD585"/>
    <mergeCell ref="AE585:AL585"/>
    <mergeCell ref="AM585:AP585"/>
    <mergeCell ref="AQ585:AT585"/>
    <mergeCell ref="B586:AD586"/>
    <mergeCell ref="AE586:AL586"/>
    <mergeCell ref="AM586:AP586"/>
    <mergeCell ref="AQ586:AT586"/>
    <mergeCell ref="B587:AD587"/>
    <mergeCell ref="AE587:AL587"/>
    <mergeCell ref="AM587:AP587"/>
    <mergeCell ref="AQ587:AT587"/>
    <mergeCell ref="B588:AD588"/>
    <mergeCell ref="AE588:AL588"/>
    <mergeCell ref="AM588:AP588"/>
    <mergeCell ref="AQ588:AT588"/>
    <mergeCell ref="AE589:AL589"/>
    <mergeCell ref="P625:Y625"/>
    <mergeCell ref="AO625:AS625"/>
    <mergeCell ref="P626:Y626"/>
    <mergeCell ref="P628:Y628"/>
    <mergeCell ref="P629:Y629"/>
    <mergeCell ref="A633:AT633"/>
    <mergeCell ref="P642:Y642"/>
    <mergeCell ref="AO642:AS642"/>
    <mergeCell ref="P643:Y643"/>
    <mergeCell ref="P645:Y645"/>
    <mergeCell ref="P646:Y646"/>
    <mergeCell ref="A651:AT651"/>
    <mergeCell ref="P660:Y660"/>
    <mergeCell ref="AO660:AS660"/>
    <mergeCell ref="P661:Y661"/>
    <mergeCell ref="P663:Y663"/>
    <mergeCell ref="P664:Y664"/>
    <mergeCell ref="A668:AT668"/>
    <mergeCell ref="P677:Y677"/>
    <mergeCell ref="AO677:AS677"/>
    <mergeCell ref="P678:Y678"/>
    <mergeCell ref="P680:Y680"/>
    <mergeCell ref="P681:Y681"/>
    <mergeCell ref="A685:AT685"/>
    <mergeCell ref="P695:Y695"/>
    <mergeCell ref="AO695:AS695"/>
    <mergeCell ref="P696:Y696"/>
    <mergeCell ref="P698:Y698"/>
    <mergeCell ref="P699:Y699"/>
    <mergeCell ref="A703:AT703"/>
    <mergeCell ref="P712:Y712"/>
    <mergeCell ref="AO712:AS712"/>
    <mergeCell ref="P713:Y713"/>
    <mergeCell ref="P715:Y715"/>
    <mergeCell ref="P716:Y716"/>
    <mergeCell ref="A720:AT720"/>
    <mergeCell ref="A727:M727"/>
    <mergeCell ref="P727:Y727"/>
    <mergeCell ref="A728:M728"/>
    <mergeCell ref="P728:Y728"/>
    <mergeCell ref="P730:Y730"/>
    <mergeCell ref="AO730:AS730"/>
    <mergeCell ref="P731:Y731"/>
    <mergeCell ref="P733:Y733"/>
    <mergeCell ref="P734:Y734"/>
    <mergeCell ref="A738:AT738"/>
    <mergeCell ref="A744:M744"/>
    <mergeCell ref="A745:M745"/>
    <mergeCell ref="P745:AE745"/>
    <mergeCell ref="P747:Y747"/>
    <mergeCell ref="AO747:AS747"/>
    <mergeCell ref="P748:Y748"/>
    <mergeCell ref="P750:Y750"/>
    <mergeCell ref="P751:Y751"/>
    <mergeCell ref="A755:AS755"/>
    <mergeCell ref="P766:Y766"/>
    <mergeCell ref="AO766:AS766"/>
    <mergeCell ref="P767:Y767"/>
    <mergeCell ref="P769:Y769"/>
    <mergeCell ref="P770:Y770"/>
    <mergeCell ref="A773:AT773"/>
    <mergeCell ref="P781:Y781"/>
    <mergeCell ref="P782:Y782"/>
    <mergeCell ref="P784:Y784"/>
    <mergeCell ref="AO784:AS784"/>
    <mergeCell ref="P785:Y785"/>
    <mergeCell ref="P787:Y787"/>
    <mergeCell ref="P788:Y788"/>
    <mergeCell ref="A792:AT792"/>
    <mergeCell ref="P801:Y801"/>
    <mergeCell ref="P802:Y802"/>
    <mergeCell ref="P804:Y804"/>
    <mergeCell ref="AO804:AS804"/>
    <mergeCell ref="P805:Y805"/>
    <mergeCell ref="P807:Y807"/>
    <mergeCell ref="P808:Y808"/>
    <mergeCell ref="A812:AT812"/>
    <mergeCell ref="A171:AT173"/>
    <mergeCell ref="A192:AT193"/>
    <mergeCell ref="A174:AT175"/>
    <mergeCell ref="A177:AT178"/>
    <mergeCell ref="B116:AG117"/>
    <mergeCell ref="G642:O643"/>
    <mergeCell ref="G625:O626"/>
    <mergeCell ref="A180:AT181"/>
    <mergeCell ref="A295:AT297"/>
    <mergeCell ref="B464:Z465"/>
    <mergeCell ref="A739:AT741"/>
    <mergeCell ref="AD766:AI767"/>
    <mergeCell ref="AD769:AI770"/>
    <mergeCell ref="AD784:AI785"/>
    <mergeCell ref="N744:O745"/>
    <mergeCell ref="L804:O805"/>
    <mergeCell ref="A771:AT772"/>
    <mergeCell ref="Z698:AC699"/>
    <mergeCell ref="AG744:AJ745"/>
    <mergeCell ref="AD787:AI788"/>
    <mergeCell ref="A704:AT707"/>
    <mergeCell ref="G715:O716"/>
    <mergeCell ref="G695:O696"/>
    <mergeCell ref="G698:O699"/>
    <mergeCell ref="AD698:AI699"/>
    <mergeCell ref="Z692:AC693"/>
    <mergeCell ref="A692:O693"/>
    <mergeCell ref="A622:O623"/>
    <mergeCell ref="A634:AT637"/>
    <mergeCell ref="A674:O675"/>
    <mergeCell ref="AD674:AG675"/>
    <mergeCell ref="G645:O646"/>
    <mergeCell ref="Z628:AC629"/>
    <mergeCell ref="Z642:AC643"/>
    <mergeCell ref="Z625:AC626"/>
    <mergeCell ref="A639:O640"/>
    <mergeCell ref="A682:AT684"/>
    <mergeCell ref="Z660:AC661"/>
    <mergeCell ref="G677:O678"/>
    <mergeCell ref="G660:O661"/>
    <mergeCell ref="A665:AT667"/>
    <mergeCell ref="G628:O629"/>
    <mergeCell ref="A540:AT541"/>
    <mergeCell ref="A514:AT515"/>
    <mergeCell ref="A518:AT519"/>
    <mergeCell ref="A512:AT513"/>
    <mergeCell ref="A537:AT538"/>
    <mergeCell ref="A528:AT529"/>
    <mergeCell ref="A521:AT522"/>
    <mergeCell ref="A531:AT532"/>
    <mergeCell ref="A526:AT527"/>
    <mergeCell ref="A534:AT535"/>
    <mergeCell ref="B570:AD571"/>
    <mergeCell ref="G680:O681"/>
    <mergeCell ref="Z680:AC681"/>
    <mergeCell ref="Z622:AC623"/>
    <mergeCell ref="AD645:AI646"/>
    <mergeCell ref="A709:O710"/>
    <mergeCell ref="Z709:AC710"/>
    <mergeCell ref="Z763:AC764"/>
    <mergeCell ref="A756:AT758"/>
    <mergeCell ref="A652:AT655"/>
    <mergeCell ref="Z663:AC664"/>
    <mergeCell ref="AD625:AI626"/>
    <mergeCell ref="AD628:AI629"/>
    <mergeCell ref="A630:AT632"/>
    <mergeCell ref="G663:O664"/>
    <mergeCell ref="AD695:AI696"/>
    <mergeCell ref="Z677:AC678"/>
    <mergeCell ref="Z645:AC646"/>
    <mergeCell ref="AD677:AI678"/>
    <mergeCell ref="AD642:AI643"/>
    <mergeCell ref="Z695:AC696"/>
    <mergeCell ref="A65:AT67"/>
    <mergeCell ref="A74:AT75"/>
    <mergeCell ref="A77:AT78"/>
    <mergeCell ref="A71:AT72"/>
    <mergeCell ref="A68:AT69"/>
    <mergeCell ref="A80:AT81"/>
    <mergeCell ref="B227:AG228"/>
    <mergeCell ref="A183:AT184"/>
    <mergeCell ref="A186:AT187"/>
    <mergeCell ref="A189:AT190"/>
    <mergeCell ref="A284:AT287"/>
    <mergeCell ref="A289:AT291"/>
    <mergeCell ref="A309:AT310"/>
    <mergeCell ref="A312:AT313"/>
    <mergeCell ref="A299:AT301"/>
    <mergeCell ref="A315:AT317"/>
    <mergeCell ref="B337:AD338"/>
    <mergeCell ref="B451:Z452"/>
    <mergeCell ref="A813:AT814"/>
    <mergeCell ref="Z801:AC802"/>
    <mergeCell ref="G712:O713"/>
    <mergeCell ref="Z712:AC713"/>
    <mergeCell ref="A700:AT702"/>
    <mergeCell ref="A721:AT723"/>
    <mergeCell ref="A669:AT670"/>
    <mergeCell ref="Z657:AC658"/>
    <mergeCell ref="A686:AT688"/>
    <mergeCell ref="Z639:AC640"/>
    <mergeCell ref="L807:O808"/>
    <mergeCell ref="A789:AT791"/>
    <mergeCell ref="Z766:AC767"/>
    <mergeCell ref="A774:AT776"/>
    <mergeCell ref="L766:O767"/>
    <mergeCell ref="Z747:AC748"/>
    <mergeCell ref="Z769:AC770"/>
    <mergeCell ref="Z730:AC731"/>
    <mergeCell ref="A752:AT754"/>
    <mergeCell ref="AD730:AI731"/>
    <mergeCell ref="A763:O764"/>
    <mergeCell ref="AD804:AI805"/>
    <mergeCell ref="A793:AT796"/>
    <mergeCell ref="L787:O788"/>
    <mergeCell ref="AD747:AI748"/>
    <mergeCell ref="L769:O770"/>
    <mergeCell ref="G730:O731"/>
    <mergeCell ref="AD733:AI734"/>
    <mergeCell ref="Z787:AC788"/>
    <mergeCell ref="A801:O802"/>
    <mergeCell ref="A781:O782"/>
    <mergeCell ref="Z804:AC805"/>
    <mergeCell ref="Z781:AC782"/>
    <mergeCell ref="Z784:AC785"/>
    <mergeCell ref="A809:AT811"/>
    <mergeCell ref="Z715:AC716"/>
    <mergeCell ref="A735:AT737"/>
    <mergeCell ref="A648:AT650"/>
    <mergeCell ref="A657:O658"/>
    <mergeCell ref="Z733:AC734"/>
    <mergeCell ref="G733:O734"/>
    <mergeCell ref="G747:O748"/>
    <mergeCell ref="G750:O751"/>
    <mergeCell ref="AD680:AI681"/>
    <mergeCell ref="AD660:AI661"/>
    <mergeCell ref="AD663:AI664"/>
    <mergeCell ref="Z807:AC808"/>
    <mergeCell ref="L784:O785"/>
    <mergeCell ref="A321:AT323"/>
    <mergeCell ref="A302:AT303"/>
    <mergeCell ref="A306:AT308"/>
    <mergeCell ref="A8:Z9"/>
    <mergeCell ref="A717:AT719"/>
    <mergeCell ref="N727:O728"/>
    <mergeCell ref="AD715:AI716"/>
    <mergeCell ref="Z727:AC728"/>
    <mergeCell ref="Z750:AC751"/>
    <mergeCell ref="AD807:AI808"/>
    <mergeCell ref="AD712:AI713"/>
    <mergeCell ref="AD750:AI751"/>
  </mergeCells>
  <conditionalFormatting sqref="AH119:AP125">
    <cfRule type="dataBar" priority="56">
      <dataBar>
        <cfvo type="min"/>
        <cfvo type="max"/>
        <color rgb="FF638EC6"/>
      </dataBar>
      <extLst>
        <ext xmlns:x14="http://schemas.microsoft.com/office/spreadsheetml/2009/9/main" uri="{B025F937-C7B1-47D3-B67F-A62EFF666E3E}">
          <x14:id>{4cd1ab33-f3ff-481d-bda4-a0173e09af94}</x14:id>
        </ext>
      </extLst>
    </cfRule>
  </conditionalFormatting>
  <conditionalFormatting sqref="R200:Y202">
    <cfRule type="dataBar" priority="156">
      <dataBar>
        <cfvo type="min"/>
        <cfvo type="max"/>
        <color rgb="FF638EC6"/>
      </dataBar>
      <extLst>
        <ext xmlns:x14="http://schemas.microsoft.com/office/spreadsheetml/2009/9/main" uri="{B025F937-C7B1-47D3-B67F-A62EFF666E3E}">
          <x14:id>{0e3bf72a-3cda-4e0c-a7b1-0c80800ca3a8}</x14:id>
        </ext>
      </extLst>
    </cfRule>
  </conditionalFormatting>
  <conditionalFormatting sqref="AD200:AK202">
    <cfRule type="dataBar" priority="158">
      <dataBar>
        <cfvo type="min"/>
        <cfvo type="max"/>
        <color rgb="FF63C384"/>
      </dataBar>
      <extLst>
        <ext xmlns:x14="http://schemas.microsoft.com/office/spreadsheetml/2009/9/main" uri="{B025F937-C7B1-47D3-B67F-A62EFF666E3E}">
          <x14:id>{d865d44d-6e89-4338-bbb4-b0512da79c96}</x14:id>
        </ext>
      </extLst>
    </cfRule>
  </conditionalFormatting>
  <conditionalFormatting sqref="AH230:AP241">
    <cfRule type="dataBar" priority="57">
      <dataBar>
        <cfvo type="min"/>
        <cfvo type="max"/>
        <color rgb="FFFF555A"/>
      </dataBar>
      <extLst>
        <ext xmlns:x14="http://schemas.microsoft.com/office/spreadsheetml/2009/9/main" uri="{B025F937-C7B1-47D3-B67F-A62EFF666E3E}">
          <x14:id>{a99f6c72-3c03-4080-8f17-be61aa07d412}</x14:id>
        </ext>
      </extLst>
    </cfRule>
  </conditionalFormatting>
  <conditionalFormatting sqref="AE340:AL345">
    <cfRule type="dataBar" priority="77">
      <dataBar>
        <cfvo type="min"/>
        <cfvo type="max"/>
        <color rgb="FF63C384"/>
      </dataBar>
      <extLst>
        <ext xmlns:x14="http://schemas.microsoft.com/office/spreadsheetml/2009/9/main" uri="{B025F937-C7B1-47D3-B67F-A62EFF666E3E}">
          <x14:id>{17022ae2-ad03-4d41-99d0-8f908371365f}</x14:id>
        </ext>
      </extLst>
    </cfRule>
  </conditionalFormatting>
  <conditionalFormatting sqref="AE340:AL346">
    <cfRule type="dataBar" priority="30">
      <dataBar>
        <cfvo type="min"/>
        <cfvo type="max"/>
        <color theme="3" tint="0.599993896298105"/>
      </dataBar>
      <extLst>
        <ext xmlns:x14="http://schemas.microsoft.com/office/spreadsheetml/2009/9/main" uri="{B025F937-C7B1-47D3-B67F-A62EFF666E3E}">
          <x14:id>{794a108c-c86d-4314-8d85-a0f463cc7f82}</x14:id>
        </ext>
      </extLst>
    </cfRule>
    <cfRule type="dataBar" priority="35">
      <dataBar>
        <cfvo type="min"/>
        <cfvo type="max"/>
        <color rgb="FF638EC6"/>
      </dataBar>
      <extLst>
        <ext xmlns:x14="http://schemas.microsoft.com/office/spreadsheetml/2009/9/main" uri="{B025F937-C7B1-47D3-B67F-A62EFF666E3E}">
          <x14:id>{a7f0b923-50f3-4a93-b543-56cb863cda3b}</x14:id>
        </ext>
      </extLst>
    </cfRule>
  </conditionalFormatting>
  <conditionalFormatting sqref="AE347:AL351">
    <cfRule type="dataBar" priority="175">
      <dataBar>
        <cfvo type="min"/>
        <cfvo type="max"/>
        <color theme="7" tint="0.599993896298105"/>
      </dataBar>
      <extLst>
        <ext xmlns:x14="http://schemas.microsoft.com/office/spreadsheetml/2009/9/main" uri="{B025F937-C7B1-47D3-B67F-A62EFF666E3E}">
          <x14:id>{4213c62f-a37a-4afc-9e41-35b40f018839}</x14:id>
        </ext>
      </extLst>
    </cfRule>
  </conditionalFormatting>
  <conditionalFormatting sqref="AE347:AL353">
    <cfRule type="dataBar" priority="171">
      <dataBar>
        <cfvo type="min"/>
        <cfvo type="max"/>
        <color theme="7" tint="0.399975585192419"/>
      </dataBar>
      <extLst>
        <ext xmlns:x14="http://schemas.microsoft.com/office/spreadsheetml/2009/9/main" uri="{B025F937-C7B1-47D3-B67F-A62EFF666E3E}">
          <x14:id>{a6204ff5-476a-4546-85a3-b981cd668d2a}</x14:id>
        </ext>
      </extLst>
    </cfRule>
    <cfRule type="dataBar" priority="172">
      <dataBar>
        <cfvo type="min"/>
        <cfvo type="max"/>
        <color rgb="FFFFB628"/>
      </dataBar>
      <extLst>
        <ext xmlns:x14="http://schemas.microsoft.com/office/spreadsheetml/2009/9/main" uri="{B025F937-C7B1-47D3-B67F-A62EFF666E3E}">
          <x14:id>{5037390d-0ec5-4fec-badb-93ae01ff06fe}</x14:id>
        </ext>
      </extLst>
    </cfRule>
  </conditionalFormatting>
  <conditionalFormatting sqref="B352:AD353">
    <cfRule type="dataBar" priority="33">
      <dataBar>
        <cfvo type="min"/>
        <cfvo type="max"/>
        <color theme="7" tint="0.399975585192419"/>
      </dataBar>
      <extLst>
        <ext xmlns:x14="http://schemas.microsoft.com/office/spreadsheetml/2009/9/main" uri="{B025F937-C7B1-47D3-B67F-A62EFF666E3E}">
          <x14:id>{28f65cf6-9f44-4f2b-8f59-5a3a937f4937}</x14:id>
        </ext>
      </extLst>
    </cfRule>
  </conditionalFormatting>
  <conditionalFormatting sqref="R393:Y397">
    <cfRule type="dataBar" priority="24">
      <dataBar>
        <cfvo type="min"/>
        <cfvo type="max"/>
        <color rgb="FF638EC6"/>
      </dataBar>
      <extLst>
        <ext xmlns:x14="http://schemas.microsoft.com/office/spreadsheetml/2009/9/main" uri="{B025F937-C7B1-47D3-B67F-A62EFF666E3E}">
          <x14:id>{e4188515-dbd7-4a1b-859d-ab5d03a968e7}</x14:id>
        </ext>
      </extLst>
    </cfRule>
  </conditionalFormatting>
  <conditionalFormatting sqref="R393:Y404">
    <cfRule type="dataBar" priority="169">
      <dataBar>
        <cfvo type="min"/>
        <cfvo type="max"/>
        <color theme="6" tint="0.399975585192419"/>
      </dataBar>
      <extLst>
        <ext xmlns:x14="http://schemas.microsoft.com/office/spreadsheetml/2009/9/main" uri="{B025F937-C7B1-47D3-B67F-A62EFF666E3E}">
          <x14:id>{99324faf-d9e7-433f-ba87-029b315ecf9d}</x14:id>
        </ext>
      </extLst>
    </cfRule>
    <cfRule type="dataBar" priority="170">
      <dataBar>
        <cfvo type="min"/>
        <cfvo type="max"/>
        <color rgb="FF63C384"/>
      </dataBar>
      <extLst>
        <ext xmlns:x14="http://schemas.microsoft.com/office/spreadsheetml/2009/9/main" uri="{B025F937-C7B1-47D3-B67F-A62EFF666E3E}">
          <x14:id>{97daf262-2503-424a-b7ed-fefe66eadf1f}</x14:id>
        </ext>
      </extLst>
    </cfRule>
  </conditionalFormatting>
  <conditionalFormatting sqref="AD393:AK397">
    <cfRule type="dataBar" priority="25">
      <dataBar>
        <cfvo type="min"/>
        <cfvo type="max"/>
        <color rgb="FF638EC6"/>
      </dataBar>
      <extLst>
        <ext xmlns:x14="http://schemas.microsoft.com/office/spreadsheetml/2009/9/main" uri="{B025F937-C7B1-47D3-B67F-A62EFF666E3E}">
          <x14:id>{f0ba81a1-f220-4c85-beff-cfe0c8fcdff2}</x14:id>
        </ext>
      </extLst>
    </cfRule>
  </conditionalFormatting>
  <conditionalFormatting sqref="AD393:AK404">
    <cfRule type="dataBar" priority="165">
      <dataBar>
        <cfvo type="min"/>
        <cfvo type="max"/>
        <color theme="4" tint="0.599993896298105"/>
      </dataBar>
      <extLst>
        <ext xmlns:x14="http://schemas.microsoft.com/office/spreadsheetml/2009/9/main" uri="{B025F937-C7B1-47D3-B67F-A62EFF666E3E}">
          <x14:id>{a2e06e6c-6736-49cc-a8c8-4bb2012dbe44}</x14:id>
        </ext>
      </extLst>
    </cfRule>
    <cfRule type="dataBar" priority="166">
      <dataBar>
        <cfvo type="min"/>
        <cfvo type="max"/>
        <color rgb="FF638EC6"/>
      </dataBar>
      <extLst>
        <ext xmlns:x14="http://schemas.microsoft.com/office/spreadsheetml/2009/9/main" uri="{B025F937-C7B1-47D3-B67F-A62EFF666E3E}">
          <x14:id>{f356838a-44c3-43b0-952c-2edf2ba07e40}</x14:id>
        </ext>
      </extLst>
    </cfRule>
  </conditionalFormatting>
  <conditionalFormatting sqref="AA454:AH460">
    <cfRule type="dataBar" priority="9">
      <dataBar>
        <cfvo type="min"/>
        <cfvo type="max"/>
        <color theme="3" tint="0.599993896298105"/>
      </dataBar>
      <extLst>
        <ext xmlns:x14="http://schemas.microsoft.com/office/spreadsheetml/2009/9/main" uri="{B025F937-C7B1-47D3-B67F-A62EFF666E3E}">
          <x14:id>{3c962f96-0a2e-4dd7-8cfa-e0e1afa9a0df}</x14:id>
        </ext>
      </extLst>
    </cfRule>
    <cfRule type="dataBar" priority="10">
      <dataBar>
        <cfvo type="min"/>
        <cfvo type="max"/>
        <color rgb="FF638EC6"/>
      </dataBar>
      <extLst>
        <ext xmlns:x14="http://schemas.microsoft.com/office/spreadsheetml/2009/9/main" uri="{B025F937-C7B1-47D3-B67F-A62EFF666E3E}">
          <x14:id>{c3fbc385-0c26-4de9-8bfa-babdebbe2e5e}</x14:id>
        </ext>
      </extLst>
    </cfRule>
    <cfRule type="dataBar" priority="11">
      <dataBar>
        <cfvo type="min"/>
        <cfvo type="max"/>
        <color rgb="FF63C384"/>
      </dataBar>
      <extLst>
        <ext xmlns:x14="http://schemas.microsoft.com/office/spreadsheetml/2009/9/main" uri="{B025F937-C7B1-47D3-B67F-A62EFF666E3E}">
          <x14:id>{15027303-3add-4d1b-977f-82192f3e3a8e}</x14:id>
        </ext>
      </extLst>
    </cfRule>
  </conditionalFormatting>
  <conditionalFormatting sqref="AA467:AH470">
    <cfRule type="dataBar" priority="78">
      <dataBar>
        <cfvo type="min"/>
        <cfvo type="max"/>
        <color theme="3" tint="0.599993896298105"/>
      </dataBar>
      <extLst>
        <ext xmlns:x14="http://schemas.microsoft.com/office/spreadsheetml/2009/9/main" uri="{B025F937-C7B1-47D3-B67F-A62EFF666E3E}">
          <x14:id>{644a2e86-8abf-4bf2-aad7-925d827ae54f}</x14:id>
        </ext>
      </extLst>
    </cfRule>
    <cfRule type="dataBar" priority="79">
      <dataBar>
        <cfvo type="min"/>
        <cfvo type="max"/>
        <color rgb="FF638EC6"/>
      </dataBar>
      <extLst>
        <ext xmlns:x14="http://schemas.microsoft.com/office/spreadsheetml/2009/9/main" uri="{B025F937-C7B1-47D3-B67F-A62EFF666E3E}">
          <x14:id>{567b1d61-07dd-43ef-b229-a8ea700d82d1}</x14:id>
        </ext>
      </extLst>
    </cfRule>
    <cfRule type="dataBar" priority="82">
      <dataBar>
        <cfvo type="min"/>
        <cfvo type="max"/>
        <color rgb="FF63C384"/>
      </dataBar>
      <extLst>
        <ext xmlns:x14="http://schemas.microsoft.com/office/spreadsheetml/2009/9/main" uri="{B025F937-C7B1-47D3-B67F-A62EFF666E3E}">
          <x14:id>{0a4bf450-229f-43a5-91ce-926f078f82e2}</x14:id>
        </ext>
      </extLst>
    </cfRule>
  </conditionalFormatting>
  <conditionalFormatting sqref="R547:Y552">
    <cfRule type="dataBar" priority="20">
      <dataBar>
        <cfvo type="min"/>
        <cfvo type="max"/>
        <color rgb="FF638EC6"/>
      </dataBar>
      <extLst>
        <ext xmlns:x14="http://schemas.microsoft.com/office/spreadsheetml/2009/9/main" uri="{B025F937-C7B1-47D3-B67F-A62EFF666E3E}">
          <x14:id>{7a790422-8565-4d52-b4e2-865cd84d5da8}</x14:id>
        </ext>
      </extLst>
    </cfRule>
  </conditionalFormatting>
  <conditionalFormatting sqref="AD547:AK552">
    <cfRule type="dataBar" priority="21">
      <dataBar>
        <cfvo type="min"/>
        <cfvo type="max"/>
        <color theme="7" tint="0.399975585192419"/>
      </dataBar>
      <extLst>
        <ext xmlns:x14="http://schemas.microsoft.com/office/spreadsheetml/2009/9/main" uri="{B025F937-C7B1-47D3-B67F-A62EFF666E3E}">
          <x14:id>{73b1ccb5-63a8-4944-93b3-a45e18ede4a1}</x14:id>
        </ext>
      </extLst>
    </cfRule>
  </conditionalFormatting>
  <conditionalFormatting sqref="AE573:AL579">
    <cfRule type="dataBar" priority="29">
      <dataBar>
        <cfvo type="min"/>
        <cfvo type="max"/>
        <color theme="6" tint="-0.249977111117893"/>
      </dataBar>
      <extLst>
        <ext xmlns:x14="http://schemas.microsoft.com/office/spreadsheetml/2009/9/main" uri="{B025F937-C7B1-47D3-B67F-A62EFF666E3E}">
          <x14:id>{eba186a1-c06a-4fd9-a263-2f6a329614a8}</x14:id>
        </ext>
      </extLst>
    </cfRule>
    <cfRule type="dataBar" priority="37">
      <dataBar>
        <cfvo type="min"/>
        <cfvo type="max"/>
        <color rgb="FF63C384"/>
      </dataBar>
      <extLst>
        <ext xmlns:x14="http://schemas.microsoft.com/office/spreadsheetml/2009/9/main" uri="{B025F937-C7B1-47D3-B67F-A62EFF666E3E}">
          <x14:id>{2a0545b8-92a6-429b-a835-23810114c17c}</x14:id>
        </ext>
      </extLst>
    </cfRule>
  </conditionalFormatting>
  <conditionalFormatting sqref="AE573:AL587">
    <cfRule type="dataBar" priority="72">
      <dataBar>
        <cfvo type="min"/>
        <cfvo type="max"/>
        <color rgb="FFFFB628"/>
      </dataBar>
      <extLst>
        <ext xmlns:x14="http://schemas.microsoft.com/office/spreadsheetml/2009/9/main" uri="{B025F937-C7B1-47D3-B67F-A62EFF666E3E}">
          <x14:id>{ebee30dd-003a-4a9a-a3d1-59cc72776a52}</x14:id>
        </ext>
      </extLst>
    </cfRule>
  </conditionalFormatting>
  <conditionalFormatting sqref="AE580:AL587">
    <cfRule type="dataBar" priority="26">
      <dataBar>
        <cfvo type="min"/>
        <cfvo type="max"/>
        <color rgb="FFFF0000"/>
      </dataBar>
      <extLst>
        <ext xmlns:x14="http://schemas.microsoft.com/office/spreadsheetml/2009/9/main" uri="{B025F937-C7B1-47D3-B67F-A62EFF666E3E}">
          <x14:id>{648a7e41-c977-4cfb-9df8-5ec8739a44b6}</x14:id>
        </ext>
      </extLst>
    </cfRule>
    <cfRule type="dataBar" priority="27">
      <dataBar>
        <cfvo type="min"/>
        <cfvo type="max"/>
        <color theme="5" tint="0.399975585192419"/>
      </dataBar>
      <extLst>
        <ext xmlns:x14="http://schemas.microsoft.com/office/spreadsheetml/2009/9/main" uri="{B025F937-C7B1-47D3-B67F-A62EFF666E3E}">
          <x14:id>{ae986251-a571-4bbe-ba9a-6333a54823d1}</x14:id>
        </ext>
      </extLst>
    </cfRule>
    <cfRule type="dataBar" priority="28">
      <dataBar>
        <cfvo type="min"/>
        <cfvo type="max"/>
        <color theme="5" tint="0.599993896298105"/>
      </dataBar>
      <extLst>
        <ext xmlns:x14="http://schemas.microsoft.com/office/spreadsheetml/2009/9/main" uri="{B025F937-C7B1-47D3-B67F-A62EFF666E3E}">
          <x14:id>{3eb0d927-9db4-45ea-b407-913f03d4fa4b}</x14:id>
        </ext>
      </extLst>
    </cfRule>
    <cfRule type="dataBar" priority="36">
      <dataBar>
        <cfvo type="min"/>
        <cfvo type="max"/>
        <color rgb="FFFF555A"/>
      </dataBar>
      <extLst>
        <ext xmlns:x14="http://schemas.microsoft.com/office/spreadsheetml/2009/9/main" uri="{B025F937-C7B1-47D3-B67F-A62EFF666E3E}">
          <x14:id>{095b0b32-7f49-4623-bfcc-d39b446c06a2}</x14:id>
        </ext>
      </extLst>
    </cfRule>
  </conditionalFormatting>
  <pageMargins left="0.62992125984252" right="0.236220472440945" top="0.62992125984252" bottom="0.47244094488189" header="0.354330708661417" footer="0.196850393700787"/>
  <pageSetup paperSize="9" scale="88" fitToHeight="0" orientation="portrait"/>
  <headerFooter alignWithMargins="0">
    <oddHeader>&amp;C  </oddHeader>
    <oddFooter>&amp;L&amp;8ekonomika.doo@bih.net.ba - 037/511-739&amp;RStrana &amp;P</oddFooter>
  </headerFooter>
  <rowBreaks count="14" manualBreakCount="14">
    <brk id="58" max="16383" man="1"/>
    <brk id="112" max="16383" man="1"/>
    <brk id="167" max="16383" man="1"/>
    <brk id="223" max="16383" man="1"/>
    <brk id="281" max="16383" man="1"/>
    <brk id="334" max="16383" man="1"/>
    <brk id="386" max="16383" man="1"/>
    <brk id="448" max="16383" man="1"/>
    <brk id="509" max="16383" man="1"/>
    <brk id="566" max="16383" man="1"/>
    <brk id="616" max="16383" man="1"/>
    <brk id="671" max="16383" man="1"/>
    <brk id="725" max="16383" man="1"/>
    <brk id="779" max="16383" man="1"/>
  </rowBreaks>
  <drawing r:id="rId1"/>
  <extLst>
    <ext xmlns:x14="http://schemas.microsoft.com/office/spreadsheetml/2009/9/main" uri="{78C0D931-6437-407d-A8EE-F0AAD7539E65}">
      <x14:conditionalFormattings>
        <x14:conditionalFormatting xmlns:xm="http://schemas.microsoft.com/office/excel/2006/main">
          <x14:cfRule type="dataBar" id="{4cd1ab33-f3ff-481d-bda4-a0173e09af94}">
            <x14:dataBar minLength="10" maxLength="90" negativeBarColorSameAsPositive="1" axisPosition="none">
              <x14:cfvo type="min"/>
              <x14:cfvo type="max"/>
              <x14:axisColor indexed="65"/>
            </x14:dataBar>
          </x14:cfRule>
          <xm:sqref>AH119:AP125</xm:sqref>
        </x14:conditionalFormatting>
        <x14:conditionalFormatting xmlns:xm="http://schemas.microsoft.com/office/excel/2006/main">
          <x14:cfRule type="dataBar" id="{0e3bf72a-3cda-4e0c-a7b1-0c80800ca3a8}">
            <x14:dataBar minLength="0" maxLength="100" border="1" negativeBarBorderColorSameAsPositive="0">
              <x14:cfvo type="autoMin"/>
              <x14:cfvo type="autoMax"/>
              <x14:borderColor rgb="FF638EC6"/>
              <x14:negativeFillColor rgb="FFFF0000"/>
              <x14:negativeBorderColor rgb="FFFF0000"/>
              <x14:axisColor rgb="FF000000"/>
            </x14:dataBar>
          </x14:cfRule>
          <xm:sqref>R200:Y202</xm:sqref>
        </x14:conditionalFormatting>
        <x14:conditionalFormatting xmlns:xm="http://schemas.microsoft.com/office/excel/2006/main">
          <x14:cfRule type="dataBar" id="{d865d44d-6e89-4338-bbb4-b0512da79c96}">
            <x14:dataBar minLength="0" maxLength="100" border="1" negativeBarBorderColorSameAsPositive="0">
              <x14:cfvo type="autoMin"/>
              <x14:cfvo type="autoMax"/>
              <x14:borderColor rgb="FF63C384"/>
              <x14:negativeFillColor rgb="FFFF0000"/>
              <x14:negativeBorderColor rgb="FFFF0000"/>
              <x14:axisColor rgb="FF000000"/>
            </x14:dataBar>
          </x14:cfRule>
          <xm:sqref>AD200:AK202</xm:sqref>
        </x14:conditionalFormatting>
        <x14:conditionalFormatting xmlns:xm="http://schemas.microsoft.com/office/excel/2006/main">
          <x14:cfRule type="dataBar" id="{a99f6c72-3c03-4080-8f17-be61aa07d412}">
            <x14:dataBar minLength="10" maxLength="90" negativeBarColorSameAsPositive="1" axisPosition="none">
              <x14:cfvo type="min"/>
              <x14:cfvo type="max"/>
              <x14:axisColor indexed="65"/>
            </x14:dataBar>
          </x14:cfRule>
          <xm:sqref>AH230:AP241</xm:sqref>
        </x14:conditionalFormatting>
        <x14:conditionalFormatting xmlns:xm="http://schemas.microsoft.com/office/excel/2006/main">
          <x14:cfRule type="dataBar" id="{17022ae2-ad03-4d41-99d0-8f908371365f}">
            <x14:dataBar minLength="0" maxLength="100" border="1" negativeBarBorderColorSameAsPositive="0">
              <x14:cfvo type="autoMin"/>
              <x14:cfvo type="autoMax"/>
              <x14:borderColor rgb="FF63C384"/>
              <x14:negativeFillColor rgb="FFFF0000"/>
              <x14:negativeBorderColor rgb="FFFF0000"/>
              <x14:axisColor rgb="FF000000"/>
            </x14:dataBar>
          </x14:cfRule>
          <xm:sqref>AE340:AL345</xm:sqref>
        </x14:conditionalFormatting>
        <x14:conditionalFormatting xmlns:xm="http://schemas.microsoft.com/office/excel/2006/main">
          <x14:cfRule type="dataBar" id="{794a108c-c86d-4314-8d85-a0f463cc7f82}">
            <x14:dataBar minLength="0" maxLength="100" gradient="0">
              <x14:cfvo type="autoMin"/>
              <x14:cfvo type="autoMax"/>
              <x14:negativeFillColor rgb="FFFF0000"/>
              <x14:axisColor rgb="FF000000"/>
            </x14:dataBar>
          </x14:cfRule>
          <x14:cfRule type="dataBar" id="{a7f0b923-50f3-4a93-b543-56cb863cda3b}">
            <x14:dataBar minLength="0" maxLength="100" border="1" negativeBarBorderColorSameAsPositive="0">
              <x14:cfvo type="autoMin"/>
              <x14:cfvo type="autoMax"/>
              <x14:borderColor rgb="FF638EC6"/>
              <x14:negativeFillColor rgb="FFFF0000"/>
              <x14:negativeBorderColor rgb="FFFF0000"/>
              <x14:axisColor rgb="FF000000"/>
            </x14:dataBar>
          </x14:cfRule>
          <xm:sqref>AE340:AL346</xm:sqref>
        </x14:conditionalFormatting>
        <x14:conditionalFormatting xmlns:xm="http://schemas.microsoft.com/office/excel/2006/main">
          <x14:cfRule type="dataBar" id="{4213c62f-a37a-4afc-9e41-35b40f018839}">
            <x14:dataBar minLength="0" maxLength="100" gradient="0">
              <x14:cfvo type="autoMin"/>
              <x14:cfvo type="autoMax"/>
              <x14:negativeFillColor rgb="FFFF0000"/>
              <x14:axisColor rgb="FF000000"/>
            </x14:dataBar>
          </x14:cfRule>
          <xm:sqref>AE347:AL351</xm:sqref>
        </x14:conditionalFormatting>
        <x14:conditionalFormatting xmlns:xm="http://schemas.microsoft.com/office/excel/2006/main">
          <x14:cfRule type="dataBar" id="{a6204ff5-476a-4546-85a3-b981cd668d2a}">
            <x14:dataBar minLength="0" maxLength="100" gradient="0">
              <x14:cfvo type="autoMin"/>
              <x14:cfvo type="autoMax"/>
              <x14:negativeFillColor rgb="FFFF0000"/>
              <x14:axisColor rgb="FF000000"/>
            </x14:dataBar>
          </x14:cfRule>
          <x14:cfRule type="dataBar" id="{5037390d-0ec5-4fec-badb-93ae01ff06fe}">
            <x14:dataBar minLength="0" maxLength="100" border="1" negativeBarBorderColorSameAsPositive="0">
              <x14:cfvo type="autoMin"/>
              <x14:cfvo type="autoMax"/>
              <x14:borderColor rgb="FFFFB628"/>
              <x14:negativeFillColor rgb="FFFF0000"/>
              <x14:negativeBorderColor rgb="FFFF0000"/>
              <x14:axisColor rgb="FF000000"/>
            </x14:dataBar>
          </x14:cfRule>
          <xm:sqref>AE347:AL353</xm:sqref>
        </x14:conditionalFormatting>
        <x14:conditionalFormatting xmlns:xm="http://schemas.microsoft.com/office/excel/2006/main">
          <x14:cfRule type="dataBar" id="{28f65cf6-9f44-4f2b-8f59-5a3a937f4937}">
            <x14:dataBar minLength="0" maxLength="100" gradient="0">
              <x14:cfvo type="autoMin"/>
              <x14:cfvo type="autoMax"/>
              <x14:negativeFillColor rgb="FFFF0000"/>
              <x14:axisColor rgb="FF000000"/>
            </x14:dataBar>
          </x14:cfRule>
          <xm:sqref>B352:AD353</xm:sqref>
        </x14:conditionalFormatting>
        <x14:conditionalFormatting xmlns:xm="http://schemas.microsoft.com/office/excel/2006/main">
          <x14:cfRule type="dataBar" id="{e4188515-dbd7-4a1b-859d-ab5d03a968e7}">
            <x14:dataBar minLength="0" maxLength="100" border="1" negativeBarBorderColorSameAsPositive="0">
              <x14:cfvo type="autoMin"/>
              <x14:cfvo type="autoMax"/>
              <x14:borderColor rgb="FF638EC6"/>
              <x14:negativeFillColor rgb="FFFF0000"/>
              <x14:negativeBorderColor rgb="FFFF0000"/>
              <x14:axisColor rgb="FF000000"/>
            </x14:dataBar>
          </x14:cfRule>
          <xm:sqref>R393:Y397</xm:sqref>
        </x14:conditionalFormatting>
        <x14:conditionalFormatting xmlns:xm="http://schemas.microsoft.com/office/excel/2006/main">
          <x14:cfRule type="dataBar" id="{99324faf-d9e7-433f-ba87-029b315ecf9d}">
            <x14:dataBar minLength="0" maxLength="100" gradient="0">
              <x14:cfvo type="autoMin"/>
              <x14:cfvo type="autoMax"/>
              <x14:negativeFillColor rgb="FFFF0000"/>
              <x14:axisColor rgb="FF000000"/>
            </x14:dataBar>
          </x14:cfRule>
          <x14:cfRule type="dataBar" id="{97daf262-2503-424a-b7ed-fefe66eadf1f}">
            <x14:dataBar minLength="0" maxLength="100" border="1" negativeBarBorderColorSameAsPositive="0">
              <x14:cfvo type="autoMin"/>
              <x14:cfvo type="autoMax"/>
              <x14:borderColor rgb="FF63C384"/>
              <x14:negativeFillColor rgb="FFFF0000"/>
              <x14:negativeBorderColor rgb="FFFF0000"/>
              <x14:axisColor rgb="FF000000"/>
            </x14:dataBar>
          </x14:cfRule>
          <xm:sqref>R393:Y404</xm:sqref>
        </x14:conditionalFormatting>
        <x14:conditionalFormatting xmlns:xm="http://schemas.microsoft.com/office/excel/2006/main">
          <x14:cfRule type="dataBar" id="{f0ba81a1-f220-4c85-beff-cfe0c8fcdff2}">
            <x14:dataBar minLength="0" maxLength="100" border="1" negativeBarBorderColorSameAsPositive="0">
              <x14:cfvo type="autoMin"/>
              <x14:cfvo type="autoMax"/>
              <x14:borderColor rgb="FF638EC6"/>
              <x14:negativeFillColor rgb="FFFF0000"/>
              <x14:negativeBorderColor rgb="FFFF0000"/>
              <x14:axisColor rgb="FF000000"/>
            </x14:dataBar>
          </x14:cfRule>
          <xm:sqref>AD393:AK397</xm:sqref>
        </x14:conditionalFormatting>
        <x14:conditionalFormatting xmlns:xm="http://schemas.microsoft.com/office/excel/2006/main">
          <x14:cfRule type="dataBar" id="{a2e06e6c-6736-49cc-a8c8-4bb2012dbe44}">
            <x14:dataBar minLength="0" maxLength="100" gradient="0">
              <x14:cfvo type="autoMin"/>
              <x14:cfvo type="autoMax"/>
              <x14:negativeFillColor rgb="FFFF0000"/>
              <x14:axisColor rgb="FF000000"/>
            </x14:dataBar>
          </x14:cfRule>
          <x14:cfRule type="dataBar" id="{f356838a-44c3-43b0-952c-2edf2ba07e40}">
            <x14:dataBar minLength="0" maxLength="100" border="1" negativeBarBorderColorSameAsPositive="0">
              <x14:cfvo type="autoMin"/>
              <x14:cfvo type="autoMax"/>
              <x14:borderColor rgb="FF638EC6"/>
              <x14:negativeFillColor rgb="FFFF0000"/>
              <x14:negativeBorderColor rgb="FFFF0000"/>
              <x14:axisColor rgb="FF000000"/>
            </x14:dataBar>
          </x14:cfRule>
          <xm:sqref>AD393:AK404</xm:sqref>
        </x14:conditionalFormatting>
        <x14:conditionalFormatting xmlns:xm="http://schemas.microsoft.com/office/excel/2006/main">
          <x14:cfRule type="dataBar" id="{3c962f96-0a2e-4dd7-8cfa-e0e1afa9a0df}">
            <x14:dataBar minLength="0" maxLength="100" gradient="0">
              <x14:cfvo type="autoMin"/>
              <x14:cfvo type="autoMax"/>
              <x14:negativeFillColor rgb="FFFF0000"/>
              <x14:axisColor rgb="FF000000"/>
            </x14:dataBar>
          </x14:cfRule>
          <x14:cfRule type="dataBar" id="{c3fbc385-0c26-4de9-8bfa-babdebbe2e5e}">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15027303-3add-4d1b-977f-82192f3e3a8e}">
            <x14:dataBar minLength="0" maxLength="100" border="1" negativeBarBorderColorSameAsPositive="0">
              <x14:cfvo type="autoMin"/>
              <x14:cfvo type="autoMax"/>
              <x14:borderColor rgb="FF63C384"/>
              <x14:negativeFillColor rgb="FFFF0000"/>
              <x14:negativeBorderColor rgb="FFFF0000"/>
              <x14:axisColor rgb="FF000000"/>
            </x14:dataBar>
          </x14:cfRule>
          <xm:sqref>AA454:AH460</xm:sqref>
        </x14:conditionalFormatting>
        <x14:conditionalFormatting xmlns:xm="http://schemas.microsoft.com/office/excel/2006/main">
          <x14:cfRule type="dataBar" id="{644a2e86-8abf-4bf2-aad7-925d827ae54f}">
            <x14:dataBar minLength="0" maxLength="100" gradient="0">
              <x14:cfvo type="autoMin"/>
              <x14:cfvo type="autoMax"/>
              <x14:negativeFillColor rgb="FFFF0000"/>
              <x14:axisColor rgb="FF000000"/>
            </x14:dataBar>
          </x14:cfRule>
          <x14:cfRule type="dataBar" id="{567b1d61-07dd-43ef-b229-a8ea700d82d1}">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a4bf450-229f-43a5-91ce-926f078f82e2}">
            <x14:dataBar minLength="0" maxLength="100" border="1" negativeBarBorderColorSameAsPositive="0">
              <x14:cfvo type="autoMin"/>
              <x14:cfvo type="autoMax"/>
              <x14:borderColor rgb="FF63C384"/>
              <x14:negativeFillColor rgb="FFFF0000"/>
              <x14:negativeBorderColor rgb="FFFF0000"/>
              <x14:axisColor rgb="FF000000"/>
            </x14:dataBar>
          </x14:cfRule>
          <xm:sqref>AA467:AH470</xm:sqref>
        </x14:conditionalFormatting>
        <x14:conditionalFormatting xmlns:xm="http://schemas.microsoft.com/office/excel/2006/main">
          <x14:cfRule type="dataBar" id="{7a790422-8565-4d52-b4e2-865cd84d5da8}">
            <x14:dataBar minLength="0" maxLength="100" gradient="0">
              <x14:cfvo type="autoMin"/>
              <x14:cfvo type="autoMax"/>
              <x14:negativeFillColor rgb="FFFF0000"/>
              <x14:axisColor rgb="FF000000"/>
            </x14:dataBar>
          </x14:cfRule>
          <xm:sqref>R547:Y552</xm:sqref>
        </x14:conditionalFormatting>
        <x14:conditionalFormatting xmlns:xm="http://schemas.microsoft.com/office/excel/2006/main">
          <x14:cfRule type="dataBar" id="{73b1ccb5-63a8-4944-93b3-a45e18ede4a1}">
            <x14:dataBar minLength="0" maxLength="100" gradient="0">
              <x14:cfvo type="autoMin"/>
              <x14:cfvo type="autoMax"/>
              <x14:negativeFillColor rgb="FFFF0000"/>
              <x14:axisColor rgb="FF000000"/>
            </x14:dataBar>
          </x14:cfRule>
          <xm:sqref>AD547:AK552</xm:sqref>
        </x14:conditionalFormatting>
        <x14:conditionalFormatting xmlns:xm="http://schemas.microsoft.com/office/excel/2006/main">
          <x14:cfRule type="dataBar" id="{eba186a1-c06a-4fd9-a263-2f6a329614a8}">
            <x14:dataBar minLength="0" maxLength="100" gradient="0">
              <x14:cfvo type="autoMin"/>
              <x14:cfvo type="autoMax"/>
              <x14:negativeFillColor rgb="FFFF0000"/>
              <x14:axisColor rgb="FF000000"/>
            </x14:dataBar>
          </x14:cfRule>
          <x14:cfRule type="dataBar" id="{2a0545b8-92a6-429b-a835-23810114c17c}">
            <x14:dataBar minLength="0" maxLength="100" border="1" negativeBarBorderColorSameAsPositive="0">
              <x14:cfvo type="autoMin"/>
              <x14:cfvo type="autoMax"/>
              <x14:borderColor rgb="FF63C384"/>
              <x14:negativeFillColor rgb="FFFF0000"/>
              <x14:negativeBorderColor rgb="FFFF0000"/>
              <x14:axisColor rgb="FF000000"/>
            </x14:dataBar>
          </x14:cfRule>
          <xm:sqref>AE573:AL579</xm:sqref>
        </x14:conditionalFormatting>
        <x14:conditionalFormatting xmlns:xm="http://schemas.microsoft.com/office/excel/2006/main">
          <x14:cfRule type="dataBar" id="{ebee30dd-003a-4a9a-a3d1-59cc72776a52}">
            <x14:dataBar minLength="10" maxLength="90" negativeBarColorSameAsPositive="1" axisPosition="none">
              <x14:cfvo type="min"/>
              <x14:cfvo type="max"/>
              <x14:axisColor indexed="65"/>
            </x14:dataBar>
          </x14:cfRule>
          <xm:sqref>AE573:AL587</xm:sqref>
        </x14:conditionalFormatting>
        <x14:conditionalFormatting xmlns:xm="http://schemas.microsoft.com/office/excel/2006/main">
          <x14:cfRule type="dataBar" id="{648a7e41-c977-4cfb-9df8-5ec8739a44b6}">
            <x14:dataBar minLength="0" maxLength="100" gradient="0">
              <x14:cfvo type="autoMin"/>
              <x14:cfvo type="autoMax"/>
              <x14:negativeFillColor rgb="FFFF0000"/>
              <x14:axisColor rgb="FF000000"/>
            </x14:dataBar>
          </x14:cfRule>
          <x14:cfRule type="dataBar" id="{ae986251-a571-4bbe-ba9a-6333a54823d1}">
            <x14:dataBar minLength="0" maxLength="100" gradient="0">
              <x14:cfvo type="autoMin"/>
              <x14:cfvo type="autoMax"/>
              <x14:negativeFillColor rgb="FFFF0000"/>
              <x14:axisColor rgb="FF000000"/>
            </x14:dataBar>
          </x14:cfRule>
          <x14:cfRule type="dataBar" id="{3eb0d927-9db4-45ea-b407-913f03d4fa4b}">
            <x14:dataBar minLength="0" maxLength="100" gradient="0">
              <x14:cfvo type="autoMin"/>
              <x14:cfvo type="autoMax"/>
              <x14:negativeFillColor rgb="FFFF0000"/>
              <x14:axisColor rgb="FF000000"/>
            </x14:dataBar>
          </x14:cfRule>
          <x14:cfRule type="dataBar" id="{095b0b32-7f49-4623-bfcc-d39b446c06a2}">
            <x14:dataBar minLength="0" maxLength="100" border="1" negativeBarBorderColorSameAsPositive="0">
              <x14:cfvo type="autoMin"/>
              <x14:cfvo type="autoMax"/>
              <x14:borderColor rgb="FFFF555A"/>
              <x14:negativeFillColor rgb="FFFF0000"/>
              <x14:negativeBorderColor rgb="FFFF0000"/>
              <x14:axisColor rgb="FF000000"/>
            </x14:dataBar>
          </x14:cfRule>
          <xm:sqref>AE580:AL587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7">
    <tabColor theme="9" tint="0.399975585192419"/>
    <pageSetUpPr fitToPage="1"/>
  </sheetPr>
  <dimension ref="A1:AS52"/>
  <sheetViews>
    <sheetView showGridLines="0" workbookViewId="0">
      <selection activeCell="BJ31" sqref="BJ31"/>
    </sheetView>
  </sheetViews>
  <sheetFormatPr defaultColWidth="2.42857142857143" defaultRowHeight="12"/>
  <cols>
    <col min="1" max="10" width="3.28571428571429" style="690" customWidth="1"/>
    <col min="11" max="16384" width="2.42857142857143" style="690"/>
  </cols>
  <sheetData>
    <row r="1" ht="21" customHeight="1" spans="1:45">
      <c r="A1" s="691" t="s">
        <v>6620</v>
      </c>
      <c r="B1" s="692"/>
      <c r="C1" s="692"/>
      <c r="D1" s="692"/>
      <c r="E1" s="692"/>
      <c r="F1" s="692"/>
      <c r="G1" s="692"/>
      <c r="H1" s="692"/>
      <c r="I1" s="692"/>
      <c r="J1" s="693"/>
      <c r="K1" s="694" t="s">
        <v>6554</v>
      </c>
      <c r="L1" s="695"/>
      <c r="M1" s="696" t="s">
        <v>6555</v>
      </c>
      <c r="N1" s="697"/>
      <c r="O1" s="697"/>
      <c r="P1" s="697"/>
      <c r="Q1" s="698" t="str">
        <f>UnosPod!F8</f>
        <v>LILIUM ASSET MANAGEMENT d.o.o. Sarajevo</v>
      </c>
      <c r="R1" s="698"/>
      <c r="S1" s="698"/>
      <c r="T1" s="698"/>
      <c r="U1" s="698"/>
      <c r="V1" s="698"/>
      <c r="W1" s="698"/>
      <c r="X1" s="698"/>
      <c r="Y1" s="698"/>
      <c r="Z1" s="698"/>
      <c r="AA1" s="698"/>
      <c r="AB1" s="698"/>
      <c r="AC1" s="698"/>
      <c r="AD1" s="698"/>
      <c r="AE1" s="698"/>
      <c r="AF1" s="698"/>
      <c r="AG1" s="698"/>
      <c r="AH1" s="698"/>
      <c r="AI1" s="698"/>
      <c r="AJ1" s="698"/>
      <c r="AK1" s="698"/>
      <c r="AL1" s="699"/>
      <c r="AM1" s="700" t="s">
        <v>6489</v>
      </c>
      <c r="AN1" s="701"/>
      <c r="AO1" s="701"/>
      <c r="AP1" s="701"/>
      <c r="AQ1" s="701"/>
      <c r="AR1" s="701"/>
      <c r="AS1" s="702"/>
    </row>
    <row r="2" ht="21" customHeight="1" spans="1:45">
      <c r="A2" s="703"/>
      <c r="B2" s="704"/>
      <c r="C2" s="704"/>
      <c r="D2" s="704"/>
      <c r="E2" s="704"/>
      <c r="F2" s="704"/>
      <c r="G2" s="704"/>
      <c r="H2" s="704"/>
      <c r="I2" s="704"/>
      <c r="J2" s="705"/>
      <c r="K2" s="706"/>
      <c r="L2" s="707"/>
      <c r="M2" s="696" t="s">
        <v>6556</v>
      </c>
      <c r="N2" s="697"/>
      <c r="O2" s="697"/>
      <c r="P2" s="697"/>
      <c r="Q2" s="852">
        <f>UnosPod!AA8</f>
        <v>4</v>
      </c>
      <c r="R2" s="852">
        <f>UnosPod!AB8</f>
        <v>2</v>
      </c>
      <c r="S2" s="852">
        <f>UnosPod!AC8</f>
        <v>0</v>
      </c>
      <c r="T2" s="852">
        <f>UnosPod!AD8</f>
        <v>1</v>
      </c>
      <c r="U2" s="852">
        <f>UnosPod!AE8</f>
        <v>3</v>
      </c>
      <c r="V2" s="852">
        <f>UnosPod!AF8</f>
        <v>3</v>
      </c>
      <c r="W2" s="852">
        <f>UnosPod!AG8</f>
        <v>7</v>
      </c>
      <c r="X2" s="852">
        <f>UnosPod!AH8</f>
        <v>6</v>
      </c>
      <c r="Y2" s="852">
        <f>UnosPod!AI8</f>
        <v>7</v>
      </c>
      <c r="Z2" s="852">
        <f>UnosPod!AJ8</f>
        <v>0</v>
      </c>
      <c r="AA2" s="852">
        <f>UnosPod!AK8</f>
        <v>0</v>
      </c>
      <c r="AB2" s="852">
        <f>UnosPod!AL8</f>
        <v>0</v>
      </c>
      <c r="AC2" s="852">
        <f>UnosPod!AM8</f>
        <v>9</v>
      </c>
      <c r="AD2" s="852"/>
      <c r="AE2" s="698"/>
      <c r="AF2" s="698"/>
      <c r="AG2" s="698"/>
      <c r="AH2" s="698"/>
      <c r="AI2" s="698"/>
      <c r="AJ2" s="698"/>
      <c r="AK2" s="698"/>
      <c r="AL2" s="698"/>
      <c r="AM2" s="711"/>
      <c r="AS2" s="712"/>
    </row>
    <row r="3" customHeight="1" spans="1:45">
      <c r="A3" s="703" t="s">
        <v>6490</v>
      </c>
      <c r="B3" s="704"/>
      <c r="C3" s="704"/>
      <c r="D3" s="704"/>
      <c r="E3" s="704"/>
      <c r="F3" s="704"/>
      <c r="G3" s="704"/>
      <c r="H3" s="704"/>
      <c r="I3" s="704"/>
      <c r="J3" s="705"/>
      <c r="K3" s="706"/>
      <c r="L3" s="707"/>
      <c r="M3" s="713"/>
      <c r="N3" s="708"/>
      <c r="O3" s="708"/>
      <c r="P3" s="708"/>
      <c r="Q3" s="853" t="str">
        <f>UnosPod!F10</f>
        <v>Dženetića čikma br.8</v>
      </c>
      <c r="R3" s="853"/>
      <c r="S3" s="853"/>
      <c r="T3" s="853"/>
      <c r="U3" s="853"/>
      <c r="V3" s="853"/>
      <c r="W3" s="853"/>
      <c r="X3" s="853"/>
      <c r="Y3" s="853"/>
      <c r="Z3" s="853"/>
      <c r="AA3" s="853"/>
      <c r="AB3" s="853"/>
      <c r="AC3" s="853"/>
      <c r="AD3" s="853"/>
      <c r="AE3" s="853"/>
      <c r="AF3" s="853"/>
      <c r="AG3" s="853"/>
      <c r="AH3" s="853"/>
      <c r="AI3" s="853"/>
      <c r="AJ3" s="853"/>
      <c r="AK3" s="853"/>
      <c r="AL3" s="854"/>
      <c r="AM3" s="711"/>
      <c r="AS3" s="712"/>
    </row>
    <row r="4" customHeight="1" spans="1:45">
      <c r="A4" s="703" t="s">
        <v>6491</v>
      </c>
      <c r="B4" s="704"/>
      <c r="C4" s="704"/>
      <c r="D4" s="704"/>
      <c r="E4" s="704"/>
      <c r="F4" s="704"/>
      <c r="G4" s="704"/>
      <c r="H4" s="704"/>
      <c r="I4" s="704"/>
      <c r="J4" s="705"/>
      <c r="K4" s="706"/>
      <c r="L4" s="707"/>
      <c r="M4" s="716" t="s">
        <v>6498</v>
      </c>
      <c r="N4" s="717"/>
      <c r="O4" s="717"/>
      <c r="P4" s="717"/>
      <c r="Q4" s="855"/>
      <c r="R4" s="855"/>
      <c r="S4" s="855"/>
      <c r="T4" s="855"/>
      <c r="U4" s="855"/>
      <c r="V4" s="855"/>
      <c r="W4" s="855"/>
      <c r="X4" s="855"/>
      <c r="Y4" s="855"/>
      <c r="Z4" s="855"/>
      <c r="AA4" s="855"/>
      <c r="AB4" s="855"/>
      <c r="AC4" s="855"/>
      <c r="AD4" s="855"/>
      <c r="AE4" s="855"/>
      <c r="AF4" s="855"/>
      <c r="AG4" s="855"/>
      <c r="AH4" s="855"/>
      <c r="AI4" s="855"/>
      <c r="AJ4" s="855"/>
      <c r="AK4" s="855"/>
      <c r="AL4" s="856"/>
      <c r="AM4" s="720"/>
      <c r="AS4" s="712"/>
    </row>
    <row r="5" customHeight="1" spans="1:45">
      <c r="A5" s="721" t="s">
        <v>6492</v>
      </c>
      <c r="B5" s="722"/>
      <c r="C5" s="722"/>
      <c r="D5" s="722"/>
      <c r="E5" s="722"/>
      <c r="F5" s="722"/>
      <c r="G5" s="722"/>
      <c r="H5" s="722"/>
      <c r="I5" s="722"/>
      <c r="J5" s="723"/>
      <c r="K5" s="706"/>
      <c r="L5" s="707"/>
      <c r="M5" s="713"/>
      <c r="N5" s="708"/>
      <c r="O5" s="708"/>
      <c r="P5" s="708"/>
      <c r="Q5" s="857" t="str">
        <f>Baza!I21</f>
        <v>Sarajevo-Stari Grad</v>
      </c>
      <c r="R5" s="857"/>
      <c r="S5" s="857"/>
      <c r="T5" s="857"/>
      <c r="U5" s="857"/>
      <c r="V5" s="857"/>
      <c r="W5" s="857"/>
      <c r="X5" s="857"/>
      <c r="Y5" s="857"/>
      <c r="Z5" s="857"/>
      <c r="AA5" s="857"/>
      <c r="AB5" s="857"/>
      <c r="AC5" s="857"/>
      <c r="AD5" s="857"/>
      <c r="AE5" s="857"/>
      <c r="AF5" s="857"/>
      <c r="AG5" s="857"/>
      <c r="AH5" s="857"/>
      <c r="AI5" s="857"/>
      <c r="AJ5" s="857"/>
      <c r="AK5" s="857"/>
      <c r="AL5" s="858"/>
      <c r="AM5" s="720"/>
      <c r="AS5" s="712"/>
    </row>
    <row r="6" customHeight="1" spans="1:45">
      <c r="A6" s="721" t="s">
        <v>6493</v>
      </c>
      <c r="B6" s="722"/>
      <c r="C6" s="722"/>
      <c r="D6" s="722"/>
      <c r="E6" s="722"/>
      <c r="F6" s="722"/>
      <c r="G6" s="722"/>
      <c r="H6" s="722"/>
      <c r="I6" s="722"/>
      <c r="J6" s="723"/>
      <c r="K6" s="726"/>
      <c r="L6" s="727"/>
      <c r="M6" s="716" t="s">
        <v>6559</v>
      </c>
      <c r="N6" s="717"/>
      <c r="O6" s="717"/>
      <c r="P6" s="717"/>
      <c r="Q6" s="859"/>
      <c r="R6" s="859"/>
      <c r="S6" s="859"/>
      <c r="T6" s="859"/>
      <c r="U6" s="859"/>
      <c r="V6" s="859"/>
      <c r="W6" s="859"/>
      <c r="X6" s="859"/>
      <c r="Y6" s="859"/>
      <c r="Z6" s="859"/>
      <c r="AA6" s="859"/>
      <c r="AB6" s="859"/>
      <c r="AC6" s="859"/>
      <c r="AD6" s="859"/>
      <c r="AE6" s="859"/>
      <c r="AF6" s="859"/>
      <c r="AG6" s="859"/>
      <c r="AH6" s="859"/>
      <c r="AI6" s="859"/>
      <c r="AJ6" s="859"/>
      <c r="AK6" s="859"/>
      <c r="AL6" s="860"/>
      <c r="AM6" s="730"/>
      <c r="AN6" s="717"/>
      <c r="AO6" s="717"/>
      <c r="AP6" s="717"/>
      <c r="AQ6" s="717"/>
      <c r="AR6" s="717"/>
      <c r="AS6" s="731"/>
    </row>
    <row r="7" ht="27" customHeight="1" spans="1:45">
      <c r="A7" s="732" t="s">
        <v>3854</v>
      </c>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ht="13.5" spans="1:45">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ht="15.75" spans="1:45">
      <c r="A9" s="734" t="str">
        <f>"za "&amp;Text!B8</f>
        <v>za period</v>
      </c>
      <c r="B9" s="734"/>
      <c r="C9" s="734"/>
      <c r="D9" s="734"/>
      <c r="E9" s="734"/>
      <c r="F9" s="734"/>
      <c r="G9" s="734"/>
      <c r="H9" s="734"/>
      <c r="I9" s="734"/>
      <c r="J9" s="734"/>
      <c r="K9" s="734"/>
      <c r="L9" s="734"/>
      <c r="M9" s="735"/>
      <c r="O9" s="736" t="str">
        <f>UnosPod!F6&amp;UnosPod!G6</f>
        <v>01</v>
      </c>
      <c r="P9" s="737"/>
      <c r="Q9" s="736" t="str">
        <f>UnosPod!H6&amp;UnosPod!I6</f>
        <v>01</v>
      </c>
      <c r="R9" s="737"/>
      <c r="S9" s="736">
        <f>UnosPod!J6</f>
        <v>2025</v>
      </c>
      <c r="T9" s="738"/>
      <c r="U9" s="738"/>
      <c r="V9" s="737"/>
      <c r="W9" s="739" t="s">
        <v>12</v>
      </c>
      <c r="X9" s="740"/>
      <c r="Y9" s="740"/>
      <c r="Z9" s="740"/>
      <c r="AA9" s="740"/>
      <c r="AB9" s="740"/>
      <c r="AC9" s="736" t="str">
        <f>UnosPod!M6&amp;UnosPod!N6</f>
        <v>31</v>
      </c>
      <c r="AD9" s="737"/>
      <c r="AE9" s="736" t="str">
        <f>UnosPod!O6&amp;UnosPod!P6</f>
        <v>12</v>
      </c>
      <c r="AF9" s="737"/>
      <c r="AG9" s="736">
        <f>UnosPod!Q6</f>
        <v>2025</v>
      </c>
      <c r="AH9" s="738"/>
      <c r="AI9" s="738"/>
      <c r="AJ9" s="737"/>
    </row>
    <row r="10" ht="8.25" customHeight="1"/>
    <row r="11" s="687" customFormat="1" ht="16.5" customHeight="1" spans="1:45">
      <c r="A11" s="818" t="str">
        <f>Text!B733</f>
        <v>1. PODACI IZ BILANSA STANJA</v>
      </c>
      <c r="B11" s="743"/>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4"/>
    </row>
    <row r="12" s="799" customFormat="1" ht="19.5" customHeight="1" spans="1:45">
      <c r="A12" s="745"/>
      <c r="B12" s="819" t="s">
        <v>4178</v>
      </c>
      <c r="C12" s="820"/>
      <c r="D12" s="820"/>
      <c r="E12" s="820"/>
      <c r="F12" s="820"/>
      <c r="G12" s="820"/>
      <c r="H12" s="820"/>
      <c r="I12" s="820"/>
      <c r="J12" s="820"/>
      <c r="K12" s="820"/>
      <c r="L12" s="820"/>
      <c r="M12" s="820"/>
      <c r="N12" s="820"/>
      <c r="O12" s="820"/>
      <c r="P12" s="820"/>
      <c r="Q12" s="820"/>
      <c r="R12" s="820"/>
      <c r="S12" s="820"/>
      <c r="T12" s="820"/>
      <c r="U12" s="820"/>
      <c r="V12" s="820"/>
      <c r="W12" s="820"/>
      <c r="X12" s="821"/>
      <c r="Y12" s="822" t="s">
        <v>7116</v>
      </c>
      <c r="Z12" s="822"/>
      <c r="AA12" s="822"/>
      <c r="AB12" s="822"/>
      <c r="AC12" s="822"/>
      <c r="AD12" s="822"/>
      <c r="AE12" s="822"/>
      <c r="AF12" s="822" t="s">
        <v>4676</v>
      </c>
      <c r="AG12" s="822"/>
      <c r="AH12" s="822"/>
      <c r="AI12" s="822"/>
      <c r="AJ12" s="822"/>
      <c r="AK12" s="822"/>
      <c r="AL12" s="822"/>
      <c r="AM12" s="822" t="s">
        <v>7689</v>
      </c>
      <c r="AN12" s="822"/>
      <c r="AO12" s="822"/>
      <c r="AP12" s="822"/>
      <c r="AQ12" s="822"/>
      <c r="AR12" s="822"/>
      <c r="AS12" s="822"/>
    </row>
    <row r="13" s="799" customFormat="1" ht="14.25" customHeight="1" spans="1:45">
      <c r="A13" s="745"/>
      <c r="B13" s="823"/>
      <c r="C13" s="824"/>
      <c r="D13" s="824"/>
      <c r="E13" s="824"/>
      <c r="F13" s="824"/>
      <c r="G13" s="824"/>
      <c r="H13" s="824"/>
      <c r="I13" s="824"/>
      <c r="J13" s="824"/>
      <c r="K13" s="824"/>
      <c r="L13" s="824"/>
      <c r="M13" s="824"/>
      <c r="N13" s="824"/>
      <c r="O13" s="824"/>
      <c r="P13" s="824"/>
      <c r="Q13" s="824"/>
      <c r="R13" s="824"/>
      <c r="S13" s="824"/>
      <c r="T13" s="824"/>
      <c r="U13" s="824"/>
      <c r="V13" s="824"/>
      <c r="W13" s="824"/>
      <c r="X13" s="825"/>
      <c r="Y13" s="826" t="s">
        <v>7690</v>
      </c>
      <c r="Z13" s="827"/>
      <c r="AA13" s="827"/>
      <c r="AB13" s="827"/>
      <c r="AC13" s="827"/>
      <c r="AD13" s="827"/>
      <c r="AE13" s="828"/>
      <c r="AF13" s="826" t="s">
        <v>7691</v>
      </c>
      <c r="AG13" s="827"/>
      <c r="AH13" s="827"/>
      <c r="AI13" s="827"/>
      <c r="AJ13" s="827"/>
      <c r="AK13" s="827"/>
      <c r="AL13" s="828"/>
      <c r="AM13" s="826" t="s">
        <v>7692</v>
      </c>
      <c r="AN13" s="827"/>
      <c r="AO13" s="827"/>
      <c r="AP13" s="827"/>
      <c r="AQ13" s="827"/>
      <c r="AR13" s="827"/>
      <c r="AS13" s="828"/>
    </row>
    <row r="14" s="687" customFormat="1" ht="19.5" customHeight="1" spans="1:45">
      <c r="A14" s="745"/>
      <c r="B14" s="811" t="str">
        <f>Text!B734</f>
        <v>1.1. Postrojenja i oprema (Bilans stanja 011 AP)</v>
      </c>
      <c r="C14" s="812"/>
      <c r="D14" s="812"/>
      <c r="E14" s="812"/>
      <c r="F14" s="812"/>
      <c r="G14" s="812"/>
      <c r="H14" s="812"/>
      <c r="I14" s="812"/>
      <c r="J14" s="812"/>
      <c r="K14" s="812"/>
      <c r="L14" s="812"/>
      <c r="M14" s="812"/>
      <c r="N14" s="812"/>
      <c r="O14" s="812"/>
      <c r="P14" s="812"/>
      <c r="Q14" s="812"/>
      <c r="R14" s="812"/>
      <c r="S14" s="812"/>
      <c r="T14" s="812"/>
      <c r="U14" s="812"/>
      <c r="V14" s="812"/>
      <c r="W14" s="812"/>
      <c r="X14" s="813"/>
      <c r="Y14" s="861"/>
      <c r="Z14" s="861"/>
      <c r="AA14" s="861"/>
      <c r="AB14" s="861"/>
      <c r="AC14" s="861"/>
      <c r="AD14" s="861"/>
      <c r="AE14" s="861"/>
      <c r="AF14" s="861"/>
      <c r="AG14" s="861"/>
      <c r="AH14" s="861"/>
      <c r="AI14" s="861"/>
      <c r="AJ14" s="861"/>
      <c r="AK14" s="861"/>
      <c r="AL14" s="861"/>
      <c r="AM14" s="861"/>
      <c r="AN14" s="861"/>
      <c r="AO14" s="861"/>
      <c r="AP14" s="861"/>
      <c r="AQ14" s="861"/>
      <c r="AR14" s="861"/>
      <c r="AS14" s="861"/>
    </row>
    <row r="15" s="687" customFormat="1" ht="19.5" customHeight="1" spans="1:45">
      <c r="A15" s="745"/>
      <c r="B15" s="811" t="str">
        <f>Text!B735</f>
        <v>1.2. Ukupna aktiva (Bilans stanja 067 AOP)</v>
      </c>
      <c r="C15" s="812"/>
      <c r="D15" s="812"/>
      <c r="E15" s="812"/>
      <c r="F15" s="812"/>
      <c r="G15" s="812"/>
      <c r="H15" s="812"/>
      <c r="I15" s="812"/>
      <c r="J15" s="812"/>
      <c r="K15" s="812"/>
      <c r="L15" s="812"/>
      <c r="M15" s="812"/>
      <c r="N15" s="812"/>
      <c r="O15" s="812"/>
      <c r="P15" s="812"/>
      <c r="Q15" s="812"/>
      <c r="R15" s="812"/>
      <c r="S15" s="812"/>
      <c r="T15" s="812"/>
      <c r="U15" s="812"/>
      <c r="V15" s="812"/>
      <c r="W15" s="812"/>
      <c r="X15" s="813"/>
      <c r="Y15" s="862"/>
      <c r="Z15" s="862"/>
      <c r="AA15" s="862"/>
      <c r="AB15" s="862"/>
      <c r="AC15" s="862"/>
      <c r="AD15" s="862"/>
      <c r="AE15" s="862"/>
      <c r="AF15" s="862"/>
      <c r="AG15" s="862"/>
      <c r="AH15" s="862"/>
      <c r="AI15" s="862"/>
      <c r="AJ15" s="862"/>
      <c r="AK15" s="862"/>
      <c r="AL15" s="862"/>
      <c r="AM15" s="861"/>
      <c r="AN15" s="861"/>
      <c r="AO15" s="861"/>
      <c r="AP15" s="861"/>
      <c r="AQ15" s="861"/>
      <c r="AR15" s="861"/>
      <c r="AS15" s="861"/>
    </row>
    <row r="16" ht="10.5" customHeight="1" spans="1:45">
      <c r="A16" s="817"/>
      <c r="B16" s="717"/>
      <c r="C16" s="717"/>
      <c r="D16" s="717"/>
      <c r="E16" s="717"/>
      <c r="F16" s="717"/>
      <c r="G16" s="717"/>
      <c r="H16" s="717"/>
      <c r="I16" s="717"/>
      <c r="J16" s="717"/>
      <c r="K16" s="717"/>
      <c r="L16" s="717"/>
      <c r="M16" s="717"/>
      <c r="N16" s="717"/>
      <c r="O16" s="717"/>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31"/>
    </row>
    <row r="17" ht="7.5" customHeight="1"/>
    <row r="18" s="687" customFormat="1" ht="16.5" customHeight="1" spans="1:45">
      <c r="A18" s="818" t="s">
        <v>7693</v>
      </c>
      <c r="B18" s="743"/>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4"/>
    </row>
    <row r="19" ht="16.5" customHeight="1" spans="1:45">
      <c r="A19" s="835"/>
      <c r="B19" s="810"/>
      <c r="C19" s="810"/>
      <c r="D19" s="810"/>
      <c r="E19" s="810"/>
      <c r="F19" s="810"/>
      <c r="G19" s="810"/>
      <c r="H19" s="810"/>
      <c r="I19" s="810"/>
      <c r="J19" s="810"/>
      <c r="K19" s="810"/>
      <c r="L19" s="810"/>
      <c r="AJ19" s="836" t="s">
        <v>5800</v>
      </c>
      <c r="AK19" s="836"/>
      <c r="AL19" s="836"/>
      <c r="AM19" s="836"/>
      <c r="AN19" s="836"/>
      <c r="AO19" s="836"/>
      <c r="AP19" s="836"/>
      <c r="AQ19" s="836"/>
      <c r="AR19" s="836"/>
      <c r="AS19" s="712"/>
    </row>
    <row r="20" ht="17.25" customHeight="1" spans="1:45">
      <c r="A20" s="835"/>
      <c r="B20" s="810" t="s">
        <v>7694</v>
      </c>
      <c r="C20" s="810"/>
      <c r="D20" s="810"/>
      <c r="E20" s="810"/>
      <c r="F20" s="810"/>
      <c r="G20" s="810"/>
      <c r="H20" s="810"/>
      <c r="I20" s="810"/>
      <c r="J20" s="810"/>
      <c r="K20" s="810"/>
      <c r="L20" s="810"/>
      <c r="AJ20" s="863"/>
      <c r="AK20" s="863"/>
      <c r="AL20" s="863"/>
      <c r="AM20" s="863"/>
      <c r="AN20" s="863"/>
      <c r="AO20" s="863"/>
      <c r="AP20" s="863"/>
      <c r="AQ20" s="863"/>
      <c r="AR20" s="863"/>
      <c r="AS20" s="712"/>
    </row>
    <row r="21" ht="17.25" customHeight="1" spans="1:45">
      <c r="A21" s="835"/>
      <c r="B21" s="810" t="s">
        <v>7695</v>
      </c>
      <c r="C21" s="810"/>
      <c r="D21" s="810"/>
      <c r="E21" s="810"/>
      <c r="F21" s="810"/>
      <c r="G21" s="810"/>
      <c r="H21" s="810"/>
      <c r="I21" s="810"/>
      <c r="J21" s="810"/>
      <c r="K21" s="810"/>
      <c r="L21" s="810"/>
      <c r="AJ21" s="863"/>
      <c r="AK21" s="863"/>
      <c r="AL21" s="863"/>
      <c r="AM21" s="863"/>
      <c r="AN21" s="863"/>
      <c r="AO21" s="863"/>
      <c r="AP21" s="863"/>
      <c r="AQ21" s="863"/>
      <c r="AR21" s="863"/>
      <c r="AS21" s="712"/>
    </row>
    <row r="22" ht="17.25" customHeight="1" spans="1:45">
      <c r="A22" s="835"/>
      <c r="B22" s="810" t="s">
        <v>7696</v>
      </c>
      <c r="C22" s="810"/>
      <c r="D22" s="810"/>
      <c r="E22" s="810"/>
      <c r="F22" s="810"/>
      <c r="G22" s="810"/>
      <c r="H22" s="810"/>
      <c r="I22" s="810"/>
      <c r="J22" s="810"/>
      <c r="K22" s="810"/>
      <c r="L22" s="810"/>
      <c r="AJ22" s="863"/>
      <c r="AK22" s="863"/>
      <c r="AL22" s="863"/>
      <c r="AM22" s="863"/>
      <c r="AN22" s="863"/>
      <c r="AO22" s="863"/>
      <c r="AP22" s="863"/>
      <c r="AQ22" s="863"/>
      <c r="AR22" s="863"/>
      <c r="AS22" s="712"/>
    </row>
    <row r="23" ht="17.25" customHeight="1" spans="1:45">
      <c r="A23" s="835"/>
      <c r="B23" s="810" t="s">
        <v>7697</v>
      </c>
      <c r="C23" s="810"/>
      <c r="D23" s="810"/>
      <c r="E23" s="810"/>
      <c r="F23" s="810"/>
      <c r="G23" s="810"/>
      <c r="H23" s="810"/>
      <c r="I23" s="810"/>
      <c r="J23" s="810"/>
      <c r="K23" s="810"/>
      <c r="L23" s="810"/>
      <c r="AJ23" s="863"/>
      <c r="AK23" s="863"/>
      <c r="AL23" s="863"/>
      <c r="AM23" s="863"/>
      <c r="AN23" s="863"/>
      <c r="AO23" s="863"/>
      <c r="AP23" s="863"/>
      <c r="AQ23" s="863"/>
      <c r="AR23" s="863"/>
      <c r="AS23" s="712"/>
    </row>
    <row r="24" ht="8.25" customHeight="1" spans="1:45">
      <c r="A24" s="838"/>
      <c r="B24" s="839"/>
      <c r="C24" s="839"/>
      <c r="D24" s="839"/>
      <c r="E24" s="839"/>
      <c r="F24" s="839"/>
      <c r="G24" s="839"/>
      <c r="H24" s="839"/>
      <c r="I24" s="839"/>
      <c r="J24" s="839"/>
      <c r="K24" s="839"/>
      <c r="L24" s="83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31"/>
    </row>
    <row r="25" s="687" customFormat="1" ht="16.5" customHeight="1" spans="1:45">
      <c r="A25" s="818" t="s">
        <v>6040</v>
      </c>
      <c r="B25" s="743"/>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4"/>
    </row>
    <row r="26" s="688" customFormat="1" ht="29.25" customHeight="1" spans="1:45">
      <c r="A26" s="840"/>
      <c r="B26" s="841" t="s">
        <v>5985</v>
      </c>
      <c r="C26" s="841"/>
      <c r="D26" s="841" t="s">
        <v>7698</v>
      </c>
      <c r="E26" s="841"/>
      <c r="F26" s="841"/>
      <c r="G26" s="841"/>
      <c r="H26" s="841"/>
      <c r="I26" s="841"/>
      <c r="J26" s="841"/>
      <c r="K26" s="841"/>
      <c r="L26" s="841"/>
      <c r="M26" s="841"/>
      <c r="N26" s="841"/>
      <c r="O26" s="841"/>
      <c r="P26" s="841"/>
      <c r="Q26" s="841"/>
      <c r="R26" s="841"/>
      <c r="S26" s="841"/>
      <c r="T26" s="841" t="s">
        <v>7699</v>
      </c>
      <c r="U26" s="841"/>
      <c r="V26" s="841"/>
      <c r="W26" s="841"/>
      <c r="X26" s="841"/>
      <c r="Y26" s="841"/>
      <c r="Z26" s="841" t="s">
        <v>7700</v>
      </c>
      <c r="AA26" s="841"/>
      <c r="AB26" s="841"/>
      <c r="AC26" s="841"/>
      <c r="AD26" s="841"/>
      <c r="AE26" s="841"/>
      <c r="AF26" s="841"/>
      <c r="AG26" s="841"/>
      <c r="AH26" s="841"/>
      <c r="AI26" s="841" t="s">
        <v>7701</v>
      </c>
      <c r="AJ26" s="841"/>
      <c r="AK26" s="841"/>
      <c r="AL26" s="841"/>
      <c r="AM26" s="841"/>
      <c r="AN26" s="841"/>
      <c r="AO26" s="841" t="s">
        <v>7702</v>
      </c>
      <c r="AP26" s="841"/>
      <c r="AQ26" s="841"/>
      <c r="AR26" s="841"/>
      <c r="AS26" s="841"/>
    </row>
    <row r="27" s="687" customFormat="1" ht="17.25" customHeight="1" spans="1:45">
      <c r="A27" s="745"/>
      <c r="B27" s="754" t="s">
        <v>3953</v>
      </c>
      <c r="C27" s="754"/>
      <c r="D27" s="864">
        <f>UnosPorBilans!B272</f>
        <v>0</v>
      </c>
      <c r="E27" s="864"/>
      <c r="F27" s="864"/>
      <c r="G27" s="864"/>
      <c r="H27" s="864"/>
      <c r="I27" s="864"/>
      <c r="J27" s="864"/>
      <c r="K27" s="864"/>
      <c r="L27" s="864"/>
      <c r="M27" s="864"/>
      <c r="N27" s="864"/>
      <c r="O27" s="864"/>
      <c r="P27" s="864"/>
      <c r="Q27" s="864"/>
      <c r="R27" s="864"/>
      <c r="S27" s="864"/>
      <c r="T27" s="865">
        <f>UnosPorBilans!Q272</f>
        <v>0</v>
      </c>
      <c r="U27" s="866"/>
      <c r="V27" s="866"/>
      <c r="W27" s="866"/>
      <c r="X27" s="866"/>
      <c r="Y27" s="867"/>
      <c r="Z27" s="864">
        <f>UnosPorBilans!W272</f>
        <v>0</v>
      </c>
      <c r="AA27" s="864"/>
      <c r="AB27" s="864"/>
      <c r="AC27" s="864"/>
      <c r="AD27" s="864"/>
      <c r="AE27" s="864"/>
      <c r="AF27" s="864"/>
      <c r="AG27" s="864"/>
      <c r="AH27" s="864"/>
      <c r="AI27" s="868">
        <f>UnosPorBilans!AF272</f>
        <v>0</v>
      </c>
      <c r="AJ27" s="868"/>
      <c r="AK27" s="868"/>
      <c r="AL27" s="868"/>
      <c r="AM27" s="868"/>
      <c r="AN27" s="868"/>
      <c r="AO27" s="868">
        <f>UnosPorBilans!AL272</f>
        <v>0</v>
      </c>
      <c r="AP27" s="868"/>
      <c r="AQ27" s="868"/>
      <c r="AR27" s="868"/>
      <c r="AS27" s="868"/>
    </row>
    <row r="28" s="687" customFormat="1" ht="17.25" customHeight="1" spans="1:45">
      <c r="A28" s="745"/>
      <c r="B28" s="754" t="s">
        <v>3891</v>
      </c>
      <c r="C28" s="754"/>
      <c r="D28" s="864">
        <f>UnosPorBilans!B273</f>
        <v>0</v>
      </c>
      <c r="E28" s="864"/>
      <c r="F28" s="864"/>
      <c r="G28" s="864"/>
      <c r="H28" s="864"/>
      <c r="I28" s="864"/>
      <c r="J28" s="864"/>
      <c r="K28" s="864"/>
      <c r="L28" s="864"/>
      <c r="M28" s="864"/>
      <c r="N28" s="864"/>
      <c r="O28" s="864"/>
      <c r="P28" s="864"/>
      <c r="Q28" s="864"/>
      <c r="R28" s="864"/>
      <c r="S28" s="864"/>
      <c r="T28" s="865">
        <f>UnosPorBilans!Q273</f>
        <v>0</v>
      </c>
      <c r="U28" s="866"/>
      <c r="V28" s="866"/>
      <c r="W28" s="866"/>
      <c r="X28" s="866"/>
      <c r="Y28" s="867"/>
      <c r="Z28" s="864">
        <f>UnosPorBilans!W273</f>
        <v>0</v>
      </c>
      <c r="AA28" s="864"/>
      <c r="AB28" s="864"/>
      <c r="AC28" s="864"/>
      <c r="AD28" s="864"/>
      <c r="AE28" s="864"/>
      <c r="AF28" s="864"/>
      <c r="AG28" s="864"/>
      <c r="AH28" s="864"/>
      <c r="AI28" s="868">
        <f>UnosPorBilans!AF273</f>
        <v>0</v>
      </c>
      <c r="AJ28" s="868"/>
      <c r="AK28" s="868"/>
      <c r="AL28" s="868"/>
      <c r="AM28" s="868"/>
      <c r="AN28" s="868"/>
      <c r="AO28" s="868">
        <f>UnosPorBilans!AL273</f>
        <v>0</v>
      </c>
      <c r="AP28" s="868"/>
      <c r="AQ28" s="868"/>
      <c r="AR28" s="868"/>
      <c r="AS28" s="868"/>
    </row>
    <row r="29" s="687" customFormat="1" ht="17.25" customHeight="1" spans="1:45">
      <c r="A29" s="745"/>
      <c r="B29" s="754" t="s">
        <v>3902</v>
      </c>
      <c r="C29" s="754"/>
      <c r="D29" s="864">
        <f>UnosPorBilans!B274</f>
        <v>0</v>
      </c>
      <c r="E29" s="864"/>
      <c r="F29" s="864"/>
      <c r="G29" s="864"/>
      <c r="H29" s="864"/>
      <c r="I29" s="864"/>
      <c r="J29" s="864"/>
      <c r="K29" s="864"/>
      <c r="L29" s="864"/>
      <c r="M29" s="864"/>
      <c r="N29" s="864"/>
      <c r="O29" s="864"/>
      <c r="P29" s="864"/>
      <c r="Q29" s="864"/>
      <c r="R29" s="864"/>
      <c r="S29" s="864"/>
      <c r="T29" s="865">
        <f>UnosPorBilans!Q274</f>
        <v>0</v>
      </c>
      <c r="U29" s="866"/>
      <c r="V29" s="866"/>
      <c r="W29" s="866"/>
      <c r="X29" s="866"/>
      <c r="Y29" s="867"/>
      <c r="Z29" s="864">
        <f>UnosPorBilans!W274</f>
        <v>0</v>
      </c>
      <c r="AA29" s="864"/>
      <c r="AB29" s="864"/>
      <c r="AC29" s="864"/>
      <c r="AD29" s="864"/>
      <c r="AE29" s="864"/>
      <c r="AF29" s="864"/>
      <c r="AG29" s="864"/>
      <c r="AH29" s="864"/>
      <c r="AI29" s="868">
        <f>UnosPorBilans!AF274</f>
        <v>0</v>
      </c>
      <c r="AJ29" s="868"/>
      <c r="AK29" s="868"/>
      <c r="AL29" s="868"/>
      <c r="AM29" s="868"/>
      <c r="AN29" s="868"/>
      <c r="AO29" s="868">
        <f>UnosPorBilans!AL274</f>
        <v>0</v>
      </c>
      <c r="AP29" s="868"/>
      <c r="AQ29" s="868"/>
      <c r="AR29" s="868"/>
      <c r="AS29" s="868"/>
    </row>
    <row r="30" s="687" customFormat="1" ht="17.25" customHeight="1" spans="1:45">
      <c r="A30" s="745"/>
      <c r="B30" s="754" t="s">
        <v>3905</v>
      </c>
      <c r="C30" s="754"/>
      <c r="D30" s="864">
        <f>UnosPorBilans!B275</f>
        <v>0</v>
      </c>
      <c r="E30" s="864"/>
      <c r="F30" s="864"/>
      <c r="G30" s="864"/>
      <c r="H30" s="864"/>
      <c r="I30" s="864"/>
      <c r="J30" s="864"/>
      <c r="K30" s="864"/>
      <c r="L30" s="864"/>
      <c r="M30" s="864"/>
      <c r="N30" s="864"/>
      <c r="O30" s="864"/>
      <c r="P30" s="864"/>
      <c r="Q30" s="864"/>
      <c r="R30" s="864"/>
      <c r="S30" s="864"/>
      <c r="T30" s="865">
        <f>UnosPorBilans!Q275</f>
        <v>0</v>
      </c>
      <c r="U30" s="866"/>
      <c r="V30" s="866"/>
      <c r="W30" s="866"/>
      <c r="X30" s="866"/>
      <c r="Y30" s="867"/>
      <c r="Z30" s="864">
        <f>UnosPorBilans!W275</f>
        <v>0</v>
      </c>
      <c r="AA30" s="864"/>
      <c r="AB30" s="864"/>
      <c r="AC30" s="864"/>
      <c r="AD30" s="864"/>
      <c r="AE30" s="864"/>
      <c r="AF30" s="864"/>
      <c r="AG30" s="864"/>
      <c r="AH30" s="864"/>
      <c r="AI30" s="868">
        <f>UnosPorBilans!AF275</f>
        <v>0</v>
      </c>
      <c r="AJ30" s="868"/>
      <c r="AK30" s="868"/>
      <c r="AL30" s="868"/>
      <c r="AM30" s="868"/>
      <c r="AN30" s="868"/>
      <c r="AO30" s="868">
        <f>UnosPorBilans!AL275</f>
        <v>0</v>
      </c>
      <c r="AP30" s="868"/>
      <c r="AQ30" s="868"/>
      <c r="AR30" s="868"/>
      <c r="AS30" s="868"/>
    </row>
    <row r="31" s="687" customFormat="1" ht="17.25" customHeight="1" spans="1:45">
      <c r="A31" s="745"/>
      <c r="B31" s="754" t="s">
        <v>3915</v>
      </c>
      <c r="C31" s="754"/>
      <c r="D31" s="864">
        <f>UnosPorBilans!B276</f>
        <v>0</v>
      </c>
      <c r="E31" s="864"/>
      <c r="F31" s="864"/>
      <c r="G31" s="864"/>
      <c r="H31" s="864"/>
      <c r="I31" s="864"/>
      <c r="J31" s="864"/>
      <c r="K31" s="864"/>
      <c r="L31" s="864"/>
      <c r="M31" s="864"/>
      <c r="N31" s="864"/>
      <c r="O31" s="864"/>
      <c r="P31" s="864"/>
      <c r="Q31" s="864"/>
      <c r="R31" s="864"/>
      <c r="S31" s="864"/>
      <c r="T31" s="865">
        <f>UnosPorBilans!Q276</f>
        <v>0</v>
      </c>
      <c r="U31" s="866"/>
      <c r="V31" s="866"/>
      <c r="W31" s="866"/>
      <c r="X31" s="866"/>
      <c r="Y31" s="867"/>
      <c r="Z31" s="864">
        <f>UnosPorBilans!W276</f>
        <v>0</v>
      </c>
      <c r="AA31" s="864"/>
      <c r="AB31" s="864"/>
      <c r="AC31" s="864"/>
      <c r="AD31" s="864"/>
      <c r="AE31" s="864"/>
      <c r="AF31" s="864"/>
      <c r="AG31" s="864"/>
      <c r="AH31" s="864"/>
      <c r="AI31" s="868">
        <f>UnosPorBilans!AF276</f>
        <v>0</v>
      </c>
      <c r="AJ31" s="868"/>
      <c r="AK31" s="868"/>
      <c r="AL31" s="868"/>
      <c r="AM31" s="868"/>
      <c r="AN31" s="868"/>
      <c r="AO31" s="868">
        <f>UnosPorBilans!AL276</f>
        <v>0</v>
      </c>
      <c r="AP31" s="868"/>
      <c r="AQ31" s="868"/>
      <c r="AR31" s="868"/>
      <c r="AS31" s="868"/>
    </row>
    <row r="32" s="687" customFormat="1" ht="17.25" customHeight="1" spans="1:45">
      <c r="A32" s="745"/>
      <c r="B32" s="754" t="s">
        <v>3918</v>
      </c>
      <c r="C32" s="754"/>
      <c r="D32" s="864">
        <f>UnosPorBilans!B277</f>
        <v>0</v>
      </c>
      <c r="E32" s="864"/>
      <c r="F32" s="864"/>
      <c r="G32" s="864"/>
      <c r="H32" s="864"/>
      <c r="I32" s="864"/>
      <c r="J32" s="864"/>
      <c r="K32" s="864"/>
      <c r="L32" s="864"/>
      <c r="M32" s="864"/>
      <c r="N32" s="864"/>
      <c r="O32" s="864"/>
      <c r="P32" s="864"/>
      <c r="Q32" s="864"/>
      <c r="R32" s="864"/>
      <c r="S32" s="864"/>
      <c r="T32" s="865">
        <f>UnosPorBilans!Q277</f>
        <v>0</v>
      </c>
      <c r="U32" s="866"/>
      <c r="V32" s="866"/>
      <c r="W32" s="866"/>
      <c r="X32" s="866"/>
      <c r="Y32" s="867"/>
      <c r="Z32" s="864">
        <f>UnosPorBilans!W277</f>
        <v>0</v>
      </c>
      <c r="AA32" s="864"/>
      <c r="AB32" s="864"/>
      <c r="AC32" s="864"/>
      <c r="AD32" s="864"/>
      <c r="AE32" s="864"/>
      <c r="AF32" s="864"/>
      <c r="AG32" s="864"/>
      <c r="AH32" s="864"/>
      <c r="AI32" s="868">
        <f>UnosPorBilans!AF277</f>
        <v>0</v>
      </c>
      <c r="AJ32" s="868"/>
      <c r="AK32" s="868"/>
      <c r="AL32" s="868"/>
      <c r="AM32" s="868"/>
      <c r="AN32" s="868"/>
      <c r="AO32" s="868">
        <f>UnosPorBilans!AL277</f>
        <v>0</v>
      </c>
      <c r="AP32" s="868"/>
      <c r="AQ32" s="868"/>
      <c r="AR32" s="868"/>
      <c r="AS32" s="868"/>
    </row>
    <row r="33" s="687" customFormat="1" ht="17.25" customHeight="1" spans="1:45">
      <c r="A33" s="745"/>
      <c r="B33" s="754" t="s">
        <v>3920</v>
      </c>
      <c r="C33" s="754"/>
      <c r="D33" s="864">
        <f>UnosPorBilans!B278</f>
        <v>0</v>
      </c>
      <c r="E33" s="864"/>
      <c r="F33" s="864"/>
      <c r="G33" s="864"/>
      <c r="H33" s="864"/>
      <c r="I33" s="864"/>
      <c r="J33" s="864"/>
      <c r="K33" s="864"/>
      <c r="L33" s="864"/>
      <c r="M33" s="864"/>
      <c r="N33" s="864"/>
      <c r="O33" s="864"/>
      <c r="P33" s="864"/>
      <c r="Q33" s="864"/>
      <c r="R33" s="864"/>
      <c r="S33" s="864"/>
      <c r="T33" s="865">
        <f>UnosPorBilans!Q278</f>
        <v>0</v>
      </c>
      <c r="U33" s="866"/>
      <c r="V33" s="866"/>
      <c r="W33" s="866"/>
      <c r="X33" s="866"/>
      <c r="Y33" s="867"/>
      <c r="Z33" s="864">
        <f>UnosPorBilans!W278</f>
        <v>0</v>
      </c>
      <c r="AA33" s="864"/>
      <c r="AB33" s="864"/>
      <c r="AC33" s="864"/>
      <c r="AD33" s="864"/>
      <c r="AE33" s="864"/>
      <c r="AF33" s="864"/>
      <c r="AG33" s="864"/>
      <c r="AH33" s="864"/>
      <c r="AI33" s="868">
        <f>UnosPorBilans!AF278</f>
        <v>0</v>
      </c>
      <c r="AJ33" s="868"/>
      <c r="AK33" s="868"/>
      <c r="AL33" s="868"/>
      <c r="AM33" s="868"/>
      <c r="AN33" s="868"/>
      <c r="AO33" s="868">
        <f>UnosPorBilans!AL278</f>
        <v>0</v>
      </c>
      <c r="AP33" s="868"/>
      <c r="AQ33" s="868"/>
      <c r="AR33" s="868"/>
      <c r="AS33" s="868"/>
    </row>
    <row r="34" s="687" customFormat="1" ht="17.25" customHeight="1" spans="1:45">
      <c r="A34" s="745"/>
      <c r="B34" s="754" t="s">
        <v>3923</v>
      </c>
      <c r="C34" s="754"/>
      <c r="D34" s="864">
        <f>UnosPorBilans!B279</f>
        <v>0</v>
      </c>
      <c r="E34" s="864"/>
      <c r="F34" s="864"/>
      <c r="G34" s="864"/>
      <c r="H34" s="864"/>
      <c r="I34" s="864"/>
      <c r="J34" s="864"/>
      <c r="K34" s="864"/>
      <c r="L34" s="864"/>
      <c r="M34" s="864"/>
      <c r="N34" s="864"/>
      <c r="O34" s="864"/>
      <c r="P34" s="864"/>
      <c r="Q34" s="864"/>
      <c r="R34" s="864"/>
      <c r="S34" s="864"/>
      <c r="T34" s="865">
        <f>UnosPorBilans!Q279</f>
        <v>0</v>
      </c>
      <c r="U34" s="866"/>
      <c r="V34" s="866"/>
      <c r="W34" s="866"/>
      <c r="X34" s="866"/>
      <c r="Y34" s="867"/>
      <c r="Z34" s="864">
        <f>UnosPorBilans!W279</f>
        <v>0</v>
      </c>
      <c r="AA34" s="864"/>
      <c r="AB34" s="864"/>
      <c r="AC34" s="864"/>
      <c r="AD34" s="864"/>
      <c r="AE34" s="864"/>
      <c r="AF34" s="864"/>
      <c r="AG34" s="864"/>
      <c r="AH34" s="864"/>
      <c r="AI34" s="868">
        <f>UnosPorBilans!AF279</f>
        <v>0</v>
      </c>
      <c r="AJ34" s="868"/>
      <c r="AK34" s="868"/>
      <c r="AL34" s="868"/>
      <c r="AM34" s="868"/>
      <c r="AN34" s="868"/>
      <c r="AO34" s="868">
        <f>UnosPorBilans!AL279</f>
        <v>0</v>
      </c>
      <c r="AP34" s="868"/>
      <c r="AQ34" s="868"/>
      <c r="AR34" s="868"/>
      <c r="AS34" s="868"/>
    </row>
    <row r="35" s="687" customFormat="1" ht="17.25" customHeight="1" spans="1:45">
      <c r="A35" s="745"/>
      <c r="B35" s="754" t="s">
        <v>3925</v>
      </c>
      <c r="C35" s="754"/>
      <c r="D35" s="864">
        <f>UnosPorBilans!B280</f>
        <v>0</v>
      </c>
      <c r="E35" s="864"/>
      <c r="F35" s="864"/>
      <c r="G35" s="864"/>
      <c r="H35" s="864"/>
      <c r="I35" s="864"/>
      <c r="J35" s="864"/>
      <c r="K35" s="864"/>
      <c r="L35" s="864"/>
      <c r="M35" s="864"/>
      <c r="N35" s="864"/>
      <c r="O35" s="864"/>
      <c r="P35" s="864"/>
      <c r="Q35" s="864"/>
      <c r="R35" s="864"/>
      <c r="S35" s="864"/>
      <c r="T35" s="865">
        <f>UnosPorBilans!Q280</f>
        <v>0</v>
      </c>
      <c r="U35" s="866"/>
      <c r="V35" s="866"/>
      <c r="W35" s="866"/>
      <c r="X35" s="866"/>
      <c r="Y35" s="867"/>
      <c r="Z35" s="864">
        <f>UnosPorBilans!W280</f>
        <v>0</v>
      </c>
      <c r="AA35" s="864"/>
      <c r="AB35" s="864"/>
      <c r="AC35" s="864"/>
      <c r="AD35" s="864"/>
      <c r="AE35" s="864"/>
      <c r="AF35" s="864"/>
      <c r="AG35" s="864"/>
      <c r="AH35" s="864"/>
      <c r="AI35" s="868">
        <f>UnosPorBilans!AF280</f>
        <v>0</v>
      </c>
      <c r="AJ35" s="868"/>
      <c r="AK35" s="868"/>
      <c r="AL35" s="868"/>
      <c r="AM35" s="868"/>
      <c r="AN35" s="868"/>
      <c r="AO35" s="868">
        <f>UnosPorBilans!AL280</f>
        <v>0</v>
      </c>
      <c r="AP35" s="868"/>
      <c r="AQ35" s="868"/>
      <c r="AR35" s="868"/>
      <c r="AS35" s="868"/>
    </row>
    <row r="36" s="687" customFormat="1" ht="17.25" customHeight="1" spans="1:45">
      <c r="A36" s="745"/>
      <c r="B36" s="754" t="s">
        <v>3928</v>
      </c>
      <c r="C36" s="754"/>
      <c r="D36" s="864">
        <f>UnosPorBilans!B281</f>
        <v>0</v>
      </c>
      <c r="E36" s="864"/>
      <c r="F36" s="864"/>
      <c r="G36" s="864"/>
      <c r="H36" s="864"/>
      <c r="I36" s="864"/>
      <c r="J36" s="864"/>
      <c r="K36" s="864"/>
      <c r="L36" s="864"/>
      <c r="M36" s="864"/>
      <c r="N36" s="864"/>
      <c r="O36" s="864"/>
      <c r="P36" s="864"/>
      <c r="Q36" s="864"/>
      <c r="R36" s="864"/>
      <c r="S36" s="864"/>
      <c r="T36" s="865">
        <f>UnosPorBilans!Q281</f>
        <v>0</v>
      </c>
      <c r="U36" s="866"/>
      <c r="V36" s="866"/>
      <c r="W36" s="866"/>
      <c r="X36" s="866"/>
      <c r="Y36" s="867"/>
      <c r="Z36" s="864">
        <f>UnosPorBilans!W281</f>
        <v>0</v>
      </c>
      <c r="AA36" s="864"/>
      <c r="AB36" s="864"/>
      <c r="AC36" s="864"/>
      <c r="AD36" s="864"/>
      <c r="AE36" s="864"/>
      <c r="AF36" s="864"/>
      <c r="AG36" s="864"/>
      <c r="AH36" s="864"/>
      <c r="AI36" s="868">
        <f>UnosPorBilans!AF281</f>
        <v>0</v>
      </c>
      <c r="AJ36" s="868"/>
      <c r="AK36" s="868"/>
      <c r="AL36" s="868"/>
      <c r="AM36" s="868"/>
      <c r="AN36" s="868"/>
      <c r="AO36" s="868">
        <f>UnosPorBilans!AL281</f>
        <v>0</v>
      </c>
      <c r="AP36" s="868"/>
      <c r="AQ36" s="868"/>
      <c r="AR36" s="868"/>
      <c r="AS36" s="868"/>
    </row>
    <row r="37" s="687" customFormat="1" ht="20.25" customHeight="1" spans="1:45">
      <c r="A37" s="745"/>
      <c r="B37" s="754"/>
      <c r="C37" s="847"/>
      <c r="D37" s="869" t="s">
        <v>4671</v>
      </c>
      <c r="E37" s="869"/>
      <c r="F37" s="869"/>
      <c r="G37" s="869"/>
      <c r="H37" s="869"/>
      <c r="I37" s="869"/>
      <c r="J37" s="869"/>
      <c r="K37" s="869"/>
      <c r="L37" s="869"/>
      <c r="M37" s="869"/>
      <c r="N37" s="869"/>
      <c r="O37" s="869"/>
      <c r="P37" s="869"/>
      <c r="Q37" s="869"/>
      <c r="R37" s="869"/>
      <c r="S37" s="870"/>
      <c r="T37" s="865">
        <f>SUM(T27:Y36)</f>
        <v>0</v>
      </c>
      <c r="U37" s="866"/>
      <c r="V37" s="866"/>
      <c r="W37" s="866"/>
      <c r="X37" s="866"/>
      <c r="Y37" s="867"/>
      <c r="Z37" s="871"/>
      <c r="AA37" s="871"/>
      <c r="AB37" s="871"/>
      <c r="AC37" s="871"/>
      <c r="AD37" s="871"/>
      <c r="AE37" s="871"/>
      <c r="AF37" s="871"/>
      <c r="AG37" s="871"/>
      <c r="AH37" s="871"/>
      <c r="AI37" s="871"/>
      <c r="AJ37" s="871"/>
      <c r="AK37" s="871"/>
      <c r="AL37" s="871"/>
      <c r="AM37" s="871"/>
      <c r="AN37" s="871"/>
      <c r="AO37" s="871"/>
      <c r="AP37" s="871"/>
      <c r="AQ37" s="871"/>
      <c r="AR37" s="871"/>
      <c r="AS37" s="872"/>
    </row>
    <row r="38" spans="1:45">
      <c r="A38" s="817"/>
      <c r="B38" s="717"/>
      <c r="C38" s="717"/>
      <c r="D38" s="717"/>
      <c r="E38" s="717"/>
      <c r="F38" s="717"/>
      <c r="G38" s="717"/>
      <c r="H38" s="717"/>
      <c r="I38" s="717"/>
      <c r="J38" s="717"/>
      <c r="K38" s="717"/>
      <c r="L38" s="71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31"/>
    </row>
    <row r="40" ht="9" customHeight="1" spans="1:45">
      <c r="A40" s="873"/>
      <c r="B40" s="873"/>
    </row>
    <row r="41" s="689" customFormat="1" customHeight="1" spans="1:45">
      <c r="A41" s="757" t="s">
        <v>6546</v>
      </c>
      <c r="B41" s="758"/>
      <c r="C41" s="759"/>
      <c r="D41" s="760" t="str">
        <f>Text!B11</f>
        <v>Odgovorno lice</v>
      </c>
      <c r="E41" s="761" t="s">
        <v>7703</v>
      </c>
      <c r="F41" s="761"/>
      <c r="G41" s="761"/>
      <c r="H41" s="761"/>
      <c r="I41" s="761"/>
      <c r="J41" s="761"/>
      <c r="K41" s="761"/>
      <c r="L41" s="761"/>
      <c r="M41" s="761"/>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2"/>
    </row>
    <row r="42" s="689" customFormat="1" spans="1:45">
      <c r="A42" s="763"/>
      <c r="B42" s="764"/>
      <c r="C42" s="765"/>
      <c r="D42" s="766"/>
      <c r="E42" s="767" t="s">
        <v>7704</v>
      </c>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c r="AL42" s="767"/>
      <c r="AM42" s="767"/>
      <c r="AN42" s="767"/>
      <c r="AO42" s="767"/>
      <c r="AP42" s="767"/>
      <c r="AQ42" s="767"/>
      <c r="AR42" s="767"/>
      <c r="AS42" s="768"/>
    </row>
    <row r="43" s="689" customFormat="1" spans="1:45">
      <c r="A43" s="763"/>
      <c r="B43" s="764"/>
      <c r="C43" s="765"/>
      <c r="D43" s="766"/>
      <c r="AS43" s="769"/>
    </row>
    <row r="44" s="689" customFormat="1" spans="1:45">
      <c r="A44" s="763"/>
      <c r="B44" s="764"/>
      <c r="C44" s="765"/>
      <c r="D44" s="766"/>
      <c r="Z44" s="769"/>
      <c r="AA44" s="770" t="str">
        <f>UnosPod!AA22&amp;UnosPod!AB22&amp;"."&amp;UnosPod!AC22&amp;UnosPod!AD22+1&amp;"."&amp;UnosPod!AE22&amp;UnosPod!AF22&amp;UnosPod!AG22&amp;UnosPod!AH22&amp;"."</f>
        <v>28.03.2026.</v>
      </c>
      <c r="AB44" s="771"/>
      <c r="AC44" s="771"/>
      <c r="AD44" s="771"/>
      <c r="AE44" s="771"/>
      <c r="AF44" s="771"/>
      <c r="AG44" s="772"/>
      <c r="AH44" s="773"/>
      <c r="AS44" s="769"/>
    </row>
    <row r="45" s="689" customFormat="1" ht="15" spans="1:45">
      <c r="A45" s="763"/>
      <c r="B45" s="764"/>
      <c r="C45" s="765"/>
      <c r="D45" s="766"/>
      <c r="E45" s="774" t="str">
        <f>Direktor</f>
        <v>Nedim Vilogorac</v>
      </c>
      <c r="F45" s="774"/>
      <c r="G45" s="774"/>
      <c r="H45" s="774"/>
      <c r="I45" s="775"/>
      <c r="J45" s="775"/>
      <c r="K45" s="775"/>
      <c r="L45" s="775"/>
      <c r="M45" s="775"/>
      <c r="N45" s="775"/>
      <c r="O45" s="775"/>
      <c r="P45" s="775"/>
      <c r="Q45" s="775"/>
      <c r="R45" s="775"/>
      <c r="S45" s="775"/>
      <c r="T45" s="775"/>
      <c r="U45" s="775"/>
      <c r="V45" s="775"/>
      <c r="W45" s="775"/>
      <c r="X45" s="775"/>
      <c r="Y45" s="775"/>
      <c r="Z45" s="776"/>
      <c r="AA45" s="777"/>
      <c r="AB45" s="778"/>
      <c r="AC45" s="778"/>
      <c r="AD45" s="778"/>
      <c r="AE45" s="778"/>
      <c r="AF45" s="778"/>
      <c r="AG45" s="779"/>
      <c r="AH45" s="780" t="s">
        <v>2539</v>
      </c>
      <c r="AI45" s="781"/>
      <c r="AJ45" s="781"/>
      <c r="AK45" s="781"/>
      <c r="AL45" s="781"/>
      <c r="AM45" s="781"/>
      <c r="AN45" s="781"/>
      <c r="AO45" s="781"/>
      <c r="AP45" s="781"/>
      <c r="AQ45" s="781"/>
      <c r="AR45" s="781"/>
      <c r="AS45" s="782"/>
    </row>
    <row r="46" s="689" customFormat="1" spans="1:45">
      <c r="A46" s="763"/>
      <c r="B46" s="764"/>
      <c r="C46" s="765"/>
      <c r="D46" s="766"/>
      <c r="E46" s="783" t="s">
        <v>6548</v>
      </c>
      <c r="F46" s="783"/>
      <c r="G46" s="783"/>
      <c r="H46" s="783"/>
      <c r="I46" s="783"/>
      <c r="J46" s="783"/>
      <c r="K46" s="783"/>
      <c r="L46" s="783"/>
      <c r="M46" s="783"/>
      <c r="N46" s="783"/>
      <c r="O46" s="783"/>
      <c r="P46" s="783"/>
      <c r="Q46" s="783"/>
      <c r="R46" s="783"/>
      <c r="S46" s="783"/>
      <c r="T46" s="783"/>
      <c r="U46" s="783"/>
      <c r="V46" s="783"/>
      <c r="W46" s="783"/>
      <c r="X46" s="783"/>
      <c r="Y46" s="783"/>
      <c r="Z46" s="783"/>
      <c r="AA46" s="783" t="s">
        <v>6549</v>
      </c>
      <c r="AB46" s="783"/>
      <c r="AC46" s="783"/>
      <c r="AD46" s="783"/>
      <c r="AE46" s="783"/>
      <c r="AF46" s="783"/>
      <c r="AG46" s="783"/>
      <c r="AH46" s="783" t="s">
        <v>6550</v>
      </c>
      <c r="AI46" s="783"/>
      <c r="AJ46" s="783"/>
      <c r="AK46" s="783"/>
      <c r="AL46" s="783"/>
      <c r="AM46" s="783"/>
      <c r="AN46" s="783"/>
      <c r="AO46" s="783"/>
      <c r="AP46" s="783"/>
      <c r="AQ46" s="783"/>
      <c r="AR46" s="783"/>
      <c r="AS46" s="784"/>
    </row>
    <row r="47" s="689" customFormat="1" spans="1:45">
      <c r="A47" s="763"/>
      <c r="B47" s="764"/>
      <c r="C47" s="765"/>
      <c r="D47" s="766"/>
      <c r="E47" s="785"/>
      <c r="F47" s="785"/>
      <c r="G47" s="785"/>
      <c r="H47" s="785"/>
      <c r="I47" s="785"/>
      <c r="J47" s="785"/>
      <c r="K47" s="785"/>
      <c r="L47" s="785"/>
      <c r="M47" s="785"/>
      <c r="N47" s="785"/>
      <c r="O47" s="785"/>
      <c r="P47" s="785"/>
      <c r="Q47" s="785"/>
      <c r="R47" s="785"/>
      <c r="S47" s="785"/>
      <c r="T47" s="785"/>
      <c r="U47" s="785"/>
      <c r="V47" s="785"/>
      <c r="W47" s="785"/>
      <c r="X47" s="785"/>
      <c r="Y47" s="785"/>
      <c r="Z47" s="785"/>
      <c r="AA47" s="786"/>
      <c r="AB47" s="786"/>
      <c r="AC47" s="786"/>
      <c r="AD47" s="786"/>
      <c r="AE47" s="786"/>
      <c r="AF47" s="786"/>
      <c r="AG47" s="786"/>
      <c r="AH47" s="786"/>
      <c r="AI47" s="786"/>
      <c r="AJ47" s="786"/>
      <c r="AK47" s="786"/>
      <c r="AL47" s="786"/>
      <c r="AM47" s="786"/>
      <c r="AN47" s="786"/>
      <c r="AO47" s="786"/>
      <c r="AP47" s="786"/>
      <c r="AQ47" s="786"/>
      <c r="AR47" s="786"/>
      <c r="AS47" s="787"/>
    </row>
    <row r="48" s="689" customFormat="1" spans="1:45">
      <c r="A48" s="763"/>
      <c r="B48" s="764"/>
      <c r="C48" s="788"/>
      <c r="D48" s="789" t="s">
        <v>6551</v>
      </c>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1"/>
    </row>
    <row r="49" s="689" customFormat="1" spans="1:45">
      <c r="A49" s="763"/>
      <c r="B49" s="764"/>
      <c r="C49" s="765"/>
      <c r="D49" s="792"/>
      <c r="Z49" s="769"/>
      <c r="AA49" s="770" t="str">
        <f>UnosPod!AA22&amp;UnosPod!AB22&amp;"."&amp;UnosPod!AC22&amp;UnosPod!AD22+1&amp;"."&amp;UnosPod!AE22&amp;UnosPod!AF22&amp;UnosPod!AG22&amp;UnosPod!AH22&amp;"."</f>
        <v>28.03.2026.</v>
      </c>
      <c r="AB49" s="771"/>
      <c r="AC49" s="771"/>
      <c r="AD49" s="771"/>
      <c r="AE49" s="771"/>
      <c r="AF49" s="771"/>
      <c r="AG49" s="772"/>
      <c r="AH49" s="773"/>
      <c r="AS49" s="769"/>
    </row>
    <row r="50" s="689" customFormat="1" ht="15" spans="1:45">
      <c r="A50" s="763"/>
      <c r="B50" s="764"/>
      <c r="C50" s="765"/>
      <c r="D50" s="792"/>
      <c r="E50" s="774" t="str">
        <f>Racunovoda</f>
        <v>Elvira Žilić</v>
      </c>
      <c r="F50" s="774"/>
      <c r="G50" s="774"/>
      <c r="H50" s="774"/>
      <c r="I50" s="775"/>
      <c r="J50" s="775"/>
      <c r="K50" s="775"/>
      <c r="L50" s="775"/>
      <c r="M50" s="775"/>
      <c r="N50" s="775"/>
      <c r="O50" s="775"/>
      <c r="P50" s="775"/>
      <c r="Q50" s="775"/>
      <c r="R50" s="775"/>
      <c r="S50" s="775"/>
      <c r="T50" s="775"/>
      <c r="U50" s="775"/>
      <c r="V50" s="775"/>
      <c r="W50" s="775"/>
      <c r="X50" s="775"/>
      <c r="Y50" s="775"/>
      <c r="Z50" s="776"/>
      <c r="AA50" s="777"/>
      <c r="AB50" s="778"/>
      <c r="AC50" s="778"/>
      <c r="AD50" s="778"/>
      <c r="AE50" s="778"/>
      <c r="AF50" s="778"/>
      <c r="AG50" s="779"/>
      <c r="AH50" s="780" t="s">
        <v>6552</v>
      </c>
      <c r="AI50" s="781"/>
      <c r="AJ50" s="781"/>
      <c r="AK50" s="781"/>
      <c r="AL50" s="781"/>
      <c r="AM50" s="781"/>
      <c r="AN50" s="781"/>
      <c r="AO50" s="781"/>
      <c r="AP50" s="781"/>
      <c r="AQ50" s="781"/>
      <c r="AR50" s="781"/>
      <c r="AS50" s="782"/>
    </row>
    <row r="51" s="689" customFormat="1" spans="1:45">
      <c r="A51" s="763"/>
      <c r="B51" s="764"/>
      <c r="C51" s="765"/>
      <c r="D51" s="792"/>
      <c r="E51" s="783" t="s">
        <v>6548</v>
      </c>
      <c r="F51" s="783"/>
      <c r="G51" s="783"/>
      <c r="H51" s="783"/>
      <c r="I51" s="783"/>
      <c r="J51" s="783"/>
      <c r="K51" s="783"/>
      <c r="L51" s="783"/>
      <c r="M51" s="783"/>
      <c r="N51" s="783"/>
      <c r="O51" s="783"/>
      <c r="P51" s="783"/>
      <c r="Q51" s="783"/>
      <c r="R51" s="783"/>
      <c r="S51" s="783"/>
      <c r="T51" s="783"/>
      <c r="U51" s="783"/>
      <c r="V51" s="783"/>
      <c r="W51" s="783"/>
      <c r="X51" s="783"/>
      <c r="Y51" s="783"/>
      <c r="Z51" s="783"/>
      <c r="AA51" s="783" t="s">
        <v>6549</v>
      </c>
      <c r="AB51" s="783"/>
      <c r="AC51" s="783"/>
      <c r="AD51" s="783"/>
      <c r="AE51" s="783"/>
      <c r="AF51" s="783"/>
      <c r="AG51" s="783"/>
      <c r="AH51" s="783" t="s">
        <v>6550</v>
      </c>
      <c r="AI51" s="783"/>
      <c r="AJ51" s="783"/>
      <c r="AK51" s="783"/>
      <c r="AL51" s="783"/>
      <c r="AM51" s="783"/>
      <c r="AN51" s="783"/>
      <c r="AO51" s="783"/>
      <c r="AP51" s="783"/>
      <c r="AQ51" s="783"/>
      <c r="AR51" s="783"/>
      <c r="AS51" s="784"/>
    </row>
    <row r="52" s="689" customFormat="1" spans="1:45">
      <c r="A52" s="793"/>
      <c r="B52" s="794"/>
      <c r="C52" s="795"/>
      <c r="D52" s="796"/>
      <c r="E52" s="797"/>
      <c r="F52" s="797"/>
      <c r="G52" s="797"/>
      <c r="H52" s="797"/>
      <c r="I52" s="797"/>
      <c r="J52" s="797"/>
      <c r="K52" s="797"/>
      <c r="L52" s="797"/>
      <c r="M52" s="797"/>
      <c r="N52" s="797"/>
      <c r="O52" s="797"/>
      <c r="P52" s="797"/>
      <c r="Q52" s="797"/>
      <c r="R52" s="797"/>
      <c r="S52" s="797"/>
      <c r="T52" s="797"/>
      <c r="U52" s="797"/>
      <c r="V52" s="797"/>
      <c r="W52" s="797"/>
      <c r="X52" s="797"/>
      <c r="Y52" s="797"/>
      <c r="Z52" s="797"/>
      <c r="AA52" s="797"/>
      <c r="AB52" s="797"/>
      <c r="AC52" s="797"/>
      <c r="AD52" s="797"/>
      <c r="AE52" s="797"/>
      <c r="AF52" s="797"/>
      <c r="AG52" s="797"/>
      <c r="AH52" s="797"/>
      <c r="AI52" s="797"/>
      <c r="AJ52" s="797"/>
      <c r="AK52" s="797"/>
      <c r="AL52" s="797"/>
      <c r="AM52" s="797"/>
      <c r="AN52" s="797"/>
      <c r="AO52" s="797"/>
      <c r="AP52" s="797"/>
      <c r="AQ52" s="797"/>
      <c r="AR52" s="797"/>
      <c r="AS52" s="798"/>
    </row>
  </sheetData>
  <mergeCells count="126">
    <mergeCell ref="A1:J1"/>
    <mergeCell ref="Q1:AL1"/>
    <mergeCell ref="AM1:AS1"/>
    <mergeCell ref="A2:J2"/>
    <mergeCell ref="A3:J3"/>
    <mergeCell ref="A4:J4"/>
    <mergeCell ref="A5:J5"/>
    <mergeCell ref="A6:J6"/>
    <mergeCell ref="A7:AS7"/>
    <mergeCell ref="A9:L9"/>
    <mergeCell ref="O9:P9"/>
    <mergeCell ref="Q9:R9"/>
    <mergeCell ref="S9:V9"/>
    <mergeCell ref="W9:AB9"/>
    <mergeCell ref="AC9:AD9"/>
    <mergeCell ref="AE9:AF9"/>
    <mergeCell ref="AG9:AJ9"/>
    <mergeCell ref="Y12:AE12"/>
    <mergeCell ref="AF12:AL12"/>
    <mergeCell ref="AM12:AS12"/>
    <mergeCell ref="Y13:AE13"/>
    <mergeCell ref="AF13:AL13"/>
    <mergeCell ref="AM13:AS13"/>
    <mergeCell ref="B14:X14"/>
    <mergeCell ref="Y14:AE14"/>
    <mergeCell ref="AF14:AL14"/>
    <mergeCell ref="AM14:AS14"/>
    <mergeCell ref="B15:X15"/>
    <mergeCell ref="Y15:AE15"/>
    <mergeCell ref="AF15:AL15"/>
    <mergeCell ref="AM15:AS15"/>
    <mergeCell ref="AJ19:AR19"/>
    <mergeCell ref="AJ20:AR20"/>
    <mergeCell ref="AJ21:AR21"/>
    <mergeCell ref="AJ22:AR22"/>
    <mergeCell ref="AJ23:AR23"/>
    <mergeCell ref="B26:C26"/>
    <mergeCell ref="D26:S26"/>
    <mergeCell ref="T26:Y26"/>
    <mergeCell ref="Z26:AH26"/>
    <mergeCell ref="AI26:AN26"/>
    <mergeCell ref="AO26:AS26"/>
    <mergeCell ref="B27:C27"/>
    <mergeCell ref="D27:S27"/>
    <mergeCell ref="T27:Y27"/>
    <mergeCell ref="Z27:AH27"/>
    <mergeCell ref="AI27:AN27"/>
    <mergeCell ref="AO27:AS27"/>
    <mergeCell ref="B28:C28"/>
    <mergeCell ref="D28:S28"/>
    <mergeCell ref="T28:Y28"/>
    <mergeCell ref="Z28:AH28"/>
    <mergeCell ref="AI28:AN28"/>
    <mergeCell ref="AO28:AS28"/>
    <mergeCell ref="B29:C29"/>
    <mergeCell ref="D29:S29"/>
    <mergeCell ref="T29:Y29"/>
    <mergeCell ref="Z29:AH29"/>
    <mergeCell ref="AI29:AN29"/>
    <mergeCell ref="AO29:AS29"/>
    <mergeCell ref="B30:C30"/>
    <mergeCell ref="D30:S30"/>
    <mergeCell ref="T30:Y30"/>
    <mergeCell ref="Z30:AH30"/>
    <mergeCell ref="AI30:AN30"/>
    <mergeCell ref="AO30:AS30"/>
    <mergeCell ref="B31:C31"/>
    <mergeCell ref="D31:S31"/>
    <mergeCell ref="T31:Y31"/>
    <mergeCell ref="Z31:AH31"/>
    <mergeCell ref="AI31:AN31"/>
    <mergeCell ref="AO31:AS31"/>
    <mergeCell ref="B32:C32"/>
    <mergeCell ref="D32:S32"/>
    <mergeCell ref="T32:Y32"/>
    <mergeCell ref="Z32:AH32"/>
    <mergeCell ref="AI32:AN32"/>
    <mergeCell ref="AO32:AS32"/>
    <mergeCell ref="B33:C33"/>
    <mergeCell ref="D33:S33"/>
    <mergeCell ref="T33:Y33"/>
    <mergeCell ref="Z33:AH33"/>
    <mergeCell ref="AI33:AN33"/>
    <mergeCell ref="AO33:AS33"/>
    <mergeCell ref="B34:C34"/>
    <mergeCell ref="D34:S34"/>
    <mergeCell ref="T34:Y34"/>
    <mergeCell ref="Z34:AH34"/>
    <mergeCell ref="AI34:AN34"/>
    <mergeCell ref="AO34:AS34"/>
    <mergeCell ref="B35:C35"/>
    <mergeCell ref="D35:S35"/>
    <mergeCell ref="T35:Y35"/>
    <mergeCell ref="Z35:AH35"/>
    <mergeCell ref="AI35:AN35"/>
    <mergeCell ref="AO35:AS35"/>
    <mergeCell ref="B36:C36"/>
    <mergeCell ref="D36:S36"/>
    <mergeCell ref="T36:Y36"/>
    <mergeCell ref="Z36:AH36"/>
    <mergeCell ref="AI36:AN36"/>
    <mergeCell ref="AO36:AS36"/>
    <mergeCell ref="B37:C37"/>
    <mergeCell ref="D37:S37"/>
    <mergeCell ref="T37:Y37"/>
    <mergeCell ref="E41:AS41"/>
    <mergeCell ref="E42:AS42"/>
    <mergeCell ref="AH45:AS45"/>
    <mergeCell ref="AH50:AS50"/>
    <mergeCell ref="C41:C47"/>
    <mergeCell ref="C48:C52"/>
    <mergeCell ref="D41:D47"/>
    <mergeCell ref="D48:D52"/>
    <mergeCell ref="Q3:AL4"/>
    <mergeCell ref="Q5:AL6"/>
    <mergeCell ref="AA44:AG45"/>
    <mergeCell ref="AA49:AG50"/>
    <mergeCell ref="E51:Z52"/>
    <mergeCell ref="AA51:AG52"/>
    <mergeCell ref="AH51:AS52"/>
    <mergeCell ref="A41:B52"/>
    <mergeCell ref="E46:Z47"/>
    <mergeCell ref="AA46:AG47"/>
    <mergeCell ref="AH46:AS47"/>
    <mergeCell ref="K1:L6"/>
    <mergeCell ref="B12:X13"/>
  </mergeCells>
  <pageMargins left="0.433070866141732" right="0.433070866141732" top="0.551181102362205" bottom="0.748031496062992" header="0.31496062992126" footer="0.31496062992126"/>
  <pageSetup paperSize="9" scale="81"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8">
    <tabColor theme="9" tint="0.399975585192419"/>
    <pageSetUpPr fitToPage="1"/>
  </sheetPr>
  <dimension ref="A1:AS61"/>
  <sheetViews>
    <sheetView showGridLines="0" workbookViewId="0">
      <selection activeCell="AY24" sqref="AY24"/>
    </sheetView>
  </sheetViews>
  <sheetFormatPr defaultColWidth="2.42857142857143" defaultRowHeight="12"/>
  <cols>
    <col min="1" max="10" width="3.28571428571429" style="690" customWidth="1"/>
    <col min="11" max="16384" width="2.42857142857143" style="690"/>
  </cols>
  <sheetData>
    <row r="1" ht="21" customHeight="1" spans="1:45">
      <c r="A1" s="691" t="s">
        <v>6621</v>
      </c>
      <c r="B1" s="692"/>
      <c r="C1" s="692"/>
      <c r="D1" s="692"/>
      <c r="E1" s="692"/>
      <c r="F1" s="692"/>
      <c r="G1" s="692"/>
      <c r="H1" s="692"/>
      <c r="I1" s="692"/>
      <c r="J1" s="693"/>
      <c r="K1" s="694" t="s">
        <v>6554</v>
      </c>
      <c r="L1" s="695"/>
      <c r="M1" s="696" t="s">
        <v>6555</v>
      </c>
      <c r="N1" s="697"/>
      <c r="O1" s="697"/>
      <c r="P1" s="697"/>
      <c r="Q1" s="698" t="str">
        <f>UnosPod!F8</f>
        <v>LILIUM ASSET MANAGEMENT d.o.o. Sarajevo</v>
      </c>
      <c r="R1" s="698"/>
      <c r="S1" s="698"/>
      <c r="T1" s="698"/>
      <c r="U1" s="698"/>
      <c r="V1" s="698"/>
      <c r="W1" s="698"/>
      <c r="X1" s="698"/>
      <c r="Y1" s="698"/>
      <c r="Z1" s="698"/>
      <c r="AA1" s="698"/>
      <c r="AB1" s="698"/>
      <c r="AC1" s="698"/>
      <c r="AD1" s="698"/>
      <c r="AE1" s="698"/>
      <c r="AF1" s="698"/>
      <c r="AG1" s="698"/>
      <c r="AH1" s="698"/>
      <c r="AI1" s="698"/>
      <c r="AJ1" s="698"/>
      <c r="AK1" s="698"/>
      <c r="AL1" s="699"/>
      <c r="AM1" s="700" t="s">
        <v>6489</v>
      </c>
      <c r="AN1" s="701"/>
      <c r="AO1" s="701"/>
      <c r="AP1" s="701"/>
      <c r="AQ1" s="701"/>
      <c r="AR1" s="701"/>
      <c r="AS1" s="702"/>
    </row>
    <row r="2" ht="18" customHeight="1" spans="1:45">
      <c r="A2" s="703"/>
      <c r="B2" s="704"/>
      <c r="C2" s="704"/>
      <c r="D2" s="704"/>
      <c r="E2" s="704"/>
      <c r="F2" s="704"/>
      <c r="G2" s="704"/>
      <c r="H2" s="704"/>
      <c r="I2" s="704"/>
      <c r="J2" s="705"/>
      <c r="K2" s="706"/>
      <c r="L2" s="707"/>
      <c r="M2" s="713" t="s">
        <v>6556</v>
      </c>
      <c r="N2" s="708"/>
      <c r="O2" s="708"/>
      <c r="P2" s="708"/>
      <c r="Q2" s="709">
        <f>UnosPod!AA8</f>
        <v>4</v>
      </c>
      <c r="R2" s="709">
        <f>UnosPod!AB8</f>
        <v>2</v>
      </c>
      <c r="S2" s="709">
        <f>UnosPod!AC8</f>
        <v>0</v>
      </c>
      <c r="T2" s="709">
        <f>UnosPod!AD8</f>
        <v>1</v>
      </c>
      <c r="U2" s="709">
        <f>UnosPod!AE8</f>
        <v>3</v>
      </c>
      <c r="V2" s="709">
        <f>UnosPod!AF8</f>
        <v>3</v>
      </c>
      <c r="W2" s="709">
        <f>UnosPod!AG8</f>
        <v>7</v>
      </c>
      <c r="X2" s="709">
        <f>UnosPod!AH8</f>
        <v>6</v>
      </c>
      <c r="Y2" s="709">
        <f>UnosPod!AI8</f>
        <v>7</v>
      </c>
      <c r="Z2" s="709">
        <f>UnosPod!AJ8</f>
        <v>0</v>
      </c>
      <c r="AA2" s="709">
        <f>UnosPod!AK8</f>
        <v>0</v>
      </c>
      <c r="AB2" s="709">
        <f>UnosPod!AL8</f>
        <v>0</v>
      </c>
      <c r="AC2" s="709">
        <f>UnosPod!AM8</f>
        <v>9</v>
      </c>
      <c r="AD2" s="709"/>
      <c r="AF2" s="710"/>
      <c r="AG2" s="710"/>
      <c r="AH2" s="710"/>
      <c r="AI2" s="710"/>
      <c r="AJ2" s="710"/>
      <c r="AK2" s="710"/>
      <c r="AL2" s="710"/>
      <c r="AM2" s="711"/>
      <c r="AS2" s="712"/>
    </row>
    <row r="3" ht="14.25" customHeight="1" spans="1:45">
      <c r="A3" s="703" t="s">
        <v>6490</v>
      </c>
      <c r="B3" s="704"/>
      <c r="C3" s="704"/>
      <c r="D3" s="704"/>
      <c r="E3" s="704"/>
      <c r="F3" s="704"/>
      <c r="G3" s="704"/>
      <c r="H3" s="704"/>
      <c r="I3" s="704"/>
      <c r="J3" s="705"/>
      <c r="K3" s="706"/>
      <c r="L3" s="707"/>
      <c r="M3" s="713"/>
      <c r="N3" s="708"/>
      <c r="O3" s="708"/>
      <c r="P3" s="708"/>
      <c r="Q3" s="714" t="str">
        <f>UnosPod!F10</f>
        <v>Dženetića čikma br.8</v>
      </c>
      <c r="R3" s="714"/>
      <c r="S3" s="714"/>
      <c r="T3" s="714"/>
      <c r="U3" s="714"/>
      <c r="V3" s="714"/>
      <c r="W3" s="714"/>
      <c r="X3" s="714"/>
      <c r="Y3" s="714"/>
      <c r="Z3" s="714"/>
      <c r="AA3" s="714"/>
      <c r="AB3" s="714"/>
      <c r="AC3" s="714"/>
      <c r="AD3" s="714"/>
      <c r="AE3" s="714"/>
      <c r="AF3" s="714"/>
      <c r="AG3" s="714"/>
      <c r="AH3" s="714"/>
      <c r="AI3" s="714"/>
      <c r="AJ3" s="714"/>
      <c r="AK3" s="714"/>
      <c r="AL3" s="715"/>
      <c r="AM3" s="711"/>
      <c r="AS3" s="712"/>
    </row>
    <row r="4" ht="14.25" customHeight="1" spans="1:45">
      <c r="A4" s="703" t="s">
        <v>6491</v>
      </c>
      <c r="B4" s="704"/>
      <c r="C4" s="704"/>
      <c r="D4" s="704"/>
      <c r="E4" s="704"/>
      <c r="F4" s="704"/>
      <c r="G4" s="704"/>
      <c r="H4" s="704"/>
      <c r="I4" s="704"/>
      <c r="J4" s="705"/>
      <c r="K4" s="706"/>
      <c r="L4" s="707"/>
      <c r="M4" s="716" t="s">
        <v>6498</v>
      </c>
      <c r="N4" s="717"/>
      <c r="O4" s="717"/>
      <c r="P4" s="717"/>
      <c r="Q4" s="718"/>
      <c r="R4" s="718"/>
      <c r="S4" s="718"/>
      <c r="T4" s="718"/>
      <c r="U4" s="718"/>
      <c r="V4" s="718"/>
      <c r="W4" s="718"/>
      <c r="X4" s="718"/>
      <c r="Y4" s="718"/>
      <c r="Z4" s="718"/>
      <c r="AA4" s="718"/>
      <c r="AB4" s="718"/>
      <c r="AC4" s="718"/>
      <c r="AD4" s="718"/>
      <c r="AE4" s="718"/>
      <c r="AF4" s="718"/>
      <c r="AG4" s="718"/>
      <c r="AH4" s="718"/>
      <c r="AI4" s="718"/>
      <c r="AJ4" s="718"/>
      <c r="AK4" s="718"/>
      <c r="AL4" s="719"/>
      <c r="AM4" s="720"/>
      <c r="AS4" s="712"/>
    </row>
    <row r="5" ht="14.25" customHeight="1" spans="1:45">
      <c r="A5" s="721" t="s">
        <v>6492</v>
      </c>
      <c r="B5" s="722"/>
      <c r="C5" s="722"/>
      <c r="D5" s="722"/>
      <c r="E5" s="722"/>
      <c r="F5" s="722"/>
      <c r="G5" s="722"/>
      <c r="H5" s="722"/>
      <c r="I5" s="722"/>
      <c r="J5" s="723"/>
      <c r="K5" s="706"/>
      <c r="L5" s="707"/>
      <c r="M5" s="713"/>
      <c r="N5" s="708"/>
      <c r="O5" s="708"/>
      <c r="P5" s="708"/>
      <c r="Q5" s="724" t="str">
        <f>Baza!I21</f>
        <v>Sarajevo-Stari Grad</v>
      </c>
      <c r="R5" s="724"/>
      <c r="S5" s="724"/>
      <c r="T5" s="724"/>
      <c r="U5" s="724"/>
      <c r="V5" s="724"/>
      <c r="W5" s="724"/>
      <c r="X5" s="724"/>
      <c r="Y5" s="724"/>
      <c r="Z5" s="724"/>
      <c r="AA5" s="724"/>
      <c r="AB5" s="724"/>
      <c r="AC5" s="724"/>
      <c r="AD5" s="724"/>
      <c r="AE5" s="724"/>
      <c r="AF5" s="724"/>
      <c r="AG5" s="724"/>
      <c r="AH5" s="724"/>
      <c r="AI5" s="724"/>
      <c r="AJ5" s="724"/>
      <c r="AK5" s="724"/>
      <c r="AL5" s="725"/>
      <c r="AM5" s="720"/>
      <c r="AS5" s="712"/>
    </row>
    <row r="6" ht="14.25" customHeight="1" spans="1:45">
      <c r="A6" s="721" t="s">
        <v>6493</v>
      </c>
      <c r="B6" s="722"/>
      <c r="C6" s="722"/>
      <c r="D6" s="722"/>
      <c r="E6" s="722"/>
      <c r="F6" s="722"/>
      <c r="G6" s="722"/>
      <c r="H6" s="722"/>
      <c r="I6" s="722"/>
      <c r="J6" s="723"/>
      <c r="K6" s="726"/>
      <c r="L6" s="727"/>
      <c r="M6" s="716" t="s">
        <v>6559</v>
      </c>
      <c r="N6" s="717"/>
      <c r="O6" s="717"/>
      <c r="P6" s="717"/>
      <c r="Q6" s="728"/>
      <c r="R6" s="728"/>
      <c r="S6" s="728"/>
      <c r="T6" s="728"/>
      <c r="U6" s="728"/>
      <c r="V6" s="728"/>
      <c r="W6" s="728"/>
      <c r="X6" s="728"/>
      <c r="Y6" s="728"/>
      <c r="Z6" s="728"/>
      <c r="AA6" s="728"/>
      <c r="AB6" s="728"/>
      <c r="AC6" s="728"/>
      <c r="AD6" s="728"/>
      <c r="AE6" s="728"/>
      <c r="AF6" s="728"/>
      <c r="AG6" s="728"/>
      <c r="AH6" s="728"/>
      <c r="AI6" s="728"/>
      <c r="AJ6" s="728"/>
      <c r="AK6" s="728"/>
      <c r="AL6" s="729"/>
      <c r="AM6" s="730"/>
      <c r="AN6" s="717"/>
      <c r="AO6" s="717"/>
      <c r="AP6" s="717"/>
      <c r="AQ6" s="717"/>
      <c r="AR6" s="717"/>
      <c r="AS6" s="731"/>
    </row>
    <row r="7" ht="27" customHeight="1" spans="1:45">
      <c r="A7" s="732" t="s">
        <v>3861</v>
      </c>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ht="13.5" spans="1:45">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ht="15.75" spans="1:45">
      <c r="A9" s="734" t="str">
        <f>"za "&amp;Text!B8</f>
        <v>za period</v>
      </c>
      <c r="B9" s="734"/>
      <c r="C9" s="734"/>
      <c r="D9" s="734"/>
      <c r="E9" s="734"/>
      <c r="F9" s="734"/>
      <c r="G9" s="734"/>
      <c r="H9" s="734"/>
      <c r="I9" s="734"/>
      <c r="J9" s="734"/>
      <c r="K9" s="734"/>
      <c r="L9" s="734"/>
      <c r="M9" s="735"/>
      <c r="O9" s="736" t="str">
        <f>UnosPod!F6&amp;UnosPod!G6</f>
        <v>01</v>
      </c>
      <c r="P9" s="737"/>
      <c r="Q9" s="736" t="str">
        <f>UnosPod!H6&amp;UnosPod!I6</f>
        <v>01</v>
      </c>
      <c r="R9" s="737"/>
      <c r="S9" s="736">
        <f>UnosPod!J6</f>
        <v>2025</v>
      </c>
      <c r="T9" s="738"/>
      <c r="U9" s="738"/>
      <c r="V9" s="737"/>
      <c r="W9" s="739" t="s">
        <v>12</v>
      </c>
      <c r="X9" s="740"/>
      <c r="Y9" s="740"/>
      <c r="Z9" s="740"/>
      <c r="AA9" s="740"/>
      <c r="AB9" s="740"/>
      <c r="AC9" s="736" t="str">
        <f>UnosPod!M6&amp;UnosPod!N6</f>
        <v>31</v>
      </c>
      <c r="AD9" s="737"/>
      <c r="AE9" s="736" t="str">
        <f>UnosPod!O6&amp;UnosPod!P6</f>
        <v>12</v>
      </c>
      <c r="AF9" s="737"/>
      <c r="AG9" s="736">
        <f>UnosPod!Q6</f>
        <v>2025</v>
      </c>
      <c r="AH9" s="738"/>
      <c r="AI9" s="738"/>
      <c r="AJ9" s="737"/>
    </row>
    <row r="10" ht="6" customHeight="1"/>
    <row r="11" s="687" customFormat="1" ht="19.5" customHeight="1" spans="1:45">
      <c r="A11" s="800" t="s">
        <v>6049</v>
      </c>
      <c r="B11" s="743"/>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4"/>
    </row>
    <row r="12" ht="13.5" customHeight="1" spans="1:45">
      <c r="A12" s="801"/>
      <c r="B12" s="802" t="s">
        <v>6050</v>
      </c>
      <c r="C12" s="802"/>
      <c r="D12" s="802"/>
      <c r="E12" s="802"/>
      <c r="F12" s="802"/>
      <c r="G12" s="802"/>
      <c r="H12" s="802"/>
      <c r="I12" s="802"/>
      <c r="J12" s="802"/>
      <c r="K12" s="802"/>
      <c r="L12" s="802"/>
      <c r="M12" s="802"/>
      <c r="N12" s="802"/>
      <c r="O12" s="802"/>
      <c r="P12" s="803" t="str">
        <f>UnosPorBilans!V286</f>
        <v>2018</v>
      </c>
      <c r="Q12" s="804"/>
      <c r="R12" s="804"/>
      <c r="S12" s="804"/>
      <c r="T12" s="804"/>
      <c r="U12" s="804"/>
      <c r="V12" s="804"/>
      <c r="W12" s="804"/>
      <c r="X12" s="805"/>
      <c r="AJ12" s="806" t="s">
        <v>5809</v>
      </c>
      <c r="AK12" s="689"/>
      <c r="AL12" s="806" t="s">
        <v>3725</v>
      </c>
      <c r="AM12" s="689"/>
      <c r="AN12" s="806" t="s">
        <v>5813</v>
      </c>
      <c r="AO12" s="689"/>
      <c r="AP12" s="806" t="s">
        <v>5906</v>
      </c>
      <c r="AQ12" s="689"/>
      <c r="AR12" s="806" t="s">
        <v>5912</v>
      </c>
      <c r="AS12" s="712"/>
    </row>
    <row r="13" ht="13.5" customHeight="1" spans="1:45">
      <c r="A13" s="801"/>
      <c r="B13" s="802"/>
      <c r="C13" s="802"/>
      <c r="D13" s="802"/>
      <c r="E13" s="802"/>
      <c r="F13" s="802"/>
      <c r="G13" s="802"/>
      <c r="H13" s="802"/>
      <c r="I13" s="802"/>
      <c r="J13" s="802"/>
      <c r="K13" s="802"/>
      <c r="L13" s="802"/>
      <c r="M13" s="802"/>
      <c r="N13" s="802"/>
      <c r="O13" s="802"/>
      <c r="P13" s="807"/>
      <c r="Q13" s="808"/>
      <c r="R13" s="808"/>
      <c r="S13" s="808"/>
      <c r="T13" s="808"/>
      <c r="U13" s="808"/>
      <c r="V13" s="808"/>
      <c r="W13" s="808"/>
      <c r="X13" s="809"/>
      <c r="AA13" s="810" t="s">
        <v>7705</v>
      </c>
      <c r="AS13" s="712"/>
    </row>
    <row r="14" ht="8.25" customHeight="1" spans="1:45">
      <c r="A14" s="801"/>
      <c r="AS14" s="731"/>
    </row>
    <row r="15" s="687" customFormat="1" ht="16.5" customHeight="1" spans="1:45">
      <c r="A15" s="745"/>
      <c r="B15" s="811" t="str">
        <f>Text!B739</f>
        <v>1.3. Planirani iznos investicije u KM u tekućem poreznom periodu</v>
      </c>
      <c r="C15" s="812"/>
      <c r="D15" s="812"/>
      <c r="E15" s="812"/>
      <c r="F15" s="812"/>
      <c r="G15" s="812"/>
      <c r="H15" s="812"/>
      <c r="I15" s="812"/>
      <c r="J15" s="812"/>
      <c r="K15" s="812"/>
      <c r="L15" s="812"/>
      <c r="M15" s="812"/>
      <c r="N15" s="812"/>
      <c r="O15" s="812"/>
      <c r="P15" s="812"/>
      <c r="Q15" s="812"/>
      <c r="R15" s="812"/>
      <c r="S15" s="812"/>
      <c r="T15" s="812"/>
      <c r="U15" s="812"/>
      <c r="V15" s="812"/>
      <c r="W15" s="812"/>
      <c r="X15" s="812"/>
      <c r="Y15" s="812"/>
      <c r="Z15" s="812"/>
      <c r="AA15" s="812"/>
      <c r="AB15" s="812"/>
      <c r="AC15" s="812"/>
      <c r="AD15" s="812"/>
      <c r="AE15" s="813"/>
      <c r="AF15" s="814">
        <f>UnosPorBilans!V287</f>
        <v>0</v>
      </c>
      <c r="AG15" s="815"/>
      <c r="AH15" s="815"/>
      <c r="AI15" s="815"/>
      <c r="AJ15" s="815"/>
      <c r="AK15" s="815"/>
      <c r="AL15" s="815"/>
      <c r="AM15" s="815"/>
      <c r="AN15" s="815"/>
      <c r="AO15" s="815"/>
      <c r="AP15" s="815"/>
      <c r="AQ15" s="815"/>
      <c r="AR15" s="815"/>
      <c r="AS15" s="816"/>
    </row>
    <row r="16" s="687" customFormat="1" ht="16.5" customHeight="1" spans="1:45">
      <c r="A16" s="745"/>
      <c r="B16" s="811" t="str">
        <f>Text!B740</f>
        <v>1.4. Iznos investicije u KM u tekućem poreznom periodu</v>
      </c>
      <c r="C16" s="812"/>
      <c r="D16" s="812"/>
      <c r="E16" s="812"/>
      <c r="F16" s="812"/>
      <c r="G16" s="812"/>
      <c r="H16" s="812"/>
      <c r="I16" s="812"/>
      <c r="J16" s="812"/>
      <c r="K16" s="812"/>
      <c r="L16" s="812"/>
      <c r="M16" s="812"/>
      <c r="N16" s="812"/>
      <c r="O16" s="812"/>
      <c r="P16" s="812"/>
      <c r="Q16" s="812"/>
      <c r="R16" s="812"/>
      <c r="S16" s="812"/>
      <c r="T16" s="812"/>
      <c r="U16" s="812"/>
      <c r="V16" s="812"/>
      <c r="W16" s="812"/>
      <c r="X16" s="812"/>
      <c r="Y16" s="812"/>
      <c r="Z16" s="812"/>
      <c r="AA16" s="812"/>
      <c r="AB16" s="812"/>
      <c r="AC16" s="812"/>
      <c r="AD16" s="812"/>
      <c r="AE16" s="813"/>
      <c r="AF16" s="814">
        <f>UnosPorBilans!V288</f>
        <v>0</v>
      </c>
      <c r="AG16" s="815"/>
      <c r="AH16" s="815"/>
      <c r="AI16" s="815"/>
      <c r="AJ16" s="815"/>
      <c r="AK16" s="815"/>
      <c r="AL16" s="815"/>
      <c r="AM16" s="815"/>
      <c r="AN16" s="815"/>
      <c r="AO16" s="815"/>
      <c r="AP16" s="815"/>
      <c r="AQ16" s="815"/>
      <c r="AR16" s="815"/>
      <c r="AS16" s="816"/>
    </row>
    <row r="17" s="687" customFormat="1" ht="16.5" customHeight="1" spans="1:45">
      <c r="A17" s="745"/>
      <c r="B17" s="811" t="s">
        <v>6052</v>
      </c>
      <c r="C17" s="812"/>
      <c r="D17" s="812"/>
      <c r="E17" s="812"/>
      <c r="F17" s="812"/>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c r="AE17" s="813"/>
      <c r="AF17" s="814">
        <f>UnosPorBilans!V289</f>
        <v>0</v>
      </c>
      <c r="AG17" s="815"/>
      <c r="AH17" s="815"/>
      <c r="AI17" s="815"/>
      <c r="AJ17" s="815"/>
      <c r="AK17" s="815"/>
      <c r="AL17" s="815"/>
      <c r="AM17" s="815"/>
      <c r="AN17" s="815"/>
      <c r="AO17" s="815"/>
      <c r="AP17" s="815"/>
      <c r="AQ17" s="815"/>
      <c r="AR17" s="815"/>
      <c r="AS17" s="816"/>
    </row>
    <row r="18" spans="1:45">
      <c r="A18" s="817"/>
      <c r="B18" s="717"/>
      <c r="C18" s="717"/>
      <c r="D18" s="717"/>
      <c r="E18" s="717"/>
      <c r="F18" s="717"/>
      <c r="G18" s="717"/>
      <c r="H18" s="717"/>
      <c r="I18" s="717"/>
      <c r="J18" s="717"/>
      <c r="K18" s="717"/>
      <c r="L18" s="717"/>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31"/>
    </row>
    <row r="19" ht="7.5" customHeight="1"/>
    <row r="20" s="687" customFormat="1" ht="16.5" customHeight="1" spans="1:45">
      <c r="A20" s="818" t="str">
        <f>Text!B741</f>
        <v>2. PODACI IZ BILANSA STANJA</v>
      </c>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4"/>
    </row>
    <row r="21" s="799" customFormat="1" ht="15" customHeight="1" spans="1:45">
      <c r="A21" s="745"/>
      <c r="B21" s="819" t="s">
        <v>4178</v>
      </c>
      <c r="C21" s="820"/>
      <c r="D21" s="820"/>
      <c r="E21" s="820"/>
      <c r="F21" s="820"/>
      <c r="G21" s="820"/>
      <c r="H21" s="820"/>
      <c r="I21" s="820"/>
      <c r="J21" s="820"/>
      <c r="K21" s="820"/>
      <c r="L21" s="820"/>
      <c r="M21" s="820"/>
      <c r="N21" s="820"/>
      <c r="O21" s="820"/>
      <c r="P21" s="820"/>
      <c r="Q21" s="820"/>
      <c r="R21" s="820"/>
      <c r="S21" s="820"/>
      <c r="T21" s="820"/>
      <c r="U21" s="820"/>
      <c r="V21" s="820"/>
      <c r="W21" s="820"/>
      <c r="X21" s="821"/>
      <c r="Y21" s="822" t="s">
        <v>7116</v>
      </c>
      <c r="Z21" s="822"/>
      <c r="AA21" s="822"/>
      <c r="AB21" s="822"/>
      <c r="AC21" s="822"/>
      <c r="AD21" s="822"/>
      <c r="AE21" s="822"/>
      <c r="AF21" s="822" t="s">
        <v>4676</v>
      </c>
      <c r="AG21" s="822"/>
      <c r="AH21" s="822"/>
      <c r="AI21" s="822"/>
      <c r="AJ21" s="822"/>
      <c r="AK21" s="822"/>
      <c r="AL21" s="822"/>
      <c r="AM21" s="822" t="s">
        <v>7689</v>
      </c>
      <c r="AN21" s="822"/>
      <c r="AO21" s="822"/>
      <c r="AP21" s="822"/>
      <c r="AQ21" s="822"/>
      <c r="AR21" s="822"/>
      <c r="AS21" s="822"/>
    </row>
    <row r="22" s="799" customFormat="1" customHeight="1" spans="1:45">
      <c r="A22" s="745"/>
      <c r="B22" s="823"/>
      <c r="C22" s="824"/>
      <c r="D22" s="824"/>
      <c r="E22" s="824"/>
      <c r="F22" s="824"/>
      <c r="G22" s="824"/>
      <c r="H22" s="824"/>
      <c r="I22" s="824"/>
      <c r="J22" s="824"/>
      <c r="K22" s="824"/>
      <c r="L22" s="824"/>
      <c r="M22" s="824"/>
      <c r="N22" s="824"/>
      <c r="O22" s="824"/>
      <c r="P22" s="824"/>
      <c r="Q22" s="824"/>
      <c r="R22" s="824"/>
      <c r="S22" s="824"/>
      <c r="T22" s="824"/>
      <c r="U22" s="824"/>
      <c r="V22" s="824"/>
      <c r="W22" s="824"/>
      <c r="X22" s="825"/>
      <c r="Y22" s="826" t="s">
        <v>7690</v>
      </c>
      <c r="Z22" s="827"/>
      <c r="AA22" s="827"/>
      <c r="AB22" s="827"/>
      <c r="AC22" s="827"/>
      <c r="AD22" s="827"/>
      <c r="AE22" s="828"/>
      <c r="AF22" s="826" t="s">
        <v>7691</v>
      </c>
      <c r="AG22" s="827"/>
      <c r="AH22" s="827"/>
      <c r="AI22" s="827"/>
      <c r="AJ22" s="827"/>
      <c r="AK22" s="827"/>
      <c r="AL22" s="828"/>
      <c r="AM22" s="826" t="s">
        <v>7692</v>
      </c>
      <c r="AN22" s="827"/>
      <c r="AO22" s="827"/>
      <c r="AP22" s="827"/>
      <c r="AQ22" s="827"/>
      <c r="AR22" s="827"/>
      <c r="AS22" s="828"/>
    </row>
    <row r="23" s="687" customFormat="1" ht="16.5" customHeight="1" spans="1:45">
      <c r="A23" s="745"/>
      <c r="B23" s="829" t="str">
        <f>Text!B742</f>
        <v>2.1. Nekretnine, postrojenja i oprema (Bilans stanja 008 AOP)</v>
      </c>
      <c r="C23" s="830"/>
      <c r="D23" s="830"/>
      <c r="E23" s="830"/>
      <c r="F23" s="830"/>
      <c r="G23" s="830"/>
      <c r="H23" s="830"/>
      <c r="I23" s="830"/>
      <c r="J23" s="830"/>
      <c r="K23" s="830"/>
      <c r="L23" s="830"/>
      <c r="M23" s="830"/>
      <c r="N23" s="830"/>
      <c r="O23" s="830"/>
      <c r="P23" s="830"/>
      <c r="Q23" s="830"/>
      <c r="R23" s="830"/>
      <c r="S23" s="830"/>
      <c r="T23" s="830"/>
      <c r="U23" s="830"/>
      <c r="V23" s="830"/>
      <c r="W23" s="830"/>
      <c r="X23" s="831"/>
      <c r="Y23" s="832"/>
      <c r="Z23" s="832"/>
      <c r="AA23" s="832"/>
      <c r="AB23" s="832"/>
      <c r="AC23" s="832"/>
      <c r="AD23" s="832"/>
      <c r="AE23" s="832"/>
      <c r="AF23" s="833"/>
      <c r="AG23" s="833"/>
      <c r="AH23" s="833"/>
      <c r="AI23" s="833"/>
      <c r="AJ23" s="833"/>
      <c r="AK23" s="833"/>
      <c r="AL23" s="833"/>
      <c r="AM23" s="834">
        <f>AF23-Y23</f>
        <v>0</v>
      </c>
      <c r="AN23" s="834"/>
      <c r="AO23" s="834"/>
      <c r="AP23" s="834"/>
      <c r="AQ23" s="834"/>
      <c r="AR23" s="834"/>
      <c r="AS23" s="834"/>
    </row>
    <row r="24" s="687" customFormat="1" ht="16.5" customHeight="1" spans="1:45">
      <c r="A24" s="745"/>
      <c r="B24" s="829" t="str">
        <f>Text!B743</f>
        <v>2.2. Ukupna aktiva (Bilans stanja 067 AOP)</v>
      </c>
      <c r="C24" s="830"/>
      <c r="D24" s="830"/>
      <c r="E24" s="830"/>
      <c r="F24" s="830"/>
      <c r="G24" s="830"/>
      <c r="H24" s="830"/>
      <c r="I24" s="830"/>
      <c r="J24" s="830"/>
      <c r="K24" s="830"/>
      <c r="L24" s="830"/>
      <c r="M24" s="830"/>
      <c r="N24" s="830"/>
      <c r="O24" s="830"/>
      <c r="P24" s="830"/>
      <c r="Q24" s="830"/>
      <c r="R24" s="830"/>
      <c r="S24" s="830"/>
      <c r="T24" s="830"/>
      <c r="U24" s="830"/>
      <c r="V24" s="830"/>
      <c r="W24" s="830"/>
      <c r="X24" s="831"/>
      <c r="Y24" s="832"/>
      <c r="Z24" s="832"/>
      <c r="AA24" s="832"/>
      <c r="AB24" s="832"/>
      <c r="AC24" s="832"/>
      <c r="AD24" s="832"/>
      <c r="AE24" s="832"/>
      <c r="AF24" s="832"/>
      <c r="AG24" s="832"/>
      <c r="AH24" s="832"/>
      <c r="AI24" s="832"/>
      <c r="AJ24" s="832"/>
      <c r="AK24" s="832"/>
      <c r="AL24" s="832"/>
      <c r="AM24" s="834">
        <f>AF24-Y24</f>
        <v>0</v>
      </c>
      <c r="AN24" s="834"/>
      <c r="AO24" s="834"/>
      <c r="AP24" s="834"/>
      <c r="AQ24" s="834"/>
      <c r="AR24" s="834"/>
      <c r="AS24" s="834"/>
    </row>
    <row r="25" spans="1:45">
      <c r="A25" s="817"/>
      <c r="B25" s="717"/>
      <c r="C25" s="717"/>
      <c r="D25" s="717"/>
      <c r="E25" s="717"/>
      <c r="F25" s="717"/>
      <c r="G25" s="717"/>
      <c r="H25" s="717"/>
      <c r="I25" s="717"/>
      <c r="J25" s="717"/>
      <c r="K25" s="717"/>
      <c r="L25" s="717"/>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31"/>
    </row>
    <row r="26" ht="7.5" customHeight="1"/>
    <row r="27" s="687" customFormat="1" ht="16.5" customHeight="1" spans="1:45">
      <c r="A27" s="818" t="s">
        <v>7706</v>
      </c>
      <c r="B27" s="743"/>
      <c r="C27" s="743"/>
      <c r="D27" s="743"/>
      <c r="E27" s="743"/>
      <c r="F27" s="743"/>
      <c r="G27" s="743"/>
      <c r="H27" s="743"/>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4"/>
    </row>
    <row r="28" ht="16.5" customHeight="1" spans="1:45">
      <c r="A28" s="835"/>
      <c r="B28" s="810"/>
      <c r="C28" s="810"/>
      <c r="D28" s="810"/>
      <c r="E28" s="810"/>
      <c r="F28" s="810"/>
      <c r="G28" s="810"/>
      <c r="H28" s="810"/>
      <c r="I28" s="810"/>
      <c r="J28" s="810"/>
      <c r="K28" s="810"/>
      <c r="L28" s="810"/>
      <c r="AJ28" s="836" t="s">
        <v>5800</v>
      </c>
      <c r="AK28" s="836"/>
      <c r="AL28" s="836"/>
      <c r="AM28" s="836"/>
      <c r="AN28" s="836"/>
      <c r="AO28" s="836"/>
      <c r="AP28" s="836"/>
      <c r="AQ28" s="836"/>
      <c r="AR28" s="836"/>
      <c r="AS28" s="712"/>
    </row>
    <row r="29" ht="15" customHeight="1" spans="1:45">
      <c r="A29" s="835"/>
      <c r="B29" s="810" t="s">
        <v>7707</v>
      </c>
      <c r="C29" s="810"/>
      <c r="D29" s="810"/>
      <c r="E29" s="810"/>
      <c r="F29" s="810"/>
      <c r="G29" s="810"/>
      <c r="H29" s="810"/>
      <c r="I29" s="810"/>
      <c r="J29" s="810"/>
      <c r="K29" s="810"/>
      <c r="L29" s="810"/>
      <c r="AJ29" s="837"/>
      <c r="AK29" s="837"/>
      <c r="AL29" s="837"/>
      <c r="AM29" s="837"/>
      <c r="AN29" s="837"/>
      <c r="AO29" s="837"/>
      <c r="AP29" s="837"/>
      <c r="AQ29" s="837"/>
      <c r="AR29" s="837"/>
      <c r="AS29" s="712"/>
    </row>
    <row r="30" ht="15" customHeight="1" spans="1:45">
      <c r="A30" s="835"/>
      <c r="B30" s="810" t="s">
        <v>7708</v>
      </c>
      <c r="C30" s="810"/>
      <c r="D30" s="810"/>
      <c r="E30" s="810"/>
      <c r="F30" s="810"/>
      <c r="G30" s="810"/>
      <c r="H30" s="810"/>
      <c r="I30" s="810"/>
      <c r="J30" s="810"/>
      <c r="K30" s="810"/>
      <c r="L30" s="810"/>
      <c r="AJ30" s="837"/>
      <c r="AK30" s="837"/>
      <c r="AL30" s="837"/>
      <c r="AM30" s="837"/>
      <c r="AN30" s="837"/>
      <c r="AO30" s="837"/>
      <c r="AP30" s="837"/>
      <c r="AQ30" s="837"/>
      <c r="AR30" s="837"/>
      <c r="AS30" s="712"/>
    </row>
    <row r="31" ht="15" customHeight="1" spans="1:45">
      <c r="A31" s="835"/>
      <c r="B31" s="810" t="s">
        <v>7709</v>
      </c>
      <c r="C31" s="810"/>
      <c r="D31" s="810"/>
      <c r="E31" s="810"/>
      <c r="F31" s="810"/>
      <c r="G31" s="810"/>
      <c r="H31" s="810"/>
      <c r="I31" s="810"/>
      <c r="J31" s="810"/>
      <c r="K31" s="810"/>
      <c r="L31" s="810"/>
      <c r="AJ31" s="837"/>
      <c r="AK31" s="837"/>
      <c r="AL31" s="837"/>
      <c r="AM31" s="837"/>
      <c r="AN31" s="837"/>
      <c r="AO31" s="837"/>
      <c r="AP31" s="837"/>
      <c r="AQ31" s="837"/>
      <c r="AR31" s="837"/>
      <c r="AS31" s="712"/>
    </row>
    <row r="32" ht="15" customHeight="1" spans="1:45">
      <c r="A32" s="835"/>
      <c r="B32" s="810" t="s">
        <v>7710</v>
      </c>
      <c r="C32" s="810"/>
      <c r="D32" s="810"/>
      <c r="E32" s="810"/>
      <c r="F32" s="810"/>
      <c r="G32" s="810"/>
      <c r="H32" s="810"/>
      <c r="I32" s="810"/>
      <c r="J32" s="810"/>
      <c r="K32" s="810"/>
      <c r="L32" s="810"/>
      <c r="AJ32" s="837"/>
      <c r="AK32" s="837"/>
      <c r="AL32" s="837"/>
      <c r="AM32" s="837"/>
      <c r="AN32" s="837"/>
      <c r="AO32" s="837"/>
      <c r="AP32" s="837"/>
      <c r="AQ32" s="837"/>
      <c r="AR32" s="837"/>
      <c r="AS32" s="712"/>
    </row>
    <row r="33" ht="8.25" customHeight="1" spans="1:45">
      <c r="A33" s="838"/>
      <c r="B33" s="839"/>
      <c r="C33" s="839"/>
      <c r="D33" s="839"/>
      <c r="E33" s="839"/>
      <c r="F33" s="839"/>
      <c r="G33" s="839"/>
      <c r="H33" s="839"/>
      <c r="I33" s="839"/>
      <c r="J33" s="839"/>
      <c r="K33" s="839"/>
      <c r="L33" s="83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31"/>
    </row>
    <row r="34" ht="8.25" customHeight="1"/>
    <row r="35" s="687" customFormat="1" ht="16.5" customHeight="1" spans="1:45">
      <c r="A35" s="818" t="s">
        <v>6053</v>
      </c>
      <c r="B35" s="743"/>
      <c r="C35" s="743"/>
      <c r="D35" s="743"/>
      <c r="E35" s="743"/>
      <c r="F35" s="743"/>
      <c r="G35" s="743"/>
      <c r="H35" s="743"/>
      <c r="I35" s="743"/>
      <c r="J35" s="743"/>
      <c r="K35" s="743"/>
      <c r="L35" s="743"/>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743"/>
      <c r="AP35" s="743"/>
      <c r="AQ35" s="743"/>
      <c r="AR35" s="743"/>
      <c r="AS35" s="744"/>
    </row>
    <row r="36" s="688" customFormat="1" ht="29.25" customHeight="1" spans="1:45">
      <c r="A36" s="840"/>
      <c r="B36" s="841" t="s">
        <v>5985</v>
      </c>
      <c r="C36" s="841"/>
      <c r="D36" s="841" t="s">
        <v>7711</v>
      </c>
      <c r="E36" s="841"/>
      <c r="F36" s="841"/>
      <c r="G36" s="841"/>
      <c r="H36" s="841"/>
      <c r="I36" s="841"/>
      <c r="J36" s="841"/>
      <c r="K36" s="841"/>
      <c r="L36" s="841"/>
      <c r="M36" s="841"/>
      <c r="N36" s="841"/>
      <c r="O36" s="841"/>
      <c r="P36" s="841"/>
      <c r="Q36" s="841"/>
      <c r="R36" s="841"/>
      <c r="S36" s="841"/>
      <c r="T36" s="841" t="s">
        <v>7712</v>
      </c>
      <c r="U36" s="841"/>
      <c r="V36" s="841"/>
      <c r="W36" s="841"/>
      <c r="X36" s="841"/>
      <c r="Y36" s="841"/>
      <c r="Z36" s="841" t="s">
        <v>7713</v>
      </c>
      <c r="AA36" s="841"/>
      <c r="AB36" s="841"/>
      <c r="AC36" s="841"/>
      <c r="AD36" s="841"/>
      <c r="AE36" s="841"/>
      <c r="AF36" s="841"/>
      <c r="AG36" s="841"/>
      <c r="AH36" s="841"/>
      <c r="AI36" s="841" t="s">
        <v>7714</v>
      </c>
      <c r="AJ36" s="841"/>
      <c r="AK36" s="841"/>
      <c r="AL36" s="841"/>
      <c r="AM36" s="841"/>
      <c r="AN36" s="841"/>
      <c r="AO36" s="841" t="s">
        <v>7715</v>
      </c>
      <c r="AP36" s="841"/>
      <c r="AQ36" s="841"/>
      <c r="AR36" s="841"/>
      <c r="AS36" s="841"/>
    </row>
    <row r="37" s="687" customFormat="1" ht="15" customHeight="1" spans="1:45">
      <c r="A37" s="745"/>
      <c r="B37" s="754" t="s">
        <v>3953</v>
      </c>
      <c r="C37" s="754"/>
      <c r="D37" s="842">
        <f>UnosPorBilans!B293</f>
        <v>0</v>
      </c>
      <c r="E37" s="842"/>
      <c r="F37" s="842"/>
      <c r="G37" s="842"/>
      <c r="H37" s="842"/>
      <c r="I37" s="842"/>
      <c r="J37" s="842"/>
      <c r="K37" s="842"/>
      <c r="L37" s="842"/>
      <c r="M37" s="842"/>
      <c r="N37" s="842"/>
      <c r="O37" s="842"/>
      <c r="P37" s="842"/>
      <c r="Q37" s="842"/>
      <c r="R37" s="842"/>
      <c r="S37" s="842"/>
      <c r="T37" s="843">
        <f>UnosPorBilans!Q293</f>
        <v>0</v>
      </c>
      <c r="U37" s="844"/>
      <c r="V37" s="844"/>
      <c r="W37" s="844"/>
      <c r="X37" s="844"/>
      <c r="Y37" s="845"/>
      <c r="Z37" s="842">
        <f>UnosPorBilans!W293</f>
        <v>0</v>
      </c>
      <c r="AA37" s="842"/>
      <c r="AB37" s="842"/>
      <c r="AC37" s="842"/>
      <c r="AD37" s="842"/>
      <c r="AE37" s="842"/>
      <c r="AF37" s="842"/>
      <c r="AG37" s="842"/>
      <c r="AH37" s="842"/>
      <c r="AI37" s="846">
        <f>UnosPorBilans!AF293</f>
        <v>0</v>
      </c>
      <c r="AJ37" s="846"/>
      <c r="AK37" s="846"/>
      <c r="AL37" s="846"/>
      <c r="AM37" s="846"/>
      <c r="AN37" s="846"/>
      <c r="AO37" s="846">
        <f>UnosPorBilans!AL293</f>
        <v>0</v>
      </c>
      <c r="AP37" s="846"/>
      <c r="AQ37" s="846"/>
      <c r="AR37" s="846"/>
      <c r="AS37" s="846"/>
    </row>
    <row r="38" s="687" customFormat="1" ht="15" customHeight="1" spans="1:45">
      <c r="A38" s="745"/>
      <c r="B38" s="754" t="s">
        <v>3891</v>
      </c>
      <c r="C38" s="754"/>
      <c r="D38" s="842">
        <f>UnosPorBilans!B294</f>
        <v>0</v>
      </c>
      <c r="E38" s="842"/>
      <c r="F38" s="842"/>
      <c r="G38" s="842"/>
      <c r="H38" s="842"/>
      <c r="I38" s="842"/>
      <c r="J38" s="842"/>
      <c r="K38" s="842"/>
      <c r="L38" s="842"/>
      <c r="M38" s="842"/>
      <c r="N38" s="842"/>
      <c r="O38" s="842"/>
      <c r="P38" s="842"/>
      <c r="Q38" s="842"/>
      <c r="R38" s="842"/>
      <c r="S38" s="842"/>
      <c r="T38" s="843">
        <f>UnosPorBilans!Q294</f>
        <v>0</v>
      </c>
      <c r="U38" s="844"/>
      <c r="V38" s="844"/>
      <c r="W38" s="844"/>
      <c r="X38" s="844"/>
      <c r="Y38" s="845"/>
      <c r="Z38" s="842">
        <f>UnosPorBilans!W294</f>
        <v>0</v>
      </c>
      <c r="AA38" s="842"/>
      <c r="AB38" s="842"/>
      <c r="AC38" s="842"/>
      <c r="AD38" s="842"/>
      <c r="AE38" s="842"/>
      <c r="AF38" s="842"/>
      <c r="AG38" s="842"/>
      <c r="AH38" s="842"/>
      <c r="AI38" s="846">
        <f>UnosPorBilans!AF294</f>
        <v>0</v>
      </c>
      <c r="AJ38" s="846"/>
      <c r="AK38" s="846"/>
      <c r="AL38" s="846"/>
      <c r="AM38" s="846"/>
      <c r="AN38" s="846"/>
      <c r="AO38" s="846">
        <f>UnosPorBilans!AL294</f>
        <v>0</v>
      </c>
      <c r="AP38" s="846"/>
      <c r="AQ38" s="846"/>
      <c r="AR38" s="846"/>
      <c r="AS38" s="846"/>
    </row>
    <row r="39" s="687" customFormat="1" ht="15" customHeight="1" spans="1:45">
      <c r="A39" s="745"/>
      <c r="B39" s="754" t="s">
        <v>3902</v>
      </c>
      <c r="C39" s="754"/>
      <c r="D39" s="842">
        <f>UnosPorBilans!B295</f>
        <v>0</v>
      </c>
      <c r="E39" s="842"/>
      <c r="F39" s="842"/>
      <c r="G39" s="842"/>
      <c r="H39" s="842"/>
      <c r="I39" s="842"/>
      <c r="J39" s="842"/>
      <c r="K39" s="842"/>
      <c r="L39" s="842"/>
      <c r="M39" s="842"/>
      <c r="N39" s="842"/>
      <c r="O39" s="842"/>
      <c r="P39" s="842"/>
      <c r="Q39" s="842"/>
      <c r="R39" s="842"/>
      <c r="S39" s="842"/>
      <c r="T39" s="843">
        <f>UnosPorBilans!Q295</f>
        <v>0</v>
      </c>
      <c r="U39" s="844"/>
      <c r="V39" s="844"/>
      <c r="W39" s="844"/>
      <c r="X39" s="844"/>
      <c r="Y39" s="845"/>
      <c r="Z39" s="842">
        <f>UnosPorBilans!W295</f>
        <v>0</v>
      </c>
      <c r="AA39" s="842"/>
      <c r="AB39" s="842"/>
      <c r="AC39" s="842"/>
      <c r="AD39" s="842"/>
      <c r="AE39" s="842"/>
      <c r="AF39" s="842"/>
      <c r="AG39" s="842"/>
      <c r="AH39" s="842"/>
      <c r="AI39" s="846">
        <f>UnosPorBilans!AF295</f>
        <v>0</v>
      </c>
      <c r="AJ39" s="846"/>
      <c r="AK39" s="846"/>
      <c r="AL39" s="846"/>
      <c r="AM39" s="846"/>
      <c r="AN39" s="846"/>
      <c r="AO39" s="846">
        <f>UnosPorBilans!AL295</f>
        <v>0</v>
      </c>
      <c r="AP39" s="846"/>
      <c r="AQ39" s="846"/>
      <c r="AR39" s="846"/>
      <c r="AS39" s="846"/>
    </row>
    <row r="40" s="687" customFormat="1" ht="15" customHeight="1" spans="1:45">
      <c r="A40" s="745"/>
      <c r="B40" s="754" t="s">
        <v>3905</v>
      </c>
      <c r="C40" s="754"/>
      <c r="D40" s="842">
        <f>UnosPorBilans!B296</f>
        <v>0</v>
      </c>
      <c r="E40" s="842"/>
      <c r="F40" s="842"/>
      <c r="G40" s="842"/>
      <c r="H40" s="842"/>
      <c r="I40" s="842"/>
      <c r="J40" s="842"/>
      <c r="K40" s="842"/>
      <c r="L40" s="842"/>
      <c r="M40" s="842"/>
      <c r="N40" s="842"/>
      <c r="O40" s="842"/>
      <c r="P40" s="842"/>
      <c r="Q40" s="842"/>
      <c r="R40" s="842"/>
      <c r="S40" s="842"/>
      <c r="T40" s="843">
        <f>UnosPorBilans!Q296</f>
        <v>0</v>
      </c>
      <c r="U40" s="844"/>
      <c r="V40" s="844"/>
      <c r="W40" s="844"/>
      <c r="X40" s="844"/>
      <c r="Y40" s="845"/>
      <c r="Z40" s="842">
        <f>UnosPorBilans!W296</f>
        <v>0</v>
      </c>
      <c r="AA40" s="842"/>
      <c r="AB40" s="842"/>
      <c r="AC40" s="842"/>
      <c r="AD40" s="842"/>
      <c r="AE40" s="842"/>
      <c r="AF40" s="842"/>
      <c r="AG40" s="842"/>
      <c r="AH40" s="842"/>
      <c r="AI40" s="846">
        <f>UnosPorBilans!AF296</f>
        <v>0</v>
      </c>
      <c r="AJ40" s="846"/>
      <c r="AK40" s="846"/>
      <c r="AL40" s="846"/>
      <c r="AM40" s="846"/>
      <c r="AN40" s="846"/>
      <c r="AO40" s="846">
        <f>UnosPorBilans!AL296</f>
        <v>0</v>
      </c>
      <c r="AP40" s="846"/>
      <c r="AQ40" s="846"/>
      <c r="AR40" s="846"/>
      <c r="AS40" s="846"/>
    </row>
    <row r="41" s="687" customFormat="1" ht="15" customHeight="1" spans="1:45">
      <c r="A41" s="745"/>
      <c r="B41" s="754" t="s">
        <v>3915</v>
      </c>
      <c r="C41" s="754"/>
      <c r="D41" s="842">
        <f>UnosPorBilans!B297</f>
        <v>0</v>
      </c>
      <c r="E41" s="842"/>
      <c r="F41" s="842"/>
      <c r="G41" s="842"/>
      <c r="H41" s="842"/>
      <c r="I41" s="842"/>
      <c r="J41" s="842"/>
      <c r="K41" s="842"/>
      <c r="L41" s="842"/>
      <c r="M41" s="842"/>
      <c r="N41" s="842"/>
      <c r="O41" s="842"/>
      <c r="P41" s="842"/>
      <c r="Q41" s="842"/>
      <c r="R41" s="842"/>
      <c r="S41" s="842"/>
      <c r="T41" s="843">
        <f>UnosPorBilans!Q297</f>
        <v>0</v>
      </c>
      <c r="U41" s="844"/>
      <c r="V41" s="844"/>
      <c r="W41" s="844"/>
      <c r="X41" s="844"/>
      <c r="Y41" s="845"/>
      <c r="Z41" s="842">
        <f>UnosPorBilans!W297</f>
        <v>0</v>
      </c>
      <c r="AA41" s="842"/>
      <c r="AB41" s="842"/>
      <c r="AC41" s="842"/>
      <c r="AD41" s="842"/>
      <c r="AE41" s="842"/>
      <c r="AF41" s="842"/>
      <c r="AG41" s="842"/>
      <c r="AH41" s="842"/>
      <c r="AI41" s="846">
        <f>UnosPorBilans!AF297</f>
        <v>0</v>
      </c>
      <c r="AJ41" s="846"/>
      <c r="AK41" s="846"/>
      <c r="AL41" s="846"/>
      <c r="AM41" s="846"/>
      <c r="AN41" s="846"/>
      <c r="AO41" s="846">
        <f>UnosPorBilans!AL297</f>
        <v>0</v>
      </c>
      <c r="AP41" s="846"/>
      <c r="AQ41" s="846"/>
      <c r="AR41" s="846"/>
      <c r="AS41" s="846"/>
    </row>
    <row r="42" s="687" customFormat="1" ht="15" customHeight="1" spans="1:45">
      <c r="A42" s="745"/>
      <c r="B42" s="754" t="s">
        <v>3918</v>
      </c>
      <c r="C42" s="754"/>
      <c r="D42" s="842">
        <f>UnosPorBilans!B298</f>
        <v>0</v>
      </c>
      <c r="E42" s="842"/>
      <c r="F42" s="842"/>
      <c r="G42" s="842"/>
      <c r="H42" s="842"/>
      <c r="I42" s="842"/>
      <c r="J42" s="842"/>
      <c r="K42" s="842"/>
      <c r="L42" s="842"/>
      <c r="M42" s="842"/>
      <c r="N42" s="842"/>
      <c r="O42" s="842"/>
      <c r="P42" s="842"/>
      <c r="Q42" s="842"/>
      <c r="R42" s="842"/>
      <c r="S42" s="842"/>
      <c r="T42" s="843">
        <f>UnosPorBilans!Q298</f>
        <v>0</v>
      </c>
      <c r="U42" s="844"/>
      <c r="V42" s="844"/>
      <c r="W42" s="844"/>
      <c r="X42" s="844"/>
      <c r="Y42" s="845"/>
      <c r="Z42" s="842">
        <f>UnosPorBilans!W298</f>
        <v>0</v>
      </c>
      <c r="AA42" s="842"/>
      <c r="AB42" s="842"/>
      <c r="AC42" s="842"/>
      <c r="AD42" s="842"/>
      <c r="AE42" s="842"/>
      <c r="AF42" s="842"/>
      <c r="AG42" s="842"/>
      <c r="AH42" s="842"/>
      <c r="AI42" s="846">
        <f>UnosPorBilans!AF298</f>
        <v>0</v>
      </c>
      <c r="AJ42" s="846"/>
      <c r="AK42" s="846"/>
      <c r="AL42" s="846"/>
      <c r="AM42" s="846"/>
      <c r="AN42" s="846"/>
      <c r="AO42" s="846">
        <f>UnosPorBilans!AL298</f>
        <v>0</v>
      </c>
      <c r="AP42" s="846"/>
      <c r="AQ42" s="846"/>
      <c r="AR42" s="846"/>
      <c r="AS42" s="846"/>
    </row>
    <row r="43" s="687" customFormat="1" ht="15" customHeight="1" spans="1:45">
      <c r="A43" s="745"/>
      <c r="B43" s="754" t="s">
        <v>3920</v>
      </c>
      <c r="C43" s="754"/>
      <c r="D43" s="842">
        <f>UnosPorBilans!B299</f>
        <v>0</v>
      </c>
      <c r="E43" s="842"/>
      <c r="F43" s="842"/>
      <c r="G43" s="842"/>
      <c r="H43" s="842"/>
      <c r="I43" s="842"/>
      <c r="J43" s="842"/>
      <c r="K43" s="842"/>
      <c r="L43" s="842"/>
      <c r="M43" s="842"/>
      <c r="N43" s="842"/>
      <c r="O43" s="842"/>
      <c r="P43" s="842"/>
      <c r="Q43" s="842"/>
      <c r="R43" s="842"/>
      <c r="S43" s="842"/>
      <c r="T43" s="843">
        <f>UnosPorBilans!Q299</f>
        <v>0</v>
      </c>
      <c r="U43" s="844"/>
      <c r="V43" s="844"/>
      <c r="W43" s="844"/>
      <c r="X43" s="844"/>
      <c r="Y43" s="845"/>
      <c r="Z43" s="842">
        <f>UnosPorBilans!W299</f>
        <v>0</v>
      </c>
      <c r="AA43" s="842"/>
      <c r="AB43" s="842"/>
      <c r="AC43" s="842"/>
      <c r="AD43" s="842"/>
      <c r="AE43" s="842"/>
      <c r="AF43" s="842"/>
      <c r="AG43" s="842"/>
      <c r="AH43" s="842"/>
      <c r="AI43" s="846">
        <f>UnosPorBilans!AF299</f>
        <v>0</v>
      </c>
      <c r="AJ43" s="846"/>
      <c r="AK43" s="846"/>
      <c r="AL43" s="846"/>
      <c r="AM43" s="846"/>
      <c r="AN43" s="846"/>
      <c r="AO43" s="846">
        <f>UnosPorBilans!AL299</f>
        <v>0</v>
      </c>
      <c r="AP43" s="846"/>
      <c r="AQ43" s="846"/>
      <c r="AR43" s="846"/>
      <c r="AS43" s="846"/>
    </row>
    <row r="44" s="687" customFormat="1" ht="15" customHeight="1" spans="1:45">
      <c r="A44" s="745"/>
      <c r="B44" s="754" t="s">
        <v>3923</v>
      </c>
      <c r="C44" s="754"/>
      <c r="D44" s="842">
        <f>UnosPorBilans!B300</f>
        <v>0</v>
      </c>
      <c r="E44" s="842"/>
      <c r="F44" s="842"/>
      <c r="G44" s="842"/>
      <c r="H44" s="842"/>
      <c r="I44" s="842"/>
      <c r="J44" s="842"/>
      <c r="K44" s="842"/>
      <c r="L44" s="842"/>
      <c r="M44" s="842"/>
      <c r="N44" s="842"/>
      <c r="O44" s="842"/>
      <c r="P44" s="842"/>
      <c r="Q44" s="842"/>
      <c r="R44" s="842"/>
      <c r="S44" s="842"/>
      <c r="T44" s="843">
        <f>UnosPorBilans!Q300</f>
        <v>0</v>
      </c>
      <c r="U44" s="844"/>
      <c r="V44" s="844"/>
      <c r="W44" s="844"/>
      <c r="X44" s="844"/>
      <c r="Y44" s="845"/>
      <c r="Z44" s="842">
        <f>UnosPorBilans!W300</f>
        <v>0</v>
      </c>
      <c r="AA44" s="842"/>
      <c r="AB44" s="842"/>
      <c r="AC44" s="842"/>
      <c r="AD44" s="842"/>
      <c r="AE44" s="842"/>
      <c r="AF44" s="842"/>
      <c r="AG44" s="842"/>
      <c r="AH44" s="842"/>
      <c r="AI44" s="846">
        <f>UnosPorBilans!AF300</f>
        <v>0</v>
      </c>
      <c r="AJ44" s="846"/>
      <c r="AK44" s="846"/>
      <c r="AL44" s="846"/>
      <c r="AM44" s="846"/>
      <c r="AN44" s="846"/>
      <c r="AO44" s="846">
        <f>UnosPorBilans!AL300</f>
        <v>0</v>
      </c>
      <c r="AP44" s="846"/>
      <c r="AQ44" s="846"/>
      <c r="AR44" s="846"/>
      <c r="AS44" s="846"/>
    </row>
    <row r="45" s="687" customFormat="1" ht="15" customHeight="1" spans="1:45">
      <c r="A45" s="745"/>
      <c r="B45" s="754" t="s">
        <v>3925</v>
      </c>
      <c r="C45" s="754"/>
      <c r="D45" s="842">
        <f>UnosPorBilans!B301</f>
        <v>0</v>
      </c>
      <c r="E45" s="842"/>
      <c r="F45" s="842"/>
      <c r="G45" s="842"/>
      <c r="H45" s="842"/>
      <c r="I45" s="842"/>
      <c r="J45" s="842"/>
      <c r="K45" s="842"/>
      <c r="L45" s="842"/>
      <c r="M45" s="842"/>
      <c r="N45" s="842"/>
      <c r="O45" s="842"/>
      <c r="P45" s="842"/>
      <c r="Q45" s="842"/>
      <c r="R45" s="842"/>
      <c r="S45" s="842"/>
      <c r="T45" s="843">
        <f>UnosPorBilans!Q301</f>
        <v>0</v>
      </c>
      <c r="U45" s="844"/>
      <c r="V45" s="844"/>
      <c r="W45" s="844"/>
      <c r="X45" s="844"/>
      <c r="Y45" s="845"/>
      <c r="Z45" s="842">
        <f>UnosPorBilans!W301</f>
        <v>0</v>
      </c>
      <c r="AA45" s="842"/>
      <c r="AB45" s="842"/>
      <c r="AC45" s="842"/>
      <c r="AD45" s="842"/>
      <c r="AE45" s="842"/>
      <c r="AF45" s="842"/>
      <c r="AG45" s="842"/>
      <c r="AH45" s="842"/>
      <c r="AI45" s="846">
        <f>UnosPorBilans!AF301</f>
        <v>0</v>
      </c>
      <c r="AJ45" s="846"/>
      <c r="AK45" s="846"/>
      <c r="AL45" s="846"/>
      <c r="AM45" s="846"/>
      <c r="AN45" s="846"/>
      <c r="AO45" s="846">
        <f>UnosPorBilans!AL301</f>
        <v>0</v>
      </c>
      <c r="AP45" s="846"/>
      <c r="AQ45" s="846"/>
      <c r="AR45" s="846"/>
      <c r="AS45" s="846"/>
    </row>
    <row r="46" s="687" customFormat="1" ht="15" customHeight="1" spans="1:45">
      <c r="A46" s="745"/>
      <c r="B46" s="754" t="s">
        <v>3928</v>
      </c>
      <c r="C46" s="754"/>
      <c r="D46" s="842">
        <f>UnosPorBilans!B302</f>
        <v>0</v>
      </c>
      <c r="E46" s="842"/>
      <c r="F46" s="842"/>
      <c r="G46" s="842"/>
      <c r="H46" s="842"/>
      <c r="I46" s="842"/>
      <c r="J46" s="842"/>
      <c r="K46" s="842"/>
      <c r="L46" s="842"/>
      <c r="M46" s="842"/>
      <c r="N46" s="842"/>
      <c r="O46" s="842"/>
      <c r="P46" s="842"/>
      <c r="Q46" s="842"/>
      <c r="R46" s="842"/>
      <c r="S46" s="842"/>
      <c r="T46" s="843">
        <f>UnosPorBilans!Q302</f>
        <v>0</v>
      </c>
      <c r="U46" s="844"/>
      <c r="V46" s="844"/>
      <c r="W46" s="844"/>
      <c r="X46" s="844"/>
      <c r="Y46" s="845"/>
      <c r="Z46" s="842">
        <f>UnosPorBilans!W302</f>
        <v>0</v>
      </c>
      <c r="AA46" s="842"/>
      <c r="AB46" s="842"/>
      <c r="AC46" s="842"/>
      <c r="AD46" s="842"/>
      <c r="AE46" s="842"/>
      <c r="AF46" s="842"/>
      <c r="AG46" s="842"/>
      <c r="AH46" s="842"/>
      <c r="AI46" s="846">
        <f>UnosPorBilans!AF302</f>
        <v>0</v>
      </c>
      <c r="AJ46" s="846"/>
      <c r="AK46" s="846"/>
      <c r="AL46" s="846"/>
      <c r="AM46" s="846"/>
      <c r="AN46" s="846"/>
      <c r="AO46" s="846">
        <f>UnosPorBilans!AL302</f>
        <v>0</v>
      </c>
      <c r="AP46" s="846"/>
      <c r="AQ46" s="846"/>
      <c r="AR46" s="846"/>
      <c r="AS46" s="846"/>
    </row>
    <row r="47" s="687" customFormat="1" ht="15.75" customHeight="1" spans="1:45">
      <c r="A47" s="745"/>
      <c r="B47" s="754"/>
      <c r="C47" s="847"/>
      <c r="D47" s="848" t="s">
        <v>4671</v>
      </c>
      <c r="E47" s="848"/>
      <c r="F47" s="848"/>
      <c r="G47" s="848"/>
      <c r="H47" s="848"/>
      <c r="I47" s="848"/>
      <c r="J47" s="848"/>
      <c r="K47" s="848"/>
      <c r="L47" s="848"/>
      <c r="M47" s="848"/>
      <c r="N47" s="848"/>
      <c r="O47" s="848"/>
      <c r="P47" s="848"/>
      <c r="Q47" s="848"/>
      <c r="R47" s="848"/>
      <c r="S47" s="849"/>
      <c r="T47" s="843">
        <f>SUM(T37:Y46)</f>
        <v>0</v>
      </c>
      <c r="U47" s="844"/>
      <c r="V47" s="844"/>
      <c r="W47" s="844"/>
      <c r="X47" s="844"/>
      <c r="Y47" s="845"/>
      <c r="Z47" s="850"/>
      <c r="AA47" s="850"/>
      <c r="AB47" s="850"/>
      <c r="AC47" s="850"/>
      <c r="AD47" s="850"/>
      <c r="AE47" s="850"/>
      <c r="AF47" s="850"/>
      <c r="AG47" s="850"/>
      <c r="AH47" s="850"/>
      <c r="AI47" s="850"/>
      <c r="AJ47" s="850"/>
      <c r="AK47" s="850"/>
      <c r="AL47" s="850"/>
      <c r="AM47" s="850"/>
      <c r="AN47" s="850"/>
      <c r="AO47" s="850"/>
      <c r="AP47" s="850"/>
      <c r="AQ47" s="850"/>
      <c r="AR47" s="850"/>
      <c r="AS47" s="851"/>
    </row>
    <row r="48" ht="7.5" customHeight="1" spans="1:45">
      <c r="A48" s="817"/>
      <c r="B48" s="717"/>
      <c r="C48" s="717"/>
      <c r="D48" s="717"/>
      <c r="E48" s="717"/>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31"/>
    </row>
    <row r="49" ht="7.5" customHeight="1"/>
    <row r="50" s="689" customFormat="1" customHeight="1" spans="1:45">
      <c r="A50" s="757" t="s">
        <v>6546</v>
      </c>
      <c r="B50" s="758"/>
      <c r="C50" s="759"/>
      <c r="D50" s="760" t="str">
        <f>Text!B11</f>
        <v>Odgovorno lice</v>
      </c>
      <c r="E50" s="761" t="s">
        <v>7703</v>
      </c>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2"/>
    </row>
    <row r="51" s="689" customFormat="1" spans="1:45">
      <c r="A51" s="763"/>
      <c r="B51" s="764"/>
      <c r="C51" s="765"/>
      <c r="D51" s="766"/>
      <c r="E51" s="767" t="s">
        <v>7704</v>
      </c>
      <c r="F51" s="767"/>
      <c r="G51" s="767"/>
      <c r="H51" s="767"/>
      <c r="I51" s="767"/>
      <c r="J51" s="767"/>
      <c r="K51" s="767"/>
      <c r="L51" s="767"/>
      <c r="M51" s="767"/>
      <c r="N51" s="767"/>
      <c r="O51" s="767"/>
      <c r="P51" s="767"/>
      <c r="Q51" s="767"/>
      <c r="R51" s="767"/>
      <c r="S51" s="767"/>
      <c r="T51" s="767"/>
      <c r="U51" s="767"/>
      <c r="V51" s="767"/>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8"/>
    </row>
    <row r="52" s="689" customFormat="1" spans="1:45">
      <c r="A52" s="763"/>
      <c r="B52" s="764"/>
      <c r="C52" s="765"/>
      <c r="D52" s="766"/>
      <c r="AS52" s="769"/>
    </row>
    <row r="53" s="689" customFormat="1" spans="1:45">
      <c r="A53" s="763"/>
      <c r="B53" s="764"/>
      <c r="C53" s="765"/>
      <c r="D53" s="766"/>
      <c r="Z53" s="769"/>
      <c r="AA53" s="770" t="str">
        <f>UnosPod!AA22&amp;UnosPod!AB22&amp;"."&amp;UnosPod!AC22&amp;UnosPod!AD22+1&amp;"."&amp;UnosPod!AE22&amp;UnosPod!AF22&amp;UnosPod!AG22&amp;UnosPod!AH22&amp;"."</f>
        <v>28.03.2026.</v>
      </c>
      <c r="AB53" s="771"/>
      <c r="AC53" s="771"/>
      <c r="AD53" s="771"/>
      <c r="AE53" s="771"/>
      <c r="AF53" s="771"/>
      <c r="AG53" s="772"/>
      <c r="AH53" s="773"/>
      <c r="AS53" s="769"/>
    </row>
    <row r="54" s="689" customFormat="1" ht="15" spans="1:45">
      <c r="A54" s="763"/>
      <c r="B54" s="764"/>
      <c r="C54" s="765"/>
      <c r="D54" s="766"/>
      <c r="E54" s="774" t="str">
        <f>Direktor</f>
        <v>Nedim Vilogorac</v>
      </c>
      <c r="F54" s="774"/>
      <c r="G54" s="774"/>
      <c r="H54" s="774"/>
      <c r="I54" s="775"/>
      <c r="J54" s="775"/>
      <c r="K54" s="775"/>
      <c r="L54" s="775"/>
      <c r="M54" s="775"/>
      <c r="N54" s="775"/>
      <c r="O54" s="775"/>
      <c r="P54" s="775"/>
      <c r="Q54" s="775"/>
      <c r="R54" s="775"/>
      <c r="S54" s="775"/>
      <c r="T54" s="775"/>
      <c r="U54" s="775"/>
      <c r="V54" s="775"/>
      <c r="W54" s="775"/>
      <c r="X54" s="775"/>
      <c r="Y54" s="775"/>
      <c r="Z54" s="776"/>
      <c r="AA54" s="777"/>
      <c r="AB54" s="778"/>
      <c r="AC54" s="778"/>
      <c r="AD54" s="778"/>
      <c r="AE54" s="778"/>
      <c r="AF54" s="778"/>
      <c r="AG54" s="779"/>
      <c r="AH54" s="780" t="s">
        <v>2539</v>
      </c>
      <c r="AI54" s="781"/>
      <c r="AJ54" s="781"/>
      <c r="AK54" s="781"/>
      <c r="AL54" s="781"/>
      <c r="AM54" s="781"/>
      <c r="AN54" s="781"/>
      <c r="AO54" s="781"/>
      <c r="AP54" s="781"/>
      <c r="AQ54" s="781"/>
      <c r="AR54" s="781"/>
      <c r="AS54" s="782"/>
    </row>
    <row r="55" s="689" customFormat="1" spans="1:45">
      <c r="A55" s="763"/>
      <c r="B55" s="764"/>
      <c r="C55" s="765"/>
      <c r="D55" s="766"/>
      <c r="E55" s="783" t="s">
        <v>6548</v>
      </c>
      <c r="F55" s="783"/>
      <c r="G55" s="783"/>
      <c r="H55" s="783"/>
      <c r="I55" s="783"/>
      <c r="J55" s="783"/>
      <c r="K55" s="783"/>
      <c r="L55" s="783"/>
      <c r="M55" s="783"/>
      <c r="N55" s="783"/>
      <c r="O55" s="783"/>
      <c r="P55" s="783"/>
      <c r="Q55" s="783"/>
      <c r="R55" s="783"/>
      <c r="S55" s="783"/>
      <c r="T55" s="783"/>
      <c r="U55" s="783"/>
      <c r="V55" s="783"/>
      <c r="W55" s="783"/>
      <c r="X55" s="783"/>
      <c r="Y55" s="783"/>
      <c r="Z55" s="783"/>
      <c r="AA55" s="783" t="s">
        <v>6549</v>
      </c>
      <c r="AB55" s="783"/>
      <c r="AC55" s="783"/>
      <c r="AD55" s="783"/>
      <c r="AE55" s="783"/>
      <c r="AF55" s="783"/>
      <c r="AG55" s="783"/>
      <c r="AH55" s="783" t="s">
        <v>6550</v>
      </c>
      <c r="AI55" s="783"/>
      <c r="AJ55" s="783"/>
      <c r="AK55" s="783"/>
      <c r="AL55" s="783"/>
      <c r="AM55" s="783"/>
      <c r="AN55" s="783"/>
      <c r="AO55" s="783"/>
      <c r="AP55" s="783"/>
      <c r="AQ55" s="783"/>
      <c r="AR55" s="783"/>
      <c r="AS55" s="784"/>
    </row>
    <row r="56" s="689" customFormat="1" spans="1:45">
      <c r="A56" s="763"/>
      <c r="B56" s="764"/>
      <c r="C56" s="765"/>
      <c r="D56" s="766"/>
      <c r="E56" s="785"/>
      <c r="F56" s="785"/>
      <c r="G56" s="785"/>
      <c r="H56" s="785"/>
      <c r="I56" s="785"/>
      <c r="J56" s="785"/>
      <c r="K56" s="785"/>
      <c r="L56" s="785"/>
      <c r="M56" s="785"/>
      <c r="N56" s="785"/>
      <c r="O56" s="785"/>
      <c r="P56" s="785"/>
      <c r="Q56" s="785"/>
      <c r="R56" s="785"/>
      <c r="S56" s="785"/>
      <c r="T56" s="785"/>
      <c r="U56" s="785"/>
      <c r="V56" s="785"/>
      <c r="W56" s="785"/>
      <c r="X56" s="785"/>
      <c r="Y56" s="785"/>
      <c r="Z56" s="785"/>
      <c r="AA56" s="786"/>
      <c r="AB56" s="786"/>
      <c r="AC56" s="786"/>
      <c r="AD56" s="786"/>
      <c r="AE56" s="786"/>
      <c r="AF56" s="786"/>
      <c r="AG56" s="786"/>
      <c r="AH56" s="786"/>
      <c r="AI56" s="786"/>
      <c r="AJ56" s="786"/>
      <c r="AK56" s="786"/>
      <c r="AL56" s="786"/>
      <c r="AM56" s="786"/>
      <c r="AN56" s="786"/>
      <c r="AO56" s="786"/>
      <c r="AP56" s="786"/>
      <c r="AQ56" s="786"/>
      <c r="AR56" s="786"/>
      <c r="AS56" s="787"/>
    </row>
    <row r="57" s="689" customFormat="1" spans="1:45">
      <c r="A57" s="763"/>
      <c r="B57" s="764"/>
      <c r="C57" s="788"/>
      <c r="D57" s="789" t="s">
        <v>6551</v>
      </c>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0"/>
      <c r="AJ57" s="790"/>
      <c r="AK57" s="790"/>
      <c r="AL57" s="790"/>
      <c r="AM57" s="790"/>
      <c r="AN57" s="790"/>
      <c r="AO57" s="790"/>
      <c r="AP57" s="790"/>
      <c r="AQ57" s="790"/>
      <c r="AR57" s="790"/>
      <c r="AS57" s="791"/>
    </row>
    <row r="58" s="689" customFormat="1" spans="1:45">
      <c r="A58" s="763"/>
      <c r="B58" s="764"/>
      <c r="C58" s="765"/>
      <c r="D58" s="792"/>
      <c r="Z58" s="769"/>
      <c r="AA58" s="770" t="str">
        <f>UnosPod!AA22&amp;UnosPod!AB22&amp;"."&amp;UnosPod!AC22&amp;UnosPod!AD22+1&amp;"."&amp;UnosPod!AE22&amp;UnosPod!AF22&amp;UnosPod!AG22&amp;UnosPod!AH22&amp;"."</f>
        <v>28.03.2026.</v>
      </c>
      <c r="AB58" s="771"/>
      <c r="AC58" s="771"/>
      <c r="AD58" s="771"/>
      <c r="AE58" s="771"/>
      <c r="AF58" s="771"/>
      <c r="AG58" s="772"/>
      <c r="AH58" s="773"/>
      <c r="AS58" s="769"/>
    </row>
    <row r="59" s="689" customFormat="1" ht="15" spans="1:45">
      <c r="A59" s="763"/>
      <c r="B59" s="764"/>
      <c r="C59" s="765"/>
      <c r="D59" s="792"/>
      <c r="E59" s="774" t="str">
        <f>Racunovoda</f>
        <v>Elvira Žilić</v>
      </c>
      <c r="F59" s="774"/>
      <c r="G59" s="774"/>
      <c r="H59" s="774"/>
      <c r="I59" s="775"/>
      <c r="J59" s="775"/>
      <c r="K59" s="775"/>
      <c r="L59" s="775"/>
      <c r="M59" s="775"/>
      <c r="N59" s="775"/>
      <c r="O59" s="775"/>
      <c r="P59" s="775"/>
      <c r="Q59" s="775"/>
      <c r="R59" s="775"/>
      <c r="S59" s="775"/>
      <c r="T59" s="775"/>
      <c r="U59" s="775"/>
      <c r="V59" s="775"/>
      <c r="W59" s="775"/>
      <c r="X59" s="775"/>
      <c r="Y59" s="775"/>
      <c r="Z59" s="776"/>
      <c r="AA59" s="777"/>
      <c r="AB59" s="778"/>
      <c r="AC59" s="778"/>
      <c r="AD59" s="778"/>
      <c r="AE59" s="778"/>
      <c r="AF59" s="778"/>
      <c r="AG59" s="779"/>
      <c r="AH59" s="780" t="s">
        <v>6552</v>
      </c>
      <c r="AI59" s="781"/>
      <c r="AJ59" s="781"/>
      <c r="AK59" s="781"/>
      <c r="AL59" s="781"/>
      <c r="AM59" s="781"/>
      <c r="AN59" s="781"/>
      <c r="AO59" s="781"/>
      <c r="AP59" s="781"/>
      <c r="AQ59" s="781"/>
      <c r="AR59" s="781"/>
      <c r="AS59" s="782"/>
    </row>
    <row r="60" s="689" customFormat="1" spans="1:45">
      <c r="A60" s="763"/>
      <c r="B60" s="764"/>
      <c r="C60" s="765"/>
      <c r="D60" s="792"/>
      <c r="E60" s="783" t="s">
        <v>6548</v>
      </c>
      <c r="F60" s="783"/>
      <c r="G60" s="783"/>
      <c r="H60" s="783"/>
      <c r="I60" s="783"/>
      <c r="J60" s="783"/>
      <c r="K60" s="783"/>
      <c r="L60" s="783"/>
      <c r="M60" s="783"/>
      <c r="N60" s="783"/>
      <c r="O60" s="783"/>
      <c r="P60" s="783"/>
      <c r="Q60" s="783"/>
      <c r="R60" s="783"/>
      <c r="S60" s="783"/>
      <c r="T60" s="783"/>
      <c r="U60" s="783"/>
      <c r="V60" s="783"/>
      <c r="W60" s="783"/>
      <c r="X60" s="783"/>
      <c r="Y60" s="783"/>
      <c r="Z60" s="783"/>
      <c r="AA60" s="783" t="s">
        <v>6549</v>
      </c>
      <c r="AB60" s="783"/>
      <c r="AC60" s="783"/>
      <c r="AD60" s="783"/>
      <c r="AE60" s="783"/>
      <c r="AF60" s="783"/>
      <c r="AG60" s="783"/>
      <c r="AH60" s="783" t="s">
        <v>6550</v>
      </c>
      <c r="AI60" s="783"/>
      <c r="AJ60" s="783"/>
      <c r="AK60" s="783"/>
      <c r="AL60" s="783"/>
      <c r="AM60" s="783"/>
      <c r="AN60" s="783"/>
      <c r="AO60" s="783"/>
      <c r="AP60" s="783"/>
      <c r="AQ60" s="783"/>
      <c r="AR60" s="783"/>
      <c r="AS60" s="784"/>
    </row>
    <row r="61" s="689" customFormat="1" spans="1:45">
      <c r="A61" s="793"/>
      <c r="B61" s="794"/>
      <c r="C61" s="795"/>
      <c r="D61" s="796"/>
      <c r="E61" s="797"/>
      <c r="F61" s="797"/>
      <c r="G61" s="797"/>
      <c r="H61" s="797"/>
      <c r="I61" s="797"/>
      <c r="J61" s="797"/>
      <c r="K61" s="797"/>
      <c r="L61" s="797"/>
      <c r="M61" s="797"/>
      <c r="N61" s="797"/>
      <c r="O61" s="797"/>
      <c r="P61" s="797"/>
      <c r="Q61" s="797"/>
      <c r="R61" s="797"/>
      <c r="S61" s="797"/>
      <c r="T61" s="797"/>
      <c r="U61" s="797"/>
      <c r="V61" s="797"/>
      <c r="W61" s="797"/>
      <c r="X61" s="797"/>
      <c r="Y61" s="797"/>
      <c r="Z61" s="797"/>
      <c r="AA61" s="797"/>
      <c r="AB61" s="797"/>
      <c r="AC61" s="797"/>
      <c r="AD61" s="797"/>
      <c r="AE61" s="797"/>
      <c r="AF61" s="797"/>
      <c r="AG61" s="797"/>
      <c r="AH61" s="797"/>
      <c r="AI61" s="797"/>
      <c r="AJ61" s="797"/>
      <c r="AK61" s="797"/>
      <c r="AL61" s="797"/>
      <c r="AM61" s="797"/>
      <c r="AN61" s="797"/>
      <c r="AO61" s="797"/>
      <c r="AP61" s="797"/>
      <c r="AQ61" s="797"/>
      <c r="AR61" s="797"/>
      <c r="AS61" s="798"/>
    </row>
  </sheetData>
  <mergeCells count="134">
    <mergeCell ref="A1:J1"/>
    <mergeCell ref="Q1:AL1"/>
    <mergeCell ref="AM1:AS1"/>
    <mergeCell ref="A2:J2"/>
    <mergeCell ref="A3:J3"/>
    <mergeCell ref="A4:J4"/>
    <mergeCell ref="A5:J5"/>
    <mergeCell ref="A6:J6"/>
    <mergeCell ref="A7:AS7"/>
    <mergeCell ref="A9:L9"/>
    <mergeCell ref="O9:P9"/>
    <mergeCell ref="Q9:R9"/>
    <mergeCell ref="S9:V9"/>
    <mergeCell ref="W9:AB9"/>
    <mergeCell ref="AC9:AD9"/>
    <mergeCell ref="AE9:AF9"/>
    <mergeCell ref="AG9:AJ9"/>
    <mergeCell ref="B15:AE15"/>
    <mergeCell ref="AF15:AS15"/>
    <mergeCell ref="B16:AE16"/>
    <mergeCell ref="AF16:AS16"/>
    <mergeCell ref="B17:AE17"/>
    <mergeCell ref="AF17:AS17"/>
    <mergeCell ref="Y21:AE21"/>
    <mergeCell ref="AF21:AL21"/>
    <mergeCell ref="AM21:AS21"/>
    <mergeCell ref="Y22:AE22"/>
    <mergeCell ref="AF22:AL22"/>
    <mergeCell ref="AM22:AS22"/>
    <mergeCell ref="B23:X23"/>
    <mergeCell ref="Y23:AE23"/>
    <mergeCell ref="AF23:AL23"/>
    <mergeCell ref="AM23:AS23"/>
    <mergeCell ref="B24:X24"/>
    <mergeCell ref="Y24:AE24"/>
    <mergeCell ref="AF24:AL24"/>
    <mergeCell ref="AM24:AS24"/>
    <mergeCell ref="AJ28:AR28"/>
    <mergeCell ref="AJ29:AR29"/>
    <mergeCell ref="AJ30:AR30"/>
    <mergeCell ref="AJ31:AR31"/>
    <mergeCell ref="AJ32:AR32"/>
    <mergeCell ref="B36:C36"/>
    <mergeCell ref="D36:S36"/>
    <mergeCell ref="T36:Y36"/>
    <mergeCell ref="Z36:AH36"/>
    <mergeCell ref="AI36:AN36"/>
    <mergeCell ref="AO36:AS36"/>
    <mergeCell ref="B37:C37"/>
    <mergeCell ref="D37:S37"/>
    <mergeCell ref="T37:Y37"/>
    <mergeCell ref="Z37:AH37"/>
    <mergeCell ref="AI37:AN37"/>
    <mergeCell ref="AO37:AS37"/>
    <mergeCell ref="B38:C38"/>
    <mergeCell ref="D38:S38"/>
    <mergeCell ref="T38:Y38"/>
    <mergeCell ref="Z38:AH38"/>
    <mergeCell ref="AI38:AN38"/>
    <mergeCell ref="AO38:AS38"/>
    <mergeCell ref="B39:C39"/>
    <mergeCell ref="D39:S39"/>
    <mergeCell ref="T39:Y39"/>
    <mergeCell ref="Z39:AH39"/>
    <mergeCell ref="AI39:AN39"/>
    <mergeCell ref="AO39:AS39"/>
    <mergeCell ref="B40:C40"/>
    <mergeCell ref="D40:S40"/>
    <mergeCell ref="T40:Y40"/>
    <mergeCell ref="Z40:AH40"/>
    <mergeCell ref="AI40:AN40"/>
    <mergeCell ref="AO40:AS40"/>
    <mergeCell ref="B41:C41"/>
    <mergeCell ref="D41:S41"/>
    <mergeCell ref="T41:Y41"/>
    <mergeCell ref="Z41:AH41"/>
    <mergeCell ref="AI41:AN41"/>
    <mergeCell ref="AO41:AS41"/>
    <mergeCell ref="B42:C42"/>
    <mergeCell ref="D42:S42"/>
    <mergeCell ref="T42:Y42"/>
    <mergeCell ref="Z42:AH42"/>
    <mergeCell ref="AI42:AN42"/>
    <mergeCell ref="AO42:AS42"/>
    <mergeCell ref="B43:C43"/>
    <mergeCell ref="D43:S43"/>
    <mergeCell ref="T43:Y43"/>
    <mergeCell ref="Z43:AH43"/>
    <mergeCell ref="AI43:AN43"/>
    <mergeCell ref="AO43:AS43"/>
    <mergeCell ref="B44:C44"/>
    <mergeCell ref="D44:S44"/>
    <mergeCell ref="T44:Y44"/>
    <mergeCell ref="Z44:AH44"/>
    <mergeCell ref="AI44:AN44"/>
    <mergeCell ref="AO44:AS44"/>
    <mergeCell ref="B45:C45"/>
    <mergeCell ref="D45:S45"/>
    <mergeCell ref="T45:Y45"/>
    <mergeCell ref="Z45:AH45"/>
    <mergeCell ref="AI45:AN45"/>
    <mergeCell ref="AO45:AS45"/>
    <mergeCell ref="B46:C46"/>
    <mergeCell ref="D46:S46"/>
    <mergeCell ref="T46:Y46"/>
    <mergeCell ref="Z46:AH46"/>
    <mergeCell ref="AI46:AN46"/>
    <mergeCell ref="AO46:AS46"/>
    <mergeCell ref="B47:C47"/>
    <mergeCell ref="D47:S47"/>
    <mergeCell ref="T47:Y47"/>
    <mergeCell ref="E50:AS50"/>
    <mergeCell ref="E51:AS51"/>
    <mergeCell ref="AH54:AS54"/>
    <mergeCell ref="AH59:AS59"/>
    <mergeCell ref="C50:C56"/>
    <mergeCell ref="C57:C61"/>
    <mergeCell ref="D50:D56"/>
    <mergeCell ref="D57:D61"/>
    <mergeCell ref="B21:X22"/>
    <mergeCell ref="P12:X13"/>
    <mergeCell ref="B12:O13"/>
    <mergeCell ref="K1:L6"/>
    <mergeCell ref="Q3:AL4"/>
    <mergeCell ref="Q5:AL6"/>
    <mergeCell ref="E60:Z61"/>
    <mergeCell ref="AA60:AG61"/>
    <mergeCell ref="AH60:AS61"/>
    <mergeCell ref="A50:B61"/>
    <mergeCell ref="E55:Z56"/>
    <mergeCell ref="AA55:AG56"/>
    <mergeCell ref="AA53:AG54"/>
    <mergeCell ref="AA58:AG59"/>
    <mergeCell ref="AH55:AS56"/>
  </mergeCells>
  <pageMargins left="0.511811023622047" right="0.511811023622047" top="0.551181102362205" bottom="0.748031496062992" header="0.31496062992126" footer="0.31496062992126"/>
  <pageSetup paperSize="9" scale="79"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6">
    <tabColor theme="9" tint="0.399975585192419"/>
    <pageSetUpPr fitToPage="1"/>
  </sheetPr>
  <dimension ref="A1:AS63"/>
  <sheetViews>
    <sheetView showGridLines="0" workbookViewId="0">
      <selection activeCell="AS9" sqref="AS9"/>
    </sheetView>
  </sheetViews>
  <sheetFormatPr defaultColWidth="2.42857142857143" defaultRowHeight="12"/>
  <cols>
    <col min="1" max="10" width="3.28571428571429" style="690" customWidth="1"/>
    <col min="11" max="32" width="2.42857142857143" style="690"/>
    <col min="33" max="33" width="2.85714285714286" style="690" customWidth="1"/>
    <col min="34" max="54" width="2.42857142857143" style="690"/>
    <col min="55" max="62" width="2.42857142857143" style="690" customWidth="1"/>
    <col min="63" max="16384" width="2.42857142857143" style="690"/>
  </cols>
  <sheetData>
    <row r="1" ht="21" customHeight="1" spans="1:45">
      <c r="A1" s="691" t="s">
        <v>7716</v>
      </c>
      <c r="B1" s="692"/>
      <c r="C1" s="692"/>
      <c r="D1" s="692"/>
      <c r="E1" s="692"/>
      <c r="F1" s="692"/>
      <c r="G1" s="692"/>
      <c r="H1" s="692"/>
      <c r="I1" s="692"/>
      <c r="J1" s="693"/>
      <c r="K1" s="694" t="s">
        <v>6554</v>
      </c>
      <c r="L1" s="695"/>
      <c r="M1" s="696" t="s">
        <v>6555</v>
      </c>
      <c r="N1" s="697"/>
      <c r="O1" s="697"/>
      <c r="P1" s="697"/>
      <c r="Q1" s="698" t="str">
        <f>UnosPod!F8</f>
        <v>LILIUM ASSET MANAGEMENT d.o.o. Sarajevo</v>
      </c>
      <c r="R1" s="698"/>
      <c r="S1" s="698"/>
      <c r="T1" s="698"/>
      <c r="U1" s="698"/>
      <c r="V1" s="698"/>
      <c r="W1" s="698"/>
      <c r="X1" s="698"/>
      <c r="Y1" s="698"/>
      <c r="Z1" s="698"/>
      <c r="AA1" s="698"/>
      <c r="AB1" s="698"/>
      <c r="AC1" s="698"/>
      <c r="AD1" s="698"/>
      <c r="AE1" s="698"/>
      <c r="AF1" s="698"/>
      <c r="AG1" s="698"/>
      <c r="AH1" s="698"/>
      <c r="AI1" s="698"/>
      <c r="AJ1" s="698"/>
      <c r="AK1" s="698"/>
      <c r="AL1" s="699"/>
      <c r="AM1" s="700" t="s">
        <v>6489</v>
      </c>
      <c r="AN1" s="701"/>
      <c r="AO1" s="701"/>
      <c r="AP1" s="701"/>
      <c r="AQ1" s="701"/>
      <c r="AR1" s="701"/>
      <c r="AS1" s="702"/>
    </row>
    <row r="2" ht="18" customHeight="1" spans="1:45">
      <c r="A2" s="703"/>
      <c r="B2" s="704"/>
      <c r="C2" s="704"/>
      <c r="D2" s="704"/>
      <c r="E2" s="704"/>
      <c r="F2" s="704"/>
      <c r="G2" s="704"/>
      <c r="H2" s="704"/>
      <c r="I2" s="704"/>
      <c r="J2" s="705"/>
      <c r="K2" s="706"/>
      <c r="L2" s="707"/>
      <c r="M2" s="696" t="s">
        <v>6556</v>
      </c>
      <c r="N2" s="708"/>
      <c r="O2" s="708"/>
      <c r="P2" s="708"/>
      <c r="Q2" s="709">
        <f>UnosPod!AA8</f>
        <v>4</v>
      </c>
      <c r="R2" s="709">
        <f>UnosPod!AB8</f>
        <v>2</v>
      </c>
      <c r="S2" s="709">
        <f>UnosPod!AC8</f>
        <v>0</v>
      </c>
      <c r="T2" s="709">
        <f>UnosPod!AD8</f>
        <v>1</v>
      </c>
      <c r="U2" s="709">
        <f>UnosPod!AE8</f>
        <v>3</v>
      </c>
      <c r="V2" s="709">
        <f>UnosPod!AF8</f>
        <v>3</v>
      </c>
      <c r="W2" s="709">
        <f>UnosPod!AG8</f>
        <v>7</v>
      </c>
      <c r="X2" s="709">
        <f>UnosPod!AH8</f>
        <v>6</v>
      </c>
      <c r="Y2" s="709">
        <f>UnosPod!AI8</f>
        <v>7</v>
      </c>
      <c r="Z2" s="709">
        <f>UnosPod!AJ8</f>
        <v>0</v>
      </c>
      <c r="AA2" s="709">
        <f>UnosPod!AK8</f>
        <v>0</v>
      </c>
      <c r="AB2" s="709">
        <f>UnosPod!AL8</f>
        <v>0</v>
      </c>
      <c r="AC2" s="709">
        <f>UnosPod!AM8</f>
        <v>9</v>
      </c>
      <c r="AD2" s="709"/>
      <c r="AF2" s="710"/>
      <c r="AG2" s="710"/>
      <c r="AH2" s="710"/>
      <c r="AI2" s="710"/>
      <c r="AJ2" s="710"/>
      <c r="AK2" s="710"/>
      <c r="AL2" s="710"/>
      <c r="AM2" s="711"/>
      <c r="AS2" s="712"/>
    </row>
    <row r="3" ht="12.75" customHeight="1" spans="1:45">
      <c r="A3" s="703" t="s">
        <v>6490</v>
      </c>
      <c r="B3" s="704"/>
      <c r="C3" s="704"/>
      <c r="D3" s="704"/>
      <c r="E3" s="704"/>
      <c r="F3" s="704"/>
      <c r="G3" s="704"/>
      <c r="H3" s="704"/>
      <c r="I3" s="704"/>
      <c r="J3" s="705"/>
      <c r="K3" s="706"/>
      <c r="L3" s="707"/>
      <c r="M3" s="713"/>
      <c r="N3" s="708"/>
      <c r="O3" s="708"/>
      <c r="P3" s="708"/>
      <c r="Q3" s="714" t="str">
        <f>UnosPod!F10</f>
        <v>Dženetića čikma br.8</v>
      </c>
      <c r="R3" s="714"/>
      <c r="S3" s="714"/>
      <c r="T3" s="714"/>
      <c r="U3" s="714"/>
      <c r="V3" s="714"/>
      <c r="W3" s="714"/>
      <c r="X3" s="714"/>
      <c r="Y3" s="714"/>
      <c r="Z3" s="714"/>
      <c r="AA3" s="714"/>
      <c r="AB3" s="714"/>
      <c r="AC3" s="714"/>
      <c r="AD3" s="714"/>
      <c r="AE3" s="714"/>
      <c r="AF3" s="714"/>
      <c r="AG3" s="714"/>
      <c r="AH3" s="714"/>
      <c r="AI3" s="714"/>
      <c r="AJ3" s="714"/>
      <c r="AK3" s="714"/>
      <c r="AL3" s="715"/>
      <c r="AM3" s="711"/>
      <c r="AS3" s="712"/>
    </row>
    <row r="4" ht="12.75" customHeight="1" spans="1:45">
      <c r="A4" s="703" t="s">
        <v>6491</v>
      </c>
      <c r="B4" s="704"/>
      <c r="C4" s="704"/>
      <c r="D4" s="704"/>
      <c r="E4" s="704"/>
      <c r="F4" s="704"/>
      <c r="G4" s="704"/>
      <c r="H4" s="704"/>
      <c r="I4" s="704"/>
      <c r="J4" s="705"/>
      <c r="K4" s="706"/>
      <c r="L4" s="707"/>
      <c r="M4" s="716" t="s">
        <v>6498</v>
      </c>
      <c r="N4" s="717"/>
      <c r="O4" s="717"/>
      <c r="P4" s="717"/>
      <c r="Q4" s="718"/>
      <c r="R4" s="718"/>
      <c r="S4" s="718"/>
      <c r="T4" s="718"/>
      <c r="U4" s="718"/>
      <c r="V4" s="718"/>
      <c r="W4" s="718"/>
      <c r="X4" s="718"/>
      <c r="Y4" s="718"/>
      <c r="Z4" s="718"/>
      <c r="AA4" s="718"/>
      <c r="AB4" s="718"/>
      <c r="AC4" s="718"/>
      <c r="AD4" s="718"/>
      <c r="AE4" s="718"/>
      <c r="AF4" s="718"/>
      <c r="AG4" s="718"/>
      <c r="AH4" s="718"/>
      <c r="AI4" s="718"/>
      <c r="AJ4" s="718"/>
      <c r="AK4" s="718"/>
      <c r="AL4" s="719"/>
      <c r="AM4" s="720"/>
      <c r="AS4" s="712"/>
    </row>
    <row r="5" ht="12.75" customHeight="1" spans="1:45">
      <c r="A5" s="721" t="s">
        <v>6492</v>
      </c>
      <c r="B5" s="722"/>
      <c r="C5" s="722"/>
      <c r="D5" s="722"/>
      <c r="E5" s="722"/>
      <c r="F5" s="722"/>
      <c r="G5" s="722"/>
      <c r="H5" s="722"/>
      <c r="I5" s="722"/>
      <c r="J5" s="723"/>
      <c r="K5" s="706"/>
      <c r="L5" s="707"/>
      <c r="M5" s="713"/>
      <c r="N5" s="708"/>
      <c r="O5" s="708"/>
      <c r="P5" s="708"/>
      <c r="Q5" s="724" t="str">
        <f>Baza!I21</f>
        <v>Sarajevo-Stari Grad</v>
      </c>
      <c r="R5" s="724"/>
      <c r="S5" s="724"/>
      <c r="T5" s="724"/>
      <c r="U5" s="724"/>
      <c r="V5" s="724"/>
      <c r="W5" s="724"/>
      <c r="X5" s="724"/>
      <c r="Y5" s="724"/>
      <c r="Z5" s="724"/>
      <c r="AA5" s="724"/>
      <c r="AB5" s="724"/>
      <c r="AC5" s="724"/>
      <c r="AD5" s="724"/>
      <c r="AE5" s="724"/>
      <c r="AF5" s="724"/>
      <c r="AG5" s="724"/>
      <c r="AH5" s="724"/>
      <c r="AI5" s="724"/>
      <c r="AJ5" s="724"/>
      <c r="AK5" s="724"/>
      <c r="AL5" s="725"/>
      <c r="AM5" s="720"/>
      <c r="AS5" s="712"/>
    </row>
    <row r="6" ht="12.75" customHeight="1" spans="1:45">
      <c r="A6" s="721" t="s">
        <v>6493</v>
      </c>
      <c r="B6" s="722"/>
      <c r="C6" s="722"/>
      <c r="D6" s="722"/>
      <c r="E6" s="722"/>
      <c r="F6" s="722"/>
      <c r="G6" s="722"/>
      <c r="H6" s="722"/>
      <c r="I6" s="722"/>
      <c r="J6" s="723"/>
      <c r="K6" s="726"/>
      <c r="L6" s="727"/>
      <c r="M6" s="716" t="s">
        <v>6559</v>
      </c>
      <c r="N6" s="717"/>
      <c r="O6" s="717"/>
      <c r="P6" s="717"/>
      <c r="Q6" s="728"/>
      <c r="R6" s="728"/>
      <c r="S6" s="728"/>
      <c r="T6" s="728"/>
      <c r="U6" s="728"/>
      <c r="V6" s="728"/>
      <c r="W6" s="728"/>
      <c r="X6" s="728"/>
      <c r="Y6" s="728"/>
      <c r="Z6" s="728"/>
      <c r="AA6" s="728"/>
      <c r="AB6" s="728"/>
      <c r="AC6" s="728"/>
      <c r="AD6" s="728"/>
      <c r="AE6" s="728"/>
      <c r="AF6" s="728"/>
      <c r="AG6" s="728"/>
      <c r="AH6" s="728"/>
      <c r="AI6" s="728"/>
      <c r="AJ6" s="728"/>
      <c r="AK6" s="728"/>
      <c r="AL6" s="729"/>
      <c r="AM6" s="730"/>
      <c r="AN6" s="717"/>
      <c r="AO6" s="717"/>
      <c r="AP6" s="717"/>
      <c r="AQ6" s="717"/>
      <c r="AR6" s="717"/>
      <c r="AS6" s="731"/>
    </row>
    <row r="7" ht="27" customHeight="1" spans="1:45">
      <c r="A7" s="732" t="s">
        <v>7717</v>
      </c>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ht="13.5" spans="1:45">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ht="15.75" spans="1:45">
      <c r="A9" s="734" t="str">
        <f>"za "&amp;Text!B8</f>
        <v>za period</v>
      </c>
      <c r="B9" s="734"/>
      <c r="C9" s="734"/>
      <c r="D9" s="734"/>
      <c r="E9" s="734"/>
      <c r="F9" s="734"/>
      <c r="G9" s="734"/>
      <c r="H9" s="734"/>
      <c r="I9" s="734"/>
      <c r="J9" s="734"/>
      <c r="K9" s="734"/>
      <c r="L9" s="734"/>
      <c r="M9" s="735"/>
      <c r="N9" s="736" t="str">
        <f>UnosPod!F6&amp;UnosPod!G6</f>
        <v>01</v>
      </c>
      <c r="O9" s="737"/>
      <c r="P9" s="736" t="str">
        <f>UnosPod!H6&amp;UnosPod!I6</f>
        <v>01</v>
      </c>
      <c r="Q9" s="737"/>
      <c r="R9" s="736">
        <f>UnosPod!J6</f>
        <v>2025</v>
      </c>
      <c r="S9" s="738"/>
      <c r="T9" s="738"/>
      <c r="U9" s="737"/>
      <c r="V9" s="739" t="s">
        <v>12</v>
      </c>
      <c r="W9" s="740"/>
      <c r="X9" s="740"/>
      <c r="Y9" s="740"/>
      <c r="Z9" s="740"/>
      <c r="AA9" s="740"/>
      <c r="AB9" s="740"/>
      <c r="AC9" s="741"/>
      <c r="AD9" s="736" t="str">
        <f>UnosPod!M6&amp;UnosPod!N6</f>
        <v>31</v>
      </c>
      <c r="AE9" s="737"/>
      <c r="AF9" s="736" t="str">
        <f>UnosPod!O6&amp;UnosPod!P6</f>
        <v>12</v>
      </c>
      <c r="AG9" s="737"/>
      <c r="AH9" s="736">
        <f>UnosPod!Q6</f>
        <v>2025</v>
      </c>
      <c r="AI9" s="738"/>
      <c r="AJ9" s="738"/>
      <c r="AK9" s="737"/>
    </row>
    <row r="10" ht="6" customHeight="1"/>
    <row r="11" spans="1:45">
      <c r="A11" s="708"/>
      <c r="B11" s="708"/>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row>
    <row r="12" s="687" customFormat="1" ht="12.75" spans="1:45">
      <c r="A12" s="742" t="s">
        <v>7718</v>
      </c>
      <c r="B12" s="743"/>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4"/>
    </row>
    <row r="13" s="687" customFormat="1" ht="12.75" spans="1:45">
      <c r="A13" s="745"/>
      <c r="AS13" s="746"/>
    </row>
    <row r="14" s="687" customFormat="1" ht="12.75" spans="1:45">
      <c r="A14" s="745"/>
      <c r="AS14" s="746"/>
    </row>
    <row r="15" s="687" customFormat="1" ht="12.75" spans="1:45">
      <c r="A15" s="745"/>
      <c r="AS15" s="746"/>
    </row>
    <row r="16" s="687" customFormat="1" ht="12.75" spans="1:45">
      <c r="A16" s="745"/>
      <c r="AS16" s="746"/>
    </row>
    <row r="17" s="687" customFormat="1" ht="12.75" spans="1:45">
      <c r="A17" s="745"/>
      <c r="AS17" s="746"/>
    </row>
    <row r="18" s="687" customFormat="1" ht="12.75" spans="1:45">
      <c r="A18" s="745"/>
      <c r="AS18" s="746"/>
    </row>
    <row r="19" s="687" customFormat="1" ht="12.75" spans="1:45">
      <c r="A19" s="745"/>
      <c r="AS19" s="746"/>
    </row>
    <row r="20" s="687" customFormat="1" ht="12.75" spans="1:45">
      <c r="A20" s="745"/>
      <c r="AS20" s="746"/>
    </row>
    <row r="21" s="687" customFormat="1" ht="12.75" spans="1:45">
      <c r="A21" s="747"/>
      <c r="B21" s="748"/>
      <c r="C21" s="748"/>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c r="AN21" s="748"/>
      <c r="AO21" s="748"/>
      <c r="AP21" s="748"/>
      <c r="AQ21" s="748"/>
      <c r="AR21" s="748"/>
      <c r="AS21" s="749"/>
    </row>
    <row r="22" s="687" customFormat="1" ht="7.5" customHeight="1"/>
    <row r="23" s="687" customFormat="1" ht="12.75" spans="1:45">
      <c r="A23" s="742" t="s">
        <v>7719</v>
      </c>
      <c r="B23" s="743"/>
      <c r="C23" s="743"/>
      <c r="D23" s="743"/>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4"/>
    </row>
    <row r="24" s="687" customFormat="1" ht="12.75" spans="1:45">
      <c r="A24" s="745"/>
      <c r="AS24" s="746"/>
    </row>
    <row r="25" s="687" customFormat="1" ht="12.75" spans="1:45">
      <c r="A25" s="745"/>
      <c r="AS25" s="746"/>
    </row>
    <row r="26" s="687" customFormat="1" ht="12.75" spans="1:45">
      <c r="A26" s="745"/>
      <c r="AS26" s="746"/>
    </row>
    <row r="27" s="687" customFormat="1" ht="12.75" spans="1:45">
      <c r="A27" s="745"/>
      <c r="AS27" s="746"/>
    </row>
    <row r="28" s="687" customFormat="1" ht="12.75" spans="1:45">
      <c r="A28" s="745"/>
      <c r="AS28" s="746"/>
    </row>
    <row r="29" s="687" customFormat="1" ht="12.75" spans="1:45">
      <c r="A29" s="745"/>
      <c r="AS29" s="746"/>
    </row>
    <row r="30" s="687" customFormat="1" ht="12.75" spans="1:45">
      <c r="A30" s="745"/>
      <c r="AS30" s="746"/>
    </row>
    <row r="31" s="687" customFormat="1" ht="12.75" spans="1:45">
      <c r="A31" s="745"/>
      <c r="AS31" s="746"/>
    </row>
    <row r="32" s="687" customFormat="1" ht="12.75" spans="1:45">
      <c r="A32" s="747"/>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c r="AA32" s="748"/>
      <c r="AB32" s="748"/>
      <c r="AC32" s="748"/>
      <c r="AD32" s="748"/>
      <c r="AE32" s="748"/>
      <c r="AF32" s="748"/>
      <c r="AG32" s="748"/>
      <c r="AH32" s="748"/>
      <c r="AI32" s="748"/>
      <c r="AJ32" s="748"/>
      <c r="AK32" s="748"/>
      <c r="AL32" s="748"/>
      <c r="AM32" s="748"/>
      <c r="AN32" s="748"/>
      <c r="AO32" s="748"/>
      <c r="AP32" s="748"/>
      <c r="AQ32" s="748"/>
      <c r="AR32" s="748"/>
      <c r="AS32" s="749"/>
    </row>
    <row r="33" s="687" customFormat="1" ht="8.25" customHeight="1"/>
    <row r="34" s="687" customFormat="1" ht="12.75" spans="1:45">
      <c r="A34" s="742" t="s">
        <v>7720</v>
      </c>
      <c r="B34" s="743"/>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4"/>
    </row>
    <row r="35" s="687" customFormat="1" ht="12.75" spans="1:45">
      <c r="A35" s="745"/>
      <c r="AS35" s="746"/>
    </row>
    <row r="36" s="687" customFormat="1" ht="12.75" spans="1:45">
      <c r="A36" s="745"/>
      <c r="AS36" s="746"/>
    </row>
    <row r="37" s="687" customFormat="1" ht="12.75" spans="1:45">
      <c r="A37" s="745"/>
      <c r="AS37" s="746"/>
    </row>
    <row r="38" s="687" customFormat="1" ht="12.75" spans="1:45">
      <c r="A38" s="745"/>
      <c r="AS38" s="746"/>
    </row>
    <row r="39" s="687" customFormat="1" ht="12.75" spans="1:45">
      <c r="A39" s="745"/>
      <c r="AS39" s="746"/>
    </row>
    <row r="40" s="687" customFormat="1" ht="12.75" spans="1:45">
      <c r="A40" s="745"/>
      <c r="AS40" s="746"/>
    </row>
    <row r="41" s="687" customFormat="1" ht="12.75" spans="1:45">
      <c r="A41" s="745"/>
      <c r="AS41" s="746"/>
    </row>
    <row r="42" s="687" customFormat="1" ht="12.75" spans="1:45">
      <c r="A42" s="745"/>
      <c r="AS42" s="746"/>
    </row>
    <row r="43" s="687" customFormat="1" ht="12.75" spans="1:45">
      <c r="A43" s="747"/>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c r="AA43" s="748"/>
      <c r="AB43" s="748"/>
      <c r="AC43" s="748"/>
      <c r="AD43" s="748"/>
      <c r="AE43" s="748"/>
      <c r="AF43" s="748"/>
      <c r="AG43" s="748"/>
      <c r="AH43" s="748"/>
      <c r="AI43" s="748"/>
      <c r="AJ43" s="748"/>
      <c r="AK43" s="748"/>
      <c r="AL43" s="748"/>
      <c r="AM43" s="748"/>
      <c r="AN43" s="748"/>
      <c r="AO43" s="748"/>
      <c r="AP43" s="748"/>
      <c r="AQ43" s="748"/>
      <c r="AR43" s="748"/>
      <c r="AS43" s="749"/>
    </row>
    <row r="44" s="687" customFormat="1" ht="15" customHeight="1" spans="1:45">
      <c r="A44" s="750" t="s">
        <v>7721</v>
      </c>
      <c r="B44" s="751"/>
      <c r="C44" s="751"/>
      <c r="D44" s="751"/>
      <c r="E44" s="751"/>
      <c r="F44" s="751"/>
      <c r="G44" s="751"/>
      <c r="H44" s="751"/>
      <c r="I44" s="751"/>
      <c r="J44" s="751"/>
      <c r="K44" s="751"/>
      <c r="L44" s="751"/>
      <c r="M44" s="751"/>
      <c r="N44" s="751"/>
      <c r="O44" s="751"/>
      <c r="P44" s="751"/>
      <c r="Q44" s="751"/>
      <c r="R44" s="752"/>
      <c r="S44" s="753" t="s">
        <v>7722</v>
      </c>
      <c r="T44" s="753"/>
      <c r="U44" s="753"/>
      <c r="V44" s="753"/>
      <c r="W44" s="753"/>
      <c r="X44" s="753"/>
      <c r="Y44" s="753"/>
      <c r="Z44" s="753"/>
      <c r="AA44" s="753"/>
      <c r="AB44" s="753"/>
      <c r="AC44" s="753"/>
      <c r="AD44" s="753"/>
      <c r="AE44" s="753"/>
      <c r="AF44" s="753"/>
      <c r="AG44" s="753"/>
      <c r="AH44" s="753"/>
      <c r="AI44" s="753"/>
      <c r="AJ44" s="753"/>
      <c r="AK44" s="753"/>
      <c r="AL44" s="753"/>
      <c r="AM44" s="753"/>
      <c r="AN44" s="753"/>
      <c r="AO44" s="753"/>
      <c r="AP44" s="753"/>
      <c r="AQ44" s="753"/>
      <c r="AR44" s="753"/>
      <c r="AS44" s="753"/>
    </row>
    <row r="45" s="688" customFormat="1" ht="21.75" customHeight="1" spans="1:45">
      <c r="A45" s="754" t="s">
        <v>4146</v>
      </c>
      <c r="B45" s="754"/>
      <c r="C45" s="755">
        <v>2016</v>
      </c>
      <c r="D45" s="755"/>
      <c r="E45" s="755"/>
      <c r="F45" s="755"/>
      <c r="G45" s="755"/>
      <c r="H45" s="755"/>
      <c r="I45" s="755"/>
      <c r="J45" s="755"/>
      <c r="K45" s="755"/>
      <c r="L45" s="755"/>
      <c r="M45" s="755"/>
      <c r="N45" s="755"/>
      <c r="O45" s="755"/>
      <c r="P45" s="755"/>
      <c r="Q45" s="755"/>
      <c r="R45" s="755"/>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row>
    <row r="46" s="687" customFormat="1" ht="21.75" customHeight="1" spans="1:45">
      <c r="A46" s="754" t="s">
        <v>7723</v>
      </c>
      <c r="B46" s="754"/>
      <c r="C46" s="755">
        <f>C45+1</f>
        <v>2017</v>
      </c>
      <c r="D46" s="755"/>
      <c r="E46" s="755"/>
      <c r="F46" s="755"/>
      <c r="G46" s="755"/>
      <c r="H46" s="755"/>
      <c r="I46" s="755"/>
      <c r="J46" s="755"/>
      <c r="K46" s="755"/>
      <c r="L46" s="755"/>
      <c r="M46" s="755"/>
      <c r="N46" s="755"/>
      <c r="O46" s="755"/>
      <c r="P46" s="755"/>
      <c r="Q46" s="755"/>
      <c r="R46" s="755"/>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row>
    <row r="47" s="687" customFormat="1" ht="21.75" customHeight="1" spans="1:45">
      <c r="A47" s="754" t="s">
        <v>7724</v>
      </c>
      <c r="B47" s="754"/>
      <c r="C47" s="755">
        <f t="shared" ref="C47:C49" si="0">C46+1</f>
        <v>2018</v>
      </c>
      <c r="D47" s="755"/>
      <c r="E47" s="755"/>
      <c r="F47" s="755"/>
      <c r="G47" s="755"/>
      <c r="H47" s="755"/>
      <c r="I47" s="755"/>
      <c r="J47" s="755"/>
      <c r="K47" s="755"/>
      <c r="L47" s="755"/>
      <c r="M47" s="755"/>
      <c r="N47" s="755"/>
      <c r="O47" s="755"/>
      <c r="P47" s="755"/>
      <c r="Q47" s="755"/>
      <c r="R47" s="755"/>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row>
    <row r="48" s="687" customFormat="1" ht="21.75" customHeight="1" spans="1:45">
      <c r="A48" s="754" t="s">
        <v>7725</v>
      </c>
      <c r="B48" s="754"/>
      <c r="C48" s="755">
        <f t="shared" si="0"/>
        <v>2019</v>
      </c>
      <c r="D48" s="755"/>
      <c r="E48" s="755"/>
      <c r="F48" s="755"/>
      <c r="G48" s="755"/>
      <c r="H48" s="755"/>
      <c r="I48" s="755"/>
      <c r="J48" s="755"/>
      <c r="K48" s="755"/>
      <c r="L48" s="755"/>
      <c r="M48" s="755"/>
      <c r="N48" s="755"/>
      <c r="O48" s="755"/>
      <c r="P48" s="755"/>
      <c r="Q48" s="755"/>
      <c r="R48" s="755"/>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row>
    <row r="49" s="687" customFormat="1" ht="21.75" customHeight="1" spans="1:45">
      <c r="A49" s="754" t="s">
        <v>7726</v>
      </c>
      <c r="B49" s="754"/>
      <c r="C49" s="755">
        <f t="shared" si="0"/>
        <v>2020</v>
      </c>
      <c r="D49" s="755"/>
      <c r="E49" s="755"/>
      <c r="F49" s="755"/>
      <c r="G49" s="755"/>
      <c r="H49" s="755"/>
      <c r="I49" s="755"/>
      <c r="J49" s="755"/>
      <c r="K49" s="755"/>
      <c r="L49" s="755"/>
      <c r="M49" s="755"/>
      <c r="N49" s="755"/>
      <c r="O49" s="755"/>
      <c r="P49" s="755"/>
      <c r="Q49" s="755"/>
      <c r="R49" s="755"/>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row>
    <row r="50" s="687" customFormat="1" ht="13.5" customHeight="1" spans="1:45">
      <c r="A50" s="745"/>
    </row>
    <row r="52" s="689" customFormat="1" spans="1:45">
      <c r="A52" s="757" t="s">
        <v>6546</v>
      </c>
      <c r="B52" s="758"/>
      <c r="C52" s="759"/>
      <c r="D52" s="760" t="str">
        <f>Text!B11</f>
        <v>Odgovorno lice</v>
      </c>
      <c r="E52" s="761" t="s">
        <v>7727</v>
      </c>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2"/>
    </row>
    <row r="53" s="689" customFormat="1" spans="1:45">
      <c r="A53" s="763"/>
      <c r="B53" s="764"/>
      <c r="C53" s="765"/>
      <c r="D53" s="766"/>
      <c r="E53" s="767" t="s">
        <v>7704</v>
      </c>
      <c r="F53" s="767"/>
      <c r="G53" s="767"/>
      <c r="H53" s="767"/>
      <c r="I53" s="767"/>
      <c r="J53" s="767"/>
      <c r="K53" s="767"/>
      <c r="L53" s="767"/>
      <c r="M53" s="767"/>
      <c r="N53" s="767"/>
      <c r="O53" s="767"/>
      <c r="P53" s="767"/>
      <c r="Q53" s="767"/>
      <c r="R53" s="767"/>
      <c r="S53" s="767"/>
      <c r="T53" s="767"/>
      <c r="U53" s="767"/>
      <c r="V53" s="767"/>
      <c r="W53" s="767"/>
      <c r="X53" s="767"/>
      <c r="Y53" s="767"/>
      <c r="Z53" s="767"/>
      <c r="AA53" s="767"/>
      <c r="AB53" s="767"/>
      <c r="AC53" s="767"/>
      <c r="AD53" s="767"/>
      <c r="AE53" s="767"/>
      <c r="AF53" s="767"/>
      <c r="AG53" s="767"/>
      <c r="AH53" s="767"/>
      <c r="AI53" s="767"/>
      <c r="AJ53" s="767"/>
      <c r="AK53" s="767"/>
      <c r="AL53" s="767"/>
      <c r="AM53" s="767"/>
      <c r="AN53" s="767"/>
      <c r="AO53" s="767"/>
      <c r="AP53" s="767"/>
      <c r="AQ53" s="767"/>
      <c r="AR53" s="767"/>
      <c r="AS53" s="768"/>
    </row>
    <row r="54" s="689" customFormat="1" spans="1:45">
      <c r="A54" s="763"/>
      <c r="B54" s="764"/>
      <c r="C54" s="765"/>
      <c r="D54" s="766"/>
      <c r="AS54" s="769"/>
    </row>
    <row r="55" s="689" customFormat="1" spans="1:45">
      <c r="A55" s="763"/>
      <c r="B55" s="764"/>
      <c r="C55" s="765"/>
      <c r="D55" s="766"/>
      <c r="Z55" s="769"/>
      <c r="AA55" s="770" t="str">
        <f>UnosPod!AA22&amp;UnosPod!AB22&amp;"."&amp;UnosPod!AC22&amp;UnosPod!AD22+1&amp;"."&amp;UnosPod!AE22&amp;UnosPod!AF22&amp;UnosPod!AG22&amp;UnosPod!AH22&amp;"."</f>
        <v>28.03.2026.</v>
      </c>
      <c r="AB55" s="771"/>
      <c r="AC55" s="771"/>
      <c r="AD55" s="771"/>
      <c r="AE55" s="771"/>
      <c r="AF55" s="771"/>
      <c r="AG55" s="772"/>
      <c r="AH55" s="773"/>
      <c r="AS55" s="769"/>
    </row>
    <row r="56" s="689" customFormat="1" ht="15" spans="1:45">
      <c r="A56" s="763"/>
      <c r="B56" s="764"/>
      <c r="C56" s="765"/>
      <c r="D56" s="766"/>
      <c r="E56" s="774" t="str">
        <f>Direktor</f>
        <v>Nedim Vilogorac</v>
      </c>
      <c r="F56" s="774"/>
      <c r="G56" s="774"/>
      <c r="H56" s="774"/>
      <c r="I56" s="775"/>
      <c r="J56" s="775"/>
      <c r="K56" s="775"/>
      <c r="L56" s="775"/>
      <c r="M56" s="775"/>
      <c r="N56" s="775"/>
      <c r="O56" s="775"/>
      <c r="P56" s="775"/>
      <c r="Q56" s="775"/>
      <c r="R56" s="775"/>
      <c r="S56" s="775"/>
      <c r="T56" s="775"/>
      <c r="U56" s="775"/>
      <c r="V56" s="775"/>
      <c r="W56" s="775"/>
      <c r="X56" s="775"/>
      <c r="Y56" s="775"/>
      <c r="Z56" s="776"/>
      <c r="AA56" s="777"/>
      <c r="AB56" s="778"/>
      <c r="AC56" s="778"/>
      <c r="AD56" s="778"/>
      <c r="AE56" s="778"/>
      <c r="AF56" s="778"/>
      <c r="AG56" s="779"/>
      <c r="AH56" s="780" t="s">
        <v>2539</v>
      </c>
      <c r="AI56" s="781"/>
      <c r="AJ56" s="781"/>
      <c r="AK56" s="781"/>
      <c r="AL56" s="781"/>
      <c r="AM56" s="781"/>
      <c r="AN56" s="781"/>
      <c r="AO56" s="781"/>
      <c r="AP56" s="781"/>
      <c r="AQ56" s="781"/>
      <c r="AR56" s="781"/>
      <c r="AS56" s="782"/>
    </row>
    <row r="57" s="689" customFormat="1" spans="1:45">
      <c r="A57" s="763"/>
      <c r="B57" s="764"/>
      <c r="C57" s="765"/>
      <c r="D57" s="766"/>
      <c r="E57" s="783" t="s">
        <v>6548</v>
      </c>
      <c r="F57" s="783"/>
      <c r="G57" s="783"/>
      <c r="H57" s="783"/>
      <c r="I57" s="783"/>
      <c r="J57" s="783"/>
      <c r="K57" s="783"/>
      <c r="L57" s="783"/>
      <c r="M57" s="783"/>
      <c r="N57" s="783"/>
      <c r="O57" s="783"/>
      <c r="P57" s="783"/>
      <c r="Q57" s="783"/>
      <c r="R57" s="783"/>
      <c r="S57" s="783"/>
      <c r="T57" s="783"/>
      <c r="U57" s="783"/>
      <c r="V57" s="783"/>
      <c r="W57" s="783"/>
      <c r="X57" s="783"/>
      <c r="Y57" s="783"/>
      <c r="Z57" s="783"/>
      <c r="AA57" s="783" t="s">
        <v>6549</v>
      </c>
      <c r="AB57" s="783"/>
      <c r="AC57" s="783"/>
      <c r="AD57" s="783"/>
      <c r="AE57" s="783"/>
      <c r="AF57" s="783"/>
      <c r="AG57" s="783"/>
      <c r="AH57" s="783" t="s">
        <v>6550</v>
      </c>
      <c r="AI57" s="783"/>
      <c r="AJ57" s="783"/>
      <c r="AK57" s="783"/>
      <c r="AL57" s="783"/>
      <c r="AM57" s="783"/>
      <c r="AN57" s="783"/>
      <c r="AO57" s="783"/>
      <c r="AP57" s="783"/>
      <c r="AQ57" s="783"/>
      <c r="AR57" s="783"/>
      <c r="AS57" s="784"/>
    </row>
    <row r="58" s="689" customFormat="1" spans="1:45">
      <c r="A58" s="763"/>
      <c r="B58" s="764"/>
      <c r="C58" s="765"/>
      <c r="D58" s="766"/>
      <c r="E58" s="785"/>
      <c r="F58" s="785"/>
      <c r="G58" s="785"/>
      <c r="H58" s="785"/>
      <c r="I58" s="785"/>
      <c r="J58" s="785"/>
      <c r="K58" s="785"/>
      <c r="L58" s="785"/>
      <c r="M58" s="785"/>
      <c r="N58" s="785"/>
      <c r="O58" s="785"/>
      <c r="P58" s="785"/>
      <c r="Q58" s="785"/>
      <c r="R58" s="785"/>
      <c r="S58" s="785"/>
      <c r="T58" s="785"/>
      <c r="U58" s="785"/>
      <c r="V58" s="785"/>
      <c r="W58" s="785"/>
      <c r="X58" s="785"/>
      <c r="Y58" s="785"/>
      <c r="Z58" s="785"/>
      <c r="AA58" s="786"/>
      <c r="AB58" s="786"/>
      <c r="AC58" s="786"/>
      <c r="AD58" s="786"/>
      <c r="AE58" s="786"/>
      <c r="AF58" s="786"/>
      <c r="AG58" s="786"/>
      <c r="AH58" s="786"/>
      <c r="AI58" s="786"/>
      <c r="AJ58" s="786"/>
      <c r="AK58" s="786"/>
      <c r="AL58" s="786"/>
      <c r="AM58" s="786"/>
      <c r="AN58" s="786"/>
      <c r="AO58" s="786"/>
      <c r="AP58" s="786"/>
      <c r="AQ58" s="786"/>
      <c r="AR58" s="786"/>
      <c r="AS58" s="787"/>
    </row>
    <row r="59" s="689" customFormat="1" spans="1:45">
      <c r="A59" s="763"/>
      <c r="B59" s="764"/>
      <c r="C59" s="788"/>
      <c r="D59" s="789" t="s">
        <v>6551</v>
      </c>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c r="AH59" s="790"/>
      <c r="AI59" s="790"/>
      <c r="AJ59" s="790"/>
      <c r="AK59" s="790"/>
      <c r="AL59" s="790"/>
      <c r="AM59" s="790"/>
      <c r="AN59" s="790"/>
      <c r="AO59" s="790"/>
      <c r="AP59" s="790"/>
      <c r="AQ59" s="790"/>
      <c r="AR59" s="790"/>
      <c r="AS59" s="791"/>
    </row>
    <row r="60" s="689" customFormat="1" spans="1:45">
      <c r="A60" s="763"/>
      <c r="B60" s="764"/>
      <c r="C60" s="765"/>
      <c r="D60" s="792"/>
      <c r="Z60" s="769"/>
      <c r="AA60" s="770" t="str">
        <f>UnosPod!AA22&amp;UnosPod!AB22&amp;"."&amp;UnosPod!AC22&amp;UnosPod!AD22+1&amp;"."&amp;UnosPod!AE22&amp;UnosPod!AF22&amp;UnosPod!AG22&amp;UnosPod!AH22&amp;"."</f>
        <v>28.03.2026.</v>
      </c>
      <c r="AB60" s="771"/>
      <c r="AC60" s="771"/>
      <c r="AD60" s="771"/>
      <c r="AE60" s="771"/>
      <c r="AF60" s="771"/>
      <c r="AG60" s="772"/>
      <c r="AH60" s="773"/>
      <c r="AS60" s="769"/>
    </row>
    <row r="61" s="689" customFormat="1" ht="15" spans="1:45">
      <c r="A61" s="763"/>
      <c r="B61" s="764"/>
      <c r="C61" s="765"/>
      <c r="D61" s="792"/>
      <c r="E61" s="774" t="str">
        <f>Racunovoda</f>
        <v>Elvira Žilić</v>
      </c>
      <c r="F61" s="774"/>
      <c r="G61" s="774"/>
      <c r="H61" s="774"/>
      <c r="I61" s="775"/>
      <c r="J61" s="775"/>
      <c r="K61" s="775"/>
      <c r="L61" s="775"/>
      <c r="M61" s="775"/>
      <c r="N61" s="775"/>
      <c r="O61" s="775"/>
      <c r="P61" s="775"/>
      <c r="Q61" s="775"/>
      <c r="R61" s="775"/>
      <c r="S61" s="775"/>
      <c r="T61" s="775"/>
      <c r="U61" s="775"/>
      <c r="V61" s="775"/>
      <c r="W61" s="775"/>
      <c r="X61" s="775"/>
      <c r="Y61" s="775"/>
      <c r="Z61" s="776"/>
      <c r="AA61" s="777"/>
      <c r="AB61" s="778"/>
      <c r="AC61" s="778"/>
      <c r="AD61" s="778"/>
      <c r="AE61" s="778"/>
      <c r="AF61" s="778"/>
      <c r="AG61" s="779"/>
      <c r="AH61" s="780" t="s">
        <v>6552</v>
      </c>
      <c r="AI61" s="781"/>
      <c r="AJ61" s="781"/>
      <c r="AK61" s="781"/>
      <c r="AL61" s="781"/>
      <c r="AM61" s="781"/>
      <c r="AN61" s="781"/>
      <c r="AO61" s="781"/>
      <c r="AP61" s="781"/>
      <c r="AQ61" s="781"/>
      <c r="AR61" s="781"/>
      <c r="AS61" s="782"/>
    </row>
    <row r="62" s="689" customFormat="1" spans="1:45">
      <c r="A62" s="763"/>
      <c r="B62" s="764"/>
      <c r="C62" s="765"/>
      <c r="D62" s="792"/>
      <c r="E62" s="783" t="s">
        <v>6548</v>
      </c>
      <c r="F62" s="783"/>
      <c r="G62" s="783"/>
      <c r="H62" s="783"/>
      <c r="I62" s="783"/>
      <c r="J62" s="783"/>
      <c r="K62" s="783"/>
      <c r="L62" s="783"/>
      <c r="M62" s="783"/>
      <c r="N62" s="783"/>
      <c r="O62" s="783"/>
      <c r="P62" s="783"/>
      <c r="Q62" s="783"/>
      <c r="R62" s="783"/>
      <c r="S62" s="783"/>
      <c r="T62" s="783"/>
      <c r="U62" s="783"/>
      <c r="V62" s="783"/>
      <c r="W62" s="783"/>
      <c r="X62" s="783"/>
      <c r="Y62" s="783"/>
      <c r="Z62" s="783"/>
      <c r="AA62" s="783" t="s">
        <v>6549</v>
      </c>
      <c r="AB62" s="783"/>
      <c r="AC62" s="783"/>
      <c r="AD62" s="783"/>
      <c r="AE62" s="783"/>
      <c r="AF62" s="783"/>
      <c r="AG62" s="783"/>
      <c r="AH62" s="783" t="s">
        <v>6550</v>
      </c>
      <c r="AI62" s="783"/>
      <c r="AJ62" s="783"/>
      <c r="AK62" s="783"/>
      <c r="AL62" s="783"/>
      <c r="AM62" s="783"/>
      <c r="AN62" s="783"/>
      <c r="AO62" s="783"/>
      <c r="AP62" s="783"/>
      <c r="AQ62" s="783"/>
      <c r="AR62" s="783"/>
      <c r="AS62" s="784"/>
    </row>
    <row r="63" s="689" customFormat="1" spans="1:45">
      <c r="A63" s="793"/>
      <c r="B63" s="794"/>
      <c r="C63" s="795"/>
      <c r="D63" s="796"/>
      <c r="E63" s="797"/>
      <c r="F63" s="797"/>
      <c r="G63" s="797"/>
      <c r="H63" s="797"/>
      <c r="I63" s="797"/>
      <c r="J63" s="797"/>
      <c r="K63" s="797"/>
      <c r="L63" s="797"/>
      <c r="M63" s="797"/>
      <c r="N63" s="797"/>
      <c r="O63" s="797"/>
      <c r="P63" s="797"/>
      <c r="Q63" s="797"/>
      <c r="R63" s="797"/>
      <c r="S63" s="797"/>
      <c r="T63" s="797"/>
      <c r="U63" s="797"/>
      <c r="V63" s="797"/>
      <c r="W63" s="797"/>
      <c r="X63" s="797"/>
      <c r="Y63" s="797"/>
      <c r="Z63" s="797"/>
      <c r="AA63" s="797"/>
      <c r="AB63" s="797"/>
      <c r="AC63" s="797"/>
      <c r="AD63" s="797"/>
      <c r="AE63" s="797"/>
      <c r="AF63" s="797"/>
      <c r="AG63" s="797"/>
      <c r="AH63" s="797"/>
      <c r="AI63" s="797"/>
      <c r="AJ63" s="797"/>
      <c r="AK63" s="797"/>
      <c r="AL63" s="797"/>
      <c r="AM63" s="797"/>
      <c r="AN63" s="797"/>
      <c r="AO63" s="797"/>
      <c r="AP63" s="797"/>
      <c r="AQ63" s="797"/>
      <c r="AR63" s="797"/>
      <c r="AS63" s="798"/>
    </row>
  </sheetData>
  <mergeCells count="54">
    <mergeCell ref="A1:J1"/>
    <mergeCell ref="Q1:AL1"/>
    <mergeCell ref="AM1:AS1"/>
    <mergeCell ref="A2:J2"/>
    <mergeCell ref="A3:J3"/>
    <mergeCell ref="A4:J4"/>
    <mergeCell ref="A5:J5"/>
    <mergeCell ref="A6:J6"/>
    <mergeCell ref="A7:AS7"/>
    <mergeCell ref="A9:L9"/>
    <mergeCell ref="N9:O9"/>
    <mergeCell ref="P9:Q9"/>
    <mergeCell ref="R9:U9"/>
    <mergeCell ref="V9:AC9"/>
    <mergeCell ref="AD9:AE9"/>
    <mergeCell ref="AF9:AG9"/>
    <mergeCell ref="AH9:AK9"/>
    <mergeCell ref="A44:R44"/>
    <mergeCell ref="S44:AS44"/>
    <mergeCell ref="A45:B45"/>
    <mergeCell ref="C45:R45"/>
    <mergeCell ref="S45:AS45"/>
    <mergeCell ref="A46:B46"/>
    <mergeCell ref="C46:R46"/>
    <mergeCell ref="S46:AS46"/>
    <mergeCell ref="A47:B47"/>
    <mergeCell ref="C47:R47"/>
    <mergeCell ref="S47:AS47"/>
    <mergeCell ref="A48:B48"/>
    <mergeCell ref="C48:R48"/>
    <mergeCell ref="S48:AS48"/>
    <mergeCell ref="A49:B49"/>
    <mergeCell ref="C49:R49"/>
    <mergeCell ref="S49:AS49"/>
    <mergeCell ref="E52:AS52"/>
    <mergeCell ref="E53:AS53"/>
    <mergeCell ref="AH56:AS56"/>
    <mergeCell ref="AH61:AS61"/>
    <mergeCell ref="C52:C58"/>
    <mergeCell ref="C59:C63"/>
    <mergeCell ref="D52:D58"/>
    <mergeCell ref="D59:D63"/>
    <mergeCell ref="AA55:AG56"/>
    <mergeCell ref="AA60:AG61"/>
    <mergeCell ref="E62:Z63"/>
    <mergeCell ref="AA62:AG63"/>
    <mergeCell ref="AH62:AS63"/>
    <mergeCell ref="A52:B63"/>
    <mergeCell ref="E57:Z58"/>
    <mergeCell ref="AA57:AG58"/>
    <mergeCell ref="AH57:AS58"/>
    <mergeCell ref="K1:L6"/>
    <mergeCell ref="Q3:AL4"/>
    <mergeCell ref="Q5:AL6"/>
  </mergeCells>
  <pageMargins left="0.511811023622047" right="0.511811023622047" top="0.551181102362205" bottom="0.551181102362205" header="0.31496062992126" footer="0.31496062992126"/>
  <pageSetup paperSize="9" scale="79" fitToHeight="0"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9">
    <tabColor theme="9" tint="0.399975585192419"/>
    <pageSetUpPr fitToPage="1"/>
  </sheetPr>
  <dimension ref="A2:AL32"/>
  <sheetViews>
    <sheetView showGridLines="0" topLeftCell="A7" workbookViewId="0">
      <selection activeCell="BL27" sqref="BL27"/>
    </sheetView>
  </sheetViews>
  <sheetFormatPr defaultColWidth="2" defaultRowHeight="15.75"/>
  <cols>
    <col min="1" max="43" width="2" style="679" customWidth="1"/>
    <col min="44" max="44" width="2.14285714285714" style="679" customWidth="1"/>
    <col min="45" max="16384" width="2" style="679"/>
  </cols>
  <sheetData>
    <row r="2" spans="1:14">
      <c r="A2" s="680" t="str">
        <f>Firma</f>
        <v>LILIUM ASSET MANAGEMENT d.o.o. Sarajevo</v>
      </c>
    </row>
    <row r="3" spans="1:14">
      <c r="A3" s="679" t="str">
        <f>Sjedište</f>
        <v>Sarajevo-Stari Grad</v>
      </c>
    </row>
    <row r="4" spans="1:14">
      <c r="A4" s="681">
        <f>UnosPod!AA8</f>
        <v>4</v>
      </c>
      <c r="B4" s="681">
        <f>UnosPod!AB8</f>
        <v>2</v>
      </c>
      <c r="C4" s="681">
        <f>UnosPod!AC8</f>
        <v>0</v>
      </c>
      <c r="D4" s="681">
        <f>UnosPod!AD8</f>
        <v>1</v>
      </c>
      <c r="E4" s="681">
        <f>UnosPod!AE8</f>
        <v>3</v>
      </c>
      <c r="F4" s="681">
        <f>UnosPod!AF8</f>
        <v>3</v>
      </c>
      <c r="G4" s="681">
        <f>UnosPod!AG8</f>
        <v>7</v>
      </c>
      <c r="H4" s="681">
        <f>UnosPod!AH8</f>
        <v>6</v>
      </c>
      <c r="I4" s="681">
        <f>UnosPod!AI8</f>
        <v>7</v>
      </c>
      <c r="J4" s="681">
        <f>UnosPod!AJ8</f>
        <v>0</v>
      </c>
      <c r="K4" s="681">
        <f>UnosPod!AK8</f>
        <v>0</v>
      </c>
      <c r="L4" s="681">
        <f>UnosPod!AL8</f>
        <v>0</v>
      </c>
      <c r="M4" s="681">
        <f>UnosPod!AM8</f>
        <v>9</v>
      </c>
    </row>
    <row r="6" spans="1:14">
      <c r="A6" s="679" t="s">
        <v>7728</v>
      </c>
      <c r="E6" s="679" t="str">
        <f ca="1">" 01-03/"&amp;PoslGod+1</f>
        <v> 01-03/2026</v>
      </c>
    </row>
    <row r="7" spans="1:14">
      <c r="A7" s="679" t="s">
        <v>7349</v>
      </c>
      <c r="E7" s="679" t="str">
        <f>UnosPod!AA22&amp;UnosPod!AB22&amp;"."&amp;UnosPod!AC22&amp;UnosPod!AD22+1&amp;"."&amp;UnosPod!AE22&amp;UnosPod!AF22&amp;UnosPod!AG22&amp;UnosPod!AH22&amp;"."</f>
        <v>28.03.2026.</v>
      </c>
    </row>
    <row r="12" spans="1:14">
      <c r="A12" s="679" t="s">
        <v>7729</v>
      </c>
    </row>
    <row r="13" spans="1:14">
      <c r="A13" s="679" t="s">
        <v>7730</v>
      </c>
    </row>
    <row r="14" spans="1:14">
      <c r="A14" s="679" t="s">
        <v>7731</v>
      </c>
    </row>
    <row r="15" spans="1:14">
      <c r="A15" s="682" t="str">
        <f>Sjedište</f>
        <v>Sarajevo-Stari Grad</v>
      </c>
      <c r="B15" s="683"/>
      <c r="C15" s="683"/>
      <c r="D15" s="683"/>
      <c r="E15" s="683"/>
      <c r="F15" s="683"/>
      <c r="G15" s="683"/>
      <c r="H15" s="683"/>
      <c r="I15" s="683"/>
      <c r="J15" s="683"/>
      <c r="K15" s="683"/>
      <c r="L15" s="683"/>
      <c r="M15" s="683"/>
      <c r="N15" s="683"/>
    </row>
    <row r="16" spans="1:14">
      <c r="A16" s="679" t="s">
        <v>7732</v>
      </c>
    </row>
    <row r="19" spans="1:38">
      <c r="A19" s="679" t="s">
        <v>7733</v>
      </c>
      <c r="F19" s="679" t="str">
        <f ca="1">"Zahtjev da se preplaćeni porez na dobit za "&amp;PoslGod&amp;". godinu, uračuna u akontacije"</f>
        <v>Zahtjev da se preplaćeni porez na dobit za 2025. godinu, uračuna u akontacije</v>
      </c>
    </row>
    <row r="20" spans="1:38">
      <c r="F20" s="679" t="s">
        <v>7734</v>
      </c>
    </row>
    <row r="23" spans="1:38">
      <c r="A23" s="679" t="str">
        <f ca="1">"Pretplatu poreza na dobit po poreznom bilansu za "&amp;PoslGod&amp;". godinu u iznosu od:  "&amp;TEXT(PorBilans!AE137,"#.## [$KM-141A]")</f>
        <v>Pretplatu poreza na dobit po poreznom bilansu za 2025. godinu u iznosu od:   KM</v>
      </c>
    </row>
    <row r="24" spans="1:38">
      <c r="A24" s="679" t="s">
        <v>7735</v>
      </c>
    </row>
    <row r="25" spans="1:38">
      <c r="A25" s="679" t="s">
        <v>7736</v>
      </c>
    </row>
    <row r="27" spans="1:38">
      <c r="A27" s="679" t="s">
        <v>7737</v>
      </c>
    </row>
    <row r="30" spans="1:38">
      <c r="AB30" s="679" t="s">
        <v>7738</v>
      </c>
    </row>
    <row r="31" spans="1:38">
      <c r="T31" s="489" t="s">
        <v>7039</v>
      </c>
      <c r="AB31" s="683"/>
      <c r="AC31" s="683"/>
      <c r="AD31" s="683"/>
      <c r="AE31" s="683"/>
      <c r="AF31" s="683"/>
      <c r="AG31" s="683"/>
      <c r="AH31" s="683"/>
      <c r="AI31" s="683"/>
      <c r="AJ31" s="683"/>
      <c r="AK31" s="683"/>
      <c r="AL31" s="683"/>
    </row>
    <row r="32" spans="1:38">
      <c r="AB32" s="489" t="str">
        <f>Direktor</f>
        <v>Nedim Vilogorac</v>
      </c>
    </row>
  </sheetData>
  <customSheetViews>
    <customSheetView guid="{7A886FB3-8F08-4D3E-B7EB-0851AD05C3C6}" showGridLines="0">
      <selection activeCell="A25" sqref="A25"/>
      <pageMargins left="0.708661417322835" right="0.708661417322835" top="0.748031496062992" bottom="0.748031496062992" header="0.31496062992126" footer="0.31496062992126"/>
      <pageSetup paperSize="9" orientation="portrait"/>
      <headerFooter/>
    </customSheetView>
  </customSheetViews>
  <pageMargins left="0.708661417322835" right="0.708661417322835" top="0.748031496062992" bottom="0.748031496062992" header="0.31496062992126" footer="0.31496062992126"/>
  <pageSetup paperSize="9"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0">
    <pageSetUpPr fitToPage="1"/>
  </sheetPr>
  <dimension ref="A1:E540"/>
  <sheetViews>
    <sheetView topLeftCell="A123" workbookViewId="0">
      <selection activeCell="B152" sqref="B152"/>
    </sheetView>
  </sheetViews>
  <sheetFormatPr defaultColWidth="9" defaultRowHeight="12.75" outlineLevelCol="4"/>
  <cols>
    <col min="2" max="2" width="57" customWidth="1"/>
    <col min="3" max="3" width="14.5714285714286" style="5237" customWidth="1"/>
    <col min="4" max="4" width="88" style="458" customWidth="1"/>
  </cols>
  <sheetData>
    <row r="1" ht="17.25" spans="1:5">
      <c r="A1" s="5238"/>
      <c r="B1" s="5239"/>
      <c r="C1" s="5240"/>
      <c r="D1" s="5241"/>
    </row>
    <row r="2" ht="17.25" spans="1:5">
      <c r="A2" s="5238"/>
      <c r="B2" s="5242" t="s">
        <v>2645</v>
      </c>
      <c r="C2" s="5243"/>
      <c r="D2" s="5244"/>
    </row>
    <row r="3" ht="17.25" spans="1:5">
      <c r="A3" s="5245" t="s">
        <v>3872</v>
      </c>
      <c r="B3" s="5242" t="s">
        <v>3873</v>
      </c>
      <c r="C3" s="5246" t="s">
        <v>384</v>
      </c>
      <c r="D3" s="5244"/>
    </row>
    <row r="4" ht="17.25" spans="1:5">
      <c r="A4" s="5238">
        <v>1</v>
      </c>
      <c r="B4" s="5239" t="s">
        <v>2650</v>
      </c>
      <c r="C4" s="5246" t="s">
        <v>3874</v>
      </c>
      <c r="D4" s="5244"/>
    </row>
    <row r="5" ht="17.25" spans="1:5">
      <c r="A5" s="5238" t="s">
        <v>3875</v>
      </c>
      <c r="B5" s="5247" t="s">
        <v>3056</v>
      </c>
      <c r="C5" s="5246" t="s">
        <v>405</v>
      </c>
      <c r="D5" s="5244" t="s">
        <v>3876</v>
      </c>
    </row>
    <row r="6" ht="17.25" spans="1:5">
      <c r="A6" s="5238" t="s">
        <v>3877</v>
      </c>
      <c r="B6" s="5247" t="s">
        <v>3058</v>
      </c>
      <c r="C6" s="5246" t="s">
        <v>3878</v>
      </c>
      <c r="D6" s="5244" t="s">
        <v>3879</v>
      </c>
    </row>
    <row r="7" ht="17.25" spans="1:5">
      <c r="A7" s="5238" t="s">
        <v>3880</v>
      </c>
      <c r="B7" s="5247" t="s">
        <v>3060</v>
      </c>
      <c r="C7" s="5246" t="s">
        <v>3881</v>
      </c>
      <c r="D7" s="5244" t="s">
        <v>3882</v>
      </c>
    </row>
    <row r="8" ht="17.25" spans="1:5">
      <c r="A8" s="5238" t="s">
        <v>3883</v>
      </c>
      <c r="B8" s="5247" t="s">
        <v>3062</v>
      </c>
      <c r="C8" s="5246" t="s">
        <v>3884</v>
      </c>
      <c r="D8" s="5244" t="s">
        <v>3885</v>
      </c>
    </row>
    <row r="9" ht="17.25" spans="1:5">
      <c r="A9" s="5238" t="s">
        <v>3886</v>
      </c>
      <c r="B9" s="5247" t="s">
        <v>3064</v>
      </c>
      <c r="C9" s="5246" t="s">
        <v>3887</v>
      </c>
      <c r="D9" s="5244" t="s">
        <v>3888</v>
      </c>
    </row>
    <row r="10" ht="17.25" spans="1:5">
      <c r="A10" s="5238" t="s">
        <v>3889</v>
      </c>
      <c r="B10" s="5247" t="s">
        <v>3066</v>
      </c>
      <c r="C10" s="5246" t="s">
        <v>423</v>
      </c>
      <c r="D10" s="5244" t="s">
        <v>3890</v>
      </c>
    </row>
    <row r="11" ht="17.25" spans="1:5">
      <c r="A11" s="5238" t="s">
        <v>3891</v>
      </c>
      <c r="B11" s="5239" t="s">
        <v>2879</v>
      </c>
      <c r="C11" s="5246" t="s">
        <v>3892</v>
      </c>
      <c r="D11" s="5244"/>
    </row>
    <row r="12" ht="17.25" spans="1:5">
      <c r="A12" s="5238" t="s">
        <v>3893</v>
      </c>
      <c r="B12" s="5239" t="s">
        <v>3056</v>
      </c>
      <c r="C12" s="5246" t="s">
        <v>3894</v>
      </c>
      <c r="D12" s="5244" t="s">
        <v>3895</v>
      </c>
    </row>
    <row r="13" ht="17.25" spans="1:5">
      <c r="A13" s="5238" t="s">
        <v>3896</v>
      </c>
      <c r="B13" s="5239" t="s">
        <v>3058</v>
      </c>
      <c r="C13" s="5246" t="s">
        <v>441</v>
      </c>
      <c r="D13" s="5244" t="s">
        <v>3897</v>
      </c>
      <c r="E13" s="5248"/>
    </row>
    <row r="14" ht="17.25" spans="1:5">
      <c r="A14" s="5238" t="s">
        <v>3898</v>
      </c>
      <c r="B14" s="5239" t="s">
        <v>3070</v>
      </c>
      <c r="C14" s="5246" t="s">
        <v>616</v>
      </c>
      <c r="D14" s="5244" t="s">
        <v>3899</v>
      </c>
      <c r="E14" s="5248"/>
    </row>
    <row r="15" ht="17.25" spans="1:5">
      <c r="A15" s="5238" t="s">
        <v>3900</v>
      </c>
      <c r="B15" s="5239" t="s">
        <v>2880</v>
      </c>
      <c r="C15" s="5246" t="s">
        <v>455</v>
      </c>
      <c r="D15" s="5244" t="s">
        <v>3901</v>
      </c>
      <c r="E15" s="5248"/>
    </row>
    <row r="16" ht="17.25" spans="1:5">
      <c r="A16" s="5238" t="s">
        <v>3902</v>
      </c>
      <c r="B16" s="5239" t="s">
        <v>2654</v>
      </c>
      <c r="C16" s="5246" t="s">
        <v>3903</v>
      </c>
      <c r="D16" s="5244" t="s">
        <v>3904</v>
      </c>
      <c r="E16" s="5248"/>
    </row>
    <row r="17" ht="17.25" spans="1:5">
      <c r="A17" s="5238" t="s">
        <v>3905</v>
      </c>
      <c r="B17" s="5239" t="s">
        <v>2880</v>
      </c>
      <c r="C17" s="5246" t="s">
        <v>3906</v>
      </c>
      <c r="D17" s="5244"/>
      <c r="E17" s="5248"/>
    </row>
    <row r="18" ht="17.25" spans="1:5">
      <c r="A18" s="5238" t="s">
        <v>3907</v>
      </c>
      <c r="B18" s="5247" t="s">
        <v>3074</v>
      </c>
      <c r="C18" s="5246" t="s">
        <v>469</v>
      </c>
      <c r="D18" s="5244" t="s">
        <v>3908</v>
      </c>
      <c r="E18" s="5248"/>
    </row>
    <row r="19" ht="17.25" spans="1:5">
      <c r="A19" s="5238" t="s">
        <v>3909</v>
      </c>
      <c r="B19" s="5247" t="s">
        <v>3076</v>
      </c>
      <c r="C19" s="5246" t="s">
        <v>484</v>
      </c>
      <c r="D19" s="5244" t="s">
        <v>3910</v>
      </c>
      <c r="E19" s="5248"/>
    </row>
    <row r="20" ht="17.25" spans="1:5">
      <c r="A20" s="5238" t="s">
        <v>3911</v>
      </c>
      <c r="B20" s="5247" t="s">
        <v>3078</v>
      </c>
      <c r="C20" s="5246" t="s">
        <v>498</v>
      </c>
      <c r="D20" s="5244" t="s">
        <v>3912</v>
      </c>
      <c r="E20" s="5248"/>
    </row>
    <row r="21" ht="17.25" spans="1:5">
      <c r="A21" s="5238" t="s">
        <v>3913</v>
      </c>
      <c r="B21" s="5247" t="s">
        <v>3080</v>
      </c>
      <c r="C21" s="5246" t="s">
        <v>526</v>
      </c>
      <c r="D21" s="5244" t="s">
        <v>3914</v>
      </c>
      <c r="E21" s="5248"/>
    </row>
    <row r="22" ht="17.25" spans="1:5">
      <c r="A22" s="5238" t="s">
        <v>3915</v>
      </c>
      <c r="B22" s="5239" t="s">
        <v>2658</v>
      </c>
      <c r="C22" s="5246" t="s">
        <v>3916</v>
      </c>
      <c r="D22" s="5244" t="s">
        <v>3917</v>
      </c>
      <c r="E22" s="5248"/>
    </row>
    <row r="23" ht="17.25" spans="1:5">
      <c r="A23" s="5238" t="s">
        <v>3918</v>
      </c>
      <c r="B23" s="5239" t="s">
        <v>3082</v>
      </c>
      <c r="C23" s="5246" t="s">
        <v>541</v>
      </c>
      <c r="D23" s="5244" t="s">
        <v>3919</v>
      </c>
      <c r="E23" s="5248"/>
    </row>
    <row r="24" ht="17.25" spans="1:5">
      <c r="A24" s="5238" t="s">
        <v>3920</v>
      </c>
      <c r="B24" s="5239" t="s">
        <v>3084</v>
      </c>
      <c r="C24" s="5246" t="s">
        <v>3921</v>
      </c>
      <c r="D24" s="5244" t="s">
        <v>3922</v>
      </c>
      <c r="E24" s="5248"/>
    </row>
    <row r="25" ht="17.25" spans="1:5">
      <c r="A25" s="5238" t="s">
        <v>3923</v>
      </c>
      <c r="B25" s="5239" t="s">
        <v>3086</v>
      </c>
      <c r="C25" s="5246" t="s">
        <v>566</v>
      </c>
      <c r="D25" s="5244" t="s">
        <v>3924</v>
      </c>
      <c r="E25" s="5248"/>
    </row>
    <row r="26" ht="16.5" spans="1:5">
      <c r="A26" s="5249" t="s">
        <v>3925</v>
      </c>
      <c r="B26" s="5250" t="s">
        <v>3088</v>
      </c>
      <c r="C26" s="5251" t="s">
        <v>3926</v>
      </c>
      <c r="D26" s="5252" t="s">
        <v>3927</v>
      </c>
      <c r="E26" s="5248"/>
    </row>
    <row r="27" ht="17.25" spans="1:5">
      <c r="A27" s="5253" t="s">
        <v>3928</v>
      </c>
      <c r="B27" s="5254" t="s">
        <v>3929</v>
      </c>
      <c r="C27" s="5255" t="s">
        <v>967</v>
      </c>
      <c r="D27" s="5256"/>
      <c r="E27" s="5248"/>
    </row>
    <row r="28" ht="16.5" spans="1:5">
      <c r="A28" s="5249" t="s">
        <v>3930</v>
      </c>
      <c r="B28" s="5257" t="s">
        <v>3091</v>
      </c>
      <c r="C28" s="5251" t="s">
        <v>628</v>
      </c>
      <c r="D28" s="5252" t="s">
        <v>3931</v>
      </c>
      <c r="E28" s="5248"/>
    </row>
    <row r="29" ht="17.25" spans="1:5">
      <c r="A29" s="5253" t="s">
        <v>3932</v>
      </c>
      <c r="B29" s="5258" t="s">
        <v>3093</v>
      </c>
      <c r="C29" s="5255" t="s">
        <v>640</v>
      </c>
      <c r="D29" s="5256" t="s">
        <v>3933</v>
      </c>
      <c r="E29" s="5248"/>
    </row>
    <row r="30" ht="17.25" spans="1:5">
      <c r="A30" s="5238" t="s">
        <v>3934</v>
      </c>
      <c r="B30" s="5239" t="s">
        <v>3935</v>
      </c>
      <c r="C30" s="5246" t="s">
        <v>946</v>
      </c>
      <c r="D30" s="5244"/>
      <c r="E30" s="5248"/>
    </row>
    <row r="31" ht="17.25" spans="1:5">
      <c r="A31" s="5259">
        <v>44207</v>
      </c>
      <c r="B31" s="5247" t="s">
        <v>3098</v>
      </c>
      <c r="C31" s="5246" t="s">
        <v>3936</v>
      </c>
      <c r="D31" s="5244" t="s">
        <v>3937</v>
      </c>
      <c r="E31" s="5248"/>
    </row>
    <row r="32" ht="17.25" spans="1:5">
      <c r="A32" s="5238" t="s">
        <v>3938</v>
      </c>
      <c r="B32" s="5247" t="s">
        <v>3100</v>
      </c>
      <c r="C32" s="5246" t="s">
        <v>660</v>
      </c>
      <c r="D32" s="5244" t="s">
        <v>3939</v>
      </c>
      <c r="E32" s="5248"/>
    </row>
    <row r="33" ht="17.25" spans="1:5">
      <c r="A33" s="5238" t="s">
        <v>3940</v>
      </c>
      <c r="B33" s="5247" t="s">
        <v>3102</v>
      </c>
      <c r="C33" s="5246" t="s">
        <v>3941</v>
      </c>
      <c r="D33" s="5244" t="s">
        <v>3942</v>
      </c>
      <c r="E33" s="5248"/>
    </row>
    <row r="34" ht="17.25" spans="1:5">
      <c r="A34" s="5238" t="s">
        <v>3943</v>
      </c>
      <c r="B34" s="5247" t="s">
        <v>3104</v>
      </c>
      <c r="C34" s="5246" t="s">
        <v>669</v>
      </c>
      <c r="D34" s="5244" t="s">
        <v>3944</v>
      </c>
      <c r="E34" s="5248"/>
    </row>
    <row r="35" ht="17.25" spans="1:5">
      <c r="A35" s="5238" t="s">
        <v>3945</v>
      </c>
      <c r="B35" s="5239" t="s">
        <v>3107</v>
      </c>
      <c r="C35" s="5246" t="s">
        <v>677</v>
      </c>
      <c r="D35" s="5244" t="s">
        <v>3946</v>
      </c>
      <c r="E35" s="5248"/>
    </row>
    <row r="36" ht="16.5" spans="1:5">
      <c r="A36" s="5249" t="s">
        <v>3947</v>
      </c>
      <c r="B36" s="5250" t="s">
        <v>2663</v>
      </c>
      <c r="C36" s="5251" t="s">
        <v>686</v>
      </c>
      <c r="D36" s="5252" t="s">
        <v>3948</v>
      </c>
      <c r="E36" s="5248"/>
    </row>
    <row r="37" ht="17.25" spans="1:5">
      <c r="A37" s="5260" t="s">
        <v>3949</v>
      </c>
      <c r="B37" s="5261" t="s">
        <v>3110</v>
      </c>
      <c r="C37" s="5255" t="s">
        <v>695</v>
      </c>
      <c r="D37" s="5256" t="s">
        <v>3950</v>
      </c>
      <c r="E37" s="5248"/>
    </row>
    <row r="38" ht="17.25" spans="1:5">
      <c r="A38" s="5245" t="s">
        <v>3951</v>
      </c>
      <c r="B38" s="5242" t="s">
        <v>3952</v>
      </c>
      <c r="C38" s="5246" t="s">
        <v>704</v>
      </c>
      <c r="D38" s="5244"/>
      <c r="E38" s="5248"/>
    </row>
    <row r="39" ht="17.25" spans="1:5">
      <c r="A39" s="5238" t="s">
        <v>3953</v>
      </c>
      <c r="B39" s="5239" t="s">
        <v>2667</v>
      </c>
      <c r="C39" s="5246" t="s">
        <v>712</v>
      </c>
      <c r="D39" s="5244"/>
      <c r="E39" s="5248"/>
    </row>
    <row r="40" ht="17.25" spans="1:5">
      <c r="A40" s="5238" t="s">
        <v>3875</v>
      </c>
      <c r="B40" s="5247" t="s">
        <v>3115</v>
      </c>
      <c r="C40" s="5246" t="s">
        <v>720</v>
      </c>
      <c r="D40" s="5244" t="s">
        <v>3954</v>
      </c>
      <c r="E40" s="5248"/>
    </row>
    <row r="41" ht="17.25" spans="1:5">
      <c r="A41" s="5238" t="s">
        <v>3877</v>
      </c>
      <c r="B41" s="5247" t="s">
        <v>3118</v>
      </c>
      <c r="C41" s="5246" t="s">
        <v>3955</v>
      </c>
      <c r="D41" s="5244" t="s">
        <v>3956</v>
      </c>
      <c r="E41" s="5248"/>
    </row>
    <row r="42" ht="17.25" spans="1:5">
      <c r="A42" s="5238" t="s">
        <v>3880</v>
      </c>
      <c r="B42" s="5247" t="s">
        <v>3121</v>
      </c>
      <c r="C42" s="5246" t="s">
        <v>735</v>
      </c>
      <c r="D42" s="5244" t="s">
        <v>3957</v>
      </c>
      <c r="E42" s="5248"/>
    </row>
    <row r="43" ht="17.25" spans="1:5">
      <c r="A43" s="5238" t="s">
        <v>3883</v>
      </c>
      <c r="B43" s="5247" t="s">
        <v>3123</v>
      </c>
      <c r="C43" s="5246" t="s">
        <v>742</v>
      </c>
      <c r="D43" s="5244" t="s">
        <v>3958</v>
      </c>
      <c r="E43" s="5248"/>
    </row>
    <row r="44" ht="17.25" spans="1:5">
      <c r="A44" s="5238" t="s">
        <v>3886</v>
      </c>
      <c r="B44" s="5247" t="s">
        <v>3125</v>
      </c>
      <c r="C44" s="5246" t="s">
        <v>750</v>
      </c>
      <c r="D44" s="5244" t="s">
        <v>3959</v>
      </c>
      <c r="E44" s="5248"/>
    </row>
    <row r="45" ht="17.25" spans="1:5">
      <c r="A45" s="5238" t="s">
        <v>3891</v>
      </c>
      <c r="B45" s="5239" t="s">
        <v>2669</v>
      </c>
      <c r="C45" s="5246" t="s">
        <v>756</v>
      </c>
      <c r="D45" s="5244" t="s">
        <v>3960</v>
      </c>
      <c r="E45" s="5248"/>
    </row>
    <row r="46" ht="17.25" spans="1:5">
      <c r="A46" s="5238" t="s">
        <v>3902</v>
      </c>
      <c r="B46" s="5239" t="s">
        <v>3128</v>
      </c>
      <c r="C46" s="5246" t="s">
        <v>765</v>
      </c>
      <c r="D46" s="5244" t="s">
        <v>3961</v>
      </c>
      <c r="E46" s="5248"/>
    </row>
    <row r="47" ht="17.25" spans="1:5">
      <c r="A47" s="5238" t="s">
        <v>3905</v>
      </c>
      <c r="B47" s="5239" t="s">
        <v>3131</v>
      </c>
      <c r="C47" s="5246" t="s">
        <v>3962</v>
      </c>
      <c r="D47" s="5244"/>
      <c r="E47" s="5248"/>
    </row>
    <row r="48" ht="17.25" spans="1:5">
      <c r="A48" s="5238" t="s">
        <v>3907</v>
      </c>
      <c r="B48" s="5247" t="s">
        <v>3133</v>
      </c>
      <c r="C48" s="5246" t="s">
        <v>771</v>
      </c>
      <c r="D48" s="5244" t="s">
        <v>3963</v>
      </c>
      <c r="E48" s="5248"/>
    </row>
    <row r="49" ht="17.25" spans="1:5">
      <c r="A49" s="5238" t="s">
        <v>3909</v>
      </c>
      <c r="B49" s="5247" t="s">
        <v>3135</v>
      </c>
      <c r="C49" s="5246" t="s">
        <v>779</v>
      </c>
      <c r="D49" s="5244" t="s">
        <v>3964</v>
      </c>
      <c r="E49" s="5248"/>
    </row>
    <row r="50" ht="17.25" spans="1:5">
      <c r="A50" s="5238" t="s">
        <v>3911</v>
      </c>
      <c r="B50" s="5247" t="s">
        <v>3137</v>
      </c>
      <c r="C50" s="5246" t="s">
        <v>786</v>
      </c>
      <c r="D50" s="5244" t="s">
        <v>3965</v>
      </c>
      <c r="E50" s="5248"/>
    </row>
    <row r="51" ht="17.25" spans="1:5">
      <c r="A51" s="5238" t="s">
        <v>3915</v>
      </c>
      <c r="B51" s="5239" t="s">
        <v>3966</v>
      </c>
      <c r="C51" s="5246" t="s">
        <v>793</v>
      </c>
      <c r="D51" s="5244"/>
      <c r="E51" s="5248"/>
    </row>
    <row r="52" ht="17.25" spans="1:5">
      <c r="A52" s="5238" t="s">
        <v>3967</v>
      </c>
      <c r="B52" s="5247" t="s">
        <v>3098</v>
      </c>
      <c r="C52" s="5246" t="s">
        <v>604</v>
      </c>
      <c r="D52" s="5244" t="s">
        <v>3968</v>
      </c>
      <c r="E52" s="5248"/>
    </row>
    <row r="53" ht="17.25" spans="1:5">
      <c r="A53" s="5238" t="s">
        <v>3969</v>
      </c>
      <c r="B53" s="5247" t="s">
        <v>3100</v>
      </c>
      <c r="C53" s="5246" t="s">
        <v>801</v>
      </c>
      <c r="D53" s="5244" t="s">
        <v>3970</v>
      </c>
      <c r="E53" s="5248"/>
    </row>
    <row r="54" ht="17.25" spans="1:5">
      <c r="A54" s="5238" t="s">
        <v>3971</v>
      </c>
      <c r="B54" s="5247" t="s">
        <v>3102</v>
      </c>
      <c r="C54" s="5246" t="s">
        <v>806</v>
      </c>
      <c r="D54" s="5244" t="s">
        <v>3972</v>
      </c>
      <c r="E54" s="5248"/>
    </row>
    <row r="55" ht="16.5" spans="1:5">
      <c r="A55" s="5249" t="s">
        <v>3973</v>
      </c>
      <c r="B55" s="5257" t="s">
        <v>3104</v>
      </c>
      <c r="C55" s="5251" t="s">
        <v>3974</v>
      </c>
      <c r="D55" s="5252" t="s">
        <v>3975</v>
      </c>
      <c r="E55" s="5248"/>
    </row>
    <row r="56" ht="17.25" spans="1:5">
      <c r="A56" s="5253" t="s">
        <v>3918</v>
      </c>
      <c r="B56" s="5254" t="s">
        <v>3107</v>
      </c>
      <c r="C56" s="5255" t="s">
        <v>928</v>
      </c>
      <c r="D56" s="5256" t="s">
        <v>3976</v>
      </c>
      <c r="E56" s="5248"/>
    </row>
    <row r="57" ht="17.25" spans="1:5">
      <c r="A57" s="5238" t="s">
        <v>3920</v>
      </c>
      <c r="B57" s="5239" t="s">
        <v>3143</v>
      </c>
      <c r="C57" s="5246" t="s">
        <v>811</v>
      </c>
      <c r="D57" s="5244" t="s">
        <v>3977</v>
      </c>
      <c r="E57" s="5248"/>
    </row>
    <row r="58" ht="17.25" spans="1:5">
      <c r="A58" s="5238" t="s">
        <v>3923</v>
      </c>
      <c r="B58" s="5239" t="s">
        <v>3146</v>
      </c>
      <c r="C58" s="5246" t="s">
        <v>553</v>
      </c>
      <c r="D58" s="5244" t="s">
        <v>3978</v>
      </c>
      <c r="E58" s="5248"/>
    </row>
    <row r="59" ht="17.25" spans="1:5">
      <c r="A59" s="5238" t="s">
        <v>3925</v>
      </c>
      <c r="B59" s="5239" t="s">
        <v>3149</v>
      </c>
      <c r="C59" s="5246" t="s">
        <v>815</v>
      </c>
      <c r="D59" s="5244" t="s">
        <v>3979</v>
      </c>
      <c r="E59" s="5248"/>
    </row>
    <row r="60" ht="17.25" spans="1:5">
      <c r="A60" s="5238" t="s">
        <v>3928</v>
      </c>
      <c r="B60" s="5239" t="s">
        <v>2678</v>
      </c>
      <c r="C60" s="5246" t="s">
        <v>3980</v>
      </c>
      <c r="D60" s="5244" t="s">
        <v>3981</v>
      </c>
      <c r="E60" s="5248"/>
    </row>
    <row r="61" ht="16.5" spans="1:5">
      <c r="A61" s="5249" t="s">
        <v>3934</v>
      </c>
      <c r="B61" s="5250" t="s">
        <v>2680</v>
      </c>
      <c r="C61" s="5251" t="s">
        <v>820</v>
      </c>
      <c r="D61" s="5252" t="s">
        <v>3982</v>
      </c>
      <c r="E61" s="5248"/>
    </row>
    <row r="62" ht="17.25" spans="1:5">
      <c r="A62" s="5260" t="s">
        <v>3983</v>
      </c>
      <c r="B62" s="5261" t="s">
        <v>3984</v>
      </c>
      <c r="C62" s="5255" t="s">
        <v>826</v>
      </c>
      <c r="D62" s="5256"/>
      <c r="E62" s="5248"/>
    </row>
    <row r="63" ht="17.25" spans="1:5">
      <c r="A63" s="5245" t="s">
        <v>3985</v>
      </c>
      <c r="B63" s="5242" t="s">
        <v>2684</v>
      </c>
      <c r="C63" s="5246" t="s">
        <v>3986</v>
      </c>
      <c r="D63" s="5244"/>
      <c r="E63" s="5248"/>
    </row>
    <row r="64" ht="17.25" spans="1:5">
      <c r="A64" s="5245" t="s">
        <v>3987</v>
      </c>
      <c r="B64" s="5242" t="s">
        <v>3988</v>
      </c>
      <c r="C64" s="5246" t="s">
        <v>3989</v>
      </c>
      <c r="D64" s="5244"/>
      <c r="E64" s="5248"/>
    </row>
    <row r="65" ht="13.5" spans="1:4">
      <c r="C65"/>
      <c r="D65"/>
    </row>
    <row r="66" ht="17.25" spans="1:4">
      <c r="A66" s="5262"/>
      <c r="B66" s="5263" t="s">
        <v>2690</v>
      </c>
      <c r="C66" s="5264"/>
      <c r="D66" s="5265"/>
    </row>
    <row r="67" ht="17.25" spans="1:4">
      <c r="A67" s="5238" t="s">
        <v>3953</v>
      </c>
      <c r="B67" s="5239" t="s">
        <v>3990</v>
      </c>
      <c r="C67" s="5246">
        <v>101</v>
      </c>
      <c r="D67" s="5244"/>
    </row>
    <row r="68" ht="17.25" spans="1:4">
      <c r="A68" s="5238" t="s">
        <v>3875</v>
      </c>
      <c r="B68" s="5247" t="s">
        <v>3158</v>
      </c>
      <c r="C68" s="5246">
        <v>102</v>
      </c>
      <c r="D68" s="5244" t="s">
        <v>3991</v>
      </c>
    </row>
    <row r="69" ht="17.25" spans="1:4">
      <c r="A69" s="5238" t="s">
        <v>3877</v>
      </c>
      <c r="B69" s="5247" t="s">
        <v>3160</v>
      </c>
      <c r="C69" s="5246">
        <v>103</v>
      </c>
      <c r="D69" s="5244" t="s">
        <v>3992</v>
      </c>
    </row>
    <row r="70" ht="17.25" spans="1:4">
      <c r="A70" s="5238" t="s">
        <v>3880</v>
      </c>
      <c r="B70" s="5247" t="s">
        <v>3162</v>
      </c>
      <c r="C70" s="5246">
        <v>104</v>
      </c>
      <c r="D70" s="5244" t="s">
        <v>3993</v>
      </c>
    </row>
    <row r="71" ht="17.25" spans="1:4">
      <c r="A71" s="5238" t="s">
        <v>3883</v>
      </c>
      <c r="B71" s="5247" t="s">
        <v>3165</v>
      </c>
      <c r="C71" s="5246">
        <v>105</v>
      </c>
      <c r="D71" s="5244" t="s">
        <v>3994</v>
      </c>
    </row>
    <row r="72" ht="17.25" spans="1:4">
      <c r="A72" s="5238" t="s">
        <v>3886</v>
      </c>
      <c r="B72" s="5247" t="s">
        <v>3167</v>
      </c>
      <c r="C72" s="5246">
        <v>106</v>
      </c>
      <c r="D72" s="5244" t="s">
        <v>3995</v>
      </c>
    </row>
    <row r="73" ht="17.25" spans="1:4">
      <c r="A73" s="5238" t="s">
        <v>3891</v>
      </c>
      <c r="B73" s="5239" t="s">
        <v>2694</v>
      </c>
      <c r="C73" s="5246">
        <v>107</v>
      </c>
      <c r="D73" s="5244" t="s">
        <v>3996</v>
      </c>
    </row>
    <row r="74" ht="17.25" spans="1:4">
      <c r="A74" s="5238" t="s">
        <v>3902</v>
      </c>
      <c r="B74" s="5239" t="s">
        <v>3997</v>
      </c>
      <c r="C74" s="5246">
        <v>108</v>
      </c>
      <c r="D74" s="5244"/>
    </row>
    <row r="75" ht="17.25" spans="1:4">
      <c r="A75" s="5238" t="s">
        <v>3998</v>
      </c>
      <c r="B75" s="5247" t="s">
        <v>3171</v>
      </c>
      <c r="C75" s="5246">
        <v>109</v>
      </c>
      <c r="D75" s="5244" t="s">
        <v>3999</v>
      </c>
    </row>
    <row r="76" ht="17.25" spans="1:4">
      <c r="A76" s="5238" t="s">
        <v>4000</v>
      </c>
      <c r="B76" s="5247" t="s">
        <v>3173</v>
      </c>
      <c r="C76" s="5246">
        <v>110</v>
      </c>
      <c r="D76" s="5244" t="s">
        <v>4001</v>
      </c>
    </row>
    <row r="77" ht="17.25" spans="1:4">
      <c r="A77" s="5238" t="s">
        <v>3905</v>
      </c>
      <c r="B77" s="5239" t="s">
        <v>4002</v>
      </c>
      <c r="C77" s="5246">
        <v>111</v>
      </c>
      <c r="D77" s="5244"/>
    </row>
    <row r="78" ht="17.25" spans="1:4">
      <c r="A78" s="5238" t="s">
        <v>3907</v>
      </c>
      <c r="B78" s="5247" t="s">
        <v>3177</v>
      </c>
      <c r="C78" s="5246">
        <v>112</v>
      </c>
      <c r="D78" s="5244" t="s">
        <v>4003</v>
      </c>
    </row>
    <row r="79" ht="17.25" spans="1:4">
      <c r="A79" s="5238" t="s">
        <v>3909</v>
      </c>
      <c r="B79" s="5247" t="s">
        <v>3180</v>
      </c>
      <c r="C79" s="5246">
        <v>113</v>
      </c>
      <c r="D79" s="5244" t="s">
        <v>4004</v>
      </c>
    </row>
    <row r="80" ht="17.25" spans="1:4">
      <c r="A80" s="5238" t="s">
        <v>3911</v>
      </c>
      <c r="B80" s="5247" t="s">
        <v>3183</v>
      </c>
      <c r="C80" s="5246">
        <v>114</v>
      </c>
      <c r="D80" s="5244" t="s">
        <v>4005</v>
      </c>
    </row>
    <row r="81" ht="17.25" spans="1:4">
      <c r="A81" s="5238" t="s">
        <v>3915</v>
      </c>
      <c r="B81" s="5239" t="s">
        <v>4006</v>
      </c>
      <c r="C81" s="5246">
        <v>115</v>
      </c>
      <c r="D81" s="5244"/>
    </row>
    <row r="82" ht="17.25" spans="1:4">
      <c r="A82" s="5238" t="s">
        <v>3967</v>
      </c>
      <c r="B82" s="5247" t="s">
        <v>2703</v>
      </c>
      <c r="C82" s="5246">
        <v>116</v>
      </c>
      <c r="D82" s="5244" t="s">
        <v>4007</v>
      </c>
    </row>
    <row r="83" ht="17.25" spans="1:4">
      <c r="A83" s="5238" t="s">
        <v>3969</v>
      </c>
      <c r="B83" s="5247" t="s">
        <v>2706</v>
      </c>
      <c r="C83" s="5246">
        <v>117</v>
      </c>
      <c r="D83" s="5244" t="s">
        <v>4008</v>
      </c>
    </row>
    <row r="84" ht="17.25" spans="1:4">
      <c r="A84" s="5238" t="s">
        <v>3918</v>
      </c>
      <c r="B84" s="5239" t="s">
        <v>4009</v>
      </c>
      <c r="C84" s="5246">
        <v>118</v>
      </c>
      <c r="D84" s="5244"/>
    </row>
    <row r="85" ht="17.25" spans="1:4">
      <c r="A85" s="5238" t="s">
        <v>4010</v>
      </c>
      <c r="B85" s="5247" t="s">
        <v>2711</v>
      </c>
      <c r="C85" s="5246">
        <v>119</v>
      </c>
      <c r="D85" s="5244" t="s">
        <v>4011</v>
      </c>
    </row>
    <row r="86" ht="17.25" spans="1:4">
      <c r="A86" s="5238" t="s">
        <v>4012</v>
      </c>
      <c r="B86" s="5247" t="s">
        <v>2714</v>
      </c>
      <c r="C86" s="5246">
        <v>120</v>
      </c>
      <c r="D86" s="5244" t="s">
        <v>4013</v>
      </c>
    </row>
    <row r="87" ht="17.25" spans="1:4">
      <c r="A87" s="5238" t="s">
        <v>3920</v>
      </c>
      <c r="B87" s="5239" t="s">
        <v>4014</v>
      </c>
      <c r="C87" s="5246">
        <v>121</v>
      </c>
      <c r="D87" s="5244"/>
    </row>
    <row r="88" ht="17.25" spans="1:4">
      <c r="A88" s="5238" t="s">
        <v>3923</v>
      </c>
      <c r="B88" s="5239" t="s">
        <v>3192</v>
      </c>
      <c r="C88" s="5246">
        <v>122</v>
      </c>
      <c r="D88" s="5244" t="s">
        <v>4015</v>
      </c>
    </row>
    <row r="89" ht="17.25" spans="1:4">
      <c r="A89" s="5245" t="s">
        <v>3872</v>
      </c>
      <c r="B89" s="5242" t="s">
        <v>4016</v>
      </c>
      <c r="C89" s="5246">
        <v>123</v>
      </c>
      <c r="D89" s="5244"/>
    </row>
    <row r="90" ht="17.25" spans="1:4">
      <c r="A90" s="5238"/>
      <c r="B90" s="5242" t="s">
        <v>2719</v>
      </c>
      <c r="C90" s="5246"/>
      <c r="D90" s="5244"/>
    </row>
    <row r="91" ht="17.25" spans="1:4">
      <c r="A91" s="5245" t="s">
        <v>3949</v>
      </c>
      <c r="B91" s="5242" t="s">
        <v>4017</v>
      </c>
      <c r="C91" s="5246">
        <v>124</v>
      </c>
      <c r="D91" s="5244"/>
    </row>
    <row r="92" ht="17.25" spans="1:4">
      <c r="A92" s="5238" t="s">
        <v>3953</v>
      </c>
      <c r="B92" s="5239" t="s">
        <v>4018</v>
      </c>
      <c r="C92" s="5246">
        <v>125</v>
      </c>
      <c r="D92" s="5244"/>
    </row>
    <row r="93" ht="17.25" spans="1:4">
      <c r="A93" s="5238" t="s">
        <v>3875</v>
      </c>
      <c r="B93" s="5247" t="s">
        <v>3201</v>
      </c>
      <c r="C93" s="5246">
        <v>126</v>
      </c>
      <c r="D93" s="5244" t="s">
        <v>4019</v>
      </c>
    </row>
    <row r="94" ht="17.25" spans="1:4">
      <c r="A94" s="5238" t="s">
        <v>3877</v>
      </c>
      <c r="B94" s="5247" t="s">
        <v>3204</v>
      </c>
      <c r="C94" s="5246">
        <v>127</v>
      </c>
      <c r="D94" s="5244" t="s">
        <v>4020</v>
      </c>
    </row>
    <row r="95" ht="17.25" spans="1:4">
      <c r="A95" s="5238" t="s">
        <v>3880</v>
      </c>
      <c r="B95" s="5247" t="s">
        <v>3207</v>
      </c>
      <c r="C95" s="5246">
        <v>128</v>
      </c>
      <c r="D95" s="5244" t="s">
        <v>4021</v>
      </c>
    </row>
    <row r="96" ht="17.25" spans="1:4">
      <c r="A96" s="5238" t="s">
        <v>3883</v>
      </c>
      <c r="B96" s="5247" t="s">
        <v>3210</v>
      </c>
      <c r="C96" s="5246">
        <v>129</v>
      </c>
      <c r="D96" s="5244" t="s">
        <v>4022</v>
      </c>
    </row>
    <row r="97" ht="17.25" spans="1:4">
      <c r="A97" s="5238" t="s">
        <v>3891</v>
      </c>
      <c r="B97" s="5239" t="s">
        <v>3213</v>
      </c>
      <c r="C97" s="5246">
        <v>130</v>
      </c>
      <c r="D97" s="5244" t="s">
        <v>4023</v>
      </c>
    </row>
    <row r="98" ht="17.25" spans="1:4">
      <c r="A98" s="5238" t="s">
        <v>3902</v>
      </c>
      <c r="B98" s="5239" t="s">
        <v>2728</v>
      </c>
      <c r="C98" s="5246">
        <v>131</v>
      </c>
      <c r="D98" s="5244" t="s">
        <v>4024</v>
      </c>
    </row>
    <row r="99" ht="17.25" spans="1:4">
      <c r="A99" s="5238" t="s">
        <v>3905</v>
      </c>
      <c r="B99" s="5239" t="s">
        <v>2731</v>
      </c>
      <c r="C99" s="5246">
        <v>132</v>
      </c>
      <c r="D99" s="5244" t="s">
        <v>4025</v>
      </c>
    </row>
    <row r="100" ht="17.25" spans="1:4">
      <c r="A100" s="5245" t="s">
        <v>3951</v>
      </c>
      <c r="B100" s="5242" t="s">
        <v>3215</v>
      </c>
      <c r="C100" s="5246">
        <v>133</v>
      </c>
      <c r="D100" s="5244" t="s">
        <v>4026</v>
      </c>
    </row>
    <row r="101" ht="17.25" spans="1:4">
      <c r="A101" s="5245" t="s">
        <v>3983</v>
      </c>
      <c r="B101" s="5242" t="s">
        <v>4027</v>
      </c>
      <c r="C101" s="5246">
        <v>134</v>
      </c>
      <c r="D101" s="5244"/>
    </row>
    <row r="102" ht="17.25" spans="1:4">
      <c r="A102" s="5238" t="s">
        <v>3953</v>
      </c>
      <c r="B102" s="5239" t="s">
        <v>4018</v>
      </c>
      <c r="C102" s="5246">
        <v>135</v>
      </c>
      <c r="D102" s="5244"/>
    </row>
    <row r="103" ht="17.25" spans="1:4">
      <c r="A103" s="5238" t="s">
        <v>3875</v>
      </c>
      <c r="B103" s="5247" t="s">
        <v>3223</v>
      </c>
      <c r="C103" s="5246">
        <v>136</v>
      </c>
      <c r="D103" s="5244" t="s">
        <v>4028</v>
      </c>
    </row>
    <row r="104" ht="17.25" spans="1:4">
      <c r="A104" s="5238" t="s">
        <v>3877</v>
      </c>
      <c r="B104" s="5247" t="s">
        <v>3226</v>
      </c>
      <c r="C104" s="5246">
        <v>137</v>
      </c>
      <c r="D104" s="5244" t="s">
        <v>4029</v>
      </c>
    </row>
    <row r="105" ht="17.25" spans="1:4">
      <c r="A105" s="5238" t="s">
        <v>3880</v>
      </c>
      <c r="B105" s="5247" t="s">
        <v>3201</v>
      </c>
      <c r="C105" s="5246">
        <v>138</v>
      </c>
      <c r="D105" s="5244" t="s">
        <v>4030</v>
      </c>
    </row>
    <row r="106" ht="17.25" spans="1:4">
      <c r="A106" s="5238" t="s">
        <v>3883</v>
      </c>
      <c r="B106" s="5247" t="s">
        <v>3204</v>
      </c>
      <c r="C106" s="5246">
        <v>139</v>
      </c>
      <c r="D106" s="5244" t="s">
        <v>4031</v>
      </c>
    </row>
    <row r="107" ht="17.25" spans="1:4">
      <c r="A107" s="5238" t="s">
        <v>3886</v>
      </c>
      <c r="B107" s="5247" t="s">
        <v>3207</v>
      </c>
      <c r="C107" s="5246">
        <v>140</v>
      </c>
      <c r="D107" s="5244" t="s">
        <v>4032</v>
      </c>
    </row>
    <row r="108" ht="17.25" spans="1:4">
      <c r="A108" s="5238" t="s">
        <v>3889</v>
      </c>
      <c r="B108" s="5247" t="s">
        <v>3210</v>
      </c>
      <c r="C108" s="5246">
        <v>141</v>
      </c>
      <c r="D108" s="5244" t="s">
        <v>4033</v>
      </c>
    </row>
    <row r="109" ht="17.25" spans="1:4">
      <c r="A109" s="5238" t="s">
        <v>3891</v>
      </c>
      <c r="B109" s="5239" t="s">
        <v>3232</v>
      </c>
      <c r="C109" s="5246">
        <v>142</v>
      </c>
      <c r="D109" s="5244" t="s">
        <v>4034</v>
      </c>
    </row>
    <row r="110" ht="17.25" spans="1:4">
      <c r="A110" s="5238" t="s">
        <v>3902</v>
      </c>
      <c r="B110" s="5239" t="s">
        <v>3146</v>
      </c>
      <c r="C110" s="5246">
        <v>143</v>
      </c>
      <c r="D110" s="5244" t="s">
        <v>4035</v>
      </c>
    </row>
    <row r="111" ht="17.25" spans="1:4">
      <c r="A111" s="5238" t="s">
        <v>3905</v>
      </c>
      <c r="B111" s="5239" t="s">
        <v>3213</v>
      </c>
      <c r="C111" s="5246">
        <v>144</v>
      </c>
      <c r="D111" s="5244" t="s">
        <v>4036</v>
      </c>
    </row>
    <row r="112" ht="17.25" spans="1:4">
      <c r="A112" s="5238" t="s">
        <v>3915</v>
      </c>
      <c r="B112" s="5239" t="s">
        <v>2728</v>
      </c>
      <c r="C112" s="5246">
        <v>145</v>
      </c>
      <c r="D112" s="5244" t="s">
        <v>4037</v>
      </c>
    </row>
    <row r="113" ht="17.25" spans="1:4">
      <c r="A113" s="5238" t="s">
        <v>3918</v>
      </c>
      <c r="B113" s="5239" t="s">
        <v>2743</v>
      </c>
      <c r="C113" s="5246">
        <v>146</v>
      </c>
      <c r="D113" s="5244" t="s">
        <v>3981</v>
      </c>
    </row>
    <row r="114" ht="31.5" customHeight="1" spans="1:4">
      <c r="A114" s="5266" t="s">
        <v>3920</v>
      </c>
      <c r="B114" s="5267" t="s">
        <v>2731</v>
      </c>
      <c r="C114" s="5268">
        <v>147</v>
      </c>
      <c r="D114" s="5269" t="s">
        <v>4038</v>
      </c>
    </row>
    <row r="115" ht="17.25" spans="1:4">
      <c r="A115" s="5270" t="s">
        <v>3985</v>
      </c>
      <c r="B115" s="5263" t="s">
        <v>4039</v>
      </c>
      <c r="C115" s="5264">
        <v>148</v>
      </c>
      <c r="D115" s="5265"/>
    </row>
    <row r="116" ht="17.25" spans="1:4">
      <c r="A116" s="5245" t="s">
        <v>3987</v>
      </c>
      <c r="B116" s="5242" t="s">
        <v>2749</v>
      </c>
      <c r="C116" s="5246">
        <v>149</v>
      </c>
      <c r="D116" s="5244"/>
    </row>
    <row r="117" ht="17.25" spans="1:4">
      <c r="A117" s="5245" t="s">
        <v>4040</v>
      </c>
      <c r="B117" s="5242" t="s">
        <v>2684</v>
      </c>
      <c r="C117" s="5246">
        <v>150</v>
      </c>
      <c r="D117" s="5244"/>
    </row>
    <row r="118" ht="17.25" spans="1:4">
      <c r="A118" s="5245" t="s">
        <v>4041</v>
      </c>
      <c r="B118" s="5242" t="s">
        <v>4042</v>
      </c>
      <c r="C118" s="5246">
        <v>151</v>
      </c>
      <c r="D118" s="5244"/>
    </row>
    <row r="119" ht="15" spans="1:4">
      <c r="A119" s="5271"/>
    </row>
    <row r="120" spans="1:4">
      <c r="A120" s="2"/>
    </row>
    <row r="121" ht="17.25" spans="1:4">
      <c r="A121" s="5272"/>
    </row>
    <row r="122" ht="33.75" spans="1:4">
      <c r="A122" s="5273" t="s">
        <v>2505</v>
      </c>
      <c r="B122" s="5270" t="s">
        <v>4043</v>
      </c>
      <c r="C122" s="5274" t="s">
        <v>4044</v>
      </c>
      <c r="D122" s="5275" t="s">
        <v>4045</v>
      </c>
    </row>
    <row r="123" ht="17.25" spans="1:4">
      <c r="A123" s="5238"/>
      <c r="B123" s="5239"/>
      <c r="C123" s="5240"/>
      <c r="D123" s="5241"/>
    </row>
    <row r="124" ht="17.25" spans="1:4">
      <c r="A124" s="5238"/>
      <c r="B124" s="5242" t="s">
        <v>2756</v>
      </c>
      <c r="C124" s="5246"/>
      <c r="D124" s="5244"/>
    </row>
    <row r="125" ht="17.25" spans="1:4">
      <c r="A125" s="5245" t="s">
        <v>3872</v>
      </c>
      <c r="B125" s="5276" t="s">
        <v>4046</v>
      </c>
      <c r="C125" s="5277">
        <v>201</v>
      </c>
      <c r="D125" s="5244"/>
    </row>
    <row r="126" ht="17.25" spans="1:4">
      <c r="A126" s="5238" t="s">
        <v>3953</v>
      </c>
      <c r="B126" s="5278" t="s">
        <v>4047</v>
      </c>
      <c r="C126" s="5277">
        <v>202</v>
      </c>
      <c r="D126" s="5244"/>
    </row>
    <row r="127" ht="17.25" spans="1:4">
      <c r="A127" s="5238" t="s">
        <v>3875</v>
      </c>
      <c r="B127" s="5247" t="s">
        <v>2554</v>
      </c>
      <c r="C127" s="5246">
        <v>203</v>
      </c>
      <c r="D127" s="5244" t="s">
        <v>4048</v>
      </c>
    </row>
    <row r="128" ht="17.25" spans="1:4">
      <c r="A128" s="5238" t="s">
        <v>3877</v>
      </c>
      <c r="B128" s="5247" t="s">
        <v>2556</v>
      </c>
      <c r="C128" s="5246">
        <v>204</v>
      </c>
      <c r="D128" s="5244" t="s">
        <v>4049</v>
      </c>
    </row>
    <row r="129" ht="17.25" spans="1:4">
      <c r="A129" s="5238" t="s">
        <v>3880</v>
      </c>
      <c r="B129" s="5247" t="s">
        <v>2558</v>
      </c>
      <c r="C129" s="5246">
        <v>205</v>
      </c>
      <c r="D129" s="5244" t="s">
        <v>4050</v>
      </c>
    </row>
    <row r="130" ht="17.25" spans="1:4">
      <c r="A130" s="5238" t="s">
        <v>3891</v>
      </c>
      <c r="B130" s="5279" t="s">
        <v>4051</v>
      </c>
      <c r="C130" s="5277">
        <v>206</v>
      </c>
      <c r="D130" s="5244"/>
    </row>
    <row r="131" ht="17.25" spans="1:4">
      <c r="A131" s="5238" t="s">
        <v>3893</v>
      </c>
      <c r="B131" s="5247" t="s">
        <v>2554</v>
      </c>
      <c r="C131" s="5246">
        <v>207</v>
      </c>
      <c r="D131" s="5244" t="s">
        <v>4052</v>
      </c>
    </row>
    <row r="132" ht="17.25" spans="1:4">
      <c r="A132" s="5238" t="s">
        <v>3896</v>
      </c>
      <c r="B132" s="5247" t="s">
        <v>2556</v>
      </c>
      <c r="C132" s="5246">
        <v>208</v>
      </c>
      <c r="D132" s="5244" t="s">
        <v>4053</v>
      </c>
    </row>
    <row r="133" ht="17.25" spans="1:4">
      <c r="A133" s="5238" t="s">
        <v>3898</v>
      </c>
      <c r="B133" s="5247" t="s">
        <v>2558</v>
      </c>
      <c r="C133" s="5246">
        <v>209</v>
      </c>
      <c r="D133" s="5244" t="s">
        <v>4054</v>
      </c>
    </row>
    <row r="134" ht="17.25" spans="1:4">
      <c r="A134" s="5238" t="s">
        <v>3902</v>
      </c>
      <c r="B134" s="5239" t="s">
        <v>4055</v>
      </c>
      <c r="C134" s="5246">
        <v>210</v>
      </c>
      <c r="D134" s="5244"/>
    </row>
    <row r="135" ht="17.25" spans="1:4">
      <c r="A135" s="5238" t="s">
        <v>3998</v>
      </c>
      <c r="B135" s="5247" t="s">
        <v>2554</v>
      </c>
      <c r="C135" s="5246">
        <v>211</v>
      </c>
      <c r="D135" s="5244" t="s">
        <v>4056</v>
      </c>
    </row>
    <row r="136" ht="17.25" spans="1:4">
      <c r="A136" s="5238" t="s">
        <v>4000</v>
      </c>
      <c r="B136" s="5247" t="s">
        <v>2556</v>
      </c>
      <c r="C136" s="5246">
        <v>212</v>
      </c>
      <c r="D136" s="5244" t="s">
        <v>4057</v>
      </c>
    </row>
    <row r="137" ht="17.25" spans="1:4">
      <c r="A137" s="5238" t="s">
        <v>4058</v>
      </c>
      <c r="B137" s="5247" t="s">
        <v>2558</v>
      </c>
      <c r="C137" s="5246">
        <v>213</v>
      </c>
      <c r="D137" s="5244" t="s">
        <v>4059</v>
      </c>
    </row>
    <row r="138" ht="17.25" spans="1:4">
      <c r="A138" s="5245" t="s">
        <v>3949</v>
      </c>
      <c r="B138" s="5276" t="s">
        <v>4060</v>
      </c>
      <c r="C138" s="5277">
        <v>214</v>
      </c>
      <c r="D138" s="5244"/>
    </row>
    <row r="139" ht="17.25" spans="1:4">
      <c r="A139" s="5238" t="s">
        <v>3953</v>
      </c>
      <c r="B139" s="5239" t="s">
        <v>4061</v>
      </c>
      <c r="C139" s="5246">
        <v>215</v>
      </c>
      <c r="D139" s="5244" t="s">
        <v>4062</v>
      </c>
    </row>
    <row r="140" ht="17.25" spans="1:4">
      <c r="A140" s="5238" t="s">
        <v>3875</v>
      </c>
      <c r="B140" s="5247" t="s">
        <v>2772</v>
      </c>
      <c r="C140" s="5246">
        <v>216</v>
      </c>
      <c r="D140" s="5244" t="s">
        <v>4063</v>
      </c>
    </row>
    <row r="141" ht="17.25" spans="1:4">
      <c r="A141" s="5238" t="s">
        <v>3877</v>
      </c>
      <c r="B141" s="5247" t="s">
        <v>2774</v>
      </c>
      <c r="C141" s="5246">
        <v>217</v>
      </c>
      <c r="D141" s="5244" t="s">
        <v>4064</v>
      </c>
    </row>
    <row r="142" ht="17.25" spans="1:4">
      <c r="A142" s="5238" t="s">
        <v>3880</v>
      </c>
      <c r="B142" s="5247" t="s">
        <v>2776</v>
      </c>
      <c r="C142" s="5246">
        <v>218</v>
      </c>
      <c r="D142" s="5244" t="s">
        <v>4065</v>
      </c>
    </row>
    <row r="143" ht="17.25" spans="1:4">
      <c r="A143" s="5238" t="s">
        <v>3883</v>
      </c>
      <c r="B143" s="5247" t="s">
        <v>2779</v>
      </c>
      <c r="C143" s="5246">
        <v>219</v>
      </c>
      <c r="D143" s="5244" t="s">
        <v>4066</v>
      </c>
    </row>
    <row r="144" ht="17.25" spans="1:4">
      <c r="A144" s="5238" t="s">
        <v>3886</v>
      </c>
      <c r="B144" s="5247" t="s">
        <v>2781</v>
      </c>
      <c r="C144" s="5246">
        <v>220</v>
      </c>
      <c r="D144" s="5244" t="s">
        <v>4067</v>
      </c>
    </row>
    <row r="145" ht="17.25" spans="1:4">
      <c r="A145" s="5238" t="s">
        <v>3889</v>
      </c>
      <c r="B145" s="5247" t="s">
        <v>2783</v>
      </c>
      <c r="C145" s="5246">
        <v>221</v>
      </c>
      <c r="D145" s="5244" t="s">
        <v>4068</v>
      </c>
    </row>
    <row r="146" ht="17.25" spans="1:4">
      <c r="A146" s="5238" t="s">
        <v>4069</v>
      </c>
      <c r="B146" s="5247" t="s">
        <v>2785</v>
      </c>
      <c r="C146" s="5246">
        <v>222</v>
      </c>
      <c r="D146" s="5244" t="s">
        <v>4063</v>
      </c>
    </row>
    <row r="147" ht="17.25" spans="1:4">
      <c r="A147" s="5238" t="s">
        <v>4070</v>
      </c>
      <c r="B147" s="5247" t="s">
        <v>2787</v>
      </c>
      <c r="C147" s="5246">
        <v>223</v>
      </c>
      <c r="D147" s="5244" t="s">
        <v>4071</v>
      </c>
    </row>
    <row r="148" ht="17.25" spans="1:4">
      <c r="A148" s="5238" t="s">
        <v>4072</v>
      </c>
      <c r="B148" s="5247" t="s">
        <v>2789</v>
      </c>
      <c r="C148" s="5246">
        <v>224</v>
      </c>
      <c r="D148" s="5244" t="s">
        <v>4073</v>
      </c>
    </row>
    <row r="149" ht="17.25" spans="1:4">
      <c r="A149" s="5238" t="s">
        <v>4074</v>
      </c>
      <c r="B149" s="5247" t="s">
        <v>2791</v>
      </c>
      <c r="C149" s="5246">
        <v>225</v>
      </c>
      <c r="D149" s="5244" t="s">
        <v>4075</v>
      </c>
    </row>
    <row r="150" ht="17.25" spans="1:4">
      <c r="A150" s="5238" t="s">
        <v>4076</v>
      </c>
      <c r="B150" s="5247" t="s">
        <v>2793</v>
      </c>
      <c r="C150" s="5246">
        <v>226</v>
      </c>
      <c r="D150" s="5244" t="s">
        <v>4077</v>
      </c>
    </row>
    <row r="151" ht="17.25" spans="1:4">
      <c r="A151" s="5238" t="s">
        <v>4078</v>
      </c>
      <c r="B151" s="5247" t="s">
        <v>2795</v>
      </c>
      <c r="C151" s="5246">
        <v>227</v>
      </c>
      <c r="D151" s="5244" t="s">
        <v>4079</v>
      </c>
    </row>
    <row r="152" ht="17.25" spans="1:4">
      <c r="A152" s="5238" t="s">
        <v>4080</v>
      </c>
      <c r="B152" s="5247" t="s">
        <v>2797</v>
      </c>
      <c r="C152" s="5246">
        <v>228</v>
      </c>
      <c r="D152" s="5244" t="s">
        <v>4081</v>
      </c>
    </row>
    <row r="153" ht="17.25" spans="1:4">
      <c r="A153" s="5238" t="s">
        <v>4082</v>
      </c>
      <c r="B153" s="5247" t="s">
        <v>2799</v>
      </c>
      <c r="C153" s="5246">
        <v>229</v>
      </c>
      <c r="D153" s="5244" t="s">
        <v>4083</v>
      </c>
    </row>
    <row r="154" ht="17.25" spans="1:4">
      <c r="A154" s="5238" t="s">
        <v>3891</v>
      </c>
      <c r="B154" s="5239" t="s">
        <v>4084</v>
      </c>
      <c r="C154" s="5246">
        <v>230</v>
      </c>
      <c r="D154" s="5244" t="s">
        <v>4062</v>
      </c>
    </row>
    <row r="155" ht="17.25" spans="1:4">
      <c r="A155" s="5238" t="s">
        <v>3893</v>
      </c>
      <c r="B155" s="5247" t="s">
        <v>2805</v>
      </c>
      <c r="C155" s="5246">
        <v>231</v>
      </c>
      <c r="D155" s="5244" t="s">
        <v>4085</v>
      </c>
    </row>
    <row r="156" ht="17.25" spans="1:4">
      <c r="A156" s="5238" t="s">
        <v>3896</v>
      </c>
      <c r="B156" s="5247" t="s">
        <v>2808</v>
      </c>
      <c r="C156" s="5246">
        <v>232</v>
      </c>
      <c r="D156" s="5244" t="s">
        <v>4086</v>
      </c>
    </row>
    <row r="157" ht="17.25" spans="1:4">
      <c r="A157" s="5238" t="s">
        <v>3898</v>
      </c>
      <c r="B157" s="5247" t="s">
        <v>2811</v>
      </c>
      <c r="C157" s="5246">
        <v>233</v>
      </c>
      <c r="D157" s="5244" t="s">
        <v>4087</v>
      </c>
    </row>
    <row r="158" ht="17.25" spans="1:4">
      <c r="A158" s="5238" t="s">
        <v>3900</v>
      </c>
      <c r="B158" s="5247" t="s">
        <v>2814</v>
      </c>
      <c r="C158" s="5246">
        <v>234</v>
      </c>
      <c r="D158" s="5244" t="s">
        <v>4088</v>
      </c>
    </row>
    <row r="159" ht="17.25" spans="1:4">
      <c r="A159" s="5238" t="s">
        <v>4089</v>
      </c>
      <c r="B159" s="5247" t="s">
        <v>2817</v>
      </c>
      <c r="C159" s="5246">
        <v>235</v>
      </c>
      <c r="D159" s="5244" t="s">
        <v>4090</v>
      </c>
    </row>
    <row r="160" ht="17.25" spans="1:4">
      <c r="A160" s="5238" t="s">
        <v>4091</v>
      </c>
      <c r="B160" s="5247" t="s">
        <v>2820</v>
      </c>
      <c r="C160" s="5246">
        <v>236</v>
      </c>
      <c r="D160" s="5244" t="s">
        <v>4092</v>
      </c>
    </row>
    <row r="161" ht="17.25" spans="1:4">
      <c r="A161" s="5238" t="s">
        <v>4093</v>
      </c>
      <c r="B161" s="5247" t="s">
        <v>2823</v>
      </c>
      <c r="C161" s="5246">
        <v>237</v>
      </c>
      <c r="D161" s="5244" t="s">
        <v>4094</v>
      </c>
    </row>
    <row r="162" ht="17.25" spans="1:4">
      <c r="A162" s="5238" t="s">
        <v>4095</v>
      </c>
      <c r="B162" s="5247" t="s">
        <v>2826</v>
      </c>
      <c r="C162" s="5246">
        <v>238</v>
      </c>
      <c r="D162" s="5244" t="s">
        <v>4096</v>
      </c>
    </row>
    <row r="163" ht="17.25" spans="1:4">
      <c r="A163" s="5238" t="s">
        <v>4097</v>
      </c>
      <c r="B163" s="5247" t="s">
        <v>2829</v>
      </c>
      <c r="C163" s="5246">
        <v>239</v>
      </c>
      <c r="D163" s="5244" t="s">
        <v>4098</v>
      </c>
    </row>
    <row r="164" ht="17.25" spans="1:4">
      <c r="A164" s="5259" t="s">
        <v>4099</v>
      </c>
      <c r="B164" s="5239" t="s">
        <v>2832</v>
      </c>
      <c r="C164" s="5246">
        <v>240</v>
      </c>
      <c r="D164" s="5244" t="s">
        <v>4083</v>
      </c>
    </row>
    <row r="165" ht="17.25" spans="1:4">
      <c r="A165" s="5238" t="s">
        <v>3902</v>
      </c>
      <c r="B165" s="5239" t="s">
        <v>2955</v>
      </c>
      <c r="C165" s="5246">
        <v>241</v>
      </c>
      <c r="D165" s="5244" t="s">
        <v>4100</v>
      </c>
    </row>
    <row r="166" ht="17.25" spans="1:4">
      <c r="A166" s="5238" t="s">
        <v>3905</v>
      </c>
      <c r="B166" s="5239" t="s">
        <v>2838</v>
      </c>
      <c r="C166" s="5246">
        <v>242</v>
      </c>
      <c r="D166" s="5244" t="s">
        <v>4101</v>
      </c>
    </row>
    <row r="167" ht="17.25" spans="1:4">
      <c r="A167" s="5238" t="s">
        <v>3915</v>
      </c>
      <c r="B167" s="5239" t="s">
        <v>2840</v>
      </c>
      <c r="C167" s="5246">
        <v>243</v>
      </c>
      <c r="D167" s="5244" t="s">
        <v>4102</v>
      </c>
    </row>
    <row r="168" ht="17.25" spans="1:4">
      <c r="A168" s="5238" t="s">
        <v>3918</v>
      </c>
      <c r="B168" s="5239" t="s">
        <v>2842</v>
      </c>
      <c r="C168" s="5246">
        <v>244</v>
      </c>
      <c r="D168" s="5244" t="s">
        <v>4103</v>
      </c>
    </row>
    <row r="169" ht="17.25" spans="1:4">
      <c r="A169" s="5238" t="s">
        <v>3920</v>
      </c>
      <c r="B169" s="5239" t="s">
        <v>2844</v>
      </c>
      <c r="C169" s="5246">
        <v>245</v>
      </c>
      <c r="D169" s="5244" t="s">
        <v>4104</v>
      </c>
    </row>
    <row r="170" ht="17.25" spans="1:4">
      <c r="A170" s="5238" t="s">
        <v>3923</v>
      </c>
      <c r="B170" s="5239" t="s">
        <v>2846</v>
      </c>
      <c r="C170" s="5246">
        <v>246</v>
      </c>
      <c r="D170" s="5244" t="s">
        <v>4105</v>
      </c>
    </row>
    <row r="171" ht="17.25" spans="1:4">
      <c r="A171" s="5238" t="s">
        <v>3925</v>
      </c>
      <c r="B171" s="5239" t="s">
        <v>2594</v>
      </c>
      <c r="C171" s="5246">
        <v>247</v>
      </c>
      <c r="D171" s="5244"/>
    </row>
    <row r="172" ht="17.25" spans="1:4">
      <c r="A172" s="5238" t="s">
        <v>4106</v>
      </c>
      <c r="B172" s="5247" t="s">
        <v>2849</v>
      </c>
      <c r="C172" s="5246">
        <v>248</v>
      </c>
      <c r="D172" s="5244" t="s">
        <v>4107</v>
      </c>
    </row>
    <row r="173" ht="17.25" spans="1:4">
      <c r="A173" s="5238" t="s">
        <v>4108</v>
      </c>
      <c r="B173" s="5247" t="s">
        <v>2851</v>
      </c>
      <c r="C173" s="5246">
        <v>249</v>
      </c>
      <c r="D173" s="5244" t="s">
        <v>4109</v>
      </c>
    </row>
    <row r="174" ht="17.25" spans="1:4">
      <c r="A174" s="5238" t="s">
        <v>4110</v>
      </c>
      <c r="B174" s="5247" t="s">
        <v>2854</v>
      </c>
      <c r="C174" s="5246">
        <v>250</v>
      </c>
      <c r="D174" s="5244" t="s">
        <v>4111</v>
      </c>
    </row>
    <row r="175" ht="17.25" spans="1:4">
      <c r="A175" s="5238" t="s">
        <v>3928</v>
      </c>
      <c r="B175" s="5279" t="s">
        <v>2857</v>
      </c>
      <c r="C175" s="5277">
        <v>251</v>
      </c>
      <c r="D175" s="5244" t="s">
        <v>4112</v>
      </c>
    </row>
    <row r="176" ht="17.25" spans="1:4">
      <c r="A176" s="5245" t="s">
        <v>3951</v>
      </c>
      <c r="B176" s="5276" t="s">
        <v>4113</v>
      </c>
      <c r="C176" s="5277">
        <v>252</v>
      </c>
      <c r="D176" s="5244"/>
    </row>
    <row r="177" ht="17.25" spans="1:4">
      <c r="A177" s="5245" t="s">
        <v>3983</v>
      </c>
      <c r="B177" s="5276" t="s">
        <v>4114</v>
      </c>
      <c r="C177" s="5277">
        <v>253</v>
      </c>
      <c r="D177" s="5244"/>
    </row>
    <row r="178" ht="17.25" spans="1:4">
      <c r="A178" s="5238" t="s">
        <v>3953</v>
      </c>
      <c r="B178" s="5279" t="s">
        <v>2563</v>
      </c>
      <c r="C178" s="5277">
        <v>254</v>
      </c>
      <c r="D178" s="5244" t="s">
        <v>4115</v>
      </c>
    </row>
    <row r="179" ht="17.25" spans="1:4">
      <c r="A179" s="5238" t="s">
        <v>3891</v>
      </c>
      <c r="B179" s="5279" t="s">
        <v>4116</v>
      </c>
      <c r="C179" s="5277">
        <v>255</v>
      </c>
      <c r="D179" s="5244" t="s">
        <v>4117</v>
      </c>
    </row>
    <row r="180" ht="17.25" spans="1:4">
      <c r="A180" s="5238" t="s">
        <v>3902</v>
      </c>
      <c r="B180" s="5279" t="s">
        <v>2569</v>
      </c>
      <c r="C180" s="5277">
        <v>256</v>
      </c>
      <c r="D180" s="5244" t="s">
        <v>4118</v>
      </c>
    </row>
    <row r="181" ht="17.25" spans="1:4">
      <c r="A181" s="5238" t="s">
        <v>3905</v>
      </c>
      <c r="B181" s="5279" t="s">
        <v>2571</v>
      </c>
      <c r="C181" s="5277">
        <v>257</v>
      </c>
      <c r="D181" s="5244" t="s">
        <v>4119</v>
      </c>
    </row>
    <row r="182" ht="17.25" spans="1:4">
      <c r="A182" s="5238" t="s">
        <v>3915</v>
      </c>
      <c r="B182" s="5279" t="s">
        <v>2573</v>
      </c>
      <c r="C182" s="5277">
        <v>258</v>
      </c>
      <c r="D182" s="5244"/>
    </row>
    <row r="183" ht="17.25" spans="1:4">
      <c r="A183" s="5238" t="s">
        <v>3967</v>
      </c>
      <c r="B183" s="5247" t="s">
        <v>2867</v>
      </c>
      <c r="C183" s="5246">
        <v>259</v>
      </c>
      <c r="D183" s="5244" t="s">
        <v>4120</v>
      </c>
    </row>
    <row r="184" ht="17.25" spans="1:4">
      <c r="A184" s="5238" t="s">
        <v>3969</v>
      </c>
      <c r="B184" s="5247" t="s">
        <v>2869</v>
      </c>
      <c r="C184" s="5246">
        <v>260</v>
      </c>
      <c r="D184" s="5244" t="s">
        <v>4121</v>
      </c>
    </row>
    <row r="185" ht="17.25" spans="1:4">
      <c r="A185" s="5238" t="s">
        <v>3971</v>
      </c>
      <c r="B185" s="5247" t="s">
        <v>2871</v>
      </c>
      <c r="C185" s="5246">
        <v>261</v>
      </c>
      <c r="D185" s="5244" t="s">
        <v>4122</v>
      </c>
    </row>
    <row r="186" ht="17.25" spans="1:4">
      <c r="A186" s="5238" t="s">
        <v>3918</v>
      </c>
      <c r="B186" s="5279" t="s">
        <v>4123</v>
      </c>
      <c r="C186" s="5277">
        <v>262</v>
      </c>
      <c r="D186" s="5244"/>
    </row>
    <row r="187" ht="17.25" spans="1:4">
      <c r="A187" s="5238" t="s">
        <v>4010</v>
      </c>
      <c r="B187" s="5247" t="s">
        <v>2876</v>
      </c>
      <c r="C187" s="5246">
        <v>263</v>
      </c>
      <c r="D187" s="5244" t="s">
        <v>4124</v>
      </c>
    </row>
    <row r="188" ht="17.25" spans="1:4">
      <c r="A188" s="5238" t="s">
        <v>4012</v>
      </c>
      <c r="B188" s="5247" t="s">
        <v>2877</v>
      </c>
      <c r="C188" s="5246">
        <v>264</v>
      </c>
      <c r="D188" s="5244" t="s">
        <v>4124</v>
      </c>
    </row>
    <row r="189" ht="17.25" spans="1:4">
      <c r="A189" s="5238" t="s">
        <v>4125</v>
      </c>
      <c r="B189" s="5247" t="s">
        <v>2879</v>
      </c>
      <c r="C189" s="5246">
        <v>265</v>
      </c>
      <c r="D189" s="5244" t="s">
        <v>4124</v>
      </c>
    </row>
    <row r="190" ht="17.25" spans="1:4">
      <c r="A190" s="5238" t="s">
        <v>4126</v>
      </c>
      <c r="B190" s="5247" t="s">
        <v>2880</v>
      </c>
      <c r="C190" s="5246">
        <v>266</v>
      </c>
      <c r="D190" s="5244" t="s">
        <v>4124</v>
      </c>
    </row>
    <row r="191" ht="17.25" spans="1:4">
      <c r="A191" s="5238" t="s">
        <v>4127</v>
      </c>
      <c r="B191" s="5247" t="s">
        <v>2881</v>
      </c>
      <c r="C191" s="5246">
        <v>267</v>
      </c>
      <c r="D191" s="5244" t="s">
        <v>4124</v>
      </c>
    </row>
    <row r="192" ht="17.25" spans="1:4">
      <c r="A192" s="5238" t="s">
        <v>4128</v>
      </c>
      <c r="B192" s="5247" t="s">
        <v>2882</v>
      </c>
      <c r="C192" s="5246">
        <v>268</v>
      </c>
      <c r="D192" s="5244" t="s">
        <v>4124</v>
      </c>
    </row>
    <row r="193" ht="17.25" spans="1:4">
      <c r="A193" s="5238" t="s">
        <v>3920</v>
      </c>
      <c r="B193" s="5279" t="s">
        <v>2885</v>
      </c>
      <c r="C193" s="5277">
        <v>269</v>
      </c>
      <c r="D193" s="5244" t="s">
        <v>4129</v>
      </c>
    </row>
    <row r="194" ht="17.25" spans="1:4">
      <c r="A194" s="5238" t="s">
        <v>3923</v>
      </c>
      <c r="B194" s="5279" t="s">
        <v>2578</v>
      </c>
      <c r="C194" s="5277">
        <v>270</v>
      </c>
      <c r="D194" s="5244" t="s">
        <v>4130</v>
      </c>
    </row>
    <row r="195" ht="17.25" spans="1:4">
      <c r="A195" s="5245" t="s">
        <v>3985</v>
      </c>
      <c r="B195" s="5276" t="s">
        <v>4131</v>
      </c>
      <c r="C195" s="5277">
        <v>271</v>
      </c>
      <c r="D195" s="5244"/>
    </row>
    <row r="196" ht="17.25" spans="1:4">
      <c r="A196" s="5238" t="s">
        <v>3953</v>
      </c>
      <c r="B196" s="5239" t="s">
        <v>4132</v>
      </c>
      <c r="C196" s="5246">
        <v>272</v>
      </c>
      <c r="D196" s="5244" t="s">
        <v>4133</v>
      </c>
    </row>
    <row r="197" ht="17.25" spans="1:4">
      <c r="A197" s="5238" t="s">
        <v>3875</v>
      </c>
      <c r="B197" s="5247" t="s">
        <v>2892</v>
      </c>
      <c r="C197" s="5246">
        <v>273</v>
      </c>
      <c r="D197" s="5244" t="s">
        <v>4063</v>
      </c>
    </row>
    <row r="198" ht="17.25" spans="1:4">
      <c r="A198" s="5238" t="s">
        <v>3877</v>
      </c>
      <c r="B198" s="5247" t="s">
        <v>2894</v>
      </c>
      <c r="C198" s="5246">
        <v>274</v>
      </c>
      <c r="D198" s="5244" t="s">
        <v>4064</v>
      </c>
    </row>
    <row r="199" ht="17.25" spans="1:4">
      <c r="A199" s="5238" t="s">
        <v>3880</v>
      </c>
      <c r="B199" s="5247" t="s">
        <v>2896</v>
      </c>
      <c r="C199" s="5246">
        <v>275</v>
      </c>
      <c r="D199" s="5244" t="s">
        <v>4065</v>
      </c>
    </row>
    <row r="200" ht="17.25" spans="1:4">
      <c r="A200" s="5238" t="s">
        <v>3883</v>
      </c>
      <c r="B200" s="5247" t="s">
        <v>2899</v>
      </c>
      <c r="C200" s="5246">
        <v>276</v>
      </c>
      <c r="D200" s="5244" t="s">
        <v>4066</v>
      </c>
    </row>
    <row r="201" ht="17.25" spans="1:4">
      <c r="A201" s="5238" t="s">
        <v>3886</v>
      </c>
      <c r="B201" s="5247" t="s">
        <v>2901</v>
      </c>
      <c r="C201" s="5246">
        <v>277</v>
      </c>
      <c r="D201" s="5244" t="s">
        <v>4067</v>
      </c>
    </row>
    <row r="202" ht="17.25" spans="1:4">
      <c r="A202" s="5238" t="s">
        <v>3889</v>
      </c>
      <c r="B202" s="5247" t="s">
        <v>2903</v>
      </c>
      <c r="C202" s="5246">
        <v>278</v>
      </c>
      <c r="D202" s="5244" t="s">
        <v>4068</v>
      </c>
    </row>
    <row r="203" ht="17.25" spans="1:4">
      <c r="A203" s="5238" t="s">
        <v>4069</v>
      </c>
      <c r="B203" s="5247" t="s">
        <v>2905</v>
      </c>
      <c r="C203" s="5246">
        <v>279</v>
      </c>
      <c r="D203" s="5244" t="s">
        <v>4063</v>
      </c>
    </row>
    <row r="204" ht="17.25" spans="1:4">
      <c r="A204" s="5238" t="s">
        <v>4070</v>
      </c>
      <c r="B204" s="5247" t="s">
        <v>2907</v>
      </c>
      <c r="C204" s="5246">
        <v>280</v>
      </c>
      <c r="D204" s="5244" t="s">
        <v>4071</v>
      </c>
    </row>
    <row r="205" ht="17.25" spans="1:4">
      <c r="A205" s="5238" t="s">
        <v>4072</v>
      </c>
      <c r="B205" s="5247" t="s">
        <v>2909</v>
      </c>
      <c r="C205" s="5246">
        <v>281</v>
      </c>
      <c r="D205" s="5244" t="s">
        <v>4073</v>
      </c>
    </row>
    <row r="206" ht="17.25" spans="1:4">
      <c r="A206" s="5238" t="s">
        <v>4074</v>
      </c>
      <c r="B206" s="5247" t="s">
        <v>2911</v>
      </c>
      <c r="C206" s="5246">
        <v>282</v>
      </c>
      <c r="D206" s="5244" t="s">
        <v>4075</v>
      </c>
    </row>
    <row r="207" ht="17.25" spans="1:4">
      <c r="A207" s="5238" t="s">
        <v>4076</v>
      </c>
      <c r="B207" s="5247" t="s">
        <v>2913</v>
      </c>
      <c r="C207" s="5246">
        <v>283</v>
      </c>
      <c r="D207" s="5244" t="s">
        <v>4077</v>
      </c>
    </row>
    <row r="208" ht="17.25" spans="1:4">
      <c r="A208" s="5238" t="s">
        <v>4078</v>
      </c>
      <c r="B208" s="5247" t="s">
        <v>2915</v>
      </c>
      <c r="C208" s="5246">
        <v>284</v>
      </c>
      <c r="D208" s="5244" t="s">
        <v>4079</v>
      </c>
    </row>
    <row r="209" ht="17.25" spans="1:4">
      <c r="A209" s="5238" t="s">
        <v>4080</v>
      </c>
      <c r="B209" s="5247" t="s">
        <v>2917</v>
      </c>
      <c r="C209" s="5246">
        <v>285</v>
      </c>
      <c r="D209" s="5244" t="s">
        <v>4081</v>
      </c>
    </row>
    <row r="210" ht="17.25" spans="1:4">
      <c r="A210" s="5238" t="s">
        <v>4082</v>
      </c>
      <c r="B210" s="5247" t="s">
        <v>2919</v>
      </c>
      <c r="C210" s="5246">
        <v>286</v>
      </c>
      <c r="D210" s="5244" t="s">
        <v>4083</v>
      </c>
    </row>
    <row r="211" ht="17.25" spans="1:4">
      <c r="A211" s="5238" t="s">
        <v>3891</v>
      </c>
      <c r="B211" s="5239" t="s">
        <v>4134</v>
      </c>
      <c r="C211" s="5246">
        <v>287</v>
      </c>
      <c r="D211" s="5244" t="s">
        <v>4133</v>
      </c>
    </row>
    <row r="212" ht="17.25" spans="1:4">
      <c r="A212" s="5238" t="s">
        <v>3893</v>
      </c>
      <c r="B212" s="5247" t="s">
        <v>2925</v>
      </c>
      <c r="C212" s="5246">
        <v>288</v>
      </c>
      <c r="D212" s="5244" t="s">
        <v>4085</v>
      </c>
    </row>
    <row r="213" ht="17.25" spans="1:4">
      <c r="A213" s="5238" t="s">
        <v>3896</v>
      </c>
      <c r="B213" s="5247" t="s">
        <v>2928</v>
      </c>
      <c r="C213" s="5246">
        <v>289</v>
      </c>
      <c r="D213" s="5244" t="s">
        <v>4135</v>
      </c>
    </row>
    <row r="214" ht="17.25" spans="1:4">
      <c r="A214" s="5238" t="s">
        <v>3898</v>
      </c>
      <c r="B214" s="5247" t="s">
        <v>2931</v>
      </c>
      <c r="C214" s="5246">
        <v>290</v>
      </c>
      <c r="D214" s="5244" t="s">
        <v>4087</v>
      </c>
    </row>
    <row r="215" ht="17.25" spans="1:4">
      <c r="A215" s="5238" t="s">
        <v>3900</v>
      </c>
      <c r="B215" s="5247" t="s">
        <v>2934</v>
      </c>
      <c r="C215" s="5246">
        <v>291</v>
      </c>
      <c r="D215" s="5244" t="s">
        <v>4088</v>
      </c>
    </row>
    <row r="216" ht="17.25" spans="1:4">
      <c r="A216" s="5238" t="s">
        <v>4089</v>
      </c>
      <c r="B216" s="5247" t="s">
        <v>2937</v>
      </c>
      <c r="C216" s="5246">
        <v>292</v>
      </c>
      <c r="D216" s="5244" t="s">
        <v>4090</v>
      </c>
    </row>
    <row r="217" ht="17.25" spans="1:4">
      <c r="A217" s="5238" t="s">
        <v>4091</v>
      </c>
      <c r="B217" s="5247" t="s">
        <v>2940</v>
      </c>
      <c r="C217" s="5246">
        <v>293</v>
      </c>
      <c r="D217" s="5244" t="s">
        <v>4136</v>
      </c>
    </row>
    <row r="218" ht="17.25" spans="1:4">
      <c r="A218" s="5238" t="s">
        <v>4093</v>
      </c>
      <c r="B218" s="5247" t="s">
        <v>2943</v>
      </c>
      <c r="C218" s="5280">
        <v>294</v>
      </c>
      <c r="D218" s="5244" t="s">
        <v>4094</v>
      </c>
    </row>
    <row r="219" ht="17.25" spans="1:4">
      <c r="A219" s="5238" t="s">
        <v>4095</v>
      </c>
      <c r="B219" s="5247" t="s">
        <v>2946</v>
      </c>
      <c r="C219" s="5264">
        <v>295</v>
      </c>
      <c r="D219" s="5244" t="s">
        <v>4096</v>
      </c>
    </row>
    <row r="220" ht="17.25" spans="1:4">
      <c r="A220" s="5238" t="s">
        <v>4097</v>
      </c>
      <c r="B220" s="5247" t="s">
        <v>2949</v>
      </c>
      <c r="C220" s="5246">
        <v>296</v>
      </c>
      <c r="D220" s="5244" t="s">
        <v>4098</v>
      </c>
    </row>
    <row r="221" ht="17.25" spans="1:4">
      <c r="A221" s="5259" t="s">
        <v>4099</v>
      </c>
      <c r="B221" s="5247" t="s">
        <v>2952</v>
      </c>
      <c r="C221" s="5246">
        <v>297</v>
      </c>
      <c r="D221" s="5244" t="s">
        <v>4083</v>
      </c>
    </row>
    <row r="222" ht="17.25" spans="1:4">
      <c r="A222" s="5238" t="s">
        <v>3902</v>
      </c>
      <c r="B222" s="5239" t="s">
        <v>2955</v>
      </c>
      <c r="C222" s="5246">
        <v>298</v>
      </c>
      <c r="D222" s="5244" t="s">
        <v>4100</v>
      </c>
    </row>
    <row r="223" ht="17.25" spans="1:4">
      <c r="A223" s="5238" t="s">
        <v>3905</v>
      </c>
      <c r="B223" s="5239" t="s">
        <v>2956</v>
      </c>
      <c r="C223" s="5246">
        <v>299</v>
      </c>
      <c r="D223" s="5244" t="s">
        <v>4101</v>
      </c>
    </row>
    <row r="224" ht="17.25" spans="1:4">
      <c r="A224" s="5238" t="s">
        <v>3915</v>
      </c>
      <c r="B224" s="5239" t="s">
        <v>2958</v>
      </c>
      <c r="C224" s="5246">
        <v>300</v>
      </c>
      <c r="D224" s="5244" t="s">
        <v>4102</v>
      </c>
    </row>
    <row r="225" ht="17.25" spans="1:4">
      <c r="A225" s="5238" t="s">
        <v>3918</v>
      </c>
      <c r="B225" s="5239" t="s">
        <v>2960</v>
      </c>
      <c r="C225" s="5246">
        <v>301</v>
      </c>
      <c r="D225" s="5244" t="s">
        <v>4137</v>
      </c>
    </row>
    <row r="226" ht="17.25" spans="1:4">
      <c r="A226" s="5238" t="s">
        <v>3920</v>
      </c>
      <c r="B226" s="5239" t="s">
        <v>2962</v>
      </c>
      <c r="C226" s="5246">
        <v>302</v>
      </c>
      <c r="D226" s="5244" t="s">
        <v>4105</v>
      </c>
    </row>
    <row r="227" ht="16.5" spans="1:4">
      <c r="A227" s="5249" t="s">
        <v>3923</v>
      </c>
      <c r="B227" s="5250" t="s">
        <v>2964</v>
      </c>
      <c r="C227" s="5251">
        <v>303</v>
      </c>
      <c r="D227" s="5252" t="s">
        <v>4138</v>
      </c>
    </row>
    <row r="228" ht="17.25" spans="1:4">
      <c r="A228" s="5253" t="s">
        <v>3925</v>
      </c>
      <c r="B228" s="5254" t="s">
        <v>2597</v>
      </c>
      <c r="C228" s="5255">
        <v>304</v>
      </c>
      <c r="D228" s="5256"/>
    </row>
    <row r="229" ht="17.25" spans="1:4">
      <c r="A229" s="5238" t="s">
        <v>4106</v>
      </c>
      <c r="B229" s="5247" t="s">
        <v>2970</v>
      </c>
      <c r="C229" s="5246">
        <v>305</v>
      </c>
      <c r="D229" s="5244" t="s">
        <v>4139</v>
      </c>
    </row>
    <row r="230" ht="17.25" spans="1:4">
      <c r="A230" s="5238" t="s">
        <v>4108</v>
      </c>
      <c r="B230" s="5247" t="s">
        <v>2972</v>
      </c>
      <c r="C230" s="5246">
        <v>306</v>
      </c>
      <c r="D230" s="5244" t="s">
        <v>4109</v>
      </c>
    </row>
    <row r="231" ht="17.25" spans="1:4">
      <c r="A231" s="5238" t="s">
        <v>4110</v>
      </c>
      <c r="B231" s="5247" t="s">
        <v>2975</v>
      </c>
      <c r="C231" s="5246">
        <v>307</v>
      </c>
      <c r="D231" s="5244" t="s">
        <v>4140</v>
      </c>
    </row>
    <row r="232" ht="17.25" spans="1:4">
      <c r="A232" s="5238" t="s">
        <v>3928</v>
      </c>
      <c r="B232" s="5279" t="s">
        <v>2602</v>
      </c>
      <c r="C232" s="5277">
        <v>308</v>
      </c>
      <c r="D232" s="5244" t="s">
        <v>4141</v>
      </c>
    </row>
    <row r="233" ht="17.25" spans="1:4">
      <c r="A233" s="5245" t="s">
        <v>4142</v>
      </c>
      <c r="B233" s="5276" t="s">
        <v>4143</v>
      </c>
      <c r="C233" s="5277">
        <v>309</v>
      </c>
      <c r="D233" s="5244"/>
    </row>
    <row r="234" ht="17.25" spans="1:4">
      <c r="A234" s="5245" t="s">
        <v>4040</v>
      </c>
      <c r="B234" s="5242" t="s">
        <v>4144</v>
      </c>
      <c r="C234" s="5246">
        <v>310</v>
      </c>
      <c r="D234" s="5244"/>
    </row>
    <row r="235" ht="17.25" spans="1:4">
      <c r="A235" s="5245" t="s">
        <v>4041</v>
      </c>
      <c r="B235" s="5242" t="s">
        <v>4145</v>
      </c>
      <c r="C235" s="5246">
        <v>311</v>
      </c>
      <c r="D235" s="5244"/>
    </row>
    <row r="236" ht="17.25" spans="1:4">
      <c r="A236" s="5245" t="s">
        <v>4146</v>
      </c>
      <c r="B236" s="5242" t="s">
        <v>4147</v>
      </c>
      <c r="C236" s="5246">
        <v>312</v>
      </c>
      <c r="D236" s="5244"/>
    </row>
    <row r="237" ht="17.25" spans="1:4">
      <c r="A237" s="5238" t="s">
        <v>3953</v>
      </c>
      <c r="B237" s="5239" t="s">
        <v>2613</v>
      </c>
      <c r="C237" s="5246">
        <v>313</v>
      </c>
      <c r="D237" s="5244" t="s">
        <v>4148</v>
      </c>
    </row>
    <row r="238" ht="17.25" spans="1:4">
      <c r="A238" s="5238" t="s">
        <v>3891</v>
      </c>
      <c r="B238" s="5239" t="s">
        <v>2615</v>
      </c>
      <c r="C238" s="5246">
        <v>314</v>
      </c>
      <c r="D238" s="5244"/>
    </row>
    <row r="239" ht="17.25" spans="1:4">
      <c r="A239" s="5238" t="s">
        <v>3893</v>
      </c>
      <c r="B239" s="5247" t="s">
        <v>2988</v>
      </c>
      <c r="C239" s="5246">
        <v>315</v>
      </c>
      <c r="D239" s="5244" t="s">
        <v>4149</v>
      </c>
    </row>
    <row r="240" ht="17.25" spans="1:4">
      <c r="A240" s="5238" t="s">
        <v>3896</v>
      </c>
      <c r="B240" s="5247" t="s">
        <v>2991</v>
      </c>
      <c r="C240" s="5246">
        <v>316</v>
      </c>
      <c r="D240" s="5244" t="s">
        <v>4150</v>
      </c>
    </row>
    <row r="241" ht="17.25" spans="1:4">
      <c r="A241" s="5238" t="s">
        <v>3898</v>
      </c>
      <c r="B241" s="5247" t="s">
        <v>2994</v>
      </c>
      <c r="C241" s="5246">
        <v>317</v>
      </c>
      <c r="D241" s="5244" t="s">
        <v>4151</v>
      </c>
    </row>
    <row r="242" ht="17.25" spans="1:4">
      <c r="A242" s="5238" t="s">
        <v>3900</v>
      </c>
      <c r="B242" s="5247" t="s">
        <v>2997</v>
      </c>
      <c r="C242" s="5246">
        <v>318</v>
      </c>
      <c r="D242" s="5244" t="s">
        <v>4152</v>
      </c>
    </row>
    <row r="243" ht="17.25" spans="1:4">
      <c r="A243" s="5245" t="s">
        <v>4153</v>
      </c>
      <c r="B243" s="5242" t="s">
        <v>4154</v>
      </c>
      <c r="C243" s="5246">
        <v>319</v>
      </c>
      <c r="D243" s="5244"/>
    </row>
    <row r="244" ht="17.25" spans="1:4">
      <c r="A244" s="5245" t="s">
        <v>4155</v>
      </c>
      <c r="B244" s="5242" t="s">
        <v>4156</v>
      </c>
      <c r="C244" s="5246">
        <v>320</v>
      </c>
      <c r="D244" s="5244"/>
    </row>
    <row r="245" ht="17.25" spans="1:4">
      <c r="A245" s="5245" t="s">
        <v>4157</v>
      </c>
      <c r="B245" s="5242" t="s">
        <v>3004</v>
      </c>
      <c r="C245" s="5246">
        <v>321</v>
      </c>
      <c r="D245" s="5244" t="s">
        <v>4158</v>
      </c>
    </row>
    <row r="246" ht="17.25" spans="1:4">
      <c r="A246" s="5245" t="s">
        <v>4159</v>
      </c>
      <c r="B246" s="5242" t="s">
        <v>4160</v>
      </c>
      <c r="C246" s="5246">
        <v>322</v>
      </c>
      <c r="D246" s="5244"/>
    </row>
    <row r="247" ht="17.25" spans="1:4">
      <c r="A247" s="5245" t="s">
        <v>4161</v>
      </c>
      <c r="B247" s="5242" t="s">
        <v>4162</v>
      </c>
      <c r="C247" s="5246">
        <v>323</v>
      </c>
      <c r="D247" s="5244"/>
    </row>
    <row r="248" ht="17.25" spans="1:4">
      <c r="A248" s="5245"/>
      <c r="B248" s="5242" t="s">
        <v>2623</v>
      </c>
      <c r="C248" s="5243"/>
      <c r="D248" s="5244"/>
    </row>
    <row r="249" ht="17.25" spans="1:4">
      <c r="A249" s="5245" t="s">
        <v>4163</v>
      </c>
      <c r="B249" s="5242" t="s">
        <v>4164</v>
      </c>
      <c r="C249" s="5246">
        <v>324</v>
      </c>
      <c r="D249" s="5244"/>
    </row>
    <row r="250" ht="17.25" spans="1:4">
      <c r="A250" s="5238" t="s">
        <v>3953</v>
      </c>
      <c r="B250" s="5239" t="s">
        <v>4165</v>
      </c>
      <c r="C250" s="5246">
        <v>325</v>
      </c>
      <c r="D250" s="5244"/>
    </row>
    <row r="251" ht="30.75" spans="1:4">
      <c r="A251" s="5238" t="s">
        <v>3875</v>
      </c>
      <c r="B251" s="5247" t="s">
        <v>3014</v>
      </c>
      <c r="C251" s="5246">
        <v>326</v>
      </c>
      <c r="D251" s="5244" t="s">
        <v>4166</v>
      </c>
    </row>
    <row r="252" ht="30.75" spans="1:4">
      <c r="A252" s="5238" t="s">
        <v>3877</v>
      </c>
      <c r="B252" s="5247" t="s">
        <v>3016</v>
      </c>
      <c r="C252" s="5246">
        <v>327</v>
      </c>
      <c r="D252" s="5244" t="s">
        <v>4167</v>
      </c>
    </row>
    <row r="253" ht="17.25" spans="1:4">
      <c r="A253" s="5238" t="s">
        <v>3880</v>
      </c>
      <c r="B253" s="5247" t="s">
        <v>3018</v>
      </c>
      <c r="C253" s="5246">
        <v>328</v>
      </c>
      <c r="D253" s="5244" t="s">
        <v>4105</v>
      </c>
    </row>
    <row r="254" ht="30.75" spans="1:4">
      <c r="A254" s="5238" t="s">
        <v>3883</v>
      </c>
      <c r="B254" s="5247" t="s">
        <v>3020</v>
      </c>
      <c r="C254" s="5246">
        <v>329</v>
      </c>
      <c r="D254" s="5244" t="s">
        <v>4168</v>
      </c>
    </row>
    <row r="255" ht="17.25" spans="1:4">
      <c r="A255" s="5238" t="s">
        <v>3886</v>
      </c>
      <c r="B255" s="5247" t="s">
        <v>2635</v>
      </c>
      <c r="C255" s="5246">
        <v>330</v>
      </c>
      <c r="D255" s="5244" t="s">
        <v>4169</v>
      </c>
    </row>
    <row r="256" ht="17.25" spans="1:4">
      <c r="A256" s="5238" t="s">
        <v>3891</v>
      </c>
      <c r="B256" s="5239" t="s">
        <v>4170</v>
      </c>
      <c r="C256" s="5246">
        <v>331</v>
      </c>
      <c r="D256" s="5244"/>
    </row>
    <row r="257" ht="17.25" spans="1:4">
      <c r="A257" s="5238" t="s">
        <v>3893</v>
      </c>
      <c r="B257" s="5247" t="s">
        <v>2628</v>
      </c>
      <c r="C257" s="5246">
        <v>332</v>
      </c>
      <c r="D257" s="5244" t="s">
        <v>4171</v>
      </c>
    </row>
    <row r="258" ht="30.75" spans="1:4">
      <c r="A258" s="5238" t="s">
        <v>3896</v>
      </c>
      <c r="B258" s="5247" t="s">
        <v>3026</v>
      </c>
      <c r="C258" s="5246">
        <v>333</v>
      </c>
      <c r="D258" s="5244" t="s">
        <v>4166</v>
      </c>
    </row>
    <row r="259" ht="30.75" spans="1:4">
      <c r="A259" s="5238" t="s">
        <v>3898</v>
      </c>
      <c r="B259" s="5247" t="s">
        <v>3028</v>
      </c>
      <c r="C259" s="5246">
        <v>334</v>
      </c>
      <c r="D259" s="5244" t="s">
        <v>4167</v>
      </c>
    </row>
    <row r="260" ht="30.75" spans="1:4">
      <c r="A260" s="5238" t="s">
        <v>3900</v>
      </c>
      <c r="B260" s="5247" t="s">
        <v>3030</v>
      </c>
      <c r="C260" s="5246">
        <v>335</v>
      </c>
      <c r="D260" s="5244" t="s">
        <v>4172</v>
      </c>
    </row>
    <row r="261" ht="17.25" spans="1:4">
      <c r="A261" s="5238" t="s">
        <v>4089</v>
      </c>
      <c r="B261" s="5247" t="s">
        <v>3018</v>
      </c>
      <c r="C261" s="5246">
        <v>336</v>
      </c>
      <c r="D261" s="5244" t="s">
        <v>4105</v>
      </c>
    </row>
    <row r="262" ht="30.75" spans="1:4">
      <c r="A262" s="5238" t="s">
        <v>4091</v>
      </c>
      <c r="B262" s="5247" t="s">
        <v>3033</v>
      </c>
      <c r="C262" s="5246">
        <v>337</v>
      </c>
      <c r="D262" s="5244" t="s">
        <v>4168</v>
      </c>
    </row>
    <row r="263" ht="17.25" spans="1:4">
      <c r="A263" s="5238" t="s">
        <v>4093</v>
      </c>
      <c r="B263" s="5247" t="s">
        <v>2635</v>
      </c>
      <c r="C263" s="5246">
        <v>338</v>
      </c>
      <c r="D263" s="5244" t="s">
        <v>4169</v>
      </c>
    </row>
    <row r="264" ht="17.25" spans="1:4">
      <c r="A264" s="5245" t="s">
        <v>4173</v>
      </c>
      <c r="B264" s="5242" t="s">
        <v>4174</v>
      </c>
      <c r="C264" s="5246">
        <v>339</v>
      </c>
      <c r="D264" s="5244"/>
    </row>
    <row r="265" ht="17.25" spans="1:4">
      <c r="A265" s="5238"/>
      <c r="B265" s="5239" t="s">
        <v>3038</v>
      </c>
      <c r="C265" s="5246"/>
      <c r="D265" s="5244"/>
    </row>
    <row r="266" ht="15" customHeight="1" spans="1:4">
      <c r="A266" s="5281"/>
      <c r="B266" s="5282" t="s">
        <v>3040</v>
      </c>
      <c r="C266" s="5283">
        <v>340</v>
      </c>
      <c r="D266" s="5284" t="s">
        <v>4175</v>
      </c>
    </row>
    <row r="267" ht="30.75" spans="1:4">
      <c r="A267" s="5281"/>
      <c r="B267" s="5282" t="s">
        <v>3042</v>
      </c>
      <c r="C267" s="5283">
        <v>341</v>
      </c>
      <c r="D267" s="5284" t="s">
        <v>4176</v>
      </c>
    </row>
    <row r="268" ht="17.25" spans="1:4">
      <c r="A268" s="5262"/>
      <c r="B268" s="5281" t="s">
        <v>4177</v>
      </c>
      <c r="C268" s="5285"/>
      <c r="D268" s="5284"/>
    </row>
    <row r="269" ht="17.25" spans="1:4">
      <c r="A269" s="5238"/>
      <c r="B269" s="5247" t="s">
        <v>3046</v>
      </c>
      <c r="C269" s="5246">
        <v>342</v>
      </c>
      <c r="D269" s="5244" t="s">
        <v>4105</v>
      </c>
    </row>
    <row r="270" ht="17.25" spans="1:4">
      <c r="A270" s="5238"/>
      <c r="B270" s="5247" t="s">
        <v>3048</v>
      </c>
      <c r="C270" s="5246">
        <v>343</v>
      </c>
      <c r="D270" s="5244" t="s">
        <v>4105</v>
      </c>
    </row>
    <row r="271" ht="17.25" spans="1:4">
      <c r="A271" s="5238"/>
      <c r="B271" s="5239" t="s">
        <v>3050</v>
      </c>
      <c r="C271" s="5286"/>
      <c r="D271" s="5244"/>
    </row>
    <row r="272" ht="17.25" spans="1:4">
      <c r="A272" s="5238"/>
      <c r="B272" s="5247" t="s">
        <v>3046</v>
      </c>
      <c r="C272" s="5246">
        <v>344</v>
      </c>
      <c r="D272" s="5244" t="s">
        <v>4105</v>
      </c>
    </row>
    <row r="273" ht="17.25" spans="1:4">
      <c r="A273" s="5238"/>
      <c r="B273" s="5247" t="s">
        <v>3048</v>
      </c>
      <c r="C273" s="5246">
        <v>345</v>
      </c>
      <c r="D273" s="5244" t="s">
        <v>4105</v>
      </c>
    </row>
    <row r="274" ht="15" spans="1:4">
      <c r="A274" s="5271"/>
    </row>
    <row r="275" spans="1:4">
      <c r="A275" s="2"/>
    </row>
    <row r="276" ht="17.25" spans="1:4">
      <c r="A276" s="5272"/>
    </row>
    <row r="277" ht="33.75" spans="1:4">
      <c r="A277" s="5275" t="s">
        <v>2505</v>
      </c>
      <c r="B277" s="5287" t="s">
        <v>4043</v>
      </c>
      <c r="C277" s="5288" t="s">
        <v>4044</v>
      </c>
      <c r="D277" s="5287" t="s">
        <v>4178</v>
      </c>
    </row>
    <row r="278" ht="17.25" spans="1:4">
      <c r="A278" s="5241"/>
      <c r="B278" s="5289"/>
      <c r="C278" s="5246"/>
      <c r="D278" s="5244"/>
    </row>
    <row r="279" ht="17.25" spans="1:4">
      <c r="A279" s="5290" t="s">
        <v>3953</v>
      </c>
      <c r="B279" s="5291" t="s">
        <v>3250</v>
      </c>
      <c r="C279" s="5246"/>
      <c r="D279" s="5244"/>
    </row>
    <row r="280" ht="30.75" spans="1:4">
      <c r="A280" s="5241" t="s">
        <v>3875</v>
      </c>
      <c r="B280" s="5289" t="s">
        <v>3252</v>
      </c>
      <c r="C280" s="5246">
        <v>401</v>
      </c>
      <c r="D280" s="5244" t="s">
        <v>4179</v>
      </c>
    </row>
    <row r="281" ht="17.25" spans="1:4">
      <c r="A281" s="5241" t="s">
        <v>3877</v>
      </c>
      <c r="B281" s="5289" t="s">
        <v>3255</v>
      </c>
      <c r="C281" s="5246">
        <v>402</v>
      </c>
      <c r="D281" s="5244" t="s">
        <v>4180</v>
      </c>
    </row>
    <row r="282" ht="30.75" spans="1:4">
      <c r="A282" s="5241" t="s">
        <v>3880</v>
      </c>
      <c r="B282" s="5289" t="s">
        <v>3258</v>
      </c>
      <c r="C282" s="5246">
        <v>403</v>
      </c>
      <c r="D282" s="5244" t="s">
        <v>4181</v>
      </c>
    </row>
    <row r="283" ht="30.75" spans="1:4">
      <c r="A283" s="5241" t="s">
        <v>3883</v>
      </c>
      <c r="B283" s="5289" t="s">
        <v>3261</v>
      </c>
      <c r="C283" s="5246">
        <v>404</v>
      </c>
      <c r="D283" s="5244" t="s">
        <v>4182</v>
      </c>
    </row>
    <row r="284" ht="17.25" spans="1:4">
      <c r="A284" s="5241" t="s">
        <v>3886</v>
      </c>
      <c r="B284" s="5289" t="s">
        <v>3264</v>
      </c>
      <c r="C284" s="5246">
        <v>405</v>
      </c>
      <c r="D284" s="5244" t="s">
        <v>4183</v>
      </c>
    </row>
    <row r="285" ht="17.25" spans="1:4">
      <c r="A285" s="5241" t="s">
        <v>3889</v>
      </c>
      <c r="B285" s="5289" t="s">
        <v>3267</v>
      </c>
      <c r="C285" s="5246">
        <v>406</v>
      </c>
      <c r="D285" s="5244" t="s">
        <v>4184</v>
      </c>
    </row>
    <row r="286" ht="17.25" spans="1:4">
      <c r="A286" s="5241" t="s">
        <v>4069</v>
      </c>
      <c r="B286" s="5289" t="s">
        <v>3270</v>
      </c>
      <c r="C286" s="5246">
        <v>407</v>
      </c>
      <c r="D286" s="5244" t="s">
        <v>4185</v>
      </c>
    </row>
    <row r="287" ht="30.75" spans="1:4">
      <c r="A287" s="5290" t="s">
        <v>3872</v>
      </c>
      <c r="B287" s="5292" t="s">
        <v>4186</v>
      </c>
      <c r="C287" s="5246">
        <v>408</v>
      </c>
      <c r="D287" s="5244"/>
    </row>
    <row r="288" ht="17.25" spans="1:4">
      <c r="A288" s="5290" t="s">
        <v>3891</v>
      </c>
      <c r="B288" s="5291" t="s">
        <v>3275</v>
      </c>
      <c r="C288" s="5246"/>
      <c r="D288" s="5244"/>
    </row>
    <row r="289" ht="17.25" spans="1:4">
      <c r="A289" s="5241" t="s">
        <v>3893</v>
      </c>
      <c r="B289" s="5293" t="s">
        <v>3277</v>
      </c>
      <c r="C289" s="5246">
        <v>409</v>
      </c>
      <c r="D289" s="5244" t="s">
        <v>4187</v>
      </c>
    </row>
    <row r="290" ht="17.25" spans="1:4">
      <c r="A290" s="5241" t="s">
        <v>3896</v>
      </c>
      <c r="B290" s="5293" t="s">
        <v>3280</v>
      </c>
      <c r="C290" s="5246">
        <v>410</v>
      </c>
      <c r="D290" s="5244" t="s">
        <v>4188</v>
      </c>
    </row>
    <row r="291" ht="17.25" spans="1:4">
      <c r="A291" s="5241" t="s">
        <v>3898</v>
      </c>
      <c r="B291" s="5293" t="s">
        <v>3283</v>
      </c>
      <c r="C291" s="5246">
        <v>411</v>
      </c>
      <c r="D291" s="5244" t="s">
        <v>4187</v>
      </c>
    </row>
    <row r="292" ht="17.25" spans="1:4">
      <c r="A292" s="5241" t="s">
        <v>3900</v>
      </c>
      <c r="B292" s="5293" t="s">
        <v>3286</v>
      </c>
      <c r="C292" s="5246">
        <v>412</v>
      </c>
      <c r="D292" s="5244" t="s">
        <v>4188</v>
      </c>
    </row>
    <row r="293" ht="17.25" spans="1:4">
      <c r="A293" s="5241" t="s">
        <v>4089</v>
      </c>
      <c r="B293" s="5293" t="s">
        <v>3289</v>
      </c>
      <c r="C293" s="5246">
        <v>413</v>
      </c>
      <c r="D293" s="5244" t="s">
        <v>4187</v>
      </c>
    </row>
    <row r="294" ht="17.25" spans="1:4">
      <c r="A294" s="5241" t="s">
        <v>4091</v>
      </c>
      <c r="B294" s="5293" t="s">
        <v>3292</v>
      </c>
      <c r="C294" s="5246">
        <v>414</v>
      </c>
      <c r="D294" s="5244" t="s">
        <v>4188</v>
      </c>
    </row>
    <row r="295" ht="17.25" spans="1:4">
      <c r="A295" s="5241" t="s">
        <v>4093</v>
      </c>
      <c r="B295" s="5293" t="s">
        <v>3295</v>
      </c>
      <c r="C295" s="5246">
        <v>415</v>
      </c>
      <c r="D295" s="5244" t="s">
        <v>4187</v>
      </c>
    </row>
    <row r="296" ht="17.25" spans="1:4">
      <c r="A296" s="5241" t="s">
        <v>4095</v>
      </c>
      <c r="B296" s="5293" t="s">
        <v>3298</v>
      </c>
      <c r="C296" s="5246">
        <v>416</v>
      </c>
      <c r="D296" s="5244" t="s">
        <v>4188</v>
      </c>
    </row>
    <row r="297" ht="30.75" spans="1:4">
      <c r="A297" s="5241" t="s">
        <v>4097</v>
      </c>
      <c r="B297" s="5293" t="s">
        <v>3301</v>
      </c>
      <c r="C297" s="5246">
        <v>417</v>
      </c>
      <c r="D297" s="5244" t="s">
        <v>4188</v>
      </c>
    </row>
    <row r="298" ht="30.75" spans="1:4">
      <c r="A298" s="5241" t="s">
        <v>4099</v>
      </c>
      <c r="B298" s="5293" t="s">
        <v>3304</v>
      </c>
      <c r="C298" s="5246">
        <v>418</v>
      </c>
      <c r="D298" s="5244" t="s">
        <v>4187</v>
      </c>
    </row>
    <row r="299" ht="30.75" spans="1:4">
      <c r="A299" s="5241" t="s">
        <v>4189</v>
      </c>
      <c r="B299" s="5293" t="s">
        <v>3307</v>
      </c>
      <c r="C299" s="5246">
        <v>419</v>
      </c>
      <c r="D299" s="5244" t="s">
        <v>4190</v>
      </c>
    </row>
    <row r="300" ht="30.75" spans="1:4">
      <c r="A300" s="5241" t="s">
        <v>4191</v>
      </c>
      <c r="B300" s="5293" t="s">
        <v>3310</v>
      </c>
      <c r="C300" s="5246">
        <v>420</v>
      </c>
      <c r="D300" s="5244" t="s">
        <v>4187</v>
      </c>
    </row>
    <row r="301" ht="30.75" spans="1:4">
      <c r="A301" s="5241" t="s">
        <v>4192</v>
      </c>
      <c r="B301" s="5293" t="s">
        <v>3313</v>
      </c>
      <c r="C301" s="5246">
        <v>421</v>
      </c>
      <c r="D301" s="5244" t="s">
        <v>4190</v>
      </c>
    </row>
    <row r="302" ht="17.25" spans="1:4">
      <c r="A302" s="5241" t="s">
        <v>4193</v>
      </c>
      <c r="B302" s="5293" t="s">
        <v>3316</v>
      </c>
      <c r="C302" s="5246">
        <v>422</v>
      </c>
      <c r="D302" s="5244" t="s">
        <v>4187</v>
      </c>
    </row>
    <row r="303" ht="17.25" spans="1:4">
      <c r="A303" s="5241" t="s">
        <v>4194</v>
      </c>
      <c r="B303" s="5293" t="s">
        <v>3319</v>
      </c>
      <c r="C303" s="5246">
        <v>423</v>
      </c>
      <c r="D303" s="5244" t="s">
        <v>4190</v>
      </c>
    </row>
    <row r="304" ht="17.25" spans="1:4">
      <c r="A304" s="5241" t="s">
        <v>4195</v>
      </c>
      <c r="B304" s="5293" t="s">
        <v>3322</v>
      </c>
      <c r="C304" s="5246">
        <v>424</v>
      </c>
      <c r="D304" s="5244" t="s">
        <v>4196</v>
      </c>
    </row>
    <row r="305" ht="17.25" spans="1:4">
      <c r="A305" s="5241" t="s">
        <v>4197</v>
      </c>
      <c r="B305" s="5293" t="s">
        <v>3328</v>
      </c>
      <c r="C305" s="5246">
        <v>425</v>
      </c>
      <c r="D305" s="5244" t="s">
        <v>4198</v>
      </c>
    </row>
    <row r="306" ht="30.75" spans="1:4">
      <c r="A306" s="5241" t="s">
        <v>4199</v>
      </c>
      <c r="B306" s="5293" t="s">
        <v>3328</v>
      </c>
      <c r="C306" s="5246">
        <v>426</v>
      </c>
      <c r="D306" s="5244" t="s">
        <v>4200</v>
      </c>
    </row>
    <row r="307" ht="17.25" spans="1:4">
      <c r="A307" s="5241" t="s">
        <v>4201</v>
      </c>
      <c r="B307" s="5293" t="s">
        <v>3329</v>
      </c>
      <c r="C307" s="5246">
        <v>427</v>
      </c>
      <c r="D307" s="5244" t="s">
        <v>4187</v>
      </c>
    </row>
    <row r="308" ht="17.25" spans="1:4">
      <c r="A308" s="5241" t="s">
        <v>4202</v>
      </c>
      <c r="B308" s="5293" t="s">
        <v>3332</v>
      </c>
      <c r="C308" s="5246">
        <v>428</v>
      </c>
      <c r="D308" s="5244" t="s">
        <v>4188</v>
      </c>
    </row>
    <row r="309" ht="17.25" spans="1:4">
      <c r="A309" s="5241" t="s">
        <v>4203</v>
      </c>
      <c r="B309" s="5293" t="s">
        <v>3335</v>
      </c>
      <c r="C309" s="5246">
        <v>429</v>
      </c>
      <c r="D309" s="5244" t="s">
        <v>4187</v>
      </c>
    </row>
    <row r="310" ht="17.25" spans="1:4">
      <c r="A310" s="5241" t="s">
        <v>4204</v>
      </c>
      <c r="B310" s="5293" t="s">
        <v>3337</v>
      </c>
      <c r="C310" s="5246">
        <v>430</v>
      </c>
      <c r="D310" s="5244" t="s">
        <v>4188</v>
      </c>
    </row>
    <row r="311" ht="17.25" spans="1:4">
      <c r="A311" s="5241" t="s">
        <v>4205</v>
      </c>
      <c r="B311" s="5293" t="s">
        <v>3340</v>
      </c>
      <c r="C311" s="5246">
        <v>431</v>
      </c>
      <c r="D311" s="5244" t="s">
        <v>4187</v>
      </c>
    </row>
    <row r="312" ht="17.25" spans="1:4">
      <c r="A312" s="5241" t="s">
        <v>4206</v>
      </c>
      <c r="B312" s="5293" t="s">
        <v>3342</v>
      </c>
      <c r="C312" s="5246">
        <v>432</v>
      </c>
      <c r="D312" s="5244" t="s">
        <v>4188</v>
      </c>
    </row>
    <row r="313" ht="17.25" spans="1:4">
      <c r="A313" s="5241" t="s">
        <v>4207</v>
      </c>
      <c r="B313" s="5293" t="s">
        <v>3345</v>
      </c>
      <c r="C313" s="5246">
        <v>433</v>
      </c>
      <c r="D313" s="5244" t="s">
        <v>4208</v>
      </c>
    </row>
    <row r="314" ht="30.75" spans="1:4">
      <c r="A314" s="5241" t="s">
        <v>4209</v>
      </c>
      <c r="B314" s="5289" t="s">
        <v>3347</v>
      </c>
      <c r="C314" s="5246">
        <v>434</v>
      </c>
      <c r="D314" s="5244" t="s">
        <v>4210</v>
      </c>
    </row>
    <row r="315" ht="30.75" spans="1:4">
      <c r="A315" s="5241" t="s">
        <v>4211</v>
      </c>
      <c r="B315" s="5289" t="s">
        <v>3350</v>
      </c>
      <c r="C315" s="5246">
        <v>435</v>
      </c>
      <c r="D315" s="5244" t="s">
        <v>4212</v>
      </c>
    </row>
    <row r="316" ht="17.25" spans="1:4">
      <c r="A316" s="5241" t="s">
        <v>4213</v>
      </c>
      <c r="B316" s="5289" t="s">
        <v>3353</v>
      </c>
      <c r="C316" s="5246">
        <v>436</v>
      </c>
      <c r="D316" s="5244" t="s">
        <v>4184</v>
      </c>
    </row>
    <row r="317" ht="17.25" spans="1:4">
      <c r="A317" s="5241" t="s">
        <v>4214</v>
      </c>
      <c r="B317" s="5289" t="s">
        <v>3356</v>
      </c>
      <c r="C317" s="5246">
        <v>437</v>
      </c>
      <c r="D317" s="5244" t="s">
        <v>4185</v>
      </c>
    </row>
    <row r="318" ht="30.75" spans="1:4">
      <c r="A318" s="5290" t="s">
        <v>3949</v>
      </c>
      <c r="B318" s="5292" t="s">
        <v>4215</v>
      </c>
      <c r="C318" s="5294">
        <v>438</v>
      </c>
      <c r="D318" s="5244"/>
    </row>
    <row r="319" ht="17.25" spans="1:4">
      <c r="A319" s="5290" t="s">
        <v>3902</v>
      </c>
      <c r="B319" s="5291" t="s">
        <v>3361</v>
      </c>
      <c r="C319" s="5246"/>
      <c r="D319" s="5244"/>
    </row>
    <row r="320" ht="17.25" spans="1:4">
      <c r="A320" s="5241" t="s">
        <v>3998</v>
      </c>
      <c r="B320" s="5293" t="s">
        <v>3364</v>
      </c>
      <c r="C320" s="5246">
        <v>439</v>
      </c>
      <c r="D320" s="5244" t="s">
        <v>4216</v>
      </c>
    </row>
    <row r="321" ht="17.25" spans="1:4">
      <c r="A321" s="5241" t="s">
        <v>4000</v>
      </c>
      <c r="B321" s="5293" t="s">
        <v>3367</v>
      </c>
      <c r="C321" s="5246">
        <v>440</v>
      </c>
      <c r="D321" s="5244" t="s">
        <v>4217</v>
      </c>
    </row>
    <row r="322" ht="17.25" spans="1:4">
      <c r="A322" s="5241" t="s">
        <v>4058</v>
      </c>
      <c r="B322" s="5293" t="s">
        <v>3370</v>
      </c>
      <c r="C322" s="5246">
        <v>441</v>
      </c>
      <c r="D322" s="5244" t="s">
        <v>4218</v>
      </c>
    </row>
    <row r="323" ht="17.25" spans="1:4">
      <c r="A323" s="5241" t="s">
        <v>4219</v>
      </c>
      <c r="B323" s="5293" t="s">
        <v>3373</v>
      </c>
      <c r="C323" s="5246">
        <v>442</v>
      </c>
      <c r="D323" s="5244" t="s">
        <v>4220</v>
      </c>
    </row>
    <row r="324" ht="17.25" spans="1:4">
      <c r="A324" s="5241" t="s">
        <v>4221</v>
      </c>
      <c r="B324" s="5293" t="s">
        <v>3375</v>
      </c>
      <c r="C324" s="5246">
        <v>443</v>
      </c>
      <c r="D324" s="5244" t="s">
        <v>4222</v>
      </c>
    </row>
    <row r="325" ht="17.25" spans="1:4">
      <c r="A325" s="5241" t="s">
        <v>4223</v>
      </c>
      <c r="B325" s="5293" t="s">
        <v>3378</v>
      </c>
      <c r="C325" s="5246">
        <v>444</v>
      </c>
      <c r="D325" s="5244" t="s">
        <v>4224</v>
      </c>
    </row>
    <row r="326" ht="17.25" spans="1:4">
      <c r="A326" s="5241" t="s">
        <v>4225</v>
      </c>
      <c r="B326" s="5293" t="s">
        <v>3380</v>
      </c>
      <c r="C326" s="5246">
        <v>445</v>
      </c>
      <c r="D326" s="5244" t="s">
        <v>4226</v>
      </c>
    </row>
    <row r="327" ht="17.25" spans="1:4">
      <c r="A327" s="5241" t="s">
        <v>4227</v>
      </c>
      <c r="B327" s="5293" t="s">
        <v>3382</v>
      </c>
      <c r="C327" s="5246">
        <v>446</v>
      </c>
      <c r="D327" s="5244" t="s">
        <v>4228</v>
      </c>
    </row>
    <row r="328" ht="17.25" spans="1:4">
      <c r="A328" s="5241" t="s">
        <v>4229</v>
      </c>
      <c r="B328" s="5293" t="s">
        <v>3384</v>
      </c>
      <c r="C328" s="5246">
        <v>447</v>
      </c>
      <c r="D328" s="5244" t="s">
        <v>4230</v>
      </c>
    </row>
    <row r="329" ht="17.25" spans="1:4">
      <c r="A329" s="5241" t="s">
        <v>4231</v>
      </c>
      <c r="B329" s="5293" t="s">
        <v>3386</v>
      </c>
      <c r="C329" s="5246">
        <v>448</v>
      </c>
      <c r="D329" s="5244" t="s">
        <v>4232</v>
      </c>
    </row>
    <row r="330" ht="17.25" spans="1:4">
      <c r="A330" s="5241" t="s">
        <v>4233</v>
      </c>
      <c r="B330" s="5289" t="s">
        <v>3389</v>
      </c>
      <c r="C330" s="5246">
        <v>449</v>
      </c>
      <c r="D330" s="5244" t="s">
        <v>4234</v>
      </c>
    </row>
    <row r="331" ht="17.25" spans="1:4">
      <c r="A331" s="5241" t="s">
        <v>4235</v>
      </c>
      <c r="B331" s="5289" t="s">
        <v>3392</v>
      </c>
      <c r="C331" s="5246">
        <v>450</v>
      </c>
      <c r="D331" s="5244" t="s">
        <v>4184</v>
      </c>
    </row>
    <row r="332" ht="17.25" spans="1:4">
      <c r="A332" s="5241" t="s">
        <v>4236</v>
      </c>
      <c r="B332" s="5289" t="s">
        <v>3395</v>
      </c>
      <c r="C332" s="5246">
        <v>451</v>
      </c>
      <c r="D332" s="5244" t="s">
        <v>4185</v>
      </c>
    </row>
    <row r="333" ht="30.75" spans="1:4">
      <c r="A333" s="5290" t="s">
        <v>3951</v>
      </c>
      <c r="B333" s="5291" t="s">
        <v>4237</v>
      </c>
      <c r="C333" s="5246">
        <v>452</v>
      </c>
      <c r="D333" s="5244"/>
    </row>
    <row r="334" ht="30.75" spans="1:4">
      <c r="A334" s="5290" t="s">
        <v>3905</v>
      </c>
      <c r="B334" s="5292" t="s">
        <v>4238</v>
      </c>
      <c r="C334" s="5246">
        <v>453</v>
      </c>
      <c r="D334" s="5244"/>
    </row>
    <row r="335" ht="30.75" spans="1:4">
      <c r="A335" s="5290" t="s">
        <v>3915</v>
      </c>
      <c r="B335" s="5291" t="s">
        <v>3403</v>
      </c>
      <c r="C335" s="5246">
        <v>454</v>
      </c>
      <c r="D335" s="5244" t="s">
        <v>4239</v>
      </c>
    </row>
    <row r="336" ht="30.75" spans="1:4">
      <c r="A336" s="5290" t="s">
        <v>3918</v>
      </c>
      <c r="B336" s="5291" t="s">
        <v>3406</v>
      </c>
      <c r="C336" s="5246">
        <v>455</v>
      </c>
      <c r="D336" s="5244"/>
    </row>
    <row r="337" ht="30.75" spans="1:4">
      <c r="A337" s="5290" t="s">
        <v>3920</v>
      </c>
      <c r="B337" s="5291" t="s">
        <v>4240</v>
      </c>
      <c r="C337" s="5246">
        <v>456</v>
      </c>
      <c r="D337" s="5244" t="s">
        <v>4239</v>
      </c>
    </row>
    <row r="338" ht="15" spans="1:4">
      <c r="A338" s="5271"/>
    </row>
    <row r="339" ht="17.25" spans="1:4">
      <c r="A339" s="5272"/>
    </row>
    <row r="340" ht="33.75" spans="1:4">
      <c r="A340" s="5270" t="s">
        <v>2505</v>
      </c>
      <c r="B340" s="5295" t="s">
        <v>4043</v>
      </c>
      <c r="C340" s="5288" t="s">
        <v>4044</v>
      </c>
      <c r="D340" s="5287" t="s">
        <v>4178</v>
      </c>
    </row>
    <row r="341" ht="17.25" spans="1:4">
      <c r="A341" s="5238"/>
      <c r="B341" s="5239"/>
      <c r="C341" s="5243"/>
      <c r="D341" s="5244"/>
    </row>
    <row r="342" ht="15.75" spans="1:4">
      <c r="A342" s="5245" t="s">
        <v>3953</v>
      </c>
      <c r="B342" s="5242" t="s">
        <v>3250</v>
      </c>
      <c r="C342" s="5296"/>
      <c r="D342" s="5244"/>
    </row>
    <row r="343" ht="15.75" spans="1:4">
      <c r="A343" s="5238" t="s">
        <v>3875</v>
      </c>
      <c r="B343" s="5297" t="s">
        <v>3415</v>
      </c>
      <c r="C343" s="5298">
        <v>501</v>
      </c>
      <c r="D343" s="5244" t="s">
        <v>4241</v>
      </c>
    </row>
    <row r="344" ht="15.75" spans="1:4">
      <c r="A344" s="5238" t="s">
        <v>3877</v>
      </c>
      <c r="B344" s="5297" t="s">
        <v>3417</v>
      </c>
      <c r="C344" s="5298"/>
      <c r="D344" s="5244"/>
    </row>
    <row r="345" ht="17.25" spans="1:4">
      <c r="A345" s="5238" t="s">
        <v>4242</v>
      </c>
      <c r="B345" s="5299" t="s">
        <v>2576</v>
      </c>
      <c r="C345" s="5298">
        <v>502</v>
      </c>
      <c r="D345" s="5244" t="s">
        <v>4243</v>
      </c>
    </row>
    <row r="346" ht="17.25" spans="1:4">
      <c r="A346" s="5238" t="s">
        <v>4244</v>
      </c>
      <c r="B346" s="5299" t="s">
        <v>3421</v>
      </c>
      <c r="C346" s="5298">
        <v>503</v>
      </c>
      <c r="D346" s="5244" t="s">
        <v>4245</v>
      </c>
    </row>
    <row r="347" ht="17.25" spans="1:4">
      <c r="A347" s="5238" t="s">
        <v>4246</v>
      </c>
      <c r="B347" s="5299" t="s">
        <v>3424</v>
      </c>
      <c r="C347" s="5298">
        <v>504</v>
      </c>
      <c r="D347" s="5244" t="s">
        <v>4245</v>
      </c>
    </row>
    <row r="348" ht="17.25" spans="1:4">
      <c r="A348" s="5238" t="s">
        <v>4247</v>
      </c>
      <c r="B348" s="5299" t="s">
        <v>3427</v>
      </c>
      <c r="C348" s="5298">
        <v>505</v>
      </c>
      <c r="D348" s="5244" t="s">
        <v>4245</v>
      </c>
    </row>
    <row r="349" ht="17.25" spans="1:4">
      <c r="A349" s="5238" t="s">
        <v>4248</v>
      </c>
      <c r="B349" s="5299" t="s">
        <v>3430</v>
      </c>
      <c r="C349" s="5298">
        <v>506</v>
      </c>
      <c r="D349" s="5244" t="s">
        <v>4249</v>
      </c>
    </row>
    <row r="350" ht="17.25" spans="1:4">
      <c r="A350" s="5238" t="s">
        <v>4250</v>
      </c>
      <c r="B350" s="5299" t="s">
        <v>3433</v>
      </c>
      <c r="C350" s="5298">
        <v>507</v>
      </c>
      <c r="D350" s="5244" t="s">
        <v>4251</v>
      </c>
    </row>
    <row r="351" ht="17.25" spans="1:4">
      <c r="A351" s="5238" t="s">
        <v>4252</v>
      </c>
      <c r="B351" s="5299" t="s">
        <v>3436</v>
      </c>
      <c r="C351" s="5298">
        <v>508</v>
      </c>
      <c r="D351" s="5244" t="s">
        <v>4251</v>
      </c>
    </row>
    <row r="352" ht="17.25" spans="1:4">
      <c r="A352" s="5238" t="s">
        <v>4253</v>
      </c>
      <c r="B352" s="5299" t="s">
        <v>3439</v>
      </c>
      <c r="C352" s="5298">
        <v>509</v>
      </c>
      <c r="D352" s="5244" t="s">
        <v>4251</v>
      </c>
    </row>
    <row r="353" ht="17.25" spans="1:4">
      <c r="A353" s="5238" t="s">
        <v>4254</v>
      </c>
      <c r="B353" s="5299" t="s">
        <v>3442</v>
      </c>
      <c r="C353" s="5298">
        <v>510</v>
      </c>
      <c r="D353" s="5244" t="s">
        <v>4255</v>
      </c>
    </row>
    <row r="354" ht="17.25" spans="1:4">
      <c r="A354" s="5238" t="s">
        <v>4256</v>
      </c>
      <c r="B354" s="5299" t="s">
        <v>3445</v>
      </c>
      <c r="C354" s="5298">
        <v>511</v>
      </c>
      <c r="D354" s="5244" t="s">
        <v>4255</v>
      </c>
    </row>
    <row r="355" ht="17.25" spans="1:4">
      <c r="A355" s="5238" t="s">
        <v>4257</v>
      </c>
      <c r="B355" s="5299" t="s">
        <v>3448</v>
      </c>
      <c r="C355" s="5298">
        <v>512</v>
      </c>
      <c r="D355" s="5244" t="s">
        <v>4255</v>
      </c>
    </row>
    <row r="356" ht="17.25" spans="1:4">
      <c r="A356" s="5238" t="s">
        <v>4258</v>
      </c>
      <c r="B356" s="5299" t="s">
        <v>3452</v>
      </c>
      <c r="C356" s="5298">
        <v>513</v>
      </c>
      <c r="D356" s="5244" t="s">
        <v>4249</v>
      </c>
    </row>
    <row r="357" ht="30.75" spans="1:4">
      <c r="A357" s="5238" t="s">
        <v>4259</v>
      </c>
      <c r="B357" s="5299" t="s">
        <v>3455</v>
      </c>
      <c r="C357" s="5298">
        <v>514</v>
      </c>
      <c r="D357" s="5244" t="s">
        <v>4260</v>
      </c>
    </row>
    <row r="358" ht="17.25" spans="1:4">
      <c r="A358" s="5238" t="s">
        <v>4261</v>
      </c>
      <c r="B358" s="5299" t="s">
        <v>3459</v>
      </c>
      <c r="C358" s="5298">
        <v>515</v>
      </c>
      <c r="D358" s="5244" t="s">
        <v>4262</v>
      </c>
    </row>
    <row r="359" ht="17.25" spans="1:4">
      <c r="A359" s="5238" t="s">
        <v>4263</v>
      </c>
      <c r="B359" s="5299" t="s">
        <v>3463</v>
      </c>
      <c r="C359" s="5298">
        <v>516</v>
      </c>
      <c r="D359" s="5244" t="s">
        <v>4264</v>
      </c>
    </row>
    <row r="360" ht="30.75" spans="1:4">
      <c r="A360" s="5238" t="s">
        <v>4265</v>
      </c>
      <c r="B360" s="5299" t="s">
        <v>3467</v>
      </c>
      <c r="C360" s="5298">
        <v>517</v>
      </c>
      <c r="D360" s="5244" t="s">
        <v>4266</v>
      </c>
    </row>
    <row r="361" ht="30.75" spans="1:4">
      <c r="A361" s="5238" t="s">
        <v>4267</v>
      </c>
      <c r="B361" s="5299" t="s">
        <v>3471</v>
      </c>
      <c r="C361" s="5298">
        <v>518</v>
      </c>
      <c r="D361" s="5244" t="s">
        <v>4268</v>
      </c>
    </row>
    <row r="362" ht="17.25" spans="1:4">
      <c r="A362" s="5238" t="s">
        <v>4269</v>
      </c>
      <c r="B362" s="5299" t="s">
        <v>3474</v>
      </c>
      <c r="C362" s="5298">
        <v>519</v>
      </c>
      <c r="D362" s="5244" t="s">
        <v>4270</v>
      </c>
    </row>
    <row r="363" ht="17.25" spans="1:4">
      <c r="A363" s="5238" t="s">
        <v>4271</v>
      </c>
      <c r="B363" s="5299" t="s">
        <v>3478</v>
      </c>
      <c r="C363" s="5298">
        <v>520</v>
      </c>
      <c r="D363" s="5244" t="s">
        <v>4272</v>
      </c>
    </row>
    <row r="364" ht="17.25" spans="1:4">
      <c r="A364" s="5300" t="s">
        <v>4273</v>
      </c>
      <c r="B364" s="5299" t="s">
        <v>3482</v>
      </c>
      <c r="C364" s="5298">
        <v>521</v>
      </c>
      <c r="D364" s="5244" t="s">
        <v>4274</v>
      </c>
    </row>
    <row r="365" ht="17.25" spans="1:4">
      <c r="A365" s="5238" t="s">
        <v>4275</v>
      </c>
      <c r="B365" s="5299" t="s">
        <v>3485</v>
      </c>
      <c r="C365" s="5298">
        <v>522</v>
      </c>
      <c r="D365" s="5244" t="s">
        <v>4276</v>
      </c>
    </row>
    <row r="366" ht="17.25" spans="1:4">
      <c r="A366" s="5238" t="s">
        <v>4277</v>
      </c>
      <c r="B366" s="5299" t="s">
        <v>3487</v>
      </c>
      <c r="C366" s="5298">
        <v>523</v>
      </c>
      <c r="D366" s="5244" t="s">
        <v>3487</v>
      </c>
    </row>
    <row r="367" ht="17.25" spans="1:4">
      <c r="A367" s="5238" t="s">
        <v>4278</v>
      </c>
      <c r="B367" s="5299" t="s">
        <v>3491</v>
      </c>
      <c r="C367" s="5298">
        <v>524</v>
      </c>
      <c r="D367" s="5244" t="s">
        <v>3491</v>
      </c>
    </row>
    <row r="368" ht="17.25" spans="1:4">
      <c r="A368" s="5238" t="s">
        <v>4279</v>
      </c>
      <c r="B368" s="5299" t="s">
        <v>3495</v>
      </c>
      <c r="C368" s="5298">
        <v>525</v>
      </c>
      <c r="D368" s="5244" t="s">
        <v>3495</v>
      </c>
    </row>
    <row r="369" ht="15.75" spans="1:4">
      <c r="A369" s="5238" t="s">
        <v>3880</v>
      </c>
      <c r="B369" s="5297" t="s">
        <v>3498</v>
      </c>
      <c r="C369" s="5298"/>
      <c r="D369" s="5244"/>
    </row>
    <row r="370" ht="17.25" spans="1:4">
      <c r="A370" s="5238" t="s">
        <v>4280</v>
      </c>
      <c r="B370" s="5299" t="s">
        <v>3501</v>
      </c>
      <c r="C370" s="5298">
        <v>526</v>
      </c>
      <c r="D370" s="5301" t="s">
        <v>4281</v>
      </c>
    </row>
    <row r="371" ht="17.25" spans="1:4">
      <c r="A371" s="5238" t="s">
        <v>4282</v>
      </c>
      <c r="B371" s="5299" t="s">
        <v>3504</v>
      </c>
      <c r="C371" s="5298">
        <v>527</v>
      </c>
      <c r="D371" s="5302"/>
    </row>
    <row r="372" ht="17.25" spans="1:4">
      <c r="A372" s="5238" t="s">
        <v>4283</v>
      </c>
      <c r="B372" s="5299" t="s">
        <v>3507</v>
      </c>
      <c r="C372" s="5298">
        <v>528</v>
      </c>
      <c r="D372" s="5302"/>
    </row>
    <row r="373" ht="17.25" spans="1:4">
      <c r="A373" s="5238" t="s">
        <v>4284</v>
      </c>
      <c r="B373" s="5299" t="s">
        <v>3510</v>
      </c>
      <c r="C373" s="5298">
        <v>529</v>
      </c>
      <c r="D373" s="5302"/>
    </row>
    <row r="374" ht="17.25" spans="1:4">
      <c r="A374" s="5238" t="s">
        <v>4285</v>
      </c>
      <c r="B374" s="5299" t="s">
        <v>3513</v>
      </c>
      <c r="C374" s="5298">
        <v>530</v>
      </c>
      <c r="D374" s="5302"/>
    </row>
    <row r="375" ht="17.25" spans="1:4">
      <c r="A375" s="5238" t="s">
        <v>4286</v>
      </c>
      <c r="B375" s="5299" t="s">
        <v>3517</v>
      </c>
      <c r="C375" s="5298">
        <v>531</v>
      </c>
      <c r="D375" s="5302"/>
    </row>
    <row r="376" ht="17.25" spans="1:4">
      <c r="A376" s="5238" t="s">
        <v>4287</v>
      </c>
      <c r="B376" s="5299" t="s">
        <v>3521</v>
      </c>
      <c r="C376" s="5298">
        <v>532</v>
      </c>
      <c r="D376" s="5241"/>
    </row>
    <row r="377" ht="15.75" spans="1:4">
      <c r="A377" s="5238" t="s">
        <v>3883</v>
      </c>
      <c r="B377" s="5297" t="s">
        <v>3525</v>
      </c>
      <c r="C377" s="5298">
        <v>533</v>
      </c>
      <c r="D377" s="5244"/>
    </row>
    <row r="378" ht="15.75" spans="1:4">
      <c r="A378" s="5245" t="s">
        <v>3872</v>
      </c>
      <c r="B378" s="5303" t="s">
        <v>4186</v>
      </c>
      <c r="C378" s="5298">
        <v>534</v>
      </c>
      <c r="D378" s="5244"/>
    </row>
    <row r="379" ht="15.75" spans="1:4">
      <c r="A379" s="5245" t="s">
        <v>3891</v>
      </c>
      <c r="B379" s="5242" t="s">
        <v>3275</v>
      </c>
      <c r="C379" s="5296"/>
      <c r="D379" s="5244"/>
    </row>
    <row r="380" ht="15.75" spans="1:4">
      <c r="A380" s="5238" t="s">
        <v>3893</v>
      </c>
      <c r="B380" s="5297" t="s">
        <v>3277</v>
      </c>
      <c r="C380" s="5298">
        <v>535</v>
      </c>
      <c r="D380" s="5244" t="s">
        <v>4187</v>
      </c>
    </row>
    <row r="381" ht="15.75" spans="1:4">
      <c r="A381" s="5238" t="s">
        <v>3896</v>
      </c>
      <c r="B381" s="5297" t="s">
        <v>3280</v>
      </c>
      <c r="C381" s="5298">
        <v>536</v>
      </c>
      <c r="D381" s="5244" t="s">
        <v>4188</v>
      </c>
    </row>
    <row r="382" ht="15.75" spans="1:4">
      <c r="A382" s="5238" t="s">
        <v>3898</v>
      </c>
      <c r="B382" s="5297" t="s">
        <v>3283</v>
      </c>
      <c r="C382" s="5298">
        <v>537</v>
      </c>
      <c r="D382" s="5244" t="s">
        <v>4187</v>
      </c>
    </row>
    <row r="383" ht="15.75" spans="1:4">
      <c r="A383" s="5238" t="s">
        <v>3900</v>
      </c>
      <c r="B383" s="5297" t="s">
        <v>3286</v>
      </c>
      <c r="C383" s="5298">
        <v>538</v>
      </c>
      <c r="D383" s="5244" t="s">
        <v>4188</v>
      </c>
    </row>
    <row r="384" ht="15.75" spans="1:4">
      <c r="A384" s="5238" t="s">
        <v>4089</v>
      </c>
      <c r="B384" s="5297" t="s">
        <v>3535</v>
      </c>
      <c r="C384" s="5298">
        <v>539</v>
      </c>
      <c r="D384" s="5244" t="s">
        <v>4187</v>
      </c>
    </row>
    <row r="385" ht="15.75" spans="1:4">
      <c r="A385" s="5238" t="s">
        <v>4091</v>
      </c>
      <c r="B385" s="5297" t="s">
        <v>3292</v>
      </c>
      <c r="C385" s="5298">
        <v>540</v>
      </c>
      <c r="D385" s="5244" t="s">
        <v>4188</v>
      </c>
    </row>
    <row r="386" ht="15.75" spans="1:4">
      <c r="A386" s="5238" t="s">
        <v>4093</v>
      </c>
      <c r="B386" s="5297" t="s">
        <v>3295</v>
      </c>
      <c r="C386" s="5298">
        <v>541</v>
      </c>
      <c r="D386" s="5244" t="s">
        <v>4187</v>
      </c>
    </row>
    <row r="387" ht="15.75" spans="1:4">
      <c r="A387" s="5238" t="s">
        <v>4095</v>
      </c>
      <c r="B387" s="5297" t="s">
        <v>3298</v>
      </c>
      <c r="C387" s="5298">
        <v>542</v>
      </c>
      <c r="D387" s="5244" t="s">
        <v>4188</v>
      </c>
    </row>
    <row r="388" ht="15.75" spans="1:4">
      <c r="A388" s="5238" t="s">
        <v>4097</v>
      </c>
      <c r="B388" s="5297" t="s">
        <v>3301</v>
      </c>
      <c r="C388" s="5298">
        <v>543</v>
      </c>
      <c r="D388" s="5244" t="s">
        <v>4188</v>
      </c>
    </row>
    <row r="389" ht="15.75" spans="1:4">
      <c r="A389" s="5238" t="s">
        <v>4099</v>
      </c>
      <c r="B389" s="5297" t="s">
        <v>3304</v>
      </c>
      <c r="C389" s="5298">
        <v>544</v>
      </c>
      <c r="D389" s="5244" t="s">
        <v>4187</v>
      </c>
    </row>
    <row r="390" ht="15.75" spans="1:4">
      <c r="A390" s="5238" t="s">
        <v>4189</v>
      </c>
      <c r="B390" s="5297" t="s">
        <v>3307</v>
      </c>
      <c r="C390" s="5298">
        <v>545</v>
      </c>
      <c r="D390" s="5244" t="s">
        <v>4190</v>
      </c>
    </row>
    <row r="391" ht="15.75" spans="1:4">
      <c r="A391" s="5238" t="s">
        <v>4191</v>
      </c>
      <c r="B391" s="5297" t="s">
        <v>3310</v>
      </c>
      <c r="C391" s="5298">
        <v>546</v>
      </c>
      <c r="D391" s="5244" t="s">
        <v>4187</v>
      </c>
    </row>
    <row r="392" ht="15.75" spans="1:4">
      <c r="A392" s="5238" t="s">
        <v>4192</v>
      </c>
      <c r="B392" s="5297" t="s">
        <v>3313</v>
      </c>
      <c r="C392" s="5298">
        <v>547</v>
      </c>
      <c r="D392" s="5244" t="s">
        <v>4190</v>
      </c>
    </row>
    <row r="393" ht="15.75" spans="1:4">
      <c r="A393" s="5238" t="s">
        <v>4193</v>
      </c>
      <c r="B393" s="5297" t="s">
        <v>3316</v>
      </c>
      <c r="C393" s="5298">
        <v>548</v>
      </c>
      <c r="D393" s="5244" t="s">
        <v>4187</v>
      </c>
    </row>
    <row r="394" ht="15.75" spans="1:4">
      <c r="A394" s="5238" t="s">
        <v>4194</v>
      </c>
      <c r="B394" s="5297" t="s">
        <v>3319</v>
      </c>
      <c r="C394" s="5298">
        <v>549</v>
      </c>
      <c r="D394" s="5244" t="s">
        <v>4190</v>
      </c>
    </row>
    <row r="395" ht="15.75" spans="1:4">
      <c r="A395" s="5238" t="s">
        <v>4195</v>
      </c>
      <c r="B395" s="5297" t="s">
        <v>3322</v>
      </c>
      <c r="C395" s="5298">
        <v>550</v>
      </c>
      <c r="D395" s="5244" t="s">
        <v>4196</v>
      </c>
    </row>
    <row r="396" ht="15.75" spans="1:4">
      <c r="A396" s="5238" t="s">
        <v>4197</v>
      </c>
      <c r="B396" s="5297" t="s">
        <v>3325</v>
      </c>
      <c r="C396" s="5298">
        <v>551</v>
      </c>
      <c r="D396" s="5244" t="s">
        <v>4198</v>
      </c>
    </row>
    <row r="397" ht="30.75" spans="1:4">
      <c r="A397" s="5238" t="s">
        <v>4199</v>
      </c>
      <c r="B397" s="5297" t="s">
        <v>3328</v>
      </c>
      <c r="C397" s="5298">
        <v>552</v>
      </c>
      <c r="D397" s="5244" t="s">
        <v>4200</v>
      </c>
    </row>
    <row r="398" ht="15.75" spans="1:4">
      <c r="A398" s="5238" t="s">
        <v>4201</v>
      </c>
      <c r="B398" s="5297" t="s">
        <v>3329</v>
      </c>
      <c r="C398" s="5298">
        <v>553</v>
      </c>
      <c r="D398" s="5244" t="s">
        <v>4187</v>
      </c>
    </row>
    <row r="399" ht="15.75" spans="1:4">
      <c r="A399" s="5238" t="s">
        <v>4202</v>
      </c>
      <c r="B399" s="5297" t="s">
        <v>3332</v>
      </c>
      <c r="C399" s="5298">
        <v>554</v>
      </c>
      <c r="D399" s="5244" t="s">
        <v>4188</v>
      </c>
    </row>
    <row r="400" ht="15.75" spans="1:4">
      <c r="A400" s="5238" t="s">
        <v>4203</v>
      </c>
      <c r="B400" s="5297" t="s">
        <v>3335</v>
      </c>
      <c r="C400" s="5298">
        <v>555</v>
      </c>
      <c r="D400" s="5244" t="s">
        <v>4187</v>
      </c>
    </row>
    <row r="401" ht="15.75" spans="1:4">
      <c r="A401" s="5238" t="s">
        <v>4204</v>
      </c>
      <c r="B401" s="5297" t="s">
        <v>3337</v>
      </c>
      <c r="C401" s="5298">
        <v>556</v>
      </c>
      <c r="D401" s="5244" t="s">
        <v>4188</v>
      </c>
    </row>
    <row r="402" ht="15.75" spans="1:4">
      <c r="A402" s="5238" t="s">
        <v>4205</v>
      </c>
      <c r="B402" s="5297" t="s">
        <v>3340</v>
      </c>
      <c r="C402" s="5298">
        <v>557</v>
      </c>
      <c r="D402" s="5244" t="s">
        <v>4187</v>
      </c>
    </row>
    <row r="403" ht="15.75" spans="1:4">
      <c r="A403" s="5238" t="s">
        <v>4206</v>
      </c>
      <c r="B403" s="5297" t="s">
        <v>3342</v>
      </c>
      <c r="C403" s="5298">
        <v>558</v>
      </c>
      <c r="D403" s="5244" t="s">
        <v>4188</v>
      </c>
    </row>
    <row r="404" ht="15.75" spans="1:4">
      <c r="A404" s="5238" t="s">
        <v>4207</v>
      </c>
      <c r="B404" s="5297" t="s">
        <v>3345</v>
      </c>
      <c r="C404" s="5298">
        <v>559</v>
      </c>
      <c r="D404" s="5244" t="s">
        <v>4208</v>
      </c>
    </row>
    <row r="405" ht="15.75" spans="1:4">
      <c r="A405" s="5238" t="s">
        <v>4209</v>
      </c>
      <c r="B405" s="5239" t="s">
        <v>3347</v>
      </c>
      <c r="C405" s="5296">
        <v>560</v>
      </c>
      <c r="D405" s="5244" t="s">
        <v>4210</v>
      </c>
    </row>
    <row r="406" ht="15.75" spans="1:4">
      <c r="A406" s="5238" t="s">
        <v>4211</v>
      </c>
      <c r="B406" s="5239" t="s">
        <v>3350</v>
      </c>
      <c r="C406" s="5296">
        <v>561</v>
      </c>
      <c r="D406" s="5244" t="s">
        <v>4212</v>
      </c>
    </row>
    <row r="407" ht="15.75" spans="1:4">
      <c r="A407" s="5238" t="s">
        <v>4213</v>
      </c>
      <c r="B407" s="5239" t="s">
        <v>3353</v>
      </c>
      <c r="C407" s="5296">
        <v>562</v>
      </c>
      <c r="D407" s="5244" t="s">
        <v>4184</v>
      </c>
    </row>
    <row r="408" ht="15.75" spans="1:4">
      <c r="A408" s="5238" t="s">
        <v>4214</v>
      </c>
      <c r="B408" s="5239" t="s">
        <v>3356</v>
      </c>
      <c r="C408" s="5296">
        <v>563</v>
      </c>
      <c r="D408" s="5244" t="s">
        <v>4185</v>
      </c>
    </row>
    <row r="409" ht="15.75" spans="1:4">
      <c r="A409" s="5245" t="s">
        <v>3949</v>
      </c>
      <c r="B409" s="5303" t="s">
        <v>4215</v>
      </c>
      <c r="C409" s="5298">
        <v>564</v>
      </c>
      <c r="D409" s="5304"/>
    </row>
    <row r="410" ht="15.75" spans="1:4">
      <c r="A410" s="5245" t="s">
        <v>3902</v>
      </c>
      <c r="B410" s="5242" t="s">
        <v>3361</v>
      </c>
      <c r="C410" s="5296"/>
      <c r="D410" s="5244"/>
    </row>
    <row r="411" ht="15.75" spans="1:4">
      <c r="A411" s="5238" t="s">
        <v>3998</v>
      </c>
      <c r="B411" s="5297" t="s">
        <v>3364</v>
      </c>
      <c r="C411" s="5298">
        <v>565</v>
      </c>
      <c r="D411" s="5244" t="s">
        <v>4216</v>
      </c>
    </row>
    <row r="412" ht="15.75" spans="1:4">
      <c r="A412" s="5238" t="s">
        <v>4000</v>
      </c>
      <c r="B412" s="5297" t="s">
        <v>3367</v>
      </c>
      <c r="C412" s="5298">
        <v>566</v>
      </c>
      <c r="D412" s="5244" t="s">
        <v>4217</v>
      </c>
    </row>
    <row r="413" ht="15.75" spans="1:4">
      <c r="A413" s="5238" t="s">
        <v>4058</v>
      </c>
      <c r="B413" s="5297" t="s">
        <v>3370</v>
      </c>
      <c r="C413" s="5298">
        <v>567</v>
      </c>
      <c r="D413" s="5244" t="s">
        <v>4218</v>
      </c>
    </row>
    <row r="414" ht="15.75" spans="1:4">
      <c r="A414" s="5238" t="s">
        <v>4219</v>
      </c>
      <c r="B414" s="5297" t="s">
        <v>3375</v>
      </c>
      <c r="C414" s="5298">
        <v>568</v>
      </c>
      <c r="D414" s="5244" t="s">
        <v>4217</v>
      </c>
    </row>
    <row r="415" ht="15.75" spans="1:4">
      <c r="A415" s="5238" t="s">
        <v>4221</v>
      </c>
      <c r="B415" s="5297" t="s">
        <v>3378</v>
      </c>
      <c r="C415" s="5298">
        <v>569</v>
      </c>
      <c r="D415" s="5244" t="s">
        <v>4218</v>
      </c>
    </row>
    <row r="416" ht="15.75" spans="1:4">
      <c r="A416" s="5238" t="s">
        <v>4223</v>
      </c>
      <c r="B416" s="5297" t="s">
        <v>3380</v>
      </c>
      <c r="C416" s="5298">
        <v>570</v>
      </c>
      <c r="D416" s="5244" t="s">
        <v>4220</v>
      </c>
    </row>
    <row r="417" ht="15.75" spans="1:4">
      <c r="A417" s="5238" t="s">
        <v>4225</v>
      </c>
      <c r="B417" s="5297" t="s">
        <v>3382</v>
      </c>
      <c r="C417" s="5298">
        <v>571</v>
      </c>
      <c r="D417" s="5244" t="s">
        <v>4222</v>
      </c>
    </row>
    <row r="418" ht="15.75" spans="1:4">
      <c r="A418" s="5238" t="s">
        <v>4227</v>
      </c>
      <c r="B418" s="5297" t="s">
        <v>3384</v>
      </c>
      <c r="C418" s="5298">
        <v>572</v>
      </c>
      <c r="D418" s="5244" t="s">
        <v>4224</v>
      </c>
    </row>
    <row r="419" ht="15.75" spans="1:4">
      <c r="A419" s="5238" t="s">
        <v>4229</v>
      </c>
      <c r="B419" s="5297" t="s">
        <v>3373</v>
      </c>
      <c r="C419" s="5298">
        <v>573</v>
      </c>
      <c r="D419" s="5244" t="s">
        <v>4226</v>
      </c>
    </row>
    <row r="420" ht="15.75" spans="1:4">
      <c r="A420" s="5238" t="s">
        <v>4231</v>
      </c>
      <c r="B420" s="5239" t="s">
        <v>3386</v>
      </c>
      <c r="C420" s="5296">
        <v>574</v>
      </c>
      <c r="D420" s="5244" t="s">
        <v>4228</v>
      </c>
    </row>
    <row r="421" ht="15.75" spans="1:4">
      <c r="A421" s="5238" t="s">
        <v>4233</v>
      </c>
      <c r="B421" s="5239" t="s">
        <v>3389</v>
      </c>
      <c r="C421" s="5296">
        <v>575</v>
      </c>
      <c r="D421" s="5244" t="s">
        <v>4230</v>
      </c>
    </row>
    <row r="422" ht="15.75" spans="1:4">
      <c r="A422" s="5238" t="s">
        <v>4235</v>
      </c>
      <c r="B422" s="5239" t="s">
        <v>3392</v>
      </c>
      <c r="C422" s="5296">
        <v>576</v>
      </c>
      <c r="D422" s="5244" t="s">
        <v>4232</v>
      </c>
    </row>
    <row r="423" ht="15.75" spans="1:4">
      <c r="A423" s="5238" t="s">
        <v>4192</v>
      </c>
      <c r="B423" s="5239" t="s">
        <v>3395</v>
      </c>
      <c r="C423" s="5296">
        <v>577</v>
      </c>
      <c r="D423" s="5244" t="s">
        <v>4234</v>
      </c>
    </row>
    <row r="424" ht="15.75" spans="1:4">
      <c r="A424" s="5245" t="s">
        <v>3951</v>
      </c>
      <c r="B424" s="5303" t="s">
        <v>4237</v>
      </c>
      <c r="C424" s="5298">
        <v>578</v>
      </c>
      <c r="D424" s="5244"/>
    </row>
    <row r="425" ht="15.75" spans="1:4">
      <c r="A425" s="5245" t="s">
        <v>3905</v>
      </c>
      <c r="B425" s="5242" t="s">
        <v>4288</v>
      </c>
      <c r="C425" s="5296">
        <v>579</v>
      </c>
      <c r="D425" s="5305"/>
    </row>
    <row r="426" ht="30.75" spans="1:4">
      <c r="A426" s="5245" t="s">
        <v>3915</v>
      </c>
      <c r="B426" s="5242" t="s">
        <v>3403</v>
      </c>
      <c r="C426" s="5296">
        <v>580</v>
      </c>
      <c r="D426" s="5244" t="s">
        <v>4239</v>
      </c>
    </row>
    <row r="427" ht="15.75" spans="1:4">
      <c r="A427" s="5245" t="s">
        <v>3918</v>
      </c>
      <c r="B427" s="5242" t="s">
        <v>3406</v>
      </c>
      <c r="C427" s="5296">
        <v>581</v>
      </c>
      <c r="D427" s="5305"/>
    </row>
    <row r="428" ht="30.75" spans="1:4">
      <c r="A428" s="5245" t="s">
        <v>3920</v>
      </c>
      <c r="B428" s="5242" t="s">
        <v>4240</v>
      </c>
      <c r="C428" s="5296">
        <v>582</v>
      </c>
      <c r="D428" s="5244" t="s">
        <v>4239</v>
      </c>
    </row>
    <row r="429" ht="15" spans="1:4">
      <c r="A429" s="5271"/>
    </row>
    <row r="430" ht="17.25" spans="1:4">
      <c r="A430" s="5272"/>
    </row>
    <row r="431" ht="33.75" spans="1:4">
      <c r="A431" s="5273" t="s">
        <v>2505</v>
      </c>
      <c r="B431" s="5270" t="s">
        <v>4043</v>
      </c>
      <c r="C431" s="5274" t="s">
        <v>4044</v>
      </c>
      <c r="D431" s="5275" t="s">
        <v>4045</v>
      </c>
    </row>
    <row r="432" ht="17.25" spans="1:4">
      <c r="A432" s="5238"/>
      <c r="B432" s="5239"/>
      <c r="C432" s="5240"/>
      <c r="D432" s="5241"/>
    </row>
    <row r="433" ht="17.25" spans="1:4">
      <c r="A433" s="5238"/>
      <c r="B433" s="5242" t="s">
        <v>2645</v>
      </c>
      <c r="C433" s="5243"/>
      <c r="D433" s="5244"/>
    </row>
    <row r="434" ht="17.25" spans="1:4">
      <c r="A434" s="5245" t="s">
        <v>3872</v>
      </c>
      <c r="B434" s="5242" t="s">
        <v>3873</v>
      </c>
      <c r="C434" s="5246">
        <v>1</v>
      </c>
      <c r="D434" s="5244"/>
    </row>
    <row r="435" ht="17.25" spans="1:4">
      <c r="A435" s="5238" t="s">
        <v>3953</v>
      </c>
      <c r="B435" s="5239" t="s">
        <v>2650</v>
      </c>
      <c r="C435" s="5246">
        <v>2</v>
      </c>
      <c r="D435" s="5244" t="s">
        <v>4289</v>
      </c>
    </row>
    <row r="436" ht="17.25" spans="1:4">
      <c r="A436" s="5238" t="s">
        <v>3891</v>
      </c>
      <c r="B436" s="5239" t="s">
        <v>2652</v>
      </c>
      <c r="C436" s="5246">
        <v>3</v>
      </c>
      <c r="D436" s="5244" t="s">
        <v>4290</v>
      </c>
    </row>
    <row r="437" ht="17.25" spans="1:4">
      <c r="A437" s="5238" t="s">
        <v>3902</v>
      </c>
      <c r="B437" s="5239" t="s">
        <v>2654</v>
      </c>
      <c r="C437" s="5246">
        <v>4</v>
      </c>
      <c r="D437" s="5244" t="s">
        <v>3904</v>
      </c>
    </row>
    <row r="438" ht="17.25" spans="1:4">
      <c r="A438" s="5238" t="s">
        <v>3905</v>
      </c>
      <c r="B438" s="5239" t="s">
        <v>2656</v>
      </c>
      <c r="C438" s="5246">
        <v>5</v>
      </c>
      <c r="D438" s="5244" t="s">
        <v>4291</v>
      </c>
    </row>
    <row r="439" ht="17.25" spans="1:4">
      <c r="A439" s="5238" t="s">
        <v>3915</v>
      </c>
      <c r="B439" s="5239" t="s">
        <v>2658</v>
      </c>
      <c r="C439" s="5246">
        <v>6</v>
      </c>
      <c r="D439" s="5244" t="s">
        <v>3917</v>
      </c>
    </row>
    <row r="440" ht="17.25" spans="1:4">
      <c r="A440" s="5238" t="s">
        <v>3918</v>
      </c>
      <c r="B440" s="5239" t="s">
        <v>2660</v>
      </c>
      <c r="C440" s="5246">
        <v>7</v>
      </c>
      <c r="D440" s="5244" t="s">
        <v>4292</v>
      </c>
    </row>
    <row r="441" ht="17.25" spans="1:4">
      <c r="A441" s="5238" t="s">
        <v>3920</v>
      </c>
      <c r="B441" s="5239" t="s">
        <v>2663</v>
      </c>
      <c r="C441" s="5246">
        <v>8</v>
      </c>
      <c r="D441" s="5244" t="s">
        <v>4293</v>
      </c>
    </row>
    <row r="442" ht="17.25" spans="1:4">
      <c r="A442" s="5245" t="s">
        <v>3949</v>
      </c>
      <c r="B442" s="5242" t="s">
        <v>3952</v>
      </c>
      <c r="C442" s="5246">
        <v>9</v>
      </c>
      <c r="D442" s="5244"/>
    </row>
    <row r="443" ht="17.25" spans="1:4">
      <c r="A443" s="5238" t="s">
        <v>3953</v>
      </c>
      <c r="B443" s="5239" t="s">
        <v>2667</v>
      </c>
      <c r="C443" s="5246">
        <v>10</v>
      </c>
      <c r="D443" s="5244" t="s">
        <v>4294</v>
      </c>
    </row>
    <row r="444" ht="17.25" spans="1:4">
      <c r="A444" s="5238" t="s">
        <v>3891</v>
      </c>
      <c r="B444" s="5239" t="s">
        <v>2669</v>
      </c>
      <c r="C444" s="5246">
        <v>11</v>
      </c>
      <c r="D444" s="5244" t="s">
        <v>3960</v>
      </c>
    </row>
    <row r="445" ht="15" spans="1:4">
      <c r="A445" s="5266" t="s">
        <v>3902</v>
      </c>
      <c r="B445" s="5267" t="s">
        <v>2671</v>
      </c>
      <c r="C445" s="5306">
        <v>12</v>
      </c>
      <c r="D445" s="5269" t="s">
        <v>4295</v>
      </c>
    </row>
    <row r="446" ht="15.75" spans="1:4">
      <c r="A446" s="5238"/>
      <c r="B446" s="5307"/>
      <c r="C446" s="5277"/>
      <c r="D446" s="5244" t="s">
        <v>3961</v>
      </c>
    </row>
    <row r="447" ht="15" spans="1:4">
      <c r="A447" s="5266" t="s">
        <v>3905</v>
      </c>
      <c r="B447" s="5267" t="s">
        <v>2673</v>
      </c>
      <c r="C447" s="5306">
        <v>13</v>
      </c>
      <c r="D447" s="5269" t="s">
        <v>3978</v>
      </c>
    </row>
    <row r="448" ht="15.75" spans="1:4">
      <c r="A448" s="5238"/>
      <c r="B448" s="5307"/>
      <c r="C448" s="5277"/>
      <c r="D448" s="5244" t="s">
        <v>4296</v>
      </c>
    </row>
    <row r="449" ht="17.25" spans="1:4">
      <c r="A449" s="5238" t="s">
        <v>3915</v>
      </c>
      <c r="B449" s="5239" t="s">
        <v>2676</v>
      </c>
      <c r="C449" s="5246">
        <v>14</v>
      </c>
      <c r="D449" s="5244" t="s">
        <v>3979</v>
      </c>
    </row>
    <row r="450" ht="17.25" spans="1:4">
      <c r="A450" s="5238" t="s">
        <v>3918</v>
      </c>
      <c r="B450" s="5239" t="s">
        <v>2678</v>
      </c>
      <c r="C450" s="5246">
        <v>15</v>
      </c>
      <c r="D450" s="5244" t="s">
        <v>3981</v>
      </c>
    </row>
    <row r="451" ht="15" spans="1:4">
      <c r="A451" s="5266" t="s">
        <v>3920</v>
      </c>
      <c r="B451" s="5267" t="s">
        <v>2680</v>
      </c>
      <c r="C451" s="5306">
        <v>16</v>
      </c>
      <c r="D451" s="5269" t="s">
        <v>4297</v>
      </c>
    </row>
    <row r="452" ht="15.75" spans="1:4">
      <c r="A452" s="5238"/>
      <c r="B452" s="5307"/>
      <c r="C452" s="5277"/>
      <c r="D452" s="5244" t="s">
        <v>4298</v>
      </c>
    </row>
    <row r="453" ht="17.25" spans="1:4">
      <c r="A453" s="5245" t="s">
        <v>3951</v>
      </c>
      <c r="B453" s="5242" t="s">
        <v>3984</v>
      </c>
      <c r="C453" s="5246">
        <v>17</v>
      </c>
      <c r="D453" s="5244"/>
    </row>
    <row r="454" ht="17.25" spans="1:4">
      <c r="A454" s="5245" t="s">
        <v>3983</v>
      </c>
      <c r="B454" s="5242" t="s">
        <v>2684</v>
      </c>
      <c r="C454" s="5246">
        <v>18</v>
      </c>
      <c r="D454" s="5244"/>
    </row>
    <row r="455" ht="17.25" spans="1:4">
      <c r="A455" s="5245" t="s">
        <v>3985</v>
      </c>
      <c r="B455" s="5242" t="s">
        <v>3988</v>
      </c>
      <c r="C455" s="5246">
        <v>19</v>
      </c>
      <c r="D455" s="5244"/>
    </row>
    <row r="456" ht="17.25" spans="1:4">
      <c r="A456" s="5238"/>
      <c r="B456" s="5242" t="s">
        <v>2690</v>
      </c>
      <c r="C456" s="5246"/>
      <c r="D456" s="5244"/>
    </row>
    <row r="457" ht="17.25" spans="1:4">
      <c r="A457" s="5238" t="s">
        <v>3953</v>
      </c>
      <c r="B457" s="5239" t="s">
        <v>2692</v>
      </c>
      <c r="C457" s="5246">
        <v>20</v>
      </c>
      <c r="D457" s="5244" t="s">
        <v>4299</v>
      </c>
    </row>
    <row r="458" ht="17.25" spans="1:4">
      <c r="A458" s="5238" t="s">
        <v>3891</v>
      </c>
      <c r="B458" s="5239" t="s">
        <v>2694</v>
      </c>
      <c r="C458" s="5246">
        <v>21</v>
      </c>
      <c r="D458" s="5244" t="s">
        <v>3996</v>
      </c>
    </row>
    <row r="459" ht="17.25" spans="1:4">
      <c r="A459" s="5238" t="s">
        <v>3902</v>
      </c>
      <c r="B459" s="5239" t="s">
        <v>2696</v>
      </c>
      <c r="C459" s="5246">
        <v>22</v>
      </c>
      <c r="D459" s="5244" t="s">
        <v>4300</v>
      </c>
    </row>
    <row r="460" ht="17.25" spans="1:4">
      <c r="A460" s="5238" t="s">
        <v>3905</v>
      </c>
      <c r="B460" s="5239" t="s">
        <v>2698</v>
      </c>
      <c r="C460" s="5246">
        <v>23</v>
      </c>
      <c r="D460" s="5244" t="s">
        <v>4301</v>
      </c>
    </row>
    <row r="461" ht="17.25" spans="1:4">
      <c r="A461" s="5238" t="s">
        <v>3915</v>
      </c>
      <c r="B461" s="5239" t="s">
        <v>4160</v>
      </c>
      <c r="C461" s="5246">
        <v>24</v>
      </c>
      <c r="D461" s="5244"/>
    </row>
    <row r="462" ht="17.25" spans="1:4">
      <c r="A462" s="5238" t="s">
        <v>3967</v>
      </c>
      <c r="B462" s="5247" t="s">
        <v>2703</v>
      </c>
      <c r="C462" s="5246">
        <v>25</v>
      </c>
      <c r="D462" s="5244" t="s">
        <v>4007</v>
      </c>
    </row>
    <row r="463" ht="17.25" spans="1:4">
      <c r="A463" s="5238" t="s">
        <v>3969</v>
      </c>
      <c r="B463" s="5247" t="s">
        <v>2706</v>
      </c>
      <c r="C463" s="5246">
        <v>26</v>
      </c>
      <c r="D463" s="5244" t="s">
        <v>4008</v>
      </c>
    </row>
    <row r="464" ht="17.25" spans="1:4">
      <c r="A464" s="5238" t="s">
        <v>3918</v>
      </c>
      <c r="B464" s="5239" t="s">
        <v>4162</v>
      </c>
      <c r="C464" s="5246">
        <v>27</v>
      </c>
      <c r="D464" s="5244"/>
    </row>
    <row r="465" ht="17.25" spans="1:4">
      <c r="A465" s="5238" t="s">
        <v>4010</v>
      </c>
      <c r="B465" s="5247" t="s">
        <v>2711</v>
      </c>
      <c r="C465" s="5246">
        <v>28</v>
      </c>
      <c r="D465" s="5244" t="s">
        <v>4011</v>
      </c>
    </row>
    <row r="466" ht="17.25" spans="1:4">
      <c r="A466" s="5238" t="s">
        <v>4012</v>
      </c>
      <c r="B466" s="5247" t="s">
        <v>2714</v>
      </c>
      <c r="C466" s="5246">
        <v>29</v>
      </c>
      <c r="D466" s="5244" t="s">
        <v>4013</v>
      </c>
    </row>
    <row r="467" ht="17.25" spans="1:4">
      <c r="A467" s="5245" t="s">
        <v>3872</v>
      </c>
      <c r="B467" s="5242" t="s">
        <v>4016</v>
      </c>
      <c r="C467" s="5246">
        <v>30</v>
      </c>
      <c r="D467" s="5244"/>
    </row>
    <row r="468" ht="17.25" spans="1:4">
      <c r="A468" s="5238"/>
      <c r="B468" s="5242" t="s">
        <v>2719</v>
      </c>
      <c r="C468" s="5246"/>
      <c r="D468" s="5244"/>
    </row>
    <row r="469" ht="17.25" spans="1:4">
      <c r="A469" s="5245" t="s">
        <v>3949</v>
      </c>
      <c r="B469" s="5242" t="s">
        <v>4017</v>
      </c>
      <c r="C469" s="5246">
        <v>31</v>
      </c>
      <c r="D469" s="5244"/>
    </row>
    <row r="470" ht="17.25" spans="1:4">
      <c r="A470" s="5238" t="s">
        <v>3953</v>
      </c>
      <c r="B470" s="5239" t="s">
        <v>2725</v>
      </c>
      <c r="C470" s="5246">
        <v>32</v>
      </c>
      <c r="D470" s="5244" t="s">
        <v>4302</v>
      </c>
    </row>
    <row r="471" ht="17.25" spans="1:4">
      <c r="A471" s="5238" t="s">
        <v>3891</v>
      </c>
      <c r="B471" s="5239" t="s">
        <v>2728</v>
      </c>
      <c r="C471" s="5246">
        <v>33</v>
      </c>
      <c r="D471" s="5244" t="s">
        <v>4303</v>
      </c>
    </row>
    <row r="472" ht="17.25" spans="1:4">
      <c r="A472" s="5238" t="s">
        <v>3902</v>
      </c>
      <c r="B472" s="5239" t="s">
        <v>2731</v>
      </c>
      <c r="C472" s="5246">
        <v>34</v>
      </c>
      <c r="D472" s="5244" t="s">
        <v>4304</v>
      </c>
    </row>
    <row r="473" ht="17.25" spans="1:4">
      <c r="A473" s="5245" t="s">
        <v>3951</v>
      </c>
      <c r="B473" s="5242" t="s">
        <v>4305</v>
      </c>
      <c r="C473" s="5246">
        <v>35</v>
      </c>
      <c r="D473" s="5244"/>
    </row>
    <row r="474" ht="17.25" spans="1:4">
      <c r="A474" s="5238" t="s">
        <v>3953</v>
      </c>
      <c r="B474" s="5239" t="s">
        <v>2737</v>
      </c>
      <c r="C474" s="5246">
        <v>36</v>
      </c>
      <c r="D474" s="5244" t="s">
        <v>4306</v>
      </c>
    </row>
    <row r="475" ht="15" spans="1:4">
      <c r="A475" s="5266" t="s">
        <v>3891</v>
      </c>
      <c r="B475" s="5267" t="s">
        <v>2740</v>
      </c>
      <c r="C475" s="5306">
        <v>37</v>
      </c>
      <c r="D475" s="5269" t="s">
        <v>4307</v>
      </c>
    </row>
    <row r="476" ht="15.75" spans="1:4">
      <c r="A476" s="5238"/>
      <c r="B476" s="5307"/>
      <c r="C476" s="5277"/>
      <c r="D476" s="5244" t="s">
        <v>4308</v>
      </c>
    </row>
    <row r="477" ht="17.25" spans="1:4">
      <c r="A477" s="5238" t="s">
        <v>3902</v>
      </c>
      <c r="B477" s="5239" t="s">
        <v>2728</v>
      </c>
      <c r="C477" s="5246">
        <v>38</v>
      </c>
      <c r="D477" s="5244" t="s">
        <v>4037</v>
      </c>
    </row>
    <row r="478" ht="17.25" spans="1:4">
      <c r="A478" s="5238" t="s">
        <v>3905</v>
      </c>
      <c r="B478" s="5239" t="s">
        <v>2743</v>
      </c>
      <c r="C478" s="5246">
        <v>39</v>
      </c>
      <c r="D478" s="5244" t="s">
        <v>3981</v>
      </c>
    </row>
    <row r="479" ht="15" spans="1:4">
      <c r="A479" s="5266" t="s">
        <v>3915</v>
      </c>
      <c r="B479" s="5267" t="s">
        <v>2731</v>
      </c>
      <c r="C479" s="5306">
        <v>40</v>
      </c>
      <c r="D479" s="5269" t="s">
        <v>4309</v>
      </c>
    </row>
    <row r="480" ht="15.75" spans="1:4">
      <c r="A480" s="5238"/>
      <c r="B480" s="5307"/>
      <c r="C480" s="5277"/>
      <c r="D480" s="5244" t="s">
        <v>4310</v>
      </c>
    </row>
    <row r="481" ht="17.25" spans="1:4">
      <c r="A481" s="5245" t="s">
        <v>3983</v>
      </c>
      <c r="B481" s="5242" t="s">
        <v>4039</v>
      </c>
      <c r="C481" s="5246">
        <v>41</v>
      </c>
      <c r="D481" s="5244"/>
    </row>
    <row r="482" ht="17.25" spans="1:4">
      <c r="A482" s="5245" t="s">
        <v>3985</v>
      </c>
      <c r="B482" s="5242" t="s">
        <v>2749</v>
      </c>
      <c r="C482" s="5246">
        <v>42</v>
      </c>
      <c r="D482" s="5244"/>
    </row>
    <row r="483" ht="17.25" spans="1:4">
      <c r="A483" s="5245" t="s">
        <v>3987</v>
      </c>
      <c r="B483" s="5242" t="s">
        <v>2684</v>
      </c>
      <c r="C483" s="5246">
        <v>43</v>
      </c>
      <c r="D483" s="5244"/>
    </row>
    <row r="484" ht="17.25" spans="1:4">
      <c r="A484" s="5245" t="s">
        <v>4041</v>
      </c>
      <c r="B484" s="5242" t="s">
        <v>4042</v>
      </c>
      <c r="C484" s="5246">
        <v>44</v>
      </c>
      <c r="D484" s="5244"/>
    </row>
    <row r="485" ht="15" spans="1:4">
      <c r="A485" s="5271"/>
    </row>
    <row r="486" spans="1:4">
      <c r="A486" s="2"/>
    </row>
    <row r="487" spans="1:4">
      <c r="A487" s="2"/>
    </row>
    <row r="488" spans="1:4">
      <c r="A488" s="2"/>
    </row>
    <row r="489" spans="1:4">
      <c r="A489" s="2"/>
    </row>
    <row r="490" spans="1:4">
      <c r="A490" s="2"/>
    </row>
    <row r="491" spans="1:4">
      <c r="A491" s="2"/>
    </row>
    <row r="492" spans="1:4">
      <c r="A492" s="2"/>
    </row>
    <row r="493" spans="1:4">
      <c r="A493" s="2"/>
    </row>
    <row r="494" spans="1:4">
      <c r="A494" s="2"/>
    </row>
    <row r="495" spans="1:4">
      <c r="A495" s="2"/>
    </row>
    <row r="496" spans="1:4">
      <c r="A496" s="2"/>
    </row>
    <row r="497" spans="1:4">
      <c r="A497" s="2"/>
    </row>
    <row r="498" spans="1:4">
      <c r="A498" s="2"/>
    </row>
    <row r="499" ht="17.25" spans="1:4">
      <c r="A499" s="5272"/>
    </row>
    <row r="500" ht="34.5" customHeight="1" spans="1:4">
      <c r="A500" s="5273" t="s">
        <v>2505</v>
      </c>
      <c r="B500" s="5270" t="s">
        <v>4043</v>
      </c>
      <c r="C500" s="5274" t="s">
        <v>4044</v>
      </c>
      <c r="D500" s="5275" t="s">
        <v>4045</v>
      </c>
    </row>
    <row r="501" ht="17.25" spans="1:4">
      <c r="A501" s="5238"/>
      <c r="B501" s="5239"/>
      <c r="C501" s="5240"/>
      <c r="D501" s="5241"/>
    </row>
    <row r="502" ht="17.25" spans="1:4">
      <c r="A502" s="5238"/>
      <c r="B502" s="5242" t="s">
        <v>2549</v>
      </c>
      <c r="C502" s="5246"/>
      <c r="D502" s="5244"/>
    </row>
    <row r="503" ht="17.25" spans="1:4">
      <c r="A503" s="5245" t="s">
        <v>3872</v>
      </c>
      <c r="B503" s="5276" t="s">
        <v>4046</v>
      </c>
      <c r="C503" s="5277">
        <v>101</v>
      </c>
      <c r="D503" s="5244"/>
    </row>
    <row r="504" ht="17.25" spans="1:4">
      <c r="A504" s="5238" t="s">
        <v>3953</v>
      </c>
      <c r="B504" s="5239" t="s">
        <v>2554</v>
      </c>
      <c r="C504" s="5246">
        <v>102</v>
      </c>
      <c r="D504" s="5244" t="s">
        <v>4311</v>
      </c>
    </row>
    <row r="505" ht="17.25" spans="1:4">
      <c r="A505" s="5238" t="s">
        <v>3891</v>
      </c>
      <c r="B505" s="5239" t="s">
        <v>2556</v>
      </c>
      <c r="C505" s="5246">
        <v>103</v>
      </c>
      <c r="D505" s="5244" t="s">
        <v>4312</v>
      </c>
    </row>
    <row r="506" ht="17.25" spans="1:4">
      <c r="A506" s="5238" t="s">
        <v>3902</v>
      </c>
      <c r="B506" s="5239" t="s">
        <v>2558</v>
      </c>
      <c r="C506" s="5246">
        <v>104</v>
      </c>
      <c r="D506" s="5244" t="s">
        <v>4313</v>
      </c>
    </row>
    <row r="507" ht="17.25" spans="1:4">
      <c r="A507" s="5245" t="s">
        <v>3949</v>
      </c>
      <c r="B507" s="5242" t="s">
        <v>4114</v>
      </c>
      <c r="C507" s="5246">
        <v>105</v>
      </c>
      <c r="D507" s="5244"/>
    </row>
    <row r="508" ht="17.25" spans="1:4">
      <c r="A508" s="5238" t="s">
        <v>3953</v>
      </c>
      <c r="B508" s="5239" t="s">
        <v>2563</v>
      </c>
      <c r="C508" s="5246">
        <v>106</v>
      </c>
      <c r="D508" s="5244" t="s">
        <v>4115</v>
      </c>
    </row>
    <row r="509" ht="17.25" spans="1:4">
      <c r="A509" s="5238" t="s">
        <v>3891</v>
      </c>
      <c r="B509" s="5239" t="s">
        <v>2862</v>
      </c>
      <c r="C509" s="5246">
        <v>107</v>
      </c>
      <c r="D509" s="5244" t="s">
        <v>4117</v>
      </c>
    </row>
    <row r="510" ht="17.25" spans="1:4">
      <c r="A510" s="5238" t="s">
        <v>3902</v>
      </c>
      <c r="B510" s="5239" t="s">
        <v>2569</v>
      </c>
      <c r="C510" s="5246">
        <v>108</v>
      </c>
      <c r="D510" s="5244" t="s">
        <v>4118</v>
      </c>
    </row>
    <row r="511" ht="17.25" spans="1:4">
      <c r="A511" s="5238" t="s">
        <v>3905</v>
      </c>
      <c r="B511" s="5239" t="s">
        <v>2571</v>
      </c>
      <c r="C511" s="5246">
        <v>109</v>
      </c>
      <c r="D511" s="5244" t="s">
        <v>4119</v>
      </c>
    </row>
    <row r="512" ht="17.25" spans="1:4">
      <c r="A512" s="5238" t="s">
        <v>3915</v>
      </c>
      <c r="B512" s="5239" t="s">
        <v>2573</v>
      </c>
      <c r="C512" s="5246">
        <v>110</v>
      </c>
      <c r="D512" s="5244" t="s">
        <v>4314</v>
      </c>
    </row>
    <row r="513" ht="17.25" spans="1:4">
      <c r="A513" s="5238" t="s">
        <v>3918</v>
      </c>
      <c r="B513" s="5239" t="s">
        <v>2576</v>
      </c>
      <c r="C513" s="5246">
        <v>111</v>
      </c>
      <c r="D513" s="5244" t="s">
        <v>4315</v>
      </c>
    </row>
    <row r="514" ht="15" spans="1:4">
      <c r="A514" s="5266" t="s">
        <v>3920</v>
      </c>
      <c r="B514" s="5267" t="s">
        <v>2578</v>
      </c>
      <c r="C514" s="5306">
        <v>112</v>
      </c>
      <c r="D514" s="5269" t="s">
        <v>4316</v>
      </c>
    </row>
    <row r="515" ht="15.75" spans="1:4">
      <c r="A515" s="5238"/>
      <c r="B515" s="5307"/>
      <c r="C515" s="5277"/>
      <c r="D515" s="5244" t="s">
        <v>4317</v>
      </c>
    </row>
    <row r="516" ht="17.25" spans="1:4">
      <c r="A516" s="5245" t="s">
        <v>3951</v>
      </c>
      <c r="B516" s="5242" t="s">
        <v>4318</v>
      </c>
      <c r="C516" s="5246">
        <v>113</v>
      </c>
      <c r="D516" s="5244"/>
    </row>
    <row r="517" ht="33.75" customHeight="1" spans="1:4">
      <c r="A517" s="5238" t="s">
        <v>3953</v>
      </c>
      <c r="B517" s="5239" t="s">
        <v>2583</v>
      </c>
      <c r="C517" s="5246">
        <v>114</v>
      </c>
      <c r="D517" s="5244" t="s">
        <v>4319</v>
      </c>
    </row>
    <row r="518" ht="17.25" spans="1:4">
      <c r="A518" s="5238" t="s">
        <v>3891</v>
      </c>
      <c r="B518" s="5239" t="s">
        <v>2586</v>
      </c>
      <c r="C518" s="5246">
        <v>115</v>
      </c>
      <c r="D518" s="5244" t="s">
        <v>4320</v>
      </c>
    </row>
    <row r="519" ht="17.25" spans="1:4">
      <c r="A519" s="5238" t="s">
        <v>3902</v>
      </c>
      <c r="B519" s="5239" t="s">
        <v>2589</v>
      </c>
      <c r="C519" s="5246">
        <v>116</v>
      </c>
      <c r="D519" s="5244" t="s">
        <v>4321</v>
      </c>
    </row>
    <row r="520" ht="17.25" spans="1:4">
      <c r="A520" s="5238" t="s">
        <v>3905</v>
      </c>
      <c r="B520" s="5239" t="s">
        <v>2591</v>
      </c>
      <c r="C520" s="5246">
        <v>117</v>
      </c>
      <c r="D520" s="5244" t="s">
        <v>4100</v>
      </c>
    </row>
    <row r="521" ht="17.25" spans="1:4">
      <c r="A521" s="5238" t="s">
        <v>3915</v>
      </c>
      <c r="B521" s="5239" t="s">
        <v>2594</v>
      </c>
      <c r="C521" s="5246">
        <v>118</v>
      </c>
      <c r="D521" s="5244" t="s">
        <v>4322</v>
      </c>
    </row>
    <row r="522" ht="17.25" spans="1:4">
      <c r="A522" s="5238" t="s">
        <v>3918</v>
      </c>
      <c r="B522" s="5239" t="s">
        <v>2597</v>
      </c>
      <c r="C522" s="5246">
        <v>119</v>
      </c>
      <c r="D522" s="5244" t="s">
        <v>4323</v>
      </c>
    </row>
    <row r="523" ht="17.25" spans="1:4">
      <c r="A523" s="5238" t="s">
        <v>3920</v>
      </c>
      <c r="B523" s="5239" t="s">
        <v>2600</v>
      </c>
      <c r="C523" s="5246">
        <v>120</v>
      </c>
      <c r="D523" s="5244" t="s">
        <v>4324</v>
      </c>
    </row>
    <row r="524" ht="17.25" spans="1:4">
      <c r="A524" s="5238" t="s">
        <v>3923</v>
      </c>
      <c r="B524" s="5239" t="s">
        <v>2602</v>
      </c>
      <c r="C524" s="5246">
        <v>121</v>
      </c>
      <c r="D524" s="5244" t="s">
        <v>4325</v>
      </c>
    </row>
    <row r="525" ht="17.25" spans="1:4">
      <c r="A525" s="5245" t="s">
        <v>3983</v>
      </c>
      <c r="B525" s="5242" t="s">
        <v>4326</v>
      </c>
      <c r="C525" s="5246">
        <v>122</v>
      </c>
      <c r="D525" s="5244"/>
    </row>
    <row r="526" ht="17.25" spans="1:4">
      <c r="A526" s="5245" t="s">
        <v>3985</v>
      </c>
      <c r="B526" s="5242" t="s">
        <v>4327</v>
      </c>
      <c r="C526" s="5246">
        <v>123</v>
      </c>
      <c r="D526" s="5244"/>
    </row>
    <row r="527" ht="17.25" spans="1:4">
      <c r="A527" s="5245" t="s">
        <v>3987</v>
      </c>
      <c r="B527" s="5242" t="s">
        <v>4147</v>
      </c>
      <c r="C527" s="5246">
        <v>124</v>
      </c>
      <c r="D527" s="5244"/>
    </row>
    <row r="528" ht="17.25" spans="1:4">
      <c r="A528" s="5238" t="s">
        <v>3953</v>
      </c>
      <c r="B528" s="5239" t="s">
        <v>2613</v>
      </c>
      <c r="C528" s="5246">
        <v>125</v>
      </c>
      <c r="D528" s="5244"/>
    </row>
    <row r="529" ht="17.25" spans="1:4">
      <c r="A529" s="5238" t="s">
        <v>3891</v>
      </c>
      <c r="B529" s="5239" t="s">
        <v>2615</v>
      </c>
      <c r="C529" s="5246">
        <v>126</v>
      </c>
      <c r="D529" s="5244" t="s">
        <v>4328</v>
      </c>
    </row>
    <row r="530" ht="17.25" spans="1:4">
      <c r="A530" s="5245" t="s">
        <v>4040</v>
      </c>
      <c r="B530" s="5242" t="s">
        <v>4160</v>
      </c>
      <c r="C530" s="5246">
        <v>127</v>
      </c>
      <c r="D530" s="5244"/>
    </row>
    <row r="531" ht="17.25" spans="1:4">
      <c r="A531" s="5245" t="s">
        <v>4041</v>
      </c>
      <c r="B531" s="5242" t="s">
        <v>4162</v>
      </c>
      <c r="C531" s="5246">
        <v>128</v>
      </c>
      <c r="D531" s="5244"/>
    </row>
    <row r="532" ht="17.25" spans="1:4">
      <c r="A532" s="5245"/>
      <c r="B532" s="5242" t="s">
        <v>2623</v>
      </c>
      <c r="C532" s="5246"/>
      <c r="D532" s="5244"/>
    </row>
    <row r="533" ht="17.25" spans="1:4">
      <c r="A533" s="5245" t="s">
        <v>4146</v>
      </c>
      <c r="B533" s="5242" t="s">
        <v>4164</v>
      </c>
      <c r="C533" s="5246">
        <v>129</v>
      </c>
      <c r="D533" s="5244"/>
    </row>
    <row r="534" ht="17.25" spans="1:4">
      <c r="A534" s="5238" t="s">
        <v>3953</v>
      </c>
      <c r="B534" s="5239" t="s">
        <v>2628</v>
      </c>
      <c r="C534" s="5246">
        <v>130</v>
      </c>
      <c r="D534" s="5244" t="s">
        <v>4171</v>
      </c>
    </row>
    <row r="535" ht="17.25" spans="1:4">
      <c r="A535" s="5238" t="s">
        <v>3891</v>
      </c>
      <c r="B535" s="5239" t="s">
        <v>2630</v>
      </c>
      <c r="C535" s="5246">
        <v>131</v>
      </c>
      <c r="D535" s="5244" t="s">
        <v>4329</v>
      </c>
    </row>
    <row r="536" ht="17.25" spans="1:4">
      <c r="A536" s="5238" t="s">
        <v>3902</v>
      </c>
      <c r="B536" s="5239" t="s">
        <v>2633</v>
      </c>
      <c r="C536" s="5246">
        <v>132</v>
      </c>
      <c r="D536" s="5244" t="s">
        <v>4330</v>
      </c>
    </row>
    <row r="537" ht="17.25" spans="1:4">
      <c r="A537" s="5238" t="s">
        <v>3905</v>
      </c>
      <c r="B537" s="5239" t="s">
        <v>2635</v>
      </c>
      <c r="C537" s="5246">
        <v>133</v>
      </c>
      <c r="D537" s="5244"/>
    </row>
    <row r="538" ht="17.25" spans="1:4">
      <c r="A538" s="5245" t="s">
        <v>4153</v>
      </c>
      <c r="B538" s="5242" t="s">
        <v>4174</v>
      </c>
      <c r="C538" s="5246">
        <v>134</v>
      </c>
      <c r="D538" s="5244"/>
    </row>
    <row r="539" ht="15" spans="1:4">
      <c r="A539" s="5271"/>
    </row>
    <row r="540" spans="1:4">
      <c r="A540" s="2"/>
    </row>
  </sheetData>
  <mergeCells count="19">
    <mergeCell ref="A445:A446"/>
    <mergeCell ref="A447:A448"/>
    <mergeCell ref="A451:A452"/>
    <mergeCell ref="A475:A476"/>
    <mergeCell ref="A479:A480"/>
    <mergeCell ref="A514:A515"/>
    <mergeCell ref="B445:B446"/>
    <mergeCell ref="B447:B448"/>
    <mergeCell ref="B451:B452"/>
    <mergeCell ref="B475:B476"/>
    <mergeCell ref="B479:B480"/>
    <mergeCell ref="B514:B515"/>
    <mergeCell ref="C445:C446"/>
    <mergeCell ref="C447:C448"/>
    <mergeCell ref="C451:C452"/>
    <mergeCell ref="C475:C476"/>
    <mergeCell ref="C479:C480"/>
    <mergeCell ref="C514:C515"/>
    <mergeCell ref="D370:D376"/>
  </mergeCells>
  <pageMargins left="0.7" right="0.7" top="0.75" bottom="0.75" header="0.3" footer="0.3"/>
  <pageSetup paperSize="1" scale="55" fitToHeight="0"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8">
    <tabColor theme="9" tint="0.399975585192419"/>
    <pageSetUpPr fitToPage="1"/>
  </sheetPr>
  <dimension ref="A2:AL37"/>
  <sheetViews>
    <sheetView showGridLines="0" topLeftCell="A4" workbookViewId="0">
      <selection activeCell="BZ36" sqref="BZ36"/>
    </sheetView>
  </sheetViews>
  <sheetFormatPr defaultColWidth="2" defaultRowHeight="15.75"/>
  <cols>
    <col min="1" max="16384" width="2" style="679"/>
  </cols>
  <sheetData>
    <row r="2" spans="1:14">
      <c r="A2" s="680" t="str">
        <f>Firma</f>
        <v>LILIUM ASSET MANAGEMENT d.o.o. Sarajevo</v>
      </c>
    </row>
    <row r="3" spans="1:14">
      <c r="A3" s="679" t="str">
        <f>Sjedište</f>
        <v>Sarajevo-Stari Grad</v>
      </c>
    </row>
    <row r="4" spans="1:14">
      <c r="A4" s="681">
        <f>UnosPod!AA8</f>
        <v>4</v>
      </c>
      <c r="B4" s="681">
        <f>UnosPod!AB8</f>
        <v>2</v>
      </c>
      <c r="C4" s="681">
        <f>UnosPod!AC8</f>
        <v>0</v>
      </c>
      <c r="D4" s="681">
        <f>UnosPod!AD8</f>
        <v>1</v>
      </c>
      <c r="E4" s="681">
        <f>UnosPod!AE8</f>
        <v>3</v>
      </c>
      <c r="F4" s="681">
        <f>UnosPod!AF8</f>
        <v>3</v>
      </c>
      <c r="G4" s="681">
        <f>UnosPod!AG8</f>
        <v>7</v>
      </c>
      <c r="H4" s="681">
        <f>UnosPod!AH8</f>
        <v>6</v>
      </c>
      <c r="I4" s="681">
        <f>UnosPod!AI8</f>
        <v>7</v>
      </c>
      <c r="J4" s="681">
        <f>UnosPod!AJ8</f>
        <v>0</v>
      </c>
      <c r="K4" s="681">
        <f>UnosPod!AK8</f>
        <v>0</v>
      </c>
      <c r="L4" s="681">
        <f>UnosPod!AL8</f>
        <v>0</v>
      </c>
      <c r="M4" s="681">
        <f>UnosPod!AM8</f>
        <v>9</v>
      </c>
    </row>
    <row r="6" spans="1:14">
      <c r="A6" s="679" t="s">
        <v>7728</v>
      </c>
      <c r="E6" s="679" t="str">
        <f ca="1">" 01-03/"&amp;PoslGod+1</f>
        <v> 01-03/2026</v>
      </c>
    </row>
    <row r="7" spans="1:14">
      <c r="A7" s="679" t="s">
        <v>7349</v>
      </c>
      <c r="E7" s="679" t="str">
        <f>UnosPod!AA22&amp;UnosPod!AB22&amp;"."&amp;UnosPod!AC22&amp;UnosPod!AD22+1&amp;"."&amp;UnosPod!AE22&amp;UnosPod!AF22&amp;UnosPod!AG22&amp;UnosPod!AH22&amp;"."</f>
        <v>28.03.2026.</v>
      </c>
    </row>
    <row r="12" spans="1:14">
      <c r="A12" s="679" t="s">
        <v>7729</v>
      </c>
    </row>
    <row r="13" spans="1:14">
      <c r="A13" s="679" t="s">
        <v>7730</v>
      </c>
    </row>
    <row r="14" spans="1:14">
      <c r="A14" s="679" t="s">
        <v>7731</v>
      </c>
    </row>
    <row r="15" spans="1:14">
      <c r="A15" s="682" t="str">
        <f>Sjedište</f>
        <v>Sarajevo-Stari Grad</v>
      </c>
      <c r="B15" s="683"/>
      <c r="C15" s="683"/>
      <c r="D15" s="683"/>
      <c r="E15" s="683"/>
      <c r="F15" s="683"/>
      <c r="G15" s="683"/>
      <c r="H15" s="683"/>
      <c r="I15" s="683"/>
      <c r="J15" s="683"/>
      <c r="K15" s="683"/>
      <c r="L15" s="683"/>
      <c r="M15" s="683"/>
      <c r="N15" s="683"/>
    </row>
    <row r="16" spans="1:14">
      <c r="A16" s="679" t="s">
        <v>7732</v>
      </c>
    </row>
    <row r="21" spans="1:38">
      <c r="A21" s="679" t="str">
        <f ca="1">"Predmet: Zahtjev za povrat pretplaćenog poreza na dobit za "&amp;PoslGod&amp;".godine"</f>
        <v>Predmet: Zahtjev za povrat pretplaćenog poreza na dobit za 2025.godine</v>
      </c>
    </row>
    <row r="25" spans="1:38">
      <c r="A25" s="679" t="str">
        <f ca="1">"Za "&amp;PoslGod&amp;".godinu utvrdili smo pretplatu poreza na dobit u iznosu od:  "&amp;TEXT(PorBilans!AE137,"#.## [$KM-141A]")</f>
        <v>Za 2025.godinu utvrdili smo pretplatu poreza na dobit u iznosu od:   KM</v>
      </c>
    </row>
    <row r="27" spans="1:38">
      <c r="A27" s="679" t="s">
        <v>7739</v>
      </c>
    </row>
    <row r="28" spans="1:38">
      <c r="A28" s="679" t="str">
        <f>"zahtjevamo, da nam izvršite povrat preplaćenog poreza na dobit, u iznosu od: "&amp;TEXT(PorBilans!AE137,"#.## [$KM-141A]")&amp;" "</f>
        <v>zahtjevamo, da nam izvršite povrat preplaćenog poreza na dobit, u iznosu od:  KM </v>
      </c>
      <c r="H28" s="684"/>
      <c r="AD28" s="685"/>
      <c r="AE28" s="685"/>
      <c r="AF28" s="685"/>
      <c r="AG28" s="685"/>
      <c r="AH28" s="685"/>
      <c r="AI28" s="685"/>
      <c r="AJ28" s="685"/>
      <c r="AK28" s="685"/>
      <c r="AL28" s="685"/>
    </row>
    <row r="29" spans="1:38">
      <c r="A29" s="679" t="str">
        <f>"uplatom na naš račun otvoren kod "&amp;UnosPod!AT12&amp;" broj:"</f>
        <v>uplatom na naš račun otvoren kod Raiffeisen Bank d.d. BiH broj:</v>
      </c>
      <c r="H29" s="684"/>
    </row>
    <row r="30" spans="1:38">
      <c r="A30" s="683"/>
      <c r="B30" s="683">
        <f>UnosPod!$AA$12</f>
        <v>1</v>
      </c>
      <c r="C30" s="683">
        <f>UnosPod!$AB$12</f>
        <v>6</v>
      </c>
      <c r="D30" s="683">
        <f>UnosPod!$AC$12</f>
        <v>1</v>
      </c>
      <c r="E30" s="683">
        <f>UnosPod!$AD$12</f>
        <v>0</v>
      </c>
      <c r="F30" s="683">
        <f>UnosPod!$AE$12</f>
        <v>0</v>
      </c>
      <c r="G30" s="683">
        <f>UnosPod!$AF$12</f>
        <v>0</v>
      </c>
      <c r="H30" s="683">
        <f>UnosPod!$AG$12</f>
        <v>0</v>
      </c>
      <c r="I30" s="683">
        <f>UnosPod!$AH$12</f>
        <v>1</v>
      </c>
      <c r="J30" s="683">
        <f>UnosPod!$AI$12</f>
        <v>8</v>
      </c>
      <c r="K30" s="683">
        <f>UnosPod!$AJ$12</f>
        <v>9</v>
      </c>
      <c r="L30" s="683">
        <f>UnosPod!$AK$12</f>
        <v>4</v>
      </c>
      <c r="M30" s="683">
        <f>UnosPod!$AL$12</f>
        <v>8</v>
      </c>
      <c r="N30" s="683">
        <f>UnosPod!$AM$12</f>
        <v>0</v>
      </c>
      <c r="O30" s="683">
        <f>UnosPod!$AN$12</f>
        <v>0</v>
      </c>
      <c r="P30" s="683">
        <f>UnosPod!$AO$12</f>
        <v>0</v>
      </c>
      <c r="Q30" s="683">
        <f>UnosPod!$AP$12</f>
        <v>5</v>
      </c>
      <c r="R30" s="683"/>
    </row>
    <row r="31" spans="1:38">
      <c r="A31" s="686"/>
      <c r="B31" s="686"/>
      <c r="C31" s="686"/>
      <c r="D31" s="686"/>
      <c r="E31" s="686"/>
      <c r="F31" s="686"/>
      <c r="G31" s="686"/>
      <c r="H31" s="686"/>
      <c r="I31" s="686"/>
      <c r="J31" s="686"/>
      <c r="K31" s="686"/>
      <c r="L31" s="686"/>
      <c r="M31" s="686"/>
      <c r="N31" s="686"/>
      <c r="O31" s="686"/>
      <c r="P31" s="686"/>
      <c r="Q31" s="686"/>
    </row>
    <row r="32" spans="1:38">
      <c r="A32" s="679" t="s">
        <v>7737</v>
      </c>
    </row>
    <row r="35" spans="20:38">
      <c r="AB35" s="679" t="s">
        <v>7738</v>
      </c>
    </row>
    <row r="36" spans="20:38">
      <c r="T36" s="489" t="s">
        <v>7039</v>
      </c>
      <c r="AB36" s="683"/>
      <c r="AC36" s="683"/>
      <c r="AD36" s="683"/>
      <c r="AE36" s="683"/>
      <c r="AF36" s="683"/>
      <c r="AG36" s="683"/>
      <c r="AH36" s="683"/>
      <c r="AI36" s="683"/>
      <c r="AJ36" s="683"/>
      <c r="AK36" s="683"/>
      <c r="AL36" s="683"/>
    </row>
    <row r="37" spans="20:38">
      <c r="AB37" s="489" t="str">
        <f>Direktor</f>
        <v>Nedim Vilogorac</v>
      </c>
    </row>
  </sheetData>
  <customSheetViews>
    <customSheetView guid="{7A886FB3-8F08-4D3E-B7EB-0851AD05C3C6}" showGridLines="0">
      <selection activeCell="AL22" sqref="AL22"/>
      <pageMargins left="0.708661417322835" right="0.708661417322835" top="0.748031496062992" bottom="0.748031496062992" header="0.31496062992126" footer="0.31496062992126"/>
      <pageSetup paperSize="9" orientation="portrait"/>
      <headerFooter/>
    </customSheetView>
  </customSheetViews>
  <pageMargins left="0.708661417322835" right="0.708661417322835" top="0.748031496062992" bottom="0.748031496062992" header="0.31496062992126" footer="0.31496062992126"/>
  <pageSetup paperSize="9" fitToHeight="0"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6">
    <tabColor rgb="FF7532A8"/>
    <pageSetUpPr fitToPage="1"/>
  </sheetPr>
  <dimension ref="A1:A95"/>
  <sheetViews>
    <sheetView workbookViewId="0">
      <selection activeCell="C33" sqref="C33"/>
    </sheetView>
  </sheetViews>
  <sheetFormatPr defaultColWidth="9" defaultRowHeight="12.75"/>
  <cols>
    <col min="1" max="1" width="96.7142857142857" style="668" customWidth="1"/>
    <col min="2" max="256" width="9.14285714285714" style="668"/>
    <col min="257" max="257" width="93.2857142857143" style="668" customWidth="1"/>
    <col min="258" max="512" width="9.14285714285714" style="668"/>
    <col min="513" max="513" width="93.2857142857143" style="668" customWidth="1"/>
    <col min="514" max="768" width="9.14285714285714" style="668"/>
    <col min="769" max="769" width="93.2857142857143" style="668" customWidth="1"/>
    <col min="770" max="1024" width="9.14285714285714" style="668"/>
    <col min="1025" max="1025" width="93.2857142857143" style="668" customWidth="1"/>
    <col min="1026" max="1280" width="9.14285714285714" style="668"/>
    <col min="1281" max="1281" width="93.2857142857143" style="668" customWidth="1"/>
    <col min="1282" max="1536" width="9.14285714285714" style="668"/>
    <col min="1537" max="1537" width="93.2857142857143" style="668" customWidth="1"/>
    <col min="1538" max="1792" width="9.14285714285714" style="668"/>
    <col min="1793" max="1793" width="93.2857142857143" style="668" customWidth="1"/>
    <col min="1794" max="2048" width="9.14285714285714" style="668"/>
    <col min="2049" max="2049" width="93.2857142857143" style="668" customWidth="1"/>
    <col min="2050" max="2304" width="9.14285714285714" style="668"/>
    <col min="2305" max="2305" width="93.2857142857143" style="668" customWidth="1"/>
    <col min="2306" max="2560" width="9.14285714285714" style="668"/>
    <col min="2561" max="2561" width="93.2857142857143" style="668" customWidth="1"/>
    <col min="2562" max="2816" width="9.14285714285714" style="668"/>
    <col min="2817" max="2817" width="93.2857142857143" style="668" customWidth="1"/>
    <col min="2818" max="3072" width="9.14285714285714" style="668"/>
    <col min="3073" max="3073" width="93.2857142857143" style="668" customWidth="1"/>
    <col min="3074" max="3328" width="9.14285714285714" style="668"/>
    <col min="3329" max="3329" width="93.2857142857143" style="668" customWidth="1"/>
    <col min="3330" max="3584" width="9.14285714285714" style="668"/>
    <col min="3585" max="3585" width="93.2857142857143" style="668" customWidth="1"/>
    <col min="3586" max="3840" width="9.14285714285714" style="668"/>
    <col min="3841" max="3841" width="93.2857142857143" style="668" customWidth="1"/>
    <col min="3842" max="4096" width="9.14285714285714" style="668"/>
    <col min="4097" max="4097" width="93.2857142857143" style="668" customWidth="1"/>
    <col min="4098" max="4352" width="9.14285714285714" style="668"/>
    <col min="4353" max="4353" width="93.2857142857143" style="668" customWidth="1"/>
    <col min="4354" max="4608" width="9.14285714285714" style="668"/>
    <col min="4609" max="4609" width="93.2857142857143" style="668" customWidth="1"/>
    <col min="4610" max="4864" width="9.14285714285714" style="668"/>
    <col min="4865" max="4865" width="93.2857142857143" style="668" customWidth="1"/>
    <col min="4866" max="5120" width="9.14285714285714" style="668"/>
    <col min="5121" max="5121" width="93.2857142857143" style="668" customWidth="1"/>
    <col min="5122" max="5376" width="9.14285714285714" style="668"/>
    <col min="5377" max="5377" width="93.2857142857143" style="668" customWidth="1"/>
    <col min="5378" max="5632" width="9.14285714285714" style="668"/>
    <col min="5633" max="5633" width="93.2857142857143" style="668" customWidth="1"/>
    <col min="5634" max="5888" width="9.14285714285714" style="668"/>
    <col min="5889" max="5889" width="93.2857142857143" style="668" customWidth="1"/>
    <col min="5890" max="6144" width="9.14285714285714" style="668"/>
    <col min="6145" max="6145" width="93.2857142857143" style="668" customWidth="1"/>
    <col min="6146" max="6400" width="9.14285714285714" style="668"/>
    <col min="6401" max="6401" width="93.2857142857143" style="668" customWidth="1"/>
    <col min="6402" max="6656" width="9.14285714285714" style="668"/>
    <col min="6657" max="6657" width="93.2857142857143" style="668" customWidth="1"/>
    <col min="6658" max="6912" width="9.14285714285714" style="668"/>
    <col min="6913" max="6913" width="93.2857142857143" style="668" customWidth="1"/>
    <col min="6914" max="7168" width="9.14285714285714" style="668"/>
    <col min="7169" max="7169" width="93.2857142857143" style="668" customWidth="1"/>
    <col min="7170" max="7424" width="9.14285714285714" style="668"/>
    <col min="7425" max="7425" width="93.2857142857143" style="668" customWidth="1"/>
    <col min="7426" max="7680" width="9.14285714285714" style="668"/>
    <col min="7681" max="7681" width="93.2857142857143" style="668" customWidth="1"/>
    <col min="7682" max="7936" width="9.14285714285714" style="668"/>
    <col min="7937" max="7937" width="93.2857142857143" style="668" customWidth="1"/>
    <col min="7938" max="8192" width="9.14285714285714" style="668"/>
    <col min="8193" max="8193" width="93.2857142857143" style="668" customWidth="1"/>
    <col min="8194" max="8448" width="9.14285714285714" style="668"/>
    <col min="8449" max="8449" width="93.2857142857143" style="668" customWidth="1"/>
    <col min="8450" max="8704" width="9.14285714285714" style="668"/>
    <col min="8705" max="8705" width="93.2857142857143" style="668" customWidth="1"/>
    <col min="8706" max="8960" width="9.14285714285714" style="668"/>
    <col min="8961" max="8961" width="93.2857142857143" style="668" customWidth="1"/>
    <col min="8962" max="9216" width="9.14285714285714" style="668"/>
    <col min="9217" max="9217" width="93.2857142857143" style="668" customWidth="1"/>
    <col min="9218" max="9472" width="9.14285714285714" style="668"/>
    <col min="9473" max="9473" width="93.2857142857143" style="668" customWidth="1"/>
    <col min="9474" max="9728" width="9.14285714285714" style="668"/>
    <col min="9729" max="9729" width="93.2857142857143" style="668" customWidth="1"/>
    <col min="9730" max="9984" width="9.14285714285714" style="668"/>
    <col min="9985" max="9985" width="93.2857142857143" style="668" customWidth="1"/>
    <col min="9986" max="10240" width="9.14285714285714" style="668"/>
    <col min="10241" max="10241" width="93.2857142857143" style="668" customWidth="1"/>
    <col min="10242" max="10496" width="9.14285714285714" style="668"/>
    <col min="10497" max="10497" width="93.2857142857143" style="668" customWidth="1"/>
    <col min="10498" max="10752" width="9.14285714285714" style="668"/>
    <col min="10753" max="10753" width="93.2857142857143" style="668" customWidth="1"/>
    <col min="10754" max="11008" width="9.14285714285714" style="668"/>
    <col min="11009" max="11009" width="93.2857142857143" style="668" customWidth="1"/>
    <col min="11010" max="11264" width="9.14285714285714" style="668"/>
    <col min="11265" max="11265" width="93.2857142857143" style="668" customWidth="1"/>
    <col min="11266" max="11520" width="9.14285714285714" style="668"/>
    <col min="11521" max="11521" width="93.2857142857143" style="668" customWidth="1"/>
    <col min="11522" max="11776" width="9.14285714285714" style="668"/>
    <col min="11777" max="11777" width="93.2857142857143" style="668" customWidth="1"/>
    <col min="11778" max="12032" width="9.14285714285714" style="668"/>
    <col min="12033" max="12033" width="93.2857142857143" style="668" customWidth="1"/>
    <col min="12034" max="12288" width="9.14285714285714" style="668"/>
    <col min="12289" max="12289" width="93.2857142857143" style="668" customWidth="1"/>
    <col min="12290" max="12544" width="9.14285714285714" style="668"/>
    <col min="12545" max="12545" width="93.2857142857143" style="668" customWidth="1"/>
    <col min="12546" max="12800" width="9.14285714285714" style="668"/>
    <col min="12801" max="12801" width="93.2857142857143" style="668" customWidth="1"/>
    <col min="12802" max="13056" width="9.14285714285714" style="668"/>
    <col min="13057" max="13057" width="93.2857142857143" style="668" customWidth="1"/>
    <col min="13058" max="13312" width="9.14285714285714" style="668"/>
    <col min="13313" max="13313" width="93.2857142857143" style="668" customWidth="1"/>
    <col min="13314" max="13568" width="9.14285714285714" style="668"/>
    <col min="13569" max="13569" width="93.2857142857143" style="668" customWidth="1"/>
    <col min="13570" max="13824" width="9.14285714285714" style="668"/>
    <col min="13825" max="13825" width="93.2857142857143" style="668" customWidth="1"/>
    <col min="13826" max="14080" width="9.14285714285714" style="668"/>
    <col min="14081" max="14081" width="93.2857142857143" style="668" customWidth="1"/>
    <col min="14082" max="14336" width="9.14285714285714" style="668"/>
    <col min="14337" max="14337" width="93.2857142857143" style="668" customWidth="1"/>
    <col min="14338" max="14592" width="9.14285714285714" style="668"/>
    <col min="14593" max="14593" width="93.2857142857143" style="668" customWidth="1"/>
    <col min="14594" max="14848" width="9.14285714285714" style="668"/>
    <col min="14849" max="14849" width="93.2857142857143" style="668" customWidth="1"/>
    <col min="14850" max="15104" width="9.14285714285714" style="668"/>
    <col min="15105" max="15105" width="93.2857142857143" style="668" customWidth="1"/>
    <col min="15106" max="15360" width="9.14285714285714" style="668"/>
    <col min="15361" max="15361" width="93.2857142857143" style="668" customWidth="1"/>
    <col min="15362" max="15616" width="9.14285714285714" style="668"/>
    <col min="15617" max="15617" width="93.2857142857143" style="668" customWidth="1"/>
    <col min="15618" max="15872" width="9.14285714285714" style="668"/>
    <col min="15873" max="15873" width="93.2857142857143" style="668" customWidth="1"/>
    <col min="15874" max="16128" width="9.14285714285714" style="668"/>
    <col min="16129" max="16129" width="93.2857142857143" style="668" customWidth="1"/>
    <col min="16130" max="16384" width="9.14285714285714" style="668"/>
  </cols>
  <sheetData>
    <row r="1" ht="25.5" spans="1:1">
      <c r="A1" s="668" t="s">
        <v>7740</v>
      </c>
    </row>
    <row r="2" ht="30.75" customHeight="1" spans="1:1">
      <c r="A2" s="668" t="str">
        <f>Firma&amp;" "&amp;Sjedište&amp;", "&amp;Adresa&amp;", ID broj:"&amp;UnosPod!AA8&amp;UnosPod!AB8&amp;UnosPod!AC8&amp;UnosPod!AD8&amp;UnosPod!AE8&amp;UnosPod!AF8&amp;UnosPod!AG8&amp;UnosPod!AH8&amp;UnosPod!AI8&amp;UnosPod!AJ8&amp;UnosPod!AK8&amp;UnosPod!AL8&amp;UnosPod!AM8&amp;" (u daljem tekstu: Naručitelj);  kog zastupa direktor "&amp;Direktor</f>
        <v>LILIUM ASSET MANAGEMENT d.o.o. Sarajevo Sarajevo-Stari Grad, Dženetića čikma br.8, ID broj:4201337670009 (u daljem tekstu: Naručitelj);  kog zastupa direktor Nedim Vilogorac</v>
      </c>
    </row>
    <row r="3" ht="20.25" customHeight="1" spans="1:1">
      <c r="A3" s="668" t="str">
        <f ca="1">"sklopili su dana 28.02."&amp;PoslGod+1&amp;". sljedeći :"</f>
        <v>sklopili su dana 28.02.2026. sljedeći :</v>
      </c>
    </row>
    <row r="4" ht="20.25" customHeight="1"/>
    <row r="5" ht="19.5" customHeight="1" spans="1:1">
      <c r="A5" s="669" t="s">
        <v>7741</v>
      </c>
    </row>
    <row r="6" ht="14.25" spans="1:1">
      <c r="A6" s="670" t="s">
        <v>7742</v>
      </c>
    </row>
    <row r="8" ht="15.75" customHeight="1" spans="1:1">
      <c r="A8" s="671" t="s">
        <v>7743</v>
      </c>
    </row>
    <row r="9" ht="70.5" customHeight="1" spans="1:1">
      <c r="A9" s="672" t="s">
        <v>7744</v>
      </c>
    </row>
    <row r="11" ht="15.75" customHeight="1" spans="1:1">
      <c r="A11" s="673" t="s">
        <v>7745</v>
      </c>
    </row>
    <row r="12" ht="19.5" customHeight="1" spans="1:1">
      <c r="A12" s="671" t="s">
        <v>7746</v>
      </c>
    </row>
    <row r="13" spans="1:1">
      <c r="A13" s="668" t="s">
        <v>7747</v>
      </c>
    </row>
    <row r="14" spans="1:1">
      <c r="A14" s="668" t="s">
        <v>7748</v>
      </c>
    </row>
    <row r="15" spans="1:1">
      <c r="A15" s="668" t="s">
        <v>7749</v>
      </c>
    </row>
    <row r="16" spans="1:1">
      <c r="A16" s="668" t="s">
        <v>7750</v>
      </c>
    </row>
    <row r="17" spans="1:1">
      <c r="A17" s="668" t="s">
        <v>7751</v>
      </c>
    </row>
    <row r="18" spans="1:1">
      <c r="A18" s="668" t="s">
        <v>7752</v>
      </c>
    </row>
    <row r="19" spans="1:1">
      <c r="A19" s="668" t="s">
        <v>7753</v>
      </c>
    </row>
    <row r="20" spans="1:1">
      <c r="A20" s="668" t="s">
        <v>7754</v>
      </c>
    </row>
    <row r="21" spans="1:1">
      <c r="A21" s="668" t="s">
        <v>7755</v>
      </c>
    </row>
    <row r="22" spans="1:1">
      <c r="A22" s="668" t="s">
        <v>7756</v>
      </c>
    </row>
    <row r="23" spans="1:1">
      <c r="A23" s="668" t="s">
        <v>7757</v>
      </c>
    </row>
    <row r="24" spans="1:1">
      <c r="A24" s="668" t="s">
        <v>7758</v>
      </c>
    </row>
    <row r="25" spans="1:1">
      <c r="A25" s="668" t="s">
        <v>7759</v>
      </c>
    </row>
    <row r="26" spans="1:1">
      <c r="A26" s="668" t="s">
        <v>7760</v>
      </c>
    </row>
    <row r="27" spans="1:1">
      <c r="A27" s="668" t="s">
        <v>7761</v>
      </c>
    </row>
    <row r="28" spans="1:1">
      <c r="A28" s="668" t="s">
        <v>7762</v>
      </c>
    </row>
    <row r="29" spans="1:1">
      <c r="A29" s="668" t="s">
        <v>7763</v>
      </c>
    </row>
    <row r="30" spans="1:1">
      <c r="A30" s="668" t="s">
        <v>7764</v>
      </c>
    </row>
    <row r="31" ht="15" customHeight="1" spans="1:1">
      <c r="A31" s="674" t="s">
        <v>7765</v>
      </c>
    </row>
    <row r="32" ht="14.25" customHeight="1" spans="1:1">
      <c r="A32" s="674" t="s">
        <v>7766</v>
      </c>
    </row>
    <row r="33" ht="14.25" customHeight="1" spans="1:1">
      <c r="A33" s="674" t="s">
        <v>7767</v>
      </c>
    </row>
    <row r="34" ht="14.25" customHeight="1" spans="1:1">
      <c r="A34" s="675" t="s">
        <v>7768</v>
      </c>
    </row>
    <row r="35" spans="1:1">
      <c r="A35" s="675" t="s">
        <v>7769</v>
      </c>
    </row>
    <row r="36" ht="15" customHeight="1" spans="1:1">
      <c r="A36" s="676" t="e">
        <f>"Cijena "&amp;TEXT(UnosPod!#REF!,"#.##,00 [$KM-141A]")&amp;" + PDV, za mjesec. "</f>
        <v>#REF!</v>
      </c>
    </row>
    <row r="37" ht="46.5" customHeight="1" spans="1:1">
      <c r="A37" s="677" t="s">
        <v>7770</v>
      </c>
    </row>
    <row r="39" ht="16.5" customHeight="1" spans="1:1">
      <c r="A39" s="668" t="s">
        <v>7771</v>
      </c>
    </row>
    <row r="40" ht="43.5" customHeight="1" spans="1:1">
      <c r="A40" s="677" t="s">
        <v>7772</v>
      </c>
    </row>
    <row r="41" ht="14.25" customHeight="1" spans="1:1">
      <c r="A41" s="676" t="s">
        <v>7773</v>
      </c>
    </row>
    <row r="42" customHeight="1"/>
    <row r="43" ht="15" customHeight="1" spans="1:1">
      <c r="A43" s="668" t="s">
        <v>7774</v>
      </c>
    </row>
    <row r="44" ht="15.75" customHeight="1" spans="1:1">
      <c r="A44" s="668" t="s">
        <v>7775</v>
      </c>
    </row>
    <row r="45" spans="1:1">
      <c r="A45" s="668" t="s">
        <v>7776</v>
      </c>
    </row>
    <row r="46" spans="1:1">
      <c r="A46" s="668" t="s">
        <v>7777</v>
      </c>
    </row>
    <row r="47" spans="1:1">
      <c r="A47" s="668" t="s">
        <v>7778</v>
      </c>
    </row>
    <row r="48" spans="1:1">
      <c r="A48" s="668" t="s">
        <v>7779</v>
      </c>
    </row>
    <row r="49" spans="1:1">
      <c r="A49" s="668" t="s">
        <v>7780</v>
      </c>
    </row>
    <row r="50" spans="1:1">
      <c r="A50" s="678" t="s">
        <v>7781</v>
      </c>
    </row>
    <row r="51" ht="14.25" customHeight="1" spans="1:1">
      <c r="A51" s="678" t="s">
        <v>7782</v>
      </c>
    </row>
    <row r="52" ht="14.25" customHeight="1"/>
    <row r="53" ht="14.25" customHeight="1" spans="1:1">
      <c r="A53" s="668" t="s">
        <v>7783</v>
      </c>
    </row>
    <row r="54" ht="14.25" customHeight="1" spans="1:1">
      <c r="A54" s="676" t="s">
        <v>7784</v>
      </c>
    </row>
    <row r="55" ht="14.25" customHeight="1"/>
    <row r="56" ht="44.25" customHeight="1" spans="1:1">
      <c r="A56" s="668" t="s">
        <v>7785</v>
      </c>
    </row>
    <row r="57" spans="1:1">
      <c r="A57" s="676" t="s">
        <v>7786</v>
      </c>
    </row>
    <row r="58" spans="1:1">
      <c r="A58" s="676" t="s">
        <v>7787</v>
      </c>
    </row>
    <row r="59" ht="14.25" customHeight="1" spans="1:1">
      <c r="A59" s="676" t="s">
        <v>7788</v>
      </c>
    </row>
    <row r="60" ht="14.25" customHeight="1"/>
    <row r="61" ht="28.5" customHeight="1" spans="1:1">
      <c r="A61" s="668" t="s">
        <v>7789</v>
      </c>
    </row>
    <row r="62" ht="19.5" customHeight="1" spans="1:1">
      <c r="A62" s="671" t="s">
        <v>7790</v>
      </c>
    </row>
    <row r="63" ht="15.75" customHeight="1" spans="1:1">
      <c r="A63" s="668" t="s">
        <v>7791</v>
      </c>
    </row>
    <row r="64" ht="21" customHeight="1" spans="1:1">
      <c r="A64" s="671" t="s">
        <v>7792</v>
      </c>
    </row>
    <row r="65" ht="41.25" customHeight="1" spans="1:1">
      <c r="A65" s="672" t="s">
        <v>7793</v>
      </c>
    </row>
    <row r="66" ht="16.5" customHeight="1" spans="1:1">
      <c r="A66" s="668" t="s">
        <v>7794</v>
      </c>
    </row>
    <row r="67" ht="15" customHeight="1"/>
    <row r="68" ht="19.5" customHeight="1" spans="1:1">
      <c r="A68" s="673" t="s">
        <v>7795</v>
      </c>
    </row>
    <row r="69" ht="14.25" customHeight="1" spans="1:1">
      <c r="A69" s="671" t="s">
        <v>7796</v>
      </c>
    </row>
    <row r="70" ht="29.25" customHeight="1" spans="1:1">
      <c r="A70" s="668" t="s">
        <v>7797</v>
      </c>
    </row>
    <row r="71" ht="22.5" customHeight="1" spans="1:1">
      <c r="A71" s="671" t="s">
        <v>7798</v>
      </c>
    </row>
    <row r="72" ht="16.5" customHeight="1" spans="1:1">
      <c r="A72" s="668" t="s">
        <v>7799</v>
      </c>
    </row>
    <row r="73" ht="14.25" customHeight="1"/>
    <row r="74" ht="19.5" customHeight="1" spans="1:1">
      <c r="A74" s="673" t="s">
        <v>7800</v>
      </c>
    </row>
    <row r="75" ht="15.75" customHeight="1" spans="1:1">
      <c r="A75" s="671" t="s">
        <v>7801</v>
      </c>
    </row>
    <row r="76" ht="25.5" spans="1:1">
      <c r="A76" s="668" t="s">
        <v>7802</v>
      </c>
    </row>
    <row r="78" ht="15" customHeight="1" spans="1:1">
      <c r="A78" s="673" t="s">
        <v>7803</v>
      </c>
    </row>
    <row r="79" spans="1:1">
      <c r="A79" s="671" t="s">
        <v>7804</v>
      </c>
    </row>
    <row r="80" spans="1:1">
      <c r="A80" s="668" t="s">
        <v>7805</v>
      </c>
    </row>
    <row r="81" ht="25.5" spans="1:1">
      <c r="A81" s="668" t="s">
        <v>7806</v>
      </c>
    </row>
    <row r="82" ht="15.75" customHeight="1"/>
    <row r="83" ht="18" customHeight="1" spans="1:1">
      <c r="A83" s="673" t="s">
        <v>7807</v>
      </c>
    </row>
    <row r="84" spans="1:1">
      <c r="A84" s="671" t="s">
        <v>7808</v>
      </c>
    </row>
    <row r="85" spans="1:1">
      <c r="A85" s="668" t="s">
        <v>7809</v>
      </c>
    </row>
    <row r="86" ht="14.25" customHeight="1"/>
    <row r="87" spans="1:1">
      <c r="A87" s="671" t="s">
        <v>7810</v>
      </c>
    </row>
    <row r="88" ht="25.5" spans="1:1">
      <c r="A88" s="668" t="s">
        <v>7811</v>
      </c>
    </row>
    <row r="89" ht="14.25" customHeight="1"/>
    <row r="90" ht="14.25" customHeight="1" spans="1:1">
      <c r="A90" s="671" t="s">
        <v>7812</v>
      </c>
    </row>
    <row r="91" ht="42.75" customHeight="1" spans="1:1">
      <c r="A91" s="668" t="str">
        <f ca="1">"Ovaj Ugovor se primjenjuje od 01.03."&amp;PoslGod+1&amp;".godine, sastavljen je u 2 (dva) istovjetna primjerka od kojih svaka strana zadržava po 1 (jedan) primjerak. Potpisivanjem ovog ugovora prestaje primjena svih ranije potpisanih ugovora o pružanju računovodstvenih i knjigovodstvenih usluga."</f>
        <v>Ovaj Ugovor se primjenjuje od 01.03.2026.godine, sastavljen je u 2 (dva) istovjetna primjerka od kojih svaka strana zadržava po 1 (jedan) primjerak. Potpisivanjem ovog ugovora prestaje primjena svih ranije potpisanih ugovora o pružanju računovodstvenih i knjigovodstvenih usluga.</v>
      </c>
    </row>
    <row r="93" spans="1:1">
      <c r="A93" s="668" t="s">
        <v>7813</v>
      </c>
    </row>
    <row r="94" ht="14.25" customHeight="1" spans="1:1">
      <c r="A94" s="668" t="str">
        <f>"Ekonomika d.o.o. "&amp;"                                                                               "&amp;Firma</f>
        <v>Ekonomika d.o.o.                                                                                LILIUM ASSET MANAGEMENT d.o.o. Sarajevo</v>
      </c>
    </row>
    <row r="95" ht="14.25" customHeight="1" spans="1:1">
      <c r="A95" s="668" t="str">
        <f>"Hamulić Senad"&amp;"                                                                                   "&amp;Direktor</f>
        <v>Hamulić Senad                                                                                   Nedim Vilogorac</v>
      </c>
    </row>
  </sheetData>
  <pageMargins left="0.708661417322835" right="0.708661417322835" top="0.551181102362205" bottom="0.551181102362205" header="0.31496062992126" footer="0.31496062992126"/>
  <pageSetup paperSize="9" scale="92" fitToHeight="2"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74">
    <tabColor theme="8" tint="-0.249977111117893"/>
    <pageSetUpPr fitToPage="1"/>
  </sheetPr>
  <dimension ref="A1:AB51"/>
  <sheetViews>
    <sheetView showGridLines="0" topLeftCell="A19" workbookViewId="0">
      <selection activeCell="AG35" sqref="AG35"/>
    </sheetView>
  </sheetViews>
  <sheetFormatPr defaultColWidth="3.28571428571429" defaultRowHeight="12.75"/>
  <cols>
    <col min="4" max="4" width="3.71428571428571" customWidth="1"/>
    <col min="33" max="33" width="3.28571428571429" customWidth="1"/>
  </cols>
  <sheetData>
    <row r="1" spans="1:28">
      <c r="A1" s="647" t="s">
        <v>7814</v>
      </c>
    </row>
    <row r="3" ht="16.5" customHeight="1" spans="1:28">
      <c r="AB3" s="329" t="s">
        <v>6054</v>
      </c>
    </row>
    <row r="4" ht="16.5" customHeight="1" spans="1:28">
      <c r="AB4" s="182" t="s">
        <v>6055</v>
      </c>
    </row>
    <row r="5" ht="17.25" customHeight="1" spans="1:28">
      <c r="AB5" s="648" t="s">
        <v>7420</v>
      </c>
    </row>
    <row r="8" ht="18.75" spans="1:28">
      <c r="A8" s="649" t="str">
        <f>Firma</f>
        <v>LILIUM ASSET MANAGEMENT d.o.o. Sarajevo</v>
      </c>
    </row>
    <row r="9" spans="1:28">
      <c r="A9" s="650" t="s">
        <v>2439</v>
      </c>
      <c r="B9" s="651"/>
      <c r="C9" s="651"/>
      <c r="D9" s="651"/>
      <c r="E9" s="651"/>
      <c r="F9" s="651"/>
      <c r="G9" s="651"/>
      <c r="H9" s="651"/>
      <c r="I9" s="651"/>
      <c r="J9" s="651"/>
      <c r="K9" s="651"/>
      <c r="L9" s="651"/>
      <c r="M9" s="651"/>
      <c r="N9" s="651"/>
      <c r="O9" s="651"/>
      <c r="P9" s="651"/>
      <c r="Q9" s="651"/>
    </row>
    <row r="11" ht="15.75" spans="1:28">
      <c r="A11" s="652">
        <f>UnosPod!AA8</f>
        <v>4</v>
      </c>
      <c r="B11" s="652">
        <f>UnosPod!AB8</f>
        <v>2</v>
      </c>
      <c r="C11" s="652">
        <f>UnosPod!AC8</f>
        <v>0</v>
      </c>
      <c r="D11" s="652">
        <f>UnosPod!AD8</f>
        <v>1</v>
      </c>
      <c r="E11" s="652">
        <f>UnosPod!AE8</f>
        <v>3</v>
      </c>
      <c r="F11" s="652">
        <f>UnosPod!AF8</f>
        <v>3</v>
      </c>
      <c r="G11" s="652">
        <f>UnosPod!AG8</f>
        <v>7</v>
      </c>
      <c r="H11" s="652">
        <f>UnosPod!AH8</f>
        <v>6</v>
      </c>
      <c r="I11" s="652">
        <f>UnosPod!AI8</f>
        <v>7</v>
      </c>
      <c r="J11" s="652">
        <f>UnosPod!AJ8</f>
        <v>0</v>
      </c>
      <c r="K11" s="652">
        <f>UnosPod!AK8</f>
        <v>0</v>
      </c>
      <c r="L11" s="652">
        <f>UnosPod!AL8</f>
        <v>0</v>
      </c>
      <c r="M11" s="652">
        <f>UnosPod!AM8</f>
        <v>9</v>
      </c>
      <c r="N11" s="652"/>
      <c r="O11" s="653"/>
      <c r="P11" s="653"/>
      <c r="Q11" s="653"/>
    </row>
    <row r="12" spans="1:28">
      <c r="A12" s="654" t="s">
        <v>7815</v>
      </c>
    </row>
    <row r="14" ht="15.75" spans="1:28">
      <c r="A14" s="655" t="str">
        <f>Sjedište&amp;", "&amp;Adresa</f>
        <v>Sarajevo-Stari Grad, Dženetića čikma br.8</v>
      </c>
      <c r="B14" s="499"/>
      <c r="C14" s="499"/>
      <c r="D14" s="499"/>
      <c r="E14" s="499"/>
      <c r="F14" s="499"/>
      <c r="G14" s="499"/>
      <c r="H14" s="499"/>
      <c r="I14" s="499"/>
      <c r="J14" s="499"/>
      <c r="K14" s="499"/>
      <c r="L14" s="499"/>
      <c r="M14" s="499"/>
    </row>
    <row r="15" spans="1:28">
      <c r="A15" s="650" t="s">
        <v>7816</v>
      </c>
      <c r="B15" s="651"/>
      <c r="C15" s="651"/>
      <c r="D15" s="651"/>
      <c r="E15" s="651"/>
      <c r="F15" s="651"/>
      <c r="G15" s="651"/>
      <c r="H15" s="651"/>
      <c r="I15" s="651"/>
      <c r="J15" s="651"/>
      <c r="K15" s="651"/>
      <c r="L15" s="651"/>
      <c r="M15" s="651"/>
      <c r="N15" s="651"/>
      <c r="O15" s="651"/>
      <c r="P15" s="651"/>
      <c r="Q15" s="651"/>
    </row>
    <row r="17" ht="15.75" spans="1:28">
      <c r="A17" s="655" t="str">
        <f>UnosPod!AT12</f>
        <v>Raiffeisen Bank d.d. BiH</v>
      </c>
    </row>
    <row r="18" ht="15.75" spans="1:28">
      <c r="A18" s="656">
        <f>UnosPod!AA12</f>
        <v>1</v>
      </c>
      <c r="B18" s="656">
        <f>UnosPod!AB12</f>
        <v>6</v>
      </c>
      <c r="C18" s="656">
        <f>UnosPod!AC12</f>
        <v>1</v>
      </c>
      <c r="D18" s="656">
        <f>UnosPod!AD12</f>
        <v>0</v>
      </c>
      <c r="E18" s="656">
        <f>UnosPod!AE12</f>
        <v>0</v>
      </c>
      <c r="F18" s="656">
        <f>UnosPod!AF12</f>
        <v>0</v>
      </c>
      <c r="G18" s="656">
        <f>UnosPod!AG12</f>
        <v>0</v>
      </c>
      <c r="H18" s="656">
        <f>UnosPod!AH12</f>
        <v>1</v>
      </c>
      <c r="I18" s="656">
        <f>UnosPod!AI12</f>
        <v>8</v>
      </c>
      <c r="J18" s="656">
        <f>UnosPod!AJ12</f>
        <v>9</v>
      </c>
      <c r="K18" s="656">
        <f>UnosPod!AK12</f>
        <v>4</v>
      </c>
      <c r="L18" s="656">
        <f>UnosPod!AL12</f>
        <v>8</v>
      </c>
      <c r="M18" s="656">
        <f>UnosPod!AM12</f>
        <v>0</v>
      </c>
      <c r="N18" s="656">
        <f>UnosPod!AN12</f>
        <v>0</v>
      </c>
      <c r="O18" s="656">
        <f>UnosPod!AO12</f>
        <v>0</v>
      </c>
      <c r="P18" s="656">
        <f>UnosPod!AP12</f>
        <v>5</v>
      </c>
      <c r="Q18" s="652"/>
    </row>
    <row r="19" spans="1:28">
      <c r="A19" s="654" t="s">
        <v>7817</v>
      </c>
    </row>
    <row r="21" ht="15.75" spans="1:28">
      <c r="A21" s="657" t="str">
        <f>Direktor&amp;"  "&amp;UnosPod!F15&amp;"  "&amp;UnosPod!F14</f>
        <v>Nedim Vilogorac  033/953-480  info@lilium_dzu.ba</v>
      </c>
      <c r="B21" s="499"/>
      <c r="C21" s="499"/>
      <c r="D21" s="499"/>
      <c r="E21" s="499"/>
      <c r="F21" s="499"/>
      <c r="G21" s="499"/>
      <c r="H21" s="499"/>
      <c r="I21" s="499"/>
      <c r="J21" s="499"/>
      <c r="K21" s="499"/>
      <c r="L21" s="499"/>
      <c r="M21" s="499"/>
    </row>
    <row r="22" customHeight="1" spans="1:28">
      <c r="A22" s="650" t="s">
        <v>7818</v>
      </c>
      <c r="B22" s="651"/>
      <c r="C22" s="651"/>
      <c r="D22" s="651"/>
      <c r="E22" s="651"/>
      <c r="F22" s="651"/>
      <c r="G22" s="651"/>
      <c r="H22" s="651"/>
      <c r="I22" s="651"/>
      <c r="J22" s="651"/>
      <c r="K22" s="651"/>
      <c r="L22" s="651"/>
      <c r="M22" s="651"/>
      <c r="N22" s="651"/>
      <c r="O22" s="651"/>
      <c r="P22" s="651"/>
      <c r="Q22" s="651"/>
    </row>
    <row r="26" ht="18" spans="1:28">
      <c r="A26" s="658" t="s">
        <v>7819</v>
      </c>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row>
    <row r="28" ht="16.5" customHeight="1" spans="1:28">
      <c r="A28" s="570" t="s">
        <v>7820</v>
      </c>
      <c r="B28" s="570"/>
      <c r="C28" s="659" t="s">
        <v>7821</v>
      </c>
      <c r="D28" s="659"/>
      <c r="E28" s="659"/>
      <c r="F28" s="659"/>
      <c r="G28" s="659"/>
      <c r="H28" s="659"/>
      <c r="I28" s="659"/>
      <c r="J28" s="570" t="s">
        <v>7822</v>
      </c>
      <c r="K28" s="570"/>
      <c r="L28" s="570"/>
      <c r="M28" s="570"/>
      <c r="N28" s="570"/>
      <c r="O28" s="570"/>
      <c r="P28" s="570"/>
      <c r="Q28" s="570"/>
      <c r="R28" s="570"/>
      <c r="S28" s="570"/>
      <c r="T28" s="570"/>
      <c r="U28" s="570"/>
      <c r="V28" s="570"/>
      <c r="W28" s="570"/>
      <c r="X28" s="570"/>
      <c r="Y28" s="570"/>
      <c r="Z28" s="570"/>
      <c r="AA28" s="570"/>
      <c r="AB28" s="570"/>
    </row>
    <row r="29" ht="16.5" customHeight="1" spans="1:28">
      <c r="A29" s="660">
        <v>0</v>
      </c>
      <c r="B29" s="660"/>
      <c r="C29" s="660"/>
      <c r="D29" s="660"/>
      <c r="E29" s="660"/>
      <c r="F29" s="660"/>
      <c r="G29" s="660"/>
      <c r="H29" s="660"/>
      <c r="I29" s="660"/>
      <c r="J29" s="570" t="s">
        <v>7823</v>
      </c>
      <c r="K29" s="570"/>
      <c r="L29" s="570"/>
      <c r="M29" s="570"/>
      <c r="N29" s="570"/>
      <c r="O29" s="570"/>
      <c r="P29" s="570"/>
      <c r="Q29" s="570"/>
      <c r="R29" s="570"/>
      <c r="S29" s="570"/>
      <c r="T29" s="660">
        <v>0</v>
      </c>
      <c r="U29" s="660"/>
      <c r="V29" s="660"/>
      <c r="W29" s="660"/>
      <c r="X29" s="660"/>
      <c r="Y29" s="660"/>
      <c r="Z29" s="660"/>
      <c r="AA29" s="570" t="s">
        <v>7824</v>
      </c>
      <c r="AB29" s="570"/>
    </row>
    <row r="30" ht="16.5" customHeight="1" spans="1:28">
      <c r="A30" s="570" t="s">
        <v>7825</v>
      </c>
      <c r="B30" s="570"/>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row>
    <row r="31" ht="16.5" customHeight="1" spans="1:28">
      <c r="A31" s="570"/>
      <c r="B31" s="570"/>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row>
    <row r="32" ht="18" customHeight="1" spans="1:28">
      <c r="A32" s="570" t="s">
        <v>7826</v>
      </c>
      <c r="B32" s="570"/>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row>
    <row r="33" ht="18" customHeight="1" spans="1:28">
      <c r="A33" s="570"/>
      <c r="B33" s="661" t="s">
        <v>7827</v>
      </c>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row>
    <row r="34" ht="18" customHeight="1" spans="1:28">
      <c r="A34" s="570"/>
      <c r="B34" s="661" t="s">
        <v>7828</v>
      </c>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row>
    <row r="35" ht="18" customHeight="1" spans="1:28">
      <c r="A35" s="570"/>
      <c r="B35" s="570"/>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row>
    <row r="36" ht="18" customHeight="1" spans="1:28">
      <c r="A36" s="570"/>
      <c r="B36" s="570"/>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row>
    <row r="37" ht="14.25" spans="1:28">
      <c r="A37" s="570"/>
      <c r="B37" s="570"/>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row>
    <row r="38" ht="14.25" spans="1:28">
      <c r="A38" s="570"/>
      <c r="B38" s="570"/>
      <c r="C38" s="570"/>
      <c r="D38" s="570"/>
      <c r="E38" s="570"/>
      <c r="F38" s="570"/>
      <c r="G38" s="570"/>
      <c r="H38" s="570"/>
      <c r="I38" s="570"/>
      <c r="J38" s="570"/>
      <c r="K38" s="570"/>
      <c r="L38" s="570"/>
      <c r="M38" s="570"/>
      <c r="N38" s="570" t="s">
        <v>7039</v>
      </c>
      <c r="O38" s="570"/>
      <c r="P38" s="570"/>
      <c r="Q38" s="570"/>
      <c r="R38" s="570"/>
      <c r="S38" s="570"/>
      <c r="T38" s="570"/>
      <c r="U38" s="570"/>
      <c r="V38" s="570"/>
      <c r="W38" s="570"/>
      <c r="X38" s="570"/>
      <c r="Y38" s="570"/>
      <c r="Z38" s="570"/>
      <c r="AA38" s="570"/>
      <c r="AB38" s="570"/>
    </row>
    <row r="39" ht="14.25" spans="1:28">
      <c r="A39" s="570"/>
      <c r="B39" s="570" t="s">
        <v>7829</v>
      </c>
      <c r="C39" s="570"/>
      <c r="D39" s="570"/>
      <c r="E39" s="570"/>
      <c r="F39" s="570"/>
      <c r="G39" s="570"/>
      <c r="H39" s="570"/>
      <c r="I39" s="570"/>
      <c r="J39" s="570"/>
      <c r="K39" s="570"/>
      <c r="L39" s="570"/>
      <c r="M39" s="570"/>
      <c r="N39" s="570"/>
      <c r="O39" s="570"/>
      <c r="P39" s="570"/>
      <c r="R39" s="570"/>
      <c r="S39" s="570"/>
      <c r="T39" s="570" t="s">
        <v>7830</v>
      </c>
      <c r="U39" s="570"/>
      <c r="V39" s="570"/>
      <c r="W39" s="570"/>
      <c r="X39" s="570"/>
      <c r="Y39" s="570"/>
      <c r="Z39" s="570"/>
      <c r="AA39" s="570"/>
      <c r="AB39" s="570"/>
    </row>
    <row r="40" ht="14.25" spans="1:28">
      <c r="A40" s="570"/>
      <c r="B40" s="662" t="str">
        <f>Sjedište</f>
        <v>Sarajevo-Stari Grad</v>
      </c>
      <c r="C40" s="662"/>
      <c r="D40" s="662"/>
      <c r="E40" s="662"/>
      <c r="F40" s="662"/>
      <c r="G40" s="570"/>
      <c r="H40" s="570"/>
      <c r="I40" s="570"/>
      <c r="J40" s="570"/>
      <c r="K40" s="570"/>
      <c r="L40" s="570"/>
      <c r="M40" s="570"/>
      <c r="N40" s="570"/>
      <c r="O40" s="570"/>
      <c r="P40" s="570"/>
      <c r="Q40" s="570"/>
      <c r="R40" s="570"/>
      <c r="S40" s="570"/>
      <c r="T40" s="570"/>
      <c r="U40" s="570"/>
      <c r="V40" s="570"/>
      <c r="W40" s="570"/>
      <c r="X40" s="570"/>
      <c r="Y40" s="570"/>
      <c r="Z40" s="570"/>
      <c r="AA40" s="570"/>
      <c r="AB40" s="570"/>
    </row>
    <row r="41" ht="14.25" spans="1:28">
      <c r="A41" s="653"/>
      <c r="B41" s="663">
        <f ca="1">UnosPod!AA5</f>
        <v>46120.4752662037</v>
      </c>
      <c r="C41" s="663"/>
      <c r="D41" s="663"/>
      <c r="E41" s="663"/>
      <c r="F41" s="663"/>
      <c r="G41" s="663"/>
      <c r="H41" s="570"/>
      <c r="I41" s="570"/>
      <c r="J41" s="570"/>
      <c r="K41" s="570"/>
      <c r="L41" s="570"/>
      <c r="M41" s="570"/>
      <c r="N41" s="570"/>
      <c r="O41" s="570"/>
      <c r="P41" s="570"/>
      <c r="Q41" s="570"/>
      <c r="R41" s="570"/>
      <c r="S41" s="570"/>
      <c r="T41" s="664" t="str">
        <f>Direktor</f>
        <v>Nedim Vilogorac</v>
      </c>
      <c r="U41" s="664"/>
      <c r="V41" s="664"/>
      <c r="W41" s="664"/>
      <c r="X41" s="664"/>
      <c r="Y41" s="664"/>
      <c r="Z41" s="664"/>
      <c r="AA41" s="570"/>
      <c r="AB41" s="570"/>
    </row>
    <row r="42" ht="14.25" spans="1:28">
      <c r="A42" s="570"/>
      <c r="B42" s="570"/>
      <c r="C42" s="570"/>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row>
    <row r="43" ht="14.25" spans="1:28">
      <c r="A43" s="570"/>
      <c r="B43" s="570"/>
      <c r="C43" s="570"/>
      <c r="D43" s="570"/>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row>
    <row r="44" ht="14.25" spans="1:28">
      <c r="A44" s="654" t="s">
        <v>7831</v>
      </c>
      <c r="B44" s="654"/>
      <c r="C44" s="654"/>
      <c r="D44" s="654"/>
      <c r="E44" s="570"/>
      <c r="F44" s="570"/>
      <c r="G44" s="570"/>
      <c r="H44" s="570"/>
      <c r="I44" s="570"/>
      <c r="J44" s="570"/>
      <c r="K44" s="570"/>
      <c r="L44" s="570"/>
      <c r="M44" s="570"/>
      <c r="N44" s="570"/>
      <c r="O44" s="570"/>
      <c r="P44" s="570"/>
      <c r="Q44" s="570"/>
      <c r="R44" s="570"/>
      <c r="S44" s="570"/>
      <c r="T44" s="570"/>
      <c r="U44" s="570"/>
      <c r="V44" s="570"/>
      <c r="W44" s="570"/>
      <c r="X44" s="570"/>
      <c r="Y44" s="570"/>
      <c r="Z44" s="570"/>
      <c r="AA44" s="570"/>
      <c r="AB44" s="570"/>
    </row>
    <row r="45" ht="14.25" spans="1:28">
      <c r="A45" s="654"/>
      <c r="B45" s="654" t="s">
        <v>7832</v>
      </c>
      <c r="C45" s="654"/>
      <c r="D45" s="654"/>
      <c r="E45" s="570"/>
      <c r="F45" s="570"/>
      <c r="G45" s="570"/>
      <c r="H45" s="570"/>
      <c r="I45" s="570"/>
      <c r="J45" s="570"/>
      <c r="K45" s="570"/>
      <c r="L45" s="570"/>
      <c r="M45" s="570"/>
      <c r="N45" s="570"/>
      <c r="O45" s="570"/>
      <c r="P45" s="570"/>
      <c r="Q45" s="570"/>
      <c r="R45" s="570"/>
      <c r="S45" s="570"/>
      <c r="T45" s="570"/>
      <c r="U45" s="570"/>
      <c r="V45" s="570"/>
      <c r="W45" s="570"/>
      <c r="X45" s="570"/>
      <c r="Y45" s="570"/>
      <c r="Z45" s="570"/>
      <c r="AA45" s="570"/>
      <c r="AB45" s="570"/>
    </row>
    <row r="46" ht="14.25" spans="1:28">
      <c r="A46" s="654"/>
      <c r="B46" s="654" t="s">
        <v>7833</v>
      </c>
      <c r="C46" s="654"/>
      <c r="D46" s="654"/>
      <c r="E46" s="570"/>
      <c r="F46" s="570"/>
      <c r="G46" s="570"/>
      <c r="H46" s="570"/>
      <c r="I46" s="570"/>
      <c r="J46" s="570"/>
      <c r="K46" s="570"/>
      <c r="L46" s="570"/>
      <c r="M46" s="570"/>
      <c r="N46" s="570"/>
      <c r="O46" s="570"/>
      <c r="P46" s="570"/>
      <c r="Q46" s="570"/>
      <c r="R46" s="570"/>
      <c r="S46" s="570"/>
      <c r="T46" s="570"/>
      <c r="U46" s="570"/>
      <c r="V46" s="570"/>
      <c r="W46" s="570"/>
      <c r="X46" s="570"/>
      <c r="Y46" s="570"/>
      <c r="Z46" s="570"/>
      <c r="AA46" s="570"/>
      <c r="AB46" s="570"/>
    </row>
    <row r="47" ht="14.25" spans="1:28">
      <c r="A47" s="654"/>
      <c r="B47" s="654" t="s">
        <v>7834</v>
      </c>
      <c r="C47" s="654"/>
      <c r="D47" s="654"/>
      <c r="E47" s="570"/>
      <c r="F47" s="570"/>
      <c r="G47" s="570"/>
      <c r="H47" s="570"/>
      <c r="I47" s="570"/>
      <c r="J47" s="570"/>
      <c r="K47" s="570"/>
      <c r="L47" s="570"/>
      <c r="M47" s="570"/>
      <c r="N47" s="570"/>
      <c r="O47" s="570"/>
      <c r="P47" s="570"/>
      <c r="Q47" s="570"/>
      <c r="R47" s="570"/>
      <c r="S47" s="570"/>
      <c r="T47" s="570"/>
      <c r="U47" s="570"/>
      <c r="V47" s="570"/>
      <c r="W47" s="570"/>
      <c r="X47" s="570"/>
      <c r="Y47" s="570"/>
      <c r="Z47" s="570"/>
      <c r="AA47" s="570"/>
      <c r="AB47" s="570"/>
    </row>
    <row r="48" ht="6.75" customHeight="1" spans="1:28">
      <c r="A48" s="570"/>
      <c r="B48" s="570"/>
      <c r="C48" s="570"/>
      <c r="D48" s="570"/>
      <c r="E48" s="570"/>
      <c r="F48" s="570"/>
      <c r="G48" s="570"/>
      <c r="H48" s="570"/>
      <c r="I48" s="570"/>
      <c r="J48" s="570"/>
      <c r="K48" s="570"/>
      <c r="L48" s="570"/>
      <c r="M48" s="570"/>
      <c r="N48" s="570"/>
      <c r="O48" s="570"/>
      <c r="P48" s="570"/>
      <c r="Q48" s="570"/>
      <c r="R48" s="570"/>
      <c r="S48" s="570"/>
      <c r="T48" s="570"/>
      <c r="U48" s="570"/>
      <c r="V48" s="570"/>
      <c r="W48" s="570"/>
      <c r="X48" s="570"/>
      <c r="Y48" s="570"/>
      <c r="Z48" s="570"/>
      <c r="AA48" s="570"/>
      <c r="AB48" s="570"/>
    </row>
    <row r="49" ht="13.5" customHeight="1" spans="1:28">
      <c r="A49" s="665" t="s">
        <v>7835</v>
      </c>
      <c r="B49" s="665"/>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row>
    <row r="50" spans="1:28">
      <c r="A50" s="666" t="s">
        <v>7836</v>
      </c>
      <c r="B50" s="666"/>
      <c r="C50" s="666"/>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6"/>
      <c r="AB50" s="666"/>
    </row>
    <row r="51" spans="1:28">
      <c r="A51" s="667" t="s">
        <v>7507</v>
      </c>
      <c r="B51" s="667"/>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row>
  </sheetData>
  <mergeCells count="8">
    <mergeCell ref="A26:AB26"/>
    <mergeCell ref="C28:I28"/>
    <mergeCell ref="A29:I29"/>
    <mergeCell ref="T29:Z29"/>
    <mergeCell ref="B41:G41"/>
    <mergeCell ref="A49:AB49"/>
    <mergeCell ref="A50:AB50"/>
    <mergeCell ref="A51:AB51"/>
  </mergeCells>
  <pageMargins left="0.708661417322835" right="0.708661417322835" top="0.748031496062992" bottom="0.354330708661417" header="0.31496062992126" footer="0.31496062992126"/>
  <pageSetup paperSize="1" scale="99" orientation="portrait"/>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5">
    <tabColor theme="8" tint="-0.249977111117893"/>
    <pageSetUpPr fitToPage="1"/>
  </sheetPr>
  <dimension ref="A1:U36"/>
  <sheetViews>
    <sheetView showGridLines="0" workbookViewId="0">
      <selection activeCell="F17" sqref="F17"/>
    </sheetView>
  </sheetViews>
  <sheetFormatPr defaultColWidth="9" defaultRowHeight="15.75"/>
  <cols>
    <col min="1" max="1" width="11.2857142857143" style="370" customWidth="1"/>
    <col min="2" max="2" width="14.2857142857143" style="370" customWidth="1"/>
    <col min="3" max="3" width="13.5714285714286" style="370" customWidth="1"/>
    <col min="4" max="4" width="14.2857142857143" style="370" customWidth="1"/>
    <col min="5" max="5" width="14.4285714285714" style="370" customWidth="1"/>
    <col min="6" max="6" width="15.1428571428571" style="370" customWidth="1"/>
    <col min="7" max="10" width="3.28571428571429" style="370" customWidth="1"/>
    <col min="11" max="11" width="2.85714285714286" style="370" customWidth="1"/>
    <col min="12" max="22" width="3.28571428571429" style="370" customWidth="1"/>
    <col min="23" max="24" width="2.85714285714286" style="370" customWidth="1"/>
    <col min="25" max="16384" width="9.14285714285714" style="370"/>
  </cols>
  <sheetData>
    <row r="1" ht="15" customHeight="1" spans="1:21">
      <c r="A1" s="587" t="s">
        <v>6490</v>
      </c>
      <c r="B1" s="587"/>
      <c r="C1" s="587"/>
      <c r="D1" s="587"/>
      <c r="E1" s="587"/>
      <c r="H1" s="588" t="s">
        <v>7837</v>
      </c>
      <c r="I1" s="588"/>
      <c r="J1" s="588"/>
      <c r="K1" s="588"/>
      <c r="L1" s="588"/>
      <c r="M1" s="588"/>
      <c r="N1" s="588"/>
      <c r="O1" s="588"/>
      <c r="P1" s="588"/>
      <c r="Q1" s="588"/>
      <c r="R1" s="588"/>
      <c r="S1" s="588"/>
      <c r="T1" s="588"/>
      <c r="U1" s="588"/>
    </row>
    <row r="2" spans="1:21">
      <c r="A2" s="589" t="s">
        <v>6055</v>
      </c>
      <c r="B2" s="589"/>
      <c r="C2" s="589"/>
      <c r="D2" s="589"/>
      <c r="E2" s="589"/>
    </row>
    <row r="3" ht="15" customHeight="1" spans="1:21">
      <c r="A3" s="587" t="s">
        <v>6057</v>
      </c>
      <c r="B3" s="587"/>
      <c r="C3" s="587"/>
      <c r="D3" s="587"/>
      <c r="E3" s="587"/>
    </row>
    <row r="4" spans="1:21">
      <c r="A4" s="589" t="s">
        <v>7146</v>
      </c>
      <c r="B4" s="589"/>
      <c r="C4" s="589"/>
      <c r="D4" s="589"/>
      <c r="E4" s="589"/>
      <c r="G4" s="590"/>
    </row>
    <row r="5" ht="16.5" customHeight="1" spans="1:21">
      <c r="A5" s="591"/>
      <c r="B5" s="591"/>
      <c r="C5" s="591"/>
      <c r="E5" s="592" t="s">
        <v>7838</v>
      </c>
      <c r="F5" s="593"/>
      <c r="I5" s="594">
        <f>UnosPod!AA8</f>
        <v>4</v>
      </c>
      <c r="J5" s="594">
        <f>UnosPod!AB8</f>
        <v>2</v>
      </c>
      <c r="K5" s="594">
        <f>UnosPod!AC8</f>
        <v>0</v>
      </c>
      <c r="L5" s="594">
        <f>UnosPod!AD8</f>
        <v>1</v>
      </c>
      <c r="M5" s="594">
        <f>UnosPod!AE8</f>
        <v>3</v>
      </c>
      <c r="N5" s="594">
        <f>UnosPod!AF8</f>
        <v>3</v>
      </c>
      <c r="O5" s="594">
        <f>UnosPod!AG8</f>
        <v>7</v>
      </c>
      <c r="P5" s="594">
        <f>UnosPod!AH8</f>
        <v>6</v>
      </c>
      <c r="Q5" s="594">
        <f>UnosPod!AI8</f>
        <v>7</v>
      </c>
      <c r="R5" s="594">
        <f>UnosPod!AJ8</f>
        <v>0</v>
      </c>
      <c r="S5" s="594">
        <f>UnosPod!AK8</f>
        <v>0</v>
      </c>
      <c r="T5" s="594">
        <f>UnosPod!AL8</f>
        <v>0</v>
      </c>
      <c r="U5" s="594">
        <f>UnosPod!AM8</f>
        <v>9</v>
      </c>
    </row>
    <row r="6" ht="16.5" customHeight="1" spans="1:21">
      <c r="A6" s="591"/>
      <c r="B6" s="591"/>
      <c r="C6" s="591"/>
      <c r="D6" s="591"/>
      <c r="E6" s="595" t="s">
        <v>7839</v>
      </c>
      <c r="F6" s="593"/>
      <c r="I6" s="596" t="str">
        <f>Firma</f>
        <v>LILIUM ASSET MANAGEMENT d.o.o. Sarajevo</v>
      </c>
      <c r="J6" s="597"/>
      <c r="K6" s="598"/>
      <c r="L6" s="598"/>
      <c r="M6" s="598"/>
      <c r="N6" s="598"/>
      <c r="O6" s="598"/>
      <c r="P6" s="598"/>
      <c r="Q6" s="598"/>
      <c r="R6" s="598"/>
      <c r="S6" s="598"/>
      <c r="T6" s="598"/>
      <c r="U6" s="599"/>
    </row>
    <row r="7" customHeight="1" spans="1:21">
      <c r="A7" s="591"/>
      <c r="B7" s="591"/>
      <c r="C7" s="591"/>
      <c r="D7" s="591"/>
      <c r="E7" s="595" t="s">
        <v>7840</v>
      </c>
      <c r="F7" s="593"/>
      <c r="I7" s="596" t="str">
        <f>Sjedište&amp;", "&amp;Adresa</f>
        <v>Sarajevo-Stari Grad, Dženetića čikma br.8</v>
      </c>
      <c r="J7" s="600"/>
      <c r="K7" s="599"/>
      <c r="L7" s="599"/>
      <c r="M7" s="599"/>
      <c r="N7" s="599"/>
      <c r="O7" s="599"/>
      <c r="P7" s="599"/>
      <c r="Q7" s="599"/>
      <c r="R7" s="599"/>
      <c r="S7" s="599"/>
      <c r="T7" s="599"/>
      <c r="U7" s="599"/>
    </row>
    <row r="8" ht="11.25" customHeight="1" spans="1:21">
      <c r="A8" s="591"/>
      <c r="B8" s="591"/>
      <c r="C8" s="591"/>
      <c r="D8" s="591"/>
      <c r="E8" s="591"/>
    </row>
    <row r="9" s="583" customFormat="1" ht="16.5" customHeight="1" spans="1:21">
      <c r="A9" s="601" t="s">
        <v>7841</v>
      </c>
      <c r="B9"/>
      <c r="C9"/>
      <c r="D9"/>
      <c r="E9"/>
      <c r="F9"/>
      <c r="G9"/>
      <c r="H9"/>
      <c r="I9"/>
      <c r="J9" s="593"/>
      <c r="K9" s="593"/>
      <c r="L9" s="593"/>
    </row>
    <row r="10" ht="6" customHeight="1"/>
    <row r="11" ht="16.5" customHeight="1" spans="1:21">
      <c r="A11" s="370" t="s">
        <v>7842</v>
      </c>
    </row>
    <row r="12" spans="1:21">
      <c r="A12" s="370" t="str">
        <f>"REGISTROVANIM DJELATNOSTIMA KOJE JE POSLOVNI SUBJEKT OBAVLJAO U "&amp;UnosPod!Q6&amp;". godini"</f>
        <v>REGISTROVANIM DJELATNOSTIMA KOJE JE POSLOVNI SUBJEKT OBAVLJAO U 2025. godini</v>
      </c>
    </row>
    <row r="13" ht="11.25" customHeight="1"/>
    <row r="14" s="584" customFormat="1" ht="15" spans="1:21">
      <c r="A14" s="602" t="s">
        <v>7843</v>
      </c>
      <c r="B14" s="603" t="s">
        <v>7844</v>
      </c>
      <c r="C14" s="604" t="s">
        <v>7845</v>
      </c>
      <c r="D14" s="605"/>
      <c r="E14" s="605"/>
      <c r="F14" s="605"/>
      <c r="G14" s="605"/>
      <c r="H14" s="605"/>
      <c r="I14" s="605"/>
      <c r="J14" s="605"/>
      <c r="K14" s="605"/>
      <c r="L14" s="605"/>
      <c r="M14" s="605"/>
      <c r="N14" s="605"/>
      <c r="O14" s="605"/>
      <c r="P14" s="605"/>
      <c r="Q14" s="605"/>
      <c r="R14" s="605"/>
      <c r="S14" s="605"/>
      <c r="T14" s="605"/>
      <c r="U14" s="606"/>
    </row>
    <row r="15" s="584" customFormat="1" ht="60.75" spans="1:21">
      <c r="A15" s="607"/>
      <c r="B15" s="608"/>
      <c r="C15" s="609" t="s">
        <v>7846</v>
      </c>
      <c r="D15" s="610" t="s">
        <v>7847</v>
      </c>
      <c r="E15" s="611" t="s">
        <v>7848</v>
      </c>
      <c r="F15" s="612" t="s">
        <v>7849</v>
      </c>
      <c r="G15" s="611" t="s">
        <v>2564</v>
      </c>
      <c r="H15" s="611"/>
      <c r="I15" s="611"/>
      <c r="J15" s="611"/>
      <c r="K15" s="611"/>
      <c r="L15" s="610" t="s">
        <v>7850</v>
      </c>
      <c r="M15" s="610"/>
      <c r="N15" s="610"/>
      <c r="O15" s="610"/>
      <c r="P15" s="610"/>
      <c r="Q15" s="610" t="s">
        <v>7851</v>
      </c>
      <c r="R15" s="610"/>
      <c r="S15" s="610"/>
      <c r="T15" s="610"/>
      <c r="U15" s="613"/>
    </row>
    <row r="16" s="585" customFormat="1" ht="12.75" customHeight="1" spans="1:21">
      <c r="A16" s="614" t="s">
        <v>5933</v>
      </c>
      <c r="B16" s="615">
        <v>1</v>
      </c>
      <c r="C16" s="616">
        <v>2</v>
      </c>
      <c r="D16" s="617">
        <v>3</v>
      </c>
      <c r="E16" s="617">
        <v>4</v>
      </c>
      <c r="F16" s="618">
        <v>5</v>
      </c>
      <c r="G16" s="617">
        <v>6</v>
      </c>
      <c r="H16" s="617"/>
      <c r="I16" s="617"/>
      <c r="J16" s="617"/>
      <c r="K16" s="617"/>
      <c r="L16" s="617">
        <v>7</v>
      </c>
      <c r="M16" s="617"/>
      <c r="N16" s="617"/>
      <c r="O16" s="617"/>
      <c r="P16" s="617"/>
      <c r="Q16" s="617">
        <v>8</v>
      </c>
      <c r="R16" s="617"/>
      <c r="S16" s="617"/>
      <c r="T16" s="617"/>
      <c r="U16" s="619"/>
    </row>
    <row r="17" spans="1:21">
      <c r="A17" s="620" t="str">
        <f>UnosPod!AA10&amp;UnosPod!AB10&amp;"."&amp;UnosPod!AC10&amp;UnosPod!AD10</f>
        <v>66.30</v>
      </c>
      <c r="B17" s="621">
        <f>UnosPod!H481</f>
        <v>6</v>
      </c>
      <c r="C17" s="622">
        <f>ROUND(UnosPod!F244/1000,0)</f>
        <v>163</v>
      </c>
      <c r="D17" s="623">
        <f>ROUND(B_Stanja!AI21/1000,0)</f>
        <v>22</v>
      </c>
      <c r="E17" s="623">
        <f>ROUND(UnosPod!O873/1000,0)</f>
        <v>0</v>
      </c>
      <c r="F17" s="624">
        <f>ROUND(B_Uspjeha!AI76/1000,0)</f>
        <v>248</v>
      </c>
      <c r="G17" s="623">
        <f>ROUND(B_Uspjeha!AI81/1000,0)</f>
        <v>0</v>
      </c>
      <c r="H17" s="623"/>
      <c r="I17" s="623"/>
      <c r="J17" s="623"/>
      <c r="K17" s="623"/>
      <c r="L17" s="623">
        <f>ROUND((B_Uspjeha!AI80-B_Uspjeha!AI81)/1000,0)</f>
        <v>292</v>
      </c>
      <c r="M17" s="623"/>
      <c r="N17" s="623"/>
      <c r="O17" s="623"/>
      <c r="P17" s="623"/>
      <c r="Q17" s="623">
        <f>F17-G17-L17</f>
        <v>-44</v>
      </c>
      <c r="R17" s="623"/>
      <c r="S17" s="623"/>
      <c r="T17" s="623"/>
      <c r="U17" s="625"/>
    </row>
    <row r="18" spans="1:21">
      <c r="A18" s="626"/>
      <c r="B18" s="627"/>
      <c r="C18" s="626"/>
      <c r="D18" s="628"/>
      <c r="E18" s="628"/>
      <c r="F18" s="629"/>
      <c r="G18" s="628"/>
      <c r="H18" s="628"/>
      <c r="I18" s="628"/>
      <c r="J18" s="628"/>
      <c r="K18" s="628"/>
      <c r="L18" s="630"/>
      <c r="M18" s="630"/>
      <c r="N18" s="630"/>
      <c r="O18" s="630"/>
      <c r="P18" s="630"/>
      <c r="Q18" s="630"/>
      <c r="R18" s="630"/>
      <c r="S18" s="630"/>
      <c r="T18" s="630"/>
      <c r="U18" s="631"/>
    </row>
    <row r="19" spans="1:21">
      <c r="A19" s="626"/>
      <c r="B19" s="627"/>
      <c r="C19" s="626"/>
      <c r="D19" s="628"/>
      <c r="E19" s="628"/>
      <c r="F19" s="629"/>
      <c r="G19" s="628"/>
      <c r="H19" s="628"/>
      <c r="I19" s="628"/>
      <c r="J19" s="628"/>
      <c r="K19" s="628"/>
      <c r="L19" s="630"/>
      <c r="M19" s="630"/>
      <c r="N19" s="630"/>
      <c r="O19" s="630"/>
      <c r="P19" s="630"/>
      <c r="Q19" s="630"/>
      <c r="R19" s="630"/>
      <c r="S19" s="630"/>
      <c r="T19" s="630"/>
      <c r="U19" s="631"/>
    </row>
    <row r="20" spans="1:21">
      <c r="A20" s="626"/>
      <c r="B20" s="627"/>
      <c r="C20" s="626"/>
      <c r="D20" s="628"/>
      <c r="E20" s="628"/>
      <c r="F20" s="629"/>
      <c r="G20" s="628"/>
      <c r="H20" s="628"/>
      <c r="I20" s="628"/>
      <c r="J20" s="628"/>
      <c r="K20" s="628"/>
      <c r="L20" s="630"/>
      <c r="M20" s="630"/>
      <c r="N20" s="630"/>
      <c r="O20" s="630"/>
      <c r="P20" s="630"/>
      <c r="Q20" s="630"/>
      <c r="R20" s="630"/>
      <c r="S20" s="630"/>
      <c r="T20" s="630"/>
      <c r="U20" s="631"/>
    </row>
    <row r="21" spans="1:21">
      <c r="A21" s="626"/>
      <c r="B21" s="627"/>
      <c r="C21" s="626"/>
      <c r="D21" s="628"/>
      <c r="E21" s="628"/>
      <c r="F21" s="629"/>
      <c r="G21" s="628"/>
      <c r="H21" s="628"/>
      <c r="I21" s="628"/>
      <c r="J21" s="628"/>
      <c r="K21" s="628"/>
      <c r="L21" s="630"/>
      <c r="M21" s="630"/>
      <c r="N21" s="630"/>
      <c r="O21" s="630"/>
      <c r="P21" s="630"/>
      <c r="Q21" s="630"/>
      <c r="R21" s="630"/>
      <c r="S21" s="630"/>
      <c r="T21" s="630"/>
      <c r="U21" s="631"/>
    </row>
    <row r="22" spans="1:21">
      <c r="A22" s="626"/>
      <c r="B22" s="627"/>
      <c r="C22" s="626"/>
      <c r="D22" s="628"/>
      <c r="E22" s="628"/>
      <c r="F22" s="629"/>
      <c r="G22" s="628"/>
      <c r="H22" s="628"/>
      <c r="I22" s="628"/>
      <c r="J22" s="628"/>
      <c r="K22" s="628"/>
      <c r="L22" s="630"/>
      <c r="M22" s="630"/>
      <c r="N22" s="630"/>
      <c r="O22" s="630"/>
      <c r="P22" s="630"/>
      <c r="Q22" s="630"/>
      <c r="R22" s="630"/>
      <c r="S22" s="630"/>
      <c r="T22" s="630"/>
      <c r="U22" s="631"/>
    </row>
    <row r="23" ht="16.5" spans="1:21">
      <c r="A23" s="632"/>
      <c r="B23" s="633"/>
      <c r="C23" s="632"/>
      <c r="D23" s="634"/>
      <c r="E23" s="634"/>
      <c r="F23" s="635"/>
      <c r="G23" s="634"/>
      <c r="H23" s="634"/>
      <c r="I23" s="634"/>
      <c r="J23" s="634"/>
      <c r="K23" s="634"/>
      <c r="L23" s="636"/>
      <c r="M23" s="636"/>
      <c r="N23" s="636"/>
      <c r="O23" s="636"/>
      <c r="P23" s="636"/>
      <c r="Q23" s="636"/>
      <c r="R23" s="636"/>
      <c r="S23" s="636"/>
      <c r="T23" s="636"/>
      <c r="U23" s="637"/>
    </row>
    <row r="24" s="586" customFormat="1" customHeight="1" spans="1:21">
      <c r="A24" s="638" t="str">
        <f>INDEX('#Konverter'!$J$2:$J$824,MATCH(A17,'#Konverter'!$I$2:$I$824,0))</f>
        <v>Djelatnosti upravljanja fondovima</v>
      </c>
    </row>
    <row r="25" s="586" customFormat="1" customHeight="1" spans="1:21">
      <c r="A25" s="638"/>
    </row>
    <row r="26" spans="1:21">
      <c r="A26" s="408" t="s">
        <v>7852</v>
      </c>
      <c r="B26" s="639" t="s">
        <v>7853</v>
      </c>
    </row>
    <row r="27" s="585" customFormat="1" ht="12.75" spans="1:21">
      <c r="A27" s="640"/>
      <c r="B27" s="585" t="s">
        <v>7854</v>
      </c>
    </row>
    <row r="28" s="585" customFormat="1" ht="12.75" spans="1:21">
      <c r="A28" s="640" t="s">
        <v>7459</v>
      </c>
      <c r="B28" s="585" t="s">
        <v>7855</v>
      </c>
    </row>
    <row r="29" s="585" customFormat="1" ht="12.75" spans="1:21">
      <c r="A29" s="640" t="s">
        <v>7856</v>
      </c>
      <c r="B29" s="585" t="s">
        <v>7857</v>
      </c>
    </row>
    <row r="30" s="585" customFormat="1" ht="12.75" spans="1:21">
      <c r="A30" s="640" t="s">
        <v>7858</v>
      </c>
      <c r="B30" s="641" t="s">
        <v>7859</v>
      </c>
      <c r="C30" s="641"/>
      <c r="D30" s="641"/>
      <c r="E30" s="641"/>
      <c r="F30" s="641"/>
      <c r="G30" s="641"/>
      <c r="H30" s="641"/>
      <c r="I30" s="641"/>
      <c r="J30" s="641"/>
      <c r="K30" s="641"/>
      <c r="L30" s="641"/>
      <c r="M30" s="641"/>
      <c r="N30" s="641"/>
      <c r="O30" s="641"/>
      <c r="P30" s="641"/>
      <c r="Q30" s="641"/>
      <c r="R30" s="641"/>
      <c r="S30" s="641"/>
      <c r="T30" s="641"/>
      <c r="U30" s="641"/>
    </row>
    <row r="33" spans="2:21">
      <c r="B33" s="642" t="s">
        <v>7860</v>
      </c>
      <c r="C33" s="643">
        <f ca="1">NOW()</f>
        <v>46120.4752662037</v>
      </c>
      <c r="D33" s="644" t="s">
        <v>7861</v>
      </c>
      <c r="F33" s="584" t="s">
        <v>7862</v>
      </c>
    </row>
    <row r="35" ht="16.5" spans="2:21">
      <c r="F35" s="645"/>
      <c r="G35" s="645"/>
      <c r="H35" s="645"/>
      <c r="I35" s="645"/>
      <c r="J35" s="645"/>
      <c r="K35" s="645"/>
      <c r="L35" s="645"/>
      <c r="M35" s="645"/>
      <c r="N35" s="645"/>
      <c r="O35" s="645"/>
      <c r="P35" s="645"/>
      <c r="Q35" s="645"/>
      <c r="R35" s="645"/>
      <c r="S35" s="645"/>
      <c r="T35" s="645"/>
      <c r="U35" s="645"/>
    </row>
    <row r="36" spans="2:21">
      <c r="F36" s="646" t="str">
        <f>Racunovoda</f>
        <v>Elvira Žilić</v>
      </c>
      <c r="G36" s="646"/>
      <c r="H36" s="646"/>
      <c r="I36" s="646"/>
      <c r="J36" s="646"/>
      <c r="K36" s="646"/>
      <c r="L36" s="646"/>
      <c r="M36" s="646"/>
      <c r="N36" s="646"/>
      <c r="O36" s="646"/>
      <c r="P36" s="646"/>
      <c r="Q36" s="646"/>
      <c r="R36" s="646"/>
      <c r="S36" s="646"/>
      <c r="T36" s="646"/>
      <c r="U36" s="646"/>
    </row>
  </sheetData>
  <mergeCells count="38">
    <mergeCell ref="A1:C1"/>
    <mergeCell ref="H1:U1"/>
    <mergeCell ref="A2:C2"/>
    <mergeCell ref="A3:C3"/>
    <mergeCell ref="A4:C4"/>
    <mergeCell ref="A9:I9"/>
    <mergeCell ref="C14:U14"/>
    <mergeCell ref="G15:K15"/>
    <mergeCell ref="L15:P15"/>
    <mergeCell ref="Q15:U15"/>
    <mergeCell ref="G16:K16"/>
    <mergeCell ref="L16:P16"/>
    <mergeCell ref="Q16:U16"/>
    <mergeCell ref="G17:K17"/>
    <mergeCell ref="L17:P17"/>
    <mergeCell ref="Q17:U17"/>
    <mergeCell ref="G18:K18"/>
    <mergeCell ref="L18:P18"/>
    <mergeCell ref="Q18:U18"/>
    <mergeCell ref="G19:K19"/>
    <mergeCell ref="L19:P19"/>
    <mergeCell ref="Q19:U19"/>
    <mergeCell ref="G20:K20"/>
    <mergeCell ref="L20:P20"/>
    <mergeCell ref="Q20:U20"/>
    <mergeCell ref="G21:K21"/>
    <mergeCell ref="L21:P21"/>
    <mergeCell ref="Q21:U21"/>
    <mergeCell ref="G22:K22"/>
    <mergeCell ref="L22:P22"/>
    <mergeCell ref="Q22:U22"/>
    <mergeCell ref="G23:K23"/>
    <mergeCell ref="L23:P23"/>
    <mergeCell ref="Q23:U23"/>
    <mergeCell ref="F35:U35"/>
    <mergeCell ref="F36:U36"/>
    <mergeCell ref="A14:A15"/>
    <mergeCell ref="B14:B15"/>
  </mergeCells>
  <pageMargins left="0.708661417322835" right="0.708661417322835" top="0.551181102362205" bottom="0.551181102362205" header="0.31496062992126" footer="0.31496062992126"/>
  <pageSetup paperSize="9" scale="95"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63">
    <tabColor rgb="FFFFFF00"/>
    <pageSetUpPr fitToPage="1"/>
  </sheetPr>
  <dimension ref="A1:AK44"/>
  <sheetViews>
    <sheetView showGridLines="0" workbookViewId="0">
      <selection activeCell="AR17" sqref="AR17"/>
    </sheetView>
  </sheetViews>
  <sheetFormatPr defaultColWidth="2.28571428571429" defaultRowHeight="14.25"/>
  <cols>
    <col min="1" max="13" width="2.28571428571429" style="570"/>
    <col min="14" max="14" width="2.85714285714286" style="570" customWidth="1"/>
    <col min="15" max="16384" width="2.28571428571429" style="570"/>
  </cols>
  <sheetData>
    <row r="1" ht="15.75" spans="1:37">
      <c r="A1" s="571" t="str">
        <f>Firma</f>
        <v>LILIUM ASSET MANAGEMENT d.o.o. Sarajevo</v>
      </c>
    </row>
    <row r="2" ht="15" spans="1:37">
      <c r="A2" s="1" t="str">
        <f>Sjedište&amp;", "&amp;Adresa</f>
        <v>Sarajevo-Stari Grad, Dženetića čikma br.8</v>
      </c>
    </row>
    <row r="3" spans="1:37">
      <c r="A3" s="572">
        <f>UnosPod!AA8</f>
        <v>4</v>
      </c>
      <c r="B3" s="572">
        <f>UnosPod!AB8</f>
        <v>2</v>
      </c>
      <c r="C3" s="572">
        <f>UnosPod!AC8</f>
        <v>0</v>
      </c>
      <c r="D3" s="572">
        <f>UnosPod!AD8</f>
        <v>1</v>
      </c>
      <c r="E3" s="572">
        <f>UnosPod!AE8</f>
        <v>3</v>
      </c>
      <c r="F3" s="572">
        <f>UnosPod!AF8</f>
        <v>3</v>
      </c>
      <c r="G3" s="572">
        <f>UnosPod!AG8</f>
        <v>7</v>
      </c>
      <c r="H3" s="572">
        <f>UnosPod!AH8</f>
        <v>6</v>
      </c>
      <c r="I3" s="572">
        <f>UnosPod!AI8</f>
        <v>7</v>
      </c>
      <c r="J3" s="572">
        <f>UnosPod!AJ8</f>
        <v>0</v>
      </c>
      <c r="K3" s="572">
        <f>UnosPod!AK8</f>
        <v>0</v>
      </c>
      <c r="L3" s="572">
        <f>UnosPod!AL8</f>
        <v>0</v>
      </c>
      <c r="M3" s="572">
        <f>UnosPod!AM8</f>
        <v>9</v>
      </c>
    </row>
    <row r="4" spans="1:37">
      <c r="A4" s="572"/>
      <c r="B4" s="572"/>
      <c r="C4" s="572"/>
      <c r="D4" s="572"/>
      <c r="E4" s="572"/>
      <c r="F4" s="572"/>
      <c r="G4" s="572"/>
      <c r="H4" s="572"/>
      <c r="I4" s="572"/>
      <c r="J4" s="572"/>
      <c r="K4" s="572"/>
      <c r="L4" s="572"/>
      <c r="M4" s="572"/>
    </row>
    <row r="5" spans="1:37">
      <c r="A5" s="572" t="str">
        <f ca="1">"Datum, 01.01."&amp;PoslGod</f>
        <v>Datum, 01.01.2025</v>
      </c>
    </row>
    <row r="6" spans="1:37">
      <c r="A6" s="572" t="str">
        <f ca="1">"Broj: ______ / "&amp;PoslGod</f>
        <v>Broj: ______ / 2025</v>
      </c>
    </row>
    <row r="9" spans="1:37">
      <c r="A9" s="573" t="str">
        <f>"Na osnovu člana  33. Zakona o računovodstvu i reviziji FBiH („Sl. novine FBiH“, br.83/09) i odredbi Statuta "&amp;UnosPod!F8&amp;", "&amp;Baza!I21&amp;",  direktor donosi"</f>
        <v>Na osnovu člana  33. Zakona o računovodstvu i reviziji FBiH („Sl. novine FBiH“, br.83/09) i odredbi Statuta LILIUM ASSET MANAGEMENT d.o.o. Sarajevo, Sarajevo-Stari Grad,  direktor donosi</v>
      </c>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row>
    <row r="10" spans="1:37">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row>
    <row r="11" spans="1:37">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3"/>
    </row>
    <row r="12" spans="1:37">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row>
    <row r="13" spans="1:37">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row>
    <row r="14" spans="1:37">
      <c r="B14" s="574"/>
      <c r="C14" s="574"/>
      <c r="D14" s="574"/>
      <c r="F14" s="574"/>
      <c r="G14" s="574"/>
      <c r="H14" s="574"/>
      <c r="I14" s="574"/>
    </row>
    <row r="15" spans="1:37">
      <c r="B15" s="574"/>
      <c r="C15" s="574"/>
      <c r="D15" s="574"/>
      <c r="F15" s="574"/>
      <c r="G15" s="574"/>
      <c r="H15" s="574"/>
      <c r="I15" s="574"/>
    </row>
    <row r="16" ht="15.75" spans="1:37">
      <c r="A16" s="575" t="s">
        <v>7863</v>
      </c>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row>
    <row r="17" spans="1:37">
      <c r="A17" s="576" t="s">
        <v>7864</v>
      </c>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576"/>
    </row>
    <row r="18" spans="1:37">
      <c r="A18" s="576" t="s">
        <v>7865</v>
      </c>
      <c r="B18" s="576"/>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K18" s="576"/>
    </row>
    <row r="19" spans="1:37">
      <c r="A19" s="576" t="s">
        <v>7866</v>
      </c>
      <c r="B19" s="576"/>
      <c r="C19" s="576"/>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K19" s="576"/>
    </row>
    <row r="20" spans="1:37">
      <c r="A20" s="576"/>
      <c r="B20" s="576"/>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K20" s="576"/>
    </row>
    <row r="21" spans="1:37">
      <c r="A21" s="576"/>
      <c r="B21" s="576"/>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K21" s="576"/>
    </row>
    <row r="22" spans="1:37">
      <c r="A22" s="576" t="s">
        <v>5809</v>
      </c>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K22" s="576"/>
    </row>
    <row r="23" ht="15.75" customHeight="1" spans="1:37">
      <c r="A23" s="573" t="s">
        <v>7867</v>
      </c>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row>
    <row r="24" ht="19.5" customHeight="1" spans="1:37">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row>
    <row r="25" ht="15.75" customHeight="1" spans="1:37">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row>
    <row r="26" ht="15.75" spans="1:37">
      <c r="A26" s="577"/>
      <c r="B26" s="578"/>
      <c r="C26" s="578"/>
      <c r="D26" s="578"/>
      <c r="E26" s="578"/>
      <c r="F26" s="570" t="str">
        <f t="shared" ref="F26" si="0">IF(G26="",""," -")</f>
        <v/>
      </c>
      <c r="G26" s="579" t="s">
        <v>7868</v>
      </c>
      <c r="H26" s="578"/>
      <c r="I26" s="578"/>
      <c r="AF26" s="580"/>
    </row>
    <row r="27" spans="1:37">
      <c r="A27" s="576" t="s">
        <v>3725</v>
      </c>
      <c r="B27" s="576"/>
      <c r="C27" s="576"/>
      <c r="D27" s="576"/>
      <c r="E27" s="576"/>
      <c r="F27" s="576"/>
      <c r="G27" s="576"/>
      <c r="H27" s="576"/>
      <c r="I27" s="576"/>
      <c r="J27" s="576"/>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K27" s="576"/>
    </row>
    <row r="28" spans="1:37">
      <c r="A28" s="573" t="s">
        <v>7869</v>
      </c>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row>
    <row r="29" spans="1:37">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row>
    <row r="30" ht="15.75" spans="1:37">
      <c r="A30" s="577"/>
      <c r="B30" s="578"/>
      <c r="C30" s="578"/>
      <c r="D30" s="578"/>
      <c r="E30" s="578"/>
      <c r="G30" s="579"/>
      <c r="H30" s="578"/>
      <c r="I30" s="578"/>
      <c r="AF30" s="580"/>
    </row>
    <row r="31" spans="1:37">
      <c r="A31" s="576" t="s">
        <v>5813</v>
      </c>
      <c r="B31" s="576"/>
      <c r="C31" s="576"/>
      <c r="D31" s="576"/>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K31" s="576"/>
    </row>
    <row r="32" spans="1:37">
      <c r="A32" s="573" t="s">
        <v>7870</v>
      </c>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row>
    <row r="33" spans="1:37">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row>
    <row r="34" ht="15.75" spans="1:37">
      <c r="A34" s="577"/>
      <c r="B34" s="578"/>
      <c r="C34" s="578"/>
      <c r="D34" s="578"/>
      <c r="E34" s="578"/>
      <c r="G34" s="579"/>
      <c r="H34" s="578"/>
      <c r="I34" s="578"/>
      <c r="AF34" s="580"/>
    </row>
    <row r="35" spans="1:37">
      <c r="A35" s="576" t="s">
        <v>5906</v>
      </c>
      <c r="B35" s="576"/>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row>
    <row r="36" spans="1:37">
      <c r="A36" s="573" t="s">
        <v>7871</v>
      </c>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row>
    <row r="37" spans="1:37">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row>
    <row r="39" ht="15.75" spans="1:37">
      <c r="A39" s="577"/>
    </row>
    <row r="40" ht="15.75" spans="1:37">
      <c r="A40" s="577"/>
    </row>
    <row r="41" spans="1:37">
      <c r="T41" s="424" t="s">
        <v>7039</v>
      </c>
      <c r="Y41" s="570" t="s">
        <v>7111</v>
      </c>
    </row>
    <row r="42" spans="1:37">
      <c r="W42" s="576"/>
      <c r="X42" s="576"/>
      <c r="Y42" s="576"/>
      <c r="Z42" s="576"/>
      <c r="AA42" s="576"/>
      <c r="AB42" s="576"/>
      <c r="AC42" s="576"/>
      <c r="AD42" s="576"/>
      <c r="AE42" s="576"/>
      <c r="AF42" s="576"/>
    </row>
    <row r="43" spans="1:37">
      <c r="W43" s="576"/>
      <c r="X43" s="576"/>
      <c r="Y43" s="581" t="str">
        <f>Baza!C10</f>
        <v>Nedim Vilogorac</v>
      </c>
      <c r="Z43" s="582"/>
      <c r="AA43" s="582"/>
      <c r="AB43" s="582"/>
      <c r="AC43" s="582"/>
      <c r="AD43" s="582"/>
      <c r="AE43" s="582"/>
      <c r="AF43" s="582"/>
      <c r="AG43" s="582"/>
      <c r="AH43" s="582"/>
    </row>
    <row r="44" spans="1:37">
      <c r="W44" s="576"/>
      <c r="X44" s="576"/>
      <c r="Y44" s="576"/>
      <c r="Z44" s="576"/>
      <c r="AA44" s="576"/>
      <c r="AB44" s="576"/>
      <c r="AC44" s="576"/>
      <c r="AD44" s="576"/>
      <c r="AE44" s="576"/>
      <c r="AF44" s="576"/>
      <c r="AG44" s="576"/>
      <c r="AH44" s="576"/>
    </row>
  </sheetData>
  <mergeCells count="14">
    <mergeCell ref="A16:AK16"/>
    <mergeCell ref="A17:AK17"/>
    <mergeCell ref="A18:AK18"/>
    <mergeCell ref="A19:AK19"/>
    <mergeCell ref="A20:AK20"/>
    <mergeCell ref="A22:AK22"/>
    <mergeCell ref="A27:AK27"/>
    <mergeCell ref="A31:AK31"/>
    <mergeCell ref="A35:AK35"/>
    <mergeCell ref="A32:AK33"/>
    <mergeCell ref="A36:AK37"/>
    <mergeCell ref="A9:AK13"/>
    <mergeCell ref="A23:AK25"/>
    <mergeCell ref="A28:AK29"/>
  </mergeCells>
  <pageMargins left="0.7" right="0.7" top="0.75" bottom="0.75" header="0.3" footer="0.3"/>
  <pageSetup paperSize="9" fitToHeight="0"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1">
    <tabColor rgb="FFFFFF00"/>
    <pageSetUpPr fitToPage="1"/>
  </sheetPr>
  <dimension ref="A1:AS34"/>
  <sheetViews>
    <sheetView showGridLines="0" workbookViewId="0">
      <selection activeCell="BD21" sqref="BD21"/>
    </sheetView>
  </sheetViews>
  <sheetFormatPr defaultColWidth="3" defaultRowHeight="15"/>
  <cols>
    <col min="1" max="1" width="4.57142857142857" style="491" customWidth="1"/>
    <col min="2" max="23" width="3" style="491"/>
    <col min="24" max="24" width="3.42857142857143" style="491" customWidth="1"/>
    <col min="25" max="25" width="3.71428571428571" style="491" customWidth="1"/>
    <col min="26" max="16384" width="3" style="491"/>
  </cols>
  <sheetData>
    <row r="1" ht="15.75" spans="1:45">
      <c r="A1" s="489" t="str">
        <f>Text!B2</f>
        <v>Naziv pravnog lica</v>
      </c>
      <c r="F1" s="492" t="str">
        <f>UnosPod!F8</f>
        <v>LILIUM ASSET MANAGEMENT d.o.o. Sarajevo</v>
      </c>
      <c r="G1" s="492"/>
      <c r="H1" s="492"/>
      <c r="I1" s="492"/>
      <c r="J1" s="492"/>
      <c r="K1" s="492"/>
      <c r="L1" s="492"/>
      <c r="M1" s="492"/>
      <c r="N1" s="492"/>
      <c r="O1" s="492"/>
      <c r="P1" s="492"/>
      <c r="Q1" s="492"/>
      <c r="R1" s="492"/>
      <c r="S1" s="492"/>
      <c r="T1" s="492"/>
      <c r="U1" s="492"/>
      <c r="AG1" s="493" t="s">
        <v>7872</v>
      </c>
      <c r="AH1" s="493"/>
      <c r="AI1" s="493"/>
      <c r="AJ1" s="493"/>
      <c r="AK1" s="493"/>
      <c r="AL1" s="493"/>
      <c r="AM1" s="493"/>
      <c r="AN1" s="493"/>
      <c r="AO1" s="493"/>
      <c r="AP1" s="493"/>
      <c r="AQ1" s="493"/>
      <c r="AR1" s="493"/>
      <c r="AS1" s="493"/>
    </row>
    <row r="2" ht="15.75" spans="1:45">
      <c r="A2" s="489" t="s">
        <v>7873</v>
      </c>
      <c r="F2" s="494" t="str">
        <f>Baza!I21</f>
        <v>Sarajevo-Stari Grad</v>
      </c>
      <c r="G2" s="494"/>
      <c r="H2" s="494"/>
      <c r="I2" s="494"/>
      <c r="J2" s="494"/>
      <c r="K2" s="494"/>
      <c r="L2" s="494"/>
      <c r="M2" s="494"/>
      <c r="N2" s="494"/>
      <c r="O2" s="494"/>
      <c r="P2" s="494"/>
      <c r="Q2" s="494"/>
      <c r="R2" s="494"/>
      <c r="S2" s="494"/>
      <c r="T2" s="494"/>
      <c r="U2" s="494"/>
      <c r="AG2" s="493" t="s">
        <v>7874</v>
      </c>
      <c r="AH2" s="493"/>
      <c r="AI2" s="493"/>
      <c r="AJ2" s="493"/>
      <c r="AK2" s="493"/>
      <c r="AL2" s="493"/>
      <c r="AM2" s="493"/>
      <c r="AN2" s="493"/>
      <c r="AO2" s="493"/>
      <c r="AP2" s="493"/>
      <c r="AQ2" s="493"/>
      <c r="AR2" s="493"/>
      <c r="AS2" s="493"/>
    </row>
    <row r="3" ht="15.75" spans="1:45">
      <c r="A3" s="489" t="s">
        <v>7875</v>
      </c>
      <c r="F3" s="495">
        <f>UnosPod!AA10</f>
        <v>6</v>
      </c>
      <c r="G3" s="495">
        <f>UnosPod!AB10</f>
        <v>6</v>
      </c>
      <c r="H3" s="495">
        <f>UnosPod!AC10</f>
        <v>3</v>
      </c>
      <c r="I3" s="495">
        <f>UnosPod!AD10</f>
        <v>0</v>
      </c>
      <c r="J3" s="495"/>
      <c r="K3" s="496"/>
      <c r="L3" s="496"/>
      <c r="M3" s="496"/>
      <c r="N3" s="496"/>
      <c r="O3" s="496"/>
      <c r="P3" s="496"/>
      <c r="Q3" s="496"/>
      <c r="R3" s="497"/>
      <c r="S3" s="497"/>
      <c r="T3" s="497"/>
      <c r="U3" s="497"/>
    </row>
    <row r="4" ht="15.75" spans="1:45">
      <c r="A4" s="489" t="s">
        <v>7876</v>
      </c>
      <c r="F4" s="498">
        <f>UnosPod!AA12</f>
        <v>1</v>
      </c>
      <c r="G4" s="498">
        <f>UnosPod!AB12</f>
        <v>6</v>
      </c>
      <c r="H4" s="498">
        <f>UnosPod!AC12</f>
        <v>1</v>
      </c>
      <c r="I4" s="498">
        <f>UnosPod!AD12</f>
        <v>0</v>
      </c>
      <c r="J4" s="498">
        <f>UnosPod!AE12</f>
        <v>0</v>
      </c>
      <c r="K4" s="498">
        <f>UnosPod!AF12</f>
        <v>0</v>
      </c>
      <c r="L4" s="498">
        <f>UnosPod!AG12</f>
        <v>0</v>
      </c>
      <c r="M4" s="498">
        <f>UnosPod!AH12</f>
        <v>1</v>
      </c>
      <c r="N4" s="498">
        <f>UnosPod!AI12</f>
        <v>8</v>
      </c>
      <c r="O4" s="498">
        <f>UnosPod!AJ12</f>
        <v>9</v>
      </c>
      <c r="P4" s="498">
        <f>UnosPod!AK12</f>
        <v>4</v>
      </c>
      <c r="Q4" s="498">
        <f>UnosPod!AL12</f>
        <v>8</v>
      </c>
      <c r="R4" s="498">
        <f>UnosPod!AM12</f>
        <v>0</v>
      </c>
      <c r="S4" s="498">
        <f>UnosPod!AN12</f>
        <v>0</v>
      </c>
      <c r="T4" s="498">
        <f>UnosPod!AO12</f>
        <v>0</v>
      </c>
      <c r="U4" s="498">
        <f>UnosPod!AP12</f>
        <v>5</v>
      </c>
      <c r="V4" s="499"/>
      <c r="W4" s="499"/>
      <c r="X4" s="499"/>
      <c r="Y4" s="499"/>
      <c r="Z4" s="499"/>
    </row>
    <row r="5" spans="1:45">
      <c r="A5" s="500" t="s">
        <v>6011</v>
      </c>
      <c r="F5" s="501">
        <f>UnosPod!AA8</f>
        <v>4</v>
      </c>
      <c r="G5" s="501">
        <f>UnosPod!AB8</f>
        <v>2</v>
      </c>
      <c r="H5" s="501">
        <f>UnosPod!AC8</f>
        <v>0</v>
      </c>
      <c r="I5" s="501">
        <f>UnosPod!AD8</f>
        <v>1</v>
      </c>
      <c r="J5" s="501">
        <f>UnosPod!AE8</f>
        <v>3</v>
      </c>
      <c r="K5" s="501">
        <f>UnosPod!AF8</f>
        <v>3</v>
      </c>
      <c r="L5" s="501">
        <f>UnosPod!AG8</f>
        <v>7</v>
      </c>
      <c r="M5" s="501">
        <f>UnosPod!AH8</f>
        <v>6</v>
      </c>
      <c r="N5" s="501">
        <f>UnosPod!AI8</f>
        <v>7</v>
      </c>
      <c r="O5" s="501">
        <f>UnosPod!AJ8</f>
        <v>0</v>
      </c>
      <c r="P5" s="501">
        <f>UnosPod!AK8</f>
        <v>0</v>
      </c>
      <c r="Q5" s="501">
        <f>UnosPod!AL8</f>
        <v>0</v>
      </c>
      <c r="R5" s="501">
        <f>UnosPod!AM8</f>
        <v>9</v>
      </c>
      <c r="S5" s="502"/>
      <c r="T5" s="502"/>
      <c r="U5" s="502"/>
    </row>
    <row r="6" spans="1:45">
      <c r="E6" s="503"/>
      <c r="F6" s="503"/>
      <c r="G6" s="503"/>
      <c r="H6" s="503"/>
      <c r="I6" s="503"/>
      <c r="J6" s="503"/>
      <c r="K6" s="503"/>
    </row>
    <row r="7" ht="21" customHeight="1" spans="1:45">
      <c r="A7" s="504" t="s">
        <v>7877</v>
      </c>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row>
    <row r="8" ht="15.75" spans="1:45">
      <c r="A8" s="499" t="str">
        <f ca="1">Text!B56</f>
        <v>za period od 01.01.2025. do 31.12.2025. godine</v>
      </c>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row>
    <row r="10" spans="1:45">
      <c r="A10" s="505" t="s">
        <v>7095</v>
      </c>
      <c r="B10" s="506" t="s">
        <v>7878</v>
      </c>
      <c r="C10" s="507"/>
      <c r="D10" s="507"/>
      <c r="E10" s="507"/>
      <c r="F10" s="507"/>
      <c r="G10" s="507"/>
      <c r="H10" s="507"/>
      <c r="I10" s="507"/>
      <c r="J10" s="507"/>
      <c r="K10" s="507"/>
      <c r="L10" s="507"/>
      <c r="M10" s="507"/>
      <c r="N10" s="507"/>
      <c r="O10" s="507"/>
      <c r="P10" s="507"/>
      <c r="Q10" s="507"/>
      <c r="R10" s="508"/>
      <c r="S10" s="509" t="s">
        <v>7879</v>
      </c>
      <c r="T10" s="509"/>
      <c r="U10" s="509"/>
      <c r="V10" s="509"/>
      <c r="W10" s="509"/>
      <c r="X10" s="509"/>
      <c r="Y10" s="509"/>
      <c r="Z10" s="507" t="s">
        <v>7880</v>
      </c>
      <c r="AA10" s="507"/>
      <c r="AB10" s="507"/>
      <c r="AC10" s="507"/>
      <c r="AD10" s="508"/>
      <c r="AE10" s="507" t="s">
        <v>7881</v>
      </c>
      <c r="AF10" s="507"/>
      <c r="AG10" s="507"/>
      <c r="AH10" s="507"/>
      <c r="AI10" s="508"/>
      <c r="AJ10" s="507" t="s">
        <v>7689</v>
      </c>
      <c r="AK10" s="507"/>
      <c r="AL10" s="507"/>
      <c r="AM10" s="507"/>
      <c r="AN10" s="507"/>
      <c r="AO10" s="507"/>
      <c r="AP10" s="507"/>
      <c r="AQ10" s="507"/>
      <c r="AR10" s="507"/>
      <c r="AS10" s="510"/>
    </row>
    <row r="11" spans="1:45">
      <c r="A11" s="511" t="s">
        <v>7076</v>
      </c>
      <c r="B11" s="512"/>
      <c r="C11" s="503"/>
      <c r="D11" s="503"/>
      <c r="E11" s="503"/>
      <c r="F11" s="503"/>
      <c r="G11" s="503"/>
      <c r="H11" s="503"/>
      <c r="I11" s="503"/>
      <c r="J11" s="503"/>
      <c r="K11" s="503"/>
      <c r="L11" s="503"/>
      <c r="M11" s="503"/>
      <c r="N11" s="503"/>
      <c r="O11" s="503"/>
      <c r="P11" s="503"/>
      <c r="Q11" s="503"/>
      <c r="R11" s="513"/>
      <c r="S11" s="514" t="s">
        <v>7882</v>
      </c>
      <c r="T11" s="514"/>
      <c r="U11" s="514"/>
      <c r="V11" s="514"/>
      <c r="W11" s="514"/>
      <c r="X11" s="514"/>
      <c r="Y11" s="514"/>
      <c r="Z11" s="503" t="s">
        <v>7883</v>
      </c>
      <c r="AA11" s="503"/>
      <c r="AB11" s="503"/>
      <c r="AC11" s="503"/>
      <c r="AD11" s="513"/>
      <c r="AE11" s="503" t="s">
        <v>7883</v>
      </c>
      <c r="AF11" s="503"/>
      <c r="AG11" s="503"/>
      <c r="AH11" s="503"/>
      <c r="AI11" s="513"/>
      <c r="AJ11" s="515" t="s">
        <v>5243</v>
      </c>
      <c r="AK11" s="516"/>
      <c r="AL11" s="516"/>
      <c r="AM11" s="516"/>
      <c r="AN11" s="517"/>
      <c r="AO11" s="515" t="s">
        <v>5244</v>
      </c>
      <c r="AP11" s="516"/>
      <c r="AQ11" s="516"/>
      <c r="AR11" s="516"/>
      <c r="AS11" s="518"/>
    </row>
    <row r="12" spans="1:45">
      <c r="A12" s="519">
        <v>1</v>
      </c>
      <c r="B12" s="520">
        <v>2</v>
      </c>
      <c r="C12" s="520"/>
      <c r="D12" s="520"/>
      <c r="E12" s="520"/>
      <c r="F12" s="520"/>
      <c r="G12" s="520"/>
      <c r="H12" s="520"/>
      <c r="I12" s="520"/>
      <c r="J12" s="520"/>
      <c r="K12" s="520"/>
      <c r="L12" s="520"/>
      <c r="M12" s="520"/>
      <c r="N12" s="520"/>
      <c r="O12" s="520"/>
      <c r="P12" s="520"/>
      <c r="Q12" s="520"/>
      <c r="R12" s="520"/>
      <c r="S12" s="520">
        <v>3</v>
      </c>
      <c r="T12" s="520"/>
      <c r="U12" s="520"/>
      <c r="V12" s="520"/>
      <c r="W12" s="520"/>
      <c r="X12" s="520"/>
      <c r="Y12" s="520"/>
      <c r="Z12" s="520">
        <v>4</v>
      </c>
      <c r="AA12" s="520"/>
      <c r="AB12" s="520"/>
      <c r="AC12" s="520"/>
      <c r="AD12" s="520"/>
      <c r="AE12" s="520">
        <v>5</v>
      </c>
      <c r="AF12" s="520"/>
      <c r="AG12" s="520"/>
      <c r="AH12" s="520"/>
      <c r="AI12" s="520"/>
      <c r="AJ12" s="520">
        <v>6</v>
      </c>
      <c r="AK12" s="520"/>
      <c r="AL12" s="520"/>
      <c r="AM12" s="520"/>
      <c r="AN12" s="520"/>
      <c r="AO12" s="520">
        <v>7</v>
      </c>
      <c r="AP12" s="520"/>
      <c r="AQ12" s="520"/>
      <c r="AR12" s="520"/>
      <c r="AS12" s="521"/>
    </row>
    <row r="13" s="489" customFormat="1" spans="1:45">
      <c r="A13" s="522"/>
      <c r="B13" s="523" t="s">
        <v>7884</v>
      </c>
      <c r="C13" s="491"/>
      <c r="D13" s="491"/>
      <c r="E13" s="491"/>
      <c r="F13" s="491"/>
      <c r="G13" s="491"/>
      <c r="H13" s="491"/>
      <c r="I13" s="491"/>
      <c r="J13" s="491"/>
      <c r="K13" s="491"/>
      <c r="L13" s="491"/>
      <c r="M13" s="491"/>
      <c r="N13" s="491"/>
      <c r="O13" s="491"/>
      <c r="P13" s="491"/>
      <c r="Q13" s="491"/>
      <c r="R13" s="491"/>
      <c r="S13" s="524"/>
      <c r="T13" s="524"/>
      <c r="U13" s="524"/>
      <c r="V13" s="524"/>
      <c r="W13" s="524"/>
      <c r="X13" s="524"/>
      <c r="Y13" s="524"/>
      <c r="Z13" s="525"/>
      <c r="AA13" s="525"/>
      <c r="AB13" s="525"/>
      <c r="AC13" s="525"/>
      <c r="AD13" s="526"/>
      <c r="AE13" s="525"/>
      <c r="AF13" s="525"/>
      <c r="AG13" s="525"/>
      <c r="AH13" s="525"/>
      <c r="AI13" s="526"/>
      <c r="AJ13" s="525"/>
      <c r="AK13" s="525"/>
      <c r="AL13" s="525"/>
      <c r="AM13" s="525"/>
      <c r="AN13" s="526"/>
      <c r="AO13" s="527"/>
      <c r="AP13" s="528"/>
      <c r="AQ13" s="528"/>
      <c r="AR13" s="528"/>
      <c r="AS13" s="529"/>
    </row>
    <row r="14" s="489" customFormat="1" spans="1:45">
      <c r="A14" s="522"/>
      <c r="B14" s="523" t="s">
        <v>5245</v>
      </c>
      <c r="C14" s="491"/>
      <c r="D14" s="491"/>
      <c r="E14" s="491"/>
      <c r="F14" s="491"/>
      <c r="G14" s="491"/>
      <c r="H14" s="491"/>
      <c r="I14" s="530">
        <f>UnosPod!F568</f>
        <v>0</v>
      </c>
      <c r="J14" s="530"/>
      <c r="K14" s="530"/>
      <c r="L14" s="530"/>
      <c r="M14" s="530"/>
      <c r="N14" s="530"/>
      <c r="O14" s="491" t="s">
        <v>5188</v>
      </c>
      <c r="P14" s="491"/>
      <c r="Q14" s="491"/>
      <c r="R14" s="491"/>
      <c r="S14" s="531"/>
      <c r="T14" s="531"/>
      <c r="U14" s="531"/>
      <c r="V14" s="531"/>
      <c r="W14" s="531"/>
      <c r="X14" s="531"/>
      <c r="Y14" s="531"/>
      <c r="Z14" s="525"/>
      <c r="AA14" s="525"/>
      <c r="AB14" s="525"/>
      <c r="AC14" s="525"/>
      <c r="AD14" s="526"/>
      <c r="AE14" s="525"/>
      <c r="AF14" s="525"/>
      <c r="AG14" s="525"/>
      <c r="AH14" s="525"/>
      <c r="AI14" s="526"/>
      <c r="AJ14" s="525"/>
      <c r="AK14" s="525"/>
      <c r="AL14" s="525"/>
      <c r="AM14" s="525"/>
      <c r="AN14" s="526"/>
      <c r="AO14" s="527"/>
      <c r="AP14" s="528"/>
      <c r="AQ14" s="528"/>
      <c r="AR14" s="528"/>
      <c r="AS14" s="529"/>
    </row>
    <row r="15" s="490" customFormat="1" ht="17.25" customHeight="1" spans="1:45">
      <c r="A15" s="532">
        <v>1</v>
      </c>
      <c r="B15" s="533" t="s">
        <v>5249</v>
      </c>
      <c r="C15" s="534"/>
      <c r="D15" s="534"/>
      <c r="E15" s="534"/>
      <c r="F15" s="534"/>
      <c r="G15" s="534"/>
      <c r="H15" s="534"/>
      <c r="I15" s="535"/>
      <c r="J15" s="535"/>
      <c r="K15" s="535"/>
      <c r="L15" s="535"/>
      <c r="M15" s="535"/>
      <c r="N15" s="536"/>
      <c r="O15" s="534"/>
      <c r="P15" s="534"/>
      <c r="Q15" s="534"/>
      <c r="R15" s="534"/>
      <c r="S15" s="537">
        <f>UnosPod!F569</f>
        <v>0.002</v>
      </c>
      <c r="T15" s="537"/>
      <c r="U15" s="537"/>
      <c r="V15" s="537"/>
      <c r="W15" s="537"/>
      <c r="X15" s="537"/>
      <c r="Y15" s="537"/>
      <c r="Z15" s="538">
        <f>ROUND(UnosPod!N569,0)</f>
        <v>0</v>
      </c>
      <c r="AA15" s="538"/>
      <c r="AB15" s="538"/>
      <c r="AC15" s="538"/>
      <c r="AD15" s="539"/>
      <c r="AE15" s="538">
        <f>ROUND(UnosPod!T569,0)</f>
        <v>0</v>
      </c>
      <c r="AF15" s="538"/>
      <c r="AG15" s="538"/>
      <c r="AH15" s="538"/>
      <c r="AI15" s="539"/>
      <c r="AJ15" s="538">
        <f>IF(Z15-AE15&lt;0,0,Z15-AE15)</f>
        <v>0</v>
      </c>
      <c r="AK15" s="538"/>
      <c r="AL15" s="538"/>
      <c r="AM15" s="538"/>
      <c r="AN15" s="539"/>
      <c r="AO15" s="540">
        <f>IF(AE15-Z15&lt;0,0,AE15-Z15)</f>
        <v>0</v>
      </c>
      <c r="AP15" s="538"/>
      <c r="AQ15" s="538"/>
      <c r="AR15" s="538"/>
      <c r="AS15" s="541"/>
    </row>
    <row r="16" s="490" customFormat="1" ht="17.25" customHeight="1" spans="1:45">
      <c r="A16" s="532">
        <v>2</v>
      </c>
      <c r="B16" s="533" t="s">
        <v>5251</v>
      </c>
      <c r="C16" s="534"/>
      <c r="D16" s="534"/>
      <c r="E16" s="534"/>
      <c r="F16" s="534"/>
      <c r="G16" s="534"/>
      <c r="H16" s="534"/>
      <c r="I16" s="534"/>
      <c r="J16" s="534"/>
      <c r="K16" s="534"/>
      <c r="L16" s="534"/>
      <c r="M16" s="534"/>
      <c r="N16" s="542"/>
      <c r="O16" s="534"/>
      <c r="P16" s="534"/>
      <c r="Q16" s="534"/>
      <c r="R16" s="534"/>
      <c r="S16" s="537">
        <f>UnosPod!F570</f>
        <v>0</v>
      </c>
      <c r="T16" s="537"/>
      <c r="U16" s="537"/>
      <c r="V16" s="537"/>
      <c r="W16" s="537"/>
      <c r="X16" s="537"/>
      <c r="Y16" s="537"/>
      <c r="Z16" s="538">
        <f>ROUND(UnosPod!N570,0)</f>
        <v>0</v>
      </c>
      <c r="AA16" s="538"/>
      <c r="AB16" s="538"/>
      <c r="AC16" s="538"/>
      <c r="AD16" s="539"/>
      <c r="AE16" s="538">
        <f>ROUND(UnosPod!T570,0)</f>
        <v>0</v>
      </c>
      <c r="AF16" s="538"/>
      <c r="AG16" s="538"/>
      <c r="AH16" s="538"/>
      <c r="AI16" s="539"/>
      <c r="AJ16" s="538">
        <f>IF(Z16-AE16&lt;0,0,Z16-AE16)</f>
        <v>0</v>
      </c>
      <c r="AK16" s="538"/>
      <c r="AL16" s="538"/>
      <c r="AM16" s="538"/>
      <c r="AN16" s="539"/>
      <c r="AO16" s="540">
        <f>IF(AE16-Z16&lt;0,0,AE16-Z16)</f>
        <v>0</v>
      </c>
      <c r="AP16" s="538"/>
      <c r="AQ16" s="538"/>
      <c r="AR16" s="538"/>
      <c r="AS16" s="541"/>
    </row>
    <row r="17" s="490" customFormat="1" ht="17.25" customHeight="1" spans="1:45">
      <c r="A17" s="532">
        <v>3</v>
      </c>
      <c r="B17" s="533" t="s">
        <v>5253</v>
      </c>
      <c r="C17" s="534"/>
      <c r="D17" s="534"/>
      <c r="E17" s="534"/>
      <c r="F17" s="534"/>
      <c r="G17" s="534"/>
      <c r="H17" s="534"/>
      <c r="I17" s="534"/>
      <c r="J17" s="534"/>
      <c r="K17" s="534"/>
      <c r="L17" s="534"/>
      <c r="M17" s="534"/>
      <c r="N17" s="542"/>
      <c r="O17" s="534"/>
      <c r="P17" s="534"/>
      <c r="Q17" s="534"/>
      <c r="R17" s="534"/>
      <c r="S17" s="537">
        <f>UnosPod!F571</f>
        <v>0</v>
      </c>
      <c r="T17" s="537"/>
      <c r="U17" s="537"/>
      <c r="V17" s="537"/>
      <c r="W17" s="537"/>
      <c r="X17" s="537"/>
      <c r="Y17" s="537"/>
      <c r="Z17" s="538">
        <f>ROUND(UnosPod!N571,0)</f>
        <v>0</v>
      </c>
      <c r="AA17" s="538"/>
      <c r="AB17" s="538"/>
      <c r="AC17" s="538"/>
      <c r="AD17" s="539"/>
      <c r="AE17" s="538">
        <f>ROUND(UnosPod!T571,0)</f>
        <v>0</v>
      </c>
      <c r="AF17" s="538"/>
      <c r="AG17" s="538"/>
      <c r="AH17" s="538"/>
      <c r="AI17" s="539"/>
      <c r="AJ17" s="538">
        <f>IF(Z17-AE17&lt;0,0,Z17-AE17)</f>
        <v>0</v>
      </c>
      <c r="AK17" s="538"/>
      <c r="AL17" s="538"/>
      <c r="AM17" s="538"/>
      <c r="AN17" s="539"/>
      <c r="AO17" s="540">
        <f>IF(AE17-Z17&lt;0,0,AE17-Z17)</f>
        <v>0</v>
      </c>
      <c r="AP17" s="538"/>
      <c r="AQ17" s="538"/>
      <c r="AR17" s="538"/>
      <c r="AS17" s="541"/>
    </row>
    <row r="18" s="489" customFormat="1" spans="1:45">
      <c r="A18" s="543"/>
      <c r="B18" s="523" t="s">
        <v>7885</v>
      </c>
      <c r="C18" s="491"/>
      <c r="D18" s="491"/>
      <c r="E18" s="491"/>
      <c r="F18" s="491"/>
      <c r="G18" s="491"/>
      <c r="H18" s="491"/>
      <c r="I18" s="491"/>
      <c r="J18" s="491"/>
      <c r="K18" s="491"/>
      <c r="L18" s="491"/>
      <c r="M18" s="491"/>
      <c r="N18" s="491"/>
      <c r="O18" s="544"/>
      <c r="P18" s="491"/>
      <c r="Q18" s="491"/>
      <c r="R18" s="491"/>
      <c r="S18" s="524"/>
      <c r="T18" s="524"/>
      <c r="U18" s="524"/>
      <c r="V18" s="524"/>
      <c r="W18" s="524"/>
      <c r="X18" s="524"/>
      <c r="Y18" s="524"/>
      <c r="Z18" s="545"/>
      <c r="AA18" s="545"/>
      <c r="AB18" s="545"/>
      <c r="AC18" s="545"/>
      <c r="AD18" s="546"/>
      <c r="AE18" s="545"/>
      <c r="AF18" s="545"/>
      <c r="AG18" s="545"/>
      <c r="AH18" s="545"/>
      <c r="AI18" s="546"/>
      <c r="AJ18" s="545"/>
      <c r="AK18" s="545"/>
      <c r="AL18" s="545"/>
      <c r="AM18" s="545"/>
      <c r="AN18" s="546"/>
      <c r="AO18" s="547"/>
      <c r="AP18" s="545"/>
      <c r="AQ18" s="545"/>
      <c r="AR18" s="545"/>
      <c r="AS18" s="548"/>
    </row>
    <row r="19" s="489" customFormat="1" spans="1:45">
      <c r="A19" s="543"/>
      <c r="B19" s="523" t="s">
        <v>7886</v>
      </c>
      <c r="C19" s="491"/>
      <c r="D19" s="491"/>
      <c r="E19" s="491"/>
      <c r="F19" s="491"/>
      <c r="G19" s="491"/>
      <c r="H19" s="491"/>
      <c r="I19" s="491"/>
      <c r="J19" s="491"/>
      <c r="K19" s="491"/>
      <c r="L19" s="491"/>
      <c r="M19" s="491"/>
      <c r="N19" s="549"/>
      <c r="O19" s="491"/>
      <c r="P19" s="491"/>
      <c r="Q19" s="491"/>
      <c r="R19" s="491"/>
      <c r="S19" s="550"/>
      <c r="T19" s="550"/>
      <c r="U19" s="550"/>
      <c r="V19" s="550"/>
      <c r="W19" s="550"/>
      <c r="X19" s="550"/>
      <c r="Y19" s="550"/>
      <c r="Z19" s="545"/>
      <c r="AA19" s="545"/>
      <c r="AB19" s="545"/>
      <c r="AC19" s="545"/>
      <c r="AD19" s="546"/>
      <c r="AE19" s="545"/>
      <c r="AF19" s="545"/>
      <c r="AG19" s="545"/>
      <c r="AH19" s="545"/>
      <c r="AI19" s="546"/>
      <c r="AJ19" s="545"/>
      <c r="AK19" s="545"/>
      <c r="AL19" s="545"/>
      <c r="AM19" s="545"/>
      <c r="AN19" s="546"/>
      <c r="AO19" s="547"/>
      <c r="AP19" s="545"/>
      <c r="AQ19" s="545"/>
      <c r="AR19" s="545"/>
      <c r="AS19" s="548"/>
    </row>
    <row r="20" s="489" customFormat="1" spans="1:45">
      <c r="A20" s="543"/>
      <c r="B20" s="523" t="s">
        <v>7887</v>
      </c>
      <c r="C20" s="491"/>
      <c r="D20" s="491"/>
      <c r="E20" s="491"/>
      <c r="F20" s="491"/>
      <c r="G20" s="491"/>
      <c r="H20" s="491"/>
      <c r="I20" s="491"/>
      <c r="J20" s="491"/>
      <c r="K20" s="491"/>
      <c r="L20" s="491"/>
      <c r="M20" s="491"/>
      <c r="N20" s="549"/>
      <c r="O20" s="491"/>
      <c r="P20" s="491"/>
      <c r="Q20" s="491"/>
      <c r="R20" s="491"/>
      <c r="S20" s="531"/>
      <c r="T20" s="531"/>
      <c r="U20" s="531"/>
      <c r="V20" s="531"/>
      <c r="W20" s="531"/>
      <c r="X20" s="531"/>
      <c r="Y20" s="531"/>
      <c r="Z20" s="545"/>
      <c r="AA20" s="545"/>
      <c r="AB20" s="545"/>
      <c r="AC20" s="545"/>
      <c r="AD20" s="546"/>
      <c r="AE20" s="545"/>
      <c r="AF20" s="545"/>
      <c r="AG20" s="545"/>
      <c r="AH20" s="545"/>
      <c r="AI20" s="546"/>
      <c r="AJ20" s="545"/>
      <c r="AK20" s="545"/>
      <c r="AL20" s="545"/>
      <c r="AM20" s="545"/>
      <c r="AN20" s="546"/>
      <c r="AO20" s="547"/>
      <c r="AP20" s="545"/>
      <c r="AQ20" s="545"/>
      <c r="AR20" s="545"/>
      <c r="AS20" s="548"/>
    </row>
    <row r="21" s="490" customFormat="1" ht="17.25" customHeight="1" spans="1:45">
      <c r="A21" s="532">
        <v>1</v>
      </c>
      <c r="B21" s="533" t="s">
        <v>5249</v>
      </c>
      <c r="C21" s="534"/>
      <c r="D21" s="534"/>
      <c r="E21" s="534"/>
      <c r="F21" s="534"/>
      <c r="G21" s="534"/>
      <c r="H21" s="534"/>
      <c r="I21" s="534"/>
      <c r="J21" s="534"/>
      <c r="K21" s="534"/>
      <c r="L21" s="534"/>
      <c r="M21" s="534"/>
      <c r="N21" s="542"/>
      <c r="O21" s="534"/>
      <c r="P21" s="534"/>
      <c r="Q21" s="534"/>
      <c r="R21" s="534"/>
      <c r="S21" s="551">
        <f>UnosPod!H573</f>
        <v>0</v>
      </c>
      <c r="T21" s="552"/>
      <c r="U21" s="552"/>
      <c r="V21" s="552"/>
      <c r="W21" s="553"/>
      <c r="X21" s="554" t="s">
        <v>7888</v>
      </c>
      <c r="Y21" s="555"/>
      <c r="Z21" s="538">
        <f>ROUND(UnosPod!N573,0)</f>
        <v>0</v>
      </c>
      <c r="AA21" s="538"/>
      <c r="AB21" s="538"/>
      <c r="AC21" s="538"/>
      <c r="AD21" s="539"/>
      <c r="AE21" s="538">
        <f>ROUND(UnosPod!T573,0)</f>
        <v>0</v>
      </c>
      <c r="AF21" s="538"/>
      <c r="AG21" s="538"/>
      <c r="AH21" s="538"/>
      <c r="AI21" s="539"/>
      <c r="AJ21" s="538">
        <f>IF(Z21-AE21&lt;0,0,Z21-AE21)</f>
        <v>0</v>
      </c>
      <c r="AK21" s="538"/>
      <c r="AL21" s="538"/>
      <c r="AM21" s="538"/>
      <c r="AN21" s="539"/>
      <c r="AO21" s="540">
        <f>IF(AE21-Z21&lt;0,0,AE21-Z21)</f>
        <v>0</v>
      </c>
      <c r="AP21" s="538"/>
      <c r="AQ21" s="538"/>
      <c r="AR21" s="538"/>
      <c r="AS21" s="541"/>
    </row>
    <row r="22" s="490" customFormat="1" ht="17.25" customHeight="1" spans="1:45">
      <c r="A22" s="532">
        <v>2</v>
      </c>
      <c r="B22" s="533" t="s">
        <v>5251</v>
      </c>
      <c r="C22" s="534"/>
      <c r="D22" s="534"/>
      <c r="E22" s="534"/>
      <c r="F22" s="534"/>
      <c r="G22" s="534"/>
      <c r="H22" s="534"/>
      <c r="I22" s="534"/>
      <c r="J22" s="534"/>
      <c r="K22" s="534"/>
      <c r="L22" s="534"/>
      <c r="M22" s="534"/>
      <c r="N22" s="542"/>
      <c r="O22" s="534"/>
      <c r="P22" s="534"/>
      <c r="Q22" s="534"/>
      <c r="R22" s="534"/>
      <c r="S22" s="551">
        <f>UnosPod!H574</f>
        <v>0</v>
      </c>
      <c r="T22" s="552"/>
      <c r="U22" s="552"/>
      <c r="V22" s="552"/>
      <c r="W22" s="553"/>
      <c r="X22" s="554" t="s">
        <v>7888</v>
      </c>
      <c r="Y22" s="555"/>
      <c r="Z22" s="538">
        <f>ROUND(UnosPod!N574,0)</f>
        <v>0</v>
      </c>
      <c r="AA22" s="538"/>
      <c r="AB22" s="538"/>
      <c r="AC22" s="538"/>
      <c r="AD22" s="539"/>
      <c r="AE22" s="538">
        <f>ROUND(UnosPod!T574,0)</f>
        <v>0</v>
      </c>
      <c r="AF22" s="538"/>
      <c r="AG22" s="538"/>
      <c r="AH22" s="538"/>
      <c r="AI22" s="539"/>
      <c r="AJ22" s="538">
        <f>IF(Z22-AE22&lt;0,0,Z22-AE22)</f>
        <v>0</v>
      </c>
      <c r="AK22" s="538"/>
      <c r="AL22" s="538"/>
      <c r="AM22" s="538"/>
      <c r="AN22" s="539"/>
      <c r="AO22" s="540">
        <f>IF(AE22-Z22&lt;0,0,AE22-Z22)</f>
        <v>0</v>
      </c>
      <c r="AP22" s="538"/>
      <c r="AQ22" s="538"/>
      <c r="AR22" s="538"/>
      <c r="AS22" s="541"/>
    </row>
    <row r="23" s="490" customFormat="1" ht="17.25" customHeight="1" spans="1:45">
      <c r="A23" s="532">
        <v>3</v>
      </c>
      <c r="B23" s="533" t="s">
        <v>7889</v>
      </c>
      <c r="C23" s="534"/>
      <c r="D23" s="534"/>
      <c r="E23" s="534"/>
      <c r="F23" s="534"/>
      <c r="G23" s="534"/>
      <c r="H23" s="534"/>
      <c r="I23" s="534"/>
      <c r="J23" s="534"/>
      <c r="K23" s="534"/>
      <c r="L23" s="534"/>
      <c r="M23" s="534"/>
      <c r="N23" s="542"/>
      <c r="O23" s="534"/>
      <c r="P23" s="534"/>
      <c r="Q23" s="534"/>
      <c r="R23" s="534"/>
      <c r="S23" s="551">
        <f>UnosPod!F575</f>
        <v>0</v>
      </c>
      <c r="T23" s="552"/>
      <c r="U23" s="552"/>
      <c r="V23" s="552"/>
      <c r="W23" s="553"/>
      <c r="X23" s="554" t="s">
        <v>7888</v>
      </c>
      <c r="Y23" s="555"/>
      <c r="Z23" s="538">
        <f>ROUND(UnosPod!N575,0)</f>
        <v>0</v>
      </c>
      <c r="AA23" s="538"/>
      <c r="AB23" s="538"/>
      <c r="AC23" s="538"/>
      <c r="AD23" s="539"/>
      <c r="AE23" s="538">
        <f>ROUND(UnosPod!T575,0)</f>
        <v>0</v>
      </c>
      <c r="AF23" s="538"/>
      <c r="AG23" s="538"/>
      <c r="AH23" s="538"/>
      <c r="AI23" s="539"/>
      <c r="AJ23" s="538">
        <f>IF(Z23-AE23&lt;0,0,Z23-AE23)</f>
        <v>0</v>
      </c>
      <c r="AK23" s="538"/>
      <c r="AL23" s="538"/>
      <c r="AM23" s="538"/>
      <c r="AN23" s="539"/>
      <c r="AO23" s="540">
        <f>IF(AE23-Z23&lt;0,0,AE23-Z23)</f>
        <v>0</v>
      </c>
      <c r="AP23" s="538"/>
      <c r="AQ23" s="538"/>
      <c r="AR23" s="538"/>
      <c r="AS23" s="541"/>
    </row>
    <row r="24" s="489" customFormat="1" spans="1:45">
      <c r="A24" s="543"/>
      <c r="B24" s="523" t="s">
        <v>7890</v>
      </c>
      <c r="C24" s="491"/>
      <c r="D24" s="491"/>
      <c r="E24" s="491"/>
      <c r="F24" s="491"/>
      <c r="G24" s="491"/>
      <c r="H24" s="491"/>
      <c r="I24" s="491"/>
      <c r="J24" s="491"/>
      <c r="K24" s="491"/>
      <c r="L24" s="491"/>
      <c r="M24" s="491"/>
      <c r="N24" s="549"/>
      <c r="O24" s="491"/>
      <c r="P24" s="491"/>
      <c r="Q24" s="491"/>
      <c r="R24" s="491"/>
      <c r="S24" s="524"/>
      <c r="T24" s="524"/>
      <c r="U24" s="524"/>
      <c r="V24" s="524"/>
      <c r="W24" s="524"/>
      <c r="X24" s="524"/>
      <c r="Y24" s="524"/>
      <c r="Z24" s="545"/>
      <c r="AA24" s="545"/>
      <c r="AB24" s="545"/>
      <c r="AC24" s="545"/>
      <c r="AD24" s="546"/>
      <c r="AE24" s="545"/>
      <c r="AF24" s="545"/>
      <c r="AG24" s="545"/>
      <c r="AH24" s="545"/>
      <c r="AI24" s="546"/>
      <c r="AJ24" s="545"/>
      <c r="AK24" s="545"/>
      <c r="AL24" s="545"/>
      <c r="AM24" s="545"/>
      <c r="AN24" s="546"/>
      <c r="AO24" s="547"/>
      <c r="AP24" s="545"/>
      <c r="AQ24" s="545"/>
      <c r="AR24" s="545"/>
      <c r="AS24" s="548"/>
    </row>
    <row r="25" s="489" customFormat="1" spans="1:45">
      <c r="A25" s="543"/>
      <c r="B25" s="523" t="s">
        <v>7891</v>
      </c>
      <c r="C25" s="491"/>
      <c r="D25" s="491"/>
      <c r="E25" s="491"/>
      <c r="F25" s="491"/>
      <c r="G25" s="491"/>
      <c r="H25" s="491"/>
      <c r="I25" s="491"/>
      <c r="J25" s="491"/>
      <c r="K25" s="491"/>
      <c r="L25" s="491"/>
      <c r="M25" s="491"/>
      <c r="N25" s="549"/>
      <c r="O25" s="491"/>
      <c r="P25" s="491"/>
      <c r="Q25" s="491"/>
      <c r="R25" s="491"/>
      <c r="S25" s="550"/>
      <c r="T25" s="550"/>
      <c r="U25" s="550"/>
      <c r="V25" s="550"/>
      <c r="W25" s="550"/>
      <c r="X25" s="550"/>
      <c r="Y25" s="550"/>
      <c r="Z25" s="545"/>
      <c r="AA25" s="545"/>
      <c r="AB25" s="545"/>
      <c r="AC25" s="545"/>
      <c r="AD25" s="546"/>
      <c r="AE25" s="545"/>
      <c r="AF25" s="545"/>
      <c r="AG25" s="545"/>
      <c r="AH25" s="545"/>
      <c r="AI25" s="546"/>
      <c r="AJ25" s="545"/>
      <c r="AK25" s="545"/>
      <c r="AL25" s="545"/>
      <c r="AM25" s="545"/>
      <c r="AN25" s="546"/>
      <c r="AO25" s="547"/>
      <c r="AP25" s="545"/>
      <c r="AQ25" s="545"/>
      <c r="AR25" s="545"/>
      <c r="AS25" s="548"/>
    </row>
    <row r="26" s="489" customFormat="1" spans="1:45">
      <c r="A26" s="543"/>
      <c r="B26" s="523" t="s">
        <v>7892</v>
      </c>
      <c r="C26" s="491"/>
      <c r="D26" s="491"/>
      <c r="E26" s="491"/>
      <c r="F26" s="491"/>
      <c r="G26" s="491"/>
      <c r="H26" s="491"/>
      <c r="I26" s="530">
        <f>UnosPod!F576</f>
        <v>0</v>
      </c>
      <c r="J26" s="530"/>
      <c r="K26" s="530"/>
      <c r="L26" s="530"/>
      <c r="M26" s="530"/>
      <c r="N26" s="530"/>
      <c r="O26" s="491" t="s">
        <v>5188</v>
      </c>
      <c r="P26" s="491"/>
      <c r="Q26" s="491"/>
      <c r="R26" s="491"/>
      <c r="S26" s="531"/>
      <c r="T26" s="531"/>
      <c r="U26" s="531"/>
      <c r="V26" s="531"/>
      <c r="W26" s="531"/>
      <c r="X26" s="531"/>
      <c r="Y26" s="531"/>
      <c r="Z26" s="545"/>
      <c r="AA26" s="545"/>
      <c r="AB26" s="545"/>
      <c r="AC26" s="545"/>
      <c r="AD26" s="546"/>
      <c r="AE26" s="545"/>
      <c r="AF26" s="545"/>
      <c r="AG26" s="545"/>
      <c r="AH26" s="545"/>
      <c r="AI26" s="546"/>
      <c r="AJ26" s="545"/>
      <c r="AK26" s="545"/>
      <c r="AL26" s="545"/>
      <c r="AM26" s="545"/>
      <c r="AN26" s="546"/>
      <c r="AO26" s="547"/>
      <c r="AP26" s="545"/>
      <c r="AQ26" s="545"/>
      <c r="AR26" s="545"/>
      <c r="AS26" s="548"/>
    </row>
    <row r="27" s="490" customFormat="1" ht="17.25" customHeight="1" spans="1:45">
      <c r="A27" s="532">
        <v>1</v>
      </c>
      <c r="B27" s="533" t="s">
        <v>5249</v>
      </c>
      <c r="C27" s="534"/>
      <c r="D27" s="534"/>
      <c r="E27" s="534"/>
      <c r="F27" s="534"/>
      <c r="G27" s="534"/>
      <c r="H27" s="534"/>
      <c r="I27" s="535"/>
      <c r="J27" s="535"/>
      <c r="K27" s="535"/>
      <c r="L27" s="535"/>
      <c r="M27" s="535"/>
      <c r="N27" s="536"/>
      <c r="O27" s="534"/>
      <c r="P27" s="534"/>
      <c r="Q27" s="534"/>
      <c r="R27" s="534"/>
      <c r="S27" s="537">
        <f>UnosPod!F577</f>
        <v>0</v>
      </c>
      <c r="T27" s="537"/>
      <c r="U27" s="537"/>
      <c r="V27" s="537"/>
      <c r="W27" s="537"/>
      <c r="X27" s="537"/>
      <c r="Y27" s="537"/>
      <c r="Z27" s="538">
        <f>ROUND($I$26*S27,0)</f>
        <v>0</v>
      </c>
      <c r="AA27" s="538"/>
      <c r="AB27" s="538"/>
      <c r="AC27" s="538"/>
      <c r="AD27" s="539"/>
      <c r="AE27" s="538">
        <f>ROUND(UnosPod!T577,0)</f>
        <v>0</v>
      </c>
      <c r="AF27" s="538"/>
      <c r="AG27" s="538"/>
      <c r="AH27" s="538"/>
      <c r="AI27" s="539"/>
      <c r="AJ27" s="538">
        <f>IF(Z27-AE27&lt;0,0,Z27-AE27)</f>
        <v>0</v>
      </c>
      <c r="AK27" s="538"/>
      <c r="AL27" s="538"/>
      <c r="AM27" s="538"/>
      <c r="AN27" s="539"/>
      <c r="AO27" s="540">
        <f>IF(AE27-Z27&lt;0,0,AE27-Z27)</f>
        <v>0</v>
      </c>
      <c r="AP27" s="538"/>
      <c r="AQ27" s="538"/>
      <c r="AR27" s="538"/>
      <c r="AS27" s="541"/>
    </row>
    <row r="28" s="490" customFormat="1" ht="17.25" customHeight="1" spans="1:45">
      <c r="A28" s="532">
        <v>2</v>
      </c>
      <c r="B28" s="533" t="s">
        <v>5251</v>
      </c>
      <c r="C28" s="534"/>
      <c r="D28" s="534"/>
      <c r="E28" s="534"/>
      <c r="F28" s="534"/>
      <c r="G28" s="534"/>
      <c r="H28" s="534"/>
      <c r="I28" s="534"/>
      <c r="J28" s="534"/>
      <c r="K28" s="534"/>
      <c r="L28" s="534"/>
      <c r="M28" s="534"/>
      <c r="N28" s="542"/>
      <c r="O28" s="534"/>
      <c r="P28" s="534"/>
      <c r="Q28" s="534"/>
      <c r="R28" s="534"/>
      <c r="S28" s="537">
        <f>UnosPod!F578</f>
        <v>0</v>
      </c>
      <c r="T28" s="537"/>
      <c r="U28" s="537"/>
      <c r="V28" s="537"/>
      <c r="W28" s="537"/>
      <c r="X28" s="537"/>
      <c r="Y28" s="537"/>
      <c r="Z28" s="538">
        <f>ROUND($I$26*S28,0)</f>
        <v>0</v>
      </c>
      <c r="AA28" s="538"/>
      <c r="AB28" s="538"/>
      <c r="AC28" s="538"/>
      <c r="AD28" s="539"/>
      <c r="AE28" s="538">
        <f>ROUND(UnosPod!T578,0)</f>
        <v>0</v>
      </c>
      <c r="AF28" s="538"/>
      <c r="AG28" s="538"/>
      <c r="AH28" s="538"/>
      <c r="AI28" s="539"/>
      <c r="AJ28" s="538">
        <f>IF(Z28-AE28&lt;0,0,Z28-AE28)</f>
        <v>0</v>
      </c>
      <c r="AK28" s="538"/>
      <c r="AL28" s="538"/>
      <c r="AM28" s="538"/>
      <c r="AN28" s="539"/>
      <c r="AO28" s="540">
        <f>IF(AE28-Z28&lt;0,0,AE28-Z28)</f>
        <v>0</v>
      </c>
      <c r="AP28" s="538"/>
      <c r="AQ28" s="538"/>
      <c r="AR28" s="538"/>
      <c r="AS28" s="541"/>
    </row>
    <row r="29" s="490" customFormat="1" ht="17.25" customHeight="1" spans="1:45">
      <c r="A29" s="556">
        <v>3</v>
      </c>
      <c r="B29" s="557" t="s">
        <v>7889</v>
      </c>
      <c r="C29" s="558"/>
      <c r="D29" s="558"/>
      <c r="E29" s="558"/>
      <c r="F29" s="558"/>
      <c r="G29" s="558"/>
      <c r="H29" s="558"/>
      <c r="I29" s="558"/>
      <c r="J29" s="558"/>
      <c r="K29" s="558"/>
      <c r="L29" s="558"/>
      <c r="M29" s="558"/>
      <c r="N29" s="559"/>
      <c r="O29" s="558"/>
      <c r="P29" s="558"/>
      <c r="Q29" s="558"/>
      <c r="R29" s="558"/>
      <c r="S29" s="560">
        <f>UnosPod!F579</f>
        <v>0</v>
      </c>
      <c r="T29" s="560"/>
      <c r="U29" s="560"/>
      <c r="V29" s="560"/>
      <c r="W29" s="560"/>
      <c r="X29" s="560"/>
      <c r="Y29" s="560"/>
      <c r="Z29" s="561">
        <f>ROUND($I$26*S29,0)</f>
        <v>0</v>
      </c>
      <c r="AA29" s="562"/>
      <c r="AB29" s="562"/>
      <c r="AC29" s="562"/>
      <c r="AD29" s="563"/>
      <c r="AE29" s="562">
        <f>ROUND(UnosPod!T579,0)</f>
        <v>0</v>
      </c>
      <c r="AF29" s="562"/>
      <c r="AG29" s="562"/>
      <c r="AH29" s="562"/>
      <c r="AI29" s="563"/>
      <c r="AJ29" s="562">
        <f>IF(Z29-AE29&lt;0,0,Z29-AE29)</f>
        <v>0</v>
      </c>
      <c r="AK29" s="562"/>
      <c r="AL29" s="562"/>
      <c r="AM29" s="562"/>
      <c r="AN29" s="563"/>
      <c r="AO29" s="561">
        <f>IF(AE29-Z29&lt;0,0,AE29-Z29)</f>
        <v>0</v>
      </c>
      <c r="AP29" s="562"/>
      <c r="AQ29" s="562"/>
      <c r="AR29" s="562"/>
      <c r="AS29" s="564"/>
    </row>
    <row r="30" spans="1:45">
      <c r="A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row>
    <row r="31" spans="1:45">
      <c r="A31" s="565" t="s">
        <v>7596</v>
      </c>
      <c r="AJ31" s="503" t="s">
        <v>7738</v>
      </c>
      <c r="AK31" s="503"/>
      <c r="AL31" s="503"/>
      <c r="AM31" s="503"/>
      <c r="AN31" s="503"/>
      <c r="AO31" s="503"/>
      <c r="AP31" s="503"/>
      <c r="AQ31" s="503"/>
      <c r="AR31" s="503"/>
      <c r="AS31" s="503"/>
    </row>
    <row r="32" spans="1:45">
      <c r="A32" s="566" t="str">
        <f>UnosPod!F3</f>
        <v>Elvira Žilić</v>
      </c>
      <c r="B32" s="567"/>
      <c r="C32" s="567"/>
      <c r="D32" s="567"/>
      <c r="E32" s="567"/>
      <c r="F32" s="567"/>
      <c r="G32" s="567"/>
      <c r="H32" s="567"/>
      <c r="AC32" s="491" t="s">
        <v>7039</v>
      </c>
    </row>
    <row r="33" spans="1:45">
      <c r="A33" s="489" t="s">
        <v>7113</v>
      </c>
      <c r="B33" s="489"/>
      <c r="C33" s="489"/>
      <c r="F33" s="568" t="str">
        <f>UnosPod!AA3</f>
        <v>CR-8559/5</v>
      </c>
      <c r="G33" s="568"/>
      <c r="H33" s="568"/>
      <c r="I33" s="568"/>
      <c r="J33" s="568"/>
      <c r="AJ33" s="569" t="str">
        <f>Baza!C10</f>
        <v>Nedim Vilogorac</v>
      </c>
      <c r="AK33" s="569"/>
      <c r="AL33" s="569"/>
      <c r="AM33" s="569"/>
      <c r="AN33" s="569"/>
      <c r="AO33" s="569"/>
      <c r="AP33" s="569"/>
      <c r="AQ33" s="569"/>
      <c r="AR33" s="569"/>
      <c r="AS33" s="569"/>
    </row>
    <row r="34" spans="1:45">
      <c r="A34" s="489" t="s">
        <v>7114</v>
      </c>
      <c r="B34" s="489"/>
      <c r="C34" s="489"/>
      <c r="F34" s="568" t="str">
        <f>UnosPod!AL3</f>
        <v>061/599-615</v>
      </c>
      <c r="G34" s="568"/>
      <c r="H34" s="568"/>
      <c r="I34" s="568"/>
      <c r="J34" s="568"/>
    </row>
  </sheetData>
  <customSheetViews>
    <customSheetView guid="{7A886FB3-8F08-4D3E-B7EB-0851AD05C3C6}" showGridLines="0">
      <selection activeCell="AN5" sqref="AN5"/>
      <pageMargins left="0.826771653543307" right="0.275590551181102" top="0.47244094488189" bottom="0.275590551181102" header="0.393700787401575" footer="0.196850393700787"/>
      <pageSetup paperSize="9" orientation="landscape"/>
      <headerFooter alignWithMargins="0"/>
    </customSheetView>
  </customSheetViews>
  <mergeCells count="90">
    <mergeCell ref="AG1:AS1"/>
    <mergeCell ref="AG2:AS2"/>
    <mergeCell ref="A7:AS7"/>
    <mergeCell ref="A8:AS8"/>
    <mergeCell ref="B10:R10"/>
    <mergeCell ref="S10:Y10"/>
    <mergeCell ref="Z10:AD10"/>
    <mergeCell ref="AE10:AI10"/>
    <mergeCell ref="AJ10:AS10"/>
    <mergeCell ref="B11:R11"/>
    <mergeCell ref="S11:Y11"/>
    <mergeCell ref="Z11:AD11"/>
    <mergeCell ref="AE11:AI11"/>
    <mergeCell ref="AJ11:AN11"/>
    <mergeCell ref="AO11:AS11"/>
    <mergeCell ref="B12:R12"/>
    <mergeCell ref="S12:Y12"/>
    <mergeCell ref="Z12:AD12"/>
    <mergeCell ref="AE12:AI12"/>
    <mergeCell ref="AJ12:AN12"/>
    <mergeCell ref="AO12:AS12"/>
    <mergeCell ref="I14:N14"/>
    <mergeCell ref="S15:Y15"/>
    <mergeCell ref="Z15:AD15"/>
    <mergeCell ref="AE15:AI15"/>
    <mergeCell ref="AJ15:AN15"/>
    <mergeCell ref="AO15:AS15"/>
    <mergeCell ref="S16:Y16"/>
    <mergeCell ref="Z16:AD16"/>
    <mergeCell ref="AE16:AI16"/>
    <mergeCell ref="AJ16:AN16"/>
    <mergeCell ref="AO16:AS16"/>
    <mergeCell ref="S17:Y17"/>
    <mergeCell ref="Z17:AD17"/>
    <mergeCell ref="AE17:AI17"/>
    <mergeCell ref="AJ17:AN17"/>
    <mergeCell ref="AO17:AS17"/>
    <mergeCell ref="S21:W21"/>
    <mergeCell ref="X21:Y21"/>
    <mergeCell ref="Z21:AD21"/>
    <mergeCell ref="AE21:AI21"/>
    <mergeCell ref="AJ21:AN21"/>
    <mergeCell ref="AO21:AS21"/>
    <mergeCell ref="S22:W22"/>
    <mergeCell ref="X22:Y22"/>
    <mergeCell ref="Z22:AD22"/>
    <mergeCell ref="AE22:AI22"/>
    <mergeCell ref="AJ22:AN22"/>
    <mergeCell ref="AO22:AS22"/>
    <mergeCell ref="S23:W23"/>
    <mergeCell ref="X23:Y23"/>
    <mergeCell ref="Z23:AD23"/>
    <mergeCell ref="AE23:AI23"/>
    <mergeCell ref="AJ23:AN23"/>
    <mergeCell ref="AO23:AS23"/>
    <mergeCell ref="I26:N26"/>
    <mergeCell ref="S27:Y27"/>
    <mergeCell ref="Z27:AD27"/>
    <mergeCell ref="AE27:AI27"/>
    <mergeCell ref="AJ27:AN27"/>
    <mergeCell ref="AO27:AS27"/>
    <mergeCell ref="S28:Y28"/>
    <mergeCell ref="Z28:AD28"/>
    <mergeCell ref="AE28:AI28"/>
    <mergeCell ref="AJ28:AN28"/>
    <mergeCell ref="AO28:AS28"/>
    <mergeCell ref="S29:Y29"/>
    <mergeCell ref="Z29:AD29"/>
    <mergeCell ref="AE29:AI29"/>
    <mergeCell ref="AJ29:AN29"/>
    <mergeCell ref="AO29:AS29"/>
    <mergeCell ref="AJ31:AS31"/>
    <mergeCell ref="F33:J33"/>
    <mergeCell ref="AJ33:AS33"/>
    <mergeCell ref="F34:J34"/>
    <mergeCell ref="Z18:AD20"/>
    <mergeCell ref="AE18:AI20"/>
    <mergeCell ref="AJ18:AN20"/>
    <mergeCell ref="AO18:AS20"/>
    <mergeCell ref="S18:Y20"/>
    <mergeCell ref="Z13:AD14"/>
    <mergeCell ref="AE13:AI14"/>
    <mergeCell ref="AJ13:AN14"/>
    <mergeCell ref="AO13:AS14"/>
    <mergeCell ref="S13:Y14"/>
    <mergeCell ref="Z24:AD26"/>
    <mergeCell ref="AE24:AI26"/>
    <mergeCell ref="AJ24:AN26"/>
    <mergeCell ref="AO24:AS26"/>
    <mergeCell ref="S24:Y26"/>
  </mergeCells>
  <pageMargins left="0.826771653543307" right="0.47244094488189" top="0.47244094488189" bottom="0.275590551181102" header="0.393700787401575" footer="0.196850393700787"/>
  <pageSetup paperSize="9" scale="98" fitToHeight="0" orientation="landscape"/>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40">
    <tabColor theme="8" tint="-0.249977111117893"/>
    <pageSetUpPr fitToPage="1"/>
  </sheetPr>
  <dimension ref="A1:AT163"/>
  <sheetViews>
    <sheetView showGridLines="0" workbookViewId="0">
      <selection activeCell="AW66" sqref="AW66"/>
    </sheetView>
  </sheetViews>
  <sheetFormatPr defaultColWidth="9" defaultRowHeight="12"/>
  <cols>
    <col min="1" max="1" width="3.28571428571429" style="324" customWidth="1"/>
    <col min="2" max="2" width="2.14285714285714" style="325" customWidth="1"/>
    <col min="3" max="7" width="2.28571428571429" style="324" customWidth="1"/>
    <col min="8" max="8" width="2.71428571428571" style="324" customWidth="1"/>
    <col min="9" max="11" width="2.28571428571429" style="324" customWidth="1"/>
    <col min="12" max="14" width="1.85714285714286" style="324" customWidth="1"/>
    <col min="15" max="15" width="2.14285714285714" style="324" customWidth="1"/>
    <col min="16" max="17" width="1.85714285714286" style="324" customWidth="1"/>
    <col min="18" max="19" width="2.14285714285714" style="324" customWidth="1"/>
    <col min="20" max="20" width="2.28571428571429" style="324" customWidth="1"/>
    <col min="21" max="22" width="2" style="324" customWidth="1"/>
    <col min="23" max="26" width="2.28571428571429" style="324" customWidth="1"/>
    <col min="27" max="27" width="2.14285714285714" style="324" customWidth="1"/>
    <col min="28" max="28" width="2.28571428571429" style="324" customWidth="1"/>
    <col min="29" max="29" width="2.42857142857143" style="324" customWidth="1"/>
    <col min="30" max="30" width="2.28571428571429" style="324" customWidth="1"/>
    <col min="31" max="31" width="2.57142857142857" style="324" customWidth="1"/>
    <col min="32" max="32" width="2" style="324" customWidth="1"/>
    <col min="33" max="34" width="2.14285714285714" style="324" customWidth="1"/>
    <col min="35" max="38" width="2.28571428571429" style="324" customWidth="1"/>
    <col min="39" max="39" width="2.71428571428571" style="324" customWidth="1"/>
    <col min="40" max="40" width="2" style="324" customWidth="1"/>
    <col min="41" max="46" width="2.28571428571429" style="324" customWidth="1"/>
    <col min="47" max="256" width="9.14285714285714" style="324"/>
    <col min="257" max="257" width="3.28571428571429" style="324" customWidth="1"/>
    <col min="258" max="258" width="2.14285714285714" style="324" customWidth="1"/>
    <col min="259" max="263" width="2.28571428571429" style="324" customWidth="1"/>
    <col min="264" max="264" width="2.71428571428571" style="324" customWidth="1"/>
    <col min="265" max="267" width="2.28571428571429" style="324" customWidth="1"/>
    <col min="268" max="270" width="1.85714285714286" style="324" customWidth="1"/>
    <col min="271" max="271" width="2.14285714285714" style="324" customWidth="1"/>
    <col min="272" max="273" width="1.85714285714286" style="324" customWidth="1"/>
    <col min="274" max="275" width="2.14285714285714" style="324" customWidth="1"/>
    <col min="276" max="276" width="2.28571428571429" style="324" customWidth="1"/>
    <col min="277" max="278" width="2" style="324" customWidth="1"/>
    <col min="279" max="282" width="2.28571428571429" style="324" customWidth="1"/>
    <col min="283" max="283" width="2.14285714285714" style="324" customWidth="1"/>
    <col min="284" max="284" width="2.28571428571429" style="324" customWidth="1"/>
    <col min="285" max="285" width="2.42857142857143" style="324" customWidth="1"/>
    <col min="286" max="286" width="2.28571428571429" style="324" customWidth="1"/>
    <col min="287" max="287" width="2.57142857142857" style="324" customWidth="1"/>
    <col min="288" max="288" width="2" style="324" customWidth="1"/>
    <col min="289" max="290" width="2.14285714285714" style="324" customWidth="1"/>
    <col min="291" max="294" width="2.28571428571429" style="324" customWidth="1"/>
    <col min="295" max="295" width="2.71428571428571" style="324" customWidth="1"/>
    <col min="296" max="296" width="2" style="324" customWidth="1"/>
    <col min="297" max="302" width="2.28571428571429" style="324" customWidth="1"/>
    <col min="303" max="512" width="9.14285714285714" style="324"/>
    <col min="513" max="513" width="3.28571428571429" style="324" customWidth="1"/>
    <col min="514" max="514" width="2.14285714285714" style="324" customWidth="1"/>
    <col min="515" max="519" width="2.28571428571429" style="324" customWidth="1"/>
    <col min="520" max="520" width="2.71428571428571" style="324" customWidth="1"/>
    <col min="521" max="523" width="2.28571428571429" style="324" customWidth="1"/>
    <col min="524" max="526" width="1.85714285714286" style="324" customWidth="1"/>
    <col min="527" max="527" width="2.14285714285714" style="324" customWidth="1"/>
    <col min="528" max="529" width="1.85714285714286" style="324" customWidth="1"/>
    <col min="530" max="531" width="2.14285714285714" style="324" customWidth="1"/>
    <col min="532" max="532" width="2.28571428571429" style="324" customWidth="1"/>
    <col min="533" max="534" width="2" style="324" customWidth="1"/>
    <col min="535" max="538" width="2.28571428571429" style="324" customWidth="1"/>
    <col min="539" max="539" width="2.14285714285714" style="324" customWidth="1"/>
    <col min="540" max="540" width="2.28571428571429" style="324" customWidth="1"/>
    <col min="541" max="541" width="2.42857142857143" style="324" customWidth="1"/>
    <col min="542" max="542" width="2.28571428571429" style="324" customWidth="1"/>
    <col min="543" max="543" width="2.57142857142857" style="324" customWidth="1"/>
    <col min="544" max="544" width="2" style="324" customWidth="1"/>
    <col min="545" max="546" width="2.14285714285714" style="324" customWidth="1"/>
    <col min="547" max="550" width="2.28571428571429" style="324" customWidth="1"/>
    <col min="551" max="551" width="2.71428571428571" style="324" customWidth="1"/>
    <col min="552" max="552" width="2" style="324" customWidth="1"/>
    <col min="553" max="558" width="2.28571428571429" style="324" customWidth="1"/>
    <col min="559" max="768" width="9.14285714285714" style="324"/>
    <col min="769" max="769" width="3.28571428571429" style="324" customWidth="1"/>
    <col min="770" max="770" width="2.14285714285714" style="324" customWidth="1"/>
    <col min="771" max="775" width="2.28571428571429" style="324" customWidth="1"/>
    <col min="776" max="776" width="2.71428571428571" style="324" customWidth="1"/>
    <col min="777" max="779" width="2.28571428571429" style="324" customWidth="1"/>
    <col min="780" max="782" width="1.85714285714286" style="324" customWidth="1"/>
    <col min="783" max="783" width="2.14285714285714" style="324" customWidth="1"/>
    <col min="784" max="785" width="1.85714285714286" style="324" customWidth="1"/>
    <col min="786" max="787" width="2.14285714285714" style="324" customWidth="1"/>
    <col min="788" max="788" width="2.28571428571429" style="324" customWidth="1"/>
    <col min="789" max="790" width="2" style="324" customWidth="1"/>
    <col min="791" max="794" width="2.28571428571429" style="324" customWidth="1"/>
    <col min="795" max="795" width="2.14285714285714" style="324" customWidth="1"/>
    <col min="796" max="796" width="2.28571428571429" style="324" customWidth="1"/>
    <col min="797" max="797" width="2.42857142857143" style="324" customWidth="1"/>
    <col min="798" max="798" width="2.28571428571429" style="324" customWidth="1"/>
    <col min="799" max="799" width="2.57142857142857" style="324" customWidth="1"/>
    <col min="800" max="800" width="2" style="324" customWidth="1"/>
    <col min="801" max="802" width="2.14285714285714" style="324" customWidth="1"/>
    <col min="803" max="806" width="2.28571428571429" style="324" customWidth="1"/>
    <col min="807" max="807" width="2.71428571428571" style="324" customWidth="1"/>
    <col min="808" max="808" width="2" style="324" customWidth="1"/>
    <col min="809" max="814" width="2.28571428571429" style="324" customWidth="1"/>
    <col min="815" max="1024" width="9.14285714285714" style="324"/>
    <col min="1025" max="1025" width="3.28571428571429" style="324" customWidth="1"/>
    <col min="1026" max="1026" width="2.14285714285714" style="324" customWidth="1"/>
    <col min="1027" max="1031" width="2.28571428571429" style="324" customWidth="1"/>
    <col min="1032" max="1032" width="2.71428571428571" style="324" customWidth="1"/>
    <col min="1033" max="1035" width="2.28571428571429" style="324" customWidth="1"/>
    <col min="1036" max="1038" width="1.85714285714286" style="324" customWidth="1"/>
    <col min="1039" max="1039" width="2.14285714285714" style="324" customWidth="1"/>
    <col min="1040" max="1041" width="1.85714285714286" style="324" customWidth="1"/>
    <col min="1042" max="1043" width="2.14285714285714" style="324" customWidth="1"/>
    <col min="1044" max="1044" width="2.28571428571429" style="324" customWidth="1"/>
    <col min="1045" max="1046" width="2" style="324" customWidth="1"/>
    <col min="1047" max="1050" width="2.28571428571429" style="324" customWidth="1"/>
    <col min="1051" max="1051" width="2.14285714285714" style="324" customWidth="1"/>
    <col min="1052" max="1052" width="2.28571428571429" style="324" customWidth="1"/>
    <col min="1053" max="1053" width="2.42857142857143" style="324" customWidth="1"/>
    <col min="1054" max="1054" width="2.28571428571429" style="324" customWidth="1"/>
    <col min="1055" max="1055" width="2.57142857142857" style="324" customWidth="1"/>
    <col min="1056" max="1056" width="2" style="324" customWidth="1"/>
    <col min="1057" max="1058" width="2.14285714285714" style="324" customWidth="1"/>
    <col min="1059" max="1062" width="2.28571428571429" style="324" customWidth="1"/>
    <col min="1063" max="1063" width="2.71428571428571" style="324" customWidth="1"/>
    <col min="1064" max="1064" width="2" style="324" customWidth="1"/>
    <col min="1065" max="1070" width="2.28571428571429" style="324" customWidth="1"/>
    <col min="1071" max="1280" width="9.14285714285714" style="324"/>
    <col min="1281" max="1281" width="3.28571428571429" style="324" customWidth="1"/>
    <col min="1282" max="1282" width="2.14285714285714" style="324" customWidth="1"/>
    <col min="1283" max="1287" width="2.28571428571429" style="324" customWidth="1"/>
    <col min="1288" max="1288" width="2.71428571428571" style="324" customWidth="1"/>
    <col min="1289" max="1291" width="2.28571428571429" style="324" customWidth="1"/>
    <col min="1292" max="1294" width="1.85714285714286" style="324" customWidth="1"/>
    <col min="1295" max="1295" width="2.14285714285714" style="324" customWidth="1"/>
    <col min="1296" max="1297" width="1.85714285714286" style="324" customWidth="1"/>
    <col min="1298" max="1299" width="2.14285714285714" style="324" customWidth="1"/>
    <col min="1300" max="1300" width="2.28571428571429" style="324" customWidth="1"/>
    <col min="1301" max="1302" width="2" style="324" customWidth="1"/>
    <col min="1303" max="1306" width="2.28571428571429" style="324" customWidth="1"/>
    <col min="1307" max="1307" width="2.14285714285714" style="324" customWidth="1"/>
    <col min="1308" max="1308" width="2.28571428571429" style="324" customWidth="1"/>
    <col min="1309" max="1309" width="2.42857142857143" style="324" customWidth="1"/>
    <col min="1310" max="1310" width="2.28571428571429" style="324" customWidth="1"/>
    <col min="1311" max="1311" width="2.57142857142857" style="324" customWidth="1"/>
    <col min="1312" max="1312" width="2" style="324" customWidth="1"/>
    <col min="1313" max="1314" width="2.14285714285714" style="324" customWidth="1"/>
    <col min="1315" max="1318" width="2.28571428571429" style="324" customWidth="1"/>
    <col min="1319" max="1319" width="2.71428571428571" style="324" customWidth="1"/>
    <col min="1320" max="1320" width="2" style="324" customWidth="1"/>
    <col min="1321" max="1326" width="2.28571428571429" style="324" customWidth="1"/>
    <col min="1327" max="1536" width="9.14285714285714" style="324"/>
    <col min="1537" max="1537" width="3.28571428571429" style="324" customWidth="1"/>
    <col min="1538" max="1538" width="2.14285714285714" style="324" customWidth="1"/>
    <col min="1539" max="1543" width="2.28571428571429" style="324" customWidth="1"/>
    <col min="1544" max="1544" width="2.71428571428571" style="324" customWidth="1"/>
    <col min="1545" max="1547" width="2.28571428571429" style="324" customWidth="1"/>
    <col min="1548" max="1550" width="1.85714285714286" style="324" customWidth="1"/>
    <col min="1551" max="1551" width="2.14285714285714" style="324" customWidth="1"/>
    <col min="1552" max="1553" width="1.85714285714286" style="324" customWidth="1"/>
    <col min="1554" max="1555" width="2.14285714285714" style="324" customWidth="1"/>
    <col min="1556" max="1556" width="2.28571428571429" style="324" customWidth="1"/>
    <col min="1557" max="1558" width="2" style="324" customWidth="1"/>
    <col min="1559" max="1562" width="2.28571428571429" style="324" customWidth="1"/>
    <col min="1563" max="1563" width="2.14285714285714" style="324" customWidth="1"/>
    <col min="1564" max="1564" width="2.28571428571429" style="324" customWidth="1"/>
    <col min="1565" max="1565" width="2.42857142857143" style="324" customWidth="1"/>
    <col min="1566" max="1566" width="2.28571428571429" style="324" customWidth="1"/>
    <col min="1567" max="1567" width="2.57142857142857" style="324" customWidth="1"/>
    <col min="1568" max="1568" width="2" style="324" customWidth="1"/>
    <col min="1569" max="1570" width="2.14285714285714" style="324" customWidth="1"/>
    <col min="1571" max="1574" width="2.28571428571429" style="324" customWidth="1"/>
    <col min="1575" max="1575" width="2.71428571428571" style="324" customWidth="1"/>
    <col min="1576" max="1576" width="2" style="324" customWidth="1"/>
    <col min="1577" max="1582" width="2.28571428571429" style="324" customWidth="1"/>
    <col min="1583" max="1792" width="9.14285714285714" style="324"/>
    <col min="1793" max="1793" width="3.28571428571429" style="324" customWidth="1"/>
    <col min="1794" max="1794" width="2.14285714285714" style="324" customWidth="1"/>
    <col min="1795" max="1799" width="2.28571428571429" style="324" customWidth="1"/>
    <col min="1800" max="1800" width="2.71428571428571" style="324" customWidth="1"/>
    <col min="1801" max="1803" width="2.28571428571429" style="324" customWidth="1"/>
    <col min="1804" max="1806" width="1.85714285714286" style="324" customWidth="1"/>
    <col min="1807" max="1807" width="2.14285714285714" style="324" customWidth="1"/>
    <col min="1808" max="1809" width="1.85714285714286" style="324" customWidth="1"/>
    <col min="1810" max="1811" width="2.14285714285714" style="324" customWidth="1"/>
    <col min="1812" max="1812" width="2.28571428571429" style="324" customWidth="1"/>
    <col min="1813" max="1814" width="2" style="324" customWidth="1"/>
    <col min="1815" max="1818" width="2.28571428571429" style="324" customWidth="1"/>
    <col min="1819" max="1819" width="2.14285714285714" style="324" customWidth="1"/>
    <col min="1820" max="1820" width="2.28571428571429" style="324" customWidth="1"/>
    <col min="1821" max="1821" width="2.42857142857143" style="324" customWidth="1"/>
    <col min="1822" max="1822" width="2.28571428571429" style="324" customWidth="1"/>
    <col min="1823" max="1823" width="2.57142857142857" style="324" customWidth="1"/>
    <col min="1824" max="1824" width="2" style="324" customWidth="1"/>
    <col min="1825" max="1826" width="2.14285714285714" style="324" customWidth="1"/>
    <col min="1827" max="1830" width="2.28571428571429" style="324" customWidth="1"/>
    <col min="1831" max="1831" width="2.71428571428571" style="324" customWidth="1"/>
    <col min="1832" max="1832" width="2" style="324" customWidth="1"/>
    <col min="1833" max="1838" width="2.28571428571429" style="324" customWidth="1"/>
    <col min="1839" max="2048" width="9.14285714285714" style="324"/>
    <col min="2049" max="2049" width="3.28571428571429" style="324" customWidth="1"/>
    <col min="2050" max="2050" width="2.14285714285714" style="324" customWidth="1"/>
    <col min="2051" max="2055" width="2.28571428571429" style="324" customWidth="1"/>
    <col min="2056" max="2056" width="2.71428571428571" style="324" customWidth="1"/>
    <col min="2057" max="2059" width="2.28571428571429" style="324" customWidth="1"/>
    <col min="2060" max="2062" width="1.85714285714286" style="324" customWidth="1"/>
    <col min="2063" max="2063" width="2.14285714285714" style="324" customWidth="1"/>
    <col min="2064" max="2065" width="1.85714285714286" style="324" customWidth="1"/>
    <col min="2066" max="2067" width="2.14285714285714" style="324" customWidth="1"/>
    <col min="2068" max="2068" width="2.28571428571429" style="324" customWidth="1"/>
    <col min="2069" max="2070" width="2" style="324" customWidth="1"/>
    <col min="2071" max="2074" width="2.28571428571429" style="324" customWidth="1"/>
    <col min="2075" max="2075" width="2.14285714285714" style="324" customWidth="1"/>
    <col min="2076" max="2076" width="2.28571428571429" style="324" customWidth="1"/>
    <col min="2077" max="2077" width="2.42857142857143" style="324" customWidth="1"/>
    <col min="2078" max="2078" width="2.28571428571429" style="324" customWidth="1"/>
    <col min="2079" max="2079" width="2.57142857142857" style="324" customWidth="1"/>
    <col min="2080" max="2080" width="2" style="324" customWidth="1"/>
    <col min="2081" max="2082" width="2.14285714285714" style="324" customWidth="1"/>
    <col min="2083" max="2086" width="2.28571428571429" style="324" customWidth="1"/>
    <col min="2087" max="2087" width="2.71428571428571" style="324" customWidth="1"/>
    <col min="2088" max="2088" width="2" style="324" customWidth="1"/>
    <col min="2089" max="2094" width="2.28571428571429" style="324" customWidth="1"/>
    <col min="2095" max="2304" width="9.14285714285714" style="324"/>
    <col min="2305" max="2305" width="3.28571428571429" style="324" customWidth="1"/>
    <col min="2306" max="2306" width="2.14285714285714" style="324" customWidth="1"/>
    <col min="2307" max="2311" width="2.28571428571429" style="324" customWidth="1"/>
    <col min="2312" max="2312" width="2.71428571428571" style="324" customWidth="1"/>
    <col min="2313" max="2315" width="2.28571428571429" style="324" customWidth="1"/>
    <col min="2316" max="2318" width="1.85714285714286" style="324" customWidth="1"/>
    <col min="2319" max="2319" width="2.14285714285714" style="324" customWidth="1"/>
    <col min="2320" max="2321" width="1.85714285714286" style="324" customWidth="1"/>
    <col min="2322" max="2323" width="2.14285714285714" style="324" customWidth="1"/>
    <col min="2324" max="2324" width="2.28571428571429" style="324" customWidth="1"/>
    <col min="2325" max="2326" width="2" style="324" customWidth="1"/>
    <col min="2327" max="2330" width="2.28571428571429" style="324" customWidth="1"/>
    <col min="2331" max="2331" width="2.14285714285714" style="324" customWidth="1"/>
    <col min="2332" max="2332" width="2.28571428571429" style="324" customWidth="1"/>
    <col min="2333" max="2333" width="2.42857142857143" style="324" customWidth="1"/>
    <col min="2334" max="2334" width="2.28571428571429" style="324" customWidth="1"/>
    <col min="2335" max="2335" width="2.57142857142857" style="324" customWidth="1"/>
    <col min="2336" max="2336" width="2" style="324" customWidth="1"/>
    <col min="2337" max="2338" width="2.14285714285714" style="324" customWidth="1"/>
    <col min="2339" max="2342" width="2.28571428571429" style="324" customWidth="1"/>
    <col min="2343" max="2343" width="2.71428571428571" style="324" customWidth="1"/>
    <col min="2344" max="2344" width="2" style="324" customWidth="1"/>
    <col min="2345" max="2350" width="2.28571428571429" style="324" customWidth="1"/>
    <col min="2351" max="2560" width="9.14285714285714" style="324"/>
    <col min="2561" max="2561" width="3.28571428571429" style="324" customWidth="1"/>
    <col min="2562" max="2562" width="2.14285714285714" style="324" customWidth="1"/>
    <col min="2563" max="2567" width="2.28571428571429" style="324" customWidth="1"/>
    <col min="2568" max="2568" width="2.71428571428571" style="324" customWidth="1"/>
    <col min="2569" max="2571" width="2.28571428571429" style="324" customWidth="1"/>
    <col min="2572" max="2574" width="1.85714285714286" style="324" customWidth="1"/>
    <col min="2575" max="2575" width="2.14285714285714" style="324" customWidth="1"/>
    <col min="2576" max="2577" width="1.85714285714286" style="324" customWidth="1"/>
    <col min="2578" max="2579" width="2.14285714285714" style="324" customWidth="1"/>
    <col min="2580" max="2580" width="2.28571428571429" style="324" customWidth="1"/>
    <col min="2581" max="2582" width="2" style="324" customWidth="1"/>
    <col min="2583" max="2586" width="2.28571428571429" style="324" customWidth="1"/>
    <col min="2587" max="2587" width="2.14285714285714" style="324" customWidth="1"/>
    <col min="2588" max="2588" width="2.28571428571429" style="324" customWidth="1"/>
    <col min="2589" max="2589" width="2.42857142857143" style="324" customWidth="1"/>
    <col min="2590" max="2590" width="2.28571428571429" style="324" customWidth="1"/>
    <col min="2591" max="2591" width="2.57142857142857" style="324" customWidth="1"/>
    <col min="2592" max="2592" width="2" style="324" customWidth="1"/>
    <col min="2593" max="2594" width="2.14285714285714" style="324" customWidth="1"/>
    <col min="2595" max="2598" width="2.28571428571429" style="324" customWidth="1"/>
    <col min="2599" max="2599" width="2.71428571428571" style="324" customWidth="1"/>
    <col min="2600" max="2600" width="2" style="324" customWidth="1"/>
    <col min="2601" max="2606" width="2.28571428571429" style="324" customWidth="1"/>
    <col min="2607" max="2816" width="9.14285714285714" style="324"/>
    <col min="2817" max="2817" width="3.28571428571429" style="324" customWidth="1"/>
    <col min="2818" max="2818" width="2.14285714285714" style="324" customWidth="1"/>
    <col min="2819" max="2823" width="2.28571428571429" style="324" customWidth="1"/>
    <col min="2824" max="2824" width="2.71428571428571" style="324" customWidth="1"/>
    <col min="2825" max="2827" width="2.28571428571429" style="324" customWidth="1"/>
    <col min="2828" max="2830" width="1.85714285714286" style="324" customWidth="1"/>
    <col min="2831" max="2831" width="2.14285714285714" style="324" customWidth="1"/>
    <col min="2832" max="2833" width="1.85714285714286" style="324" customWidth="1"/>
    <col min="2834" max="2835" width="2.14285714285714" style="324" customWidth="1"/>
    <col min="2836" max="2836" width="2.28571428571429" style="324" customWidth="1"/>
    <col min="2837" max="2838" width="2" style="324" customWidth="1"/>
    <col min="2839" max="2842" width="2.28571428571429" style="324" customWidth="1"/>
    <col min="2843" max="2843" width="2.14285714285714" style="324" customWidth="1"/>
    <col min="2844" max="2844" width="2.28571428571429" style="324" customWidth="1"/>
    <col min="2845" max="2845" width="2.42857142857143" style="324" customWidth="1"/>
    <col min="2846" max="2846" width="2.28571428571429" style="324" customWidth="1"/>
    <col min="2847" max="2847" width="2.57142857142857" style="324" customWidth="1"/>
    <col min="2848" max="2848" width="2" style="324" customWidth="1"/>
    <col min="2849" max="2850" width="2.14285714285714" style="324" customWidth="1"/>
    <col min="2851" max="2854" width="2.28571428571429" style="324" customWidth="1"/>
    <col min="2855" max="2855" width="2.71428571428571" style="324" customWidth="1"/>
    <col min="2856" max="2856" width="2" style="324" customWidth="1"/>
    <col min="2857" max="2862" width="2.28571428571429" style="324" customWidth="1"/>
    <col min="2863" max="3072" width="9.14285714285714" style="324"/>
    <col min="3073" max="3073" width="3.28571428571429" style="324" customWidth="1"/>
    <col min="3074" max="3074" width="2.14285714285714" style="324" customWidth="1"/>
    <col min="3075" max="3079" width="2.28571428571429" style="324" customWidth="1"/>
    <col min="3080" max="3080" width="2.71428571428571" style="324" customWidth="1"/>
    <col min="3081" max="3083" width="2.28571428571429" style="324" customWidth="1"/>
    <col min="3084" max="3086" width="1.85714285714286" style="324" customWidth="1"/>
    <col min="3087" max="3087" width="2.14285714285714" style="324" customWidth="1"/>
    <col min="3088" max="3089" width="1.85714285714286" style="324" customWidth="1"/>
    <col min="3090" max="3091" width="2.14285714285714" style="324" customWidth="1"/>
    <col min="3092" max="3092" width="2.28571428571429" style="324" customWidth="1"/>
    <col min="3093" max="3094" width="2" style="324" customWidth="1"/>
    <col min="3095" max="3098" width="2.28571428571429" style="324" customWidth="1"/>
    <col min="3099" max="3099" width="2.14285714285714" style="324" customWidth="1"/>
    <col min="3100" max="3100" width="2.28571428571429" style="324" customWidth="1"/>
    <col min="3101" max="3101" width="2.42857142857143" style="324" customWidth="1"/>
    <col min="3102" max="3102" width="2.28571428571429" style="324" customWidth="1"/>
    <col min="3103" max="3103" width="2.57142857142857" style="324" customWidth="1"/>
    <col min="3104" max="3104" width="2" style="324" customWidth="1"/>
    <col min="3105" max="3106" width="2.14285714285714" style="324" customWidth="1"/>
    <col min="3107" max="3110" width="2.28571428571429" style="324" customWidth="1"/>
    <col min="3111" max="3111" width="2.71428571428571" style="324" customWidth="1"/>
    <col min="3112" max="3112" width="2" style="324" customWidth="1"/>
    <col min="3113" max="3118" width="2.28571428571429" style="324" customWidth="1"/>
    <col min="3119" max="3328" width="9.14285714285714" style="324"/>
    <col min="3329" max="3329" width="3.28571428571429" style="324" customWidth="1"/>
    <col min="3330" max="3330" width="2.14285714285714" style="324" customWidth="1"/>
    <col min="3331" max="3335" width="2.28571428571429" style="324" customWidth="1"/>
    <col min="3336" max="3336" width="2.71428571428571" style="324" customWidth="1"/>
    <col min="3337" max="3339" width="2.28571428571429" style="324" customWidth="1"/>
    <col min="3340" max="3342" width="1.85714285714286" style="324" customWidth="1"/>
    <col min="3343" max="3343" width="2.14285714285714" style="324" customWidth="1"/>
    <col min="3344" max="3345" width="1.85714285714286" style="324" customWidth="1"/>
    <col min="3346" max="3347" width="2.14285714285714" style="324" customWidth="1"/>
    <col min="3348" max="3348" width="2.28571428571429" style="324" customWidth="1"/>
    <col min="3349" max="3350" width="2" style="324" customWidth="1"/>
    <col min="3351" max="3354" width="2.28571428571429" style="324" customWidth="1"/>
    <col min="3355" max="3355" width="2.14285714285714" style="324" customWidth="1"/>
    <col min="3356" max="3356" width="2.28571428571429" style="324" customWidth="1"/>
    <col min="3357" max="3357" width="2.42857142857143" style="324" customWidth="1"/>
    <col min="3358" max="3358" width="2.28571428571429" style="324" customWidth="1"/>
    <col min="3359" max="3359" width="2.57142857142857" style="324" customWidth="1"/>
    <col min="3360" max="3360" width="2" style="324" customWidth="1"/>
    <col min="3361" max="3362" width="2.14285714285714" style="324" customWidth="1"/>
    <col min="3363" max="3366" width="2.28571428571429" style="324" customWidth="1"/>
    <col min="3367" max="3367" width="2.71428571428571" style="324" customWidth="1"/>
    <col min="3368" max="3368" width="2" style="324" customWidth="1"/>
    <col min="3369" max="3374" width="2.28571428571429" style="324" customWidth="1"/>
    <col min="3375" max="3584" width="9.14285714285714" style="324"/>
    <col min="3585" max="3585" width="3.28571428571429" style="324" customWidth="1"/>
    <col min="3586" max="3586" width="2.14285714285714" style="324" customWidth="1"/>
    <col min="3587" max="3591" width="2.28571428571429" style="324" customWidth="1"/>
    <col min="3592" max="3592" width="2.71428571428571" style="324" customWidth="1"/>
    <col min="3593" max="3595" width="2.28571428571429" style="324" customWidth="1"/>
    <col min="3596" max="3598" width="1.85714285714286" style="324" customWidth="1"/>
    <col min="3599" max="3599" width="2.14285714285714" style="324" customWidth="1"/>
    <col min="3600" max="3601" width="1.85714285714286" style="324" customWidth="1"/>
    <col min="3602" max="3603" width="2.14285714285714" style="324" customWidth="1"/>
    <col min="3604" max="3604" width="2.28571428571429" style="324" customWidth="1"/>
    <col min="3605" max="3606" width="2" style="324" customWidth="1"/>
    <col min="3607" max="3610" width="2.28571428571429" style="324" customWidth="1"/>
    <col min="3611" max="3611" width="2.14285714285714" style="324" customWidth="1"/>
    <col min="3612" max="3612" width="2.28571428571429" style="324" customWidth="1"/>
    <col min="3613" max="3613" width="2.42857142857143" style="324" customWidth="1"/>
    <col min="3614" max="3614" width="2.28571428571429" style="324" customWidth="1"/>
    <col min="3615" max="3615" width="2.57142857142857" style="324" customWidth="1"/>
    <col min="3616" max="3616" width="2" style="324" customWidth="1"/>
    <col min="3617" max="3618" width="2.14285714285714" style="324" customWidth="1"/>
    <col min="3619" max="3622" width="2.28571428571429" style="324" customWidth="1"/>
    <col min="3623" max="3623" width="2.71428571428571" style="324" customWidth="1"/>
    <col min="3624" max="3624" width="2" style="324" customWidth="1"/>
    <col min="3625" max="3630" width="2.28571428571429" style="324" customWidth="1"/>
    <col min="3631" max="3840" width="9.14285714285714" style="324"/>
    <col min="3841" max="3841" width="3.28571428571429" style="324" customWidth="1"/>
    <col min="3842" max="3842" width="2.14285714285714" style="324" customWidth="1"/>
    <col min="3843" max="3847" width="2.28571428571429" style="324" customWidth="1"/>
    <col min="3848" max="3848" width="2.71428571428571" style="324" customWidth="1"/>
    <col min="3849" max="3851" width="2.28571428571429" style="324" customWidth="1"/>
    <col min="3852" max="3854" width="1.85714285714286" style="324" customWidth="1"/>
    <col min="3855" max="3855" width="2.14285714285714" style="324" customWidth="1"/>
    <col min="3856" max="3857" width="1.85714285714286" style="324" customWidth="1"/>
    <col min="3858" max="3859" width="2.14285714285714" style="324" customWidth="1"/>
    <col min="3860" max="3860" width="2.28571428571429" style="324" customWidth="1"/>
    <col min="3861" max="3862" width="2" style="324" customWidth="1"/>
    <col min="3863" max="3866" width="2.28571428571429" style="324" customWidth="1"/>
    <col min="3867" max="3867" width="2.14285714285714" style="324" customWidth="1"/>
    <col min="3868" max="3868" width="2.28571428571429" style="324" customWidth="1"/>
    <col min="3869" max="3869" width="2.42857142857143" style="324" customWidth="1"/>
    <col min="3870" max="3870" width="2.28571428571429" style="324" customWidth="1"/>
    <col min="3871" max="3871" width="2.57142857142857" style="324" customWidth="1"/>
    <col min="3872" max="3872" width="2" style="324" customWidth="1"/>
    <col min="3873" max="3874" width="2.14285714285714" style="324" customWidth="1"/>
    <col min="3875" max="3878" width="2.28571428571429" style="324" customWidth="1"/>
    <col min="3879" max="3879" width="2.71428571428571" style="324" customWidth="1"/>
    <col min="3880" max="3880" width="2" style="324" customWidth="1"/>
    <col min="3881" max="3886" width="2.28571428571429" style="324" customWidth="1"/>
    <col min="3887" max="4096" width="9.14285714285714" style="324"/>
    <col min="4097" max="4097" width="3.28571428571429" style="324" customWidth="1"/>
    <col min="4098" max="4098" width="2.14285714285714" style="324" customWidth="1"/>
    <col min="4099" max="4103" width="2.28571428571429" style="324" customWidth="1"/>
    <col min="4104" max="4104" width="2.71428571428571" style="324" customWidth="1"/>
    <col min="4105" max="4107" width="2.28571428571429" style="324" customWidth="1"/>
    <col min="4108" max="4110" width="1.85714285714286" style="324" customWidth="1"/>
    <col min="4111" max="4111" width="2.14285714285714" style="324" customWidth="1"/>
    <col min="4112" max="4113" width="1.85714285714286" style="324" customWidth="1"/>
    <col min="4114" max="4115" width="2.14285714285714" style="324" customWidth="1"/>
    <col min="4116" max="4116" width="2.28571428571429" style="324" customWidth="1"/>
    <col min="4117" max="4118" width="2" style="324" customWidth="1"/>
    <col min="4119" max="4122" width="2.28571428571429" style="324" customWidth="1"/>
    <col min="4123" max="4123" width="2.14285714285714" style="324" customWidth="1"/>
    <col min="4124" max="4124" width="2.28571428571429" style="324" customWidth="1"/>
    <col min="4125" max="4125" width="2.42857142857143" style="324" customWidth="1"/>
    <col min="4126" max="4126" width="2.28571428571429" style="324" customWidth="1"/>
    <col min="4127" max="4127" width="2.57142857142857" style="324" customWidth="1"/>
    <col min="4128" max="4128" width="2" style="324" customWidth="1"/>
    <col min="4129" max="4130" width="2.14285714285714" style="324" customWidth="1"/>
    <col min="4131" max="4134" width="2.28571428571429" style="324" customWidth="1"/>
    <col min="4135" max="4135" width="2.71428571428571" style="324" customWidth="1"/>
    <col min="4136" max="4136" width="2" style="324" customWidth="1"/>
    <col min="4137" max="4142" width="2.28571428571429" style="324" customWidth="1"/>
    <col min="4143" max="4352" width="9.14285714285714" style="324"/>
    <col min="4353" max="4353" width="3.28571428571429" style="324" customWidth="1"/>
    <col min="4354" max="4354" width="2.14285714285714" style="324" customWidth="1"/>
    <col min="4355" max="4359" width="2.28571428571429" style="324" customWidth="1"/>
    <col min="4360" max="4360" width="2.71428571428571" style="324" customWidth="1"/>
    <col min="4361" max="4363" width="2.28571428571429" style="324" customWidth="1"/>
    <col min="4364" max="4366" width="1.85714285714286" style="324" customWidth="1"/>
    <col min="4367" max="4367" width="2.14285714285714" style="324" customWidth="1"/>
    <col min="4368" max="4369" width="1.85714285714286" style="324" customWidth="1"/>
    <col min="4370" max="4371" width="2.14285714285714" style="324" customWidth="1"/>
    <col min="4372" max="4372" width="2.28571428571429" style="324" customWidth="1"/>
    <col min="4373" max="4374" width="2" style="324" customWidth="1"/>
    <col min="4375" max="4378" width="2.28571428571429" style="324" customWidth="1"/>
    <col min="4379" max="4379" width="2.14285714285714" style="324" customWidth="1"/>
    <col min="4380" max="4380" width="2.28571428571429" style="324" customWidth="1"/>
    <col min="4381" max="4381" width="2.42857142857143" style="324" customWidth="1"/>
    <col min="4382" max="4382" width="2.28571428571429" style="324" customWidth="1"/>
    <col min="4383" max="4383" width="2.57142857142857" style="324" customWidth="1"/>
    <col min="4384" max="4384" width="2" style="324" customWidth="1"/>
    <col min="4385" max="4386" width="2.14285714285714" style="324" customWidth="1"/>
    <col min="4387" max="4390" width="2.28571428571429" style="324" customWidth="1"/>
    <col min="4391" max="4391" width="2.71428571428571" style="324" customWidth="1"/>
    <col min="4392" max="4392" width="2" style="324" customWidth="1"/>
    <col min="4393" max="4398" width="2.28571428571429" style="324" customWidth="1"/>
    <col min="4399" max="4608" width="9.14285714285714" style="324"/>
    <col min="4609" max="4609" width="3.28571428571429" style="324" customWidth="1"/>
    <col min="4610" max="4610" width="2.14285714285714" style="324" customWidth="1"/>
    <col min="4611" max="4615" width="2.28571428571429" style="324" customWidth="1"/>
    <col min="4616" max="4616" width="2.71428571428571" style="324" customWidth="1"/>
    <col min="4617" max="4619" width="2.28571428571429" style="324" customWidth="1"/>
    <col min="4620" max="4622" width="1.85714285714286" style="324" customWidth="1"/>
    <col min="4623" max="4623" width="2.14285714285714" style="324" customWidth="1"/>
    <col min="4624" max="4625" width="1.85714285714286" style="324" customWidth="1"/>
    <col min="4626" max="4627" width="2.14285714285714" style="324" customWidth="1"/>
    <col min="4628" max="4628" width="2.28571428571429" style="324" customWidth="1"/>
    <col min="4629" max="4630" width="2" style="324" customWidth="1"/>
    <col min="4631" max="4634" width="2.28571428571429" style="324" customWidth="1"/>
    <col min="4635" max="4635" width="2.14285714285714" style="324" customWidth="1"/>
    <col min="4636" max="4636" width="2.28571428571429" style="324" customWidth="1"/>
    <col min="4637" max="4637" width="2.42857142857143" style="324" customWidth="1"/>
    <col min="4638" max="4638" width="2.28571428571429" style="324" customWidth="1"/>
    <col min="4639" max="4639" width="2.57142857142857" style="324" customWidth="1"/>
    <col min="4640" max="4640" width="2" style="324" customWidth="1"/>
    <col min="4641" max="4642" width="2.14285714285714" style="324" customWidth="1"/>
    <col min="4643" max="4646" width="2.28571428571429" style="324" customWidth="1"/>
    <col min="4647" max="4647" width="2.71428571428571" style="324" customWidth="1"/>
    <col min="4648" max="4648" width="2" style="324" customWidth="1"/>
    <col min="4649" max="4654" width="2.28571428571429" style="324" customWidth="1"/>
    <col min="4655" max="4864" width="9.14285714285714" style="324"/>
    <col min="4865" max="4865" width="3.28571428571429" style="324" customWidth="1"/>
    <col min="4866" max="4866" width="2.14285714285714" style="324" customWidth="1"/>
    <col min="4867" max="4871" width="2.28571428571429" style="324" customWidth="1"/>
    <col min="4872" max="4872" width="2.71428571428571" style="324" customWidth="1"/>
    <col min="4873" max="4875" width="2.28571428571429" style="324" customWidth="1"/>
    <col min="4876" max="4878" width="1.85714285714286" style="324" customWidth="1"/>
    <col min="4879" max="4879" width="2.14285714285714" style="324" customWidth="1"/>
    <col min="4880" max="4881" width="1.85714285714286" style="324" customWidth="1"/>
    <col min="4882" max="4883" width="2.14285714285714" style="324" customWidth="1"/>
    <col min="4884" max="4884" width="2.28571428571429" style="324" customWidth="1"/>
    <col min="4885" max="4886" width="2" style="324" customWidth="1"/>
    <col min="4887" max="4890" width="2.28571428571429" style="324" customWidth="1"/>
    <col min="4891" max="4891" width="2.14285714285714" style="324" customWidth="1"/>
    <col min="4892" max="4892" width="2.28571428571429" style="324" customWidth="1"/>
    <col min="4893" max="4893" width="2.42857142857143" style="324" customWidth="1"/>
    <col min="4894" max="4894" width="2.28571428571429" style="324" customWidth="1"/>
    <col min="4895" max="4895" width="2.57142857142857" style="324" customWidth="1"/>
    <col min="4896" max="4896" width="2" style="324" customWidth="1"/>
    <col min="4897" max="4898" width="2.14285714285714" style="324" customWidth="1"/>
    <col min="4899" max="4902" width="2.28571428571429" style="324" customWidth="1"/>
    <col min="4903" max="4903" width="2.71428571428571" style="324" customWidth="1"/>
    <col min="4904" max="4904" width="2" style="324" customWidth="1"/>
    <col min="4905" max="4910" width="2.28571428571429" style="324" customWidth="1"/>
    <col min="4911" max="5120" width="9.14285714285714" style="324"/>
    <col min="5121" max="5121" width="3.28571428571429" style="324" customWidth="1"/>
    <col min="5122" max="5122" width="2.14285714285714" style="324" customWidth="1"/>
    <col min="5123" max="5127" width="2.28571428571429" style="324" customWidth="1"/>
    <col min="5128" max="5128" width="2.71428571428571" style="324" customWidth="1"/>
    <col min="5129" max="5131" width="2.28571428571429" style="324" customWidth="1"/>
    <col min="5132" max="5134" width="1.85714285714286" style="324" customWidth="1"/>
    <col min="5135" max="5135" width="2.14285714285714" style="324" customWidth="1"/>
    <col min="5136" max="5137" width="1.85714285714286" style="324" customWidth="1"/>
    <col min="5138" max="5139" width="2.14285714285714" style="324" customWidth="1"/>
    <col min="5140" max="5140" width="2.28571428571429" style="324" customWidth="1"/>
    <col min="5141" max="5142" width="2" style="324" customWidth="1"/>
    <col min="5143" max="5146" width="2.28571428571429" style="324" customWidth="1"/>
    <col min="5147" max="5147" width="2.14285714285714" style="324" customWidth="1"/>
    <col min="5148" max="5148" width="2.28571428571429" style="324" customWidth="1"/>
    <col min="5149" max="5149" width="2.42857142857143" style="324" customWidth="1"/>
    <col min="5150" max="5150" width="2.28571428571429" style="324" customWidth="1"/>
    <col min="5151" max="5151" width="2.57142857142857" style="324" customWidth="1"/>
    <col min="5152" max="5152" width="2" style="324" customWidth="1"/>
    <col min="5153" max="5154" width="2.14285714285714" style="324" customWidth="1"/>
    <col min="5155" max="5158" width="2.28571428571429" style="324" customWidth="1"/>
    <col min="5159" max="5159" width="2.71428571428571" style="324" customWidth="1"/>
    <col min="5160" max="5160" width="2" style="324" customWidth="1"/>
    <col min="5161" max="5166" width="2.28571428571429" style="324" customWidth="1"/>
    <col min="5167" max="5376" width="9.14285714285714" style="324"/>
    <col min="5377" max="5377" width="3.28571428571429" style="324" customWidth="1"/>
    <col min="5378" max="5378" width="2.14285714285714" style="324" customWidth="1"/>
    <col min="5379" max="5383" width="2.28571428571429" style="324" customWidth="1"/>
    <col min="5384" max="5384" width="2.71428571428571" style="324" customWidth="1"/>
    <col min="5385" max="5387" width="2.28571428571429" style="324" customWidth="1"/>
    <col min="5388" max="5390" width="1.85714285714286" style="324" customWidth="1"/>
    <col min="5391" max="5391" width="2.14285714285714" style="324" customWidth="1"/>
    <col min="5392" max="5393" width="1.85714285714286" style="324" customWidth="1"/>
    <col min="5394" max="5395" width="2.14285714285714" style="324" customWidth="1"/>
    <col min="5396" max="5396" width="2.28571428571429" style="324" customWidth="1"/>
    <col min="5397" max="5398" width="2" style="324" customWidth="1"/>
    <col min="5399" max="5402" width="2.28571428571429" style="324" customWidth="1"/>
    <col min="5403" max="5403" width="2.14285714285714" style="324" customWidth="1"/>
    <col min="5404" max="5404" width="2.28571428571429" style="324" customWidth="1"/>
    <col min="5405" max="5405" width="2.42857142857143" style="324" customWidth="1"/>
    <col min="5406" max="5406" width="2.28571428571429" style="324" customWidth="1"/>
    <col min="5407" max="5407" width="2.57142857142857" style="324" customWidth="1"/>
    <col min="5408" max="5408" width="2" style="324" customWidth="1"/>
    <col min="5409" max="5410" width="2.14285714285714" style="324" customWidth="1"/>
    <col min="5411" max="5414" width="2.28571428571429" style="324" customWidth="1"/>
    <col min="5415" max="5415" width="2.71428571428571" style="324" customWidth="1"/>
    <col min="5416" max="5416" width="2" style="324" customWidth="1"/>
    <col min="5417" max="5422" width="2.28571428571429" style="324" customWidth="1"/>
    <col min="5423" max="5632" width="9.14285714285714" style="324"/>
    <col min="5633" max="5633" width="3.28571428571429" style="324" customWidth="1"/>
    <col min="5634" max="5634" width="2.14285714285714" style="324" customWidth="1"/>
    <col min="5635" max="5639" width="2.28571428571429" style="324" customWidth="1"/>
    <col min="5640" max="5640" width="2.71428571428571" style="324" customWidth="1"/>
    <col min="5641" max="5643" width="2.28571428571429" style="324" customWidth="1"/>
    <col min="5644" max="5646" width="1.85714285714286" style="324" customWidth="1"/>
    <col min="5647" max="5647" width="2.14285714285714" style="324" customWidth="1"/>
    <col min="5648" max="5649" width="1.85714285714286" style="324" customWidth="1"/>
    <col min="5650" max="5651" width="2.14285714285714" style="324" customWidth="1"/>
    <col min="5652" max="5652" width="2.28571428571429" style="324" customWidth="1"/>
    <col min="5653" max="5654" width="2" style="324" customWidth="1"/>
    <col min="5655" max="5658" width="2.28571428571429" style="324" customWidth="1"/>
    <col min="5659" max="5659" width="2.14285714285714" style="324" customWidth="1"/>
    <col min="5660" max="5660" width="2.28571428571429" style="324" customWidth="1"/>
    <col min="5661" max="5661" width="2.42857142857143" style="324" customWidth="1"/>
    <col min="5662" max="5662" width="2.28571428571429" style="324" customWidth="1"/>
    <col min="5663" max="5663" width="2.57142857142857" style="324" customWidth="1"/>
    <col min="5664" max="5664" width="2" style="324" customWidth="1"/>
    <col min="5665" max="5666" width="2.14285714285714" style="324" customWidth="1"/>
    <col min="5667" max="5670" width="2.28571428571429" style="324" customWidth="1"/>
    <col min="5671" max="5671" width="2.71428571428571" style="324" customWidth="1"/>
    <col min="5672" max="5672" width="2" style="324" customWidth="1"/>
    <col min="5673" max="5678" width="2.28571428571429" style="324" customWidth="1"/>
    <col min="5679" max="5888" width="9.14285714285714" style="324"/>
    <col min="5889" max="5889" width="3.28571428571429" style="324" customWidth="1"/>
    <col min="5890" max="5890" width="2.14285714285714" style="324" customWidth="1"/>
    <col min="5891" max="5895" width="2.28571428571429" style="324" customWidth="1"/>
    <col min="5896" max="5896" width="2.71428571428571" style="324" customWidth="1"/>
    <col min="5897" max="5899" width="2.28571428571429" style="324" customWidth="1"/>
    <col min="5900" max="5902" width="1.85714285714286" style="324" customWidth="1"/>
    <col min="5903" max="5903" width="2.14285714285714" style="324" customWidth="1"/>
    <col min="5904" max="5905" width="1.85714285714286" style="324" customWidth="1"/>
    <col min="5906" max="5907" width="2.14285714285714" style="324" customWidth="1"/>
    <col min="5908" max="5908" width="2.28571428571429" style="324" customWidth="1"/>
    <col min="5909" max="5910" width="2" style="324" customWidth="1"/>
    <col min="5911" max="5914" width="2.28571428571429" style="324" customWidth="1"/>
    <col min="5915" max="5915" width="2.14285714285714" style="324" customWidth="1"/>
    <col min="5916" max="5916" width="2.28571428571429" style="324" customWidth="1"/>
    <col min="5917" max="5917" width="2.42857142857143" style="324" customWidth="1"/>
    <col min="5918" max="5918" width="2.28571428571429" style="324" customWidth="1"/>
    <col min="5919" max="5919" width="2.57142857142857" style="324" customWidth="1"/>
    <col min="5920" max="5920" width="2" style="324" customWidth="1"/>
    <col min="5921" max="5922" width="2.14285714285714" style="324" customWidth="1"/>
    <col min="5923" max="5926" width="2.28571428571429" style="324" customWidth="1"/>
    <col min="5927" max="5927" width="2.71428571428571" style="324" customWidth="1"/>
    <col min="5928" max="5928" width="2" style="324" customWidth="1"/>
    <col min="5929" max="5934" width="2.28571428571429" style="324" customWidth="1"/>
    <col min="5935" max="6144" width="9.14285714285714" style="324"/>
    <col min="6145" max="6145" width="3.28571428571429" style="324" customWidth="1"/>
    <col min="6146" max="6146" width="2.14285714285714" style="324" customWidth="1"/>
    <col min="6147" max="6151" width="2.28571428571429" style="324" customWidth="1"/>
    <col min="6152" max="6152" width="2.71428571428571" style="324" customWidth="1"/>
    <col min="6153" max="6155" width="2.28571428571429" style="324" customWidth="1"/>
    <col min="6156" max="6158" width="1.85714285714286" style="324" customWidth="1"/>
    <col min="6159" max="6159" width="2.14285714285714" style="324" customWidth="1"/>
    <col min="6160" max="6161" width="1.85714285714286" style="324" customWidth="1"/>
    <col min="6162" max="6163" width="2.14285714285714" style="324" customWidth="1"/>
    <col min="6164" max="6164" width="2.28571428571429" style="324" customWidth="1"/>
    <col min="6165" max="6166" width="2" style="324" customWidth="1"/>
    <col min="6167" max="6170" width="2.28571428571429" style="324" customWidth="1"/>
    <col min="6171" max="6171" width="2.14285714285714" style="324" customWidth="1"/>
    <col min="6172" max="6172" width="2.28571428571429" style="324" customWidth="1"/>
    <col min="6173" max="6173" width="2.42857142857143" style="324" customWidth="1"/>
    <col min="6174" max="6174" width="2.28571428571429" style="324" customWidth="1"/>
    <col min="6175" max="6175" width="2.57142857142857" style="324" customWidth="1"/>
    <col min="6176" max="6176" width="2" style="324" customWidth="1"/>
    <col min="6177" max="6178" width="2.14285714285714" style="324" customWidth="1"/>
    <col min="6179" max="6182" width="2.28571428571429" style="324" customWidth="1"/>
    <col min="6183" max="6183" width="2.71428571428571" style="324" customWidth="1"/>
    <col min="6184" max="6184" width="2" style="324" customWidth="1"/>
    <col min="6185" max="6190" width="2.28571428571429" style="324" customWidth="1"/>
    <col min="6191" max="6400" width="9.14285714285714" style="324"/>
    <col min="6401" max="6401" width="3.28571428571429" style="324" customWidth="1"/>
    <col min="6402" max="6402" width="2.14285714285714" style="324" customWidth="1"/>
    <col min="6403" max="6407" width="2.28571428571429" style="324" customWidth="1"/>
    <col min="6408" max="6408" width="2.71428571428571" style="324" customWidth="1"/>
    <col min="6409" max="6411" width="2.28571428571429" style="324" customWidth="1"/>
    <col min="6412" max="6414" width="1.85714285714286" style="324" customWidth="1"/>
    <col min="6415" max="6415" width="2.14285714285714" style="324" customWidth="1"/>
    <col min="6416" max="6417" width="1.85714285714286" style="324" customWidth="1"/>
    <col min="6418" max="6419" width="2.14285714285714" style="324" customWidth="1"/>
    <col min="6420" max="6420" width="2.28571428571429" style="324" customWidth="1"/>
    <col min="6421" max="6422" width="2" style="324" customWidth="1"/>
    <col min="6423" max="6426" width="2.28571428571429" style="324" customWidth="1"/>
    <col min="6427" max="6427" width="2.14285714285714" style="324" customWidth="1"/>
    <col min="6428" max="6428" width="2.28571428571429" style="324" customWidth="1"/>
    <col min="6429" max="6429" width="2.42857142857143" style="324" customWidth="1"/>
    <col min="6430" max="6430" width="2.28571428571429" style="324" customWidth="1"/>
    <col min="6431" max="6431" width="2.57142857142857" style="324" customWidth="1"/>
    <col min="6432" max="6432" width="2" style="324" customWidth="1"/>
    <col min="6433" max="6434" width="2.14285714285714" style="324" customWidth="1"/>
    <col min="6435" max="6438" width="2.28571428571429" style="324" customWidth="1"/>
    <col min="6439" max="6439" width="2.71428571428571" style="324" customWidth="1"/>
    <col min="6440" max="6440" width="2" style="324" customWidth="1"/>
    <col min="6441" max="6446" width="2.28571428571429" style="324" customWidth="1"/>
    <col min="6447" max="6656" width="9.14285714285714" style="324"/>
    <col min="6657" max="6657" width="3.28571428571429" style="324" customWidth="1"/>
    <col min="6658" max="6658" width="2.14285714285714" style="324" customWidth="1"/>
    <col min="6659" max="6663" width="2.28571428571429" style="324" customWidth="1"/>
    <col min="6664" max="6664" width="2.71428571428571" style="324" customWidth="1"/>
    <col min="6665" max="6667" width="2.28571428571429" style="324" customWidth="1"/>
    <col min="6668" max="6670" width="1.85714285714286" style="324" customWidth="1"/>
    <col min="6671" max="6671" width="2.14285714285714" style="324" customWidth="1"/>
    <col min="6672" max="6673" width="1.85714285714286" style="324" customWidth="1"/>
    <col min="6674" max="6675" width="2.14285714285714" style="324" customWidth="1"/>
    <col min="6676" max="6676" width="2.28571428571429" style="324" customWidth="1"/>
    <col min="6677" max="6678" width="2" style="324" customWidth="1"/>
    <col min="6679" max="6682" width="2.28571428571429" style="324" customWidth="1"/>
    <col min="6683" max="6683" width="2.14285714285714" style="324" customWidth="1"/>
    <col min="6684" max="6684" width="2.28571428571429" style="324" customWidth="1"/>
    <col min="6685" max="6685" width="2.42857142857143" style="324" customWidth="1"/>
    <col min="6686" max="6686" width="2.28571428571429" style="324" customWidth="1"/>
    <col min="6687" max="6687" width="2.57142857142857" style="324" customWidth="1"/>
    <col min="6688" max="6688" width="2" style="324" customWidth="1"/>
    <col min="6689" max="6690" width="2.14285714285714" style="324" customWidth="1"/>
    <col min="6691" max="6694" width="2.28571428571429" style="324" customWidth="1"/>
    <col min="6695" max="6695" width="2.71428571428571" style="324" customWidth="1"/>
    <col min="6696" max="6696" width="2" style="324" customWidth="1"/>
    <col min="6697" max="6702" width="2.28571428571429" style="324" customWidth="1"/>
    <col min="6703" max="6912" width="9.14285714285714" style="324"/>
    <col min="6913" max="6913" width="3.28571428571429" style="324" customWidth="1"/>
    <col min="6914" max="6914" width="2.14285714285714" style="324" customWidth="1"/>
    <col min="6915" max="6919" width="2.28571428571429" style="324" customWidth="1"/>
    <col min="6920" max="6920" width="2.71428571428571" style="324" customWidth="1"/>
    <col min="6921" max="6923" width="2.28571428571429" style="324" customWidth="1"/>
    <col min="6924" max="6926" width="1.85714285714286" style="324" customWidth="1"/>
    <col min="6927" max="6927" width="2.14285714285714" style="324" customWidth="1"/>
    <col min="6928" max="6929" width="1.85714285714286" style="324" customWidth="1"/>
    <col min="6930" max="6931" width="2.14285714285714" style="324" customWidth="1"/>
    <col min="6932" max="6932" width="2.28571428571429" style="324" customWidth="1"/>
    <col min="6933" max="6934" width="2" style="324" customWidth="1"/>
    <col min="6935" max="6938" width="2.28571428571429" style="324" customWidth="1"/>
    <col min="6939" max="6939" width="2.14285714285714" style="324" customWidth="1"/>
    <col min="6940" max="6940" width="2.28571428571429" style="324" customWidth="1"/>
    <col min="6941" max="6941" width="2.42857142857143" style="324" customWidth="1"/>
    <col min="6942" max="6942" width="2.28571428571429" style="324" customWidth="1"/>
    <col min="6943" max="6943" width="2.57142857142857" style="324" customWidth="1"/>
    <col min="6944" max="6944" width="2" style="324" customWidth="1"/>
    <col min="6945" max="6946" width="2.14285714285714" style="324" customWidth="1"/>
    <col min="6947" max="6950" width="2.28571428571429" style="324" customWidth="1"/>
    <col min="6951" max="6951" width="2.71428571428571" style="324" customWidth="1"/>
    <col min="6952" max="6952" width="2" style="324" customWidth="1"/>
    <col min="6953" max="6958" width="2.28571428571429" style="324" customWidth="1"/>
    <col min="6959" max="7168" width="9.14285714285714" style="324"/>
    <col min="7169" max="7169" width="3.28571428571429" style="324" customWidth="1"/>
    <col min="7170" max="7170" width="2.14285714285714" style="324" customWidth="1"/>
    <col min="7171" max="7175" width="2.28571428571429" style="324" customWidth="1"/>
    <col min="7176" max="7176" width="2.71428571428571" style="324" customWidth="1"/>
    <col min="7177" max="7179" width="2.28571428571429" style="324" customWidth="1"/>
    <col min="7180" max="7182" width="1.85714285714286" style="324" customWidth="1"/>
    <col min="7183" max="7183" width="2.14285714285714" style="324" customWidth="1"/>
    <col min="7184" max="7185" width="1.85714285714286" style="324" customWidth="1"/>
    <col min="7186" max="7187" width="2.14285714285714" style="324" customWidth="1"/>
    <col min="7188" max="7188" width="2.28571428571429" style="324" customWidth="1"/>
    <col min="7189" max="7190" width="2" style="324" customWidth="1"/>
    <col min="7191" max="7194" width="2.28571428571429" style="324" customWidth="1"/>
    <col min="7195" max="7195" width="2.14285714285714" style="324" customWidth="1"/>
    <col min="7196" max="7196" width="2.28571428571429" style="324" customWidth="1"/>
    <col min="7197" max="7197" width="2.42857142857143" style="324" customWidth="1"/>
    <col min="7198" max="7198" width="2.28571428571429" style="324" customWidth="1"/>
    <col min="7199" max="7199" width="2.57142857142857" style="324" customWidth="1"/>
    <col min="7200" max="7200" width="2" style="324" customWidth="1"/>
    <col min="7201" max="7202" width="2.14285714285714" style="324" customWidth="1"/>
    <col min="7203" max="7206" width="2.28571428571429" style="324" customWidth="1"/>
    <col min="7207" max="7207" width="2.71428571428571" style="324" customWidth="1"/>
    <col min="7208" max="7208" width="2" style="324" customWidth="1"/>
    <col min="7209" max="7214" width="2.28571428571429" style="324" customWidth="1"/>
    <col min="7215" max="7424" width="9.14285714285714" style="324"/>
    <col min="7425" max="7425" width="3.28571428571429" style="324" customWidth="1"/>
    <col min="7426" max="7426" width="2.14285714285714" style="324" customWidth="1"/>
    <col min="7427" max="7431" width="2.28571428571429" style="324" customWidth="1"/>
    <col min="7432" max="7432" width="2.71428571428571" style="324" customWidth="1"/>
    <col min="7433" max="7435" width="2.28571428571429" style="324" customWidth="1"/>
    <col min="7436" max="7438" width="1.85714285714286" style="324" customWidth="1"/>
    <col min="7439" max="7439" width="2.14285714285714" style="324" customWidth="1"/>
    <col min="7440" max="7441" width="1.85714285714286" style="324" customWidth="1"/>
    <col min="7442" max="7443" width="2.14285714285714" style="324" customWidth="1"/>
    <col min="7444" max="7444" width="2.28571428571429" style="324" customWidth="1"/>
    <col min="7445" max="7446" width="2" style="324" customWidth="1"/>
    <col min="7447" max="7450" width="2.28571428571429" style="324" customWidth="1"/>
    <col min="7451" max="7451" width="2.14285714285714" style="324" customWidth="1"/>
    <col min="7452" max="7452" width="2.28571428571429" style="324" customWidth="1"/>
    <col min="7453" max="7453" width="2.42857142857143" style="324" customWidth="1"/>
    <col min="7454" max="7454" width="2.28571428571429" style="324" customWidth="1"/>
    <col min="7455" max="7455" width="2.57142857142857" style="324" customWidth="1"/>
    <col min="7456" max="7456" width="2" style="324" customWidth="1"/>
    <col min="7457" max="7458" width="2.14285714285714" style="324" customWidth="1"/>
    <col min="7459" max="7462" width="2.28571428571429" style="324" customWidth="1"/>
    <col min="7463" max="7463" width="2.71428571428571" style="324" customWidth="1"/>
    <col min="7464" max="7464" width="2" style="324" customWidth="1"/>
    <col min="7465" max="7470" width="2.28571428571429" style="324" customWidth="1"/>
    <col min="7471" max="7680" width="9.14285714285714" style="324"/>
    <col min="7681" max="7681" width="3.28571428571429" style="324" customWidth="1"/>
    <col min="7682" max="7682" width="2.14285714285714" style="324" customWidth="1"/>
    <col min="7683" max="7687" width="2.28571428571429" style="324" customWidth="1"/>
    <col min="7688" max="7688" width="2.71428571428571" style="324" customWidth="1"/>
    <col min="7689" max="7691" width="2.28571428571429" style="324" customWidth="1"/>
    <col min="7692" max="7694" width="1.85714285714286" style="324" customWidth="1"/>
    <col min="7695" max="7695" width="2.14285714285714" style="324" customWidth="1"/>
    <col min="7696" max="7697" width="1.85714285714286" style="324" customWidth="1"/>
    <col min="7698" max="7699" width="2.14285714285714" style="324" customWidth="1"/>
    <col min="7700" max="7700" width="2.28571428571429" style="324" customWidth="1"/>
    <col min="7701" max="7702" width="2" style="324" customWidth="1"/>
    <col min="7703" max="7706" width="2.28571428571429" style="324" customWidth="1"/>
    <col min="7707" max="7707" width="2.14285714285714" style="324" customWidth="1"/>
    <col min="7708" max="7708" width="2.28571428571429" style="324" customWidth="1"/>
    <col min="7709" max="7709" width="2.42857142857143" style="324" customWidth="1"/>
    <col min="7710" max="7710" width="2.28571428571429" style="324" customWidth="1"/>
    <col min="7711" max="7711" width="2.57142857142857" style="324" customWidth="1"/>
    <col min="7712" max="7712" width="2" style="324" customWidth="1"/>
    <col min="7713" max="7714" width="2.14285714285714" style="324" customWidth="1"/>
    <col min="7715" max="7718" width="2.28571428571429" style="324" customWidth="1"/>
    <col min="7719" max="7719" width="2.71428571428571" style="324" customWidth="1"/>
    <col min="7720" max="7720" width="2" style="324" customWidth="1"/>
    <col min="7721" max="7726" width="2.28571428571429" style="324" customWidth="1"/>
    <col min="7727" max="7936" width="9.14285714285714" style="324"/>
    <col min="7937" max="7937" width="3.28571428571429" style="324" customWidth="1"/>
    <col min="7938" max="7938" width="2.14285714285714" style="324" customWidth="1"/>
    <col min="7939" max="7943" width="2.28571428571429" style="324" customWidth="1"/>
    <col min="7944" max="7944" width="2.71428571428571" style="324" customWidth="1"/>
    <col min="7945" max="7947" width="2.28571428571429" style="324" customWidth="1"/>
    <col min="7948" max="7950" width="1.85714285714286" style="324" customWidth="1"/>
    <col min="7951" max="7951" width="2.14285714285714" style="324" customWidth="1"/>
    <col min="7952" max="7953" width="1.85714285714286" style="324" customWidth="1"/>
    <col min="7954" max="7955" width="2.14285714285714" style="324" customWidth="1"/>
    <col min="7956" max="7956" width="2.28571428571429" style="324" customWidth="1"/>
    <col min="7957" max="7958" width="2" style="324" customWidth="1"/>
    <col min="7959" max="7962" width="2.28571428571429" style="324" customWidth="1"/>
    <col min="7963" max="7963" width="2.14285714285714" style="324" customWidth="1"/>
    <col min="7964" max="7964" width="2.28571428571429" style="324" customWidth="1"/>
    <col min="7965" max="7965" width="2.42857142857143" style="324" customWidth="1"/>
    <col min="7966" max="7966" width="2.28571428571429" style="324" customWidth="1"/>
    <col min="7967" max="7967" width="2.57142857142857" style="324" customWidth="1"/>
    <col min="7968" max="7968" width="2" style="324" customWidth="1"/>
    <col min="7969" max="7970" width="2.14285714285714" style="324" customWidth="1"/>
    <col min="7971" max="7974" width="2.28571428571429" style="324" customWidth="1"/>
    <col min="7975" max="7975" width="2.71428571428571" style="324" customWidth="1"/>
    <col min="7976" max="7976" width="2" style="324" customWidth="1"/>
    <col min="7977" max="7982" width="2.28571428571429" style="324" customWidth="1"/>
    <col min="7983" max="8192" width="9.14285714285714" style="324"/>
    <col min="8193" max="8193" width="3.28571428571429" style="324" customWidth="1"/>
    <col min="8194" max="8194" width="2.14285714285714" style="324" customWidth="1"/>
    <col min="8195" max="8199" width="2.28571428571429" style="324" customWidth="1"/>
    <col min="8200" max="8200" width="2.71428571428571" style="324" customWidth="1"/>
    <col min="8201" max="8203" width="2.28571428571429" style="324" customWidth="1"/>
    <col min="8204" max="8206" width="1.85714285714286" style="324" customWidth="1"/>
    <col min="8207" max="8207" width="2.14285714285714" style="324" customWidth="1"/>
    <col min="8208" max="8209" width="1.85714285714286" style="324" customWidth="1"/>
    <col min="8210" max="8211" width="2.14285714285714" style="324" customWidth="1"/>
    <col min="8212" max="8212" width="2.28571428571429" style="324" customWidth="1"/>
    <col min="8213" max="8214" width="2" style="324" customWidth="1"/>
    <col min="8215" max="8218" width="2.28571428571429" style="324" customWidth="1"/>
    <col min="8219" max="8219" width="2.14285714285714" style="324" customWidth="1"/>
    <col min="8220" max="8220" width="2.28571428571429" style="324" customWidth="1"/>
    <col min="8221" max="8221" width="2.42857142857143" style="324" customWidth="1"/>
    <col min="8222" max="8222" width="2.28571428571429" style="324" customWidth="1"/>
    <col min="8223" max="8223" width="2.57142857142857" style="324" customWidth="1"/>
    <col min="8224" max="8224" width="2" style="324" customWidth="1"/>
    <col min="8225" max="8226" width="2.14285714285714" style="324" customWidth="1"/>
    <col min="8227" max="8230" width="2.28571428571429" style="324" customWidth="1"/>
    <col min="8231" max="8231" width="2.71428571428571" style="324" customWidth="1"/>
    <col min="8232" max="8232" width="2" style="324" customWidth="1"/>
    <col min="8233" max="8238" width="2.28571428571429" style="324" customWidth="1"/>
    <col min="8239" max="8448" width="9.14285714285714" style="324"/>
    <col min="8449" max="8449" width="3.28571428571429" style="324" customWidth="1"/>
    <col min="8450" max="8450" width="2.14285714285714" style="324" customWidth="1"/>
    <col min="8451" max="8455" width="2.28571428571429" style="324" customWidth="1"/>
    <col min="8456" max="8456" width="2.71428571428571" style="324" customWidth="1"/>
    <col min="8457" max="8459" width="2.28571428571429" style="324" customWidth="1"/>
    <col min="8460" max="8462" width="1.85714285714286" style="324" customWidth="1"/>
    <col min="8463" max="8463" width="2.14285714285714" style="324" customWidth="1"/>
    <col min="8464" max="8465" width="1.85714285714286" style="324" customWidth="1"/>
    <col min="8466" max="8467" width="2.14285714285714" style="324" customWidth="1"/>
    <col min="8468" max="8468" width="2.28571428571429" style="324" customWidth="1"/>
    <col min="8469" max="8470" width="2" style="324" customWidth="1"/>
    <col min="8471" max="8474" width="2.28571428571429" style="324" customWidth="1"/>
    <col min="8475" max="8475" width="2.14285714285714" style="324" customWidth="1"/>
    <col min="8476" max="8476" width="2.28571428571429" style="324" customWidth="1"/>
    <col min="8477" max="8477" width="2.42857142857143" style="324" customWidth="1"/>
    <col min="8478" max="8478" width="2.28571428571429" style="324" customWidth="1"/>
    <col min="8479" max="8479" width="2.57142857142857" style="324" customWidth="1"/>
    <col min="8480" max="8480" width="2" style="324" customWidth="1"/>
    <col min="8481" max="8482" width="2.14285714285714" style="324" customWidth="1"/>
    <col min="8483" max="8486" width="2.28571428571429" style="324" customWidth="1"/>
    <col min="8487" max="8487" width="2.71428571428571" style="324" customWidth="1"/>
    <col min="8488" max="8488" width="2" style="324" customWidth="1"/>
    <col min="8489" max="8494" width="2.28571428571429" style="324" customWidth="1"/>
    <col min="8495" max="8704" width="9.14285714285714" style="324"/>
    <col min="8705" max="8705" width="3.28571428571429" style="324" customWidth="1"/>
    <col min="8706" max="8706" width="2.14285714285714" style="324" customWidth="1"/>
    <col min="8707" max="8711" width="2.28571428571429" style="324" customWidth="1"/>
    <col min="8712" max="8712" width="2.71428571428571" style="324" customWidth="1"/>
    <col min="8713" max="8715" width="2.28571428571429" style="324" customWidth="1"/>
    <col min="8716" max="8718" width="1.85714285714286" style="324" customWidth="1"/>
    <col min="8719" max="8719" width="2.14285714285714" style="324" customWidth="1"/>
    <col min="8720" max="8721" width="1.85714285714286" style="324" customWidth="1"/>
    <col min="8722" max="8723" width="2.14285714285714" style="324" customWidth="1"/>
    <col min="8724" max="8724" width="2.28571428571429" style="324" customWidth="1"/>
    <col min="8725" max="8726" width="2" style="324" customWidth="1"/>
    <col min="8727" max="8730" width="2.28571428571429" style="324" customWidth="1"/>
    <col min="8731" max="8731" width="2.14285714285714" style="324" customWidth="1"/>
    <col min="8732" max="8732" width="2.28571428571429" style="324" customWidth="1"/>
    <col min="8733" max="8733" width="2.42857142857143" style="324" customWidth="1"/>
    <col min="8734" max="8734" width="2.28571428571429" style="324" customWidth="1"/>
    <col min="8735" max="8735" width="2.57142857142857" style="324" customWidth="1"/>
    <col min="8736" max="8736" width="2" style="324" customWidth="1"/>
    <col min="8737" max="8738" width="2.14285714285714" style="324" customWidth="1"/>
    <col min="8739" max="8742" width="2.28571428571429" style="324" customWidth="1"/>
    <col min="8743" max="8743" width="2.71428571428571" style="324" customWidth="1"/>
    <col min="8744" max="8744" width="2" style="324" customWidth="1"/>
    <col min="8745" max="8750" width="2.28571428571429" style="324" customWidth="1"/>
    <col min="8751" max="8960" width="9.14285714285714" style="324"/>
    <col min="8961" max="8961" width="3.28571428571429" style="324" customWidth="1"/>
    <col min="8962" max="8962" width="2.14285714285714" style="324" customWidth="1"/>
    <col min="8963" max="8967" width="2.28571428571429" style="324" customWidth="1"/>
    <col min="8968" max="8968" width="2.71428571428571" style="324" customWidth="1"/>
    <col min="8969" max="8971" width="2.28571428571429" style="324" customWidth="1"/>
    <col min="8972" max="8974" width="1.85714285714286" style="324" customWidth="1"/>
    <col min="8975" max="8975" width="2.14285714285714" style="324" customWidth="1"/>
    <col min="8976" max="8977" width="1.85714285714286" style="324" customWidth="1"/>
    <col min="8978" max="8979" width="2.14285714285714" style="324" customWidth="1"/>
    <col min="8980" max="8980" width="2.28571428571429" style="324" customWidth="1"/>
    <col min="8981" max="8982" width="2" style="324" customWidth="1"/>
    <col min="8983" max="8986" width="2.28571428571429" style="324" customWidth="1"/>
    <col min="8987" max="8987" width="2.14285714285714" style="324" customWidth="1"/>
    <col min="8988" max="8988" width="2.28571428571429" style="324" customWidth="1"/>
    <col min="8989" max="8989" width="2.42857142857143" style="324" customWidth="1"/>
    <col min="8990" max="8990" width="2.28571428571429" style="324" customWidth="1"/>
    <col min="8991" max="8991" width="2.57142857142857" style="324" customWidth="1"/>
    <col min="8992" max="8992" width="2" style="324" customWidth="1"/>
    <col min="8993" max="8994" width="2.14285714285714" style="324" customWidth="1"/>
    <col min="8995" max="8998" width="2.28571428571429" style="324" customWidth="1"/>
    <col min="8999" max="8999" width="2.71428571428571" style="324" customWidth="1"/>
    <col min="9000" max="9000" width="2" style="324" customWidth="1"/>
    <col min="9001" max="9006" width="2.28571428571429" style="324" customWidth="1"/>
    <col min="9007" max="9216" width="9.14285714285714" style="324"/>
    <col min="9217" max="9217" width="3.28571428571429" style="324" customWidth="1"/>
    <col min="9218" max="9218" width="2.14285714285714" style="324" customWidth="1"/>
    <col min="9219" max="9223" width="2.28571428571429" style="324" customWidth="1"/>
    <col min="9224" max="9224" width="2.71428571428571" style="324" customWidth="1"/>
    <col min="9225" max="9227" width="2.28571428571429" style="324" customWidth="1"/>
    <col min="9228" max="9230" width="1.85714285714286" style="324" customWidth="1"/>
    <col min="9231" max="9231" width="2.14285714285714" style="324" customWidth="1"/>
    <col min="9232" max="9233" width="1.85714285714286" style="324" customWidth="1"/>
    <col min="9234" max="9235" width="2.14285714285714" style="324" customWidth="1"/>
    <col min="9236" max="9236" width="2.28571428571429" style="324" customWidth="1"/>
    <col min="9237" max="9238" width="2" style="324" customWidth="1"/>
    <col min="9239" max="9242" width="2.28571428571429" style="324" customWidth="1"/>
    <col min="9243" max="9243" width="2.14285714285714" style="324" customWidth="1"/>
    <col min="9244" max="9244" width="2.28571428571429" style="324" customWidth="1"/>
    <col min="9245" max="9245" width="2.42857142857143" style="324" customWidth="1"/>
    <col min="9246" max="9246" width="2.28571428571429" style="324" customWidth="1"/>
    <col min="9247" max="9247" width="2.57142857142857" style="324" customWidth="1"/>
    <col min="9248" max="9248" width="2" style="324" customWidth="1"/>
    <col min="9249" max="9250" width="2.14285714285714" style="324" customWidth="1"/>
    <col min="9251" max="9254" width="2.28571428571429" style="324" customWidth="1"/>
    <col min="9255" max="9255" width="2.71428571428571" style="324" customWidth="1"/>
    <col min="9256" max="9256" width="2" style="324" customWidth="1"/>
    <col min="9257" max="9262" width="2.28571428571429" style="324" customWidth="1"/>
    <col min="9263" max="9472" width="9.14285714285714" style="324"/>
    <col min="9473" max="9473" width="3.28571428571429" style="324" customWidth="1"/>
    <col min="9474" max="9474" width="2.14285714285714" style="324" customWidth="1"/>
    <col min="9475" max="9479" width="2.28571428571429" style="324" customWidth="1"/>
    <col min="9480" max="9480" width="2.71428571428571" style="324" customWidth="1"/>
    <col min="9481" max="9483" width="2.28571428571429" style="324" customWidth="1"/>
    <col min="9484" max="9486" width="1.85714285714286" style="324" customWidth="1"/>
    <col min="9487" max="9487" width="2.14285714285714" style="324" customWidth="1"/>
    <col min="9488" max="9489" width="1.85714285714286" style="324" customWidth="1"/>
    <col min="9490" max="9491" width="2.14285714285714" style="324" customWidth="1"/>
    <col min="9492" max="9492" width="2.28571428571429" style="324" customWidth="1"/>
    <col min="9493" max="9494" width="2" style="324" customWidth="1"/>
    <col min="9495" max="9498" width="2.28571428571429" style="324" customWidth="1"/>
    <col min="9499" max="9499" width="2.14285714285714" style="324" customWidth="1"/>
    <col min="9500" max="9500" width="2.28571428571429" style="324" customWidth="1"/>
    <col min="9501" max="9501" width="2.42857142857143" style="324" customWidth="1"/>
    <col min="9502" max="9502" width="2.28571428571429" style="324" customWidth="1"/>
    <col min="9503" max="9503" width="2.57142857142857" style="324" customWidth="1"/>
    <col min="9504" max="9504" width="2" style="324" customWidth="1"/>
    <col min="9505" max="9506" width="2.14285714285714" style="324" customWidth="1"/>
    <col min="9507" max="9510" width="2.28571428571429" style="324" customWidth="1"/>
    <col min="9511" max="9511" width="2.71428571428571" style="324" customWidth="1"/>
    <col min="9512" max="9512" width="2" style="324" customWidth="1"/>
    <col min="9513" max="9518" width="2.28571428571429" style="324" customWidth="1"/>
    <col min="9519" max="9728" width="9.14285714285714" style="324"/>
    <col min="9729" max="9729" width="3.28571428571429" style="324" customWidth="1"/>
    <col min="9730" max="9730" width="2.14285714285714" style="324" customWidth="1"/>
    <col min="9731" max="9735" width="2.28571428571429" style="324" customWidth="1"/>
    <col min="9736" max="9736" width="2.71428571428571" style="324" customWidth="1"/>
    <col min="9737" max="9739" width="2.28571428571429" style="324" customWidth="1"/>
    <col min="9740" max="9742" width="1.85714285714286" style="324" customWidth="1"/>
    <col min="9743" max="9743" width="2.14285714285714" style="324" customWidth="1"/>
    <col min="9744" max="9745" width="1.85714285714286" style="324" customWidth="1"/>
    <col min="9746" max="9747" width="2.14285714285714" style="324" customWidth="1"/>
    <col min="9748" max="9748" width="2.28571428571429" style="324" customWidth="1"/>
    <col min="9749" max="9750" width="2" style="324" customWidth="1"/>
    <col min="9751" max="9754" width="2.28571428571429" style="324" customWidth="1"/>
    <col min="9755" max="9755" width="2.14285714285714" style="324" customWidth="1"/>
    <col min="9756" max="9756" width="2.28571428571429" style="324" customWidth="1"/>
    <col min="9757" max="9757" width="2.42857142857143" style="324" customWidth="1"/>
    <col min="9758" max="9758" width="2.28571428571429" style="324" customWidth="1"/>
    <col min="9759" max="9759" width="2.57142857142857" style="324" customWidth="1"/>
    <col min="9760" max="9760" width="2" style="324" customWidth="1"/>
    <col min="9761" max="9762" width="2.14285714285714" style="324" customWidth="1"/>
    <col min="9763" max="9766" width="2.28571428571429" style="324" customWidth="1"/>
    <col min="9767" max="9767" width="2.71428571428571" style="324" customWidth="1"/>
    <col min="9768" max="9768" width="2" style="324" customWidth="1"/>
    <col min="9769" max="9774" width="2.28571428571429" style="324" customWidth="1"/>
    <col min="9775" max="9984" width="9.14285714285714" style="324"/>
    <col min="9985" max="9985" width="3.28571428571429" style="324" customWidth="1"/>
    <col min="9986" max="9986" width="2.14285714285714" style="324" customWidth="1"/>
    <col min="9987" max="9991" width="2.28571428571429" style="324" customWidth="1"/>
    <col min="9992" max="9992" width="2.71428571428571" style="324" customWidth="1"/>
    <col min="9993" max="9995" width="2.28571428571429" style="324" customWidth="1"/>
    <col min="9996" max="9998" width="1.85714285714286" style="324" customWidth="1"/>
    <col min="9999" max="9999" width="2.14285714285714" style="324" customWidth="1"/>
    <col min="10000" max="10001" width="1.85714285714286" style="324" customWidth="1"/>
    <col min="10002" max="10003" width="2.14285714285714" style="324" customWidth="1"/>
    <col min="10004" max="10004" width="2.28571428571429" style="324" customWidth="1"/>
    <col min="10005" max="10006" width="2" style="324" customWidth="1"/>
    <col min="10007" max="10010" width="2.28571428571429" style="324" customWidth="1"/>
    <col min="10011" max="10011" width="2.14285714285714" style="324" customWidth="1"/>
    <col min="10012" max="10012" width="2.28571428571429" style="324" customWidth="1"/>
    <col min="10013" max="10013" width="2.42857142857143" style="324" customWidth="1"/>
    <col min="10014" max="10014" width="2.28571428571429" style="324" customWidth="1"/>
    <col min="10015" max="10015" width="2.57142857142857" style="324" customWidth="1"/>
    <col min="10016" max="10016" width="2" style="324" customWidth="1"/>
    <col min="10017" max="10018" width="2.14285714285714" style="324" customWidth="1"/>
    <col min="10019" max="10022" width="2.28571428571429" style="324" customWidth="1"/>
    <col min="10023" max="10023" width="2.71428571428571" style="324" customWidth="1"/>
    <col min="10024" max="10024" width="2" style="324" customWidth="1"/>
    <col min="10025" max="10030" width="2.28571428571429" style="324" customWidth="1"/>
    <col min="10031" max="10240" width="9.14285714285714" style="324"/>
    <col min="10241" max="10241" width="3.28571428571429" style="324" customWidth="1"/>
    <col min="10242" max="10242" width="2.14285714285714" style="324" customWidth="1"/>
    <col min="10243" max="10247" width="2.28571428571429" style="324" customWidth="1"/>
    <col min="10248" max="10248" width="2.71428571428571" style="324" customWidth="1"/>
    <col min="10249" max="10251" width="2.28571428571429" style="324" customWidth="1"/>
    <col min="10252" max="10254" width="1.85714285714286" style="324" customWidth="1"/>
    <col min="10255" max="10255" width="2.14285714285714" style="324" customWidth="1"/>
    <col min="10256" max="10257" width="1.85714285714286" style="324" customWidth="1"/>
    <col min="10258" max="10259" width="2.14285714285714" style="324" customWidth="1"/>
    <col min="10260" max="10260" width="2.28571428571429" style="324" customWidth="1"/>
    <col min="10261" max="10262" width="2" style="324" customWidth="1"/>
    <col min="10263" max="10266" width="2.28571428571429" style="324" customWidth="1"/>
    <col min="10267" max="10267" width="2.14285714285714" style="324" customWidth="1"/>
    <col min="10268" max="10268" width="2.28571428571429" style="324" customWidth="1"/>
    <col min="10269" max="10269" width="2.42857142857143" style="324" customWidth="1"/>
    <col min="10270" max="10270" width="2.28571428571429" style="324" customWidth="1"/>
    <col min="10271" max="10271" width="2.57142857142857" style="324" customWidth="1"/>
    <col min="10272" max="10272" width="2" style="324" customWidth="1"/>
    <col min="10273" max="10274" width="2.14285714285714" style="324" customWidth="1"/>
    <col min="10275" max="10278" width="2.28571428571429" style="324" customWidth="1"/>
    <col min="10279" max="10279" width="2.71428571428571" style="324" customWidth="1"/>
    <col min="10280" max="10280" width="2" style="324" customWidth="1"/>
    <col min="10281" max="10286" width="2.28571428571429" style="324" customWidth="1"/>
    <col min="10287" max="10496" width="9.14285714285714" style="324"/>
    <col min="10497" max="10497" width="3.28571428571429" style="324" customWidth="1"/>
    <col min="10498" max="10498" width="2.14285714285714" style="324" customWidth="1"/>
    <col min="10499" max="10503" width="2.28571428571429" style="324" customWidth="1"/>
    <col min="10504" max="10504" width="2.71428571428571" style="324" customWidth="1"/>
    <col min="10505" max="10507" width="2.28571428571429" style="324" customWidth="1"/>
    <col min="10508" max="10510" width="1.85714285714286" style="324" customWidth="1"/>
    <col min="10511" max="10511" width="2.14285714285714" style="324" customWidth="1"/>
    <col min="10512" max="10513" width="1.85714285714286" style="324" customWidth="1"/>
    <col min="10514" max="10515" width="2.14285714285714" style="324" customWidth="1"/>
    <col min="10516" max="10516" width="2.28571428571429" style="324" customWidth="1"/>
    <col min="10517" max="10518" width="2" style="324" customWidth="1"/>
    <col min="10519" max="10522" width="2.28571428571429" style="324" customWidth="1"/>
    <col min="10523" max="10523" width="2.14285714285714" style="324" customWidth="1"/>
    <col min="10524" max="10524" width="2.28571428571429" style="324" customWidth="1"/>
    <col min="10525" max="10525" width="2.42857142857143" style="324" customWidth="1"/>
    <col min="10526" max="10526" width="2.28571428571429" style="324" customWidth="1"/>
    <col min="10527" max="10527" width="2.57142857142857" style="324" customWidth="1"/>
    <col min="10528" max="10528" width="2" style="324" customWidth="1"/>
    <col min="10529" max="10530" width="2.14285714285714" style="324" customWidth="1"/>
    <col min="10531" max="10534" width="2.28571428571429" style="324" customWidth="1"/>
    <col min="10535" max="10535" width="2.71428571428571" style="324" customWidth="1"/>
    <col min="10536" max="10536" width="2" style="324" customWidth="1"/>
    <col min="10537" max="10542" width="2.28571428571429" style="324" customWidth="1"/>
    <col min="10543" max="10752" width="9.14285714285714" style="324"/>
    <col min="10753" max="10753" width="3.28571428571429" style="324" customWidth="1"/>
    <col min="10754" max="10754" width="2.14285714285714" style="324" customWidth="1"/>
    <col min="10755" max="10759" width="2.28571428571429" style="324" customWidth="1"/>
    <col min="10760" max="10760" width="2.71428571428571" style="324" customWidth="1"/>
    <col min="10761" max="10763" width="2.28571428571429" style="324" customWidth="1"/>
    <col min="10764" max="10766" width="1.85714285714286" style="324" customWidth="1"/>
    <col min="10767" max="10767" width="2.14285714285714" style="324" customWidth="1"/>
    <col min="10768" max="10769" width="1.85714285714286" style="324" customWidth="1"/>
    <col min="10770" max="10771" width="2.14285714285714" style="324" customWidth="1"/>
    <col min="10772" max="10772" width="2.28571428571429" style="324" customWidth="1"/>
    <col min="10773" max="10774" width="2" style="324" customWidth="1"/>
    <col min="10775" max="10778" width="2.28571428571429" style="324" customWidth="1"/>
    <col min="10779" max="10779" width="2.14285714285714" style="324" customWidth="1"/>
    <col min="10780" max="10780" width="2.28571428571429" style="324" customWidth="1"/>
    <col min="10781" max="10781" width="2.42857142857143" style="324" customWidth="1"/>
    <col min="10782" max="10782" width="2.28571428571429" style="324" customWidth="1"/>
    <col min="10783" max="10783" width="2.57142857142857" style="324" customWidth="1"/>
    <col min="10784" max="10784" width="2" style="324" customWidth="1"/>
    <col min="10785" max="10786" width="2.14285714285714" style="324" customWidth="1"/>
    <col min="10787" max="10790" width="2.28571428571429" style="324" customWidth="1"/>
    <col min="10791" max="10791" width="2.71428571428571" style="324" customWidth="1"/>
    <col min="10792" max="10792" width="2" style="324" customWidth="1"/>
    <col min="10793" max="10798" width="2.28571428571429" style="324" customWidth="1"/>
    <col min="10799" max="11008" width="9.14285714285714" style="324"/>
    <col min="11009" max="11009" width="3.28571428571429" style="324" customWidth="1"/>
    <col min="11010" max="11010" width="2.14285714285714" style="324" customWidth="1"/>
    <col min="11011" max="11015" width="2.28571428571429" style="324" customWidth="1"/>
    <col min="11016" max="11016" width="2.71428571428571" style="324" customWidth="1"/>
    <col min="11017" max="11019" width="2.28571428571429" style="324" customWidth="1"/>
    <col min="11020" max="11022" width="1.85714285714286" style="324" customWidth="1"/>
    <col min="11023" max="11023" width="2.14285714285714" style="324" customWidth="1"/>
    <col min="11024" max="11025" width="1.85714285714286" style="324" customWidth="1"/>
    <col min="11026" max="11027" width="2.14285714285714" style="324" customWidth="1"/>
    <col min="11028" max="11028" width="2.28571428571429" style="324" customWidth="1"/>
    <col min="11029" max="11030" width="2" style="324" customWidth="1"/>
    <col min="11031" max="11034" width="2.28571428571429" style="324" customWidth="1"/>
    <col min="11035" max="11035" width="2.14285714285714" style="324" customWidth="1"/>
    <col min="11036" max="11036" width="2.28571428571429" style="324" customWidth="1"/>
    <col min="11037" max="11037" width="2.42857142857143" style="324" customWidth="1"/>
    <col min="11038" max="11038" width="2.28571428571429" style="324" customWidth="1"/>
    <col min="11039" max="11039" width="2.57142857142857" style="324" customWidth="1"/>
    <col min="11040" max="11040" width="2" style="324" customWidth="1"/>
    <col min="11041" max="11042" width="2.14285714285714" style="324" customWidth="1"/>
    <col min="11043" max="11046" width="2.28571428571429" style="324" customWidth="1"/>
    <col min="11047" max="11047" width="2.71428571428571" style="324" customWidth="1"/>
    <col min="11048" max="11048" width="2" style="324" customWidth="1"/>
    <col min="11049" max="11054" width="2.28571428571429" style="324" customWidth="1"/>
    <col min="11055" max="11264" width="9.14285714285714" style="324"/>
    <col min="11265" max="11265" width="3.28571428571429" style="324" customWidth="1"/>
    <col min="11266" max="11266" width="2.14285714285714" style="324" customWidth="1"/>
    <col min="11267" max="11271" width="2.28571428571429" style="324" customWidth="1"/>
    <col min="11272" max="11272" width="2.71428571428571" style="324" customWidth="1"/>
    <col min="11273" max="11275" width="2.28571428571429" style="324" customWidth="1"/>
    <col min="11276" max="11278" width="1.85714285714286" style="324" customWidth="1"/>
    <col min="11279" max="11279" width="2.14285714285714" style="324" customWidth="1"/>
    <col min="11280" max="11281" width="1.85714285714286" style="324" customWidth="1"/>
    <col min="11282" max="11283" width="2.14285714285714" style="324" customWidth="1"/>
    <col min="11284" max="11284" width="2.28571428571429" style="324" customWidth="1"/>
    <col min="11285" max="11286" width="2" style="324" customWidth="1"/>
    <col min="11287" max="11290" width="2.28571428571429" style="324" customWidth="1"/>
    <col min="11291" max="11291" width="2.14285714285714" style="324" customWidth="1"/>
    <col min="11292" max="11292" width="2.28571428571429" style="324" customWidth="1"/>
    <col min="11293" max="11293" width="2.42857142857143" style="324" customWidth="1"/>
    <col min="11294" max="11294" width="2.28571428571429" style="324" customWidth="1"/>
    <col min="11295" max="11295" width="2.57142857142857" style="324" customWidth="1"/>
    <col min="11296" max="11296" width="2" style="324" customWidth="1"/>
    <col min="11297" max="11298" width="2.14285714285714" style="324" customWidth="1"/>
    <col min="11299" max="11302" width="2.28571428571429" style="324" customWidth="1"/>
    <col min="11303" max="11303" width="2.71428571428571" style="324" customWidth="1"/>
    <col min="11304" max="11304" width="2" style="324" customWidth="1"/>
    <col min="11305" max="11310" width="2.28571428571429" style="324" customWidth="1"/>
    <col min="11311" max="11520" width="9.14285714285714" style="324"/>
    <col min="11521" max="11521" width="3.28571428571429" style="324" customWidth="1"/>
    <col min="11522" max="11522" width="2.14285714285714" style="324" customWidth="1"/>
    <col min="11523" max="11527" width="2.28571428571429" style="324" customWidth="1"/>
    <col min="11528" max="11528" width="2.71428571428571" style="324" customWidth="1"/>
    <col min="11529" max="11531" width="2.28571428571429" style="324" customWidth="1"/>
    <col min="11532" max="11534" width="1.85714285714286" style="324" customWidth="1"/>
    <col min="11535" max="11535" width="2.14285714285714" style="324" customWidth="1"/>
    <col min="11536" max="11537" width="1.85714285714286" style="324" customWidth="1"/>
    <col min="11538" max="11539" width="2.14285714285714" style="324" customWidth="1"/>
    <col min="11540" max="11540" width="2.28571428571429" style="324" customWidth="1"/>
    <col min="11541" max="11542" width="2" style="324" customWidth="1"/>
    <col min="11543" max="11546" width="2.28571428571429" style="324" customWidth="1"/>
    <col min="11547" max="11547" width="2.14285714285714" style="324" customWidth="1"/>
    <col min="11548" max="11548" width="2.28571428571429" style="324" customWidth="1"/>
    <col min="11549" max="11549" width="2.42857142857143" style="324" customWidth="1"/>
    <col min="11550" max="11550" width="2.28571428571429" style="324" customWidth="1"/>
    <col min="11551" max="11551" width="2.57142857142857" style="324" customWidth="1"/>
    <col min="11552" max="11552" width="2" style="324" customWidth="1"/>
    <col min="11553" max="11554" width="2.14285714285714" style="324" customWidth="1"/>
    <col min="11555" max="11558" width="2.28571428571429" style="324" customWidth="1"/>
    <col min="11559" max="11559" width="2.71428571428571" style="324" customWidth="1"/>
    <col min="11560" max="11560" width="2" style="324" customWidth="1"/>
    <col min="11561" max="11566" width="2.28571428571429" style="324" customWidth="1"/>
    <col min="11567" max="11776" width="9.14285714285714" style="324"/>
    <col min="11777" max="11777" width="3.28571428571429" style="324" customWidth="1"/>
    <col min="11778" max="11778" width="2.14285714285714" style="324" customWidth="1"/>
    <col min="11779" max="11783" width="2.28571428571429" style="324" customWidth="1"/>
    <col min="11784" max="11784" width="2.71428571428571" style="324" customWidth="1"/>
    <col min="11785" max="11787" width="2.28571428571429" style="324" customWidth="1"/>
    <col min="11788" max="11790" width="1.85714285714286" style="324" customWidth="1"/>
    <col min="11791" max="11791" width="2.14285714285714" style="324" customWidth="1"/>
    <col min="11792" max="11793" width="1.85714285714286" style="324" customWidth="1"/>
    <col min="11794" max="11795" width="2.14285714285714" style="324" customWidth="1"/>
    <col min="11796" max="11796" width="2.28571428571429" style="324" customWidth="1"/>
    <col min="11797" max="11798" width="2" style="324" customWidth="1"/>
    <col min="11799" max="11802" width="2.28571428571429" style="324" customWidth="1"/>
    <col min="11803" max="11803" width="2.14285714285714" style="324" customWidth="1"/>
    <col min="11804" max="11804" width="2.28571428571429" style="324" customWidth="1"/>
    <col min="11805" max="11805" width="2.42857142857143" style="324" customWidth="1"/>
    <col min="11806" max="11806" width="2.28571428571429" style="324" customWidth="1"/>
    <col min="11807" max="11807" width="2.57142857142857" style="324" customWidth="1"/>
    <col min="11808" max="11808" width="2" style="324" customWidth="1"/>
    <col min="11809" max="11810" width="2.14285714285714" style="324" customWidth="1"/>
    <col min="11811" max="11814" width="2.28571428571429" style="324" customWidth="1"/>
    <col min="11815" max="11815" width="2.71428571428571" style="324" customWidth="1"/>
    <col min="11816" max="11816" width="2" style="324" customWidth="1"/>
    <col min="11817" max="11822" width="2.28571428571429" style="324" customWidth="1"/>
    <col min="11823" max="12032" width="9.14285714285714" style="324"/>
    <col min="12033" max="12033" width="3.28571428571429" style="324" customWidth="1"/>
    <col min="12034" max="12034" width="2.14285714285714" style="324" customWidth="1"/>
    <col min="12035" max="12039" width="2.28571428571429" style="324" customWidth="1"/>
    <col min="12040" max="12040" width="2.71428571428571" style="324" customWidth="1"/>
    <col min="12041" max="12043" width="2.28571428571429" style="324" customWidth="1"/>
    <col min="12044" max="12046" width="1.85714285714286" style="324" customWidth="1"/>
    <col min="12047" max="12047" width="2.14285714285714" style="324" customWidth="1"/>
    <col min="12048" max="12049" width="1.85714285714286" style="324" customWidth="1"/>
    <col min="12050" max="12051" width="2.14285714285714" style="324" customWidth="1"/>
    <col min="12052" max="12052" width="2.28571428571429" style="324" customWidth="1"/>
    <col min="12053" max="12054" width="2" style="324" customWidth="1"/>
    <col min="12055" max="12058" width="2.28571428571429" style="324" customWidth="1"/>
    <col min="12059" max="12059" width="2.14285714285714" style="324" customWidth="1"/>
    <col min="12060" max="12060" width="2.28571428571429" style="324" customWidth="1"/>
    <col min="12061" max="12061" width="2.42857142857143" style="324" customWidth="1"/>
    <col min="12062" max="12062" width="2.28571428571429" style="324" customWidth="1"/>
    <col min="12063" max="12063" width="2.57142857142857" style="324" customWidth="1"/>
    <col min="12064" max="12064" width="2" style="324" customWidth="1"/>
    <col min="12065" max="12066" width="2.14285714285714" style="324" customWidth="1"/>
    <col min="12067" max="12070" width="2.28571428571429" style="324" customWidth="1"/>
    <col min="12071" max="12071" width="2.71428571428571" style="324" customWidth="1"/>
    <col min="12072" max="12072" width="2" style="324" customWidth="1"/>
    <col min="12073" max="12078" width="2.28571428571429" style="324" customWidth="1"/>
    <col min="12079" max="12288" width="9.14285714285714" style="324"/>
    <col min="12289" max="12289" width="3.28571428571429" style="324" customWidth="1"/>
    <col min="12290" max="12290" width="2.14285714285714" style="324" customWidth="1"/>
    <col min="12291" max="12295" width="2.28571428571429" style="324" customWidth="1"/>
    <col min="12296" max="12296" width="2.71428571428571" style="324" customWidth="1"/>
    <col min="12297" max="12299" width="2.28571428571429" style="324" customWidth="1"/>
    <col min="12300" max="12302" width="1.85714285714286" style="324" customWidth="1"/>
    <col min="12303" max="12303" width="2.14285714285714" style="324" customWidth="1"/>
    <col min="12304" max="12305" width="1.85714285714286" style="324" customWidth="1"/>
    <col min="12306" max="12307" width="2.14285714285714" style="324" customWidth="1"/>
    <col min="12308" max="12308" width="2.28571428571429" style="324" customWidth="1"/>
    <col min="12309" max="12310" width="2" style="324" customWidth="1"/>
    <col min="12311" max="12314" width="2.28571428571429" style="324" customWidth="1"/>
    <col min="12315" max="12315" width="2.14285714285714" style="324" customWidth="1"/>
    <col min="12316" max="12316" width="2.28571428571429" style="324" customWidth="1"/>
    <col min="12317" max="12317" width="2.42857142857143" style="324" customWidth="1"/>
    <col min="12318" max="12318" width="2.28571428571429" style="324" customWidth="1"/>
    <col min="12319" max="12319" width="2.57142857142857" style="324" customWidth="1"/>
    <col min="12320" max="12320" width="2" style="324" customWidth="1"/>
    <col min="12321" max="12322" width="2.14285714285714" style="324" customWidth="1"/>
    <col min="12323" max="12326" width="2.28571428571429" style="324" customWidth="1"/>
    <col min="12327" max="12327" width="2.71428571428571" style="324" customWidth="1"/>
    <col min="12328" max="12328" width="2" style="324" customWidth="1"/>
    <col min="12329" max="12334" width="2.28571428571429" style="324" customWidth="1"/>
    <col min="12335" max="12544" width="9.14285714285714" style="324"/>
    <col min="12545" max="12545" width="3.28571428571429" style="324" customWidth="1"/>
    <col min="12546" max="12546" width="2.14285714285714" style="324" customWidth="1"/>
    <col min="12547" max="12551" width="2.28571428571429" style="324" customWidth="1"/>
    <col min="12552" max="12552" width="2.71428571428571" style="324" customWidth="1"/>
    <col min="12553" max="12555" width="2.28571428571429" style="324" customWidth="1"/>
    <col min="12556" max="12558" width="1.85714285714286" style="324" customWidth="1"/>
    <col min="12559" max="12559" width="2.14285714285714" style="324" customWidth="1"/>
    <col min="12560" max="12561" width="1.85714285714286" style="324" customWidth="1"/>
    <col min="12562" max="12563" width="2.14285714285714" style="324" customWidth="1"/>
    <col min="12564" max="12564" width="2.28571428571429" style="324" customWidth="1"/>
    <col min="12565" max="12566" width="2" style="324" customWidth="1"/>
    <col min="12567" max="12570" width="2.28571428571429" style="324" customWidth="1"/>
    <col min="12571" max="12571" width="2.14285714285714" style="324" customWidth="1"/>
    <col min="12572" max="12572" width="2.28571428571429" style="324" customWidth="1"/>
    <col min="12573" max="12573" width="2.42857142857143" style="324" customWidth="1"/>
    <col min="12574" max="12574" width="2.28571428571429" style="324" customWidth="1"/>
    <col min="12575" max="12575" width="2.57142857142857" style="324" customWidth="1"/>
    <col min="12576" max="12576" width="2" style="324" customWidth="1"/>
    <col min="12577" max="12578" width="2.14285714285714" style="324" customWidth="1"/>
    <col min="12579" max="12582" width="2.28571428571429" style="324" customWidth="1"/>
    <col min="12583" max="12583" width="2.71428571428571" style="324" customWidth="1"/>
    <col min="12584" max="12584" width="2" style="324" customWidth="1"/>
    <col min="12585" max="12590" width="2.28571428571429" style="324" customWidth="1"/>
    <col min="12591" max="12800" width="9.14285714285714" style="324"/>
    <col min="12801" max="12801" width="3.28571428571429" style="324" customWidth="1"/>
    <col min="12802" max="12802" width="2.14285714285714" style="324" customWidth="1"/>
    <col min="12803" max="12807" width="2.28571428571429" style="324" customWidth="1"/>
    <col min="12808" max="12808" width="2.71428571428571" style="324" customWidth="1"/>
    <col min="12809" max="12811" width="2.28571428571429" style="324" customWidth="1"/>
    <col min="12812" max="12814" width="1.85714285714286" style="324" customWidth="1"/>
    <col min="12815" max="12815" width="2.14285714285714" style="324" customWidth="1"/>
    <col min="12816" max="12817" width="1.85714285714286" style="324" customWidth="1"/>
    <col min="12818" max="12819" width="2.14285714285714" style="324" customWidth="1"/>
    <col min="12820" max="12820" width="2.28571428571429" style="324" customWidth="1"/>
    <col min="12821" max="12822" width="2" style="324" customWidth="1"/>
    <col min="12823" max="12826" width="2.28571428571429" style="324" customWidth="1"/>
    <col min="12827" max="12827" width="2.14285714285714" style="324" customWidth="1"/>
    <col min="12828" max="12828" width="2.28571428571429" style="324" customWidth="1"/>
    <col min="12829" max="12829" width="2.42857142857143" style="324" customWidth="1"/>
    <col min="12830" max="12830" width="2.28571428571429" style="324" customWidth="1"/>
    <col min="12831" max="12831" width="2.57142857142857" style="324" customWidth="1"/>
    <col min="12832" max="12832" width="2" style="324" customWidth="1"/>
    <col min="12833" max="12834" width="2.14285714285714" style="324" customWidth="1"/>
    <col min="12835" max="12838" width="2.28571428571429" style="324" customWidth="1"/>
    <col min="12839" max="12839" width="2.71428571428571" style="324" customWidth="1"/>
    <col min="12840" max="12840" width="2" style="324" customWidth="1"/>
    <col min="12841" max="12846" width="2.28571428571429" style="324" customWidth="1"/>
    <col min="12847" max="13056" width="9.14285714285714" style="324"/>
    <col min="13057" max="13057" width="3.28571428571429" style="324" customWidth="1"/>
    <col min="13058" max="13058" width="2.14285714285714" style="324" customWidth="1"/>
    <col min="13059" max="13063" width="2.28571428571429" style="324" customWidth="1"/>
    <col min="13064" max="13064" width="2.71428571428571" style="324" customWidth="1"/>
    <col min="13065" max="13067" width="2.28571428571429" style="324" customWidth="1"/>
    <col min="13068" max="13070" width="1.85714285714286" style="324" customWidth="1"/>
    <col min="13071" max="13071" width="2.14285714285714" style="324" customWidth="1"/>
    <col min="13072" max="13073" width="1.85714285714286" style="324" customWidth="1"/>
    <col min="13074" max="13075" width="2.14285714285714" style="324" customWidth="1"/>
    <col min="13076" max="13076" width="2.28571428571429" style="324" customWidth="1"/>
    <col min="13077" max="13078" width="2" style="324" customWidth="1"/>
    <col min="13079" max="13082" width="2.28571428571429" style="324" customWidth="1"/>
    <col min="13083" max="13083" width="2.14285714285714" style="324" customWidth="1"/>
    <col min="13084" max="13084" width="2.28571428571429" style="324" customWidth="1"/>
    <col min="13085" max="13085" width="2.42857142857143" style="324" customWidth="1"/>
    <col min="13086" max="13086" width="2.28571428571429" style="324" customWidth="1"/>
    <col min="13087" max="13087" width="2.57142857142857" style="324" customWidth="1"/>
    <col min="13088" max="13088" width="2" style="324" customWidth="1"/>
    <col min="13089" max="13090" width="2.14285714285714" style="324" customWidth="1"/>
    <col min="13091" max="13094" width="2.28571428571429" style="324" customWidth="1"/>
    <col min="13095" max="13095" width="2.71428571428571" style="324" customWidth="1"/>
    <col min="13096" max="13096" width="2" style="324" customWidth="1"/>
    <col min="13097" max="13102" width="2.28571428571429" style="324" customWidth="1"/>
    <col min="13103" max="13312" width="9.14285714285714" style="324"/>
    <col min="13313" max="13313" width="3.28571428571429" style="324" customWidth="1"/>
    <col min="13314" max="13314" width="2.14285714285714" style="324" customWidth="1"/>
    <col min="13315" max="13319" width="2.28571428571429" style="324" customWidth="1"/>
    <col min="13320" max="13320" width="2.71428571428571" style="324" customWidth="1"/>
    <col min="13321" max="13323" width="2.28571428571429" style="324" customWidth="1"/>
    <col min="13324" max="13326" width="1.85714285714286" style="324" customWidth="1"/>
    <col min="13327" max="13327" width="2.14285714285714" style="324" customWidth="1"/>
    <col min="13328" max="13329" width="1.85714285714286" style="324" customWidth="1"/>
    <col min="13330" max="13331" width="2.14285714285714" style="324" customWidth="1"/>
    <col min="13332" max="13332" width="2.28571428571429" style="324" customWidth="1"/>
    <col min="13333" max="13334" width="2" style="324" customWidth="1"/>
    <col min="13335" max="13338" width="2.28571428571429" style="324" customWidth="1"/>
    <col min="13339" max="13339" width="2.14285714285714" style="324" customWidth="1"/>
    <col min="13340" max="13340" width="2.28571428571429" style="324" customWidth="1"/>
    <col min="13341" max="13341" width="2.42857142857143" style="324" customWidth="1"/>
    <col min="13342" max="13342" width="2.28571428571429" style="324" customWidth="1"/>
    <col min="13343" max="13343" width="2.57142857142857" style="324" customWidth="1"/>
    <col min="13344" max="13344" width="2" style="324" customWidth="1"/>
    <col min="13345" max="13346" width="2.14285714285714" style="324" customWidth="1"/>
    <col min="13347" max="13350" width="2.28571428571429" style="324" customWidth="1"/>
    <col min="13351" max="13351" width="2.71428571428571" style="324" customWidth="1"/>
    <col min="13352" max="13352" width="2" style="324" customWidth="1"/>
    <col min="13353" max="13358" width="2.28571428571429" style="324" customWidth="1"/>
    <col min="13359" max="13568" width="9.14285714285714" style="324"/>
    <col min="13569" max="13569" width="3.28571428571429" style="324" customWidth="1"/>
    <col min="13570" max="13570" width="2.14285714285714" style="324" customWidth="1"/>
    <col min="13571" max="13575" width="2.28571428571429" style="324" customWidth="1"/>
    <col min="13576" max="13576" width="2.71428571428571" style="324" customWidth="1"/>
    <col min="13577" max="13579" width="2.28571428571429" style="324" customWidth="1"/>
    <col min="13580" max="13582" width="1.85714285714286" style="324" customWidth="1"/>
    <col min="13583" max="13583" width="2.14285714285714" style="324" customWidth="1"/>
    <col min="13584" max="13585" width="1.85714285714286" style="324" customWidth="1"/>
    <col min="13586" max="13587" width="2.14285714285714" style="324" customWidth="1"/>
    <col min="13588" max="13588" width="2.28571428571429" style="324" customWidth="1"/>
    <col min="13589" max="13590" width="2" style="324" customWidth="1"/>
    <col min="13591" max="13594" width="2.28571428571429" style="324" customWidth="1"/>
    <col min="13595" max="13595" width="2.14285714285714" style="324" customWidth="1"/>
    <col min="13596" max="13596" width="2.28571428571429" style="324" customWidth="1"/>
    <col min="13597" max="13597" width="2.42857142857143" style="324" customWidth="1"/>
    <col min="13598" max="13598" width="2.28571428571429" style="324" customWidth="1"/>
    <col min="13599" max="13599" width="2.57142857142857" style="324" customWidth="1"/>
    <col min="13600" max="13600" width="2" style="324" customWidth="1"/>
    <col min="13601" max="13602" width="2.14285714285714" style="324" customWidth="1"/>
    <col min="13603" max="13606" width="2.28571428571429" style="324" customWidth="1"/>
    <col min="13607" max="13607" width="2.71428571428571" style="324" customWidth="1"/>
    <col min="13608" max="13608" width="2" style="324" customWidth="1"/>
    <col min="13609" max="13614" width="2.28571428571429" style="324" customWidth="1"/>
    <col min="13615" max="13824" width="9.14285714285714" style="324"/>
    <col min="13825" max="13825" width="3.28571428571429" style="324" customWidth="1"/>
    <col min="13826" max="13826" width="2.14285714285714" style="324" customWidth="1"/>
    <col min="13827" max="13831" width="2.28571428571429" style="324" customWidth="1"/>
    <col min="13832" max="13832" width="2.71428571428571" style="324" customWidth="1"/>
    <col min="13833" max="13835" width="2.28571428571429" style="324" customWidth="1"/>
    <col min="13836" max="13838" width="1.85714285714286" style="324" customWidth="1"/>
    <col min="13839" max="13839" width="2.14285714285714" style="324" customWidth="1"/>
    <col min="13840" max="13841" width="1.85714285714286" style="324" customWidth="1"/>
    <col min="13842" max="13843" width="2.14285714285714" style="324" customWidth="1"/>
    <col min="13844" max="13844" width="2.28571428571429" style="324" customWidth="1"/>
    <col min="13845" max="13846" width="2" style="324" customWidth="1"/>
    <col min="13847" max="13850" width="2.28571428571429" style="324" customWidth="1"/>
    <col min="13851" max="13851" width="2.14285714285714" style="324" customWidth="1"/>
    <col min="13852" max="13852" width="2.28571428571429" style="324" customWidth="1"/>
    <col min="13853" max="13853" width="2.42857142857143" style="324" customWidth="1"/>
    <col min="13854" max="13854" width="2.28571428571429" style="324" customWidth="1"/>
    <col min="13855" max="13855" width="2.57142857142857" style="324" customWidth="1"/>
    <col min="13856" max="13856" width="2" style="324" customWidth="1"/>
    <col min="13857" max="13858" width="2.14285714285714" style="324" customWidth="1"/>
    <col min="13859" max="13862" width="2.28571428571429" style="324" customWidth="1"/>
    <col min="13863" max="13863" width="2.71428571428571" style="324" customWidth="1"/>
    <col min="13864" max="13864" width="2" style="324" customWidth="1"/>
    <col min="13865" max="13870" width="2.28571428571429" style="324" customWidth="1"/>
    <col min="13871" max="14080" width="9.14285714285714" style="324"/>
    <col min="14081" max="14081" width="3.28571428571429" style="324" customWidth="1"/>
    <col min="14082" max="14082" width="2.14285714285714" style="324" customWidth="1"/>
    <col min="14083" max="14087" width="2.28571428571429" style="324" customWidth="1"/>
    <col min="14088" max="14088" width="2.71428571428571" style="324" customWidth="1"/>
    <col min="14089" max="14091" width="2.28571428571429" style="324" customWidth="1"/>
    <col min="14092" max="14094" width="1.85714285714286" style="324" customWidth="1"/>
    <col min="14095" max="14095" width="2.14285714285714" style="324" customWidth="1"/>
    <col min="14096" max="14097" width="1.85714285714286" style="324" customWidth="1"/>
    <col min="14098" max="14099" width="2.14285714285714" style="324" customWidth="1"/>
    <col min="14100" max="14100" width="2.28571428571429" style="324" customWidth="1"/>
    <col min="14101" max="14102" width="2" style="324" customWidth="1"/>
    <col min="14103" max="14106" width="2.28571428571429" style="324" customWidth="1"/>
    <col min="14107" max="14107" width="2.14285714285714" style="324" customWidth="1"/>
    <col min="14108" max="14108" width="2.28571428571429" style="324" customWidth="1"/>
    <col min="14109" max="14109" width="2.42857142857143" style="324" customWidth="1"/>
    <col min="14110" max="14110" width="2.28571428571429" style="324" customWidth="1"/>
    <col min="14111" max="14111" width="2.57142857142857" style="324" customWidth="1"/>
    <col min="14112" max="14112" width="2" style="324" customWidth="1"/>
    <col min="14113" max="14114" width="2.14285714285714" style="324" customWidth="1"/>
    <col min="14115" max="14118" width="2.28571428571429" style="324" customWidth="1"/>
    <col min="14119" max="14119" width="2.71428571428571" style="324" customWidth="1"/>
    <col min="14120" max="14120" width="2" style="324" customWidth="1"/>
    <col min="14121" max="14126" width="2.28571428571429" style="324" customWidth="1"/>
    <col min="14127" max="14336" width="9.14285714285714" style="324"/>
    <col min="14337" max="14337" width="3.28571428571429" style="324" customWidth="1"/>
    <col min="14338" max="14338" width="2.14285714285714" style="324" customWidth="1"/>
    <col min="14339" max="14343" width="2.28571428571429" style="324" customWidth="1"/>
    <col min="14344" max="14344" width="2.71428571428571" style="324" customWidth="1"/>
    <col min="14345" max="14347" width="2.28571428571429" style="324" customWidth="1"/>
    <col min="14348" max="14350" width="1.85714285714286" style="324" customWidth="1"/>
    <col min="14351" max="14351" width="2.14285714285714" style="324" customWidth="1"/>
    <col min="14352" max="14353" width="1.85714285714286" style="324" customWidth="1"/>
    <col min="14354" max="14355" width="2.14285714285714" style="324" customWidth="1"/>
    <col min="14356" max="14356" width="2.28571428571429" style="324" customWidth="1"/>
    <col min="14357" max="14358" width="2" style="324" customWidth="1"/>
    <col min="14359" max="14362" width="2.28571428571429" style="324" customWidth="1"/>
    <col min="14363" max="14363" width="2.14285714285714" style="324" customWidth="1"/>
    <col min="14364" max="14364" width="2.28571428571429" style="324" customWidth="1"/>
    <col min="14365" max="14365" width="2.42857142857143" style="324" customWidth="1"/>
    <col min="14366" max="14366" width="2.28571428571429" style="324" customWidth="1"/>
    <col min="14367" max="14367" width="2.57142857142857" style="324" customWidth="1"/>
    <col min="14368" max="14368" width="2" style="324" customWidth="1"/>
    <col min="14369" max="14370" width="2.14285714285714" style="324" customWidth="1"/>
    <col min="14371" max="14374" width="2.28571428571429" style="324" customWidth="1"/>
    <col min="14375" max="14375" width="2.71428571428571" style="324" customWidth="1"/>
    <col min="14376" max="14376" width="2" style="324" customWidth="1"/>
    <col min="14377" max="14382" width="2.28571428571429" style="324" customWidth="1"/>
    <col min="14383" max="14592" width="9.14285714285714" style="324"/>
    <col min="14593" max="14593" width="3.28571428571429" style="324" customWidth="1"/>
    <col min="14594" max="14594" width="2.14285714285714" style="324" customWidth="1"/>
    <col min="14595" max="14599" width="2.28571428571429" style="324" customWidth="1"/>
    <col min="14600" max="14600" width="2.71428571428571" style="324" customWidth="1"/>
    <col min="14601" max="14603" width="2.28571428571429" style="324" customWidth="1"/>
    <col min="14604" max="14606" width="1.85714285714286" style="324" customWidth="1"/>
    <col min="14607" max="14607" width="2.14285714285714" style="324" customWidth="1"/>
    <col min="14608" max="14609" width="1.85714285714286" style="324" customWidth="1"/>
    <col min="14610" max="14611" width="2.14285714285714" style="324" customWidth="1"/>
    <col min="14612" max="14612" width="2.28571428571429" style="324" customWidth="1"/>
    <col min="14613" max="14614" width="2" style="324" customWidth="1"/>
    <col min="14615" max="14618" width="2.28571428571429" style="324" customWidth="1"/>
    <col min="14619" max="14619" width="2.14285714285714" style="324" customWidth="1"/>
    <col min="14620" max="14620" width="2.28571428571429" style="324" customWidth="1"/>
    <col min="14621" max="14621" width="2.42857142857143" style="324" customWidth="1"/>
    <col min="14622" max="14622" width="2.28571428571429" style="324" customWidth="1"/>
    <col min="14623" max="14623" width="2.57142857142857" style="324" customWidth="1"/>
    <col min="14624" max="14624" width="2" style="324" customWidth="1"/>
    <col min="14625" max="14626" width="2.14285714285714" style="324" customWidth="1"/>
    <col min="14627" max="14630" width="2.28571428571429" style="324" customWidth="1"/>
    <col min="14631" max="14631" width="2.71428571428571" style="324" customWidth="1"/>
    <col min="14632" max="14632" width="2" style="324" customWidth="1"/>
    <col min="14633" max="14638" width="2.28571428571429" style="324" customWidth="1"/>
    <col min="14639" max="14848" width="9.14285714285714" style="324"/>
    <col min="14849" max="14849" width="3.28571428571429" style="324" customWidth="1"/>
    <col min="14850" max="14850" width="2.14285714285714" style="324" customWidth="1"/>
    <col min="14851" max="14855" width="2.28571428571429" style="324" customWidth="1"/>
    <col min="14856" max="14856" width="2.71428571428571" style="324" customWidth="1"/>
    <col min="14857" max="14859" width="2.28571428571429" style="324" customWidth="1"/>
    <col min="14860" max="14862" width="1.85714285714286" style="324" customWidth="1"/>
    <col min="14863" max="14863" width="2.14285714285714" style="324" customWidth="1"/>
    <col min="14864" max="14865" width="1.85714285714286" style="324" customWidth="1"/>
    <col min="14866" max="14867" width="2.14285714285714" style="324" customWidth="1"/>
    <col min="14868" max="14868" width="2.28571428571429" style="324" customWidth="1"/>
    <col min="14869" max="14870" width="2" style="324" customWidth="1"/>
    <col min="14871" max="14874" width="2.28571428571429" style="324" customWidth="1"/>
    <col min="14875" max="14875" width="2.14285714285714" style="324" customWidth="1"/>
    <col min="14876" max="14876" width="2.28571428571429" style="324" customWidth="1"/>
    <col min="14877" max="14877" width="2.42857142857143" style="324" customWidth="1"/>
    <col min="14878" max="14878" width="2.28571428571429" style="324" customWidth="1"/>
    <col min="14879" max="14879" width="2.57142857142857" style="324" customWidth="1"/>
    <col min="14880" max="14880" width="2" style="324" customWidth="1"/>
    <col min="14881" max="14882" width="2.14285714285714" style="324" customWidth="1"/>
    <col min="14883" max="14886" width="2.28571428571429" style="324" customWidth="1"/>
    <col min="14887" max="14887" width="2.71428571428571" style="324" customWidth="1"/>
    <col min="14888" max="14888" width="2" style="324" customWidth="1"/>
    <col min="14889" max="14894" width="2.28571428571429" style="324" customWidth="1"/>
    <col min="14895" max="15104" width="9.14285714285714" style="324"/>
    <col min="15105" max="15105" width="3.28571428571429" style="324" customWidth="1"/>
    <col min="15106" max="15106" width="2.14285714285714" style="324" customWidth="1"/>
    <col min="15107" max="15111" width="2.28571428571429" style="324" customWidth="1"/>
    <col min="15112" max="15112" width="2.71428571428571" style="324" customWidth="1"/>
    <col min="15113" max="15115" width="2.28571428571429" style="324" customWidth="1"/>
    <col min="15116" max="15118" width="1.85714285714286" style="324" customWidth="1"/>
    <col min="15119" max="15119" width="2.14285714285714" style="324" customWidth="1"/>
    <col min="15120" max="15121" width="1.85714285714286" style="324" customWidth="1"/>
    <col min="15122" max="15123" width="2.14285714285714" style="324" customWidth="1"/>
    <col min="15124" max="15124" width="2.28571428571429" style="324" customWidth="1"/>
    <col min="15125" max="15126" width="2" style="324" customWidth="1"/>
    <col min="15127" max="15130" width="2.28571428571429" style="324" customWidth="1"/>
    <col min="15131" max="15131" width="2.14285714285714" style="324" customWidth="1"/>
    <col min="15132" max="15132" width="2.28571428571429" style="324" customWidth="1"/>
    <col min="15133" max="15133" width="2.42857142857143" style="324" customWidth="1"/>
    <col min="15134" max="15134" width="2.28571428571429" style="324" customWidth="1"/>
    <col min="15135" max="15135" width="2.57142857142857" style="324" customWidth="1"/>
    <col min="15136" max="15136" width="2" style="324" customWidth="1"/>
    <col min="15137" max="15138" width="2.14285714285714" style="324" customWidth="1"/>
    <col min="15139" max="15142" width="2.28571428571429" style="324" customWidth="1"/>
    <col min="15143" max="15143" width="2.71428571428571" style="324" customWidth="1"/>
    <col min="15144" max="15144" width="2" style="324" customWidth="1"/>
    <col min="15145" max="15150" width="2.28571428571429" style="324" customWidth="1"/>
    <col min="15151" max="15360" width="9.14285714285714" style="324"/>
    <col min="15361" max="15361" width="3.28571428571429" style="324" customWidth="1"/>
    <col min="15362" max="15362" width="2.14285714285714" style="324" customWidth="1"/>
    <col min="15363" max="15367" width="2.28571428571429" style="324" customWidth="1"/>
    <col min="15368" max="15368" width="2.71428571428571" style="324" customWidth="1"/>
    <col min="15369" max="15371" width="2.28571428571429" style="324" customWidth="1"/>
    <col min="15372" max="15374" width="1.85714285714286" style="324" customWidth="1"/>
    <col min="15375" max="15375" width="2.14285714285714" style="324" customWidth="1"/>
    <col min="15376" max="15377" width="1.85714285714286" style="324" customWidth="1"/>
    <col min="15378" max="15379" width="2.14285714285714" style="324" customWidth="1"/>
    <col min="15380" max="15380" width="2.28571428571429" style="324" customWidth="1"/>
    <col min="15381" max="15382" width="2" style="324" customWidth="1"/>
    <col min="15383" max="15386" width="2.28571428571429" style="324" customWidth="1"/>
    <col min="15387" max="15387" width="2.14285714285714" style="324" customWidth="1"/>
    <col min="15388" max="15388" width="2.28571428571429" style="324" customWidth="1"/>
    <col min="15389" max="15389" width="2.42857142857143" style="324" customWidth="1"/>
    <col min="15390" max="15390" width="2.28571428571429" style="324" customWidth="1"/>
    <col min="15391" max="15391" width="2.57142857142857" style="324" customWidth="1"/>
    <col min="15392" max="15392" width="2" style="324" customWidth="1"/>
    <col min="15393" max="15394" width="2.14285714285714" style="324" customWidth="1"/>
    <col min="15395" max="15398" width="2.28571428571429" style="324" customWidth="1"/>
    <col min="15399" max="15399" width="2.71428571428571" style="324" customWidth="1"/>
    <col min="15400" max="15400" width="2" style="324" customWidth="1"/>
    <col min="15401" max="15406" width="2.28571428571429" style="324" customWidth="1"/>
    <col min="15407" max="15616" width="9.14285714285714" style="324"/>
    <col min="15617" max="15617" width="3.28571428571429" style="324" customWidth="1"/>
    <col min="15618" max="15618" width="2.14285714285714" style="324" customWidth="1"/>
    <col min="15619" max="15623" width="2.28571428571429" style="324" customWidth="1"/>
    <col min="15624" max="15624" width="2.71428571428571" style="324" customWidth="1"/>
    <col min="15625" max="15627" width="2.28571428571429" style="324" customWidth="1"/>
    <col min="15628" max="15630" width="1.85714285714286" style="324" customWidth="1"/>
    <col min="15631" max="15631" width="2.14285714285714" style="324" customWidth="1"/>
    <col min="15632" max="15633" width="1.85714285714286" style="324" customWidth="1"/>
    <col min="15634" max="15635" width="2.14285714285714" style="324" customWidth="1"/>
    <col min="15636" max="15636" width="2.28571428571429" style="324" customWidth="1"/>
    <col min="15637" max="15638" width="2" style="324" customWidth="1"/>
    <col min="15639" max="15642" width="2.28571428571429" style="324" customWidth="1"/>
    <col min="15643" max="15643" width="2.14285714285714" style="324" customWidth="1"/>
    <col min="15644" max="15644" width="2.28571428571429" style="324" customWidth="1"/>
    <col min="15645" max="15645" width="2.42857142857143" style="324" customWidth="1"/>
    <col min="15646" max="15646" width="2.28571428571429" style="324" customWidth="1"/>
    <col min="15647" max="15647" width="2.57142857142857" style="324" customWidth="1"/>
    <col min="15648" max="15648" width="2" style="324" customWidth="1"/>
    <col min="15649" max="15650" width="2.14285714285714" style="324" customWidth="1"/>
    <col min="15651" max="15654" width="2.28571428571429" style="324" customWidth="1"/>
    <col min="15655" max="15655" width="2.71428571428571" style="324" customWidth="1"/>
    <col min="15656" max="15656" width="2" style="324" customWidth="1"/>
    <col min="15657" max="15662" width="2.28571428571429" style="324" customWidth="1"/>
    <col min="15663" max="15872" width="9.14285714285714" style="324"/>
    <col min="15873" max="15873" width="3.28571428571429" style="324" customWidth="1"/>
    <col min="15874" max="15874" width="2.14285714285714" style="324" customWidth="1"/>
    <col min="15875" max="15879" width="2.28571428571429" style="324" customWidth="1"/>
    <col min="15880" max="15880" width="2.71428571428571" style="324" customWidth="1"/>
    <col min="15881" max="15883" width="2.28571428571429" style="324" customWidth="1"/>
    <col min="15884" max="15886" width="1.85714285714286" style="324" customWidth="1"/>
    <col min="15887" max="15887" width="2.14285714285714" style="324" customWidth="1"/>
    <col min="15888" max="15889" width="1.85714285714286" style="324" customWidth="1"/>
    <col min="15890" max="15891" width="2.14285714285714" style="324" customWidth="1"/>
    <col min="15892" max="15892" width="2.28571428571429" style="324" customWidth="1"/>
    <col min="15893" max="15894" width="2" style="324" customWidth="1"/>
    <col min="15895" max="15898" width="2.28571428571429" style="324" customWidth="1"/>
    <col min="15899" max="15899" width="2.14285714285714" style="324" customWidth="1"/>
    <col min="15900" max="15900" width="2.28571428571429" style="324" customWidth="1"/>
    <col min="15901" max="15901" width="2.42857142857143" style="324" customWidth="1"/>
    <col min="15902" max="15902" width="2.28571428571429" style="324" customWidth="1"/>
    <col min="15903" max="15903" width="2.57142857142857" style="324" customWidth="1"/>
    <col min="15904" max="15904" width="2" style="324" customWidth="1"/>
    <col min="15905" max="15906" width="2.14285714285714" style="324" customWidth="1"/>
    <col min="15907" max="15910" width="2.28571428571429" style="324" customWidth="1"/>
    <col min="15911" max="15911" width="2.71428571428571" style="324" customWidth="1"/>
    <col min="15912" max="15912" width="2" style="324" customWidth="1"/>
    <col min="15913" max="15918" width="2.28571428571429" style="324" customWidth="1"/>
    <col min="15919" max="16128" width="9.14285714285714" style="324"/>
    <col min="16129" max="16129" width="3.28571428571429" style="324" customWidth="1"/>
    <col min="16130" max="16130" width="2.14285714285714" style="324" customWidth="1"/>
    <col min="16131" max="16135" width="2.28571428571429" style="324" customWidth="1"/>
    <col min="16136" max="16136" width="2.71428571428571" style="324" customWidth="1"/>
    <col min="16137" max="16139" width="2.28571428571429" style="324" customWidth="1"/>
    <col min="16140" max="16142" width="1.85714285714286" style="324" customWidth="1"/>
    <col min="16143" max="16143" width="2.14285714285714" style="324" customWidth="1"/>
    <col min="16144" max="16145" width="1.85714285714286" style="324" customWidth="1"/>
    <col min="16146" max="16147" width="2.14285714285714" style="324" customWidth="1"/>
    <col min="16148" max="16148" width="2.28571428571429" style="324" customWidth="1"/>
    <col min="16149" max="16150" width="2" style="324" customWidth="1"/>
    <col min="16151" max="16154" width="2.28571428571429" style="324" customWidth="1"/>
    <col min="16155" max="16155" width="2.14285714285714" style="324" customWidth="1"/>
    <col min="16156" max="16156" width="2.28571428571429" style="324" customWidth="1"/>
    <col min="16157" max="16157" width="2.42857142857143" style="324" customWidth="1"/>
    <col min="16158" max="16158" width="2.28571428571429" style="324" customWidth="1"/>
    <col min="16159" max="16159" width="2.57142857142857" style="324" customWidth="1"/>
    <col min="16160" max="16160" width="2" style="324" customWidth="1"/>
    <col min="16161" max="16162" width="2.14285714285714" style="324" customWidth="1"/>
    <col min="16163" max="16166" width="2.28571428571429" style="324" customWidth="1"/>
    <col min="16167" max="16167" width="2.71428571428571" style="324" customWidth="1"/>
    <col min="16168" max="16168" width="2" style="324" customWidth="1"/>
    <col min="16169" max="16174" width="2.28571428571429" style="324" customWidth="1"/>
    <col min="16175" max="16384" width="9.14285714285714" style="324"/>
  </cols>
  <sheetData>
    <row r="1" ht="12.95" customHeight="1" spans="1:45">
      <c r="B1" s="326"/>
      <c r="C1" s="327" t="s">
        <v>6490</v>
      </c>
      <c r="D1" s="325"/>
      <c r="E1" s="325"/>
      <c r="F1" s="325"/>
      <c r="G1" s="325"/>
      <c r="H1" s="325"/>
      <c r="I1" s="325"/>
      <c r="J1" s="325"/>
      <c r="K1" s="325"/>
      <c r="L1" s="325"/>
      <c r="M1" s="325"/>
      <c r="N1" s="325"/>
      <c r="O1" s="325"/>
      <c r="P1" s="325"/>
      <c r="Q1" s="325"/>
      <c r="AF1" s="328" t="s">
        <v>7893</v>
      </c>
      <c r="AG1" s="329"/>
      <c r="AH1" s="329"/>
      <c r="AI1" s="329"/>
      <c r="AJ1" s="329"/>
      <c r="AK1" s="329"/>
      <c r="AL1" s="329"/>
      <c r="AM1" s="329"/>
      <c r="AN1" s="329"/>
      <c r="AO1" s="329"/>
      <c r="AP1" s="329"/>
      <c r="AQ1" s="329"/>
      <c r="AR1" s="329"/>
      <c r="AS1" s="329"/>
    </row>
    <row r="2" ht="12.95" customHeight="1" spans="1:45">
      <c r="C2" s="330" t="s">
        <v>7894</v>
      </c>
      <c r="D2" s="330"/>
      <c r="E2" s="330"/>
      <c r="F2" s="330"/>
      <c r="G2" s="330"/>
      <c r="H2" s="330"/>
      <c r="I2" s="330"/>
      <c r="J2" s="330"/>
      <c r="K2" s="330"/>
      <c r="L2" s="330"/>
      <c r="M2" s="330"/>
      <c r="N2" s="330"/>
      <c r="O2" s="330"/>
      <c r="P2" s="330"/>
      <c r="Q2" s="330"/>
      <c r="T2" s="331"/>
      <c r="U2" s="332"/>
    </row>
    <row r="3" ht="12.75" customHeight="1" spans="1:45">
      <c r="B3" s="333"/>
      <c r="C3" s="326" t="s">
        <v>7895</v>
      </c>
      <c r="D3" s="326"/>
      <c r="E3" s="326"/>
      <c r="F3" s="326"/>
      <c r="G3" s="326"/>
      <c r="H3" s="326"/>
      <c r="I3" s="326"/>
      <c r="J3" s="326"/>
      <c r="K3" s="326"/>
      <c r="L3" s="326"/>
      <c r="M3" s="326"/>
      <c r="N3" s="326"/>
      <c r="O3" s="326"/>
      <c r="P3" s="326"/>
      <c r="Q3" s="326"/>
      <c r="AB3" s="334"/>
      <c r="AC3" s="334"/>
      <c r="AD3" s="334"/>
      <c r="AE3" s="335" t="s">
        <v>7896</v>
      </c>
      <c r="AF3" s="336"/>
      <c r="AG3" s="336"/>
      <c r="AH3" s="336"/>
      <c r="AI3" s="336"/>
      <c r="AJ3" s="336"/>
      <c r="AK3" s="336"/>
      <c r="AL3" s="336"/>
      <c r="AM3" s="336"/>
      <c r="AN3" s="336"/>
      <c r="AO3" s="336"/>
      <c r="AP3" s="336"/>
      <c r="AQ3" s="336"/>
      <c r="AR3" s="336"/>
      <c r="AS3" s="337"/>
    </row>
    <row r="4" ht="12.95" customHeight="1" spans="1:45">
      <c r="B4" s="333"/>
      <c r="C4" s="326" t="s">
        <v>7146</v>
      </c>
      <c r="D4" s="326"/>
      <c r="E4" s="326"/>
      <c r="F4" s="326"/>
      <c r="G4" s="326"/>
      <c r="H4" s="326"/>
      <c r="I4" s="326"/>
      <c r="J4" s="326"/>
      <c r="K4" s="326"/>
      <c r="L4" s="326"/>
      <c r="M4" s="326"/>
      <c r="N4" s="326"/>
      <c r="O4" s="326"/>
      <c r="P4" s="326"/>
      <c r="Q4" s="326"/>
      <c r="AA4" s="338"/>
      <c r="AB4" s="338"/>
      <c r="AC4" s="338"/>
      <c r="AD4" s="338"/>
      <c r="AE4" s="339" t="s">
        <v>7897</v>
      </c>
      <c r="AF4" s="340"/>
      <c r="AG4" s="340"/>
      <c r="AH4" s="340"/>
      <c r="AI4" s="340"/>
      <c r="AJ4" s="340"/>
      <c r="AK4" s="340"/>
      <c r="AL4" s="340"/>
      <c r="AM4" s="340"/>
      <c r="AN4" s="340"/>
      <c r="AO4" s="340"/>
      <c r="AP4" s="340"/>
      <c r="AQ4" s="340"/>
      <c r="AR4" s="340"/>
      <c r="AS4" s="341"/>
    </row>
    <row r="5" ht="12.95" customHeight="1" spans="1:45">
      <c r="B5" s="330"/>
      <c r="C5" s="330"/>
      <c r="D5" s="330"/>
      <c r="E5" s="330"/>
      <c r="F5" s="330"/>
      <c r="G5" s="330"/>
      <c r="H5" s="330"/>
      <c r="I5" s="330"/>
      <c r="J5" s="330"/>
      <c r="K5" s="330"/>
      <c r="L5" s="330"/>
      <c r="M5" s="330"/>
      <c r="N5" s="330"/>
      <c r="O5" s="330"/>
      <c r="P5" s="330"/>
      <c r="Q5" s="330"/>
      <c r="AA5" s="338"/>
      <c r="AB5" s="338"/>
      <c r="AC5" s="338"/>
      <c r="AD5" s="338"/>
      <c r="AE5" s="342"/>
      <c r="AF5" s="342"/>
      <c r="AG5" s="342"/>
      <c r="AH5" s="342"/>
      <c r="AI5" s="342"/>
      <c r="AJ5" s="342"/>
      <c r="AK5" s="342"/>
      <c r="AL5" s="342"/>
      <c r="AM5" s="342"/>
      <c r="AN5" s="342"/>
      <c r="AO5" s="342"/>
      <c r="AP5" s="342"/>
      <c r="AQ5" s="342"/>
      <c r="AR5" s="342"/>
      <c r="AS5" s="342"/>
    </row>
    <row r="6" ht="12.95" customHeight="1" spans="1:45">
      <c r="B6" s="330"/>
      <c r="C6" s="330"/>
      <c r="D6" s="330"/>
      <c r="E6" s="330"/>
      <c r="F6" s="330"/>
      <c r="G6" s="330"/>
      <c r="H6" s="330"/>
      <c r="I6" s="330"/>
      <c r="J6" s="330"/>
      <c r="K6" s="330"/>
      <c r="L6" s="330"/>
      <c r="M6" s="330"/>
      <c r="N6" s="330"/>
      <c r="O6" s="330"/>
      <c r="P6" s="330"/>
      <c r="Q6" s="330"/>
      <c r="AA6" s="338"/>
      <c r="AB6" s="338"/>
      <c r="AC6" s="338"/>
      <c r="AD6" s="338"/>
      <c r="AE6" s="342"/>
      <c r="AF6" s="342"/>
      <c r="AG6" s="342"/>
      <c r="AH6" s="342"/>
      <c r="AI6" s="342"/>
      <c r="AJ6" s="342"/>
      <c r="AK6" s="342"/>
      <c r="AL6" s="342"/>
      <c r="AM6" s="342"/>
      <c r="AN6" s="342"/>
      <c r="AO6" s="342"/>
      <c r="AP6" s="342"/>
      <c r="AQ6" s="342"/>
      <c r="AR6" s="342"/>
      <c r="AS6" s="342"/>
    </row>
    <row r="7" ht="12.95" customHeight="1" spans="1:45">
      <c r="B7" s="330"/>
      <c r="C7" s="330"/>
      <c r="D7" s="330"/>
      <c r="E7" s="330"/>
      <c r="F7" s="330"/>
      <c r="G7" s="330"/>
      <c r="H7" s="330"/>
      <c r="I7" s="330"/>
      <c r="J7" s="330"/>
      <c r="K7" s="330"/>
      <c r="L7" s="330"/>
      <c r="M7" s="330"/>
      <c r="N7" s="330"/>
      <c r="O7" s="330"/>
      <c r="P7" s="330"/>
      <c r="Q7" s="330"/>
      <c r="AA7" s="338"/>
      <c r="AB7" s="338"/>
      <c r="AC7" s="338"/>
      <c r="AD7" s="338"/>
    </row>
    <row r="8" ht="12.95" customHeight="1" spans="1:45">
      <c r="B8" s="326"/>
      <c r="C8" s="326"/>
      <c r="D8" s="326"/>
      <c r="E8" s="326"/>
      <c r="F8" s="326"/>
      <c r="G8" s="326"/>
      <c r="H8" s="326"/>
      <c r="I8" s="326"/>
      <c r="J8" s="326"/>
      <c r="K8" s="326"/>
      <c r="L8" s="326"/>
      <c r="M8" s="326"/>
      <c r="N8" s="326"/>
      <c r="O8" s="326"/>
      <c r="P8" s="326"/>
      <c r="Q8" s="326"/>
      <c r="AA8" s="338"/>
      <c r="AB8" s="338"/>
      <c r="AC8" s="338"/>
      <c r="AD8" s="338"/>
    </row>
    <row r="9" ht="15.75" customHeight="1" spans="1:45">
      <c r="A9" s="343" t="s">
        <v>7898</v>
      </c>
      <c r="B9" s="343"/>
      <c r="C9" s="343"/>
      <c r="D9" s="343"/>
      <c r="E9" s="343"/>
      <c r="F9" s="343"/>
      <c r="G9" s="343"/>
      <c r="H9" s="343"/>
      <c r="I9" s="343"/>
      <c r="J9" s="343"/>
      <c r="K9" s="343"/>
      <c r="L9" s="343"/>
      <c r="M9" s="343"/>
      <c r="N9" s="343"/>
      <c r="O9" s="343"/>
      <c r="P9" s="343"/>
      <c r="Q9" s="343"/>
      <c r="R9" s="343"/>
      <c r="S9" s="343"/>
      <c r="T9" s="343"/>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row>
    <row r="10" ht="12.95" customHeight="1" spans="1:45">
      <c r="A10" s="343" t="s">
        <v>7899</v>
      </c>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row>
    <row r="11" ht="12.95" customHeight="1" spans="1:45">
      <c r="A11" s="343"/>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row>
    <row r="12" ht="12.95" customHeight="1" spans="1:45">
      <c r="A12" s="343"/>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row>
    <row r="13" ht="12.95" customHeight="1" spans="1:45">
      <c r="A13" s="343"/>
      <c r="B13" s="344" t="s">
        <v>7900</v>
      </c>
      <c r="C13" s="345"/>
      <c r="D13" s="345"/>
      <c r="E13" s="345"/>
      <c r="F13" s="345"/>
      <c r="G13" s="345"/>
      <c r="H13" s="345"/>
      <c r="I13" s="345"/>
      <c r="J13" s="345"/>
      <c r="K13" s="345"/>
      <c r="L13" s="345"/>
      <c r="M13" s="345"/>
      <c r="N13" s="346"/>
      <c r="O13" s="346"/>
      <c r="P13" s="346"/>
      <c r="Q13" s="346"/>
      <c r="R13" s="346"/>
      <c r="S13" s="346"/>
      <c r="T13" s="346"/>
      <c r="U13" s="346"/>
      <c r="V13" s="346"/>
      <c r="W13" s="346"/>
      <c r="X13" s="346"/>
      <c r="Y13" s="346"/>
      <c r="Z13" s="346"/>
      <c r="AA13" s="347"/>
      <c r="AB13" s="347"/>
      <c r="AC13" s="348"/>
      <c r="AD13" s="343"/>
      <c r="AE13" s="349" t="s">
        <v>7901</v>
      </c>
      <c r="AF13" s="350"/>
      <c r="AG13" s="350"/>
      <c r="AH13" s="350"/>
      <c r="AI13" s="350"/>
      <c r="AJ13" s="350"/>
      <c r="AK13" s="350"/>
      <c r="AL13" s="350"/>
      <c r="AM13" s="350"/>
      <c r="AN13" s="350"/>
      <c r="AO13" s="350"/>
      <c r="AP13" s="350"/>
      <c r="AQ13" s="350"/>
      <c r="AR13" s="350"/>
      <c r="AS13" s="351"/>
    </row>
    <row r="14" ht="12.95" customHeight="1" spans="1:45">
      <c r="A14" s="343"/>
      <c r="B14" s="352" t="s">
        <v>7902</v>
      </c>
      <c r="C14" s="353"/>
      <c r="D14" s="353"/>
      <c r="E14" s="353"/>
      <c r="F14" s="353"/>
      <c r="G14" s="354"/>
      <c r="H14" s="353"/>
      <c r="K14" s="355" t="s">
        <v>6338</v>
      </c>
      <c r="L14" s="356">
        <v>1</v>
      </c>
      <c r="M14" s="353"/>
      <c r="N14" s="353" t="s">
        <v>7903</v>
      </c>
      <c r="O14" s="353"/>
      <c r="P14" s="353"/>
      <c r="Q14" s="353"/>
      <c r="R14" s="353"/>
      <c r="S14" s="354"/>
      <c r="T14" s="354"/>
      <c r="U14" s="353"/>
      <c r="V14" s="353"/>
      <c r="W14" s="353"/>
      <c r="X14" s="353"/>
      <c r="Y14" s="357"/>
      <c r="Z14" s="354">
        <v>2</v>
      </c>
      <c r="AA14" s="358"/>
      <c r="AB14" s="358"/>
      <c r="AC14" s="359"/>
      <c r="AD14" s="360"/>
      <c r="AE14" s="361"/>
      <c r="AF14" s="360"/>
      <c r="AG14" s="360"/>
      <c r="AH14" s="360"/>
      <c r="AI14" s="360"/>
      <c r="AJ14" s="360"/>
      <c r="AK14" s="360"/>
      <c r="AL14" s="360"/>
      <c r="AM14" s="360"/>
      <c r="AN14" s="360"/>
      <c r="AO14" s="360"/>
      <c r="AP14" s="360"/>
      <c r="AQ14" s="360"/>
      <c r="AR14" s="360"/>
      <c r="AS14" s="362"/>
    </row>
    <row r="15" ht="3" customHeight="1" spans="1:45">
      <c r="A15" s="343"/>
      <c r="B15" s="352"/>
      <c r="C15" s="353"/>
      <c r="D15" s="353"/>
      <c r="E15" s="353"/>
      <c r="F15" s="353"/>
      <c r="G15" s="354"/>
      <c r="H15" s="353"/>
      <c r="J15" s="363"/>
      <c r="L15" s="353"/>
      <c r="M15" s="353"/>
      <c r="N15" s="353"/>
      <c r="O15" s="353"/>
      <c r="P15" s="353"/>
      <c r="Q15" s="353"/>
      <c r="R15" s="353"/>
      <c r="S15" s="354"/>
      <c r="T15" s="354"/>
      <c r="U15" s="353"/>
      <c r="V15" s="353"/>
      <c r="W15" s="353"/>
      <c r="X15" s="353"/>
      <c r="Y15" s="353"/>
      <c r="Z15" s="354"/>
      <c r="AA15" s="358"/>
      <c r="AB15" s="358"/>
      <c r="AC15" s="359"/>
      <c r="AD15" s="360"/>
      <c r="AE15" s="361"/>
      <c r="AF15" s="360"/>
      <c r="AG15" s="360"/>
      <c r="AH15" s="360"/>
      <c r="AI15" s="360"/>
      <c r="AJ15" s="360"/>
      <c r="AK15" s="360"/>
      <c r="AL15" s="360"/>
      <c r="AM15" s="360"/>
      <c r="AN15" s="360"/>
      <c r="AO15" s="360"/>
      <c r="AP15" s="360"/>
      <c r="AQ15" s="360"/>
      <c r="AR15" s="360"/>
      <c r="AS15" s="362"/>
    </row>
    <row r="16" ht="12.95" customHeight="1" spans="1:45">
      <c r="A16" s="343"/>
      <c r="B16" s="352" t="s">
        <v>7904</v>
      </c>
      <c r="C16" s="353"/>
      <c r="D16" s="353"/>
      <c r="E16" s="353"/>
      <c r="F16" s="353"/>
      <c r="G16" s="353"/>
      <c r="H16" s="353"/>
      <c r="K16" s="357"/>
      <c r="L16" s="353">
        <v>3</v>
      </c>
      <c r="M16" s="353"/>
      <c r="N16" s="353" t="s">
        <v>7905</v>
      </c>
      <c r="O16" s="358"/>
      <c r="P16" s="358"/>
      <c r="Q16" s="358"/>
      <c r="R16" s="358"/>
      <c r="S16" s="358"/>
      <c r="T16" s="358"/>
      <c r="U16" s="358"/>
      <c r="V16" s="358"/>
      <c r="W16" s="358"/>
      <c r="X16" s="353"/>
      <c r="Y16" s="357"/>
      <c r="Z16" s="354">
        <v>6</v>
      </c>
      <c r="AA16" s="358"/>
      <c r="AB16" s="358"/>
      <c r="AC16" s="359"/>
      <c r="AD16" s="353"/>
      <c r="AE16" s="364"/>
      <c r="AF16" s="353"/>
      <c r="AG16" s="353"/>
      <c r="AH16" s="353"/>
      <c r="AI16" s="353"/>
      <c r="AJ16" s="353"/>
      <c r="AK16" s="353"/>
      <c r="AL16" s="353"/>
      <c r="AM16" s="353"/>
      <c r="AN16" s="353"/>
      <c r="AO16" s="353"/>
      <c r="AP16" s="353"/>
      <c r="AQ16" s="365">
        <v>0</v>
      </c>
      <c r="AR16" s="366"/>
      <c r="AS16" s="367"/>
    </row>
    <row r="17" ht="2.25" hidden="1" customHeight="1" spans="1:45">
      <c r="A17" s="343"/>
      <c r="B17" s="368"/>
      <c r="C17" s="358"/>
      <c r="D17" s="358"/>
      <c r="E17" s="358"/>
      <c r="F17" s="358"/>
      <c r="G17" s="358"/>
      <c r="H17" s="358"/>
      <c r="I17" s="358"/>
      <c r="J17" s="369"/>
      <c r="K17" s="358"/>
      <c r="L17" s="358"/>
      <c r="M17" s="358"/>
      <c r="N17" s="358"/>
      <c r="O17" s="358"/>
      <c r="P17" s="358"/>
      <c r="Q17" s="358"/>
      <c r="R17" s="358"/>
      <c r="S17" s="358"/>
      <c r="T17" s="358"/>
      <c r="U17" s="358"/>
      <c r="V17" s="358"/>
      <c r="W17" s="358"/>
      <c r="X17" s="358"/>
      <c r="Y17" s="358"/>
      <c r="Z17" s="369"/>
      <c r="AA17" s="358"/>
      <c r="AB17" s="358"/>
      <c r="AC17" s="359"/>
      <c r="AD17" s="353"/>
      <c r="AE17" s="364"/>
      <c r="AF17" s="353"/>
      <c r="AG17" s="353"/>
      <c r="AH17" s="353"/>
      <c r="AI17" s="353"/>
      <c r="AJ17" s="353"/>
      <c r="AK17" s="353"/>
      <c r="AL17" s="353"/>
      <c r="AM17" s="353"/>
      <c r="AN17" s="353"/>
      <c r="AO17" s="353"/>
      <c r="AP17" s="353"/>
      <c r="AQ17" s="370"/>
      <c r="AR17" s="370"/>
      <c r="AS17" s="367"/>
    </row>
    <row r="18" ht="13.5" customHeight="1" spans="1:45">
      <c r="A18" s="343"/>
      <c r="B18" s="371" t="s">
        <v>7906</v>
      </c>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373"/>
      <c r="AD18" s="353"/>
      <c r="AE18" s="364"/>
      <c r="AF18" s="353"/>
      <c r="AG18" s="353"/>
      <c r="AH18" s="353"/>
      <c r="AI18" s="353"/>
      <c r="AJ18" s="353"/>
      <c r="AK18" s="353"/>
      <c r="AL18" s="353"/>
      <c r="AM18" s="353"/>
      <c r="AN18" s="353"/>
      <c r="AO18" s="353"/>
      <c r="AP18" s="353"/>
      <c r="AQ18" s="353"/>
      <c r="AR18" s="353"/>
      <c r="AS18" s="367"/>
    </row>
    <row r="19" ht="12.95" customHeight="1" spans="1:45">
      <c r="AE19" s="374"/>
      <c r="AF19" s="326"/>
      <c r="AG19" s="326"/>
      <c r="AH19" s="326"/>
      <c r="AI19" s="326"/>
      <c r="AJ19" s="326"/>
      <c r="AK19" s="326"/>
      <c r="AL19" s="326"/>
      <c r="AM19" s="326"/>
      <c r="AN19" s="326"/>
      <c r="AO19" s="326"/>
      <c r="AP19" s="326"/>
      <c r="AQ19" s="326"/>
      <c r="AR19" s="326"/>
      <c r="AS19" s="375"/>
    </row>
    <row r="20" ht="15.6" customHeight="1" spans="1:45">
      <c r="B20" s="376" t="s">
        <v>3875</v>
      </c>
      <c r="C20" s="377" t="s">
        <v>7907</v>
      </c>
      <c r="D20" s="377"/>
      <c r="E20" s="377"/>
      <c r="F20" s="377"/>
      <c r="G20" s="377"/>
      <c r="H20" s="377"/>
      <c r="AE20" s="378"/>
      <c r="AS20" s="379"/>
    </row>
    <row r="21" ht="12.95" customHeight="1" spans="1:45">
      <c r="K21" s="380"/>
      <c r="L21" s="380"/>
      <c r="M21" s="380"/>
      <c r="N21" s="380"/>
      <c r="O21" s="380"/>
      <c r="P21" s="380"/>
      <c r="Q21" s="380"/>
      <c r="R21" s="380"/>
      <c r="S21" s="380"/>
      <c r="T21" s="380"/>
      <c r="U21" s="380"/>
      <c r="V21" s="380"/>
      <c r="W21" s="380"/>
      <c r="X21" s="380"/>
      <c r="Y21" s="380"/>
      <c r="Z21" s="380"/>
      <c r="AA21" s="380"/>
      <c r="AB21" s="380"/>
      <c r="AC21" s="380"/>
      <c r="AE21" s="378"/>
      <c r="AF21" s="381">
        <f>UnosPod!AA8</f>
        <v>4</v>
      </c>
      <c r="AG21" s="381">
        <f>UnosPod!AB8</f>
        <v>2</v>
      </c>
      <c r="AH21" s="381">
        <f>UnosPod!AC8</f>
        <v>0</v>
      </c>
      <c r="AI21" s="381">
        <f>UnosPod!AD8</f>
        <v>1</v>
      </c>
      <c r="AJ21" s="381">
        <f>UnosPod!AE8</f>
        <v>3</v>
      </c>
      <c r="AK21" s="381">
        <f>UnosPod!AF8</f>
        <v>3</v>
      </c>
      <c r="AL21" s="381">
        <f>UnosPod!AG8</f>
        <v>7</v>
      </c>
      <c r="AM21" s="381">
        <f>UnosPod!AH8</f>
        <v>6</v>
      </c>
      <c r="AN21" s="381">
        <f>UnosPod!AI8</f>
        <v>7</v>
      </c>
      <c r="AO21" s="381">
        <f>UnosPod!AJ8</f>
        <v>0</v>
      </c>
      <c r="AP21" s="381">
        <f>UnosPod!AK8</f>
        <v>0</v>
      </c>
      <c r="AQ21" s="381">
        <f>UnosPod!AL8</f>
        <v>0</v>
      </c>
      <c r="AR21" s="381">
        <f>UnosPod!AM8</f>
        <v>9</v>
      </c>
      <c r="AS21" s="379"/>
    </row>
    <row r="22" ht="15.6" customHeight="1" spans="1:45">
      <c r="B22" s="376" t="s">
        <v>3877</v>
      </c>
      <c r="C22" s="377" t="s">
        <v>7908</v>
      </c>
      <c r="D22" s="377"/>
      <c r="E22" s="377"/>
      <c r="F22" s="377"/>
      <c r="G22" s="377"/>
      <c r="H22" s="377"/>
      <c r="AE22" s="378"/>
      <c r="AF22" s="1"/>
      <c r="AG22" s="1"/>
      <c r="AH22" s="1"/>
      <c r="AI22" s="1"/>
      <c r="AJ22" s="1"/>
      <c r="AK22" s="1"/>
      <c r="AL22" s="1"/>
      <c r="AM22" s="1"/>
      <c r="AN22" s="1"/>
      <c r="AO22" s="1"/>
      <c r="AP22" s="1"/>
      <c r="AQ22" s="1"/>
      <c r="AR22" s="1"/>
      <c r="AS22" s="379"/>
    </row>
    <row r="23" ht="12.95" customHeight="1" spans="1:45">
      <c r="B23" s="376"/>
      <c r="C23" s="377" t="s">
        <v>7909</v>
      </c>
      <c r="D23" s="377"/>
      <c r="E23" s="377"/>
      <c r="F23" s="377"/>
      <c r="G23" s="377"/>
      <c r="H23" s="377"/>
      <c r="AE23" s="378"/>
      <c r="AF23" s="1"/>
      <c r="AG23" s="1"/>
      <c r="AH23" s="1"/>
      <c r="AI23" s="1"/>
      <c r="AJ23" s="1"/>
      <c r="AK23" s="1"/>
      <c r="AL23" s="1"/>
      <c r="AM23" s="1"/>
      <c r="AN23" s="1"/>
      <c r="AO23" s="1"/>
      <c r="AP23" s="1"/>
      <c r="AQ23" s="1"/>
      <c r="AR23" s="1"/>
      <c r="AS23" s="379"/>
    </row>
    <row r="24" ht="12.95" customHeight="1" spans="1:45">
      <c r="K24" s="380"/>
      <c r="L24" s="380"/>
      <c r="M24" s="380"/>
      <c r="N24" s="380"/>
      <c r="O24" s="380"/>
      <c r="P24" s="380"/>
      <c r="Q24" s="380"/>
      <c r="R24" s="380"/>
      <c r="S24" s="380"/>
      <c r="T24" s="380"/>
      <c r="U24" s="380"/>
      <c r="V24" s="380"/>
      <c r="W24" s="380"/>
      <c r="X24" s="380"/>
      <c r="Y24" s="380"/>
      <c r="Z24" s="380"/>
      <c r="AA24" s="380"/>
      <c r="AB24" s="380"/>
      <c r="AC24" s="380"/>
      <c r="AE24" s="378"/>
      <c r="AF24" s="381"/>
      <c r="AG24" s="381"/>
      <c r="AH24" s="381"/>
      <c r="AI24" s="381"/>
      <c r="AJ24" s="381"/>
      <c r="AK24" s="381"/>
      <c r="AL24" s="381"/>
      <c r="AM24" s="381"/>
      <c r="AN24" s="381"/>
      <c r="AO24" s="381"/>
      <c r="AP24" s="381"/>
      <c r="AQ24" s="381"/>
      <c r="AR24" s="381"/>
      <c r="AS24" s="379"/>
    </row>
    <row r="25" ht="15.6" customHeight="1" spans="1:45">
      <c r="B25" s="330" t="s">
        <v>7910</v>
      </c>
      <c r="C25" s="377" t="s">
        <v>7911</v>
      </c>
      <c r="D25" s="377"/>
      <c r="E25" s="377"/>
      <c r="F25" s="377"/>
      <c r="G25" s="377"/>
      <c r="H25" s="377"/>
      <c r="AE25" s="378"/>
      <c r="AF25" s="1"/>
      <c r="AG25" s="1"/>
      <c r="AH25" s="1"/>
      <c r="AI25" s="1"/>
      <c r="AJ25" s="1"/>
      <c r="AK25" s="1"/>
      <c r="AL25" s="1"/>
      <c r="AM25" s="1"/>
      <c r="AN25" s="1"/>
      <c r="AO25" s="1"/>
      <c r="AP25" s="1"/>
      <c r="AQ25" s="1"/>
      <c r="AR25" s="1"/>
      <c r="AS25" s="379"/>
    </row>
    <row r="26" ht="12.95" customHeight="1" spans="1:45">
      <c r="B26" s="330"/>
      <c r="C26" s="356" t="s">
        <v>7912</v>
      </c>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E26" s="378"/>
      <c r="AF26" s="1"/>
      <c r="AG26" s="1"/>
      <c r="AH26" s="1"/>
      <c r="AI26" s="1"/>
      <c r="AJ26" s="1"/>
      <c r="AK26" s="1"/>
      <c r="AL26" s="1"/>
      <c r="AM26" s="1"/>
      <c r="AN26" s="1"/>
      <c r="AO26" s="1"/>
      <c r="AP26" s="1"/>
      <c r="AQ26" s="1"/>
      <c r="AR26" s="1"/>
      <c r="AS26" s="379"/>
    </row>
    <row r="27" ht="12.95" customHeight="1" spans="1:45">
      <c r="B27" s="330"/>
      <c r="C27" s="377"/>
      <c r="D27" s="377"/>
      <c r="E27" s="377"/>
      <c r="F27" s="377"/>
      <c r="G27" s="377"/>
      <c r="H27" s="377"/>
      <c r="AE27" s="378"/>
      <c r="AF27" s="1"/>
      <c r="AG27" s="1"/>
      <c r="AH27" s="1"/>
      <c r="AI27" s="1"/>
      <c r="AJ27" s="1"/>
      <c r="AK27" s="1"/>
      <c r="AL27" s="1"/>
      <c r="AM27" s="1"/>
      <c r="AN27" s="1"/>
      <c r="AO27" s="1"/>
      <c r="AP27" s="1"/>
      <c r="AQ27" s="1"/>
      <c r="AR27" s="1"/>
      <c r="AS27" s="379"/>
    </row>
    <row r="28" ht="12.95" customHeight="1" spans="1:45">
      <c r="B28" s="330"/>
      <c r="C28" s="377" t="s">
        <v>7913</v>
      </c>
      <c r="K28" s="382" t="s">
        <v>7914</v>
      </c>
      <c r="L28" s="383"/>
      <c r="M28" s="383"/>
      <c r="N28" s="383"/>
      <c r="O28" s="383"/>
      <c r="P28" s="383"/>
      <c r="Q28" s="383"/>
      <c r="R28" s="383"/>
      <c r="S28" s="383"/>
      <c r="T28" s="383"/>
      <c r="U28" s="383"/>
      <c r="V28" s="383"/>
      <c r="W28" s="383"/>
      <c r="X28" s="383"/>
      <c r="Y28" s="383"/>
      <c r="Z28" s="383"/>
      <c r="AA28" s="383"/>
      <c r="AB28" s="383"/>
      <c r="AC28" s="383"/>
      <c r="AE28" s="378"/>
      <c r="AF28" s="1"/>
      <c r="AG28" s="1"/>
      <c r="AH28" s="1"/>
      <c r="AI28" s="1"/>
      <c r="AJ28" s="1"/>
      <c r="AK28" s="1"/>
      <c r="AL28" s="1"/>
      <c r="AM28" s="1"/>
      <c r="AN28" s="1"/>
      <c r="AO28" s="1"/>
      <c r="AP28" s="1"/>
      <c r="AQ28" s="1"/>
      <c r="AR28" s="1"/>
      <c r="AS28" s="379"/>
    </row>
    <row r="29" ht="8.25" customHeight="1" spans="1:45">
      <c r="B29" s="330"/>
      <c r="C29" s="377"/>
      <c r="D29" s="377"/>
      <c r="E29" s="377"/>
      <c r="F29" s="377"/>
      <c r="G29" s="377"/>
      <c r="H29" s="377"/>
      <c r="AE29" s="378"/>
      <c r="AF29" s="1"/>
      <c r="AG29" s="1"/>
      <c r="AH29" s="1"/>
      <c r="AI29" s="1"/>
      <c r="AJ29" s="1"/>
      <c r="AK29" s="1"/>
      <c r="AL29" s="1"/>
      <c r="AM29" s="1"/>
      <c r="AN29" s="1"/>
      <c r="AO29" s="1"/>
      <c r="AP29" s="1"/>
      <c r="AQ29" s="1"/>
      <c r="AR29" s="1"/>
      <c r="AS29" s="379"/>
    </row>
    <row r="30" ht="12.95" customHeight="1" spans="1:45">
      <c r="B30" s="330"/>
      <c r="C30" s="384"/>
      <c r="D30" s="384"/>
      <c r="E30" s="385" t="str">
        <f>Firma</f>
        <v>LILIUM ASSET MANAGEMENT d.o.o. Sarajevo</v>
      </c>
      <c r="F30" s="384"/>
      <c r="G30" s="384"/>
      <c r="H30" s="384"/>
      <c r="I30" s="380"/>
      <c r="J30" s="380"/>
      <c r="K30" s="380"/>
      <c r="L30" s="380"/>
      <c r="M30" s="380"/>
      <c r="N30" s="380"/>
      <c r="O30" s="380"/>
      <c r="P30" s="380"/>
      <c r="Q30" s="380"/>
      <c r="R30" s="380"/>
      <c r="S30" s="380"/>
      <c r="T30" s="380"/>
      <c r="U30" s="380"/>
      <c r="V30" s="380"/>
      <c r="W30" s="380"/>
      <c r="X30" s="380"/>
      <c r="Y30" s="380"/>
      <c r="Z30" s="380"/>
      <c r="AA30" s="380"/>
      <c r="AB30" s="380"/>
      <c r="AC30" s="380"/>
      <c r="AE30" s="378"/>
      <c r="AF30" s="1"/>
      <c r="AG30" s="1"/>
      <c r="AH30" s="1"/>
      <c r="AI30" s="1"/>
      <c r="AJ30" s="1"/>
      <c r="AK30" s="1"/>
      <c r="AL30" s="1"/>
      <c r="AM30" s="1"/>
      <c r="AN30" s="1"/>
      <c r="AO30" s="1"/>
      <c r="AP30" s="1"/>
      <c r="AQ30" s="1"/>
      <c r="AR30" s="1"/>
      <c r="AS30" s="379"/>
    </row>
    <row r="31" ht="8.25" customHeight="1" spans="1:45">
      <c r="B31" s="330"/>
      <c r="C31" s="377"/>
      <c r="D31" s="377"/>
      <c r="E31" s="377"/>
      <c r="F31" s="377"/>
      <c r="G31" s="377"/>
      <c r="H31" s="377"/>
      <c r="AE31" s="378"/>
      <c r="AF31" s="1"/>
      <c r="AG31" s="1"/>
      <c r="AH31" s="1"/>
      <c r="AI31" s="1"/>
      <c r="AJ31" s="1"/>
      <c r="AK31" s="1"/>
      <c r="AL31" s="1"/>
      <c r="AM31" s="1"/>
      <c r="AN31" s="1"/>
      <c r="AO31" s="1"/>
      <c r="AP31" s="1"/>
      <c r="AQ31" s="1"/>
      <c r="AR31" s="1"/>
      <c r="AS31" s="379"/>
    </row>
    <row r="32" ht="12.95" customHeight="1" spans="1:45">
      <c r="B32" s="330"/>
      <c r="C32" s="384"/>
      <c r="D32" s="384"/>
      <c r="E32" s="384"/>
      <c r="F32" s="384"/>
      <c r="G32" s="384"/>
      <c r="H32" s="384"/>
      <c r="I32" s="380"/>
      <c r="J32" s="380"/>
      <c r="K32" s="380"/>
      <c r="L32" s="380"/>
      <c r="M32" s="380"/>
      <c r="N32" s="380"/>
      <c r="O32" s="380"/>
      <c r="P32" s="380"/>
      <c r="Q32" s="380"/>
      <c r="R32" s="380"/>
      <c r="S32" s="380"/>
      <c r="T32" s="380"/>
      <c r="U32" s="380"/>
      <c r="V32" s="380"/>
      <c r="W32" s="380"/>
      <c r="X32" s="380"/>
      <c r="Y32" s="380"/>
      <c r="Z32" s="380"/>
      <c r="AA32" s="380"/>
      <c r="AB32" s="380"/>
      <c r="AC32" s="380"/>
      <c r="AE32" s="378"/>
      <c r="AF32" s="1"/>
      <c r="AG32" s="1"/>
      <c r="AH32" s="1"/>
      <c r="AI32" s="1"/>
      <c r="AJ32" s="1"/>
      <c r="AK32" s="1"/>
      <c r="AL32" s="1"/>
      <c r="AM32" s="1"/>
      <c r="AN32" s="1"/>
      <c r="AO32" s="1"/>
      <c r="AP32" s="1"/>
      <c r="AQ32" s="1"/>
      <c r="AR32" s="1"/>
      <c r="AS32" s="379"/>
    </row>
    <row r="33" ht="12.95" customHeight="1" spans="2:45">
      <c r="B33" s="330"/>
      <c r="C33" s="377"/>
      <c r="D33" s="377"/>
      <c r="E33" s="377"/>
      <c r="F33" s="377"/>
      <c r="G33" s="377"/>
      <c r="H33" s="377"/>
      <c r="AE33" s="378"/>
      <c r="AF33" s="1"/>
      <c r="AG33" s="1"/>
      <c r="AH33" s="1"/>
      <c r="AI33" s="1"/>
      <c r="AJ33" s="1"/>
      <c r="AK33" s="1"/>
      <c r="AL33" s="1"/>
      <c r="AM33" s="1"/>
      <c r="AN33" s="1"/>
      <c r="AO33" s="1"/>
      <c r="AP33" s="1"/>
      <c r="AQ33" s="1"/>
      <c r="AR33" s="1"/>
      <c r="AS33" s="379"/>
    </row>
    <row r="34" ht="12.95" customHeight="1" spans="2:45">
      <c r="C34" s="377" t="s">
        <v>7915</v>
      </c>
      <c r="D34" s="377"/>
      <c r="E34" s="377"/>
      <c r="F34" s="377"/>
      <c r="G34" s="377"/>
      <c r="H34" s="377"/>
      <c r="L34" s="383"/>
      <c r="M34" s="383"/>
      <c r="N34" s="383"/>
      <c r="O34" s="383"/>
      <c r="P34" s="383"/>
      <c r="Q34" s="383"/>
      <c r="R34" s="383"/>
      <c r="S34" s="383"/>
      <c r="T34" s="383"/>
      <c r="U34" s="383"/>
      <c r="V34" s="383"/>
      <c r="W34" s="383"/>
      <c r="X34" s="383"/>
      <c r="Y34" s="383"/>
      <c r="Z34" s="383"/>
      <c r="AA34" s="383"/>
      <c r="AB34" s="383"/>
      <c r="AC34" s="383"/>
      <c r="AE34" s="378"/>
      <c r="AF34" s="1"/>
      <c r="AG34" s="1"/>
      <c r="AH34" s="1"/>
      <c r="AI34" s="1"/>
      <c r="AJ34" s="1"/>
      <c r="AK34" s="1"/>
      <c r="AL34" s="1"/>
      <c r="AM34" s="1"/>
      <c r="AN34" s="1"/>
      <c r="AO34" s="1"/>
      <c r="AP34" s="1"/>
      <c r="AQ34" s="1"/>
      <c r="AR34" s="1"/>
      <c r="AS34" s="379"/>
    </row>
    <row r="35" ht="15.75" customHeight="1" spans="2:45">
      <c r="B35" s="330"/>
      <c r="E35" s="386" t="str">
        <f>Firma</f>
        <v>LILIUM ASSET MANAGEMENT d.o.o. Sarajevo</v>
      </c>
      <c r="F35" s="377"/>
      <c r="G35" s="377"/>
      <c r="H35" s="377"/>
      <c r="AE35" s="378"/>
      <c r="AF35" s="1"/>
      <c r="AG35" s="1"/>
      <c r="AH35" s="1"/>
      <c r="AI35" s="1"/>
      <c r="AJ35" s="1"/>
      <c r="AK35" s="1"/>
      <c r="AL35" s="1"/>
      <c r="AM35" s="1"/>
      <c r="AN35" s="1"/>
      <c r="AO35" s="1"/>
      <c r="AP35" s="1"/>
      <c r="AQ35" s="1"/>
      <c r="AR35" s="1"/>
      <c r="AS35" s="379"/>
    </row>
    <row r="36" ht="3" customHeight="1" spans="2:45">
      <c r="B36" s="330"/>
      <c r="C36" s="384"/>
      <c r="D36" s="384"/>
      <c r="E36" s="384"/>
      <c r="F36" s="384"/>
      <c r="G36" s="384"/>
      <c r="H36" s="384"/>
      <c r="I36" s="380"/>
      <c r="J36" s="380"/>
      <c r="K36" s="380"/>
      <c r="L36" s="380"/>
      <c r="M36" s="380"/>
      <c r="N36" s="380"/>
      <c r="O36" s="380"/>
      <c r="P36" s="380"/>
      <c r="Q36" s="380"/>
      <c r="R36" s="380"/>
      <c r="S36" s="380"/>
      <c r="T36" s="380"/>
      <c r="U36" s="380"/>
      <c r="V36" s="380"/>
      <c r="W36" s="380"/>
      <c r="X36" s="380"/>
      <c r="Y36" s="380"/>
      <c r="Z36" s="380"/>
      <c r="AA36" s="380"/>
      <c r="AB36" s="380"/>
      <c r="AC36" s="380"/>
      <c r="AE36" s="378"/>
      <c r="AF36" s="1"/>
      <c r="AG36" s="1"/>
      <c r="AH36" s="1"/>
      <c r="AI36" s="1"/>
      <c r="AJ36" s="1"/>
      <c r="AK36" s="1"/>
      <c r="AL36" s="1"/>
      <c r="AM36" s="1"/>
      <c r="AN36" s="1"/>
      <c r="AO36" s="1"/>
      <c r="AP36" s="1"/>
      <c r="AQ36" s="1"/>
      <c r="AR36" s="1"/>
      <c r="AS36" s="379"/>
    </row>
    <row r="37" ht="15.75" customHeight="1" spans="2:45">
      <c r="AE37" s="378"/>
      <c r="AF37" s="1"/>
      <c r="AG37" s="1"/>
      <c r="AH37" s="1"/>
      <c r="AI37" s="1"/>
      <c r="AJ37" s="1"/>
      <c r="AK37" s="1"/>
      <c r="AL37" s="1"/>
      <c r="AM37" s="1"/>
      <c r="AN37" s="1"/>
      <c r="AO37" s="1"/>
      <c r="AP37" s="1"/>
      <c r="AQ37" s="1"/>
      <c r="AR37" s="1"/>
      <c r="AS37" s="379"/>
    </row>
    <row r="38" ht="15.6" customHeight="1" spans="2:45">
      <c r="B38" s="330" t="s">
        <v>7916</v>
      </c>
      <c r="C38" s="377" t="s">
        <v>7917</v>
      </c>
      <c r="D38" s="377"/>
      <c r="E38" s="377"/>
      <c r="F38" s="377"/>
      <c r="G38" s="377"/>
      <c r="H38" s="377"/>
      <c r="AE38" s="378"/>
      <c r="AF38" s="1"/>
      <c r="AG38" s="1"/>
      <c r="AH38" s="1"/>
      <c r="AI38" s="1"/>
      <c r="AJ38" s="1"/>
      <c r="AK38" s="1"/>
      <c r="AL38" s="1"/>
      <c r="AM38" s="1"/>
      <c r="AN38" s="1"/>
      <c r="AO38" s="1"/>
      <c r="AP38" s="1"/>
      <c r="AQ38" s="1"/>
      <c r="AR38" s="1"/>
      <c r="AS38" s="379"/>
    </row>
    <row r="39" ht="12.95" customHeight="1" spans="2:45">
      <c r="C39" s="377" t="s">
        <v>7918</v>
      </c>
      <c r="D39" s="377"/>
      <c r="E39" s="377"/>
      <c r="G39" s="326"/>
      <c r="H39" s="387" t="str">
        <f>UnosPod!F11</f>
        <v>Sarajevo</v>
      </c>
      <c r="I39" s="387"/>
      <c r="J39" s="383"/>
      <c r="K39" s="383"/>
      <c r="L39" s="383"/>
      <c r="M39" s="383"/>
      <c r="N39" s="380"/>
      <c r="O39" s="380"/>
      <c r="Q39" s="377" t="s">
        <v>7919</v>
      </c>
      <c r="R39" s="377"/>
      <c r="S39" s="377"/>
      <c r="U39" s="388" t="str">
        <f>UnosPod!AT11</f>
        <v>Sarajevo-Stari Grad</v>
      </c>
      <c r="V39" s="388"/>
      <c r="W39" s="388"/>
      <c r="X39" s="388"/>
      <c r="Y39" s="388"/>
      <c r="Z39" s="388"/>
      <c r="AA39" s="388"/>
      <c r="AB39" s="388"/>
      <c r="AC39" s="388"/>
      <c r="AE39" s="378"/>
      <c r="AF39" s="370"/>
      <c r="AG39" s="1"/>
      <c r="AH39" s="1"/>
      <c r="AI39" s="1"/>
      <c r="AJ39" s="389"/>
      <c r="AK39" s="390"/>
      <c r="AL39" s="1"/>
      <c r="AM39" s="1"/>
      <c r="AN39" s="389"/>
      <c r="AO39" s="391"/>
      <c r="AP39" s="391"/>
      <c r="AQ39" s="389"/>
      <c r="AR39" s="389"/>
      <c r="AS39" s="379"/>
    </row>
    <row r="40" ht="12.95" customHeight="1" spans="2:45">
      <c r="B40" s="330"/>
      <c r="C40" s="377" t="s">
        <v>7920</v>
      </c>
      <c r="D40" s="377"/>
      <c r="E40" s="377"/>
      <c r="F40" s="377"/>
      <c r="G40" s="326"/>
      <c r="H40" s="392"/>
      <c r="I40" s="392"/>
      <c r="J40" s="392"/>
      <c r="K40" s="383"/>
      <c r="L40" s="383"/>
      <c r="M40" s="383"/>
      <c r="N40" s="383"/>
      <c r="O40" s="383"/>
      <c r="P40" s="383"/>
      <c r="Q40" s="383"/>
      <c r="R40" s="383"/>
      <c r="S40" s="383"/>
      <c r="T40" s="383"/>
      <c r="U40" s="393"/>
      <c r="V40" s="383"/>
      <c r="W40" s="383"/>
      <c r="X40" s="383"/>
      <c r="Y40" s="383"/>
      <c r="Z40" s="383"/>
      <c r="AA40" s="383"/>
      <c r="AB40" s="383"/>
      <c r="AC40" s="383"/>
      <c r="AE40" s="378"/>
      <c r="AF40" s="1"/>
      <c r="AG40" s="1"/>
      <c r="AH40" s="1"/>
      <c r="AI40" s="1"/>
      <c r="AJ40" s="1"/>
      <c r="AK40" s="1"/>
      <c r="AL40" s="1"/>
      <c r="AM40" s="389"/>
      <c r="AN40" s="389"/>
      <c r="AO40" s="391"/>
      <c r="AP40" s="391"/>
      <c r="AQ40" s="389"/>
      <c r="AR40" s="389"/>
      <c r="AS40" s="379"/>
    </row>
    <row r="41" ht="12.95" customHeight="1" spans="2:45">
      <c r="B41" s="330"/>
      <c r="C41" s="377" t="s">
        <v>7921</v>
      </c>
      <c r="D41" s="377"/>
      <c r="E41" s="377"/>
      <c r="F41" s="377"/>
      <c r="G41" s="326"/>
      <c r="H41" s="382" t="str">
        <f>Adresa</f>
        <v>Dženetića čikma br.8</v>
      </c>
      <c r="I41" s="383"/>
      <c r="J41" s="383"/>
      <c r="K41" s="393"/>
      <c r="L41" s="393"/>
      <c r="M41" s="393"/>
      <c r="N41" s="393"/>
      <c r="O41" s="393"/>
      <c r="P41" s="393"/>
      <c r="Q41" s="393"/>
      <c r="R41" s="393"/>
      <c r="S41" s="393"/>
      <c r="T41" s="394"/>
      <c r="V41" s="377" t="s">
        <v>6499</v>
      </c>
      <c r="W41" s="377"/>
      <c r="X41" s="393"/>
      <c r="Y41" s="393"/>
      <c r="Z41" s="393"/>
      <c r="AA41" s="393"/>
      <c r="AB41" s="393"/>
      <c r="AC41" s="395"/>
      <c r="AE41" s="378"/>
      <c r="AF41" s="1"/>
      <c r="AG41" s="1"/>
      <c r="AH41" s="389"/>
      <c r="AI41" s="391"/>
      <c r="AJ41" s="391"/>
      <c r="AK41" s="389"/>
      <c r="AL41" s="1"/>
      <c r="AM41" s="389"/>
      <c r="AN41" s="389"/>
      <c r="AO41" s="391"/>
      <c r="AP41" s="391"/>
      <c r="AQ41" s="389"/>
      <c r="AR41" s="389"/>
      <c r="AS41" s="379"/>
    </row>
    <row r="42" ht="16.5" customHeight="1" spans="2:45">
      <c r="B42" s="330"/>
      <c r="C42" s="324" t="s">
        <v>6565</v>
      </c>
      <c r="D42" s="324" t="s">
        <v>361</v>
      </c>
      <c r="J42" s="389"/>
      <c r="K42" s="391"/>
      <c r="L42" s="391"/>
      <c r="M42" s="396"/>
      <c r="N42" s="389"/>
      <c r="V42" s="324" t="s">
        <v>7922</v>
      </c>
      <c r="X42" s="397"/>
      <c r="Y42" s="380"/>
      <c r="Z42" s="380"/>
      <c r="AA42" s="380"/>
      <c r="AB42" s="380"/>
      <c r="AC42" s="380"/>
      <c r="AE42" s="378"/>
      <c r="AF42" s="1"/>
      <c r="AG42" s="1"/>
      <c r="AH42" s="1"/>
      <c r="AI42" s="398"/>
      <c r="AJ42" s="398"/>
      <c r="AK42" s="1"/>
      <c r="AL42" s="1"/>
      <c r="AM42" s="1"/>
      <c r="AN42" s="1"/>
      <c r="AO42" s="398"/>
      <c r="AP42" s="398"/>
      <c r="AQ42" s="1"/>
      <c r="AR42" s="1"/>
      <c r="AS42" s="379"/>
    </row>
    <row r="43" ht="12.95" customHeight="1" spans="2:45">
      <c r="B43" s="330"/>
      <c r="D43" s="324" t="s">
        <v>7335</v>
      </c>
      <c r="H43" s="399" t="str">
        <f>UnosPod!F14</f>
        <v>info@lilium_dzu.ba</v>
      </c>
      <c r="I43" s="400"/>
      <c r="J43" s="400"/>
      <c r="K43" s="400"/>
      <c r="L43" s="400"/>
      <c r="M43" s="400"/>
      <c r="N43" s="400"/>
      <c r="O43" s="400"/>
      <c r="P43" s="400"/>
      <c r="Q43" s="400"/>
      <c r="R43" s="401"/>
      <c r="S43" s="401"/>
      <c r="T43" s="400"/>
      <c r="U43" s="402"/>
      <c r="V43" s="324" t="s">
        <v>7923</v>
      </c>
      <c r="X43" s="403"/>
      <c r="Y43" s="403"/>
      <c r="Z43" s="400"/>
      <c r="AA43" s="400"/>
      <c r="AB43" s="400"/>
      <c r="AC43" s="404"/>
      <c r="AE43" s="378"/>
      <c r="AF43" s="1"/>
      <c r="AG43" s="1"/>
      <c r="AH43" s="1"/>
      <c r="AI43" s="1"/>
      <c r="AJ43" s="1"/>
      <c r="AK43" s="1"/>
      <c r="AL43" s="1"/>
      <c r="AM43" s="1"/>
      <c r="AN43" s="1"/>
      <c r="AO43" s="1"/>
      <c r="AP43" s="1"/>
      <c r="AQ43" s="1"/>
      <c r="AR43" s="1"/>
      <c r="AS43" s="379"/>
    </row>
    <row r="44" ht="13.5" customHeight="1" spans="2:45">
      <c r="B44" s="330"/>
      <c r="AE44" s="378"/>
      <c r="AF44" s="1"/>
      <c r="AG44" s="1"/>
      <c r="AH44" s="1"/>
      <c r="AI44" s="1"/>
      <c r="AJ44" s="1"/>
      <c r="AK44" s="1"/>
      <c r="AL44" s="1"/>
      <c r="AM44" s="1"/>
      <c r="AN44" s="1"/>
      <c r="AO44" s="1"/>
      <c r="AP44" s="1"/>
      <c r="AQ44" s="1"/>
      <c r="AR44" s="1"/>
      <c r="AS44" s="379"/>
    </row>
    <row r="45" ht="15.6" customHeight="1" spans="2:45">
      <c r="B45" s="325" t="s">
        <v>3905</v>
      </c>
      <c r="C45" s="405" t="s">
        <v>7924</v>
      </c>
      <c r="AE45" s="378"/>
      <c r="AF45" s="1"/>
      <c r="AG45" s="1"/>
      <c r="AH45" s="1"/>
      <c r="AI45" s="1"/>
      <c r="AJ45" s="1"/>
      <c r="AK45" s="1"/>
      <c r="AL45" s="1"/>
      <c r="AM45" s="1"/>
      <c r="AN45" s="1"/>
      <c r="AO45" s="1"/>
      <c r="AP45" s="1"/>
      <c r="AQ45" s="1"/>
      <c r="AR45" s="1"/>
      <c r="AS45" s="379"/>
    </row>
    <row r="46" customHeight="1" spans="2:45">
      <c r="B46" s="330"/>
      <c r="C46" s="406"/>
      <c r="D46" s="324">
        <v>1</v>
      </c>
      <c r="E46" s="324" t="s">
        <v>7925</v>
      </c>
      <c r="S46" s="407" t="s">
        <v>6338</v>
      </c>
      <c r="T46" s="324">
        <v>2</v>
      </c>
      <c r="U46" s="408" t="s">
        <v>7926</v>
      </c>
      <c r="AE46" s="378"/>
      <c r="AF46" s="1"/>
      <c r="AG46" s="1"/>
      <c r="AH46" s="1"/>
      <c r="AI46" s="1"/>
      <c r="AJ46" s="1"/>
      <c r="AK46" s="1"/>
      <c r="AL46" s="1"/>
      <c r="AM46" s="1"/>
      <c r="AN46" s="1"/>
      <c r="AO46" s="1"/>
      <c r="AP46" s="1"/>
      <c r="AQ46" s="409">
        <v>0</v>
      </c>
      <c r="AR46" s="410"/>
      <c r="AS46" s="379"/>
    </row>
    <row r="47" ht="3.6" customHeight="1" spans="2:45">
      <c r="B47" s="330"/>
      <c r="AE47" s="378"/>
      <c r="AF47" s="1"/>
      <c r="AG47" s="1"/>
      <c r="AH47" s="1"/>
      <c r="AI47" s="1"/>
      <c r="AJ47" s="1"/>
      <c r="AK47" s="1"/>
      <c r="AL47" s="1"/>
      <c r="AM47" s="1"/>
      <c r="AN47" s="1"/>
      <c r="AO47" s="1"/>
      <c r="AP47" s="1"/>
      <c r="AQ47" s="1"/>
      <c r="AR47" s="1"/>
      <c r="AS47" s="379"/>
    </row>
    <row r="48" customFormat="1" ht="12.95" customHeight="1" spans="2:45">
      <c r="C48" s="411"/>
      <c r="D48">
        <v>3</v>
      </c>
      <c r="E48" s="324" t="s">
        <v>7927</v>
      </c>
      <c r="F48" s="412"/>
      <c r="G48" s="412"/>
      <c r="H48" s="412"/>
      <c r="I48" s="412"/>
      <c r="J48" s="412"/>
      <c r="K48" s="412"/>
      <c r="L48" s="412"/>
      <c r="M48" s="412"/>
      <c r="N48" s="412"/>
      <c r="O48" s="412"/>
      <c r="P48" s="412"/>
      <c r="Q48" s="412"/>
      <c r="R48" s="412"/>
      <c r="S48" s="411"/>
      <c r="T48">
        <v>4</v>
      </c>
      <c r="U48" t="s">
        <v>2633</v>
      </c>
      <c r="V48" s="412"/>
      <c r="W48" s="412"/>
      <c r="AE48" s="378"/>
      <c r="AS48" s="379"/>
    </row>
    <row r="49" customFormat="1" ht="11.25" customHeight="1" spans="1:45">
      <c r="AE49" s="378"/>
      <c r="AS49" s="379"/>
    </row>
    <row r="50" customFormat="1" ht="15.6" customHeight="1" spans="1:45">
      <c r="A50" s="412"/>
      <c r="B50" t="s">
        <v>3915</v>
      </c>
      <c r="C50" s="405" t="s">
        <v>7928</v>
      </c>
      <c r="D50" s="413"/>
      <c r="E50" s="413"/>
      <c r="F50" s="412"/>
      <c r="G50" s="412"/>
      <c r="H50" s="412"/>
      <c r="I50" s="412"/>
      <c r="J50" s="412"/>
      <c r="K50" s="412"/>
      <c r="L50" s="412"/>
      <c r="M50" s="412"/>
      <c r="N50" s="412"/>
      <c r="O50" s="412"/>
      <c r="P50" s="412"/>
      <c r="Q50" s="412"/>
      <c r="R50" s="412"/>
      <c r="S50" s="412"/>
      <c r="T50" s="414"/>
      <c r="U50" s="414"/>
      <c r="V50" s="415" t="s">
        <v>7929</v>
      </c>
      <c r="W50" s="414"/>
      <c r="X50" s="414"/>
      <c r="Y50" s="415" t="s">
        <v>7929</v>
      </c>
      <c r="Z50" s="414"/>
      <c r="AA50" s="414"/>
      <c r="AB50" s="414"/>
      <c r="AC50" s="414"/>
      <c r="AD50" s="416"/>
      <c r="AE50" s="417"/>
      <c r="AF50" s="412"/>
      <c r="AG50" s="412"/>
      <c r="AH50" s="412"/>
      <c r="AI50" s="414"/>
      <c r="AJ50" s="414"/>
      <c r="AK50" s="415" t="s">
        <v>7929</v>
      </c>
      <c r="AL50" s="414"/>
      <c r="AM50" s="414"/>
      <c r="AN50" s="415" t="s">
        <v>7929</v>
      </c>
      <c r="AO50" s="414"/>
      <c r="AP50" s="414"/>
      <c r="AQ50" s="414"/>
      <c r="AR50" s="414"/>
      <c r="AS50" s="418"/>
    </row>
    <row r="51" customFormat="1" ht="7.9" customHeight="1" spans="1:45">
      <c r="AE51" s="378"/>
      <c r="AS51" s="379"/>
    </row>
    <row r="52" customFormat="1" ht="15.6" customHeight="1" spans="1:45">
      <c r="B52" s="325" t="s">
        <v>3918</v>
      </c>
      <c r="C52" s="405" t="s">
        <v>7930</v>
      </c>
      <c r="AE52" s="378"/>
      <c r="AS52" s="379"/>
    </row>
    <row r="53" customFormat="1" ht="12.95" customHeight="1" spans="1:45">
      <c r="B53" s="325"/>
      <c r="C53" s="419" t="s">
        <v>7931</v>
      </c>
      <c r="D53" s="419"/>
      <c r="E53" s="419"/>
      <c r="F53" s="419"/>
      <c r="G53" s="419"/>
      <c r="H53" s="419"/>
      <c r="I53" s="419"/>
      <c r="J53" s="419"/>
      <c r="K53" s="419"/>
      <c r="L53" s="419"/>
      <c r="M53" s="419"/>
      <c r="N53" s="419"/>
      <c r="O53" s="420"/>
      <c r="P53" s="324"/>
      <c r="Q53" s="324"/>
      <c r="R53" s="324"/>
      <c r="S53" s="324"/>
      <c r="T53" s="421"/>
      <c r="U53" s="421"/>
      <c r="V53" s="415" t="s">
        <v>7929</v>
      </c>
      <c r="W53" s="421"/>
      <c r="X53" s="421"/>
      <c r="Y53" s="415" t="s">
        <v>7929</v>
      </c>
      <c r="Z53" s="421"/>
      <c r="AA53" s="421"/>
      <c r="AB53" s="421"/>
      <c r="AC53" s="421"/>
      <c r="AD53" s="415"/>
      <c r="AE53" s="378"/>
      <c r="AH53" s="324"/>
      <c r="AI53" s="421"/>
      <c r="AJ53" s="421"/>
      <c r="AK53" s="415" t="s">
        <v>7929</v>
      </c>
      <c r="AL53" s="421"/>
      <c r="AM53" s="421"/>
      <c r="AN53" s="415" t="s">
        <v>7929</v>
      </c>
      <c r="AO53" s="421"/>
      <c r="AP53" s="421"/>
      <c r="AQ53" s="421"/>
      <c r="AR53" s="410"/>
      <c r="AS53" s="379"/>
    </row>
    <row r="54" customFormat="1" ht="12.95" customHeight="1" spans="1:45">
      <c r="AE54" s="378"/>
      <c r="AS54" s="379"/>
    </row>
    <row r="55" ht="15.6" customHeight="1" spans="1:45">
      <c r="A55" s="325"/>
      <c r="B55" s="325" t="s">
        <v>3920</v>
      </c>
      <c r="C55" s="405" t="s">
        <v>7932</v>
      </c>
      <c r="D55" s="402"/>
      <c r="E55" s="402"/>
      <c r="F55" s="402"/>
      <c r="G55" s="402"/>
      <c r="H55" s="402"/>
      <c r="I55" s="402"/>
      <c r="J55" s="402"/>
      <c r="K55" s="402"/>
      <c r="L55" s="402"/>
      <c r="M55" s="402"/>
      <c r="Q55" s="324" t="s">
        <v>4636</v>
      </c>
      <c r="AE55" s="378"/>
      <c r="AS55" s="379"/>
    </row>
    <row r="56" ht="9.75" customHeight="1" spans="1:45">
      <c r="V56" s="422"/>
      <c r="W56" s="422"/>
      <c r="X56" s="422"/>
      <c r="Y56" s="422"/>
      <c r="Z56" s="423"/>
      <c r="AA56" s="423"/>
      <c r="AB56" s="356"/>
      <c r="AC56" s="356"/>
      <c r="AE56" s="378"/>
      <c r="AS56" s="379"/>
    </row>
    <row r="57" ht="12.75" customHeight="1" spans="1:45">
      <c r="C57" s="324" t="s">
        <v>7933</v>
      </c>
      <c r="D57" s="424" t="s">
        <v>7934</v>
      </c>
      <c r="N57" s="425">
        <f>UnosPod!AA10</f>
        <v>6</v>
      </c>
      <c r="O57" s="425">
        <f>UnosPod!AB10</f>
        <v>6</v>
      </c>
      <c r="P57" s="426" t="s">
        <v>7295</v>
      </c>
      <c r="Q57" s="425">
        <f>UnosPod!AC10</f>
        <v>3</v>
      </c>
      <c r="R57" s="425">
        <f>UnosPod!AD10</f>
        <v>0</v>
      </c>
      <c r="S57" s="326" t="s">
        <v>7929</v>
      </c>
      <c r="T57" s="383"/>
      <c r="U57" s="383"/>
      <c r="V57" s="383"/>
      <c r="W57" s="383"/>
      <c r="X57" s="383"/>
      <c r="Y57" s="383"/>
      <c r="Z57" s="383"/>
      <c r="AA57" s="383"/>
      <c r="AB57" s="383"/>
      <c r="AC57" s="383"/>
      <c r="AD57" s="326"/>
      <c r="AE57" s="374"/>
      <c r="AF57" s="326"/>
      <c r="AG57" s="326"/>
      <c r="AH57" s="326"/>
      <c r="AI57" s="326"/>
      <c r="AS57" s="379"/>
    </row>
    <row r="58" ht="10.5" customHeight="1" spans="1:45">
      <c r="N58" s="427" t="s">
        <v>7935</v>
      </c>
      <c r="O58" s="427"/>
      <c r="P58" s="427"/>
      <c r="Q58" s="427"/>
      <c r="R58" s="427"/>
      <c r="S58" s="428"/>
      <c r="T58" s="428"/>
      <c r="U58" s="428"/>
      <c r="V58" s="420"/>
      <c r="W58" s="420" t="s">
        <v>7936</v>
      </c>
      <c r="AC58" s="422"/>
      <c r="AD58" s="377"/>
      <c r="AE58" s="378"/>
      <c r="AS58" s="379"/>
    </row>
    <row r="59" ht="13.15" customHeight="1" spans="1:45">
      <c r="C59" s="429" t="str">
        <f>UnosPod!AT10</f>
        <v>Djelatnosti upravljanja fondovima</v>
      </c>
      <c r="D59" s="380"/>
      <c r="E59" s="380"/>
      <c r="F59" s="380"/>
      <c r="G59" s="380"/>
      <c r="H59" s="380"/>
      <c r="I59" s="380"/>
      <c r="J59" s="380"/>
      <c r="K59" s="380"/>
      <c r="L59" s="380"/>
      <c r="M59" s="380"/>
      <c r="N59" s="380"/>
      <c r="O59" s="380"/>
      <c r="P59" s="380"/>
      <c r="Q59" s="380"/>
      <c r="R59" s="430"/>
      <c r="S59" s="431"/>
      <c r="T59" s="431"/>
      <c r="U59" s="431"/>
      <c r="V59" s="432"/>
      <c r="W59" s="432"/>
      <c r="X59" s="380"/>
      <c r="Y59" s="380"/>
      <c r="Z59" s="380"/>
      <c r="AA59" s="380"/>
      <c r="AB59" s="380"/>
      <c r="AC59" s="433"/>
      <c r="AD59" s="377"/>
      <c r="AE59" s="378"/>
      <c r="AS59" s="379"/>
    </row>
    <row r="60" ht="16.15" customHeight="1" spans="1:45">
      <c r="C60" s="397" t="s">
        <v>7937</v>
      </c>
      <c r="D60" s="397" t="s">
        <v>7938</v>
      </c>
      <c r="E60" s="397"/>
      <c r="F60" s="397"/>
      <c r="G60" s="397"/>
      <c r="H60" s="397"/>
      <c r="I60" s="397"/>
      <c r="J60" s="397"/>
      <c r="K60" s="397"/>
      <c r="L60" s="397"/>
      <c r="M60" s="397"/>
      <c r="N60" s="395"/>
      <c r="O60" s="395"/>
      <c r="P60" s="395"/>
      <c r="Q60" s="395"/>
      <c r="R60" s="434"/>
      <c r="S60" s="435"/>
      <c r="T60" s="435"/>
      <c r="U60" s="435"/>
      <c r="V60" s="436"/>
      <c r="W60" s="436"/>
      <c r="X60" s="395"/>
      <c r="Y60" s="395"/>
      <c r="Z60" s="395"/>
      <c r="AA60" s="395"/>
      <c r="AB60" s="395"/>
      <c r="AC60" s="437"/>
      <c r="AD60" s="377"/>
      <c r="AE60" s="378"/>
      <c r="AN60" s="389"/>
      <c r="AO60" s="391"/>
      <c r="AP60" s="438" t="s">
        <v>7295</v>
      </c>
      <c r="AQ60" s="389"/>
      <c r="AR60" s="389"/>
      <c r="AS60" s="379"/>
    </row>
    <row r="61" ht="15" customHeight="1" spans="1:45">
      <c r="C61" s="380"/>
      <c r="D61" s="380"/>
      <c r="E61" s="380"/>
      <c r="F61" s="380"/>
      <c r="G61" s="380"/>
      <c r="H61" s="380"/>
      <c r="I61" s="380"/>
      <c r="J61" s="380"/>
      <c r="K61" s="380"/>
      <c r="L61" s="380"/>
      <c r="M61" s="380"/>
      <c r="N61" s="380"/>
      <c r="O61" s="380"/>
      <c r="P61" s="380"/>
      <c r="Q61" s="380"/>
      <c r="R61" s="430"/>
      <c r="S61" s="431"/>
      <c r="T61" s="431"/>
      <c r="U61" s="431"/>
      <c r="V61" s="432"/>
      <c r="W61" s="432"/>
      <c r="X61" s="380"/>
      <c r="Y61" s="380"/>
      <c r="Z61" s="380"/>
      <c r="AA61" s="380"/>
      <c r="AB61" s="380"/>
      <c r="AC61" s="433"/>
      <c r="AD61" s="377"/>
      <c r="AE61" s="378"/>
      <c r="AS61" s="379"/>
    </row>
    <row r="62" ht="15" customHeight="1" spans="1:45">
      <c r="R62" s="439"/>
      <c r="S62" s="428"/>
      <c r="T62" s="428"/>
      <c r="U62" s="428"/>
      <c r="V62" s="420"/>
      <c r="W62" s="420"/>
      <c r="AC62" s="422"/>
      <c r="AD62" s="377"/>
      <c r="AE62" s="378"/>
      <c r="AS62" s="379"/>
    </row>
    <row r="63" ht="15" customHeight="1" spans="1:45">
      <c r="R63" s="439"/>
      <c r="S63" s="428"/>
      <c r="T63" s="428"/>
      <c r="U63" s="428"/>
      <c r="V63" s="420"/>
      <c r="W63" s="420"/>
      <c r="AC63" s="422"/>
      <c r="AD63" s="377"/>
      <c r="AE63" s="397"/>
      <c r="AF63" s="397"/>
      <c r="AG63" s="397"/>
      <c r="AH63" s="397"/>
      <c r="AI63" s="397"/>
      <c r="AJ63" s="397"/>
      <c r="AK63" s="397"/>
      <c r="AL63" s="397"/>
      <c r="AM63" s="397"/>
      <c r="AN63" s="397"/>
      <c r="AO63" s="397"/>
      <c r="AP63" s="397"/>
      <c r="AQ63" s="397"/>
      <c r="AR63" s="397"/>
      <c r="AS63" s="397"/>
    </row>
    <row r="64" ht="15" customHeight="1" spans="1:45">
      <c r="R64" s="439"/>
      <c r="S64" s="428"/>
      <c r="T64" s="428"/>
      <c r="U64" s="428"/>
      <c r="V64" s="420"/>
      <c r="W64" s="420"/>
      <c r="AC64" s="422"/>
      <c r="AD64" s="377"/>
    </row>
    <row r="65" ht="15" customHeight="1" spans="1:46">
      <c r="R65" s="439"/>
      <c r="S65" s="428"/>
      <c r="T65" s="428"/>
      <c r="U65" s="428"/>
      <c r="V65" s="420"/>
      <c r="W65" s="420"/>
      <c r="AC65" s="422"/>
      <c r="AD65" s="377"/>
    </row>
    <row r="66" ht="15" customHeight="1" spans="1:46">
      <c r="R66" s="439"/>
      <c r="S66" s="428"/>
      <c r="T66" s="428"/>
      <c r="U66" s="428"/>
      <c r="V66" s="420"/>
      <c r="W66" s="420"/>
      <c r="AC66" s="422"/>
      <c r="AD66" s="377"/>
    </row>
    <row r="67" ht="15" customHeight="1" spans="1:46">
      <c r="R67" s="439"/>
      <c r="S67" s="428"/>
      <c r="T67" s="428"/>
      <c r="U67" s="428"/>
      <c r="V67" s="420"/>
      <c r="W67" s="420"/>
      <c r="AC67" s="422"/>
      <c r="AD67" s="377"/>
    </row>
    <row r="68" ht="15" customHeight="1" spans="1:46">
      <c r="R68" s="439"/>
      <c r="S68" s="428"/>
      <c r="T68" s="428"/>
      <c r="U68" s="428"/>
      <c r="V68" s="420"/>
      <c r="W68" s="420"/>
      <c r="AC68" s="422"/>
      <c r="AD68" s="377"/>
    </row>
    <row r="69" ht="15.6" customHeight="1" spans="1:46">
      <c r="B69" s="325" t="s">
        <v>3923</v>
      </c>
      <c r="C69" s="405" t="s">
        <v>7939</v>
      </c>
      <c r="H69" s="440" t="s">
        <v>7940</v>
      </c>
      <c r="I69" s="440"/>
      <c r="J69" s="440"/>
      <c r="K69" s="440"/>
      <c r="L69" s="440"/>
      <c r="M69" s="440"/>
      <c r="N69" s="440"/>
      <c r="O69" s="440"/>
      <c r="P69" s="440"/>
      <c r="Q69" s="440"/>
      <c r="R69" s="440"/>
      <c r="S69" s="440"/>
      <c r="T69" s="440"/>
      <c r="U69" s="440"/>
      <c r="V69" s="440"/>
      <c r="W69" s="440"/>
      <c r="X69" s="440"/>
      <c r="Y69" s="440"/>
      <c r="Z69" s="440"/>
      <c r="AA69" s="440"/>
      <c r="AB69" s="440"/>
      <c r="AC69" s="440"/>
      <c r="AD69" s="377"/>
      <c r="AE69" s="441"/>
      <c r="AF69" s="442"/>
      <c r="AG69" s="442"/>
      <c r="AH69" s="442"/>
      <c r="AI69" s="442"/>
      <c r="AJ69" s="442"/>
      <c r="AK69" s="442"/>
      <c r="AL69" s="442"/>
      <c r="AM69" s="442"/>
      <c r="AN69" s="442"/>
      <c r="AO69" s="442"/>
      <c r="AP69" s="442"/>
      <c r="AQ69" s="442"/>
      <c r="AR69" s="442"/>
      <c r="AS69" s="443"/>
    </row>
    <row r="70" ht="15.75" customHeight="1" spans="1:46">
      <c r="C70" s="380"/>
      <c r="D70" s="380"/>
      <c r="E70" s="380"/>
      <c r="F70" s="380"/>
      <c r="G70" s="380"/>
      <c r="H70" s="380"/>
      <c r="I70" s="380"/>
      <c r="J70" s="380"/>
      <c r="K70" s="380"/>
      <c r="L70" s="380"/>
      <c r="M70" s="380"/>
      <c r="N70" s="380"/>
      <c r="O70" s="380"/>
      <c r="P70" s="380"/>
      <c r="Q70" s="380"/>
      <c r="R70" s="430"/>
      <c r="S70" s="431"/>
      <c r="T70" s="431"/>
      <c r="U70" s="431"/>
      <c r="V70" s="432"/>
      <c r="W70" s="432"/>
      <c r="X70" s="380"/>
      <c r="Y70" s="380"/>
      <c r="Z70" s="380"/>
      <c r="AA70" s="380"/>
      <c r="AB70" s="380"/>
      <c r="AC70" s="433"/>
      <c r="AE70" s="378"/>
      <c r="AS70" s="379"/>
    </row>
    <row r="71" ht="12.75" customHeight="1" spans="1:46">
      <c r="L71" s="324" t="s">
        <v>7941</v>
      </c>
      <c r="AE71" s="378"/>
      <c r="AN71" s="1"/>
      <c r="AO71" s="1"/>
      <c r="AP71" s="398"/>
      <c r="AQ71" s="398"/>
      <c r="AR71" s="1"/>
      <c r="AS71" s="444"/>
    </row>
    <row r="72" ht="15" customHeight="1" spans="1:46">
      <c r="C72" s="380"/>
      <c r="D72" s="380"/>
      <c r="E72" s="380"/>
      <c r="F72" s="380"/>
      <c r="G72" s="380"/>
      <c r="H72" s="380"/>
      <c r="I72" s="380"/>
      <c r="J72" s="380"/>
      <c r="K72" s="380"/>
      <c r="L72" s="380"/>
      <c r="M72" s="380"/>
      <c r="N72" s="380"/>
      <c r="O72" s="380"/>
      <c r="P72" s="380"/>
      <c r="Q72" s="380"/>
      <c r="R72" s="430"/>
      <c r="S72" s="431"/>
      <c r="T72" s="431"/>
      <c r="U72" s="431"/>
      <c r="V72" s="432"/>
      <c r="W72" s="432"/>
      <c r="X72" s="380"/>
      <c r="Y72" s="380"/>
      <c r="Z72" s="380"/>
      <c r="AA72" s="380"/>
      <c r="AB72" s="380"/>
      <c r="AC72" s="433"/>
      <c r="AE72" s="378"/>
      <c r="AL72" s="389"/>
      <c r="AM72" s="391"/>
      <c r="AN72" s="391"/>
      <c r="AO72" s="389"/>
      <c r="AP72" s="389"/>
      <c r="AQ72" s="391"/>
      <c r="AR72" s="391"/>
      <c r="AS72" s="379"/>
      <c r="AT72" s="424"/>
    </row>
    <row r="73" ht="15" customHeight="1" spans="1:46">
      <c r="R73" s="439"/>
      <c r="S73" s="428"/>
      <c r="T73" s="428"/>
      <c r="U73" s="428"/>
      <c r="V73" s="420"/>
      <c r="W73" s="420"/>
      <c r="AC73" s="422"/>
      <c r="AE73" s="445"/>
      <c r="AF73" s="446"/>
      <c r="AG73" s="446"/>
      <c r="AH73" s="446"/>
      <c r="AI73" s="446"/>
      <c r="AJ73" s="446"/>
      <c r="AK73" s="446"/>
      <c r="AL73" s="447"/>
      <c r="AM73" s="448"/>
      <c r="AN73" s="448"/>
      <c r="AO73" s="447"/>
      <c r="AP73" s="447"/>
      <c r="AQ73" s="448"/>
      <c r="AR73" s="448"/>
      <c r="AS73" s="449"/>
      <c r="AT73" s="424"/>
    </row>
    <row r="74" ht="15" customHeight="1" spans="1:46">
      <c r="AD74" s="380"/>
      <c r="AE74" s="380"/>
      <c r="AF74" s="380"/>
      <c r="AG74" s="380"/>
      <c r="AH74" s="380"/>
      <c r="AI74" s="380"/>
      <c r="AJ74" s="380"/>
      <c r="AK74" s="380"/>
      <c r="AL74" s="380"/>
      <c r="AM74" s="380"/>
      <c r="AN74" s="380"/>
      <c r="AO74" s="380"/>
      <c r="AP74" s="380"/>
      <c r="AQ74" s="380"/>
      <c r="AR74" s="380"/>
      <c r="AS74" s="380"/>
    </row>
    <row r="75" ht="15.6" customHeight="1" spans="1:46">
      <c r="A75" s="325"/>
      <c r="B75" s="450" t="s">
        <v>3925</v>
      </c>
      <c r="C75" s="451" t="s">
        <v>7942</v>
      </c>
      <c r="D75" s="451"/>
      <c r="E75" s="451"/>
      <c r="F75" s="451"/>
      <c r="G75" s="451"/>
      <c r="H75" s="451"/>
      <c r="I75" s="451"/>
      <c r="J75" s="451"/>
      <c r="K75" s="451"/>
      <c r="L75" s="451"/>
      <c r="M75" s="451"/>
      <c r="N75" s="451"/>
      <c r="O75" s="451"/>
      <c r="P75" s="451"/>
      <c r="Q75" s="451"/>
      <c r="R75" s="451"/>
      <c r="S75" s="451"/>
      <c r="T75" s="451"/>
      <c r="U75" s="451"/>
      <c r="V75" s="451"/>
      <c r="W75" s="451"/>
      <c r="X75" s="451"/>
      <c r="Y75" s="451"/>
      <c r="Z75" s="451"/>
      <c r="AA75" s="451"/>
      <c r="AB75" s="451"/>
      <c r="AC75" s="451"/>
      <c r="AD75" s="405"/>
      <c r="AE75" s="405"/>
      <c r="AF75" s="405"/>
      <c r="AG75" s="405"/>
      <c r="AH75" s="405"/>
      <c r="AI75" s="405"/>
      <c r="AJ75" s="405"/>
      <c r="AK75" s="405"/>
      <c r="AL75" s="405"/>
      <c r="AM75" s="405"/>
      <c r="AN75" s="405"/>
      <c r="AO75" s="405"/>
      <c r="AP75" s="405"/>
      <c r="AQ75" s="405"/>
      <c r="AR75" s="405"/>
      <c r="AS75" s="452"/>
    </row>
    <row r="76" ht="12.6" customHeight="1" spans="1:46">
      <c r="A76" s="377"/>
      <c r="B76" s="453"/>
      <c r="E76" s="377"/>
      <c r="AH76" s="377"/>
      <c r="AI76" s="377"/>
      <c r="AJ76" s="377"/>
      <c r="AK76" s="377"/>
      <c r="AL76" s="377"/>
      <c r="AM76" s="377"/>
      <c r="AS76" s="454"/>
    </row>
    <row r="77" ht="12.6" customHeight="1" spans="1:46">
      <c r="A77" s="377"/>
      <c r="B77" s="453"/>
      <c r="E77" s="377"/>
      <c r="AH77" s="377"/>
      <c r="AI77" s="377"/>
      <c r="AJ77" s="377"/>
      <c r="AK77" s="377"/>
      <c r="AL77" s="377"/>
      <c r="AM77" s="377"/>
      <c r="AS77" s="454"/>
    </row>
    <row r="78" ht="12.75" customHeight="1" spans="1:46">
      <c r="B78" s="455"/>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384"/>
      <c r="AK78" s="384"/>
      <c r="AL78" s="384"/>
      <c r="AM78" s="384"/>
      <c r="AN78" s="384"/>
      <c r="AO78" s="384"/>
      <c r="AP78" s="384"/>
      <c r="AQ78" s="380"/>
      <c r="AR78" s="380"/>
      <c r="AS78" s="456"/>
    </row>
    <row r="79" ht="29.25" customHeight="1" spans="1:46">
      <c r="B79" s="457" t="s">
        <v>7943</v>
      </c>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8"/>
    </row>
    <row r="80" ht="16.5" customHeight="1" spans="1:46">
      <c r="V80" s="324" t="s">
        <v>7039</v>
      </c>
      <c r="AF80" s="324" t="s">
        <v>7944</v>
      </c>
    </row>
    <row r="81" ht="18" customHeight="1" spans="1:45">
      <c r="Q81" s="332"/>
      <c r="AN81" s="377"/>
      <c r="AO81" s="377"/>
    </row>
    <row r="82" ht="12.75" customHeight="1" spans="1:45">
      <c r="C82" s="324" t="s">
        <v>7336</v>
      </c>
      <c r="F82" s="383"/>
      <c r="G82" s="383"/>
      <c r="H82" s="383"/>
      <c r="I82" s="383"/>
      <c r="J82" s="383"/>
      <c r="K82" s="383"/>
      <c r="L82" s="324">
        <v>20</v>
      </c>
      <c r="N82" s="380"/>
      <c r="O82" s="380"/>
      <c r="P82" s="324" t="s">
        <v>2513</v>
      </c>
      <c r="Y82" s="325"/>
      <c r="Z82" s="380"/>
      <c r="AA82" s="380"/>
      <c r="AB82" s="380"/>
      <c r="AC82" s="380"/>
      <c r="AD82" s="380"/>
      <c r="AE82" s="380"/>
      <c r="AF82" s="325" t="s">
        <v>7929</v>
      </c>
      <c r="AG82" s="380"/>
      <c r="AH82" s="380"/>
      <c r="AI82" s="380"/>
      <c r="AJ82" s="380"/>
      <c r="AK82" s="380"/>
      <c r="AL82" s="380"/>
      <c r="AM82" s="325" t="s">
        <v>7929</v>
      </c>
      <c r="AN82" s="380"/>
      <c r="AO82" s="380"/>
      <c r="AP82" s="380"/>
      <c r="AQ82" s="380"/>
      <c r="AR82" s="380"/>
      <c r="AS82" s="380"/>
    </row>
    <row r="83" ht="12.75" customHeight="1" spans="1:45">
      <c r="U83" s="459"/>
      <c r="V83" s="459"/>
      <c r="W83" s="459"/>
      <c r="X83" s="459"/>
      <c r="Y83" s="459"/>
      <c r="Z83" s="460" t="s">
        <v>7945</v>
      </c>
      <c r="AA83" s="460"/>
      <c r="AB83" s="460"/>
      <c r="AC83" s="460"/>
      <c r="AD83" s="460"/>
      <c r="AE83" s="460"/>
      <c r="AF83" s="459"/>
      <c r="AG83" s="460" t="s">
        <v>7946</v>
      </c>
      <c r="AH83" s="460"/>
      <c r="AI83" s="460"/>
      <c r="AJ83" s="460"/>
      <c r="AK83" s="460"/>
      <c r="AL83" s="460"/>
      <c r="AM83" s="459"/>
      <c r="AN83" s="460" t="s">
        <v>7947</v>
      </c>
      <c r="AO83" s="460"/>
      <c r="AP83" s="460"/>
      <c r="AQ83" s="460"/>
      <c r="AR83" s="460"/>
      <c r="AS83" s="460"/>
    </row>
    <row r="84" ht="12.75" customHeight="1"/>
    <row r="85" ht="12.75" customHeight="1" spans="1:45">
      <c r="AC85" s="380"/>
      <c r="AD85" s="380"/>
      <c r="AE85" s="380"/>
      <c r="AF85" s="380"/>
      <c r="AG85" s="380"/>
      <c r="AH85" s="380"/>
      <c r="AI85" s="380"/>
      <c r="AJ85" s="380"/>
      <c r="AK85" s="380"/>
      <c r="AL85" s="380"/>
      <c r="AM85" s="380"/>
      <c r="AN85" s="380"/>
      <c r="AO85" s="380"/>
      <c r="AP85" s="380"/>
    </row>
    <row r="86" customHeight="1" spans="1:45">
      <c r="AC86" s="461" t="s">
        <v>7948</v>
      </c>
      <c r="AD86" s="461"/>
      <c r="AE86" s="461"/>
      <c r="AF86" s="461"/>
      <c r="AG86" s="461"/>
      <c r="AH86" s="461"/>
      <c r="AI86" s="461"/>
      <c r="AJ86" s="461"/>
      <c r="AK86" s="461"/>
      <c r="AL86" s="461"/>
      <c r="AM86" s="461"/>
      <c r="AN86" s="461"/>
      <c r="AO86" s="461"/>
      <c r="AP86" s="461"/>
    </row>
    <row r="87" ht="17.25" customHeight="1" spans="1:45">
      <c r="AC87" s="380"/>
      <c r="AD87" s="380"/>
      <c r="AE87" s="380"/>
      <c r="AF87" s="380"/>
      <c r="AG87" s="380"/>
      <c r="AH87" s="380"/>
      <c r="AI87" s="380"/>
      <c r="AJ87" s="380"/>
      <c r="AK87" s="380"/>
      <c r="AL87" s="380"/>
      <c r="AM87" s="380"/>
      <c r="AN87" s="380"/>
      <c r="AO87" s="380"/>
      <c r="AP87" s="380"/>
    </row>
    <row r="88" ht="12.75" customHeight="1" spans="1:45">
      <c r="AA88" s="363" t="s">
        <v>7949</v>
      </c>
      <c r="AB88" s="363"/>
      <c r="AC88" s="363"/>
      <c r="AD88" s="363"/>
      <c r="AE88" s="363"/>
      <c r="AF88" s="363"/>
      <c r="AG88" s="363"/>
      <c r="AH88" s="363"/>
      <c r="AI88" s="363"/>
      <c r="AJ88" s="363"/>
      <c r="AK88" s="363"/>
      <c r="AL88" s="363"/>
      <c r="AM88" s="363"/>
      <c r="AN88" s="363"/>
      <c r="AO88" s="363"/>
      <c r="AP88" s="363"/>
      <c r="AQ88" s="363"/>
      <c r="AR88" s="363"/>
    </row>
    <row r="89" ht="12.75" customHeight="1" spans="1:45">
      <c r="AA89" s="363"/>
      <c r="AB89" s="363"/>
      <c r="AC89" s="363"/>
      <c r="AD89" s="363"/>
      <c r="AE89" s="363"/>
      <c r="AF89" s="363"/>
      <c r="AG89" s="363"/>
      <c r="AH89" s="363"/>
      <c r="AI89" s="363"/>
      <c r="AJ89" s="363"/>
      <c r="AK89" s="363"/>
      <c r="AL89" s="363"/>
      <c r="AM89" s="363"/>
      <c r="AN89" s="363"/>
      <c r="AO89" s="363"/>
      <c r="AP89" s="363"/>
      <c r="AQ89" s="363"/>
      <c r="AR89" s="363"/>
    </row>
    <row r="90" ht="12.75" customHeight="1" spans="1:45">
      <c r="AA90" s="363"/>
      <c r="AB90" s="363"/>
      <c r="AC90" s="363"/>
      <c r="AD90" s="363"/>
      <c r="AE90" s="363"/>
      <c r="AF90" s="363"/>
      <c r="AG90" s="363"/>
      <c r="AH90" s="363"/>
      <c r="AI90" s="363"/>
      <c r="AJ90" s="363"/>
      <c r="AK90" s="363"/>
      <c r="AL90" s="363"/>
      <c r="AM90" s="363"/>
      <c r="AN90" s="363"/>
      <c r="AO90" s="363"/>
      <c r="AP90" s="363"/>
      <c r="AQ90" s="363"/>
      <c r="AR90" s="363"/>
    </row>
    <row r="91" ht="12.75" customHeight="1"/>
    <row r="92" ht="12.75" customHeight="1" spans="1:45">
      <c r="A92" s="325"/>
      <c r="C92" s="325"/>
      <c r="D92" s="325"/>
      <c r="E92" s="325"/>
      <c r="F92" s="325"/>
      <c r="G92" s="325"/>
      <c r="H92" s="325"/>
      <c r="I92" s="325"/>
      <c r="J92" s="325"/>
      <c r="K92" s="325"/>
      <c r="L92" s="325"/>
      <c r="M92" s="325"/>
      <c r="N92" s="325"/>
      <c r="O92" s="325"/>
      <c r="P92" s="325"/>
      <c r="Q92" s="325"/>
      <c r="R92" s="325"/>
      <c r="S92" s="325"/>
      <c r="T92" s="325" t="s">
        <v>7950</v>
      </c>
      <c r="U92" s="325"/>
      <c r="V92" s="325"/>
      <c r="W92" s="325"/>
      <c r="X92" s="325"/>
      <c r="Y92" s="325"/>
      <c r="Z92" s="325"/>
      <c r="AA92" s="325"/>
      <c r="AB92" s="325"/>
      <c r="AC92" s="325"/>
      <c r="AD92" s="325"/>
      <c r="AE92" s="325"/>
      <c r="AF92" s="325"/>
      <c r="AG92" s="325"/>
      <c r="AH92" s="325"/>
      <c r="AI92" s="325"/>
      <c r="AJ92" s="325"/>
      <c r="AK92" s="325"/>
      <c r="AL92" s="325"/>
      <c r="AM92" s="325"/>
      <c r="AN92" s="325"/>
      <c r="AO92" s="325"/>
      <c r="AP92" s="325"/>
      <c r="AQ92" s="325"/>
      <c r="AR92" s="325"/>
      <c r="AS92" s="325"/>
    </row>
    <row r="93" ht="12.75" customHeight="1" spans="1:45">
      <c r="A93" s="325"/>
      <c r="C93" s="325"/>
      <c r="D93" s="325"/>
      <c r="E93" s="325"/>
      <c r="F93" s="325"/>
      <c r="G93" s="325"/>
      <c r="H93" s="325"/>
      <c r="I93" s="325"/>
      <c r="J93" s="325"/>
      <c r="K93" s="325"/>
      <c r="L93" s="325"/>
      <c r="M93" s="325"/>
      <c r="N93" s="325"/>
      <c r="O93" s="325"/>
      <c r="P93" s="325"/>
      <c r="Q93" s="325"/>
      <c r="R93" s="325"/>
      <c r="S93" s="325"/>
      <c r="T93" s="325" t="s">
        <v>7951</v>
      </c>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row>
    <row r="94" ht="11.25" customHeight="1"/>
    <row r="95" ht="12.75" hidden="1" customHeight="1"/>
    <row r="96" ht="62.25" customHeight="1" spans="1:45">
      <c r="B96" s="462" t="s">
        <v>7952</v>
      </c>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c r="AP96" s="463"/>
      <c r="AQ96" s="463"/>
      <c r="AR96" s="463"/>
      <c r="AS96" s="463"/>
    </row>
    <row r="97" ht="10.5" customHeight="1" spans="2:46">
      <c r="B97" s="462"/>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row>
    <row r="98" s="323" customFormat="1" ht="23.25" customHeight="1" spans="2:46">
      <c r="B98" s="464" t="s">
        <v>7953</v>
      </c>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c r="AK98" s="465"/>
      <c r="AL98" s="465"/>
      <c r="AM98" s="465"/>
      <c r="AN98" s="465"/>
      <c r="AO98" s="465"/>
      <c r="AP98" s="465"/>
      <c r="AQ98" s="465"/>
      <c r="AR98" s="465"/>
      <c r="AS98" s="465"/>
      <c r="AT98" s="465"/>
    </row>
    <row r="99" s="323" customFormat="1" ht="15" customHeight="1" spans="2:46">
      <c r="B99" s="464"/>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row>
    <row r="100" s="323" customFormat="1" ht="33" customHeight="1" spans="2:46">
      <c r="B100" s="464" t="s">
        <v>7954</v>
      </c>
      <c r="C100" s="464"/>
      <c r="D100" s="464"/>
      <c r="E100" s="464"/>
      <c r="F100" s="46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5"/>
    </row>
    <row r="101" s="323" customFormat="1" ht="9.75" customHeight="1" spans="2:46">
      <c r="B101" s="464"/>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5"/>
    </row>
    <row r="102" s="323" customFormat="1" ht="13.5" customHeight="1" spans="2:46">
      <c r="B102" s="464" t="s">
        <v>7955</v>
      </c>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5"/>
      <c r="AT102" s="465"/>
    </row>
    <row r="103" s="323" customFormat="1" ht="15" customHeight="1" spans="2:46">
      <c r="B103" s="464"/>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5"/>
      <c r="AT103" s="465"/>
    </row>
    <row r="104" s="323" customFormat="1" ht="3" hidden="1" customHeight="1" spans="2:46">
      <c r="B104" s="464"/>
      <c r="C104" s="464"/>
      <c r="D104" s="464"/>
      <c r="E104" s="464"/>
      <c r="F104" s="464"/>
      <c r="G104" s="464"/>
      <c r="H104" s="464"/>
      <c r="I104" s="464"/>
      <c r="J104" s="464"/>
      <c r="K104" s="464"/>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5"/>
      <c r="AT104" s="465"/>
    </row>
    <row r="105" ht="15" hidden="1" customHeight="1" spans="2:46">
      <c r="B105" s="466"/>
      <c r="C105" s="467"/>
      <c r="D105" s="467"/>
      <c r="E105" s="467"/>
      <c r="F105" s="467"/>
      <c r="G105" s="467"/>
      <c r="H105" s="467"/>
      <c r="I105" s="467"/>
      <c r="J105" s="467"/>
      <c r="K105" s="467" t="s">
        <v>7956</v>
      </c>
      <c r="L105" s="467"/>
      <c r="M105" s="467"/>
      <c r="N105" s="467"/>
      <c r="O105" s="467"/>
      <c r="P105" s="467"/>
      <c r="Q105" s="467"/>
      <c r="R105" s="467"/>
      <c r="S105" s="467"/>
      <c r="T105" s="467"/>
      <c r="U105" s="467"/>
      <c r="V105" s="467"/>
      <c r="W105" s="467"/>
      <c r="X105" s="467"/>
      <c r="Y105" s="467"/>
      <c r="Z105" s="467"/>
      <c r="AA105" s="467"/>
      <c r="AB105" s="467"/>
      <c r="AC105" s="467"/>
      <c r="AD105" s="467"/>
      <c r="AE105" s="467"/>
      <c r="AF105" s="467"/>
      <c r="AG105" s="467"/>
      <c r="AH105" s="467"/>
      <c r="AI105" s="467"/>
      <c r="AJ105" s="467"/>
      <c r="AK105" s="467"/>
      <c r="AL105" s="467"/>
      <c r="AM105" s="467"/>
      <c r="AN105" s="467"/>
      <c r="AO105" s="467"/>
      <c r="AP105" s="467"/>
      <c r="AQ105" s="467"/>
      <c r="AR105" s="467"/>
      <c r="AS105" s="467"/>
    </row>
    <row r="106" ht="3.75" hidden="1" customHeight="1" spans="2:46">
      <c r="B106" s="466"/>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row>
    <row r="107" ht="33" customHeight="1" spans="2:46">
      <c r="B107" s="467" t="s">
        <v>7957</v>
      </c>
      <c r="C107" s="468"/>
      <c r="D107" s="468"/>
      <c r="E107" s="468"/>
      <c r="F107" s="468"/>
      <c r="G107" s="468"/>
      <c r="H107" s="468"/>
      <c r="I107" s="468"/>
      <c r="J107" s="468"/>
      <c r="K107" s="468"/>
      <c r="L107" s="468"/>
      <c r="M107" s="468"/>
      <c r="N107" s="468"/>
      <c r="O107" s="468"/>
      <c r="P107" s="468"/>
      <c r="Q107" s="468"/>
      <c r="R107" s="468"/>
      <c r="S107" s="468"/>
      <c r="T107" s="468"/>
      <c r="U107" s="468"/>
      <c r="V107" s="468"/>
      <c r="W107" s="468"/>
      <c r="X107" s="468"/>
      <c r="Y107" s="468"/>
      <c r="Z107" s="468"/>
      <c r="AA107" s="468"/>
      <c r="AB107" s="468"/>
      <c r="AC107" s="468"/>
      <c r="AD107" s="468"/>
      <c r="AE107" s="468"/>
      <c r="AF107" s="468"/>
      <c r="AG107" s="468"/>
      <c r="AH107" s="468"/>
      <c r="AI107" s="468"/>
      <c r="AJ107" s="468"/>
      <c r="AK107" s="468"/>
      <c r="AL107" s="468"/>
      <c r="AM107" s="468"/>
      <c r="AN107" s="468"/>
      <c r="AO107" s="468"/>
      <c r="AP107" s="468"/>
      <c r="AQ107" s="468"/>
      <c r="AR107" s="468"/>
      <c r="AS107" s="468"/>
    </row>
    <row r="108" ht="51" customHeight="1" spans="2:46">
      <c r="B108" s="467" t="s">
        <v>7958</v>
      </c>
      <c r="C108" s="467"/>
      <c r="D108" s="467"/>
      <c r="E108" s="467"/>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row>
    <row r="109" ht="24" customHeight="1" spans="2:46">
      <c r="B109" s="467" t="s">
        <v>7959</v>
      </c>
      <c r="C109" s="467"/>
      <c r="D109" s="467"/>
      <c r="E109" s="467"/>
      <c r="F109" s="467"/>
      <c r="G109" s="467"/>
      <c r="H109" s="467"/>
      <c r="I109" s="467"/>
      <c r="J109" s="467"/>
      <c r="K109" s="467"/>
      <c r="L109" s="467"/>
      <c r="M109" s="467"/>
      <c r="N109" s="467"/>
      <c r="O109" s="467"/>
      <c r="P109" s="467"/>
      <c r="Q109" s="467"/>
      <c r="R109" s="467"/>
      <c r="S109" s="467"/>
      <c r="T109" s="467"/>
      <c r="U109" s="467"/>
      <c r="V109" s="467"/>
      <c r="W109" s="467"/>
      <c r="X109" s="467"/>
      <c r="Y109" s="467"/>
      <c r="Z109" s="467"/>
      <c r="AA109" s="467"/>
      <c r="AB109" s="467"/>
      <c r="AC109" s="467"/>
      <c r="AD109" s="467"/>
      <c r="AE109" s="467"/>
      <c r="AF109" s="467"/>
      <c r="AG109" s="467"/>
      <c r="AH109" s="467"/>
      <c r="AI109" s="467"/>
      <c r="AJ109" s="467"/>
      <c r="AK109" s="467"/>
      <c r="AL109" s="467"/>
      <c r="AM109" s="467"/>
      <c r="AN109" s="467"/>
      <c r="AO109" s="467"/>
      <c r="AP109" s="467"/>
      <c r="AQ109" s="467"/>
      <c r="AR109" s="467"/>
      <c r="AS109" s="467"/>
    </row>
    <row r="110" ht="12.75" customHeight="1" spans="2:4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8"/>
      <c r="AN110" s="468"/>
      <c r="AO110" s="468"/>
      <c r="AP110" s="468"/>
      <c r="AQ110" s="468"/>
      <c r="AR110" s="468"/>
      <c r="AS110" s="468"/>
    </row>
    <row r="111" ht="0.75" customHeight="1" spans="2:46">
      <c r="B111" s="468"/>
      <c r="C111" s="468"/>
      <c r="D111" s="468"/>
      <c r="E111" s="468"/>
      <c r="F111" s="468"/>
      <c r="G111" s="468"/>
      <c r="H111" s="468"/>
      <c r="I111" s="468"/>
      <c r="J111" s="468"/>
      <c r="K111" s="468"/>
      <c r="L111" s="468"/>
      <c r="M111" s="468"/>
      <c r="N111" s="468"/>
      <c r="O111" s="468"/>
      <c r="P111" s="468"/>
      <c r="Q111" s="468"/>
      <c r="R111" s="468"/>
      <c r="S111" s="468"/>
      <c r="T111" s="468"/>
      <c r="U111" s="468"/>
      <c r="V111" s="468"/>
      <c r="W111" s="468"/>
      <c r="X111" s="468"/>
      <c r="Y111" s="468"/>
      <c r="Z111" s="468"/>
      <c r="AA111" s="468"/>
      <c r="AB111" s="468"/>
      <c r="AC111" s="468"/>
      <c r="AD111" s="468"/>
      <c r="AE111" s="468"/>
      <c r="AF111" s="468"/>
      <c r="AG111" s="468"/>
      <c r="AH111" s="468"/>
      <c r="AI111" s="468"/>
      <c r="AJ111" s="468"/>
      <c r="AK111" s="468"/>
      <c r="AL111" s="468"/>
      <c r="AM111" s="468"/>
      <c r="AN111" s="468"/>
      <c r="AO111" s="468"/>
      <c r="AP111" s="468"/>
      <c r="AQ111" s="468"/>
      <c r="AR111" s="468"/>
      <c r="AS111" s="468"/>
    </row>
    <row r="112" ht="8.25" hidden="1" customHeight="1" spans="2:46">
      <c r="B112" s="468"/>
      <c r="C112" s="468"/>
      <c r="D112" s="468"/>
      <c r="E112" s="468"/>
      <c r="F112" s="468"/>
      <c r="G112" s="468"/>
      <c r="H112" s="468"/>
      <c r="I112" s="468"/>
      <c r="J112" s="468"/>
      <c r="K112" s="468"/>
      <c r="L112" s="468"/>
      <c r="M112" s="468"/>
      <c r="N112" s="468"/>
      <c r="O112" s="468"/>
      <c r="P112" s="468"/>
      <c r="Q112" s="468"/>
      <c r="R112" s="468"/>
      <c r="S112" s="468"/>
      <c r="T112" s="468"/>
      <c r="U112" s="468"/>
      <c r="V112" s="468"/>
      <c r="W112" s="468"/>
      <c r="X112" s="468"/>
      <c r="Y112" s="468"/>
      <c r="Z112" s="468"/>
      <c r="AA112" s="468"/>
      <c r="AB112" s="468"/>
      <c r="AC112" s="468"/>
      <c r="AD112" s="468"/>
      <c r="AE112" s="468"/>
      <c r="AF112" s="468"/>
      <c r="AG112" s="468"/>
      <c r="AH112" s="468"/>
      <c r="AI112" s="468"/>
      <c r="AJ112" s="468"/>
      <c r="AK112" s="468"/>
      <c r="AL112" s="468"/>
      <c r="AM112" s="468"/>
      <c r="AN112" s="468"/>
      <c r="AO112" s="468"/>
      <c r="AP112" s="468"/>
      <c r="AQ112" s="468"/>
      <c r="AR112" s="468"/>
      <c r="AS112" s="468"/>
    </row>
    <row r="113" ht="21.75" hidden="1" customHeight="1" spans="2:45">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row>
    <row r="114" ht="13.5" hidden="1" customHeight="1" spans="2:45">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7"/>
      <c r="X114" s="467"/>
      <c r="Y114" s="467"/>
      <c r="Z114" s="467"/>
      <c r="AA114" s="467"/>
      <c r="AB114" s="467"/>
      <c r="AC114" s="467"/>
      <c r="AD114" s="467"/>
      <c r="AE114" s="467"/>
      <c r="AF114" s="467"/>
      <c r="AG114" s="467"/>
      <c r="AH114" s="467"/>
      <c r="AI114" s="467"/>
      <c r="AJ114" s="467"/>
      <c r="AK114" s="467"/>
      <c r="AL114" s="467"/>
      <c r="AM114" s="467"/>
      <c r="AN114" s="467"/>
      <c r="AO114" s="467"/>
      <c r="AP114" s="467"/>
      <c r="AQ114" s="467"/>
      <c r="AR114" s="467"/>
      <c r="AS114" s="467"/>
    </row>
    <row r="115" ht="13.5" hidden="1" customHeight="1" spans="2:45">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7"/>
      <c r="X115" s="467"/>
      <c r="Y115" s="467"/>
      <c r="Z115" s="467"/>
      <c r="AA115" s="467"/>
      <c r="AB115" s="467"/>
      <c r="AC115" s="467"/>
      <c r="AD115" s="467"/>
      <c r="AE115" s="467"/>
      <c r="AF115" s="467"/>
      <c r="AG115" s="467"/>
      <c r="AH115" s="467"/>
      <c r="AI115" s="467"/>
      <c r="AJ115" s="467"/>
      <c r="AK115" s="467"/>
      <c r="AL115" s="467"/>
      <c r="AM115" s="467"/>
      <c r="AN115" s="467"/>
      <c r="AO115" s="467"/>
      <c r="AP115" s="467"/>
      <c r="AQ115" s="467"/>
      <c r="AR115" s="467"/>
      <c r="AS115" s="467"/>
    </row>
    <row r="116" ht="3.75" customHeight="1" spans="2:45">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7"/>
      <c r="X116" s="467"/>
      <c r="Y116" s="467"/>
      <c r="Z116" s="467"/>
      <c r="AA116" s="467"/>
      <c r="AB116" s="467"/>
      <c r="AC116" s="467"/>
      <c r="AD116" s="467"/>
      <c r="AE116" s="467"/>
      <c r="AF116" s="467"/>
      <c r="AG116" s="467"/>
      <c r="AH116" s="467"/>
      <c r="AI116" s="467"/>
      <c r="AJ116" s="467"/>
      <c r="AK116" s="467"/>
      <c r="AL116" s="467"/>
      <c r="AM116" s="467"/>
      <c r="AN116" s="467"/>
      <c r="AO116" s="467"/>
      <c r="AP116" s="467"/>
      <c r="AQ116" s="467"/>
      <c r="AR116" s="467"/>
      <c r="AS116" s="467"/>
    </row>
    <row r="117" ht="13.5" customHeight="1" spans="2:45">
      <c r="B117" s="469" t="s">
        <v>7960</v>
      </c>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c r="AP117" s="466"/>
      <c r="AQ117" s="466"/>
      <c r="AR117" s="466"/>
      <c r="AS117" s="466"/>
    </row>
    <row r="118" ht="13.5" customHeight="1" spans="2:45">
      <c r="B118" s="468"/>
      <c r="C118" s="468"/>
      <c r="D118" s="468"/>
      <c r="E118" s="468"/>
      <c r="F118" s="468"/>
      <c r="G118" s="468"/>
      <c r="H118" s="468"/>
      <c r="I118" s="468"/>
      <c r="J118" s="468"/>
      <c r="K118" s="468"/>
      <c r="L118" s="468"/>
      <c r="M118" s="468"/>
      <c r="N118" s="468"/>
      <c r="O118" s="468"/>
      <c r="P118" s="468"/>
      <c r="Q118" s="468"/>
      <c r="R118" s="468"/>
      <c r="S118" s="468"/>
      <c r="T118" s="468"/>
      <c r="U118" s="468"/>
      <c r="V118" s="468"/>
      <c r="W118" s="468"/>
      <c r="X118" s="468"/>
      <c r="Y118" s="468"/>
      <c r="Z118" s="468"/>
      <c r="AA118" s="468"/>
      <c r="AB118" s="468"/>
      <c r="AC118" s="468"/>
      <c r="AD118" s="468"/>
      <c r="AE118" s="468"/>
      <c r="AF118" s="468"/>
      <c r="AG118" s="468"/>
      <c r="AH118" s="468"/>
      <c r="AI118" s="468"/>
      <c r="AJ118" s="468"/>
      <c r="AK118" s="468"/>
      <c r="AL118" s="468"/>
      <c r="AM118" s="468"/>
      <c r="AN118" s="468"/>
      <c r="AO118" s="468"/>
      <c r="AP118" s="468"/>
      <c r="AQ118" s="468"/>
      <c r="AR118" s="468"/>
      <c r="AS118" s="468"/>
    </row>
    <row r="119" ht="13.5" customHeight="1" spans="2:45">
      <c r="B119" s="467" t="s">
        <v>7961</v>
      </c>
      <c r="C119" s="467"/>
      <c r="D119" s="467"/>
      <c r="E119" s="467"/>
      <c r="F119" s="467"/>
      <c r="G119" s="467"/>
      <c r="H119" s="467"/>
      <c r="I119" s="467"/>
      <c r="J119" s="467"/>
      <c r="K119" s="467"/>
      <c r="L119" s="467"/>
      <c r="M119" s="467"/>
      <c r="N119" s="467"/>
      <c r="O119" s="467"/>
      <c r="P119" s="467"/>
      <c r="Q119" s="467"/>
      <c r="R119" s="467"/>
      <c r="S119" s="467"/>
      <c r="T119" s="467"/>
      <c r="U119" s="467"/>
      <c r="V119" s="467"/>
      <c r="W119" s="467"/>
      <c r="X119" s="467"/>
      <c r="Y119" s="467"/>
      <c r="Z119" s="467"/>
      <c r="AA119" s="467"/>
      <c r="AB119" s="467"/>
      <c r="AC119" s="467"/>
      <c r="AD119" s="467"/>
      <c r="AE119" s="467"/>
      <c r="AF119" s="467"/>
      <c r="AG119" s="467"/>
      <c r="AH119" s="467"/>
      <c r="AI119" s="467"/>
      <c r="AJ119" s="467"/>
      <c r="AK119" s="467"/>
      <c r="AL119" s="467"/>
      <c r="AM119" s="467"/>
      <c r="AN119" s="467"/>
      <c r="AO119" s="467"/>
      <c r="AP119" s="467"/>
      <c r="AQ119" s="467"/>
      <c r="AR119" s="467"/>
      <c r="AS119" s="467"/>
    </row>
    <row r="120" ht="47.25" customHeight="1" spans="2:45">
      <c r="B120" s="467" t="s">
        <v>7962</v>
      </c>
      <c r="C120" s="467"/>
      <c r="D120" s="467"/>
      <c r="E120" s="467"/>
      <c r="F120" s="467"/>
      <c r="G120" s="467"/>
      <c r="H120" s="467"/>
      <c r="I120" s="467"/>
      <c r="J120" s="467"/>
      <c r="K120" s="467"/>
      <c r="L120" s="467"/>
      <c r="M120" s="467"/>
      <c r="N120" s="467"/>
      <c r="O120" s="467"/>
      <c r="P120" s="467"/>
      <c r="Q120" s="467"/>
      <c r="R120" s="467"/>
      <c r="S120" s="467"/>
      <c r="T120" s="467"/>
      <c r="U120" s="467"/>
      <c r="V120" s="467"/>
      <c r="W120" s="467"/>
      <c r="X120" s="467"/>
      <c r="Y120" s="467"/>
      <c r="Z120" s="467"/>
      <c r="AA120" s="467"/>
      <c r="AB120" s="467"/>
      <c r="AC120" s="467"/>
      <c r="AD120" s="467"/>
      <c r="AE120" s="467"/>
      <c r="AF120" s="467"/>
      <c r="AG120" s="467"/>
      <c r="AH120" s="467"/>
      <c r="AI120" s="467"/>
      <c r="AJ120" s="467"/>
      <c r="AK120" s="467"/>
      <c r="AL120" s="467"/>
      <c r="AM120" s="467"/>
      <c r="AN120" s="467"/>
      <c r="AO120" s="467"/>
      <c r="AP120" s="467"/>
      <c r="AQ120" s="467"/>
      <c r="AR120" s="467"/>
      <c r="AS120" s="467"/>
    </row>
    <row r="121" ht="11.25" customHeight="1" spans="2:45">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7"/>
      <c r="X121" s="467"/>
      <c r="Y121" s="467"/>
      <c r="Z121" s="467"/>
      <c r="AA121" s="467"/>
      <c r="AB121" s="467"/>
      <c r="AC121" s="467"/>
      <c r="AD121" s="467"/>
      <c r="AE121" s="467"/>
      <c r="AF121" s="467"/>
      <c r="AG121" s="467"/>
      <c r="AH121" s="467"/>
      <c r="AI121" s="467"/>
      <c r="AJ121" s="467"/>
      <c r="AK121" s="467"/>
      <c r="AL121" s="467"/>
      <c r="AM121" s="467"/>
      <c r="AN121" s="467"/>
      <c r="AO121" s="467"/>
      <c r="AP121" s="467"/>
      <c r="AQ121" s="467"/>
      <c r="AR121" s="467"/>
      <c r="AS121" s="467"/>
    </row>
    <row r="122" ht="24.75" customHeight="1" spans="2:45">
      <c r="B122" s="467" t="s">
        <v>7963</v>
      </c>
      <c r="C122" s="467"/>
      <c r="D122" s="467"/>
      <c r="E122" s="467"/>
      <c r="F122" s="467"/>
      <c r="G122" s="467"/>
      <c r="H122" s="467"/>
      <c r="I122" s="467"/>
      <c r="J122" s="467"/>
      <c r="K122" s="467"/>
      <c r="L122" s="467"/>
      <c r="M122" s="467"/>
      <c r="N122" s="467"/>
      <c r="O122" s="467"/>
      <c r="P122" s="467"/>
      <c r="Q122" s="467"/>
      <c r="R122" s="467"/>
      <c r="S122" s="467"/>
      <c r="T122" s="467"/>
      <c r="U122" s="467"/>
      <c r="V122" s="467"/>
      <c r="W122" s="467"/>
      <c r="X122" s="467"/>
      <c r="Y122" s="467"/>
      <c r="Z122" s="467"/>
      <c r="AA122" s="467"/>
      <c r="AB122" s="467"/>
      <c r="AC122" s="467"/>
      <c r="AD122" s="467"/>
      <c r="AE122" s="467"/>
      <c r="AF122" s="467"/>
      <c r="AG122" s="467"/>
      <c r="AH122" s="467"/>
      <c r="AI122" s="467"/>
      <c r="AJ122" s="467"/>
      <c r="AK122" s="467"/>
      <c r="AL122" s="467"/>
      <c r="AM122" s="467"/>
      <c r="AN122" s="467"/>
      <c r="AO122" s="467"/>
      <c r="AP122" s="467"/>
      <c r="AQ122" s="467"/>
      <c r="AR122" s="467"/>
      <c r="AS122" s="467"/>
    </row>
    <row r="123" ht="6" customHeight="1" spans="2:45">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7"/>
      <c r="X123" s="467"/>
      <c r="Y123" s="467"/>
      <c r="Z123" s="467"/>
      <c r="AA123" s="467"/>
      <c r="AB123" s="467"/>
      <c r="AC123" s="467"/>
      <c r="AD123" s="467"/>
      <c r="AE123" s="467"/>
      <c r="AF123" s="467"/>
      <c r="AG123" s="467"/>
      <c r="AH123" s="467"/>
      <c r="AI123" s="467"/>
      <c r="AJ123" s="467"/>
      <c r="AK123" s="467"/>
      <c r="AL123" s="467"/>
      <c r="AM123" s="467"/>
      <c r="AN123" s="467"/>
      <c r="AO123" s="467"/>
      <c r="AP123" s="467"/>
      <c r="AQ123" s="467"/>
      <c r="AR123" s="467"/>
      <c r="AS123" s="467"/>
    </row>
    <row r="124" ht="41.25" customHeight="1" spans="2:45">
      <c r="B124" s="467" t="s">
        <v>7964</v>
      </c>
      <c r="C124" s="467"/>
      <c r="D124" s="467"/>
      <c r="E124" s="467"/>
      <c r="F124" s="467"/>
      <c r="G124" s="467"/>
      <c r="H124" s="467"/>
      <c r="I124" s="467"/>
      <c r="J124" s="467"/>
      <c r="K124" s="467"/>
      <c r="L124" s="467"/>
      <c r="M124" s="467"/>
      <c r="N124" s="467"/>
      <c r="O124" s="467"/>
      <c r="P124" s="467"/>
      <c r="Q124" s="467"/>
      <c r="R124" s="467"/>
      <c r="S124" s="467"/>
      <c r="T124" s="467"/>
      <c r="U124" s="467"/>
      <c r="V124" s="467"/>
      <c r="W124" s="467"/>
      <c r="X124" s="467"/>
      <c r="Y124" s="467"/>
      <c r="Z124" s="467"/>
      <c r="AA124" s="467"/>
      <c r="AB124" s="467"/>
      <c r="AC124" s="467"/>
      <c r="AD124" s="467"/>
      <c r="AE124" s="467"/>
      <c r="AF124" s="467"/>
      <c r="AG124" s="467"/>
      <c r="AH124" s="467"/>
      <c r="AI124" s="467"/>
      <c r="AJ124" s="467"/>
      <c r="AK124" s="467"/>
      <c r="AL124" s="467"/>
      <c r="AM124" s="467"/>
      <c r="AN124" s="467"/>
      <c r="AO124" s="467"/>
      <c r="AP124" s="467"/>
      <c r="AQ124" s="467"/>
      <c r="AR124" s="467"/>
      <c r="AS124" s="467"/>
    </row>
    <row r="125" ht="9" customHeight="1" spans="2:45">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7"/>
      <c r="X125" s="467"/>
      <c r="Y125" s="467"/>
      <c r="Z125" s="467"/>
      <c r="AA125" s="467"/>
      <c r="AB125" s="467"/>
      <c r="AC125" s="467"/>
      <c r="AD125" s="467"/>
      <c r="AE125" s="467"/>
      <c r="AF125" s="467"/>
      <c r="AG125" s="467"/>
      <c r="AH125" s="467"/>
      <c r="AI125" s="467"/>
      <c r="AJ125" s="467"/>
      <c r="AK125" s="467"/>
      <c r="AL125" s="467"/>
      <c r="AM125" s="467"/>
      <c r="AN125" s="467"/>
      <c r="AO125" s="467"/>
      <c r="AP125" s="467"/>
      <c r="AQ125" s="467"/>
      <c r="AR125" s="467"/>
      <c r="AS125" s="467"/>
    </row>
    <row r="126" ht="37.5" customHeight="1" spans="2:45">
      <c r="B126" s="467" t="s">
        <v>7965</v>
      </c>
      <c r="C126" s="467"/>
      <c r="D126" s="467"/>
      <c r="E126" s="467"/>
      <c r="F126" s="467"/>
      <c r="G126" s="467"/>
      <c r="H126" s="467"/>
      <c r="I126" s="467"/>
      <c r="J126" s="467"/>
      <c r="K126" s="467"/>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7"/>
      <c r="AH126" s="467"/>
      <c r="AI126" s="467"/>
      <c r="AJ126" s="467"/>
      <c r="AK126" s="467"/>
      <c r="AL126" s="467"/>
      <c r="AM126" s="467"/>
      <c r="AN126" s="467"/>
      <c r="AO126" s="467"/>
      <c r="AP126" s="467"/>
      <c r="AQ126" s="467"/>
      <c r="AR126" s="467"/>
      <c r="AS126" s="467"/>
    </row>
    <row r="127" ht="7.5" customHeight="1" spans="2:45">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7"/>
      <c r="X127" s="467"/>
      <c r="Y127" s="467"/>
      <c r="Z127" s="467"/>
      <c r="AA127" s="467"/>
      <c r="AB127" s="467"/>
      <c r="AC127" s="467"/>
      <c r="AD127" s="467"/>
      <c r="AE127" s="467"/>
      <c r="AF127" s="467"/>
      <c r="AG127" s="467"/>
      <c r="AH127" s="467"/>
      <c r="AI127" s="467"/>
      <c r="AJ127" s="467"/>
      <c r="AK127" s="467"/>
      <c r="AL127" s="467"/>
      <c r="AM127" s="467"/>
      <c r="AN127" s="467"/>
      <c r="AO127" s="467"/>
      <c r="AP127" s="467"/>
      <c r="AQ127" s="467"/>
      <c r="AR127" s="467"/>
      <c r="AS127" s="467"/>
    </row>
    <row r="128" ht="14.25" customHeight="1" spans="2:45">
      <c r="B128" s="467" t="s">
        <v>7966</v>
      </c>
      <c r="C128" s="467"/>
      <c r="D128" s="467"/>
      <c r="E128" s="467"/>
      <c r="F128" s="467"/>
      <c r="G128" s="467"/>
      <c r="H128" s="467"/>
      <c r="I128" s="467"/>
      <c r="J128" s="467"/>
      <c r="K128" s="467"/>
      <c r="L128" s="467"/>
      <c r="M128" s="467"/>
      <c r="N128" s="467"/>
      <c r="O128" s="467"/>
      <c r="P128" s="467"/>
      <c r="Q128" s="467"/>
      <c r="R128" s="467"/>
      <c r="S128" s="467"/>
      <c r="T128" s="467"/>
      <c r="U128" s="467"/>
      <c r="V128" s="467"/>
      <c r="W128" s="467"/>
      <c r="X128" s="467"/>
      <c r="Y128" s="467"/>
      <c r="Z128" s="467"/>
      <c r="AA128" s="467"/>
      <c r="AB128" s="467"/>
      <c r="AC128" s="467"/>
      <c r="AD128" s="467"/>
      <c r="AE128" s="467"/>
      <c r="AF128" s="467"/>
      <c r="AG128" s="467"/>
      <c r="AH128" s="467"/>
      <c r="AI128" s="467"/>
      <c r="AJ128" s="467"/>
      <c r="AK128" s="467"/>
      <c r="AL128" s="467"/>
      <c r="AM128" s="467"/>
      <c r="AN128" s="467"/>
      <c r="AO128" s="467"/>
      <c r="AP128" s="467"/>
      <c r="AQ128" s="467"/>
      <c r="AR128" s="467"/>
      <c r="AS128" s="467"/>
    </row>
    <row r="129" ht="12.75" customHeight="1" spans="2:46">
      <c r="B129" s="467" t="s">
        <v>7967</v>
      </c>
      <c r="C129" s="467"/>
      <c r="D129" s="467"/>
      <c r="E129" s="467"/>
      <c r="F129" s="467"/>
      <c r="G129" s="467"/>
      <c r="H129" s="467"/>
      <c r="I129" s="467"/>
      <c r="J129" s="467"/>
      <c r="K129" s="467"/>
      <c r="L129" s="467"/>
      <c r="M129" s="467"/>
      <c r="N129" s="467"/>
      <c r="O129" s="467"/>
      <c r="P129" s="467"/>
      <c r="Q129" s="467"/>
      <c r="R129" s="467"/>
      <c r="S129" s="467"/>
      <c r="T129" s="467"/>
      <c r="U129" s="467"/>
      <c r="V129" s="467"/>
      <c r="W129" s="467"/>
      <c r="X129" s="467"/>
      <c r="Y129" s="467"/>
      <c r="Z129" s="467"/>
      <c r="AA129" s="467"/>
      <c r="AB129" s="467"/>
      <c r="AC129" s="467"/>
      <c r="AD129" s="467"/>
      <c r="AE129" s="467"/>
      <c r="AF129" s="467"/>
      <c r="AG129" s="467"/>
      <c r="AH129" s="467"/>
      <c r="AI129" s="467"/>
      <c r="AJ129" s="467"/>
      <c r="AK129" s="467"/>
      <c r="AL129" s="467"/>
      <c r="AM129" s="467"/>
      <c r="AN129" s="467"/>
      <c r="AO129" s="467"/>
      <c r="AP129" s="467"/>
      <c r="AQ129" s="467"/>
      <c r="AR129" s="467"/>
      <c r="AS129" s="467"/>
      <c r="AT129" s="467"/>
    </row>
    <row r="130" ht="13.5" hidden="1" customHeight="1" spans="2:46">
      <c r="B130" s="467" t="s">
        <v>7968</v>
      </c>
      <c r="C130" s="467"/>
      <c r="D130" s="467"/>
      <c r="E130" s="467"/>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467"/>
      <c r="AB130" s="467"/>
      <c r="AC130" s="467"/>
      <c r="AD130" s="467"/>
      <c r="AE130" s="467"/>
      <c r="AF130" s="467"/>
      <c r="AG130" s="467"/>
      <c r="AH130" s="467"/>
      <c r="AI130" s="467"/>
      <c r="AJ130" s="467"/>
      <c r="AK130" s="467"/>
      <c r="AL130" s="467"/>
      <c r="AM130" s="467"/>
      <c r="AN130" s="467"/>
      <c r="AO130" s="467"/>
      <c r="AP130" s="467"/>
      <c r="AQ130" s="467"/>
      <c r="AR130" s="467"/>
      <c r="AS130" s="467"/>
    </row>
    <row r="131" ht="13.5" customHeight="1" spans="2:46">
      <c r="B131" s="467"/>
      <c r="C131" s="467" t="s">
        <v>7969</v>
      </c>
      <c r="D131" s="467"/>
      <c r="E131" s="467"/>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7"/>
      <c r="AD131" s="467"/>
      <c r="AE131" s="467"/>
      <c r="AF131" s="467"/>
      <c r="AG131" s="467"/>
      <c r="AH131" s="467"/>
      <c r="AI131" s="467"/>
      <c r="AJ131" s="467"/>
      <c r="AK131" s="467"/>
      <c r="AL131" s="467"/>
      <c r="AM131" s="467"/>
      <c r="AN131" s="467"/>
      <c r="AO131" s="467"/>
      <c r="AP131" s="467"/>
      <c r="AQ131" s="467"/>
      <c r="AR131" s="467"/>
      <c r="AS131" s="467"/>
    </row>
    <row r="132" ht="23.25" customHeight="1" spans="2:46">
      <c r="B132" s="470"/>
      <c r="C132" s="467" t="s">
        <v>7970</v>
      </c>
      <c r="D132" s="467"/>
      <c r="E132" s="467"/>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7"/>
      <c r="AD132" s="467"/>
      <c r="AE132" s="467"/>
      <c r="AF132" s="467"/>
      <c r="AG132" s="467"/>
      <c r="AH132" s="467"/>
      <c r="AI132" s="467"/>
      <c r="AJ132" s="467"/>
      <c r="AK132" s="467"/>
      <c r="AL132" s="467"/>
      <c r="AM132" s="467"/>
      <c r="AN132" s="467"/>
      <c r="AO132" s="467"/>
      <c r="AP132" s="467"/>
      <c r="AQ132" s="467"/>
      <c r="AR132" s="467"/>
      <c r="AS132" s="467"/>
      <c r="AT132" s="470"/>
    </row>
    <row r="133" ht="24" customHeight="1" spans="2:46">
      <c r="B133" s="470"/>
      <c r="C133" s="467" t="s">
        <v>7971</v>
      </c>
      <c r="D133" s="467"/>
      <c r="E133" s="467"/>
      <c r="F133" s="467"/>
      <c r="G133" s="467"/>
      <c r="H133" s="467"/>
      <c r="I133" s="467"/>
      <c r="J133" s="467"/>
      <c r="K133" s="467"/>
      <c r="L133" s="467"/>
      <c r="M133" s="467"/>
      <c r="N133" s="467"/>
      <c r="O133" s="467"/>
      <c r="P133" s="467"/>
      <c r="Q133" s="467"/>
      <c r="R133" s="467"/>
      <c r="S133" s="467"/>
      <c r="T133" s="467"/>
      <c r="U133" s="467"/>
      <c r="V133" s="467"/>
      <c r="W133" s="467"/>
      <c r="X133" s="467"/>
      <c r="Y133" s="467"/>
      <c r="Z133" s="467"/>
      <c r="AA133" s="467"/>
      <c r="AB133" s="467"/>
      <c r="AC133" s="467"/>
      <c r="AD133" s="467"/>
      <c r="AE133" s="467"/>
      <c r="AF133" s="467"/>
      <c r="AG133" s="467"/>
      <c r="AH133" s="467"/>
      <c r="AI133" s="467"/>
      <c r="AJ133" s="467"/>
      <c r="AK133" s="467"/>
      <c r="AL133" s="467"/>
      <c r="AM133" s="467"/>
      <c r="AN133" s="467"/>
      <c r="AO133" s="467"/>
      <c r="AP133" s="467"/>
      <c r="AQ133" s="467"/>
      <c r="AR133" s="467"/>
      <c r="AS133" s="467"/>
      <c r="AT133" s="470"/>
    </row>
    <row r="134" ht="11.25" customHeight="1" spans="2:46">
      <c r="B134" s="467" t="s">
        <v>5765</v>
      </c>
      <c r="C134" s="467"/>
      <c r="D134" s="467"/>
      <c r="E134" s="467"/>
      <c r="F134" s="467"/>
      <c r="G134" s="467"/>
      <c r="H134" s="467"/>
      <c r="I134" s="467"/>
      <c r="J134" s="467"/>
      <c r="K134" s="467"/>
      <c r="L134" s="467"/>
      <c r="M134" s="467"/>
      <c r="N134" s="467"/>
      <c r="O134" s="467"/>
      <c r="P134" s="467"/>
      <c r="Q134" s="467"/>
      <c r="R134" s="467"/>
      <c r="S134" s="467"/>
      <c r="T134" s="467"/>
      <c r="U134" s="467"/>
      <c r="V134" s="467"/>
      <c r="W134" s="467"/>
      <c r="X134" s="467"/>
      <c r="Y134" s="467"/>
      <c r="Z134" s="467"/>
      <c r="AA134" s="467"/>
      <c r="AB134" s="467"/>
      <c r="AC134" s="467"/>
      <c r="AD134" s="467"/>
      <c r="AE134" s="467"/>
      <c r="AF134" s="467"/>
      <c r="AG134" s="467"/>
      <c r="AH134" s="467"/>
      <c r="AI134" s="467"/>
      <c r="AJ134" s="467"/>
      <c r="AK134" s="467"/>
      <c r="AL134" s="467"/>
      <c r="AM134" s="467"/>
      <c r="AN134" s="467"/>
      <c r="AO134" s="467"/>
      <c r="AP134" s="467"/>
      <c r="AQ134" s="467"/>
      <c r="AR134" s="467"/>
      <c r="AS134" s="467"/>
      <c r="AT134" s="467"/>
    </row>
    <row r="135" ht="10.5" customHeight="1" spans="2:46">
      <c r="B135" s="467" t="s">
        <v>7972</v>
      </c>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7"/>
      <c r="AO135" s="467"/>
      <c r="AP135" s="467"/>
      <c r="AQ135" s="467"/>
      <c r="AR135" s="467"/>
      <c r="AS135" s="467"/>
    </row>
    <row r="136" ht="2.25" hidden="1" customHeight="1" spans="2:46">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7"/>
      <c r="AO136" s="467"/>
      <c r="AP136" s="467"/>
      <c r="AQ136" s="467"/>
      <c r="AR136" s="467"/>
      <c r="AS136" s="467"/>
    </row>
    <row r="137" ht="24" customHeight="1" spans="2:46">
      <c r="B137" s="467" t="s">
        <v>7973</v>
      </c>
      <c r="C137" s="467"/>
      <c r="D137" s="467"/>
      <c r="E137" s="467"/>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467"/>
      <c r="AK137" s="467"/>
      <c r="AL137" s="467"/>
      <c r="AM137" s="467"/>
      <c r="AN137" s="467"/>
      <c r="AO137" s="467"/>
      <c r="AP137" s="467"/>
      <c r="AQ137" s="467"/>
      <c r="AR137" s="467"/>
      <c r="AS137" s="467"/>
    </row>
    <row r="138" ht="9" customHeight="1" spans="2:46">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467"/>
      <c r="AK138" s="467"/>
      <c r="AL138" s="467"/>
      <c r="AM138" s="467"/>
      <c r="AN138" s="467"/>
      <c r="AO138" s="467"/>
      <c r="AP138" s="467"/>
      <c r="AQ138" s="467"/>
      <c r="AR138" s="467"/>
      <c r="AS138" s="467"/>
    </row>
    <row r="139" ht="14.25" customHeight="1" spans="2:46">
      <c r="B139" s="467" t="s">
        <v>7974</v>
      </c>
      <c r="C139" s="467"/>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467"/>
      <c r="AK139" s="467"/>
      <c r="AL139" s="467"/>
      <c r="AM139" s="467"/>
      <c r="AN139" s="467"/>
      <c r="AO139" s="467"/>
      <c r="AP139" s="467"/>
      <c r="AQ139" s="467"/>
      <c r="AR139" s="467"/>
      <c r="AS139" s="467"/>
    </row>
    <row r="140" ht="24" customHeight="1" spans="2:46">
      <c r="B140" s="467"/>
      <c r="C140" s="467" t="s">
        <v>7975</v>
      </c>
      <c r="D140" s="467"/>
      <c r="E140" s="467"/>
      <c r="F140" s="467"/>
      <c r="G140" s="467"/>
      <c r="H140" s="467"/>
      <c r="I140" s="467"/>
      <c r="J140" s="467"/>
      <c r="K140" s="467"/>
      <c r="L140" s="467"/>
      <c r="M140" s="467"/>
      <c r="N140" s="467"/>
      <c r="O140" s="467"/>
      <c r="P140" s="467"/>
      <c r="Q140" s="467"/>
      <c r="R140" s="467"/>
      <c r="S140" s="467"/>
      <c r="T140" s="467"/>
      <c r="U140" s="467"/>
      <c r="V140" s="467"/>
      <c r="W140" s="467"/>
      <c r="X140" s="467"/>
      <c r="Y140" s="467"/>
      <c r="Z140" s="467"/>
      <c r="AA140" s="467"/>
      <c r="AB140" s="467"/>
      <c r="AC140" s="467"/>
      <c r="AD140" s="467"/>
      <c r="AE140" s="467"/>
      <c r="AF140" s="467"/>
      <c r="AG140" s="467"/>
      <c r="AH140" s="467"/>
      <c r="AI140" s="467"/>
      <c r="AJ140" s="467"/>
      <c r="AK140" s="467"/>
      <c r="AL140" s="467"/>
      <c r="AM140" s="467"/>
      <c r="AN140" s="467"/>
      <c r="AO140" s="467"/>
      <c r="AP140" s="467"/>
      <c r="AQ140" s="467"/>
      <c r="AR140" s="467"/>
      <c r="AS140" s="467"/>
    </row>
    <row r="141" ht="59.25" customHeight="1" spans="2:46">
      <c r="B141" s="467" t="s">
        <v>7976</v>
      </c>
      <c r="C141" s="467"/>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row>
    <row r="142" ht="18" customHeight="1" spans="2:46">
      <c r="B142" s="467" t="s">
        <v>7977</v>
      </c>
      <c r="C142" s="467"/>
      <c r="D142" s="467"/>
      <c r="E142" s="467"/>
      <c r="F142" s="467"/>
      <c r="G142" s="467"/>
      <c r="H142" s="467"/>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467"/>
      <c r="AK142" s="467"/>
      <c r="AL142" s="467"/>
      <c r="AM142" s="467"/>
      <c r="AN142" s="467"/>
      <c r="AO142" s="467"/>
      <c r="AP142" s="467"/>
      <c r="AQ142" s="467"/>
      <c r="AR142" s="467"/>
      <c r="AS142" s="467"/>
      <c r="AT142" s="467"/>
    </row>
    <row r="143" ht="37.5" customHeight="1" spans="2:46">
      <c r="B143" s="467" t="s">
        <v>7978</v>
      </c>
      <c r="C143" s="467"/>
      <c r="D143" s="467"/>
      <c r="E143" s="467"/>
      <c r="F143" s="467"/>
      <c r="G143" s="467"/>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row>
    <row r="144" ht="42.75" customHeight="1" spans="2:46">
      <c r="B144" s="467" t="s">
        <v>7979</v>
      </c>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7"/>
      <c r="AN144" s="467"/>
      <c r="AO144" s="467"/>
      <c r="AP144" s="467"/>
      <c r="AQ144" s="467"/>
      <c r="AR144" s="467"/>
      <c r="AS144" s="467"/>
      <c r="AT144" s="467"/>
    </row>
    <row r="145" ht="41.25" customHeight="1" spans="2:46">
      <c r="B145" s="467" t="s">
        <v>7980</v>
      </c>
      <c r="C145" s="467"/>
      <c r="D145" s="467"/>
      <c r="E145" s="467"/>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7"/>
      <c r="AD145" s="467"/>
      <c r="AE145" s="467"/>
      <c r="AF145" s="467"/>
      <c r="AG145" s="467"/>
      <c r="AH145" s="467"/>
      <c r="AI145" s="467"/>
      <c r="AJ145" s="467"/>
      <c r="AK145" s="467"/>
      <c r="AL145" s="467"/>
      <c r="AM145" s="467"/>
      <c r="AN145" s="467"/>
      <c r="AO145" s="467"/>
      <c r="AP145" s="467"/>
      <c r="AQ145" s="467"/>
      <c r="AR145" s="467"/>
      <c r="AS145" s="467"/>
      <c r="AT145" s="467"/>
    </row>
    <row r="146" ht="11.25" customHeight="1" spans="2:46">
      <c r="B146" s="467"/>
      <c r="C146" s="467"/>
      <c r="D146" s="467"/>
      <c r="E146" s="467"/>
      <c r="F146" s="467"/>
      <c r="G146" s="467"/>
      <c r="H146" s="467"/>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c r="AT146" s="467"/>
    </row>
    <row r="147" ht="59.25" customHeight="1" spans="2:46">
      <c r="B147" s="467" t="s">
        <v>7981</v>
      </c>
      <c r="C147" s="467"/>
      <c r="D147" s="467"/>
      <c r="E147" s="467"/>
      <c r="F147" s="467"/>
      <c r="G147" s="467"/>
      <c r="H147" s="467"/>
      <c r="I147" s="467"/>
      <c r="J147" s="467"/>
      <c r="K147" s="467"/>
      <c r="L147" s="467"/>
      <c r="M147" s="467"/>
      <c r="N147" s="467"/>
      <c r="O147" s="467"/>
      <c r="P147" s="467"/>
      <c r="Q147" s="467"/>
      <c r="R147" s="467"/>
      <c r="S147" s="467"/>
      <c r="T147" s="467"/>
      <c r="U147" s="467"/>
      <c r="V147" s="467"/>
      <c r="W147" s="467"/>
      <c r="X147" s="467"/>
      <c r="Y147" s="467"/>
      <c r="Z147" s="467"/>
      <c r="AA147" s="467"/>
      <c r="AB147" s="467"/>
      <c r="AC147" s="467"/>
      <c r="AD147" s="467"/>
      <c r="AE147" s="467"/>
      <c r="AF147" s="467"/>
      <c r="AG147" s="467"/>
      <c r="AH147" s="467"/>
      <c r="AI147" s="467"/>
      <c r="AJ147" s="467"/>
      <c r="AK147" s="467"/>
      <c r="AL147" s="467"/>
      <c r="AM147" s="467"/>
      <c r="AN147" s="467"/>
      <c r="AO147" s="467"/>
      <c r="AP147" s="467"/>
      <c r="AQ147" s="467"/>
      <c r="AR147" s="467"/>
      <c r="AS147" s="467"/>
      <c r="AT147" s="467"/>
    </row>
    <row r="148" ht="15.75" customHeight="1" spans="2:46">
      <c r="B148" s="467"/>
      <c r="C148" s="467"/>
      <c r="D148" s="467"/>
      <c r="E148" s="467"/>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c r="AT148" s="467"/>
    </row>
    <row r="149" ht="16.5" customHeight="1" spans="2:46">
      <c r="B149" s="467"/>
      <c r="C149" s="467"/>
      <c r="D149" s="467"/>
      <c r="E149" s="467"/>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c r="AT149" s="467"/>
    </row>
    <row r="150" ht="18" customHeight="1" spans="2:46">
      <c r="B150" s="467"/>
      <c r="C150" s="467"/>
      <c r="D150" s="467"/>
      <c r="E150" s="467"/>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467"/>
      <c r="AK150" s="467"/>
      <c r="AL150" s="467"/>
      <c r="AM150" s="467"/>
      <c r="AN150" s="467"/>
      <c r="AO150" s="467"/>
      <c r="AP150" s="467"/>
      <c r="AQ150" s="467"/>
      <c r="AR150" s="467"/>
      <c r="AS150" s="467"/>
      <c r="AT150" s="467"/>
    </row>
    <row r="151" ht="14.25" customHeight="1" spans="2:46">
      <c r="B151" s="467"/>
      <c r="C151" s="467"/>
      <c r="D151" s="467"/>
      <c r="E151" s="467"/>
      <c r="F151" s="467"/>
      <c r="G151" s="467"/>
      <c r="H151" s="467"/>
      <c r="I151" s="467"/>
      <c r="J151" s="467"/>
      <c r="K151" s="467"/>
      <c r="L151" s="467"/>
      <c r="M151" s="467"/>
      <c r="N151" s="467"/>
      <c r="O151" s="467"/>
      <c r="P151" s="467"/>
      <c r="Q151" s="467"/>
      <c r="R151" s="467"/>
      <c r="S151" s="467"/>
      <c r="T151" s="467"/>
      <c r="U151" s="467"/>
      <c r="V151" s="467"/>
      <c r="W151" s="467"/>
      <c r="X151" s="467"/>
      <c r="Y151" s="467"/>
      <c r="Z151" s="467"/>
      <c r="AA151" s="467"/>
      <c r="AB151" s="467"/>
      <c r="AC151" s="467"/>
      <c r="AD151" s="467"/>
      <c r="AE151" s="467"/>
      <c r="AF151" s="467"/>
      <c r="AG151" s="467"/>
      <c r="AH151" s="467"/>
      <c r="AI151" s="467"/>
      <c r="AJ151" s="467"/>
      <c r="AK151" s="467"/>
      <c r="AL151" s="467"/>
      <c r="AM151" s="467"/>
      <c r="AN151" s="467"/>
      <c r="AO151" s="467"/>
      <c r="AP151" s="467"/>
      <c r="AQ151" s="467"/>
      <c r="AR151" s="467"/>
      <c r="AS151" s="467"/>
      <c r="AT151" s="467"/>
    </row>
    <row r="152" ht="15" customHeight="1" spans="2:46">
      <c r="B152" s="471" t="s">
        <v>7982</v>
      </c>
      <c r="C152" s="472"/>
      <c r="D152" s="472"/>
      <c r="E152" s="472"/>
      <c r="F152" s="472"/>
      <c r="G152" s="472"/>
      <c r="H152" s="472"/>
      <c r="I152" s="472"/>
      <c r="J152" s="472"/>
      <c r="K152" s="472"/>
      <c r="L152" s="472"/>
      <c r="M152" s="472"/>
      <c r="N152" s="472"/>
      <c r="O152" s="472"/>
      <c r="P152" s="472"/>
      <c r="Q152" s="472"/>
      <c r="R152" s="472"/>
      <c r="S152" s="472"/>
      <c r="T152" s="472"/>
      <c r="U152" s="472"/>
      <c r="V152" s="472"/>
      <c r="W152" s="472"/>
      <c r="X152" s="472"/>
      <c r="Y152" s="472"/>
      <c r="Z152" s="472"/>
      <c r="AA152" s="472"/>
      <c r="AB152" s="472"/>
      <c r="AC152" s="472"/>
      <c r="AD152" s="472"/>
      <c r="AE152" s="472"/>
      <c r="AF152" s="472"/>
      <c r="AG152" s="472"/>
      <c r="AH152" s="472"/>
      <c r="AI152" s="472"/>
      <c r="AJ152" s="472"/>
      <c r="AK152" s="472"/>
      <c r="AL152" s="472"/>
      <c r="AM152" s="472"/>
      <c r="AN152" s="472"/>
      <c r="AO152" s="472"/>
      <c r="AP152" s="472"/>
      <c r="AQ152" s="472"/>
      <c r="AR152" s="473"/>
      <c r="AS152" s="474"/>
      <c r="AT152" s="474"/>
    </row>
    <row r="153" ht="14.25" customHeight="1" spans="2:46">
      <c r="B153" s="475" t="s">
        <v>7983</v>
      </c>
      <c r="C153" s="476"/>
      <c r="D153" s="476"/>
      <c r="E153" s="476"/>
      <c r="F153" s="476"/>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7"/>
      <c r="AS153" s="467"/>
      <c r="AT153" s="467"/>
    </row>
    <row r="154" ht="12.75" customHeight="1" spans="2:46">
      <c r="B154" s="478"/>
      <c r="C154" s="479" t="s">
        <v>7984</v>
      </c>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c r="AA154" s="479"/>
      <c r="AB154" s="479"/>
      <c r="AC154" s="479"/>
      <c r="AD154" s="479"/>
      <c r="AE154" s="479"/>
      <c r="AF154" s="479"/>
      <c r="AG154" s="479"/>
      <c r="AH154" s="479"/>
      <c r="AI154" s="479"/>
      <c r="AJ154" s="479"/>
      <c r="AK154" s="479"/>
      <c r="AL154" s="479"/>
      <c r="AM154" s="479"/>
      <c r="AN154" s="479"/>
      <c r="AO154" s="479"/>
      <c r="AP154" s="479"/>
      <c r="AQ154" s="479"/>
      <c r="AR154" s="480"/>
      <c r="AS154" s="467"/>
      <c r="AT154" s="467"/>
    </row>
    <row r="155" ht="27.75" customHeight="1" spans="2:46">
      <c r="B155" s="481" t="s">
        <v>7985</v>
      </c>
      <c r="C155" s="482"/>
      <c r="D155" s="482"/>
      <c r="E155" s="482"/>
      <c r="F155" s="482"/>
      <c r="G155" s="482"/>
      <c r="H155" s="482"/>
      <c r="I155" s="482"/>
      <c r="J155" s="482"/>
      <c r="K155" s="482"/>
      <c r="L155" s="482"/>
      <c r="M155" s="482"/>
      <c r="N155" s="482"/>
      <c r="O155" s="482"/>
      <c r="P155" s="482"/>
      <c r="Q155" s="482"/>
      <c r="R155" s="482"/>
      <c r="S155" s="482"/>
      <c r="T155" s="482"/>
      <c r="U155" s="482"/>
      <c r="V155" s="483"/>
      <c r="W155" s="484"/>
      <c r="X155" s="484"/>
      <c r="Y155" s="484"/>
      <c r="Z155" s="484"/>
      <c r="AA155" s="484"/>
      <c r="AB155" s="484"/>
      <c r="AC155" s="484"/>
      <c r="AD155" s="484"/>
      <c r="AE155" s="484"/>
      <c r="AF155" s="484"/>
      <c r="AG155" s="484"/>
      <c r="AH155" s="484"/>
      <c r="AI155" s="484"/>
      <c r="AJ155" s="484"/>
      <c r="AK155" s="484"/>
      <c r="AL155" s="484"/>
      <c r="AM155" s="484"/>
      <c r="AN155" s="484"/>
      <c r="AO155" s="484"/>
      <c r="AP155" s="484"/>
      <c r="AQ155" s="484"/>
      <c r="AR155" s="485"/>
      <c r="AS155" s="467"/>
      <c r="AT155" s="467"/>
    </row>
    <row r="156" ht="12.75" customHeight="1" spans="2:46">
      <c r="B156" s="481" t="s">
        <v>7986</v>
      </c>
      <c r="C156" s="482"/>
      <c r="D156" s="482"/>
      <c r="E156" s="482"/>
      <c r="F156" s="482"/>
      <c r="G156" s="482"/>
      <c r="H156" s="482"/>
      <c r="I156" s="482"/>
      <c r="J156" s="482"/>
      <c r="K156" s="482"/>
      <c r="L156" s="482"/>
      <c r="M156" s="482"/>
      <c r="N156" s="482"/>
      <c r="O156" s="482"/>
      <c r="P156" s="482"/>
      <c r="Q156" s="482"/>
      <c r="R156" s="482"/>
      <c r="S156" s="482"/>
      <c r="T156" s="482"/>
      <c r="U156" s="482"/>
      <c r="V156" s="483"/>
      <c r="W156" s="486"/>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8"/>
      <c r="AS156" s="467"/>
      <c r="AT156" s="467"/>
    </row>
    <row r="157" ht="12.75" customHeight="1" spans="2:46">
      <c r="B157" s="481" t="s">
        <v>7987</v>
      </c>
      <c r="C157" s="482"/>
      <c r="D157" s="482"/>
      <c r="E157" s="482"/>
      <c r="F157" s="482"/>
      <c r="G157" s="482"/>
      <c r="H157" s="482"/>
      <c r="I157" s="482"/>
      <c r="J157" s="482"/>
      <c r="K157" s="482"/>
      <c r="L157" s="482"/>
      <c r="M157" s="482"/>
      <c r="N157" s="482"/>
      <c r="O157" s="482"/>
      <c r="P157" s="482"/>
      <c r="Q157" s="482"/>
      <c r="R157" s="482"/>
      <c r="S157" s="482"/>
      <c r="T157" s="482"/>
      <c r="U157" s="482"/>
      <c r="V157" s="483"/>
      <c r="W157" s="486"/>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8"/>
      <c r="AS157" s="467"/>
      <c r="AT157" s="467"/>
    </row>
    <row r="158" ht="12.75" customHeight="1" spans="2:46">
      <c r="B158" s="467"/>
      <c r="C158" s="469"/>
      <c r="D158" s="469"/>
      <c r="E158" s="469"/>
      <c r="F158" s="469"/>
      <c r="G158" s="469"/>
      <c r="H158" s="469"/>
      <c r="I158" s="469"/>
      <c r="J158" s="469"/>
      <c r="K158" s="469"/>
      <c r="L158" s="469"/>
      <c r="M158" s="469"/>
      <c r="N158" s="469"/>
      <c r="O158" s="469"/>
      <c r="P158" s="469"/>
      <c r="Q158" s="469"/>
      <c r="R158" s="469"/>
      <c r="S158" s="469"/>
      <c r="T158" s="469"/>
      <c r="U158" s="469"/>
      <c r="V158" s="469"/>
      <c r="W158" s="469"/>
      <c r="X158" s="469"/>
      <c r="Y158" s="469"/>
      <c r="Z158" s="469"/>
      <c r="AA158" s="469"/>
      <c r="AB158" s="469"/>
      <c r="AC158" s="469"/>
      <c r="AD158" s="469"/>
      <c r="AE158" s="469"/>
      <c r="AF158" s="469"/>
      <c r="AG158" s="469"/>
      <c r="AH158" s="469"/>
      <c r="AI158" s="469"/>
      <c r="AJ158" s="469"/>
      <c r="AK158" s="469"/>
      <c r="AL158" s="469"/>
      <c r="AM158" s="469"/>
      <c r="AN158" s="469"/>
      <c r="AO158" s="469"/>
      <c r="AP158" s="469"/>
      <c r="AQ158" s="469"/>
      <c r="AR158" s="469"/>
      <c r="AS158" s="467"/>
      <c r="AT158" s="467"/>
    </row>
    <row r="159" ht="12.75" customHeight="1" spans="2:46">
      <c r="B159" s="467"/>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469"/>
      <c r="AN159" s="469"/>
      <c r="AO159" s="469"/>
      <c r="AP159" s="469"/>
      <c r="AQ159" s="469"/>
      <c r="AR159" s="469"/>
      <c r="AS159" s="467"/>
      <c r="AT159" s="467"/>
    </row>
    <row r="160" ht="12.75" customHeight="1" spans="2:46">
      <c r="B160" s="467"/>
      <c r="C160" s="469"/>
      <c r="D160" s="469"/>
      <c r="E160" s="469"/>
      <c r="F160" s="469"/>
      <c r="G160" s="469"/>
      <c r="H160" s="469"/>
      <c r="I160" s="469"/>
      <c r="J160" s="469"/>
      <c r="K160" s="469"/>
      <c r="L160" s="469"/>
      <c r="M160" s="469"/>
      <c r="N160" s="469"/>
      <c r="O160" s="469"/>
      <c r="P160" s="469"/>
      <c r="Q160" s="469"/>
      <c r="R160" s="469"/>
      <c r="S160" s="469"/>
      <c r="T160" s="469"/>
      <c r="U160" s="469"/>
      <c r="V160" s="469"/>
      <c r="W160" s="469"/>
      <c r="X160" s="469"/>
      <c r="Y160" s="469"/>
      <c r="Z160" s="469"/>
      <c r="AA160" s="469"/>
      <c r="AB160" s="469"/>
      <c r="AC160" s="469"/>
      <c r="AD160" s="469"/>
      <c r="AE160" s="469"/>
      <c r="AF160" s="469"/>
      <c r="AG160" s="469"/>
      <c r="AH160" s="469"/>
      <c r="AI160" s="469"/>
      <c r="AJ160" s="469"/>
      <c r="AK160" s="469"/>
      <c r="AL160" s="469"/>
      <c r="AM160" s="469"/>
      <c r="AN160" s="469"/>
      <c r="AO160" s="469"/>
      <c r="AP160" s="469"/>
      <c r="AQ160" s="469"/>
      <c r="AR160" s="469"/>
      <c r="AS160" s="467"/>
      <c r="AT160" s="467"/>
    </row>
    <row r="161" ht="12.75" customHeight="1" spans="1:46">
      <c r="B161" s="467"/>
      <c r="C161" s="469"/>
      <c r="D161" s="469"/>
      <c r="E161" s="469"/>
      <c r="F161" s="469"/>
      <c r="G161" s="469"/>
      <c r="H161" s="469"/>
      <c r="I161" s="469"/>
      <c r="J161" s="469"/>
      <c r="K161" s="469"/>
      <c r="L161" s="469"/>
      <c r="M161" s="469"/>
      <c r="N161" s="469"/>
      <c r="O161" s="469"/>
      <c r="P161" s="469"/>
      <c r="Q161" s="469"/>
      <c r="R161" s="469"/>
      <c r="S161" s="469"/>
      <c r="T161" s="469"/>
      <c r="U161" s="469"/>
      <c r="V161" s="469"/>
      <c r="W161" s="469"/>
      <c r="X161" s="469"/>
      <c r="Y161" s="469"/>
      <c r="Z161" s="469"/>
      <c r="AA161" s="469"/>
      <c r="AB161" s="469"/>
      <c r="AC161" s="469"/>
      <c r="AD161" s="469"/>
      <c r="AE161" s="469"/>
      <c r="AF161" s="469"/>
      <c r="AG161" s="469"/>
      <c r="AH161" s="469"/>
      <c r="AI161" s="469"/>
      <c r="AJ161" s="469"/>
      <c r="AK161" s="469"/>
      <c r="AL161" s="469"/>
      <c r="AM161" s="469"/>
      <c r="AN161" s="469"/>
      <c r="AO161" s="469"/>
      <c r="AP161" s="469"/>
      <c r="AQ161" s="469"/>
      <c r="AR161" s="469"/>
      <c r="AS161" s="467"/>
      <c r="AT161" s="467"/>
    </row>
    <row r="162" ht="21.75" customHeight="1" spans="1:46">
      <c r="A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row>
    <row r="163" ht="21.75" customHeight="1" spans="1:46">
      <c r="B163" s="325" t="s">
        <v>7988</v>
      </c>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row>
  </sheetData>
  <mergeCells count="69">
    <mergeCell ref="C1:Q1"/>
    <mergeCell ref="AF1:AS1"/>
    <mergeCell ref="C2:Q2"/>
    <mergeCell ref="C3:Q3"/>
    <mergeCell ref="AE3:AS3"/>
    <mergeCell ref="C4:Q4"/>
    <mergeCell ref="AE4:AS4"/>
    <mergeCell ref="C5:Q5"/>
    <mergeCell ref="AE5:AS5"/>
    <mergeCell ref="B8:Q8"/>
    <mergeCell ref="A9:AS9"/>
    <mergeCell ref="A10:AS10"/>
    <mergeCell ref="AE13:AS13"/>
    <mergeCell ref="AE19:AS19"/>
    <mergeCell ref="C26:AB26"/>
    <mergeCell ref="C53:N53"/>
    <mergeCell ref="N58:R58"/>
    <mergeCell ref="H69:AC69"/>
    <mergeCell ref="B79:AS79"/>
    <mergeCell ref="L82:M82"/>
    <mergeCell ref="Z83:AE83"/>
    <mergeCell ref="AG83:AL83"/>
    <mergeCell ref="AN83:AS83"/>
    <mergeCell ref="AC86:AP86"/>
    <mergeCell ref="AA88:AR88"/>
    <mergeCell ref="B96:AS96"/>
    <mergeCell ref="B98:AT98"/>
    <mergeCell ref="B100:AS100"/>
    <mergeCell ref="B102:AR102"/>
    <mergeCell ref="B107:AS107"/>
    <mergeCell ref="B108:AS108"/>
    <mergeCell ref="B109:AS109"/>
    <mergeCell ref="B110:AS110"/>
    <mergeCell ref="B111:AS111"/>
    <mergeCell ref="B113:AS113"/>
    <mergeCell ref="B114:AS114"/>
    <mergeCell ref="B117:AS117"/>
    <mergeCell ref="B119:AS119"/>
    <mergeCell ref="B120:AS120"/>
    <mergeCell ref="B122:AS122"/>
    <mergeCell ref="B124:AS124"/>
    <mergeCell ref="B126:AS126"/>
    <mergeCell ref="B128:AR128"/>
    <mergeCell ref="B129:AT129"/>
    <mergeCell ref="B130:AS130"/>
    <mergeCell ref="C131:AS131"/>
    <mergeCell ref="C132:AS132"/>
    <mergeCell ref="C133:AS133"/>
    <mergeCell ref="B134:AT134"/>
    <mergeCell ref="B135:AS135"/>
    <mergeCell ref="B137:AS137"/>
    <mergeCell ref="B139:AS139"/>
    <mergeCell ref="C140:AS140"/>
    <mergeCell ref="B141:AT141"/>
    <mergeCell ref="B142:AT142"/>
    <mergeCell ref="B143:AT143"/>
    <mergeCell ref="B144:AT144"/>
    <mergeCell ref="B145:AT145"/>
    <mergeCell ref="B147:AT147"/>
    <mergeCell ref="B152:AR152"/>
    <mergeCell ref="B153:AR153"/>
    <mergeCell ref="C154:AR154"/>
    <mergeCell ref="B155:V155"/>
    <mergeCell ref="B156:V156"/>
    <mergeCell ref="W156:AR156"/>
    <mergeCell ref="B157:V157"/>
    <mergeCell ref="W157:AR157"/>
    <mergeCell ref="A162:AS162"/>
    <mergeCell ref="B163:AS163"/>
  </mergeCells>
  <pageMargins left="0.708661417322835" right="0.708661417322835" top="0.94488188976378" bottom="0.748031496062992" header="0.31496062992126" footer="0.31496062992126"/>
  <pageSetup paperSize="9" scale="86" fitToHeight="0" orientation="portrait"/>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37">
    <tabColor rgb="FFFFFF00"/>
    <pageSetUpPr fitToPage="1"/>
  </sheetPr>
  <dimension ref="A1:W112"/>
  <sheetViews>
    <sheetView showGridLines="0" workbookViewId="0">
      <selection activeCell="P5" sqref="P5"/>
    </sheetView>
  </sheetViews>
  <sheetFormatPr defaultColWidth="9" defaultRowHeight="12.75"/>
  <cols>
    <col min="1" max="1" width="2.71428571428571" style="2" customWidth="1"/>
    <col min="2" max="7" width="8.71428571428571" style="2" customWidth="1"/>
    <col min="8" max="8" width="9.57142857142857" style="2" customWidth="1"/>
    <col min="9" max="11" width="8.71428571428571" style="2" customWidth="1"/>
    <col min="12" max="12" width="4.71428571428571" style="2" customWidth="1"/>
    <col min="13" max="18" width="8.71428571428571" style="2" customWidth="1"/>
    <col min="19" max="19" width="9.71428571428571" style="2" customWidth="1"/>
    <col min="20" max="22" width="9.14285714285714" style="2"/>
    <col min="23" max="23" width="2.71428571428571" style="2" customWidth="1"/>
    <col min="24" max="16384" width="9.14285714285714" style="2"/>
  </cols>
  <sheetData>
    <row r="1" ht="13.5" spans="1:23">
      <c r="A1" s="87"/>
      <c r="B1" s="88"/>
      <c r="C1" s="88"/>
      <c r="D1" s="88"/>
      <c r="E1" s="88"/>
      <c r="F1" s="88"/>
      <c r="G1" s="88"/>
      <c r="H1" s="88"/>
      <c r="I1" s="88"/>
      <c r="J1" s="88"/>
      <c r="K1" s="88"/>
      <c r="L1" s="88"/>
      <c r="M1" s="88"/>
      <c r="N1" s="88"/>
      <c r="O1" s="88"/>
      <c r="P1" s="88"/>
      <c r="Q1" s="88"/>
      <c r="R1" s="88"/>
      <c r="S1" s="88"/>
      <c r="T1" s="88"/>
      <c r="U1" s="88"/>
      <c r="V1" s="88"/>
      <c r="W1" s="89"/>
    </row>
    <row r="2" ht="19.5" spans="1:23">
      <c r="A2" s="90"/>
      <c r="B2" s="91" t="s">
        <v>7592</v>
      </c>
      <c r="C2" s="91"/>
      <c r="D2" s="91"/>
      <c r="E2" s="92" t="str">
        <f>Firma</f>
        <v>LILIUM ASSET MANAGEMENT d.o.o. Sarajevo</v>
      </c>
      <c r="F2" s="92"/>
      <c r="G2" s="92"/>
      <c r="H2" s="92"/>
      <c r="I2" s="92"/>
      <c r="J2" s="92"/>
      <c r="K2" s="92"/>
      <c r="L2" s="92"/>
      <c r="M2" s="92"/>
      <c r="N2" s="92"/>
      <c r="O2" s="92"/>
      <c r="P2" s="92"/>
      <c r="Q2" s="93"/>
      <c r="R2" s="93"/>
      <c r="S2" s="93"/>
      <c r="T2" s="93"/>
      <c r="U2" s="93"/>
      <c r="V2" s="93"/>
      <c r="W2" s="94"/>
    </row>
    <row r="3" ht="9.75" customHeight="1" spans="1:23">
      <c r="A3" s="90"/>
      <c r="B3" s="93"/>
      <c r="C3" s="93"/>
      <c r="D3" s="93"/>
      <c r="E3" s="93"/>
      <c r="F3" s="93"/>
      <c r="G3" s="93"/>
      <c r="H3" s="93"/>
      <c r="I3" s="93"/>
      <c r="J3" s="93"/>
      <c r="K3" s="93"/>
      <c r="L3" s="93"/>
      <c r="M3" s="93"/>
      <c r="N3" s="93"/>
      <c r="O3" s="93"/>
      <c r="P3" s="93"/>
      <c r="Q3" s="93"/>
      <c r="R3" s="93"/>
      <c r="S3" s="93"/>
      <c r="T3" s="93"/>
      <c r="U3" s="93"/>
      <c r="V3" s="93"/>
      <c r="W3" s="94"/>
    </row>
    <row r="4" ht="18" spans="1:23">
      <c r="A4" s="90"/>
      <c r="B4" s="91" t="s">
        <v>7989</v>
      </c>
      <c r="C4" s="91"/>
      <c r="D4" s="91"/>
      <c r="E4" s="95" t="str">
        <f>Djelatnost</f>
        <v>Djelatnosti upravljanja fondovima</v>
      </c>
      <c r="F4" s="95"/>
      <c r="G4" s="95"/>
      <c r="H4" s="95"/>
      <c r="I4" s="95"/>
      <c r="J4" s="95"/>
      <c r="K4" s="95"/>
      <c r="L4" s="95"/>
      <c r="M4" s="95"/>
      <c r="N4" s="95"/>
      <c r="O4" s="96"/>
      <c r="P4" s="97"/>
      <c r="Q4" s="91" t="s">
        <v>7990</v>
      </c>
      <c r="R4" s="91"/>
      <c r="S4" s="91"/>
      <c r="T4" s="91"/>
      <c r="U4" s="98" t="str">
        <f>Sif_Djelatn</f>
        <v>66.30</v>
      </c>
      <c r="V4" s="98"/>
      <c r="W4" s="94"/>
    </row>
    <row r="5" ht="18" spans="1:23">
      <c r="A5" s="90"/>
      <c r="B5" s="99"/>
      <c r="C5" s="93"/>
      <c r="D5" s="93"/>
      <c r="E5" s="93"/>
      <c r="F5" s="93"/>
      <c r="G5" s="93"/>
      <c r="H5" s="93"/>
      <c r="I5" s="93"/>
      <c r="J5" s="93"/>
      <c r="K5" s="93"/>
      <c r="L5" s="93"/>
      <c r="M5" s="93"/>
      <c r="N5" s="93"/>
      <c r="O5" s="93"/>
      <c r="P5" s="93"/>
      <c r="Q5" s="93"/>
      <c r="R5" s="93"/>
      <c r="S5" s="93"/>
      <c r="T5" s="93"/>
      <c r="U5" s="93"/>
      <c r="V5" s="93"/>
      <c r="W5" s="94"/>
    </row>
    <row r="6" ht="23.25" spans="1:23">
      <c r="A6" s="90"/>
      <c r="B6" s="100" t="s">
        <v>7991</v>
      </c>
      <c r="C6" s="100"/>
      <c r="D6" s="100"/>
      <c r="E6" s="100"/>
      <c r="F6" s="100"/>
      <c r="G6" s="100"/>
      <c r="H6" s="100"/>
      <c r="I6" s="100"/>
      <c r="J6" s="101" t="str">
        <f>PeriodOd</f>
        <v>01.01.2025</v>
      </c>
      <c r="K6" s="101"/>
      <c r="L6" s="102" t="s">
        <v>481</v>
      </c>
      <c r="M6" s="103" t="str">
        <f ca="1">PeriodDo</f>
        <v>31.12.2025</v>
      </c>
      <c r="N6" s="103"/>
      <c r="O6" s="104" t="s">
        <v>2513</v>
      </c>
      <c r="P6" s="104"/>
      <c r="Q6" s="93"/>
      <c r="R6" s="93"/>
      <c r="S6" s="93"/>
      <c r="T6" s="93"/>
      <c r="U6" s="93"/>
      <c r="V6" s="93"/>
      <c r="W6" s="94"/>
    </row>
    <row r="7" spans="1:23">
      <c r="A7" s="90"/>
      <c r="B7" s="93"/>
      <c r="C7" s="93"/>
      <c r="D7" s="93"/>
      <c r="E7" s="93"/>
      <c r="F7" s="93"/>
      <c r="G7" s="93"/>
      <c r="H7" s="93"/>
      <c r="I7" s="93"/>
      <c r="J7" s="93"/>
      <c r="K7" s="93"/>
      <c r="L7" s="93"/>
      <c r="M7" s="93"/>
      <c r="N7" s="93"/>
      <c r="O7" s="93"/>
      <c r="P7" s="93"/>
      <c r="Q7" s="93"/>
      <c r="R7" s="93"/>
      <c r="S7" s="93"/>
      <c r="T7" s="93"/>
      <c r="U7" s="93"/>
      <c r="V7" s="93"/>
      <c r="W7" s="94"/>
    </row>
    <row r="8" ht="13.5" spans="1:23">
      <c r="A8" s="90"/>
      <c r="B8" s="93"/>
      <c r="C8" s="93"/>
      <c r="D8" s="93"/>
      <c r="E8" s="93"/>
      <c r="F8" s="93"/>
      <c r="G8" s="93"/>
      <c r="H8" s="93"/>
      <c r="I8" s="93"/>
      <c r="J8" s="93"/>
      <c r="K8" s="93"/>
      <c r="L8" s="105"/>
      <c r="M8" s="93"/>
      <c r="N8" s="93"/>
      <c r="O8" s="93"/>
      <c r="P8" s="93"/>
      <c r="Q8" s="93"/>
      <c r="R8" s="93"/>
      <c r="S8" s="93"/>
      <c r="T8" s="93"/>
      <c r="U8" s="93"/>
      <c r="V8" s="93"/>
      <c r="W8" s="94"/>
    </row>
    <row r="9" ht="18.75" spans="1:23">
      <c r="A9" s="106"/>
      <c r="B9" s="107" t="s">
        <v>2507</v>
      </c>
      <c r="C9" s="108"/>
      <c r="D9" s="108"/>
      <c r="E9" s="108"/>
      <c r="F9" s="108"/>
      <c r="G9" s="108"/>
      <c r="H9" s="109"/>
      <c r="I9" s="110" t="s">
        <v>5800</v>
      </c>
      <c r="J9" s="111"/>
      <c r="K9" s="112"/>
      <c r="L9" s="105"/>
      <c r="M9" s="107" t="s">
        <v>2507</v>
      </c>
      <c r="N9" s="108"/>
      <c r="O9" s="108"/>
      <c r="P9" s="108"/>
      <c r="Q9" s="108"/>
      <c r="R9" s="108"/>
      <c r="S9" s="109"/>
      <c r="T9" s="110" t="s">
        <v>5800</v>
      </c>
      <c r="U9" s="111"/>
      <c r="V9" s="112"/>
      <c r="W9" s="94"/>
    </row>
    <row r="10" ht="17.25" customHeight="1" spans="1:23">
      <c r="A10" s="106"/>
      <c r="B10" s="113" t="s">
        <v>7992</v>
      </c>
      <c r="C10" s="114"/>
      <c r="D10" s="114"/>
      <c r="E10" s="114"/>
      <c r="F10" s="114"/>
      <c r="G10" s="114"/>
      <c r="H10" s="114"/>
      <c r="I10" s="115">
        <f>I11+I12+I13</f>
        <v>245707</v>
      </c>
      <c r="J10" s="115"/>
      <c r="K10" s="116"/>
      <c r="L10" s="105"/>
      <c r="M10" s="117" t="s">
        <v>7993</v>
      </c>
      <c r="N10" s="118"/>
      <c r="O10" s="118"/>
      <c r="P10" s="118"/>
      <c r="Q10" s="118"/>
      <c r="R10" s="118"/>
      <c r="S10" s="118"/>
      <c r="T10" s="119">
        <f>T11+T12+T13+T14</f>
        <v>746</v>
      </c>
      <c r="U10" s="119"/>
      <c r="V10" s="120"/>
      <c r="W10" s="94"/>
    </row>
    <row r="11" ht="17.25" customHeight="1" spans="1:23">
      <c r="A11" s="106"/>
      <c r="B11" s="121" t="s">
        <v>7994</v>
      </c>
      <c r="C11" s="122"/>
      <c r="D11" s="122"/>
      <c r="E11" s="122"/>
      <c r="F11" s="122"/>
      <c r="G11" s="122"/>
      <c r="H11" s="122"/>
      <c r="I11" s="123">
        <f>UnosPod!F123</f>
        <v>0</v>
      </c>
      <c r="J11" s="123"/>
      <c r="K11" s="124"/>
      <c r="L11" s="105"/>
      <c r="M11" s="121" t="s">
        <v>7995</v>
      </c>
      <c r="N11" s="122"/>
      <c r="O11" s="122"/>
      <c r="P11" s="122"/>
      <c r="Q11" s="122"/>
      <c r="R11" s="122"/>
      <c r="S11" s="122"/>
      <c r="T11" s="123">
        <f>UnosPod!F174</f>
        <v>0</v>
      </c>
      <c r="U11" s="123"/>
      <c r="V11" s="124"/>
      <c r="W11" s="94"/>
    </row>
    <row r="12" ht="17.25" customHeight="1" spans="1:23">
      <c r="A12" s="106"/>
      <c r="B12" s="121" t="s">
        <v>7996</v>
      </c>
      <c r="C12" s="122"/>
      <c r="D12" s="122"/>
      <c r="E12" s="122"/>
      <c r="F12" s="122"/>
      <c r="G12" s="122"/>
      <c r="H12" s="122"/>
      <c r="I12" s="123">
        <f>UnosPod!F137+UnosPod!F151</f>
        <v>245707</v>
      </c>
      <c r="J12" s="123"/>
      <c r="K12" s="124"/>
      <c r="L12" s="105"/>
      <c r="M12" s="121" t="s">
        <v>7997</v>
      </c>
      <c r="N12" s="122"/>
      <c r="O12" s="122"/>
      <c r="P12" s="122"/>
      <c r="Q12" s="122"/>
      <c r="R12" s="122"/>
      <c r="S12" s="122"/>
      <c r="T12" s="123">
        <f>UnosPod!F189</f>
        <v>0</v>
      </c>
      <c r="U12" s="123"/>
      <c r="V12" s="124"/>
      <c r="W12" s="94"/>
    </row>
    <row r="13" ht="17.25" customHeight="1" spans="1:23">
      <c r="A13" s="106"/>
      <c r="B13" s="125" t="s">
        <v>7998</v>
      </c>
      <c r="C13" s="126"/>
      <c r="D13" s="126"/>
      <c r="E13" s="126"/>
      <c r="F13" s="126"/>
      <c r="G13" s="126"/>
      <c r="H13" s="126"/>
      <c r="I13" s="127">
        <f>UnosPod!F165</f>
        <v>0</v>
      </c>
      <c r="J13" s="127"/>
      <c r="K13" s="128"/>
      <c r="L13" s="105"/>
      <c r="M13" s="121" t="s">
        <v>7999</v>
      </c>
      <c r="N13" s="122"/>
      <c r="O13" s="122"/>
      <c r="P13" s="122"/>
      <c r="Q13" s="122"/>
      <c r="R13" s="122"/>
      <c r="S13" s="122"/>
      <c r="T13" s="123">
        <f>UnosPod!F191</f>
        <v>0</v>
      </c>
      <c r="U13" s="123"/>
      <c r="V13" s="124"/>
      <c r="W13" s="94"/>
    </row>
    <row r="14" ht="17.25" customHeight="1" spans="1:23">
      <c r="A14" s="106"/>
      <c r="B14" s="117" t="s">
        <v>8000</v>
      </c>
      <c r="C14" s="118"/>
      <c r="D14" s="118"/>
      <c r="E14" s="118"/>
      <c r="F14" s="118"/>
      <c r="G14" s="118"/>
      <c r="H14" s="118"/>
      <c r="I14" s="119">
        <f>I15+I16+I17+I18+I19+I20+I21+I22</f>
        <v>292171</v>
      </c>
      <c r="J14" s="119"/>
      <c r="K14" s="120"/>
      <c r="L14" s="105"/>
      <c r="M14" s="129" t="s">
        <v>8001</v>
      </c>
      <c r="N14" s="130"/>
      <c r="O14" s="130"/>
      <c r="P14" s="130"/>
      <c r="Q14" s="130"/>
      <c r="R14" s="130"/>
      <c r="S14" s="130"/>
      <c r="T14" s="131">
        <f>UnosPod!F156+UnosPod!F193+UnosPod!F222-Preliminarni_RFB!T11-Preliminarni_RFB!T12-T13</f>
        <v>746</v>
      </c>
      <c r="U14" s="131"/>
      <c r="V14" s="132"/>
      <c r="W14" s="94"/>
    </row>
    <row r="15" ht="17.25" customHeight="1" spans="1:23">
      <c r="A15" s="106"/>
      <c r="B15" s="121" t="s">
        <v>8002</v>
      </c>
      <c r="C15" s="122"/>
      <c r="D15" s="122"/>
      <c r="E15" s="122"/>
      <c r="F15" s="122"/>
      <c r="G15" s="122"/>
      <c r="H15" s="122"/>
      <c r="I15" s="123">
        <f>UnosPod!F232</f>
        <v>0</v>
      </c>
      <c r="J15" s="123"/>
      <c r="K15" s="124"/>
      <c r="L15" s="105"/>
      <c r="M15" s="133" t="s">
        <v>8003</v>
      </c>
      <c r="N15" s="134"/>
      <c r="O15" s="134"/>
      <c r="P15" s="134"/>
      <c r="Q15" s="134"/>
      <c r="R15" s="134"/>
      <c r="S15" s="134"/>
      <c r="T15" s="135">
        <f>T16+T17+T18+T19</f>
        <v>14739</v>
      </c>
      <c r="U15" s="135"/>
      <c r="V15" s="136"/>
      <c r="W15" s="94"/>
    </row>
    <row r="16" ht="17.25" customHeight="1" spans="1:23">
      <c r="A16" s="106"/>
      <c r="B16" s="121" t="s">
        <v>8004</v>
      </c>
      <c r="C16" s="122"/>
      <c r="D16" s="122"/>
      <c r="E16" s="122"/>
      <c r="F16" s="122"/>
      <c r="G16" s="122"/>
      <c r="H16" s="122"/>
      <c r="I16" s="123">
        <f>UnosPod!F239</f>
        <v>8395</v>
      </c>
      <c r="J16" s="123"/>
      <c r="K16" s="124"/>
      <c r="L16" s="105"/>
      <c r="M16" s="121" t="s">
        <v>8005</v>
      </c>
      <c r="N16" s="122"/>
      <c r="O16" s="122"/>
      <c r="P16" s="122"/>
      <c r="Q16" s="122"/>
      <c r="R16" s="122"/>
      <c r="S16" s="122"/>
      <c r="T16" s="123">
        <f>UnosPod!F313</f>
        <v>0</v>
      </c>
      <c r="U16" s="123"/>
      <c r="V16" s="124"/>
      <c r="W16" s="94"/>
    </row>
    <row r="17" ht="17.25" customHeight="1" spans="1:23">
      <c r="A17" s="106"/>
      <c r="B17" s="121" t="s">
        <v>8006</v>
      </c>
      <c r="C17" s="122"/>
      <c r="D17" s="122"/>
      <c r="E17" s="122"/>
      <c r="F17" s="122"/>
      <c r="G17" s="122"/>
      <c r="H17" s="122"/>
      <c r="I17" s="123">
        <f>UnosPod!F254</f>
        <v>206367</v>
      </c>
      <c r="J17" s="123"/>
      <c r="K17" s="124"/>
      <c r="L17" s="105"/>
      <c r="M17" s="121" t="s">
        <v>8007</v>
      </c>
      <c r="N17" s="122"/>
      <c r="O17" s="122"/>
      <c r="P17" s="122"/>
      <c r="Q17" s="122"/>
      <c r="R17" s="122"/>
      <c r="S17" s="122"/>
      <c r="T17" s="123">
        <f>UnosPod!F299</f>
        <v>0</v>
      </c>
      <c r="U17" s="123"/>
      <c r="V17" s="124"/>
      <c r="W17" s="94"/>
    </row>
    <row r="18" ht="17.25" customHeight="1" spans="1:23">
      <c r="A18" s="106"/>
      <c r="B18" s="121" t="s">
        <v>8008</v>
      </c>
      <c r="C18" s="122"/>
      <c r="D18" s="122"/>
      <c r="E18" s="122"/>
      <c r="F18" s="122"/>
      <c r="G18" s="122"/>
      <c r="H18" s="122"/>
      <c r="I18" s="123">
        <f>UnosPod!F264</f>
        <v>24172</v>
      </c>
      <c r="J18" s="123"/>
      <c r="K18" s="124"/>
      <c r="L18" s="105"/>
      <c r="M18" s="121" t="s">
        <v>8009</v>
      </c>
      <c r="N18" s="122"/>
      <c r="O18" s="122"/>
      <c r="P18" s="122"/>
      <c r="Q18" s="122"/>
      <c r="R18" s="122"/>
      <c r="S18" s="122"/>
      <c r="T18" s="123">
        <f>UnosPod!F332</f>
        <v>0</v>
      </c>
      <c r="U18" s="123"/>
      <c r="V18" s="124"/>
      <c r="W18" s="94"/>
    </row>
    <row r="19" ht="17.25" customHeight="1" spans="1:23">
      <c r="A19" s="106"/>
      <c r="B19" s="121" t="s">
        <v>8010</v>
      </c>
      <c r="C19" s="122"/>
      <c r="D19" s="122"/>
      <c r="E19" s="122"/>
      <c r="F19" s="122"/>
      <c r="G19" s="122"/>
      <c r="H19" s="122"/>
      <c r="I19" s="123">
        <f>UnosPod!F296-Preliminarni_RFB!I20</f>
        <v>4549</v>
      </c>
      <c r="J19" s="123"/>
      <c r="K19" s="124"/>
      <c r="L19" s="105"/>
      <c r="M19" s="129" t="s">
        <v>8011</v>
      </c>
      <c r="N19" s="130"/>
      <c r="O19" s="130"/>
      <c r="P19" s="130"/>
      <c r="Q19" s="130"/>
      <c r="R19" s="130"/>
      <c r="S19" s="130"/>
      <c r="T19" s="131">
        <f>UnosPod!F337-UnosPod!F314-UnosPod!F332</f>
        <v>14739</v>
      </c>
      <c r="U19" s="131"/>
      <c r="V19" s="132"/>
      <c r="W19" s="94"/>
    </row>
    <row r="20" ht="17.25" customHeight="1" spans="1:23">
      <c r="A20" s="106"/>
      <c r="B20" s="121" t="s">
        <v>8012</v>
      </c>
      <c r="C20" s="122"/>
      <c r="D20" s="122"/>
      <c r="E20" s="122"/>
      <c r="F20" s="122"/>
      <c r="G20" s="122"/>
      <c r="H20" s="122"/>
      <c r="I20" s="123">
        <f>SUM(UnosPod!F289:L295)</f>
        <v>0</v>
      </c>
      <c r="J20" s="123"/>
      <c r="K20" s="124"/>
      <c r="L20" s="105"/>
      <c r="M20" s="137" t="s">
        <v>8013</v>
      </c>
      <c r="N20" s="138"/>
      <c r="O20" s="138"/>
      <c r="P20" s="138"/>
      <c r="Q20" s="138"/>
      <c r="R20" s="138"/>
      <c r="S20" s="138"/>
      <c r="T20" s="139">
        <f>UnosPod!F218</f>
        <v>0</v>
      </c>
      <c r="U20" s="139"/>
      <c r="V20" s="140"/>
      <c r="W20" s="94"/>
    </row>
    <row r="21" ht="17.25" customHeight="1" spans="1:23">
      <c r="A21" s="106"/>
      <c r="B21" s="121" t="s">
        <v>8014</v>
      </c>
      <c r="C21" s="122"/>
      <c r="D21" s="122"/>
      <c r="E21" s="122"/>
      <c r="F21" s="122"/>
      <c r="G21" s="122"/>
      <c r="H21" s="122"/>
      <c r="I21" s="123">
        <f>UnosPod!F305-UnosPod!F299</f>
        <v>48688</v>
      </c>
      <c r="J21" s="123"/>
      <c r="K21" s="124"/>
      <c r="L21" s="105"/>
      <c r="M21" s="125" t="s">
        <v>8015</v>
      </c>
      <c r="N21" s="126"/>
      <c r="O21" s="126"/>
      <c r="P21" s="126"/>
      <c r="Q21" s="126"/>
      <c r="R21" s="126"/>
      <c r="S21" s="126"/>
      <c r="T21" s="127">
        <f>UnosPod!F362</f>
        <v>0</v>
      </c>
      <c r="U21" s="127"/>
      <c r="V21" s="128"/>
      <c r="W21" s="94"/>
    </row>
    <row r="22" ht="17.25" customHeight="1" spans="1:23">
      <c r="A22" s="106"/>
      <c r="B22" s="129" t="s">
        <v>8016</v>
      </c>
      <c r="C22" s="130"/>
      <c r="D22" s="130"/>
      <c r="E22" s="130"/>
      <c r="F22" s="130"/>
      <c r="G22" s="130"/>
      <c r="H22" s="130"/>
      <c r="I22" s="131">
        <f>B_Uspjeha!AI82</f>
        <v>0</v>
      </c>
      <c r="J22" s="131"/>
      <c r="K22" s="132"/>
      <c r="L22" s="105"/>
      <c r="M22" s="141" t="s">
        <v>8017</v>
      </c>
      <c r="N22" s="142"/>
      <c r="O22" s="142"/>
      <c r="P22" s="142"/>
      <c r="Q22" s="142"/>
      <c r="R22" s="142"/>
      <c r="S22" s="142"/>
      <c r="T22" s="143">
        <f>IF(I28-I29+T10-T15+T20-T21&gt;0,I28-I29+T10-T15+T20-T21,0)</f>
        <v>0</v>
      </c>
      <c r="U22" s="143"/>
      <c r="V22" s="144"/>
      <c r="W22" s="94"/>
    </row>
    <row r="23" ht="17.25" customHeight="1" spans="1:23">
      <c r="A23" s="106"/>
      <c r="B23" s="145" t="s">
        <v>8018</v>
      </c>
      <c r="C23" s="146"/>
      <c r="D23" s="146"/>
      <c r="E23" s="146"/>
      <c r="F23" s="146"/>
      <c r="G23" s="146"/>
      <c r="H23" s="146"/>
      <c r="I23" s="147">
        <f>IF(I10&gt;I14,I10-I14,0)</f>
        <v>0</v>
      </c>
      <c r="J23" s="147"/>
      <c r="K23" s="148"/>
      <c r="L23" s="105"/>
      <c r="M23" s="149" t="s">
        <v>8019</v>
      </c>
      <c r="N23" s="150"/>
      <c r="O23" s="150"/>
      <c r="P23" s="150"/>
      <c r="Q23" s="150"/>
      <c r="R23" s="150"/>
      <c r="S23" s="150"/>
      <c r="T23" s="151">
        <f>IF(I28-I29+T10-T15+T20-T21&lt;0,-I28+I29-T10+T15-T20+T21,0)</f>
        <v>59138</v>
      </c>
      <c r="U23" s="151"/>
      <c r="V23" s="152"/>
      <c r="W23" s="94"/>
    </row>
    <row r="24" ht="17.25" customHeight="1" spans="1:23">
      <c r="A24" s="106"/>
      <c r="B24" s="153" t="s">
        <v>8020</v>
      </c>
      <c r="C24" s="154"/>
      <c r="D24" s="154"/>
      <c r="E24" s="154"/>
      <c r="F24" s="154"/>
      <c r="G24" s="154"/>
      <c r="H24" s="154"/>
      <c r="I24" s="155">
        <f>IF(I10&lt;I14,I14-I10,0)</f>
        <v>46464</v>
      </c>
      <c r="J24" s="155"/>
      <c r="K24" s="156"/>
      <c r="L24" s="105"/>
      <c r="M24" s="157" t="s">
        <v>8021</v>
      </c>
      <c r="N24" s="158"/>
      <c r="O24" s="158"/>
      <c r="P24" s="158"/>
      <c r="Q24" s="158"/>
      <c r="R24" s="158"/>
      <c r="S24" s="158"/>
      <c r="T24" s="159"/>
      <c r="U24" s="159"/>
      <c r="V24" s="160"/>
      <c r="W24" s="94"/>
    </row>
    <row r="25" ht="17.25" customHeight="1" spans="1:23">
      <c r="A25" s="106"/>
      <c r="B25" s="157" t="s">
        <v>8022</v>
      </c>
      <c r="C25" s="158"/>
      <c r="D25" s="158"/>
      <c r="E25" s="158"/>
      <c r="F25" s="158"/>
      <c r="G25" s="158"/>
      <c r="H25" s="158"/>
      <c r="I25" s="159">
        <f>UnosPod!F171</f>
        <v>1319</v>
      </c>
      <c r="J25" s="159"/>
      <c r="K25" s="160"/>
      <c r="L25" s="105"/>
      <c r="M25" s="145" t="s">
        <v>8023</v>
      </c>
      <c r="N25" s="146"/>
      <c r="O25" s="146"/>
      <c r="P25" s="146"/>
      <c r="Q25" s="146"/>
      <c r="R25" s="146"/>
      <c r="S25" s="146"/>
      <c r="T25" s="147">
        <f>IF(T22-T23-T24&gt;0,T22-T23-T24,0)</f>
        <v>0</v>
      </c>
      <c r="U25" s="147"/>
      <c r="V25" s="148"/>
      <c r="W25" s="94"/>
    </row>
    <row r="26" ht="17.25" customHeight="1" spans="1:23">
      <c r="A26" s="106"/>
      <c r="B26" s="161" t="s">
        <v>8024</v>
      </c>
      <c r="C26" s="162"/>
      <c r="D26" s="162"/>
      <c r="E26" s="162"/>
      <c r="F26" s="162"/>
      <c r="G26" s="162"/>
      <c r="H26" s="162"/>
      <c r="I26" s="163">
        <f>UnosPod!F306+UnosPod!F307</f>
        <v>0</v>
      </c>
      <c r="J26" s="163"/>
      <c r="K26" s="164"/>
      <c r="L26" s="105"/>
      <c r="M26" s="153" t="s">
        <v>8025</v>
      </c>
      <c r="N26" s="154"/>
      <c r="O26" s="154"/>
      <c r="P26" s="154"/>
      <c r="Q26" s="154"/>
      <c r="R26" s="154"/>
      <c r="S26" s="154"/>
      <c r="T26" s="155">
        <f>IF(T22-T23-T24&lt;0,-T22+T23+T24,0)</f>
        <v>59138</v>
      </c>
      <c r="U26" s="155"/>
      <c r="V26" s="156"/>
      <c r="W26" s="94"/>
    </row>
    <row r="27" ht="17.25" customHeight="1" spans="1:23">
      <c r="A27" s="106"/>
      <c r="B27" s="129" t="s">
        <v>8026</v>
      </c>
      <c r="C27" s="130"/>
      <c r="D27" s="130"/>
      <c r="E27" s="130"/>
      <c r="F27" s="130"/>
      <c r="G27" s="130"/>
      <c r="H27" s="130"/>
      <c r="I27" s="165">
        <f>UnosPod!F311-UnosPod!F306-UnosPod!F307</f>
        <v>0</v>
      </c>
      <c r="J27" s="165"/>
      <c r="K27" s="166"/>
      <c r="L27" s="105"/>
      <c r="M27" s="167"/>
      <c r="N27" s="167"/>
      <c r="O27" s="167"/>
      <c r="P27" s="167"/>
      <c r="Q27" s="167"/>
      <c r="R27" s="167"/>
      <c r="S27" s="167"/>
      <c r="T27" s="168"/>
      <c r="U27" s="168"/>
      <c r="V27" s="168"/>
      <c r="W27" s="94"/>
    </row>
    <row r="28" ht="17.25" customHeight="1" spans="1:23">
      <c r="A28" s="106"/>
      <c r="B28" s="145" t="s">
        <v>8027</v>
      </c>
      <c r="C28" s="146"/>
      <c r="D28" s="146"/>
      <c r="E28" s="146"/>
      <c r="F28" s="146"/>
      <c r="G28" s="146"/>
      <c r="H28" s="146"/>
      <c r="I28" s="147">
        <f>IF(I23-I24+I25-I26-I27&gt;0,I23-I24+I25-I26-I27,0)</f>
        <v>0</v>
      </c>
      <c r="J28" s="147"/>
      <c r="K28" s="148"/>
      <c r="L28" s="105"/>
      <c r="M28" s="157" t="s">
        <v>8028</v>
      </c>
      <c r="N28" s="158"/>
      <c r="O28" s="158"/>
      <c r="P28" s="158"/>
      <c r="Q28" s="158"/>
      <c r="R28" s="158"/>
      <c r="S28" s="158"/>
      <c r="T28" s="169">
        <f>P.Podaci!AE44</f>
        <v>6</v>
      </c>
      <c r="U28" s="169"/>
      <c r="V28" s="170"/>
      <c r="W28" s="94"/>
    </row>
    <row r="29" ht="17.25" customHeight="1" spans="1:23">
      <c r="A29" s="106"/>
      <c r="B29" s="153" t="s">
        <v>8029</v>
      </c>
      <c r="C29" s="154"/>
      <c r="D29" s="154"/>
      <c r="E29" s="154"/>
      <c r="F29" s="154"/>
      <c r="G29" s="154"/>
      <c r="H29" s="154"/>
      <c r="I29" s="155">
        <f>IF(I23-I24+I25-I26-I27&lt;0,-I23+I24-I25+I26+I27,0)</f>
        <v>45145</v>
      </c>
      <c r="J29" s="155"/>
      <c r="K29" s="156"/>
      <c r="L29" s="105"/>
      <c r="M29" s="167"/>
      <c r="N29" s="167"/>
      <c r="O29" s="167"/>
      <c r="P29" s="167"/>
      <c r="Q29" s="167"/>
      <c r="R29" s="167"/>
      <c r="S29" s="167"/>
      <c r="T29" s="168"/>
      <c r="U29" s="168"/>
      <c r="V29" s="168"/>
      <c r="W29" s="94"/>
    </row>
    <row r="30" ht="10.5" customHeight="1" spans="1:23">
      <c r="A30" s="106"/>
      <c r="B30" s="105"/>
      <c r="C30" s="105"/>
      <c r="D30" s="105"/>
      <c r="E30" s="105"/>
      <c r="F30" s="105"/>
      <c r="G30" s="105"/>
      <c r="H30" s="105"/>
      <c r="I30" s="105"/>
      <c r="J30" s="105"/>
      <c r="K30" s="105"/>
      <c r="L30" s="105"/>
      <c r="M30" s="105"/>
      <c r="N30" s="105"/>
      <c r="O30" s="105"/>
      <c r="P30" s="105"/>
      <c r="Q30" s="105"/>
      <c r="R30" s="105"/>
      <c r="S30" s="105"/>
      <c r="T30" s="105"/>
      <c r="U30" s="105"/>
      <c r="V30" s="105"/>
      <c r="W30" s="94"/>
    </row>
    <row r="31" ht="24.75" customHeight="1" spans="1:23">
      <c r="A31" s="106"/>
      <c r="B31" s="105"/>
      <c r="C31" s="105"/>
      <c r="D31" s="105"/>
      <c r="E31" s="105"/>
      <c r="F31" s="105"/>
      <c r="G31" s="105"/>
      <c r="H31" s="105"/>
      <c r="I31" s="105"/>
      <c r="J31" s="105"/>
      <c r="K31" s="105"/>
      <c r="L31" s="105"/>
      <c r="M31" s="105"/>
      <c r="N31" s="105"/>
      <c r="O31" s="105"/>
      <c r="P31" s="105"/>
      <c r="Q31" s="105"/>
      <c r="R31" s="105"/>
      <c r="S31" s="105"/>
      <c r="T31" s="105"/>
      <c r="U31" s="105"/>
      <c r="V31" s="105"/>
      <c r="W31" s="94"/>
    </row>
    <row r="32" ht="19.5" spans="1:23">
      <c r="A32" s="106"/>
      <c r="B32" s="171" t="s">
        <v>8030</v>
      </c>
      <c r="C32" s="171"/>
      <c r="D32" s="172" t="str">
        <f>Direktor</f>
        <v>Nedim Vilogorac</v>
      </c>
      <c r="E32" s="172"/>
      <c r="F32" s="172"/>
      <c r="G32" s="172"/>
      <c r="H32" s="172"/>
      <c r="I32" s="172"/>
      <c r="J32" s="173"/>
      <c r="K32" s="105"/>
      <c r="L32" s="174"/>
      <c r="M32" s="175"/>
      <c r="N32" s="175"/>
      <c r="O32" s="171" t="s">
        <v>8031</v>
      </c>
      <c r="P32" s="171"/>
      <c r="Q32" s="171"/>
      <c r="R32" s="171"/>
      <c r="S32" s="172" t="str">
        <f>Racunovoda</f>
        <v>Elvira Žilić</v>
      </c>
      <c r="T32" s="172"/>
      <c r="U32" s="172"/>
      <c r="V32" s="172"/>
      <c r="W32" s="94"/>
    </row>
    <row r="33" ht="19.5" spans="1:23">
      <c r="A33" s="106"/>
      <c r="B33" s="105"/>
      <c r="C33" s="105"/>
      <c r="D33" s="105"/>
      <c r="E33" s="105"/>
      <c r="F33" s="105"/>
      <c r="G33" s="105"/>
      <c r="H33" s="105"/>
      <c r="I33" s="105"/>
      <c r="J33" s="105"/>
      <c r="K33" s="105"/>
      <c r="L33" s="176" t="s">
        <v>7039</v>
      </c>
      <c r="M33" s="105"/>
      <c r="N33" s="105"/>
      <c r="O33" s="105"/>
      <c r="P33" s="105"/>
      <c r="Q33" s="105"/>
      <c r="R33" s="105"/>
      <c r="S33" s="105"/>
      <c r="T33" s="105"/>
      <c r="U33" s="105"/>
      <c r="V33" s="105"/>
      <c r="W33" s="94"/>
    </row>
    <row r="34" ht="13.5" spans="1:23">
      <c r="A34" s="177"/>
      <c r="B34" s="178"/>
      <c r="C34" s="178"/>
      <c r="D34" s="178"/>
      <c r="E34" s="178"/>
      <c r="F34" s="178"/>
      <c r="G34" s="178"/>
      <c r="H34" s="178"/>
      <c r="I34" s="178"/>
      <c r="J34" s="178"/>
      <c r="K34" s="178"/>
      <c r="L34" s="178"/>
      <c r="M34" s="178"/>
      <c r="N34" s="178"/>
      <c r="O34" s="178"/>
      <c r="P34" s="178"/>
      <c r="Q34" s="178"/>
      <c r="R34" s="178"/>
      <c r="S34" s="178"/>
      <c r="T34" s="178"/>
      <c r="U34" s="178"/>
      <c r="V34" s="178"/>
      <c r="W34" s="179"/>
    </row>
    <row r="35" ht="15.75" customHeight="1" spans="1:23">
      <c r="T35" s="180">
        <f>I10+I25+T10+T20-UnosPod!F224</f>
        <v>0</v>
      </c>
      <c r="U35" s="180"/>
      <c r="V35" s="180"/>
    </row>
    <row r="36" ht="15.75" customHeight="1" spans="1:23">
      <c r="T36" s="180">
        <f>I14+I26+I27+T15+T21-UnosPod!F375</f>
        <v>-59</v>
      </c>
      <c r="U36" s="180"/>
      <c r="V36" s="180"/>
    </row>
    <row r="37" ht="15.75" customHeight="1" spans="1:23">
      <c r="T37" s="180">
        <f>T25-B_Uspjeha!AI141</f>
        <v>0</v>
      </c>
      <c r="U37" s="180"/>
      <c r="V37" s="180"/>
    </row>
    <row r="38" ht="15.75" customHeight="1" spans="1:23">
      <c r="T38" s="181"/>
      <c r="U38" s="182"/>
      <c r="V38" s="182"/>
    </row>
    <row r="39" ht="24.75" customHeight="1"/>
    <row r="41" ht="13.5"/>
    <row r="42" ht="13.5" spans="1:23">
      <c r="A42" s="87"/>
      <c r="B42" s="88"/>
      <c r="C42" s="88"/>
      <c r="D42" s="88"/>
      <c r="E42" s="88"/>
      <c r="F42" s="88"/>
      <c r="G42" s="88"/>
      <c r="H42" s="88"/>
      <c r="I42" s="88"/>
      <c r="J42" s="88"/>
      <c r="K42" s="88"/>
      <c r="L42" s="88"/>
      <c r="M42" s="88"/>
      <c r="N42" s="88"/>
      <c r="O42" s="88"/>
      <c r="P42" s="88"/>
      <c r="Q42" s="88"/>
      <c r="R42" s="88"/>
      <c r="S42" s="88"/>
      <c r="T42" s="88"/>
      <c r="U42" s="88"/>
      <c r="V42" s="88"/>
      <c r="W42" s="89"/>
    </row>
    <row r="43" ht="19.5" spans="1:23">
      <c r="A43" s="90"/>
      <c r="B43" s="91" t="s">
        <v>7592</v>
      </c>
      <c r="C43" s="91"/>
      <c r="D43" s="91"/>
      <c r="E43" s="92" t="str">
        <f>Firma</f>
        <v>LILIUM ASSET MANAGEMENT d.o.o. Sarajevo</v>
      </c>
      <c r="F43" s="92"/>
      <c r="G43" s="92"/>
      <c r="H43" s="92"/>
      <c r="I43" s="92"/>
      <c r="J43" s="92"/>
      <c r="K43" s="92"/>
      <c r="L43" s="92"/>
      <c r="M43" s="92"/>
      <c r="N43" s="92"/>
      <c r="O43" s="92"/>
      <c r="P43" s="92"/>
      <c r="Q43" s="93"/>
      <c r="R43" s="93"/>
      <c r="S43" s="93"/>
      <c r="T43" s="93"/>
      <c r="U43" s="93"/>
      <c r="V43" s="93"/>
      <c r="W43" s="94"/>
    </row>
    <row r="44" ht="9.75" customHeight="1" spans="1:23">
      <c r="A44" s="90"/>
      <c r="B44" s="93"/>
      <c r="C44" s="93"/>
      <c r="D44" s="93"/>
      <c r="E44" s="93"/>
      <c r="F44" s="93"/>
      <c r="G44" s="93"/>
      <c r="H44" s="93"/>
      <c r="I44" s="93"/>
      <c r="J44" s="93"/>
      <c r="K44" s="93"/>
      <c r="L44" s="93"/>
      <c r="M44" s="93"/>
      <c r="N44" s="93"/>
      <c r="O44" s="93"/>
      <c r="P44" s="93"/>
      <c r="Q44" s="93"/>
      <c r="R44" s="93"/>
      <c r="S44" s="93"/>
      <c r="T44" s="93"/>
      <c r="U44" s="93"/>
      <c r="V44" s="93"/>
      <c r="W44" s="94"/>
    </row>
    <row r="45" ht="18" spans="1:23">
      <c r="A45" s="90"/>
      <c r="B45" s="91" t="s">
        <v>7989</v>
      </c>
      <c r="C45" s="91"/>
      <c r="D45" s="91"/>
      <c r="E45" s="95" t="str">
        <f>Djelatnost</f>
        <v>Djelatnosti upravljanja fondovima</v>
      </c>
      <c r="F45" s="95"/>
      <c r="G45" s="95"/>
      <c r="H45" s="95"/>
      <c r="I45" s="95"/>
      <c r="J45" s="95"/>
      <c r="K45" s="95"/>
      <c r="L45" s="95"/>
      <c r="M45" s="95"/>
      <c r="N45" s="95"/>
      <c r="O45" s="96"/>
      <c r="P45" s="97"/>
      <c r="Q45" s="91" t="s">
        <v>7990</v>
      </c>
      <c r="R45" s="91"/>
      <c r="S45" s="91"/>
      <c r="T45" s="91"/>
      <c r="U45" s="98" t="str">
        <f>Sif_Djelatn</f>
        <v>66.30</v>
      </c>
      <c r="V45" s="98"/>
      <c r="W45" s="94"/>
    </row>
    <row r="46" ht="18" spans="1:23">
      <c r="A46" s="90"/>
      <c r="B46" s="99"/>
      <c r="C46" s="93"/>
      <c r="D46" s="93"/>
      <c r="E46" s="93"/>
      <c r="F46" s="93"/>
      <c r="G46" s="93"/>
      <c r="H46" s="93"/>
      <c r="I46" s="93"/>
      <c r="J46" s="93"/>
      <c r="K46" s="93"/>
      <c r="L46" s="93"/>
      <c r="M46" s="93"/>
      <c r="N46" s="93"/>
      <c r="O46" s="93"/>
      <c r="P46" s="93"/>
      <c r="Q46" s="93"/>
      <c r="R46" s="93"/>
      <c r="S46" s="93"/>
      <c r="T46" s="93"/>
      <c r="U46" s="93"/>
      <c r="V46" s="93"/>
      <c r="W46" s="94"/>
    </row>
    <row r="47" ht="23.25" spans="1:23">
      <c r="A47" s="90"/>
      <c r="B47" s="183" t="s">
        <v>8032</v>
      </c>
      <c r="C47" s="183"/>
      <c r="D47" s="183"/>
      <c r="E47" s="183"/>
      <c r="F47" s="183"/>
      <c r="G47" s="183"/>
      <c r="H47" s="183"/>
      <c r="I47" s="183"/>
      <c r="J47" s="183"/>
      <c r="K47" s="183"/>
      <c r="L47" s="183"/>
      <c r="M47" s="103" t="str">
        <f ca="1">PeriodDo</f>
        <v>31.12.2025</v>
      </c>
      <c r="N47" s="103"/>
      <c r="O47" s="104" t="s">
        <v>2513</v>
      </c>
      <c r="P47" s="104"/>
      <c r="Q47" s="93"/>
      <c r="R47" s="93"/>
      <c r="S47" s="93"/>
      <c r="T47" s="93"/>
      <c r="U47" s="93"/>
      <c r="V47" s="93"/>
      <c r="W47" s="94"/>
    </row>
    <row r="48" ht="13.5" spans="1:23">
      <c r="A48" s="90"/>
      <c r="B48" s="93"/>
      <c r="C48" s="93"/>
      <c r="D48" s="93"/>
      <c r="E48" s="93"/>
      <c r="F48" s="93"/>
      <c r="G48" s="93"/>
      <c r="H48" s="93"/>
      <c r="I48" s="93"/>
      <c r="J48" s="93"/>
      <c r="K48" s="93"/>
      <c r="L48" s="105"/>
      <c r="M48" s="93"/>
      <c r="N48" s="93"/>
      <c r="O48" s="93"/>
      <c r="P48" s="93"/>
      <c r="Q48" s="93"/>
      <c r="R48" s="93"/>
      <c r="S48" s="93"/>
      <c r="T48" s="93"/>
      <c r="U48" s="93"/>
      <c r="V48" s="93"/>
      <c r="W48" s="94"/>
    </row>
    <row r="49" ht="18.75" spans="1:23">
      <c r="A49" s="106"/>
      <c r="B49" s="107" t="s">
        <v>2507</v>
      </c>
      <c r="C49" s="108"/>
      <c r="D49" s="108"/>
      <c r="E49" s="108"/>
      <c r="F49" s="108"/>
      <c r="G49" s="108"/>
      <c r="H49" s="109"/>
      <c r="I49" s="110" t="s">
        <v>5800</v>
      </c>
      <c r="J49" s="111"/>
      <c r="K49" s="112"/>
      <c r="L49" s="105"/>
      <c r="M49" s="107" t="s">
        <v>2507</v>
      </c>
      <c r="N49" s="108"/>
      <c r="O49" s="108"/>
      <c r="P49" s="108"/>
      <c r="Q49" s="108"/>
      <c r="R49" s="108"/>
      <c r="S49" s="109"/>
      <c r="T49" s="110" t="s">
        <v>5800</v>
      </c>
      <c r="U49" s="111"/>
      <c r="V49" s="112"/>
      <c r="W49" s="94"/>
    </row>
    <row r="50" ht="21" spans="1:23">
      <c r="A50" s="106"/>
      <c r="B50" s="184" t="s">
        <v>8033</v>
      </c>
      <c r="C50" s="185"/>
      <c r="D50" s="185"/>
      <c r="E50" s="185"/>
      <c r="F50" s="185"/>
      <c r="G50" s="185"/>
      <c r="H50" s="185"/>
      <c r="I50" s="186">
        <f>I51+I52+I58+I59+I60+I61+I67+I68</f>
        <v>22107</v>
      </c>
      <c r="J50" s="186"/>
      <c r="K50" s="187"/>
      <c r="L50" s="105"/>
      <c r="M50" s="184" t="s">
        <v>8034</v>
      </c>
      <c r="N50" s="185"/>
      <c r="O50" s="185"/>
      <c r="P50" s="185"/>
      <c r="Q50" s="185"/>
      <c r="R50" s="185"/>
      <c r="S50" s="185"/>
      <c r="T50" s="186">
        <f>T51+T58+T59+T64+T65+T66+T67</f>
        <v>577192</v>
      </c>
      <c r="U50" s="186"/>
      <c r="V50" s="187"/>
      <c r="W50" s="94"/>
    </row>
    <row r="51" ht="18" customHeight="1" spans="1:23">
      <c r="A51" s="106"/>
      <c r="B51" s="188" t="s">
        <v>8035</v>
      </c>
      <c r="C51" s="189"/>
      <c r="D51" s="189"/>
      <c r="E51" s="189"/>
      <c r="F51" s="189"/>
      <c r="G51" s="189"/>
      <c r="H51" s="189"/>
      <c r="I51" s="190">
        <f>B_Stanja!AI35</f>
        <v>0</v>
      </c>
      <c r="J51" s="190"/>
      <c r="K51" s="191"/>
      <c r="L51" s="105"/>
      <c r="M51" s="113" t="s">
        <v>8036</v>
      </c>
      <c r="N51" s="114"/>
      <c r="O51" s="114"/>
      <c r="P51" s="114"/>
      <c r="Q51" s="114"/>
      <c r="R51" s="114"/>
      <c r="S51" s="114"/>
      <c r="T51" s="192">
        <f>T52+T53+T54+T55+T56+T57</f>
        <v>0</v>
      </c>
      <c r="U51" s="192"/>
      <c r="V51" s="193"/>
      <c r="W51" s="94"/>
    </row>
    <row r="52" ht="18" customHeight="1" spans="1:23">
      <c r="A52" s="106"/>
      <c r="B52" s="194" t="s">
        <v>8037</v>
      </c>
      <c r="C52" s="195"/>
      <c r="D52" s="195"/>
      <c r="E52" s="195"/>
      <c r="F52" s="195"/>
      <c r="G52" s="195"/>
      <c r="H52" s="196"/>
      <c r="I52" s="197">
        <f>I53+I54+I55+I56+I57</f>
        <v>22107</v>
      </c>
      <c r="J52" s="198"/>
      <c r="K52" s="199"/>
      <c r="L52" s="105"/>
      <c r="M52" s="200" t="s">
        <v>8038</v>
      </c>
      <c r="N52" s="201"/>
      <c r="O52" s="201"/>
      <c r="P52" s="201"/>
      <c r="Q52" s="201"/>
      <c r="R52" s="201"/>
      <c r="S52" s="202"/>
      <c r="T52" s="203">
        <f>B_Stanja!AI61</f>
        <v>0</v>
      </c>
      <c r="U52" s="204"/>
      <c r="V52" s="205"/>
      <c r="W52" s="94"/>
    </row>
    <row r="53" ht="18" customHeight="1" spans="1:23">
      <c r="A53" s="106"/>
      <c r="B53" s="206" t="s">
        <v>8039</v>
      </c>
      <c r="C53" s="207"/>
      <c r="D53" s="207"/>
      <c r="E53" s="207"/>
      <c r="F53" s="207"/>
      <c r="G53" s="207"/>
      <c r="H53" s="208"/>
      <c r="I53" s="209">
        <f>B_Stanja!AI23</f>
        <v>0</v>
      </c>
      <c r="J53" s="210"/>
      <c r="K53" s="211"/>
      <c r="L53" s="105"/>
      <c r="M53" s="200" t="s">
        <v>8040</v>
      </c>
      <c r="N53" s="201"/>
      <c r="O53" s="201"/>
      <c r="P53" s="201"/>
      <c r="Q53" s="201"/>
      <c r="R53" s="201"/>
      <c r="S53" s="202"/>
      <c r="T53" s="203">
        <f>B_Stanja!AI62</f>
        <v>0</v>
      </c>
      <c r="U53" s="204"/>
      <c r="V53" s="205"/>
      <c r="W53" s="94"/>
    </row>
    <row r="54" ht="18" customHeight="1" spans="1:23">
      <c r="A54" s="106"/>
      <c r="B54" s="206" t="s">
        <v>8041</v>
      </c>
      <c r="C54" s="207"/>
      <c r="D54" s="207"/>
      <c r="E54" s="207"/>
      <c r="F54" s="207"/>
      <c r="G54" s="207"/>
      <c r="H54" s="208"/>
      <c r="I54" s="209">
        <f>B_Stanja!AI24</f>
        <v>0</v>
      </c>
      <c r="J54" s="210"/>
      <c r="K54" s="211"/>
      <c r="L54" s="105"/>
      <c r="M54" s="200" t="s">
        <v>8042</v>
      </c>
      <c r="N54" s="201"/>
      <c r="O54" s="201"/>
      <c r="P54" s="201"/>
      <c r="Q54" s="201"/>
      <c r="R54" s="201"/>
      <c r="S54" s="202"/>
      <c r="T54" s="203">
        <f>B_Stanja!AI63</f>
        <v>0</v>
      </c>
      <c r="U54" s="204"/>
      <c r="V54" s="205"/>
      <c r="W54" s="94"/>
    </row>
    <row r="55" ht="18" customHeight="1" spans="1:23">
      <c r="A55" s="106"/>
      <c r="B55" s="212" t="s">
        <v>8043</v>
      </c>
      <c r="C55" s="213"/>
      <c r="D55" s="213"/>
      <c r="E55" s="213"/>
      <c r="F55" s="213"/>
      <c r="G55" s="213"/>
      <c r="H55" s="214"/>
      <c r="I55" s="209">
        <f>B_Stanja!AI25+B_Stanja!AI26</f>
        <v>22107</v>
      </c>
      <c r="J55" s="210"/>
      <c r="K55" s="211"/>
      <c r="L55" s="105"/>
      <c r="M55" s="215" t="s">
        <v>8044</v>
      </c>
      <c r="N55" s="216"/>
      <c r="O55" s="216"/>
      <c r="P55" s="216"/>
      <c r="Q55" s="216"/>
      <c r="R55" s="216"/>
      <c r="S55" s="217"/>
      <c r="T55" s="203">
        <f>B_Stanja!AI64</f>
        <v>0</v>
      </c>
      <c r="U55" s="204"/>
      <c r="V55" s="205"/>
      <c r="W55" s="94"/>
    </row>
    <row r="56" ht="18" customHeight="1" spans="1:23">
      <c r="A56" s="106"/>
      <c r="B56" s="206" t="s">
        <v>8045</v>
      </c>
      <c r="C56" s="207"/>
      <c r="D56" s="207"/>
      <c r="E56" s="207"/>
      <c r="F56" s="207"/>
      <c r="G56" s="207"/>
      <c r="H56" s="208"/>
      <c r="I56" s="209">
        <f>B_Stanja!AI27</f>
        <v>0</v>
      </c>
      <c r="J56" s="210"/>
      <c r="K56" s="211"/>
      <c r="L56" s="105"/>
      <c r="M56" s="200" t="s">
        <v>8046</v>
      </c>
      <c r="N56" s="201"/>
      <c r="O56" s="201"/>
      <c r="P56" s="201"/>
      <c r="Q56" s="201"/>
      <c r="R56" s="201"/>
      <c r="S56" s="202"/>
      <c r="T56" s="203">
        <f>B_Stanja!AI66</f>
        <v>0</v>
      </c>
      <c r="U56" s="204"/>
      <c r="V56" s="205"/>
      <c r="W56" s="94"/>
    </row>
    <row r="57" ht="18" customHeight="1" spans="1:23">
      <c r="A57" s="106"/>
      <c r="B57" s="218" t="s">
        <v>8047</v>
      </c>
      <c r="C57" s="219"/>
      <c r="D57" s="219"/>
      <c r="E57" s="219"/>
      <c r="F57" s="219"/>
      <c r="G57" s="219"/>
      <c r="H57" s="220"/>
      <c r="I57" s="221">
        <f>B_Stanja!AI28</f>
        <v>0</v>
      </c>
      <c r="J57" s="222"/>
      <c r="K57" s="223"/>
      <c r="L57" s="105"/>
      <c r="M57" s="224" t="s">
        <v>8048</v>
      </c>
      <c r="N57" s="225"/>
      <c r="O57" s="225"/>
      <c r="P57" s="225"/>
      <c r="Q57" s="225"/>
      <c r="R57" s="225"/>
      <c r="S57" s="226"/>
      <c r="T57" s="227">
        <f>B_Stanja!AI65</f>
        <v>0</v>
      </c>
      <c r="U57" s="228"/>
      <c r="V57" s="229"/>
      <c r="W57" s="94"/>
    </row>
    <row r="58" ht="18" customHeight="1" spans="1:23">
      <c r="A58" s="106"/>
      <c r="B58" s="230" t="s">
        <v>8049</v>
      </c>
      <c r="C58" s="231"/>
      <c r="D58" s="231"/>
      <c r="E58" s="231"/>
      <c r="F58" s="231"/>
      <c r="G58" s="231"/>
      <c r="H58" s="232"/>
      <c r="I58" s="233">
        <f>B_Stanja!AI34</f>
        <v>0</v>
      </c>
      <c r="J58" s="234"/>
      <c r="K58" s="235"/>
      <c r="L58" s="105"/>
      <c r="M58" s="236" t="s">
        <v>8050</v>
      </c>
      <c r="N58" s="237"/>
      <c r="O58" s="237"/>
      <c r="P58" s="237"/>
      <c r="Q58" s="237"/>
      <c r="R58" s="237"/>
      <c r="S58" s="238"/>
      <c r="T58" s="239">
        <f>B_Stanja!AI80</f>
        <v>2327</v>
      </c>
      <c r="U58" s="240"/>
      <c r="V58" s="241"/>
      <c r="W58" s="94"/>
    </row>
    <row r="59" ht="18" customHeight="1" spans="1:23">
      <c r="A59" s="106"/>
      <c r="B59" s="206" t="s">
        <v>8051</v>
      </c>
      <c r="C59" s="207"/>
      <c r="D59" s="207"/>
      <c r="E59" s="207"/>
      <c r="F59" s="207"/>
      <c r="G59" s="207"/>
      <c r="H59" s="208"/>
      <c r="I59" s="209">
        <f>B_Stanja!AI40</f>
        <v>0</v>
      </c>
      <c r="J59" s="210"/>
      <c r="K59" s="211"/>
      <c r="L59" s="105"/>
      <c r="M59" s="242" t="s">
        <v>8052</v>
      </c>
      <c r="N59" s="243"/>
      <c r="O59" s="243"/>
      <c r="P59" s="243"/>
      <c r="Q59" s="243"/>
      <c r="R59" s="243"/>
      <c r="S59" s="244"/>
      <c r="T59" s="197">
        <f>T60+T61+T62+T63</f>
        <v>147183</v>
      </c>
      <c r="U59" s="198"/>
      <c r="V59" s="199"/>
      <c r="W59" s="94"/>
    </row>
    <row r="60" ht="18" customHeight="1" spans="1:23">
      <c r="A60" s="106"/>
      <c r="B60" s="218" t="s">
        <v>8053</v>
      </c>
      <c r="C60" s="219"/>
      <c r="D60" s="219"/>
      <c r="E60" s="219"/>
      <c r="F60" s="219"/>
      <c r="G60" s="219"/>
      <c r="H60" s="220"/>
      <c r="I60" s="221">
        <f>B_Stanja!AI29</f>
        <v>0</v>
      </c>
      <c r="J60" s="222"/>
      <c r="K60" s="223"/>
      <c r="L60" s="105"/>
      <c r="M60" s="200" t="s">
        <v>8054</v>
      </c>
      <c r="N60" s="201"/>
      <c r="O60" s="201"/>
      <c r="P60" s="201"/>
      <c r="Q60" s="201"/>
      <c r="R60" s="201"/>
      <c r="S60" s="202"/>
      <c r="T60" s="203">
        <f>B_Stanja!AI69</f>
        <v>0</v>
      </c>
      <c r="U60" s="204"/>
      <c r="V60" s="205"/>
      <c r="W60" s="94"/>
    </row>
    <row r="61" ht="18" customHeight="1" spans="1:23">
      <c r="A61" s="106"/>
      <c r="B61" s="245" t="s">
        <v>8055</v>
      </c>
      <c r="C61" s="246"/>
      <c r="D61" s="246"/>
      <c r="E61" s="246"/>
      <c r="F61" s="246"/>
      <c r="G61" s="246"/>
      <c r="H61" s="247"/>
      <c r="I61" s="248">
        <f>I62+I63+I64+I65+I66</f>
        <v>0</v>
      </c>
      <c r="J61" s="249"/>
      <c r="K61" s="250"/>
      <c r="L61" s="105"/>
      <c r="M61" s="200" t="s">
        <v>8056</v>
      </c>
      <c r="N61" s="201"/>
      <c r="O61" s="201"/>
      <c r="P61" s="201"/>
      <c r="Q61" s="201"/>
      <c r="R61" s="201"/>
      <c r="S61" s="202"/>
      <c r="T61" s="203">
        <f>B_Stanja!AI70</f>
        <v>20312</v>
      </c>
      <c r="U61" s="204"/>
      <c r="V61" s="205"/>
      <c r="W61" s="94"/>
    </row>
    <row r="62" ht="18" customHeight="1" spans="1:23">
      <c r="A62" s="106"/>
      <c r="B62" s="206" t="s">
        <v>8057</v>
      </c>
      <c r="C62" s="207"/>
      <c r="D62" s="207"/>
      <c r="E62" s="207"/>
      <c r="F62" s="207"/>
      <c r="G62" s="207"/>
      <c r="H62" s="208"/>
      <c r="I62" s="209">
        <f>B_Stanja!AI41+B_Stanja!AI42</f>
        <v>0</v>
      </c>
      <c r="J62" s="210"/>
      <c r="K62" s="211"/>
      <c r="L62" s="105"/>
      <c r="M62" s="200" t="s">
        <v>8058</v>
      </c>
      <c r="N62" s="201"/>
      <c r="O62" s="201"/>
      <c r="P62" s="201"/>
      <c r="Q62" s="201"/>
      <c r="R62" s="201"/>
      <c r="S62" s="202"/>
      <c r="T62" s="203">
        <f>B_Stanja!AI71</f>
        <v>0</v>
      </c>
      <c r="U62" s="204"/>
      <c r="V62" s="205"/>
      <c r="W62" s="94"/>
    </row>
    <row r="63" ht="18" customHeight="1" spans="1:23">
      <c r="A63" s="106"/>
      <c r="B63" s="206" t="s">
        <v>8059</v>
      </c>
      <c r="C63" s="207"/>
      <c r="D63" s="207"/>
      <c r="E63" s="207"/>
      <c r="F63" s="207"/>
      <c r="G63" s="207"/>
      <c r="H63" s="208"/>
      <c r="I63" s="209">
        <f>B_Stanja!AI53-I64</f>
        <v>0</v>
      </c>
      <c r="J63" s="210"/>
      <c r="K63" s="211"/>
      <c r="L63" s="105"/>
      <c r="M63" s="251" t="s">
        <v>8060</v>
      </c>
      <c r="N63" s="252"/>
      <c r="O63" s="252"/>
      <c r="P63" s="252"/>
      <c r="Q63" s="252"/>
      <c r="R63" s="252"/>
      <c r="S63" s="253"/>
      <c r="T63" s="254">
        <f>B_Stanja!AI59-T51-T58-T60-T61-T62-T64-T65-T66-T67-T68</f>
        <v>126871</v>
      </c>
      <c r="U63" s="255"/>
      <c r="V63" s="256"/>
      <c r="W63" s="94"/>
    </row>
    <row r="64" ht="18" customHeight="1" spans="1:23">
      <c r="A64" s="106"/>
      <c r="B64" s="212" t="s">
        <v>8061</v>
      </c>
      <c r="C64" s="213"/>
      <c r="D64" s="213"/>
      <c r="E64" s="213"/>
      <c r="F64" s="213"/>
      <c r="G64" s="213"/>
      <c r="H64" s="214"/>
      <c r="I64" s="209"/>
      <c r="J64" s="210"/>
      <c r="K64" s="211"/>
      <c r="L64" s="105"/>
      <c r="M64" s="257" t="s">
        <v>8062</v>
      </c>
      <c r="N64" s="258"/>
      <c r="O64" s="258"/>
      <c r="P64" s="258"/>
      <c r="Q64" s="258"/>
      <c r="R64" s="258"/>
      <c r="S64" s="259"/>
      <c r="T64" s="260">
        <f>UnosPod!F701-UnosPod!M701</f>
        <v>427682</v>
      </c>
      <c r="U64" s="261"/>
      <c r="V64" s="262"/>
      <c r="W64" s="94"/>
    </row>
    <row r="65" ht="18" customHeight="1" spans="1:23">
      <c r="A65" s="106"/>
      <c r="B65" s="212" t="s">
        <v>8063</v>
      </c>
      <c r="C65" s="213"/>
      <c r="D65" s="213"/>
      <c r="E65" s="213"/>
      <c r="F65" s="213"/>
      <c r="G65" s="213"/>
      <c r="H65" s="214"/>
      <c r="I65" s="209">
        <f>B_Stanja!AI51-I63-I64</f>
        <v>0</v>
      </c>
      <c r="J65" s="210"/>
      <c r="K65" s="211"/>
      <c r="L65" s="105"/>
      <c r="M65" s="215" t="s">
        <v>8064</v>
      </c>
      <c r="N65" s="216"/>
      <c r="O65" s="216"/>
      <c r="P65" s="216"/>
      <c r="Q65" s="216"/>
      <c r="R65" s="216"/>
      <c r="S65" s="217"/>
      <c r="T65" s="203">
        <f>UnosPod!F707-UnosPod!M707-T64</f>
        <v>0</v>
      </c>
      <c r="U65" s="204"/>
      <c r="V65" s="205"/>
      <c r="W65" s="94"/>
    </row>
    <row r="66" ht="18" customHeight="1" spans="1:23">
      <c r="A66" s="106"/>
      <c r="B66" s="218" t="s">
        <v>8065</v>
      </c>
      <c r="C66" s="219"/>
      <c r="D66" s="219"/>
      <c r="E66" s="219"/>
      <c r="F66" s="219"/>
      <c r="G66" s="219"/>
      <c r="H66" s="220"/>
      <c r="I66" s="221">
        <f>B_Stanja!AI21-I52-I51-I58-I59-I60-I62-I63-I64-I65-I67-I68</f>
        <v>0</v>
      </c>
      <c r="J66" s="222"/>
      <c r="K66" s="223"/>
      <c r="L66" s="105"/>
      <c r="M66" s="200" t="s">
        <v>8066</v>
      </c>
      <c r="N66" s="201"/>
      <c r="O66" s="201"/>
      <c r="P66" s="201"/>
      <c r="Q66" s="201"/>
      <c r="R66" s="201"/>
      <c r="S66" s="202"/>
      <c r="T66" s="203">
        <f>UnosPod!F717-UnosPod!M717</f>
        <v>0</v>
      </c>
      <c r="U66" s="204"/>
      <c r="V66" s="205"/>
      <c r="W66" s="94"/>
    </row>
    <row r="67" ht="18" customHeight="1" spans="1:23">
      <c r="A67" s="106"/>
      <c r="B67" s="263" t="s">
        <v>8067</v>
      </c>
      <c r="C67" s="264"/>
      <c r="D67" s="264"/>
      <c r="E67" s="264"/>
      <c r="F67" s="264"/>
      <c r="G67" s="264"/>
      <c r="H67" s="265"/>
      <c r="I67" s="266">
        <f>B_Stanja!AI57</f>
        <v>0</v>
      </c>
      <c r="J67" s="267"/>
      <c r="K67" s="268"/>
      <c r="L67" s="105"/>
      <c r="M67" s="251" t="s">
        <v>8068</v>
      </c>
      <c r="N67" s="252"/>
      <c r="O67" s="252"/>
      <c r="P67" s="252"/>
      <c r="Q67" s="252"/>
      <c r="R67" s="252"/>
      <c r="S67" s="253"/>
      <c r="T67" s="254"/>
      <c r="U67" s="255"/>
      <c r="V67" s="256"/>
      <c r="W67" s="94"/>
    </row>
    <row r="68" ht="18" customHeight="1" spans="1:23">
      <c r="A68" s="106"/>
      <c r="B68" s="218" t="s">
        <v>8069</v>
      </c>
      <c r="C68" s="219"/>
      <c r="D68" s="219"/>
      <c r="E68" s="219"/>
      <c r="F68" s="219"/>
      <c r="G68" s="219"/>
      <c r="H68" s="220"/>
      <c r="I68" s="221">
        <f>B_Stanja!AI58</f>
        <v>0</v>
      </c>
      <c r="J68" s="222"/>
      <c r="K68" s="223"/>
      <c r="L68" s="105"/>
      <c r="M68" s="269" t="s">
        <v>8070</v>
      </c>
      <c r="N68" s="270"/>
      <c r="O68" s="270"/>
      <c r="P68" s="270"/>
      <c r="Q68" s="270"/>
      <c r="R68" s="270"/>
      <c r="S68" s="271"/>
      <c r="T68" s="260"/>
      <c r="U68" s="261"/>
      <c r="V68" s="262"/>
      <c r="W68" s="94"/>
    </row>
    <row r="69" ht="21" spans="1:23">
      <c r="A69" s="106"/>
      <c r="B69" s="272"/>
      <c r="C69" s="272"/>
      <c r="D69" s="272"/>
      <c r="E69" s="272"/>
      <c r="F69" s="272"/>
      <c r="G69" s="272"/>
      <c r="H69" s="272"/>
      <c r="I69" s="273">
        <f>I50-B_Stanja!AI21</f>
        <v>0</v>
      </c>
      <c r="J69" s="273"/>
      <c r="K69" s="273"/>
      <c r="L69" s="105"/>
      <c r="M69" s="274" t="s">
        <v>8071</v>
      </c>
      <c r="N69" s="275"/>
      <c r="O69" s="275"/>
      <c r="P69" s="275"/>
      <c r="Q69" s="275"/>
      <c r="R69" s="275"/>
      <c r="S69" s="276"/>
      <c r="T69" s="277">
        <f>I51+I52+I58+I59+I60+I61+I67+I68+T51+T58+T59+T64+T65+T66+T67+T68</f>
        <v>599299</v>
      </c>
      <c r="U69" s="278"/>
      <c r="V69" s="279"/>
      <c r="W69" s="94"/>
    </row>
    <row r="70" ht="24.75" customHeight="1" spans="1:23">
      <c r="A70" s="106"/>
      <c r="B70" s="105"/>
      <c r="C70" s="105"/>
      <c r="D70" s="105"/>
      <c r="E70" s="105"/>
      <c r="F70" s="105"/>
      <c r="G70" s="105"/>
      <c r="H70" s="105"/>
      <c r="I70" s="105"/>
      <c r="J70" s="105"/>
      <c r="K70" s="105"/>
      <c r="L70" s="105"/>
      <c r="M70" s="105"/>
      <c r="N70" s="105"/>
      <c r="O70" s="105"/>
      <c r="P70" s="105"/>
      <c r="Q70" s="273">
        <f>T69-B_Stanja!AI83</f>
        <v>0</v>
      </c>
      <c r="R70" s="273"/>
      <c r="S70" s="273"/>
      <c r="T70" s="273">
        <f>T50+T68-B_Stanja!AI59</f>
        <v>0</v>
      </c>
      <c r="U70" s="273"/>
      <c r="V70" s="273"/>
      <c r="W70" s="94"/>
    </row>
    <row r="71" ht="19.5" spans="1:23">
      <c r="A71" s="106"/>
      <c r="B71" s="171" t="s">
        <v>8030</v>
      </c>
      <c r="C71" s="171"/>
      <c r="D71" s="172" t="str">
        <f>Direktor</f>
        <v>Nedim Vilogorac</v>
      </c>
      <c r="E71" s="172"/>
      <c r="F71" s="172"/>
      <c r="G71" s="172"/>
      <c r="H71" s="172"/>
      <c r="I71" s="172"/>
      <c r="J71" s="173"/>
      <c r="K71" s="105"/>
      <c r="L71" s="174"/>
      <c r="M71" s="175"/>
      <c r="N71" s="175"/>
      <c r="O71" s="171" t="s">
        <v>8031</v>
      </c>
      <c r="P71" s="171"/>
      <c r="Q71" s="171"/>
      <c r="R71" s="171"/>
      <c r="S71" s="172" t="str">
        <f>Racunovoda</f>
        <v>Elvira Žilić</v>
      </c>
      <c r="T71" s="172"/>
      <c r="U71" s="172"/>
      <c r="V71" s="172"/>
      <c r="W71" s="94"/>
    </row>
    <row r="72" ht="19.5" spans="1:23">
      <c r="A72" s="106"/>
      <c r="B72" s="105"/>
      <c r="C72" s="105"/>
      <c r="D72" s="105"/>
      <c r="E72" s="105"/>
      <c r="F72" s="105"/>
      <c r="G72" s="105"/>
      <c r="H72" s="105"/>
      <c r="I72" s="105"/>
      <c r="J72" s="105"/>
      <c r="K72" s="105"/>
      <c r="L72" s="176" t="s">
        <v>7039</v>
      </c>
      <c r="M72" s="105"/>
      <c r="N72" s="105"/>
      <c r="O72" s="105"/>
      <c r="P72" s="105"/>
      <c r="Q72" s="105"/>
      <c r="R72" s="105"/>
      <c r="S72" s="105"/>
      <c r="T72" s="105"/>
      <c r="U72" s="105"/>
      <c r="V72" s="105"/>
      <c r="W72" s="94"/>
    </row>
    <row r="73" ht="13.5" spans="1:23">
      <c r="A73" s="177"/>
      <c r="B73" s="178"/>
      <c r="C73" s="178"/>
      <c r="D73" s="178"/>
      <c r="E73" s="178"/>
      <c r="F73" s="178"/>
      <c r="G73" s="178"/>
      <c r="H73" s="178"/>
      <c r="I73" s="178"/>
      <c r="J73" s="178"/>
      <c r="K73" s="178"/>
      <c r="L73" s="178"/>
      <c r="M73" s="178"/>
      <c r="N73" s="178"/>
      <c r="O73" s="178"/>
      <c r="P73" s="178"/>
      <c r="Q73" s="178"/>
      <c r="R73" s="178"/>
      <c r="S73" s="178"/>
      <c r="T73" s="178"/>
      <c r="U73" s="178"/>
      <c r="V73" s="178"/>
      <c r="W73" s="179"/>
    </row>
    <row r="74" ht="13.5"/>
    <row r="79" ht="13.5"/>
    <row r="80" ht="13.5" spans="1:23">
      <c r="A80" s="87"/>
      <c r="B80" s="88"/>
      <c r="C80" s="88"/>
      <c r="D80" s="88"/>
      <c r="E80" s="88"/>
      <c r="F80" s="88"/>
      <c r="G80" s="88"/>
      <c r="H80" s="88"/>
      <c r="I80" s="88"/>
      <c r="J80" s="88"/>
      <c r="K80" s="88"/>
      <c r="L80" s="88"/>
      <c r="M80" s="88"/>
      <c r="N80" s="88"/>
      <c r="O80" s="88"/>
      <c r="P80" s="88"/>
      <c r="Q80" s="88"/>
      <c r="R80" s="88"/>
      <c r="S80" s="88"/>
      <c r="T80" s="88"/>
      <c r="U80" s="88"/>
      <c r="V80" s="88"/>
      <c r="W80" s="89"/>
    </row>
    <row r="81" ht="24.75" customHeight="1" spans="1:23">
      <c r="A81" s="90"/>
      <c r="B81" s="91" t="s">
        <v>7592</v>
      </c>
      <c r="C81" s="91"/>
      <c r="D81" s="91"/>
      <c r="E81" s="92" t="str">
        <f>Firma</f>
        <v>LILIUM ASSET MANAGEMENT d.o.o. Sarajevo</v>
      </c>
      <c r="F81" s="92"/>
      <c r="G81" s="92"/>
      <c r="H81" s="92"/>
      <c r="I81" s="92"/>
      <c r="J81" s="92"/>
      <c r="K81" s="92"/>
      <c r="L81" s="92"/>
      <c r="M81" s="92"/>
      <c r="N81" s="92"/>
      <c r="O81" s="92"/>
      <c r="P81" s="92"/>
      <c r="Q81" s="93"/>
      <c r="R81" s="93"/>
      <c r="S81" s="93"/>
      <c r="T81" s="93"/>
      <c r="U81" s="93"/>
      <c r="V81" s="93"/>
      <c r="W81" s="94"/>
    </row>
    <row r="82" ht="9.75" customHeight="1" spans="1:23">
      <c r="A82" s="90"/>
      <c r="B82" s="93"/>
      <c r="C82" s="93"/>
      <c r="D82" s="93"/>
      <c r="E82" s="93"/>
      <c r="F82" s="93"/>
      <c r="G82" s="93"/>
      <c r="H82" s="93"/>
      <c r="I82" s="93"/>
      <c r="J82" s="93"/>
      <c r="K82" s="93"/>
      <c r="L82" s="93"/>
      <c r="M82" s="93"/>
      <c r="N82" s="93"/>
      <c r="O82" s="93"/>
      <c r="P82" s="93"/>
      <c r="Q82" s="93"/>
      <c r="R82" s="93"/>
      <c r="S82" s="93"/>
      <c r="T82" s="93"/>
      <c r="U82" s="93"/>
      <c r="V82" s="93"/>
      <c r="W82" s="94"/>
    </row>
    <row r="83" ht="24.75" customHeight="1" spans="1:23">
      <c r="A83" s="90"/>
      <c r="B83" s="91" t="s">
        <v>7989</v>
      </c>
      <c r="C83" s="91"/>
      <c r="D83" s="91"/>
      <c r="E83" s="95" t="str">
        <f>Djelatnost</f>
        <v>Djelatnosti upravljanja fondovima</v>
      </c>
      <c r="F83" s="95"/>
      <c r="G83" s="95"/>
      <c r="H83" s="95"/>
      <c r="I83" s="95"/>
      <c r="J83" s="95"/>
      <c r="K83" s="95"/>
      <c r="L83" s="95"/>
      <c r="M83" s="95"/>
      <c r="N83" s="95"/>
      <c r="O83" s="96"/>
      <c r="P83" s="97"/>
      <c r="Q83" s="91" t="s">
        <v>7990</v>
      </c>
      <c r="R83" s="91"/>
      <c r="S83" s="91"/>
      <c r="T83" s="91"/>
      <c r="U83" s="98" t="str">
        <f>Sif_Djelatn</f>
        <v>66.30</v>
      </c>
      <c r="V83" s="98"/>
      <c r="W83" s="94"/>
    </row>
    <row r="84" ht="9.75" customHeight="1" spans="1:23">
      <c r="A84" s="90"/>
      <c r="B84" s="99"/>
      <c r="C84" s="93"/>
      <c r="D84" s="93"/>
      <c r="E84" s="93"/>
      <c r="F84" s="93"/>
      <c r="G84" s="93"/>
      <c r="H84" s="93"/>
      <c r="I84" s="93"/>
      <c r="J84" s="93"/>
      <c r="K84" s="93"/>
      <c r="L84" s="93"/>
      <c r="M84" s="93"/>
      <c r="N84" s="93"/>
      <c r="O84" s="93"/>
      <c r="P84" s="93"/>
      <c r="Q84" s="93"/>
      <c r="R84" s="93"/>
      <c r="S84" s="93"/>
      <c r="T84" s="93"/>
      <c r="U84" s="93"/>
      <c r="V84" s="93"/>
      <c r="W84" s="94"/>
    </row>
    <row r="85" ht="24.75" customHeight="1" spans="1:23">
      <c r="A85" s="90"/>
      <c r="B85" s="183" t="s">
        <v>8072</v>
      </c>
      <c r="C85" s="183"/>
      <c r="D85" s="183"/>
      <c r="E85" s="183"/>
      <c r="F85" s="183"/>
      <c r="G85" s="183"/>
      <c r="H85" s="183"/>
      <c r="I85" s="183"/>
      <c r="J85" s="183"/>
      <c r="K85" s="183"/>
      <c r="L85" s="183"/>
      <c r="M85" s="103" t="str">
        <f ca="1">PeriodDo</f>
        <v>31.12.2025</v>
      </c>
      <c r="N85" s="103"/>
      <c r="O85" s="104" t="s">
        <v>2513</v>
      </c>
      <c r="P85" s="104"/>
      <c r="Q85" s="93"/>
      <c r="R85" s="93"/>
      <c r="S85" s="93"/>
      <c r="T85" s="93"/>
      <c r="U85" s="93"/>
      <c r="V85" s="93"/>
      <c r="W85" s="94"/>
    </row>
    <row r="86" ht="13.5" spans="1:23">
      <c r="A86" s="90"/>
      <c r="B86" s="93"/>
      <c r="C86" s="93"/>
      <c r="D86" s="93"/>
      <c r="E86" s="93"/>
      <c r="F86" s="93"/>
      <c r="G86" s="93"/>
      <c r="H86" s="93"/>
      <c r="I86" s="93"/>
      <c r="J86" s="93"/>
      <c r="K86" s="93"/>
      <c r="L86" s="93"/>
      <c r="M86" s="93"/>
      <c r="N86" s="93"/>
      <c r="O86" s="93"/>
      <c r="P86" s="93"/>
      <c r="Q86" s="93"/>
      <c r="R86" s="93"/>
      <c r="S86" s="93"/>
      <c r="T86" s="93"/>
      <c r="U86" s="93"/>
      <c r="V86" s="93"/>
      <c r="W86" s="94"/>
    </row>
    <row r="87" ht="30" customHeight="1" spans="1:23">
      <c r="A87" s="106"/>
      <c r="B87" s="107" t="s">
        <v>2507</v>
      </c>
      <c r="C87" s="108"/>
      <c r="D87" s="108"/>
      <c r="E87" s="108"/>
      <c r="F87" s="108"/>
      <c r="G87" s="108"/>
      <c r="H87" s="109"/>
      <c r="I87" s="110" t="s">
        <v>5800</v>
      </c>
      <c r="J87" s="111"/>
      <c r="K87" s="112"/>
      <c r="L87" s="105"/>
      <c r="M87" s="107" t="s">
        <v>2507</v>
      </c>
      <c r="N87" s="108"/>
      <c r="O87" s="108"/>
      <c r="P87" s="108"/>
      <c r="Q87" s="108"/>
      <c r="R87" s="108"/>
      <c r="S87" s="109"/>
      <c r="T87" s="110" t="s">
        <v>5800</v>
      </c>
      <c r="U87" s="111"/>
      <c r="V87" s="112"/>
      <c r="W87" s="94"/>
    </row>
    <row r="88" ht="24.95" customHeight="1" spans="1:23">
      <c r="A88" s="106"/>
      <c r="B88" s="280" t="s">
        <v>8073</v>
      </c>
      <c r="C88" s="281"/>
      <c r="D88" s="281"/>
      <c r="E88" s="281"/>
      <c r="F88" s="281"/>
      <c r="G88" s="281"/>
      <c r="H88" s="281"/>
      <c r="I88" s="282">
        <f>I89-I90+I91+I92+I93+I94-I95-I96</f>
        <v>309265</v>
      </c>
      <c r="J88" s="282"/>
      <c r="K88" s="283"/>
      <c r="L88" s="105"/>
      <c r="M88" s="280" t="s">
        <v>8074</v>
      </c>
      <c r="N88" s="281"/>
      <c r="O88" s="281"/>
      <c r="P88" s="281"/>
      <c r="Q88" s="281"/>
      <c r="R88" s="281"/>
      <c r="S88" s="281"/>
      <c r="T88" s="282">
        <f>T89+T95+T101+T102+T103+T104</f>
        <v>290034</v>
      </c>
      <c r="U88" s="282"/>
      <c r="V88" s="283"/>
      <c r="W88" s="94"/>
    </row>
    <row r="89" ht="18.75" customHeight="1" spans="1:23">
      <c r="A89" s="106"/>
      <c r="B89" s="284" t="s">
        <v>8075</v>
      </c>
      <c r="C89" s="285"/>
      <c r="D89" s="285"/>
      <c r="E89" s="285"/>
      <c r="F89" s="285"/>
      <c r="G89" s="285"/>
      <c r="H89" s="285"/>
      <c r="I89" s="286">
        <f>B_Stanja!AI93+B_Stanja!AI95</f>
        <v>350000</v>
      </c>
      <c r="J89" s="286"/>
      <c r="K89" s="287"/>
      <c r="L89" s="105"/>
      <c r="M89" s="133" t="s">
        <v>8076</v>
      </c>
      <c r="N89" s="134"/>
      <c r="O89" s="134"/>
      <c r="P89" s="134"/>
      <c r="Q89" s="134"/>
      <c r="R89" s="134"/>
      <c r="S89" s="134"/>
      <c r="T89" s="288">
        <f>T90+T91+T92+T93+T94</f>
        <v>0</v>
      </c>
      <c r="U89" s="288"/>
      <c r="V89" s="289"/>
      <c r="W89" s="94"/>
    </row>
    <row r="90" ht="18.75" customHeight="1" spans="1:23">
      <c r="A90" s="106"/>
      <c r="B90" s="121" t="s">
        <v>8077</v>
      </c>
      <c r="C90" s="122"/>
      <c r="D90" s="122"/>
      <c r="E90" s="122"/>
      <c r="F90" s="122"/>
      <c r="G90" s="122"/>
      <c r="H90" s="122"/>
      <c r="I90" s="290"/>
      <c r="J90" s="290"/>
      <c r="K90" s="291"/>
      <c r="L90" s="105"/>
      <c r="M90" s="292" t="s">
        <v>8078</v>
      </c>
      <c r="N90" s="293"/>
      <c r="O90" s="293"/>
      <c r="P90" s="293"/>
      <c r="Q90" s="293"/>
      <c r="R90" s="293"/>
      <c r="S90" s="293"/>
      <c r="T90" s="294"/>
      <c r="U90" s="294"/>
      <c r="V90" s="295"/>
      <c r="W90" s="94"/>
    </row>
    <row r="91" ht="18.75" customHeight="1" spans="1:23">
      <c r="A91" s="106"/>
      <c r="B91" s="121" t="s">
        <v>8079</v>
      </c>
      <c r="C91" s="122"/>
      <c r="D91" s="122"/>
      <c r="E91" s="122"/>
      <c r="F91" s="122"/>
      <c r="G91" s="122"/>
      <c r="H91" s="122"/>
      <c r="I91" s="290">
        <f>B_Stanja!AI99</f>
        <v>0</v>
      </c>
      <c r="J91" s="290"/>
      <c r="K91" s="291"/>
      <c r="L91" s="105"/>
      <c r="M91" s="292" t="s">
        <v>8080</v>
      </c>
      <c r="N91" s="293"/>
      <c r="O91" s="293"/>
      <c r="P91" s="293"/>
      <c r="Q91" s="293"/>
      <c r="R91" s="293"/>
      <c r="S91" s="293"/>
      <c r="T91" s="294">
        <f>UnosPod!F781</f>
        <v>0</v>
      </c>
      <c r="U91" s="294"/>
      <c r="V91" s="295"/>
      <c r="W91" s="94"/>
    </row>
    <row r="92" ht="18.75" customHeight="1" spans="1:23">
      <c r="A92" s="106"/>
      <c r="B92" s="292" t="s">
        <v>8081</v>
      </c>
      <c r="C92" s="293"/>
      <c r="D92" s="293"/>
      <c r="E92" s="293"/>
      <c r="F92" s="293"/>
      <c r="G92" s="293"/>
      <c r="H92" s="293"/>
      <c r="I92" s="294">
        <f>B_Stanja!AI100</f>
        <v>18462</v>
      </c>
      <c r="J92" s="294"/>
      <c r="K92" s="295"/>
      <c r="L92" s="105"/>
      <c r="M92" s="292" t="s">
        <v>8082</v>
      </c>
      <c r="N92" s="293"/>
      <c r="O92" s="293"/>
      <c r="P92" s="293"/>
      <c r="Q92" s="293"/>
      <c r="R92" s="293"/>
      <c r="S92" s="293"/>
      <c r="T92" s="294">
        <f>UnosPod!F782</f>
        <v>0</v>
      </c>
      <c r="U92" s="294"/>
      <c r="V92" s="295"/>
      <c r="W92" s="94"/>
    </row>
    <row r="93" ht="18.75" customHeight="1" spans="1:23">
      <c r="A93" s="106"/>
      <c r="B93" s="121" t="s">
        <v>8083</v>
      </c>
      <c r="C93" s="122"/>
      <c r="D93" s="122"/>
      <c r="E93" s="122"/>
      <c r="F93" s="122"/>
      <c r="G93" s="122"/>
      <c r="H93" s="122"/>
      <c r="I93" s="290">
        <f>B_Stanja!AI103</f>
        <v>0</v>
      </c>
      <c r="J93" s="290"/>
      <c r="K93" s="291"/>
      <c r="L93" s="105"/>
      <c r="M93" s="292" t="s">
        <v>8084</v>
      </c>
      <c r="N93" s="293"/>
      <c r="O93" s="293"/>
      <c r="P93" s="293"/>
      <c r="Q93" s="293"/>
      <c r="R93" s="293"/>
      <c r="S93" s="293"/>
      <c r="T93" s="294"/>
      <c r="U93" s="294"/>
      <c r="V93" s="295"/>
      <c r="W93" s="94"/>
    </row>
    <row r="94" ht="18.75" customHeight="1" spans="1:23">
      <c r="A94" s="106"/>
      <c r="B94" s="121" t="s">
        <v>8085</v>
      </c>
      <c r="C94" s="122"/>
      <c r="D94" s="122"/>
      <c r="E94" s="122"/>
      <c r="F94" s="122"/>
      <c r="G94" s="122"/>
      <c r="H94" s="122"/>
      <c r="I94" s="290">
        <f>B_Stanja!AI107</f>
        <v>0</v>
      </c>
      <c r="J94" s="290"/>
      <c r="K94" s="291"/>
      <c r="L94" s="105"/>
      <c r="M94" s="296" t="s">
        <v>8086</v>
      </c>
      <c r="N94" s="297"/>
      <c r="O94" s="297"/>
      <c r="P94" s="297"/>
      <c r="Q94" s="297"/>
      <c r="R94" s="297"/>
      <c r="S94" s="297"/>
      <c r="T94" s="298">
        <f>B_Stanja!AI139+B_Stanja!AI144-T90-T91-T92-T93</f>
        <v>0</v>
      </c>
      <c r="U94" s="298"/>
      <c r="V94" s="299"/>
      <c r="W94" s="94"/>
    </row>
    <row r="95" ht="18.75" customHeight="1" spans="1:23">
      <c r="A95" s="106"/>
      <c r="B95" s="121" t="s">
        <v>8087</v>
      </c>
      <c r="C95" s="122"/>
      <c r="D95" s="122"/>
      <c r="E95" s="122"/>
      <c r="F95" s="122"/>
      <c r="G95" s="122"/>
      <c r="H95" s="122"/>
      <c r="I95" s="300">
        <f>B_Stanja!AI110</f>
        <v>59197</v>
      </c>
      <c r="J95" s="300"/>
      <c r="K95" s="301"/>
      <c r="L95" s="105"/>
      <c r="M95" s="117" t="s">
        <v>8088</v>
      </c>
      <c r="N95" s="118"/>
      <c r="O95" s="118"/>
      <c r="P95" s="118"/>
      <c r="Q95" s="118"/>
      <c r="R95" s="118"/>
      <c r="S95" s="118"/>
      <c r="T95" s="302">
        <f>T96+T97+T98+T99+T100</f>
        <v>22856</v>
      </c>
      <c r="U95" s="302"/>
      <c r="V95" s="303"/>
      <c r="W95" s="94"/>
    </row>
    <row r="96" ht="18.75" customHeight="1" spans="1:23">
      <c r="A96" s="106"/>
      <c r="B96" s="129" t="s">
        <v>8089</v>
      </c>
      <c r="C96" s="130"/>
      <c r="D96" s="130"/>
      <c r="E96" s="130"/>
      <c r="F96" s="130"/>
      <c r="G96" s="130"/>
      <c r="H96" s="130"/>
      <c r="I96" s="304">
        <f>B_Stanja!AI95</f>
        <v>0</v>
      </c>
      <c r="J96" s="304"/>
      <c r="K96" s="305"/>
      <c r="L96" s="105"/>
      <c r="M96" s="292" t="s">
        <v>8090</v>
      </c>
      <c r="N96" s="293"/>
      <c r="O96" s="293"/>
      <c r="P96" s="293"/>
      <c r="Q96" s="293"/>
      <c r="R96" s="293"/>
      <c r="S96" s="293"/>
      <c r="T96" s="294">
        <f>UnosPod!F793</f>
        <v>0</v>
      </c>
      <c r="U96" s="294"/>
      <c r="V96" s="295"/>
      <c r="W96" s="94"/>
    </row>
    <row r="97" ht="18.75" customHeight="1" spans="1:23">
      <c r="A97" s="106"/>
      <c r="B97" s="133" t="s">
        <v>8091</v>
      </c>
      <c r="C97" s="134"/>
      <c r="D97" s="134"/>
      <c r="E97" s="134"/>
      <c r="F97" s="134"/>
      <c r="G97" s="134"/>
      <c r="H97" s="134"/>
      <c r="I97" s="288">
        <f>I98+I99</f>
        <v>0</v>
      </c>
      <c r="J97" s="288"/>
      <c r="K97" s="289"/>
      <c r="L97" s="105"/>
      <c r="M97" s="292" t="s">
        <v>8092</v>
      </c>
      <c r="N97" s="293"/>
      <c r="O97" s="293"/>
      <c r="P97" s="293"/>
      <c r="Q97" s="293"/>
      <c r="R97" s="293"/>
      <c r="S97" s="293"/>
      <c r="T97" s="294">
        <f>UnosPod!F790</f>
        <v>0</v>
      </c>
      <c r="U97" s="294"/>
      <c r="V97" s="295"/>
      <c r="W97" s="94"/>
    </row>
    <row r="98" ht="18.75" customHeight="1" spans="1:23">
      <c r="A98" s="106"/>
      <c r="B98" s="292" t="s">
        <v>8093</v>
      </c>
      <c r="C98" s="293"/>
      <c r="D98" s="293"/>
      <c r="E98" s="293"/>
      <c r="F98" s="293"/>
      <c r="G98" s="293"/>
      <c r="H98" s="293"/>
      <c r="I98" s="294">
        <f>B_Stanja!AI132</f>
        <v>0</v>
      </c>
      <c r="J98" s="294"/>
      <c r="K98" s="295"/>
      <c r="L98" s="105"/>
      <c r="M98" s="292" t="s">
        <v>8094</v>
      </c>
      <c r="N98" s="293"/>
      <c r="O98" s="293"/>
      <c r="P98" s="293"/>
      <c r="Q98" s="293"/>
      <c r="R98" s="293"/>
      <c r="S98" s="293"/>
      <c r="T98" s="294">
        <f>UnosPod!F791</f>
        <v>22856</v>
      </c>
      <c r="U98" s="294"/>
      <c r="V98" s="295"/>
      <c r="W98" s="94"/>
    </row>
    <row r="99" ht="18.75" customHeight="1" spans="1:23">
      <c r="A99" s="106"/>
      <c r="B99" s="306" t="s">
        <v>8095</v>
      </c>
      <c r="C99" s="307"/>
      <c r="D99" s="307"/>
      <c r="E99" s="307"/>
      <c r="F99" s="307"/>
      <c r="G99" s="307"/>
      <c r="H99" s="307"/>
      <c r="I99" s="294">
        <f>B_Stanja!AI133</f>
        <v>0</v>
      </c>
      <c r="J99" s="294"/>
      <c r="K99" s="295"/>
      <c r="L99" s="105"/>
      <c r="M99" s="292" t="s">
        <v>8096</v>
      </c>
      <c r="N99" s="293"/>
      <c r="O99" s="293"/>
      <c r="P99" s="293"/>
      <c r="Q99" s="293"/>
      <c r="R99" s="293"/>
      <c r="S99" s="293"/>
      <c r="T99" s="294">
        <f>UnosPod!F792</f>
        <v>0</v>
      </c>
      <c r="U99" s="294"/>
      <c r="V99" s="295"/>
      <c r="W99" s="94"/>
    </row>
    <row r="100" ht="18.75" customHeight="1" spans="1:23">
      <c r="A100" s="106"/>
      <c r="B100" s="280" t="s">
        <v>8097</v>
      </c>
      <c r="C100" s="281"/>
      <c r="D100" s="281"/>
      <c r="E100" s="281"/>
      <c r="F100" s="281"/>
      <c r="G100" s="281"/>
      <c r="H100" s="281"/>
      <c r="I100" s="282">
        <f>I101+I102+I103+I104+I105</f>
        <v>0</v>
      </c>
      <c r="J100" s="282"/>
      <c r="K100" s="283"/>
      <c r="L100" s="105"/>
      <c r="M100" s="296" t="s">
        <v>8098</v>
      </c>
      <c r="N100" s="297"/>
      <c r="O100" s="297"/>
      <c r="P100" s="297"/>
      <c r="Q100" s="297"/>
      <c r="R100" s="297"/>
      <c r="S100" s="297"/>
      <c r="T100" s="298">
        <f>UnosPod!F797-T96-T97-T98-T99</f>
        <v>0</v>
      </c>
      <c r="U100" s="298"/>
      <c r="V100" s="299"/>
      <c r="W100" s="94"/>
    </row>
    <row r="101" ht="18.75" customHeight="1" spans="1:23">
      <c r="A101" s="106"/>
      <c r="B101" s="137" t="s">
        <v>8078</v>
      </c>
      <c r="C101" s="138"/>
      <c r="D101" s="138"/>
      <c r="E101" s="138"/>
      <c r="F101" s="138"/>
      <c r="G101" s="138"/>
      <c r="H101" s="138"/>
      <c r="I101" s="308"/>
      <c r="J101" s="308"/>
      <c r="K101" s="309"/>
      <c r="L101" s="105"/>
      <c r="M101" s="257" t="s">
        <v>8099</v>
      </c>
      <c r="N101" s="258"/>
      <c r="O101" s="258"/>
      <c r="P101" s="258"/>
      <c r="Q101" s="258"/>
      <c r="R101" s="258"/>
      <c r="S101" s="259"/>
      <c r="T101" s="286">
        <f>UnosPod!F810</f>
        <v>197257</v>
      </c>
      <c r="U101" s="286"/>
      <c r="V101" s="287"/>
      <c r="W101" s="94"/>
    </row>
    <row r="102" ht="18.75" customHeight="1" spans="1:23">
      <c r="A102" s="106"/>
      <c r="B102" s="121" t="s">
        <v>8100</v>
      </c>
      <c r="C102" s="122"/>
      <c r="D102" s="122"/>
      <c r="E102" s="122"/>
      <c r="F102" s="122"/>
      <c r="G102" s="122"/>
      <c r="H102" s="122"/>
      <c r="I102" s="294">
        <f>B_Stanja!AI129+B_Stanja!AI130-I101</f>
        <v>0</v>
      </c>
      <c r="J102" s="294"/>
      <c r="K102" s="295"/>
      <c r="L102" s="105"/>
      <c r="M102" s="215" t="s">
        <v>8101</v>
      </c>
      <c r="N102" s="216"/>
      <c r="O102" s="216"/>
      <c r="P102" s="216"/>
      <c r="Q102" s="216"/>
      <c r="R102" s="216"/>
      <c r="S102" s="217"/>
      <c r="T102" s="294">
        <f>B_Stanja!AI135-Preliminarni_RFB!T89-Preliminarni_RFB!T96-Preliminarni_RFB!T97-Preliminarni_RFB!T98-Preliminarni_RFB!T99-Preliminarni_RFB!T101-T100-T103-T104-T105-T106</f>
        <v>45534</v>
      </c>
      <c r="U102" s="294"/>
      <c r="V102" s="295"/>
      <c r="W102" s="94"/>
    </row>
    <row r="103" ht="18.75" customHeight="1" spans="1:23">
      <c r="A103" s="106"/>
      <c r="B103" s="292" t="s">
        <v>8102</v>
      </c>
      <c r="C103" s="293"/>
      <c r="D103" s="293"/>
      <c r="E103" s="293"/>
      <c r="F103" s="293"/>
      <c r="G103" s="293"/>
      <c r="H103" s="293"/>
      <c r="I103" s="290">
        <f>B_Stanja!AI127</f>
        <v>0</v>
      </c>
      <c r="J103" s="290"/>
      <c r="K103" s="291"/>
      <c r="L103" s="105"/>
      <c r="M103" s="292" t="s">
        <v>8103</v>
      </c>
      <c r="N103" s="293"/>
      <c r="O103" s="293"/>
      <c r="P103" s="293"/>
      <c r="Q103" s="293"/>
      <c r="R103" s="293"/>
      <c r="S103" s="293"/>
      <c r="T103" s="294">
        <f>UnosPod!F834</f>
        <v>0</v>
      </c>
      <c r="U103" s="294"/>
      <c r="V103" s="295"/>
      <c r="W103" s="94"/>
    </row>
    <row r="104" ht="18.75" customHeight="1" spans="1:23">
      <c r="A104" s="106"/>
      <c r="B104" s="292" t="s">
        <v>8104</v>
      </c>
      <c r="C104" s="293"/>
      <c r="D104" s="293"/>
      <c r="E104" s="293"/>
      <c r="F104" s="293"/>
      <c r="G104" s="293"/>
      <c r="H104" s="293"/>
      <c r="I104" s="290">
        <f>B_Stanja!AI128</f>
        <v>0</v>
      </c>
      <c r="J104" s="290"/>
      <c r="K104" s="291"/>
      <c r="L104" s="105"/>
      <c r="M104" s="296" t="s">
        <v>8105</v>
      </c>
      <c r="N104" s="297"/>
      <c r="O104" s="297"/>
      <c r="P104" s="297"/>
      <c r="Q104" s="297"/>
      <c r="R104" s="297"/>
      <c r="S104" s="297"/>
      <c r="T104" s="298">
        <f>UnosPod!F841</f>
        <v>24387</v>
      </c>
      <c r="U104" s="298"/>
      <c r="V104" s="299"/>
      <c r="W104" s="94"/>
    </row>
    <row r="105" ht="18.75" customHeight="1" spans="1:23">
      <c r="A105" s="106"/>
      <c r="B105" s="129" t="s">
        <v>8106</v>
      </c>
      <c r="C105" s="130"/>
      <c r="D105" s="130"/>
      <c r="E105" s="130"/>
      <c r="F105" s="130"/>
      <c r="G105" s="130"/>
      <c r="H105" s="130"/>
      <c r="I105" s="310">
        <f>B_Stanja!AI125-I97-I101-I102-I103-I104</f>
        <v>0</v>
      </c>
      <c r="J105" s="310"/>
      <c r="K105" s="311"/>
      <c r="L105" s="105"/>
      <c r="M105" s="312" t="s">
        <v>8107</v>
      </c>
      <c r="N105" s="313"/>
      <c r="O105" s="313"/>
      <c r="P105" s="313"/>
      <c r="Q105" s="313"/>
      <c r="R105" s="313"/>
      <c r="S105" s="313"/>
      <c r="T105" s="286"/>
      <c r="U105" s="286"/>
      <c r="V105" s="287"/>
      <c r="W105" s="94"/>
    </row>
    <row r="106" ht="18.75" customHeight="1" spans="1:23">
      <c r="A106" s="106"/>
      <c r="B106" s="157" t="s">
        <v>8108</v>
      </c>
      <c r="C106" s="158"/>
      <c r="D106" s="158"/>
      <c r="E106" s="158"/>
      <c r="F106" s="158"/>
      <c r="G106" s="158"/>
      <c r="H106" s="158"/>
      <c r="I106" s="314">
        <f>B_Stanja!AI134</f>
        <v>0</v>
      </c>
      <c r="J106" s="314"/>
      <c r="K106" s="315"/>
      <c r="L106" s="105"/>
      <c r="M106" s="306" t="s">
        <v>8109</v>
      </c>
      <c r="N106" s="307"/>
      <c r="O106" s="307"/>
      <c r="P106" s="307"/>
      <c r="Q106" s="307"/>
      <c r="R106" s="307"/>
      <c r="S106" s="307"/>
      <c r="T106" s="316"/>
      <c r="U106" s="316"/>
      <c r="V106" s="317"/>
      <c r="W106" s="94"/>
    </row>
    <row r="107" ht="27" customHeight="1" spans="1:23">
      <c r="A107" s="106"/>
      <c r="B107" s="272"/>
      <c r="C107" s="272"/>
      <c r="D107" s="272"/>
      <c r="E107" s="272"/>
      <c r="F107" s="272"/>
      <c r="G107" s="272"/>
      <c r="H107" s="272"/>
      <c r="I107" s="273">
        <f>I88-B_Stanja!AI115</f>
        <v>0</v>
      </c>
      <c r="J107" s="273"/>
      <c r="K107" s="273"/>
      <c r="L107" s="105"/>
      <c r="M107" s="318" t="s">
        <v>8110</v>
      </c>
      <c r="N107" s="319"/>
      <c r="O107" s="319"/>
      <c r="P107" s="319"/>
      <c r="Q107" s="319"/>
      <c r="R107" s="319"/>
      <c r="S107" s="319"/>
      <c r="T107" s="320">
        <f>I88+I97+I100+I106+T88+T105+T106</f>
        <v>599299</v>
      </c>
      <c r="U107" s="320"/>
      <c r="V107" s="321"/>
      <c r="W107" s="94"/>
    </row>
    <row r="108" ht="24.75" customHeight="1" spans="1:23">
      <c r="A108" s="106"/>
      <c r="B108" s="105"/>
      <c r="C108" s="105"/>
      <c r="D108" s="105"/>
      <c r="E108" s="105"/>
      <c r="F108" s="105"/>
      <c r="G108" s="105"/>
      <c r="H108" s="105"/>
      <c r="I108" s="273">
        <f>I97+I100-B_Stanja!AI125</f>
        <v>0</v>
      </c>
      <c r="J108" s="273"/>
      <c r="K108" s="273"/>
      <c r="L108" s="105"/>
      <c r="M108" s="105"/>
      <c r="N108" s="105"/>
      <c r="O108" s="105"/>
      <c r="P108" s="105"/>
      <c r="Q108" s="105"/>
      <c r="R108" s="105"/>
      <c r="S108" s="105"/>
      <c r="T108" s="273">
        <f>T107-B_Stanja!AI150</f>
        <v>0</v>
      </c>
      <c r="U108" s="273"/>
      <c r="V108" s="273"/>
      <c r="W108" s="94"/>
    </row>
    <row r="109" ht="24.75" customHeight="1" spans="1:23">
      <c r="A109" s="106"/>
      <c r="B109" s="171" t="s">
        <v>8030</v>
      </c>
      <c r="C109" s="171"/>
      <c r="D109" s="322" t="str">
        <f>Direktor</f>
        <v>Nedim Vilogorac</v>
      </c>
      <c r="E109" s="322"/>
      <c r="F109" s="322"/>
      <c r="G109" s="322"/>
      <c r="H109" s="322"/>
      <c r="I109" s="322"/>
      <c r="J109" s="173"/>
      <c r="K109" s="105"/>
      <c r="L109" s="174"/>
      <c r="M109" s="175"/>
      <c r="N109" s="175"/>
      <c r="O109" s="171" t="s">
        <v>8031</v>
      </c>
      <c r="P109" s="171"/>
      <c r="Q109" s="171"/>
      <c r="R109" s="171"/>
      <c r="S109" s="172" t="str">
        <f>Racunovoda</f>
        <v>Elvira Žilić</v>
      </c>
      <c r="T109" s="172"/>
      <c r="U109" s="172"/>
      <c r="V109" s="172"/>
      <c r="W109" s="94"/>
    </row>
    <row r="110" ht="22.5" customHeight="1" spans="1:23">
      <c r="A110" s="106"/>
      <c r="B110" s="105"/>
      <c r="C110" s="105"/>
      <c r="D110" s="105"/>
      <c r="E110" s="105"/>
      <c r="F110" s="105"/>
      <c r="G110" s="105"/>
      <c r="H110" s="105"/>
      <c r="I110" s="105"/>
      <c r="J110" s="105"/>
      <c r="K110" s="105"/>
      <c r="L110" s="176" t="s">
        <v>7039</v>
      </c>
      <c r="M110" s="105"/>
      <c r="N110" s="105"/>
      <c r="O110" s="105"/>
      <c r="P110" s="105"/>
      <c r="Q110" s="105"/>
      <c r="R110" s="105"/>
      <c r="S110" s="105"/>
      <c r="T110" s="105"/>
      <c r="U110" s="105"/>
      <c r="V110" s="105"/>
      <c r="W110" s="94"/>
    </row>
    <row r="111" customHeight="1" spans="1:23">
      <c r="A111" s="177"/>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9"/>
    </row>
    <row r="112" customHeight="1"/>
  </sheetData>
  <mergeCells count="299">
    <mergeCell ref="B2:D2"/>
    <mergeCell ref="E2:P2"/>
    <mergeCell ref="B4:D4"/>
    <mergeCell ref="E4:N4"/>
    <mergeCell ref="Q4:T4"/>
    <mergeCell ref="U4:V4"/>
    <mergeCell ref="B6:I6"/>
    <mergeCell ref="J6:K6"/>
    <mergeCell ref="M6:N6"/>
    <mergeCell ref="O6:P6"/>
    <mergeCell ref="B9:H9"/>
    <mergeCell ref="I9:K9"/>
    <mergeCell ref="M9:S9"/>
    <mergeCell ref="T9:V9"/>
    <mergeCell ref="B10:H10"/>
    <mergeCell ref="I10:K10"/>
    <mergeCell ref="M10:S10"/>
    <mergeCell ref="T10:V10"/>
    <mergeCell ref="B11:H11"/>
    <mergeCell ref="I11:K11"/>
    <mergeCell ref="M11:S11"/>
    <mergeCell ref="T11:V11"/>
    <mergeCell ref="B12:H12"/>
    <mergeCell ref="I12:K12"/>
    <mergeCell ref="M12:S12"/>
    <mergeCell ref="T12:V12"/>
    <mergeCell ref="B13:H13"/>
    <mergeCell ref="I13:K13"/>
    <mergeCell ref="M13:S13"/>
    <mergeCell ref="T13:V13"/>
    <mergeCell ref="B14:H14"/>
    <mergeCell ref="I14:K14"/>
    <mergeCell ref="M14:S14"/>
    <mergeCell ref="T14:V14"/>
    <mergeCell ref="B15:H15"/>
    <mergeCell ref="I15:K15"/>
    <mergeCell ref="M15:S15"/>
    <mergeCell ref="T15:V15"/>
    <mergeCell ref="B16:H16"/>
    <mergeCell ref="I16:K16"/>
    <mergeCell ref="M16:S16"/>
    <mergeCell ref="T16:V16"/>
    <mergeCell ref="B17:H17"/>
    <mergeCell ref="I17:K17"/>
    <mergeCell ref="M17:S17"/>
    <mergeCell ref="T17:V17"/>
    <mergeCell ref="B18:H18"/>
    <mergeCell ref="I18:K18"/>
    <mergeCell ref="M18:S18"/>
    <mergeCell ref="T18:V18"/>
    <mergeCell ref="B19:H19"/>
    <mergeCell ref="I19:K19"/>
    <mergeCell ref="M19:S19"/>
    <mergeCell ref="T19:V19"/>
    <mergeCell ref="B20:H20"/>
    <mergeCell ref="I20:K20"/>
    <mergeCell ref="M20:S20"/>
    <mergeCell ref="T20:V20"/>
    <mergeCell ref="B21:H21"/>
    <mergeCell ref="I21:K21"/>
    <mergeCell ref="M21:S21"/>
    <mergeCell ref="T21:V21"/>
    <mergeCell ref="B22:H22"/>
    <mergeCell ref="I22:K22"/>
    <mergeCell ref="M22:S22"/>
    <mergeCell ref="T22:V22"/>
    <mergeCell ref="B23:H23"/>
    <mergeCell ref="I23:K23"/>
    <mergeCell ref="M23:S23"/>
    <mergeCell ref="T23:V23"/>
    <mergeCell ref="B24:H24"/>
    <mergeCell ref="I24:K24"/>
    <mergeCell ref="M24:S24"/>
    <mergeCell ref="T24:V24"/>
    <mergeCell ref="B25:H25"/>
    <mergeCell ref="I25:K25"/>
    <mergeCell ref="M25:S25"/>
    <mergeCell ref="T25:V25"/>
    <mergeCell ref="B26:H26"/>
    <mergeCell ref="I26:K26"/>
    <mergeCell ref="M26:S26"/>
    <mergeCell ref="T26:V26"/>
    <mergeCell ref="B27:H27"/>
    <mergeCell ref="I27:K27"/>
    <mergeCell ref="M27:S27"/>
    <mergeCell ref="T27:V27"/>
    <mergeCell ref="B28:H28"/>
    <mergeCell ref="I28:K28"/>
    <mergeCell ref="M28:S28"/>
    <mergeCell ref="T28:V28"/>
    <mergeCell ref="B29:H29"/>
    <mergeCell ref="I29:K29"/>
    <mergeCell ref="M29:S29"/>
    <mergeCell ref="T29:V29"/>
    <mergeCell ref="B32:C32"/>
    <mergeCell ref="D32:I32"/>
    <mergeCell ref="O32:R32"/>
    <mergeCell ref="S32:V32"/>
    <mergeCell ref="T35:V35"/>
    <mergeCell ref="T36:V36"/>
    <mergeCell ref="T37:V37"/>
    <mergeCell ref="B43:D43"/>
    <mergeCell ref="E43:P43"/>
    <mergeCell ref="B45:D45"/>
    <mergeCell ref="E45:N45"/>
    <mergeCell ref="Q45:T45"/>
    <mergeCell ref="U45:V45"/>
    <mergeCell ref="B47:L47"/>
    <mergeCell ref="M47:N47"/>
    <mergeCell ref="O47:P47"/>
    <mergeCell ref="B49:H49"/>
    <mergeCell ref="I49:K49"/>
    <mergeCell ref="M49:S49"/>
    <mergeCell ref="T49:V49"/>
    <mergeCell ref="B50:H50"/>
    <mergeCell ref="I50:K50"/>
    <mergeCell ref="M50:S50"/>
    <mergeCell ref="T50:V50"/>
    <mergeCell ref="B51:H51"/>
    <mergeCell ref="I51:K51"/>
    <mergeCell ref="M51:S51"/>
    <mergeCell ref="T51:V51"/>
    <mergeCell ref="B52:H52"/>
    <mergeCell ref="I52:K52"/>
    <mergeCell ref="M52:S52"/>
    <mergeCell ref="T52:V52"/>
    <mergeCell ref="B53:H53"/>
    <mergeCell ref="I53:K53"/>
    <mergeCell ref="M53:S53"/>
    <mergeCell ref="T53:V53"/>
    <mergeCell ref="B54:H54"/>
    <mergeCell ref="I54:K54"/>
    <mergeCell ref="M54:S54"/>
    <mergeCell ref="T54:V54"/>
    <mergeCell ref="B55:H55"/>
    <mergeCell ref="I55:K55"/>
    <mergeCell ref="M55:S55"/>
    <mergeCell ref="T55:V55"/>
    <mergeCell ref="B56:H56"/>
    <mergeCell ref="I56:K56"/>
    <mergeCell ref="M56:S56"/>
    <mergeCell ref="T56:V56"/>
    <mergeCell ref="B57:H57"/>
    <mergeCell ref="I57:K57"/>
    <mergeCell ref="M57:S57"/>
    <mergeCell ref="T57:V57"/>
    <mergeCell ref="B58:H58"/>
    <mergeCell ref="I58:K58"/>
    <mergeCell ref="M58:S58"/>
    <mergeCell ref="T58:V58"/>
    <mergeCell ref="B59:H59"/>
    <mergeCell ref="I59:K59"/>
    <mergeCell ref="M59:S59"/>
    <mergeCell ref="T59:V59"/>
    <mergeCell ref="B60:H60"/>
    <mergeCell ref="I60:K60"/>
    <mergeCell ref="M60:S60"/>
    <mergeCell ref="T60:V60"/>
    <mergeCell ref="B61:H61"/>
    <mergeCell ref="I61:K61"/>
    <mergeCell ref="M61:S61"/>
    <mergeCell ref="T61:V61"/>
    <mergeCell ref="B62:H62"/>
    <mergeCell ref="I62:K62"/>
    <mergeCell ref="M62:S62"/>
    <mergeCell ref="T62:V62"/>
    <mergeCell ref="B63:H63"/>
    <mergeCell ref="I63:K63"/>
    <mergeCell ref="M63:S63"/>
    <mergeCell ref="T63:V63"/>
    <mergeCell ref="B64:H64"/>
    <mergeCell ref="I64:K64"/>
    <mergeCell ref="M64:S64"/>
    <mergeCell ref="T64:V64"/>
    <mergeCell ref="B65:H65"/>
    <mergeCell ref="I65:K65"/>
    <mergeCell ref="M65:S65"/>
    <mergeCell ref="T65:V65"/>
    <mergeCell ref="B66:H66"/>
    <mergeCell ref="I66:K66"/>
    <mergeCell ref="M66:S66"/>
    <mergeCell ref="T66:V66"/>
    <mergeCell ref="B67:H67"/>
    <mergeCell ref="I67:K67"/>
    <mergeCell ref="M67:S67"/>
    <mergeCell ref="T67:V67"/>
    <mergeCell ref="B68:H68"/>
    <mergeCell ref="I68:K68"/>
    <mergeCell ref="M68:S68"/>
    <mergeCell ref="T68:V68"/>
    <mergeCell ref="B69:H69"/>
    <mergeCell ref="I69:K69"/>
    <mergeCell ref="M69:S69"/>
    <mergeCell ref="T69:V69"/>
    <mergeCell ref="Q70:S70"/>
    <mergeCell ref="T70:V70"/>
    <mergeCell ref="B71:C71"/>
    <mergeCell ref="D71:I71"/>
    <mergeCell ref="O71:R71"/>
    <mergeCell ref="S71:V71"/>
    <mergeCell ref="B81:D81"/>
    <mergeCell ref="E81:P81"/>
    <mergeCell ref="B83:D83"/>
    <mergeCell ref="E83:N83"/>
    <mergeCell ref="Q83:T83"/>
    <mergeCell ref="U83:V83"/>
    <mergeCell ref="B85:L85"/>
    <mergeCell ref="M85:N85"/>
    <mergeCell ref="O85:P85"/>
    <mergeCell ref="B87:H87"/>
    <mergeCell ref="I87:K87"/>
    <mergeCell ref="M87:S87"/>
    <mergeCell ref="T87:V87"/>
    <mergeCell ref="B88:H88"/>
    <mergeCell ref="I88:K88"/>
    <mergeCell ref="M88:S88"/>
    <mergeCell ref="T88:V88"/>
    <mergeCell ref="B89:H89"/>
    <mergeCell ref="I89:K89"/>
    <mergeCell ref="M89:S89"/>
    <mergeCell ref="T89:V89"/>
    <mergeCell ref="B90:H90"/>
    <mergeCell ref="I90:K90"/>
    <mergeCell ref="M90:S90"/>
    <mergeCell ref="T90:V90"/>
    <mergeCell ref="B91:H91"/>
    <mergeCell ref="I91:K91"/>
    <mergeCell ref="M91:S91"/>
    <mergeCell ref="T91:V91"/>
    <mergeCell ref="B92:H92"/>
    <mergeCell ref="I92:K92"/>
    <mergeCell ref="M92:S92"/>
    <mergeCell ref="T92:V92"/>
    <mergeCell ref="B93:H93"/>
    <mergeCell ref="I93:K93"/>
    <mergeCell ref="M93:S93"/>
    <mergeCell ref="T93:V93"/>
    <mergeCell ref="B94:H94"/>
    <mergeCell ref="I94:K94"/>
    <mergeCell ref="M94:S94"/>
    <mergeCell ref="T94:V94"/>
    <mergeCell ref="B95:H95"/>
    <mergeCell ref="I95:K95"/>
    <mergeCell ref="M95:S95"/>
    <mergeCell ref="T95:V95"/>
    <mergeCell ref="B96:H96"/>
    <mergeCell ref="I96:K96"/>
    <mergeCell ref="M96:S96"/>
    <mergeCell ref="T96:V96"/>
    <mergeCell ref="B97:H97"/>
    <mergeCell ref="I97:K97"/>
    <mergeCell ref="M97:S97"/>
    <mergeCell ref="T97:V97"/>
    <mergeCell ref="B98:H98"/>
    <mergeCell ref="I98:K98"/>
    <mergeCell ref="M98:S98"/>
    <mergeCell ref="T98:V98"/>
    <mergeCell ref="B99:H99"/>
    <mergeCell ref="I99:K99"/>
    <mergeCell ref="M99:S99"/>
    <mergeCell ref="T99:V99"/>
    <mergeCell ref="B100:H100"/>
    <mergeCell ref="I100:K100"/>
    <mergeCell ref="M100:S100"/>
    <mergeCell ref="T100:V100"/>
    <mergeCell ref="B101:H101"/>
    <mergeCell ref="I101:K101"/>
    <mergeCell ref="M101:S101"/>
    <mergeCell ref="T101:V101"/>
    <mergeCell ref="B102:H102"/>
    <mergeCell ref="I102:K102"/>
    <mergeCell ref="M102:S102"/>
    <mergeCell ref="T102:V102"/>
    <mergeCell ref="B103:H103"/>
    <mergeCell ref="I103:K103"/>
    <mergeCell ref="M103:S103"/>
    <mergeCell ref="T103:V103"/>
    <mergeCell ref="B104:H104"/>
    <mergeCell ref="I104:K104"/>
    <mergeCell ref="M104:S104"/>
    <mergeCell ref="T104:V104"/>
    <mergeCell ref="B105:H105"/>
    <mergeCell ref="I105:K105"/>
    <mergeCell ref="M105:S105"/>
    <mergeCell ref="T105:V105"/>
    <mergeCell ref="B106:H106"/>
    <mergeCell ref="I106:K106"/>
    <mergeCell ref="M106:S106"/>
    <mergeCell ref="T106:V106"/>
    <mergeCell ref="B107:H107"/>
    <mergeCell ref="I107:K107"/>
    <mergeCell ref="M107:S107"/>
    <mergeCell ref="T107:V107"/>
    <mergeCell ref="I108:K108"/>
    <mergeCell ref="T108:V108"/>
    <mergeCell ref="B109:C109"/>
    <mergeCell ref="D109:I109"/>
    <mergeCell ref="O109:R109"/>
    <mergeCell ref="S109:V109"/>
  </mergeCells>
  <pageMargins left="0.236220472440945" right="0.236220472440945" top="0.748031496062992" bottom="0.551181102362205" header="0.31496062992126" footer="0.31496062992126"/>
  <pageSetup paperSize="9" scale="77" fitToHeight="0" orientation="landscape"/>
  <headerFooter/>
  <drawing r:id="rId1"/>
  <legacyDrawing r:id="rId2"/>
  <oleObjects>
    <mc:AlternateContent xmlns:mc="http://schemas.openxmlformats.org/markup-compatibility/2006">
      <mc:Choice Requires="x14">
        <oleObject shapeId="14337" progId="Word.Picture.8" r:id="rId3">
          <objectPr defaultSize="0" r:id="rId4">
            <anchor moveWithCells="1">
              <from>
                <xdr:col>19</xdr:col>
                <xdr:colOff>600075</xdr:colOff>
                <xdr:row>0</xdr:row>
                <xdr:rowOff>28575</xdr:rowOff>
              </from>
              <to>
                <xdr:col>22</xdr:col>
                <xdr:colOff>114300</xdr:colOff>
                <xdr:row>2</xdr:row>
                <xdr:rowOff>38100</xdr:rowOff>
              </to>
            </anchor>
          </objectPr>
        </oleObject>
      </mc:Choice>
      <mc:Fallback>
        <oleObject shapeId="14337" progId="Word.Picture.8" r:id="rId3"/>
      </mc:Fallback>
    </mc:AlternateContent>
    <mc:AlternateContent xmlns:mc="http://schemas.openxmlformats.org/markup-compatibility/2006">
      <mc:Choice Requires="x14">
        <oleObject shapeId="14338" progId="Word.Picture.8" r:id="rId5">
          <objectPr defaultSize="0" r:id="rId4">
            <anchor moveWithCells="1">
              <from>
                <xdr:col>19</xdr:col>
                <xdr:colOff>552450</xdr:colOff>
                <xdr:row>41</xdr:row>
                <xdr:rowOff>66675</xdr:rowOff>
              </from>
              <to>
                <xdr:col>22</xdr:col>
                <xdr:colOff>114300</xdr:colOff>
                <xdr:row>43</xdr:row>
                <xdr:rowOff>95250</xdr:rowOff>
              </to>
            </anchor>
          </objectPr>
        </oleObject>
      </mc:Choice>
      <mc:Fallback>
        <oleObject shapeId="14338" progId="Word.Picture.8" r:id="rId5"/>
      </mc:Fallback>
    </mc:AlternateContent>
    <mc:AlternateContent xmlns:mc="http://schemas.openxmlformats.org/markup-compatibility/2006">
      <mc:Choice Requires="x14">
        <oleObject shapeId="14339" progId="Word.Picture.8" r:id="rId6">
          <objectPr defaultSize="0" r:id="rId4">
            <anchor moveWithCells="1">
              <from>
                <xdr:col>19</xdr:col>
                <xdr:colOff>523875</xdr:colOff>
                <xdr:row>79</xdr:row>
                <xdr:rowOff>66675</xdr:rowOff>
              </from>
              <to>
                <xdr:col>22</xdr:col>
                <xdr:colOff>123825</xdr:colOff>
                <xdr:row>81</xdr:row>
                <xdr:rowOff>38100</xdr:rowOff>
              </to>
            </anchor>
          </objectPr>
        </oleObject>
      </mc:Choice>
      <mc:Fallback>
        <oleObject shapeId="14339" progId="Word.Picture.8" r:id="rId6"/>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9">
    <tabColor theme="6" tint="-0.499984740745262"/>
    <pageSetUpPr fitToPage="1"/>
  </sheetPr>
  <dimension ref="A1:AO534"/>
  <sheetViews>
    <sheetView showGridLines="0" workbookViewId="0">
      <selection activeCell="H25" sqref="H25"/>
    </sheetView>
  </sheetViews>
  <sheetFormatPr defaultColWidth="9" defaultRowHeight="12.75"/>
  <cols>
    <col min="1" max="1" width="13.1428571428571" style="3" customWidth="1"/>
    <col min="2" max="2" width="18.2857142857143" customWidth="1"/>
    <col min="3" max="3" width="18.1428571428571" customWidth="1"/>
    <col min="4" max="4" width="14.4285714285714" customWidth="1"/>
    <col min="5" max="6" width="19.4285714285714" customWidth="1"/>
    <col min="7" max="7" width="23" customWidth="1"/>
    <col min="8" max="8" width="29.2857142857143" customWidth="1"/>
    <col min="9" max="9" width="21.8571428571429" customWidth="1"/>
    <col min="10" max="26" width="2.71428571428571" customWidth="1"/>
    <col min="28" max="29" width="15.8571428571429" customWidth="1"/>
  </cols>
  <sheetData>
    <row r="1" ht="17.25" customHeight="1" spans="1:27">
      <c r="A1" s="4"/>
      <c r="B1" s="5"/>
      <c r="C1" s="5"/>
      <c r="D1" s="5"/>
      <c r="E1" s="5"/>
      <c r="F1" s="5"/>
      <c r="G1" s="5"/>
      <c r="H1" s="5"/>
      <c r="I1" s="5"/>
      <c r="J1" s="5"/>
      <c r="K1" s="5"/>
      <c r="L1" s="5"/>
      <c r="M1" s="5"/>
      <c r="N1" s="5"/>
      <c r="O1" s="5"/>
      <c r="P1" s="5"/>
      <c r="Q1" s="5"/>
      <c r="R1" s="5"/>
      <c r="S1" s="5"/>
      <c r="T1" s="5"/>
      <c r="U1" s="5"/>
      <c r="V1" s="5"/>
      <c r="W1" s="5"/>
      <c r="X1" s="5"/>
      <c r="Y1" s="5"/>
      <c r="Z1" s="6"/>
    </row>
    <row r="2" ht="21" customHeight="1" spans="1:27">
      <c r="A2" s="7"/>
      <c r="B2" s="7" t="str">
        <f>"BILANS USPJEHA - "&amp;Firma&amp;"_"&amp;UnosPod!$O$6&amp;UnosPod!$P$6&amp;"."&amp;UnosPod!$Q$6&amp;"_"&amp;IdBroj</f>
        <v>BILANS USPJEHA - LILIUM ASSET MANAGEMENT d.o.o. Sarajevo_12.2025_4201337670009</v>
      </c>
      <c r="C2" s="8"/>
      <c r="D2" s="9"/>
      <c r="E2" s="10"/>
      <c r="F2" s="10"/>
      <c r="G2" s="10"/>
      <c r="H2" s="10"/>
      <c r="I2" s="10"/>
      <c r="J2" s="10"/>
      <c r="K2" s="10"/>
      <c r="L2" s="10"/>
      <c r="M2" s="10"/>
      <c r="N2" s="10"/>
      <c r="O2" s="10"/>
      <c r="P2" s="10"/>
      <c r="Q2" s="10"/>
      <c r="R2" s="10"/>
      <c r="S2" s="10"/>
      <c r="T2" s="10"/>
      <c r="U2" s="10"/>
      <c r="V2" s="10"/>
      <c r="W2" s="10"/>
      <c r="X2" s="10"/>
      <c r="Y2" s="10"/>
      <c r="Z2" s="11"/>
    </row>
    <row r="3" ht="19.5" customHeight="1" spans="1:27">
      <c r="A3" s="12"/>
      <c r="B3" s="13">
        <f ca="1">PoslGod</f>
        <v>2025</v>
      </c>
      <c r="C3" s="14">
        <f ca="1">PoslGod-1</f>
        <v>2024</v>
      </c>
      <c r="D3" s="15"/>
      <c r="E3" s="16"/>
      <c r="F3" s="16"/>
      <c r="G3" s="17"/>
      <c r="H3" s="18"/>
      <c r="I3" s="19"/>
      <c r="J3" s="20"/>
      <c r="K3" s="20"/>
      <c r="L3" s="20"/>
      <c r="M3" s="20"/>
      <c r="N3" s="20"/>
      <c r="O3" s="20"/>
      <c r="P3" s="20"/>
      <c r="Q3" s="20"/>
      <c r="R3" s="20"/>
      <c r="S3" s="20"/>
      <c r="T3" s="20"/>
      <c r="U3" s="20"/>
      <c r="V3" s="20"/>
      <c r="W3" s="20"/>
      <c r="X3" s="20"/>
      <c r="Y3" s="20"/>
      <c r="Z3" s="11"/>
    </row>
    <row r="4" s="1" customFormat="1" ht="14.25" customHeight="1" spans="1:27">
      <c r="A4" s="21" t="s">
        <v>2438</v>
      </c>
      <c r="B4" s="22" t="s">
        <v>4447</v>
      </c>
      <c r="C4" s="23" t="s">
        <v>8111</v>
      </c>
      <c r="D4" s="15"/>
      <c r="E4" s="15"/>
      <c r="F4" s="15"/>
      <c r="G4" s="24" t="s">
        <v>4444</v>
      </c>
      <c r="H4" s="25" t="str">
        <f>UnosPod!F8</f>
        <v>LILIUM ASSET MANAGEMENT d.o.o. Sarajevo</v>
      </c>
      <c r="I4" s="24" t="s">
        <v>4446</v>
      </c>
      <c r="J4" s="26">
        <f>UnosPod!AA8</f>
        <v>4</v>
      </c>
      <c r="K4" s="26">
        <f>UnosPod!AB8</f>
        <v>2</v>
      </c>
      <c r="L4" s="26">
        <f>UnosPod!AC8</f>
        <v>0</v>
      </c>
      <c r="M4" s="26">
        <f>UnosPod!AD8</f>
        <v>1</v>
      </c>
      <c r="N4" s="26">
        <f>UnosPod!AE8</f>
        <v>3</v>
      </c>
      <c r="O4" s="26">
        <f>UnosPod!AF8</f>
        <v>3</v>
      </c>
      <c r="P4" s="26">
        <f>UnosPod!AG8</f>
        <v>7</v>
      </c>
      <c r="Q4" s="26">
        <f>UnosPod!AH8</f>
        <v>6</v>
      </c>
      <c r="R4" s="26">
        <f>UnosPod!AI8</f>
        <v>7</v>
      </c>
      <c r="S4" s="26">
        <f>UnosPod!AJ8</f>
        <v>0</v>
      </c>
      <c r="T4" s="26">
        <f>UnosPod!AK8</f>
        <v>0</v>
      </c>
      <c r="U4" s="26">
        <f>UnosPod!AL8</f>
        <v>0</v>
      </c>
      <c r="V4" s="26">
        <f>UnosPod!AM8</f>
        <v>9</v>
      </c>
      <c r="W4" s="27"/>
      <c r="X4" s="27"/>
      <c r="Y4" s="27"/>
      <c r="Z4" s="11"/>
      <c r="AA4" s="28"/>
    </row>
    <row r="5" ht="14.25" spans="1:27">
      <c r="A5" s="29">
        <v>201</v>
      </c>
      <c r="B5" s="30">
        <f>B_Uspjeha!AI21</f>
        <v>245707</v>
      </c>
      <c r="C5" s="31">
        <f>B_Uspjeha!AP21</f>
        <v>308500</v>
      </c>
      <c r="D5" s="32"/>
      <c r="E5" s="33"/>
      <c r="F5" s="33"/>
      <c r="G5" s="24" t="s">
        <v>4448</v>
      </c>
      <c r="H5" s="34" t="str">
        <f>Opcina</f>
        <v>Sarajevo-Stari Grad</v>
      </c>
      <c r="I5" s="24" t="s">
        <v>2283</v>
      </c>
      <c r="J5" s="26">
        <f>UnosPod!AA9</f>
        <v>2</v>
      </c>
      <c r="K5" s="26">
        <f>UnosPod!AB9</f>
        <v>0</v>
      </c>
      <c r="L5" s="26">
        <f>UnosPod!AC9</f>
        <v>1</v>
      </c>
      <c r="M5" s="26">
        <f>UnosPod!AD9</f>
        <v>3</v>
      </c>
      <c r="N5" s="26">
        <f>UnosPod!AE9</f>
        <v>3</v>
      </c>
      <c r="O5" s="26">
        <f>UnosPod!AF9</f>
        <v>7</v>
      </c>
      <c r="P5" s="26">
        <f>UnosPod!AG9</f>
        <v>6</v>
      </c>
      <c r="Q5" s="26">
        <f>UnosPod!AH9</f>
        <v>7</v>
      </c>
      <c r="R5" s="26">
        <f>UnosPod!AI9</f>
        <v>0</v>
      </c>
      <c r="S5" s="26">
        <f>UnosPod!AJ9</f>
        <v>0</v>
      </c>
      <c r="T5" s="26">
        <f>UnosPod!AK9</f>
        <v>0</v>
      </c>
      <c r="U5" s="26">
        <f>UnosPod!AL9</f>
        <v>9</v>
      </c>
      <c r="V5" s="27"/>
      <c r="W5" s="27"/>
      <c r="X5" s="27"/>
      <c r="Y5" s="27"/>
      <c r="Z5" s="11"/>
      <c r="AA5" s="2"/>
    </row>
    <row r="6" ht="14.25" spans="1:27">
      <c r="A6" s="29">
        <v>202</v>
      </c>
      <c r="B6" s="30">
        <f>B_Uspjeha!AI22</f>
        <v>0</v>
      </c>
      <c r="C6" s="31">
        <f>B_Uspjeha!AP22</f>
        <v>0</v>
      </c>
      <c r="D6" s="32"/>
      <c r="E6" s="33"/>
      <c r="F6" s="33"/>
      <c r="G6" s="24" t="s">
        <v>4450</v>
      </c>
      <c r="H6" s="34" t="str">
        <f>UnosPod!F10</f>
        <v>Dženetića čikma br.8</v>
      </c>
      <c r="I6" s="24" t="s">
        <v>2287</v>
      </c>
      <c r="J6" s="26">
        <f>UnosPod!AA10</f>
        <v>6</v>
      </c>
      <c r="K6" s="26">
        <f>UnosPod!AB10</f>
        <v>6</v>
      </c>
      <c r="L6" s="26">
        <f>UnosPod!AC10</f>
        <v>3</v>
      </c>
      <c r="M6" s="26">
        <f>UnosPod!AD10</f>
        <v>0</v>
      </c>
      <c r="N6" s="27"/>
      <c r="O6" s="27"/>
      <c r="P6" s="27"/>
      <c r="Q6" s="27"/>
      <c r="R6" s="27"/>
      <c r="S6" s="27"/>
      <c r="T6" s="27"/>
      <c r="U6" s="27"/>
      <c r="V6" s="27"/>
      <c r="W6" s="27"/>
      <c r="X6" s="27"/>
      <c r="Y6" s="27"/>
      <c r="Z6" s="11"/>
      <c r="AA6" s="2"/>
    </row>
    <row r="7" ht="14.25" spans="1:27">
      <c r="A7" s="29">
        <v>203</v>
      </c>
      <c r="B7" s="30">
        <f>B_Uspjeha!AI23</f>
        <v>0</v>
      </c>
      <c r="C7" s="31">
        <f>B_Uspjeha!AP23</f>
        <v>0</v>
      </c>
      <c r="D7" s="32"/>
      <c r="E7" s="33"/>
      <c r="F7" s="33"/>
      <c r="G7" s="24" t="s">
        <v>4452</v>
      </c>
      <c r="H7" s="34" t="str">
        <f>UnosPod!F11</f>
        <v>Sarajevo</v>
      </c>
      <c r="I7" s="24" t="s">
        <v>4453</v>
      </c>
      <c r="J7" s="26">
        <f>UnosPod!AA11</f>
        <v>1</v>
      </c>
      <c r="K7" s="26">
        <f>UnosPod!AB11</f>
        <v>0</v>
      </c>
      <c r="L7" s="26">
        <f>UnosPod!AC11</f>
        <v>9</v>
      </c>
      <c r="M7" s="27"/>
      <c r="N7" s="27"/>
      <c r="O7" s="27"/>
      <c r="P7" s="27"/>
      <c r="Q7" s="27"/>
      <c r="R7" s="27"/>
      <c r="S7" s="27"/>
      <c r="T7" s="27"/>
      <c r="U7" s="27"/>
      <c r="V7" s="27"/>
      <c r="W7" s="27"/>
      <c r="X7" s="27"/>
      <c r="Y7" s="27"/>
      <c r="Z7" s="11"/>
      <c r="AA7" s="2"/>
    </row>
    <row r="8" ht="14.25" spans="1:27">
      <c r="A8" s="29">
        <v>204</v>
      </c>
      <c r="B8" s="30">
        <f>B_Uspjeha!AI24</f>
        <v>0</v>
      </c>
      <c r="C8" s="31">
        <f>B_Uspjeha!AP24</f>
        <v>0</v>
      </c>
      <c r="D8" s="32"/>
      <c r="E8" s="33"/>
      <c r="F8" s="33"/>
      <c r="G8" s="24" t="s">
        <v>4454</v>
      </c>
      <c r="H8" s="34" t="str">
        <f>UnosPod!F12</f>
        <v>Nedim Šaćiragić</v>
      </c>
      <c r="I8" s="24" t="s">
        <v>4456</v>
      </c>
      <c r="J8" s="26">
        <f>UnosPod!AA12</f>
        <v>1</v>
      </c>
      <c r="K8" s="26">
        <f>UnosPod!AB12</f>
        <v>6</v>
      </c>
      <c r="L8" s="26">
        <f>UnosPod!AC12</f>
        <v>1</v>
      </c>
      <c r="M8" s="26">
        <f>UnosPod!AD12</f>
        <v>0</v>
      </c>
      <c r="N8" s="26">
        <f>UnosPod!AE12</f>
        <v>0</v>
      </c>
      <c r="O8" s="26">
        <f>UnosPod!AF12</f>
        <v>0</v>
      </c>
      <c r="P8" s="26">
        <f>UnosPod!AG12</f>
        <v>0</v>
      </c>
      <c r="Q8" s="26">
        <f>UnosPod!AH12</f>
        <v>1</v>
      </c>
      <c r="R8" s="26">
        <f>UnosPod!AI12</f>
        <v>8</v>
      </c>
      <c r="S8" s="26">
        <f>UnosPod!AJ12</f>
        <v>9</v>
      </c>
      <c r="T8" s="26">
        <f>UnosPod!AK12</f>
        <v>4</v>
      </c>
      <c r="U8" s="26">
        <f>UnosPod!AL12</f>
        <v>8</v>
      </c>
      <c r="V8" s="26">
        <f>UnosPod!AM12</f>
        <v>0</v>
      </c>
      <c r="W8" s="26">
        <f>UnosPod!AN12</f>
        <v>0</v>
      </c>
      <c r="X8" s="26">
        <f>UnosPod!AO12</f>
        <v>0</v>
      </c>
      <c r="Y8" s="26">
        <f>UnosPod!AP12</f>
        <v>5</v>
      </c>
      <c r="Z8" s="11"/>
      <c r="AA8" s="2"/>
    </row>
    <row r="9" ht="14.25" spans="1:27">
      <c r="A9" s="29">
        <v>205</v>
      </c>
      <c r="B9" s="30">
        <f>B_Uspjeha!AI25</f>
        <v>0</v>
      </c>
      <c r="C9" s="31">
        <f>B_Uspjeha!AP25</f>
        <v>0</v>
      </c>
      <c r="D9" s="32"/>
      <c r="E9" s="33"/>
      <c r="F9" s="33"/>
      <c r="G9" s="24" t="s">
        <v>8112</v>
      </c>
      <c r="H9" s="35" t="str">
        <f>UnosPod!F13</f>
        <v>Nedim Vilogorac</v>
      </c>
      <c r="I9" s="36" t="str">
        <f>UnosPod!AT13</f>
        <v>Muški</v>
      </c>
      <c r="J9" s="4"/>
      <c r="K9" s="4"/>
      <c r="L9" s="4"/>
      <c r="M9" s="4"/>
      <c r="N9" s="4"/>
      <c r="O9" s="4"/>
      <c r="P9" s="4"/>
      <c r="Q9" s="4"/>
      <c r="R9" s="4"/>
      <c r="S9" s="4"/>
      <c r="T9" s="4"/>
      <c r="U9" s="4"/>
      <c r="V9" s="4"/>
      <c r="W9" s="4"/>
      <c r="X9" s="4"/>
      <c r="Y9" s="4"/>
      <c r="Z9" s="11"/>
      <c r="AA9" s="2"/>
    </row>
    <row r="10" ht="14.25" spans="1:27">
      <c r="A10" s="29">
        <v>206</v>
      </c>
      <c r="B10" s="30">
        <f>B_Uspjeha!AI26</f>
        <v>245707</v>
      </c>
      <c r="C10" s="31">
        <f>B_Uspjeha!AP26</f>
        <v>308500</v>
      </c>
      <c r="D10" s="32"/>
      <c r="E10" s="33"/>
      <c r="F10" s="33"/>
      <c r="G10" s="24" t="s">
        <v>4459</v>
      </c>
      <c r="H10" s="34" t="str">
        <f>UnosPod!F14</f>
        <v>info@lilium_dzu.ba</v>
      </c>
      <c r="I10" s="4"/>
      <c r="J10" s="4"/>
      <c r="K10" s="4"/>
      <c r="L10" s="4"/>
      <c r="M10" s="4"/>
      <c r="N10" s="4"/>
      <c r="O10" s="4"/>
      <c r="P10" s="4"/>
      <c r="Q10" s="4"/>
      <c r="R10" s="4"/>
      <c r="S10" s="4"/>
      <c r="T10" s="4"/>
      <c r="U10" s="4"/>
      <c r="V10" s="4"/>
      <c r="W10" s="4"/>
      <c r="X10" s="4"/>
      <c r="Y10" s="4"/>
      <c r="Z10" s="11"/>
      <c r="AA10" s="2"/>
    </row>
    <row r="11" ht="14.25" spans="1:27">
      <c r="A11" s="29">
        <v>207</v>
      </c>
      <c r="B11" s="30">
        <f>B_Uspjeha!AI27</f>
        <v>0</v>
      </c>
      <c r="C11" s="31">
        <f>B_Uspjeha!AP27</f>
        <v>0</v>
      </c>
      <c r="D11" s="32"/>
      <c r="E11" s="33"/>
      <c r="F11" s="33"/>
      <c r="G11" s="24" t="s">
        <v>4461</v>
      </c>
      <c r="H11" s="34" t="str">
        <f>UnosPod!F15</f>
        <v>033/953-480</v>
      </c>
      <c r="I11" s="4"/>
      <c r="J11" s="4"/>
      <c r="K11" s="4"/>
      <c r="L11" s="4"/>
      <c r="M11" s="4"/>
      <c r="N11" s="4"/>
      <c r="O11" s="4"/>
      <c r="P11" s="4"/>
      <c r="Q11" s="4"/>
      <c r="R11" s="4"/>
      <c r="S11" s="4"/>
      <c r="T11" s="4"/>
      <c r="U11" s="4"/>
      <c r="V11" s="4"/>
      <c r="W11" s="4"/>
      <c r="X11" s="4"/>
      <c r="Y11" s="4"/>
      <c r="Z11" s="11"/>
      <c r="AA11" s="2"/>
    </row>
    <row r="12" ht="14.25" spans="1:27">
      <c r="A12" s="29">
        <v>208</v>
      </c>
      <c r="B12" s="30">
        <f>B_Uspjeha!AI28</f>
        <v>0</v>
      </c>
      <c r="C12" s="31">
        <f>B_Uspjeha!AP28</f>
        <v>0</v>
      </c>
      <c r="D12" s="32"/>
      <c r="E12" s="33"/>
      <c r="F12" s="33"/>
      <c r="G12" s="24" t="s">
        <v>4652</v>
      </c>
      <c r="H12" s="34" t="str">
        <f>UnosPod!F16</f>
        <v>www.lilium-dzu.ba</v>
      </c>
      <c r="I12" s="4"/>
      <c r="J12" s="4"/>
      <c r="K12" s="4"/>
      <c r="L12" s="4"/>
      <c r="M12" s="4"/>
      <c r="N12" s="4"/>
      <c r="O12" s="4"/>
      <c r="P12" s="4"/>
      <c r="Q12" s="4"/>
      <c r="R12" s="4"/>
      <c r="S12" s="4"/>
      <c r="T12" s="4"/>
      <c r="U12" s="4"/>
      <c r="V12" s="4"/>
      <c r="W12" s="4"/>
      <c r="X12" s="4"/>
      <c r="Y12" s="4"/>
      <c r="Z12" s="11"/>
      <c r="AA12" s="2"/>
    </row>
    <row r="13" ht="14.25" spans="1:27">
      <c r="A13" s="29">
        <v>209</v>
      </c>
      <c r="B13" s="30">
        <f>B_Uspjeha!AI29</f>
        <v>245707</v>
      </c>
      <c r="C13" s="31">
        <f>B_Uspjeha!AP29</f>
        <v>308500</v>
      </c>
      <c r="D13" s="32"/>
      <c r="E13" s="33"/>
      <c r="F13" s="33"/>
      <c r="G13" s="24" t="s">
        <v>8113</v>
      </c>
      <c r="H13" s="34" t="str">
        <f>UnosPod!AT8</f>
        <v>d.o.o.</v>
      </c>
      <c r="I13" s="4"/>
      <c r="J13" s="4"/>
      <c r="K13" s="4"/>
      <c r="L13" s="4"/>
      <c r="M13" s="4"/>
      <c r="N13" s="4"/>
      <c r="O13" s="4"/>
      <c r="P13" s="4"/>
      <c r="Q13" s="4"/>
      <c r="R13" s="4"/>
      <c r="S13" s="4"/>
      <c r="T13" s="4"/>
      <c r="U13" s="4"/>
      <c r="V13" s="4"/>
      <c r="W13" s="4"/>
      <c r="X13" s="4"/>
      <c r="Y13" s="4"/>
      <c r="Z13" s="11"/>
      <c r="AA13" s="2"/>
    </row>
    <row r="14" ht="14.25" spans="1:27">
      <c r="A14" s="29">
        <v>210</v>
      </c>
      <c r="B14" s="30">
        <f>B_Uspjeha!AI30</f>
        <v>0</v>
      </c>
      <c r="C14" s="31">
        <f>B_Uspjeha!AP30</f>
        <v>0</v>
      </c>
      <c r="D14" s="32"/>
      <c r="E14" s="33"/>
      <c r="F14" s="33"/>
      <c r="G14" s="24" t="s">
        <v>4654</v>
      </c>
      <c r="H14" s="34" t="str">
        <f>UnosPod!F17</f>
        <v>65-01-0233-08</v>
      </c>
      <c r="I14" s="4"/>
      <c r="J14" s="4"/>
      <c r="K14" s="4"/>
      <c r="L14" s="4"/>
      <c r="M14" s="4"/>
      <c r="N14" s="4"/>
      <c r="O14" s="4"/>
      <c r="P14" s="4"/>
      <c r="Q14" s="4"/>
      <c r="R14" s="4"/>
      <c r="S14" s="4"/>
      <c r="T14" s="4"/>
      <c r="U14" s="4"/>
      <c r="V14" s="4"/>
      <c r="W14" s="4"/>
      <c r="X14" s="4"/>
      <c r="Y14" s="4"/>
      <c r="Z14" s="11"/>
      <c r="AA14" s="2"/>
    </row>
    <row r="15" ht="14.25" spans="1:27">
      <c r="A15" s="29">
        <v>211</v>
      </c>
      <c r="B15" s="30">
        <f>B_Uspjeha!AI31</f>
        <v>0</v>
      </c>
      <c r="C15" s="31">
        <f>B_Uspjeha!AP31</f>
        <v>0</v>
      </c>
      <c r="D15" s="32"/>
      <c r="E15" s="33"/>
      <c r="F15" s="33"/>
      <c r="G15" s="24" t="s">
        <v>4469</v>
      </c>
      <c r="H15" s="34" t="str">
        <f>UnosPod!F18</f>
        <v>Sarajevo</v>
      </c>
      <c r="I15" s="4"/>
      <c r="J15" s="4"/>
      <c r="K15" s="4"/>
      <c r="L15" s="4"/>
      <c r="M15" s="4"/>
      <c r="N15" s="4"/>
      <c r="O15" s="4"/>
      <c r="P15" s="4"/>
      <c r="Q15" s="4"/>
      <c r="R15" s="4"/>
      <c r="S15" s="4"/>
      <c r="T15" s="4"/>
      <c r="U15" s="4"/>
      <c r="V15" s="4"/>
      <c r="W15" s="4"/>
      <c r="X15" s="4"/>
      <c r="Y15" s="4"/>
      <c r="Z15" s="11"/>
      <c r="AA15" s="2"/>
    </row>
    <row r="16" ht="14.25" spans="1:27">
      <c r="A16" s="29">
        <v>212</v>
      </c>
      <c r="B16" s="30">
        <f>B_Uspjeha!AI32</f>
        <v>0</v>
      </c>
      <c r="C16" s="31">
        <f>B_Uspjeha!AP32</f>
        <v>0</v>
      </c>
      <c r="D16" s="32"/>
      <c r="E16" s="33"/>
      <c r="F16" s="33"/>
      <c r="G16" s="24" t="s">
        <v>4470</v>
      </c>
      <c r="H16" s="34" t="str">
        <f>UnosPod!F19</f>
        <v>Sarajevo-Stari Grad</v>
      </c>
      <c r="I16" s="4"/>
      <c r="J16" s="4"/>
      <c r="K16" s="4"/>
      <c r="L16" s="4"/>
      <c r="M16" s="4"/>
      <c r="N16" s="4"/>
      <c r="O16" s="4"/>
      <c r="P16" s="4"/>
      <c r="Q16" s="4"/>
      <c r="R16" s="4"/>
      <c r="S16" s="4"/>
      <c r="T16" s="4"/>
      <c r="U16" s="4"/>
      <c r="V16" s="4"/>
      <c r="W16" s="4"/>
      <c r="X16" s="4"/>
      <c r="Y16" s="4"/>
      <c r="Z16" s="11"/>
      <c r="AA16" s="2"/>
    </row>
    <row r="17" ht="14.25" spans="1:27">
      <c r="A17" s="29">
        <v>213</v>
      </c>
      <c r="B17" s="30">
        <f>B_Uspjeha!AI33</f>
        <v>0</v>
      </c>
      <c r="C17" s="31">
        <f>B_Uspjeha!AP33</f>
        <v>0</v>
      </c>
      <c r="D17" s="32"/>
      <c r="E17" s="33"/>
      <c r="F17" s="33"/>
      <c r="G17" s="24" t="s">
        <v>4658</v>
      </c>
      <c r="H17" s="34">
        <f>UnosPod!F20</f>
        <v>1</v>
      </c>
      <c r="I17" s="4"/>
      <c r="J17" s="4"/>
      <c r="K17" s="4"/>
      <c r="L17" s="4"/>
      <c r="M17" s="4"/>
      <c r="N17" s="4"/>
      <c r="O17" s="4"/>
      <c r="P17" s="4"/>
      <c r="Q17" s="4"/>
      <c r="R17" s="4"/>
      <c r="S17" s="4"/>
      <c r="T17" s="4"/>
      <c r="U17" s="4"/>
      <c r="V17" s="4"/>
      <c r="W17" s="4"/>
      <c r="X17" s="4"/>
      <c r="Y17" s="4"/>
      <c r="Z17" s="11"/>
      <c r="AA17" s="2"/>
    </row>
    <row r="18" ht="14.25" spans="1:27">
      <c r="A18" s="29">
        <v>214</v>
      </c>
      <c r="B18" s="30">
        <f>B_Uspjeha!AI34</f>
        <v>2065</v>
      </c>
      <c r="C18" s="31">
        <f>B_Uspjeha!AP34</f>
        <v>76023</v>
      </c>
      <c r="D18" s="32"/>
      <c r="E18" s="33"/>
      <c r="F18" s="33"/>
      <c r="G18" s="4"/>
      <c r="H18" s="4"/>
      <c r="I18" s="4"/>
      <c r="J18" s="4"/>
      <c r="K18" s="4"/>
      <c r="L18" s="4"/>
      <c r="M18" s="4"/>
      <c r="N18" s="4"/>
      <c r="O18" s="4"/>
      <c r="P18" s="4"/>
      <c r="Q18" s="4"/>
      <c r="R18" s="4"/>
      <c r="S18" s="4"/>
      <c r="T18" s="4"/>
      <c r="U18" s="4"/>
      <c r="V18" s="4"/>
      <c r="W18" s="4"/>
      <c r="X18" s="4"/>
      <c r="Y18" s="4"/>
      <c r="Z18" s="11"/>
      <c r="AA18" s="2"/>
    </row>
    <row r="19" ht="14.25" spans="1:27">
      <c r="A19" s="29">
        <v>215</v>
      </c>
      <c r="B19" s="30">
        <f>B_Uspjeha!AI35</f>
        <v>0</v>
      </c>
      <c r="C19" s="31">
        <f>B_Uspjeha!AP35</f>
        <v>63891</v>
      </c>
      <c r="D19" s="32"/>
      <c r="E19" s="33"/>
      <c r="F19" s="33"/>
      <c r="G19" s="4"/>
      <c r="H19" s="4"/>
      <c r="I19" s="4"/>
      <c r="J19" s="4"/>
      <c r="K19" s="4"/>
      <c r="L19" s="4"/>
      <c r="M19" s="4"/>
      <c r="N19" s="4"/>
      <c r="O19" s="4"/>
      <c r="P19" s="4"/>
      <c r="Q19" s="4"/>
      <c r="R19" s="4"/>
      <c r="S19" s="4"/>
      <c r="T19" s="4"/>
      <c r="U19" s="4"/>
      <c r="V19" s="4"/>
      <c r="W19" s="4"/>
      <c r="X19" s="4"/>
      <c r="Y19" s="4"/>
      <c r="Z19" s="11"/>
      <c r="AA19" s="2"/>
    </row>
    <row r="20" ht="14.25" spans="1:27">
      <c r="A20" s="29">
        <v>216</v>
      </c>
      <c r="B20" s="30">
        <f>B_Uspjeha!AI36</f>
        <v>0</v>
      </c>
      <c r="C20" s="31">
        <f>B_Uspjeha!AP36</f>
        <v>0</v>
      </c>
      <c r="D20" s="32"/>
      <c r="E20" s="33"/>
      <c r="F20" s="33"/>
      <c r="G20" s="4"/>
      <c r="H20" s="4"/>
      <c r="I20" s="4"/>
      <c r="J20" s="4"/>
      <c r="K20" s="4"/>
      <c r="L20" s="4"/>
      <c r="M20" s="4"/>
      <c r="N20" s="4"/>
      <c r="O20" s="4"/>
      <c r="P20" s="4"/>
      <c r="Q20" s="4"/>
      <c r="R20" s="4"/>
      <c r="S20" s="4"/>
      <c r="T20" s="4"/>
      <c r="U20" s="4"/>
      <c r="V20" s="4"/>
      <c r="W20" s="4"/>
      <c r="X20" s="4"/>
      <c r="Y20" s="4"/>
      <c r="Z20" s="11"/>
      <c r="AA20" s="2"/>
    </row>
    <row r="21" spans="1:27">
      <c r="A21" s="29">
        <v>217</v>
      </c>
      <c r="B21" s="30">
        <f>B_Uspjeha!AI37</f>
        <v>0</v>
      </c>
      <c r="C21" s="31">
        <f>B_Uspjeha!AP37</f>
        <v>0</v>
      </c>
      <c r="D21" s="32"/>
      <c r="E21" s="33"/>
      <c r="F21" s="33"/>
      <c r="G21" s="4"/>
      <c r="H21" s="4"/>
      <c r="I21" s="4"/>
      <c r="J21" s="4"/>
      <c r="K21" s="4"/>
      <c r="L21" s="4"/>
      <c r="M21" s="4"/>
      <c r="N21" s="4"/>
      <c r="O21" s="4"/>
      <c r="P21" s="4"/>
      <c r="Q21" s="4"/>
      <c r="R21" s="4"/>
      <c r="S21" s="4"/>
      <c r="T21" s="4"/>
      <c r="U21" s="4"/>
      <c r="V21" s="4"/>
      <c r="W21" s="4"/>
      <c r="X21" s="4"/>
      <c r="Y21" s="4"/>
      <c r="Z21" s="37"/>
    </row>
    <row r="22" spans="1:27">
      <c r="A22" s="29">
        <v>218</v>
      </c>
      <c r="B22" s="30">
        <f>B_Uspjeha!AI38</f>
        <v>0</v>
      </c>
      <c r="C22" s="31">
        <f>B_Uspjeha!AP38</f>
        <v>0</v>
      </c>
      <c r="D22" s="32"/>
      <c r="E22" s="33"/>
      <c r="F22" s="33"/>
      <c r="G22" s="4"/>
      <c r="H22" s="4"/>
      <c r="I22" s="4"/>
      <c r="J22" s="4"/>
      <c r="K22" s="4"/>
      <c r="L22" s="4"/>
      <c r="M22" s="4"/>
      <c r="N22" s="4"/>
      <c r="O22" s="4"/>
      <c r="P22" s="4"/>
      <c r="Q22" s="4"/>
      <c r="R22" s="4"/>
      <c r="S22" s="4"/>
      <c r="T22" s="4"/>
      <c r="U22" s="4"/>
      <c r="V22" s="4"/>
      <c r="W22" s="4"/>
      <c r="X22" s="4"/>
      <c r="Y22" s="4"/>
      <c r="Z22" s="37"/>
    </row>
    <row r="23" spans="1:27">
      <c r="A23" s="29">
        <v>219</v>
      </c>
      <c r="B23" s="30">
        <f>B_Uspjeha!AI39</f>
        <v>0</v>
      </c>
      <c r="C23" s="31">
        <f>B_Uspjeha!AP39</f>
        <v>0</v>
      </c>
      <c r="D23" s="32"/>
      <c r="E23" s="33"/>
      <c r="F23" s="33"/>
      <c r="G23" s="4"/>
      <c r="H23" s="4"/>
      <c r="I23" s="4"/>
      <c r="J23" s="4"/>
      <c r="K23" s="4"/>
      <c r="L23" s="4"/>
      <c r="M23" s="4"/>
      <c r="N23" s="4"/>
      <c r="O23" s="4"/>
      <c r="P23" s="4"/>
      <c r="Q23" s="4"/>
      <c r="R23" s="4"/>
      <c r="S23" s="4"/>
      <c r="T23" s="4"/>
      <c r="U23" s="4"/>
      <c r="V23" s="4"/>
      <c r="W23" s="4"/>
      <c r="X23" s="4"/>
      <c r="Y23" s="4"/>
      <c r="Z23" s="37"/>
    </row>
    <row r="24" spans="1:27">
      <c r="A24" s="29">
        <v>220</v>
      </c>
      <c r="B24" s="30">
        <f>B_Uspjeha!AI44</f>
        <v>0</v>
      </c>
      <c r="C24" s="31">
        <f>B_Uspjeha!AP44</f>
        <v>0</v>
      </c>
      <c r="D24" s="32"/>
      <c r="E24" s="33"/>
      <c r="F24" s="33"/>
      <c r="G24" s="4"/>
      <c r="H24" s="4"/>
      <c r="I24" s="4"/>
      <c r="J24" s="4"/>
      <c r="K24" s="4"/>
      <c r="L24" s="4"/>
      <c r="M24" s="4"/>
      <c r="N24" s="4"/>
      <c r="O24" s="4"/>
      <c r="P24" s="4"/>
      <c r="Q24" s="4"/>
      <c r="R24" s="4"/>
      <c r="S24" s="4"/>
      <c r="T24" s="4"/>
      <c r="U24" s="4"/>
      <c r="V24" s="4"/>
      <c r="W24" s="4"/>
      <c r="X24" s="4"/>
      <c r="Y24" s="4"/>
      <c r="Z24" s="37"/>
    </row>
    <row r="25" spans="1:27">
      <c r="A25" s="29">
        <v>221</v>
      </c>
      <c r="B25" s="30">
        <f>B_Uspjeha!AI45</f>
        <v>0</v>
      </c>
      <c r="C25" s="31">
        <f>B_Uspjeha!AP45</f>
        <v>0</v>
      </c>
      <c r="D25" s="32"/>
      <c r="E25" s="33"/>
      <c r="F25" s="33"/>
      <c r="G25" s="4"/>
      <c r="H25" s="4"/>
      <c r="I25" s="4"/>
      <c r="J25" s="4"/>
      <c r="K25" s="4"/>
      <c r="L25" s="4"/>
      <c r="M25" s="4"/>
      <c r="N25" s="4"/>
      <c r="O25" s="4"/>
      <c r="P25" s="4"/>
      <c r="Q25" s="4"/>
      <c r="R25" s="4"/>
      <c r="S25" s="4"/>
      <c r="T25" s="4"/>
      <c r="U25" s="4"/>
      <c r="V25" s="4"/>
      <c r="W25" s="4"/>
      <c r="X25" s="4"/>
      <c r="Y25" s="4"/>
      <c r="Z25" s="37"/>
    </row>
    <row r="26" spans="1:27">
      <c r="A26" s="29">
        <v>222</v>
      </c>
      <c r="B26" s="30">
        <f>B_Uspjeha!AI46</f>
        <v>0</v>
      </c>
      <c r="C26" s="31">
        <f>B_Uspjeha!AP46</f>
        <v>0</v>
      </c>
      <c r="D26" s="32"/>
      <c r="E26" s="33"/>
      <c r="F26" s="33"/>
      <c r="G26" s="4"/>
      <c r="H26" s="4"/>
      <c r="I26" s="4"/>
      <c r="J26" s="4"/>
      <c r="K26" s="4"/>
      <c r="L26" s="4"/>
      <c r="M26" s="4"/>
      <c r="N26" s="4"/>
      <c r="O26" s="4"/>
      <c r="P26" s="4"/>
      <c r="Q26" s="4"/>
      <c r="R26" s="4"/>
      <c r="S26" s="4"/>
      <c r="T26" s="4"/>
      <c r="U26" s="4"/>
      <c r="V26" s="4"/>
      <c r="W26" s="4"/>
      <c r="X26" s="4"/>
      <c r="Y26" s="4"/>
      <c r="Z26" s="37"/>
    </row>
    <row r="27" spans="1:27">
      <c r="A27" s="29">
        <v>223</v>
      </c>
      <c r="B27" s="30">
        <f>B_Uspjeha!AI47</f>
        <v>0</v>
      </c>
      <c r="C27" s="31">
        <f>B_Uspjeha!AP47</f>
        <v>0</v>
      </c>
      <c r="D27" s="32"/>
      <c r="E27" s="33"/>
      <c r="F27" s="33"/>
      <c r="G27" s="4"/>
      <c r="H27" s="4"/>
      <c r="I27" s="4"/>
      <c r="J27" s="4"/>
      <c r="K27" s="4"/>
      <c r="L27" s="4"/>
      <c r="M27" s="4"/>
      <c r="N27" s="4"/>
      <c r="O27" s="4"/>
      <c r="P27" s="4"/>
      <c r="Q27" s="4"/>
      <c r="R27" s="4"/>
      <c r="S27" s="4"/>
      <c r="T27" s="4"/>
      <c r="U27" s="4"/>
      <c r="V27" s="4"/>
      <c r="W27" s="4"/>
      <c r="X27" s="4"/>
      <c r="Y27" s="4"/>
      <c r="Z27" s="37"/>
    </row>
    <row r="28" spans="1:27">
      <c r="A28" s="29">
        <v>224</v>
      </c>
      <c r="B28" s="30">
        <f>B_Uspjeha!AI48</f>
        <v>0</v>
      </c>
      <c r="C28" s="31">
        <f>B_Uspjeha!AP48</f>
        <v>63891</v>
      </c>
      <c r="D28" s="32"/>
      <c r="E28" s="33"/>
      <c r="F28" s="33"/>
      <c r="G28" s="4"/>
      <c r="H28" s="4"/>
      <c r="I28" s="4"/>
      <c r="J28" s="4"/>
      <c r="K28" s="4"/>
      <c r="L28" s="4"/>
      <c r="M28" s="4"/>
      <c r="N28" s="4"/>
      <c r="O28" s="4"/>
      <c r="P28" s="4"/>
      <c r="Q28" s="4"/>
      <c r="R28" s="4"/>
      <c r="S28" s="4"/>
      <c r="T28" s="4"/>
      <c r="U28" s="4"/>
      <c r="V28" s="4"/>
      <c r="W28" s="4"/>
      <c r="X28" s="4"/>
      <c r="Y28" s="4"/>
      <c r="Z28" s="37"/>
    </row>
    <row r="29" spans="1:27">
      <c r="A29" s="29">
        <v>225</v>
      </c>
      <c r="B29" s="30">
        <f>B_Uspjeha!AI49</f>
        <v>0</v>
      </c>
      <c r="C29" s="31">
        <f>B_Uspjeha!AP49</f>
        <v>0</v>
      </c>
      <c r="D29" s="32"/>
      <c r="E29" s="33"/>
      <c r="F29" s="33"/>
      <c r="G29" s="4"/>
      <c r="H29" s="4"/>
      <c r="I29" s="4"/>
      <c r="J29" s="4"/>
      <c r="K29" s="4"/>
      <c r="L29" s="4"/>
      <c r="M29" s="4"/>
      <c r="N29" s="4"/>
      <c r="O29" s="4"/>
      <c r="P29" s="4"/>
      <c r="Q29" s="4"/>
      <c r="R29" s="4"/>
      <c r="S29" s="4"/>
      <c r="T29" s="4"/>
      <c r="U29" s="4"/>
      <c r="V29" s="4"/>
      <c r="W29" s="4"/>
      <c r="X29" s="4"/>
      <c r="Y29" s="4"/>
      <c r="Z29" s="37"/>
    </row>
    <row r="30" spans="1:27">
      <c r="A30" s="29">
        <v>226</v>
      </c>
      <c r="B30" s="30">
        <f>B_Uspjeha!AI50</f>
        <v>0</v>
      </c>
      <c r="C30" s="31">
        <f>B_Uspjeha!AP50</f>
        <v>0</v>
      </c>
      <c r="D30" s="32"/>
      <c r="E30" s="33"/>
      <c r="F30" s="33"/>
      <c r="G30" s="4"/>
      <c r="H30" s="4"/>
      <c r="I30" s="4"/>
      <c r="J30" s="4"/>
      <c r="K30" s="4"/>
      <c r="L30" s="4"/>
      <c r="M30" s="4"/>
      <c r="N30" s="4"/>
      <c r="O30" s="4"/>
      <c r="P30" s="4"/>
      <c r="Q30" s="4"/>
      <c r="R30" s="4"/>
      <c r="S30" s="4"/>
      <c r="T30" s="4"/>
      <c r="U30" s="4"/>
      <c r="V30" s="4"/>
      <c r="W30" s="4"/>
      <c r="X30" s="4"/>
      <c r="Y30" s="4"/>
      <c r="Z30" s="37"/>
    </row>
    <row r="31" spans="1:27">
      <c r="A31" s="29">
        <v>227</v>
      </c>
      <c r="B31" s="30">
        <f>B_Uspjeha!AI51</f>
        <v>0</v>
      </c>
      <c r="C31" s="31">
        <f>B_Uspjeha!AP51</f>
        <v>0</v>
      </c>
      <c r="D31" s="32"/>
      <c r="E31" s="33"/>
      <c r="F31" s="33"/>
      <c r="G31" s="4"/>
      <c r="H31" s="4"/>
      <c r="I31" s="4"/>
      <c r="J31" s="4"/>
      <c r="K31" s="4"/>
      <c r="L31" s="4"/>
      <c r="M31" s="4"/>
      <c r="N31" s="4"/>
      <c r="O31" s="4"/>
      <c r="P31" s="4"/>
      <c r="Q31" s="4"/>
      <c r="R31" s="4"/>
      <c r="S31" s="4"/>
      <c r="T31" s="4"/>
      <c r="U31" s="4"/>
      <c r="V31" s="4"/>
      <c r="W31" s="4"/>
      <c r="X31" s="4"/>
      <c r="Y31" s="4"/>
      <c r="Z31" s="37"/>
    </row>
    <row r="32" spans="1:27">
      <c r="A32" s="29">
        <v>228</v>
      </c>
      <c r="B32" s="30">
        <f>B_Uspjeha!AI52</f>
        <v>0</v>
      </c>
      <c r="C32" s="31">
        <f>B_Uspjeha!AP52</f>
        <v>0</v>
      </c>
      <c r="D32" s="32"/>
      <c r="E32" s="33"/>
      <c r="F32" s="33"/>
      <c r="G32" s="4"/>
      <c r="H32" s="4"/>
      <c r="I32" s="4"/>
      <c r="J32" s="4"/>
      <c r="K32" s="4"/>
      <c r="L32" s="4"/>
      <c r="M32" s="4"/>
      <c r="N32" s="4"/>
      <c r="O32" s="4"/>
      <c r="P32" s="4"/>
      <c r="Q32" s="4"/>
      <c r="R32" s="4"/>
      <c r="S32" s="4"/>
      <c r="T32" s="4"/>
      <c r="U32" s="4"/>
      <c r="V32" s="4"/>
      <c r="W32" s="4"/>
      <c r="X32" s="4"/>
      <c r="Y32" s="4"/>
      <c r="Z32" s="37"/>
    </row>
    <row r="33" spans="1:26">
      <c r="A33" s="29">
        <v>229</v>
      </c>
      <c r="B33" s="30">
        <f>B_Uspjeha!AI53</f>
        <v>0</v>
      </c>
      <c r="C33" s="31">
        <f>B_Uspjeha!AP53</f>
        <v>0</v>
      </c>
      <c r="D33" s="32"/>
      <c r="E33" s="33"/>
      <c r="F33" s="33"/>
      <c r="G33" s="38"/>
      <c r="H33" s="4"/>
      <c r="I33" s="4"/>
      <c r="J33" s="4"/>
      <c r="K33" s="4"/>
      <c r="L33" s="4"/>
      <c r="M33" s="4"/>
      <c r="N33" s="4"/>
      <c r="O33" s="4"/>
      <c r="P33" s="4"/>
      <c r="Q33" s="4"/>
      <c r="R33" s="4"/>
      <c r="S33" s="4"/>
      <c r="T33" s="4"/>
      <c r="U33" s="4"/>
      <c r="V33" s="4"/>
      <c r="W33" s="4"/>
      <c r="X33" s="4"/>
      <c r="Y33" s="4"/>
      <c r="Z33" s="37"/>
    </row>
    <row r="34" spans="1:26">
      <c r="A34" s="29">
        <v>230</v>
      </c>
      <c r="B34" s="30">
        <f>B_Uspjeha!AI54</f>
        <v>0</v>
      </c>
      <c r="C34" s="31">
        <f>B_Uspjeha!AP54</f>
        <v>0</v>
      </c>
      <c r="D34" s="32"/>
      <c r="E34" s="33"/>
      <c r="F34" s="33"/>
      <c r="G34" s="4"/>
      <c r="H34" s="4"/>
      <c r="I34" s="4"/>
      <c r="J34" s="4"/>
      <c r="K34" s="4"/>
      <c r="L34" s="4"/>
      <c r="M34" s="4"/>
      <c r="N34" s="4"/>
      <c r="O34" s="4"/>
      <c r="P34" s="4"/>
      <c r="Q34" s="4"/>
      <c r="R34" s="4"/>
      <c r="S34" s="4"/>
      <c r="T34" s="4"/>
      <c r="U34" s="4"/>
      <c r="V34" s="4"/>
      <c r="W34" s="4"/>
      <c r="X34" s="4"/>
      <c r="Y34" s="4"/>
      <c r="Z34" s="37"/>
    </row>
    <row r="35" spans="1:26">
      <c r="A35" s="29">
        <v>231</v>
      </c>
      <c r="B35" s="30">
        <f>B_Uspjeha!AI55</f>
        <v>0</v>
      </c>
      <c r="C35" s="31">
        <f>B_Uspjeha!AP55</f>
        <v>0</v>
      </c>
      <c r="D35" s="32"/>
      <c r="E35" s="33"/>
      <c r="F35" s="33"/>
      <c r="G35" s="4"/>
      <c r="H35" s="4"/>
      <c r="I35" s="4"/>
      <c r="J35" s="4"/>
      <c r="K35" s="4"/>
      <c r="L35" s="4"/>
      <c r="M35" s="4"/>
      <c r="N35" s="4"/>
      <c r="O35" s="4"/>
      <c r="P35" s="4"/>
      <c r="Q35" s="4"/>
      <c r="R35" s="4"/>
      <c r="S35" s="4"/>
      <c r="T35" s="4"/>
      <c r="U35" s="4"/>
      <c r="V35" s="4"/>
      <c r="W35" s="4"/>
      <c r="X35" s="4"/>
      <c r="Y35" s="4"/>
      <c r="Z35" s="37"/>
    </row>
    <row r="36" spans="1:26">
      <c r="A36" s="29">
        <v>232</v>
      </c>
      <c r="B36" s="30">
        <f>B_Uspjeha!AI56</f>
        <v>0</v>
      </c>
      <c r="C36" s="31">
        <f>B_Uspjeha!AP56</f>
        <v>0</v>
      </c>
      <c r="D36" s="32"/>
      <c r="E36" s="33"/>
      <c r="F36" s="33"/>
      <c r="G36" s="4"/>
      <c r="H36" s="4"/>
      <c r="I36" s="4"/>
      <c r="J36" s="4"/>
      <c r="K36" s="4"/>
      <c r="L36" s="4"/>
      <c r="M36" s="4"/>
      <c r="N36" s="4"/>
      <c r="O36" s="4"/>
      <c r="P36" s="4"/>
      <c r="Q36" s="4"/>
      <c r="R36" s="4"/>
      <c r="S36" s="4"/>
      <c r="T36" s="4"/>
      <c r="U36" s="4"/>
      <c r="V36" s="4"/>
      <c r="W36" s="4"/>
      <c r="X36" s="4"/>
      <c r="Y36" s="4"/>
      <c r="Z36" s="37"/>
    </row>
    <row r="37" spans="1:26">
      <c r="A37" s="29">
        <v>233</v>
      </c>
      <c r="B37" s="30">
        <f>B_Uspjeha!AI57</f>
        <v>0</v>
      </c>
      <c r="C37" s="31">
        <f>B_Uspjeha!AP57</f>
        <v>0</v>
      </c>
      <c r="D37" s="32"/>
      <c r="E37" s="33"/>
      <c r="F37" s="33"/>
      <c r="G37" s="4"/>
      <c r="H37" s="4"/>
      <c r="I37" s="4"/>
      <c r="J37" s="4"/>
      <c r="K37" s="4"/>
      <c r="L37" s="4"/>
      <c r="M37" s="4"/>
      <c r="N37" s="4"/>
      <c r="O37" s="4"/>
      <c r="P37" s="4"/>
      <c r="Q37" s="4"/>
      <c r="R37" s="4"/>
      <c r="S37" s="4"/>
      <c r="T37" s="4"/>
      <c r="U37" s="4"/>
      <c r="V37" s="4"/>
      <c r="W37" s="4"/>
      <c r="X37" s="4"/>
      <c r="Y37" s="4"/>
      <c r="Z37" s="37"/>
    </row>
    <row r="38" spans="1:26">
      <c r="A38" s="29">
        <v>234</v>
      </c>
      <c r="B38" s="30">
        <f>B_Uspjeha!AI58</f>
        <v>0</v>
      </c>
      <c r="C38" s="31">
        <f>B_Uspjeha!AP58</f>
        <v>0</v>
      </c>
      <c r="D38" s="32"/>
      <c r="E38" s="33"/>
      <c r="F38" s="33"/>
      <c r="G38" s="4"/>
      <c r="H38" s="4"/>
      <c r="I38" s="4"/>
      <c r="J38" s="4"/>
      <c r="K38" s="4"/>
      <c r="L38" s="4"/>
      <c r="M38" s="4"/>
      <c r="N38" s="4"/>
      <c r="O38" s="4"/>
      <c r="P38" s="4"/>
      <c r="Q38" s="4"/>
      <c r="R38" s="4"/>
      <c r="S38" s="4"/>
      <c r="T38" s="4"/>
      <c r="U38" s="4"/>
      <c r="V38" s="4"/>
      <c r="W38" s="4"/>
      <c r="X38" s="4"/>
      <c r="Y38" s="4"/>
      <c r="Z38" s="37"/>
    </row>
    <row r="39" spans="1:26">
      <c r="A39" s="29">
        <v>235</v>
      </c>
      <c r="B39" s="30">
        <f>B_Uspjeha!AI59</f>
        <v>0</v>
      </c>
      <c r="C39" s="31">
        <f>B_Uspjeha!AP59</f>
        <v>0</v>
      </c>
      <c r="D39" s="32"/>
      <c r="E39" s="33"/>
      <c r="F39" s="33"/>
      <c r="G39" s="4"/>
      <c r="H39" s="4"/>
      <c r="I39" s="4"/>
      <c r="J39" s="4"/>
      <c r="K39" s="4"/>
      <c r="L39" s="4"/>
      <c r="M39" s="4"/>
      <c r="N39" s="4"/>
      <c r="O39" s="4"/>
      <c r="P39" s="4"/>
      <c r="Q39" s="4"/>
      <c r="R39" s="4"/>
      <c r="S39" s="4"/>
      <c r="T39" s="4"/>
      <c r="U39" s="4"/>
      <c r="V39" s="4"/>
      <c r="W39" s="4"/>
      <c r="X39" s="4"/>
      <c r="Y39" s="4"/>
      <c r="Z39" s="37"/>
    </row>
    <row r="40" spans="1:26">
      <c r="A40" s="29">
        <v>236</v>
      </c>
      <c r="B40" s="30">
        <f>B_Uspjeha!AI60</f>
        <v>0</v>
      </c>
      <c r="C40" s="39">
        <f>B_Uspjeha!AP60</f>
        <v>0</v>
      </c>
      <c r="D40" s="4"/>
      <c r="E40" s="4"/>
      <c r="F40" s="4"/>
      <c r="G40" s="4"/>
      <c r="H40" s="4"/>
      <c r="I40" s="4"/>
      <c r="J40" s="4"/>
      <c r="K40" s="4"/>
      <c r="L40" s="4"/>
      <c r="M40" s="4"/>
      <c r="N40" s="4"/>
      <c r="O40" s="4"/>
      <c r="P40" s="4"/>
      <c r="Q40" s="4"/>
      <c r="R40" s="4"/>
      <c r="S40" s="4"/>
      <c r="T40" s="4"/>
      <c r="U40" s="4"/>
      <c r="V40" s="4"/>
      <c r="W40" s="4"/>
      <c r="X40" s="4"/>
      <c r="Y40" s="4"/>
      <c r="Z40" s="37"/>
    </row>
    <row r="41" spans="1:26">
      <c r="A41" s="29">
        <v>237</v>
      </c>
      <c r="B41" s="30">
        <f>B_Uspjeha!AI61</f>
        <v>0</v>
      </c>
      <c r="C41" s="39">
        <f>B_Uspjeha!AP61</f>
        <v>0</v>
      </c>
      <c r="D41" s="4"/>
      <c r="E41" s="4"/>
      <c r="F41" s="4"/>
      <c r="G41" s="4"/>
      <c r="H41" s="4"/>
      <c r="I41" s="4"/>
      <c r="J41" s="4"/>
      <c r="K41" s="4"/>
      <c r="L41" s="4"/>
      <c r="M41" s="4"/>
      <c r="N41" s="4"/>
      <c r="O41" s="4"/>
      <c r="P41" s="4"/>
      <c r="Q41" s="4"/>
      <c r="R41" s="4"/>
      <c r="S41" s="4"/>
      <c r="T41" s="4"/>
      <c r="U41" s="4"/>
      <c r="V41" s="4"/>
      <c r="W41" s="4"/>
      <c r="X41" s="4"/>
      <c r="Y41" s="4"/>
      <c r="Z41" s="37"/>
    </row>
    <row r="42" spans="1:26">
      <c r="A42" s="29">
        <v>238</v>
      </c>
      <c r="B42" s="30">
        <f>B_Uspjeha!AI62</f>
        <v>0</v>
      </c>
      <c r="C42" s="39">
        <f>B_Uspjeha!AP62</f>
        <v>0</v>
      </c>
      <c r="D42" s="4"/>
      <c r="E42" s="4"/>
      <c r="F42" s="4"/>
      <c r="G42" s="4"/>
      <c r="H42" s="4"/>
      <c r="I42" s="4"/>
      <c r="J42" s="4"/>
      <c r="K42" s="4"/>
      <c r="L42" s="4"/>
      <c r="M42" s="4"/>
      <c r="N42" s="4"/>
      <c r="O42" s="4"/>
      <c r="P42" s="4"/>
      <c r="Q42" s="4"/>
      <c r="R42" s="4"/>
      <c r="S42" s="4"/>
      <c r="T42" s="4"/>
      <c r="U42" s="4"/>
      <c r="V42" s="4"/>
      <c r="W42" s="4"/>
      <c r="X42" s="4"/>
      <c r="Y42" s="4"/>
      <c r="Z42" s="37"/>
    </row>
    <row r="43" spans="1:26">
      <c r="A43" s="29">
        <v>239</v>
      </c>
      <c r="B43" s="30">
        <f>B_Uspjeha!AI63</f>
        <v>0</v>
      </c>
      <c r="C43" s="39">
        <f>B_Uspjeha!AP63</f>
        <v>0</v>
      </c>
      <c r="D43" s="4"/>
      <c r="E43" s="4"/>
      <c r="F43" s="4"/>
      <c r="G43" s="4"/>
      <c r="H43" s="4"/>
      <c r="I43" s="4"/>
      <c r="J43" s="4"/>
      <c r="K43" s="4"/>
      <c r="L43" s="4"/>
      <c r="M43" s="4"/>
      <c r="N43" s="4"/>
      <c r="O43" s="4"/>
      <c r="P43" s="4"/>
      <c r="Q43" s="4"/>
      <c r="R43" s="4"/>
      <c r="S43" s="4"/>
      <c r="T43" s="4"/>
      <c r="U43" s="4"/>
      <c r="V43" s="4"/>
      <c r="W43" s="4"/>
      <c r="X43" s="4"/>
      <c r="Y43" s="4"/>
      <c r="Z43" s="37"/>
    </row>
    <row r="44" spans="1:26">
      <c r="A44" s="29">
        <v>240</v>
      </c>
      <c r="B44" s="30">
        <f>B_Uspjeha!AI64</f>
        <v>0</v>
      </c>
      <c r="C44" s="39">
        <f>B_Uspjeha!AP64</f>
        <v>0</v>
      </c>
      <c r="D44" s="4"/>
      <c r="E44" s="4"/>
      <c r="F44" s="4"/>
      <c r="G44" s="4"/>
      <c r="H44" s="4"/>
      <c r="I44" s="4"/>
      <c r="J44" s="4"/>
      <c r="K44" s="4"/>
      <c r="L44" s="4"/>
      <c r="M44" s="4"/>
      <c r="N44" s="4"/>
      <c r="O44" s="4"/>
      <c r="P44" s="4"/>
      <c r="Q44" s="4"/>
      <c r="R44" s="4"/>
      <c r="S44" s="4"/>
      <c r="T44" s="4"/>
      <c r="U44" s="4"/>
      <c r="V44" s="4"/>
      <c r="W44" s="4"/>
      <c r="X44" s="4"/>
      <c r="Y44" s="4"/>
      <c r="Z44" s="37"/>
    </row>
    <row r="45" spans="1:26">
      <c r="A45" s="29">
        <v>241</v>
      </c>
      <c r="B45" s="30">
        <f>B_Uspjeha!AI65</f>
        <v>0</v>
      </c>
      <c r="C45" s="39">
        <f>B_Uspjeha!AP65</f>
        <v>0</v>
      </c>
      <c r="D45" s="4"/>
      <c r="E45" s="4"/>
      <c r="F45" s="4"/>
      <c r="G45" s="4"/>
      <c r="H45" s="4"/>
      <c r="I45" s="4"/>
      <c r="J45" s="4"/>
      <c r="K45" s="4"/>
      <c r="L45" s="4"/>
      <c r="M45" s="4"/>
      <c r="N45" s="4"/>
      <c r="O45" s="4"/>
      <c r="P45" s="4"/>
      <c r="Q45" s="4"/>
      <c r="R45" s="4"/>
      <c r="S45" s="4"/>
      <c r="T45" s="4"/>
      <c r="U45" s="4"/>
      <c r="V45" s="4"/>
      <c r="W45" s="4"/>
      <c r="X45" s="4"/>
      <c r="Y45" s="4"/>
      <c r="Z45" s="37"/>
    </row>
    <row r="46" spans="1:26">
      <c r="A46" s="29">
        <v>242</v>
      </c>
      <c r="B46" s="30">
        <f>B_Uspjeha!AI66</f>
        <v>0</v>
      </c>
      <c r="C46" s="39">
        <f>B_Uspjeha!AP66</f>
        <v>0</v>
      </c>
      <c r="D46" s="4"/>
      <c r="E46" s="4"/>
      <c r="F46" s="4"/>
      <c r="G46" s="4"/>
      <c r="H46" s="4"/>
      <c r="I46" s="4"/>
      <c r="J46" s="4"/>
      <c r="K46" s="4"/>
      <c r="L46" s="4"/>
      <c r="M46" s="4"/>
      <c r="N46" s="4"/>
      <c r="O46" s="4"/>
      <c r="P46" s="4"/>
      <c r="Q46" s="4"/>
      <c r="R46" s="4"/>
      <c r="S46" s="4"/>
      <c r="T46" s="4"/>
      <c r="U46" s="4"/>
      <c r="V46" s="4"/>
      <c r="W46" s="4"/>
      <c r="X46" s="4"/>
      <c r="Y46" s="4"/>
      <c r="Z46" s="37"/>
    </row>
    <row r="47" spans="1:26">
      <c r="A47" s="29">
        <v>243</v>
      </c>
      <c r="B47" s="30">
        <f>B_Uspjeha!AI67</f>
        <v>0</v>
      </c>
      <c r="C47" s="39">
        <f>B_Uspjeha!AP67</f>
        <v>0</v>
      </c>
      <c r="D47" s="4"/>
      <c r="E47" s="4"/>
      <c r="F47" s="4"/>
      <c r="G47" s="4"/>
      <c r="H47" s="4"/>
      <c r="I47" s="4"/>
      <c r="J47" s="4"/>
      <c r="K47" s="4"/>
      <c r="L47" s="4"/>
      <c r="M47" s="4"/>
      <c r="N47" s="4"/>
      <c r="O47" s="4"/>
      <c r="P47" s="4"/>
      <c r="Q47" s="4"/>
      <c r="R47" s="4"/>
      <c r="S47" s="4"/>
      <c r="T47" s="4"/>
      <c r="U47" s="4"/>
      <c r="V47" s="4"/>
      <c r="W47" s="4"/>
      <c r="X47" s="4"/>
      <c r="Y47" s="4"/>
      <c r="Z47" s="37"/>
    </row>
    <row r="48" spans="1:26">
      <c r="A48" s="29">
        <v>244</v>
      </c>
      <c r="B48" s="30">
        <f>B_Uspjeha!AI68</f>
        <v>0</v>
      </c>
      <c r="C48" s="39">
        <f>B_Uspjeha!AP68</f>
        <v>0</v>
      </c>
      <c r="D48" s="4"/>
      <c r="E48" s="4"/>
      <c r="F48" s="4"/>
      <c r="G48" s="4"/>
      <c r="H48" s="4"/>
      <c r="I48" s="4"/>
      <c r="J48" s="4"/>
      <c r="K48" s="4"/>
      <c r="L48" s="4"/>
      <c r="M48" s="4"/>
      <c r="N48" s="4"/>
      <c r="O48" s="4"/>
      <c r="P48" s="4"/>
      <c r="Q48" s="4"/>
      <c r="R48" s="4"/>
      <c r="S48" s="4"/>
      <c r="T48" s="4"/>
      <c r="U48" s="4"/>
      <c r="V48" s="4"/>
      <c r="W48" s="4"/>
      <c r="X48" s="4"/>
      <c r="Y48" s="4"/>
      <c r="Z48" s="37"/>
    </row>
    <row r="49" spans="1:26">
      <c r="A49" s="29">
        <v>245</v>
      </c>
      <c r="B49" s="30">
        <f>B_Uspjeha!AI69</f>
        <v>0</v>
      </c>
      <c r="C49" s="39">
        <f>B_Uspjeha!AP69</f>
        <v>0</v>
      </c>
      <c r="D49" s="4"/>
      <c r="E49" s="4"/>
      <c r="F49" s="4"/>
      <c r="G49" s="4"/>
      <c r="H49" s="4"/>
      <c r="I49" s="4"/>
      <c r="J49" s="4"/>
      <c r="K49" s="4"/>
      <c r="L49" s="4"/>
      <c r="M49" s="4"/>
      <c r="N49" s="4"/>
      <c r="O49" s="4"/>
      <c r="P49" s="4"/>
      <c r="Q49" s="4"/>
      <c r="R49" s="4"/>
      <c r="S49" s="4"/>
      <c r="T49" s="4"/>
      <c r="U49" s="4"/>
      <c r="V49" s="4"/>
      <c r="W49" s="4"/>
      <c r="X49" s="4"/>
      <c r="Y49" s="4"/>
      <c r="Z49" s="37"/>
    </row>
    <row r="50" spans="1:26">
      <c r="A50" s="29">
        <v>246</v>
      </c>
      <c r="B50" s="30">
        <f>B_Uspjeha!AI70</f>
        <v>0</v>
      </c>
      <c r="C50" s="39">
        <f>B_Uspjeha!AP70</f>
        <v>0</v>
      </c>
      <c r="D50" s="4"/>
      <c r="E50" s="4"/>
      <c r="F50" s="4"/>
      <c r="G50" s="4"/>
      <c r="H50" s="4"/>
      <c r="I50" s="4"/>
      <c r="J50" s="4"/>
      <c r="K50" s="4"/>
      <c r="L50" s="4"/>
      <c r="M50" s="4"/>
      <c r="N50" s="4"/>
      <c r="O50" s="4"/>
      <c r="P50" s="4"/>
      <c r="Q50" s="4"/>
      <c r="R50" s="4"/>
      <c r="S50" s="4"/>
      <c r="T50" s="4"/>
      <c r="U50" s="4"/>
      <c r="V50" s="4"/>
      <c r="W50" s="4"/>
      <c r="X50" s="4"/>
      <c r="Y50" s="4"/>
      <c r="Z50" s="37"/>
    </row>
    <row r="51" spans="1:26">
      <c r="A51" s="29">
        <v>247</v>
      </c>
      <c r="B51" s="30">
        <f>B_Uspjeha!AI71</f>
        <v>1319</v>
      </c>
      <c r="C51" s="39">
        <f>B_Uspjeha!AP71</f>
        <v>3942</v>
      </c>
      <c r="D51" s="4"/>
      <c r="E51" s="4"/>
      <c r="F51" s="4"/>
      <c r="G51" s="4"/>
      <c r="H51" s="4"/>
      <c r="I51" s="4"/>
      <c r="J51" s="4"/>
      <c r="K51" s="4"/>
      <c r="L51" s="4"/>
      <c r="M51" s="4"/>
      <c r="N51" s="4"/>
      <c r="O51" s="4"/>
      <c r="P51" s="4"/>
      <c r="Q51" s="4"/>
      <c r="R51" s="4"/>
      <c r="S51" s="4"/>
      <c r="T51" s="4"/>
      <c r="U51" s="4"/>
      <c r="V51" s="4"/>
      <c r="W51" s="4"/>
      <c r="X51" s="4"/>
      <c r="Y51" s="4"/>
      <c r="Z51" s="37"/>
    </row>
    <row r="52" spans="1:26">
      <c r="A52" s="29">
        <v>248</v>
      </c>
      <c r="B52" s="30">
        <f>B_Uspjeha!AI72</f>
        <v>1319</v>
      </c>
      <c r="C52" s="39">
        <f>B_Uspjeha!AP72</f>
        <v>3942</v>
      </c>
      <c r="D52" s="4"/>
      <c r="E52" s="4"/>
      <c r="F52" s="4"/>
      <c r="G52" s="4"/>
      <c r="H52" s="4"/>
      <c r="I52" s="4"/>
      <c r="J52" s="4"/>
      <c r="K52" s="4"/>
      <c r="L52" s="4"/>
      <c r="M52" s="4"/>
      <c r="N52" s="4"/>
      <c r="O52" s="4"/>
      <c r="P52" s="4"/>
      <c r="Q52" s="4"/>
      <c r="R52" s="4"/>
      <c r="S52" s="4"/>
      <c r="T52" s="4"/>
      <c r="U52" s="4"/>
      <c r="V52" s="4"/>
      <c r="W52" s="4"/>
      <c r="X52" s="4"/>
      <c r="Y52" s="4"/>
      <c r="Z52" s="37"/>
    </row>
    <row r="53" spans="1:26">
      <c r="A53" s="29">
        <v>249</v>
      </c>
      <c r="B53" s="30">
        <f>B_Uspjeha!AI73</f>
        <v>0</v>
      </c>
      <c r="C53" s="39">
        <f>B_Uspjeha!AP73</f>
        <v>0</v>
      </c>
      <c r="D53" s="4"/>
      <c r="E53" s="4"/>
      <c r="F53" s="4"/>
      <c r="G53" s="4"/>
      <c r="H53" s="4"/>
      <c r="I53" s="4"/>
      <c r="J53" s="4"/>
      <c r="K53" s="4"/>
      <c r="L53" s="4"/>
      <c r="M53" s="4"/>
      <c r="N53" s="4"/>
      <c r="O53" s="4"/>
      <c r="P53" s="4"/>
      <c r="Q53" s="4"/>
      <c r="R53" s="4"/>
      <c r="S53" s="4"/>
      <c r="T53" s="4"/>
      <c r="U53" s="4"/>
      <c r="V53" s="4"/>
      <c r="W53" s="4"/>
      <c r="X53" s="4"/>
      <c r="Y53" s="4"/>
      <c r="Z53" s="37"/>
    </row>
    <row r="54" spans="1:26">
      <c r="A54" s="29">
        <v>250</v>
      </c>
      <c r="B54" s="30">
        <f>B_Uspjeha!AI74</f>
        <v>0</v>
      </c>
      <c r="C54" s="39">
        <f>B_Uspjeha!AP74</f>
        <v>0</v>
      </c>
      <c r="D54" s="4"/>
      <c r="E54" s="4"/>
      <c r="F54" s="4"/>
      <c r="G54" s="4"/>
      <c r="H54" s="4"/>
      <c r="I54" s="4"/>
      <c r="J54" s="4"/>
      <c r="K54" s="4"/>
      <c r="L54" s="4"/>
      <c r="M54" s="4"/>
      <c r="N54" s="4"/>
      <c r="O54" s="4"/>
      <c r="P54" s="4"/>
      <c r="Q54" s="4"/>
      <c r="R54" s="4"/>
      <c r="S54" s="4"/>
      <c r="T54" s="4"/>
      <c r="U54" s="4"/>
      <c r="V54" s="4"/>
      <c r="W54" s="4"/>
      <c r="X54" s="4"/>
      <c r="Y54" s="4"/>
      <c r="Z54" s="37"/>
    </row>
    <row r="55" spans="1:26">
      <c r="A55" s="29">
        <v>251</v>
      </c>
      <c r="B55" s="30">
        <f>B_Uspjeha!AI75</f>
        <v>746</v>
      </c>
      <c r="C55" s="39">
        <f>B_Uspjeha!AP75</f>
        <v>8190</v>
      </c>
      <c r="D55" s="4"/>
      <c r="E55" s="4"/>
      <c r="F55" s="4"/>
      <c r="G55" s="4"/>
      <c r="H55" s="4"/>
      <c r="I55" s="4"/>
      <c r="J55" s="4"/>
      <c r="K55" s="4"/>
      <c r="L55" s="4"/>
      <c r="M55" s="4"/>
      <c r="N55" s="4"/>
      <c r="O55" s="4"/>
      <c r="P55" s="4"/>
      <c r="Q55" s="4"/>
      <c r="R55" s="4"/>
      <c r="S55" s="4"/>
      <c r="T55" s="4"/>
      <c r="U55" s="4"/>
      <c r="V55" s="4"/>
      <c r="W55" s="4"/>
      <c r="X55" s="4"/>
      <c r="Y55" s="4"/>
      <c r="Z55" s="37"/>
    </row>
    <row r="56" spans="1:26">
      <c r="A56" s="29">
        <v>252</v>
      </c>
      <c r="B56" s="30">
        <f>B_Uspjeha!AI76</f>
        <v>247772</v>
      </c>
      <c r="C56" s="39">
        <f>B_Uspjeha!AP76</f>
        <v>384523</v>
      </c>
      <c r="D56" s="4"/>
      <c r="E56" s="4"/>
      <c r="F56" s="4"/>
      <c r="G56" s="4"/>
      <c r="H56" s="4"/>
      <c r="I56" s="4"/>
      <c r="J56" s="4"/>
      <c r="K56" s="4"/>
      <c r="L56" s="4"/>
      <c r="M56" s="4"/>
      <c r="N56" s="4"/>
      <c r="O56" s="4"/>
      <c r="P56" s="4"/>
      <c r="Q56" s="4"/>
      <c r="R56" s="4"/>
      <c r="S56" s="4"/>
      <c r="T56" s="4"/>
      <c r="U56" s="4"/>
      <c r="V56" s="4"/>
      <c r="W56" s="4"/>
      <c r="X56" s="4"/>
      <c r="Y56" s="4"/>
      <c r="Z56" s="37"/>
    </row>
    <row r="57" spans="1:26">
      <c r="A57" s="29">
        <v>253</v>
      </c>
      <c r="B57" s="30">
        <f>B_Uspjeha!AI80</f>
        <v>292171</v>
      </c>
      <c r="C57" s="39">
        <f>B_Uspjeha!AP80</f>
        <v>282807</v>
      </c>
      <c r="D57" s="4"/>
      <c r="E57" s="4"/>
      <c r="F57" s="4"/>
      <c r="G57" s="4"/>
      <c r="H57" s="4"/>
      <c r="I57" s="4"/>
      <c r="J57" s="4"/>
      <c r="K57" s="4"/>
      <c r="L57" s="4"/>
      <c r="M57" s="4"/>
      <c r="N57" s="4"/>
      <c r="O57" s="4"/>
      <c r="P57" s="4"/>
      <c r="Q57" s="4"/>
      <c r="R57" s="4"/>
      <c r="S57" s="4"/>
      <c r="T57" s="4"/>
      <c r="U57" s="4"/>
      <c r="V57" s="4"/>
      <c r="W57" s="4"/>
      <c r="X57" s="4"/>
      <c r="Y57" s="4"/>
      <c r="Z57" s="37"/>
    </row>
    <row r="58" spans="1:26">
      <c r="A58" s="29">
        <v>254</v>
      </c>
      <c r="B58" s="30">
        <f>B_Uspjeha!AI81</f>
        <v>0</v>
      </c>
      <c r="C58" s="39">
        <f>B_Uspjeha!AP81</f>
        <v>0</v>
      </c>
      <c r="D58" s="4"/>
      <c r="E58" s="4"/>
      <c r="F58" s="4"/>
      <c r="G58" s="4"/>
      <c r="H58" s="4"/>
      <c r="I58" s="4"/>
      <c r="J58" s="4"/>
      <c r="K58" s="4"/>
      <c r="L58" s="4"/>
      <c r="M58" s="4"/>
      <c r="N58" s="4"/>
      <c r="O58" s="4"/>
      <c r="P58" s="4"/>
      <c r="Q58" s="4"/>
      <c r="R58" s="4"/>
      <c r="S58" s="4"/>
      <c r="T58" s="4"/>
      <c r="U58" s="4"/>
      <c r="V58" s="4"/>
      <c r="W58" s="4"/>
      <c r="X58" s="4"/>
      <c r="Y58" s="4"/>
      <c r="Z58" s="37"/>
    </row>
    <row r="59" spans="1:26">
      <c r="A59" s="29">
        <v>255</v>
      </c>
      <c r="B59" s="30">
        <f>B_Uspjeha!AI82</f>
        <v>0</v>
      </c>
      <c r="C59" s="39">
        <f>B_Uspjeha!AP82</f>
        <v>0</v>
      </c>
      <c r="D59" s="4"/>
      <c r="E59" s="4"/>
      <c r="F59" s="4"/>
      <c r="G59" s="4"/>
      <c r="H59" s="4"/>
      <c r="I59" s="4"/>
      <c r="J59" s="4"/>
      <c r="K59" s="4"/>
      <c r="L59" s="4"/>
      <c r="M59" s="4"/>
      <c r="N59" s="4"/>
      <c r="O59" s="4"/>
      <c r="P59" s="4"/>
      <c r="Q59" s="4"/>
      <c r="R59" s="4"/>
      <c r="S59" s="4"/>
      <c r="T59" s="4"/>
      <c r="U59" s="4"/>
      <c r="V59" s="4"/>
      <c r="W59" s="4"/>
      <c r="X59" s="4"/>
      <c r="Y59" s="4"/>
      <c r="Z59" s="37"/>
    </row>
    <row r="60" spans="1:26">
      <c r="A60" s="29">
        <v>256</v>
      </c>
      <c r="B60" s="30">
        <f>B_Uspjeha!AI83</f>
        <v>804</v>
      </c>
      <c r="C60" s="39">
        <f>B_Uspjeha!AP83</f>
        <v>563</v>
      </c>
      <c r="D60" s="4"/>
      <c r="E60" s="4"/>
      <c r="F60" s="4"/>
      <c r="G60" s="4"/>
      <c r="H60" s="4"/>
      <c r="I60" s="4"/>
      <c r="J60" s="4"/>
      <c r="K60" s="4"/>
      <c r="L60" s="4"/>
      <c r="M60" s="4"/>
      <c r="N60" s="4"/>
      <c r="O60" s="4"/>
      <c r="P60" s="4"/>
      <c r="Q60" s="4"/>
      <c r="R60" s="4"/>
      <c r="S60" s="4"/>
      <c r="T60" s="4"/>
      <c r="U60" s="4"/>
      <c r="V60" s="4"/>
      <c r="W60" s="4"/>
      <c r="X60" s="4"/>
      <c r="Y60" s="4"/>
      <c r="Z60" s="37"/>
    </row>
    <row r="61" spans="1:26">
      <c r="A61" s="29">
        <v>257</v>
      </c>
      <c r="B61" s="30">
        <f>B_Uspjeha!AI84</f>
        <v>7591</v>
      </c>
      <c r="C61" s="39">
        <f>B_Uspjeha!AP84</f>
        <v>9093</v>
      </c>
      <c r="D61" s="4"/>
      <c r="E61" s="4"/>
      <c r="F61" s="4"/>
      <c r="G61" s="4"/>
      <c r="H61" s="4"/>
      <c r="I61" s="4"/>
      <c r="J61" s="4"/>
      <c r="K61" s="4"/>
      <c r="L61" s="4"/>
      <c r="M61" s="4"/>
      <c r="N61" s="4"/>
      <c r="O61" s="4"/>
      <c r="P61" s="4"/>
      <c r="Q61" s="4"/>
      <c r="R61" s="4"/>
      <c r="S61" s="4"/>
      <c r="T61" s="4"/>
      <c r="U61" s="4"/>
      <c r="V61" s="4"/>
      <c r="W61" s="4"/>
      <c r="X61" s="4"/>
      <c r="Y61" s="4"/>
      <c r="Z61" s="37"/>
    </row>
    <row r="62" spans="1:26">
      <c r="A62" s="29">
        <v>258</v>
      </c>
      <c r="B62" s="30">
        <f>B_Uspjeha!AI85</f>
        <v>206367</v>
      </c>
      <c r="C62" s="39">
        <f>B_Uspjeha!AP85</f>
        <v>197520</v>
      </c>
      <c r="D62" s="4"/>
      <c r="E62" s="4"/>
      <c r="F62" s="4"/>
      <c r="G62" s="4"/>
      <c r="H62" s="4"/>
      <c r="I62" s="4"/>
      <c r="J62" s="4"/>
      <c r="K62" s="4"/>
      <c r="L62" s="4"/>
      <c r="M62" s="4"/>
      <c r="N62" s="4"/>
      <c r="O62" s="4"/>
      <c r="P62" s="4"/>
      <c r="Q62" s="4"/>
      <c r="R62" s="4"/>
      <c r="S62" s="4"/>
      <c r="T62" s="4"/>
      <c r="U62" s="4"/>
      <c r="V62" s="4"/>
      <c r="W62" s="4"/>
      <c r="X62" s="4"/>
      <c r="Y62" s="4"/>
      <c r="Z62" s="37"/>
    </row>
    <row r="63" spans="1:26">
      <c r="A63" s="29">
        <v>259</v>
      </c>
      <c r="B63" s="30">
        <f>B_Uspjeha!AI86</f>
        <v>163147</v>
      </c>
      <c r="C63" s="39">
        <f>B_Uspjeha!AP86</f>
        <v>153411</v>
      </c>
      <c r="D63" s="4"/>
      <c r="E63" s="4"/>
      <c r="F63" s="4"/>
      <c r="G63" s="4"/>
      <c r="H63" s="4"/>
      <c r="I63" s="4"/>
      <c r="J63" s="4"/>
      <c r="K63" s="4"/>
      <c r="L63" s="4"/>
      <c r="M63" s="4"/>
      <c r="N63" s="4"/>
      <c r="O63" s="4"/>
      <c r="P63" s="4"/>
      <c r="Q63" s="4"/>
      <c r="R63" s="4"/>
      <c r="S63" s="4"/>
      <c r="T63" s="4"/>
      <c r="U63" s="4"/>
      <c r="V63" s="4"/>
      <c r="W63" s="4"/>
      <c r="X63" s="4"/>
      <c r="Y63" s="4"/>
      <c r="Z63" s="37"/>
    </row>
    <row r="64" spans="1:26">
      <c r="A64" s="29">
        <v>260</v>
      </c>
      <c r="B64" s="30">
        <f>B_Uspjeha!AI87</f>
        <v>36454</v>
      </c>
      <c r="C64" s="39">
        <f>B_Uspjeha!AP87</f>
        <v>31914</v>
      </c>
      <c r="D64" s="4"/>
      <c r="E64" s="4"/>
      <c r="F64" s="4"/>
      <c r="G64" s="4"/>
      <c r="H64" s="4"/>
      <c r="I64" s="4"/>
      <c r="J64" s="4"/>
      <c r="K64" s="4"/>
      <c r="L64" s="4"/>
      <c r="M64" s="4"/>
      <c r="N64" s="4"/>
      <c r="O64" s="4"/>
      <c r="P64" s="4"/>
      <c r="Q64" s="4"/>
      <c r="R64" s="4"/>
      <c r="S64" s="4"/>
      <c r="T64" s="4"/>
      <c r="U64" s="4"/>
      <c r="V64" s="4"/>
      <c r="W64" s="4"/>
      <c r="X64" s="4"/>
      <c r="Y64" s="4"/>
      <c r="Z64" s="37"/>
    </row>
    <row r="65" spans="1:26">
      <c r="A65" s="29">
        <v>261</v>
      </c>
      <c r="B65" s="30">
        <f>B_Uspjeha!AI88</f>
        <v>6766</v>
      </c>
      <c r="C65" s="39">
        <f>B_Uspjeha!AP88</f>
        <v>12195</v>
      </c>
      <c r="D65" s="4"/>
      <c r="E65" s="4"/>
      <c r="F65" s="4"/>
      <c r="G65" s="4"/>
      <c r="H65" s="4"/>
      <c r="I65" s="4"/>
      <c r="J65" s="4"/>
      <c r="K65" s="4"/>
      <c r="L65" s="4"/>
      <c r="M65" s="4"/>
      <c r="N65" s="4"/>
      <c r="O65" s="4"/>
      <c r="P65" s="4"/>
      <c r="Q65" s="4"/>
      <c r="R65" s="4"/>
      <c r="S65" s="4"/>
      <c r="T65" s="4"/>
      <c r="U65" s="4"/>
      <c r="V65" s="4"/>
      <c r="W65" s="4"/>
      <c r="X65" s="4"/>
      <c r="Y65" s="4"/>
      <c r="Z65" s="37"/>
    </row>
    <row r="66" spans="1:26">
      <c r="A66" s="29">
        <v>262</v>
      </c>
      <c r="B66" s="30">
        <f>B_Uspjeha!AI89</f>
        <v>4549</v>
      </c>
      <c r="C66" s="39">
        <f>B_Uspjeha!AP89</f>
        <v>5172</v>
      </c>
      <c r="D66" s="4"/>
      <c r="E66" s="4"/>
      <c r="F66" s="4"/>
      <c r="G66" s="4"/>
      <c r="H66" s="4"/>
      <c r="I66" s="4"/>
      <c r="J66" s="4"/>
      <c r="K66" s="4"/>
      <c r="L66" s="4"/>
      <c r="M66" s="4"/>
      <c r="N66" s="4"/>
      <c r="O66" s="4"/>
      <c r="P66" s="4"/>
      <c r="Q66" s="4"/>
      <c r="R66" s="4"/>
      <c r="S66" s="4"/>
      <c r="T66" s="4"/>
      <c r="U66" s="4"/>
      <c r="V66" s="4"/>
      <c r="W66" s="4"/>
      <c r="X66" s="4"/>
      <c r="Y66" s="4"/>
      <c r="Z66" s="37"/>
    </row>
    <row r="67" spans="1:26">
      <c r="A67" s="29">
        <v>263</v>
      </c>
      <c r="B67" s="30">
        <f>B_Uspjeha!AI90</f>
        <v>0</v>
      </c>
      <c r="C67" s="39">
        <f>B_Uspjeha!AP90</f>
        <v>5172</v>
      </c>
      <c r="D67" s="4"/>
      <c r="E67" s="4"/>
      <c r="F67" s="4"/>
      <c r="G67" s="4"/>
      <c r="H67" s="4"/>
      <c r="I67" s="4"/>
      <c r="J67" s="4"/>
      <c r="K67" s="4"/>
      <c r="L67" s="4"/>
      <c r="M67" s="4"/>
      <c r="N67" s="4"/>
      <c r="O67" s="4"/>
      <c r="P67" s="4"/>
      <c r="Q67" s="4"/>
      <c r="R67" s="4"/>
      <c r="S67" s="4"/>
      <c r="T67" s="4"/>
      <c r="U67" s="4"/>
      <c r="V67" s="4"/>
      <c r="W67" s="4"/>
      <c r="X67" s="4"/>
      <c r="Y67" s="4"/>
      <c r="Z67" s="37"/>
    </row>
    <row r="68" spans="1:26">
      <c r="A68" s="29">
        <v>264</v>
      </c>
      <c r="B68" s="30">
        <f>B_Uspjeha!AI91</f>
        <v>0</v>
      </c>
      <c r="C68" s="39">
        <f>B_Uspjeha!AP91</f>
        <v>0</v>
      </c>
      <c r="D68" s="4"/>
      <c r="E68" s="4"/>
      <c r="F68" s="4"/>
      <c r="G68" s="4"/>
      <c r="H68" s="4"/>
      <c r="I68" s="4"/>
      <c r="J68" s="4"/>
      <c r="K68" s="4"/>
      <c r="L68" s="4"/>
      <c r="M68" s="4"/>
      <c r="N68" s="4"/>
      <c r="O68" s="4"/>
      <c r="P68" s="4"/>
      <c r="Q68" s="4"/>
      <c r="R68" s="4"/>
      <c r="S68" s="4"/>
      <c r="T68" s="4"/>
      <c r="U68" s="4"/>
      <c r="V68" s="4"/>
      <c r="W68" s="4"/>
      <c r="X68" s="4"/>
      <c r="Y68" s="4"/>
      <c r="Z68" s="37"/>
    </row>
    <row r="69" spans="1:26">
      <c r="A69" s="29">
        <v>265</v>
      </c>
      <c r="B69" s="30">
        <f>B_Uspjeha!AI92</f>
        <v>4549</v>
      </c>
      <c r="C69" s="39">
        <f>B_Uspjeha!AP92</f>
        <v>0</v>
      </c>
      <c r="D69" s="4"/>
      <c r="E69" s="4"/>
      <c r="F69" s="4"/>
      <c r="G69" s="4"/>
      <c r="H69" s="4"/>
      <c r="I69" s="4"/>
      <c r="J69" s="4"/>
      <c r="K69" s="4"/>
      <c r="L69" s="4"/>
      <c r="M69" s="4"/>
      <c r="N69" s="4"/>
      <c r="O69" s="4"/>
      <c r="P69" s="4"/>
      <c r="Q69" s="4"/>
      <c r="R69" s="4"/>
      <c r="S69" s="4"/>
      <c r="T69" s="4"/>
      <c r="U69" s="4"/>
      <c r="V69" s="4"/>
      <c r="W69" s="4"/>
      <c r="X69" s="4"/>
      <c r="Y69" s="4"/>
      <c r="Z69" s="37"/>
    </row>
    <row r="70" spans="1:26">
      <c r="A70" s="29">
        <v>266</v>
      </c>
      <c r="B70" s="30">
        <f>B_Uspjeha!AI93</f>
        <v>0</v>
      </c>
      <c r="C70" s="39">
        <f>B_Uspjeha!AP93</f>
        <v>0</v>
      </c>
      <c r="D70" s="4"/>
      <c r="E70" s="4"/>
      <c r="F70" s="4"/>
      <c r="G70" s="4"/>
      <c r="H70" s="4"/>
      <c r="I70" s="4"/>
      <c r="J70" s="4"/>
      <c r="K70" s="4"/>
      <c r="L70" s="4"/>
      <c r="M70" s="4"/>
      <c r="N70" s="4"/>
      <c r="O70" s="4"/>
      <c r="P70" s="4"/>
      <c r="Q70" s="4"/>
      <c r="R70" s="4"/>
      <c r="S70" s="4"/>
      <c r="T70" s="4"/>
      <c r="U70" s="4"/>
      <c r="V70" s="4"/>
      <c r="W70" s="4"/>
      <c r="X70" s="4"/>
      <c r="Y70" s="4"/>
      <c r="Z70" s="37"/>
    </row>
    <row r="71" spans="1:26">
      <c r="A71" s="29">
        <v>267</v>
      </c>
      <c r="B71" s="30">
        <f>B_Uspjeha!AI94</f>
        <v>0</v>
      </c>
      <c r="C71" s="39">
        <f>B_Uspjeha!AP94</f>
        <v>0</v>
      </c>
      <c r="D71" s="4"/>
      <c r="E71" s="4"/>
      <c r="F71" s="4"/>
      <c r="G71" s="4"/>
      <c r="H71" s="4"/>
      <c r="I71" s="4"/>
      <c r="J71" s="4"/>
      <c r="K71" s="4"/>
      <c r="L71" s="4"/>
      <c r="M71" s="4"/>
      <c r="N71" s="4"/>
      <c r="O71" s="4"/>
      <c r="P71" s="4"/>
      <c r="Q71" s="4"/>
      <c r="R71" s="4"/>
      <c r="S71" s="4"/>
      <c r="T71" s="4"/>
      <c r="U71" s="4"/>
      <c r="V71" s="4"/>
      <c r="W71" s="4"/>
      <c r="X71" s="4"/>
      <c r="Y71" s="4"/>
      <c r="Z71" s="37"/>
    </row>
    <row r="72" spans="1:26">
      <c r="A72" s="29">
        <v>268</v>
      </c>
      <c r="B72" s="30">
        <f>B_Uspjeha!AI95</f>
        <v>0</v>
      </c>
      <c r="C72" s="39">
        <f>B_Uspjeha!AP95</f>
        <v>0</v>
      </c>
      <c r="D72" s="4"/>
      <c r="E72" s="4"/>
      <c r="F72" s="4"/>
      <c r="G72" s="4"/>
      <c r="H72" s="4"/>
      <c r="I72" s="4"/>
      <c r="J72" s="4"/>
      <c r="K72" s="4"/>
      <c r="L72" s="4"/>
      <c r="M72" s="4"/>
      <c r="N72" s="4"/>
      <c r="O72" s="4"/>
      <c r="P72" s="4"/>
      <c r="Q72" s="4"/>
      <c r="R72" s="4"/>
      <c r="S72" s="4"/>
      <c r="T72" s="4"/>
      <c r="U72" s="4"/>
      <c r="V72" s="4"/>
      <c r="W72" s="4"/>
      <c r="X72" s="4"/>
      <c r="Y72" s="4"/>
      <c r="Z72" s="37"/>
    </row>
    <row r="73" spans="1:26">
      <c r="A73" s="29">
        <v>269</v>
      </c>
      <c r="B73" s="30">
        <f>B_Uspjeha!AI96</f>
        <v>31427</v>
      </c>
      <c r="C73" s="39">
        <f>B_Uspjeha!AP96</f>
        <v>51263</v>
      </c>
      <c r="D73" s="4"/>
      <c r="E73" s="4"/>
      <c r="F73" s="4"/>
      <c r="G73" s="4"/>
      <c r="H73" s="4"/>
      <c r="I73" s="4"/>
      <c r="J73" s="4"/>
      <c r="K73" s="4"/>
      <c r="L73" s="4"/>
      <c r="M73" s="4"/>
      <c r="N73" s="4"/>
      <c r="O73" s="4"/>
      <c r="P73" s="4"/>
      <c r="Q73" s="4"/>
      <c r="R73" s="4"/>
      <c r="S73" s="4"/>
      <c r="T73" s="4"/>
      <c r="U73" s="4"/>
      <c r="V73" s="4"/>
      <c r="W73" s="4"/>
      <c r="X73" s="4"/>
      <c r="Y73" s="4"/>
      <c r="Z73" s="37"/>
    </row>
    <row r="74" spans="1:26">
      <c r="A74" s="29">
        <v>270</v>
      </c>
      <c r="B74" s="30">
        <f>B_Uspjeha!AI97</f>
        <v>41433</v>
      </c>
      <c r="C74" s="39">
        <f>B_Uspjeha!AP97</f>
        <v>19196</v>
      </c>
      <c r="D74" s="4"/>
      <c r="E74" s="4"/>
      <c r="F74" s="4"/>
      <c r="G74" s="4"/>
      <c r="H74" s="4"/>
      <c r="I74" s="4"/>
      <c r="J74" s="4"/>
      <c r="K74" s="4"/>
      <c r="L74" s="4"/>
      <c r="M74" s="4"/>
      <c r="N74" s="4"/>
      <c r="O74" s="4"/>
      <c r="P74" s="4"/>
      <c r="Q74" s="4"/>
      <c r="R74" s="4"/>
      <c r="S74" s="4"/>
      <c r="T74" s="4"/>
      <c r="U74" s="4"/>
      <c r="V74" s="4"/>
      <c r="W74" s="4"/>
      <c r="X74" s="4"/>
      <c r="Y74" s="4"/>
      <c r="Z74" s="37"/>
    </row>
    <row r="75" spans="1:26">
      <c r="A75" s="29">
        <v>271</v>
      </c>
      <c r="B75" s="30">
        <f>B_Uspjeha!AI98</f>
        <v>14798</v>
      </c>
      <c r="C75" s="39">
        <f>B_Uspjeha!AP98</f>
        <v>2474</v>
      </c>
      <c r="D75" s="4"/>
      <c r="E75" s="4"/>
      <c r="F75" s="4"/>
      <c r="G75" s="4"/>
      <c r="H75" s="4"/>
      <c r="I75" s="4"/>
      <c r="J75" s="4"/>
      <c r="K75" s="4"/>
      <c r="L75" s="4"/>
      <c r="M75" s="4"/>
      <c r="N75" s="4"/>
      <c r="O75" s="4"/>
      <c r="P75" s="4"/>
      <c r="Q75" s="4"/>
      <c r="R75" s="4"/>
      <c r="S75" s="4"/>
      <c r="T75" s="4"/>
      <c r="U75" s="4"/>
      <c r="V75" s="4"/>
      <c r="W75" s="4"/>
      <c r="X75" s="4"/>
      <c r="Y75" s="4"/>
      <c r="Z75" s="37"/>
    </row>
    <row r="76" spans="1:26">
      <c r="A76" s="29">
        <v>272</v>
      </c>
      <c r="B76" s="30">
        <f>B_Uspjeha!AI99</f>
        <v>0</v>
      </c>
      <c r="C76" s="39">
        <f>B_Uspjeha!AP99</f>
        <v>0</v>
      </c>
      <c r="D76" s="4"/>
      <c r="E76" s="4"/>
      <c r="F76" s="4"/>
      <c r="G76" s="4"/>
      <c r="H76" s="4"/>
      <c r="I76" s="4"/>
      <c r="J76" s="4"/>
      <c r="K76" s="4"/>
      <c r="L76" s="4"/>
      <c r="M76" s="4"/>
      <c r="N76" s="4"/>
      <c r="O76" s="4"/>
      <c r="P76" s="4"/>
      <c r="Q76" s="4"/>
      <c r="R76" s="4"/>
      <c r="S76" s="4"/>
      <c r="T76" s="4"/>
      <c r="U76" s="4"/>
      <c r="V76" s="4"/>
      <c r="W76" s="4"/>
      <c r="X76" s="4"/>
      <c r="Y76" s="4"/>
      <c r="Z76" s="37"/>
    </row>
    <row r="77" spans="1:26">
      <c r="A77" s="29">
        <v>273</v>
      </c>
      <c r="B77" s="30">
        <f>B_Uspjeha!AI100</f>
        <v>0</v>
      </c>
      <c r="C77" s="39">
        <f>B_Uspjeha!AP100</f>
        <v>0</v>
      </c>
      <c r="D77" s="4"/>
      <c r="E77" s="4"/>
      <c r="F77" s="4"/>
      <c r="G77" s="4"/>
      <c r="H77" s="4"/>
      <c r="I77" s="4"/>
      <c r="J77" s="4"/>
      <c r="K77" s="4"/>
      <c r="L77" s="4"/>
      <c r="M77" s="4"/>
      <c r="N77" s="4"/>
      <c r="O77" s="4"/>
      <c r="P77" s="4"/>
      <c r="Q77" s="4"/>
      <c r="R77" s="4"/>
      <c r="S77" s="4"/>
      <c r="T77" s="4"/>
      <c r="U77" s="4"/>
      <c r="V77" s="4"/>
      <c r="W77" s="4"/>
      <c r="X77" s="4"/>
      <c r="Y77" s="4"/>
      <c r="Z77" s="37"/>
    </row>
    <row r="78" spans="1:26">
      <c r="A78" s="29">
        <v>274</v>
      </c>
      <c r="B78" s="30">
        <f>B_Uspjeha!AI101</f>
        <v>0</v>
      </c>
      <c r="C78" s="39">
        <f>B_Uspjeha!AP101</f>
        <v>0</v>
      </c>
      <c r="D78" s="4"/>
      <c r="E78" s="4"/>
      <c r="F78" s="4"/>
      <c r="G78" s="4"/>
      <c r="H78" s="4"/>
      <c r="I78" s="4"/>
      <c r="J78" s="4"/>
      <c r="K78" s="4"/>
      <c r="L78" s="4"/>
      <c r="M78" s="4"/>
      <c r="N78" s="4"/>
      <c r="O78" s="4"/>
      <c r="P78" s="4"/>
      <c r="Q78" s="4"/>
      <c r="R78" s="4"/>
      <c r="S78" s="4"/>
      <c r="T78" s="4"/>
      <c r="U78" s="4"/>
      <c r="V78" s="4"/>
      <c r="W78" s="4"/>
      <c r="X78" s="4"/>
      <c r="Y78" s="4"/>
      <c r="Z78" s="37"/>
    </row>
    <row r="79" spans="1:26">
      <c r="A79" s="29">
        <v>275</v>
      </c>
      <c r="B79" s="30">
        <f>B_Uspjeha!AI102</f>
        <v>0</v>
      </c>
      <c r="C79" s="39">
        <f>B_Uspjeha!AP102</f>
        <v>0</v>
      </c>
      <c r="D79" s="4"/>
      <c r="E79" s="4"/>
      <c r="F79" s="4"/>
      <c r="G79" s="4"/>
      <c r="H79" s="4"/>
      <c r="I79" s="4"/>
      <c r="J79" s="4"/>
      <c r="K79" s="4"/>
      <c r="L79" s="4"/>
      <c r="M79" s="4"/>
      <c r="N79" s="4"/>
      <c r="O79" s="4"/>
      <c r="P79" s="4"/>
      <c r="Q79" s="4"/>
      <c r="R79" s="4"/>
      <c r="S79" s="4"/>
      <c r="T79" s="4"/>
      <c r="U79" s="4"/>
      <c r="V79" s="4"/>
      <c r="W79" s="4"/>
      <c r="X79" s="4"/>
      <c r="Y79" s="4"/>
      <c r="Z79" s="37"/>
    </row>
    <row r="80" spans="1:26">
      <c r="A80" s="29">
        <v>276</v>
      </c>
      <c r="B80" s="30">
        <f>B_Uspjeha!AI103</f>
        <v>0</v>
      </c>
      <c r="C80" s="39">
        <f>B_Uspjeha!AP103</f>
        <v>0</v>
      </c>
      <c r="D80" s="4"/>
      <c r="E80" s="4"/>
      <c r="F80" s="4"/>
      <c r="G80" s="4"/>
      <c r="H80" s="4"/>
      <c r="I80" s="4"/>
      <c r="J80" s="4"/>
      <c r="K80" s="4"/>
      <c r="L80" s="4"/>
      <c r="M80" s="4"/>
      <c r="N80" s="4"/>
      <c r="O80" s="4"/>
      <c r="P80" s="4"/>
      <c r="Q80" s="4"/>
      <c r="R80" s="4"/>
      <c r="S80" s="4"/>
      <c r="T80" s="4"/>
      <c r="U80" s="4"/>
      <c r="V80" s="4"/>
      <c r="W80" s="4"/>
      <c r="X80" s="4"/>
      <c r="Y80" s="4"/>
      <c r="Z80" s="37"/>
    </row>
    <row r="81" spans="1:26">
      <c r="A81" s="29">
        <v>277</v>
      </c>
      <c r="B81" s="30">
        <f>B_Uspjeha!AI104</f>
        <v>0</v>
      </c>
      <c r="C81" s="39">
        <f>B_Uspjeha!AP104</f>
        <v>0</v>
      </c>
      <c r="D81" s="4"/>
      <c r="E81" s="4"/>
      <c r="F81" s="4"/>
      <c r="G81" s="4"/>
      <c r="H81" s="4"/>
      <c r="I81" s="4"/>
      <c r="J81" s="4"/>
      <c r="K81" s="4"/>
      <c r="L81" s="4"/>
      <c r="M81" s="4"/>
      <c r="N81" s="4"/>
      <c r="O81" s="4"/>
      <c r="P81" s="4"/>
      <c r="Q81" s="4"/>
      <c r="R81" s="4"/>
      <c r="S81" s="4"/>
      <c r="T81" s="4"/>
      <c r="U81" s="4"/>
      <c r="V81" s="4"/>
      <c r="W81" s="4"/>
      <c r="X81" s="4"/>
      <c r="Y81" s="4"/>
      <c r="Z81" s="37"/>
    </row>
    <row r="82" spans="1:26">
      <c r="A82" s="29">
        <v>278</v>
      </c>
      <c r="B82" s="30">
        <f>B_Uspjeha!AI105</f>
        <v>0</v>
      </c>
      <c r="C82" s="39">
        <f>B_Uspjeha!AP105</f>
        <v>0</v>
      </c>
      <c r="D82" s="4"/>
      <c r="E82" s="4"/>
      <c r="F82" s="4"/>
      <c r="G82" s="4"/>
      <c r="H82" s="4"/>
      <c r="I82" s="4"/>
      <c r="J82" s="4"/>
      <c r="K82" s="4"/>
      <c r="L82" s="4"/>
      <c r="M82" s="4"/>
      <c r="N82" s="4"/>
      <c r="O82" s="4"/>
      <c r="P82" s="4"/>
      <c r="Q82" s="4"/>
      <c r="R82" s="4"/>
      <c r="S82" s="4"/>
      <c r="T82" s="4"/>
      <c r="U82" s="4"/>
      <c r="V82" s="4"/>
      <c r="W82" s="4"/>
      <c r="X82" s="4"/>
      <c r="Y82" s="4"/>
      <c r="Z82" s="37"/>
    </row>
    <row r="83" spans="1:26">
      <c r="A83" s="29">
        <v>279</v>
      </c>
      <c r="B83" s="30">
        <f>B_Uspjeha!AI106</f>
        <v>0</v>
      </c>
      <c r="C83" s="39">
        <f>B_Uspjeha!AP106</f>
        <v>0</v>
      </c>
      <c r="D83" s="4"/>
      <c r="E83" s="4"/>
      <c r="F83" s="4"/>
      <c r="G83" s="4"/>
      <c r="H83" s="4"/>
      <c r="I83" s="4"/>
      <c r="J83" s="4"/>
      <c r="K83" s="4"/>
      <c r="L83" s="4"/>
      <c r="M83" s="4"/>
      <c r="N83" s="4"/>
      <c r="O83" s="4"/>
      <c r="P83" s="4"/>
      <c r="Q83" s="4"/>
      <c r="R83" s="4"/>
      <c r="S83" s="4"/>
      <c r="T83" s="4"/>
      <c r="U83" s="4"/>
      <c r="V83" s="4"/>
      <c r="W83" s="4"/>
      <c r="X83" s="4"/>
      <c r="Y83" s="4"/>
      <c r="Z83" s="37"/>
    </row>
    <row r="84" spans="1:26">
      <c r="A84" s="29">
        <v>280</v>
      </c>
      <c r="B84" s="30">
        <f>B_Uspjeha!AI107</f>
        <v>0</v>
      </c>
      <c r="C84" s="39">
        <f>B_Uspjeha!AP107</f>
        <v>0</v>
      </c>
      <c r="D84" s="4"/>
      <c r="E84" s="4"/>
      <c r="F84" s="4"/>
      <c r="G84" s="4"/>
      <c r="H84" s="4"/>
      <c r="I84" s="4"/>
      <c r="J84" s="4"/>
      <c r="K84" s="4"/>
      <c r="L84" s="4"/>
      <c r="M84" s="4"/>
      <c r="N84" s="4"/>
      <c r="O84" s="4"/>
      <c r="P84" s="4"/>
      <c r="Q84" s="4"/>
      <c r="R84" s="4"/>
      <c r="S84" s="4"/>
      <c r="T84" s="4"/>
      <c r="U84" s="4"/>
      <c r="V84" s="4"/>
      <c r="W84" s="4"/>
      <c r="X84" s="4"/>
      <c r="Y84" s="4"/>
      <c r="Z84" s="37"/>
    </row>
    <row r="85" spans="1:26">
      <c r="A85" s="29">
        <v>281</v>
      </c>
      <c r="B85" s="30">
        <f>B_Uspjeha!AI108</f>
        <v>0</v>
      </c>
      <c r="C85" s="39">
        <f>B_Uspjeha!AP108</f>
        <v>0</v>
      </c>
      <c r="D85" s="4"/>
      <c r="E85" s="4"/>
      <c r="F85" s="4"/>
      <c r="G85" s="4"/>
      <c r="H85" s="4"/>
      <c r="I85" s="4"/>
      <c r="J85" s="4"/>
      <c r="K85" s="4"/>
      <c r="L85" s="4"/>
      <c r="M85" s="4"/>
      <c r="N85" s="4"/>
      <c r="O85" s="4"/>
      <c r="P85" s="4"/>
      <c r="Q85" s="4"/>
      <c r="R85" s="4"/>
      <c r="S85" s="4"/>
      <c r="T85" s="4"/>
      <c r="U85" s="4"/>
      <c r="V85" s="4"/>
      <c r="W85" s="4"/>
      <c r="X85" s="4"/>
      <c r="Y85" s="4"/>
      <c r="Z85" s="37"/>
    </row>
    <row r="86" spans="1:26">
      <c r="A86" s="29">
        <v>282</v>
      </c>
      <c r="B86" s="30">
        <f>B_Uspjeha!AI109</f>
        <v>0</v>
      </c>
      <c r="C86" s="39">
        <f>B_Uspjeha!AP109</f>
        <v>0</v>
      </c>
      <c r="D86" s="4"/>
      <c r="E86" s="4"/>
      <c r="F86" s="4"/>
      <c r="G86" s="4"/>
      <c r="H86" s="4"/>
      <c r="I86" s="4"/>
      <c r="J86" s="4"/>
      <c r="K86" s="4"/>
      <c r="L86" s="4"/>
      <c r="M86" s="4"/>
      <c r="N86" s="4"/>
      <c r="O86" s="4"/>
      <c r="P86" s="4"/>
      <c r="Q86" s="4"/>
      <c r="R86" s="4"/>
      <c r="S86" s="4"/>
      <c r="T86" s="4"/>
      <c r="U86" s="4"/>
      <c r="V86" s="4"/>
      <c r="W86" s="4"/>
      <c r="X86" s="4"/>
      <c r="Y86" s="4"/>
      <c r="Z86" s="37"/>
    </row>
    <row r="87" spans="1:26">
      <c r="A87" s="29">
        <v>283</v>
      </c>
      <c r="B87" s="30">
        <f>B_Uspjeha!AI110</f>
        <v>0</v>
      </c>
      <c r="C87" s="39">
        <f>B_Uspjeha!AP110</f>
        <v>0</v>
      </c>
      <c r="D87" s="4"/>
      <c r="E87" s="4"/>
      <c r="F87" s="4"/>
      <c r="G87" s="4"/>
      <c r="H87" s="4"/>
      <c r="I87" s="4"/>
      <c r="J87" s="4"/>
      <c r="K87" s="4"/>
      <c r="L87" s="4"/>
      <c r="M87" s="4"/>
      <c r="N87" s="4"/>
      <c r="O87" s="4"/>
      <c r="P87" s="4"/>
      <c r="Q87" s="4"/>
      <c r="R87" s="4"/>
      <c r="S87" s="4"/>
      <c r="T87" s="4"/>
      <c r="U87" s="4"/>
      <c r="V87" s="4"/>
      <c r="W87" s="4"/>
      <c r="X87" s="4"/>
      <c r="Y87" s="4"/>
      <c r="Z87" s="37"/>
    </row>
    <row r="88" spans="1:26">
      <c r="A88" s="29">
        <v>284</v>
      </c>
      <c r="B88" s="30">
        <f>B_Uspjeha!AI111</f>
        <v>0</v>
      </c>
      <c r="C88" s="39">
        <f>B_Uspjeha!AP111</f>
        <v>0</v>
      </c>
      <c r="D88" s="4"/>
      <c r="E88" s="4"/>
      <c r="F88" s="4"/>
      <c r="G88" s="4"/>
      <c r="H88" s="4"/>
      <c r="I88" s="4"/>
      <c r="J88" s="4"/>
      <c r="K88" s="4"/>
      <c r="L88" s="4"/>
      <c r="M88" s="4"/>
      <c r="N88" s="4"/>
      <c r="O88" s="4"/>
      <c r="P88" s="4"/>
      <c r="Q88" s="4"/>
      <c r="R88" s="4"/>
      <c r="S88" s="4"/>
      <c r="T88" s="4"/>
      <c r="U88" s="4"/>
      <c r="V88" s="4"/>
      <c r="W88" s="4"/>
      <c r="X88" s="4"/>
      <c r="Y88" s="4"/>
      <c r="Z88" s="37"/>
    </row>
    <row r="89" spans="1:26">
      <c r="A89" s="29">
        <v>285</v>
      </c>
      <c r="B89" s="30">
        <f>B_Uspjeha!AI112</f>
        <v>0</v>
      </c>
      <c r="C89" s="39">
        <f>B_Uspjeha!AP112</f>
        <v>0</v>
      </c>
      <c r="D89" s="4"/>
      <c r="E89" s="4"/>
      <c r="F89" s="4"/>
      <c r="G89" s="4"/>
      <c r="H89" s="4"/>
      <c r="I89" s="4"/>
      <c r="J89" s="4"/>
      <c r="K89" s="4"/>
      <c r="L89" s="4"/>
      <c r="M89" s="4"/>
      <c r="N89" s="4"/>
      <c r="O89" s="4"/>
      <c r="P89" s="4"/>
      <c r="Q89" s="4"/>
      <c r="R89" s="4"/>
      <c r="S89" s="4"/>
      <c r="T89" s="4"/>
      <c r="U89" s="4"/>
      <c r="V89" s="4"/>
      <c r="W89" s="4"/>
      <c r="X89" s="4"/>
      <c r="Y89" s="4"/>
      <c r="Z89" s="37"/>
    </row>
    <row r="90" spans="1:26">
      <c r="A90" s="29">
        <v>286</v>
      </c>
      <c r="B90" s="30">
        <f>B_Uspjeha!AI113</f>
        <v>0</v>
      </c>
      <c r="C90" s="39">
        <f>B_Uspjeha!AP113</f>
        <v>0</v>
      </c>
      <c r="D90" s="4"/>
      <c r="E90" s="4"/>
      <c r="F90" s="4"/>
      <c r="G90" s="4"/>
      <c r="H90" s="4"/>
      <c r="I90" s="4"/>
      <c r="J90" s="4"/>
      <c r="K90" s="4"/>
      <c r="L90" s="4"/>
      <c r="M90" s="4"/>
      <c r="N90" s="4"/>
      <c r="O90" s="4"/>
      <c r="P90" s="4"/>
      <c r="Q90" s="4"/>
      <c r="R90" s="4"/>
      <c r="S90" s="4"/>
      <c r="T90" s="4"/>
      <c r="U90" s="4"/>
      <c r="V90" s="4"/>
      <c r="W90" s="4"/>
      <c r="X90" s="4"/>
      <c r="Y90" s="4"/>
      <c r="Z90" s="37"/>
    </row>
    <row r="91" spans="1:26">
      <c r="A91" s="29">
        <v>287</v>
      </c>
      <c r="B91" s="30">
        <f>B_Uspjeha!AI118</f>
        <v>0</v>
      </c>
      <c r="C91" s="39">
        <f>B_Uspjeha!AP118</f>
        <v>0</v>
      </c>
      <c r="D91" s="4"/>
      <c r="E91" s="4"/>
      <c r="F91" s="4"/>
      <c r="G91" s="4"/>
      <c r="H91" s="4"/>
      <c r="I91" s="4"/>
      <c r="J91" s="4"/>
      <c r="K91" s="4"/>
      <c r="L91" s="4"/>
      <c r="M91" s="4"/>
      <c r="N91" s="4"/>
      <c r="O91" s="4"/>
      <c r="P91" s="4"/>
      <c r="Q91" s="4"/>
      <c r="R91" s="4"/>
      <c r="S91" s="4"/>
      <c r="T91" s="4"/>
      <c r="U91" s="4"/>
      <c r="V91" s="4"/>
      <c r="W91" s="4"/>
      <c r="X91" s="4"/>
      <c r="Y91" s="4"/>
      <c r="Z91" s="37"/>
    </row>
    <row r="92" spans="1:26">
      <c r="A92" s="29">
        <v>288</v>
      </c>
      <c r="B92" s="30">
        <f>B_Uspjeha!AI119</f>
        <v>0</v>
      </c>
      <c r="C92" s="39">
        <f>B_Uspjeha!AP119</f>
        <v>0</v>
      </c>
      <c r="D92" s="4"/>
      <c r="E92" s="4"/>
      <c r="F92" s="4"/>
      <c r="G92" s="4"/>
      <c r="H92" s="4"/>
      <c r="I92" s="4"/>
      <c r="J92" s="4"/>
      <c r="K92" s="4"/>
      <c r="L92" s="4"/>
      <c r="M92" s="4"/>
      <c r="N92" s="4"/>
      <c r="O92" s="4"/>
      <c r="P92" s="4"/>
      <c r="Q92" s="4"/>
      <c r="R92" s="4"/>
      <c r="S92" s="4"/>
      <c r="T92" s="4"/>
      <c r="U92" s="4"/>
      <c r="V92" s="4"/>
      <c r="W92" s="4"/>
      <c r="X92" s="4"/>
      <c r="Y92" s="4"/>
      <c r="Z92" s="37"/>
    </row>
    <row r="93" spans="1:26">
      <c r="A93" s="29">
        <v>289</v>
      </c>
      <c r="B93" s="30">
        <f>B_Uspjeha!AI120</f>
        <v>0</v>
      </c>
      <c r="C93" s="39">
        <f>B_Uspjeha!AP120</f>
        <v>0</v>
      </c>
      <c r="D93" s="4"/>
      <c r="E93" s="4"/>
      <c r="F93" s="4"/>
      <c r="G93" s="4"/>
      <c r="H93" s="4"/>
      <c r="I93" s="4"/>
      <c r="J93" s="4"/>
      <c r="K93" s="4"/>
      <c r="L93" s="4"/>
      <c r="M93" s="4"/>
      <c r="N93" s="4"/>
      <c r="O93" s="4"/>
      <c r="P93" s="4"/>
      <c r="Q93" s="4"/>
      <c r="R93" s="4"/>
      <c r="S93" s="4"/>
      <c r="T93" s="4"/>
      <c r="U93" s="4"/>
      <c r="V93" s="4"/>
      <c r="W93" s="4"/>
      <c r="X93" s="4"/>
      <c r="Y93" s="4"/>
      <c r="Z93" s="37"/>
    </row>
    <row r="94" spans="1:26">
      <c r="A94" s="29">
        <v>290</v>
      </c>
      <c r="B94" s="30">
        <f>B_Uspjeha!AI121</f>
        <v>0</v>
      </c>
      <c r="C94" s="39">
        <f>B_Uspjeha!AP121</f>
        <v>0</v>
      </c>
      <c r="D94" s="4"/>
      <c r="E94" s="4"/>
      <c r="F94" s="4"/>
      <c r="G94" s="4"/>
      <c r="H94" s="4"/>
      <c r="I94" s="4"/>
      <c r="J94" s="4"/>
      <c r="K94" s="4"/>
      <c r="L94" s="4"/>
      <c r="M94" s="4"/>
      <c r="N94" s="4"/>
      <c r="O94" s="4"/>
      <c r="P94" s="4"/>
      <c r="Q94" s="4"/>
      <c r="R94" s="4"/>
      <c r="S94" s="4"/>
      <c r="T94" s="4"/>
      <c r="U94" s="4"/>
      <c r="V94" s="4"/>
      <c r="W94" s="4"/>
      <c r="X94" s="4"/>
      <c r="Y94" s="4"/>
      <c r="Z94" s="37"/>
    </row>
    <row r="95" spans="1:26">
      <c r="A95" s="29">
        <v>291</v>
      </c>
      <c r="B95" s="30">
        <f>B_Uspjeha!AI122</f>
        <v>0</v>
      </c>
      <c r="C95" s="39">
        <f>B_Uspjeha!AP122</f>
        <v>0</v>
      </c>
      <c r="D95" s="4"/>
      <c r="E95" s="4"/>
      <c r="F95" s="4"/>
      <c r="G95" s="4"/>
      <c r="H95" s="4"/>
      <c r="I95" s="4"/>
      <c r="J95" s="4"/>
      <c r="K95" s="4"/>
      <c r="L95" s="4"/>
      <c r="M95" s="4"/>
      <c r="N95" s="4"/>
      <c r="O95" s="4"/>
      <c r="P95" s="4"/>
      <c r="Q95" s="4"/>
      <c r="R95" s="4"/>
      <c r="S95" s="4"/>
      <c r="T95" s="4"/>
      <c r="U95" s="4"/>
      <c r="V95" s="4"/>
      <c r="W95" s="4"/>
      <c r="X95" s="4"/>
      <c r="Y95" s="4"/>
      <c r="Z95" s="37"/>
    </row>
    <row r="96" spans="1:26">
      <c r="A96" s="29">
        <v>292</v>
      </c>
      <c r="B96" s="30">
        <f>B_Uspjeha!AI123</f>
        <v>0</v>
      </c>
      <c r="C96" s="39">
        <f>B_Uspjeha!AP123</f>
        <v>0</v>
      </c>
      <c r="D96" s="4"/>
      <c r="E96" s="4"/>
      <c r="F96" s="4"/>
      <c r="G96" s="4"/>
      <c r="H96" s="4"/>
      <c r="I96" s="4"/>
      <c r="J96" s="4"/>
      <c r="K96" s="4"/>
      <c r="L96" s="4"/>
      <c r="M96" s="4"/>
      <c r="N96" s="4"/>
      <c r="O96" s="4"/>
      <c r="P96" s="4"/>
      <c r="Q96" s="4"/>
      <c r="R96" s="4"/>
      <c r="S96" s="4"/>
      <c r="T96" s="4"/>
      <c r="U96" s="4"/>
      <c r="V96" s="4"/>
      <c r="W96" s="4"/>
      <c r="X96" s="4"/>
      <c r="Y96" s="4"/>
      <c r="Z96" s="37"/>
    </row>
    <row r="97" spans="1:26">
      <c r="A97" s="29">
        <v>293</v>
      </c>
      <c r="B97" s="30">
        <f>B_Uspjeha!AI124</f>
        <v>0</v>
      </c>
      <c r="C97" s="39">
        <f>B_Uspjeha!AP124</f>
        <v>0</v>
      </c>
      <c r="D97" s="4"/>
      <c r="E97" s="4"/>
      <c r="F97" s="4"/>
      <c r="G97" s="4"/>
      <c r="H97" s="4"/>
      <c r="I97" s="4"/>
      <c r="J97" s="4"/>
      <c r="K97" s="4"/>
      <c r="L97" s="4"/>
      <c r="M97" s="4"/>
      <c r="N97" s="4"/>
      <c r="O97" s="4"/>
      <c r="P97" s="4"/>
      <c r="Q97" s="4"/>
      <c r="R97" s="4"/>
      <c r="S97" s="4"/>
      <c r="T97" s="4"/>
      <c r="U97" s="4"/>
      <c r="V97" s="4"/>
      <c r="W97" s="4"/>
      <c r="X97" s="4"/>
      <c r="Y97" s="4"/>
      <c r="Z97" s="37"/>
    </row>
    <row r="98" spans="1:26">
      <c r="A98" s="29">
        <v>294</v>
      </c>
      <c r="B98" s="30">
        <f>B_Uspjeha!AI125</f>
        <v>0</v>
      </c>
      <c r="C98" s="39">
        <f>B_Uspjeha!AP125</f>
        <v>0</v>
      </c>
      <c r="D98" s="4"/>
      <c r="E98" s="4"/>
      <c r="F98" s="4"/>
      <c r="G98" s="4"/>
      <c r="H98" s="4"/>
      <c r="I98" s="4"/>
      <c r="J98" s="4"/>
      <c r="K98" s="4"/>
      <c r="L98" s="4"/>
      <c r="M98" s="4"/>
      <c r="N98" s="4"/>
      <c r="O98" s="4"/>
      <c r="P98" s="4"/>
      <c r="Q98" s="4"/>
      <c r="R98" s="4"/>
      <c r="S98" s="4"/>
      <c r="T98" s="4"/>
      <c r="U98" s="4"/>
      <c r="V98" s="4"/>
      <c r="W98" s="4"/>
      <c r="X98" s="4"/>
      <c r="Y98" s="4"/>
      <c r="Z98" s="37"/>
    </row>
    <row r="99" spans="1:26">
      <c r="A99" s="29">
        <v>295</v>
      </c>
      <c r="B99" s="30">
        <f>B_Uspjeha!AI126</f>
        <v>0</v>
      </c>
      <c r="C99" s="39">
        <f>B_Uspjeha!AP126</f>
        <v>0</v>
      </c>
      <c r="D99" s="4"/>
      <c r="E99" s="4"/>
      <c r="F99" s="4"/>
      <c r="G99" s="4"/>
      <c r="H99" s="4"/>
      <c r="I99" s="4"/>
      <c r="J99" s="4"/>
      <c r="K99" s="4"/>
      <c r="L99" s="4"/>
      <c r="M99" s="4"/>
      <c r="N99" s="4"/>
      <c r="O99" s="4"/>
      <c r="P99" s="4"/>
      <c r="Q99" s="4"/>
      <c r="R99" s="4"/>
      <c r="S99" s="4"/>
      <c r="T99" s="4"/>
      <c r="U99" s="4"/>
      <c r="V99" s="4"/>
      <c r="W99" s="4"/>
      <c r="X99" s="4"/>
      <c r="Y99" s="4"/>
      <c r="Z99" s="37"/>
    </row>
    <row r="100" spans="1:26">
      <c r="A100" s="29">
        <v>296</v>
      </c>
      <c r="B100" s="30">
        <f>B_Uspjeha!AI127</f>
        <v>0</v>
      </c>
      <c r="C100" s="39">
        <f>B_Uspjeha!AP127</f>
        <v>0</v>
      </c>
      <c r="D100" s="4"/>
      <c r="E100" s="4"/>
      <c r="F100" s="4"/>
      <c r="G100" s="4"/>
      <c r="H100" s="4"/>
      <c r="I100" s="4"/>
      <c r="J100" s="4"/>
      <c r="K100" s="4"/>
      <c r="L100" s="4"/>
      <c r="M100" s="4"/>
      <c r="N100" s="4"/>
      <c r="O100" s="4"/>
      <c r="P100" s="4"/>
      <c r="Q100" s="4"/>
      <c r="R100" s="4"/>
      <c r="S100" s="4"/>
      <c r="T100" s="4"/>
      <c r="U100" s="4"/>
      <c r="V100" s="4"/>
      <c r="W100" s="4"/>
      <c r="X100" s="4"/>
      <c r="Y100" s="4"/>
      <c r="Z100" s="37"/>
    </row>
    <row r="101" spans="1:26">
      <c r="A101" s="29">
        <v>297</v>
      </c>
      <c r="B101" s="30">
        <f>B_Uspjeha!AI128</f>
        <v>0</v>
      </c>
      <c r="C101" s="39">
        <f>B_Uspjeha!AP128</f>
        <v>0</v>
      </c>
      <c r="D101" s="4"/>
      <c r="E101" s="4"/>
      <c r="F101" s="4"/>
      <c r="G101" s="4"/>
      <c r="H101" s="4"/>
      <c r="I101" s="4"/>
      <c r="J101" s="4"/>
      <c r="K101" s="4"/>
      <c r="L101" s="4"/>
      <c r="M101" s="4"/>
      <c r="N101" s="4"/>
      <c r="O101" s="4"/>
      <c r="P101" s="4"/>
      <c r="Q101" s="4"/>
      <c r="R101" s="4"/>
      <c r="S101" s="4"/>
      <c r="T101" s="4"/>
      <c r="U101" s="4"/>
      <c r="V101" s="4"/>
      <c r="W101" s="4"/>
      <c r="X101" s="4"/>
      <c r="Y101" s="4"/>
      <c r="Z101" s="37"/>
    </row>
    <row r="102" spans="1:26">
      <c r="A102" s="29">
        <v>298</v>
      </c>
      <c r="B102" s="30">
        <f>B_Uspjeha!AI129</f>
        <v>0</v>
      </c>
      <c r="C102" s="39">
        <f>B_Uspjeha!AP129</f>
        <v>0</v>
      </c>
      <c r="D102" s="4"/>
      <c r="E102" s="4"/>
      <c r="F102" s="4"/>
      <c r="G102" s="4"/>
      <c r="H102" s="4"/>
      <c r="I102" s="4"/>
      <c r="J102" s="4"/>
      <c r="K102" s="4"/>
      <c r="L102" s="4"/>
      <c r="M102" s="4"/>
      <c r="N102" s="4"/>
      <c r="O102" s="4"/>
      <c r="P102" s="4"/>
      <c r="Q102" s="4"/>
      <c r="R102" s="4"/>
      <c r="S102" s="4"/>
      <c r="T102" s="4"/>
      <c r="U102" s="4"/>
      <c r="V102" s="4"/>
      <c r="W102" s="4"/>
      <c r="X102" s="4"/>
      <c r="Y102" s="4"/>
      <c r="Z102" s="37"/>
    </row>
    <row r="103" spans="1:26">
      <c r="A103" s="29">
        <v>299</v>
      </c>
      <c r="B103" s="30">
        <f>B_Uspjeha!AI130</f>
        <v>0</v>
      </c>
      <c r="C103" s="39">
        <f>B_Uspjeha!AP130</f>
        <v>0</v>
      </c>
      <c r="D103" s="4"/>
      <c r="E103" s="4"/>
      <c r="F103" s="4"/>
      <c r="G103" s="4"/>
      <c r="H103" s="4"/>
      <c r="I103" s="4"/>
      <c r="J103" s="4"/>
      <c r="K103" s="4"/>
      <c r="L103" s="4"/>
      <c r="M103" s="4"/>
      <c r="N103" s="4"/>
      <c r="O103" s="4"/>
      <c r="P103" s="4"/>
      <c r="Q103" s="4"/>
      <c r="R103" s="4"/>
      <c r="S103" s="4"/>
      <c r="T103" s="4"/>
      <c r="U103" s="4"/>
      <c r="V103" s="4"/>
      <c r="W103" s="4"/>
      <c r="X103" s="4"/>
      <c r="Y103" s="4"/>
      <c r="Z103" s="37"/>
    </row>
    <row r="104" spans="1:26">
      <c r="A104" s="29">
        <v>300</v>
      </c>
      <c r="B104" s="30">
        <f>B_Uspjeha!AI131</f>
        <v>0</v>
      </c>
      <c r="C104" s="39">
        <f>B_Uspjeha!AP131</f>
        <v>0</v>
      </c>
      <c r="D104" s="4"/>
      <c r="E104" s="4"/>
      <c r="F104" s="4"/>
      <c r="G104" s="4"/>
      <c r="H104" s="4"/>
      <c r="I104" s="4"/>
      <c r="J104" s="4"/>
      <c r="K104" s="4"/>
      <c r="L104" s="4"/>
      <c r="M104" s="4"/>
      <c r="N104" s="4"/>
      <c r="O104" s="4"/>
      <c r="P104" s="4"/>
      <c r="Q104" s="4"/>
      <c r="R104" s="4"/>
      <c r="S104" s="4"/>
      <c r="T104" s="4"/>
      <c r="U104" s="4"/>
      <c r="V104" s="4"/>
      <c r="W104" s="4"/>
      <c r="X104" s="4"/>
      <c r="Y104" s="4"/>
      <c r="Z104" s="37"/>
    </row>
    <row r="105" spans="1:26">
      <c r="A105" s="29">
        <v>301</v>
      </c>
      <c r="B105" s="30">
        <f>B_Uspjeha!AI132</f>
        <v>0</v>
      </c>
      <c r="C105" s="39">
        <f>B_Uspjeha!AP132</f>
        <v>0</v>
      </c>
      <c r="D105" s="4"/>
      <c r="E105" s="4"/>
      <c r="F105" s="4"/>
      <c r="G105" s="4"/>
      <c r="H105" s="4"/>
      <c r="I105" s="4"/>
      <c r="J105" s="4"/>
      <c r="K105" s="4"/>
      <c r="L105" s="4"/>
      <c r="M105" s="4"/>
      <c r="N105" s="4"/>
      <c r="O105" s="4"/>
      <c r="P105" s="4"/>
      <c r="Q105" s="4"/>
      <c r="R105" s="4"/>
      <c r="S105" s="4"/>
      <c r="T105" s="4"/>
      <c r="U105" s="4"/>
      <c r="V105" s="4"/>
      <c r="W105" s="4"/>
      <c r="X105" s="4"/>
      <c r="Y105" s="4"/>
      <c r="Z105" s="37"/>
    </row>
    <row r="106" spans="1:26">
      <c r="A106" s="29">
        <v>302</v>
      </c>
      <c r="B106" s="30">
        <f>B_Uspjeha!AI133</f>
        <v>0</v>
      </c>
      <c r="C106" s="39">
        <f>B_Uspjeha!AP133</f>
        <v>0</v>
      </c>
      <c r="D106" s="4"/>
      <c r="E106" s="4"/>
      <c r="F106" s="4"/>
      <c r="G106" s="4"/>
      <c r="H106" s="4"/>
      <c r="I106" s="4"/>
      <c r="J106" s="4"/>
      <c r="K106" s="4"/>
      <c r="L106" s="4"/>
      <c r="M106" s="4"/>
      <c r="N106" s="4"/>
      <c r="O106" s="4"/>
      <c r="P106" s="4"/>
      <c r="Q106" s="4"/>
      <c r="R106" s="4"/>
      <c r="S106" s="4"/>
      <c r="T106" s="4"/>
      <c r="U106" s="4"/>
      <c r="V106" s="4"/>
      <c r="W106" s="4"/>
      <c r="X106" s="4"/>
      <c r="Y106" s="4"/>
      <c r="Z106" s="37"/>
    </row>
    <row r="107" spans="1:26">
      <c r="A107" s="29">
        <v>303</v>
      </c>
      <c r="B107" s="30">
        <f>B_Uspjeha!AI134</f>
        <v>0</v>
      </c>
      <c r="C107" s="39">
        <f>B_Uspjeha!AP134</f>
        <v>0</v>
      </c>
      <c r="D107" s="4"/>
      <c r="E107" s="4"/>
      <c r="F107" s="4"/>
      <c r="G107" s="4"/>
      <c r="H107" s="4"/>
      <c r="I107" s="4"/>
      <c r="J107" s="4"/>
      <c r="K107" s="4"/>
      <c r="L107" s="4"/>
      <c r="M107" s="4"/>
      <c r="N107" s="4"/>
      <c r="O107" s="4"/>
      <c r="P107" s="4"/>
      <c r="Q107" s="4"/>
      <c r="R107" s="4"/>
      <c r="S107" s="4"/>
      <c r="T107" s="4"/>
      <c r="U107" s="4"/>
      <c r="V107" s="4"/>
      <c r="W107" s="4"/>
      <c r="X107" s="4"/>
      <c r="Y107" s="4"/>
      <c r="Z107" s="37"/>
    </row>
    <row r="108" spans="1:26">
      <c r="A108" s="29">
        <v>304</v>
      </c>
      <c r="B108" s="30">
        <f>B_Uspjeha!AI135</f>
        <v>0</v>
      </c>
      <c r="C108" s="39">
        <f>B_Uspjeha!AP135</f>
        <v>2038</v>
      </c>
      <c r="D108" s="4"/>
      <c r="E108" s="4"/>
      <c r="F108" s="4"/>
      <c r="G108" s="4"/>
      <c r="H108" s="4"/>
      <c r="I108" s="4"/>
      <c r="J108" s="4"/>
      <c r="K108" s="4"/>
      <c r="L108" s="4"/>
      <c r="M108" s="4"/>
      <c r="N108" s="4"/>
      <c r="O108" s="4"/>
      <c r="P108" s="4"/>
      <c r="Q108" s="4"/>
      <c r="R108" s="4"/>
      <c r="S108" s="4"/>
      <c r="T108" s="4"/>
      <c r="U108" s="4"/>
      <c r="V108" s="4"/>
      <c r="W108" s="4"/>
      <c r="X108" s="4"/>
      <c r="Y108" s="4"/>
      <c r="Z108" s="37"/>
    </row>
    <row r="109" spans="1:26">
      <c r="A109" s="29">
        <v>305</v>
      </c>
      <c r="B109" s="30">
        <f>B_Uspjeha!AI136</f>
        <v>0</v>
      </c>
      <c r="C109" s="39">
        <f>B_Uspjeha!AP136</f>
        <v>2038</v>
      </c>
      <c r="D109" s="4"/>
      <c r="E109" s="4"/>
      <c r="F109" s="4"/>
      <c r="G109" s="4"/>
      <c r="H109" s="4"/>
      <c r="I109" s="4"/>
      <c r="J109" s="4"/>
      <c r="K109" s="4"/>
      <c r="L109" s="4"/>
      <c r="M109" s="4"/>
      <c r="N109" s="4"/>
      <c r="O109" s="4"/>
      <c r="P109" s="4"/>
      <c r="Q109" s="4"/>
      <c r="R109" s="4"/>
      <c r="S109" s="4"/>
      <c r="T109" s="4"/>
      <c r="U109" s="4"/>
      <c r="V109" s="4"/>
      <c r="W109" s="4"/>
      <c r="X109" s="4"/>
      <c r="Y109" s="4"/>
      <c r="Z109" s="37"/>
    </row>
    <row r="110" spans="1:26">
      <c r="A110" s="29">
        <v>306</v>
      </c>
      <c r="B110" s="30">
        <f>B_Uspjeha!AI137</f>
        <v>0</v>
      </c>
      <c r="C110" s="39">
        <f>B_Uspjeha!AP137</f>
        <v>0</v>
      </c>
      <c r="D110" s="4"/>
      <c r="E110" s="4"/>
      <c r="F110" s="4"/>
      <c r="G110" s="4"/>
      <c r="H110" s="4"/>
      <c r="I110" s="4"/>
      <c r="J110" s="4"/>
      <c r="K110" s="4"/>
      <c r="L110" s="4"/>
      <c r="M110" s="4"/>
      <c r="N110" s="4"/>
      <c r="O110" s="4"/>
      <c r="P110" s="4"/>
      <c r="Q110" s="4"/>
      <c r="R110" s="4"/>
      <c r="S110" s="4"/>
      <c r="T110" s="4"/>
      <c r="U110" s="4"/>
      <c r="V110" s="4"/>
      <c r="W110" s="4"/>
      <c r="X110" s="4"/>
      <c r="Y110" s="4"/>
      <c r="Z110" s="37"/>
    </row>
    <row r="111" spans="1:26">
      <c r="A111" s="29">
        <v>307</v>
      </c>
      <c r="B111" s="30">
        <f>B_Uspjeha!AI138</f>
        <v>0</v>
      </c>
      <c r="C111" s="39">
        <f>B_Uspjeha!AP138</f>
        <v>0</v>
      </c>
      <c r="D111" s="4"/>
      <c r="E111" s="4"/>
      <c r="F111" s="4"/>
      <c r="G111" s="4"/>
      <c r="H111" s="4"/>
      <c r="I111" s="4"/>
      <c r="J111" s="4"/>
      <c r="K111" s="4"/>
      <c r="L111" s="4"/>
      <c r="M111" s="4"/>
      <c r="N111" s="4"/>
      <c r="O111" s="4"/>
      <c r="P111" s="4"/>
      <c r="Q111" s="4"/>
      <c r="R111" s="4"/>
      <c r="S111" s="4"/>
      <c r="T111" s="4"/>
      <c r="U111" s="4"/>
      <c r="V111" s="4"/>
      <c r="W111" s="4"/>
      <c r="X111" s="4"/>
      <c r="Y111" s="4"/>
      <c r="Z111" s="37"/>
    </row>
    <row r="112" spans="1:26">
      <c r="A112" s="29">
        <v>308</v>
      </c>
      <c r="B112" s="30">
        <f>B_Uspjeha!AI139</f>
        <v>14798</v>
      </c>
      <c r="C112" s="39">
        <f>B_Uspjeha!AP139</f>
        <v>436</v>
      </c>
      <c r="D112" s="4"/>
      <c r="E112" s="4"/>
      <c r="F112" s="4"/>
      <c r="G112" s="4"/>
      <c r="H112" s="4"/>
      <c r="I112" s="4"/>
      <c r="J112" s="4"/>
      <c r="K112" s="4"/>
      <c r="L112" s="4"/>
      <c r="M112" s="4"/>
      <c r="N112" s="4"/>
      <c r="O112" s="4"/>
      <c r="P112" s="4"/>
      <c r="Q112" s="4"/>
      <c r="R112" s="4"/>
      <c r="S112" s="4"/>
      <c r="T112" s="4"/>
      <c r="U112" s="4"/>
      <c r="V112" s="4"/>
      <c r="W112" s="4"/>
      <c r="X112" s="4"/>
      <c r="Y112" s="4"/>
      <c r="Z112" s="37"/>
    </row>
    <row r="113" spans="1:26">
      <c r="A113" s="29">
        <v>309</v>
      </c>
      <c r="B113" s="30">
        <f>B_Uspjeha!AI140</f>
        <v>306969</v>
      </c>
      <c r="C113" s="39">
        <f>B_Uspjeha!AP140</f>
        <v>285281</v>
      </c>
      <c r="D113" s="4"/>
      <c r="E113" s="4"/>
      <c r="F113" s="4"/>
      <c r="G113" s="4"/>
      <c r="H113" s="4"/>
      <c r="I113" s="4"/>
      <c r="J113" s="4"/>
      <c r="K113" s="4"/>
      <c r="L113" s="4"/>
      <c r="M113" s="4"/>
      <c r="N113" s="4"/>
      <c r="O113" s="4"/>
      <c r="P113" s="4"/>
      <c r="Q113" s="4"/>
      <c r="R113" s="4"/>
      <c r="S113" s="4"/>
      <c r="T113" s="4"/>
      <c r="U113" s="4"/>
      <c r="V113" s="4"/>
      <c r="W113" s="4"/>
      <c r="X113" s="4"/>
      <c r="Y113" s="4"/>
      <c r="Z113" s="37"/>
    </row>
    <row r="114" spans="1:26">
      <c r="A114" s="29">
        <v>310</v>
      </c>
      <c r="B114" s="30">
        <f>B_Uspjeha!AI141</f>
        <v>0</v>
      </c>
      <c r="C114" s="39">
        <f>B_Uspjeha!AP141</f>
        <v>99242</v>
      </c>
      <c r="D114" s="4"/>
      <c r="E114" s="4"/>
      <c r="F114" s="4"/>
      <c r="G114" s="4"/>
      <c r="H114" s="4"/>
      <c r="I114" s="4"/>
      <c r="J114" s="4"/>
      <c r="K114" s="4"/>
      <c r="L114" s="4"/>
      <c r="M114" s="4"/>
      <c r="N114" s="4"/>
      <c r="O114" s="4"/>
      <c r="P114" s="4"/>
      <c r="Q114" s="4"/>
      <c r="R114" s="4"/>
      <c r="S114" s="4"/>
      <c r="T114" s="4"/>
      <c r="U114" s="4"/>
      <c r="V114" s="4"/>
      <c r="W114" s="4"/>
      <c r="X114" s="4"/>
      <c r="Y114" s="4"/>
      <c r="Z114" s="37"/>
    </row>
    <row r="115" spans="1:26">
      <c r="A115" s="29">
        <v>311</v>
      </c>
      <c r="B115" s="30">
        <f>B_Uspjeha!AI142</f>
        <v>59197</v>
      </c>
      <c r="C115" s="39">
        <f>B_Uspjeha!AP142</f>
        <v>0</v>
      </c>
      <c r="D115" s="4"/>
      <c r="E115" s="4"/>
      <c r="F115" s="4"/>
      <c r="G115" s="4"/>
      <c r="H115" s="4"/>
      <c r="I115" s="4"/>
      <c r="J115" s="4"/>
      <c r="K115" s="4"/>
      <c r="L115" s="4"/>
      <c r="M115" s="4"/>
      <c r="N115" s="4"/>
      <c r="O115" s="4"/>
      <c r="P115" s="4"/>
      <c r="Q115" s="4"/>
      <c r="R115" s="4"/>
      <c r="S115" s="4"/>
      <c r="T115" s="4"/>
      <c r="U115" s="4"/>
      <c r="V115" s="4"/>
      <c r="W115" s="4"/>
      <c r="X115" s="4"/>
      <c r="Y115" s="4"/>
      <c r="Z115" s="37"/>
    </row>
    <row r="116" spans="1:26">
      <c r="A116" s="29">
        <v>312</v>
      </c>
      <c r="B116" s="30">
        <f>B_Uspjeha!AI143</f>
        <v>0</v>
      </c>
      <c r="C116" s="39">
        <f>B_Uspjeha!AP143</f>
        <v>7935</v>
      </c>
      <c r="D116" s="4"/>
      <c r="E116" s="4"/>
      <c r="F116" s="4"/>
      <c r="G116" s="4"/>
      <c r="H116" s="4"/>
      <c r="I116" s="4"/>
      <c r="J116" s="4"/>
      <c r="K116" s="4"/>
      <c r="L116" s="4"/>
      <c r="M116" s="4"/>
      <c r="N116" s="4"/>
      <c r="O116" s="4"/>
      <c r="P116" s="4"/>
      <c r="Q116" s="4"/>
      <c r="R116" s="4"/>
      <c r="S116" s="4"/>
      <c r="T116" s="4"/>
      <c r="U116" s="4"/>
      <c r="V116" s="4"/>
      <c r="W116" s="4"/>
      <c r="X116" s="4"/>
      <c r="Y116" s="4"/>
      <c r="Z116" s="37"/>
    </row>
    <row r="117" spans="1:26">
      <c r="A117" s="29">
        <v>313</v>
      </c>
      <c r="B117" s="30">
        <f>B_Uspjeha!AI144</f>
        <v>0</v>
      </c>
      <c r="C117" s="39">
        <f>B_Uspjeha!AP144</f>
        <v>7935</v>
      </c>
      <c r="D117" s="4"/>
      <c r="E117" s="4"/>
      <c r="F117" s="4"/>
      <c r="G117" s="4"/>
      <c r="H117" s="4"/>
      <c r="I117" s="4"/>
      <c r="J117" s="4"/>
      <c r="K117" s="4"/>
      <c r="L117" s="4"/>
      <c r="M117" s="4"/>
      <c r="N117" s="4"/>
      <c r="O117" s="4"/>
      <c r="P117" s="4"/>
      <c r="Q117" s="4"/>
      <c r="R117" s="4"/>
      <c r="S117" s="4"/>
      <c r="T117" s="4"/>
      <c r="U117" s="4"/>
      <c r="V117" s="4"/>
      <c r="W117" s="4"/>
      <c r="X117" s="4"/>
      <c r="Y117" s="4"/>
      <c r="Z117" s="37"/>
    </row>
    <row r="118" spans="1:26">
      <c r="A118" s="29">
        <v>314</v>
      </c>
      <c r="B118" s="30">
        <f>B_Uspjeha!AI145</f>
        <v>0</v>
      </c>
      <c r="C118" s="39">
        <f>B_Uspjeha!AP145</f>
        <v>0</v>
      </c>
      <c r="D118" s="4"/>
      <c r="E118" s="4"/>
      <c r="F118" s="4"/>
      <c r="G118" s="4"/>
      <c r="H118" s="4"/>
      <c r="I118" s="4"/>
      <c r="J118" s="4"/>
      <c r="K118" s="4"/>
      <c r="L118" s="4"/>
      <c r="M118" s="4"/>
      <c r="N118" s="4"/>
      <c r="O118" s="4"/>
      <c r="P118" s="4"/>
      <c r="Q118" s="4"/>
      <c r="R118" s="4"/>
      <c r="S118" s="4"/>
      <c r="T118" s="4"/>
      <c r="U118" s="4"/>
      <c r="V118" s="4"/>
      <c r="W118" s="4"/>
      <c r="X118" s="4"/>
      <c r="Y118" s="4"/>
      <c r="Z118" s="37"/>
    </row>
    <row r="119" spans="1:26">
      <c r="A119" s="29">
        <v>315</v>
      </c>
      <c r="B119" s="30">
        <f>B_Uspjeha!AI146</f>
        <v>0</v>
      </c>
      <c r="C119" s="39">
        <f>B_Uspjeha!AP146</f>
        <v>0</v>
      </c>
      <c r="D119" s="4"/>
      <c r="E119" s="4"/>
      <c r="F119" s="4"/>
      <c r="G119" s="4"/>
      <c r="H119" s="4"/>
      <c r="I119" s="4"/>
      <c r="J119" s="4"/>
      <c r="K119" s="4"/>
      <c r="L119" s="4"/>
      <c r="M119" s="4"/>
      <c r="N119" s="4"/>
      <c r="O119" s="4"/>
      <c r="P119" s="4"/>
      <c r="Q119" s="4"/>
      <c r="R119" s="4"/>
      <c r="S119" s="4"/>
      <c r="T119" s="4"/>
      <c r="U119" s="4"/>
      <c r="V119" s="4"/>
      <c r="W119" s="4"/>
      <c r="X119" s="4"/>
      <c r="Y119" s="4"/>
      <c r="Z119" s="37"/>
    </row>
    <row r="120" spans="1:26">
      <c r="A120" s="29">
        <v>316</v>
      </c>
      <c r="B120" s="30">
        <f>B_Uspjeha!AI147</f>
        <v>0</v>
      </c>
      <c r="C120" s="39">
        <f>B_Uspjeha!AP147</f>
        <v>0</v>
      </c>
      <c r="D120" s="4"/>
      <c r="E120" s="4"/>
      <c r="F120" s="4"/>
      <c r="G120" s="4"/>
      <c r="H120" s="4"/>
      <c r="I120" s="4"/>
      <c r="J120" s="4"/>
      <c r="K120" s="4"/>
      <c r="L120" s="4"/>
      <c r="M120" s="4"/>
      <c r="N120" s="4"/>
      <c r="O120" s="4"/>
      <c r="P120" s="4"/>
      <c r="Q120" s="4"/>
      <c r="R120" s="4"/>
      <c r="S120" s="4"/>
      <c r="T120" s="4"/>
      <c r="U120" s="4"/>
      <c r="V120" s="4"/>
      <c r="W120" s="4"/>
      <c r="X120" s="4"/>
      <c r="Y120" s="4"/>
      <c r="Z120" s="37"/>
    </row>
    <row r="121" spans="1:26">
      <c r="A121" s="29">
        <v>317</v>
      </c>
      <c r="B121" s="30">
        <f>B_Uspjeha!AI148</f>
        <v>0</v>
      </c>
      <c r="C121" s="39">
        <f>B_Uspjeha!AP148</f>
        <v>0</v>
      </c>
      <c r="D121" s="4"/>
      <c r="E121" s="4"/>
      <c r="F121" s="4"/>
      <c r="G121" s="4"/>
      <c r="H121" s="4"/>
      <c r="I121" s="4"/>
      <c r="J121" s="4"/>
      <c r="K121" s="4"/>
      <c r="L121" s="4"/>
      <c r="M121" s="4"/>
      <c r="N121" s="4"/>
      <c r="O121" s="4"/>
      <c r="P121" s="4"/>
      <c r="Q121" s="4"/>
      <c r="R121" s="4"/>
      <c r="S121" s="4"/>
      <c r="T121" s="4"/>
      <c r="U121" s="4"/>
      <c r="V121" s="4"/>
      <c r="W121" s="4"/>
      <c r="X121" s="4"/>
      <c r="Y121" s="4"/>
      <c r="Z121" s="37"/>
    </row>
    <row r="122" spans="1:26">
      <c r="A122" s="29">
        <v>318</v>
      </c>
      <c r="B122" s="30">
        <f>B_Uspjeha!AI149</f>
        <v>0</v>
      </c>
      <c r="C122" s="39">
        <f>B_Uspjeha!AP149</f>
        <v>0</v>
      </c>
      <c r="D122" s="4"/>
      <c r="E122" s="4"/>
      <c r="F122" s="4"/>
      <c r="G122" s="4"/>
      <c r="H122" s="4"/>
      <c r="I122" s="4"/>
      <c r="J122" s="4"/>
      <c r="K122" s="4"/>
      <c r="L122" s="4"/>
      <c r="M122" s="4"/>
      <c r="N122" s="4"/>
      <c r="O122" s="4"/>
      <c r="P122" s="4"/>
      <c r="Q122" s="4"/>
      <c r="R122" s="4"/>
      <c r="S122" s="4"/>
      <c r="T122" s="4"/>
      <c r="U122" s="4"/>
      <c r="V122" s="4"/>
      <c r="W122" s="4"/>
      <c r="X122" s="4"/>
      <c r="Y122" s="4"/>
      <c r="Z122" s="37"/>
    </row>
    <row r="123" spans="1:26">
      <c r="A123" s="29">
        <v>319</v>
      </c>
      <c r="B123" s="30">
        <f>B_Uspjeha!AI150</f>
        <v>0</v>
      </c>
      <c r="C123" s="39">
        <f>B_Uspjeha!AP150</f>
        <v>91307</v>
      </c>
      <c r="D123" s="4"/>
      <c r="E123" s="4"/>
      <c r="F123" s="4"/>
      <c r="G123" s="4"/>
      <c r="H123" s="4"/>
      <c r="I123" s="4"/>
      <c r="J123" s="4"/>
      <c r="K123" s="4"/>
      <c r="L123" s="4"/>
      <c r="M123" s="4"/>
      <c r="N123" s="4"/>
      <c r="O123" s="4"/>
      <c r="P123" s="4"/>
      <c r="Q123" s="4"/>
      <c r="R123" s="4"/>
      <c r="S123" s="4"/>
      <c r="T123" s="4"/>
      <c r="U123" s="4"/>
      <c r="V123" s="4"/>
      <c r="W123" s="4"/>
      <c r="X123" s="4"/>
      <c r="Y123" s="4"/>
      <c r="Z123" s="37"/>
    </row>
    <row r="124" spans="1:26">
      <c r="A124" s="29">
        <v>320</v>
      </c>
      <c r="B124" s="30">
        <f>B_Uspjeha!AI151</f>
        <v>59197</v>
      </c>
      <c r="C124" s="39">
        <f>B_Uspjeha!AP151</f>
        <v>0</v>
      </c>
      <c r="D124" s="4"/>
      <c r="E124" s="4"/>
      <c r="F124" s="4"/>
      <c r="G124" s="4"/>
      <c r="H124" s="4"/>
      <c r="I124" s="4"/>
      <c r="J124" s="4"/>
      <c r="K124" s="4"/>
      <c r="L124" s="4"/>
      <c r="M124" s="4"/>
      <c r="N124" s="4"/>
      <c r="O124" s="4"/>
      <c r="P124" s="4"/>
      <c r="Q124" s="4"/>
      <c r="R124" s="4"/>
      <c r="S124" s="4"/>
      <c r="T124" s="4"/>
      <c r="U124" s="4"/>
      <c r="V124" s="4"/>
      <c r="W124" s="4"/>
      <c r="X124" s="4"/>
      <c r="Y124" s="4"/>
      <c r="Z124" s="37"/>
    </row>
    <row r="125" spans="1:26">
      <c r="A125" s="29">
        <v>321</v>
      </c>
      <c r="B125" s="30">
        <f>B_Uspjeha!AI152</f>
        <v>0</v>
      </c>
      <c r="C125" s="39">
        <f>B_Uspjeha!AP152</f>
        <v>0</v>
      </c>
      <c r="D125" s="4"/>
      <c r="E125" s="4"/>
      <c r="F125" s="4"/>
      <c r="G125" s="4"/>
      <c r="H125" s="4"/>
      <c r="I125" s="4"/>
      <c r="J125" s="4"/>
      <c r="K125" s="4"/>
      <c r="L125" s="4"/>
      <c r="M125" s="4"/>
      <c r="N125" s="4"/>
      <c r="O125" s="4"/>
      <c r="P125" s="4"/>
      <c r="Q125" s="4"/>
      <c r="R125" s="4"/>
      <c r="S125" s="4"/>
      <c r="T125" s="4"/>
      <c r="U125" s="4"/>
      <c r="V125" s="4"/>
      <c r="W125" s="4"/>
      <c r="X125" s="4"/>
      <c r="Y125" s="4"/>
      <c r="Z125" s="37"/>
    </row>
    <row r="126" spans="1:26">
      <c r="A126" s="29">
        <v>322</v>
      </c>
      <c r="B126" s="30">
        <f>B_Uspjeha!AI153</f>
        <v>0</v>
      </c>
      <c r="C126" s="39">
        <f>B_Uspjeha!AP153</f>
        <v>91307</v>
      </c>
      <c r="D126" s="4"/>
      <c r="E126" s="4"/>
      <c r="F126" s="4"/>
      <c r="G126" s="4"/>
      <c r="H126" s="4"/>
      <c r="I126" s="4"/>
      <c r="J126" s="4"/>
      <c r="K126" s="4"/>
      <c r="L126" s="4"/>
      <c r="M126" s="4"/>
      <c r="N126" s="4"/>
      <c r="O126" s="4"/>
      <c r="P126" s="4"/>
      <c r="Q126" s="4"/>
      <c r="R126" s="4"/>
      <c r="S126" s="4"/>
      <c r="T126" s="4"/>
      <c r="U126" s="4"/>
      <c r="V126" s="4"/>
      <c r="W126" s="4"/>
      <c r="X126" s="4"/>
      <c r="Y126" s="4"/>
      <c r="Z126" s="37"/>
    </row>
    <row r="127" spans="1:26">
      <c r="A127" s="29">
        <v>323</v>
      </c>
      <c r="B127" s="30">
        <f>B_Uspjeha!AI154</f>
        <v>59197</v>
      </c>
      <c r="C127" s="39">
        <f>B_Uspjeha!AP154</f>
        <v>0</v>
      </c>
      <c r="D127" s="4"/>
      <c r="E127" s="4"/>
      <c r="F127" s="4"/>
      <c r="G127" s="4"/>
      <c r="H127" s="4"/>
      <c r="I127" s="4"/>
      <c r="J127" s="4"/>
      <c r="K127" s="4"/>
      <c r="L127" s="4"/>
      <c r="M127" s="4"/>
      <c r="N127" s="4"/>
      <c r="O127" s="4"/>
      <c r="P127" s="4"/>
      <c r="Q127" s="4"/>
      <c r="R127" s="4"/>
      <c r="S127" s="4"/>
      <c r="T127" s="4"/>
      <c r="U127" s="4"/>
      <c r="V127" s="4"/>
      <c r="W127" s="4"/>
      <c r="X127" s="4"/>
      <c r="Y127" s="4"/>
      <c r="Z127" s="37"/>
    </row>
    <row r="128" spans="1:26">
      <c r="A128" s="29">
        <v>324</v>
      </c>
      <c r="B128" s="30">
        <f>B_Uspjeha!AI159</f>
        <v>0</v>
      </c>
      <c r="C128" s="39">
        <f>B_Uspjeha!AP159</f>
        <v>0</v>
      </c>
      <c r="D128" s="4"/>
      <c r="E128" s="4"/>
      <c r="F128" s="4"/>
      <c r="G128" s="4"/>
      <c r="H128" s="4"/>
      <c r="I128" s="4"/>
      <c r="J128" s="4"/>
      <c r="K128" s="4"/>
      <c r="L128" s="4"/>
      <c r="M128" s="4"/>
      <c r="N128" s="4"/>
      <c r="O128" s="4"/>
      <c r="P128" s="4"/>
      <c r="Q128" s="4"/>
      <c r="R128" s="4"/>
      <c r="S128" s="4"/>
      <c r="T128" s="4"/>
      <c r="U128" s="4"/>
      <c r="V128" s="4"/>
      <c r="W128" s="4"/>
      <c r="X128" s="4"/>
      <c r="Y128" s="4"/>
      <c r="Z128" s="37"/>
    </row>
    <row r="129" spans="1:26">
      <c r="A129" s="29">
        <v>325</v>
      </c>
      <c r="B129" s="30">
        <f>B_Uspjeha!AI160</f>
        <v>0</v>
      </c>
      <c r="C129" s="39">
        <f>B_Uspjeha!AP160</f>
        <v>0</v>
      </c>
      <c r="D129" s="4"/>
      <c r="E129" s="4"/>
      <c r="F129" s="4"/>
      <c r="G129" s="4"/>
      <c r="H129" s="4"/>
      <c r="I129" s="4"/>
      <c r="J129" s="4"/>
      <c r="K129" s="4"/>
      <c r="L129" s="4"/>
      <c r="M129" s="4"/>
      <c r="N129" s="4"/>
      <c r="O129" s="4"/>
      <c r="P129" s="4"/>
      <c r="Q129" s="4"/>
      <c r="R129" s="4"/>
      <c r="S129" s="4"/>
      <c r="T129" s="4"/>
      <c r="U129" s="4"/>
      <c r="V129" s="4"/>
      <c r="W129" s="4"/>
      <c r="X129" s="4"/>
      <c r="Y129" s="4"/>
      <c r="Z129" s="37"/>
    </row>
    <row r="130" spans="1:26">
      <c r="A130" s="29">
        <v>326</v>
      </c>
      <c r="B130" s="30">
        <f>B_Uspjeha!AI161</f>
        <v>0</v>
      </c>
      <c r="C130" s="39">
        <f>B_Uspjeha!AP161</f>
        <v>0</v>
      </c>
      <c r="D130" s="4"/>
      <c r="E130" s="4"/>
      <c r="F130" s="4"/>
      <c r="G130" s="4"/>
      <c r="H130" s="4"/>
      <c r="I130" s="4"/>
      <c r="J130" s="4"/>
      <c r="K130" s="4"/>
      <c r="L130" s="4"/>
      <c r="M130" s="4"/>
      <c r="N130" s="4"/>
      <c r="O130" s="4"/>
      <c r="P130" s="4"/>
      <c r="Q130" s="4"/>
      <c r="R130" s="4"/>
      <c r="S130" s="4"/>
      <c r="T130" s="4"/>
      <c r="U130" s="4"/>
      <c r="V130" s="4"/>
      <c r="W130" s="4"/>
      <c r="X130" s="4"/>
      <c r="Y130" s="4"/>
      <c r="Z130" s="37"/>
    </row>
    <row r="131" spans="1:26">
      <c r="A131" s="29">
        <v>327</v>
      </c>
      <c r="B131" s="30">
        <f>B_Uspjeha!AI162</f>
        <v>0</v>
      </c>
      <c r="C131" s="39">
        <f>B_Uspjeha!AP162</f>
        <v>0</v>
      </c>
      <c r="D131" s="4"/>
      <c r="E131" s="4"/>
      <c r="F131" s="4"/>
      <c r="G131" s="4"/>
      <c r="H131" s="4"/>
      <c r="I131" s="4"/>
      <c r="J131" s="4"/>
      <c r="K131" s="4"/>
      <c r="L131" s="4"/>
      <c r="M131" s="4"/>
      <c r="N131" s="4"/>
      <c r="O131" s="4"/>
      <c r="P131" s="4"/>
      <c r="Q131" s="4"/>
      <c r="R131" s="4"/>
      <c r="S131" s="4"/>
      <c r="T131" s="4"/>
      <c r="U131" s="4"/>
      <c r="V131" s="4"/>
      <c r="W131" s="4"/>
      <c r="X131" s="4"/>
      <c r="Y131" s="4"/>
      <c r="Z131" s="37"/>
    </row>
    <row r="132" spans="1:26">
      <c r="A132" s="29">
        <v>328</v>
      </c>
      <c r="B132" s="30">
        <f>B_Uspjeha!AI163</f>
        <v>0</v>
      </c>
      <c r="C132" s="39">
        <f>B_Uspjeha!AP163</f>
        <v>0</v>
      </c>
      <c r="D132" s="4"/>
      <c r="E132" s="4"/>
      <c r="F132" s="4"/>
      <c r="G132" s="4"/>
      <c r="H132" s="4"/>
      <c r="I132" s="4"/>
      <c r="J132" s="4"/>
      <c r="K132" s="4"/>
      <c r="L132" s="4"/>
      <c r="M132" s="4"/>
      <c r="N132" s="4"/>
      <c r="O132" s="4"/>
      <c r="P132" s="4"/>
      <c r="Q132" s="4"/>
      <c r="R132" s="4"/>
      <c r="S132" s="4"/>
      <c r="T132" s="4"/>
      <c r="U132" s="4"/>
      <c r="V132" s="4"/>
      <c r="W132" s="4"/>
      <c r="X132" s="4"/>
      <c r="Y132" s="4"/>
      <c r="Z132" s="37"/>
    </row>
    <row r="133" spans="1:26">
      <c r="A133" s="29">
        <v>329</v>
      </c>
      <c r="B133" s="30">
        <f>B_Uspjeha!AI164</f>
        <v>0</v>
      </c>
      <c r="C133" s="39">
        <f>B_Uspjeha!AP164</f>
        <v>0</v>
      </c>
      <c r="D133" s="4"/>
      <c r="E133" s="4"/>
      <c r="F133" s="4"/>
      <c r="G133" s="4"/>
      <c r="H133" s="4"/>
      <c r="I133" s="4"/>
      <c r="J133" s="4"/>
      <c r="K133" s="4"/>
      <c r="L133" s="4"/>
      <c r="M133" s="4"/>
      <c r="N133" s="4"/>
      <c r="O133" s="4"/>
      <c r="P133" s="4"/>
      <c r="Q133" s="4"/>
      <c r="R133" s="4"/>
      <c r="S133" s="4"/>
      <c r="T133" s="4"/>
      <c r="U133" s="4"/>
      <c r="V133" s="4"/>
      <c r="W133" s="4"/>
      <c r="X133" s="4"/>
      <c r="Y133" s="4"/>
      <c r="Z133" s="37"/>
    </row>
    <row r="134" spans="1:26">
      <c r="A134" s="29">
        <v>330</v>
      </c>
      <c r="B134" s="30">
        <f>B_Uspjeha!AI165</f>
        <v>0</v>
      </c>
      <c r="C134" s="39">
        <f>B_Uspjeha!AP165</f>
        <v>0</v>
      </c>
      <c r="D134" s="4"/>
      <c r="E134" s="4"/>
      <c r="F134" s="4"/>
      <c r="G134" s="4"/>
      <c r="H134" s="4"/>
      <c r="I134" s="4"/>
      <c r="J134" s="4"/>
      <c r="K134" s="4"/>
      <c r="L134" s="4"/>
      <c r="M134" s="4"/>
      <c r="N134" s="4"/>
      <c r="O134" s="4"/>
      <c r="P134" s="4"/>
      <c r="Q134" s="4"/>
      <c r="R134" s="4"/>
      <c r="S134" s="4"/>
      <c r="T134" s="4"/>
      <c r="U134" s="4"/>
      <c r="V134" s="4"/>
      <c r="W134" s="4"/>
      <c r="X134" s="4"/>
      <c r="Y134" s="4"/>
      <c r="Z134" s="37"/>
    </row>
    <row r="135" spans="1:26">
      <c r="A135" s="29">
        <v>331</v>
      </c>
      <c r="B135" s="30">
        <f>B_Uspjeha!AI166</f>
        <v>0</v>
      </c>
      <c r="C135" s="39">
        <f>B_Uspjeha!AP166</f>
        <v>0</v>
      </c>
      <c r="D135" s="4"/>
      <c r="E135" s="4"/>
      <c r="F135" s="4"/>
      <c r="G135" s="4"/>
      <c r="H135" s="4"/>
      <c r="I135" s="4"/>
      <c r="J135" s="4"/>
      <c r="K135" s="4"/>
      <c r="L135" s="4"/>
      <c r="M135" s="4"/>
      <c r="N135" s="4"/>
      <c r="O135" s="4"/>
      <c r="P135" s="4"/>
      <c r="Q135" s="4"/>
      <c r="R135" s="4"/>
      <c r="S135" s="4"/>
      <c r="T135" s="4"/>
      <c r="U135" s="4"/>
      <c r="V135" s="4"/>
      <c r="W135" s="4"/>
      <c r="X135" s="4"/>
      <c r="Y135" s="4"/>
      <c r="Z135" s="37"/>
    </row>
    <row r="136" spans="1:26">
      <c r="A136" s="29">
        <v>332</v>
      </c>
      <c r="B136" s="30">
        <f>B_Uspjeha!AI167</f>
        <v>0</v>
      </c>
      <c r="C136" s="39">
        <f>B_Uspjeha!AP167</f>
        <v>0</v>
      </c>
      <c r="D136" s="4"/>
      <c r="E136" s="4"/>
      <c r="F136" s="4"/>
      <c r="G136" s="4"/>
      <c r="H136" s="4"/>
      <c r="I136" s="4"/>
      <c r="J136" s="4"/>
      <c r="K136" s="4"/>
      <c r="L136" s="4"/>
      <c r="M136" s="4"/>
      <c r="N136" s="4"/>
      <c r="O136" s="4"/>
      <c r="P136" s="4"/>
      <c r="Q136" s="4"/>
      <c r="R136" s="4"/>
      <c r="S136" s="4"/>
      <c r="T136" s="4"/>
      <c r="U136" s="4"/>
      <c r="V136" s="4"/>
      <c r="W136" s="4"/>
      <c r="X136" s="4"/>
      <c r="Y136" s="4"/>
      <c r="Z136" s="37"/>
    </row>
    <row r="137" spans="1:26">
      <c r="A137" s="29">
        <v>333</v>
      </c>
      <c r="B137" s="30">
        <f>B_Uspjeha!AI168</f>
        <v>0</v>
      </c>
      <c r="C137" s="39">
        <f>B_Uspjeha!AP168</f>
        <v>0</v>
      </c>
      <c r="D137" s="4"/>
      <c r="E137" s="4"/>
      <c r="F137" s="4"/>
      <c r="G137" s="4"/>
      <c r="H137" s="4"/>
      <c r="I137" s="4"/>
      <c r="J137" s="4"/>
      <c r="K137" s="4"/>
      <c r="L137" s="4"/>
      <c r="M137" s="4"/>
      <c r="N137" s="4"/>
      <c r="O137" s="4"/>
      <c r="P137" s="4"/>
      <c r="Q137" s="4"/>
      <c r="R137" s="4"/>
      <c r="S137" s="4"/>
      <c r="T137" s="4"/>
      <c r="U137" s="4"/>
      <c r="V137" s="4"/>
      <c r="W137" s="4"/>
      <c r="X137" s="4"/>
      <c r="Y137" s="4"/>
      <c r="Z137" s="37"/>
    </row>
    <row r="138" spans="1:26">
      <c r="A138" s="29">
        <v>334</v>
      </c>
      <c r="B138" s="30">
        <f>B_Uspjeha!AI169</f>
        <v>0</v>
      </c>
      <c r="C138" s="39">
        <f>B_Uspjeha!AP169</f>
        <v>0</v>
      </c>
      <c r="D138" s="4"/>
      <c r="E138" s="4"/>
      <c r="F138" s="4"/>
      <c r="G138" s="4"/>
      <c r="H138" s="4"/>
      <c r="I138" s="4"/>
      <c r="J138" s="4"/>
      <c r="K138" s="4"/>
      <c r="L138" s="4"/>
      <c r="M138" s="4"/>
      <c r="N138" s="4"/>
      <c r="O138" s="4"/>
      <c r="P138" s="4"/>
      <c r="Q138" s="4"/>
      <c r="R138" s="4"/>
      <c r="S138" s="4"/>
      <c r="T138" s="4"/>
      <c r="U138" s="4"/>
      <c r="V138" s="4"/>
      <c r="W138" s="4"/>
      <c r="X138" s="4"/>
      <c r="Y138" s="4"/>
      <c r="Z138" s="37"/>
    </row>
    <row r="139" spans="1:26">
      <c r="A139" s="29">
        <v>335</v>
      </c>
      <c r="B139" s="30">
        <f>B_Uspjeha!AI170</f>
        <v>0</v>
      </c>
      <c r="C139" s="39">
        <f>B_Uspjeha!AP170</f>
        <v>0</v>
      </c>
      <c r="D139" s="4"/>
      <c r="E139" s="4"/>
      <c r="F139" s="4"/>
      <c r="G139" s="4"/>
      <c r="H139" s="4"/>
      <c r="I139" s="4"/>
      <c r="J139" s="4"/>
      <c r="K139" s="4"/>
      <c r="L139" s="4"/>
      <c r="M139" s="4"/>
      <c r="N139" s="4"/>
      <c r="O139" s="4"/>
      <c r="P139" s="4"/>
      <c r="Q139" s="4"/>
      <c r="R139" s="4"/>
      <c r="S139" s="4"/>
      <c r="T139" s="4"/>
      <c r="U139" s="4"/>
      <c r="V139" s="4"/>
      <c r="W139" s="4"/>
      <c r="X139" s="4"/>
      <c r="Y139" s="4"/>
      <c r="Z139" s="37"/>
    </row>
    <row r="140" spans="1:26">
      <c r="A140" s="29">
        <v>336</v>
      </c>
      <c r="B140" s="30">
        <f>B_Uspjeha!AI171</f>
        <v>0</v>
      </c>
      <c r="C140" s="39">
        <f>B_Uspjeha!AP171</f>
        <v>0</v>
      </c>
      <c r="D140" s="4"/>
      <c r="E140" s="4"/>
      <c r="F140" s="4"/>
      <c r="G140" s="4"/>
      <c r="H140" s="4"/>
      <c r="I140" s="4"/>
      <c r="J140" s="4"/>
      <c r="K140" s="4"/>
      <c r="L140" s="4"/>
      <c r="M140" s="4"/>
      <c r="N140" s="4"/>
      <c r="O140" s="4"/>
      <c r="P140" s="4"/>
      <c r="Q140" s="4"/>
      <c r="R140" s="4"/>
      <c r="S140" s="4"/>
      <c r="T140" s="4"/>
      <c r="U140" s="4"/>
      <c r="V140" s="4"/>
      <c r="W140" s="4"/>
      <c r="X140" s="4"/>
      <c r="Y140" s="4"/>
      <c r="Z140" s="37"/>
    </row>
    <row r="141" spans="1:26">
      <c r="A141" s="29">
        <v>337</v>
      </c>
      <c r="B141" s="30">
        <f>B_Uspjeha!AI172</f>
        <v>0</v>
      </c>
      <c r="C141" s="39">
        <f>B_Uspjeha!AP172</f>
        <v>0</v>
      </c>
      <c r="D141" s="4"/>
      <c r="E141" s="4"/>
      <c r="F141" s="4"/>
      <c r="G141" s="4"/>
      <c r="H141" s="4"/>
      <c r="I141" s="4"/>
      <c r="J141" s="4"/>
      <c r="K141" s="4"/>
      <c r="L141" s="4"/>
      <c r="M141" s="4"/>
      <c r="N141" s="4"/>
      <c r="O141" s="4"/>
      <c r="P141" s="4"/>
      <c r="Q141" s="4"/>
      <c r="R141" s="4"/>
      <c r="S141" s="4"/>
      <c r="T141" s="4"/>
      <c r="U141" s="4"/>
      <c r="V141" s="4"/>
      <c r="W141" s="4"/>
      <c r="X141" s="4"/>
      <c r="Y141" s="4"/>
      <c r="Z141" s="37"/>
    </row>
    <row r="142" spans="1:26">
      <c r="A142" s="29">
        <v>338</v>
      </c>
      <c r="B142" s="30">
        <f>B_Uspjeha!AI173</f>
        <v>0</v>
      </c>
      <c r="C142" s="39">
        <f>B_Uspjeha!AP173</f>
        <v>0</v>
      </c>
      <c r="D142" s="4"/>
      <c r="E142" s="4"/>
      <c r="F142" s="4"/>
      <c r="G142" s="4"/>
      <c r="H142" s="4"/>
      <c r="I142" s="4"/>
      <c r="J142" s="4"/>
      <c r="K142" s="4"/>
      <c r="L142" s="4"/>
      <c r="M142" s="4"/>
      <c r="N142" s="4"/>
      <c r="O142" s="4"/>
      <c r="P142" s="4"/>
      <c r="Q142" s="4"/>
      <c r="R142" s="4"/>
      <c r="S142" s="4"/>
      <c r="T142" s="4"/>
      <c r="U142" s="4"/>
      <c r="V142" s="4"/>
      <c r="W142" s="4"/>
      <c r="X142" s="4"/>
      <c r="Y142" s="4"/>
      <c r="Z142" s="37"/>
    </row>
    <row r="143" spans="1:26">
      <c r="A143" s="29">
        <v>339</v>
      </c>
      <c r="B143" s="30">
        <f>B_Uspjeha!AI174</f>
        <v>-59197</v>
      </c>
      <c r="C143" s="39">
        <f>B_Uspjeha!AP174</f>
        <v>91307</v>
      </c>
      <c r="D143" s="4"/>
      <c r="E143" s="4"/>
      <c r="F143" s="4"/>
      <c r="G143" s="4"/>
      <c r="H143" s="4"/>
      <c r="I143" s="4"/>
      <c r="J143" s="4"/>
      <c r="K143" s="4"/>
      <c r="L143" s="4"/>
      <c r="M143" s="4"/>
      <c r="N143" s="4"/>
      <c r="O143" s="4"/>
      <c r="P143" s="4"/>
      <c r="Q143" s="4"/>
      <c r="R143" s="4"/>
      <c r="S143" s="4"/>
      <c r="T143" s="4"/>
      <c r="U143" s="4"/>
      <c r="V143" s="4"/>
      <c r="W143" s="4"/>
      <c r="X143" s="4"/>
      <c r="Y143" s="4"/>
      <c r="Z143" s="37"/>
    </row>
    <row r="144" spans="1:26">
      <c r="A144" s="29"/>
      <c r="B144" s="30">
        <f>B_Uspjeha!AI175</f>
        <v>0</v>
      </c>
      <c r="C144" s="39">
        <f>B_Uspjeha!AP175</f>
        <v>0</v>
      </c>
      <c r="D144" s="4"/>
      <c r="E144" s="4"/>
      <c r="F144" s="4"/>
      <c r="G144" s="4"/>
      <c r="H144" s="4"/>
      <c r="I144" s="4"/>
      <c r="J144" s="4"/>
      <c r="K144" s="4"/>
      <c r="L144" s="4"/>
      <c r="M144" s="4"/>
      <c r="N144" s="4"/>
      <c r="O144" s="4"/>
      <c r="P144" s="4"/>
      <c r="Q144" s="4"/>
      <c r="R144" s="4"/>
      <c r="S144" s="4"/>
      <c r="T144" s="4"/>
      <c r="U144" s="4"/>
      <c r="V144" s="4"/>
      <c r="W144" s="4"/>
      <c r="X144" s="4"/>
      <c r="Y144" s="4"/>
      <c r="Z144" s="37"/>
    </row>
    <row r="145" spans="1:27">
      <c r="A145" s="29">
        <v>340</v>
      </c>
      <c r="B145" s="30">
        <f>B_Uspjeha!AI176</f>
        <v>0</v>
      </c>
      <c r="C145" s="39">
        <f>B_Uspjeha!AP176</f>
        <v>0</v>
      </c>
      <c r="D145" s="4"/>
      <c r="E145" s="4"/>
      <c r="F145" s="4"/>
      <c r="G145" s="4"/>
      <c r="H145" s="4"/>
      <c r="I145" s="4"/>
      <c r="J145" s="4"/>
      <c r="K145" s="4"/>
      <c r="L145" s="4"/>
      <c r="M145" s="4"/>
      <c r="N145" s="4"/>
      <c r="O145" s="4"/>
      <c r="P145" s="4"/>
      <c r="Q145" s="4"/>
      <c r="R145" s="4"/>
      <c r="S145" s="4"/>
      <c r="T145" s="4"/>
      <c r="U145" s="4"/>
      <c r="V145" s="4"/>
      <c r="W145" s="4"/>
      <c r="X145" s="4"/>
      <c r="Y145" s="4"/>
      <c r="Z145" s="37"/>
    </row>
    <row r="146" spans="1:27">
      <c r="A146" s="29">
        <v>341</v>
      </c>
      <c r="B146" s="30">
        <f>B_Uspjeha!AI177</f>
        <v>0</v>
      </c>
      <c r="C146" s="39">
        <f>B_Uspjeha!AP177</f>
        <v>0</v>
      </c>
      <c r="D146" s="4"/>
      <c r="E146" s="4"/>
      <c r="F146" s="4"/>
      <c r="G146" s="4"/>
      <c r="H146" s="4"/>
      <c r="I146" s="4"/>
      <c r="J146" s="4"/>
      <c r="K146" s="4"/>
      <c r="L146" s="4"/>
      <c r="M146" s="4"/>
      <c r="N146" s="4"/>
      <c r="O146" s="4"/>
      <c r="P146" s="4"/>
      <c r="Q146" s="4"/>
      <c r="R146" s="4"/>
      <c r="S146" s="4"/>
      <c r="T146" s="4"/>
      <c r="U146" s="4"/>
      <c r="V146" s="4"/>
      <c r="W146" s="4"/>
      <c r="X146" s="4"/>
      <c r="Y146" s="4"/>
      <c r="Z146" s="37"/>
    </row>
    <row r="147" spans="1:27">
      <c r="A147" s="29"/>
      <c r="B147" s="30">
        <f>B_Uspjeha!AI178</f>
        <v>0</v>
      </c>
      <c r="C147" s="39">
        <f>B_Uspjeha!AP178</f>
        <v>0</v>
      </c>
      <c r="D147" s="4"/>
      <c r="E147" s="4"/>
      <c r="F147" s="4"/>
      <c r="G147" s="4"/>
      <c r="H147" s="4"/>
      <c r="I147" s="4"/>
      <c r="J147" s="4"/>
      <c r="K147" s="4"/>
      <c r="L147" s="4"/>
      <c r="M147" s="4"/>
      <c r="N147" s="4"/>
      <c r="O147" s="4"/>
      <c r="P147" s="4"/>
      <c r="Q147" s="4"/>
      <c r="R147" s="4"/>
      <c r="S147" s="4"/>
      <c r="T147" s="4"/>
      <c r="U147" s="4"/>
      <c r="V147" s="4"/>
      <c r="W147" s="4"/>
      <c r="X147" s="4"/>
      <c r="Y147" s="4"/>
      <c r="Z147" s="37"/>
    </row>
    <row r="148" spans="1:27">
      <c r="A148" s="29">
        <v>342</v>
      </c>
      <c r="B148" s="30">
        <f>B_Uspjeha!AI179</f>
        <v>-59197</v>
      </c>
      <c r="C148" s="39">
        <f>B_Uspjeha!AP179</f>
        <v>0</v>
      </c>
      <c r="D148" s="4"/>
      <c r="E148" s="4"/>
      <c r="F148" s="4"/>
      <c r="G148" s="4"/>
      <c r="H148" s="4"/>
      <c r="I148" s="4"/>
      <c r="J148" s="4"/>
      <c r="K148" s="4"/>
      <c r="L148" s="4"/>
      <c r="M148" s="4"/>
      <c r="N148" s="4"/>
      <c r="O148" s="4"/>
      <c r="P148" s="4"/>
      <c r="Q148" s="4"/>
      <c r="R148" s="4"/>
      <c r="S148" s="4"/>
      <c r="T148" s="4"/>
      <c r="U148" s="4"/>
      <c r="V148" s="4"/>
      <c r="W148" s="4"/>
      <c r="X148" s="4"/>
      <c r="Y148" s="4"/>
      <c r="Z148" s="37"/>
    </row>
    <row r="149" spans="1:27">
      <c r="A149" s="29">
        <v>343</v>
      </c>
      <c r="B149" s="30">
        <f>B_Uspjeha!AI180</f>
        <v>0</v>
      </c>
      <c r="C149" s="39">
        <f>B_Uspjeha!AP180</f>
        <v>0</v>
      </c>
      <c r="D149" s="4"/>
      <c r="E149" s="4"/>
      <c r="F149" s="4"/>
      <c r="G149" s="4"/>
      <c r="H149" s="4"/>
      <c r="I149" s="4"/>
      <c r="J149" s="4"/>
      <c r="K149" s="4"/>
      <c r="L149" s="4"/>
      <c r="M149" s="4"/>
      <c r="N149" s="4"/>
      <c r="O149" s="4"/>
      <c r="P149" s="4"/>
      <c r="Q149" s="4"/>
      <c r="R149" s="4"/>
      <c r="S149" s="4"/>
      <c r="T149" s="4"/>
      <c r="U149" s="4"/>
      <c r="V149" s="4"/>
      <c r="W149" s="4"/>
      <c r="X149" s="4"/>
      <c r="Y149" s="4"/>
      <c r="Z149" s="37"/>
    </row>
    <row r="150" spans="1:27">
      <c r="A150" s="29"/>
      <c r="B150" s="30">
        <f>B_Uspjeha!AI181</f>
        <v>0</v>
      </c>
      <c r="C150" s="39">
        <f>B_Uspjeha!AP181</f>
        <v>0</v>
      </c>
      <c r="D150" s="4"/>
      <c r="E150" s="4"/>
      <c r="F150" s="4"/>
      <c r="G150" s="4"/>
      <c r="H150" s="4"/>
      <c r="I150" s="4"/>
      <c r="J150" s="4"/>
      <c r="K150" s="4"/>
      <c r="L150" s="4"/>
      <c r="M150" s="4"/>
      <c r="N150" s="4"/>
      <c r="O150" s="4"/>
      <c r="P150" s="4"/>
      <c r="Q150" s="4"/>
      <c r="R150" s="4"/>
      <c r="S150" s="4"/>
      <c r="T150" s="4"/>
      <c r="U150" s="4"/>
      <c r="V150" s="4"/>
      <c r="W150" s="4"/>
      <c r="X150" s="4"/>
      <c r="Y150" s="4"/>
      <c r="Z150" s="37"/>
    </row>
    <row r="151" spans="1:27">
      <c r="A151" s="29">
        <v>344</v>
      </c>
      <c r="B151" s="30">
        <f>B_Uspjeha!AI182</f>
        <v>-59197</v>
      </c>
      <c r="C151" s="39">
        <f>B_Uspjeha!AP182</f>
        <v>0</v>
      </c>
      <c r="D151" s="4"/>
      <c r="E151" s="4"/>
      <c r="F151" s="4"/>
      <c r="G151" s="4"/>
      <c r="H151" s="4"/>
      <c r="I151" s="4"/>
      <c r="J151" s="4"/>
      <c r="K151" s="4"/>
      <c r="L151" s="4"/>
      <c r="M151" s="4"/>
      <c r="N151" s="4"/>
      <c r="O151" s="4"/>
      <c r="P151" s="4"/>
      <c r="Q151" s="4"/>
      <c r="R151" s="4"/>
      <c r="S151" s="4"/>
      <c r="T151" s="4"/>
      <c r="U151" s="4"/>
      <c r="V151" s="4"/>
      <c r="W151" s="4"/>
      <c r="X151" s="4"/>
      <c r="Y151" s="4"/>
      <c r="Z151" s="37"/>
    </row>
    <row r="152" spans="1:27">
      <c r="A152" s="29">
        <v>345</v>
      </c>
      <c r="B152" s="30">
        <f>B_Uspjeha!AI183</f>
        <v>0</v>
      </c>
      <c r="C152" s="39">
        <f>B_Uspjeha!AP183</f>
        <v>0</v>
      </c>
      <c r="D152" s="4"/>
      <c r="E152" s="4"/>
      <c r="F152" s="4"/>
      <c r="G152" s="4"/>
      <c r="H152" s="4"/>
      <c r="I152" s="4"/>
      <c r="J152" s="4"/>
      <c r="K152" s="4"/>
      <c r="L152" s="4"/>
      <c r="M152" s="4"/>
      <c r="N152" s="4"/>
      <c r="O152" s="4"/>
      <c r="P152" s="4"/>
      <c r="Q152" s="4"/>
      <c r="R152" s="4"/>
      <c r="S152" s="4"/>
      <c r="T152" s="4"/>
      <c r="U152" s="4"/>
      <c r="V152" s="4"/>
      <c r="W152" s="4"/>
      <c r="X152" s="4"/>
      <c r="Y152" s="4"/>
      <c r="Z152" s="37"/>
    </row>
    <row r="153" ht="15" customHeight="1"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37"/>
    </row>
    <row r="154" ht="15" customHeight="1"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37"/>
    </row>
    <row r="155" ht="15" customHeight="1"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37"/>
    </row>
    <row r="156" ht="21" customHeight="1" spans="1:27">
      <c r="A156" s="7"/>
      <c r="B156" s="7" t="str">
        <f>"BILANS STANJA  - "&amp;Firma&amp;"_"&amp;UnosPod!$O$6&amp;UnosPod!$P$6&amp;"."&amp;UnosPod!$Q$6&amp;"_"&amp;IdBroj</f>
        <v>BILANS STANJA  - LILIUM ASSET MANAGEMENT d.o.o. Sarajevo_12.2025_4201337670009</v>
      </c>
      <c r="C156" s="40"/>
      <c r="D156" s="8"/>
      <c r="E156" s="8"/>
      <c r="F156" s="8"/>
      <c r="G156" s="41"/>
      <c r="H156" s="42"/>
      <c r="I156" s="43"/>
      <c r="J156" s="44"/>
      <c r="K156" s="44"/>
      <c r="L156" s="44"/>
      <c r="M156" s="44"/>
      <c r="N156" s="44"/>
      <c r="O156" s="44"/>
      <c r="P156" s="44"/>
      <c r="Q156" s="44"/>
      <c r="R156" s="44"/>
      <c r="S156" s="44"/>
      <c r="T156" s="44"/>
      <c r="U156" s="44"/>
      <c r="V156" s="44"/>
      <c r="W156" s="44"/>
      <c r="X156" s="44"/>
      <c r="Y156" s="44"/>
      <c r="Z156" s="45"/>
    </row>
    <row r="157" ht="21" customHeight="1" spans="1:27">
      <c r="A157" s="46"/>
      <c r="B157" s="47">
        <f ca="1">PoslGod</f>
        <v>2025</v>
      </c>
      <c r="C157" s="48">
        <f ca="1">PoslGod-1</f>
        <v>2024</v>
      </c>
      <c r="D157" s="49"/>
      <c r="E157" s="16"/>
      <c r="F157" s="16"/>
      <c r="G157" s="4"/>
      <c r="H157" s="4"/>
      <c r="I157" s="4"/>
      <c r="J157" s="4"/>
      <c r="K157" s="4"/>
      <c r="L157" s="4"/>
      <c r="M157" s="4"/>
      <c r="N157" s="4"/>
      <c r="O157" s="4"/>
      <c r="P157" s="4"/>
      <c r="Q157" s="4"/>
      <c r="R157" s="4"/>
      <c r="S157" s="4"/>
      <c r="T157" s="4"/>
      <c r="U157" s="4"/>
      <c r="V157" s="4"/>
      <c r="W157" s="4"/>
      <c r="X157" s="4"/>
      <c r="Y157" s="4"/>
      <c r="Z157" s="4"/>
    </row>
    <row r="158" ht="15.75" spans="1:27">
      <c r="A158" s="50" t="s">
        <v>2438</v>
      </c>
      <c r="B158" s="50" t="s">
        <v>4473</v>
      </c>
      <c r="C158" s="51" t="s">
        <v>8114</v>
      </c>
      <c r="D158" s="52"/>
      <c r="E158" s="15"/>
      <c r="F158" s="15"/>
      <c r="G158" s="4"/>
      <c r="H158" s="4"/>
      <c r="I158" s="4"/>
      <c r="J158" s="4"/>
      <c r="K158" s="4"/>
      <c r="L158" s="4"/>
      <c r="M158" s="4"/>
      <c r="N158" s="4"/>
      <c r="O158" s="4"/>
      <c r="P158" s="4"/>
      <c r="Q158" s="4"/>
      <c r="R158" s="4"/>
      <c r="S158" s="4"/>
      <c r="T158" s="4"/>
      <c r="U158" s="4"/>
      <c r="V158" s="4"/>
      <c r="W158" s="4"/>
      <c r="X158" s="4"/>
      <c r="Y158" s="4"/>
      <c r="Z158" s="11"/>
      <c r="AA158" s="2"/>
    </row>
    <row r="159" ht="14.25" spans="1:27">
      <c r="A159" s="53" t="s">
        <v>384</v>
      </c>
      <c r="B159" s="30">
        <f>B_Stanja!AI21</f>
        <v>22107</v>
      </c>
      <c r="C159" s="31">
        <f>B_Stanja!AP21</f>
        <v>151656</v>
      </c>
      <c r="D159" s="54"/>
      <c r="E159" s="33"/>
      <c r="F159" s="33"/>
      <c r="G159" s="4"/>
      <c r="H159" s="4"/>
      <c r="I159" s="4"/>
      <c r="J159" s="4"/>
      <c r="K159" s="4"/>
      <c r="L159" s="4"/>
      <c r="M159" s="4"/>
      <c r="N159" s="4"/>
      <c r="O159" s="4"/>
      <c r="P159" s="4"/>
      <c r="Q159" s="4"/>
      <c r="R159" s="4"/>
      <c r="S159" s="4"/>
      <c r="T159" s="4"/>
      <c r="U159" s="4"/>
      <c r="V159" s="4"/>
      <c r="W159" s="4"/>
      <c r="X159" s="4"/>
      <c r="Y159" s="4"/>
      <c r="Z159" s="11"/>
      <c r="AA159" s="2"/>
    </row>
    <row r="160" ht="14.25" spans="1:27">
      <c r="A160" s="53" t="s">
        <v>3874</v>
      </c>
      <c r="B160" s="30">
        <f>B_Stanja!AI22</f>
        <v>22107</v>
      </c>
      <c r="C160" s="31">
        <f>B_Stanja!AP22</f>
        <v>26656</v>
      </c>
      <c r="D160" s="54"/>
      <c r="E160" s="33"/>
      <c r="F160" s="33"/>
      <c r="G160" s="4"/>
      <c r="H160" s="4"/>
      <c r="I160" s="4"/>
      <c r="J160" s="4"/>
      <c r="K160" s="4"/>
      <c r="L160" s="4"/>
      <c r="M160" s="4"/>
      <c r="N160" s="4"/>
      <c r="O160" s="4"/>
      <c r="P160" s="4"/>
      <c r="Q160" s="4"/>
      <c r="R160" s="4"/>
      <c r="S160" s="4"/>
      <c r="T160" s="4"/>
      <c r="U160" s="4"/>
      <c r="V160" s="4"/>
      <c r="W160" s="4"/>
      <c r="X160" s="4"/>
      <c r="Y160" s="4"/>
      <c r="Z160" s="11"/>
      <c r="AA160" s="2"/>
    </row>
    <row r="161" ht="14.25" spans="1:27">
      <c r="A161" s="53" t="s">
        <v>405</v>
      </c>
      <c r="B161" s="30">
        <f>B_Stanja!AI23</f>
        <v>0</v>
      </c>
      <c r="C161" s="31">
        <f>B_Stanja!AP23</f>
        <v>0</v>
      </c>
      <c r="D161" s="54"/>
      <c r="E161" s="33"/>
      <c r="F161" s="33"/>
      <c r="G161" s="4"/>
      <c r="H161" s="4"/>
      <c r="I161" s="4"/>
      <c r="J161" s="4"/>
      <c r="K161" s="4"/>
      <c r="L161" s="4"/>
      <c r="M161" s="4"/>
      <c r="N161" s="4"/>
      <c r="O161" s="4"/>
      <c r="P161" s="4"/>
      <c r="Q161" s="4"/>
      <c r="R161" s="4"/>
      <c r="S161" s="4"/>
      <c r="T161" s="4"/>
      <c r="U161" s="4"/>
      <c r="V161" s="4"/>
      <c r="W161" s="4"/>
      <c r="X161" s="4"/>
      <c r="Y161" s="4"/>
      <c r="Z161" s="11"/>
      <c r="AA161" s="2"/>
    </row>
    <row r="162" ht="14.25" spans="1:27">
      <c r="A162" s="53" t="s">
        <v>3878</v>
      </c>
      <c r="B162" s="30">
        <f>B_Stanja!AI24</f>
        <v>0</v>
      </c>
      <c r="C162" s="31">
        <f>B_Stanja!AP24</f>
        <v>0</v>
      </c>
      <c r="D162" s="54"/>
      <c r="E162" s="33"/>
      <c r="F162" s="33"/>
      <c r="G162" s="4"/>
      <c r="H162" s="4"/>
      <c r="I162" s="4"/>
      <c r="J162" s="4"/>
      <c r="K162" s="4"/>
      <c r="L162" s="4"/>
      <c r="M162" s="4"/>
      <c r="N162" s="4"/>
      <c r="O162" s="4"/>
      <c r="P162" s="4"/>
      <c r="Q162" s="4"/>
      <c r="R162" s="4"/>
      <c r="S162" s="4"/>
      <c r="T162" s="4"/>
      <c r="U162" s="4"/>
      <c r="V162" s="4"/>
      <c r="W162" s="4"/>
      <c r="X162" s="4"/>
      <c r="Y162" s="4"/>
      <c r="Z162" s="11"/>
      <c r="AA162" s="2"/>
    </row>
    <row r="163" ht="14.25" spans="1:27">
      <c r="A163" s="53" t="s">
        <v>3881</v>
      </c>
      <c r="B163" s="30">
        <f>B_Stanja!AI25</f>
        <v>0</v>
      </c>
      <c r="C163" s="31">
        <f>B_Stanja!AP25</f>
        <v>0</v>
      </c>
      <c r="D163" s="54"/>
      <c r="E163" s="33"/>
      <c r="F163" s="33"/>
      <c r="G163" s="4"/>
      <c r="H163" s="4"/>
      <c r="I163" s="4"/>
      <c r="J163" s="4"/>
      <c r="K163" s="4"/>
      <c r="L163" s="4"/>
      <c r="M163" s="4"/>
      <c r="N163" s="4"/>
      <c r="O163" s="4"/>
      <c r="P163" s="4"/>
      <c r="Q163" s="4"/>
      <c r="R163" s="4"/>
      <c r="S163" s="4"/>
      <c r="T163" s="4"/>
      <c r="U163" s="4"/>
      <c r="V163" s="4"/>
      <c r="W163" s="4"/>
      <c r="X163" s="4"/>
      <c r="Y163" s="4"/>
      <c r="Z163" s="11"/>
      <c r="AA163" s="2"/>
    </row>
    <row r="164" ht="14.25" spans="1:27">
      <c r="A164" s="53" t="s">
        <v>3884</v>
      </c>
      <c r="B164" s="30">
        <f>B_Stanja!AI26</f>
        <v>22107</v>
      </c>
      <c r="C164" s="31">
        <f>B_Stanja!AP26</f>
        <v>26656</v>
      </c>
      <c r="D164" s="54"/>
      <c r="E164" s="33"/>
      <c r="F164" s="33"/>
      <c r="G164" s="4"/>
      <c r="H164" s="4"/>
      <c r="I164" s="4"/>
      <c r="J164" s="4"/>
      <c r="K164" s="4"/>
      <c r="L164" s="4"/>
      <c r="M164" s="4"/>
      <c r="N164" s="4"/>
      <c r="O164" s="4"/>
      <c r="P164" s="4"/>
      <c r="Q164" s="4"/>
      <c r="R164" s="4"/>
      <c r="S164" s="4"/>
      <c r="T164" s="4"/>
      <c r="U164" s="4"/>
      <c r="V164" s="4"/>
      <c r="W164" s="4"/>
      <c r="X164" s="4"/>
      <c r="Y164" s="4"/>
      <c r="Z164" s="11"/>
      <c r="AA164" s="2"/>
    </row>
    <row r="165" ht="14.25" spans="1:27">
      <c r="A165" s="53" t="s">
        <v>3887</v>
      </c>
      <c r="B165" s="30">
        <f>B_Stanja!AI27</f>
        <v>0</v>
      </c>
      <c r="C165" s="31">
        <f>B_Stanja!AP27</f>
        <v>0</v>
      </c>
      <c r="D165" s="54"/>
      <c r="E165" s="33"/>
      <c r="F165" s="33"/>
      <c r="G165" s="4"/>
      <c r="H165" s="4"/>
      <c r="I165" s="4"/>
      <c r="J165" s="4"/>
      <c r="K165" s="4"/>
      <c r="L165" s="4"/>
      <c r="M165" s="4"/>
      <c r="N165" s="4"/>
      <c r="O165" s="4"/>
      <c r="P165" s="4"/>
      <c r="Q165" s="4"/>
      <c r="R165" s="4"/>
      <c r="S165" s="4"/>
      <c r="T165" s="4"/>
      <c r="U165" s="4"/>
      <c r="V165" s="4"/>
      <c r="W165" s="4"/>
      <c r="X165" s="4"/>
      <c r="Y165" s="4"/>
      <c r="Z165" s="11"/>
      <c r="AA165" s="2"/>
    </row>
    <row r="166" ht="14.25" spans="1:27">
      <c r="A166" s="53" t="s">
        <v>423</v>
      </c>
      <c r="B166" s="30">
        <f>B_Stanja!AI28</f>
        <v>0</v>
      </c>
      <c r="C166" s="31">
        <f>B_Stanja!AP28</f>
        <v>0</v>
      </c>
      <c r="D166" s="54"/>
      <c r="E166" s="33"/>
      <c r="F166" s="33"/>
      <c r="G166" s="4"/>
      <c r="H166" s="4"/>
      <c r="I166" s="4"/>
      <c r="J166" s="4"/>
      <c r="K166" s="4"/>
      <c r="L166" s="4"/>
      <c r="M166" s="4"/>
      <c r="N166" s="4"/>
      <c r="O166" s="4"/>
      <c r="P166" s="4"/>
      <c r="Q166" s="4"/>
      <c r="R166" s="4"/>
      <c r="S166" s="4"/>
      <c r="T166" s="4"/>
      <c r="U166" s="4"/>
      <c r="V166" s="4"/>
      <c r="W166" s="4"/>
      <c r="X166" s="4"/>
      <c r="Y166" s="4"/>
      <c r="Z166" s="11"/>
      <c r="AA166" s="2"/>
    </row>
    <row r="167" ht="14.25" spans="1:27">
      <c r="A167" s="53" t="s">
        <v>3892</v>
      </c>
      <c r="B167" s="30">
        <f>B_Stanja!AI29</f>
        <v>0</v>
      </c>
      <c r="C167" s="31">
        <f>B_Stanja!AP29</f>
        <v>0</v>
      </c>
      <c r="D167" s="54"/>
      <c r="E167" s="33"/>
      <c r="F167" s="33"/>
      <c r="G167" s="4"/>
      <c r="H167" s="4"/>
      <c r="I167" s="4"/>
      <c r="J167" s="4"/>
      <c r="K167" s="4"/>
      <c r="L167" s="4"/>
      <c r="M167" s="4"/>
      <c r="N167" s="4"/>
      <c r="O167" s="4"/>
      <c r="P167" s="4"/>
      <c r="Q167" s="4"/>
      <c r="R167" s="4"/>
      <c r="S167" s="4"/>
      <c r="T167" s="4"/>
      <c r="U167" s="4"/>
      <c r="V167" s="4"/>
      <c r="W167" s="4"/>
      <c r="X167" s="4"/>
      <c r="Y167" s="4"/>
      <c r="Z167" s="11"/>
      <c r="AA167" s="2"/>
    </row>
    <row r="168" ht="14.25" spans="1:27">
      <c r="A168" s="53" t="s">
        <v>3894</v>
      </c>
      <c r="B168" s="30">
        <f>B_Stanja!AI30</f>
        <v>0</v>
      </c>
      <c r="C168" s="31">
        <f>B_Stanja!AP30</f>
        <v>0</v>
      </c>
      <c r="D168" s="54"/>
      <c r="E168" s="33"/>
      <c r="F168" s="33"/>
      <c r="G168" s="4"/>
      <c r="H168" s="4"/>
      <c r="I168" s="4"/>
      <c r="J168" s="4"/>
      <c r="K168" s="4"/>
      <c r="L168" s="4"/>
      <c r="M168" s="4"/>
      <c r="N168" s="4"/>
      <c r="O168" s="4"/>
      <c r="P168" s="4"/>
      <c r="Q168" s="4"/>
      <c r="R168" s="4"/>
      <c r="S168" s="4"/>
      <c r="T168" s="4"/>
      <c r="U168" s="4"/>
      <c r="V168" s="4"/>
      <c r="W168" s="4"/>
      <c r="X168" s="4"/>
      <c r="Y168" s="4"/>
      <c r="Z168" s="11"/>
      <c r="AA168" s="2"/>
    </row>
    <row r="169" ht="14.25" spans="1:27">
      <c r="A169" s="53" t="s">
        <v>441</v>
      </c>
      <c r="B169" s="30">
        <f>B_Stanja!AI31</f>
        <v>0</v>
      </c>
      <c r="C169" s="31">
        <f>B_Stanja!AP31</f>
        <v>0</v>
      </c>
      <c r="D169" s="54"/>
      <c r="E169" s="33"/>
      <c r="F169" s="33"/>
      <c r="G169" s="4"/>
      <c r="H169" s="4"/>
      <c r="I169" s="4"/>
      <c r="J169" s="4"/>
      <c r="K169" s="4"/>
      <c r="L169" s="4"/>
      <c r="M169" s="4"/>
      <c r="N169" s="4"/>
      <c r="O169" s="4"/>
      <c r="P169" s="4"/>
      <c r="Q169" s="4"/>
      <c r="R169" s="4"/>
      <c r="S169" s="4"/>
      <c r="T169" s="4"/>
      <c r="U169" s="4"/>
      <c r="V169" s="4"/>
      <c r="W169" s="4"/>
      <c r="X169" s="4"/>
      <c r="Y169" s="4"/>
      <c r="Z169" s="11"/>
      <c r="AA169" s="2"/>
    </row>
    <row r="170" ht="14.25" spans="1:27">
      <c r="A170" s="53" t="s">
        <v>616</v>
      </c>
      <c r="B170" s="30">
        <f>B_Stanja!AI32</f>
        <v>0</v>
      </c>
      <c r="C170" s="31">
        <f>B_Stanja!AP32</f>
        <v>0</v>
      </c>
      <c r="D170" s="54"/>
      <c r="E170" s="33"/>
      <c r="F170" s="33"/>
      <c r="G170" s="4"/>
      <c r="H170" s="4"/>
      <c r="I170" s="4"/>
      <c r="J170" s="4"/>
      <c r="K170" s="4"/>
      <c r="L170" s="4"/>
      <c r="M170" s="4"/>
      <c r="N170" s="4"/>
      <c r="O170" s="4"/>
      <c r="P170" s="4"/>
      <c r="Q170" s="4"/>
      <c r="R170" s="4"/>
      <c r="S170" s="4"/>
      <c r="T170" s="4"/>
      <c r="U170" s="4"/>
      <c r="V170" s="4"/>
      <c r="W170" s="4"/>
      <c r="X170" s="4"/>
      <c r="Y170" s="4"/>
      <c r="Z170" s="11"/>
      <c r="AA170" s="2"/>
    </row>
    <row r="171" ht="14.25" spans="1:27">
      <c r="A171" s="53" t="s">
        <v>455</v>
      </c>
      <c r="B171" s="30">
        <f>B_Stanja!AI33</f>
        <v>0</v>
      </c>
      <c r="C171" s="31">
        <f>B_Stanja!AP33</f>
        <v>0</v>
      </c>
      <c r="D171" s="54"/>
      <c r="E171" s="33"/>
      <c r="F171" s="33"/>
      <c r="G171" s="4"/>
      <c r="H171" s="4"/>
      <c r="I171" s="4"/>
      <c r="J171" s="4"/>
      <c r="K171" s="4"/>
      <c r="L171" s="4"/>
      <c r="M171" s="4"/>
      <c r="N171" s="4"/>
      <c r="O171" s="4"/>
      <c r="P171" s="4"/>
      <c r="Q171" s="4"/>
      <c r="R171" s="4"/>
      <c r="S171" s="4"/>
      <c r="T171" s="4"/>
      <c r="U171" s="4"/>
      <c r="V171" s="4"/>
      <c r="W171" s="4"/>
      <c r="X171" s="4"/>
      <c r="Y171" s="4"/>
      <c r="Z171" s="11"/>
      <c r="AA171" s="2"/>
    </row>
    <row r="172" ht="14.25" spans="1:27">
      <c r="A172" s="53" t="s">
        <v>3903</v>
      </c>
      <c r="B172" s="30">
        <f>B_Stanja!AI34</f>
        <v>0</v>
      </c>
      <c r="C172" s="31">
        <f>B_Stanja!AP34</f>
        <v>0</v>
      </c>
      <c r="D172" s="54"/>
      <c r="E172" s="33"/>
      <c r="F172" s="33"/>
      <c r="G172" s="4"/>
      <c r="H172" s="4"/>
      <c r="I172" s="4"/>
      <c r="J172" s="4"/>
      <c r="K172" s="4"/>
      <c r="L172" s="4"/>
      <c r="M172" s="4"/>
      <c r="N172" s="4"/>
      <c r="O172" s="4"/>
      <c r="P172" s="4"/>
      <c r="Q172" s="4"/>
      <c r="R172" s="4"/>
      <c r="S172" s="4"/>
      <c r="T172" s="4"/>
      <c r="U172" s="4"/>
      <c r="V172" s="4"/>
      <c r="W172" s="4"/>
      <c r="X172" s="4"/>
      <c r="Y172" s="4"/>
      <c r="Z172" s="11"/>
      <c r="AA172" s="2"/>
    </row>
    <row r="173" ht="14.25" spans="1:27">
      <c r="A173" s="53" t="s">
        <v>3906</v>
      </c>
      <c r="B173" s="30">
        <f>B_Stanja!AI35</f>
        <v>0</v>
      </c>
      <c r="C173" s="31">
        <f>B_Stanja!AP35</f>
        <v>0</v>
      </c>
      <c r="D173" s="54"/>
      <c r="E173" s="33"/>
      <c r="F173" s="33"/>
      <c r="G173" s="4"/>
      <c r="H173" s="4"/>
      <c r="I173" s="4"/>
      <c r="J173" s="4"/>
      <c r="K173" s="4"/>
      <c r="L173" s="4"/>
      <c r="M173" s="4"/>
      <c r="N173" s="4"/>
      <c r="O173" s="4"/>
      <c r="P173" s="4"/>
      <c r="Q173" s="4"/>
      <c r="R173" s="4"/>
      <c r="S173" s="4"/>
      <c r="T173" s="4"/>
      <c r="U173" s="4"/>
      <c r="V173" s="4"/>
      <c r="W173" s="4"/>
      <c r="X173" s="4"/>
      <c r="Y173" s="4"/>
      <c r="Z173" s="11"/>
      <c r="AA173" s="2"/>
    </row>
    <row r="174" ht="14.25" spans="1:27">
      <c r="A174" s="53" t="s">
        <v>469</v>
      </c>
      <c r="B174" s="30">
        <f>B_Stanja!AI36</f>
        <v>0</v>
      </c>
      <c r="C174" s="31">
        <f>B_Stanja!AP36</f>
        <v>0</v>
      </c>
      <c r="D174" s="54"/>
      <c r="E174" s="33"/>
      <c r="F174" s="33"/>
      <c r="G174" s="4"/>
      <c r="H174" s="4"/>
      <c r="I174" s="4"/>
      <c r="J174" s="4"/>
      <c r="K174" s="4"/>
      <c r="L174" s="4"/>
      <c r="M174" s="4"/>
      <c r="N174" s="4"/>
      <c r="O174" s="4"/>
      <c r="P174" s="4"/>
      <c r="Q174" s="4"/>
      <c r="R174" s="4"/>
      <c r="S174" s="4"/>
      <c r="T174" s="4"/>
      <c r="U174" s="4"/>
      <c r="V174" s="4"/>
      <c r="W174" s="4"/>
      <c r="X174" s="4"/>
      <c r="Y174" s="4"/>
      <c r="Z174" s="11"/>
      <c r="AA174" s="2"/>
    </row>
    <row r="175" ht="14.25" spans="1:27">
      <c r="A175" s="53" t="s">
        <v>484</v>
      </c>
      <c r="B175" s="30">
        <f>B_Stanja!AI37</f>
        <v>0</v>
      </c>
      <c r="C175" s="31">
        <f>B_Stanja!AP37</f>
        <v>0</v>
      </c>
      <c r="D175" s="54"/>
      <c r="E175" s="33"/>
      <c r="F175" s="33"/>
      <c r="G175" s="4"/>
      <c r="H175" s="4"/>
      <c r="I175" s="4"/>
      <c r="J175" s="4"/>
      <c r="K175" s="4"/>
      <c r="L175" s="4"/>
      <c r="M175" s="4"/>
      <c r="N175" s="4"/>
      <c r="O175" s="4"/>
      <c r="P175" s="4"/>
      <c r="Q175" s="4"/>
      <c r="R175" s="4"/>
      <c r="S175" s="4"/>
      <c r="T175" s="4"/>
      <c r="U175" s="4"/>
      <c r="V175" s="4"/>
      <c r="W175" s="4"/>
      <c r="X175" s="4"/>
      <c r="Y175" s="4"/>
      <c r="Z175" s="11"/>
      <c r="AA175" s="2"/>
    </row>
    <row r="176" ht="14.25" spans="1:27">
      <c r="A176" s="53" t="s">
        <v>498</v>
      </c>
      <c r="B176" s="30">
        <f>B_Stanja!AI38</f>
        <v>0</v>
      </c>
      <c r="C176" s="31">
        <f>B_Stanja!AP38</f>
        <v>0</v>
      </c>
      <c r="D176" s="54"/>
      <c r="E176" s="33"/>
      <c r="F176" s="33"/>
      <c r="G176" s="4"/>
      <c r="H176" s="4"/>
      <c r="I176" s="4"/>
      <c r="J176" s="4"/>
      <c r="K176" s="4"/>
      <c r="L176" s="4"/>
      <c r="M176" s="4"/>
      <c r="N176" s="4"/>
      <c r="O176" s="4"/>
      <c r="P176" s="4"/>
      <c r="Q176" s="4"/>
      <c r="R176" s="4"/>
      <c r="S176" s="4"/>
      <c r="T176" s="4"/>
      <c r="U176" s="4"/>
      <c r="V176" s="4"/>
      <c r="W176" s="4"/>
      <c r="X176" s="4"/>
      <c r="Y176" s="4"/>
      <c r="Z176" s="11"/>
      <c r="AA176" s="2"/>
    </row>
    <row r="177" ht="14.25" spans="1:27">
      <c r="A177" s="53" t="s">
        <v>526</v>
      </c>
      <c r="B177" s="30">
        <f>B_Stanja!AI39</f>
        <v>0</v>
      </c>
      <c r="C177" s="31">
        <f>B_Stanja!AP39</f>
        <v>0</v>
      </c>
      <c r="D177" s="54"/>
      <c r="E177" s="33"/>
      <c r="F177" s="33"/>
      <c r="G177" s="4"/>
      <c r="H177" s="4"/>
      <c r="I177" s="4"/>
      <c r="J177" s="4"/>
      <c r="K177" s="4"/>
      <c r="L177" s="4"/>
      <c r="M177" s="4"/>
      <c r="N177" s="4"/>
      <c r="O177" s="4"/>
      <c r="P177" s="4"/>
      <c r="Q177" s="4"/>
      <c r="R177" s="4"/>
      <c r="S177" s="4"/>
      <c r="T177" s="4"/>
      <c r="U177" s="4"/>
      <c r="V177" s="4"/>
      <c r="W177" s="4"/>
      <c r="X177" s="4"/>
      <c r="Y177" s="4"/>
      <c r="Z177" s="11"/>
      <c r="AA177" s="2"/>
    </row>
    <row r="178" ht="14.25" spans="1:27">
      <c r="A178" s="53" t="s">
        <v>3916</v>
      </c>
      <c r="B178" s="30">
        <f>B_Stanja!AI40</f>
        <v>0</v>
      </c>
      <c r="C178" s="31">
        <f>B_Stanja!AP40</f>
        <v>0</v>
      </c>
      <c r="D178" s="54"/>
      <c r="E178" s="33"/>
      <c r="F178" s="33"/>
      <c r="G178" s="4"/>
      <c r="H178" s="4"/>
      <c r="I178" s="4"/>
      <c r="J178" s="4"/>
      <c r="K178" s="4"/>
      <c r="L178" s="4"/>
      <c r="M178" s="4"/>
      <c r="N178" s="4"/>
      <c r="O178" s="4"/>
      <c r="P178" s="4"/>
      <c r="Q178" s="4"/>
      <c r="R178" s="4"/>
      <c r="S178" s="4"/>
      <c r="T178" s="4"/>
      <c r="U178" s="4"/>
      <c r="V178" s="4"/>
      <c r="W178" s="4"/>
      <c r="X178" s="4"/>
      <c r="Y178" s="4"/>
      <c r="Z178" s="11"/>
      <c r="AA178" s="2"/>
    </row>
    <row r="179" ht="14.25" spans="1:27">
      <c r="A179" s="53" t="s">
        <v>541</v>
      </c>
      <c r="B179" s="30">
        <f>B_Stanja!AI41</f>
        <v>0</v>
      </c>
      <c r="C179" s="31">
        <f>B_Stanja!AP41</f>
        <v>0</v>
      </c>
      <c r="D179" s="54"/>
      <c r="E179" s="33"/>
      <c r="F179" s="33"/>
      <c r="G179" s="4"/>
      <c r="H179" s="4"/>
      <c r="I179" s="4"/>
      <c r="J179" s="4"/>
      <c r="K179" s="4"/>
      <c r="L179" s="4"/>
      <c r="M179" s="4"/>
      <c r="N179" s="4"/>
      <c r="O179" s="4"/>
      <c r="P179" s="4"/>
      <c r="Q179" s="4"/>
      <c r="R179" s="4"/>
      <c r="S179" s="4"/>
      <c r="T179" s="4"/>
      <c r="U179" s="4"/>
      <c r="V179" s="4"/>
      <c r="W179" s="4"/>
      <c r="X179" s="4"/>
      <c r="Y179" s="4"/>
      <c r="Z179" s="11"/>
      <c r="AA179" s="2"/>
    </row>
    <row r="180" ht="14.25" spans="1:27">
      <c r="A180" s="53" t="s">
        <v>3921</v>
      </c>
      <c r="B180" s="30">
        <f>B_Stanja!AI42</f>
        <v>0</v>
      </c>
      <c r="C180" s="31">
        <f>B_Stanja!AP42</f>
        <v>0</v>
      </c>
      <c r="D180" s="54"/>
      <c r="E180" s="33"/>
      <c r="F180" s="33"/>
      <c r="G180" s="4"/>
      <c r="H180" s="4"/>
      <c r="I180" s="4"/>
      <c r="J180" s="4"/>
      <c r="K180" s="4"/>
      <c r="L180" s="4"/>
      <c r="M180" s="4"/>
      <c r="N180" s="4"/>
      <c r="O180" s="4"/>
      <c r="P180" s="4"/>
      <c r="Q180" s="4"/>
      <c r="R180" s="4"/>
      <c r="S180" s="4"/>
      <c r="T180" s="4"/>
      <c r="U180" s="4"/>
      <c r="V180" s="4"/>
      <c r="W180" s="4"/>
      <c r="X180" s="4"/>
      <c r="Y180" s="4"/>
      <c r="Z180" s="11"/>
      <c r="AA180" s="2"/>
    </row>
    <row r="181" ht="14.25" spans="1:27">
      <c r="A181" s="53" t="s">
        <v>566</v>
      </c>
      <c r="B181" s="30">
        <f>B_Stanja!AI43</f>
        <v>0</v>
      </c>
      <c r="C181" s="31">
        <f>B_Stanja!AP43</f>
        <v>0</v>
      </c>
      <c r="D181" s="54"/>
      <c r="E181" s="33"/>
      <c r="F181" s="33"/>
      <c r="G181" s="4"/>
      <c r="H181" s="4"/>
      <c r="I181" s="4"/>
      <c r="J181" s="4"/>
      <c r="K181" s="4"/>
      <c r="L181" s="4"/>
      <c r="M181" s="4"/>
      <c r="N181" s="4"/>
      <c r="O181" s="4"/>
      <c r="P181" s="4"/>
      <c r="Q181" s="4"/>
      <c r="R181" s="4"/>
      <c r="S181" s="4"/>
      <c r="T181" s="4"/>
      <c r="U181" s="4"/>
      <c r="V181" s="4"/>
      <c r="W181" s="4"/>
      <c r="X181" s="4"/>
      <c r="Y181" s="4"/>
      <c r="Z181" s="11"/>
      <c r="AA181" s="2"/>
    </row>
    <row r="182" ht="14.25" spans="1:27">
      <c r="A182" s="53" t="s">
        <v>3926</v>
      </c>
      <c r="B182" s="30">
        <f>B_Stanja!AI44</f>
        <v>0</v>
      </c>
      <c r="C182" s="31">
        <f>B_Stanja!AP44</f>
        <v>0</v>
      </c>
      <c r="D182" s="54"/>
      <c r="E182" s="33"/>
      <c r="F182" s="33"/>
      <c r="G182" s="4"/>
      <c r="H182" s="4"/>
      <c r="I182" s="4"/>
      <c r="J182" s="4"/>
      <c r="K182" s="4"/>
      <c r="L182" s="4"/>
      <c r="M182" s="4"/>
      <c r="N182" s="4"/>
      <c r="O182" s="4"/>
      <c r="P182" s="4"/>
      <c r="Q182" s="4"/>
      <c r="R182" s="4"/>
      <c r="S182" s="4"/>
      <c r="T182" s="4"/>
      <c r="U182" s="4"/>
      <c r="V182" s="4"/>
      <c r="W182" s="4"/>
      <c r="X182" s="4"/>
      <c r="Y182" s="4"/>
      <c r="Z182" s="11"/>
      <c r="AA182" s="2"/>
    </row>
    <row r="183" ht="14.25" spans="1:27">
      <c r="A183" s="53" t="s">
        <v>967</v>
      </c>
      <c r="B183" s="30">
        <f>B_Stanja!AI48</f>
        <v>0</v>
      </c>
      <c r="C183" s="31">
        <f>B_Stanja!AP48</f>
        <v>0</v>
      </c>
      <c r="D183" s="54"/>
      <c r="E183" s="33"/>
      <c r="F183" s="33"/>
      <c r="G183" s="4"/>
      <c r="H183" s="4"/>
      <c r="I183" s="4"/>
      <c r="J183" s="4"/>
      <c r="K183" s="4"/>
      <c r="L183" s="4"/>
      <c r="M183" s="4"/>
      <c r="N183" s="4"/>
      <c r="O183" s="4"/>
      <c r="P183" s="4"/>
      <c r="Q183" s="4"/>
      <c r="R183" s="4"/>
      <c r="S183" s="4"/>
      <c r="T183" s="4"/>
      <c r="U183" s="4"/>
      <c r="V183" s="4"/>
      <c r="W183" s="4"/>
      <c r="X183" s="4"/>
      <c r="Y183" s="4"/>
      <c r="Z183" s="11"/>
      <c r="AA183" s="2"/>
    </row>
    <row r="184" ht="14.25" spans="1:27">
      <c r="A184" s="53" t="s">
        <v>628</v>
      </c>
      <c r="B184" s="30">
        <f>B_Stanja!AI49</f>
        <v>0</v>
      </c>
      <c r="C184" s="31">
        <f>B_Stanja!AP49</f>
        <v>0</v>
      </c>
      <c r="D184" s="54"/>
      <c r="E184" s="33"/>
      <c r="F184" s="33"/>
      <c r="G184" s="4"/>
      <c r="H184" s="4"/>
      <c r="I184" s="4"/>
      <c r="J184" s="4"/>
      <c r="K184" s="4"/>
      <c r="L184" s="4"/>
      <c r="M184" s="4"/>
      <c r="N184" s="4"/>
      <c r="O184" s="4"/>
      <c r="P184" s="4"/>
      <c r="Q184" s="4"/>
      <c r="R184" s="4"/>
      <c r="S184" s="4"/>
      <c r="T184" s="4"/>
      <c r="U184" s="4"/>
      <c r="V184" s="4"/>
      <c r="W184" s="4"/>
      <c r="X184" s="4"/>
      <c r="Y184" s="4"/>
      <c r="Z184" s="11"/>
      <c r="AA184" s="2"/>
    </row>
    <row r="185" ht="14.25" spans="1:27">
      <c r="A185" s="53" t="s">
        <v>640</v>
      </c>
      <c r="B185" s="30">
        <f>B_Stanja!AI50</f>
        <v>0</v>
      </c>
      <c r="C185" s="31">
        <f>B_Stanja!AP50</f>
        <v>0</v>
      </c>
      <c r="D185" s="54"/>
      <c r="E185" s="33"/>
      <c r="F185" s="33"/>
      <c r="G185" s="4"/>
      <c r="H185" s="4"/>
      <c r="I185" s="4"/>
      <c r="J185" s="4"/>
      <c r="K185" s="4"/>
      <c r="L185" s="4"/>
      <c r="M185" s="4"/>
      <c r="N185" s="4"/>
      <c r="O185" s="4"/>
      <c r="P185" s="4"/>
      <c r="Q185" s="4"/>
      <c r="R185" s="4"/>
      <c r="S185" s="4"/>
      <c r="T185" s="4"/>
      <c r="U185" s="4"/>
      <c r="V185" s="4"/>
      <c r="W185" s="4"/>
      <c r="X185" s="4"/>
      <c r="Y185" s="4"/>
      <c r="Z185" s="11"/>
      <c r="AA185" s="2"/>
    </row>
    <row r="186" ht="14.25" spans="1:27">
      <c r="A186" s="53" t="s">
        <v>946</v>
      </c>
      <c r="B186" s="30">
        <f>B_Stanja!AI51</f>
        <v>0</v>
      </c>
      <c r="C186" s="31">
        <f>B_Stanja!AP51</f>
        <v>125000</v>
      </c>
      <c r="D186" s="54"/>
      <c r="E186" s="33"/>
      <c r="F186" s="33"/>
      <c r="G186" s="4"/>
      <c r="H186" s="4"/>
      <c r="I186" s="4"/>
      <c r="J186" s="4"/>
      <c r="K186" s="4"/>
      <c r="L186" s="4"/>
      <c r="M186" s="4"/>
      <c r="N186" s="4"/>
      <c r="O186" s="4"/>
      <c r="P186" s="4"/>
      <c r="Q186" s="4"/>
      <c r="R186" s="4"/>
      <c r="S186" s="4"/>
      <c r="T186" s="4"/>
      <c r="U186" s="4"/>
      <c r="V186" s="4"/>
      <c r="W186" s="4"/>
      <c r="X186" s="4"/>
      <c r="Y186" s="4"/>
      <c r="Z186" s="11"/>
      <c r="AA186" s="2"/>
    </row>
    <row r="187" ht="14.25" spans="1:27">
      <c r="A187" s="53" t="s">
        <v>3936</v>
      </c>
      <c r="B187" s="30">
        <f>B_Stanja!AI52</f>
        <v>0</v>
      </c>
      <c r="C187" s="31">
        <f>B_Stanja!AP52</f>
        <v>125000</v>
      </c>
      <c r="D187" s="54"/>
      <c r="E187" s="33"/>
      <c r="F187" s="33"/>
      <c r="G187" s="4"/>
      <c r="H187" s="4"/>
      <c r="I187" s="4"/>
      <c r="J187" s="4"/>
      <c r="K187" s="4"/>
      <c r="L187" s="4"/>
      <c r="M187" s="4"/>
      <c r="N187" s="4"/>
      <c r="O187" s="4"/>
      <c r="P187" s="4"/>
      <c r="Q187" s="4"/>
      <c r="R187" s="4"/>
      <c r="S187" s="4"/>
      <c r="T187" s="4"/>
      <c r="U187" s="4"/>
      <c r="V187" s="4"/>
      <c r="W187" s="4"/>
      <c r="X187" s="4"/>
      <c r="Y187" s="4"/>
      <c r="Z187" s="11"/>
      <c r="AA187" s="2"/>
    </row>
    <row r="188" ht="14.25" spans="1:27">
      <c r="A188" s="53" t="s">
        <v>660</v>
      </c>
      <c r="B188" s="30">
        <f>B_Stanja!AI53</f>
        <v>0</v>
      </c>
      <c r="C188" s="31">
        <f>B_Stanja!AP53</f>
        <v>0</v>
      </c>
      <c r="D188" s="54"/>
      <c r="E188" s="33"/>
      <c r="F188" s="33"/>
      <c r="G188" s="4"/>
      <c r="H188" s="4"/>
      <c r="I188" s="4"/>
      <c r="J188" s="4"/>
      <c r="K188" s="4"/>
      <c r="L188" s="4"/>
      <c r="M188" s="4"/>
      <c r="N188" s="4"/>
      <c r="O188" s="4"/>
      <c r="P188" s="4"/>
      <c r="Q188" s="4"/>
      <c r="R188" s="4"/>
      <c r="S188" s="4"/>
      <c r="T188" s="4"/>
      <c r="U188" s="4"/>
      <c r="V188" s="4"/>
      <c r="W188" s="4"/>
      <c r="X188" s="4"/>
      <c r="Y188" s="4"/>
      <c r="Z188" s="11"/>
      <c r="AA188" s="2"/>
    </row>
    <row r="189" ht="14.25" customHeight="1" spans="1:27">
      <c r="A189" s="53" t="s">
        <v>3941</v>
      </c>
      <c r="B189" s="30">
        <f>B_Stanja!AI54</f>
        <v>0</v>
      </c>
      <c r="C189" s="31">
        <f>B_Stanja!AP54</f>
        <v>0</v>
      </c>
      <c r="D189" s="54"/>
      <c r="E189" s="33"/>
      <c r="F189" s="33"/>
      <c r="G189" s="4"/>
      <c r="H189" s="4"/>
      <c r="I189" s="4"/>
      <c r="J189" s="4"/>
      <c r="K189" s="4"/>
      <c r="L189" s="4"/>
      <c r="M189" s="4"/>
      <c r="N189" s="4"/>
      <c r="O189" s="4"/>
      <c r="P189" s="4"/>
      <c r="Q189" s="4"/>
      <c r="R189" s="4"/>
      <c r="S189" s="4"/>
      <c r="T189" s="4"/>
      <c r="U189" s="4"/>
      <c r="V189" s="4"/>
      <c r="W189" s="4"/>
      <c r="X189" s="4"/>
      <c r="Y189" s="4"/>
      <c r="Z189" s="11"/>
      <c r="AA189" s="2"/>
    </row>
    <row r="190" ht="14.25" customHeight="1" spans="1:27">
      <c r="A190" s="53" t="s">
        <v>669</v>
      </c>
      <c r="B190" s="30">
        <f>B_Stanja!AI55</f>
        <v>0</v>
      </c>
      <c r="C190" s="31">
        <f>B_Stanja!AP55</f>
        <v>0</v>
      </c>
      <c r="D190" s="54"/>
      <c r="E190" s="33"/>
      <c r="F190" s="33"/>
      <c r="G190" s="4"/>
      <c r="H190" s="4"/>
      <c r="I190" s="4"/>
      <c r="J190" s="4"/>
      <c r="K190" s="4"/>
      <c r="L190" s="4"/>
      <c r="M190" s="4"/>
      <c r="N190" s="4"/>
      <c r="O190" s="4"/>
      <c r="P190" s="4"/>
      <c r="Q190" s="4"/>
      <c r="R190" s="4"/>
      <c r="S190" s="4"/>
      <c r="T190" s="4"/>
      <c r="U190" s="4"/>
      <c r="V190" s="4"/>
      <c r="W190" s="4"/>
      <c r="X190" s="4"/>
      <c r="Y190" s="4"/>
      <c r="Z190" s="11"/>
      <c r="AA190" s="2"/>
    </row>
    <row r="191" ht="14.25" spans="1:27">
      <c r="A191" s="53" t="s">
        <v>677</v>
      </c>
      <c r="B191" s="30">
        <f>B_Stanja!AI56</f>
        <v>0</v>
      </c>
      <c r="C191" s="31">
        <f>B_Stanja!AP56</f>
        <v>0</v>
      </c>
      <c r="D191" s="54"/>
      <c r="E191" s="33"/>
      <c r="F191" s="33"/>
      <c r="G191" s="4"/>
      <c r="H191" s="4"/>
      <c r="I191" s="4"/>
      <c r="J191" s="4"/>
      <c r="K191" s="4"/>
      <c r="L191" s="4"/>
      <c r="M191" s="4"/>
      <c r="N191" s="4"/>
      <c r="O191" s="4"/>
      <c r="P191" s="4"/>
      <c r="Q191" s="4"/>
      <c r="R191" s="4"/>
      <c r="S191" s="4"/>
      <c r="T191" s="4"/>
      <c r="U191" s="4"/>
      <c r="V191" s="4"/>
      <c r="W191" s="4"/>
      <c r="X191" s="4"/>
      <c r="Y191" s="4"/>
      <c r="Z191" s="11"/>
      <c r="AA191" s="2"/>
    </row>
    <row r="192" ht="14.25" customHeight="1" spans="1:27">
      <c r="A192" s="53" t="s">
        <v>686</v>
      </c>
      <c r="B192" s="30">
        <f>B_Stanja!AI57</f>
        <v>0</v>
      </c>
      <c r="C192" s="31">
        <f>B_Stanja!AP57</f>
        <v>0</v>
      </c>
      <c r="D192" s="54"/>
      <c r="E192" s="33"/>
      <c r="F192" s="33"/>
      <c r="G192" s="4"/>
      <c r="H192" s="4"/>
      <c r="I192" s="4"/>
      <c r="J192" s="4"/>
      <c r="K192" s="4"/>
      <c r="L192" s="4"/>
      <c r="M192" s="4"/>
      <c r="N192" s="4"/>
      <c r="O192" s="4"/>
      <c r="P192" s="4"/>
      <c r="Q192" s="4"/>
      <c r="R192" s="4"/>
      <c r="S192" s="4"/>
      <c r="T192" s="4"/>
      <c r="U192" s="4"/>
      <c r="V192" s="4"/>
      <c r="W192" s="4"/>
      <c r="X192" s="4"/>
      <c r="Y192" s="4"/>
      <c r="Z192" s="11"/>
      <c r="AA192" s="2"/>
    </row>
    <row r="193" ht="14.25" customHeight="1" spans="1:27">
      <c r="A193" s="53" t="s">
        <v>695</v>
      </c>
      <c r="B193" s="30">
        <f>B_Stanja!AI58</f>
        <v>0</v>
      </c>
      <c r="C193" s="31">
        <f>B_Stanja!AP58</f>
        <v>0</v>
      </c>
      <c r="D193" s="54"/>
      <c r="E193" s="33"/>
      <c r="F193" s="33"/>
      <c r="G193" s="4"/>
      <c r="H193" s="4"/>
      <c r="I193" s="4"/>
      <c r="J193" s="4"/>
      <c r="K193" s="4"/>
      <c r="L193" s="4"/>
      <c r="M193" s="4"/>
      <c r="N193" s="4"/>
      <c r="O193" s="4"/>
      <c r="P193" s="4"/>
      <c r="Q193" s="4"/>
      <c r="R193" s="4"/>
      <c r="S193" s="4"/>
      <c r="T193" s="4"/>
      <c r="U193" s="4"/>
      <c r="V193" s="4"/>
      <c r="W193" s="4"/>
      <c r="X193" s="4"/>
      <c r="Y193" s="4"/>
      <c r="Z193" s="11"/>
      <c r="AA193" s="2"/>
    </row>
    <row r="194" spans="1:27">
      <c r="A194" s="53" t="s">
        <v>704</v>
      </c>
      <c r="B194" s="30">
        <f>B_Stanja!AI59</f>
        <v>577192</v>
      </c>
      <c r="C194" s="31">
        <f>B_Stanja!AP59</f>
        <v>617225</v>
      </c>
      <c r="D194" s="54"/>
      <c r="E194" s="33"/>
      <c r="F194" s="33"/>
      <c r="G194" s="4"/>
      <c r="H194" s="4"/>
      <c r="I194" s="4"/>
      <c r="J194" s="4"/>
      <c r="K194" s="4"/>
      <c r="L194" s="4"/>
      <c r="M194" s="4"/>
      <c r="N194" s="4"/>
      <c r="O194" s="4"/>
      <c r="P194" s="4"/>
      <c r="Q194" s="4"/>
      <c r="R194" s="4"/>
      <c r="S194" s="4"/>
      <c r="T194" s="4"/>
      <c r="U194" s="4"/>
      <c r="V194" s="4"/>
      <c r="W194" s="4"/>
      <c r="X194" s="4"/>
      <c r="Y194" s="4"/>
      <c r="Z194" s="37"/>
    </row>
    <row r="195" spans="1:27">
      <c r="A195" s="53" t="s">
        <v>712</v>
      </c>
      <c r="B195" s="30">
        <f>B_Stanja!AI60</f>
        <v>0</v>
      </c>
      <c r="C195" s="31">
        <f>B_Stanja!AP60</f>
        <v>0</v>
      </c>
      <c r="D195" s="54"/>
      <c r="E195" s="33"/>
      <c r="F195" s="33"/>
      <c r="G195" s="4"/>
      <c r="H195" s="4"/>
      <c r="I195" s="4"/>
      <c r="J195" s="4"/>
      <c r="K195" s="4"/>
      <c r="L195" s="4"/>
      <c r="M195" s="4"/>
      <c r="N195" s="4"/>
      <c r="O195" s="4"/>
      <c r="P195" s="4"/>
      <c r="Q195" s="4"/>
      <c r="R195" s="4"/>
      <c r="S195" s="4"/>
      <c r="T195" s="4"/>
      <c r="U195" s="4"/>
      <c r="V195" s="4"/>
      <c r="W195" s="4"/>
      <c r="X195" s="4"/>
      <c r="Y195" s="4"/>
      <c r="Z195" s="37"/>
    </row>
    <row r="196" spans="1:27">
      <c r="A196" s="53" t="s">
        <v>720</v>
      </c>
      <c r="B196" s="30">
        <f>B_Stanja!AI61</f>
        <v>0</v>
      </c>
      <c r="C196" s="31">
        <f>B_Stanja!AP61</f>
        <v>0</v>
      </c>
      <c r="D196" s="54"/>
      <c r="E196" s="33"/>
      <c r="F196" s="33"/>
      <c r="G196" s="4"/>
      <c r="H196" s="4"/>
      <c r="I196" s="4"/>
      <c r="J196" s="4"/>
      <c r="K196" s="4"/>
      <c r="L196" s="4"/>
      <c r="M196" s="4"/>
      <c r="N196" s="4"/>
      <c r="O196" s="4"/>
      <c r="P196" s="4"/>
      <c r="Q196" s="4"/>
      <c r="R196" s="4"/>
      <c r="S196" s="4"/>
      <c r="T196" s="4"/>
      <c r="U196" s="4"/>
      <c r="V196" s="4"/>
      <c r="W196" s="4"/>
      <c r="X196" s="4"/>
      <c r="Y196" s="4"/>
      <c r="Z196" s="37"/>
    </row>
    <row r="197" spans="1:27">
      <c r="A197" s="53" t="s">
        <v>3955</v>
      </c>
      <c r="B197" s="30">
        <f>B_Stanja!AI62</f>
        <v>0</v>
      </c>
      <c r="C197" s="31">
        <f>B_Stanja!AP62</f>
        <v>0</v>
      </c>
      <c r="D197" s="54"/>
      <c r="E197" s="33"/>
      <c r="F197" s="33"/>
      <c r="G197" s="4"/>
      <c r="H197" s="4"/>
      <c r="I197" s="4"/>
      <c r="J197" s="4"/>
      <c r="K197" s="4"/>
      <c r="L197" s="4"/>
      <c r="M197" s="4"/>
      <c r="N197" s="4"/>
      <c r="O197" s="4"/>
      <c r="P197" s="4"/>
      <c r="Q197" s="4"/>
      <c r="R197" s="4"/>
      <c r="S197" s="4"/>
      <c r="T197" s="4"/>
      <c r="U197" s="4"/>
      <c r="V197" s="4"/>
      <c r="W197" s="4"/>
      <c r="X197" s="4"/>
      <c r="Y197" s="4"/>
      <c r="Z197" s="37"/>
    </row>
    <row r="198" spans="1:27">
      <c r="A198" s="53" t="s">
        <v>735</v>
      </c>
      <c r="B198" s="30">
        <f>B_Stanja!AI63</f>
        <v>0</v>
      </c>
      <c r="C198" s="31">
        <f>B_Stanja!AP63</f>
        <v>0</v>
      </c>
      <c r="D198" s="54"/>
      <c r="E198" s="33"/>
      <c r="F198" s="33"/>
      <c r="G198" s="4"/>
      <c r="H198" s="4"/>
      <c r="I198" s="4"/>
      <c r="J198" s="4"/>
      <c r="K198" s="4"/>
      <c r="L198" s="4"/>
      <c r="M198" s="4"/>
      <c r="N198" s="4"/>
      <c r="O198" s="4"/>
      <c r="P198" s="4"/>
      <c r="Q198" s="4"/>
      <c r="R198" s="4"/>
      <c r="S198" s="4"/>
      <c r="T198" s="4"/>
      <c r="U198" s="4"/>
      <c r="V198" s="4"/>
      <c r="W198" s="4"/>
      <c r="X198" s="4"/>
      <c r="Y198" s="4"/>
      <c r="Z198" s="37"/>
    </row>
    <row r="199" spans="1:27">
      <c r="A199" s="53" t="s">
        <v>742</v>
      </c>
      <c r="B199" s="30">
        <f>B_Stanja!AI64</f>
        <v>0</v>
      </c>
      <c r="C199" s="31">
        <f>B_Stanja!AP64</f>
        <v>0</v>
      </c>
      <c r="D199" s="54"/>
      <c r="E199" s="33"/>
      <c r="F199" s="33"/>
      <c r="G199" s="4"/>
      <c r="H199" s="4"/>
      <c r="I199" s="4"/>
      <c r="J199" s="4"/>
      <c r="K199" s="4"/>
      <c r="L199" s="4"/>
      <c r="M199" s="4"/>
      <c r="N199" s="4"/>
      <c r="O199" s="4"/>
      <c r="P199" s="4"/>
      <c r="Q199" s="4"/>
      <c r="R199" s="4"/>
      <c r="S199" s="4"/>
      <c r="T199" s="4"/>
      <c r="U199" s="4"/>
      <c r="V199" s="4"/>
      <c r="W199" s="4"/>
      <c r="X199" s="4"/>
      <c r="Y199" s="4"/>
      <c r="Z199" s="37"/>
    </row>
    <row r="200" spans="1:27">
      <c r="A200" s="53" t="s">
        <v>750</v>
      </c>
      <c r="B200" s="30">
        <f>B_Stanja!AI65</f>
        <v>0</v>
      </c>
      <c r="C200" s="31">
        <f>B_Stanja!AP65</f>
        <v>0</v>
      </c>
      <c r="D200" s="54"/>
      <c r="E200" s="33"/>
      <c r="F200" s="33"/>
      <c r="G200" s="4"/>
      <c r="H200" s="4"/>
      <c r="I200" s="4"/>
      <c r="J200" s="4"/>
      <c r="K200" s="4"/>
      <c r="L200" s="4"/>
      <c r="M200" s="4"/>
      <c r="N200" s="4"/>
      <c r="O200" s="4"/>
      <c r="P200" s="4"/>
      <c r="Q200" s="4"/>
      <c r="R200" s="4"/>
      <c r="S200" s="4"/>
      <c r="T200" s="4"/>
      <c r="U200" s="4"/>
      <c r="V200" s="4"/>
      <c r="W200" s="4"/>
      <c r="X200" s="4"/>
      <c r="Y200" s="4"/>
      <c r="Z200" s="37"/>
    </row>
    <row r="201" spans="1:27">
      <c r="A201" s="53" t="s">
        <v>756</v>
      </c>
      <c r="B201" s="30">
        <f>B_Stanja!AI66</f>
        <v>0</v>
      </c>
      <c r="C201" s="31">
        <f>B_Stanja!AP66</f>
        <v>0</v>
      </c>
      <c r="D201" s="54"/>
      <c r="E201" s="33"/>
      <c r="F201" s="33"/>
      <c r="G201" s="4"/>
      <c r="H201" s="4"/>
      <c r="I201" s="4"/>
      <c r="J201" s="4"/>
      <c r="K201" s="4"/>
      <c r="L201" s="4"/>
      <c r="M201" s="4"/>
      <c r="N201" s="4"/>
      <c r="O201" s="4"/>
      <c r="P201" s="4"/>
      <c r="Q201" s="4"/>
      <c r="R201" s="4"/>
      <c r="S201" s="4"/>
      <c r="T201" s="4"/>
      <c r="U201" s="4"/>
      <c r="V201" s="4"/>
      <c r="W201" s="4"/>
      <c r="X201" s="4"/>
      <c r="Y201" s="4"/>
      <c r="Z201" s="37"/>
    </row>
    <row r="202" spans="1:27">
      <c r="A202" s="53" t="s">
        <v>765</v>
      </c>
      <c r="B202" s="30">
        <f>B_Stanja!AI67</f>
        <v>0</v>
      </c>
      <c r="C202" s="31">
        <f>B_Stanja!AP67</f>
        <v>0</v>
      </c>
      <c r="D202" s="54"/>
      <c r="E202" s="33"/>
      <c r="F202" s="33"/>
      <c r="G202" s="4"/>
      <c r="H202" s="4"/>
      <c r="I202" s="4"/>
      <c r="J202" s="4"/>
      <c r="K202" s="4"/>
      <c r="L202" s="4"/>
      <c r="M202" s="4"/>
      <c r="N202" s="4"/>
      <c r="O202" s="4"/>
      <c r="P202" s="4"/>
      <c r="Q202" s="4"/>
      <c r="R202" s="4"/>
      <c r="S202" s="4"/>
      <c r="T202" s="4"/>
      <c r="U202" s="4"/>
      <c r="V202" s="4"/>
      <c r="W202" s="4"/>
      <c r="X202" s="4"/>
      <c r="Y202" s="4"/>
      <c r="Z202" s="37"/>
    </row>
    <row r="203" spans="1:27">
      <c r="A203" s="53" t="s">
        <v>3962</v>
      </c>
      <c r="B203" s="30">
        <f>B_Stanja!AI68</f>
        <v>20312</v>
      </c>
      <c r="C203" s="31">
        <f>B_Stanja!AP68</f>
        <v>21173</v>
      </c>
      <c r="D203" s="54"/>
      <c r="E203" s="33"/>
      <c r="F203" s="33"/>
      <c r="G203" s="4"/>
      <c r="H203" s="4"/>
      <c r="I203" s="4"/>
      <c r="J203" s="4"/>
      <c r="K203" s="4"/>
      <c r="L203" s="4"/>
      <c r="M203" s="4"/>
      <c r="N203" s="4"/>
      <c r="O203" s="4"/>
      <c r="P203" s="4"/>
      <c r="Q203" s="4"/>
      <c r="R203" s="4"/>
      <c r="S203" s="4"/>
      <c r="T203" s="4"/>
      <c r="U203" s="4"/>
      <c r="V203" s="4"/>
      <c r="W203" s="4"/>
      <c r="X203" s="4"/>
      <c r="Y203" s="4"/>
      <c r="Z203" s="37"/>
    </row>
    <row r="204" spans="1:27">
      <c r="A204" s="53" t="s">
        <v>771</v>
      </c>
      <c r="B204" s="30">
        <f>B_Stanja!AI69</f>
        <v>0</v>
      </c>
      <c r="C204" s="31">
        <f>B_Stanja!AP69</f>
        <v>0</v>
      </c>
      <c r="D204" s="55"/>
      <c r="E204" s="38"/>
      <c r="F204" s="38"/>
      <c r="G204" s="4"/>
      <c r="H204" s="4"/>
      <c r="I204" s="4"/>
      <c r="J204" s="4"/>
      <c r="K204" s="4"/>
      <c r="L204" s="4"/>
      <c r="M204" s="4"/>
      <c r="N204" s="4"/>
      <c r="O204" s="4"/>
      <c r="P204" s="4"/>
      <c r="Q204" s="4"/>
      <c r="R204" s="4"/>
      <c r="S204" s="4"/>
      <c r="T204" s="4"/>
      <c r="U204" s="4"/>
      <c r="V204" s="4"/>
      <c r="W204" s="4"/>
      <c r="X204" s="4"/>
      <c r="Y204" s="4"/>
      <c r="Z204" s="37"/>
    </row>
    <row r="205" spans="1:27">
      <c r="A205" s="53" t="s">
        <v>779</v>
      </c>
      <c r="B205" s="30">
        <f>B_Stanja!AI70</f>
        <v>20312</v>
      </c>
      <c r="C205" s="31">
        <f>B_Stanja!AP70</f>
        <v>21173</v>
      </c>
      <c r="D205" s="55"/>
      <c r="E205" s="38"/>
      <c r="F205" s="38"/>
      <c r="G205" s="4"/>
      <c r="H205" s="4"/>
      <c r="I205" s="4"/>
      <c r="J205" s="4"/>
      <c r="K205" s="4"/>
      <c r="L205" s="4"/>
      <c r="M205" s="4"/>
      <c r="N205" s="4"/>
      <c r="O205" s="4"/>
      <c r="P205" s="4"/>
      <c r="Q205" s="4"/>
      <c r="R205" s="4"/>
      <c r="S205" s="4"/>
      <c r="T205" s="4"/>
      <c r="U205" s="4"/>
      <c r="V205" s="4"/>
      <c r="W205" s="4"/>
      <c r="X205" s="4"/>
      <c r="Y205" s="4"/>
      <c r="Z205" s="37"/>
    </row>
    <row r="206" spans="1:27">
      <c r="A206" s="53" t="s">
        <v>786</v>
      </c>
      <c r="B206" s="30">
        <f>B_Stanja!AI71</f>
        <v>0</v>
      </c>
      <c r="C206" s="39">
        <f>B_Stanja!AP71</f>
        <v>0</v>
      </c>
      <c r="D206" s="4"/>
      <c r="E206" s="4"/>
      <c r="F206" s="4"/>
      <c r="G206" s="4"/>
      <c r="H206" s="4"/>
      <c r="I206" s="4"/>
      <c r="J206" s="4"/>
      <c r="K206" s="4"/>
      <c r="L206" s="4"/>
      <c r="M206" s="4"/>
      <c r="N206" s="4"/>
      <c r="O206" s="4"/>
      <c r="P206" s="4"/>
      <c r="Q206" s="4"/>
      <c r="R206" s="4"/>
      <c r="S206" s="4"/>
      <c r="T206" s="4"/>
      <c r="U206" s="4"/>
      <c r="V206" s="4"/>
      <c r="W206" s="4"/>
      <c r="X206" s="4"/>
      <c r="Y206" s="4"/>
      <c r="Z206" s="37"/>
    </row>
    <row r="207" spans="1:27">
      <c r="A207" s="53" t="s">
        <v>793</v>
      </c>
      <c r="B207" s="30">
        <f>B_Stanja!AI72</f>
        <v>427682</v>
      </c>
      <c r="C207" s="39">
        <f>B_Stanja!AP72</f>
        <v>526925</v>
      </c>
      <c r="D207" s="4"/>
      <c r="E207" s="4"/>
      <c r="F207" s="4"/>
      <c r="G207" s="4"/>
      <c r="H207" s="4"/>
      <c r="I207" s="4"/>
      <c r="J207" s="4"/>
      <c r="K207" s="4"/>
      <c r="L207" s="4"/>
      <c r="M207" s="4"/>
      <c r="N207" s="4"/>
      <c r="O207" s="4"/>
      <c r="P207" s="4"/>
      <c r="Q207" s="4"/>
      <c r="R207" s="4"/>
      <c r="S207" s="4"/>
      <c r="T207" s="4"/>
      <c r="U207" s="4"/>
      <c r="V207" s="4"/>
      <c r="W207" s="4"/>
      <c r="X207" s="4"/>
      <c r="Y207" s="4"/>
      <c r="Z207" s="37"/>
    </row>
    <row r="208" spans="1:27">
      <c r="A208" s="53" t="s">
        <v>604</v>
      </c>
      <c r="B208" s="30">
        <f>B_Stanja!AI73</f>
        <v>0</v>
      </c>
      <c r="C208" s="39">
        <f>B_Stanja!AP73</f>
        <v>0</v>
      </c>
      <c r="D208" s="4"/>
      <c r="E208" s="4"/>
      <c r="F208" s="4"/>
      <c r="G208" s="4"/>
      <c r="H208" s="4"/>
      <c r="I208" s="4"/>
      <c r="J208" s="4"/>
      <c r="K208" s="4"/>
      <c r="L208" s="4"/>
      <c r="M208" s="4"/>
      <c r="N208" s="4"/>
      <c r="O208" s="4"/>
      <c r="P208" s="4"/>
      <c r="Q208" s="4"/>
      <c r="R208" s="4"/>
      <c r="S208" s="4"/>
      <c r="T208" s="4"/>
      <c r="U208" s="4"/>
      <c r="V208" s="4"/>
      <c r="W208" s="4"/>
      <c r="X208" s="4"/>
      <c r="Y208" s="4"/>
      <c r="Z208" s="37"/>
    </row>
    <row r="209" spans="1:26">
      <c r="A209" s="53" t="s">
        <v>801</v>
      </c>
      <c r="B209" s="30">
        <f>B_Stanja!AI74</f>
        <v>427682</v>
      </c>
      <c r="C209" s="39">
        <f>B_Stanja!AP74</f>
        <v>526925</v>
      </c>
      <c r="D209" s="4"/>
      <c r="E209" s="4"/>
      <c r="F209" s="4"/>
      <c r="G209" s="4"/>
      <c r="H209" s="4"/>
      <c r="I209" s="4"/>
      <c r="J209" s="4"/>
      <c r="K209" s="4"/>
      <c r="L209" s="4"/>
      <c r="M209" s="4"/>
      <c r="N209" s="4"/>
      <c r="O209" s="4"/>
      <c r="P209" s="4"/>
      <c r="Q209" s="4"/>
      <c r="R209" s="4"/>
      <c r="S209" s="4"/>
      <c r="T209" s="4"/>
      <c r="U209" s="4"/>
      <c r="V209" s="4"/>
      <c r="W209" s="4"/>
      <c r="X209" s="4"/>
      <c r="Y209" s="4"/>
      <c r="Z209" s="37"/>
    </row>
    <row r="210" spans="1:26">
      <c r="A210" s="53" t="s">
        <v>806</v>
      </c>
      <c r="B210" s="30">
        <f>B_Stanja!AI75</f>
        <v>0</v>
      </c>
      <c r="C210" s="39">
        <f>B_Stanja!AP75</f>
        <v>0</v>
      </c>
      <c r="D210" s="4"/>
      <c r="E210" s="4"/>
      <c r="F210" s="4"/>
      <c r="G210" s="4"/>
      <c r="H210" s="4"/>
      <c r="I210" s="4"/>
      <c r="J210" s="4"/>
      <c r="K210" s="4"/>
      <c r="L210" s="4"/>
      <c r="M210" s="4"/>
      <c r="N210" s="4"/>
      <c r="O210" s="4"/>
      <c r="P210" s="4"/>
      <c r="Q210" s="4"/>
      <c r="R210" s="4"/>
      <c r="S210" s="4"/>
      <c r="T210" s="4"/>
      <c r="U210" s="4"/>
      <c r="V210" s="4"/>
      <c r="W210" s="4"/>
      <c r="X210" s="4"/>
      <c r="Y210" s="4"/>
      <c r="Z210" s="37"/>
    </row>
    <row r="211" spans="1:26">
      <c r="A211" s="53" t="s">
        <v>3974</v>
      </c>
      <c r="B211" s="30">
        <f>B_Stanja!AI76</f>
        <v>0</v>
      </c>
      <c r="C211" s="39">
        <f>B_Stanja!AP76</f>
        <v>0</v>
      </c>
      <c r="D211" s="4"/>
      <c r="E211" s="4"/>
      <c r="F211" s="4"/>
      <c r="G211" s="4"/>
      <c r="H211" s="4"/>
      <c r="I211" s="4"/>
      <c r="J211" s="4"/>
      <c r="K211" s="4"/>
      <c r="L211" s="4"/>
      <c r="M211" s="4"/>
      <c r="N211" s="4"/>
      <c r="O211" s="4"/>
      <c r="P211" s="4"/>
      <c r="Q211" s="4"/>
      <c r="R211" s="4"/>
      <c r="S211" s="4"/>
      <c r="T211" s="4"/>
      <c r="U211" s="4"/>
      <c r="V211" s="4"/>
      <c r="W211" s="4"/>
      <c r="X211" s="4"/>
      <c r="Y211" s="4"/>
      <c r="Z211" s="37"/>
    </row>
    <row r="212" spans="1:26">
      <c r="A212" s="53" t="s">
        <v>928</v>
      </c>
      <c r="B212" s="30">
        <f>B_Stanja!AI77</f>
        <v>0</v>
      </c>
      <c r="C212" s="39">
        <f>B_Stanja!AP77</f>
        <v>0</v>
      </c>
      <c r="D212" s="4"/>
      <c r="E212" s="4"/>
      <c r="F212" s="4"/>
      <c r="G212" s="4"/>
      <c r="H212" s="4"/>
      <c r="I212" s="4"/>
      <c r="J212" s="4"/>
      <c r="K212" s="4"/>
      <c r="L212" s="4"/>
      <c r="M212" s="4"/>
      <c r="N212" s="4"/>
      <c r="O212" s="4"/>
      <c r="P212" s="4"/>
      <c r="Q212" s="4"/>
      <c r="R212" s="4"/>
      <c r="S212" s="4"/>
      <c r="T212" s="4"/>
      <c r="U212" s="4"/>
      <c r="V212" s="4"/>
      <c r="W212" s="4"/>
      <c r="X212" s="4"/>
      <c r="Y212" s="4"/>
      <c r="Z212" s="37"/>
    </row>
    <row r="213" spans="1:26">
      <c r="A213" s="53" t="s">
        <v>811</v>
      </c>
      <c r="B213" s="30">
        <f>B_Stanja!AI78</f>
        <v>0</v>
      </c>
      <c r="C213" s="39">
        <f>B_Stanja!AP78</f>
        <v>0</v>
      </c>
      <c r="D213" s="4"/>
      <c r="E213" s="4"/>
      <c r="F213" s="4"/>
      <c r="G213" s="4"/>
      <c r="H213" s="4"/>
      <c r="I213" s="4"/>
      <c r="J213" s="4"/>
      <c r="K213" s="4"/>
      <c r="L213" s="4"/>
      <c r="M213" s="4"/>
      <c r="N213" s="4"/>
      <c r="O213" s="4"/>
      <c r="P213" s="4"/>
      <c r="Q213" s="4"/>
      <c r="R213" s="4"/>
      <c r="S213" s="4"/>
      <c r="T213" s="4"/>
      <c r="U213" s="4"/>
      <c r="V213" s="4"/>
      <c r="W213" s="4"/>
      <c r="X213" s="4"/>
      <c r="Y213" s="4"/>
      <c r="Z213" s="37"/>
    </row>
    <row r="214" spans="1:26">
      <c r="A214" s="53" t="s">
        <v>553</v>
      </c>
      <c r="B214" s="30">
        <f>B_Stanja!AI79</f>
        <v>0</v>
      </c>
      <c r="C214" s="39">
        <f>B_Stanja!AP79</f>
        <v>0</v>
      </c>
      <c r="D214" s="4"/>
      <c r="E214" s="4"/>
      <c r="F214" s="4"/>
      <c r="G214" s="4"/>
      <c r="H214" s="4"/>
      <c r="I214" s="4"/>
      <c r="J214" s="4"/>
      <c r="K214" s="4"/>
      <c r="L214" s="4"/>
      <c r="M214" s="4"/>
      <c r="N214" s="4"/>
      <c r="O214" s="4"/>
      <c r="P214" s="4"/>
      <c r="Q214" s="4"/>
      <c r="R214" s="4"/>
      <c r="S214" s="4"/>
      <c r="T214" s="4"/>
      <c r="U214" s="4"/>
      <c r="V214" s="4"/>
      <c r="W214" s="4"/>
      <c r="X214" s="4"/>
      <c r="Y214" s="4"/>
      <c r="Z214" s="37"/>
    </row>
    <row r="215" spans="1:26">
      <c r="A215" s="53" t="s">
        <v>815</v>
      </c>
      <c r="B215" s="30">
        <f>B_Stanja!AI80</f>
        <v>2327</v>
      </c>
      <c r="C215" s="39">
        <f>B_Stanja!AP80</f>
        <v>47</v>
      </c>
      <c r="D215" s="4"/>
      <c r="E215" s="4"/>
      <c r="F215" s="4"/>
      <c r="G215" s="4"/>
      <c r="H215" s="4"/>
      <c r="I215" s="4"/>
      <c r="J215" s="4"/>
      <c r="K215" s="4"/>
      <c r="L215" s="4"/>
      <c r="M215" s="4"/>
      <c r="N215" s="4"/>
      <c r="O215" s="4"/>
      <c r="P215" s="4"/>
      <c r="Q215" s="4"/>
      <c r="R215" s="4"/>
      <c r="S215" s="4"/>
      <c r="T215" s="4"/>
      <c r="U215" s="4"/>
      <c r="V215" s="4"/>
      <c r="W215" s="4"/>
      <c r="X215" s="4"/>
      <c r="Y215" s="4"/>
      <c r="Z215" s="37"/>
    </row>
    <row r="216" spans="1:26">
      <c r="A216" s="53" t="s">
        <v>3980</v>
      </c>
      <c r="B216" s="30">
        <f>B_Stanja!AI81</f>
        <v>0</v>
      </c>
      <c r="C216" s="39">
        <f>B_Stanja!AP81</f>
        <v>0</v>
      </c>
      <c r="D216" s="4"/>
      <c r="E216" s="4"/>
      <c r="F216" s="4"/>
      <c r="G216" s="4"/>
      <c r="H216" s="4"/>
      <c r="I216" s="4"/>
      <c r="J216" s="4"/>
      <c r="K216" s="4"/>
      <c r="L216" s="4"/>
      <c r="M216" s="4"/>
      <c r="N216" s="4"/>
      <c r="O216" s="4"/>
      <c r="P216" s="4"/>
      <c r="Q216" s="4"/>
      <c r="R216" s="4"/>
      <c r="S216" s="4"/>
      <c r="T216" s="4"/>
      <c r="U216" s="4"/>
      <c r="V216" s="4"/>
      <c r="W216" s="4"/>
      <c r="X216" s="4"/>
      <c r="Y216" s="4"/>
      <c r="Z216" s="37"/>
    </row>
    <row r="217" spans="1:26">
      <c r="A217" s="53" t="s">
        <v>820</v>
      </c>
      <c r="B217" s="30">
        <f>B_Stanja!AI82</f>
        <v>126871</v>
      </c>
      <c r="C217" s="39">
        <f>B_Stanja!AP82</f>
        <v>69080</v>
      </c>
      <c r="D217" s="4"/>
      <c r="E217" s="4"/>
      <c r="F217" s="4"/>
      <c r="G217" s="4"/>
      <c r="H217" s="4"/>
      <c r="I217" s="4"/>
      <c r="J217" s="4"/>
      <c r="K217" s="4"/>
      <c r="L217" s="4"/>
      <c r="M217" s="4"/>
      <c r="N217" s="4"/>
      <c r="O217" s="4"/>
      <c r="P217" s="4"/>
      <c r="Q217" s="4"/>
      <c r="R217" s="4"/>
      <c r="S217" s="4"/>
      <c r="T217" s="4"/>
      <c r="U217" s="4"/>
      <c r="V217" s="4"/>
      <c r="W217" s="4"/>
      <c r="X217" s="4"/>
      <c r="Y217" s="4"/>
      <c r="Z217" s="37"/>
    </row>
    <row r="218" spans="1:26">
      <c r="A218" s="53" t="s">
        <v>826</v>
      </c>
      <c r="B218" s="30">
        <f>B_Stanja!AI83</f>
        <v>599299</v>
      </c>
      <c r="C218" s="39">
        <f>B_Stanja!AP83</f>
        <v>768881</v>
      </c>
      <c r="D218" s="4"/>
      <c r="E218" s="4"/>
      <c r="F218" s="4"/>
      <c r="G218" s="4"/>
      <c r="H218" s="4"/>
      <c r="I218" s="4"/>
      <c r="J218" s="4"/>
      <c r="K218" s="4"/>
      <c r="L218" s="4"/>
      <c r="M218" s="4"/>
      <c r="N218" s="4"/>
      <c r="O218" s="4"/>
      <c r="P218" s="4"/>
      <c r="Q218" s="4"/>
      <c r="R218" s="4"/>
      <c r="S218" s="4"/>
      <c r="T218" s="4"/>
      <c r="U218" s="4"/>
      <c r="V218" s="4"/>
      <c r="W218" s="4"/>
      <c r="X218" s="4"/>
      <c r="Y218" s="4"/>
      <c r="Z218" s="37"/>
    </row>
    <row r="219" spans="1:26">
      <c r="A219" s="53" t="s">
        <v>3986</v>
      </c>
      <c r="B219" s="30">
        <f>B_Stanja!AI84</f>
        <v>0</v>
      </c>
      <c r="C219" s="39">
        <f>B_Stanja!AP84</f>
        <v>0</v>
      </c>
      <c r="D219" s="4"/>
      <c r="E219" s="4"/>
      <c r="F219" s="4"/>
      <c r="G219" s="4"/>
      <c r="H219" s="4"/>
      <c r="I219" s="4"/>
      <c r="J219" s="4"/>
      <c r="K219" s="4"/>
      <c r="L219" s="4"/>
      <c r="M219" s="4"/>
      <c r="N219" s="4"/>
      <c r="O219" s="4"/>
      <c r="P219" s="4"/>
      <c r="Q219" s="4"/>
      <c r="R219" s="4"/>
      <c r="S219" s="4"/>
      <c r="T219" s="4"/>
      <c r="U219" s="4"/>
      <c r="V219" s="4"/>
      <c r="W219" s="4"/>
      <c r="X219" s="4"/>
      <c r="Y219" s="4"/>
      <c r="Z219" s="37"/>
    </row>
    <row r="220" ht="18.75" customHeight="1" spans="1:26">
      <c r="A220" s="53" t="s">
        <v>3989</v>
      </c>
      <c r="B220" s="30">
        <f>B_Stanja!AI85</f>
        <v>599299</v>
      </c>
      <c r="C220" s="39">
        <f>B_Stanja!AP85</f>
        <v>768881</v>
      </c>
      <c r="D220" s="4"/>
      <c r="E220" s="4"/>
      <c r="F220" s="4"/>
      <c r="G220" s="4"/>
      <c r="H220" s="4"/>
      <c r="I220" s="4"/>
      <c r="J220" s="4"/>
      <c r="K220" s="4"/>
      <c r="L220" s="4"/>
      <c r="M220" s="4"/>
      <c r="N220" s="4"/>
      <c r="O220" s="4"/>
      <c r="P220" s="4"/>
      <c r="Q220" s="4"/>
      <c r="R220" s="4"/>
      <c r="S220" s="4"/>
      <c r="T220" s="4"/>
      <c r="U220" s="4"/>
      <c r="V220" s="4"/>
      <c r="W220" s="4"/>
      <c r="X220" s="4"/>
      <c r="Y220" s="4"/>
      <c r="Z220" s="37"/>
    </row>
    <row r="221" ht="18.75" customHeight="1" spans="1:26">
      <c r="A221" s="4"/>
      <c r="B221" s="56">
        <f ca="1">PoslGod</f>
        <v>2025</v>
      </c>
      <c r="C221" s="56">
        <f ca="1">PoslGod-1</f>
        <v>2024</v>
      </c>
      <c r="D221" s="4"/>
      <c r="E221" s="4"/>
      <c r="F221" s="4"/>
      <c r="G221" s="4"/>
      <c r="H221" s="4"/>
      <c r="I221" s="4"/>
      <c r="J221" s="4"/>
      <c r="K221" s="4"/>
      <c r="L221" s="4"/>
      <c r="M221" s="4"/>
      <c r="N221" s="4"/>
      <c r="O221" s="4"/>
      <c r="P221" s="4"/>
      <c r="Q221" s="4"/>
      <c r="R221" s="4"/>
      <c r="S221" s="4"/>
      <c r="T221" s="4"/>
      <c r="U221" s="4"/>
      <c r="V221" s="4"/>
      <c r="W221" s="4"/>
      <c r="X221" s="4"/>
      <c r="Y221" s="4"/>
      <c r="Z221" s="37"/>
    </row>
    <row r="222" spans="1:26">
      <c r="A222" s="53" t="s">
        <v>490</v>
      </c>
      <c r="B222" s="30">
        <f>B_Stanja!AI93</f>
        <v>350000</v>
      </c>
      <c r="C222" s="57">
        <f>B_Stanja!AP93</f>
        <v>350000</v>
      </c>
      <c r="D222" s="4"/>
      <c r="E222" s="4"/>
      <c r="F222" s="4"/>
      <c r="G222" s="4"/>
      <c r="H222" s="4"/>
      <c r="I222" s="4"/>
      <c r="J222" s="4"/>
      <c r="K222" s="4"/>
      <c r="L222" s="4"/>
      <c r="M222" s="4"/>
      <c r="N222" s="4"/>
      <c r="O222" s="4"/>
      <c r="P222" s="4"/>
      <c r="Q222" s="4"/>
      <c r="R222" s="4"/>
      <c r="S222" s="4"/>
      <c r="T222" s="4"/>
      <c r="U222" s="4"/>
      <c r="V222" s="4"/>
      <c r="W222" s="4"/>
      <c r="X222" s="4"/>
      <c r="Y222" s="4"/>
      <c r="Z222" s="37"/>
    </row>
    <row r="223" spans="1:26">
      <c r="A223" s="53" t="s">
        <v>571</v>
      </c>
      <c r="B223" s="30">
        <f>B_Stanja!AI94</f>
        <v>0</v>
      </c>
      <c r="C223" s="57">
        <f>B_Stanja!AP94</f>
        <v>0</v>
      </c>
      <c r="D223" s="4"/>
      <c r="E223" s="4"/>
      <c r="F223" s="4"/>
      <c r="G223" s="4"/>
      <c r="H223" s="4"/>
      <c r="I223" s="4"/>
      <c r="J223" s="4"/>
      <c r="K223" s="4"/>
      <c r="L223" s="4"/>
      <c r="M223" s="4"/>
      <c r="N223" s="4"/>
      <c r="O223" s="4"/>
      <c r="P223" s="4"/>
      <c r="Q223" s="4"/>
      <c r="R223" s="4"/>
      <c r="S223" s="4"/>
      <c r="T223" s="4"/>
      <c r="U223" s="4"/>
      <c r="V223" s="4"/>
      <c r="W223" s="4"/>
      <c r="X223" s="4"/>
      <c r="Y223" s="4"/>
      <c r="Z223" s="37"/>
    </row>
    <row r="224" spans="1:26">
      <c r="A224" s="53" t="s">
        <v>1002</v>
      </c>
      <c r="B224" s="30">
        <f>B_Stanja!AI95</f>
        <v>0</v>
      </c>
      <c r="C224" s="57">
        <f>B_Stanja!AP95</f>
        <v>0</v>
      </c>
      <c r="D224" s="4"/>
      <c r="E224" s="4"/>
      <c r="F224" s="4"/>
      <c r="G224" s="4"/>
      <c r="H224" s="4"/>
      <c r="I224" s="4"/>
      <c r="J224" s="4"/>
      <c r="K224" s="4"/>
      <c r="L224" s="4"/>
      <c r="M224" s="4"/>
      <c r="N224" s="4"/>
      <c r="O224" s="4"/>
      <c r="P224" s="4"/>
      <c r="Q224" s="4"/>
      <c r="R224" s="4"/>
      <c r="S224" s="4"/>
      <c r="T224" s="4"/>
      <c r="U224" s="4"/>
      <c r="V224" s="4"/>
      <c r="W224" s="4"/>
      <c r="X224" s="4"/>
      <c r="Y224" s="4"/>
      <c r="Z224" s="37"/>
    </row>
    <row r="225" spans="1:26">
      <c r="A225" s="53" t="s">
        <v>4475</v>
      </c>
      <c r="B225" s="30">
        <f>B_Stanja!AI96</f>
        <v>350000</v>
      </c>
      <c r="C225" s="57">
        <f>B_Stanja!AP96</f>
        <v>350000</v>
      </c>
      <c r="D225" s="4"/>
      <c r="E225" s="4"/>
      <c r="F225" s="4"/>
      <c r="G225" s="4"/>
      <c r="H225" s="4"/>
      <c r="I225" s="4"/>
      <c r="J225" s="4"/>
      <c r="K225" s="4"/>
      <c r="L225" s="4"/>
      <c r="M225" s="4"/>
      <c r="N225" s="4"/>
      <c r="O225" s="4"/>
      <c r="P225" s="4"/>
      <c r="Q225" s="4"/>
      <c r="R225" s="4"/>
      <c r="S225" s="4"/>
      <c r="T225" s="4"/>
      <c r="U225" s="4"/>
      <c r="V225" s="4"/>
      <c r="W225" s="4"/>
      <c r="X225" s="4"/>
      <c r="Y225" s="4"/>
      <c r="Z225" s="37"/>
    </row>
    <row r="226" spans="1:26">
      <c r="A226" s="53" t="s">
        <v>1006</v>
      </c>
      <c r="B226" s="30">
        <f>B_Stanja!AI97</f>
        <v>0</v>
      </c>
      <c r="C226" s="57">
        <f>B_Stanja!AP97</f>
        <v>0</v>
      </c>
      <c r="D226" s="4"/>
      <c r="E226" s="4"/>
      <c r="F226" s="4"/>
      <c r="G226" s="4"/>
      <c r="H226" s="4"/>
      <c r="I226" s="4"/>
      <c r="J226" s="4"/>
      <c r="K226" s="4"/>
      <c r="L226" s="4"/>
      <c r="M226" s="4"/>
      <c r="N226" s="4"/>
      <c r="O226" s="4"/>
      <c r="P226" s="4"/>
      <c r="Q226" s="4"/>
      <c r="R226" s="4"/>
      <c r="S226" s="4"/>
      <c r="T226" s="4"/>
      <c r="U226" s="4"/>
      <c r="V226" s="4"/>
      <c r="W226" s="4"/>
      <c r="X226" s="4"/>
      <c r="Y226" s="4"/>
      <c r="Z226" s="37"/>
    </row>
    <row r="227" spans="1:26">
      <c r="A227" s="53" t="s">
        <v>1011</v>
      </c>
      <c r="B227" s="30">
        <f>B_Stanja!AI98</f>
        <v>0</v>
      </c>
      <c r="C227" s="57">
        <f>B_Stanja!AP98</f>
        <v>0</v>
      </c>
      <c r="D227" s="4"/>
      <c r="E227" s="4"/>
      <c r="F227" s="4"/>
      <c r="G227" s="4"/>
      <c r="H227" s="4"/>
      <c r="I227" s="4"/>
      <c r="J227" s="4"/>
      <c r="K227" s="4"/>
      <c r="L227" s="4"/>
      <c r="M227" s="4"/>
      <c r="N227" s="4"/>
      <c r="O227" s="4"/>
      <c r="P227" s="4"/>
      <c r="Q227" s="4"/>
      <c r="R227" s="4"/>
      <c r="S227" s="4"/>
      <c r="T227" s="4"/>
      <c r="U227" s="4"/>
      <c r="V227" s="4"/>
      <c r="W227" s="4"/>
      <c r="X227" s="4"/>
      <c r="Y227" s="4"/>
      <c r="Z227" s="37"/>
    </row>
    <row r="228" spans="1:26">
      <c r="A228" s="53" t="s">
        <v>838</v>
      </c>
      <c r="B228" s="30">
        <f>B_Stanja!AI99</f>
        <v>0</v>
      </c>
      <c r="C228" s="57">
        <f>B_Stanja!AP99</f>
        <v>0</v>
      </c>
      <c r="D228" s="4"/>
      <c r="E228" s="4"/>
      <c r="F228" s="4"/>
      <c r="G228" s="4"/>
      <c r="H228" s="4"/>
      <c r="I228" s="4"/>
      <c r="J228" s="4"/>
      <c r="K228" s="4"/>
      <c r="L228" s="4"/>
      <c r="M228" s="4"/>
      <c r="N228" s="4"/>
      <c r="O228" s="4"/>
      <c r="P228" s="4"/>
      <c r="Q228" s="4"/>
      <c r="R228" s="4"/>
      <c r="S228" s="4"/>
      <c r="T228" s="4"/>
      <c r="U228" s="4"/>
      <c r="V228" s="4"/>
      <c r="W228" s="4"/>
      <c r="X228" s="4"/>
      <c r="Y228" s="4"/>
      <c r="Z228" s="37"/>
    </row>
    <row r="229" spans="1:26">
      <c r="A229" s="53" t="s">
        <v>903</v>
      </c>
      <c r="B229" s="30">
        <f>B_Stanja!AI100</f>
        <v>18462</v>
      </c>
      <c r="C229" s="57">
        <f>B_Stanja!AP100</f>
        <v>18461</v>
      </c>
      <c r="D229" s="4"/>
      <c r="E229" s="4"/>
      <c r="F229" s="4"/>
      <c r="G229" s="4"/>
      <c r="H229" s="4"/>
      <c r="I229" s="4"/>
      <c r="J229" s="4"/>
      <c r="K229" s="4"/>
      <c r="L229" s="4"/>
      <c r="M229" s="4"/>
      <c r="N229" s="4"/>
      <c r="O229" s="4"/>
      <c r="P229" s="4"/>
      <c r="Q229" s="4"/>
      <c r="R229" s="4"/>
      <c r="S229" s="4"/>
      <c r="T229" s="4"/>
      <c r="U229" s="4"/>
      <c r="V229" s="4"/>
      <c r="W229" s="4"/>
      <c r="X229" s="4"/>
      <c r="Y229" s="4"/>
      <c r="Z229" s="37"/>
    </row>
    <row r="230" spans="1:26">
      <c r="A230" s="53" t="s">
        <v>914</v>
      </c>
      <c r="B230" s="30">
        <f>B_Stanja!AI101</f>
        <v>0</v>
      </c>
      <c r="C230" s="57">
        <f>B_Stanja!AP101</f>
        <v>0</v>
      </c>
      <c r="D230" s="4"/>
      <c r="E230" s="4"/>
      <c r="F230" s="4"/>
      <c r="G230" s="4"/>
      <c r="H230" s="4"/>
      <c r="I230" s="4"/>
      <c r="J230" s="4"/>
      <c r="K230" s="4"/>
      <c r="L230" s="4"/>
      <c r="M230" s="4"/>
      <c r="N230" s="4"/>
      <c r="O230" s="4"/>
      <c r="P230" s="4"/>
      <c r="Q230" s="4"/>
      <c r="R230" s="4"/>
      <c r="S230" s="4"/>
      <c r="T230" s="4"/>
      <c r="U230" s="4"/>
      <c r="V230" s="4"/>
      <c r="W230" s="4"/>
      <c r="X230" s="4"/>
      <c r="Y230" s="4"/>
      <c r="Z230" s="37"/>
    </row>
    <row r="231" spans="1:26">
      <c r="A231" s="53" t="s">
        <v>4476</v>
      </c>
      <c r="B231" s="30">
        <f>B_Stanja!AI102</f>
        <v>18462</v>
      </c>
      <c r="C231" s="57">
        <f>B_Stanja!AP102</f>
        <v>18461</v>
      </c>
      <c r="D231" s="4"/>
      <c r="E231" s="4"/>
      <c r="F231" s="4"/>
      <c r="G231" s="4"/>
      <c r="H231" s="4"/>
      <c r="I231" s="4"/>
      <c r="J231" s="4"/>
      <c r="K231" s="4"/>
      <c r="L231" s="4"/>
      <c r="M231" s="4"/>
      <c r="N231" s="4"/>
      <c r="O231" s="4"/>
      <c r="P231" s="4"/>
      <c r="Q231" s="4"/>
      <c r="R231" s="4"/>
      <c r="S231" s="4"/>
      <c r="T231" s="4"/>
      <c r="U231" s="4"/>
      <c r="V231" s="4"/>
      <c r="W231" s="4"/>
      <c r="X231" s="4"/>
      <c r="Y231" s="4"/>
      <c r="Z231" s="37"/>
    </row>
    <row r="232" spans="1:26">
      <c r="A232" s="53" t="s">
        <v>4477</v>
      </c>
      <c r="B232" s="30">
        <f>B_Stanja!AI103</f>
        <v>0</v>
      </c>
      <c r="C232" s="57">
        <f>B_Stanja!AP103</f>
        <v>0</v>
      </c>
      <c r="D232" s="4"/>
      <c r="E232" s="4"/>
      <c r="F232" s="4"/>
      <c r="G232" s="4"/>
      <c r="H232" s="4"/>
      <c r="I232" s="4"/>
      <c r="J232" s="4"/>
      <c r="K232" s="4"/>
      <c r="L232" s="4"/>
      <c r="M232" s="4"/>
      <c r="N232" s="4"/>
      <c r="O232" s="4"/>
      <c r="P232" s="4"/>
      <c r="Q232" s="4"/>
      <c r="R232" s="4"/>
      <c r="S232" s="4"/>
      <c r="T232" s="4"/>
      <c r="U232" s="4"/>
      <c r="V232" s="4"/>
      <c r="W232" s="4"/>
      <c r="X232" s="4"/>
      <c r="Y232" s="4"/>
      <c r="Z232" s="37"/>
    </row>
    <row r="233" spans="1:26">
      <c r="A233" s="53" t="s">
        <v>4478</v>
      </c>
      <c r="B233" s="30">
        <f>B_Stanja!AI104</f>
        <v>0</v>
      </c>
      <c r="C233" s="57">
        <f>B_Stanja!AP104</f>
        <v>0</v>
      </c>
      <c r="D233" s="4"/>
      <c r="E233" s="4"/>
      <c r="F233" s="4"/>
      <c r="G233" s="4"/>
      <c r="H233" s="4"/>
      <c r="I233" s="4"/>
      <c r="J233" s="4"/>
      <c r="K233" s="4"/>
      <c r="L233" s="4"/>
      <c r="M233" s="4"/>
      <c r="N233" s="4"/>
      <c r="O233" s="4"/>
      <c r="P233" s="4"/>
      <c r="Q233" s="4"/>
      <c r="R233" s="4"/>
      <c r="S233" s="4"/>
      <c r="T233" s="4"/>
      <c r="U233" s="4"/>
      <c r="V233" s="4"/>
      <c r="W233" s="4"/>
      <c r="X233" s="4"/>
      <c r="Y233" s="4"/>
      <c r="Z233" s="37"/>
    </row>
    <row r="234" spans="1:26">
      <c r="A234" s="53" t="s">
        <v>4479</v>
      </c>
      <c r="B234" s="30">
        <f>B_Stanja!AI105</f>
        <v>0</v>
      </c>
      <c r="C234" s="57">
        <f>B_Stanja!AP105</f>
        <v>0</v>
      </c>
      <c r="D234" s="4"/>
      <c r="E234" s="4"/>
      <c r="F234" s="4"/>
      <c r="G234" s="4"/>
      <c r="H234" s="4"/>
      <c r="I234" s="4"/>
      <c r="J234" s="4"/>
      <c r="K234" s="4"/>
      <c r="L234" s="4"/>
      <c r="M234" s="4"/>
      <c r="N234" s="4"/>
      <c r="O234" s="4"/>
      <c r="P234" s="4"/>
      <c r="Q234" s="4"/>
      <c r="R234" s="4"/>
      <c r="S234" s="4"/>
      <c r="T234" s="4"/>
      <c r="U234" s="4"/>
      <c r="V234" s="4"/>
      <c r="W234" s="4"/>
      <c r="X234" s="4"/>
      <c r="Y234" s="4"/>
      <c r="Z234" s="37"/>
    </row>
    <row r="235" spans="1:26">
      <c r="A235" s="53" t="s">
        <v>4480</v>
      </c>
      <c r="B235" s="30">
        <f>B_Stanja!AI106</f>
        <v>0</v>
      </c>
      <c r="C235" s="57">
        <f>B_Stanja!AP106</f>
        <v>0</v>
      </c>
      <c r="D235" s="4"/>
      <c r="E235" s="4"/>
      <c r="F235" s="4"/>
      <c r="G235" s="4"/>
      <c r="H235" s="4"/>
      <c r="I235" s="4"/>
      <c r="J235" s="4"/>
      <c r="K235" s="4"/>
      <c r="L235" s="4"/>
      <c r="M235" s="4"/>
      <c r="N235" s="4"/>
      <c r="O235" s="4"/>
      <c r="P235" s="4"/>
      <c r="Q235" s="4"/>
      <c r="R235" s="4"/>
      <c r="S235" s="4"/>
      <c r="T235" s="4"/>
      <c r="U235" s="4"/>
      <c r="V235" s="4"/>
      <c r="W235" s="4"/>
      <c r="X235" s="4"/>
      <c r="Y235" s="4"/>
      <c r="Z235" s="37"/>
    </row>
    <row r="236" spans="1:26">
      <c r="A236" s="53" t="s">
        <v>4481</v>
      </c>
      <c r="B236" s="30">
        <f>B_Stanja!AI107</f>
        <v>0</v>
      </c>
      <c r="C236" s="57">
        <f>B_Stanja!AP107</f>
        <v>91307</v>
      </c>
      <c r="D236" s="4"/>
      <c r="E236" s="4"/>
      <c r="F236" s="4"/>
      <c r="G236" s="4"/>
      <c r="H236" s="4"/>
      <c r="I236" s="4"/>
      <c r="J236" s="4"/>
      <c r="K236" s="4"/>
      <c r="L236" s="4"/>
      <c r="M236" s="4"/>
      <c r="N236" s="4"/>
      <c r="O236" s="4"/>
      <c r="P236" s="4"/>
      <c r="Q236" s="4"/>
      <c r="R236" s="4"/>
      <c r="S236" s="4"/>
      <c r="T236" s="4"/>
      <c r="U236" s="4"/>
      <c r="V236" s="4"/>
      <c r="W236" s="4"/>
      <c r="X236" s="4"/>
      <c r="Y236" s="4"/>
      <c r="Z236" s="37"/>
    </row>
    <row r="237" spans="1:26">
      <c r="A237" s="53" t="s">
        <v>4482</v>
      </c>
      <c r="B237" s="30">
        <f>B_Stanja!AI108</f>
        <v>0</v>
      </c>
      <c r="C237" s="57">
        <f>B_Stanja!AP108</f>
        <v>0</v>
      </c>
      <c r="D237" s="4"/>
      <c r="E237" s="4"/>
      <c r="F237" s="4"/>
      <c r="G237" s="4"/>
      <c r="H237" s="4"/>
      <c r="I237" s="4"/>
      <c r="J237" s="4"/>
      <c r="K237" s="4"/>
      <c r="L237" s="4"/>
      <c r="M237" s="4"/>
      <c r="N237" s="4"/>
      <c r="O237" s="4"/>
      <c r="P237" s="4"/>
      <c r="Q237" s="4"/>
      <c r="R237" s="4"/>
      <c r="S237" s="4"/>
      <c r="T237" s="4"/>
      <c r="U237" s="4"/>
      <c r="V237" s="4"/>
      <c r="W237" s="4"/>
      <c r="X237" s="4"/>
      <c r="Y237" s="4"/>
      <c r="Z237" s="37"/>
    </row>
    <row r="238" spans="1:26">
      <c r="A238" s="53" t="s">
        <v>4483</v>
      </c>
      <c r="B238" s="30">
        <f>B_Stanja!AI109</f>
        <v>0</v>
      </c>
      <c r="C238" s="57">
        <f>B_Stanja!AP109</f>
        <v>91307</v>
      </c>
      <c r="D238" s="4"/>
      <c r="E238" s="4"/>
      <c r="F238" s="4"/>
      <c r="G238" s="4"/>
      <c r="H238" s="4"/>
      <c r="I238" s="4"/>
      <c r="J238" s="4"/>
      <c r="K238" s="4"/>
      <c r="L238" s="4"/>
      <c r="M238" s="4"/>
      <c r="N238" s="4"/>
      <c r="O238" s="4"/>
      <c r="P238" s="4"/>
      <c r="Q238" s="4"/>
      <c r="R238" s="4"/>
      <c r="S238" s="4"/>
      <c r="T238" s="4"/>
      <c r="U238" s="4"/>
      <c r="V238" s="4"/>
      <c r="W238" s="4"/>
      <c r="X238" s="4"/>
      <c r="Y238" s="4"/>
      <c r="Z238" s="37"/>
    </row>
    <row r="239" spans="1:26">
      <c r="A239" s="53" t="s">
        <v>4484</v>
      </c>
      <c r="B239" s="30">
        <f>B_Stanja!AI110</f>
        <v>59197</v>
      </c>
      <c r="C239" s="57">
        <f>B_Stanja!AP110</f>
        <v>0</v>
      </c>
      <c r="D239" s="4"/>
      <c r="E239" s="4"/>
      <c r="F239" s="4"/>
      <c r="G239" s="4"/>
      <c r="H239" s="4"/>
      <c r="I239" s="4"/>
      <c r="J239" s="4"/>
      <c r="K239" s="4"/>
      <c r="L239" s="4"/>
      <c r="M239" s="4"/>
      <c r="N239" s="4"/>
      <c r="O239" s="4"/>
      <c r="P239" s="4"/>
      <c r="Q239" s="4"/>
      <c r="R239" s="4"/>
      <c r="S239" s="4"/>
      <c r="T239" s="4"/>
      <c r="U239" s="4"/>
      <c r="V239" s="4"/>
      <c r="W239" s="4"/>
      <c r="X239" s="4"/>
      <c r="Y239" s="4"/>
      <c r="Z239" s="37"/>
    </row>
    <row r="240" spans="1:26">
      <c r="A240" s="53" t="s">
        <v>4485</v>
      </c>
      <c r="B240" s="30">
        <f>B_Stanja!AI111</f>
        <v>0</v>
      </c>
      <c r="C240" s="57">
        <f>B_Stanja!AP111</f>
        <v>0</v>
      </c>
      <c r="D240" s="4"/>
      <c r="E240" s="4"/>
      <c r="F240" s="4"/>
      <c r="G240" s="4"/>
      <c r="H240" s="4"/>
      <c r="I240" s="4"/>
      <c r="J240" s="4"/>
      <c r="K240" s="4"/>
      <c r="L240" s="4"/>
      <c r="M240" s="4"/>
      <c r="N240" s="4"/>
      <c r="O240" s="4"/>
      <c r="P240" s="4"/>
      <c r="Q240" s="4"/>
      <c r="R240" s="4"/>
      <c r="S240" s="4"/>
      <c r="T240" s="4"/>
      <c r="U240" s="4"/>
      <c r="V240" s="4"/>
      <c r="W240" s="4"/>
      <c r="X240" s="4"/>
      <c r="Y240" s="4"/>
      <c r="Z240" s="37"/>
    </row>
    <row r="241" spans="1:26">
      <c r="A241" s="53" t="s">
        <v>4486</v>
      </c>
      <c r="B241" s="30">
        <f>B_Stanja!AI112</f>
        <v>59197</v>
      </c>
      <c r="C241" s="57">
        <f>B_Stanja!AP112</f>
        <v>0</v>
      </c>
      <c r="D241" s="4"/>
      <c r="E241" s="4"/>
      <c r="F241" s="4"/>
      <c r="G241" s="4"/>
      <c r="H241" s="4"/>
      <c r="I241" s="4"/>
      <c r="J241" s="4"/>
      <c r="K241" s="4"/>
      <c r="L241" s="4"/>
      <c r="M241" s="4"/>
      <c r="N241" s="4"/>
      <c r="O241" s="4"/>
      <c r="P241" s="4"/>
      <c r="Q241" s="4"/>
      <c r="R241" s="4"/>
      <c r="S241" s="4"/>
      <c r="T241" s="4"/>
      <c r="U241" s="4"/>
      <c r="V241" s="4"/>
      <c r="W241" s="4"/>
      <c r="X241" s="4"/>
      <c r="Y241" s="4"/>
      <c r="Z241" s="37"/>
    </row>
    <row r="242" spans="1:26">
      <c r="A242" s="53" t="s">
        <v>4487</v>
      </c>
      <c r="B242" s="30">
        <f>B_Stanja!AI113</f>
        <v>309265</v>
      </c>
      <c r="C242" s="57">
        <f>B_Stanja!AP113</f>
        <v>459768</v>
      </c>
      <c r="D242" s="4"/>
      <c r="E242" s="4"/>
      <c r="F242" s="4"/>
      <c r="G242" s="4"/>
      <c r="H242" s="4"/>
      <c r="I242" s="4"/>
      <c r="J242" s="4"/>
      <c r="K242" s="4"/>
      <c r="L242" s="4"/>
      <c r="M242" s="4"/>
      <c r="N242" s="4"/>
      <c r="O242" s="4"/>
      <c r="P242" s="4"/>
      <c r="Q242" s="4"/>
      <c r="R242" s="4"/>
      <c r="S242" s="4"/>
      <c r="T242" s="4"/>
      <c r="U242" s="4"/>
      <c r="V242" s="4"/>
      <c r="W242" s="4"/>
      <c r="X242" s="4"/>
      <c r="Y242" s="4"/>
      <c r="Z242" s="37"/>
    </row>
    <row r="243" spans="1:26">
      <c r="A243" s="53" t="s">
        <v>4488</v>
      </c>
      <c r="B243" s="30">
        <f>B_Stanja!AI114</f>
        <v>0</v>
      </c>
      <c r="C243" s="57">
        <f>B_Stanja!AP114</f>
        <v>0</v>
      </c>
      <c r="D243" s="4"/>
      <c r="E243" s="4"/>
      <c r="F243" s="4"/>
      <c r="G243" s="4"/>
      <c r="H243" s="4"/>
      <c r="I243" s="4"/>
      <c r="J243" s="4"/>
      <c r="K243" s="4"/>
      <c r="L243" s="4"/>
      <c r="M243" s="4"/>
      <c r="N243" s="4"/>
      <c r="O243" s="4"/>
      <c r="P243" s="4"/>
      <c r="Q243" s="4"/>
      <c r="R243" s="4"/>
      <c r="S243" s="4"/>
      <c r="T243" s="4"/>
      <c r="U243" s="4"/>
      <c r="V243" s="4"/>
      <c r="W243" s="4"/>
      <c r="X243" s="4"/>
      <c r="Y243" s="4"/>
      <c r="Z243" s="37"/>
    </row>
    <row r="244" spans="1:26">
      <c r="A244" s="53" t="s">
        <v>4489</v>
      </c>
      <c r="B244" s="30">
        <f>B_Stanja!AI115</f>
        <v>309265</v>
      </c>
      <c r="C244" s="58">
        <f>B_Stanja!AP115</f>
        <v>459768</v>
      </c>
      <c r="D244" s="4"/>
      <c r="E244" s="4"/>
      <c r="F244" s="4"/>
      <c r="G244" s="4"/>
      <c r="H244" s="4"/>
      <c r="I244" s="4"/>
      <c r="J244" s="4"/>
      <c r="K244" s="4"/>
      <c r="L244" s="4"/>
      <c r="M244" s="4"/>
      <c r="N244" s="4"/>
      <c r="O244" s="4"/>
      <c r="P244" s="4"/>
      <c r="Q244" s="4"/>
      <c r="R244" s="4"/>
      <c r="S244" s="4"/>
      <c r="T244" s="4"/>
      <c r="U244" s="4"/>
      <c r="V244" s="4"/>
      <c r="W244" s="4"/>
      <c r="X244" s="4"/>
      <c r="Y244" s="4"/>
      <c r="Z244" s="37"/>
    </row>
    <row r="245" spans="1:26">
      <c r="A245" s="53" t="s">
        <v>513</v>
      </c>
      <c r="B245" s="30">
        <f>B_Stanja!AI125</f>
        <v>0</v>
      </c>
      <c r="C245" s="58">
        <f>B_Stanja!AP125</f>
        <v>16678</v>
      </c>
      <c r="D245" s="4"/>
      <c r="E245" s="4"/>
      <c r="F245" s="4"/>
      <c r="G245" s="4"/>
      <c r="H245" s="4"/>
      <c r="I245" s="4"/>
      <c r="J245" s="4"/>
      <c r="K245" s="4"/>
      <c r="L245" s="4"/>
      <c r="M245" s="4"/>
      <c r="N245" s="4"/>
      <c r="O245" s="4"/>
      <c r="P245" s="4"/>
      <c r="Q245" s="4"/>
      <c r="R245" s="4"/>
      <c r="S245" s="4"/>
      <c r="T245" s="4"/>
      <c r="U245" s="4"/>
      <c r="V245" s="4"/>
      <c r="W245" s="4"/>
      <c r="X245" s="4"/>
      <c r="Y245" s="4"/>
      <c r="Z245" s="37"/>
    </row>
    <row r="246" spans="1:26">
      <c r="A246" s="53" t="s">
        <v>4490</v>
      </c>
      <c r="B246" s="30">
        <f>B_Stanja!AI126</f>
        <v>0</v>
      </c>
      <c r="C246" s="58">
        <f>B_Stanja!AP126</f>
        <v>16678</v>
      </c>
      <c r="D246" s="4"/>
      <c r="E246" s="4"/>
      <c r="F246" s="4"/>
      <c r="G246" s="4"/>
      <c r="H246" s="4"/>
      <c r="I246" s="4"/>
      <c r="J246" s="4"/>
      <c r="K246" s="4"/>
      <c r="L246" s="4"/>
      <c r="M246" s="4"/>
      <c r="N246" s="4"/>
      <c r="O246" s="4"/>
      <c r="P246" s="4"/>
      <c r="Q246" s="4"/>
      <c r="R246" s="4"/>
      <c r="S246" s="4"/>
      <c r="T246" s="4"/>
      <c r="U246" s="4"/>
      <c r="V246" s="4"/>
      <c r="W246" s="4"/>
      <c r="X246" s="4"/>
      <c r="Y246" s="4"/>
      <c r="Z246" s="37"/>
    </row>
    <row r="247" spans="1:26">
      <c r="A247" s="53" t="s">
        <v>4491</v>
      </c>
      <c r="B247" s="30">
        <f>B_Stanja!AI127</f>
        <v>0</v>
      </c>
      <c r="C247" s="58">
        <f>B_Stanja!AP127</f>
        <v>16678</v>
      </c>
      <c r="D247" s="4"/>
      <c r="E247" s="4"/>
      <c r="F247" s="4"/>
      <c r="G247" s="4"/>
      <c r="H247" s="4"/>
      <c r="I247" s="4"/>
      <c r="J247" s="4"/>
      <c r="K247" s="4"/>
      <c r="L247" s="4"/>
      <c r="M247" s="4"/>
      <c r="N247" s="4"/>
      <c r="O247" s="4"/>
      <c r="P247" s="4"/>
      <c r="Q247" s="4"/>
      <c r="R247" s="4"/>
      <c r="S247" s="4"/>
      <c r="T247" s="4"/>
      <c r="U247" s="4"/>
      <c r="V247" s="4"/>
      <c r="W247" s="4"/>
      <c r="X247" s="4"/>
      <c r="Y247" s="4"/>
      <c r="Z247" s="37"/>
    </row>
    <row r="248" spans="1:26">
      <c r="A248" s="53" t="s">
        <v>4492</v>
      </c>
      <c r="B248" s="30">
        <f>B_Stanja!AI128</f>
        <v>0</v>
      </c>
      <c r="C248" s="58">
        <f>B_Stanja!AP128</f>
        <v>0</v>
      </c>
      <c r="D248" s="4"/>
      <c r="E248" s="4"/>
      <c r="F248" s="4"/>
      <c r="G248" s="4"/>
      <c r="H248" s="4"/>
      <c r="I248" s="4"/>
      <c r="J248" s="4"/>
      <c r="K248" s="4"/>
      <c r="L248" s="4"/>
      <c r="M248" s="4"/>
      <c r="N248" s="4"/>
      <c r="O248" s="4"/>
      <c r="P248" s="4"/>
      <c r="Q248" s="4"/>
      <c r="R248" s="4"/>
      <c r="S248" s="4"/>
      <c r="T248" s="4"/>
      <c r="U248" s="4"/>
      <c r="V248" s="4"/>
      <c r="W248" s="4"/>
      <c r="X248" s="4"/>
      <c r="Y248" s="4"/>
      <c r="Z248" s="37"/>
    </row>
    <row r="249" spans="1:26">
      <c r="A249" s="53" t="s">
        <v>579</v>
      </c>
      <c r="B249" s="30">
        <f>B_Stanja!AI129</f>
        <v>0</v>
      </c>
      <c r="C249" s="58">
        <f>B_Stanja!AP129</f>
        <v>0</v>
      </c>
      <c r="D249" s="4"/>
      <c r="E249" s="4"/>
      <c r="F249" s="4"/>
      <c r="G249" s="4"/>
      <c r="H249" s="4"/>
      <c r="I249" s="4"/>
      <c r="J249" s="4"/>
      <c r="K249" s="4"/>
      <c r="L249" s="4"/>
      <c r="M249" s="4"/>
      <c r="N249" s="4"/>
      <c r="O249" s="4"/>
      <c r="P249" s="4"/>
      <c r="Q249" s="4"/>
      <c r="R249" s="4"/>
      <c r="S249" s="4"/>
      <c r="T249" s="4"/>
      <c r="U249" s="4"/>
      <c r="V249" s="4"/>
      <c r="W249" s="4"/>
      <c r="X249" s="4"/>
      <c r="Y249" s="4"/>
      <c r="Z249" s="37"/>
    </row>
    <row r="250" spans="1:26">
      <c r="A250" s="53" t="s">
        <v>4493</v>
      </c>
      <c r="B250" s="30">
        <f>B_Stanja!AI130</f>
        <v>0</v>
      </c>
      <c r="C250" s="58">
        <f>B_Stanja!AP130</f>
        <v>0</v>
      </c>
      <c r="D250" s="4"/>
      <c r="E250" s="4"/>
      <c r="F250" s="4"/>
      <c r="G250" s="4"/>
      <c r="H250" s="4"/>
      <c r="I250" s="4"/>
      <c r="J250" s="4"/>
      <c r="K250" s="4"/>
      <c r="L250" s="4"/>
      <c r="M250" s="4"/>
      <c r="N250" s="4"/>
      <c r="O250" s="4"/>
      <c r="P250" s="4"/>
      <c r="Q250" s="4"/>
      <c r="R250" s="4"/>
      <c r="S250" s="4"/>
      <c r="T250" s="4"/>
      <c r="U250" s="4"/>
      <c r="V250" s="4"/>
      <c r="W250" s="4"/>
      <c r="X250" s="4"/>
      <c r="Y250" s="4"/>
      <c r="Z250" s="37"/>
    </row>
    <row r="251" spans="1:26">
      <c r="A251" s="53" t="s">
        <v>4494</v>
      </c>
      <c r="B251" s="30">
        <f>B_Stanja!AI131</f>
        <v>0</v>
      </c>
      <c r="C251" s="58">
        <f>B_Stanja!AP131</f>
        <v>0</v>
      </c>
      <c r="D251" s="4"/>
      <c r="E251" s="4"/>
      <c r="F251" s="4"/>
      <c r="G251" s="4"/>
      <c r="H251" s="4"/>
      <c r="I251" s="4"/>
      <c r="J251" s="4"/>
      <c r="K251" s="4"/>
      <c r="L251" s="4"/>
      <c r="M251" s="4"/>
      <c r="N251" s="4"/>
      <c r="O251" s="4"/>
      <c r="P251" s="4"/>
      <c r="Q251" s="4"/>
      <c r="R251" s="4"/>
      <c r="S251" s="4"/>
      <c r="T251" s="4"/>
      <c r="U251" s="4"/>
      <c r="V251" s="4"/>
      <c r="W251" s="4"/>
      <c r="X251" s="4"/>
      <c r="Y251" s="4"/>
      <c r="Z251" s="37"/>
    </row>
    <row r="252" spans="1:26">
      <c r="A252" s="53" t="s">
        <v>4495</v>
      </c>
      <c r="B252" s="30">
        <f>B_Stanja!AI132</f>
        <v>0</v>
      </c>
      <c r="C252" s="58">
        <f>B_Stanja!AP132</f>
        <v>0</v>
      </c>
      <c r="D252" s="4"/>
      <c r="E252" s="4"/>
      <c r="F252" s="4"/>
      <c r="G252" s="4"/>
      <c r="H252" s="4"/>
      <c r="I252" s="4"/>
      <c r="J252" s="4"/>
      <c r="K252" s="4"/>
      <c r="L252" s="4"/>
      <c r="M252" s="4"/>
      <c r="N252" s="4"/>
      <c r="O252" s="4"/>
      <c r="P252" s="4"/>
      <c r="Q252" s="4"/>
      <c r="R252" s="4"/>
      <c r="S252" s="4"/>
      <c r="T252" s="4"/>
      <c r="U252" s="4"/>
      <c r="V252" s="4"/>
      <c r="W252" s="4"/>
      <c r="X252" s="4"/>
      <c r="Y252" s="4"/>
      <c r="Z252" s="37"/>
    </row>
    <row r="253" spans="1:26">
      <c r="A253" s="53" t="s">
        <v>475</v>
      </c>
      <c r="B253" s="30">
        <f>B_Stanja!AI133</f>
        <v>0</v>
      </c>
      <c r="C253" s="58">
        <f>B_Stanja!AP133</f>
        <v>0</v>
      </c>
      <c r="D253" s="4"/>
      <c r="E253" s="4"/>
      <c r="F253" s="4"/>
      <c r="G253" s="4"/>
      <c r="H253" s="4"/>
      <c r="I253" s="4"/>
      <c r="J253" s="4"/>
      <c r="K253" s="4"/>
      <c r="L253" s="4"/>
      <c r="M253" s="4"/>
      <c r="N253" s="4"/>
      <c r="O253" s="4"/>
      <c r="P253" s="4"/>
      <c r="Q253" s="4"/>
      <c r="R253" s="4"/>
      <c r="S253" s="4"/>
      <c r="T253" s="4"/>
      <c r="U253" s="4"/>
      <c r="V253" s="4"/>
      <c r="W253" s="4"/>
      <c r="X253" s="4"/>
      <c r="Y253" s="4"/>
      <c r="Z253" s="37"/>
    </row>
    <row r="254" spans="1:26">
      <c r="A254" s="53" t="s">
        <v>4496</v>
      </c>
      <c r="B254" s="30">
        <f>B_Stanja!AI134</f>
        <v>0</v>
      </c>
      <c r="C254" s="58">
        <f>B_Stanja!AP134</f>
        <v>0</v>
      </c>
      <c r="D254" s="4"/>
      <c r="E254" s="4"/>
      <c r="F254" s="4"/>
      <c r="G254" s="4"/>
      <c r="H254" s="4"/>
      <c r="I254" s="4"/>
      <c r="J254" s="4"/>
      <c r="K254" s="4"/>
      <c r="L254" s="4"/>
      <c r="M254" s="4"/>
      <c r="N254" s="4"/>
      <c r="O254" s="4"/>
      <c r="P254" s="4"/>
      <c r="Q254" s="4"/>
      <c r="R254" s="4"/>
      <c r="S254" s="4"/>
      <c r="T254" s="4"/>
      <c r="U254" s="4"/>
      <c r="V254" s="4"/>
      <c r="W254" s="4"/>
      <c r="X254" s="4"/>
      <c r="Y254" s="4"/>
      <c r="Z254" s="37"/>
    </row>
    <row r="255" spans="1:26">
      <c r="A255" s="53" t="s">
        <v>410</v>
      </c>
      <c r="B255" s="30">
        <f>B_Stanja!AI135</f>
        <v>290034</v>
      </c>
      <c r="C255" s="58">
        <f>B_Stanja!AP135</f>
        <v>292435</v>
      </c>
      <c r="D255" s="4"/>
      <c r="E255" s="4"/>
      <c r="F255" s="4"/>
      <c r="G255" s="4"/>
      <c r="H255" s="4"/>
      <c r="I255" s="4"/>
      <c r="J255" s="4"/>
      <c r="K255" s="4"/>
      <c r="L255" s="4"/>
      <c r="M255" s="4"/>
      <c r="N255" s="4"/>
      <c r="O255" s="4"/>
      <c r="P255" s="4"/>
      <c r="Q255" s="4"/>
      <c r="R255" s="4"/>
      <c r="S255" s="4"/>
      <c r="T255" s="4"/>
      <c r="U255" s="4"/>
      <c r="V255" s="4"/>
      <c r="W255" s="4"/>
      <c r="X255" s="4"/>
      <c r="Y255" s="4"/>
      <c r="Z255" s="37"/>
    </row>
    <row r="256" spans="1:26">
      <c r="A256" s="53" t="s">
        <v>4497</v>
      </c>
      <c r="B256" s="30">
        <f>B_Stanja!AI136</f>
        <v>22856</v>
      </c>
      <c r="C256" s="58">
        <f>B_Stanja!AP136</f>
        <v>73491</v>
      </c>
      <c r="D256" s="4"/>
      <c r="E256" s="4"/>
      <c r="F256" s="4"/>
      <c r="G256" s="4"/>
      <c r="H256" s="4"/>
      <c r="I256" s="4"/>
      <c r="J256" s="4"/>
      <c r="K256" s="4"/>
      <c r="L256" s="4"/>
      <c r="M256" s="4"/>
      <c r="N256" s="4"/>
      <c r="O256" s="4"/>
      <c r="P256" s="4"/>
      <c r="Q256" s="4"/>
      <c r="R256" s="4"/>
      <c r="S256" s="4"/>
      <c r="T256" s="4"/>
      <c r="U256" s="4"/>
      <c r="V256" s="4"/>
      <c r="W256" s="4"/>
      <c r="X256" s="4"/>
      <c r="Y256" s="4"/>
      <c r="Z256" s="37"/>
    </row>
    <row r="257" spans="1:26">
      <c r="A257" s="53" t="s">
        <v>864</v>
      </c>
      <c r="B257" s="30">
        <f>B_Stanja!AI137</f>
        <v>22856</v>
      </c>
      <c r="C257" s="58">
        <f>B_Stanja!AP137</f>
        <v>64182</v>
      </c>
      <c r="D257" s="4"/>
      <c r="E257" s="4"/>
      <c r="F257" s="4"/>
      <c r="G257" s="4"/>
      <c r="H257" s="4"/>
      <c r="I257" s="4"/>
      <c r="J257" s="4"/>
      <c r="K257" s="4"/>
      <c r="L257" s="4"/>
      <c r="M257" s="4"/>
      <c r="N257" s="4"/>
      <c r="O257" s="4"/>
      <c r="P257" s="4"/>
      <c r="Q257" s="4"/>
      <c r="R257" s="4"/>
      <c r="S257" s="4"/>
      <c r="T257" s="4"/>
      <c r="U257" s="4"/>
      <c r="V257" s="4"/>
      <c r="W257" s="4"/>
      <c r="X257" s="4"/>
      <c r="Y257" s="4"/>
      <c r="Z257" s="37"/>
    </row>
    <row r="258" spans="1:26">
      <c r="A258" s="53" t="s">
        <v>4498</v>
      </c>
      <c r="B258" s="30">
        <f>B_Stanja!AI138</f>
        <v>0</v>
      </c>
      <c r="C258" s="58">
        <f>B_Stanja!AP138</f>
        <v>0</v>
      </c>
      <c r="D258" s="4"/>
      <c r="E258" s="4"/>
      <c r="F258" s="4"/>
      <c r="G258" s="4"/>
      <c r="H258" s="4"/>
      <c r="I258" s="4"/>
      <c r="J258" s="4"/>
      <c r="K258" s="4"/>
      <c r="L258" s="4"/>
      <c r="M258" s="4"/>
      <c r="N258" s="4"/>
      <c r="O258" s="4"/>
      <c r="P258" s="4"/>
      <c r="Q258" s="4"/>
      <c r="R258" s="4"/>
      <c r="S258" s="4"/>
      <c r="T258" s="4"/>
      <c r="U258" s="4"/>
      <c r="V258" s="4"/>
      <c r="W258" s="4"/>
      <c r="X258" s="4"/>
      <c r="Y258" s="4"/>
      <c r="Z258" s="37"/>
    </row>
    <row r="259" spans="1:26">
      <c r="A259" s="53" t="s">
        <v>891</v>
      </c>
      <c r="B259" s="30">
        <f>B_Stanja!AI139</f>
        <v>0</v>
      </c>
      <c r="C259" s="58">
        <f>B_Stanja!AP139</f>
        <v>9309</v>
      </c>
      <c r="D259" s="4"/>
      <c r="E259" s="4"/>
      <c r="F259" s="4"/>
      <c r="G259" s="4"/>
      <c r="H259" s="4"/>
      <c r="I259" s="4"/>
      <c r="J259" s="4"/>
      <c r="K259" s="4"/>
      <c r="L259" s="4"/>
      <c r="M259" s="4"/>
      <c r="N259" s="4"/>
      <c r="O259" s="4"/>
      <c r="P259" s="4"/>
      <c r="Q259" s="4"/>
      <c r="R259" s="4"/>
      <c r="S259" s="4"/>
      <c r="T259" s="4"/>
      <c r="U259" s="4"/>
      <c r="V259" s="4"/>
      <c r="W259" s="4"/>
      <c r="X259" s="4"/>
      <c r="Y259" s="4"/>
      <c r="Z259" s="37"/>
    </row>
    <row r="260" spans="1:26">
      <c r="A260" s="53" t="s">
        <v>4499</v>
      </c>
      <c r="B260" s="30">
        <f>B_Stanja!AI140</f>
        <v>0</v>
      </c>
      <c r="C260" s="58">
        <f>B_Stanja!AP140</f>
        <v>0</v>
      </c>
      <c r="D260" s="4"/>
      <c r="E260" s="4"/>
      <c r="F260" s="4"/>
      <c r="G260" s="4"/>
      <c r="H260" s="4"/>
      <c r="I260" s="4"/>
      <c r="J260" s="4"/>
      <c r="K260" s="4"/>
      <c r="L260" s="4"/>
      <c r="M260" s="4"/>
      <c r="N260" s="4"/>
      <c r="O260" s="4"/>
      <c r="P260" s="4"/>
      <c r="Q260" s="4"/>
      <c r="R260" s="4"/>
      <c r="S260" s="4"/>
      <c r="T260" s="4"/>
      <c r="U260" s="4"/>
      <c r="V260" s="4"/>
      <c r="W260" s="4"/>
      <c r="X260" s="4"/>
      <c r="Y260" s="4"/>
      <c r="Z260" s="37"/>
    </row>
    <row r="261" spans="1:26">
      <c r="A261" s="53" t="s">
        <v>632</v>
      </c>
      <c r="B261" s="30">
        <f>B_Stanja!AI141</f>
        <v>0</v>
      </c>
      <c r="C261" s="58">
        <f>B_Stanja!AP141</f>
        <v>0</v>
      </c>
      <c r="D261" s="4"/>
      <c r="E261" s="4"/>
      <c r="F261" s="4"/>
      <c r="G261" s="4"/>
      <c r="H261" s="4"/>
      <c r="I261" s="4"/>
      <c r="J261" s="4"/>
      <c r="K261" s="4"/>
      <c r="L261" s="4"/>
      <c r="M261" s="4"/>
      <c r="N261" s="4"/>
      <c r="O261" s="4"/>
      <c r="P261" s="4"/>
      <c r="Q261" s="4"/>
      <c r="R261" s="4"/>
      <c r="S261" s="4"/>
      <c r="T261" s="4"/>
      <c r="U261" s="4"/>
      <c r="V261" s="4"/>
      <c r="W261" s="4"/>
      <c r="X261" s="4"/>
      <c r="Y261" s="4"/>
      <c r="Z261" s="37"/>
    </row>
    <row r="262" spans="1:26">
      <c r="A262" s="53" t="s">
        <v>430</v>
      </c>
      <c r="B262" s="30">
        <f>B_Stanja!AI142</f>
        <v>0</v>
      </c>
      <c r="C262" s="58">
        <f>B_Stanja!AP142</f>
        <v>0</v>
      </c>
      <c r="D262" s="4"/>
      <c r="E262" s="4"/>
      <c r="F262" s="4"/>
      <c r="G262" s="4"/>
      <c r="H262" s="4"/>
      <c r="I262" s="4"/>
      <c r="J262" s="4"/>
      <c r="K262" s="4"/>
      <c r="L262" s="4"/>
      <c r="M262" s="4"/>
      <c r="N262" s="4"/>
      <c r="O262" s="4"/>
      <c r="P262" s="4"/>
      <c r="Q262" s="4"/>
      <c r="R262" s="4"/>
      <c r="S262" s="4"/>
      <c r="T262" s="4"/>
      <c r="U262" s="4"/>
      <c r="V262" s="4"/>
      <c r="W262" s="4"/>
      <c r="X262" s="4"/>
      <c r="Y262" s="4"/>
      <c r="Z262" s="37"/>
    </row>
    <row r="263" spans="1:26">
      <c r="A263" s="53" t="s">
        <v>934</v>
      </c>
      <c r="B263" s="30">
        <f>B_Stanja!AI143</f>
        <v>0</v>
      </c>
      <c r="C263" s="58">
        <f>B_Stanja!AP143</f>
        <v>0</v>
      </c>
      <c r="D263" s="4"/>
      <c r="E263" s="4"/>
      <c r="F263" s="4"/>
      <c r="G263" s="4"/>
      <c r="H263" s="4"/>
      <c r="I263" s="4"/>
      <c r="J263" s="4"/>
      <c r="K263" s="4"/>
      <c r="L263" s="4"/>
      <c r="M263" s="4"/>
      <c r="N263" s="4"/>
      <c r="O263" s="4"/>
      <c r="P263" s="4"/>
      <c r="Q263" s="4"/>
      <c r="R263" s="4"/>
      <c r="S263" s="4"/>
      <c r="T263" s="4"/>
      <c r="U263" s="4"/>
      <c r="V263" s="4"/>
      <c r="W263" s="4"/>
      <c r="X263" s="4"/>
      <c r="Y263" s="4"/>
      <c r="Z263" s="37"/>
    </row>
    <row r="264" spans="1:26">
      <c r="A264" s="53" t="s">
        <v>4500</v>
      </c>
      <c r="B264" s="30">
        <f>B_Stanja!AI144</f>
        <v>0</v>
      </c>
      <c r="C264" s="58">
        <f>B_Stanja!AP144</f>
        <v>0</v>
      </c>
      <c r="D264" s="4"/>
      <c r="E264" s="4"/>
      <c r="F264" s="4"/>
      <c r="G264" s="4"/>
      <c r="H264" s="4"/>
      <c r="I264" s="4"/>
      <c r="J264" s="4"/>
      <c r="K264" s="4"/>
      <c r="L264" s="4"/>
      <c r="M264" s="4"/>
      <c r="N264" s="4"/>
      <c r="O264" s="4"/>
      <c r="P264" s="4"/>
      <c r="Q264" s="4"/>
      <c r="R264" s="4"/>
      <c r="S264" s="4"/>
      <c r="T264" s="4"/>
      <c r="U264" s="4"/>
      <c r="V264" s="4"/>
      <c r="W264" s="4"/>
      <c r="X264" s="4"/>
      <c r="Y264" s="4"/>
      <c r="Z264" s="37"/>
    </row>
    <row r="265" spans="1:26">
      <c r="A265" s="53" t="s">
        <v>4501</v>
      </c>
      <c r="B265" s="30">
        <f>B_Stanja!AI145</f>
        <v>0</v>
      </c>
      <c r="C265" s="58">
        <f>B_Stanja!AP145</f>
        <v>0</v>
      </c>
      <c r="D265" s="4"/>
      <c r="E265" s="4"/>
      <c r="F265" s="4"/>
      <c r="G265" s="4"/>
      <c r="H265" s="4"/>
      <c r="I265" s="4"/>
      <c r="J265" s="4"/>
      <c r="K265" s="4"/>
      <c r="L265" s="4"/>
      <c r="M265" s="4"/>
      <c r="N265" s="4"/>
      <c r="O265" s="4"/>
      <c r="P265" s="4"/>
      <c r="Q265" s="4"/>
      <c r="R265" s="4"/>
      <c r="S265" s="4"/>
      <c r="T265" s="4"/>
      <c r="U265" s="4"/>
      <c r="V265" s="4"/>
      <c r="W265" s="4"/>
      <c r="X265" s="4"/>
      <c r="Y265" s="4"/>
      <c r="Z265" s="37"/>
    </row>
    <row r="266" spans="1:26">
      <c r="A266" s="53" t="s">
        <v>4502</v>
      </c>
      <c r="B266" s="30">
        <f>B_Stanja!AI146</f>
        <v>0</v>
      </c>
      <c r="C266" s="58">
        <f>B_Stanja!AP146</f>
        <v>0</v>
      </c>
      <c r="D266" s="4"/>
      <c r="E266" s="4"/>
      <c r="F266" s="4"/>
      <c r="G266" s="4"/>
      <c r="H266" s="4"/>
      <c r="I266" s="4"/>
      <c r="J266" s="4"/>
      <c r="K266" s="4"/>
      <c r="L266" s="4"/>
      <c r="M266" s="4"/>
      <c r="N266" s="4"/>
      <c r="O266" s="4"/>
      <c r="P266" s="4"/>
      <c r="Q266" s="4"/>
      <c r="R266" s="4"/>
      <c r="S266" s="4"/>
      <c r="T266" s="4"/>
      <c r="U266" s="4"/>
      <c r="V266" s="4"/>
      <c r="W266" s="4"/>
      <c r="X266" s="4"/>
      <c r="Y266" s="4"/>
      <c r="Z266" s="37"/>
    </row>
    <row r="267" spans="1:26">
      <c r="A267" s="53" t="s">
        <v>4503</v>
      </c>
      <c r="B267" s="30">
        <f>B_Stanja!AI147</f>
        <v>22437</v>
      </c>
      <c r="C267" s="58">
        <f>B_Stanja!AP147</f>
        <v>21273</v>
      </c>
      <c r="D267" s="4"/>
      <c r="E267" s="4"/>
      <c r="F267" s="4"/>
      <c r="G267" s="4"/>
      <c r="H267" s="4"/>
      <c r="I267" s="4"/>
      <c r="J267" s="4"/>
      <c r="K267" s="4"/>
      <c r="L267" s="4"/>
      <c r="M267" s="4"/>
      <c r="N267" s="4"/>
      <c r="O267" s="4"/>
      <c r="P267" s="4"/>
      <c r="Q267" s="4"/>
      <c r="R267" s="4"/>
      <c r="S267" s="4"/>
      <c r="T267" s="4"/>
      <c r="U267" s="4"/>
      <c r="V267" s="4"/>
      <c r="W267" s="4"/>
      <c r="X267" s="4"/>
      <c r="Y267" s="4"/>
      <c r="Z267" s="37"/>
    </row>
    <row r="268" spans="1:26">
      <c r="A268" s="53" t="s">
        <v>4504</v>
      </c>
      <c r="B268" s="30">
        <f>B_Stanja!AI148</f>
        <v>244741</v>
      </c>
      <c r="C268" s="58">
        <f>B_Stanja!AP148</f>
        <v>197671</v>
      </c>
      <c r="D268" s="4"/>
      <c r="E268" s="4"/>
      <c r="F268" s="4"/>
      <c r="G268" s="4"/>
      <c r="H268" s="4"/>
      <c r="I268" s="4"/>
      <c r="J268" s="4"/>
      <c r="K268" s="4"/>
      <c r="L268" s="4"/>
      <c r="M268" s="4"/>
      <c r="N268" s="4"/>
      <c r="O268" s="4"/>
      <c r="P268" s="4"/>
      <c r="Q268" s="4"/>
      <c r="R268" s="4"/>
      <c r="S268" s="4"/>
      <c r="T268" s="4"/>
      <c r="U268" s="4"/>
      <c r="V268" s="4"/>
      <c r="W268" s="4"/>
      <c r="X268" s="4"/>
      <c r="Y268" s="4"/>
      <c r="Z268" s="37"/>
    </row>
    <row r="269" spans="1:26">
      <c r="A269" s="53" t="s">
        <v>4505</v>
      </c>
      <c r="B269" s="30">
        <f>B_Stanja!AI149</f>
        <v>290034</v>
      </c>
      <c r="C269" s="58">
        <f>B_Stanja!AP149</f>
        <v>309113</v>
      </c>
      <c r="D269" s="4"/>
      <c r="E269" s="4"/>
      <c r="F269" s="4"/>
      <c r="G269" s="4"/>
      <c r="H269" s="4"/>
      <c r="I269" s="4"/>
      <c r="J269" s="4"/>
      <c r="K269" s="4"/>
      <c r="L269" s="4"/>
      <c r="M269" s="4"/>
      <c r="N269" s="4"/>
      <c r="O269" s="4"/>
      <c r="P269" s="4"/>
      <c r="Q269" s="4"/>
      <c r="R269" s="4"/>
      <c r="S269" s="4"/>
      <c r="T269" s="4"/>
      <c r="U269" s="4"/>
      <c r="V269" s="4"/>
      <c r="W269" s="4"/>
      <c r="X269" s="4"/>
      <c r="Y269" s="4"/>
      <c r="Z269" s="37"/>
    </row>
    <row r="270" spans="1:26">
      <c r="A270" s="53" t="s">
        <v>4506</v>
      </c>
      <c r="B270" s="30">
        <f>B_Stanja!AI150</f>
        <v>599299</v>
      </c>
      <c r="C270" s="58">
        <f>B_Stanja!AP150</f>
        <v>768881</v>
      </c>
      <c r="D270" s="4"/>
      <c r="E270" s="4"/>
      <c r="F270" s="4"/>
      <c r="G270" s="4"/>
      <c r="H270" s="4"/>
      <c r="I270" s="4"/>
      <c r="J270" s="4"/>
      <c r="K270" s="4"/>
      <c r="L270" s="4"/>
      <c r="M270" s="4"/>
      <c r="N270" s="4"/>
      <c r="O270" s="4"/>
      <c r="P270" s="4"/>
      <c r="Q270" s="4"/>
      <c r="R270" s="4"/>
      <c r="S270" s="4"/>
      <c r="T270" s="4"/>
      <c r="U270" s="4"/>
      <c r="V270" s="4"/>
      <c r="W270" s="4"/>
      <c r="X270" s="4"/>
      <c r="Y270" s="4"/>
      <c r="Z270" s="37"/>
    </row>
    <row r="271" spans="1:26">
      <c r="A271" s="53" t="s">
        <v>4507</v>
      </c>
      <c r="B271" s="30">
        <f>B_Stanja!AI151</f>
        <v>0</v>
      </c>
      <c r="C271" s="58">
        <f>B_Stanja!AP151</f>
        <v>0</v>
      </c>
      <c r="D271" s="4"/>
      <c r="E271" s="4"/>
      <c r="F271" s="4"/>
      <c r="G271" s="4"/>
      <c r="H271" s="4"/>
      <c r="I271" s="4"/>
      <c r="J271" s="4"/>
      <c r="K271" s="4"/>
      <c r="L271" s="4"/>
      <c r="M271" s="4"/>
      <c r="N271" s="4"/>
      <c r="O271" s="4"/>
      <c r="P271" s="4"/>
      <c r="Q271" s="4"/>
      <c r="R271" s="4"/>
      <c r="S271" s="4"/>
      <c r="T271" s="4"/>
      <c r="U271" s="4"/>
      <c r="V271" s="4"/>
      <c r="W271" s="4"/>
      <c r="X271" s="4"/>
      <c r="Y271" s="4"/>
      <c r="Z271" s="37"/>
    </row>
    <row r="272" spans="1:26">
      <c r="A272" s="53" t="s">
        <v>4508</v>
      </c>
      <c r="B272" s="30">
        <f>B_Stanja!AI152</f>
        <v>599299</v>
      </c>
      <c r="C272" s="58">
        <f>B_Stanja!AP152</f>
        <v>768881</v>
      </c>
      <c r="D272" s="4"/>
      <c r="E272" s="4"/>
      <c r="F272" s="4"/>
      <c r="G272" s="4"/>
      <c r="H272" s="4"/>
      <c r="I272" s="4"/>
      <c r="J272" s="4"/>
      <c r="K272" s="4"/>
      <c r="L272" s="4"/>
      <c r="M272" s="4"/>
      <c r="N272" s="4"/>
      <c r="O272" s="4"/>
      <c r="P272" s="4"/>
      <c r="Q272" s="4"/>
      <c r="R272" s="4"/>
      <c r="S272" s="4"/>
      <c r="T272" s="4"/>
      <c r="U272" s="4"/>
      <c r="V272" s="4"/>
      <c r="W272" s="4"/>
      <c r="X272" s="4"/>
      <c r="Y272" s="4"/>
      <c r="Z272" s="37"/>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37"/>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37"/>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37"/>
    </row>
    <row r="276" ht="24.75" customHeight="1" spans="1:26">
      <c r="A276" s="7"/>
      <c r="B276" s="7" t="str">
        <f>"ANEKS - DODATNI RAČUNOVODSTVENI IZVJEŠTAJ - "&amp;Firma&amp;"_"&amp;UnosPod!$O$6&amp;UnosPod!$P$6&amp;"."&amp;UnosPod!$Q$6&amp;"_"&amp;IdBroj</f>
        <v>ANEKS - DODATNI RAČUNOVODSTVENI IZVJEŠTAJ - LILIUM ASSET MANAGEMENT d.o.o. Sarajevo_12.2025_4201337670009</v>
      </c>
      <c r="C276" s="8"/>
      <c r="D276" s="8"/>
      <c r="E276" s="9"/>
      <c r="F276" s="9"/>
      <c r="G276" s="9"/>
      <c r="H276" s="8"/>
      <c r="I276" s="8"/>
      <c r="J276" s="8"/>
      <c r="K276" s="8"/>
      <c r="L276" s="8"/>
      <c r="M276" s="8"/>
      <c r="N276" s="8"/>
      <c r="O276" s="8"/>
      <c r="P276" s="8"/>
      <c r="Q276" s="8"/>
      <c r="R276" s="8"/>
      <c r="S276" s="8"/>
      <c r="T276" s="8"/>
      <c r="U276" s="8"/>
      <c r="V276" s="8"/>
      <c r="W276" s="8"/>
      <c r="X276" s="8"/>
      <c r="Y276" s="8"/>
      <c r="Z276" s="59"/>
    </row>
    <row r="277" ht="18.75" customHeight="1" spans="1:26">
      <c r="A277" s="60" t="s">
        <v>2438</v>
      </c>
      <c r="B277" s="60" t="s">
        <v>4473</v>
      </c>
      <c r="C277" s="61" t="s">
        <v>8114</v>
      </c>
      <c r="D277" s="52"/>
      <c r="E277" s="62"/>
      <c r="F277" s="62"/>
      <c r="G277" s="4"/>
      <c r="H277" s="4"/>
      <c r="I277" s="4"/>
      <c r="J277" s="4"/>
      <c r="K277" s="4"/>
      <c r="L277" s="4"/>
      <c r="M277" s="4"/>
      <c r="N277" s="4"/>
      <c r="O277" s="4"/>
      <c r="P277" s="4"/>
      <c r="Q277" s="4"/>
      <c r="R277" s="4"/>
      <c r="S277" s="4"/>
      <c r="T277" s="4"/>
      <c r="U277" s="4"/>
      <c r="V277" s="4"/>
      <c r="W277" s="4"/>
      <c r="X277" s="4"/>
      <c r="Y277" s="4"/>
      <c r="Z277" s="37"/>
    </row>
    <row r="278" ht="15.75" customHeight="1" spans="1:26">
      <c r="A278" s="53" t="s">
        <v>4509</v>
      </c>
      <c r="B278" s="30">
        <f>Anex_MSV!AI20</f>
        <v>0</v>
      </c>
      <c r="C278" s="31">
        <f>Anex_MSV!AP20</f>
        <v>0</v>
      </c>
      <c r="D278" s="54"/>
      <c r="E278" s="33"/>
      <c r="F278" s="33"/>
      <c r="G278" s="4"/>
      <c r="H278" s="4"/>
      <c r="I278" s="4"/>
      <c r="J278" s="4"/>
      <c r="K278" s="4"/>
      <c r="L278" s="4"/>
      <c r="M278" s="4"/>
      <c r="N278" s="4"/>
      <c r="O278" s="4"/>
      <c r="P278" s="4"/>
      <c r="Q278" s="4"/>
      <c r="R278" s="4"/>
      <c r="S278" s="4"/>
      <c r="T278" s="4"/>
      <c r="U278" s="4"/>
      <c r="V278" s="4"/>
      <c r="W278" s="4"/>
      <c r="X278" s="4"/>
      <c r="Y278" s="4"/>
      <c r="Z278" s="37"/>
    </row>
    <row r="279" ht="15.75" customHeight="1" spans="1:26">
      <c r="A279" s="53" t="s">
        <v>4510</v>
      </c>
      <c r="B279" s="30">
        <f>Anex_MSV!AI21</f>
        <v>0</v>
      </c>
      <c r="C279" s="31">
        <f>Anex_MSV!AP21</f>
        <v>0</v>
      </c>
      <c r="D279" s="54"/>
      <c r="E279" s="33"/>
      <c r="F279" s="33"/>
      <c r="G279" s="4"/>
      <c r="H279" s="4"/>
      <c r="I279" s="4"/>
      <c r="J279" s="4"/>
      <c r="K279" s="4"/>
      <c r="L279" s="4"/>
      <c r="M279" s="4"/>
      <c r="N279" s="4"/>
      <c r="O279" s="4"/>
      <c r="P279" s="4"/>
      <c r="Q279" s="4"/>
      <c r="R279" s="4"/>
      <c r="S279" s="4"/>
      <c r="T279" s="4"/>
      <c r="U279" s="4"/>
      <c r="V279" s="4"/>
      <c r="W279" s="4"/>
      <c r="X279" s="4"/>
      <c r="Y279" s="4"/>
      <c r="Z279" s="37"/>
    </row>
    <row r="280" ht="15.75" customHeight="1" spans="1:26">
      <c r="A280" s="53" t="s">
        <v>4511</v>
      </c>
      <c r="B280" s="30">
        <f>Anex_MSV!AI22</f>
        <v>0</v>
      </c>
      <c r="C280" s="31">
        <f>Anex_MSV!AP22</f>
        <v>0</v>
      </c>
      <c r="D280" s="54"/>
      <c r="E280" s="33"/>
      <c r="F280" s="33"/>
      <c r="G280" s="4"/>
      <c r="H280" s="4"/>
      <c r="I280" s="4"/>
      <c r="J280" s="4"/>
      <c r="K280" s="4"/>
      <c r="L280" s="4"/>
      <c r="M280" s="4"/>
      <c r="N280" s="4"/>
      <c r="O280" s="4"/>
      <c r="P280" s="4"/>
      <c r="Q280" s="4"/>
      <c r="R280" s="4"/>
      <c r="S280" s="4"/>
      <c r="T280" s="4"/>
      <c r="U280" s="4"/>
      <c r="V280" s="4"/>
      <c r="W280" s="4"/>
      <c r="X280" s="4"/>
      <c r="Y280" s="4"/>
      <c r="Z280" s="37"/>
    </row>
    <row r="281" ht="15.75" customHeight="1" spans="1:26">
      <c r="A281" s="53" t="s">
        <v>4512</v>
      </c>
      <c r="B281" s="30">
        <f>Anex_MSV!AI23</f>
        <v>0</v>
      </c>
      <c r="C281" s="31">
        <f>Anex_MSV!AP23</f>
        <v>0</v>
      </c>
      <c r="D281" s="54"/>
      <c r="E281" s="33"/>
      <c r="F281" s="33"/>
      <c r="G281" s="4"/>
      <c r="H281" s="4"/>
      <c r="I281" s="4"/>
      <c r="J281" s="4"/>
      <c r="K281" s="4"/>
      <c r="L281" s="4"/>
      <c r="M281" s="4"/>
      <c r="N281" s="4"/>
      <c r="O281" s="4"/>
      <c r="P281" s="4"/>
      <c r="Q281" s="4"/>
      <c r="R281" s="4"/>
      <c r="S281" s="4"/>
      <c r="T281" s="4"/>
      <c r="U281" s="4"/>
      <c r="V281" s="4"/>
      <c r="W281" s="4"/>
      <c r="X281" s="4"/>
      <c r="Y281" s="4"/>
      <c r="Z281" s="37"/>
    </row>
    <row r="282" ht="15.75" customHeight="1" spans="1:26">
      <c r="A282" s="53" t="s">
        <v>4513</v>
      </c>
      <c r="B282" s="30">
        <f>Anex_MSV!AI24</f>
        <v>0</v>
      </c>
      <c r="C282" s="31">
        <f>Anex_MSV!AP24</f>
        <v>0</v>
      </c>
      <c r="D282" s="54"/>
      <c r="E282" s="33"/>
      <c r="F282" s="33"/>
      <c r="G282" s="4"/>
      <c r="H282" s="4"/>
      <c r="I282" s="4"/>
      <c r="J282" s="4"/>
      <c r="K282" s="4"/>
      <c r="L282" s="4"/>
      <c r="M282" s="4"/>
      <c r="N282" s="4"/>
      <c r="O282" s="4"/>
      <c r="P282" s="4"/>
      <c r="Q282" s="4"/>
      <c r="R282" s="4"/>
      <c r="S282" s="4"/>
      <c r="T282" s="4"/>
      <c r="U282" s="4"/>
      <c r="V282" s="4"/>
      <c r="W282" s="4"/>
      <c r="X282" s="4"/>
      <c r="Y282" s="4"/>
      <c r="Z282" s="37"/>
    </row>
    <row r="283" ht="15.75" customHeight="1" spans="1:26">
      <c r="A283" s="53" t="s">
        <v>4514</v>
      </c>
      <c r="B283" s="30">
        <f>Anex_MSV!AI25</f>
        <v>0</v>
      </c>
      <c r="C283" s="31">
        <f>Anex_MSV!AP25</f>
        <v>0</v>
      </c>
      <c r="D283" s="54"/>
      <c r="E283" s="33"/>
      <c r="F283" s="33"/>
      <c r="G283" s="4"/>
      <c r="H283" s="4"/>
      <c r="I283" s="4"/>
      <c r="J283" s="4"/>
      <c r="K283" s="4"/>
      <c r="L283" s="4"/>
      <c r="M283" s="4"/>
      <c r="N283" s="4"/>
      <c r="O283" s="4"/>
      <c r="P283" s="4"/>
      <c r="Q283" s="4"/>
      <c r="R283" s="4"/>
      <c r="S283" s="4"/>
      <c r="T283" s="4"/>
      <c r="U283" s="4"/>
      <c r="V283" s="4"/>
      <c r="W283" s="4"/>
      <c r="X283" s="4"/>
      <c r="Y283" s="4"/>
      <c r="Z283" s="37"/>
    </row>
    <row r="284" ht="15.75" customHeight="1" spans="1:26">
      <c r="A284" s="53" t="s">
        <v>4515</v>
      </c>
      <c r="B284" s="30">
        <f>Anex_MSV!AI26</f>
        <v>0</v>
      </c>
      <c r="C284" s="31">
        <f>Anex_MSV!AP26</f>
        <v>0</v>
      </c>
      <c r="D284" s="54"/>
      <c r="E284" s="33"/>
      <c r="F284" s="33"/>
      <c r="G284" s="4"/>
      <c r="H284" s="4"/>
      <c r="I284" s="4"/>
      <c r="J284" s="4"/>
      <c r="K284" s="4"/>
      <c r="L284" s="4"/>
      <c r="M284" s="4"/>
      <c r="N284" s="4"/>
      <c r="O284" s="4"/>
      <c r="P284" s="4"/>
      <c r="Q284" s="4"/>
      <c r="R284" s="4"/>
      <c r="S284" s="4"/>
      <c r="T284" s="4"/>
      <c r="U284" s="4"/>
      <c r="V284" s="4"/>
      <c r="W284" s="4"/>
      <c r="X284" s="4"/>
      <c r="Y284" s="4"/>
      <c r="Z284" s="37"/>
    </row>
    <row r="285" ht="15.75" customHeight="1" spans="1:26">
      <c r="A285" s="53" t="s">
        <v>4516</v>
      </c>
      <c r="B285" s="30">
        <f>Anex_MSV!AI27</f>
        <v>0</v>
      </c>
      <c r="C285" s="31">
        <f>Anex_MSV!AP27</f>
        <v>0</v>
      </c>
      <c r="D285" s="54"/>
      <c r="E285" s="33"/>
      <c r="F285" s="33"/>
      <c r="G285" s="4"/>
      <c r="H285" s="4"/>
      <c r="I285" s="4"/>
      <c r="J285" s="4"/>
      <c r="K285" s="4"/>
      <c r="L285" s="4"/>
      <c r="M285" s="4"/>
      <c r="N285" s="4"/>
      <c r="O285" s="4"/>
      <c r="P285" s="4"/>
      <c r="Q285" s="4"/>
      <c r="R285" s="4"/>
      <c r="S285" s="4"/>
      <c r="T285" s="4"/>
      <c r="U285" s="4"/>
      <c r="V285" s="4"/>
      <c r="W285" s="4"/>
      <c r="X285" s="4"/>
      <c r="Y285" s="4"/>
      <c r="Z285" s="37"/>
    </row>
    <row r="286" ht="15.75" customHeight="1" spans="1:26">
      <c r="A286" s="53" t="s">
        <v>4517</v>
      </c>
      <c r="B286" s="30">
        <f>Anex_MSV!AI28</f>
        <v>0</v>
      </c>
      <c r="C286" s="31">
        <f>Anex_MSV!AP28</f>
        <v>0</v>
      </c>
      <c r="D286" s="54"/>
      <c r="E286" s="33"/>
      <c r="F286" s="33"/>
      <c r="G286" s="4"/>
      <c r="H286" s="4"/>
      <c r="I286" s="4"/>
      <c r="J286" s="4"/>
      <c r="K286" s="4"/>
      <c r="L286" s="4"/>
      <c r="M286" s="4"/>
      <c r="N286" s="4"/>
      <c r="O286" s="4"/>
      <c r="P286" s="4"/>
      <c r="Q286" s="4"/>
      <c r="R286" s="4"/>
      <c r="S286" s="4"/>
      <c r="T286" s="4"/>
      <c r="U286" s="4"/>
      <c r="V286" s="4"/>
      <c r="W286" s="4"/>
      <c r="X286" s="4"/>
      <c r="Y286" s="4"/>
      <c r="Z286" s="37"/>
    </row>
    <row r="287" ht="15.75" customHeight="1" spans="1:26">
      <c r="A287" s="53" t="s">
        <v>4518</v>
      </c>
      <c r="B287" s="30">
        <f>Anex_MSV!AI29</f>
        <v>0</v>
      </c>
      <c r="C287" s="31">
        <f>Anex_MSV!AP29</f>
        <v>0</v>
      </c>
      <c r="D287" s="54"/>
      <c r="E287" s="33"/>
      <c r="F287" s="33"/>
      <c r="G287" s="4"/>
      <c r="H287" s="4"/>
      <c r="I287" s="4"/>
      <c r="J287" s="4"/>
      <c r="K287" s="4"/>
      <c r="L287" s="4"/>
      <c r="M287" s="4"/>
      <c r="N287" s="4"/>
      <c r="O287" s="4"/>
      <c r="P287" s="4"/>
      <c r="Q287" s="4"/>
      <c r="R287" s="4"/>
      <c r="S287" s="4"/>
      <c r="T287" s="4"/>
      <c r="U287" s="4"/>
      <c r="V287" s="4"/>
      <c r="W287" s="4"/>
      <c r="X287" s="4"/>
      <c r="Y287" s="4"/>
      <c r="Z287" s="37"/>
    </row>
    <row r="288" ht="15.75" customHeight="1" spans="1:26">
      <c r="A288" s="53" t="s">
        <v>4519</v>
      </c>
      <c r="B288" s="30">
        <f>Anex_MSV!AI30</f>
        <v>0</v>
      </c>
      <c r="C288" s="31">
        <f>Anex_MSV!AP30</f>
        <v>0</v>
      </c>
      <c r="D288" s="54"/>
      <c r="E288" s="33"/>
      <c r="F288" s="33"/>
      <c r="G288" s="4"/>
      <c r="H288" s="4"/>
      <c r="I288" s="4"/>
      <c r="J288" s="4"/>
      <c r="K288" s="4"/>
      <c r="L288" s="4"/>
      <c r="M288" s="4"/>
      <c r="N288" s="4"/>
      <c r="O288" s="4"/>
      <c r="P288" s="4"/>
      <c r="Q288" s="4"/>
      <c r="R288" s="4"/>
      <c r="S288" s="4"/>
      <c r="T288" s="4"/>
      <c r="U288" s="4"/>
      <c r="V288" s="4"/>
      <c r="W288" s="4"/>
      <c r="X288" s="4"/>
      <c r="Y288" s="4"/>
      <c r="Z288" s="37"/>
    </row>
    <row r="289" ht="15.75" customHeight="1" spans="1:26">
      <c r="A289" s="53" t="s">
        <v>4520</v>
      </c>
      <c r="B289" s="30">
        <f>Anex_MSV!AI31</f>
        <v>0</v>
      </c>
      <c r="C289" s="31">
        <f>Anex_MSV!AP31</f>
        <v>0</v>
      </c>
      <c r="D289" s="54"/>
      <c r="E289" s="33"/>
      <c r="F289" s="33"/>
      <c r="G289" s="4"/>
      <c r="H289" s="4"/>
      <c r="I289" s="4"/>
      <c r="J289" s="4"/>
      <c r="K289" s="4"/>
      <c r="L289" s="4"/>
      <c r="M289" s="4"/>
      <c r="N289" s="4"/>
      <c r="O289" s="4"/>
      <c r="P289" s="4"/>
      <c r="Q289" s="4"/>
      <c r="R289" s="4"/>
      <c r="S289" s="4"/>
      <c r="T289" s="4"/>
      <c r="U289" s="4"/>
      <c r="V289" s="4"/>
      <c r="W289" s="4"/>
      <c r="X289" s="4"/>
      <c r="Y289" s="4"/>
      <c r="Z289" s="37"/>
    </row>
    <row r="290" ht="15.75" customHeight="1" spans="1:26">
      <c r="A290" s="53" t="s">
        <v>4521</v>
      </c>
      <c r="B290" s="30">
        <f>Anex_MSV!AI32</f>
        <v>206367</v>
      </c>
      <c r="C290" s="31">
        <f>Anex_MSV!AP32</f>
        <v>197520</v>
      </c>
      <c r="D290" s="54"/>
      <c r="E290" s="33"/>
      <c r="F290" s="33"/>
      <c r="G290" s="4"/>
      <c r="H290" s="4"/>
      <c r="I290" s="4"/>
      <c r="J290" s="4"/>
      <c r="K290" s="4"/>
      <c r="L290" s="4"/>
      <c r="M290" s="4"/>
      <c r="N290" s="4"/>
      <c r="O290" s="4"/>
      <c r="P290" s="4"/>
      <c r="Q290" s="4"/>
      <c r="R290" s="4"/>
      <c r="S290" s="4"/>
      <c r="T290" s="4"/>
      <c r="U290" s="4"/>
      <c r="V290" s="4"/>
      <c r="W290" s="4"/>
      <c r="X290" s="4"/>
      <c r="Y290" s="4"/>
      <c r="Z290" s="37"/>
    </row>
    <row r="291" ht="15.75" customHeight="1" spans="1:26">
      <c r="A291" s="53" t="s">
        <v>4522</v>
      </c>
      <c r="B291" s="30">
        <f>Anex_MSV!AI33</f>
        <v>87679</v>
      </c>
      <c r="C291" s="31">
        <f>Anex_MSV!AP33</f>
        <v>88949</v>
      </c>
      <c r="D291" s="54"/>
      <c r="E291" s="33"/>
      <c r="F291" s="33"/>
      <c r="G291" s="4"/>
      <c r="H291" s="4"/>
      <c r="I291" s="4"/>
      <c r="J291" s="4"/>
      <c r="K291" s="4"/>
      <c r="L291" s="4"/>
      <c r="M291" s="4"/>
      <c r="N291" s="4"/>
      <c r="O291" s="4"/>
      <c r="P291" s="4"/>
      <c r="Q291" s="4"/>
      <c r="R291" s="4"/>
      <c r="S291" s="4"/>
      <c r="T291" s="4"/>
      <c r="U291" s="4"/>
      <c r="V291" s="4"/>
      <c r="W291" s="4"/>
      <c r="X291" s="4"/>
      <c r="Y291" s="4"/>
      <c r="Z291" s="37"/>
    </row>
    <row r="292" ht="15.75" customHeight="1" spans="1:26">
      <c r="A292" s="53" t="s">
        <v>4523</v>
      </c>
      <c r="B292" s="30">
        <f>Anex_MSV!AI34</f>
        <v>6929</v>
      </c>
      <c r="C292" s="31">
        <f>Anex_MSV!AP34</f>
        <v>43042</v>
      </c>
      <c r="D292" s="54"/>
      <c r="E292" s="33"/>
      <c r="F292" s="33"/>
      <c r="G292" s="4"/>
      <c r="H292" s="4"/>
      <c r="I292" s="4"/>
      <c r="J292" s="4"/>
      <c r="K292" s="4"/>
      <c r="L292" s="4"/>
      <c r="M292" s="4"/>
      <c r="N292" s="4"/>
      <c r="O292" s="4"/>
      <c r="P292" s="4"/>
      <c r="Q292" s="4"/>
      <c r="R292" s="4"/>
      <c r="S292" s="4"/>
      <c r="T292" s="4"/>
      <c r="U292" s="4"/>
      <c r="V292" s="4"/>
      <c r="W292" s="4"/>
      <c r="X292" s="4"/>
      <c r="Y292" s="4"/>
      <c r="Z292" s="37"/>
    </row>
    <row r="293" ht="15.75" customHeight="1" spans="1:26">
      <c r="A293" s="53" t="s">
        <v>4524</v>
      </c>
      <c r="B293" s="30">
        <f>Anex_MSV!AI35</f>
        <v>57934</v>
      </c>
      <c r="C293" s="31">
        <f>Anex_MSV!AP35</f>
        <v>14579</v>
      </c>
      <c r="D293" s="54"/>
      <c r="E293" s="33"/>
      <c r="F293" s="33"/>
      <c r="G293" s="4"/>
      <c r="H293" s="4"/>
      <c r="I293" s="4"/>
      <c r="J293" s="4"/>
      <c r="K293" s="4"/>
      <c r="L293" s="4"/>
      <c r="M293" s="4"/>
      <c r="N293" s="4"/>
      <c r="O293" s="4"/>
      <c r="P293" s="4"/>
      <c r="Q293" s="4"/>
      <c r="R293" s="4"/>
      <c r="S293" s="4"/>
      <c r="T293" s="4"/>
      <c r="U293" s="4"/>
      <c r="V293" s="4"/>
      <c r="W293" s="4"/>
      <c r="X293" s="4"/>
      <c r="Y293" s="4"/>
      <c r="Z293" s="37"/>
    </row>
    <row r="294" ht="15.75" customHeight="1" spans="1:26">
      <c r="A294" s="53" t="s">
        <v>4525</v>
      </c>
      <c r="B294" s="30">
        <f>Anex_MSV!AI36</f>
        <v>10605</v>
      </c>
      <c r="C294" s="31">
        <f>Anex_MSV!AP36</f>
        <v>6841</v>
      </c>
      <c r="D294" s="54"/>
      <c r="E294" s="33"/>
      <c r="F294" s="33"/>
      <c r="G294" s="4"/>
      <c r="H294" s="4"/>
      <c r="I294" s="4"/>
      <c r="J294" s="4"/>
      <c r="K294" s="4"/>
      <c r="L294" s="4"/>
      <c r="M294" s="4"/>
      <c r="N294" s="4"/>
      <c r="O294" s="4"/>
      <c r="P294" s="4"/>
      <c r="Q294" s="4"/>
      <c r="R294" s="4"/>
      <c r="S294" s="4"/>
      <c r="T294" s="4"/>
      <c r="U294" s="4"/>
      <c r="V294" s="4"/>
      <c r="W294" s="4"/>
      <c r="X294" s="4"/>
      <c r="Y294" s="4"/>
      <c r="Z294" s="37"/>
    </row>
    <row r="295" ht="15.75" customHeight="1" spans="1:26">
      <c r="A295" s="53" t="s">
        <v>4526</v>
      </c>
      <c r="B295" s="30">
        <f>Anex_MSV!AI37</f>
        <v>9263</v>
      </c>
      <c r="C295" s="31">
        <f>Anex_MSV!AP37</f>
        <v>6336</v>
      </c>
      <c r="D295" s="54"/>
      <c r="E295" s="33"/>
      <c r="F295" s="33"/>
      <c r="G295" s="4"/>
      <c r="H295" s="4"/>
      <c r="I295" s="4"/>
      <c r="J295" s="4"/>
      <c r="K295" s="4"/>
      <c r="L295" s="4"/>
      <c r="M295" s="4"/>
      <c r="N295" s="4"/>
      <c r="O295" s="4"/>
      <c r="P295" s="4"/>
      <c r="Q295" s="4"/>
      <c r="R295" s="4"/>
      <c r="S295" s="4"/>
      <c r="T295" s="4"/>
      <c r="U295" s="4"/>
      <c r="V295" s="4"/>
      <c r="W295" s="4"/>
      <c r="X295" s="4"/>
      <c r="Y295" s="4"/>
      <c r="Z295" s="37"/>
    </row>
    <row r="296" ht="15.75" customHeight="1" spans="1:26">
      <c r="A296" s="53" t="s">
        <v>4527</v>
      </c>
      <c r="B296" s="30">
        <f>Anex_MSV!AI38</f>
        <v>9263</v>
      </c>
      <c r="C296" s="31">
        <f>Anex_MSV!AP38</f>
        <v>4263</v>
      </c>
      <c r="D296" s="54"/>
      <c r="E296" s="33"/>
      <c r="F296" s="33"/>
      <c r="G296" s="4"/>
      <c r="H296" s="4"/>
      <c r="I296" s="4"/>
      <c r="J296" s="4"/>
      <c r="K296" s="4"/>
      <c r="L296" s="4"/>
      <c r="M296" s="4"/>
      <c r="N296" s="4"/>
      <c r="O296" s="4"/>
      <c r="P296" s="4"/>
      <c r="Q296" s="4"/>
      <c r="R296" s="4"/>
      <c r="S296" s="4"/>
      <c r="T296" s="4"/>
      <c r="U296" s="4"/>
      <c r="V296" s="4"/>
      <c r="W296" s="4"/>
      <c r="X296" s="4"/>
      <c r="Y296" s="4"/>
      <c r="Z296" s="37"/>
    </row>
    <row r="297" ht="15.75" customHeight="1" spans="1:26">
      <c r="A297" s="53" t="s">
        <v>4528</v>
      </c>
      <c r="B297" s="30">
        <f>Anex_MSV!AI39</f>
        <v>27191</v>
      </c>
      <c r="C297" s="31">
        <f>Anex_MSV!AP39</f>
        <v>25578</v>
      </c>
      <c r="D297" s="54"/>
      <c r="E297" s="33"/>
      <c r="F297" s="33"/>
      <c r="G297" s="4"/>
      <c r="H297" s="4"/>
      <c r="I297" s="4"/>
      <c r="J297" s="4"/>
      <c r="K297" s="4"/>
      <c r="L297" s="4"/>
      <c r="M297" s="4"/>
      <c r="N297" s="4"/>
      <c r="O297" s="4"/>
      <c r="P297" s="4"/>
      <c r="Q297" s="4"/>
      <c r="R297" s="4"/>
      <c r="S297" s="4"/>
      <c r="T297" s="4"/>
      <c r="U297" s="4"/>
      <c r="V297" s="4"/>
      <c r="W297" s="4"/>
      <c r="X297" s="4"/>
      <c r="Y297" s="4"/>
      <c r="Z297" s="37"/>
    </row>
    <row r="298" ht="15.75" customHeight="1" spans="1:26">
      <c r="A298" s="53" t="s">
        <v>4529</v>
      </c>
      <c r="B298" s="30">
        <f>Anex_MSV!AI40</f>
        <v>6766</v>
      </c>
      <c r="C298" s="31">
        <f>Anex_MSV!AP40</f>
        <v>12195</v>
      </c>
      <c r="D298" s="54"/>
      <c r="E298" s="33"/>
      <c r="F298" s="33"/>
      <c r="G298" s="4"/>
      <c r="H298" s="4"/>
      <c r="I298" s="4"/>
      <c r="J298" s="4"/>
      <c r="K298" s="4"/>
      <c r="L298" s="4"/>
      <c r="M298" s="4"/>
      <c r="N298" s="4"/>
      <c r="O298" s="4"/>
      <c r="P298" s="4"/>
      <c r="Q298" s="4"/>
      <c r="R298" s="4"/>
      <c r="S298" s="4"/>
      <c r="T298" s="4"/>
      <c r="U298" s="4"/>
      <c r="V298" s="4"/>
      <c r="W298" s="4"/>
      <c r="X298" s="4"/>
      <c r="Y298" s="4"/>
      <c r="Z298" s="37"/>
    </row>
    <row r="299" ht="15.75" customHeight="1" spans="1:26">
      <c r="A299" s="53" t="s">
        <v>4530</v>
      </c>
      <c r="B299" s="30">
        <f>Anex_MSV!AI41</f>
        <v>0</v>
      </c>
      <c r="C299" s="31">
        <f>Anex_MSV!AP41</f>
        <v>0</v>
      </c>
      <c r="D299" s="54"/>
      <c r="E299" s="33"/>
      <c r="F299" s="33"/>
      <c r="G299" s="4"/>
      <c r="H299" s="4"/>
      <c r="I299" s="4"/>
      <c r="J299" s="4"/>
      <c r="K299" s="4"/>
      <c r="L299" s="4"/>
      <c r="M299" s="4"/>
      <c r="N299" s="4"/>
      <c r="O299" s="4"/>
      <c r="P299" s="4"/>
      <c r="Q299" s="4"/>
      <c r="R299" s="4"/>
      <c r="S299" s="4"/>
      <c r="T299" s="4"/>
      <c r="U299" s="4"/>
      <c r="V299" s="4"/>
      <c r="W299" s="4"/>
      <c r="X299" s="4"/>
      <c r="Y299" s="4"/>
      <c r="Z299" s="37"/>
    </row>
    <row r="300" ht="15.75" customHeight="1" spans="1:26">
      <c r="A300" s="53" t="s">
        <v>4531</v>
      </c>
      <c r="B300" s="30">
        <f>Anex_MSV!AI42</f>
        <v>24172</v>
      </c>
      <c r="C300" s="31">
        <f>Anex_MSV!AP42</f>
        <v>25265</v>
      </c>
      <c r="D300" s="54"/>
      <c r="E300" s="33"/>
      <c r="F300" s="33"/>
      <c r="G300" s="4"/>
      <c r="H300" s="4"/>
      <c r="I300" s="4"/>
      <c r="J300" s="4"/>
      <c r="K300" s="4"/>
      <c r="L300" s="4"/>
      <c r="M300" s="4"/>
      <c r="N300" s="4"/>
      <c r="O300" s="4"/>
      <c r="P300" s="4"/>
      <c r="Q300" s="4"/>
      <c r="R300" s="4"/>
      <c r="S300" s="4"/>
      <c r="T300" s="4"/>
      <c r="U300" s="4"/>
      <c r="V300" s="4"/>
      <c r="W300" s="4"/>
      <c r="X300" s="4"/>
      <c r="Y300" s="4"/>
      <c r="Z300" s="37"/>
    </row>
    <row r="301" ht="15.75" customHeight="1" spans="1:26">
      <c r="A301" s="53" t="s">
        <v>4532</v>
      </c>
      <c r="B301" s="30">
        <f>Anex_MSV!AI43</f>
        <v>0</v>
      </c>
      <c r="C301" s="31">
        <f>Anex_MSV!AP43</f>
        <v>0</v>
      </c>
      <c r="D301" s="54"/>
      <c r="E301" s="33"/>
      <c r="F301" s="33"/>
      <c r="G301" s="4"/>
      <c r="H301" s="4"/>
      <c r="I301" s="4"/>
      <c r="J301" s="4"/>
      <c r="K301" s="4"/>
      <c r="L301" s="4"/>
      <c r="M301" s="4"/>
      <c r="N301" s="4"/>
      <c r="O301" s="4"/>
      <c r="P301" s="4"/>
      <c r="Q301" s="4"/>
      <c r="R301" s="4"/>
      <c r="S301" s="4"/>
      <c r="T301" s="4"/>
      <c r="U301" s="4"/>
      <c r="V301" s="4"/>
      <c r="W301" s="4"/>
      <c r="X301" s="4"/>
      <c r="Y301" s="4"/>
      <c r="Z301" s="37"/>
    </row>
    <row r="302" ht="15.75" customHeight="1" spans="1:26">
      <c r="A302" s="53" t="s">
        <v>4533</v>
      </c>
      <c r="B302" s="30">
        <f>Anex_MSV!AI44</f>
        <v>0</v>
      </c>
      <c r="C302" s="31">
        <f>Anex_MSV!AP44</f>
        <v>24</v>
      </c>
      <c r="D302" s="54"/>
      <c r="E302" s="33"/>
      <c r="F302" s="33"/>
      <c r="G302" s="4"/>
      <c r="H302" s="4"/>
      <c r="I302" s="4"/>
      <c r="J302" s="4"/>
      <c r="K302" s="4"/>
      <c r="L302" s="4"/>
      <c r="M302" s="4"/>
      <c r="N302" s="4"/>
      <c r="O302" s="4"/>
      <c r="P302" s="4"/>
      <c r="Q302" s="4"/>
      <c r="R302" s="4"/>
      <c r="S302" s="4"/>
      <c r="T302" s="4"/>
      <c r="U302" s="4"/>
      <c r="V302" s="4"/>
      <c r="W302" s="4"/>
      <c r="X302" s="4"/>
      <c r="Y302" s="4"/>
      <c r="Z302" s="37"/>
    </row>
    <row r="303" ht="15.75" customHeight="1" spans="1:26">
      <c r="A303" s="53" t="s">
        <v>4534</v>
      </c>
      <c r="B303" s="30">
        <f>Anex_MSV!AI45</f>
        <v>24172</v>
      </c>
      <c r="C303" s="31">
        <f>Anex_MSV!AP45</f>
        <v>25241</v>
      </c>
      <c r="D303" s="54"/>
      <c r="E303" s="33"/>
      <c r="F303" s="33"/>
      <c r="G303" s="4"/>
      <c r="H303" s="4"/>
      <c r="I303" s="4"/>
      <c r="J303" s="4"/>
      <c r="K303" s="4"/>
      <c r="L303" s="4"/>
      <c r="M303" s="4"/>
      <c r="N303" s="4"/>
      <c r="O303" s="4"/>
      <c r="P303" s="4"/>
      <c r="Q303" s="4"/>
      <c r="R303" s="4"/>
      <c r="S303" s="4"/>
      <c r="T303" s="4"/>
      <c r="U303" s="4"/>
      <c r="V303" s="4"/>
      <c r="W303" s="4"/>
      <c r="X303" s="4"/>
      <c r="Y303" s="4"/>
      <c r="Z303" s="37"/>
    </row>
    <row r="304" ht="15.75" customHeight="1" spans="1:26">
      <c r="A304" s="53" t="s">
        <v>4535</v>
      </c>
      <c r="B304" s="30">
        <f>Anex_MSV!AI46</f>
        <v>0</v>
      </c>
      <c r="C304" s="31">
        <f>Anex_MSV!AP46</f>
        <v>0</v>
      </c>
      <c r="D304" s="54"/>
      <c r="E304" s="33"/>
      <c r="F304" s="33"/>
      <c r="G304" s="4"/>
      <c r="H304" s="4"/>
      <c r="I304" s="4"/>
      <c r="J304" s="4"/>
      <c r="K304" s="4"/>
      <c r="L304" s="4"/>
      <c r="M304" s="4"/>
      <c r="N304" s="4"/>
      <c r="O304" s="4"/>
      <c r="P304" s="4"/>
      <c r="Q304" s="4"/>
      <c r="R304" s="4"/>
      <c r="S304" s="4"/>
      <c r="T304" s="4"/>
      <c r="U304" s="4"/>
      <c r="V304" s="4"/>
      <c r="W304" s="4"/>
      <c r="X304" s="4"/>
      <c r="Y304" s="4"/>
      <c r="Z304" s="37"/>
    </row>
    <row r="305" ht="15.75" customHeight="1" spans="1:26">
      <c r="A305" s="53" t="s">
        <v>4536</v>
      </c>
      <c r="B305" s="30">
        <f>Anex_MSV!AI47</f>
        <v>0</v>
      </c>
      <c r="C305" s="31">
        <f>Anex_MSV!AP47</f>
        <v>0</v>
      </c>
      <c r="D305" s="54"/>
      <c r="E305" s="33"/>
      <c r="F305" s="33"/>
      <c r="G305" s="4"/>
      <c r="H305" s="4"/>
      <c r="I305" s="4"/>
      <c r="J305" s="4"/>
      <c r="K305" s="4"/>
      <c r="L305" s="4"/>
      <c r="M305" s="4"/>
      <c r="N305" s="4"/>
      <c r="O305" s="4"/>
      <c r="P305" s="4"/>
      <c r="Q305" s="4"/>
      <c r="R305" s="4"/>
      <c r="S305" s="4"/>
      <c r="T305" s="4"/>
      <c r="U305" s="4"/>
      <c r="V305" s="4"/>
      <c r="W305" s="4"/>
      <c r="X305" s="4"/>
      <c r="Y305" s="4"/>
      <c r="Z305" s="37"/>
    </row>
    <row r="306" ht="15.75" customHeight="1" spans="1:26">
      <c r="A306" s="53" t="s">
        <v>4537</v>
      </c>
      <c r="B306" s="30">
        <f>Anex_MSV!AI48</f>
        <v>0</v>
      </c>
      <c r="C306" s="31">
        <f>Anex_MSV!AP48</f>
        <v>0</v>
      </c>
      <c r="D306" s="54"/>
      <c r="E306" s="33"/>
      <c r="F306" s="33"/>
      <c r="G306" s="4"/>
      <c r="H306" s="4"/>
      <c r="I306" s="4"/>
      <c r="J306" s="4"/>
      <c r="K306" s="4"/>
      <c r="L306" s="4"/>
      <c r="M306" s="4"/>
      <c r="N306" s="4"/>
      <c r="O306" s="4"/>
      <c r="P306" s="4"/>
      <c r="Q306" s="4"/>
      <c r="R306" s="4"/>
      <c r="S306" s="4"/>
      <c r="T306" s="4"/>
      <c r="U306" s="4"/>
      <c r="V306" s="4"/>
      <c r="W306" s="4"/>
      <c r="X306" s="4"/>
      <c r="Y306" s="4"/>
      <c r="Z306" s="37"/>
    </row>
    <row r="307" ht="15.75" customHeight="1" spans="1:26">
      <c r="A307" s="53" t="s">
        <v>4538</v>
      </c>
      <c r="B307" s="30">
        <f>Anex_MSV!AI49</f>
        <v>0</v>
      </c>
      <c r="C307" s="31">
        <f>Anex_MSV!AP49</f>
        <v>0</v>
      </c>
      <c r="D307" s="54"/>
      <c r="E307" s="33"/>
      <c r="F307" s="33"/>
      <c r="G307" s="4"/>
      <c r="H307" s="4"/>
      <c r="I307" s="4"/>
      <c r="J307" s="4"/>
      <c r="K307" s="4"/>
      <c r="L307" s="4"/>
      <c r="M307" s="4"/>
      <c r="N307" s="4"/>
      <c r="O307" s="4"/>
      <c r="P307" s="4"/>
      <c r="Q307" s="4"/>
      <c r="R307" s="4"/>
      <c r="S307" s="4"/>
      <c r="T307" s="4"/>
      <c r="U307" s="4"/>
      <c r="V307" s="4"/>
      <c r="W307" s="4"/>
      <c r="X307" s="4"/>
      <c r="Y307" s="4"/>
      <c r="Z307" s="37"/>
    </row>
    <row r="308" ht="15.75" customHeight="1" spans="1:26">
      <c r="A308" s="53" t="s">
        <v>4539</v>
      </c>
      <c r="B308" s="30">
        <f>Anex_MSV!AI50</f>
        <v>0</v>
      </c>
      <c r="C308" s="31">
        <f>Anex_MSV!AP50</f>
        <v>0</v>
      </c>
      <c r="D308" s="54"/>
      <c r="E308" s="33"/>
      <c r="F308" s="33"/>
      <c r="G308" s="4"/>
      <c r="H308" s="4"/>
      <c r="I308" s="4"/>
      <c r="J308" s="4"/>
      <c r="K308" s="4"/>
      <c r="L308" s="4"/>
      <c r="M308" s="4"/>
      <c r="N308" s="4"/>
      <c r="O308" s="4"/>
      <c r="P308" s="4"/>
      <c r="Q308" s="4"/>
      <c r="R308" s="4"/>
      <c r="S308" s="4"/>
      <c r="T308" s="4"/>
      <c r="U308" s="4"/>
      <c r="V308" s="4"/>
      <c r="W308" s="4"/>
      <c r="X308" s="4"/>
      <c r="Y308" s="4"/>
      <c r="Z308" s="37"/>
    </row>
    <row r="309" ht="15.75" customHeight="1" spans="1:26">
      <c r="A309" s="53" t="s">
        <v>4540</v>
      </c>
      <c r="B309" s="30">
        <f>Anex_MSV!AI51</f>
        <v>0</v>
      </c>
      <c r="C309" s="31">
        <f>Anex_MSV!AP51</f>
        <v>0</v>
      </c>
      <c r="D309" s="54"/>
      <c r="E309" s="33"/>
      <c r="F309" s="33"/>
      <c r="G309" s="4"/>
      <c r="H309" s="4"/>
      <c r="I309" s="4"/>
      <c r="J309" s="4"/>
      <c r="K309" s="4"/>
      <c r="L309" s="4"/>
      <c r="M309" s="4"/>
      <c r="N309" s="4"/>
      <c r="O309" s="4"/>
      <c r="P309" s="4"/>
      <c r="Q309" s="4"/>
      <c r="R309" s="4"/>
      <c r="S309" s="4"/>
      <c r="T309" s="4"/>
      <c r="U309" s="4"/>
      <c r="V309" s="4"/>
      <c r="W309" s="4"/>
      <c r="X309" s="4"/>
      <c r="Y309" s="4"/>
      <c r="Z309" s="37"/>
    </row>
    <row r="310" ht="15.75" customHeight="1" spans="1:26">
      <c r="A310" s="53" t="s">
        <v>4541</v>
      </c>
      <c r="B310" s="30">
        <f>Anex_MSV!AI52</f>
        <v>48688</v>
      </c>
      <c r="C310" s="31">
        <f>Anex_MSV!AP52</f>
        <v>45194</v>
      </c>
      <c r="D310" s="54"/>
      <c r="E310" s="33"/>
      <c r="F310" s="33"/>
      <c r="G310" s="4"/>
      <c r="H310" s="4"/>
      <c r="I310" s="4"/>
      <c r="J310" s="4"/>
      <c r="K310" s="4"/>
      <c r="L310" s="4"/>
      <c r="M310" s="4"/>
      <c r="N310" s="4"/>
      <c r="O310" s="4"/>
      <c r="P310" s="4"/>
      <c r="Q310" s="4"/>
      <c r="R310" s="4"/>
      <c r="S310" s="4"/>
      <c r="T310" s="4"/>
      <c r="U310" s="4"/>
      <c r="V310" s="4"/>
      <c r="W310" s="4"/>
      <c r="X310" s="4"/>
      <c r="Y310" s="4"/>
      <c r="Z310" s="37"/>
    </row>
    <row r="311" ht="15.75" customHeight="1" spans="1:26">
      <c r="A311" s="53" t="s">
        <v>4542</v>
      </c>
      <c r="B311" s="30">
        <f>Anex_MSV!AI53</f>
        <v>7255</v>
      </c>
      <c r="C311" s="31">
        <f>Anex_MSV!AP53</f>
        <v>25998</v>
      </c>
      <c r="D311" s="54"/>
      <c r="E311" s="33"/>
      <c r="F311" s="33"/>
      <c r="G311" s="4"/>
      <c r="H311" s="4"/>
      <c r="I311" s="4"/>
      <c r="J311" s="4"/>
      <c r="K311" s="4"/>
      <c r="L311" s="4"/>
      <c r="M311" s="4"/>
      <c r="N311" s="4"/>
      <c r="O311" s="4"/>
      <c r="P311" s="4"/>
      <c r="Q311" s="4"/>
      <c r="R311" s="4"/>
      <c r="S311" s="4"/>
      <c r="T311" s="4"/>
      <c r="U311" s="4"/>
      <c r="V311" s="4"/>
      <c r="W311" s="4"/>
      <c r="X311" s="4"/>
      <c r="Y311" s="4"/>
      <c r="Z311" s="37"/>
    </row>
    <row r="312" ht="15.75" customHeight="1" spans="1:26">
      <c r="A312" s="53" t="s">
        <v>4543</v>
      </c>
      <c r="B312" s="30">
        <f>Anex_MSV!AI54</f>
        <v>775</v>
      </c>
      <c r="C312" s="31">
        <f>Anex_MSV!AP54</f>
        <v>37</v>
      </c>
      <c r="D312" s="54"/>
      <c r="E312" s="33"/>
      <c r="F312" s="33"/>
      <c r="G312" s="4"/>
      <c r="H312" s="4"/>
      <c r="I312" s="4"/>
      <c r="J312" s="4"/>
      <c r="K312" s="4"/>
      <c r="L312" s="4"/>
      <c r="M312" s="4"/>
      <c r="N312" s="4"/>
      <c r="O312" s="4"/>
      <c r="P312" s="4"/>
      <c r="Q312" s="4"/>
      <c r="R312" s="4"/>
      <c r="S312" s="4"/>
      <c r="T312" s="4"/>
      <c r="U312" s="4"/>
      <c r="V312" s="4"/>
      <c r="W312" s="4"/>
      <c r="X312" s="4"/>
      <c r="Y312" s="4"/>
      <c r="Z312" s="37"/>
    </row>
    <row r="313" ht="15.75" customHeight="1" spans="1:26">
      <c r="A313" s="53" t="s">
        <v>4544</v>
      </c>
      <c r="B313" s="30">
        <f>Anex_MSV!AI55</f>
        <v>0</v>
      </c>
      <c r="C313" s="31">
        <f>Anex_MSV!AP55</f>
        <v>154</v>
      </c>
      <c r="D313" s="54"/>
      <c r="E313" s="33"/>
      <c r="F313" s="33"/>
      <c r="G313" s="4"/>
      <c r="H313" s="4"/>
      <c r="I313" s="4"/>
      <c r="J313" s="4"/>
      <c r="K313" s="4"/>
      <c r="L313" s="4"/>
      <c r="M313" s="4"/>
      <c r="N313" s="4"/>
      <c r="O313" s="4"/>
      <c r="P313" s="4"/>
      <c r="Q313" s="4"/>
      <c r="R313" s="4"/>
      <c r="S313" s="4"/>
      <c r="T313" s="4"/>
      <c r="U313" s="4"/>
      <c r="V313" s="4"/>
      <c r="W313" s="4"/>
      <c r="X313" s="4"/>
      <c r="Y313" s="4"/>
      <c r="Z313" s="37"/>
    </row>
    <row r="314" ht="15.75" customHeight="1" spans="1:26">
      <c r="A314" s="53" t="s">
        <v>4545</v>
      </c>
      <c r="B314" s="30">
        <f>Anex_MSV!AI56</f>
        <v>1127</v>
      </c>
      <c r="C314" s="31">
        <f>Anex_MSV!AP56</f>
        <v>742</v>
      </c>
      <c r="D314" s="54"/>
      <c r="E314" s="33"/>
      <c r="F314" s="33"/>
      <c r="G314" s="4"/>
      <c r="H314" s="4"/>
      <c r="I314" s="4"/>
      <c r="J314" s="4"/>
      <c r="K314" s="4"/>
      <c r="L314" s="4"/>
      <c r="M314" s="4"/>
      <c r="N314" s="4"/>
      <c r="O314" s="4"/>
      <c r="P314" s="4"/>
      <c r="Q314" s="4"/>
      <c r="R314" s="4"/>
      <c r="S314" s="4"/>
      <c r="T314" s="4"/>
      <c r="U314" s="4"/>
      <c r="V314" s="4"/>
      <c r="W314" s="4"/>
      <c r="X314" s="4"/>
      <c r="Y314" s="4"/>
      <c r="Z314" s="37"/>
    </row>
    <row r="315" ht="15.75" customHeight="1" spans="1:26">
      <c r="A315" s="53" t="s">
        <v>4546</v>
      </c>
      <c r="B315" s="30">
        <f>Anex_MSV!AI57</f>
        <v>11889</v>
      </c>
      <c r="C315" s="31">
        <f>Anex_MSV!AP57</f>
        <v>11219</v>
      </c>
      <c r="D315" s="54"/>
      <c r="E315" s="33"/>
      <c r="F315" s="33"/>
      <c r="G315" s="4"/>
      <c r="H315" s="4"/>
      <c r="I315" s="4"/>
      <c r="J315" s="4"/>
      <c r="K315" s="4"/>
      <c r="L315" s="4"/>
      <c r="M315" s="4"/>
      <c r="N315" s="4"/>
      <c r="O315" s="4"/>
      <c r="P315" s="4"/>
      <c r="Q315" s="4"/>
      <c r="R315" s="4"/>
      <c r="S315" s="4"/>
      <c r="T315" s="4"/>
      <c r="U315" s="4"/>
      <c r="V315" s="4"/>
      <c r="W315" s="4"/>
      <c r="X315" s="4"/>
      <c r="Y315" s="4"/>
      <c r="Z315" s="37"/>
    </row>
    <row r="316" ht="15.75" customHeight="1" spans="1:26">
      <c r="A316" s="53" t="s">
        <v>4547</v>
      </c>
      <c r="B316" s="30">
        <f>Anex_MSV!AI58</f>
        <v>27285</v>
      </c>
      <c r="C316" s="31">
        <f>Anex_MSV!AP58</f>
        <v>4422</v>
      </c>
      <c r="D316" s="54"/>
      <c r="E316" s="33"/>
      <c r="F316" s="33"/>
      <c r="G316" s="4"/>
      <c r="H316" s="4"/>
      <c r="I316" s="4"/>
      <c r="J316" s="4"/>
      <c r="K316" s="4"/>
      <c r="L316" s="4"/>
      <c r="M316" s="4"/>
      <c r="N316" s="4"/>
      <c r="O316" s="4"/>
      <c r="P316" s="4"/>
      <c r="Q316" s="4"/>
      <c r="R316" s="4"/>
      <c r="S316" s="4"/>
      <c r="T316" s="4"/>
      <c r="U316" s="4"/>
      <c r="V316" s="4"/>
      <c r="W316" s="4"/>
      <c r="X316" s="4"/>
      <c r="Y316" s="4"/>
      <c r="Z316" s="37"/>
    </row>
    <row r="317" ht="15.75" customHeight="1" spans="1:26">
      <c r="A317" s="53" t="s">
        <v>4548</v>
      </c>
      <c r="B317" s="30">
        <f>Anex_MSV!AI59</f>
        <v>0</v>
      </c>
      <c r="C317" s="31">
        <f>Anex_MSV!AP59</f>
        <v>0</v>
      </c>
      <c r="D317" s="54"/>
      <c r="E317" s="33"/>
      <c r="F317" s="33"/>
      <c r="G317" s="4"/>
      <c r="H317" s="4"/>
      <c r="I317" s="4"/>
      <c r="J317" s="4"/>
      <c r="K317" s="4"/>
      <c r="L317" s="4"/>
      <c r="M317" s="4"/>
      <c r="N317" s="4"/>
      <c r="O317" s="4"/>
      <c r="P317" s="4"/>
      <c r="Q317" s="4"/>
      <c r="R317" s="4"/>
      <c r="S317" s="4"/>
      <c r="T317" s="4"/>
      <c r="U317" s="4"/>
      <c r="V317" s="4"/>
      <c r="W317" s="4"/>
      <c r="X317" s="4"/>
      <c r="Y317" s="4"/>
      <c r="Z317" s="37"/>
    </row>
    <row r="318" ht="15.75" customHeight="1" spans="1:26">
      <c r="A318" s="53" t="s">
        <v>4549</v>
      </c>
      <c r="B318" s="63">
        <f>Anex_MSV!AI60</f>
        <v>357</v>
      </c>
      <c r="C318" s="64">
        <f>Anex_MSV!AP60</f>
        <v>2622</v>
      </c>
      <c r="D318" s="54"/>
      <c r="E318" s="33"/>
      <c r="F318" s="33"/>
      <c r="G318" s="4"/>
      <c r="H318" s="4"/>
      <c r="I318" s="4"/>
      <c r="J318" s="4"/>
      <c r="K318" s="4"/>
      <c r="L318" s="4"/>
      <c r="M318" s="4"/>
      <c r="N318" s="4"/>
      <c r="O318" s="4"/>
      <c r="P318" s="4"/>
      <c r="Q318" s="4"/>
      <c r="R318" s="4"/>
      <c r="S318" s="4"/>
      <c r="T318" s="4"/>
      <c r="U318" s="4"/>
      <c r="V318" s="4"/>
      <c r="W318" s="4"/>
      <c r="X318" s="4"/>
      <c r="Y318" s="4"/>
      <c r="Z318" s="37"/>
    </row>
    <row r="319" ht="15.75" customHeight="1" spans="1:26">
      <c r="A319" s="53" t="s">
        <v>4550</v>
      </c>
      <c r="B319" s="65">
        <f>Anex_MSV!AI71</f>
        <v>4549</v>
      </c>
      <c r="C319" s="66">
        <f>Anex_MSV!AP71</f>
        <v>0</v>
      </c>
      <c r="D319" s="54"/>
      <c r="E319" s="33"/>
      <c r="F319" s="33"/>
      <c r="G319" s="4"/>
      <c r="H319" s="4"/>
      <c r="I319" s="4"/>
      <c r="J319" s="4"/>
      <c r="K319" s="4"/>
      <c r="L319" s="4"/>
      <c r="M319" s="4"/>
      <c r="N319" s="4"/>
      <c r="O319" s="4"/>
      <c r="P319" s="4"/>
      <c r="Q319" s="4"/>
      <c r="R319" s="4"/>
      <c r="S319" s="4"/>
      <c r="T319" s="4"/>
      <c r="U319" s="4"/>
      <c r="V319" s="4"/>
      <c r="W319" s="4"/>
      <c r="X319" s="4"/>
      <c r="Y319" s="4"/>
      <c r="Z319" s="37"/>
    </row>
    <row r="320" ht="15.75" customHeight="1" spans="1:26">
      <c r="A320" s="53" t="s">
        <v>4551</v>
      </c>
      <c r="B320" s="30">
        <f>Anex_MSV!AI72</f>
        <v>0</v>
      </c>
      <c r="C320" s="31">
        <f>Anex_MSV!AP72</f>
        <v>0</v>
      </c>
      <c r="D320" s="54"/>
      <c r="E320" s="33"/>
      <c r="F320" s="33"/>
      <c r="G320" s="4"/>
      <c r="H320" s="4"/>
      <c r="I320" s="4"/>
      <c r="J320" s="4"/>
      <c r="K320" s="4"/>
      <c r="L320" s="4"/>
      <c r="M320" s="4"/>
      <c r="N320" s="4"/>
      <c r="O320" s="4"/>
      <c r="P320" s="4"/>
      <c r="Q320" s="4"/>
      <c r="R320" s="4"/>
      <c r="S320" s="4"/>
      <c r="T320" s="4"/>
      <c r="U320" s="4"/>
      <c r="V320" s="4"/>
      <c r="W320" s="4"/>
      <c r="X320" s="4"/>
      <c r="Y320" s="4"/>
      <c r="Z320" s="37"/>
    </row>
    <row r="321" ht="15.75" customHeight="1" spans="1:41">
      <c r="A321" s="53" t="s">
        <v>4552</v>
      </c>
      <c r="B321" s="30">
        <f>Anex_MSV!AI73</f>
        <v>0</v>
      </c>
      <c r="C321" s="31">
        <f>Anex_MSV!AP73</f>
        <v>0</v>
      </c>
      <c r="D321" s="54"/>
      <c r="E321" s="33"/>
      <c r="F321" s="33"/>
      <c r="G321" s="4"/>
      <c r="H321" s="4"/>
      <c r="I321" s="4"/>
      <c r="J321" s="4"/>
      <c r="K321" s="4"/>
      <c r="L321" s="4"/>
      <c r="M321" s="4"/>
      <c r="N321" s="4"/>
      <c r="O321" s="4"/>
      <c r="P321" s="4"/>
      <c r="Q321" s="4"/>
      <c r="R321" s="4"/>
      <c r="S321" s="4"/>
      <c r="T321" s="4"/>
      <c r="U321" s="4"/>
      <c r="V321" s="4"/>
      <c r="W321" s="4"/>
      <c r="X321" s="4"/>
      <c r="Y321" s="4"/>
      <c r="Z321" s="37"/>
    </row>
    <row r="322" ht="15.75" customHeight="1" spans="1:41">
      <c r="A322" s="53" t="s">
        <v>4553</v>
      </c>
      <c r="B322" s="30">
        <f>Anex_MSV!AI74</f>
        <v>0</v>
      </c>
      <c r="C322" s="31">
        <f>Anex_MSV!AP74</f>
        <v>0</v>
      </c>
      <c r="D322" s="54"/>
      <c r="E322" s="33"/>
      <c r="F322" s="33"/>
      <c r="G322" s="4"/>
      <c r="H322" s="4"/>
      <c r="I322" s="4"/>
      <c r="J322" s="4"/>
      <c r="K322" s="4"/>
      <c r="L322" s="4"/>
      <c r="M322" s="4"/>
      <c r="N322" s="4"/>
      <c r="O322" s="4"/>
      <c r="P322" s="4"/>
      <c r="Q322" s="4"/>
      <c r="R322" s="4"/>
      <c r="S322" s="4"/>
      <c r="T322" s="4"/>
      <c r="U322" s="4"/>
      <c r="V322" s="4"/>
      <c r="W322" s="4"/>
      <c r="X322" s="4"/>
      <c r="Y322" s="4"/>
      <c r="Z322" s="37"/>
    </row>
    <row r="323" ht="15.75" customHeight="1" spans="1:41">
      <c r="A323" s="53" t="s">
        <v>4554</v>
      </c>
      <c r="B323" s="30">
        <f>Anex_MSV!AI75</f>
        <v>0</v>
      </c>
      <c r="C323" s="31">
        <f>Anex_MSV!AP75</f>
        <v>0</v>
      </c>
      <c r="D323" s="54"/>
      <c r="E323" s="33"/>
      <c r="F323" s="33"/>
      <c r="G323" s="4"/>
      <c r="H323" s="4"/>
      <c r="I323" s="4"/>
      <c r="J323" s="4"/>
      <c r="K323" s="4"/>
      <c r="L323" s="4"/>
      <c r="M323" s="4"/>
      <c r="N323" s="4"/>
      <c r="O323" s="4"/>
      <c r="P323" s="4"/>
      <c r="Q323" s="4"/>
      <c r="R323" s="4"/>
      <c r="S323" s="4"/>
      <c r="T323" s="4"/>
      <c r="U323" s="4"/>
      <c r="V323" s="4"/>
      <c r="W323" s="4"/>
      <c r="X323" s="4"/>
      <c r="Y323" s="4"/>
      <c r="Z323" s="37"/>
    </row>
    <row r="324" ht="15.75" customHeight="1" spans="1:41">
      <c r="A324" s="53" t="s">
        <v>4555</v>
      </c>
      <c r="B324" s="63">
        <f>Anex_MSV!AI76</f>
        <v>0</v>
      </c>
      <c r="C324" s="64">
        <f>Anex_MSV!AP76</f>
        <v>0</v>
      </c>
      <c r="D324" s="54"/>
      <c r="E324" s="33"/>
      <c r="F324" s="33"/>
      <c r="G324" s="4"/>
      <c r="H324" s="4"/>
      <c r="I324" s="4"/>
      <c r="J324" s="4"/>
      <c r="K324" s="4"/>
      <c r="L324" s="4"/>
      <c r="M324" s="4"/>
      <c r="N324" s="4"/>
      <c r="O324" s="4"/>
      <c r="P324" s="4"/>
      <c r="Q324" s="4"/>
      <c r="R324" s="4"/>
      <c r="S324" s="4"/>
      <c r="T324" s="4"/>
      <c r="U324" s="4"/>
      <c r="V324" s="4"/>
      <c r="W324" s="4"/>
      <c r="X324" s="4"/>
      <c r="Y324" s="4"/>
      <c r="Z324" s="37"/>
    </row>
    <row r="325" ht="15.75" customHeight="1" spans="1:41">
      <c r="A325" s="53" t="s">
        <v>4556</v>
      </c>
      <c r="B325" s="65">
        <f>Anex_MSV!AI78</f>
        <v>0</v>
      </c>
      <c r="C325" s="66">
        <f>Anex_MSV!AP78</f>
        <v>0</v>
      </c>
      <c r="D325" s="54"/>
      <c r="E325" s="33"/>
      <c r="F325" s="33"/>
      <c r="G325" s="4"/>
      <c r="H325" s="4"/>
      <c r="I325" s="4"/>
      <c r="J325" s="4"/>
      <c r="K325" s="4"/>
      <c r="L325" s="4"/>
      <c r="M325" s="4"/>
      <c r="N325" s="4"/>
      <c r="O325" s="4"/>
      <c r="P325" s="4"/>
      <c r="Q325" s="4"/>
      <c r="R325" s="4"/>
      <c r="S325" s="4"/>
      <c r="T325" s="4"/>
      <c r="U325" s="4"/>
      <c r="V325" s="4"/>
      <c r="W325" s="4"/>
      <c r="X325" s="4"/>
      <c r="Y325" s="4"/>
      <c r="Z325" s="37"/>
    </row>
    <row r="326" ht="15.75" customHeight="1" spans="1:41">
      <c r="A326" s="53" t="s">
        <v>4557</v>
      </c>
      <c r="B326" s="30">
        <f>Anex_MSV!AI79</f>
        <v>0</v>
      </c>
      <c r="C326" s="31">
        <f>Anex_MSV!AP79</f>
        <v>0</v>
      </c>
      <c r="D326" s="54"/>
      <c r="E326" s="33"/>
      <c r="F326" s="33"/>
      <c r="G326" s="4"/>
      <c r="H326" s="4"/>
      <c r="I326" s="4"/>
      <c r="J326" s="4"/>
      <c r="K326" s="4"/>
      <c r="L326" s="4"/>
      <c r="M326" s="4"/>
      <c r="N326" s="4"/>
      <c r="O326" s="4"/>
      <c r="P326" s="4"/>
      <c r="Q326" s="4"/>
      <c r="R326" s="4"/>
      <c r="S326" s="4"/>
      <c r="T326" s="4"/>
      <c r="U326" s="4"/>
      <c r="V326" s="4"/>
      <c r="W326" s="4"/>
      <c r="X326" s="4"/>
      <c r="Y326" s="4"/>
      <c r="Z326" s="37"/>
    </row>
    <row r="327" ht="15.75" customHeight="1" spans="1:41">
      <c r="A327" s="53" t="s">
        <v>4558</v>
      </c>
      <c r="B327" s="67">
        <f>Anex_MSV!AI80</f>
        <v>0</v>
      </c>
      <c r="C327" s="68">
        <f>Anex_MSV!AP80</f>
        <v>0</v>
      </c>
      <c r="D327" s="54"/>
      <c r="E327" s="33"/>
      <c r="F327" s="33"/>
      <c r="G327" s="4"/>
      <c r="H327" s="4"/>
      <c r="I327" s="4"/>
      <c r="J327" s="4"/>
      <c r="K327" s="4"/>
      <c r="L327" s="4"/>
      <c r="M327" s="4"/>
      <c r="N327" s="4"/>
      <c r="O327" s="4"/>
      <c r="P327" s="4"/>
      <c r="Q327" s="4"/>
      <c r="R327" s="4"/>
      <c r="S327" s="4"/>
      <c r="T327" s="4"/>
      <c r="U327" s="4"/>
      <c r="V327" s="4"/>
      <c r="W327" s="4"/>
      <c r="X327" s="4"/>
      <c r="Y327" s="4"/>
      <c r="Z327" s="37"/>
    </row>
    <row r="328" ht="15.75" customHeight="1" spans="1:41">
      <c r="A328" s="53" t="s">
        <v>4559</v>
      </c>
      <c r="B328" s="69">
        <f>Anex_MSV!AI82</f>
        <v>6</v>
      </c>
      <c r="C328" s="70">
        <f>Anex_MSV!AP82</f>
        <v>0</v>
      </c>
      <c r="D328" s="54"/>
      <c r="E328" s="33"/>
      <c r="F328" s="33"/>
      <c r="G328" s="4"/>
      <c r="H328" s="4"/>
      <c r="I328" s="4"/>
      <c r="J328" s="4"/>
      <c r="K328" s="4"/>
      <c r="L328" s="4"/>
      <c r="M328" s="4"/>
      <c r="N328" s="4"/>
      <c r="O328" s="4"/>
      <c r="P328" s="4"/>
      <c r="Q328" s="4"/>
      <c r="R328" s="4"/>
      <c r="S328" s="4"/>
      <c r="T328" s="4"/>
      <c r="U328" s="4"/>
      <c r="V328" s="4"/>
      <c r="W328" s="4"/>
      <c r="X328" s="4"/>
      <c r="Y328" s="4"/>
      <c r="Z328" s="37"/>
    </row>
    <row r="329" ht="15.75" customHeight="1" spans="1:41">
      <c r="A329" s="53" t="s">
        <v>4560</v>
      </c>
      <c r="B329" s="30">
        <f>Anex_MSV!AI83</f>
        <v>6</v>
      </c>
      <c r="C329" s="31">
        <f>Anex_MSV!AP83</f>
        <v>0</v>
      </c>
      <c r="D329" s="54"/>
      <c r="E329" s="33"/>
      <c r="F329" s="33"/>
      <c r="G329" s="4"/>
      <c r="H329" s="4"/>
      <c r="I329" s="4"/>
      <c r="J329" s="4"/>
      <c r="K329" s="4"/>
      <c r="L329" s="4"/>
      <c r="M329" s="4"/>
      <c r="N329" s="4"/>
      <c r="O329" s="4"/>
      <c r="P329" s="4"/>
      <c r="Q329" s="4"/>
      <c r="R329" s="4"/>
      <c r="S329" s="4"/>
      <c r="T329" s="4"/>
      <c r="U329" s="4"/>
      <c r="V329" s="4"/>
      <c r="W329" s="4"/>
      <c r="X329" s="4"/>
      <c r="Y329" s="4"/>
      <c r="Z329" s="37"/>
    </row>
    <row r="330" ht="15.75" customHeight="1" spans="1:41">
      <c r="A330" s="53" t="s">
        <v>4561</v>
      </c>
      <c r="B330" s="30">
        <f>Anex_MSV!AI84</f>
        <v>0</v>
      </c>
      <c r="C330" s="31">
        <f>Anex_MSV!AP84</f>
        <v>0</v>
      </c>
      <c r="D330" s="54"/>
      <c r="E330" s="33"/>
      <c r="F330" s="33"/>
      <c r="G330" s="4"/>
      <c r="H330" s="4"/>
      <c r="I330" s="4"/>
      <c r="J330" s="4"/>
      <c r="K330" s="4"/>
      <c r="L330" s="4"/>
      <c r="M330" s="4"/>
      <c r="N330" s="4"/>
      <c r="O330" s="4"/>
      <c r="P330" s="4"/>
      <c r="Q330" s="4"/>
      <c r="R330" s="4"/>
      <c r="S330" s="4"/>
      <c r="T330" s="4"/>
      <c r="U330" s="4"/>
      <c r="V330" s="4"/>
      <c r="W330" s="4"/>
      <c r="X330" s="4"/>
      <c r="Y330" s="4"/>
      <c r="Z330" s="37"/>
    </row>
    <row r="331" ht="15.75" customHeight="1" spans="1:41">
      <c r="A331" s="71"/>
      <c r="B331" s="71"/>
      <c r="C331" s="71"/>
      <c r="D331" s="71"/>
      <c r="E331" s="33"/>
      <c r="F331" s="33"/>
      <c r="G331" s="4"/>
      <c r="H331" s="4"/>
      <c r="I331" s="4"/>
      <c r="J331" s="4"/>
      <c r="K331" s="4"/>
      <c r="L331" s="4"/>
      <c r="M331" s="4"/>
      <c r="N331" s="4"/>
      <c r="O331" s="4"/>
      <c r="P331" s="4"/>
      <c r="Q331" s="4"/>
      <c r="R331" s="4"/>
      <c r="S331" s="4"/>
      <c r="T331" s="4"/>
      <c r="U331" s="4"/>
      <c r="V331" s="4"/>
      <c r="W331" s="4"/>
      <c r="X331" s="4"/>
      <c r="Y331" s="4"/>
      <c r="Z331" s="37"/>
    </row>
    <row r="332" ht="15.75" customHeight="1" spans="1:41">
      <c r="A332" s="71"/>
      <c r="B332" s="71"/>
      <c r="C332" s="71"/>
      <c r="D332" s="71"/>
      <c r="E332" s="33"/>
      <c r="F332" s="33"/>
      <c r="G332" s="4"/>
      <c r="H332" s="4"/>
      <c r="I332" s="4"/>
      <c r="J332" s="4"/>
      <c r="K332" s="4"/>
      <c r="L332" s="4"/>
      <c r="M332" s="4"/>
      <c r="N332" s="4"/>
      <c r="O332" s="4"/>
      <c r="P332" s="4"/>
      <c r="Q332" s="4"/>
      <c r="R332" s="4"/>
      <c r="S332" s="4"/>
      <c r="T332" s="4"/>
      <c r="U332" s="4"/>
      <c r="V332" s="4"/>
      <c r="W332" s="4"/>
      <c r="X332" s="4"/>
      <c r="Y332" s="4"/>
      <c r="Z332" s="37"/>
    </row>
    <row r="333" ht="15.75" customHeight="1" spans="1:41">
      <c r="A333" s="71"/>
      <c r="B333" s="71"/>
      <c r="C333" s="71"/>
      <c r="D333" s="71"/>
      <c r="E333" s="33"/>
      <c r="F333" s="33"/>
      <c r="G333" s="4"/>
      <c r="H333" s="4"/>
      <c r="I333" s="4"/>
      <c r="J333" s="4"/>
      <c r="K333" s="4"/>
      <c r="L333" s="4"/>
      <c r="M333" s="4"/>
      <c r="N333" s="4"/>
      <c r="O333" s="4"/>
      <c r="P333" s="4"/>
      <c r="Q333" s="4"/>
      <c r="R333" s="4"/>
      <c r="S333" s="4"/>
      <c r="T333" s="4"/>
      <c r="U333" s="4"/>
      <c r="V333" s="4"/>
      <c r="W333" s="4"/>
      <c r="X333" s="4"/>
      <c r="Y333" s="4"/>
      <c r="Z333" s="37"/>
    </row>
    <row r="334" s="2" customFormat="1" ht="24.75" customHeight="1" spans="1:41">
      <c r="A334" s="7"/>
      <c r="B334" s="7" t="str">
        <f>"POSEBNI PODACI  - "&amp;Firma&amp;"_"&amp;UnosPod!$O$6&amp;UnosPod!$P$6&amp;"."&amp;UnosPod!$Q$6&amp;"_"&amp;IdBroj</f>
        <v>POSEBNI PODACI  - LILIUM ASSET MANAGEMENT d.o.o. Sarajevo_12.2025_4201337670009</v>
      </c>
      <c r="C334" s="72"/>
      <c r="D334" s="73"/>
      <c r="E334" s="73"/>
      <c r="F334" s="73"/>
      <c r="G334" s="73"/>
      <c r="H334" s="73"/>
      <c r="I334" s="73"/>
      <c r="J334" s="73"/>
      <c r="K334" s="73"/>
      <c r="L334" s="73"/>
      <c r="M334" s="73"/>
      <c r="N334" s="73"/>
      <c r="O334" s="73"/>
      <c r="P334" s="73"/>
      <c r="Q334" s="73"/>
      <c r="R334" s="73"/>
      <c r="S334" s="73"/>
      <c r="T334" s="73"/>
      <c r="U334" s="73"/>
      <c r="V334" s="73"/>
      <c r="W334" s="73"/>
      <c r="X334" s="73"/>
      <c r="Y334" s="73"/>
      <c r="Z334" s="74"/>
      <c r="AA334"/>
      <c r="AB334"/>
      <c r="AC334"/>
      <c r="AD334"/>
      <c r="AE334"/>
      <c r="AF334"/>
      <c r="AG334"/>
      <c r="AH334"/>
      <c r="AI334"/>
      <c r="AJ334"/>
      <c r="AK334"/>
      <c r="AL334" s="75"/>
      <c r="AM334" s="75"/>
      <c r="AN334" s="75"/>
      <c r="AO334" s="75"/>
    </row>
    <row r="335" ht="20.25" customHeight="1" spans="1:41">
      <c r="A335" s="60" t="s">
        <v>2438</v>
      </c>
      <c r="B335" s="76" t="str">
        <f ca="1">"kolona 4 - "&amp;PoslGod-1</f>
        <v>kolona 4 - 2024</v>
      </c>
      <c r="C335" s="77" t="str">
        <f ca="1">"kolona 5 - "&amp;PoslGod</f>
        <v>kolona 5 - 2025</v>
      </c>
      <c r="D335" s="71"/>
      <c r="E335" s="4"/>
      <c r="F335" s="4"/>
      <c r="G335" s="4"/>
      <c r="H335" s="4"/>
      <c r="I335" s="4"/>
      <c r="J335" s="4"/>
      <c r="K335" s="4"/>
      <c r="L335" s="4"/>
      <c r="M335" s="4"/>
      <c r="N335" s="4"/>
      <c r="O335" s="4"/>
      <c r="P335" s="4"/>
      <c r="Q335" s="4"/>
      <c r="R335" s="4"/>
      <c r="S335" s="4"/>
      <c r="T335" s="4"/>
      <c r="U335" s="4"/>
      <c r="V335" s="4"/>
      <c r="W335" s="4"/>
      <c r="X335" s="4"/>
      <c r="Y335" s="4"/>
      <c r="Z335" s="37"/>
    </row>
    <row r="336" ht="15" customHeight="1" spans="1:41">
      <c r="A336" s="29">
        <v>901</v>
      </c>
      <c r="B336" s="39">
        <f>P.Podaci!Y30</f>
        <v>88949</v>
      </c>
      <c r="C336" s="30">
        <f>P.Podaci!AE30</f>
        <v>87679</v>
      </c>
      <c r="D336" s="71"/>
      <c r="E336" s="4"/>
      <c r="F336" s="4"/>
      <c r="G336" s="4"/>
      <c r="H336" s="4"/>
      <c r="I336" s="4"/>
      <c r="J336" s="4"/>
      <c r="K336" s="4"/>
      <c r="L336" s="4"/>
      <c r="M336" s="4"/>
      <c r="N336" s="4"/>
      <c r="O336" s="4"/>
      <c r="P336" s="4"/>
      <c r="Q336" s="4"/>
      <c r="R336" s="4"/>
      <c r="S336" s="4"/>
      <c r="T336" s="4"/>
      <c r="U336" s="4"/>
      <c r="V336" s="4"/>
      <c r="W336" s="4"/>
      <c r="X336" s="4"/>
      <c r="Y336" s="4"/>
      <c r="Z336" s="37"/>
    </row>
    <row r="337" ht="15" customHeight="1" spans="1:26">
      <c r="A337" s="29">
        <v>902</v>
      </c>
      <c r="B337" s="39">
        <f>P.Podaci!Y31</f>
        <v>0</v>
      </c>
      <c r="C337" s="30">
        <f>P.Podaci!AE31</f>
        <v>0</v>
      </c>
      <c r="D337" s="71"/>
      <c r="E337" s="4"/>
      <c r="F337" s="4"/>
      <c r="G337" s="4"/>
      <c r="H337" s="4"/>
      <c r="I337" s="4"/>
      <c r="J337" s="4"/>
      <c r="K337" s="4"/>
      <c r="L337" s="4"/>
      <c r="M337" s="4"/>
      <c r="N337" s="4"/>
      <c r="O337" s="4"/>
      <c r="P337" s="4"/>
      <c r="Q337" s="4"/>
      <c r="R337" s="4"/>
      <c r="S337" s="4"/>
      <c r="T337" s="4"/>
      <c r="U337" s="4"/>
      <c r="V337" s="4"/>
      <c r="W337" s="4"/>
      <c r="X337" s="4"/>
      <c r="Y337" s="4"/>
      <c r="Z337" s="37"/>
    </row>
    <row r="338" ht="15" customHeight="1" spans="1:26">
      <c r="A338" s="29">
        <v>903</v>
      </c>
      <c r="B338" s="39">
        <f>P.Podaci!Y32</f>
        <v>88949</v>
      </c>
      <c r="C338" s="30">
        <f>P.Podaci!AE32</f>
        <v>87679</v>
      </c>
      <c r="D338" s="71"/>
      <c r="E338" s="4"/>
      <c r="F338" s="4"/>
      <c r="G338" s="4"/>
      <c r="H338" s="4"/>
      <c r="I338" s="4"/>
      <c r="J338" s="4"/>
      <c r="K338" s="4"/>
      <c r="L338" s="4"/>
      <c r="M338" s="4"/>
      <c r="N338" s="4"/>
      <c r="O338" s="4"/>
      <c r="P338" s="4"/>
      <c r="Q338" s="4"/>
      <c r="R338" s="4"/>
      <c r="S338" s="4"/>
      <c r="T338" s="4"/>
      <c r="U338" s="4"/>
      <c r="V338" s="4"/>
      <c r="W338" s="4"/>
      <c r="X338" s="4"/>
      <c r="Y338" s="4"/>
      <c r="Z338" s="37"/>
    </row>
    <row r="339" ht="15" customHeight="1" spans="1:26">
      <c r="A339" s="29">
        <v>904</v>
      </c>
      <c r="B339" s="39">
        <f>P.Podaci!Y33</f>
        <v>43042</v>
      </c>
      <c r="C339" s="30">
        <f>P.Podaci!AE33</f>
        <v>6929</v>
      </c>
      <c r="D339" s="71"/>
      <c r="E339" s="4"/>
      <c r="F339" s="4"/>
      <c r="G339" s="4"/>
      <c r="H339" s="4"/>
      <c r="I339" s="4"/>
      <c r="J339" s="4"/>
      <c r="K339" s="4"/>
      <c r="L339" s="4"/>
      <c r="M339" s="4"/>
      <c r="N339" s="4"/>
      <c r="O339" s="4"/>
      <c r="P339" s="4"/>
      <c r="Q339" s="4"/>
      <c r="R339" s="4"/>
      <c r="S339" s="4"/>
      <c r="T339" s="4"/>
      <c r="U339" s="4"/>
      <c r="V339" s="4"/>
      <c r="W339" s="4"/>
      <c r="X339" s="4"/>
      <c r="Y339" s="4"/>
      <c r="Z339" s="37"/>
    </row>
    <row r="340" ht="15" customHeight="1" spans="1:26">
      <c r="A340" s="29">
        <v>905</v>
      </c>
      <c r="B340" s="39">
        <f>P.Podaci!Y34</f>
        <v>14579</v>
      </c>
      <c r="C340" s="30">
        <f>P.Podaci!AE34</f>
        <v>57934</v>
      </c>
      <c r="D340" s="71"/>
      <c r="E340" s="4"/>
      <c r="F340" s="4"/>
      <c r="G340" s="4"/>
      <c r="H340" s="4"/>
      <c r="I340" s="4"/>
      <c r="J340" s="4"/>
      <c r="K340" s="4"/>
      <c r="L340" s="4"/>
      <c r="M340" s="4"/>
      <c r="N340" s="4"/>
      <c r="O340" s="4"/>
      <c r="P340" s="4"/>
      <c r="Q340" s="4"/>
      <c r="R340" s="4"/>
      <c r="S340" s="4"/>
      <c r="T340" s="4"/>
      <c r="U340" s="4"/>
      <c r="V340" s="4"/>
      <c r="W340" s="4"/>
      <c r="X340" s="4"/>
      <c r="Y340" s="4"/>
      <c r="Z340" s="37"/>
    </row>
    <row r="341" ht="15" customHeight="1" spans="1:26">
      <c r="A341" s="29">
        <v>906</v>
      </c>
      <c r="B341" s="39">
        <f>P.Podaci!Y35</f>
        <v>6841</v>
      </c>
      <c r="C341" s="30">
        <f>P.Podaci!AE35</f>
        <v>10605</v>
      </c>
      <c r="D341" s="71"/>
      <c r="E341" s="4"/>
      <c r="F341" s="4"/>
      <c r="G341" s="4"/>
      <c r="H341" s="4"/>
      <c r="I341" s="4"/>
      <c r="J341" s="4"/>
      <c r="K341" s="4"/>
      <c r="L341" s="4"/>
      <c r="M341" s="4"/>
      <c r="N341" s="4"/>
      <c r="O341" s="4"/>
      <c r="P341" s="4"/>
      <c r="Q341" s="4"/>
      <c r="R341" s="4"/>
      <c r="S341" s="4"/>
      <c r="T341" s="4"/>
      <c r="U341" s="4"/>
      <c r="V341" s="4"/>
      <c r="W341" s="4"/>
      <c r="X341" s="4"/>
      <c r="Y341" s="4"/>
      <c r="Z341" s="37"/>
    </row>
    <row r="342" ht="15" customHeight="1" spans="1:26">
      <c r="A342" s="29">
        <v>907</v>
      </c>
      <c r="B342" s="39">
        <f>P.Podaci!Y36</f>
        <v>21420</v>
      </c>
      <c r="C342" s="30">
        <f>P.Podaci!AE36</f>
        <v>68539</v>
      </c>
      <c r="D342" s="71"/>
      <c r="E342" s="4"/>
      <c r="F342" s="4"/>
      <c r="G342" s="4"/>
      <c r="H342" s="4"/>
      <c r="I342" s="4"/>
      <c r="J342" s="4"/>
      <c r="K342" s="4"/>
      <c r="L342" s="4"/>
      <c r="M342" s="4"/>
      <c r="N342" s="4"/>
      <c r="O342" s="4"/>
      <c r="P342" s="4"/>
      <c r="Q342" s="4"/>
      <c r="R342" s="4"/>
      <c r="S342" s="4"/>
      <c r="T342" s="4"/>
      <c r="U342" s="4"/>
      <c r="V342" s="4"/>
      <c r="W342" s="4"/>
      <c r="X342" s="4"/>
      <c r="Y342" s="4"/>
      <c r="Z342" s="37"/>
    </row>
    <row r="343" ht="15" customHeight="1" spans="1:26">
      <c r="A343" s="29">
        <v>908</v>
      </c>
      <c r="B343" s="39">
        <f>P.Podaci!Y37</f>
        <v>153411</v>
      </c>
      <c r="C343" s="30">
        <f>P.Podaci!AE37</f>
        <v>163147</v>
      </c>
      <c r="D343" s="71"/>
      <c r="E343" s="4"/>
      <c r="F343" s="4"/>
      <c r="G343" s="4"/>
      <c r="H343" s="4"/>
      <c r="I343" s="4"/>
      <c r="J343" s="4"/>
      <c r="K343" s="4"/>
      <c r="L343" s="4"/>
      <c r="M343" s="4"/>
      <c r="N343" s="4"/>
      <c r="O343" s="4"/>
      <c r="P343" s="4"/>
      <c r="Q343" s="4"/>
      <c r="R343" s="4"/>
      <c r="S343" s="4"/>
      <c r="T343" s="4"/>
      <c r="U343" s="4"/>
      <c r="V343" s="4"/>
      <c r="W343" s="4"/>
      <c r="X343" s="4"/>
      <c r="Y343" s="4"/>
      <c r="Z343" s="37"/>
    </row>
    <row r="344" ht="15" customHeight="1" spans="1:26">
      <c r="A344" s="29">
        <v>909</v>
      </c>
      <c r="B344" s="39">
        <f>P.Podaci!Y38</f>
        <v>0</v>
      </c>
      <c r="C344" s="30">
        <f>P.Podaci!AE38</f>
        <v>0</v>
      </c>
      <c r="D344" s="71"/>
      <c r="E344" s="4"/>
      <c r="F344" s="4"/>
      <c r="G344" s="4"/>
      <c r="H344" s="4"/>
      <c r="I344" s="4"/>
      <c r="J344" s="4"/>
      <c r="K344" s="4"/>
      <c r="L344" s="4"/>
      <c r="M344" s="4"/>
      <c r="N344" s="4"/>
      <c r="O344" s="4"/>
      <c r="P344" s="4"/>
      <c r="Q344" s="4"/>
      <c r="R344" s="4"/>
      <c r="S344" s="4"/>
      <c r="T344" s="4"/>
      <c r="U344" s="4"/>
      <c r="V344" s="4"/>
      <c r="W344" s="4"/>
      <c r="X344" s="4"/>
      <c r="Y344" s="4"/>
      <c r="Z344" s="37"/>
    </row>
    <row r="345" ht="15" customHeight="1" spans="1:26">
      <c r="A345" s="29">
        <v>910</v>
      </c>
      <c r="B345" s="39">
        <f>P.Podaci!Y39</f>
        <v>0</v>
      </c>
      <c r="C345" s="30">
        <f>P.Podaci!AE39</f>
        <v>0</v>
      </c>
      <c r="D345" s="71"/>
      <c r="E345" s="4"/>
      <c r="F345" s="4"/>
      <c r="G345" s="4"/>
      <c r="H345" s="4"/>
      <c r="I345" s="4"/>
      <c r="J345" s="4"/>
      <c r="K345" s="4"/>
      <c r="L345" s="4"/>
      <c r="M345" s="4"/>
      <c r="N345" s="4"/>
      <c r="O345" s="4"/>
      <c r="P345" s="4"/>
      <c r="Q345" s="4"/>
      <c r="R345" s="4"/>
      <c r="S345" s="4"/>
      <c r="T345" s="4"/>
      <c r="U345" s="4"/>
      <c r="V345" s="4"/>
      <c r="W345" s="4"/>
      <c r="X345" s="4"/>
      <c r="Y345" s="4"/>
      <c r="Z345" s="37"/>
    </row>
    <row r="346" ht="15" customHeight="1" spans="1:26">
      <c r="A346" s="29">
        <v>911</v>
      </c>
      <c r="B346" s="39">
        <f>P.Podaci!Y40</f>
        <v>0</v>
      </c>
      <c r="C346" s="30">
        <f>P.Podaci!AE40</f>
        <v>0</v>
      </c>
      <c r="D346" s="71"/>
      <c r="E346" s="4"/>
      <c r="F346" s="4"/>
      <c r="G346" s="4"/>
      <c r="H346" s="4"/>
      <c r="I346" s="4"/>
      <c r="J346" s="4"/>
      <c r="K346" s="4"/>
      <c r="L346" s="4"/>
      <c r="M346" s="4"/>
      <c r="N346" s="4"/>
      <c r="O346" s="4"/>
      <c r="P346" s="4"/>
      <c r="Q346" s="4"/>
      <c r="R346" s="4"/>
      <c r="S346" s="4"/>
      <c r="T346" s="4"/>
      <c r="U346" s="4"/>
      <c r="V346" s="4"/>
      <c r="W346" s="4"/>
      <c r="X346" s="4"/>
      <c r="Y346" s="4"/>
      <c r="Z346" s="37"/>
    </row>
    <row r="347" ht="15" customHeight="1" spans="1:26">
      <c r="A347" s="29">
        <v>912</v>
      </c>
      <c r="B347" s="39">
        <f>P.Podaci!Y41</f>
        <v>0</v>
      </c>
      <c r="C347" s="30">
        <f>P.Podaci!AE41</f>
        <v>0</v>
      </c>
      <c r="D347" s="71"/>
      <c r="E347" s="4"/>
      <c r="F347" s="4"/>
      <c r="G347" s="4"/>
      <c r="H347" s="4"/>
      <c r="I347" s="4"/>
      <c r="J347" s="4"/>
      <c r="K347" s="4"/>
      <c r="L347" s="4"/>
      <c r="M347" s="4"/>
      <c r="N347" s="4"/>
      <c r="O347" s="4"/>
      <c r="P347" s="4"/>
      <c r="Q347" s="4"/>
      <c r="R347" s="4"/>
      <c r="S347" s="4"/>
      <c r="T347" s="4"/>
      <c r="U347" s="4"/>
      <c r="V347" s="4"/>
      <c r="W347" s="4"/>
      <c r="X347" s="4"/>
      <c r="Y347" s="4"/>
      <c r="Z347" s="37"/>
    </row>
    <row r="348" ht="15" customHeight="1" spans="1:26">
      <c r="A348" s="29">
        <v>913</v>
      </c>
      <c r="B348" s="39">
        <f>P.Podaci!Y42</f>
        <v>0</v>
      </c>
      <c r="C348" s="30">
        <f>P.Podaci!AE42</f>
        <v>0</v>
      </c>
      <c r="D348" s="71"/>
      <c r="E348" s="4"/>
      <c r="F348" s="4"/>
      <c r="G348" s="4"/>
      <c r="H348" s="4"/>
      <c r="I348" s="4"/>
      <c r="J348" s="4"/>
      <c r="K348" s="4"/>
      <c r="L348" s="4"/>
      <c r="M348" s="4"/>
      <c r="N348" s="4"/>
      <c r="O348" s="4"/>
      <c r="P348" s="4"/>
      <c r="Q348" s="4"/>
      <c r="R348" s="4"/>
      <c r="S348" s="4"/>
      <c r="T348" s="4"/>
      <c r="U348" s="4"/>
      <c r="V348" s="4"/>
      <c r="W348" s="4"/>
      <c r="X348" s="4"/>
      <c r="Y348" s="4"/>
      <c r="Z348" s="37"/>
    </row>
    <row r="349" ht="15" customHeight="1" spans="1:26">
      <c r="A349" s="29">
        <v>914</v>
      </c>
      <c r="B349" s="39">
        <f>P.Podaci!Y43</f>
        <v>88949</v>
      </c>
      <c r="C349" s="30">
        <f>P.Podaci!AE43</f>
        <v>87679</v>
      </c>
      <c r="D349" s="71"/>
      <c r="E349" s="4"/>
      <c r="F349" s="4"/>
      <c r="G349" s="4"/>
      <c r="H349" s="4"/>
      <c r="I349" s="4"/>
      <c r="J349" s="4"/>
      <c r="K349" s="4"/>
      <c r="L349" s="4"/>
      <c r="M349" s="4"/>
      <c r="N349" s="4"/>
      <c r="O349" s="4"/>
      <c r="P349" s="4"/>
      <c r="Q349" s="4"/>
      <c r="R349" s="4"/>
      <c r="S349" s="4"/>
      <c r="T349" s="4"/>
      <c r="U349" s="4"/>
      <c r="V349" s="4"/>
      <c r="W349" s="4"/>
      <c r="X349" s="4"/>
      <c r="Y349" s="4"/>
      <c r="Z349" s="37"/>
    </row>
    <row r="350" ht="15" customHeight="1" spans="1:26">
      <c r="A350" s="29">
        <v>915</v>
      </c>
      <c r="B350" s="39">
        <f>P.Podaci!Y44</f>
        <v>6</v>
      </c>
      <c r="C350" s="30">
        <f>P.Podaci!AE44</f>
        <v>6</v>
      </c>
      <c r="D350" s="71"/>
      <c r="E350" s="4"/>
      <c r="F350" s="4"/>
      <c r="G350" s="4"/>
      <c r="H350" s="4"/>
      <c r="I350" s="4"/>
      <c r="J350" s="4"/>
      <c r="K350" s="4"/>
      <c r="L350" s="4"/>
      <c r="M350" s="4"/>
      <c r="N350" s="4"/>
      <c r="O350" s="4"/>
      <c r="P350" s="4"/>
      <c r="Q350" s="4"/>
      <c r="R350" s="4"/>
      <c r="S350" s="4"/>
      <c r="T350" s="4"/>
      <c r="U350" s="4"/>
      <c r="V350" s="4"/>
      <c r="W350" s="4"/>
      <c r="X350" s="4"/>
      <c r="Y350" s="4"/>
      <c r="Z350" s="37"/>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37"/>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37"/>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37"/>
    </row>
    <row r="354" s="2" customFormat="1" ht="23.25" spans="1:26">
      <c r="A354" s="78"/>
      <c r="B354" s="79" t="str">
        <f>"PORESKI GUBICI - "&amp;Firma&amp;"_"&amp;UnosPod!$O$6&amp;UnosPod!$P$6&amp;"."&amp;UnosPod!$Q$6&amp;"_"&amp;IdBroj</f>
        <v>PORESKI GUBICI - LILIUM ASSET MANAGEMENT d.o.o. Sarajevo_12.2025_4201337670009</v>
      </c>
      <c r="C354" s="80"/>
      <c r="D354" s="80"/>
      <c r="E354" s="80"/>
      <c r="F354" s="80"/>
      <c r="G354" s="80"/>
      <c r="H354" s="80"/>
      <c r="I354" s="80"/>
      <c r="J354" s="8"/>
      <c r="K354" s="8"/>
      <c r="L354" s="8"/>
      <c r="M354" s="8"/>
      <c r="N354" s="8"/>
      <c r="O354" s="8"/>
      <c r="P354" s="8"/>
      <c r="Q354" s="8"/>
      <c r="R354" s="8"/>
      <c r="S354" s="8"/>
      <c r="T354" s="8"/>
      <c r="U354" s="8"/>
      <c r="V354" s="8"/>
      <c r="W354" s="8"/>
      <c r="X354" s="8"/>
      <c r="Y354" s="8"/>
      <c r="Z354" s="59"/>
    </row>
    <row r="355" spans="1:26">
      <c r="A355" s="81" t="s">
        <v>4563</v>
      </c>
      <c r="B355" s="82" t="s">
        <v>4564</v>
      </c>
      <c r="C355" s="82" t="str">
        <f ca="1">"Iskorišteno "&amp;PoslGod-3</f>
        <v>Iskorišteno 2022</v>
      </c>
      <c r="D355" s="82" t="str">
        <f ca="1">"Iskorišteno "&amp;PoslGod-2</f>
        <v>Iskorišteno 2023</v>
      </c>
      <c r="E355" s="82" t="str">
        <f ca="1">"Iskorišteno "&amp;PoslGod-1</f>
        <v>Iskorišteno 2024</v>
      </c>
      <c r="F355" s="82" t="str">
        <f ca="1">"Iskorišteno "&amp;PoslGod</f>
        <v>Iskorišteno 2025</v>
      </c>
      <c r="G355" s="4"/>
      <c r="H355" s="4"/>
      <c r="I355" s="4"/>
      <c r="J355" s="4"/>
      <c r="K355" s="4"/>
      <c r="L355" s="4"/>
      <c r="M355" s="4"/>
      <c r="N355" s="4"/>
      <c r="O355" s="4"/>
      <c r="P355" s="4"/>
      <c r="Q355" s="4"/>
      <c r="R355" s="4"/>
      <c r="S355" s="4"/>
      <c r="T355" s="4"/>
      <c r="U355" s="4"/>
      <c r="V355" s="4"/>
      <c r="W355" s="4"/>
      <c r="X355" s="4"/>
      <c r="Y355" s="4"/>
      <c r="Z355" s="37"/>
    </row>
    <row r="356" ht="15" customHeight="1" spans="1:26">
      <c r="A356" s="83">
        <f ca="1">PoslGod-5</f>
        <v>2020</v>
      </c>
      <c r="B356" s="84"/>
      <c r="C356" s="4"/>
      <c r="D356" s="4"/>
      <c r="E356" s="4"/>
      <c r="F356" s="4"/>
      <c r="G356" s="4"/>
      <c r="H356" s="4"/>
      <c r="I356" s="4"/>
      <c r="J356" s="4"/>
      <c r="K356" s="4"/>
      <c r="L356" s="4"/>
      <c r="M356" s="4"/>
      <c r="N356" s="4"/>
      <c r="O356" s="4"/>
      <c r="P356" s="4"/>
      <c r="Q356" s="4"/>
      <c r="R356" s="4"/>
      <c r="S356" s="4"/>
      <c r="T356" s="4"/>
      <c r="U356" s="4"/>
      <c r="V356" s="4"/>
      <c r="W356" s="4"/>
      <c r="X356" s="4"/>
      <c r="Y356" s="4"/>
      <c r="Z356" s="37"/>
    </row>
    <row r="357" ht="15" customHeight="1" spans="1:26">
      <c r="A357" s="83">
        <f ca="1">PoslGod-4</f>
        <v>2021</v>
      </c>
      <c r="B357" s="85">
        <f>UnosPorBilans!E7</f>
        <v>0</v>
      </c>
      <c r="C357" s="85">
        <f>UnosPorBilans!O7</f>
        <v>0</v>
      </c>
      <c r="D357" s="85">
        <f>UnosPorBilans!T7</f>
        <v>0</v>
      </c>
      <c r="E357" s="85">
        <f>UnosPorBilans!Y7</f>
        <v>0</v>
      </c>
      <c r="F357" s="85">
        <f>UnosPorBilans!AD7</f>
        <v>0</v>
      </c>
      <c r="G357" s="4"/>
      <c r="H357" s="4"/>
      <c r="I357" s="4"/>
      <c r="J357" s="4"/>
      <c r="K357" s="4"/>
      <c r="L357" s="4"/>
      <c r="M357" s="4"/>
      <c r="N357" s="4"/>
      <c r="O357" s="4"/>
      <c r="P357" s="4"/>
      <c r="Q357" s="4"/>
      <c r="R357" s="4"/>
      <c r="S357" s="4"/>
      <c r="T357" s="4"/>
      <c r="U357" s="4"/>
      <c r="V357" s="4"/>
      <c r="W357" s="4"/>
      <c r="X357" s="4"/>
      <c r="Y357" s="4"/>
      <c r="Z357" s="37"/>
    </row>
    <row r="358" ht="15" customHeight="1" spans="1:26">
      <c r="A358" s="83">
        <f ca="1">PoslGod-3</f>
        <v>2022</v>
      </c>
      <c r="B358" s="85">
        <f>UnosPorBilans!E8</f>
        <v>0</v>
      </c>
      <c r="C358" s="4"/>
      <c r="D358" s="85">
        <f>UnosPorBilans!T8</f>
        <v>0</v>
      </c>
      <c r="E358" s="85">
        <f>UnosPorBilans!Y8</f>
        <v>0</v>
      </c>
      <c r="F358" s="85">
        <f>UnosPorBilans!AD8</f>
        <v>0</v>
      </c>
      <c r="G358" s="4"/>
      <c r="H358" s="4"/>
      <c r="I358" s="4"/>
      <c r="J358" s="4"/>
      <c r="K358" s="4"/>
      <c r="L358" s="4"/>
      <c r="M358" s="4"/>
      <c r="N358" s="4"/>
      <c r="O358" s="4"/>
      <c r="P358" s="4"/>
      <c r="Q358" s="4"/>
      <c r="R358" s="4"/>
      <c r="S358" s="4"/>
      <c r="T358" s="4"/>
      <c r="U358" s="4"/>
      <c r="V358" s="4"/>
      <c r="W358" s="4"/>
      <c r="X358" s="4"/>
      <c r="Y358" s="4"/>
      <c r="Z358" s="37"/>
    </row>
    <row r="359" ht="15" customHeight="1" spans="1:26">
      <c r="A359" s="83">
        <f ca="1">PoslGod-2</f>
        <v>2023</v>
      </c>
      <c r="B359" s="85">
        <f>UnosPorBilans!E9</f>
        <v>0</v>
      </c>
      <c r="C359" s="4"/>
      <c r="D359" s="4"/>
      <c r="E359" s="85">
        <f>UnosPorBilans!Y9</f>
        <v>0</v>
      </c>
      <c r="F359" s="85">
        <f>UnosPorBilans!AD9</f>
        <v>0</v>
      </c>
      <c r="G359" s="4"/>
      <c r="H359" s="4"/>
      <c r="I359" s="4"/>
      <c r="J359" s="4"/>
      <c r="K359" s="4"/>
      <c r="L359" s="4"/>
      <c r="M359" s="4"/>
      <c r="N359" s="4"/>
      <c r="O359" s="4"/>
      <c r="P359" s="4"/>
      <c r="Q359" s="4"/>
      <c r="R359" s="4"/>
      <c r="S359" s="4"/>
      <c r="T359" s="4"/>
      <c r="U359" s="4"/>
      <c r="V359" s="4"/>
      <c r="W359" s="4"/>
      <c r="X359" s="4"/>
      <c r="Y359" s="4"/>
      <c r="Z359" s="37"/>
    </row>
    <row r="360" ht="15" customHeight="1" spans="1:26">
      <c r="A360" s="83">
        <f ca="1">PoslGod-1</f>
        <v>2024</v>
      </c>
      <c r="B360" s="85">
        <f>UnosPorBilans!E10</f>
        <v>0</v>
      </c>
      <c r="C360" s="4"/>
      <c r="D360" s="4"/>
      <c r="E360" s="4"/>
      <c r="F360" s="85">
        <f>UnosPorBilans!AD10</f>
        <v>0</v>
      </c>
      <c r="G360" s="4"/>
      <c r="H360" s="4"/>
      <c r="I360" s="4"/>
      <c r="J360" s="4"/>
      <c r="K360" s="4"/>
      <c r="L360" s="4"/>
      <c r="M360" s="4"/>
      <c r="N360" s="4"/>
      <c r="O360" s="4"/>
      <c r="P360" s="4"/>
      <c r="Q360" s="4"/>
      <c r="R360" s="4"/>
      <c r="S360" s="4"/>
      <c r="T360" s="4"/>
      <c r="U360" s="4"/>
      <c r="V360" s="4"/>
      <c r="W360" s="4"/>
      <c r="X360" s="4"/>
      <c r="Y360" s="4"/>
      <c r="Z360" s="37"/>
    </row>
    <row r="361" ht="15" customHeight="1" spans="1:26">
      <c r="A361" s="83">
        <f ca="1">PoslGod</f>
        <v>2025</v>
      </c>
      <c r="B361" s="85">
        <f>UnosPorBilans!E11</f>
        <v>73141</v>
      </c>
      <c r="C361" s="4"/>
      <c r="D361" s="4"/>
      <c r="E361" s="4"/>
      <c r="F361" s="4"/>
      <c r="G361" s="4"/>
      <c r="H361" s="4"/>
      <c r="I361" s="4"/>
      <c r="J361" s="4"/>
      <c r="K361" s="4"/>
      <c r="L361" s="4"/>
      <c r="M361" s="4"/>
      <c r="N361" s="4"/>
      <c r="O361" s="4"/>
      <c r="P361" s="4"/>
      <c r="Q361" s="4"/>
      <c r="R361" s="4"/>
      <c r="S361" s="4"/>
      <c r="T361" s="4"/>
      <c r="U361" s="4"/>
      <c r="V361" s="4"/>
      <c r="W361" s="4"/>
      <c r="X361" s="4"/>
      <c r="Y361" s="4"/>
      <c r="Z361" s="37"/>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37"/>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37"/>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37"/>
    </row>
    <row r="365" ht="22.5" customHeight="1" spans="1:26">
      <c r="A365" s="7"/>
      <c r="B365" s="7" t="str">
        <f>"GOTOVINSKI TOKOVI direktna metoda  - "&amp;Firma&amp;"_"&amp;UnosPod!$O$6&amp;UnosPod!$P$6&amp;"."&amp;UnosPod!$Q$6&amp;"_"&amp;IdBroj</f>
        <v>GOTOVINSKI TOKOVI direktna metoda  - LILIUM ASSET MANAGEMENT d.o.o. Sarajevo_12.2025_4201337670009</v>
      </c>
      <c r="C365" s="8"/>
      <c r="D365" s="8"/>
      <c r="E365" s="9"/>
      <c r="F365" s="9"/>
      <c r="G365" s="7"/>
      <c r="H365" s="7"/>
      <c r="I365" s="8"/>
      <c r="J365" s="8"/>
      <c r="K365" s="8"/>
      <c r="L365" s="8"/>
      <c r="M365" s="8"/>
      <c r="N365" s="8"/>
      <c r="O365" s="8"/>
      <c r="P365" s="8"/>
      <c r="Q365" s="8"/>
      <c r="R365" s="8"/>
      <c r="S365" s="8"/>
      <c r="T365" s="8"/>
      <c r="U365" s="8"/>
      <c r="V365" s="8"/>
      <c r="W365" s="8"/>
      <c r="X365" s="8"/>
      <c r="Y365" s="8"/>
      <c r="Z365" s="59"/>
    </row>
    <row r="366" ht="20.25" customHeight="1" spans="1:26">
      <c r="A366" s="60" t="s">
        <v>2438</v>
      </c>
      <c r="B366" s="77" t="str">
        <f ca="1">"kolona 6 -"&amp;PoslGod</f>
        <v>kolona 6 -2025</v>
      </c>
      <c r="C366" s="76" t="str">
        <f ca="1">"kolona 7 -"&amp;PoslGod-1</f>
        <v>kolona 7 -2024</v>
      </c>
      <c r="D366" s="4"/>
      <c r="E366" s="4"/>
      <c r="F366" s="4"/>
      <c r="G366" s="4"/>
      <c r="H366" s="4"/>
      <c r="I366" s="4"/>
      <c r="J366" s="4"/>
      <c r="K366" s="4"/>
      <c r="L366" s="4"/>
      <c r="M366" s="4"/>
      <c r="N366" s="4"/>
      <c r="O366" s="4"/>
      <c r="P366" s="4"/>
      <c r="Q366" s="4"/>
      <c r="R366" s="4"/>
      <c r="S366" s="4"/>
      <c r="T366" s="4"/>
      <c r="U366" s="4"/>
      <c r="V366" s="4"/>
      <c r="W366" s="4"/>
      <c r="X366" s="4"/>
      <c r="Y366" s="4"/>
      <c r="Z366" s="37"/>
    </row>
    <row r="367" spans="1:26">
      <c r="A367" s="53" t="s">
        <v>4565</v>
      </c>
      <c r="B367" s="30">
        <f>GotTok_Direkt!AI21</f>
        <v>0</v>
      </c>
      <c r="C367" s="39">
        <f>GotTok_Direkt!AP21</f>
        <v>0</v>
      </c>
      <c r="D367" s="4"/>
      <c r="E367" s="4"/>
      <c r="F367" s="4"/>
      <c r="G367" s="4"/>
      <c r="H367" s="4"/>
      <c r="I367" s="4"/>
      <c r="J367" s="4"/>
      <c r="K367" s="4"/>
      <c r="L367" s="4"/>
      <c r="M367" s="4"/>
      <c r="N367" s="4"/>
      <c r="O367" s="4"/>
      <c r="P367" s="4"/>
      <c r="Q367" s="4"/>
      <c r="R367" s="4"/>
      <c r="S367" s="4"/>
      <c r="T367" s="4"/>
      <c r="U367" s="4"/>
      <c r="V367" s="4"/>
      <c r="W367" s="4"/>
      <c r="X367" s="4"/>
      <c r="Y367" s="4"/>
      <c r="Z367" s="37"/>
    </row>
    <row r="368" spans="1:26">
      <c r="A368" s="53" t="s">
        <v>4566</v>
      </c>
      <c r="B368" s="30">
        <f>GotTok_Direkt!AI22</f>
        <v>0</v>
      </c>
      <c r="C368" s="39">
        <f>GotTok_Direkt!AP22</f>
        <v>0</v>
      </c>
      <c r="D368" s="4"/>
      <c r="E368" s="4"/>
      <c r="F368" s="4"/>
      <c r="G368" s="4"/>
      <c r="H368" s="4"/>
      <c r="I368" s="4"/>
      <c r="J368" s="4"/>
      <c r="K368" s="4"/>
      <c r="L368" s="4"/>
      <c r="M368" s="4"/>
      <c r="N368" s="4"/>
      <c r="O368" s="4"/>
      <c r="P368" s="4"/>
      <c r="Q368" s="4"/>
      <c r="R368" s="4"/>
      <c r="S368" s="4"/>
      <c r="T368" s="4"/>
      <c r="U368" s="4"/>
      <c r="V368" s="4"/>
      <c r="W368" s="4"/>
      <c r="X368" s="4"/>
      <c r="Y368" s="4"/>
      <c r="Z368" s="37"/>
    </row>
    <row r="369" spans="1:26">
      <c r="A369" s="53" t="s">
        <v>4567</v>
      </c>
      <c r="B369" s="30">
        <f>GotTok_Direkt!AI23</f>
        <v>0</v>
      </c>
      <c r="C369" s="39">
        <f>GotTok_Direkt!AP23</f>
        <v>0</v>
      </c>
      <c r="D369" s="4"/>
      <c r="E369" s="4"/>
      <c r="F369" s="4"/>
      <c r="G369" s="4"/>
      <c r="H369" s="4"/>
      <c r="I369" s="4"/>
      <c r="J369" s="4"/>
      <c r="K369" s="4"/>
      <c r="L369" s="4"/>
      <c r="M369" s="4"/>
      <c r="N369" s="4"/>
      <c r="O369" s="4"/>
      <c r="P369" s="4"/>
      <c r="Q369" s="4"/>
      <c r="R369" s="4"/>
      <c r="S369" s="4"/>
      <c r="T369" s="4"/>
      <c r="U369" s="4"/>
      <c r="V369" s="4"/>
      <c r="W369" s="4"/>
      <c r="X369" s="4"/>
      <c r="Y369" s="4"/>
      <c r="Z369" s="37"/>
    </row>
    <row r="370" spans="1:26">
      <c r="A370" s="53" t="s">
        <v>4568</v>
      </c>
      <c r="B370" s="30">
        <f>GotTok_Direkt!AI24</f>
        <v>0</v>
      </c>
      <c r="C370" s="39">
        <f>GotTok_Direkt!AP24</f>
        <v>0</v>
      </c>
      <c r="D370" s="4"/>
      <c r="E370" s="4"/>
      <c r="F370" s="4"/>
      <c r="G370" s="4"/>
      <c r="H370" s="4"/>
      <c r="I370" s="4"/>
      <c r="J370" s="4"/>
      <c r="K370" s="4"/>
      <c r="L370" s="4"/>
      <c r="M370" s="4"/>
      <c r="N370" s="4"/>
      <c r="O370" s="4"/>
      <c r="P370" s="4"/>
      <c r="Q370" s="4"/>
      <c r="R370" s="4"/>
      <c r="S370" s="4"/>
      <c r="T370" s="4"/>
      <c r="U370" s="4"/>
      <c r="V370" s="4"/>
      <c r="W370" s="4"/>
      <c r="X370" s="4"/>
      <c r="Y370" s="4"/>
      <c r="Z370" s="37"/>
    </row>
    <row r="371" spans="1:26">
      <c r="A371" s="53" t="s">
        <v>4569</v>
      </c>
      <c r="B371" s="30">
        <f>GotTok_Direkt!AI25</f>
        <v>0</v>
      </c>
      <c r="C371" s="39">
        <f>GotTok_Direkt!AP25</f>
        <v>0</v>
      </c>
      <c r="D371" s="4"/>
      <c r="E371" s="4"/>
      <c r="F371" s="4"/>
      <c r="G371" s="4"/>
      <c r="H371" s="4"/>
      <c r="I371" s="4"/>
      <c r="J371" s="4"/>
      <c r="K371" s="4"/>
      <c r="L371" s="4"/>
      <c r="M371" s="4"/>
      <c r="N371" s="4"/>
      <c r="O371" s="4"/>
      <c r="P371" s="4"/>
      <c r="Q371" s="4"/>
      <c r="R371" s="4"/>
      <c r="S371" s="4"/>
      <c r="T371" s="4"/>
      <c r="U371" s="4"/>
      <c r="V371" s="4"/>
      <c r="W371" s="4"/>
      <c r="X371" s="4"/>
      <c r="Y371" s="4"/>
      <c r="Z371" s="37"/>
    </row>
    <row r="372" spans="1:26">
      <c r="A372" s="53" t="s">
        <v>4570</v>
      </c>
      <c r="B372" s="30">
        <f>GotTok_Direkt!AI26</f>
        <v>0</v>
      </c>
      <c r="C372" s="39">
        <f>GotTok_Direkt!AP26</f>
        <v>0</v>
      </c>
      <c r="D372" s="4"/>
      <c r="E372" s="4"/>
      <c r="F372" s="4"/>
      <c r="G372" s="4"/>
      <c r="H372" s="4"/>
      <c r="I372" s="4"/>
      <c r="J372" s="4"/>
      <c r="K372" s="4"/>
      <c r="L372" s="4"/>
      <c r="M372" s="4"/>
      <c r="N372" s="4"/>
      <c r="O372" s="4"/>
      <c r="P372" s="4"/>
      <c r="Q372" s="4"/>
      <c r="R372" s="4"/>
      <c r="S372" s="4"/>
      <c r="T372" s="4"/>
      <c r="U372" s="4"/>
      <c r="V372" s="4"/>
      <c r="W372" s="4"/>
      <c r="X372" s="4"/>
      <c r="Y372" s="4"/>
      <c r="Z372" s="37"/>
    </row>
    <row r="373" spans="1:26">
      <c r="A373" s="53" t="s">
        <v>4571</v>
      </c>
      <c r="B373" s="30">
        <f>GotTok_Direkt!AI27</f>
        <v>0</v>
      </c>
      <c r="C373" s="39">
        <f>GotTok_Direkt!AP27</f>
        <v>0</v>
      </c>
      <c r="D373" s="4"/>
      <c r="E373" s="4"/>
      <c r="F373" s="4"/>
      <c r="G373" s="4"/>
      <c r="H373" s="4"/>
      <c r="I373" s="4"/>
      <c r="J373" s="4"/>
      <c r="K373" s="4"/>
      <c r="L373" s="4"/>
      <c r="M373" s="4"/>
      <c r="N373" s="4"/>
      <c r="O373" s="4"/>
      <c r="P373" s="4"/>
      <c r="Q373" s="4"/>
      <c r="R373" s="4"/>
      <c r="S373" s="4"/>
      <c r="T373" s="4"/>
      <c r="U373" s="4"/>
      <c r="V373" s="4"/>
      <c r="W373" s="4"/>
      <c r="X373" s="4"/>
      <c r="Y373" s="4"/>
      <c r="Z373" s="37"/>
    </row>
    <row r="374" spans="1:26">
      <c r="A374" s="53" t="s">
        <v>4572</v>
      </c>
      <c r="B374" s="30">
        <f>GotTok_Direkt!AI28</f>
        <v>0</v>
      </c>
      <c r="C374" s="39">
        <f>GotTok_Direkt!AP28</f>
        <v>0</v>
      </c>
      <c r="D374" s="4"/>
      <c r="E374" s="4"/>
      <c r="F374" s="4"/>
      <c r="G374" s="4"/>
      <c r="H374" s="4"/>
      <c r="I374" s="4"/>
      <c r="J374" s="4"/>
      <c r="K374" s="4"/>
      <c r="L374" s="4"/>
      <c r="M374" s="4"/>
      <c r="N374" s="4"/>
      <c r="O374" s="4"/>
      <c r="P374" s="4"/>
      <c r="Q374" s="4"/>
      <c r="R374" s="4"/>
      <c r="S374" s="4"/>
      <c r="T374" s="4"/>
      <c r="U374" s="4"/>
      <c r="V374" s="4"/>
      <c r="W374" s="4"/>
      <c r="X374" s="4"/>
      <c r="Y374" s="4"/>
      <c r="Z374" s="37"/>
    </row>
    <row r="375" spans="1:26">
      <c r="A375" s="53"/>
      <c r="B375" s="30">
        <f>GotTok_Direkt!AI29</f>
        <v>0</v>
      </c>
      <c r="C375" s="39">
        <f>GotTok_Direkt!AP29</f>
        <v>0</v>
      </c>
      <c r="D375" s="4"/>
      <c r="E375" s="4"/>
      <c r="F375" s="4"/>
      <c r="G375" s="4"/>
      <c r="H375" s="4"/>
      <c r="I375" s="4"/>
      <c r="J375" s="4"/>
      <c r="K375" s="4"/>
      <c r="L375" s="4"/>
      <c r="M375" s="4"/>
      <c r="N375" s="4"/>
      <c r="O375" s="4"/>
      <c r="P375" s="4"/>
      <c r="Q375" s="4"/>
      <c r="R375" s="4"/>
      <c r="S375" s="4"/>
      <c r="T375" s="4"/>
      <c r="U375" s="4"/>
      <c r="V375" s="4"/>
      <c r="W375" s="4"/>
      <c r="X375" s="4"/>
      <c r="Y375" s="4"/>
      <c r="Z375" s="37"/>
    </row>
    <row r="376" spans="1:26">
      <c r="A376" s="53" t="s">
        <v>4573</v>
      </c>
      <c r="B376" s="30">
        <f>GotTok_Direkt!AI30</f>
        <v>0</v>
      </c>
      <c r="C376" s="39">
        <f>GotTok_Direkt!AP30</f>
        <v>0</v>
      </c>
      <c r="D376" s="4"/>
      <c r="E376" s="4"/>
      <c r="F376" s="4"/>
      <c r="G376" s="4"/>
      <c r="H376" s="4"/>
      <c r="I376" s="4"/>
      <c r="J376" s="4"/>
      <c r="K376" s="4"/>
      <c r="L376" s="4"/>
      <c r="M376" s="4"/>
      <c r="N376" s="4"/>
      <c r="O376" s="4"/>
      <c r="P376" s="4"/>
      <c r="Q376" s="4"/>
      <c r="R376" s="4"/>
      <c r="S376" s="4"/>
      <c r="T376" s="4"/>
      <c r="U376" s="4"/>
      <c r="V376" s="4"/>
      <c r="W376" s="4"/>
      <c r="X376" s="4"/>
      <c r="Y376" s="4"/>
      <c r="Z376" s="37"/>
    </row>
    <row r="377" spans="1:26">
      <c r="A377" s="53" t="s">
        <v>4574</v>
      </c>
      <c r="B377" s="30">
        <f>GotTok_Direkt!AI31</f>
        <v>0</v>
      </c>
      <c r="C377" s="39">
        <f>GotTok_Direkt!AP31</f>
        <v>0</v>
      </c>
      <c r="D377" s="4"/>
      <c r="E377" s="4"/>
      <c r="F377" s="4"/>
      <c r="G377" s="4"/>
      <c r="H377" s="4"/>
      <c r="I377" s="4"/>
      <c r="J377" s="4"/>
      <c r="K377" s="4"/>
      <c r="L377" s="4"/>
      <c r="M377" s="4"/>
      <c r="N377" s="4"/>
      <c r="O377" s="4"/>
      <c r="P377" s="4"/>
      <c r="Q377" s="4"/>
      <c r="R377" s="4"/>
      <c r="S377" s="4"/>
      <c r="T377" s="4"/>
      <c r="U377" s="4"/>
      <c r="V377" s="4"/>
      <c r="W377" s="4"/>
      <c r="X377" s="4"/>
      <c r="Y377" s="4"/>
      <c r="Z377" s="37"/>
    </row>
    <row r="378" spans="1:26">
      <c r="A378" s="53" t="s">
        <v>4575</v>
      </c>
      <c r="B378" s="30">
        <f>GotTok_Direkt!AI32</f>
        <v>0</v>
      </c>
      <c r="C378" s="39">
        <f>GotTok_Direkt!AP32</f>
        <v>0</v>
      </c>
      <c r="D378" s="4"/>
      <c r="E378" s="4"/>
      <c r="F378" s="4"/>
      <c r="G378" s="4"/>
      <c r="H378" s="4"/>
      <c r="I378" s="4"/>
      <c r="J378" s="4"/>
      <c r="K378" s="4"/>
      <c r="L378" s="4"/>
      <c r="M378" s="4"/>
      <c r="N378" s="4"/>
      <c r="O378" s="4"/>
      <c r="P378" s="4"/>
      <c r="Q378" s="4"/>
      <c r="R378" s="4"/>
      <c r="S378" s="4"/>
      <c r="T378" s="4"/>
      <c r="U378" s="4"/>
      <c r="V378" s="4"/>
      <c r="W378" s="4"/>
      <c r="X378" s="4"/>
      <c r="Y378" s="4"/>
      <c r="Z378" s="37"/>
    </row>
    <row r="379" spans="1:26">
      <c r="A379" s="53" t="s">
        <v>4576</v>
      </c>
      <c r="B379" s="30">
        <f>GotTok_Direkt!AI33</f>
        <v>0</v>
      </c>
      <c r="C379" s="39">
        <f>GotTok_Direkt!AP33</f>
        <v>0</v>
      </c>
      <c r="D379" s="4"/>
      <c r="E379" s="4"/>
      <c r="F379" s="4"/>
      <c r="G379" s="4"/>
      <c r="H379" s="4"/>
      <c r="I379" s="4"/>
      <c r="J379" s="4"/>
      <c r="K379" s="4"/>
      <c r="L379" s="4"/>
      <c r="M379" s="4"/>
      <c r="N379" s="4"/>
      <c r="O379" s="4"/>
      <c r="P379" s="4"/>
      <c r="Q379" s="4"/>
      <c r="R379" s="4"/>
      <c r="S379" s="4"/>
      <c r="T379" s="4"/>
      <c r="U379" s="4"/>
      <c r="V379" s="4"/>
      <c r="W379" s="4"/>
      <c r="X379" s="4"/>
      <c r="Y379" s="4"/>
      <c r="Z379" s="37"/>
    </row>
    <row r="380" spans="1:26">
      <c r="A380" s="53" t="s">
        <v>4577</v>
      </c>
      <c r="B380" s="30">
        <f>GotTok_Direkt!AI34</f>
        <v>0</v>
      </c>
      <c r="C380" s="39">
        <f>GotTok_Direkt!AP34</f>
        <v>0</v>
      </c>
      <c r="D380" s="4"/>
      <c r="E380" s="4"/>
      <c r="F380" s="4"/>
      <c r="G380" s="4"/>
      <c r="H380" s="4"/>
      <c r="I380" s="4"/>
      <c r="J380" s="4"/>
      <c r="K380" s="4"/>
      <c r="L380" s="4"/>
      <c r="M380" s="4"/>
      <c r="N380" s="4"/>
      <c r="O380" s="4"/>
      <c r="P380" s="4"/>
      <c r="Q380" s="4"/>
      <c r="R380" s="4"/>
      <c r="S380" s="4"/>
      <c r="T380" s="4"/>
      <c r="U380" s="4"/>
      <c r="V380" s="4"/>
      <c r="W380" s="4"/>
      <c r="X380" s="4"/>
      <c r="Y380" s="4"/>
      <c r="Z380" s="37"/>
    </row>
    <row r="381" spans="1:26">
      <c r="A381" s="53" t="s">
        <v>4578</v>
      </c>
      <c r="B381" s="30">
        <f>GotTok_Direkt!AI35</f>
        <v>0</v>
      </c>
      <c r="C381" s="39">
        <f>GotTok_Direkt!AP35</f>
        <v>0</v>
      </c>
      <c r="D381" s="4"/>
      <c r="E381" s="4"/>
      <c r="F381" s="4"/>
      <c r="G381" s="4"/>
      <c r="H381" s="4"/>
      <c r="I381" s="4"/>
      <c r="J381" s="4"/>
      <c r="K381" s="4"/>
      <c r="L381" s="4"/>
      <c r="M381" s="4"/>
      <c r="N381" s="4"/>
      <c r="O381" s="4"/>
      <c r="P381" s="4"/>
      <c r="Q381" s="4"/>
      <c r="R381" s="4"/>
      <c r="S381" s="4"/>
      <c r="T381" s="4"/>
      <c r="U381" s="4"/>
      <c r="V381" s="4"/>
      <c r="W381" s="4"/>
      <c r="X381" s="4"/>
      <c r="Y381" s="4"/>
      <c r="Z381" s="37"/>
    </row>
    <row r="382" spans="1:26">
      <c r="A382" s="53" t="s">
        <v>4579</v>
      </c>
      <c r="B382" s="30">
        <f>GotTok_Direkt!AI36</f>
        <v>0</v>
      </c>
      <c r="C382" s="39">
        <f>GotTok_Direkt!AP36</f>
        <v>0</v>
      </c>
      <c r="D382" s="4"/>
      <c r="E382" s="4"/>
      <c r="F382" s="4"/>
      <c r="G382" s="4"/>
      <c r="H382" s="4"/>
      <c r="I382" s="4"/>
      <c r="J382" s="4"/>
      <c r="K382" s="4"/>
      <c r="L382" s="4"/>
      <c r="M382" s="4"/>
      <c r="N382" s="4"/>
      <c r="O382" s="4"/>
      <c r="P382" s="4"/>
      <c r="Q382" s="4"/>
      <c r="R382" s="4"/>
      <c r="S382" s="4"/>
      <c r="T382" s="4"/>
      <c r="U382" s="4"/>
      <c r="V382" s="4"/>
      <c r="W382" s="4"/>
      <c r="X382" s="4"/>
      <c r="Y382" s="4"/>
      <c r="Z382" s="37"/>
    </row>
    <row r="383" spans="1:26">
      <c r="A383" s="53" t="s">
        <v>4580</v>
      </c>
      <c r="B383" s="30">
        <f>GotTok_Direkt!AI40</f>
        <v>0</v>
      </c>
      <c r="C383" s="39">
        <f>GotTok_Direkt!AP40</f>
        <v>0</v>
      </c>
      <c r="D383" s="4"/>
      <c r="E383" s="4"/>
      <c r="F383" s="4"/>
      <c r="G383" s="4"/>
      <c r="H383" s="4"/>
      <c r="I383" s="4"/>
      <c r="J383" s="4"/>
      <c r="K383" s="4"/>
      <c r="L383" s="4"/>
      <c r="M383" s="4"/>
      <c r="N383" s="4"/>
      <c r="O383" s="4"/>
      <c r="P383" s="4"/>
      <c r="Q383" s="4"/>
      <c r="R383" s="4"/>
      <c r="S383" s="4"/>
      <c r="T383" s="4"/>
      <c r="U383" s="4"/>
      <c r="V383" s="4"/>
      <c r="W383" s="4"/>
      <c r="X383" s="4"/>
      <c r="Y383" s="4"/>
      <c r="Z383" s="37"/>
    </row>
    <row r="384" spans="1:26">
      <c r="A384" s="53" t="s">
        <v>4581</v>
      </c>
      <c r="B384" s="30">
        <f>GotTok_Direkt!AI41</f>
        <v>0</v>
      </c>
      <c r="C384" s="39">
        <f>GotTok_Direkt!AP41</f>
        <v>0</v>
      </c>
      <c r="D384" s="4"/>
      <c r="E384" s="4"/>
      <c r="F384" s="4"/>
      <c r="G384" s="4"/>
      <c r="H384" s="4"/>
      <c r="I384" s="4"/>
      <c r="J384" s="4"/>
      <c r="K384" s="4"/>
      <c r="L384" s="4"/>
      <c r="M384" s="4"/>
      <c r="N384" s="4"/>
      <c r="O384" s="4"/>
      <c r="P384" s="4"/>
      <c r="Q384" s="4"/>
      <c r="R384" s="4"/>
      <c r="S384" s="4"/>
      <c r="T384" s="4"/>
      <c r="U384" s="4"/>
      <c r="V384" s="4"/>
      <c r="W384" s="4"/>
      <c r="X384" s="4"/>
      <c r="Y384" s="4"/>
      <c r="Z384" s="37"/>
    </row>
    <row r="385" spans="1:26">
      <c r="A385" s="53" t="s">
        <v>4582</v>
      </c>
      <c r="B385" s="30">
        <f>GotTok_Direkt!AI42</f>
        <v>0</v>
      </c>
      <c r="C385" s="39">
        <f>GotTok_Direkt!AP42</f>
        <v>0</v>
      </c>
      <c r="D385" s="4"/>
      <c r="E385" s="4"/>
      <c r="F385" s="4"/>
      <c r="G385" s="4"/>
      <c r="H385" s="4"/>
      <c r="I385" s="4"/>
      <c r="J385" s="4"/>
      <c r="K385" s="4"/>
      <c r="L385" s="4"/>
      <c r="M385" s="4"/>
      <c r="N385" s="4"/>
      <c r="O385" s="4"/>
      <c r="P385" s="4"/>
      <c r="Q385" s="4"/>
      <c r="R385" s="4"/>
      <c r="S385" s="4"/>
      <c r="T385" s="4"/>
      <c r="U385" s="4"/>
      <c r="V385" s="4"/>
      <c r="W385" s="4"/>
      <c r="X385" s="4"/>
      <c r="Y385" s="4"/>
      <c r="Z385" s="37"/>
    </row>
    <row r="386" spans="1:26">
      <c r="A386" s="53" t="s">
        <v>4583</v>
      </c>
      <c r="B386" s="30">
        <f>GotTok_Direkt!AI43</f>
        <v>0</v>
      </c>
      <c r="C386" s="39">
        <f>GotTok_Direkt!AP43</f>
        <v>0</v>
      </c>
      <c r="D386" s="4"/>
      <c r="E386" s="4"/>
      <c r="F386" s="4"/>
      <c r="G386" s="4"/>
      <c r="H386" s="4"/>
      <c r="I386" s="4"/>
      <c r="J386" s="4"/>
      <c r="K386" s="4"/>
      <c r="L386" s="4"/>
      <c r="M386" s="4"/>
      <c r="N386" s="4"/>
      <c r="O386" s="4"/>
      <c r="P386" s="4"/>
      <c r="Q386" s="4"/>
      <c r="R386" s="4"/>
      <c r="S386" s="4"/>
      <c r="T386" s="4"/>
      <c r="U386" s="4"/>
      <c r="V386" s="4"/>
      <c r="W386" s="4"/>
      <c r="X386" s="4"/>
      <c r="Y386" s="4"/>
      <c r="Z386" s="37"/>
    </row>
    <row r="387" spans="1:26">
      <c r="A387" s="53" t="s">
        <v>4584</v>
      </c>
      <c r="B387" s="30">
        <f>GotTok_Direkt!AI44</f>
        <v>0</v>
      </c>
      <c r="C387" s="39">
        <f>GotTok_Direkt!AP44</f>
        <v>0</v>
      </c>
      <c r="D387" s="4"/>
      <c r="E387" s="4"/>
      <c r="F387" s="4"/>
      <c r="G387" s="4"/>
      <c r="H387" s="4"/>
      <c r="I387" s="4"/>
      <c r="J387" s="4"/>
      <c r="K387" s="4"/>
      <c r="L387" s="4"/>
      <c r="M387" s="4"/>
      <c r="N387" s="4"/>
      <c r="O387" s="4"/>
      <c r="P387" s="4"/>
      <c r="Q387" s="4"/>
      <c r="R387" s="4"/>
      <c r="S387" s="4"/>
      <c r="T387" s="4"/>
      <c r="U387" s="4"/>
      <c r="V387" s="4"/>
      <c r="W387" s="4"/>
      <c r="X387" s="4"/>
      <c r="Y387" s="4"/>
      <c r="Z387" s="37"/>
    </row>
    <row r="388" spans="1:26">
      <c r="A388" s="53" t="s">
        <v>4585</v>
      </c>
      <c r="B388" s="30">
        <f>GotTok_Direkt!AI45</f>
        <v>0</v>
      </c>
      <c r="C388" s="39">
        <f>GotTok_Direkt!AP45</f>
        <v>0</v>
      </c>
      <c r="D388" s="4"/>
      <c r="E388" s="4"/>
      <c r="F388" s="4"/>
      <c r="G388" s="4"/>
      <c r="H388" s="4"/>
      <c r="I388" s="4"/>
      <c r="J388" s="4"/>
      <c r="K388" s="4"/>
      <c r="L388" s="4"/>
      <c r="M388" s="4"/>
      <c r="N388" s="4"/>
      <c r="O388" s="4"/>
      <c r="P388" s="4"/>
      <c r="Q388" s="4"/>
      <c r="R388" s="4"/>
      <c r="S388" s="4"/>
      <c r="T388" s="4"/>
      <c r="U388" s="4"/>
      <c r="V388" s="4"/>
      <c r="W388" s="4"/>
      <c r="X388" s="4"/>
      <c r="Y388" s="4"/>
      <c r="Z388" s="37"/>
    </row>
    <row r="389" spans="1:26">
      <c r="A389" s="53" t="s">
        <v>4586</v>
      </c>
      <c r="B389" s="30">
        <f>GotTok_Direkt!AI46</f>
        <v>0</v>
      </c>
      <c r="C389" s="39">
        <f>GotTok_Direkt!AP46</f>
        <v>0</v>
      </c>
      <c r="D389" s="4"/>
      <c r="E389" s="4"/>
      <c r="F389" s="4"/>
      <c r="G389" s="4"/>
      <c r="H389" s="4"/>
      <c r="I389" s="4"/>
      <c r="J389" s="4"/>
      <c r="K389" s="4"/>
      <c r="L389" s="4"/>
      <c r="M389" s="4"/>
      <c r="N389" s="4"/>
      <c r="O389" s="4"/>
      <c r="P389" s="4"/>
      <c r="Q389" s="4"/>
      <c r="R389" s="4"/>
      <c r="S389" s="4"/>
      <c r="T389" s="4"/>
      <c r="U389" s="4"/>
      <c r="V389" s="4"/>
      <c r="W389" s="4"/>
      <c r="X389" s="4"/>
      <c r="Y389" s="4"/>
      <c r="Z389" s="37"/>
    </row>
    <row r="390" spans="1:26">
      <c r="A390" s="53" t="s">
        <v>4587</v>
      </c>
      <c r="B390" s="30">
        <f>GotTok_Direkt!AI47</f>
        <v>0</v>
      </c>
      <c r="C390" s="39">
        <f>GotTok_Direkt!AP47</f>
        <v>0</v>
      </c>
      <c r="D390" s="4"/>
      <c r="E390" s="4"/>
      <c r="F390" s="4"/>
      <c r="G390" s="4"/>
      <c r="H390" s="4"/>
      <c r="I390" s="4"/>
      <c r="J390" s="4"/>
      <c r="K390" s="4"/>
      <c r="L390" s="4"/>
      <c r="M390" s="4"/>
      <c r="N390" s="4"/>
      <c r="O390" s="4"/>
      <c r="P390" s="4"/>
      <c r="Q390" s="4"/>
      <c r="R390" s="4"/>
      <c r="S390" s="4"/>
      <c r="T390" s="4"/>
      <c r="U390" s="4"/>
      <c r="V390" s="4"/>
      <c r="W390" s="4"/>
      <c r="X390" s="4"/>
      <c r="Y390" s="4"/>
      <c r="Z390" s="37"/>
    </row>
    <row r="391" spans="1:26">
      <c r="A391" s="53" t="s">
        <v>4588</v>
      </c>
      <c r="B391" s="30">
        <f>GotTok_Direkt!AI48</f>
        <v>0</v>
      </c>
      <c r="C391" s="39">
        <f>GotTok_Direkt!AP48</f>
        <v>0</v>
      </c>
      <c r="D391" s="4"/>
      <c r="E391" s="4"/>
      <c r="F391" s="4"/>
      <c r="G391" s="4"/>
      <c r="H391" s="4"/>
      <c r="I391" s="4"/>
      <c r="J391" s="4"/>
      <c r="K391" s="4"/>
      <c r="L391" s="4"/>
      <c r="M391" s="4"/>
      <c r="N391" s="4"/>
      <c r="O391" s="4"/>
      <c r="P391" s="4"/>
      <c r="Q391" s="4"/>
      <c r="R391" s="4"/>
      <c r="S391" s="4"/>
      <c r="T391" s="4"/>
      <c r="U391" s="4"/>
      <c r="V391" s="4"/>
      <c r="W391" s="4"/>
      <c r="X391" s="4"/>
      <c r="Y391" s="4"/>
      <c r="Z391" s="37"/>
    </row>
    <row r="392" spans="1:26">
      <c r="A392" s="53" t="s">
        <v>4589</v>
      </c>
      <c r="B392" s="30">
        <f>GotTok_Direkt!AI49</f>
        <v>0</v>
      </c>
      <c r="C392" s="39">
        <f>GotTok_Direkt!AP49</f>
        <v>0</v>
      </c>
      <c r="D392" s="4"/>
      <c r="E392" s="4"/>
      <c r="F392" s="4"/>
      <c r="G392" s="4"/>
      <c r="H392" s="4"/>
      <c r="I392" s="4"/>
      <c r="J392" s="4"/>
      <c r="K392" s="4"/>
      <c r="L392" s="4"/>
      <c r="M392" s="4"/>
      <c r="N392" s="4"/>
      <c r="O392" s="4"/>
      <c r="P392" s="4"/>
      <c r="Q392" s="4"/>
      <c r="R392" s="4"/>
      <c r="S392" s="4"/>
      <c r="T392" s="4"/>
      <c r="U392" s="4"/>
      <c r="V392" s="4"/>
      <c r="W392" s="4"/>
      <c r="X392" s="4"/>
      <c r="Y392" s="4"/>
      <c r="Z392" s="37"/>
    </row>
    <row r="393" spans="1:26">
      <c r="A393" s="53" t="s">
        <v>4590</v>
      </c>
      <c r="B393" s="30">
        <f>GotTok_Direkt!AI50</f>
        <v>0</v>
      </c>
      <c r="C393" s="39">
        <f>GotTok_Direkt!AP50</f>
        <v>0</v>
      </c>
      <c r="D393" s="4"/>
      <c r="E393" s="4"/>
      <c r="F393" s="4"/>
      <c r="G393" s="4"/>
      <c r="H393" s="4"/>
      <c r="I393" s="4"/>
      <c r="J393" s="4"/>
      <c r="K393" s="4"/>
      <c r="L393" s="4"/>
      <c r="M393" s="4"/>
      <c r="N393" s="4"/>
      <c r="O393" s="4"/>
      <c r="P393" s="4"/>
      <c r="Q393" s="4"/>
      <c r="R393" s="4"/>
      <c r="S393" s="4"/>
      <c r="T393" s="4"/>
      <c r="U393" s="4"/>
      <c r="V393" s="4"/>
      <c r="W393" s="4"/>
      <c r="X393" s="4"/>
      <c r="Y393" s="4"/>
      <c r="Z393" s="37"/>
    </row>
    <row r="394" spans="1:26">
      <c r="A394" s="53" t="s">
        <v>4591</v>
      </c>
      <c r="B394" s="30">
        <f>GotTok_Direkt!AI51</f>
        <v>0</v>
      </c>
      <c r="C394" s="39">
        <f>GotTok_Direkt!AP51</f>
        <v>0</v>
      </c>
      <c r="D394" s="4"/>
      <c r="E394" s="4"/>
      <c r="F394" s="4"/>
      <c r="G394" s="4"/>
      <c r="H394" s="4"/>
      <c r="I394" s="4"/>
      <c r="J394" s="4"/>
      <c r="K394" s="4"/>
      <c r="L394" s="4"/>
      <c r="M394" s="4"/>
      <c r="N394" s="4"/>
      <c r="O394" s="4"/>
      <c r="P394" s="4"/>
      <c r="Q394" s="4"/>
      <c r="R394" s="4"/>
      <c r="S394" s="4"/>
      <c r="T394" s="4"/>
      <c r="U394" s="4"/>
      <c r="V394" s="4"/>
      <c r="W394" s="4"/>
      <c r="X394" s="4"/>
      <c r="Y394" s="4"/>
      <c r="Z394" s="37"/>
    </row>
    <row r="395" spans="1:26">
      <c r="A395" s="53" t="s">
        <v>4592</v>
      </c>
      <c r="B395" s="30">
        <f>GotTok_Direkt!AI52</f>
        <v>0</v>
      </c>
      <c r="C395" s="39">
        <f>GotTok_Direkt!AP52</f>
        <v>0</v>
      </c>
      <c r="D395" s="4"/>
      <c r="E395" s="4"/>
      <c r="F395" s="4"/>
      <c r="G395" s="4"/>
      <c r="H395" s="4"/>
      <c r="I395" s="4"/>
      <c r="J395" s="4"/>
      <c r="K395" s="4"/>
      <c r="L395" s="4"/>
      <c r="M395" s="4"/>
      <c r="N395" s="4"/>
      <c r="O395" s="4"/>
      <c r="P395" s="4"/>
      <c r="Q395" s="4"/>
      <c r="R395" s="4"/>
      <c r="S395" s="4"/>
      <c r="T395" s="4"/>
      <c r="U395" s="4"/>
      <c r="V395" s="4"/>
      <c r="W395" s="4"/>
      <c r="X395" s="4"/>
      <c r="Y395" s="4"/>
      <c r="Z395" s="37"/>
    </row>
    <row r="396" spans="1:26">
      <c r="A396" s="53" t="s">
        <v>4593</v>
      </c>
      <c r="B396" s="30">
        <f>GotTok_Direkt!AI53</f>
        <v>0</v>
      </c>
      <c r="C396" s="39">
        <f>GotTok_Direkt!AP53</f>
        <v>0</v>
      </c>
      <c r="D396" s="4"/>
      <c r="E396" s="4"/>
      <c r="F396" s="4"/>
      <c r="G396" s="4"/>
      <c r="H396" s="4"/>
      <c r="I396" s="4"/>
      <c r="J396" s="4"/>
      <c r="K396" s="4"/>
      <c r="L396" s="4"/>
      <c r="M396" s="4"/>
      <c r="N396" s="4"/>
      <c r="O396" s="4"/>
      <c r="P396" s="4"/>
      <c r="Q396" s="4"/>
      <c r="R396" s="4"/>
      <c r="S396" s="4"/>
      <c r="T396" s="4"/>
      <c r="U396" s="4"/>
      <c r="V396" s="4"/>
      <c r="W396" s="4"/>
      <c r="X396" s="4"/>
      <c r="Y396" s="4"/>
      <c r="Z396" s="37"/>
    </row>
    <row r="397" spans="1:26">
      <c r="A397" s="53" t="s">
        <v>4594</v>
      </c>
      <c r="B397" s="30">
        <f>GotTok_Direkt!AI54</f>
        <v>0</v>
      </c>
      <c r="C397" s="39">
        <f>GotTok_Direkt!AP54</f>
        <v>0</v>
      </c>
      <c r="D397" s="4"/>
      <c r="E397" s="4"/>
      <c r="F397" s="4"/>
      <c r="G397" s="4"/>
      <c r="H397" s="4"/>
      <c r="I397" s="4"/>
      <c r="J397" s="4"/>
      <c r="K397" s="4"/>
      <c r="L397" s="4"/>
      <c r="M397" s="4"/>
      <c r="N397" s="4"/>
      <c r="O397" s="4"/>
      <c r="P397" s="4"/>
      <c r="Q397" s="4"/>
      <c r="R397" s="4"/>
      <c r="S397" s="4"/>
      <c r="T397" s="4"/>
      <c r="U397" s="4"/>
      <c r="V397" s="4"/>
      <c r="W397" s="4"/>
      <c r="X397" s="4"/>
      <c r="Y397" s="4"/>
      <c r="Z397" s="37"/>
    </row>
    <row r="398" spans="1:26">
      <c r="A398" s="53" t="s">
        <v>4595</v>
      </c>
      <c r="B398" s="30">
        <f>GotTok_Direkt!AI55</f>
        <v>0</v>
      </c>
      <c r="C398" s="39">
        <f>GotTok_Direkt!AP55</f>
        <v>0</v>
      </c>
      <c r="D398" s="4"/>
      <c r="E398" s="4"/>
      <c r="F398" s="4"/>
      <c r="G398" s="4"/>
      <c r="H398" s="4"/>
      <c r="I398" s="4"/>
      <c r="J398" s="4"/>
      <c r="K398" s="4"/>
      <c r="L398" s="4"/>
      <c r="M398" s="4"/>
      <c r="N398" s="4"/>
      <c r="O398" s="4"/>
      <c r="P398" s="4"/>
      <c r="Q398" s="4"/>
      <c r="R398" s="4"/>
      <c r="S398" s="4"/>
      <c r="T398" s="4"/>
      <c r="U398" s="4"/>
      <c r="V398" s="4"/>
      <c r="W398" s="4"/>
      <c r="X398" s="4"/>
      <c r="Y398" s="4"/>
      <c r="Z398" s="37"/>
    </row>
    <row r="399" spans="1:26">
      <c r="A399" s="53" t="s">
        <v>4596</v>
      </c>
      <c r="B399" s="30">
        <f>GotTok_Direkt!AI56</f>
        <v>0</v>
      </c>
      <c r="C399" s="39">
        <f>GotTok_Direkt!AP56</f>
        <v>0</v>
      </c>
      <c r="D399" s="4"/>
      <c r="E399" s="4"/>
      <c r="F399" s="4"/>
      <c r="G399" s="4"/>
      <c r="H399" s="4"/>
      <c r="I399" s="4"/>
      <c r="J399" s="4"/>
      <c r="K399" s="4"/>
      <c r="L399" s="4"/>
      <c r="M399" s="4"/>
      <c r="N399" s="4"/>
      <c r="O399" s="4"/>
      <c r="P399" s="4"/>
      <c r="Q399" s="4"/>
      <c r="R399" s="4"/>
      <c r="S399" s="4"/>
      <c r="T399" s="4"/>
      <c r="U399" s="4"/>
      <c r="V399" s="4"/>
      <c r="W399" s="4"/>
      <c r="X399" s="4"/>
      <c r="Y399" s="4"/>
      <c r="Z399" s="37"/>
    </row>
    <row r="400" spans="1:26">
      <c r="A400" s="53" t="s">
        <v>4597</v>
      </c>
      <c r="B400" s="30">
        <f>GotTok_Direkt!AI57</f>
        <v>0</v>
      </c>
      <c r="C400" s="39">
        <f>GotTok_Direkt!AP57</f>
        <v>0</v>
      </c>
      <c r="D400" s="4"/>
      <c r="E400" s="4"/>
      <c r="F400" s="4"/>
      <c r="G400" s="4"/>
      <c r="H400" s="4"/>
      <c r="I400" s="4"/>
      <c r="J400" s="4"/>
      <c r="K400" s="4"/>
      <c r="L400" s="4"/>
      <c r="M400" s="4"/>
      <c r="N400" s="4"/>
      <c r="O400" s="4"/>
      <c r="P400" s="4"/>
      <c r="Q400" s="4"/>
      <c r="R400" s="4"/>
      <c r="S400" s="4"/>
      <c r="T400" s="4"/>
      <c r="U400" s="4"/>
      <c r="V400" s="4"/>
      <c r="W400" s="4"/>
      <c r="X400" s="4"/>
      <c r="Y400" s="4"/>
      <c r="Z400" s="37"/>
    </row>
    <row r="401" spans="1:26">
      <c r="A401" s="53" t="s">
        <v>4598</v>
      </c>
      <c r="B401" s="30">
        <f>GotTok_Direkt!AI58</f>
        <v>0</v>
      </c>
      <c r="C401" s="39">
        <f>GotTok_Direkt!AP58</f>
        <v>0</v>
      </c>
      <c r="D401" s="4"/>
      <c r="E401" s="4"/>
      <c r="F401" s="4"/>
      <c r="G401" s="4"/>
      <c r="H401" s="4"/>
      <c r="I401" s="4"/>
      <c r="J401" s="4"/>
      <c r="K401" s="4"/>
      <c r="L401" s="4"/>
      <c r="M401" s="4"/>
      <c r="N401" s="4"/>
      <c r="O401" s="4"/>
      <c r="P401" s="4"/>
      <c r="Q401" s="4"/>
      <c r="R401" s="4"/>
      <c r="S401" s="4"/>
      <c r="T401" s="4"/>
      <c r="U401" s="4"/>
      <c r="V401" s="4"/>
      <c r="W401" s="4"/>
      <c r="X401" s="4"/>
      <c r="Y401" s="4"/>
      <c r="Z401" s="37"/>
    </row>
    <row r="402" spans="1:26">
      <c r="A402" s="53" t="s">
        <v>4599</v>
      </c>
      <c r="B402" s="30">
        <f>GotTok_Direkt!AI59</f>
        <v>0</v>
      </c>
      <c r="C402" s="39">
        <f>GotTok_Direkt!AP59</f>
        <v>0</v>
      </c>
      <c r="D402" s="4"/>
      <c r="E402" s="4"/>
      <c r="F402" s="4"/>
      <c r="G402" s="4"/>
      <c r="H402" s="4"/>
      <c r="I402" s="4"/>
      <c r="J402" s="4"/>
      <c r="K402" s="4"/>
      <c r="L402" s="4"/>
      <c r="M402" s="4"/>
      <c r="N402" s="4"/>
      <c r="O402" s="4"/>
      <c r="P402" s="4"/>
      <c r="Q402" s="4"/>
      <c r="R402" s="4"/>
      <c r="S402" s="4"/>
      <c r="T402" s="4"/>
      <c r="U402" s="4"/>
      <c r="V402" s="4"/>
      <c r="W402" s="4"/>
      <c r="X402" s="4"/>
      <c r="Y402" s="4"/>
      <c r="Z402" s="37"/>
    </row>
    <row r="403" spans="1:26">
      <c r="A403" s="53" t="s">
        <v>4600</v>
      </c>
      <c r="B403" s="30">
        <f>GotTok_Direkt!AI60</f>
        <v>0</v>
      </c>
      <c r="C403" s="39">
        <f>GotTok_Direkt!AP60</f>
        <v>0</v>
      </c>
      <c r="D403" s="4"/>
      <c r="E403" s="4"/>
      <c r="F403" s="4"/>
      <c r="G403" s="4"/>
      <c r="H403" s="4"/>
      <c r="I403" s="4"/>
      <c r="J403" s="4"/>
      <c r="K403" s="4"/>
      <c r="L403" s="4"/>
      <c r="M403" s="4"/>
      <c r="N403" s="4"/>
      <c r="O403" s="4"/>
      <c r="P403" s="4"/>
      <c r="Q403" s="4"/>
      <c r="R403" s="4"/>
      <c r="S403" s="4"/>
      <c r="T403" s="4"/>
      <c r="U403" s="4"/>
      <c r="V403" s="4"/>
      <c r="W403" s="4"/>
      <c r="X403" s="4"/>
      <c r="Y403" s="4"/>
      <c r="Z403" s="37"/>
    </row>
    <row r="404" spans="1:26">
      <c r="A404" s="53" t="s">
        <v>4601</v>
      </c>
      <c r="B404" s="30">
        <f>GotTok_Direkt!AI61</f>
        <v>0</v>
      </c>
      <c r="C404" s="39">
        <f>GotTok_Direkt!AP61</f>
        <v>0</v>
      </c>
      <c r="D404" s="4"/>
      <c r="E404" s="4"/>
      <c r="F404" s="4"/>
      <c r="G404" s="4"/>
      <c r="H404" s="4"/>
      <c r="I404" s="4"/>
      <c r="J404" s="4"/>
      <c r="K404" s="4"/>
      <c r="L404" s="4"/>
      <c r="M404" s="4"/>
      <c r="N404" s="4"/>
      <c r="O404" s="4"/>
      <c r="P404" s="4"/>
      <c r="Q404" s="4"/>
      <c r="R404" s="4"/>
      <c r="S404" s="4"/>
      <c r="T404" s="4"/>
      <c r="U404" s="4"/>
      <c r="V404" s="4"/>
      <c r="W404" s="4"/>
      <c r="X404" s="4"/>
      <c r="Y404" s="4"/>
      <c r="Z404" s="37"/>
    </row>
    <row r="405" spans="1:26">
      <c r="A405" s="53" t="s">
        <v>4602</v>
      </c>
      <c r="B405" s="30">
        <f>GotTok_Direkt!AI62</f>
        <v>0</v>
      </c>
      <c r="C405" s="39">
        <f>GotTok_Direkt!AP62</f>
        <v>0</v>
      </c>
      <c r="D405" s="4"/>
      <c r="E405" s="4"/>
      <c r="F405" s="4"/>
      <c r="G405" s="4"/>
      <c r="H405" s="4"/>
      <c r="I405" s="4"/>
      <c r="J405" s="4"/>
      <c r="K405" s="4"/>
      <c r="L405" s="4"/>
      <c r="M405" s="4"/>
      <c r="N405" s="4"/>
      <c r="O405" s="4"/>
      <c r="P405" s="4"/>
      <c r="Q405" s="4"/>
      <c r="R405" s="4"/>
      <c r="S405" s="4"/>
      <c r="T405" s="4"/>
      <c r="U405" s="4"/>
      <c r="V405" s="4"/>
      <c r="W405" s="4"/>
      <c r="X405" s="4"/>
      <c r="Y405" s="4"/>
      <c r="Z405" s="37"/>
    </row>
    <row r="406" spans="1:26">
      <c r="A406" s="53"/>
      <c r="B406" s="30">
        <f>GotTok_Direkt!AI63</f>
        <v>0</v>
      </c>
      <c r="C406" s="39">
        <f>GotTok_Direkt!AP63</f>
        <v>0</v>
      </c>
      <c r="D406" s="4"/>
      <c r="E406" s="4"/>
      <c r="F406" s="4"/>
      <c r="G406" s="4"/>
      <c r="H406" s="4"/>
      <c r="I406" s="4"/>
      <c r="J406" s="4"/>
      <c r="K406" s="4"/>
      <c r="L406" s="4"/>
      <c r="M406" s="4"/>
      <c r="N406" s="4"/>
      <c r="O406" s="4"/>
      <c r="P406" s="4"/>
      <c r="Q406" s="4"/>
      <c r="R406" s="4"/>
      <c r="S406" s="4"/>
      <c r="T406" s="4"/>
      <c r="U406" s="4"/>
      <c r="V406" s="4"/>
      <c r="W406" s="4"/>
      <c r="X406" s="4"/>
      <c r="Y406" s="4"/>
      <c r="Z406" s="37"/>
    </row>
    <row r="407" spans="1:26">
      <c r="A407" s="53" t="s">
        <v>4603</v>
      </c>
      <c r="B407" s="30">
        <f>GotTok_Direkt!AI64</f>
        <v>0</v>
      </c>
      <c r="C407" s="39">
        <f>GotTok_Direkt!AP64</f>
        <v>0</v>
      </c>
      <c r="D407" s="4"/>
      <c r="E407" s="4"/>
      <c r="F407" s="4"/>
      <c r="G407" s="4"/>
      <c r="H407" s="4"/>
      <c r="I407" s="4"/>
      <c r="J407" s="4"/>
      <c r="K407" s="4"/>
      <c r="L407" s="4"/>
      <c r="M407" s="4"/>
      <c r="N407" s="4"/>
      <c r="O407" s="4"/>
      <c r="P407" s="4"/>
      <c r="Q407" s="4"/>
      <c r="R407" s="4"/>
      <c r="S407" s="4"/>
      <c r="T407" s="4"/>
      <c r="U407" s="4"/>
      <c r="V407" s="4"/>
      <c r="W407" s="4"/>
      <c r="X407" s="4"/>
      <c r="Y407" s="4"/>
      <c r="Z407" s="37"/>
    </row>
    <row r="408" spans="1:26">
      <c r="A408" s="53" t="s">
        <v>4604</v>
      </c>
      <c r="B408" s="30">
        <f>GotTok_Direkt!AI65</f>
        <v>0</v>
      </c>
      <c r="C408" s="39">
        <f>GotTok_Direkt!AP65</f>
        <v>0</v>
      </c>
      <c r="D408" s="4"/>
      <c r="E408" s="4"/>
      <c r="F408" s="4"/>
      <c r="G408" s="4"/>
      <c r="H408" s="4"/>
      <c r="I408" s="4"/>
      <c r="J408" s="4"/>
      <c r="K408" s="4"/>
      <c r="L408" s="4"/>
      <c r="M408" s="4"/>
      <c r="N408" s="4"/>
      <c r="O408" s="4"/>
      <c r="P408" s="4"/>
      <c r="Q408" s="4"/>
      <c r="R408" s="4"/>
      <c r="S408" s="4"/>
      <c r="T408" s="4"/>
      <c r="U408" s="4"/>
      <c r="V408" s="4"/>
      <c r="W408" s="4"/>
      <c r="X408" s="4"/>
      <c r="Y408" s="4"/>
      <c r="Z408" s="37"/>
    </row>
    <row r="409" spans="1:26">
      <c r="A409" s="53" t="s">
        <v>4605</v>
      </c>
      <c r="B409" s="30">
        <f>GotTok_Direkt!AI66</f>
        <v>0</v>
      </c>
      <c r="C409" s="39">
        <f>GotTok_Direkt!AP66</f>
        <v>0</v>
      </c>
      <c r="D409" s="4"/>
      <c r="E409" s="4"/>
      <c r="F409" s="4"/>
      <c r="G409" s="4"/>
      <c r="H409" s="4"/>
      <c r="I409" s="4"/>
      <c r="J409" s="4"/>
      <c r="K409" s="4"/>
      <c r="L409" s="4"/>
      <c r="M409" s="4"/>
      <c r="N409" s="4"/>
      <c r="O409" s="4"/>
      <c r="P409" s="4"/>
      <c r="Q409" s="4"/>
      <c r="R409" s="4"/>
      <c r="S409" s="4"/>
      <c r="T409" s="4"/>
      <c r="U409" s="4"/>
      <c r="V409" s="4"/>
      <c r="W409" s="4"/>
      <c r="X409" s="4"/>
      <c r="Y409" s="4"/>
      <c r="Z409" s="37"/>
    </row>
    <row r="410" spans="1:26">
      <c r="A410" s="53" t="s">
        <v>4606</v>
      </c>
      <c r="B410" s="30">
        <f>GotTok_Direkt!AI67</f>
        <v>0</v>
      </c>
      <c r="C410" s="39">
        <f>GotTok_Direkt!AP67</f>
        <v>0</v>
      </c>
      <c r="D410" s="4"/>
      <c r="E410" s="4"/>
      <c r="F410" s="4"/>
      <c r="G410" s="4"/>
      <c r="H410" s="4"/>
      <c r="I410" s="4"/>
      <c r="J410" s="4"/>
      <c r="K410" s="4"/>
      <c r="L410" s="4"/>
      <c r="M410" s="4"/>
      <c r="N410" s="4"/>
      <c r="O410" s="4"/>
      <c r="P410" s="4"/>
      <c r="Q410" s="4"/>
      <c r="R410" s="4"/>
      <c r="S410" s="4"/>
      <c r="T410" s="4"/>
      <c r="U410" s="4"/>
      <c r="V410" s="4"/>
      <c r="W410" s="4"/>
      <c r="X410" s="4"/>
      <c r="Y410" s="4"/>
      <c r="Z410" s="37"/>
    </row>
    <row r="411" spans="1:26">
      <c r="A411" s="53" t="s">
        <v>4607</v>
      </c>
      <c r="B411" s="30">
        <f>GotTok_Direkt!AI68</f>
        <v>0</v>
      </c>
      <c r="C411" s="39">
        <f>GotTok_Direkt!AP68</f>
        <v>0</v>
      </c>
      <c r="D411" s="4"/>
      <c r="E411" s="4"/>
      <c r="F411" s="4"/>
      <c r="G411" s="4"/>
      <c r="H411" s="4"/>
      <c r="I411" s="4"/>
      <c r="J411" s="4"/>
      <c r="K411" s="4"/>
      <c r="L411" s="4"/>
      <c r="M411" s="4"/>
      <c r="N411" s="4"/>
      <c r="O411" s="4"/>
      <c r="P411" s="4"/>
      <c r="Q411" s="4"/>
      <c r="R411" s="4"/>
      <c r="S411" s="4"/>
      <c r="T411" s="4"/>
      <c r="U411" s="4"/>
      <c r="V411" s="4"/>
      <c r="W411" s="4"/>
      <c r="X411" s="4"/>
      <c r="Y411" s="4"/>
      <c r="Z411" s="37"/>
    </row>
    <row r="412" spans="1:26">
      <c r="A412" s="53" t="s">
        <v>4608</v>
      </c>
      <c r="B412" s="30">
        <f>GotTok_Direkt!AI69</f>
        <v>0</v>
      </c>
      <c r="C412" s="39">
        <f>GotTok_Direkt!AP69</f>
        <v>0</v>
      </c>
      <c r="D412" s="4"/>
      <c r="E412" s="4"/>
      <c r="F412" s="4"/>
      <c r="G412" s="4"/>
      <c r="H412" s="4"/>
      <c r="I412" s="4"/>
      <c r="J412" s="4"/>
      <c r="K412" s="4"/>
      <c r="L412" s="4"/>
      <c r="M412" s="4"/>
      <c r="N412" s="4"/>
      <c r="O412" s="4"/>
      <c r="P412" s="4"/>
      <c r="Q412" s="4"/>
      <c r="R412" s="4"/>
      <c r="S412" s="4"/>
      <c r="T412" s="4"/>
      <c r="U412" s="4"/>
      <c r="V412" s="4"/>
      <c r="W412" s="4"/>
      <c r="X412" s="4"/>
      <c r="Y412" s="4"/>
      <c r="Z412" s="37"/>
    </row>
    <row r="413" spans="1:26">
      <c r="A413" s="53" t="s">
        <v>4609</v>
      </c>
      <c r="B413" s="30">
        <f>GotTok_Direkt!AI70</f>
        <v>0</v>
      </c>
      <c r="C413" s="39">
        <f>GotTok_Direkt!AP70</f>
        <v>0</v>
      </c>
      <c r="D413" s="4"/>
      <c r="E413" s="4"/>
      <c r="F413" s="4"/>
      <c r="G413" s="4"/>
      <c r="H413" s="4"/>
      <c r="I413" s="4"/>
      <c r="J413" s="4"/>
      <c r="K413" s="4"/>
      <c r="L413" s="4"/>
      <c r="M413" s="4"/>
      <c r="N413" s="4"/>
      <c r="O413" s="4"/>
      <c r="P413" s="4"/>
      <c r="Q413" s="4"/>
      <c r="R413" s="4"/>
      <c r="S413" s="4"/>
      <c r="T413" s="4"/>
      <c r="U413" s="4"/>
      <c r="V413" s="4"/>
      <c r="W413" s="4"/>
      <c r="X413" s="4"/>
      <c r="Y413" s="4"/>
      <c r="Z413" s="37"/>
    </row>
    <row r="414" spans="1:26">
      <c r="A414" s="53" t="s">
        <v>4610</v>
      </c>
      <c r="B414" s="30">
        <f>GotTok_Direkt!AI76</f>
        <v>0</v>
      </c>
      <c r="C414" s="39">
        <f>GotTok_Direkt!AP76</f>
        <v>0</v>
      </c>
      <c r="D414" s="4"/>
      <c r="E414" s="4"/>
      <c r="F414" s="4"/>
      <c r="G414" s="4"/>
      <c r="H414" s="4"/>
      <c r="I414" s="4"/>
      <c r="J414" s="4"/>
      <c r="K414" s="4"/>
      <c r="L414" s="4"/>
      <c r="M414" s="4"/>
      <c r="N414" s="4"/>
      <c r="O414" s="4"/>
      <c r="P414" s="4"/>
      <c r="Q414" s="4"/>
      <c r="R414" s="4"/>
      <c r="S414" s="4"/>
      <c r="T414" s="4"/>
      <c r="U414" s="4"/>
      <c r="V414" s="4"/>
      <c r="W414" s="4"/>
      <c r="X414" s="4"/>
      <c r="Y414" s="4"/>
      <c r="Z414" s="37"/>
    </row>
    <row r="415" spans="1:26">
      <c r="A415" s="53" t="s">
        <v>4611</v>
      </c>
      <c r="B415" s="30">
        <f>GotTok_Direkt!AI77</f>
        <v>0</v>
      </c>
      <c r="C415" s="39">
        <f>GotTok_Direkt!AP77</f>
        <v>0</v>
      </c>
      <c r="D415" s="4"/>
      <c r="E415" s="4"/>
      <c r="F415" s="4"/>
      <c r="G415" s="4"/>
      <c r="H415" s="4"/>
      <c r="I415" s="4"/>
      <c r="J415" s="4"/>
      <c r="K415" s="4"/>
      <c r="L415" s="4"/>
      <c r="M415" s="4"/>
      <c r="N415" s="4"/>
      <c r="O415" s="4"/>
      <c r="P415" s="4"/>
      <c r="Q415" s="4"/>
      <c r="R415" s="4"/>
      <c r="S415" s="4"/>
      <c r="T415" s="4"/>
      <c r="U415" s="4"/>
      <c r="V415" s="4"/>
      <c r="W415" s="4"/>
      <c r="X415" s="4"/>
      <c r="Y415" s="4"/>
      <c r="Z415" s="37"/>
    </row>
    <row r="416" spans="1:26">
      <c r="A416" s="53" t="s">
        <v>4612</v>
      </c>
      <c r="B416" s="30">
        <f>GotTok_Direkt!AI78</f>
        <v>0</v>
      </c>
      <c r="C416" s="39">
        <f>GotTok_Direkt!AP78</f>
        <v>0</v>
      </c>
      <c r="D416" s="4"/>
      <c r="E416" s="4"/>
      <c r="F416" s="4"/>
      <c r="G416" s="4"/>
      <c r="H416" s="4"/>
      <c r="I416" s="4"/>
      <c r="J416" s="4"/>
      <c r="K416" s="4"/>
      <c r="L416" s="4"/>
      <c r="M416" s="4"/>
      <c r="N416" s="4"/>
      <c r="O416" s="4"/>
      <c r="P416" s="4"/>
      <c r="Q416" s="4"/>
      <c r="R416" s="4"/>
      <c r="S416" s="4"/>
      <c r="T416" s="4"/>
      <c r="U416" s="4"/>
      <c r="V416" s="4"/>
      <c r="W416" s="4"/>
      <c r="X416" s="4"/>
      <c r="Y416" s="4"/>
      <c r="Z416" s="37"/>
    </row>
    <row r="417" spans="1:26">
      <c r="A417" s="53" t="s">
        <v>4613</v>
      </c>
      <c r="B417" s="30">
        <f>GotTok_Direkt!AI79</f>
        <v>0</v>
      </c>
      <c r="C417" s="39">
        <f>GotTok_Direkt!AP79</f>
        <v>0</v>
      </c>
      <c r="D417" s="4"/>
      <c r="E417" s="4"/>
      <c r="F417" s="4"/>
      <c r="G417" s="4"/>
      <c r="H417" s="4"/>
      <c r="I417" s="4"/>
      <c r="J417" s="4"/>
      <c r="K417" s="4"/>
      <c r="L417" s="4"/>
      <c r="M417" s="4"/>
      <c r="N417" s="4"/>
      <c r="O417" s="4"/>
      <c r="P417" s="4"/>
      <c r="Q417" s="4"/>
      <c r="R417" s="4"/>
      <c r="S417" s="4"/>
      <c r="T417" s="4"/>
      <c r="U417" s="4"/>
      <c r="V417" s="4"/>
      <c r="W417" s="4"/>
      <c r="X417" s="4"/>
      <c r="Y417" s="4"/>
      <c r="Z417" s="37"/>
    </row>
    <row r="418" spans="1:26">
      <c r="A418" s="53" t="s">
        <v>4614</v>
      </c>
      <c r="B418" s="30">
        <f>GotTok_Direkt!AI80</f>
        <v>2280</v>
      </c>
      <c r="C418" s="39">
        <f>GotTok_Direkt!AP80</f>
        <v>0</v>
      </c>
      <c r="D418" s="4"/>
      <c r="E418" s="4"/>
      <c r="F418" s="4"/>
      <c r="G418" s="4"/>
      <c r="H418" s="4"/>
      <c r="I418" s="4"/>
      <c r="J418" s="4"/>
      <c r="K418" s="4"/>
      <c r="L418" s="4"/>
      <c r="M418" s="4"/>
      <c r="N418" s="4"/>
      <c r="O418" s="4"/>
      <c r="P418" s="4"/>
      <c r="Q418" s="4"/>
      <c r="R418" s="4"/>
      <c r="S418" s="4"/>
      <c r="T418" s="4"/>
      <c r="U418" s="4"/>
      <c r="V418" s="4"/>
      <c r="W418" s="4"/>
      <c r="X418" s="4"/>
      <c r="Y418" s="4"/>
      <c r="Z418" s="37"/>
    </row>
    <row r="419" spans="1:26">
      <c r="A419" s="53" t="s">
        <v>4615</v>
      </c>
      <c r="B419" s="30">
        <f>GotTok_Direkt!AI81</f>
        <v>0</v>
      </c>
      <c r="C419" s="39">
        <f>GotTok_Direkt!AP81</f>
        <v>0</v>
      </c>
      <c r="D419" s="4"/>
      <c r="E419" s="4"/>
      <c r="F419" s="4"/>
      <c r="G419" s="4"/>
      <c r="H419" s="4"/>
      <c r="I419" s="4"/>
      <c r="J419" s="4"/>
      <c r="K419" s="4"/>
      <c r="L419" s="4"/>
      <c r="M419" s="4"/>
      <c r="N419" s="4"/>
      <c r="O419" s="4"/>
      <c r="P419" s="4"/>
      <c r="Q419" s="4"/>
      <c r="R419" s="4"/>
      <c r="S419" s="4"/>
      <c r="T419" s="4"/>
      <c r="U419" s="4"/>
      <c r="V419" s="4"/>
      <c r="W419" s="4"/>
      <c r="X419" s="4"/>
      <c r="Y419" s="4"/>
      <c r="Z419" s="37"/>
    </row>
    <row r="420" spans="1:26">
      <c r="A420" s="53" t="s">
        <v>4616</v>
      </c>
      <c r="B420" s="30">
        <f>GotTok_Direkt!AI82</f>
        <v>2280</v>
      </c>
      <c r="C420" s="39">
        <f>GotTok_Direkt!AP82</f>
        <v>0</v>
      </c>
      <c r="D420" s="4"/>
      <c r="E420" s="4"/>
      <c r="F420" s="4"/>
      <c r="G420" s="4"/>
      <c r="H420" s="4"/>
      <c r="I420" s="4"/>
      <c r="J420" s="4"/>
      <c r="K420" s="4"/>
      <c r="L420" s="4"/>
      <c r="M420" s="4"/>
      <c r="N420" s="4"/>
      <c r="O420" s="4"/>
      <c r="P420" s="4"/>
      <c r="Q420" s="4"/>
      <c r="R420" s="4"/>
      <c r="S420" s="4"/>
      <c r="T420" s="4"/>
      <c r="U420" s="4"/>
      <c r="V420" s="4"/>
      <c r="W420" s="4"/>
      <c r="X420" s="4"/>
      <c r="Y420" s="4"/>
      <c r="Z420" s="37"/>
    </row>
    <row r="421" spans="1:26">
      <c r="A421" s="53" t="s">
        <v>4617</v>
      </c>
      <c r="B421" s="30">
        <f>GotTok_Direkt!AI83</f>
        <v>2280</v>
      </c>
      <c r="C421" s="39">
        <f>GotTok_Direkt!AP83</f>
        <v>0</v>
      </c>
      <c r="D421" s="4"/>
      <c r="E421" s="4"/>
      <c r="F421" s="4"/>
      <c r="G421" s="4"/>
      <c r="H421" s="4"/>
      <c r="I421" s="4"/>
      <c r="J421" s="4"/>
      <c r="K421" s="4"/>
      <c r="L421" s="4"/>
      <c r="M421" s="4"/>
      <c r="N421" s="4"/>
      <c r="O421" s="4"/>
      <c r="P421" s="4"/>
      <c r="Q421" s="4"/>
      <c r="R421" s="4"/>
      <c r="S421" s="4"/>
      <c r="T421" s="4"/>
      <c r="U421" s="4"/>
      <c r="V421" s="4"/>
      <c r="W421" s="4"/>
      <c r="X421" s="4"/>
      <c r="Y421" s="4"/>
      <c r="Z421" s="37"/>
    </row>
    <row r="422" spans="1:26">
      <c r="A422" s="53" t="s">
        <v>4618</v>
      </c>
      <c r="B422" s="30">
        <f>GotTok_Direkt!AI84</f>
        <v>47</v>
      </c>
      <c r="C422" s="39">
        <f>GotTok_Direkt!AP84</f>
        <v>0</v>
      </c>
      <c r="D422" s="4"/>
      <c r="E422" s="4"/>
      <c r="F422" s="4"/>
      <c r="G422" s="4"/>
      <c r="H422" s="4"/>
      <c r="I422" s="4"/>
      <c r="J422" s="4"/>
      <c r="K422" s="4"/>
      <c r="L422" s="4"/>
      <c r="M422" s="4"/>
      <c r="N422" s="4"/>
      <c r="O422" s="4"/>
      <c r="P422" s="4"/>
      <c r="Q422" s="4"/>
      <c r="R422" s="4"/>
      <c r="S422" s="4"/>
      <c r="T422" s="4"/>
      <c r="U422" s="4"/>
      <c r="V422" s="4"/>
      <c r="W422" s="4"/>
      <c r="X422" s="4"/>
      <c r="Y422" s="4"/>
      <c r="Z422" s="37"/>
    </row>
    <row r="423" spans="1:26">
      <c r="A423" s="53" t="s">
        <v>4619</v>
      </c>
      <c r="B423" s="30">
        <f>GotTok_Direkt!AI85</f>
        <v>0</v>
      </c>
      <c r="C423" s="39">
        <f>GotTok_Direkt!AP85</f>
        <v>0</v>
      </c>
      <c r="D423" s="4"/>
      <c r="E423" s="4"/>
      <c r="F423" s="4"/>
      <c r="G423" s="4"/>
      <c r="H423" s="4"/>
      <c r="I423" s="4"/>
      <c r="J423" s="4"/>
      <c r="K423" s="4"/>
      <c r="L423" s="4"/>
      <c r="M423" s="4"/>
      <c r="N423" s="4"/>
      <c r="O423" s="4"/>
      <c r="P423" s="4"/>
      <c r="Q423" s="4"/>
      <c r="R423" s="4"/>
      <c r="S423" s="4"/>
      <c r="T423" s="4"/>
      <c r="U423" s="4"/>
      <c r="V423" s="4"/>
      <c r="W423" s="4"/>
      <c r="X423" s="4"/>
      <c r="Y423" s="4"/>
      <c r="Z423" s="37"/>
    </row>
    <row r="424" spans="1:26">
      <c r="A424" s="53" t="s">
        <v>4620</v>
      </c>
      <c r="B424" s="30">
        <f>GotTok_Direkt!AI86</f>
        <v>2327</v>
      </c>
      <c r="C424" s="39">
        <f>GotTok_Direkt!AP86</f>
        <v>0</v>
      </c>
      <c r="D424" s="4"/>
      <c r="E424" s="4"/>
      <c r="F424" s="4"/>
      <c r="G424" s="4"/>
      <c r="H424" s="4"/>
      <c r="I424" s="4"/>
      <c r="J424" s="4"/>
      <c r="K424" s="4"/>
      <c r="L424" s="4"/>
      <c r="M424" s="4"/>
      <c r="N424" s="4"/>
      <c r="O424" s="4"/>
      <c r="P424" s="4"/>
      <c r="Q424" s="4"/>
      <c r="R424" s="4"/>
      <c r="S424" s="4"/>
      <c r="T424" s="4"/>
      <c r="U424" s="4"/>
      <c r="V424" s="4"/>
      <c r="W424" s="4"/>
      <c r="X424" s="4"/>
      <c r="Y424" s="4"/>
      <c r="Z424" s="37"/>
    </row>
    <row r="425" spans="1:26">
      <c r="A425" s="4"/>
      <c r="B425" s="86">
        <f>GotTok_Direkt!AI87</f>
        <v>0</v>
      </c>
      <c r="C425" s="86">
        <f>GotTok_Direkt!AP87</f>
        <v>0</v>
      </c>
      <c r="D425" s="4"/>
      <c r="E425" s="4"/>
      <c r="F425" s="4"/>
      <c r="G425" s="4"/>
      <c r="H425" s="4"/>
      <c r="I425" s="4"/>
      <c r="J425" s="4"/>
      <c r="K425" s="4"/>
      <c r="L425" s="4"/>
      <c r="M425" s="4"/>
      <c r="N425" s="4"/>
      <c r="O425" s="4"/>
      <c r="P425" s="4"/>
      <c r="Q425" s="4"/>
      <c r="R425" s="4"/>
      <c r="S425" s="4"/>
      <c r="T425" s="4"/>
      <c r="U425" s="4"/>
      <c r="V425" s="4"/>
      <c r="W425" s="4"/>
      <c r="X425" s="4"/>
      <c r="Y425" s="4"/>
      <c r="Z425" s="37"/>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37"/>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37"/>
    </row>
    <row r="428" ht="23.25" customHeight="1" spans="1:26">
      <c r="A428" s="7"/>
      <c r="B428" s="7" t="str">
        <f>"GOTOVINSKI TOKOVI indirektna metoda - "&amp;Firma&amp;"_"&amp;UnosPod!$O$6&amp;UnosPod!$P$6&amp;"."&amp;UnosPod!$Q$6&amp;"_"&amp;IdBroj</f>
        <v>GOTOVINSKI TOKOVI indirektna metoda - LILIUM ASSET MANAGEMENT d.o.o. Sarajevo_12.2025_4201337670009</v>
      </c>
      <c r="C428" s="8"/>
      <c r="D428" s="8"/>
      <c r="E428" s="9"/>
      <c r="F428" s="9"/>
      <c r="G428" s="9"/>
      <c r="H428" s="8"/>
      <c r="I428" s="8"/>
      <c r="J428" s="8"/>
      <c r="K428" s="8"/>
      <c r="L428" s="8"/>
      <c r="M428" s="8"/>
      <c r="N428" s="8"/>
      <c r="O428" s="8"/>
      <c r="P428" s="8"/>
      <c r="Q428" s="8"/>
      <c r="R428" s="8"/>
      <c r="S428" s="8"/>
      <c r="T428" s="8"/>
      <c r="U428" s="8"/>
      <c r="V428" s="8"/>
      <c r="W428" s="8"/>
      <c r="X428" s="8"/>
      <c r="Y428" s="8"/>
      <c r="Z428" s="59"/>
    </row>
    <row r="429" ht="20.25" customHeight="1" spans="1:26">
      <c r="A429" s="60" t="s">
        <v>2438</v>
      </c>
      <c r="B429" s="77" t="str">
        <f ca="1">"kolona 6 -"&amp;PoslGod</f>
        <v>kolona 6 -2025</v>
      </c>
      <c r="C429" s="76" t="str">
        <f ca="1">"kolona 7 -"&amp;PoslGod-1</f>
        <v>kolona 7 -2024</v>
      </c>
      <c r="D429" s="4"/>
      <c r="E429" s="4"/>
      <c r="F429" s="4"/>
      <c r="G429" s="4"/>
      <c r="H429" s="4"/>
      <c r="I429" s="4"/>
      <c r="J429" s="4"/>
      <c r="K429" s="4"/>
      <c r="L429" s="4"/>
      <c r="M429" s="4"/>
      <c r="N429" s="4"/>
      <c r="O429" s="4"/>
      <c r="P429" s="4"/>
      <c r="Q429" s="4"/>
      <c r="R429" s="4"/>
      <c r="S429" s="4"/>
      <c r="T429" s="4"/>
      <c r="U429" s="4"/>
      <c r="V429" s="4"/>
      <c r="W429" s="4"/>
      <c r="X429" s="4"/>
      <c r="Y429" s="4"/>
      <c r="Z429" s="37"/>
    </row>
    <row r="430" spans="1:26">
      <c r="A430" s="53" t="s">
        <v>3414</v>
      </c>
      <c r="B430" s="30">
        <f>GotTok_Indirekt!AI21</f>
        <v>-59197</v>
      </c>
      <c r="C430" s="39">
        <f>GotTok_Indirekt!AP21</f>
        <v>99242</v>
      </c>
      <c r="D430" s="4"/>
      <c r="E430" s="4"/>
      <c r="F430" s="4"/>
      <c r="G430" s="4"/>
      <c r="H430" s="4"/>
      <c r="I430" s="4"/>
      <c r="J430" s="4"/>
      <c r="K430" s="4"/>
      <c r="L430" s="4"/>
      <c r="M430" s="4"/>
      <c r="N430" s="4"/>
      <c r="O430" s="4"/>
      <c r="P430" s="4"/>
      <c r="Q430" s="4"/>
      <c r="R430" s="4"/>
      <c r="S430" s="4"/>
      <c r="T430" s="4"/>
      <c r="U430" s="4"/>
      <c r="V430" s="4"/>
      <c r="W430" s="4"/>
      <c r="X430" s="4"/>
      <c r="Y430" s="4"/>
      <c r="Z430" s="37"/>
    </row>
    <row r="431" spans="1:26">
      <c r="A431" s="53"/>
      <c r="B431" s="30">
        <f>GotTok_Indirekt!AI22</f>
        <v>0</v>
      </c>
      <c r="C431" s="39">
        <f>GotTok_Indirekt!AP22</f>
        <v>0</v>
      </c>
      <c r="D431" s="4"/>
      <c r="E431" s="4"/>
      <c r="F431" s="4"/>
      <c r="G431" s="4"/>
      <c r="H431" s="4"/>
      <c r="I431" s="4"/>
      <c r="J431" s="4"/>
      <c r="K431" s="4"/>
      <c r="L431" s="4"/>
      <c r="M431" s="4"/>
      <c r="N431" s="4"/>
      <c r="O431" s="4"/>
      <c r="P431" s="4"/>
      <c r="Q431" s="4"/>
      <c r="R431" s="4"/>
      <c r="S431" s="4"/>
      <c r="T431" s="4"/>
      <c r="U431" s="4"/>
      <c r="V431" s="4"/>
      <c r="W431" s="4"/>
      <c r="X431" s="4"/>
      <c r="Y431" s="4"/>
      <c r="Z431" s="37"/>
    </row>
    <row r="432" spans="1:26">
      <c r="A432" s="53" t="s">
        <v>3419</v>
      </c>
      <c r="B432" s="30">
        <f>GotTok_Indirekt!AI23</f>
        <v>4549</v>
      </c>
      <c r="C432" s="39">
        <f>GotTok_Indirekt!AP23</f>
        <v>5172</v>
      </c>
      <c r="D432" s="4"/>
      <c r="E432" s="4"/>
      <c r="F432" s="4"/>
      <c r="G432" s="4"/>
      <c r="H432" s="4"/>
      <c r="I432" s="4"/>
      <c r="J432" s="4"/>
      <c r="K432" s="4"/>
      <c r="L432" s="4"/>
      <c r="M432" s="4"/>
      <c r="N432" s="4"/>
      <c r="O432" s="4"/>
      <c r="P432" s="4"/>
      <c r="Q432" s="4"/>
      <c r="R432" s="4"/>
      <c r="S432" s="4"/>
      <c r="T432" s="4"/>
      <c r="U432" s="4"/>
      <c r="V432" s="4"/>
      <c r="W432" s="4"/>
      <c r="X432" s="4"/>
      <c r="Y432" s="4"/>
      <c r="Z432" s="37"/>
    </row>
    <row r="433" spans="1:26">
      <c r="A433" s="53" t="s">
        <v>3420</v>
      </c>
      <c r="B433" s="30">
        <f>GotTok_Indirekt!AI24</f>
        <v>0</v>
      </c>
      <c r="C433" s="39">
        <f>GotTok_Indirekt!AP24</f>
        <v>0</v>
      </c>
      <c r="D433" s="4"/>
      <c r="E433" s="4"/>
      <c r="F433" s="4"/>
      <c r="G433" s="4"/>
      <c r="H433" s="4"/>
      <c r="I433" s="4"/>
      <c r="J433" s="4"/>
      <c r="K433" s="4"/>
      <c r="L433" s="4"/>
      <c r="M433" s="4"/>
      <c r="N433" s="4"/>
      <c r="O433" s="4"/>
      <c r="P433" s="4"/>
      <c r="Q433" s="4"/>
      <c r="R433" s="4"/>
      <c r="S433" s="4"/>
      <c r="T433" s="4"/>
      <c r="U433" s="4"/>
      <c r="V433" s="4"/>
      <c r="W433" s="4"/>
      <c r="X433" s="4"/>
      <c r="Y433" s="4"/>
      <c r="Z433" s="37"/>
    </row>
    <row r="434" spans="1:26">
      <c r="A434" s="53" t="s">
        <v>3423</v>
      </c>
      <c r="B434" s="30">
        <f>GotTok_Indirekt!AI25</f>
        <v>0</v>
      </c>
      <c r="C434" s="39">
        <f>GotTok_Indirekt!AP25</f>
        <v>0</v>
      </c>
      <c r="D434" s="4"/>
      <c r="E434" s="4"/>
      <c r="F434" s="4"/>
      <c r="G434" s="4"/>
      <c r="H434" s="4"/>
      <c r="I434" s="4"/>
      <c r="J434" s="4"/>
      <c r="K434" s="4"/>
      <c r="L434" s="4"/>
      <c r="M434" s="4"/>
      <c r="N434" s="4"/>
      <c r="O434" s="4"/>
      <c r="P434" s="4"/>
      <c r="Q434" s="4"/>
      <c r="R434" s="4"/>
      <c r="S434" s="4"/>
      <c r="T434" s="4"/>
      <c r="U434" s="4"/>
      <c r="V434" s="4"/>
      <c r="W434" s="4"/>
      <c r="X434" s="4"/>
      <c r="Y434" s="4"/>
      <c r="Z434" s="37"/>
    </row>
    <row r="435" spans="1:26">
      <c r="A435" s="53" t="s">
        <v>3426</v>
      </c>
      <c r="B435" s="30">
        <f>GotTok_Indirekt!AI26</f>
        <v>0</v>
      </c>
      <c r="C435" s="39">
        <f>GotTok_Indirekt!AP26</f>
        <v>0</v>
      </c>
      <c r="D435" s="4"/>
      <c r="E435" s="4"/>
      <c r="F435" s="4"/>
      <c r="G435" s="4"/>
      <c r="H435" s="4"/>
      <c r="I435" s="4"/>
      <c r="J435" s="4"/>
      <c r="K435" s="4"/>
      <c r="L435" s="4"/>
      <c r="M435" s="4"/>
      <c r="N435" s="4"/>
      <c r="O435" s="4"/>
      <c r="P435" s="4"/>
      <c r="Q435" s="4"/>
      <c r="R435" s="4"/>
      <c r="S435" s="4"/>
      <c r="T435" s="4"/>
      <c r="U435" s="4"/>
      <c r="V435" s="4"/>
      <c r="W435" s="4"/>
      <c r="X435" s="4"/>
      <c r="Y435" s="4"/>
      <c r="Z435" s="37"/>
    </row>
    <row r="436" spans="1:26">
      <c r="A436" s="53" t="s">
        <v>3429</v>
      </c>
      <c r="B436" s="30">
        <f>GotTok_Indirekt!AI27</f>
        <v>0</v>
      </c>
      <c r="C436" s="39">
        <f>GotTok_Indirekt!AP27</f>
        <v>0</v>
      </c>
      <c r="D436" s="4"/>
      <c r="E436" s="4"/>
      <c r="F436" s="4"/>
      <c r="G436" s="4"/>
      <c r="H436" s="4"/>
      <c r="I436" s="4"/>
      <c r="J436" s="4"/>
      <c r="K436" s="4"/>
      <c r="L436" s="4"/>
      <c r="M436" s="4"/>
      <c r="N436" s="4"/>
      <c r="O436" s="4"/>
      <c r="P436" s="4"/>
      <c r="Q436" s="4"/>
      <c r="R436" s="4"/>
      <c r="S436" s="4"/>
      <c r="T436" s="4"/>
      <c r="U436" s="4"/>
      <c r="V436" s="4"/>
      <c r="W436" s="4"/>
      <c r="X436" s="4"/>
      <c r="Y436" s="4"/>
      <c r="Z436" s="37"/>
    </row>
    <row r="437" spans="1:26">
      <c r="A437" s="53" t="s">
        <v>3432</v>
      </c>
      <c r="B437" s="30">
        <f>GotTok_Indirekt!AI28</f>
        <v>0</v>
      </c>
      <c r="C437" s="39">
        <f>GotTok_Indirekt!AP28</f>
        <v>0</v>
      </c>
      <c r="D437" s="4"/>
      <c r="E437" s="4"/>
      <c r="F437" s="4"/>
      <c r="G437" s="4"/>
      <c r="H437" s="4"/>
      <c r="I437" s="4"/>
      <c r="J437" s="4"/>
      <c r="K437" s="4"/>
      <c r="L437" s="4"/>
      <c r="M437" s="4"/>
      <c r="N437" s="4"/>
      <c r="O437" s="4"/>
      <c r="P437" s="4"/>
      <c r="Q437" s="4"/>
      <c r="R437" s="4"/>
      <c r="S437" s="4"/>
      <c r="T437" s="4"/>
      <c r="U437" s="4"/>
      <c r="V437" s="4"/>
      <c r="W437" s="4"/>
      <c r="X437" s="4"/>
      <c r="Y437" s="4"/>
      <c r="Z437" s="37"/>
    </row>
    <row r="438" spans="1:26">
      <c r="A438" s="53" t="s">
        <v>3435</v>
      </c>
      <c r="B438" s="30">
        <f>GotTok_Indirekt!AI29</f>
        <v>0</v>
      </c>
      <c r="C438" s="39">
        <f>GotTok_Indirekt!AP29</f>
        <v>0</v>
      </c>
      <c r="D438" s="4"/>
      <c r="E438" s="4"/>
      <c r="F438" s="4"/>
      <c r="G438" s="4"/>
      <c r="H438" s="4"/>
      <c r="I438" s="4"/>
      <c r="J438" s="4"/>
      <c r="K438" s="4"/>
      <c r="L438" s="4"/>
      <c r="M438" s="4"/>
      <c r="N438" s="4"/>
      <c r="O438" s="4"/>
      <c r="P438" s="4"/>
      <c r="Q438" s="4"/>
      <c r="R438" s="4"/>
      <c r="S438" s="4"/>
      <c r="T438" s="4"/>
      <c r="U438" s="4"/>
      <c r="V438" s="4"/>
      <c r="W438" s="4"/>
      <c r="X438" s="4"/>
      <c r="Y438" s="4"/>
      <c r="Z438" s="37"/>
    </row>
    <row r="439" spans="1:26">
      <c r="A439" s="53" t="s">
        <v>3438</v>
      </c>
      <c r="B439" s="30">
        <f>GotTok_Indirekt!AI30</f>
        <v>0</v>
      </c>
      <c r="C439" s="39">
        <f>GotTok_Indirekt!AP30</f>
        <v>0</v>
      </c>
      <c r="D439" s="4"/>
      <c r="E439" s="4"/>
      <c r="F439" s="4"/>
      <c r="G439" s="4"/>
      <c r="H439" s="4"/>
      <c r="I439" s="4"/>
      <c r="J439" s="4"/>
      <c r="K439" s="4"/>
      <c r="L439" s="4"/>
      <c r="M439" s="4"/>
      <c r="N439" s="4"/>
      <c r="O439" s="4"/>
      <c r="P439" s="4"/>
      <c r="Q439" s="4"/>
      <c r="R439" s="4"/>
      <c r="S439" s="4"/>
      <c r="T439" s="4"/>
      <c r="U439" s="4"/>
      <c r="V439" s="4"/>
      <c r="W439" s="4"/>
      <c r="X439" s="4"/>
      <c r="Y439" s="4"/>
      <c r="Z439" s="37"/>
    </row>
    <row r="440" spans="1:26">
      <c r="A440" s="53" t="s">
        <v>3441</v>
      </c>
      <c r="B440" s="30">
        <f>GotTok_Indirekt!AI31</f>
        <v>0</v>
      </c>
      <c r="C440" s="39">
        <f>GotTok_Indirekt!AP31</f>
        <v>0</v>
      </c>
      <c r="D440" s="4"/>
      <c r="E440" s="4"/>
      <c r="F440" s="4"/>
      <c r="G440" s="4"/>
      <c r="H440" s="4"/>
      <c r="I440" s="4"/>
      <c r="J440" s="4"/>
      <c r="K440" s="4"/>
      <c r="L440" s="4"/>
      <c r="M440" s="4"/>
      <c r="N440" s="4"/>
      <c r="O440" s="4"/>
      <c r="P440" s="4"/>
      <c r="Q440" s="4"/>
      <c r="R440" s="4"/>
      <c r="S440" s="4"/>
      <c r="T440" s="4"/>
      <c r="U440" s="4"/>
      <c r="V440" s="4"/>
      <c r="W440" s="4"/>
      <c r="X440" s="4"/>
      <c r="Y440" s="4"/>
      <c r="Z440" s="37"/>
    </row>
    <row r="441" spans="1:26">
      <c r="A441" s="53" t="s">
        <v>3444</v>
      </c>
      <c r="B441" s="30">
        <f>GotTok_Indirekt!AI32</f>
        <v>0</v>
      </c>
      <c r="C441" s="39">
        <f>GotTok_Indirekt!AP32</f>
        <v>0</v>
      </c>
      <c r="D441" s="4"/>
      <c r="E441" s="4"/>
      <c r="F441" s="4"/>
      <c r="G441" s="4"/>
      <c r="H441" s="4"/>
      <c r="I441" s="4"/>
      <c r="J441" s="4"/>
      <c r="K441" s="4"/>
      <c r="L441" s="4"/>
      <c r="M441" s="4"/>
      <c r="N441" s="4"/>
      <c r="O441" s="4"/>
      <c r="P441" s="4"/>
      <c r="Q441" s="4"/>
      <c r="R441" s="4"/>
      <c r="S441" s="4"/>
      <c r="T441" s="4"/>
      <c r="U441" s="4"/>
      <c r="V441" s="4"/>
      <c r="W441" s="4"/>
      <c r="X441" s="4"/>
      <c r="Y441" s="4"/>
      <c r="Z441" s="37"/>
    </row>
    <row r="442" spans="1:26">
      <c r="A442" s="53" t="s">
        <v>3447</v>
      </c>
      <c r="B442" s="30">
        <f>GotTok_Indirekt!AI33</f>
        <v>0</v>
      </c>
      <c r="C442" s="39">
        <f>GotTok_Indirekt!AP33</f>
        <v>0</v>
      </c>
      <c r="D442" s="4"/>
      <c r="E442" s="4"/>
      <c r="F442" s="4"/>
      <c r="G442" s="4"/>
      <c r="H442" s="4"/>
      <c r="I442" s="4"/>
      <c r="J442" s="4"/>
      <c r="K442" s="4"/>
      <c r="L442" s="4"/>
      <c r="M442" s="4"/>
      <c r="N442" s="4"/>
      <c r="O442" s="4"/>
      <c r="P442" s="4"/>
      <c r="Q442" s="4"/>
      <c r="R442" s="4"/>
      <c r="S442" s="4"/>
      <c r="T442" s="4"/>
      <c r="U442" s="4"/>
      <c r="V442" s="4"/>
      <c r="W442" s="4"/>
      <c r="X442" s="4"/>
      <c r="Y442" s="4"/>
      <c r="Z442" s="37"/>
    </row>
    <row r="443" spans="1:26">
      <c r="A443" s="53" t="s">
        <v>3451</v>
      </c>
      <c r="B443" s="30">
        <f>GotTok_Indirekt!AI34</f>
        <v>0</v>
      </c>
      <c r="C443" s="39">
        <f>GotTok_Indirekt!AP34</f>
        <v>0</v>
      </c>
      <c r="D443" s="4"/>
      <c r="E443" s="4"/>
      <c r="F443" s="4"/>
      <c r="G443" s="4"/>
      <c r="H443" s="4"/>
      <c r="I443" s="4"/>
      <c r="J443" s="4"/>
      <c r="K443" s="4"/>
      <c r="L443" s="4"/>
      <c r="M443" s="4"/>
      <c r="N443" s="4"/>
      <c r="O443" s="4"/>
      <c r="P443" s="4"/>
      <c r="Q443" s="4"/>
      <c r="R443" s="4"/>
      <c r="S443" s="4"/>
      <c r="T443" s="4"/>
      <c r="U443" s="4"/>
      <c r="V443" s="4"/>
      <c r="W443" s="4"/>
      <c r="X443" s="4"/>
      <c r="Y443" s="4"/>
      <c r="Z443" s="37"/>
    </row>
    <row r="444" spans="1:26">
      <c r="A444" s="53" t="s">
        <v>3454</v>
      </c>
      <c r="B444" s="30">
        <f>GotTok_Indirekt!AI35</f>
        <v>0</v>
      </c>
      <c r="C444" s="39">
        <f>GotTok_Indirekt!AP35</f>
        <v>0</v>
      </c>
      <c r="D444" s="4"/>
      <c r="E444" s="4"/>
      <c r="F444" s="4"/>
      <c r="G444" s="4"/>
      <c r="H444" s="4"/>
      <c r="I444" s="4"/>
      <c r="J444" s="4"/>
      <c r="K444" s="4"/>
      <c r="L444" s="4"/>
      <c r="M444" s="4"/>
      <c r="N444" s="4"/>
      <c r="O444" s="4"/>
      <c r="P444" s="4"/>
      <c r="Q444" s="4"/>
      <c r="R444" s="4"/>
      <c r="S444" s="4"/>
      <c r="T444" s="4"/>
      <c r="U444" s="4"/>
      <c r="V444" s="4"/>
      <c r="W444" s="4"/>
      <c r="X444" s="4"/>
      <c r="Y444" s="4"/>
      <c r="Z444" s="37"/>
    </row>
    <row r="445" spans="1:26">
      <c r="A445" s="53" t="s">
        <v>3458</v>
      </c>
      <c r="B445" s="30">
        <f>GotTok_Indirekt!AI36</f>
        <v>0</v>
      </c>
      <c r="C445" s="39">
        <f>GotTok_Indirekt!AP36</f>
        <v>0</v>
      </c>
      <c r="D445" s="4"/>
      <c r="E445" s="4"/>
      <c r="F445" s="4"/>
      <c r="G445" s="4"/>
      <c r="H445" s="4"/>
      <c r="I445" s="4"/>
      <c r="J445" s="4"/>
      <c r="K445" s="4"/>
      <c r="L445" s="4"/>
      <c r="M445" s="4"/>
      <c r="N445" s="4"/>
      <c r="O445" s="4"/>
      <c r="P445" s="4"/>
      <c r="Q445" s="4"/>
      <c r="R445" s="4"/>
      <c r="S445" s="4"/>
      <c r="T445" s="4"/>
      <c r="U445" s="4"/>
      <c r="V445" s="4"/>
      <c r="W445" s="4"/>
      <c r="X445" s="4"/>
      <c r="Y445" s="4"/>
      <c r="Z445" s="37"/>
    </row>
    <row r="446" spans="1:26">
      <c r="A446" s="53" t="s">
        <v>3462</v>
      </c>
      <c r="B446" s="30">
        <f>GotTok_Indirekt!AI37</f>
        <v>0</v>
      </c>
      <c r="C446" s="39">
        <f>GotTok_Indirekt!AP37</f>
        <v>0</v>
      </c>
      <c r="D446" s="4"/>
      <c r="E446" s="4"/>
      <c r="F446" s="4"/>
      <c r="G446" s="4"/>
      <c r="H446" s="4"/>
      <c r="I446" s="4"/>
      <c r="J446" s="4"/>
      <c r="K446" s="4"/>
      <c r="L446" s="4"/>
      <c r="M446" s="4"/>
      <c r="N446" s="4"/>
      <c r="O446" s="4"/>
      <c r="P446" s="4"/>
      <c r="Q446" s="4"/>
      <c r="R446" s="4"/>
      <c r="S446" s="4"/>
      <c r="T446" s="4"/>
      <c r="U446" s="4"/>
      <c r="V446" s="4"/>
      <c r="W446" s="4"/>
      <c r="X446" s="4"/>
      <c r="Y446" s="4"/>
      <c r="Z446" s="37"/>
    </row>
    <row r="447" spans="1:26">
      <c r="A447" s="53" t="s">
        <v>3466</v>
      </c>
      <c r="B447" s="30">
        <f>GotTok_Indirekt!AI38</f>
        <v>0</v>
      </c>
      <c r="C447" s="39">
        <f>GotTok_Indirekt!AP38</f>
        <v>0</v>
      </c>
      <c r="D447" s="4"/>
      <c r="E447" s="4"/>
      <c r="F447" s="4"/>
      <c r="G447" s="4"/>
      <c r="H447" s="4"/>
      <c r="I447" s="4"/>
      <c r="J447" s="4"/>
      <c r="K447" s="4"/>
      <c r="L447" s="4"/>
      <c r="M447" s="4"/>
      <c r="N447" s="4"/>
      <c r="O447" s="4"/>
      <c r="P447" s="4"/>
      <c r="Q447" s="4"/>
      <c r="R447" s="4"/>
      <c r="S447" s="4"/>
      <c r="T447" s="4"/>
      <c r="U447" s="4"/>
      <c r="V447" s="4"/>
      <c r="W447" s="4"/>
      <c r="X447" s="4"/>
      <c r="Y447" s="4"/>
      <c r="Z447" s="37"/>
    </row>
    <row r="448" spans="1:26">
      <c r="A448" s="53" t="s">
        <v>3470</v>
      </c>
      <c r="B448" s="30">
        <f>GotTok_Indirekt!AI39</f>
        <v>0</v>
      </c>
      <c r="C448" s="39">
        <f>GotTok_Indirekt!AP39</f>
        <v>0</v>
      </c>
      <c r="D448" s="4"/>
      <c r="E448" s="4"/>
      <c r="F448" s="4"/>
      <c r="G448" s="4"/>
      <c r="H448" s="4"/>
      <c r="I448" s="4"/>
      <c r="J448" s="4"/>
      <c r="K448" s="4"/>
      <c r="L448" s="4"/>
      <c r="M448" s="4"/>
      <c r="N448" s="4"/>
      <c r="O448" s="4"/>
      <c r="P448" s="4"/>
      <c r="Q448" s="4"/>
      <c r="R448" s="4"/>
      <c r="S448" s="4"/>
      <c r="T448" s="4"/>
      <c r="U448" s="4"/>
      <c r="V448" s="4"/>
      <c r="W448" s="4"/>
      <c r="X448" s="4"/>
      <c r="Y448" s="4"/>
      <c r="Z448" s="37"/>
    </row>
    <row r="449" spans="1:26">
      <c r="A449" s="53" t="s">
        <v>3473</v>
      </c>
      <c r="B449" s="30">
        <f>GotTok_Indirekt!AI43</f>
        <v>0</v>
      </c>
      <c r="C449" s="39">
        <f>GotTok_Indirekt!AP43</f>
        <v>-5382</v>
      </c>
      <c r="D449" s="4"/>
      <c r="E449" s="4"/>
      <c r="F449" s="4"/>
      <c r="G449" s="4"/>
      <c r="H449" s="4"/>
      <c r="I449" s="4"/>
      <c r="J449" s="4"/>
      <c r="K449" s="4"/>
      <c r="L449" s="4"/>
      <c r="M449" s="4"/>
      <c r="N449" s="4"/>
      <c r="O449" s="4"/>
      <c r="P449" s="4"/>
      <c r="Q449" s="4"/>
      <c r="R449" s="4"/>
      <c r="S449" s="4"/>
      <c r="T449" s="4"/>
      <c r="U449" s="4"/>
      <c r="V449" s="4"/>
      <c r="W449" s="4"/>
      <c r="X449" s="4"/>
      <c r="Y449" s="4"/>
      <c r="Z449" s="37"/>
    </row>
    <row r="450" spans="1:26">
      <c r="A450" s="53" t="s">
        <v>3477</v>
      </c>
      <c r="B450" s="30">
        <f>GotTok_Indirekt!AI44</f>
        <v>0</v>
      </c>
      <c r="C450" s="39">
        <f>GotTok_Indirekt!AP44</f>
        <v>0</v>
      </c>
      <c r="D450" s="4"/>
      <c r="E450" s="4"/>
      <c r="F450" s="4"/>
      <c r="G450" s="4"/>
      <c r="H450" s="4"/>
      <c r="I450" s="4"/>
      <c r="J450" s="4"/>
      <c r="K450" s="4"/>
      <c r="L450" s="4"/>
      <c r="M450" s="4"/>
      <c r="N450" s="4"/>
      <c r="O450" s="4"/>
      <c r="P450" s="4"/>
      <c r="Q450" s="4"/>
      <c r="R450" s="4"/>
      <c r="S450" s="4"/>
      <c r="T450" s="4"/>
      <c r="U450" s="4"/>
      <c r="V450" s="4"/>
      <c r="W450" s="4"/>
      <c r="X450" s="4"/>
      <c r="Y450" s="4"/>
      <c r="Z450" s="37"/>
    </row>
    <row r="451" spans="1:26">
      <c r="A451" s="53" t="s">
        <v>3481</v>
      </c>
      <c r="B451" s="30">
        <f>GotTok_Indirekt!AI45</f>
        <v>0</v>
      </c>
      <c r="C451" s="39">
        <f>GotTok_Indirekt!AP45</f>
        <v>0</v>
      </c>
      <c r="D451" s="4"/>
      <c r="E451" s="4"/>
      <c r="F451" s="4"/>
      <c r="G451" s="4"/>
      <c r="H451" s="4"/>
      <c r="I451" s="4"/>
      <c r="J451" s="4"/>
      <c r="K451" s="4"/>
      <c r="L451" s="4"/>
      <c r="M451" s="4"/>
      <c r="N451" s="4"/>
      <c r="O451" s="4"/>
      <c r="P451" s="4"/>
      <c r="Q451" s="4"/>
      <c r="R451" s="4"/>
      <c r="S451" s="4"/>
      <c r="T451" s="4"/>
      <c r="U451" s="4"/>
      <c r="V451" s="4"/>
      <c r="W451" s="4"/>
      <c r="X451" s="4"/>
      <c r="Y451" s="4"/>
      <c r="Z451" s="37"/>
    </row>
    <row r="452" spans="1:26">
      <c r="A452" s="53" t="s">
        <v>3484</v>
      </c>
      <c r="B452" s="30">
        <f>GotTok_Indirekt!AI46</f>
        <v>0</v>
      </c>
      <c r="C452" s="39">
        <f>GotTok_Indirekt!AP46</f>
        <v>0</v>
      </c>
      <c r="D452" s="4"/>
      <c r="E452" s="4"/>
      <c r="F452" s="4"/>
      <c r="G452" s="4"/>
      <c r="H452" s="4"/>
      <c r="I452" s="4"/>
      <c r="J452" s="4"/>
      <c r="K452" s="4"/>
      <c r="L452" s="4"/>
      <c r="M452" s="4"/>
      <c r="N452" s="4"/>
      <c r="O452" s="4"/>
      <c r="P452" s="4"/>
      <c r="Q452" s="4"/>
      <c r="R452" s="4"/>
      <c r="S452" s="4"/>
      <c r="T452" s="4"/>
      <c r="U452" s="4"/>
      <c r="V452" s="4"/>
      <c r="W452" s="4"/>
      <c r="X452" s="4"/>
      <c r="Y452" s="4"/>
      <c r="Z452" s="37"/>
    </row>
    <row r="453" spans="1:26">
      <c r="A453" s="53" t="s">
        <v>3486</v>
      </c>
      <c r="B453" s="30">
        <f>GotTok_Indirekt!AI47</f>
        <v>0</v>
      </c>
      <c r="C453" s="39">
        <f>GotTok_Indirekt!AP47</f>
        <v>0</v>
      </c>
      <c r="D453" s="4"/>
      <c r="E453" s="4"/>
      <c r="F453" s="4"/>
      <c r="G453" s="4"/>
      <c r="H453" s="4"/>
      <c r="I453" s="4"/>
      <c r="J453" s="4"/>
      <c r="K453" s="4"/>
      <c r="L453" s="4"/>
      <c r="M453" s="4"/>
      <c r="N453" s="4"/>
      <c r="O453" s="4"/>
      <c r="P453" s="4"/>
      <c r="Q453" s="4"/>
      <c r="R453" s="4"/>
      <c r="S453" s="4"/>
      <c r="T453" s="4"/>
      <c r="U453" s="4"/>
      <c r="V453" s="4"/>
      <c r="W453" s="4"/>
      <c r="X453" s="4"/>
      <c r="Y453" s="4"/>
      <c r="Z453" s="37"/>
    </row>
    <row r="454" spans="1:26">
      <c r="A454" s="53" t="s">
        <v>3490</v>
      </c>
      <c r="B454" s="30">
        <f>GotTok_Indirekt!AI48</f>
        <v>-1319</v>
      </c>
      <c r="C454" s="39">
        <f>GotTok_Indirekt!AP48</f>
        <v>-3942</v>
      </c>
      <c r="D454" s="4"/>
      <c r="E454" s="4"/>
      <c r="F454" s="4"/>
      <c r="G454" s="4"/>
      <c r="H454" s="4"/>
      <c r="I454" s="4"/>
      <c r="J454" s="4"/>
      <c r="K454" s="4"/>
      <c r="L454" s="4"/>
      <c r="M454" s="4"/>
      <c r="N454" s="4"/>
      <c r="O454" s="4"/>
      <c r="P454" s="4"/>
      <c r="Q454" s="4"/>
      <c r="R454" s="4"/>
      <c r="S454" s="4"/>
      <c r="T454" s="4"/>
      <c r="U454" s="4"/>
      <c r="V454" s="4"/>
      <c r="W454" s="4"/>
      <c r="X454" s="4"/>
      <c r="Y454" s="4"/>
      <c r="Z454" s="37"/>
    </row>
    <row r="455" spans="1:26">
      <c r="A455" s="53" t="s">
        <v>3494</v>
      </c>
      <c r="B455" s="30">
        <f>GotTok_Indirekt!AI49</f>
        <v>0</v>
      </c>
      <c r="C455" s="39">
        <f>GotTok_Indirekt!AP49</f>
        <v>2038</v>
      </c>
      <c r="D455" s="4"/>
      <c r="E455" s="4"/>
      <c r="F455" s="4"/>
      <c r="G455" s="4"/>
      <c r="H455" s="4"/>
      <c r="I455" s="4"/>
      <c r="J455" s="4"/>
      <c r="K455" s="4"/>
      <c r="L455" s="4"/>
      <c r="M455" s="4"/>
      <c r="N455" s="4"/>
      <c r="O455" s="4"/>
      <c r="P455" s="4"/>
      <c r="Q455" s="4"/>
      <c r="R455" s="4"/>
      <c r="S455" s="4"/>
      <c r="T455" s="4"/>
      <c r="U455" s="4"/>
      <c r="V455" s="4"/>
      <c r="W455" s="4"/>
      <c r="X455" s="4"/>
      <c r="Y455" s="4"/>
      <c r="Z455" s="37"/>
    </row>
    <row r="456" spans="1:26">
      <c r="A456" s="53"/>
      <c r="B456" s="30">
        <f>GotTok_Indirekt!AI50</f>
        <v>0</v>
      </c>
      <c r="C456" s="39">
        <f>GotTok_Indirekt!AP50</f>
        <v>0</v>
      </c>
      <c r="D456" s="4"/>
      <c r="E456" s="4"/>
      <c r="F456" s="4"/>
      <c r="G456" s="4"/>
      <c r="H456" s="4"/>
      <c r="I456" s="4"/>
      <c r="J456" s="4"/>
      <c r="K456" s="4"/>
      <c r="L456" s="4"/>
      <c r="M456" s="4"/>
      <c r="N456" s="4"/>
      <c r="O456" s="4"/>
      <c r="P456" s="4"/>
      <c r="Q456" s="4"/>
      <c r="R456" s="4"/>
      <c r="S456" s="4"/>
      <c r="T456" s="4"/>
      <c r="U456" s="4"/>
      <c r="V456" s="4"/>
      <c r="W456" s="4"/>
      <c r="X456" s="4"/>
      <c r="Y456" s="4"/>
      <c r="Z456" s="37"/>
    </row>
    <row r="457" spans="1:26">
      <c r="A457" s="53" t="s">
        <v>3500</v>
      </c>
      <c r="B457" s="30">
        <f>GotTok_Indirekt!AI51</f>
        <v>0</v>
      </c>
      <c r="C457" s="39">
        <f>GotTok_Indirekt!AP51</f>
        <v>18</v>
      </c>
      <c r="D457" s="4"/>
      <c r="E457" s="4"/>
      <c r="F457" s="4"/>
      <c r="G457" s="4"/>
      <c r="H457" s="4"/>
      <c r="I457" s="4"/>
      <c r="J457" s="4"/>
      <c r="K457" s="4"/>
      <c r="L457" s="4"/>
      <c r="M457" s="4"/>
      <c r="N457" s="4"/>
      <c r="O457" s="4"/>
      <c r="P457" s="4"/>
      <c r="Q457" s="4"/>
      <c r="R457" s="4"/>
      <c r="S457" s="4"/>
      <c r="T457" s="4"/>
      <c r="U457" s="4"/>
      <c r="V457" s="4"/>
      <c r="W457" s="4"/>
      <c r="X457" s="4"/>
      <c r="Y457" s="4"/>
      <c r="Z457" s="37"/>
    </row>
    <row r="458" spans="1:26">
      <c r="A458" s="53" t="s">
        <v>3503</v>
      </c>
      <c r="B458" s="30">
        <f>GotTok_Indirekt!AI52</f>
        <v>861</v>
      </c>
      <c r="C458" s="39">
        <f>GotTok_Indirekt!AP52</f>
        <v>9142</v>
      </c>
      <c r="D458" s="4"/>
      <c r="E458" s="4"/>
      <c r="F458" s="4"/>
      <c r="G458" s="4"/>
      <c r="H458" s="4"/>
      <c r="I458" s="4"/>
      <c r="J458" s="4"/>
      <c r="K458" s="4"/>
      <c r="L458" s="4"/>
      <c r="M458" s="4"/>
      <c r="N458" s="4"/>
      <c r="O458" s="4"/>
      <c r="P458" s="4"/>
      <c r="Q458" s="4"/>
      <c r="R458" s="4"/>
      <c r="S458" s="4"/>
      <c r="T458" s="4"/>
      <c r="U458" s="4"/>
      <c r="V458" s="4"/>
      <c r="W458" s="4"/>
      <c r="X458" s="4"/>
      <c r="Y458" s="4"/>
      <c r="Z458" s="37"/>
    </row>
    <row r="459" spans="1:26">
      <c r="A459" s="53" t="s">
        <v>3506</v>
      </c>
      <c r="B459" s="30">
        <f>GotTok_Indirekt!AI53</f>
        <v>-57791</v>
      </c>
      <c r="C459" s="39">
        <f>GotTok_Indirekt!AP53</f>
        <v>-59248</v>
      </c>
      <c r="D459" s="4"/>
      <c r="E459" s="4"/>
      <c r="F459" s="4"/>
      <c r="G459" s="4"/>
      <c r="H459" s="4"/>
      <c r="I459" s="4"/>
      <c r="J459" s="4"/>
      <c r="K459" s="4"/>
      <c r="L459" s="4"/>
      <c r="M459" s="4"/>
      <c r="N459" s="4"/>
      <c r="O459" s="4"/>
      <c r="P459" s="4"/>
      <c r="Q459" s="4"/>
      <c r="R459" s="4"/>
      <c r="S459" s="4"/>
      <c r="T459" s="4"/>
      <c r="U459" s="4"/>
      <c r="V459" s="4"/>
      <c r="W459" s="4"/>
      <c r="X459" s="4"/>
      <c r="Y459" s="4"/>
      <c r="Z459" s="37"/>
    </row>
    <row r="460" spans="1:26">
      <c r="A460" s="53" t="s">
        <v>3509</v>
      </c>
      <c r="B460" s="30">
        <f>GotTok_Indirekt!AI54</f>
        <v>0</v>
      </c>
      <c r="C460" s="39">
        <f>GotTok_Indirekt!AP54</f>
        <v>0</v>
      </c>
      <c r="D460" s="4"/>
      <c r="E460" s="4"/>
      <c r="F460" s="4"/>
      <c r="G460" s="4"/>
      <c r="H460" s="4"/>
      <c r="I460" s="4"/>
      <c r="J460" s="4"/>
      <c r="K460" s="4"/>
      <c r="L460" s="4"/>
      <c r="M460" s="4"/>
      <c r="N460" s="4"/>
      <c r="O460" s="4"/>
      <c r="P460" s="4"/>
      <c r="Q460" s="4"/>
      <c r="R460" s="4"/>
      <c r="S460" s="4"/>
      <c r="T460" s="4"/>
      <c r="U460" s="4"/>
      <c r="V460" s="4"/>
      <c r="W460" s="4"/>
      <c r="X460" s="4"/>
      <c r="Y460" s="4"/>
      <c r="Z460" s="37"/>
    </row>
    <row r="461" spans="1:26">
      <c r="A461" s="53" t="s">
        <v>3512</v>
      </c>
      <c r="B461" s="30">
        <f>GotTok_Indirekt!AI55</f>
        <v>-41326</v>
      </c>
      <c r="C461" s="39">
        <f>GotTok_Indirekt!AP55</f>
        <v>2051</v>
      </c>
      <c r="D461" s="4"/>
      <c r="E461" s="4"/>
      <c r="F461" s="4"/>
      <c r="G461" s="4"/>
      <c r="H461" s="4"/>
      <c r="I461" s="4"/>
      <c r="J461" s="4"/>
      <c r="K461" s="4"/>
      <c r="L461" s="4"/>
      <c r="M461" s="4"/>
      <c r="N461" s="4"/>
      <c r="O461" s="4"/>
      <c r="P461" s="4"/>
      <c r="Q461" s="4"/>
      <c r="R461" s="4"/>
      <c r="S461" s="4"/>
      <c r="T461" s="4"/>
      <c r="U461" s="4"/>
      <c r="V461" s="4"/>
      <c r="W461" s="4"/>
      <c r="X461" s="4"/>
      <c r="Y461" s="4"/>
      <c r="Z461" s="37"/>
    </row>
    <row r="462" spans="1:26">
      <c r="A462" s="53" t="s">
        <v>3516</v>
      </c>
      <c r="B462" s="30">
        <f>GotTok_Indirekt!AI56</f>
        <v>156503</v>
      </c>
      <c r="C462" s="39">
        <f>GotTok_Indirekt!AP56</f>
        <v>-36417</v>
      </c>
      <c r="D462" s="4"/>
      <c r="E462" s="4"/>
      <c r="F462" s="4"/>
      <c r="G462" s="4"/>
      <c r="H462" s="4"/>
      <c r="I462" s="4"/>
      <c r="J462" s="4"/>
      <c r="K462" s="4"/>
      <c r="L462" s="4"/>
      <c r="M462" s="4"/>
      <c r="N462" s="4"/>
      <c r="O462" s="4"/>
      <c r="P462" s="4"/>
      <c r="Q462" s="4"/>
      <c r="R462" s="4"/>
      <c r="S462" s="4"/>
      <c r="T462" s="4"/>
      <c r="U462" s="4"/>
      <c r="V462" s="4"/>
      <c r="W462" s="4"/>
      <c r="X462" s="4"/>
      <c r="Y462" s="4"/>
      <c r="Z462" s="37"/>
    </row>
    <row r="463" spans="1:26">
      <c r="A463" s="53" t="s">
        <v>3520</v>
      </c>
      <c r="B463" s="30">
        <f>GotTok_Indirekt!AI57</f>
        <v>0</v>
      </c>
      <c r="C463" s="39">
        <f>GotTok_Indirekt!AP57</f>
        <v>0</v>
      </c>
      <c r="D463" s="4"/>
      <c r="E463" s="4"/>
      <c r="F463" s="4"/>
      <c r="G463" s="4"/>
      <c r="H463" s="4"/>
      <c r="I463" s="4"/>
      <c r="J463" s="4"/>
      <c r="K463" s="4"/>
      <c r="L463" s="4"/>
      <c r="M463" s="4"/>
      <c r="N463" s="4"/>
      <c r="O463" s="4"/>
      <c r="P463" s="4"/>
      <c r="Q463" s="4"/>
      <c r="R463" s="4"/>
      <c r="S463" s="4"/>
      <c r="T463" s="4"/>
      <c r="U463" s="4"/>
      <c r="V463" s="4"/>
      <c r="W463" s="4"/>
      <c r="X463" s="4"/>
      <c r="Y463" s="4"/>
      <c r="Z463" s="37"/>
    </row>
    <row r="464" spans="1:26">
      <c r="A464" s="53" t="s">
        <v>3524</v>
      </c>
      <c r="B464" s="30">
        <f>GotTok_Indirekt!AI58</f>
        <v>0</v>
      </c>
      <c r="C464" s="39">
        <f>GotTok_Indirekt!AP58</f>
        <v>0</v>
      </c>
      <c r="D464" s="4"/>
      <c r="E464" s="4"/>
      <c r="F464" s="4"/>
      <c r="G464" s="4"/>
      <c r="H464" s="4"/>
      <c r="I464" s="4"/>
      <c r="J464" s="4"/>
      <c r="K464" s="4"/>
      <c r="L464" s="4"/>
      <c r="M464" s="4"/>
      <c r="N464" s="4"/>
      <c r="O464" s="4"/>
      <c r="P464" s="4"/>
      <c r="Q464" s="4"/>
      <c r="R464" s="4"/>
      <c r="S464" s="4"/>
      <c r="T464" s="4"/>
      <c r="U464" s="4"/>
      <c r="V464" s="4"/>
      <c r="W464" s="4"/>
      <c r="X464" s="4"/>
      <c r="Y464" s="4"/>
      <c r="Z464" s="37"/>
    </row>
    <row r="465" spans="1:26">
      <c r="A465" s="53" t="s">
        <v>3527</v>
      </c>
      <c r="B465" s="30">
        <f>GotTok_Indirekt!AI59</f>
        <v>2280</v>
      </c>
      <c r="C465" s="39">
        <f>GotTok_Indirekt!AP59</f>
        <v>12674</v>
      </c>
      <c r="D465" s="4"/>
      <c r="E465" s="4"/>
      <c r="F465" s="4"/>
      <c r="G465" s="4"/>
      <c r="H465" s="4"/>
      <c r="I465" s="4"/>
      <c r="J465" s="4"/>
      <c r="K465" s="4"/>
      <c r="L465" s="4"/>
      <c r="M465" s="4"/>
      <c r="N465" s="4"/>
      <c r="O465" s="4"/>
      <c r="P465" s="4"/>
      <c r="Q465" s="4"/>
      <c r="R465" s="4"/>
      <c r="S465" s="4"/>
      <c r="T465" s="4"/>
      <c r="U465" s="4"/>
      <c r="V465" s="4"/>
      <c r="W465" s="4"/>
      <c r="X465" s="4"/>
      <c r="Y465" s="4"/>
      <c r="Z465" s="37"/>
    </row>
    <row r="466" spans="1:26">
      <c r="A466" s="53"/>
      <c r="B466" s="30">
        <f>GotTok_Indirekt!AI60</f>
        <v>0</v>
      </c>
      <c r="C466" s="39">
        <f>GotTok_Indirekt!AP60</f>
        <v>0</v>
      </c>
      <c r="D466" s="4"/>
      <c r="E466" s="4"/>
      <c r="F466" s="4"/>
      <c r="G466" s="4"/>
      <c r="H466" s="4"/>
      <c r="I466" s="4"/>
      <c r="J466" s="4"/>
      <c r="K466" s="4"/>
      <c r="L466" s="4"/>
      <c r="M466" s="4"/>
      <c r="N466" s="4"/>
      <c r="O466" s="4"/>
      <c r="P466" s="4"/>
      <c r="Q466" s="4"/>
      <c r="R466" s="4"/>
      <c r="S466" s="4"/>
      <c r="T466" s="4"/>
      <c r="U466" s="4"/>
      <c r="V466" s="4"/>
      <c r="W466" s="4"/>
      <c r="X466" s="4"/>
      <c r="Y466" s="4"/>
      <c r="Z466" s="37"/>
    </row>
    <row r="467" spans="1:26">
      <c r="A467" s="53" t="s">
        <v>3530</v>
      </c>
      <c r="B467" s="30">
        <f>GotTok_Indirekt!AI61</f>
        <v>0</v>
      </c>
      <c r="C467" s="39">
        <f>GotTok_Indirekt!AP61</f>
        <v>0</v>
      </c>
      <c r="D467" s="4"/>
      <c r="E467" s="4"/>
      <c r="F467" s="4"/>
      <c r="G467" s="4"/>
      <c r="H467" s="4"/>
      <c r="I467" s="4"/>
      <c r="J467" s="4"/>
      <c r="K467" s="4"/>
      <c r="L467" s="4"/>
      <c r="M467" s="4"/>
      <c r="N467" s="4"/>
      <c r="O467" s="4"/>
      <c r="P467" s="4"/>
      <c r="Q467" s="4"/>
      <c r="R467" s="4"/>
      <c r="S467" s="4"/>
      <c r="T467" s="4"/>
      <c r="U467" s="4"/>
      <c r="V467" s="4"/>
      <c r="W467" s="4"/>
      <c r="X467" s="4"/>
      <c r="Y467" s="4"/>
      <c r="Z467" s="37"/>
    </row>
    <row r="468" spans="1:26">
      <c r="A468" s="53" t="s">
        <v>3531</v>
      </c>
      <c r="B468" s="30">
        <f>GotTok_Indirekt!AI62</f>
        <v>0</v>
      </c>
      <c r="C468" s="39">
        <f>GotTok_Indirekt!AP62</f>
        <v>0</v>
      </c>
      <c r="D468" s="4"/>
      <c r="E468" s="4"/>
      <c r="F468" s="4"/>
      <c r="G468" s="4"/>
      <c r="H468" s="4"/>
      <c r="I468" s="4"/>
      <c r="J468" s="4"/>
      <c r="K468" s="4"/>
      <c r="L468" s="4"/>
      <c r="M468" s="4"/>
      <c r="N468" s="4"/>
      <c r="O468" s="4"/>
      <c r="P468" s="4"/>
      <c r="Q468" s="4"/>
      <c r="R468" s="4"/>
      <c r="S468" s="4"/>
      <c r="T468" s="4"/>
      <c r="U468" s="4"/>
      <c r="V468" s="4"/>
      <c r="W468" s="4"/>
      <c r="X468" s="4"/>
      <c r="Y468" s="4"/>
      <c r="Z468" s="37"/>
    </row>
    <row r="469" spans="1:26">
      <c r="A469" s="53" t="s">
        <v>3532</v>
      </c>
      <c r="B469" s="30">
        <f>GotTok_Indirekt!AI63</f>
        <v>0</v>
      </c>
      <c r="C469" s="39">
        <f>GotTok_Indirekt!AP63</f>
        <v>0</v>
      </c>
      <c r="D469" s="4"/>
      <c r="E469" s="4"/>
      <c r="F469" s="4"/>
      <c r="G469" s="4"/>
      <c r="H469" s="4"/>
      <c r="I469" s="4"/>
      <c r="J469" s="4"/>
      <c r="K469" s="4"/>
      <c r="L469" s="4"/>
      <c r="M469" s="4"/>
      <c r="N469" s="4"/>
      <c r="O469" s="4"/>
      <c r="P469" s="4"/>
      <c r="Q469" s="4"/>
      <c r="R469" s="4"/>
      <c r="S469" s="4"/>
      <c r="T469" s="4"/>
      <c r="U469" s="4"/>
      <c r="V469" s="4"/>
      <c r="W469" s="4"/>
      <c r="X469" s="4"/>
      <c r="Y469" s="4"/>
      <c r="Z469" s="37"/>
    </row>
    <row r="470" spans="1:26">
      <c r="A470" s="53" t="s">
        <v>3533</v>
      </c>
      <c r="B470" s="30">
        <f>GotTok_Indirekt!AI64</f>
        <v>0</v>
      </c>
      <c r="C470" s="39">
        <f>GotTok_Indirekt!AP64</f>
        <v>0</v>
      </c>
      <c r="D470" s="4"/>
      <c r="E470" s="4"/>
      <c r="F470" s="4"/>
      <c r="G470" s="4"/>
      <c r="H470" s="4"/>
      <c r="I470" s="4"/>
      <c r="J470" s="4"/>
      <c r="K470" s="4"/>
      <c r="L470" s="4"/>
      <c r="M470" s="4"/>
      <c r="N470" s="4"/>
      <c r="O470" s="4"/>
      <c r="P470" s="4"/>
      <c r="Q470" s="4"/>
      <c r="R470" s="4"/>
      <c r="S470" s="4"/>
      <c r="T470" s="4"/>
      <c r="U470" s="4"/>
      <c r="V470" s="4"/>
      <c r="W470" s="4"/>
      <c r="X470" s="4"/>
      <c r="Y470" s="4"/>
      <c r="Z470" s="37"/>
    </row>
    <row r="471" spans="1:26">
      <c r="A471" s="53" t="s">
        <v>3534</v>
      </c>
      <c r="B471" s="30">
        <f>GotTok_Indirekt!AI65</f>
        <v>0</v>
      </c>
      <c r="C471" s="39">
        <f>GotTok_Indirekt!AP65</f>
        <v>0</v>
      </c>
      <c r="D471" s="4"/>
      <c r="E471" s="4"/>
      <c r="F471" s="4"/>
      <c r="G471" s="4"/>
      <c r="H471" s="4"/>
      <c r="I471" s="4"/>
      <c r="J471" s="4"/>
      <c r="K471" s="4"/>
      <c r="L471" s="4"/>
      <c r="M471" s="4"/>
      <c r="N471" s="4"/>
      <c r="O471" s="4"/>
      <c r="P471" s="4"/>
      <c r="Q471" s="4"/>
      <c r="R471" s="4"/>
      <c r="S471" s="4"/>
      <c r="T471" s="4"/>
      <c r="U471" s="4"/>
      <c r="V471" s="4"/>
      <c r="W471" s="4"/>
      <c r="X471" s="4"/>
      <c r="Y471" s="4"/>
      <c r="Z471" s="37"/>
    </row>
    <row r="472" spans="1:26">
      <c r="A472" s="53" t="s">
        <v>3537</v>
      </c>
      <c r="B472" s="30">
        <f>GotTok_Indirekt!AI66</f>
        <v>0</v>
      </c>
      <c r="C472" s="39">
        <f>GotTok_Indirekt!AP66</f>
        <v>0</v>
      </c>
      <c r="D472" s="4"/>
      <c r="E472" s="4"/>
      <c r="F472" s="4"/>
      <c r="G472" s="4"/>
      <c r="H472" s="4"/>
      <c r="I472" s="4"/>
      <c r="J472" s="4"/>
      <c r="K472" s="4"/>
      <c r="L472" s="4"/>
      <c r="M472" s="4"/>
      <c r="N472" s="4"/>
      <c r="O472" s="4"/>
      <c r="P472" s="4"/>
      <c r="Q472" s="4"/>
      <c r="R472" s="4"/>
      <c r="S472" s="4"/>
      <c r="T472" s="4"/>
      <c r="U472" s="4"/>
      <c r="V472" s="4"/>
      <c r="W472" s="4"/>
      <c r="X472" s="4"/>
      <c r="Y472" s="4"/>
      <c r="Z472" s="37"/>
    </row>
    <row r="473" spans="1:26">
      <c r="A473" s="53" t="s">
        <v>3538</v>
      </c>
      <c r="B473" s="30">
        <f>GotTok_Indirekt!AI67</f>
        <v>0</v>
      </c>
      <c r="C473" s="39">
        <f>GotTok_Indirekt!AP67</f>
        <v>0</v>
      </c>
      <c r="D473" s="4"/>
      <c r="E473" s="4"/>
      <c r="F473" s="4"/>
      <c r="G473" s="4"/>
      <c r="H473" s="4"/>
      <c r="I473" s="4"/>
      <c r="J473" s="4"/>
      <c r="K473" s="4"/>
      <c r="L473" s="4"/>
      <c r="M473" s="4"/>
      <c r="N473" s="4"/>
      <c r="O473" s="4"/>
      <c r="P473" s="4"/>
      <c r="Q473" s="4"/>
      <c r="R473" s="4"/>
      <c r="S473" s="4"/>
      <c r="T473" s="4"/>
      <c r="U473" s="4"/>
      <c r="V473" s="4"/>
      <c r="W473" s="4"/>
      <c r="X473" s="4"/>
      <c r="Y473" s="4"/>
      <c r="Z473" s="37"/>
    </row>
    <row r="474" spans="1:26">
      <c r="A474" s="53" t="s">
        <v>3539</v>
      </c>
      <c r="B474" s="30">
        <f>GotTok_Indirekt!AI68</f>
        <v>0</v>
      </c>
      <c r="C474" s="39">
        <f>GotTok_Indirekt!AP68</f>
        <v>0</v>
      </c>
      <c r="D474" s="4"/>
      <c r="E474" s="4"/>
      <c r="F474" s="4"/>
      <c r="G474" s="4"/>
      <c r="H474" s="4"/>
      <c r="I474" s="4"/>
      <c r="J474" s="4"/>
      <c r="K474" s="4"/>
      <c r="L474" s="4"/>
      <c r="M474" s="4"/>
      <c r="N474" s="4"/>
      <c r="O474" s="4"/>
      <c r="P474" s="4"/>
      <c r="Q474" s="4"/>
      <c r="R474" s="4"/>
      <c r="S474" s="4"/>
      <c r="T474" s="4"/>
      <c r="U474" s="4"/>
      <c r="V474" s="4"/>
      <c r="W474" s="4"/>
      <c r="X474" s="4"/>
      <c r="Y474" s="4"/>
      <c r="Z474" s="37"/>
    </row>
    <row r="475" spans="1:26">
      <c r="A475" s="53" t="s">
        <v>3540</v>
      </c>
      <c r="B475" s="30">
        <f>GotTok_Indirekt!AI69</f>
        <v>0</v>
      </c>
      <c r="C475" s="39">
        <f>GotTok_Indirekt!AP69</f>
        <v>0</v>
      </c>
      <c r="D475" s="4"/>
      <c r="E475" s="4"/>
      <c r="F475" s="4"/>
      <c r="G475" s="4"/>
      <c r="H475" s="4"/>
      <c r="I475" s="4"/>
      <c r="J475" s="4"/>
      <c r="K475" s="4"/>
      <c r="L475" s="4"/>
      <c r="M475" s="4"/>
      <c r="N475" s="4"/>
      <c r="O475" s="4"/>
      <c r="P475" s="4"/>
      <c r="Q475" s="4"/>
      <c r="R475" s="4"/>
      <c r="S475" s="4"/>
      <c r="T475" s="4"/>
      <c r="U475" s="4"/>
      <c r="V475" s="4"/>
      <c r="W475" s="4"/>
      <c r="X475" s="4"/>
      <c r="Y475" s="4"/>
      <c r="Z475" s="37"/>
    </row>
    <row r="476" spans="1:26">
      <c r="A476" s="53" t="s">
        <v>3541</v>
      </c>
      <c r="B476" s="30">
        <f>GotTok_Indirekt!AI70</f>
        <v>0</v>
      </c>
      <c r="C476" s="39">
        <f>GotTok_Indirekt!AP70</f>
        <v>0</v>
      </c>
      <c r="D476" s="4"/>
      <c r="E476" s="4"/>
      <c r="F476" s="4"/>
      <c r="G476" s="4"/>
      <c r="H476" s="4"/>
      <c r="I476" s="4"/>
      <c r="J476" s="4"/>
      <c r="K476" s="4"/>
      <c r="L476" s="4"/>
      <c r="M476" s="4"/>
      <c r="N476" s="4"/>
      <c r="O476" s="4"/>
      <c r="P476" s="4"/>
      <c r="Q476" s="4"/>
      <c r="R476" s="4"/>
      <c r="S476" s="4"/>
      <c r="T476" s="4"/>
      <c r="U476" s="4"/>
      <c r="V476" s="4"/>
      <c r="W476" s="4"/>
      <c r="X476" s="4"/>
      <c r="Y476" s="4"/>
      <c r="Z476" s="37"/>
    </row>
    <row r="477" spans="1:26">
      <c r="A477" s="53" t="s">
        <v>3542</v>
      </c>
      <c r="B477" s="30">
        <f>GotTok_Indirekt!AI71</f>
        <v>0</v>
      </c>
      <c r="C477" s="39">
        <f>GotTok_Indirekt!AP71</f>
        <v>0</v>
      </c>
      <c r="D477" s="4"/>
      <c r="E477" s="4"/>
      <c r="F477" s="4"/>
      <c r="G477" s="4"/>
      <c r="H477" s="4"/>
      <c r="I477" s="4"/>
      <c r="J477" s="4"/>
      <c r="K477" s="4"/>
      <c r="L477" s="4"/>
      <c r="M477" s="4"/>
      <c r="N477" s="4"/>
      <c r="O477" s="4"/>
      <c r="P477" s="4"/>
      <c r="Q477" s="4"/>
      <c r="R477" s="4"/>
      <c r="S477" s="4"/>
      <c r="T477" s="4"/>
      <c r="U477" s="4"/>
      <c r="V477" s="4"/>
      <c r="W477" s="4"/>
      <c r="X477" s="4"/>
      <c r="Y477" s="4"/>
      <c r="Z477" s="37"/>
    </row>
    <row r="478" spans="1:26">
      <c r="A478" s="53" t="s">
        <v>3543</v>
      </c>
      <c r="B478" s="30">
        <f>GotTok_Indirekt!AI72</f>
        <v>0</v>
      </c>
      <c r="C478" s="39">
        <f>GotTok_Indirekt!AP72</f>
        <v>0</v>
      </c>
      <c r="D478" s="4"/>
      <c r="E478" s="4"/>
      <c r="F478" s="4"/>
      <c r="G478" s="4"/>
      <c r="H478" s="4"/>
      <c r="I478" s="4"/>
      <c r="J478" s="4"/>
      <c r="K478" s="4"/>
      <c r="L478" s="4"/>
      <c r="M478" s="4"/>
      <c r="N478" s="4"/>
      <c r="O478" s="4"/>
      <c r="P478" s="4"/>
      <c r="Q478" s="4"/>
      <c r="R478" s="4"/>
      <c r="S478" s="4"/>
      <c r="T478" s="4"/>
      <c r="U478" s="4"/>
      <c r="V478" s="4"/>
      <c r="W478" s="4"/>
      <c r="X478" s="4"/>
      <c r="Y478" s="4"/>
      <c r="Z478" s="37"/>
    </row>
    <row r="479" spans="1:26">
      <c r="A479" s="53" t="s">
        <v>3545</v>
      </c>
      <c r="B479" s="30">
        <f>GotTok_Indirekt!AI73</f>
        <v>0</v>
      </c>
      <c r="C479" s="39">
        <f>GotTok_Indirekt!AP73</f>
        <v>0</v>
      </c>
      <c r="D479" s="4"/>
      <c r="E479" s="4"/>
      <c r="F479" s="4"/>
      <c r="G479" s="4"/>
      <c r="H479" s="4"/>
      <c r="I479" s="4"/>
      <c r="J479" s="4"/>
      <c r="K479" s="4"/>
      <c r="L479" s="4"/>
      <c r="M479" s="4"/>
      <c r="N479" s="4"/>
      <c r="O479" s="4"/>
      <c r="P479" s="4"/>
      <c r="Q479" s="4"/>
      <c r="R479" s="4"/>
      <c r="S479" s="4"/>
      <c r="T479" s="4"/>
      <c r="U479" s="4"/>
      <c r="V479" s="4"/>
      <c r="W479" s="4"/>
      <c r="X479" s="4"/>
      <c r="Y479" s="4"/>
      <c r="Z479" s="37"/>
    </row>
    <row r="480" spans="1:26">
      <c r="A480" s="53" t="s">
        <v>3547</v>
      </c>
      <c r="B480" s="30">
        <f>GotTok_Indirekt!AI74</f>
        <v>0</v>
      </c>
      <c r="C480" s="39">
        <f>GotTok_Indirekt!AP74</f>
        <v>0</v>
      </c>
      <c r="D480" s="4"/>
      <c r="E480" s="4"/>
      <c r="F480" s="4"/>
      <c r="G480" s="4"/>
      <c r="H480" s="4"/>
      <c r="I480" s="4"/>
      <c r="J480" s="4"/>
      <c r="K480" s="4"/>
      <c r="L480" s="4"/>
      <c r="M480" s="4"/>
      <c r="N480" s="4"/>
      <c r="O480" s="4"/>
      <c r="P480" s="4"/>
      <c r="Q480" s="4"/>
      <c r="R480" s="4"/>
      <c r="S480" s="4"/>
      <c r="T480" s="4"/>
      <c r="U480" s="4"/>
      <c r="V480" s="4"/>
      <c r="W480" s="4"/>
      <c r="X480" s="4"/>
      <c r="Y480" s="4"/>
      <c r="Z480" s="37"/>
    </row>
    <row r="481" spans="1:26">
      <c r="A481" s="53" t="s">
        <v>3548</v>
      </c>
      <c r="B481" s="30">
        <f>GotTok_Indirekt!AI75</f>
        <v>0</v>
      </c>
      <c r="C481" s="39">
        <f>GotTok_Indirekt!AP75</f>
        <v>0</v>
      </c>
      <c r="D481" s="4"/>
      <c r="E481" s="4"/>
      <c r="F481" s="4"/>
      <c r="G481" s="4"/>
      <c r="H481" s="4"/>
      <c r="I481" s="4"/>
      <c r="J481" s="4"/>
      <c r="K481" s="4"/>
      <c r="L481" s="4"/>
      <c r="M481" s="4"/>
      <c r="N481" s="4"/>
      <c r="O481" s="4"/>
      <c r="P481" s="4"/>
      <c r="Q481" s="4"/>
      <c r="R481" s="4"/>
      <c r="S481" s="4"/>
      <c r="T481" s="4"/>
      <c r="U481" s="4"/>
      <c r="V481" s="4"/>
      <c r="W481" s="4"/>
      <c r="X481" s="4"/>
      <c r="Y481" s="4"/>
      <c r="Z481" s="37"/>
    </row>
    <row r="482" spans="1:26">
      <c r="A482" s="53" t="s">
        <v>3549</v>
      </c>
      <c r="B482" s="30">
        <f>GotTok_Indirekt!AI76</f>
        <v>0</v>
      </c>
      <c r="C482" s="39">
        <f>GotTok_Indirekt!AP76</f>
        <v>0</v>
      </c>
      <c r="D482" s="4"/>
      <c r="E482" s="4"/>
      <c r="F482" s="4"/>
      <c r="G482" s="4"/>
      <c r="H482" s="4"/>
      <c r="I482" s="4"/>
      <c r="J482" s="4"/>
      <c r="K482" s="4"/>
      <c r="L482" s="4"/>
      <c r="M482" s="4"/>
      <c r="N482" s="4"/>
      <c r="O482" s="4"/>
      <c r="P482" s="4"/>
      <c r="Q482" s="4"/>
      <c r="R482" s="4"/>
      <c r="S482" s="4"/>
      <c r="T482" s="4"/>
      <c r="U482" s="4"/>
      <c r="V482" s="4"/>
      <c r="W482" s="4"/>
      <c r="X482" s="4"/>
      <c r="Y482" s="4"/>
      <c r="Z482" s="37"/>
    </row>
    <row r="483" spans="1:26">
      <c r="A483" s="53" t="s">
        <v>3550</v>
      </c>
      <c r="B483" s="30">
        <f>GotTok_Indirekt!AI77</f>
        <v>0</v>
      </c>
      <c r="C483" s="39">
        <f>GotTok_Indirekt!AP77</f>
        <v>0</v>
      </c>
      <c r="D483" s="4"/>
      <c r="E483" s="4"/>
      <c r="F483" s="4"/>
      <c r="G483" s="4"/>
      <c r="H483" s="4"/>
      <c r="I483" s="4"/>
      <c r="J483" s="4"/>
      <c r="K483" s="4"/>
      <c r="L483" s="4"/>
      <c r="M483" s="4"/>
      <c r="N483" s="4"/>
      <c r="O483" s="4"/>
      <c r="P483" s="4"/>
      <c r="Q483" s="4"/>
      <c r="R483" s="4"/>
      <c r="S483" s="4"/>
      <c r="T483" s="4"/>
      <c r="U483" s="4"/>
      <c r="V483" s="4"/>
      <c r="W483" s="4"/>
      <c r="X483" s="4"/>
      <c r="Y483" s="4"/>
      <c r="Z483" s="37"/>
    </row>
    <row r="484" spans="1:26">
      <c r="A484" s="53" t="s">
        <v>3553</v>
      </c>
      <c r="B484" s="30">
        <f>GotTok_Indirekt!AI78</f>
        <v>0</v>
      </c>
      <c r="C484" s="39">
        <f>GotTok_Indirekt!AP78</f>
        <v>0</v>
      </c>
      <c r="D484" s="4"/>
      <c r="E484" s="4"/>
      <c r="F484" s="4"/>
      <c r="G484" s="4"/>
      <c r="H484" s="4"/>
      <c r="I484" s="4"/>
      <c r="J484" s="4"/>
      <c r="K484" s="4"/>
      <c r="L484" s="4"/>
      <c r="M484" s="4"/>
      <c r="N484" s="4"/>
      <c r="O484" s="4"/>
      <c r="P484" s="4"/>
      <c r="Q484" s="4"/>
      <c r="R484" s="4"/>
      <c r="S484" s="4"/>
      <c r="T484" s="4"/>
      <c r="U484" s="4"/>
      <c r="V484" s="4"/>
      <c r="W484" s="4"/>
      <c r="X484" s="4"/>
      <c r="Y484" s="4"/>
      <c r="Z484" s="37"/>
    </row>
    <row r="485" spans="1:26">
      <c r="A485" s="53" t="s">
        <v>3554</v>
      </c>
      <c r="B485" s="30">
        <f>GotTok_Indirekt!AI79</f>
        <v>0</v>
      </c>
      <c r="C485" s="39">
        <f>GotTok_Indirekt!AP79</f>
        <v>0</v>
      </c>
      <c r="D485" s="4"/>
      <c r="E485" s="4"/>
      <c r="F485" s="4"/>
      <c r="G485" s="4"/>
      <c r="H485" s="4"/>
      <c r="I485" s="4"/>
      <c r="J485" s="4"/>
      <c r="K485" s="4"/>
      <c r="L485" s="4"/>
      <c r="M485" s="4"/>
      <c r="N485" s="4"/>
      <c r="O485" s="4"/>
      <c r="P485" s="4"/>
      <c r="Q485" s="4"/>
      <c r="R485" s="4"/>
      <c r="S485" s="4"/>
      <c r="T485" s="4"/>
      <c r="U485" s="4"/>
      <c r="V485" s="4"/>
      <c r="W485" s="4"/>
      <c r="X485" s="4"/>
      <c r="Y485" s="4"/>
      <c r="Z485" s="37"/>
    </row>
    <row r="486" spans="1:26">
      <c r="A486" s="53" t="s">
        <v>3555</v>
      </c>
      <c r="B486" s="30">
        <f>GotTok_Indirekt!AI80</f>
        <v>0</v>
      </c>
      <c r="C486" s="39">
        <f>GotTok_Indirekt!AP80</f>
        <v>0</v>
      </c>
      <c r="D486" s="4"/>
      <c r="E486" s="4"/>
      <c r="F486" s="4"/>
      <c r="G486" s="4"/>
      <c r="H486" s="4"/>
      <c r="I486" s="4"/>
      <c r="J486" s="4"/>
      <c r="K486" s="4"/>
      <c r="L486" s="4"/>
      <c r="M486" s="4"/>
      <c r="N486" s="4"/>
      <c r="O486" s="4"/>
      <c r="P486" s="4"/>
      <c r="Q486" s="4"/>
      <c r="R486" s="4"/>
      <c r="S486" s="4"/>
      <c r="T486" s="4"/>
      <c r="U486" s="4"/>
      <c r="V486" s="4"/>
      <c r="W486" s="4"/>
      <c r="X486" s="4"/>
      <c r="Y486" s="4"/>
      <c r="Z486" s="37"/>
    </row>
    <row r="487" spans="1:26">
      <c r="A487" s="53" t="s">
        <v>597</v>
      </c>
      <c r="B487" s="30">
        <f>GotTok_Indirekt!AI84</f>
        <v>0</v>
      </c>
      <c r="C487" s="39">
        <f>GotTok_Indirekt!AP84</f>
        <v>0</v>
      </c>
      <c r="D487" s="4"/>
      <c r="E487" s="4"/>
      <c r="F487" s="4"/>
      <c r="G487" s="4"/>
      <c r="H487" s="4"/>
      <c r="I487" s="4"/>
      <c r="J487" s="4"/>
      <c r="K487" s="4"/>
      <c r="L487" s="4"/>
      <c r="M487" s="4"/>
      <c r="N487" s="4"/>
      <c r="O487" s="4"/>
      <c r="P487" s="4"/>
      <c r="Q487" s="4"/>
      <c r="R487" s="4"/>
      <c r="S487" s="4"/>
      <c r="T487" s="4"/>
      <c r="U487" s="4"/>
      <c r="V487" s="4"/>
      <c r="W487" s="4"/>
      <c r="X487" s="4"/>
      <c r="Y487" s="4"/>
      <c r="Z487" s="37"/>
    </row>
    <row r="488" spans="1:26">
      <c r="A488" s="53" t="s">
        <v>3556</v>
      </c>
      <c r="B488" s="30">
        <f>GotTok_Indirekt!AI85</f>
        <v>0</v>
      </c>
      <c r="C488" s="39">
        <f>GotTok_Indirekt!AP85</f>
        <v>0</v>
      </c>
      <c r="D488" s="4"/>
      <c r="E488" s="4"/>
      <c r="F488" s="4"/>
      <c r="G488" s="4"/>
      <c r="H488" s="4"/>
      <c r="I488" s="4"/>
      <c r="J488" s="4"/>
      <c r="K488" s="4"/>
      <c r="L488" s="4"/>
      <c r="M488" s="4"/>
      <c r="N488" s="4"/>
      <c r="O488" s="4"/>
      <c r="P488" s="4"/>
      <c r="Q488" s="4"/>
      <c r="R488" s="4"/>
      <c r="S488" s="4"/>
      <c r="T488" s="4"/>
      <c r="U488" s="4"/>
      <c r="V488" s="4"/>
      <c r="W488" s="4"/>
      <c r="X488" s="4"/>
      <c r="Y488" s="4"/>
      <c r="Z488" s="37"/>
    </row>
    <row r="489" spans="1:26">
      <c r="A489" s="53" t="s">
        <v>3557</v>
      </c>
      <c r="B489" s="30">
        <f>GotTok_Indirekt!AI86</f>
        <v>0</v>
      </c>
      <c r="C489" s="39">
        <f>GotTok_Indirekt!AP86</f>
        <v>0</v>
      </c>
      <c r="D489" s="4"/>
      <c r="E489" s="4"/>
      <c r="F489" s="4"/>
      <c r="G489" s="4"/>
      <c r="H489" s="4"/>
      <c r="I489" s="4"/>
      <c r="J489" s="4"/>
      <c r="K489" s="4"/>
      <c r="L489" s="4"/>
      <c r="M489" s="4"/>
      <c r="N489" s="4"/>
      <c r="O489" s="4"/>
      <c r="P489" s="4"/>
      <c r="Q489" s="4"/>
      <c r="R489" s="4"/>
      <c r="S489" s="4"/>
      <c r="T489" s="4"/>
      <c r="U489" s="4"/>
      <c r="V489" s="4"/>
      <c r="W489" s="4"/>
      <c r="X489" s="4"/>
      <c r="Y489" s="4"/>
      <c r="Z489" s="37"/>
    </row>
    <row r="490" spans="1:26">
      <c r="A490" s="53" t="s">
        <v>3558</v>
      </c>
      <c r="B490" s="30">
        <f>GotTok_Indirekt!AI87</f>
        <v>0</v>
      </c>
      <c r="C490" s="39">
        <f>GotTok_Indirekt!AP87</f>
        <v>0</v>
      </c>
      <c r="D490" s="4"/>
      <c r="E490" s="4"/>
      <c r="F490" s="4"/>
      <c r="G490" s="4"/>
      <c r="H490" s="4"/>
      <c r="I490" s="4"/>
      <c r="J490" s="4"/>
      <c r="K490" s="4"/>
      <c r="L490" s="4"/>
      <c r="M490" s="4"/>
      <c r="N490" s="4"/>
      <c r="O490" s="4"/>
      <c r="P490" s="4"/>
      <c r="Q490" s="4"/>
      <c r="R490" s="4"/>
      <c r="S490" s="4"/>
      <c r="T490" s="4"/>
      <c r="U490" s="4"/>
      <c r="V490" s="4"/>
      <c r="W490" s="4"/>
      <c r="X490" s="4"/>
      <c r="Y490" s="4"/>
      <c r="Z490" s="37"/>
    </row>
    <row r="491" spans="1:26">
      <c r="A491" s="53" t="s">
        <v>3559</v>
      </c>
      <c r="B491" s="30">
        <f>GotTok_Indirekt!AI88</f>
        <v>0</v>
      </c>
      <c r="C491" s="39">
        <f>GotTok_Indirekt!AP88</f>
        <v>0</v>
      </c>
      <c r="D491" s="4"/>
      <c r="E491" s="4"/>
      <c r="F491" s="4"/>
      <c r="G491" s="4"/>
      <c r="H491" s="4"/>
      <c r="I491" s="4"/>
      <c r="J491" s="4"/>
      <c r="K491" s="4"/>
      <c r="L491" s="4"/>
      <c r="M491" s="4"/>
      <c r="N491" s="4"/>
      <c r="O491" s="4"/>
      <c r="P491" s="4"/>
      <c r="Q491" s="4"/>
      <c r="R491" s="4"/>
      <c r="S491" s="4"/>
      <c r="T491" s="4"/>
      <c r="U491" s="4"/>
      <c r="V491" s="4"/>
      <c r="W491" s="4"/>
      <c r="X491" s="4"/>
      <c r="Y491" s="4"/>
      <c r="Z491" s="37"/>
    </row>
    <row r="492" spans="1:26">
      <c r="A492" s="53" t="s">
        <v>3560</v>
      </c>
      <c r="B492" s="30">
        <f>GotTok_Indirekt!AI89</f>
        <v>0</v>
      </c>
      <c r="C492" s="39">
        <f>GotTok_Indirekt!AP89</f>
        <v>0</v>
      </c>
      <c r="D492" s="4"/>
      <c r="E492" s="4"/>
      <c r="F492" s="4"/>
      <c r="G492" s="4"/>
      <c r="H492" s="4"/>
      <c r="I492" s="4"/>
      <c r="J492" s="4"/>
      <c r="K492" s="4"/>
      <c r="L492" s="4"/>
      <c r="M492" s="4"/>
      <c r="N492" s="4"/>
      <c r="O492" s="4"/>
      <c r="P492" s="4"/>
      <c r="Q492" s="4"/>
      <c r="R492" s="4"/>
      <c r="S492" s="4"/>
      <c r="T492" s="4"/>
      <c r="U492" s="4"/>
      <c r="V492" s="4"/>
      <c r="W492" s="4"/>
      <c r="X492" s="4"/>
      <c r="Y492" s="4"/>
      <c r="Z492" s="37"/>
    </row>
    <row r="493" spans="1:26">
      <c r="A493" s="53" t="s">
        <v>3561</v>
      </c>
      <c r="B493" s="30">
        <f>GotTok_Indirekt!AI90</f>
        <v>0</v>
      </c>
      <c r="C493" s="39">
        <f>GotTok_Indirekt!AP90</f>
        <v>0</v>
      </c>
      <c r="D493" s="4"/>
      <c r="E493" s="4"/>
      <c r="F493" s="4"/>
      <c r="G493" s="4"/>
      <c r="H493" s="4"/>
      <c r="I493" s="4"/>
      <c r="J493" s="4"/>
      <c r="K493" s="4"/>
      <c r="L493" s="4"/>
      <c r="M493" s="4"/>
      <c r="N493" s="4"/>
      <c r="O493" s="4"/>
      <c r="P493" s="4"/>
      <c r="Q493" s="4"/>
      <c r="R493" s="4"/>
      <c r="S493" s="4"/>
      <c r="T493" s="4"/>
      <c r="U493" s="4"/>
      <c r="V493" s="4"/>
      <c r="W493" s="4"/>
      <c r="X493" s="4"/>
      <c r="Y493" s="4"/>
      <c r="Z493" s="37"/>
    </row>
    <row r="494" spans="1:26">
      <c r="A494" s="53" t="s">
        <v>3562</v>
      </c>
      <c r="B494" s="30">
        <f>GotTok_Indirekt!AI91</f>
        <v>0</v>
      </c>
      <c r="C494" s="39">
        <f>GotTok_Indirekt!AP91</f>
        <v>0</v>
      </c>
      <c r="D494" s="4"/>
      <c r="E494" s="4"/>
      <c r="F494" s="4"/>
      <c r="G494" s="4"/>
      <c r="H494" s="4"/>
      <c r="I494" s="4"/>
      <c r="J494" s="4"/>
      <c r="K494" s="4"/>
      <c r="L494" s="4"/>
      <c r="M494" s="4"/>
      <c r="N494" s="4"/>
      <c r="O494" s="4"/>
      <c r="P494" s="4"/>
      <c r="Q494" s="4"/>
      <c r="R494" s="4"/>
      <c r="S494" s="4"/>
      <c r="T494" s="4"/>
      <c r="U494" s="4"/>
      <c r="V494" s="4"/>
      <c r="W494" s="4"/>
      <c r="X494" s="4"/>
      <c r="Y494" s="4"/>
      <c r="Z494" s="37"/>
    </row>
    <row r="495" spans="1:26">
      <c r="A495" s="53" t="s">
        <v>3563</v>
      </c>
      <c r="B495" s="30">
        <f>GotTok_Indirekt!AI92</f>
        <v>0</v>
      </c>
      <c r="C495" s="39">
        <f>GotTok_Indirekt!AP92</f>
        <v>0</v>
      </c>
      <c r="D495" s="4"/>
      <c r="E495" s="4"/>
      <c r="F495" s="4"/>
      <c r="G495" s="4"/>
      <c r="H495" s="4"/>
      <c r="I495" s="4"/>
      <c r="J495" s="4"/>
      <c r="K495" s="4"/>
      <c r="L495" s="4"/>
      <c r="M495" s="4"/>
      <c r="N495" s="4"/>
      <c r="O495" s="4"/>
      <c r="P495" s="4"/>
      <c r="Q495" s="4"/>
      <c r="R495" s="4"/>
      <c r="S495" s="4"/>
      <c r="T495" s="4"/>
      <c r="U495" s="4"/>
      <c r="V495" s="4"/>
      <c r="W495" s="4"/>
      <c r="X495" s="4"/>
      <c r="Y495" s="4"/>
      <c r="Z495" s="37"/>
    </row>
    <row r="496" spans="1:26">
      <c r="A496" s="53" t="s">
        <v>3564</v>
      </c>
      <c r="B496" s="30">
        <f>GotTok_Indirekt!AI93</f>
        <v>0</v>
      </c>
      <c r="C496" s="39">
        <f>GotTok_Indirekt!AP93</f>
        <v>0</v>
      </c>
      <c r="D496" s="4"/>
      <c r="E496" s="4"/>
      <c r="F496" s="4"/>
      <c r="G496" s="4"/>
      <c r="H496" s="4"/>
      <c r="I496" s="4"/>
      <c r="J496" s="4"/>
      <c r="K496" s="4"/>
      <c r="L496" s="4"/>
      <c r="M496" s="4"/>
      <c r="N496" s="4"/>
      <c r="O496" s="4"/>
      <c r="P496" s="4"/>
      <c r="Q496" s="4"/>
      <c r="R496" s="4"/>
      <c r="S496" s="4"/>
      <c r="T496" s="4"/>
      <c r="U496" s="4"/>
      <c r="V496" s="4"/>
      <c r="W496" s="4"/>
      <c r="X496" s="4"/>
      <c r="Y496" s="4"/>
      <c r="Z496" s="37"/>
    </row>
    <row r="497" spans="1:26">
      <c r="A497" s="53"/>
      <c r="B497" s="30">
        <f>GotTok_Indirekt!AI94</f>
        <v>0</v>
      </c>
      <c r="C497" s="39">
        <f>GotTok_Indirekt!AP94</f>
        <v>0</v>
      </c>
      <c r="D497" s="4"/>
      <c r="E497" s="4"/>
      <c r="F497" s="4"/>
      <c r="G497" s="4"/>
      <c r="H497" s="4"/>
      <c r="I497" s="4"/>
      <c r="J497" s="4"/>
      <c r="K497" s="4"/>
      <c r="L497" s="4"/>
      <c r="M497" s="4"/>
      <c r="N497" s="4"/>
      <c r="O497" s="4"/>
      <c r="P497" s="4"/>
      <c r="Q497" s="4"/>
      <c r="R497" s="4"/>
      <c r="S497" s="4"/>
      <c r="T497" s="4"/>
      <c r="U497" s="4"/>
      <c r="V497" s="4"/>
      <c r="W497" s="4"/>
      <c r="X497" s="4"/>
      <c r="Y497" s="4"/>
      <c r="Z497" s="37"/>
    </row>
    <row r="498" spans="1:26">
      <c r="A498" s="53" t="s">
        <v>3567</v>
      </c>
      <c r="B498" s="30">
        <f>GotTok_Indirekt!AI95</f>
        <v>0</v>
      </c>
      <c r="C498" s="39">
        <f>GotTok_Indirekt!AP95</f>
        <v>0</v>
      </c>
      <c r="D498" s="4"/>
      <c r="E498" s="4"/>
      <c r="F498" s="4"/>
      <c r="G498" s="4"/>
      <c r="H498" s="4"/>
      <c r="I498" s="4"/>
      <c r="J498" s="4"/>
      <c r="K498" s="4"/>
      <c r="L498" s="4"/>
      <c r="M498" s="4"/>
      <c r="N498" s="4"/>
      <c r="O498" s="4"/>
      <c r="P498" s="4"/>
      <c r="Q498" s="4"/>
      <c r="R498" s="4"/>
      <c r="S498" s="4"/>
      <c r="T498" s="4"/>
      <c r="U498" s="4"/>
      <c r="V498" s="4"/>
      <c r="W498" s="4"/>
      <c r="X498" s="4"/>
      <c r="Y498" s="4"/>
      <c r="Z498" s="37"/>
    </row>
    <row r="499" spans="1:26">
      <c r="A499" s="53" t="s">
        <v>3568</v>
      </c>
      <c r="B499" s="30">
        <f>GotTok_Indirekt!AI96</f>
        <v>0</v>
      </c>
      <c r="C499" s="39">
        <f>GotTok_Indirekt!AP96</f>
        <v>0</v>
      </c>
      <c r="D499" s="4"/>
      <c r="E499" s="4"/>
      <c r="F499" s="4"/>
      <c r="G499" s="4"/>
      <c r="H499" s="4"/>
      <c r="I499" s="4"/>
      <c r="J499" s="4"/>
      <c r="K499" s="4"/>
      <c r="L499" s="4"/>
      <c r="M499" s="4"/>
      <c r="N499" s="4"/>
      <c r="O499" s="4"/>
      <c r="P499" s="4"/>
      <c r="Q499" s="4"/>
      <c r="R499" s="4"/>
      <c r="S499" s="4"/>
      <c r="T499" s="4"/>
      <c r="U499" s="4"/>
      <c r="V499" s="4"/>
      <c r="W499" s="4"/>
      <c r="X499" s="4"/>
      <c r="Y499" s="4"/>
      <c r="Z499" s="37"/>
    </row>
    <row r="500" spans="1:26">
      <c r="A500" s="53" t="s">
        <v>3569</v>
      </c>
      <c r="B500" s="30">
        <f>GotTok_Indirekt!AI97</f>
        <v>0</v>
      </c>
      <c r="C500" s="39">
        <f>GotTok_Indirekt!AP97</f>
        <v>0</v>
      </c>
      <c r="D500" s="4"/>
      <c r="E500" s="4"/>
      <c r="F500" s="4"/>
      <c r="G500" s="4"/>
      <c r="H500" s="4"/>
      <c r="I500" s="4"/>
      <c r="J500" s="4"/>
      <c r="K500" s="4"/>
      <c r="L500" s="4"/>
      <c r="M500" s="4"/>
      <c r="N500" s="4"/>
      <c r="O500" s="4"/>
      <c r="P500" s="4"/>
      <c r="Q500" s="4"/>
      <c r="R500" s="4"/>
      <c r="S500" s="4"/>
      <c r="T500" s="4"/>
      <c r="U500" s="4"/>
      <c r="V500" s="4"/>
      <c r="W500" s="4"/>
      <c r="X500" s="4"/>
      <c r="Y500" s="4"/>
      <c r="Z500" s="37"/>
    </row>
    <row r="501" spans="1:26">
      <c r="A501" s="53" t="s">
        <v>3570</v>
      </c>
      <c r="B501" s="30">
        <f>GotTok_Indirekt!AI98</f>
        <v>0</v>
      </c>
      <c r="C501" s="39">
        <f>GotTok_Indirekt!AP98</f>
        <v>0</v>
      </c>
      <c r="D501" s="4"/>
      <c r="E501" s="4"/>
      <c r="F501" s="4"/>
      <c r="G501" s="4"/>
      <c r="H501" s="4"/>
      <c r="I501" s="4"/>
      <c r="J501" s="4"/>
      <c r="K501" s="4"/>
      <c r="L501" s="4"/>
      <c r="M501" s="4"/>
      <c r="N501" s="4"/>
      <c r="O501" s="4"/>
      <c r="P501" s="4"/>
      <c r="Q501" s="4"/>
      <c r="R501" s="4"/>
      <c r="S501" s="4"/>
      <c r="T501" s="4"/>
      <c r="U501" s="4"/>
      <c r="V501" s="4"/>
      <c r="W501" s="4"/>
      <c r="X501" s="4"/>
      <c r="Y501" s="4"/>
      <c r="Z501" s="37"/>
    </row>
    <row r="502" spans="1:26">
      <c r="A502" s="53" t="s">
        <v>3571</v>
      </c>
      <c r="B502" s="30">
        <f>GotTok_Indirekt!AI99</f>
        <v>0</v>
      </c>
      <c r="C502" s="39">
        <f>GotTok_Indirekt!AP99</f>
        <v>0</v>
      </c>
      <c r="D502" s="4"/>
      <c r="E502" s="4"/>
      <c r="F502" s="4"/>
      <c r="G502" s="4"/>
      <c r="H502" s="4"/>
      <c r="I502" s="4"/>
      <c r="J502" s="4"/>
      <c r="K502" s="4"/>
      <c r="L502" s="4"/>
      <c r="M502" s="4"/>
      <c r="N502" s="4"/>
      <c r="O502" s="4"/>
      <c r="P502" s="4"/>
      <c r="Q502" s="4"/>
      <c r="R502" s="4"/>
      <c r="S502" s="4"/>
      <c r="T502" s="4"/>
      <c r="U502" s="4"/>
      <c r="V502" s="4"/>
      <c r="W502" s="4"/>
      <c r="X502" s="4"/>
      <c r="Y502" s="4"/>
      <c r="Z502" s="37"/>
    </row>
    <row r="503" spans="1:26">
      <c r="A503" s="53" t="s">
        <v>3572</v>
      </c>
      <c r="B503" s="30">
        <f>GotTok_Indirekt!AI100</f>
        <v>0</v>
      </c>
      <c r="C503" s="39">
        <f>GotTok_Indirekt!AP100</f>
        <v>-13023</v>
      </c>
      <c r="D503" s="4"/>
      <c r="E503" s="4"/>
      <c r="F503" s="4"/>
      <c r="G503" s="4"/>
      <c r="H503" s="4"/>
      <c r="I503" s="4"/>
      <c r="J503" s="4"/>
      <c r="K503" s="4"/>
      <c r="L503" s="4"/>
      <c r="M503" s="4"/>
      <c r="N503" s="4"/>
      <c r="O503" s="4"/>
      <c r="P503" s="4"/>
      <c r="Q503" s="4"/>
      <c r="R503" s="4"/>
      <c r="S503" s="4"/>
      <c r="T503" s="4"/>
      <c r="U503" s="4"/>
      <c r="V503" s="4"/>
      <c r="W503" s="4"/>
      <c r="X503" s="4"/>
      <c r="Y503" s="4"/>
      <c r="Z503" s="37"/>
    </row>
    <row r="504" spans="1:26">
      <c r="A504" s="53" t="s">
        <v>608</v>
      </c>
      <c r="B504" s="30">
        <f>GotTok_Indirekt!AI101</f>
        <v>0</v>
      </c>
      <c r="C504" s="39">
        <f>GotTok_Indirekt!AP101</f>
        <v>0</v>
      </c>
      <c r="D504" s="4"/>
      <c r="E504" s="4"/>
      <c r="F504" s="4"/>
      <c r="G504" s="4"/>
      <c r="H504" s="4"/>
      <c r="I504" s="4"/>
      <c r="J504" s="4"/>
      <c r="K504" s="4"/>
      <c r="L504" s="4"/>
      <c r="M504" s="4"/>
      <c r="N504" s="4"/>
      <c r="O504" s="4"/>
      <c r="P504" s="4"/>
      <c r="Q504" s="4"/>
      <c r="R504" s="4"/>
      <c r="S504" s="4"/>
      <c r="T504" s="4"/>
      <c r="U504" s="4"/>
      <c r="V504" s="4"/>
      <c r="W504" s="4"/>
      <c r="X504" s="4"/>
      <c r="Y504" s="4"/>
      <c r="Z504" s="37"/>
    </row>
    <row r="505" spans="1:26">
      <c r="A505" s="53" t="s">
        <v>620</v>
      </c>
      <c r="B505" s="30">
        <f>GotTok_Indirekt!AI102</f>
        <v>0</v>
      </c>
      <c r="C505" s="39">
        <f>GotTok_Indirekt!AP102</f>
        <v>0</v>
      </c>
      <c r="D505" s="4"/>
      <c r="E505" s="4"/>
      <c r="F505" s="4"/>
      <c r="G505" s="4"/>
      <c r="H505" s="4"/>
      <c r="I505" s="4"/>
      <c r="J505" s="4"/>
      <c r="K505" s="4"/>
      <c r="L505" s="4"/>
      <c r="M505" s="4"/>
      <c r="N505" s="4"/>
      <c r="O505" s="4"/>
      <c r="P505" s="4"/>
      <c r="Q505" s="4"/>
      <c r="R505" s="4"/>
      <c r="S505" s="4"/>
      <c r="T505" s="4"/>
      <c r="U505" s="4"/>
      <c r="V505" s="4"/>
      <c r="W505" s="4"/>
      <c r="X505" s="4"/>
      <c r="Y505" s="4"/>
      <c r="Z505" s="37"/>
    </row>
    <row r="506" spans="1:26">
      <c r="A506" s="53" t="s">
        <v>3573</v>
      </c>
      <c r="B506" s="30">
        <f>GotTok_Indirekt!AI103</f>
        <v>0</v>
      </c>
      <c r="C506" s="39">
        <f>GotTok_Indirekt!AP103</f>
        <v>0</v>
      </c>
      <c r="D506" s="4"/>
      <c r="E506" s="4"/>
      <c r="F506" s="4"/>
      <c r="G506" s="4"/>
      <c r="H506" s="4"/>
      <c r="I506" s="4"/>
      <c r="J506" s="4"/>
      <c r="K506" s="4"/>
      <c r="L506" s="4"/>
      <c r="M506" s="4"/>
      <c r="N506" s="4"/>
      <c r="O506" s="4"/>
      <c r="P506" s="4"/>
      <c r="Q506" s="4"/>
      <c r="R506" s="4"/>
      <c r="S506" s="4"/>
      <c r="T506" s="4"/>
      <c r="U506" s="4"/>
      <c r="V506" s="4"/>
      <c r="W506" s="4"/>
      <c r="X506" s="4"/>
      <c r="Y506" s="4"/>
      <c r="Z506" s="37"/>
    </row>
    <row r="507" spans="1:26">
      <c r="A507" s="53" t="s">
        <v>3574</v>
      </c>
      <c r="B507" s="30">
        <f>GotTok_Indirekt!AI104</f>
        <v>0</v>
      </c>
      <c r="C507" s="39">
        <f>GotTok_Indirekt!AP104</f>
        <v>0</v>
      </c>
      <c r="D507" s="4"/>
      <c r="E507" s="4"/>
      <c r="F507" s="4"/>
      <c r="G507" s="4"/>
      <c r="H507" s="4"/>
      <c r="I507" s="4"/>
      <c r="J507" s="4"/>
      <c r="K507" s="4"/>
      <c r="L507" s="4"/>
      <c r="M507" s="4"/>
      <c r="N507" s="4"/>
      <c r="O507" s="4"/>
      <c r="P507" s="4"/>
      <c r="Q507" s="4"/>
      <c r="R507" s="4"/>
      <c r="S507" s="4"/>
      <c r="T507" s="4"/>
      <c r="U507" s="4"/>
      <c r="V507" s="4"/>
      <c r="W507" s="4"/>
      <c r="X507" s="4"/>
      <c r="Y507" s="4"/>
      <c r="Z507" s="37"/>
    </row>
    <row r="508" spans="1:26">
      <c r="A508" s="53" t="s">
        <v>3575</v>
      </c>
      <c r="B508" s="30">
        <f>GotTok_Indirekt!AI105</f>
        <v>0</v>
      </c>
      <c r="C508" s="39">
        <f>GotTok_Indirekt!AP105</f>
        <v>0</v>
      </c>
      <c r="D508" s="4"/>
      <c r="E508" s="4"/>
      <c r="F508" s="4"/>
      <c r="G508" s="4"/>
      <c r="H508" s="4"/>
      <c r="I508" s="4"/>
      <c r="J508" s="4"/>
      <c r="K508" s="4"/>
      <c r="L508" s="4"/>
      <c r="M508" s="4"/>
      <c r="N508" s="4"/>
      <c r="O508" s="4"/>
      <c r="P508" s="4"/>
      <c r="Q508" s="4"/>
      <c r="R508" s="4"/>
      <c r="S508" s="4"/>
      <c r="T508" s="4"/>
      <c r="U508" s="4"/>
      <c r="V508" s="4"/>
      <c r="W508" s="4"/>
      <c r="X508" s="4"/>
      <c r="Y508" s="4"/>
      <c r="Z508" s="37"/>
    </row>
    <row r="509" spans="1:26">
      <c r="A509" s="53" t="s">
        <v>3576</v>
      </c>
      <c r="B509" s="30">
        <f>GotTok_Indirekt!AI106</f>
        <v>0</v>
      </c>
      <c r="C509" s="39">
        <f>GotTok_Indirekt!AP106</f>
        <v>0</v>
      </c>
      <c r="D509" s="4"/>
      <c r="E509" s="4"/>
      <c r="F509" s="4"/>
      <c r="G509" s="4"/>
      <c r="H509" s="4"/>
      <c r="I509" s="4"/>
      <c r="J509" s="4"/>
      <c r="K509" s="4"/>
      <c r="L509" s="4"/>
      <c r="M509" s="4"/>
      <c r="N509" s="4"/>
      <c r="O509" s="4"/>
      <c r="P509" s="4"/>
      <c r="Q509" s="4"/>
      <c r="R509" s="4"/>
      <c r="S509" s="4"/>
      <c r="T509" s="4"/>
      <c r="U509" s="4"/>
      <c r="V509" s="4"/>
      <c r="W509" s="4"/>
      <c r="X509" s="4"/>
      <c r="Y509" s="4"/>
      <c r="Z509" s="37"/>
    </row>
    <row r="510" spans="1:26">
      <c r="A510" s="53" t="s">
        <v>3577</v>
      </c>
      <c r="B510" s="30">
        <f>GotTok_Indirekt!AI107</f>
        <v>0</v>
      </c>
      <c r="C510" s="39">
        <f>GotTok_Indirekt!AP107</f>
        <v>0</v>
      </c>
      <c r="D510" s="4"/>
      <c r="E510" s="4"/>
      <c r="F510" s="4"/>
      <c r="G510" s="4"/>
      <c r="H510" s="4"/>
      <c r="I510" s="4"/>
      <c r="J510" s="4"/>
      <c r="K510" s="4"/>
      <c r="L510" s="4"/>
      <c r="M510" s="4"/>
      <c r="N510" s="4"/>
      <c r="O510" s="4"/>
      <c r="P510" s="4"/>
      <c r="Q510" s="4"/>
      <c r="R510" s="4"/>
      <c r="S510" s="4"/>
      <c r="T510" s="4"/>
      <c r="U510" s="4"/>
      <c r="V510" s="4"/>
      <c r="W510" s="4"/>
      <c r="X510" s="4"/>
      <c r="Y510" s="4"/>
      <c r="Z510" s="37"/>
    </row>
    <row r="511" spans="1:26">
      <c r="A511" s="53" t="s">
        <v>3578</v>
      </c>
      <c r="B511" s="30">
        <f>GotTok_Indirekt!AI108</f>
        <v>0</v>
      </c>
      <c r="C511" s="39">
        <f>GotTok_Indirekt!AP108</f>
        <v>-13023</v>
      </c>
      <c r="D511" s="4"/>
      <c r="E511" s="4"/>
      <c r="F511" s="4"/>
      <c r="G511" s="4"/>
      <c r="H511" s="4"/>
      <c r="I511" s="4"/>
      <c r="J511" s="4"/>
      <c r="K511" s="4"/>
      <c r="L511" s="4"/>
      <c r="M511" s="4"/>
      <c r="N511" s="4"/>
      <c r="O511" s="4"/>
      <c r="P511" s="4"/>
      <c r="Q511" s="4"/>
      <c r="R511" s="4"/>
      <c r="S511" s="4"/>
      <c r="T511" s="4"/>
      <c r="U511" s="4"/>
      <c r="V511" s="4"/>
      <c r="W511" s="4"/>
      <c r="X511" s="4"/>
      <c r="Y511" s="4"/>
      <c r="Z511" s="37"/>
    </row>
    <row r="512" spans="1:26">
      <c r="A512" s="53" t="s">
        <v>3582</v>
      </c>
      <c r="B512" s="30">
        <f>GotTok_Indirekt!AI109</f>
        <v>2280</v>
      </c>
      <c r="C512" s="39">
        <f>GotTok_Indirekt!AP109</f>
        <v>-349</v>
      </c>
      <c r="D512" s="4"/>
      <c r="E512" s="4"/>
      <c r="F512" s="4"/>
      <c r="G512" s="4"/>
      <c r="H512" s="4"/>
      <c r="I512" s="4"/>
      <c r="J512" s="4"/>
      <c r="K512" s="4"/>
      <c r="L512" s="4"/>
      <c r="M512" s="4"/>
      <c r="N512" s="4"/>
      <c r="O512" s="4"/>
      <c r="P512" s="4"/>
      <c r="Q512" s="4"/>
      <c r="R512" s="4"/>
      <c r="S512" s="4"/>
      <c r="T512" s="4"/>
      <c r="U512" s="4"/>
      <c r="V512" s="4"/>
      <c r="W512" s="4"/>
      <c r="X512" s="4"/>
      <c r="Y512" s="4"/>
      <c r="Z512" s="37"/>
    </row>
    <row r="513" spans="1:26">
      <c r="A513" s="53" t="s">
        <v>3583</v>
      </c>
      <c r="B513" s="30">
        <f>GotTok_Indirekt!AI110</f>
        <v>47</v>
      </c>
      <c r="C513" s="39">
        <f>GotTok_Indirekt!AP110</f>
        <v>396</v>
      </c>
      <c r="D513" s="4"/>
      <c r="E513" s="4"/>
      <c r="F513" s="4"/>
      <c r="G513" s="4"/>
      <c r="H513" s="4"/>
      <c r="I513" s="4"/>
      <c r="J513" s="4"/>
      <c r="K513" s="4"/>
      <c r="L513" s="4"/>
      <c r="M513" s="4"/>
      <c r="N513" s="4"/>
      <c r="O513" s="4"/>
      <c r="P513" s="4"/>
      <c r="Q513" s="4"/>
      <c r="R513" s="4"/>
      <c r="S513" s="4"/>
      <c r="T513" s="4"/>
      <c r="U513" s="4"/>
      <c r="V513" s="4"/>
      <c r="W513" s="4"/>
      <c r="X513" s="4"/>
      <c r="Y513" s="4"/>
      <c r="Z513" s="37"/>
    </row>
    <row r="514" spans="1:26">
      <c r="A514" s="53" t="s">
        <v>3584</v>
      </c>
      <c r="B514" s="30">
        <f>GotTok_Indirekt!AI111</f>
        <v>0</v>
      </c>
      <c r="C514" s="39">
        <f>GotTok_Indirekt!AP111</f>
        <v>0</v>
      </c>
      <c r="D514" s="4"/>
      <c r="E514" s="4"/>
      <c r="F514" s="4"/>
      <c r="G514" s="4"/>
      <c r="H514" s="4"/>
      <c r="I514" s="4"/>
      <c r="J514" s="4"/>
      <c r="K514" s="4"/>
      <c r="L514" s="4"/>
      <c r="M514" s="4"/>
      <c r="N514" s="4"/>
      <c r="O514" s="4"/>
      <c r="P514" s="4"/>
      <c r="Q514" s="4"/>
      <c r="R514" s="4"/>
      <c r="S514" s="4"/>
      <c r="T514" s="4"/>
      <c r="U514" s="4"/>
      <c r="V514" s="4"/>
      <c r="W514" s="4"/>
      <c r="X514" s="4"/>
      <c r="Y514" s="4"/>
      <c r="Z514" s="37"/>
    </row>
    <row r="515" spans="1:26">
      <c r="A515" s="53" t="s">
        <v>3585</v>
      </c>
      <c r="B515" s="30">
        <f>GotTok_Indirekt!AI112</f>
        <v>2327</v>
      </c>
      <c r="C515" s="39">
        <f>GotTok_Indirekt!AP112</f>
        <v>47</v>
      </c>
      <c r="D515" s="4"/>
      <c r="E515" s="4"/>
      <c r="F515" s="4"/>
      <c r="G515" s="4"/>
      <c r="H515" s="4"/>
      <c r="I515" s="4"/>
      <c r="J515" s="4"/>
      <c r="K515" s="4"/>
      <c r="L515" s="4"/>
      <c r="M515" s="4"/>
      <c r="N515" s="4"/>
      <c r="O515" s="4"/>
      <c r="P515" s="4"/>
      <c r="Q515" s="4"/>
      <c r="R515" s="4"/>
      <c r="S515" s="4"/>
      <c r="T515" s="4"/>
      <c r="U515" s="4"/>
      <c r="V515" s="4"/>
      <c r="W515" s="4"/>
      <c r="X515" s="4"/>
      <c r="Y515" s="4"/>
      <c r="Z515" s="37"/>
    </row>
    <row r="516" ht="14.25" spans="1:26">
      <c r="A516" s="71"/>
      <c r="B516" s="71"/>
      <c r="C516" s="4"/>
      <c r="D516" s="71"/>
      <c r="E516" s="4"/>
      <c r="F516" s="4"/>
      <c r="G516" s="4"/>
      <c r="H516" s="4"/>
      <c r="I516" s="4"/>
      <c r="J516" s="4"/>
      <c r="K516" s="4"/>
      <c r="L516" s="4"/>
      <c r="M516" s="4"/>
      <c r="N516" s="4"/>
      <c r="O516" s="4"/>
      <c r="P516" s="4"/>
      <c r="Q516" s="4"/>
      <c r="R516" s="4"/>
      <c r="S516" s="4"/>
      <c r="T516" s="4"/>
      <c r="U516" s="4"/>
      <c r="V516" s="4"/>
      <c r="W516" s="4"/>
      <c r="X516" s="4"/>
      <c r="Y516" s="4"/>
      <c r="Z516" s="37"/>
    </row>
    <row r="517" ht="14.25" spans="1:26">
      <c r="A517" s="71"/>
      <c r="B517" s="71"/>
      <c r="C517" s="71"/>
      <c r="D517" s="71"/>
      <c r="E517" s="4"/>
      <c r="F517" s="4"/>
      <c r="G517" s="4"/>
      <c r="H517" s="4"/>
      <c r="I517" s="4"/>
      <c r="J517" s="4"/>
      <c r="K517" s="4"/>
      <c r="L517" s="4"/>
      <c r="M517" s="4"/>
      <c r="N517" s="4"/>
      <c r="O517" s="4"/>
      <c r="P517" s="4"/>
      <c r="Q517" s="4"/>
      <c r="R517" s="4"/>
      <c r="S517" s="4"/>
      <c r="T517" s="4"/>
      <c r="U517" s="4"/>
      <c r="V517" s="4"/>
      <c r="W517" s="4"/>
      <c r="X517" s="4"/>
      <c r="Y517" s="4"/>
      <c r="Z517" s="37"/>
    </row>
    <row r="518" ht="14.25" spans="1:26">
      <c r="A518" s="71"/>
      <c r="B518" s="71"/>
      <c r="C518" s="71"/>
      <c r="D518" s="71"/>
      <c r="E518" s="4"/>
      <c r="F518" s="4"/>
      <c r="G518" s="4"/>
      <c r="H518" s="4"/>
      <c r="I518" s="4"/>
      <c r="J518" s="4"/>
      <c r="K518" s="4"/>
      <c r="L518" s="4"/>
      <c r="M518" s="4"/>
      <c r="N518" s="4"/>
      <c r="O518" s="4"/>
      <c r="P518" s="4"/>
      <c r="Q518" s="4"/>
      <c r="R518" s="4"/>
      <c r="S518" s="4"/>
      <c r="T518" s="4"/>
      <c r="U518" s="4"/>
      <c r="V518" s="4"/>
      <c r="W518" s="4"/>
      <c r="X518" s="4"/>
      <c r="Y518" s="4"/>
      <c r="Z518" s="37"/>
    </row>
    <row r="519" ht="14.25" spans="1:26">
      <c r="A519" s="71"/>
      <c r="B519" s="71"/>
      <c r="C519" s="71"/>
      <c r="D519" s="4"/>
      <c r="E519" s="4"/>
      <c r="F519" s="4"/>
      <c r="G519" s="4"/>
      <c r="H519" s="4"/>
      <c r="I519" s="4"/>
      <c r="J519" s="4"/>
      <c r="K519" s="4"/>
      <c r="L519" s="4"/>
      <c r="M519" s="4"/>
      <c r="N519" s="4"/>
      <c r="O519" s="4"/>
      <c r="P519" s="4"/>
      <c r="Q519" s="4"/>
      <c r="R519" s="4"/>
      <c r="S519" s="4"/>
      <c r="T519" s="4"/>
      <c r="U519" s="4"/>
      <c r="V519" s="4"/>
      <c r="W519" s="4"/>
      <c r="X519" s="4"/>
      <c r="Y519" s="4"/>
      <c r="Z519" s="37"/>
    </row>
    <row r="520" ht="14.25" spans="1:26">
      <c r="A520" s="71"/>
      <c r="B520" s="71"/>
      <c r="C520" s="71"/>
      <c r="D520" s="4"/>
      <c r="E520" s="4"/>
      <c r="F520" s="4"/>
      <c r="G520" s="4"/>
      <c r="H520" s="4"/>
      <c r="I520" s="4"/>
      <c r="J520" s="4"/>
      <c r="K520" s="4"/>
      <c r="L520" s="4"/>
      <c r="M520" s="4"/>
      <c r="N520" s="4"/>
      <c r="O520" s="4"/>
      <c r="P520" s="4"/>
      <c r="Q520" s="4"/>
      <c r="R520" s="4"/>
      <c r="S520" s="4"/>
      <c r="T520" s="4"/>
      <c r="U520" s="4"/>
      <c r="V520" s="4"/>
      <c r="W520" s="4"/>
      <c r="X520" s="4"/>
      <c r="Y520" s="4"/>
      <c r="Z520" s="37"/>
    </row>
    <row r="521" ht="14.25" spans="1:26">
      <c r="A521" s="71"/>
      <c r="B521" s="71"/>
      <c r="C521" s="71"/>
      <c r="D521" s="4"/>
      <c r="E521" s="4"/>
      <c r="F521" s="4"/>
      <c r="G521" s="4"/>
      <c r="H521" s="4"/>
      <c r="I521" s="4"/>
      <c r="J521" s="4"/>
      <c r="K521" s="4"/>
      <c r="L521" s="4"/>
      <c r="M521" s="4"/>
      <c r="N521" s="4"/>
      <c r="O521" s="4"/>
      <c r="P521" s="4"/>
      <c r="Q521" s="4"/>
      <c r="R521" s="4"/>
      <c r="S521" s="4"/>
      <c r="T521" s="4"/>
      <c r="U521" s="4"/>
      <c r="V521" s="4"/>
      <c r="W521" s="4"/>
      <c r="X521" s="4"/>
      <c r="Y521" s="4"/>
      <c r="Z521" s="37"/>
    </row>
    <row r="522" ht="14.25" spans="1:26">
      <c r="A522" s="71"/>
      <c r="B522" s="71"/>
      <c r="C522" s="71"/>
      <c r="D522" s="4"/>
      <c r="E522" s="4"/>
      <c r="F522" s="4"/>
      <c r="G522" s="4"/>
      <c r="H522" s="4"/>
      <c r="I522" s="4"/>
      <c r="J522" s="4"/>
      <c r="K522" s="4"/>
      <c r="L522" s="4"/>
      <c r="M522" s="4"/>
      <c r="N522" s="4"/>
      <c r="O522" s="4"/>
      <c r="P522" s="4"/>
      <c r="Q522" s="4"/>
      <c r="R522" s="4"/>
      <c r="S522" s="4"/>
      <c r="T522" s="4"/>
      <c r="U522" s="4"/>
      <c r="V522" s="4"/>
      <c r="W522" s="4"/>
      <c r="X522" s="4"/>
      <c r="Y522" s="4"/>
      <c r="Z522" s="37"/>
    </row>
    <row r="523" ht="14.25" spans="1:26">
      <c r="A523" s="71"/>
      <c r="B523" s="71"/>
      <c r="C523" s="71"/>
      <c r="D523" s="4"/>
      <c r="E523" s="4"/>
      <c r="F523" s="4"/>
      <c r="G523" s="4"/>
      <c r="H523" s="4"/>
      <c r="I523" s="4"/>
      <c r="J523" s="4"/>
      <c r="K523" s="4"/>
      <c r="L523" s="4"/>
      <c r="M523" s="4"/>
      <c r="N523" s="4"/>
      <c r="O523" s="4"/>
      <c r="P523" s="4"/>
      <c r="Q523" s="4"/>
      <c r="R523" s="4"/>
      <c r="S523" s="4"/>
      <c r="T523" s="4"/>
      <c r="U523" s="4"/>
      <c r="V523" s="4"/>
      <c r="W523" s="4"/>
      <c r="X523" s="4"/>
      <c r="Y523" s="4"/>
      <c r="Z523" s="37"/>
    </row>
    <row r="524" ht="14.25" spans="1:26">
      <c r="A524" s="71"/>
      <c r="B524" s="71"/>
      <c r="C524" s="71"/>
      <c r="D524" s="4"/>
      <c r="E524" s="4"/>
      <c r="F524" s="4"/>
      <c r="G524" s="4"/>
      <c r="H524" s="4"/>
      <c r="I524" s="4"/>
      <c r="J524" s="4"/>
      <c r="K524" s="4"/>
      <c r="L524" s="4"/>
      <c r="M524" s="4"/>
      <c r="N524" s="4"/>
      <c r="O524" s="4"/>
      <c r="P524" s="4"/>
      <c r="Q524" s="4"/>
      <c r="R524" s="4"/>
      <c r="S524" s="4"/>
      <c r="T524" s="4"/>
      <c r="U524" s="4"/>
      <c r="V524" s="4"/>
      <c r="W524" s="4"/>
      <c r="X524" s="4"/>
      <c r="Y524" s="4"/>
      <c r="Z524" s="37"/>
    </row>
    <row r="525" ht="14.25" spans="1:26">
      <c r="A525" s="71"/>
      <c r="B525" s="71"/>
      <c r="C525" s="71"/>
      <c r="D525" s="4"/>
      <c r="E525" s="4"/>
      <c r="F525" s="4"/>
      <c r="G525" s="4"/>
      <c r="H525" s="4"/>
      <c r="I525" s="4"/>
      <c r="J525" s="4"/>
      <c r="K525" s="4"/>
      <c r="L525" s="4"/>
      <c r="M525" s="4"/>
      <c r="N525" s="4"/>
      <c r="O525" s="4"/>
      <c r="P525" s="4"/>
      <c r="Q525" s="4"/>
      <c r="R525" s="4"/>
      <c r="S525" s="4"/>
      <c r="T525" s="4"/>
      <c r="U525" s="4"/>
      <c r="V525" s="4"/>
      <c r="W525" s="4"/>
      <c r="X525" s="4"/>
      <c r="Y525" s="4"/>
      <c r="Z525" s="37"/>
    </row>
    <row r="526" ht="14.25" spans="1:26">
      <c r="A526" s="71"/>
      <c r="B526" s="71"/>
      <c r="C526" s="71"/>
      <c r="D526" s="4"/>
      <c r="E526" s="4"/>
      <c r="F526" s="4"/>
      <c r="G526" s="4"/>
      <c r="H526" s="4"/>
      <c r="I526" s="4"/>
      <c r="J526" s="4"/>
      <c r="K526" s="4"/>
      <c r="L526" s="4"/>
      <c r="M526" s="4"/>
      <c r="N526" s="4"/>
      <c r="O526" s="4"/>
      <c r="P526" s="4"/>
      <c r="Q526" s="4"/>
      <c r="R526" s="4"/>
      <c r="S526" s="4"/>
      <c r="T526" s="4"/>
      <c r="U526" s="4"/>
      <c r="V526" s="4"/>
      <c r="W526" s="4"/>
      <c r="X526" s="4"/>
      <c r="Y526" s="4"/>
      <c r="Z526" s="37"/>
    </row>
    <row r="527" ht="14.25" spans="1:26">
      <c r="A527" s="71"/>
      <c r="B527" s="71"/>
      <c r="C527" s="71"/>
      <c r="D527" s="4"/>
      <c r="E527" s="4"/>
      <c r="F527" s="4"/>
      <c r="G527" s="4"/>
      <c r="H527" s="4"/>
      <c r="I527" s="4"/>
      <c r="J527" s="4"/>
      <c r="K527" s="4"/>
      <c r="L527" s="4"/>
      <c r="M527" s="4"/>
      <c r="N527" s="4"/>
      <c r="O527" s="4"/>
      <c r="P527" s="4"/>
      <c r="Q527" s="4"/>
      <c r="R527" s="4"/>
      <c r="S527" s="4"/>
      <c r="T527" s="4"/>
      <c r="U527" s="4"/>
      <c r="V527" s="4"/>
      <c r="W527" s="4"/>
      <c r="X527" s="4"/>
      <c r="Y527" s="4"/>
      <c r="Z527" s="37"/>
    </row>
    <row r="528" ht="14.25" spans="1:26">
      <c r="A528" s="71"/>
      <c r="B528" s="71"/>
      <c r="C528" s="71"/>
      <c r="D528" s="4"/>
      <c r="E528" s="4"/>
      <c r="F528" s="4"/>
      <c r="G528" s="4"/>
      <c r="H528" s="4"/>
      <c r="I528" s="4"/>
      <c r="J528" s="4"/>
      <c r="K528" s="4"/>
      <c r="L528" s="4"/>
      <c r="M528" s="4"/>
      <c r="N528" s="4"/>
      <c r="O528" s="4"/>
      <c r="P528" s="4"/>
      <c r="Q528" s="4"/>
      <c r="R528" s="4"/>
      <c r="S528" s="4"/>
      <c r="T528" s="4"/>
      <c r="U528" s="4"/>
      <c r="V528" s="4"/>
      <c r="W528" s="4"/>
      <c r="X528" s="4"/>
      <c r="Y528" s="4"/>
      <c r="Z528" s="37"/>
    </row>
    <row r="529" ht="14.25" spans="1:26">
      <c r="A529" s="71"/>
      <c r="B529" s="71"/>
      <c r="C529" s="71"/>
      <c r="D529" s="4"/>
      <c r="E529" s="4"/>
      <c r="F529" s="4"/>
      <c r="G529" s="4"/>
      <c r="H529" s="4"/>
      <c r="I529" s="4"/>
      <c r="J529" s="4"/>
      <c r="K529" s="4"/>
      <c r="L529" s="4"/>
      <c r="M529" s="4"/>
      <c r="N529" s="4"/>
      <c r="O529" s="4"/>
      <c r="P529" s="4"/>
      <c r="Q529" s="4"/>
      <c r="R529" s="4"/>
      <c r="S529" s="4"/>
      <c r="T529" s="4"/>
      <c r="U529" s="4"/>
      <c r="V529" s="4"/>
      <c r="W529" s="4"/>
      <c r="X529" s="4"/>
      <c r="Y529" s="4"/>
      <c r="Z529" s="37"/>
    </row>
    <row r="530" ht="14.25" spans="1:26">
      <c r="A530" s="71"/>
      <c r="B530" s="71"/>
      <c r="C530" s="71"/>
      <c r="D530" s="71"/>
      <c r="E530" s="71"/>
      <c r="F530" s="71"/>
      <c r="G530" s="71"/>
      <c r="H530" s="4"/>
      <c r="I530" s="4"/>
      <c r="J530" s="4"/>
      <c r="K530" s="4"/>
      <c r="L530" s="4"/>
      <c r="M530" s="4"/>
      <c r="N530" s="4"/>
      <c r="O530" s="4"/>
      <c r="P530" s="4"/>
      <c r="Q530" s="4"/>
      <c r="R530" s="4"/>
      <c r="S530" s="4"/>
      <c r="T530" s="4"/>
      <c r="U530" s="4"/>
      <c r="V530" s="4"/>
      <c r="W530" s="4"/>
      <c r="X530" s="4"/>
      <c r="Y530" s="4"/>
      <c r="Z530" s="37"/>
    </row>
    <row r="531" ht="14.25" spans="1:26">
      <c r="A531" s="71"/>
      <c r="B531" s="71"/>
      <c r="C531" s="71"/>
      <c r="D531" s="71"/>
      <c r="E531" s="71"/>
      <c r="F531" s="71"/>
      <c r="G531" s="71"/>
      <c r="H531" s="4"/>
      <c r="I531" s="4"/>
      <c r="J531" s="4"/>
      <c r="K531" s="4"/>
      <c r="L531" s="4"/>
      <c r="M531" s="4"/>
      <c r="N531" s="4"/>
      <c r="O531" s="4"/>
      <c r="P531" s="4"/>
      <c r="Q531" s="4"/>
      <c r="R531" s="4"/>
      <c r="S531" s="4"/>
      <c r="T531" s="4"/>
      <c r="U531" s="4"/>
      <c r="V531" s="4"/>
      <c r="W531" s="4"/>
      <c r="X531" s="4"/>
      <c r="Y531" s="4"/>
      <c r="Z531" s="37"/>
    </row>
    <row r="532" ht="14.25" spans="1:26">
      <c r="A532" s="71"/>
      <c r="B532" s="71"/>
      <c r="C532" s="71"/>
      <c r="D532" s="71"/>
      <c r="E532" s="71"/>
      <c r="F532" s="71"/>
      <c r="G532" s="71"/>
      <c r="H532" s="4"/>
      <c r="I532" s="4"/>
      <c r="J532" s="4"/>
      <c r="K532" s="4"/>
      <c r="L532" s="4"/>
      <c r="M532" s="4"/>
      <c r="N532" s="4"/>
      <c r="O532" s="4"/>
      <c r="P532" s="4"/>
      <c r="Q532" s="4"/>
      <c r="R532" s="4"/>
      <c r="S532" s="4"/>
      <c r="T532" s="4"/>
      <c r="U532" s="4"/>
      <c r="V532" s="4"/>
      <c r="W532" s="4"/>
      <c r="X532" s="4"/>
      <c r="Y532" s="4"/>
      <c r="Z532" s="37"/>
    </row>
    <row r="533" ht="14.25" spans="1:26">
      <c r="A533" s="71"/>
      <c r="B533" s="71"/>
      <c r="C533" s="71"/>
      <c r="D533" s="71"/>
      <c r="E533" s="71"/>
      <c r="F533" s="71"/>
      <c r="G533" s="71"/>
      <c r="H533" s="4"/>
      <c r="I533" s="4"/>
      <c r="J533" s="4"/>
      <c r="K533" s="4"/>
      <c r="L533" s="4"/>
      <c r="M533" s="4"/>
      <c r="N533" s="4"/>
      <c r="O533" s="4"/>
      <c r="P533" s="4"/>
      <c r="Q533" s="4"/>
      <c r="R533" s="4"/>
      <c r="S533" s="4"/>
      <c r="T533" s="4"/>
      <c r="U533" s="4"/>
      <c r="V533" s="4"/>
      <c r="W533" s="4"/>
      <c r="X533" s="4"/>
      <c r="Y533" s="4"/>
      <c r="Z533" s="37"/>
    </row>
    <row r="534" ht="14.25" spans="1:26">
      <c r="A534" s="71"/>
      <c r="B534" s="71"/>
      <c r="C534" s="71"/>
      <c r="D534" s="71"/>
      <c r="E534" s="71"/>
      <c r="F534" s="71"/>
      <c r="G534" s="71"/>
      <c r="H534" s="4"/>
      <c r="I534" s="4"/>
      <c r="J534" s="4"/>
      <c r="K534" s="4"/>
      <c r="L534" s="4"/>
      <c r="M534" s="4"/>
      <c r="N534" s="4"/>
      <c r="O534" s="4"/>
      <c r="P534" s="4"/>
      <c r="Q534" s="4"/>
      <c r="R534" s="4"/>
      <c r="S534" s="4"/>
      <c r="T534" s="4"/>
      <c r="U534" s="4"/>
      <c r="V534" s="4"/>
      <c r="W534" s="4"/>
      <c r="X534" s="4"/>
      <c r="Y534" s="4"/>
      <c r="Z534" s="37"/>
    </row>
  </sheetData>
  <dataValidations count="1">
    <dataValidation type="custom" allowBlank="1" showInputMessage="1" showErrorMessage="1" error="želite li promjeniti PoluGod 06 2013" sqref="AL334:AO334" errorStyle="warning">
      <formula1>#REF!="DA"</formula1>
    </dataValidation>
  </dataValidations>
  <pageMargins left="0.7" right="0.7" top="0.75" bottom="0.75" header="0.3" footer="0.3"/>
  <pageSetup paperSize="9" scale="42" fitToHeight="0"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42"/>
  <dimension ref="A2:D568"/>
  <sheetViews>
    <sheetView topLeftCell="A109" workbookViewId="0">
      <selection activeCell="B147" sqref="B147"/>
    </sheetView>
  </sheetViews>
  <sheetFormatPr defaultColWidth="9" defaultRowHeight="12.75" outlineLevelCol="3"/>
  <cols>
    <col min="2" max="2" width="59.5714285714286" customWidth="1"/>
    <col min="4" max="4" width="97.2857142857143" customWidth="1"/>
  </cols>
  <sheetData>
    <row r="2" ht="13.5"/>
    <row r="3" ht="13.5" spans="1:4">
      <c r="A3" s="5197" t="s">
        <v>2505</v>
      </c>
      <c r="B3" s="5198" t="s">
        <v>4043</v>
      </c>
      <c r="C3" s="5199" t="s">
        <v>4044</v>
      </c>
      <c r="D3" s="5198" t="s">
        <v>4045</v>
      </c>
    </row>
    <row r="4" ht="13.5" spans="1:4">
      <c r="A4" s="5200"/>
      <c r="B4" s="5201"/>
      <c r="C4" s="5202"/>
      <c r="D4" s="5200"/>
    </row>
    <row r="5" ht="13.5" spans="1:4">
      <c r="A5" s="5200"/>
      <c r="B5" s="5203" t="s">
        <v>2645</v>
      </c>
      <c r="C5" s="5204"/>
      <c r="D5" s="5205"/>
    </row>
    <row r="6" ht="13.5" spans="1:4">
      <c r="A6" s="5206" t="s">
        <v>3872</v>
      </c>
      <c r="B6" s="5203" t="s">
        <v>3873</v>
      </c>
      <c r="C6" s="5207">
        <v>1</v>
      </c>
      <c r="D6" s="5205"/>
    </row>
    <row r="7" ht="13.5" spans="1:4">
      <c r="A7" s="5208">
        <v>1</v>
      </c>
      <c r="B7" s="5209" t="s">
        <v>2650</v>
      </c>
      <c r="C7" s="5207">
        <v>2</v>
      </c>
      <c r="D7" s="5205"/>
    </row>
    <row r="8" ht="13.5" spans="1:4">
      <c r="A8" s="5208" t="s">
        <v>3875</v>
      </c>
      <c r="B8" s="5210" t="s">
        <v>3056</v>
      </c>
      <c r="C8" s="5207">
        <v>3</v>
      </c>
      <c r="D8" s="5207" t="s">
        <v>3876</v>
      </c>
    </row>
    <row r="9" ht="13.5" spans="1:4">
      <c r="A9" s="5208" t="s">
        <v>3877</v>
      </c>
      <c r="B9" s="5210" t="s">
        <v>3058</v>
      </c>
      <c r="C9" s="5207">
        <v>4</v>
      </c>
      <c r="D9" s="5207" t="s">
        <v>3879</v>
      </c>
    </row>
    <row r="10" ht="13.5" spans="1:4">
      <c r="A10" s="5208" t="s">
        <v>3880</v>
      </c>
      <c r="B10" s="5210" t="s">
        <v>3060</v>
      </c>
      <c r="C10" s="5207">
        <v>5</v>
      </c>
      <c r="D10" s="5207" t="s">
        <v>3882</v>
      </c>
    </row>
    <row r="11" ht="13.5" spans="1:4">
      <c r="A11" s="5208" t="s">
        <v>3883</v>
      </c>
      <c r="B11" s="5210" t="s">
        <v>3062</v>
      </c>
      <c r="C11" s="5207">
        <v>6</v>
      </c>
      <c r="D11" s="5207" t="s">
        <v>3885</v>
      </c>
    </row>
    <row r="12" ht="13.5" spans="1:4">
      <c r="A12" s="5208" t="s">
        <v>3886</v>
      </c>
      <c r="B12" s="5210" t="s">
        <v>3064</v>
      </c>
      <c r="C12" s="5207">
        <v>7</v>
      </c>
      <c r="D12" s="5207" t="s">
        <v>3888</v>
      </c>
    </row>
    <row r="13" ht="13.5" spans="1:4">
      <c r="A13" s="5208" t="s">
        <v>3889</v>
      </c>
      <c r="B13" s="5210" t="s">
        <v>3066</v>
      </c>
      <c r="C13" s="5207">
        <v>8</v>
      </c>
      <c r="D13" s="5207" t="s">
        <v>3890</v>
      </c>
    </row>
    <row r="14" ht="13.5" spans="1:4">
      <c r="A14" s="5208" t="s">
        <v>3891</v>
      </c>
      <c r="B14" s="5209" t="s">
        <v>2879</v>
      </c>
      <c r="C14" s="5207">
        <v>9</v>
      </c>
      <c r="D14" s="5205"/>
    </row>
    <row r="15" ht="13.5" spans="1:4">
      <c r="A15" s="5208" t="s">
        <v>3893</v>
      </c>
      <c r="B15" s="5209" t="s">
        <v>3056</v>
      </c>
      <c r="C15" s="5207">
        <v>10</v>
      </c>
      <c r="D15" s="5207" t="s">
        <v>3895</v>
      </c>
    </row>
    <row r="16" ht="13.5" spans="1:4">
      <c r="A16" s="5208" t="s">
        <v>3896</v>
      </c>
      <c r="B16" s="5209" t="s">
        <v>3058</v>
      </c>
      <c r="C16" s="5207">
        <v>11</v>
      </c>
      <c r="D16" s="5207" t="s">
        <v>3897</v>
      </c>
    </row>
    <row r="17" ht="13.5" spans="1:4">
      <c r="A17" s="5208" t="s">
        <v>3898</v>
      </c>
      <c r="B17" s="5209" t="s">
        <v>3070</v>
      </c>
      <c r="C17" s="5207">
        <v>12</v>
      </c>
      <c r="D17" s="5207" t="s">
        <v>3899</v>
      </c>
    </row>
    <row r="18" ht="13.5" spans="1:4">
      <c r="A18" s="5208" t="s">
        <v>3900</v>
      </c>
      <c r="B18" s="5209" t="s">
        <v>2880</v>
      </c>
      <c r="C18" s="5207">
        <v>13</v>
      </c>
      <c r="D18" s="5207" t="s">
        <v>3901</v>
      </c>
    </row>
    <row r="19" ht="13.5" spans="1:4">
      <c r="A19" s="5208" t="s">
        <v>3902</v>
      </c>
      <c r="B19" s="5209" t="s">
        <v>2654</v>
      </c>
      <c r="C19" s="5207">
        <v>14</v>
      </c>
      <c r="D19" s="5207" t="s">
        <v>3904</v>
      </c>
    </row>
    <row r="20" ht="13.5" spans="1:4">
      <c r="A20" s="5208" t="s">
        <v>3905</v>
      </c>
      <c r="B20" s="5209" t="s">
        <v>2880</v>
      </c>
      <c r="C20" s="5207">
        <v>15</v>
      </c>
      <c r="D20" s="5205"/>
    </row>
    <row r="21" ht="13.5" spans="1:4">
      <c r="A21" s="5208" t="s">
        <v>3907</v>
      </c>
      <c r="B21" s="5210" t="s">
        <v>3074</v>
      </c>
      <c r="C21" s="5207">
        <v>16</v>
      </c>
      <c r="D21" s="5207" t="s">
        <v>3908</v>
      </c>
    </row>
    <row r="22" ht="13.5" spans="1:4">
      <c r="A22" s="5208" t="s">
        <v>3909</v>
      </c>
      <c r="B22" s="5210" t="s">
        <v>3076</v>
      </c>
      <c r="C22" s="5207">
        <v>17</v>
      </c>
      <c r="D22" s="5207" t="s">
        <v>3910</v>
      </c>
    </row>
    <row r="23" ht="13.5" spans="1:4">
      <c r="A23" s="5208" t="s">
        <v>3911</v>
      </c>
      <c r="B23" s="5210" t="s">
        <v>3078</v>
      </c>
      <c r="C23" s="5207">
        <v>18</v>
      </c>
      <c r="D23" s="5207" t="s">
        <v>3912</v>
      </c>
    </row>
    <row r="24" ht="13.5" spans="1:4">
      <c r="A24" s="5208" t="s">
        <v>3913</v>
      </c>
      <c r="B24" s="5210" t="s">
        <v>3080</v>
      </c>
      <c r="C24" s="5207">
        <v>19</v>
      </c>
      <c r="D24" s="5207" t="s">
        <v>3914</v>
      </c>
    </row>
    <row r="25" ht="13.5" spans="1:4">
      <c r="A25" s="5208" t="s">
        <v>3915</v>
      </c>
      <c r="B25" s="5209" t="s">
        <v>2658</v>
      </c>
      <c r="C25" s="5207">
        <v>20</v>
      </c>
      <c r="D25" s="5207" t="s">
        <v>3917</v>
      </c>
    </row>
    <row r="26" ht="13.5" spans="1:4">
      <c r="A26" s="5208" t="s">
        <v>3918</v>
      </c>
      <c r="B26" s="5209" t="s">
        <v>3082</v>
      </c>
      <c r="C26" s="5207">
        <v>21</v>
      </c>
      <c r="D26" s="5207" t="s">
        <v>3919</v>
      </c>
    </row>
    <row r="27" ht="13.5" spans="1:4">
      <c r="A27" s="5208" t="s">
        <v>3920</v>
      </c>
      <c r="B27" s="5209" t="s">
        <v>3084</v>
      </c>
      <c r="C27" s="5207">
        <v>22</v>
      </c>
      <c r="D27" s="5207" t="s">
        <v>3922</v>
      </c>
    </row>
    <row r="28" ht="13.5" spans="1:4">
      <c r="A28" s="5208" t="s">
        <v>3923</v>
      </c>
      <c r="B28" s="5209" t="s">
        <v>3086</v>
      </c>
      <c r="C28" s="5207">
        <v>23</v>
      </c>
      <c r="D28" s="5207" t="s">
        <v>3924</v>
      </c>
    </row>
    <row r="29" spans="1:4">
      <c r="A29" s="5211" t="s">
        <v>3925</v>
      </c>
      <c r="B29" s="5212" t="s">
        <v>3088</v>
      </c>
      <c r="C29" s="5211">
        <v>24</v>
      </c>
      <c r="D29" s="5213" t="s">
        <v>4331</v>
      </c>
    </row>
    <row r="30" ht="13.5" spans="1:4">
      <c r="A30" s="5208"/>
      <c r="B30" s="5214"/>
      <c r="C30" s="5208"/>
      <c r="D30" s="5207" t="s">
        <v>4332</v>
      </c>
    </row>
    <row r="31" ht="13.5" spans="1:4">
      <c r="A31" s="5208" t="s">
        <v>3928</v>
      </c>
      <c r="B31" s="5209" t="s">
        <v>4333</v>
      </c>
      <c r="C31" s="5207">
        <v>25</v>
      </c>
      <c r="D31" s="5205"/>
    </row>
    <row r="32" spans="1:4">
      <c r="A32" s="5211" t="s">
        <v>3930</v>
      </c>
      <c r="B32" s="5215" t="s">
        <v>3091</v>
      </c>
      <c r="C32" s="5211">
        <v>26</v>
      </c>
      <c r="D32" s="5213" t="s">
        <v>4334</v>
      </c>
    </row>
    <row r="33" ht="13.5" spans="1:4">
      <c r="A33" s="5208"/>
      <c r="B33" s="5216"/>
      <c r="C33" s="5208"/>
      <c r="D33" s="5207" t="s">
        <v>4335</v>
      </c>
    </row>
    <row r="34" ht="13.5" spans="1:4">
      <c r="A34" s="5208" t="s">
        <v>3932</v>
      </c>
      <c r="B34" s="5210" t="s">
        <v>3093</v>
      </c>
      <c r="C34" s="5207">
        <v>27</v>
      </c>
      <c r="D34" s="5207" t="s">
        <v>3933</v>
      </c>
    </row>
    <row r="35" ht="13.5" spans="1:4">
      <c r="A35" s="5208" t="s">
        <v>3934</v>
      </c>
      <c r="B35" s="5209" t="s">
        <v>4336</v>
      </c>
      <c r="C35" s="5207">
        <v>28</v>
      </c>
      <c r="D35" s="5205"/>
    </row>
    <row r="36" ht="13.5" spans="1:4">
      <c r="A36" s="5217">
        <v>44207</v>
      </c>
      <c r="B36" s="5210" t="s">
        <v>3098</v>
      </c>
      <c r="C36" s="5207">
        <v>29</v>
      </c>
      <c r="D36" s="5207" t="s">
        <v>3937</v>
      </c>
    </row>
    <row r="37" ht="13.5" spans="1:4">
      <c r="A37" s="5208" t="s">
        <v>3938</v>
      </c>
      <c r="B37" s="5210" t="s">
        <v>3100</v>
      </c>
      <c r="C37" s="5207">
        <v>30</v>
      </c>
      <c r="D37" s="5207" t="s">
        <v>3939</v>
      </c>
    </row>
    <row r="38" ht="13.5" spans="1:4">
      <c r="A38" s="5208" t="s">
        <v>3940</v>
      </c>
      <c r="B38" s="5210" t="s">
        <v>3102</v>
      </c>
      <c r="C38" s="5207">
        <v>31</v>
      </c>
      <c r="D38" s="5207" t="s">
        <v>3942</v>
      </c>
    </row>
    <row r="39" ht="13.5" spans="1:4">
      <c r="A39" s="5208" t="s">
        <v>3943</v>
      </c>
      <c r="B39" s="5210" t="s">
        <v>3105</v>
      </c>
      <c r="C39" s="5207">
        <v>32</v>
      </c>
      <c r="D39" s="5207" t="s">
        <v>3944</v>
      </c>
    </row>
    <row r="40" ht="13.5" spans="1:4">
      <c r="A40" s="5208" t="s">
        <v>3945</v>
      </c>
      <c r="B40" s="5209" t="s">
        <v>3108</v>
      </c>
      <c r="C40" s="5207">
        <v>33</v>
      </c>
      <c r="D40" s="5207" t="s">
        <v>3946</v>
      </c>
    </row>
    <row r="41" spans="1:4">
      <c r="A41" s="5211" t="s">
        <v>3947</v>
      </c>
      <c r="B41" s="5212" t="s">
        <v>2663</v>
      </c>
      <c r="C41" s="5211">
        <v>34</v>
      </c>
      <c r="D41" s="5213" t="s">
        <v>4337</v>
      </c>
    </row>
    <row r="42" ht="13.5" spans="1:4">
      <c r="A42" s="5208"/>
      <c r="B42" s="5214"/>
      <c r="C42" s="5208"/>
      <c r="D42" s="5207" t="s">
        <v>4338</v>
      </c>
    </row>
    <row r="43" ht="13.5" spans="1:4">
      <c r="A43" s="5206" t="s">
        <v>3949</v>
      </c>
      <c r="B43" s="5203" t="s">
        <v>3110</v>
      </c>
      <c r="C43" s="5207">
        <v>35</v>
      </c>
      <c r="D43" s="5207" t="s">
        <v>3950</v>
      </c>
    </row>
    <row r="44" ht="13.5" spans="1:4">
      <c r="A44" s="5206" t="s">
        <v>3951</v>
      </c>
      <c r="B44" s="5203" t="s">
        <v>4339</v>
      </c>
      <c r="C44" s="5207">
        <v>36</v>
      </c>
      <c r="D44" s="5205"/>
    </row>
    <row r="45" ht="13.5" spans="1:4">
      <c r="A45" s="5208" t="s">
        <v>3953</v>
      </c>
      <c r="B45" s="5209" t="s">
        <v>2667</v>
      </c>
      <c r="C45" s="5207">
        <v>37</v>
      </c>
      <c r="D45" s="5205"/>
    </row>
    <row r="46" ht="13.5" spans="1:4">
      <c r="A46" s="5208" t="s">
        <v>3875</v>
      </c>
      <c r="B46" s="5210" t="s">
        <v>3116</v>
      </c>
      <c r="C46" s="5207">
        <v>38</v>
      </c>
      <c r="D46" s="5207" t="s">
        <v>3954</v>
      </c>
    </row>
    <row r="47" ht="13.5" spans="1:4">
      <c r="A47" s="5208" t="s">
        <v>3877</v>
      </c>
      <c r="B47" s="5210" t="s">
        <v>3119</v>
      </c>
      <c r="C47" s="5207">
        <v>39</v>
      </c>
      <c r="D47" s="5207" t="s">
        <v>3956</v>
      </c>
    </row>
    <row r="48" ht="13.5" spans="1:4">
      <c r="A48" s="5208" t="s">
        <v>3880</v>
      </c>
      <c r="B48" s="5210" t="s">
        <v>3121</v>
      </c>
      <c r="C48" s="5207">
        <v>40</v>
      </c>
      <c r="D48" s="5207" t="s">
        <v>3957</v>
      </c>
    </row>
    <row r="49" ht="13.5" spans="1:4">
      <c r="A49" s="5208" t="s">
        <v>3883</v>
      </c>
      <c r="B49" s="5210" t="s">
        <v>3123</v>
      </c>
      <c r="C49" s="5207">
        <v>41</v>
      </c>
      <c r="D49" s="5207" t="s">
        <v>3958</v>
      </c>
    </row>
    <row r="50" ht="13.5" spans="1:4">
      <c r="A50" s="5208" t="s">
        <v>3886</v>
      </c>
      <c r="B50" s="5210" t="s">
        <v>3126</v>
      </c>
      <c r="C50" s="5207">
        <v>42</v>
      </c>
      <c r="D50" s="5207" t="s">
        <v>3959</v>
      </c>
    </row>
    <row r="51" ht="13.5" spans="1:4">
      <c r="A51" s="5208" t="s">
        <v>3891</v>
      </c>
      <c r="B51" s="5209" t="s">
        <v>2669</v>
      </c>
      <c r="C51" s="5207">
        <v>43</v>
      </c>
      <c r="D51" s="5207" t="s">
        <v>3960</v>
      </c>
    </row>
    <row r="52" ht="13.5" spans="1:4">
      <c r="A52" s="5208" t="s">
        <v>3902</v>
      </c>
      <c r="B52" s="5209" t="s">
        <v>3128</v>
      </c>
      <c r="C52" s="5207">
        <v>44</v>
      </c>
      <c r="D52" s="5207" t="s">
        <v>3961</v>
      </c>
    </row>
    <row r="53" ht="13.5" spans="1:4">
      <c r="A53" s="5208" t="s">
        <v>3905</v>
      </c>
      <c r="B53" s="5209" t="s">
        <v>3131</v>
      </c>
      <c r="C53" s="5207">
        <v>45</v>
      </c>
      <c r="D53" s="5205"/>
    </row>
    <row r="54" ht="13.5" spans="1:4">
      <c r="A54" s="5208" t="s">
        <v>3907</v>
      </c>
      <c r="B54" s="5210" t="s">
        <v>3133</v>
      </c>
      <c r="C54" s="5207">
        <v>46</v>
      </c>
      <c r="D54" s="5207" t="s">
        <v>3963</v>
      </c>
    </row>
    <row r="55" ht="13.5" spans="1:4">
      <c r="A55" s="5208" t="s">
        <v>3909</v>
      </c>
      <c r="B55" s="5210" t="s">
        <v>3135</v>
      </c>
      <c r="C55" s="5207">
        <v>47</v>
      </c>
      <c r="D55" s="5207" t="s">
        <v>3964</v>
      </c>
    </row>
    <row r="56" ht="13.5" spans="1:4">
      <c r="A56" s="5208" t="s">
        <v>3911</v>
      </c>
      <c r="B56" s="5210" t="s">
        <v>3138</v>
      </c>
      <c r="C56" s="5207">
        <v>48</v>
      </c>
      <c r="D56" s="5207" t="s">
        <v>3965</v>
      </c>
    </row>
    <row r="57" ht="13.5" spans="1:4">
      <c r="A57" s="5208" t="s">
        <v>3915</v>
      </c>
      <c r="B57" s="5209" t="s">
        <v>4340</v>
      </c>
      <c r="C57" s="5207">
        <v>49</v>
      </c>
      <c r="D57" s="5205"/>
    </row>
    <row r="58" ht="13.5" spans="1:4">
      <c r="A58" s="5208" t="s">
        <v>3967</v>
      </c>
      <c r="B58" s="5210" t="s">
        <v>3098</v>
      </c>
      <c r="C58" s="5207">
        <v>50</v>
      </c>
      <c r="D58" s="5207" t="s">
        <v>3968</v>
      </c>
    </row>
    <row r="59" ht="13.5" spans="1:4">
      <c r="A59" s="5208" t="s">
        <v>3969</v>
      </c>
      <c r="B59" s="5210" t="s">
        <v>3100</v>
      </c>
      <c r="C59" s="5207">
        <v>51</v>
      </c>
      <c r="D59" s="5207" t="s">
        <v>3970</v>
      </c>
    </row>
    <row r="60" ht="13.5" spans="1:4">
      <c r="A60" s="5208" t="s">
        <v>3971</v>
      </c>
      <c r="B60" s="5210" t="s">
        <v>3102</v>
      </c>
      <c r="C60" s="5207">
        <v>52</v>
      </c>
      <c r="D60" s="5207" t="s">
        <v>3972</v>
      </c>
    </row>
    <row r="61" spans="1:4">
      <c r="A61" s="5211" t="s">
        <v>3973</v>
      </c>
      <c r="B61" s="5215" t="s">
        <v>3105</v>
      </c>
      <c r="C61" s="5211">
        <v>53</v>
      </c>
      <c r="D61" s="5213" t="s">
        <v>4341</v>
      </c>
    </row>
    <row r="62" ht="13.5" spans="1:4">
      <c r="A62" s="5208"/>
      <c r="B62" s="5216"/>
      <c r="C62" s="5208"/>
      <c r="D62" s="5207" t="s">
        <v>4342</v>
      </c>
    </row>
    <row r="63" ht="13.5" spans="1:4">
      <c r="A63" s="5208" t="s">
        <v>3918</v>
      </c>
      <c r="B63" s="5209" t="s">
        <v>3108</v>
      </c>
      <c r="C63" s="5207">
        <v>54</v>
      </c>
      <c r="D63" s="5207" t="s">
        <v>3976</v>
      </c>
    </row>
    <row r="64" ht="13.5" spans="1:4">
      <c r="A64" s="5208" t="s">
        <v>3920</v>
      </c>
      <c r="B64" s="5209" t="s">
        <v>3144</v>
      </c>
      <c r="C64" s="5207">
        <v>55</v>
      </c>
      <c r="D64" s="5207" t="s">
        <v>3977</v>
      </c>
    </row>
    <row r="65" ht="13.5" spans="1:4">
      <c r="A65" s="5208" t="s">
        <v>3923</v>
      </c>
      <c r="B65" s="5209" t="s">
        <v>3147</v>
      </c>
      <c r="C65" s="5207">
        <v>56</v>
      </c>
      <c r="D65" s="5207" t="s">
        <v>3978</v>
      </c>
    </row>
    <row r="66" ht="13.5" spans="1:4">
      <c r="A66" s="5208" t="s">
        <v>3925</v>
      </c>
      <c r="B66" s="5209" t="s">
        <v>3149</v>
      </c>
      <c r="C66" s="5207">
        <v>57</v>
      </c>
      <c r="D66" s="5207" t="s">
        <v>3979</v>
      </c>
    </row>
    <row r="67" ht="13.5" spans="1:4">
      <c r="A67" s="5208" t="s">
        <v>3928</v>
      </c>
      <c r="B67" s="5209" t="s">
        <v>2678</v>
      </c>
      <c r="C67" s="5207">
        <v>58</v>
      </c>
      <c r="D67" s="5207" t="s">
        <v>3981</v>
      </c>
    </row>
    <row r="68" spans="1:4">
      <c r="A68" s="5211" t="s">
        <v>3934</v>
      </c>
      <c r="B68" s="5212" t="s">
        <v>2680</v>
      </c>
      <c r="C68" s="5211">
        <v>59</v>
      </c>
      <c r="D68" s="5213" t="s">
        <v>4297</v>
      </c>
    </row>
    <row r="69" ht="13.5" spans="1:4">
      <c r="A69" s="5208"/>
      <c r="B69" s="5214"/>
      <c r="C69" s="5208"/>
      <c r="D69" s="5207" t="s">
        <v>4298</v>
      </c>
    </row>
    <row r="70" ht="13.5" spans="1:4">
      <c r="A70" s="5206" t="s">
        <v>3983</v>
      </c>
      <c r="B70" s="5203" t="s">
        <v>3984</v>
      </c>
      <c r="C70" s="5207">
        <v>60</v>
      </c>
      <c r="D70" s="5205"/>
    </row>
    <row r="71" ht="13.5" spans="1:4">
      <c r="A71" s="5206" t="s">
        <v>3985</v>
      </c>
      <c r="B71" s="5203" t="s">
        <v>2685</v>
      </c>
      <c r="C71" s="5207">
        <v>61</v>
      </c>
      <c r="D71" s="5205"/>
    </row>
    <row r="72" ht="13.5" spans="1:4">
      <c r="A72" s="5206" t="s">
        <v>3987</v>
      </c>
      <c r="B72" s="5203" t="s">
        <v>3154</v>
      </c>
      <c r="C72" s="5207">
        <v>62</v>
      </c>
      <c r="D72" s="5205"/>
    </row>
    <row r="73" ht="13.5" spans="1:4">
      <c r="A73" s="5200"/>
      <c r="B73" s="5203" t="s">
        <v>2690</v>
      </c>
      <c r="C73" s="5205"/>
      <c r="D73" s="5205"/>
    </row>
    <row r="74" ht="13.5" spans="1:4">
      <c r="A74" s="5208" t="s">
        <v>3953</v>
      </c>
      <c r="B74" s="5209" t="s">
        <v>3990</v>
      </c>
      <c r="C74" s="5207">
        <v>101</v>
      </c>
      <c r="D74" s="5205"/>
    </row>
    <row r="75" ht="13.5" spans="1:4">
      <c r="A75" s="5208" t="s">
        <v>3875</v>
      </c>
      <c r="B75" s="5210" t="s">
        <v>3158</v>
      </c>
      <c r="C75" s="5207">
        <v>102</v>
      </c>
      <c r="D75" s="5207" t="s">
        <v>3991</v>
      </c>
    </row>
    <row r="76" ht="13.5" spans="1:4">
      <c r="A76" s="5208" t="s">
        <v>3877</v>
      </c>
      <c r="B76" s="5210" t="s">
        <v>3160</v>
      </c>
      <c r="C76" s="5207">
        <v>103</v>
      </c>
      <c r="D76" s="5207" t="s">
        <v>3992</v>
      </c>
    </row>
    <row r="77" ht="13.5" spans="1:4">
      <c r="A77" s="5208" t="s">
        <v>3880</v>
      </c>
      <c r="B77" s="5210" t="s">
        <v>3163</v>
      </c>
      <c r="C77" s="5207">
        <v>104</v>
      </c>
      <c r="D77" s="5207" t="s">
        <v>3993</v>
      </c>
    </row>
    <row r="78" ht="13.5" spans="1:4">
      <c r="A78" s="5208" t="s">
        <v>3883</v>
      </c>
      <c r="B78" s="5210" t="s">
        <v>3165</v>
      </c>
      <c r="C78" s="5207">
        <v>105</v>
      </c>
      <c r="D78" s="5207" t="s">
        <v>3994</v>
      </c>
    </row>
    <row r="79" ht="13.5" spans="1:4">
      <c r="A79" s="5208" t="s">
        <v>3886</v>
      </c>
      <c r="B79" s="5210" t="s">
        <v>3167</v>
      </c>
      <c r="C79" s="5207">
        <v>106</v>
      </c>
      <c r="D79" s="5207" t="s">
        <v>3995</v>
      </c>
    </row>
    <row r="80" ht="13.5" spans="1:4">
      <c r="A80" s="5208" t="s">
        <v>3891</v>
      </c>
      <c r="B80" s="5209" t="s">
        <v>2694</v>
      </c>
      <c r="C80" s="5207">
        <v>107</v>
      </c>
      <c r="D80" s="5207" t="s">
        <v>3996</v>
      </c>
    </row>
    <row r="81" ht="13.5" spans="1:4">
      <c r="A81" s="5208" t="s">
        <v>3902</v>
      </c>
      <c r="B81" s="5209" t="s">
        <v>3997</v>
      </c>
      <c r="C81" s="5207">
        <v>108</v>
      </c>
      <c r="D81" s="5205"/>
    </row>
    <row r="82" ht="13.5" spans="1:4">
      <c r="A82" s="5208" t="s">
        <v>3998</v>
      </c>
      <c r="B82" s="5210" t="s">
        <v>3171</v>
      </c>
      <c r="C82" s="5207">
        <v>109</v>
      </c>
      <c r="D82" s="5207" t="s">
        <v>3999</v>
      </c>
    </row>
    <row r="83" ht="13.5" spans="1:4">
      <c r="A83" s="5208" t="s">
        <v>4000</v>
      </c>
      <c r="B83" s="5210" t="s">
        <v>3173</v>
      </c>
      <c r="C83" s="5207">
        <v>110</v>
      </c>
      <c r="D83" s="5207" t="s">
        <v>4001</v>
      </c>
    </row>
    <row r="84" ht="13.5" spans="1:4">
      <c r="A84" s="5208" t="s">
        <v>3905</v>
      </c>
      <c r="B84" s="5209" t="s">
        <v>4343</v>
      </c>
      <c r="C84" s="5207">
        <v>111</v>
      </c>
      <c r="D84" s="5205"/>
    </row>
    <row r="85" ht="13.5" spans="1:4">
      <c r="A85" s="5208" t="s">
        <v>3907</v>
      </c>
      <c r="B85" s="5210" t="s">
        <v>3178</v>
      </c>
      <c r="C85" s="5207">
        <v>112</v>
      </c>
      <c r="D85" s="5207" t="s">
        <v>4003</v>
      </c>
    </row>
    <row r="86" ht="13.5" spans="1:4">
      <c r="A86" s="5208" t="s">
        <v>3909</v>
      </c>
      <c r="B86" s="5210" t="s">
        <v>3181</v>
      </c>
      <c r="C86" s="5207">
        <v>113</v>
      </c>
      <c r="D86" s="5207" t="s">
        <v>4004</v>
      </c>
    </row>
    <row r="87" ht="13.5" spans="1:4">
      <c r="A87" s="5208" t="s">
        <v>3911</v>
      </c>
      <c r="B87" s="5210" t="s">
        <v>3184</v>
      </c>
      <c r="C87" s="5207">
        <v>114</v>
      </c>
      <c r="D87" s="5207" t="s">
        <v>4005</v>
      </c>
    </row>
    <row r="88" ht="13.5" spans="1:4">
      <c r="A88" s="5208" t="s">
        <v>3915</v>
      </c>
      <c r="B88" s="5209" t="s">
        <v>4006</v>
      </c>
      <c r="C88" s="5207">
        <v>115</v>
      </c>
      <c r="D88" s="5205"/>
    </row>
    <row r="89" ht="13.5" spans="1:4">
      <c r="A89" s="5208" t="s">
        <v>3967</v>
      </c>
      <c r="B89" s="5210" t="s">
        <v>2704</v>
      </c>
      <c r="C89" s="5207">
        <v>116</v>
      </c>
      <c r="D89" s="5207" t="s">
        <v>4007</v>
      </c>
    </row>
    <row r="90" ht="13.5" spans="1:4">
      <c r="A90" s="5208" t="s">
        <v>3969</v>
      </c>
      <c r="B90" s="5210" t="s">
        <v>2707</v>
      </c>
      <c r="C90" s="5207">
        <v>117</v>
      </c>
      <c r="D90" s="5207" t="s">
        <v>4008</v>
      </c>
    </row>
    <row r="91" ht="13.5" spans="1:4">
      <c r="A91" s="5208" t="s">
        <v>3918</v>
      </c>
      <c r="B91" s="5209" t="s">
        <v>4009</v>
      </c>
      <c r="C91" s="5207">
        <v>118</v>
      </c>
      <c r="D91" s="5205"/>
    </row>
    <row r="92" ht="13.5" spans="1:4">
      <c r="A92" s="5208" t="s">
        <v>4010</v>
      </c>
      <c r="B92" s="5210" t="s">
        <v>2712</v>
      </c>
      <c r="C92" s="5207">
        <v>119</v>
      </c>
      <c r="D92" s="5207" t="s">
        <v>4011</v>
      </c>
    </row>
    <row r="93" ht="13.5" spans="1:4">
      <c r="A93" s="5208" t="s">
        <v>4012</v>
      </c>
      <c r="B93" s="5210" t="s">
        <v>2715</v>
      </c>
      <c r="C93" s="5207">
        <v>120</v>
      </c>
      <c r="D93" s="5207" t="s">
        <v>4013</v>
      </c>
    </row>
    <row r="94" ht="13.5" spans="1:4">
      <c r="A94" s="5208" t="s">
        <v>3920</v>
      </c>
      <c r="B94" s="5209" t="s">
        <v>4014</v>
      </c>
      <c r="C94" s="5207">
        <v>121</v>
      </c>
      <c r="D94" s="5205"/>
    </row>
    <row r="95" ht="13.5" spans="1:4">
      <c r="A95" s="5208" t="s">
        <v>3923</v>
      </c>
      <c r="B95" s="5209" t="s">
        <v>3192</v>
      </c>
      <c r="C95" s="5207">
        <v>122</v>
      </c>
      <c r="D95" s="5207" t="s">
        <v>4344</v>
      </c>
    </row>
    <row r="96" ht="13.5" spans="1:4">
      <c r="A96" s="5206" t="s">
        <v>3872</v>
      </c>
      <c r="B96" s="5203" t="s">
        <v>4016</v>
      </c>
      <c r="C96" s="5207">
        <v>123</v>
      </c>
      <c r="D96" s="5205"/>
    </row>
    <row r="97" ht="13.5" spans="1:4">
      <c r="A97" s="5200"/>
      <c r="B97" s="5203" t="s">
        <v>2720</v>
      </c>
      <c r="C97" s="5205"/>
      <c r="D97" s="5205"/>
    </row>
    <row r="98" ht="13.5" spans="1:4">
      <c r="A98" s="5206" t="s">
        <v>3949</v>
      </c>
      <c r="B98" s="5203" t="s">
        <v>4345</v>
      </c>
      <c r="C98" s="5207">
        <v>124</v>
      </c>
      <c r="D98" s="5205"/>
    </row>
    <row r="99" ht="13.5" spans="1:4">
      <c r="A99" s="5208" t="s">
        <v>3953</v>
      </c>
      <c r="B99" s="5209" t="s">
        <v>4346</v>
      </c>
      <c r="C99" s="5207">
        <v>125</v>
      </c>
      <c r="D99" s="5205"/>
    </row>
    <row r="100" ht="13.5" spans="1:4">
      <c r="A100" s="5208" t="s">
        <v>3875</v>
      </c>
      <c r="B100" s="5210" t="s">
        <v>3202</v>
      </c>
      <c r="C100" s="5207">
        <v>126</v>
      </c>
      <c r="D100" s="5207" t="s">
        <v>4019</v>
      </c>
    </row>
    <row r="101" ht="13.5" spans="1:4">
      <c r="A101" s="5208" t="s">
        <v>3877</v>
      </c>
      <c r="B101" s="5210" t="s">
        <v>3205</v>
      </c>
      <c r="C101" s="5207">
        <v>127</v>
      </c>
      <c r="D101" s="5207" t="s">
        <v>4020</v>
      </c>
    </row>
    <row r="102" ht="13.5" spans="1:4">
      <c r="A102" s="5208" t="s">
        <v>3880</v>
      </c>
      <c r="B102" s="5210" t="s">
        <v>3208</v>
      </c>
      <c r="C102" s="5207">
        <v>128</v>
      </c>
      <c r="D102" s="5207" t="s">
        <v>4021</v>
      </c>
    </row>
    <row r="103" ht="13.5" spans="1:4">
      <c r="A103" s="5208" t="s">
        <v>3883</v>
      </c>
      <c r="B103" s="5210" t="s">
        <v>3211</v>
      </c>
      <c r="C103" s="5207">
        <v>129</v>
      </c>
      <c r="D103" s="5207" t="s">
        <v>4022</v>
      </c>
    </row>
    <row r="104" ht="13.5" spans="1:4">
      <c r="A104" s="5208" t="s">
        <v>3891</v>
      </c>
      <c r="B104" s="5209" t="s">
        <v>3213</v>
      </c>
      <c r="C104" s="5207">
        <v>130</v>
      </c>
      <c r="D104" s="5207" t="s">
        <v>4023</v>
      </c>
    </row>
    <row r="105" ht="13.5" spans="1:4">
      <c r="A105" s="5208" t="s">
        <v>3902</v>
      </c>
      <c r="B105" s="5209" t="s">
        <v>2729</v>
      </c>
      <c r="C105" s="5207">
        <v>131</v>
      </c>
      <c r="D105" s="5207" t="s">
        <v>4024</v>
      </c>
    </row>
    <row r="106" ht="13.5" spans="1:4">
      <c r="A106" s="5208" t="s">
        <v>3905</v>
      </c>
      <c r="B106" s="5209" t="s">
        <v>2732</v>
      </c>
      <c r="C106" s="5207">
        <v>132</v>
      </c>
      <c r="D106" s="5207" t="s">
        <v>4025</v>
      </c>
    </row>
    <row r="107" ht="13.5" spans="1:4">
      <c r="A107" s="5206" t="s">
        <v>3951</v>
      </c>
      <c r="B107" s="5203" t="s">
        <v>3216</v>
      </c>
      <c r="C107" s="5207">
        <v>133</v>
      </c>
      <c r="D107" s="5207" t="s">
        <v>4026</v>
      </c>
    </row>
    <row r="108" ht="13.5" spans="1:4">
      <c r="A108" s="5206" t="s">
        <v>3983</v>
      </c>
      <c r="B108" s="5203" t="s">
        <v>4347</v>
      </c>
      <c r="C108" s="5207">
        <v>134</v>
      </c>
      <c r="D108" s="5205"/>
    </row>
    <row r="109" ht="13.5" spans="1:4">
      <c r="A109" s="5208" t="s">
        <v>3953</v>
      </c>
      <c r="B109" s="5209" t="s">
        <v>4346</v>
      </c>
      <c r="C109" s="5207">
        <v>135</v>
      </c>
      <c r="D109" s="5205"/>
    </row>
    <row r="110" ht="13.5" spans="1:4">
      <c r="A110" s="5208" t="s">
        <v>3875</v>
      </c>
      <c r="B110" s="5210" t="s">
        <v>3224</v>
      </c>
      <c r="C110" s="5207">
        <v>136</v>
      </c>
      <c r="D110" s="5207" t="s">
        <v>4028</v>
      </c>
    </row>
    <row r="111" ht="13.5" spans="1:4">
      <c r="A111" s="5208" t="s">
        <v>3877</v>
      </c>
      <c r="B111" s="5210" t="s">
        <v>3227</v>
      </c>
      <c r="C111" s="5207">
        <v>137</v>
      </c>
      <c r="D111" s="5207" t="s">
        <v>4029</v>
      </c>
    </row>
    <row r="112" ht="13.5" spans="1:4">
      <c r="A112" s="5208" t="s">
        <v>3880</v>
      </c>
      <c r="B112" s="5210" t="s">
        <v>3202</v>
      </c>
      <c r="C112" s="5207">
        <v>138</v>
      </c>
      <c r="D112" s="5207" t="s">
        <v>4030</v>
      </c>
    </row>
    <row r="113" ht="13.5" spans="1:4">
      <c r="A113" s="5208" t="s">
        <v>3883</v>
      </c>
      <c r="B113" s="5210" t="s">
        <v>3229</v>
      </c>
      <c r="C113" s="5207">
        <v>139</v>
      </c>
      <c r="D113" s="5207" t="s">
        <v>4031</v>
      </c>
    </row>
    <row r="114" ht="13.5" spans="1:4">
      <c r="A114" s="5208" t="s">
        <v>3886</v>
      </c>
      <c r="B114" s="5210" t="s">
        <v>3231</v>
      </c>
      <c r="C114" s="5207">
        <v>140</v>
      </c>
      <c r="D114" s="5207" t="s">
        <v>4032</v>
      </c>
    </row>
    <row r="115" ht="13.5" spans="1:4">
      <c r="A115" s="5208" t="s">
        <v>3889</v>
      </c>
      <c r="B115" s="5210" t="s">
        <v>3211</v>
      </c>
      <c r="C115" s="5207">
        <v>141</v>
      </c>
      <c r="D115" s="5207" t="s">
        <v>4033</v>
      </c>
    </row>
    <row r="116" ht="13.5" spans="1:4">
      <c r="A116" s="5208" t="s">
        <v>3891</v>
      </c>
      <c r="B116" s="5209" t="s">
        <v>3233</v>
      </c>
      <c r="C116" s="5207">
        <v>142</v>
      </c>
      <c r="D116" s="5207" t="s">
        <v>4034</v>
      </c>
    </row>
    <row r="117" ht="13.5" spans="1:4">
      <c r="A117" s="5208" t="s">
        <v>3902</v>
      </c>
      <c r="B117" s="5209" t="s">
        <v>3147</v>
      </c>
      <c r="C117" s="5207">
        <v>143</v>
      </c>
      <c r="D117" s="5207" t="s">
        <v>4035</v>
      </c>
    </row>
    <row r="118" ht="13.5" spans="1:4">
      <c r="A118" s="5208" t="s">
        <v>3905</v>
      </c>
      <c r="B118" s="5209" t="s">
        <v>3213</v>
      </c>
      <c r="C118" s="5207">
        <v>144</v>
      </c>
      <c r="D118" s="5207" t="s">
        <v>4036</v>
      </c>
    </row>
    <row r="119" ht="13.5" spans="1:4">
      <c r="A119" s="5208" t="s">
        <v>3915</v>
      </c>
      <c r="B119" s="5209" t="s">
        <v>2729</v>
      </c>
      <c r="C119" s="5207">
        <v>145</v>
      </c>
      <c r="D119" s="5207" t="s">
        <v>4037</v>
      </c>
    </row>
    <row r="120" ht="13.5" spans="1:4">
      <c r="A120" s="5208" t="s">
        <v>3918</v>
      </c>
      <c r="B120" s="5209" t="s">
        <v>2744</v>
      </c>
      <c r="C120" s="5207">
        <v>146</v>
      </c>
      <c r="D120" s="5207" t="s">
        <v>3981</v>
      </c>
    </row>
    <row r="121" spans="1:4">
      <c r="A121" s="5211" t="s">
        <v>3920</v>
      </c>
      <c r="B121" s="5212" t="s">
        <v>2732</v>
      </c>
      <c r="C121" s="5211">
        <v>147</v>
      </c>
      <c r="D121" s="5213" t="s">
        <v>4348</v>
      </c>
    </row>
    <row r="122" ht="13.5" spans="1:4">
      <c r="A122" s="5208"/>
      <c r="B122" s="5214"/>
      <c r="C122" s="5208"/>
      <c r="D122" s="5207" t="s">
        <v>4349</v>
      </c>
    </row>
    <row r="123" ht="13.5" spans="1:4">
      <c r="A123" s="5206" t="s">
        <v>3985</v>
      </c>
      <c r="B123" s="5203" t="s">
        <v>4350</v>
      </c>
      <c r="C123" s="5207">
        <v>148</v>
      </c>
      <c r="D123" s="5205"/>
    </row>
    <row r="124" ht="13.5" spans="1:4">
      <c r="A124" s="5206" t="s">
        <v>3987</v>
      </c>
      <c r="B124" s="5203" t="s">
        <v>2750</v>
      </c>
      <c r="C124" s="5207">
        <v>149</v>
      </c>
      <c r="D124" s="5205"/>
    </row>
    <row r="125" ht="13.5" spans="1:4">
      <c r="A125" s="5206" t="s">
        <v>4040</v>
      </c>
      <c r="B125" s="5203" t="s">
        <v>2685</v>
      </c>
      <c r="C125" s="5207">
        <v>150</v>
      </c>
      <c r="D125" s="5205"/>
    </row>
    <row r="126" ht="13.5" spans="1:4">
      <c r="A126" s="5206" t="s">
        <v>4041</v>
      </c>
      <c r="B126" s="5203" t="s">
        <v>4351</v>
      </c>
      <c r="C126" s="5207">
        <v>151</v>
      </c>
      <c r="D126" s="5205"/>
    </row>
    <row r="127" ht="14.25" spans="1:4">
      <c r="A127" s="5218"/>
    </row>
    <row r="130" ht="13.5"/>
    <row r="131" ht="13.5" spans="1:4">
      <c r="A131" s="5197" t="s">
        <v>2505</v>
      </c>
      <c r="B131" s="5198" t="s">
        <v>4043</v>
      </c>
      <c r="C131" s="5199" t="s">
        <v>4044</v>
      </c>
      <c r="D131" s="5198" t="s">
        <v>4045</v>
      </c>
    </row>
    <row r="132" ht="13.5" spans="1:4">
      <c r="A132" s="5200"/>
      <c r="B132" s="5201"/>
      <c r="C132" s="5202"/>
      <c r="D132" s="5200"/>
    </row>
    <row r="133" ht="13.5" spans="1:4">
      <c r="A133" s="5200"/>
      <c r="B133" s="5203" t="s">
        <v>2757</v>
      </c>
      <c r="C133" s="5205"/>
      <c r="D133" s="5205"/>
    </row>
    <row r="134" ht="13.5" spans="1:4">
      <c r="A134" s="5206" t="s">
        <v>3872</v>
      </c>
      <c r="B134" s="5219" t="s">
        <v>4046</v>
      </c>
      <c r="C134" s="5208">
        <v>201</v>
      </c>
      <c r="D134" s="5205"/>
    </row>
    <row r="135" ht="13.5" spans="1:4">
      <c r="A135" s="5208" t="s">
        <v>3953</v>
      </c>
      <c r="B135" s="5220" t="s">
        <v>4352</v>
      </c>
      <c r="C135" s="5208">
        <v>202</v>
      </c>
      <c r="D135" s="5205"/>
    </row>
    <row r="136" ht="13.5" spans="1:4">
      <c r="A136" s="5208" t="s">
        <v>3875</v>
      </c>
      <c r="B136" s="5210" t="s">
        <v>2554</v>
      </c>
      <c r="C136" s="5207">
        <v>203</v>
      </c>
      <c r="D136" s="5207" t="s">
        <v>4048</v>
      </c>
    </row>
    <row r="137" ht="13.5" spans="1:4">
      <c r="A137" s="5208" t="s">
        <v>3877</v>
      </c>
      <c r="B137" s="5210" t="s">
        <v>2556</v>
      </c>
      <c r="C137" s="5207">
        <v>204</v>
      </c>
      <c r="D137" s="5207" t="s">
        <v>4049</v>
      </c>
    </row>
    <row r="138" ht="13.5" spans="1:4">
      <c r="A138" s="5208" t="s">
        <v>3880</v>
      </c>
      <c r="B138" s="5210" t="s">
        <v>2558</v>
      </c>
      <c r="C138" s="5207">
        <v>205</v>
      </c>
      <c r="D138" s="5207" t="s">
        <v>4050</v>
      </c>
    </row>
    <row r="139" ht="13.5" spans="1:4">
      <c r="A139" s="5208" t="s">
        <v>3891</v>
      </c>
      <c r="B139" s="5220" t="s">
        <v>4353</v>
      </c>
      <c r="C139" s="5208">
        <v>206</v>
      </c>
      <c r="D139" s="5207"/>
    </row>
    <row r="140" ht="13.5" spans="1:4">
      <c r="A140" s="5208" t="s">
        <v>3893</v>
      </c>
      <c r="B140" s="5210" t="s">
        <v>2554</v>
      </c>
      <c r="C140" s="5207">
        <v>207</v>
      </c>
      <c r="D140" s="5207" t="s">
        <v>4052</v>
      </c>
    </row>
    <row r="141" ht="13.5" spans="1:4">
      <c r="A141" s="5208" t="s">
        <v>3896</v>
      </c>
      <c r="B141" s="5210" t="s">
        <v>2556</v>
      </c>
      <c r="C141" s="5207">
        <v>208</v>
      </c>
      <c r="D141" s="5207" t="s">
        <v>4053</v>
      </c>
    </row>
    <row r="142" ht="13.5" spans="1:4">
      <c r="A142" s="5208" t="s">
        <v>3898</v>
      </c>
      <c r="B142" s="5210" t="s">
        <v>2558</v>
      </c>
      <c r="C142" s="5207">
        <v>209</v>
      </c>
      <c r="D142" s="5207" t="s">
        <v>4054</v>
      </c>
    </row>
    <row r="143" ht="13.5" spans="1:4">
      <c r="A143" s="5208" t="s">
        <v>3902</v>
      </c>
      <c r="B143" s="5209" t="s">
        <v>4354</v>
      </c>
      <c r="C143" s="5207">
        <v>210</v>
      </c>
      <c r="D143" s="5207"/>
    </row>
    <row r="144" ht="13.5" spans="1:4">
      <c r="A144" s="5208" t="s">
        <v>3998</v>
      </c>
      <c r="B144" s="5210" t="s">
        <v>2554</v>
      </c>
      <c r="C144" s="5207">
        <v>211</v>
      </c>
      <c r="D144" s="5207" t="s">
        <v>4056</v>
      </c>
    </row>
    <row r="145" ht="13.5" spans="1:4">
      <c r="A145" s="5208" t="s">
        <v>4000</v>
      </c>
      <c r="B145" s="5210" t="s">
        <v>2556</v>
      </c>
      <c r="C145" s="5207">
        <v>212</v>
      </c>
      <c r="D145" s="5207" t="s">
        <v>4057</v>
      </c>
    </row>
    <row r="146" ht="13.5" spans="1:4">
      <c r="A146" s="5208" t="s">
        <v>4058</v>
      </c>
      <c r="B146" s="5210" t="s">
        <v>2558</v>
      </c>
      <c r="C146" s="5207">
        <v>213</v>
      </c>
      <c r="D146" s="5207" t="s">
        <v>4059</v>
      </c>
    </row>
    <row r="147" ht="13.5" spans="1:4">
      <c r="A147" s="5206" t="s">
        <v>3949</v>
      </c>
      <c r="B147" s="5219" t="s">
        <v>4060</v>
      </c>
      <c r="C147" s="5208">
        <v>214</v>
      </c>
      <c r="D147" s="5205"/>
    </row>
    <row r="148" ht="13.5" spans="1:4">
      <c r="A148" s="5208" t="s">
        <v>3953</v>
      </c>
      <c r="B148" s="5209" t="s">
        <v>4355</v>
      </c>
      <c r="C148" s="5207">
        <v>215</v>
      </c>
      <c r="D148" s="5207" t="s">
        <v>4062</v>
      </c>
    </row>
    <row r="149" ht="13.5" spans="1:4">
      <c r="A149" s="5208" t="s">
        <v>3875</v>
      </c>
      <c r="B149" s="5210" t="s">
        <v>2772</v>
      </c>
      <c r="C149" s="5207">
        <v>216</v>
      </c>
      <c r="D149" s="5207" t="s">
        <v>4063</v>
      </c>
    </row>
    <row r="150" ht="13.5" spans="1:4">
      <c r="A150" s="5208" t="s">
        <v>3877</v>
      </c>
      <c r="B150" s="5210" t="s">
        <v>2774</v>
      </c>
      <c r="C150" s="5207">
        <v>217</v>
      </c>
      <c r="D150" s="5207" t="s">
        <v>4064</v>
      </c>
    </row>
    <row r="151" ht="13.5" spans="1:4">
      <c r="A151" s="5208" t="s">
        <v>3880</v>
      </c>
      <c r="B151" s="5210" t="s">
        <v>2777</v>
      </c>
      <c r="C151" s="5207">
        <v>218</v>
      </c>
      <c r="D151" s="5207" t="s">
        <v>4065</v>
      </c>
    </row>
    <row r="152" ht="13.5" spans="1:4">
      <c r="A152" s="5208" t="s">
        <v>3883</v>
      </c>
      <c r="B152" s="5210" t="s">
        <v>2779</v>
      </c>
      <c r="C152" s="5207">
        <v>219</v>
      </c>
      <c r="D152" s="5207" t="s">
        <v>4066</v>
      </c>
    </row>
    <row r="153" ht="13.5" spans="1:4">
      <c r="A153" s="5208" t="s">
        <v>3886</v>
      </c>
      <c r="B153" s="5210" t="s">
        <v>2781</v>
      </c>
      <c r="C153" s="5207">
        <v>220</v>
      </c>
      <c r="D153" s="5207" t="s">
        <v>4067</v>
      </c>
    </row>
    <row r="154" ht="13.5" spans="1:4">
      <c r="A154" s="5208" t="s">
        <v>3889</v>
      </c>
      <c r="B154" s="5210" t="s">
        <v>2783</v>
      </c>
      <c r="C154" s="5207">
        <v>221</v>
      </c>
      <c r="D154" s="5207" t="s">
        <v>4068</v>
      </c>
    </row>
    <row r="155" ht="13.5" spans="1:4">
      <c r="A155" s="5208" t="s">
        <v>4069</v>
      </c>
      <c r="B155" s="5210" t="s">
        <v>2785</v>
      </c>
      <c r="C155" s="5207">
        <v>222</v>
      </c>
      <c r="D155" s="5207" t="s">
        <v>4063</v>
      </c>
    </row>
    <row r="156" ht="13.5" spans="1:4">
      <c r="A156" s="5208" t="s">
        <v>4070</v>
      </c>
      <c r="B156" s="5210" t="s">
        <v>2787</v>
      </c>
      <c r="C156" s="5207">
        <v>223</v>
      </c>
      <c r="D156" s="5207" t="s">
        <v>4071</v>
      </c>
    </row>
    <row r="157" ht="13.5" spans="1:4">
      <c r="A157" s="5208" t="s">
        <v>4072</v>
      </c>
      <c r="B157" s="5210" t="s">
        <v>2789</v>
      </c>
      <c r="C157" s="5207">
        <v>224</v>
      </c>
      <c r="D157" s="5207" t="s">
        <v>4073</v>
      </c>
    </row>
    <row r="158" ht="13.5" spans="1:4">
      <c r="A158" s="5208" t="s">
        <v>4074</v>
      </c>
      <c r="B158" s="5210" t="s">
        <v>2791</v>
      </c>
      <c r="C158" s="5207">
        <v>225</v>
      </c>
      <c r="D158" s="5207" t="s">
        <v>4075</v>
      </c>
    </row>
    <row r="159" ht="13.5" spans="1:4">
      <c r="A159" s="5208" t="s">
        <v>4076</v>
      </c>
      <c r="B159" s="5210" t="s">
        <v>2793</v>
      </c>
      <c r="C159" s="5207">
        <v>226</v>
      </c>
      <c r="D159" s="5207" t="s">
        <v>4077</v>
      </c>
    </row>
    <row r="160" ht="13.5" spans="1:4">
      <c r="A160" s="5208" t="s">
        <v>4078</v>
      </c>
      <c r="B160" s="5210" t="s">
        <v>2795</v>
      </c>
      <c r="C160" s="5207">
        <v>227</v>
      </c>
      <c r="D160" s="5207" t="s">
        <v>4079</v>
      </c>
    </row>
    <row r="161" ht="13.5" spans="1:4">
      <c r="A161" s="5208" t="s">
        <v>4080</v>
      </c>
      <c r="B161" s="5210" t="s">
        <v>2797</v>
      </c>
      <c r="C161" s="5207">
        <v>228</v>
      </c>
      <c r="D161" s="5207" t="s">
        <v>4081</v>
      </c>
    </row>
    <row r="162" ht="13.5" spans="1:4">
      <c r="A162" s="5208" t="s">
        <v>4082</v>
      </c>
      <c r="B162" s="5210" t="s">
        <v>2800</v>
      </c>
      <c r="C162" s="5207">
        <v>229</v>
      </c>
      <c r="D162" s="5207" t="s">
        <v>4083</v>
      </c>
    </row>
    <row r="163" ht="13.5" spans="1:4">
      <c r="A163" s="5208" t="s">
        <v>3891</v>
      </c>
      <c r="B163" s="5209" t="s">
        <v>4356</v>
      </c>
      <c r="C163" s="5207">
        <v>230</v>
      </c>
      <c r="D163" s="5207" t="s">
        <v>4062</v>
      </c>
    </row>
    <row r="164" ht="13.5" spans="1:4">
      <c r="A164" s="5208" t="s">
        <v>3893</v>
      </c>
      <c r="B164" s="5210" t="s">
        <v>2806</v>
      </c>
      <c r="C164" s="5207">
        <v>231</v>
      </c>
      <c r="D164" s="5207" t="s">
        <v>4085</v>
      </c>
    </row>
    <row r="165" ht="13.5" spans="1:4">
      <c r="A165" s="5208" t="s">
        <v>3896</v>
      </c>
      <c r="B165" s="5210" t="s">
        <v>2809</v>
      </c>
      <c r="C165" s="5207">
        <v>232</v>
      </c>
      <c r="D165" s="5207" t="s">
        <v>4086</v>
      </c>
    </row>
    <row r="166" ht="13.5" spans="1:4">
      <c r="A166" s="5208" t="s">
        <v>3898</v>
      </c>
      <c r="B166" s="5210" t="s">
        <v>2812</v>
      </c>
      <c r="C166" s="5207">
        <v>233</v>
      </c>
      <c r="D166" s="5207" t="s">
        <v>4087</v>
      </c>
    </row>
    <row r="167" ht="13.5" spans="1:4">
      <c r="A167" s="5208" t="s">
        <v>3900</v>
      </c>
      <c r="B167" s="5210" t="s">
        <v>2815</v>
      </c>
      <c r="C167" s="5207">
        <v>234</v>
      </c>
      <c r="D167" s="5207" t="s">
        <v>4088</v>
      </c>
    </row>
    <row r="168" ht="13.5" spans="1:4">
      <c r="A168" s="5208" t="s">
        <v>4089</v>
      </c>
      <c r="B168" s="5210" t="s">
        <v>2818</v>
      </c>
      <c r="C168" s="5207">
        <v>235</v>
      </c>
      <c r="D168" s="5207" t="s">
        <v>4090</v>
      </c>
    </row>
    <row r="169" ht="13.5" spans="1:4">
      <c r="A169" s="5208" t="s">
        <v>4091</v>
      </c>
      <c r="B169" s="5210" t="s">
        <v>2821</v>
      </c>
      <c r="C169" s="5207">
        <v>236</v>
      </c>
      <c r="D169" s="5207" t="s">
        <v>4092</v>
      </c>
    </row>
    <row r="170" ht="13.5" spans="1:4">
      <c r="A170" s="5208" t="s">
        <v>4093</v>
      </c>
      <c r="B170" s="5210" t="s">
        <v>2824</v>
      </c>
      <c r="C170" s="5207">
        <v>237</v>
      </c>
      <c r="D170" s="5207" t="s">
        <v>4094</v>
      </c>
    </row>
    <row r="171" ht="13.5" spans="1:4">
      <c r="A171" s="5208" t="s">
        <v>4095</v>
      </c>
      <c r="B171" s="5210" t="s">
        <v>2827</v>
      </c>
      <c r="C171" s="5207">
        <v>238</v>
      </c>
      <c r="D171" s="5207" t="s">
        <v>4096</v>
      </c>
    </row>
    <row r="172" ht="13.5" spans="1:4">
      <c r="A172" s="5208" t="s">
        <v>4097</v>
      </c>
      <c r="B172" s="5210" t="s">
        <v>2830</v>
      </c>
      <c r="C172" s="5207">
        <v>239</v>
      </c>
      <c r="D172" s="5207" t="s">
        <v>4098</v>
      </c>
    </row>
    <row r="173" ht="13.5" spans="1:4">
      <c r="A173" s="5217">
        <v>44471</v>
      </c>
      <c r="B173" s="5209" t="s">
        <v>2833</v>
      </c>
      <c r="C173" s="5207">
        <v>240</v>
      </c>
      <c r="D173" s="5207" t="s">
        <v>4083</v>
      </c>
    </row>
    <row r="174" ht="13.5" spans="1:4">
      <c r="A174" s="5208" t="s">
        <v>3902</v>
      </c>
      <c r="B174" s="5209" t="s">
        <v>2836</v>
      </c>
      <c r="C174" s="5207">
        <v>241</v>
      </c>
      <c r="D174" s="5207" t="s">
        <v>4100</v>
      </c>
    </row>
    <row r="175" ht="13.5" spans="1:4">
      <c r="A175" s="5208" t="s">
        <v>3905</v>
      </c>
      <c r="B175" s="5209" t="s">
        <v>2838</v>
      </c>
      <c r="C175" s="5207">
        <v>242</v>
      </c>
      <c r="D175" s="5207" t="s">
        <v>4101</v>
      </c>
    </row>
    <row r="176" ht="13.5" spans="1:4">
      <c r="A176" s="5208" t="s">
        <v>3915</v>
      </c>
      <c r="B176" s="5209" t="s">
        <v>2840</v>
      </c>
      <c r="C176" s="5207">
        <v>243</v>
      </c>
      <c r="D176" s="5207" t="s">
        <v>4102</v>
      </c>
    </row>
    <row r="177" ht="13.5" spans="1:4">
      <c r="A177" s="5208" t="s">
        <v>3918</v>
      </c>
      <c r="B177" s="5209" t="s">
        <v>2842</v>
      </c>
      <c r="C177" s="5207">
        <v>244</v>
      </c>
      <c r="D177" s="5207" t="s">
        <v>4103</v>
      </c>
    </row>
    <row r="178" ht="13.5" spans="1:4">
      <c r="A178" s="5208" t="s">
        <v>3920</v>
      </c>
      <c r="B178" s="5209" t="s">
        <v>2844</v>
      </c>
      <c r="C178" s="5207">
        <v>245</v>
      </c>
      <c r="D178" s="5207" t="s">
        <v>4104</v>
      </c>
    </row>
    <row r="179" ht="13.5" spans="1:4">
      <c r="A179" s="5208" t="s">
        <v>3923</v>
      </c>
      <c r="B179" s="5209" t="s">
        <v>2846</v>
      </c>
      <c r="C179" s="5207">
        <v>246</v>
      </c>
      <c r="D179" s="5207" t="s">
        <v>4357</v>
      </c>
    </row>
    <row r="180" ht="13.5" spans="1:4">
      <c r="A180" s="5208" t="s">
        <v>3925</v>
      </c>
      <c r="B180" s="5209" t="s">
        <v>2595</v>
      </c>
      <c r="C180" s="5207">
        <v>247</v>
      </c>
      <c r="D180" s="5205"/>
    </row>
    <row r="181" ht="13.5" spans="1:4">
      <c r="A181" s="5208" t="s">
        <v>4106</v>
      </c>
      <c r="B181" s="5210" t="s">
        <v>2849</v>
      </c>
      <c r="C181" s="5207">
        <v>248</v>
      </c>
      <c r="D181" s="5207" t="s">
        <v>4107</v>
      </c>
    </row>
    <row r="182" ht="13.5" spans="1:4">
      <c r="A182" s="5208" t="s">
        <v>4108</v>
      </c>
      <c r="B182" s="5210" t="s">
        <v>2852</v>
      </c>
      <c r="C182" s="5207">
        <v>249</v>
      </c>
      <c r="D182" s="5207" t="s">
        <v>4109</v>
      </c>
    </row>
    <row r="183" ht="13.5" spans="1:4">
      <c r="A183" s="5208" t="s">
        <v>4110</v>
      </c>
      <c r="B183" s="5210" t="s">
        <v>2855</v>
      </c>
      <c r="C183" s="5207">
        <v>250</v>
      </c>
      <c r="D183" s="5207" t="s">
        <v>4111</v>
      </c>
    </row>
    <row r="184" ht="13.5" spans="1:4">
      <c r="A184" s="5208" t="s">
        <v>3928</v>
      </c>
      <c r="B184" s="5220" t="s">
        <v>2857</v>
      </c>
      <c r="C184" s="5208">
        <v>251</v>
      </c>
      <c r="D184" s="5207" t="s">
        <v>4112</v>
      </c>
    </row>
    <row r="185" ht="13.5" spans="1:4">
      <c r="A185" s="5206" t="s">
        <v>3951</v>
      </c>
      <c r="B185" s="5219" t="s">
        <v>4113</v>
      </c>
      <c r="C185" s="5208">
        <v>252</v>
      </c>
      <c r="D185" s="5205"/>
    </row>
    <row r="186" ht="13.5" spans="1:4">
      <c r="A186" s="5206" t="s">
        <v>3983</v>
      </c>
      <c r="B186" s="5219" t="s">
        <v>4114</v>
      </c>
      <c r="C186" s="5208">
        <v>253</v>
      </c>
      <c r="D186" s="5205"/>
    </row>
    <row r="187" ht="13.5" spans="1:4">
      <c r="A187" s="5208" t="s">
        <v>3953</v>
      </c>
      <c r="B187" s="5220" t="s">
        <v>2564</v>
      </c>
      <c r="C187" s="5208">
        <v>254</v>
      </c>
      <c r="D187" s="5207" t="s">
        <v>4115</v>
      </c>
    </row>
    <row r="188" ht="13.5" spans="1:4">
      <c r="A188" s="5208" t="s">
        <v>3891</v>
      </c>
      <c r="B188" s="5220" t="s">
        <v>2863</v>
      </c>
      <c r="C188" s="5208">
        <v>255</v>
      </c>
      <c r="D188" s="5207" t="s">
        <v>4117</v>
      </c>
    </row>
    <row r="189" ht="13.5" spans="1:4">
      <c r="A189" s="5208" t="s">
        <v>3902</v>
      </c>
      <c r="B189" s="5220" t="s">
        <v>2569</v>
      </c>
      <c r="C189" s="5208">
        <v>256</v>
      </c>
      <c r="D189" s="5207" t="s">
        <v>4118</v>
      </c>
    </row>
    <row r="190" ht="13.5" spans="1:4">
      <c r="A190" s="5208" t="s">
        <v>3905</v>
      </c>
      <c r="B190" s="5220" t="s">
        <v>2571</v>
      </c>
      <c r="C190" s="5208">
        <v>257</v>
      </c>
      <c r="D190" s="5207" t="s">
        <v>4119</v>
      </c>
    </row>
    <row r="191" ht="13.5" spans="1:4">
      <c r="A191" s="5208" t="s">
        <v>3915</v>
      </c>
      <c r="B191" s="5220" t="s">
        <v>2574</v>
      </c>
      <c r="C191" s="5208">
        <v>258</v>
      </c>
      <c r="D191" s="5205"/>
    </row>
    <row r="192" ht="13.5" spans="1:4">
      <c r="A192" s="5208" t="s">
        <v>3967</v>
      </c>
      <c r="B192" s="5210" t="s">
        <v>2867</v>
      </c>
      <c r="C192" s="5207">
        <v>259</v>
      </c>
      <c r="D192" s="5207" t="s">
        <v>4120</v>
      </c>
    </row>
    <row r="193" ht="13.5" spans="1:4">
      <c r="A193" s="5208" t="s">
        <v>3969</v>
      </c>
      <c r="B193" s="5210" t="s">
        <v>2869</v>
      </c>
      <c r="C193" s="5207">
        <v>260</v>
      </c>
      <c r="D193" s="5207" t="s">
        <v>4121</v>
      </c>
    </row>
    <row r="194" ht="13.5" spans="1:4">
      <c r="A194" s="5208" t="s">
        <v>3971</v>
      </c>
      <c r="B194" s="5210" t="s">
        <v>2872</v>
      </c>
      <c r="C194" s="5207">
        <v>261</v>
      </c>
      <c r="D194" s="5207" t="s">
        <v>4122</v>
      </c>
    </row>
    <row r="195" ht="13.5" spans="1:4">
      <c r="A195" s="5208" t="s">
        <v>3918</v>
      </c>
      <c r="B195" s="5220" t="s">
        <v>4123</v>
      </c>
      <c r="C195" s="5208">
        <v>262</v>
      </c>
      <c r="D195" s="5205"/>
    </row>
    <row r="196" ht="13.5" spans="1:4">
      <c r="A196" s="5208" t="s">
        <v>4010</v>
      </c>
      <c r="B196" s="5210" t="s">
        <v>2876</v>
      </c>
      <c r="C196" s="5207">
        <v>263</v>
      </c>
      <c r="D196" s="5207" t="s">
        <v>4124</v>
      </c>
    </row>
    <row r="197" ht="13.5" spans="1:4">
      <c r="A197" s="5208" t="s">
        <v>4012</v>
      </c>
      <c r="B197" s="5210" t="s">
        <v>2877</v>
      </c>
      <c r="C197" s="5207">
        <v>264</v>
      </c>
      <c r="D197" s="5207" t="s">
        <v>4124</v>
      </c>
    </row>
    <row r="198" ht="13.5" spans="1:4">
      <c r="A198" s="5208" t="s">
        <v>4125</v>
      </c>
      <c r="B198" s="5210" t="s">
        <v>2879</v>
      </c>
      <c r="C198" s="5207">
        <v>265</v>
      </c>
      <c r="D198" s="5207" t="s">
        <v>4124</v>
      </c>
    </row>
    <row r="199" ht="13.5" spans="1:4">
      <c r="A199" s="5208" t="s">
        <v>4126</v>
      </c>
      <c r="B199" s="5210" t="s">
        <v>2880</v>
      </c>
      <c r="C199" s="5207">
        <v>266</v>
      </c>
      <c r="D199" s="5207" t="s">
        <v>4124</v>
      </c>
    </row>
    <row r="200" ht="13.5" spans="1:4">
      <c r="A200" s="5208" t="s">
        <v>4127</v>
      </c>
      <c r="B200" s="5210" t="s">
        <v>2881</v>
      </c>
      <c r="C200" s="5207">
        <v>267</v>
      </c>
      <c r="D200" s="5207" t="s">
        <v>4124</v>
      </c>
    </row>
    <row r="201" ht="13.5" spans="1:4">
      <c r="A201" s="5208" t="s">
        <v>4128</v>
      </c>
      <c r="B201" s="5210" t="s">
        <v>2883</v>
      </c>
      <c r="C201" s="5207">
        <v>268</v>
      </c>
      <c r="D201" s="5207" t="s">
        <v>4124</v>
      </c>
    </row>
    <row r="202" ht="13.5" spans="1:4">
      <c r="A202" s="5208" t="s">
        <v>3920</v>
      </c>
      <c r="B202" s="5220" t="s">
        <v>2885</v>
      </c>
      <c r="C202" s="5208">
        <v>269</v>
      </c>
      <c r="D202" s="5207" t="s">
        <v>4129</v>
      </c>
    </row>
    <row r="203" ht="13.5" spans="1:4">
      <c r="A203" s="5208" t="s">
        <v>3923</v>
      </c>
      <c r="B203" s="5220" t="s">
        <v>2578</v>
      </c>
      <c r="C203" s="5208">
        <v>270</v>
      </c>
      <c r="D203" s="5207" t="s">
        <v>4130</v>
      </c>
    </row>
    <row r="204" ht="13.5" spans="1:4">
      <c r="A204" s="5206" t="s">
        <v>3985</v>
      </c>
      <c r="B204" s="5219" t="s">
        <v>4131</v>
      </c>
      <c r="C204" s="5208">
        <v>271</v>
      </c>
      <c r="D204" s="5205"/>
    </row>
    <row r="205" ht="13.5" spans="1:4">
      <c r="A205" s="5208" t="s">
        <v>3953</v>
      </c>
      <c r="B205" s="5209" t="s">
        <v>4358</v>
      </c>
      <c r="C205" s="5207">
        <v>272</v>
      </c>
      <c r="D205" s="5207" t="s">
        <v>4133</v>
      </c>
    </row>
    <row r="206" ht="13.5" spans="1:4">
      <c r="A206" s="5208" t="s">
        <v>3875</v>
      </c>
      <c r="B206" s="5210" t="s">
        <v>2892</v>
      </c>
      <c r="C206" s="5207">
        <v>273</v>
      </c>
      <c r="D206" s="5207" t="s">
        <v>4063</v>
      </c>
    </row>
    <row r="207" ht="13.5" spans="1:4">
      <c r="A207" s="5208" t="s">
        <v>3877</v>
      </c>
      <c r="B207" s="5210" t="s">
        <v>2894</v>
      </c>
      <c r="C207" s="5207">
        <v>274</v>
      </c>
      <c r="D207" s="5207" t="s">
        <v>4064</v>
      </c>
    </row>
    <row r="208" ht="13.5" spans="1:4">
      <c r="A208" s="5208" t="s">
        <v>3880</v>
      </c>
      <c r="B208" s="5210" t="s">
        <v>2897</v>
      </c>
      <c r="C208" s="5207">
        <v>275</v>
      </c>
      <c r="D208" s="5207" t="s">
        <v>4065</v>
      </c>
    </row>
    <row r="209" ht="13.5" spans="1:4">
      <c r="A209" s="5208" t="s">
        <v>3883</v>
      </c>
      <c r="B209" s="5210" t="s">
        <v>2899</v>
      </c>
      <c r="C209" s="5207">
        <v>276</v>
      </c>
      <c r="D209" s="5207" t="s">
        <v>4066</v>
      </c>
    </row>
    <row r="210" ht="13.5" spans="1:4">
      <c r="A210" s="5208" t="s">
        <v>3886</v>
      </c>
      <c r="B210" s="5210" t="s">
        <v>2901</v>
      </c>
      <c r="C210" s="5207">
        <v>277</v>
      </c>
      <c r="D210" s="5207" t="s">
        <v>4067</v>
      </c>
    </row>
    <row r="211" ht="13.5" spans="1:4">
      <c r="A211" s="5208" t="s">
        <v>3889</v>
      </c>
      <c r="B211" s="5210" t="s">
        <v>2903</v>
      </c>
      <c r="C211" s="5207">
        <v>278</v>
      </c>
      <c r="D211" s="5207" t="s">
        <v>4068</v>
      </c>
    </row>
    <row r="212" ht="13.5" spans="1:4">
      <c r="A212" s="5208" t="s">
        <v>4069</v>
      </c>
      <c r="B212" s="5210" t="s">
        <v>2905</v>
      </c>
      <c r="C212" s="5207">
        <v>279</v>
      </c>
      <c r="D212" s="5207" t="s">
        <v>4063</v>
      </c>
    </row>
    <row r="213" ht="13.5" spans="1:4">
      <c r="A213" s="5208" t="s">
        <v>4070</v>
      </c>
      <c r="B213" s="5210" t="s">
        <v>2907</v>
      </c>
      <c r="C213" s="5207">
        <v>280</v>
      </c>
      <c r="D213" s="5207" t="s">
        <v>4071</v>
      </c>
    </row>
    <row r="214" ht="13.5" spans="1:4">
      <c r="A214" s="5208" t="s">
        <v>4072</v>
      </c>
      <c r="B214" s="5210" t="s">
        <v>2909</v>
      </c>
      <c r="C214" s="5207">
        <v>281</v>
      </c>
      <c r="D214" s="5207" t="s">
        <v>4073</v>
      </c>
    </row>
    <row r="215" ht="13.5" spans="1:4">
      <c r="A215" s="5208" t="s">
        <v>4074</v>
      </c>
      <c r="B215" s="5210" t="s">
        <v>2911</v>
      </c>
      <c r="C215" s="5207">
        <v>282</v>
      </c>
      <c r="D215" s="5207" t="s">
        <v>4075</v>
      </c>
    </row>
    <row r="216" ht="13.5" spans="1:4">
      <c r="A216" s="5208" t="s">
        <v>4076</v>
      </c>
      <c r="B216" s="5210" t="s">
        <v>2913</v>
      </c>
      <c r="C216" s="5207">
        <v>283</v>
      </c>
      <c r="D216" s="5207" t="s">
        <v>4077</v>
      </c>
    </row>
    <row r="217" ht="13.5" spans="1:4">
      <c r="A217" s="5208" t="s">
        <v>4078</v>
      </c>
      <c r="B217" s="5210" t="s">
        <v>2915</v>
      </c>
      <c r="C217" s="5207">
        <v>284</v>
      </c>
      <c r="D217" s="5207" t="s">
        <v>4079</v>
      </c>
    </row>
    <row r="218" ht="13.5" spans="1:4">
      <c r="A218" s="5208" t="s">
        <v>4080</v>
      </c>
      <c r="B218" s="5210" t="s">
        <v>2917</v>
      </c>
      <c r="C218" s="5207">
        <v>285</v>
      </c>
      <c r="D218" s="5207" t="s">
        <v>4081</v>
      </c>
    </row>
    <row r="219" ht="13.5" spans="1:4">
      <c r="A219" s="5208" t="s">
        <v>4082</v>
      </c>
      <c r="B219" s="5210" t="s">
        <v>2920</v>
      </c>
      <c r="C219" s="5207">
        <v>286</v>
      </c>
      <c r="D219" s="5207" t="s">
        <v>4083</v>
      </c>
    </row>
    <row r="220" ht="13.5" spans="1:4">
      <c r="A220" s="5208" t="s">
        <v>3891</v>
      </c>
      <c r="B220" s="5209" t="s">
        <v>4359</v>
      </c>
      <c r="C220" s="5207">
        <v>287</v>
      </c>
      <c r="D220" s="5207" t="s">
        <v>4133</v>
      </c>
    </row>
    <row r="221" ht="13.5" spans="1:4">
      <c r="A221" s="5208" t="s">
        <v>3893</v>
      </c>
      <c r="B221" s="5210" t="s">
        <v>2926</v>
      </c>
      <c r="C221" s="5207">
        <v>288</v>
      </c>
      <c r="D221" s="5207" t="s">
        <v>4085</v>
      </c>
    </row>
    <row r="222" ht="13.5" spans="1:4">
      <c r="A222" s="5208" t="s">
        <v>3896</v>
      </c>
      <c r="B222" s="5210" t="s">
        <v>2929</v>
      </c>
      <c r="C222" s="5207">
        <v>289</v>
      </c>
      <c r="D222" s="5207" t="s">
        <v>4135</v>
      </c>
    </row>
    <row r="223" ht="13.5" spans="1:4">
      <c r="A223" s="5208" t="s">
        <v>3898</v>
      </c>
      <c r="B223" s="5210" t="s">
        <v>2932</v>
      </c>
      <c r="C223" s="5207">
        <v>290</v>
      </c>
      <c r="D223" s="5207" t="s">
        <v>4087</v>
      </c>
    </row>
    <row r="224" ht="13.5" spans="1:4">
      <c r="A224" s="5208" t="s">
        <v>3900</v>
      </c>
      <c r="B224" s="5210" t="s">
        <v>2935</v>
      </c>
      <c r="C224" s="5207">
        <v>291</v>
      </c>
      <c r="D224" s="5207" t="s">
        <v>4088</v>
      </c>
    </row>
    <row r="225" ht="13.5" spans="1:4">
      <c r="A225" s="5208" t="s">
        <v>4089</v>
      </c>
      <c r="B225" s="5210" t="s">
        <v>2938</v>
      </c>
      <c r="C225" s="5207">
        <v>292</v>
      </c>
      <c r="D225" s="5207" t="s">
        <v>4090</v>
      </c>
    </row>
    <row r="226" ht="13.5" spans="1:4">
      <c r="A226" s="5208" t="s">
        <v>4091</v>
      </c>
      <c r="B226" s="5210" t="s">
        <v>2941</v>
      </c>
      <c r="C226" s="5207">
        <v>293</v>
      </c>
      <c r="D226" s="5207" t="s">
        <v>4136</v>
      </c>
    </row>
    <row r="227" ht="13.5" spans="1:4">
      <c r="A227" s="5208" t="s">
        <v>4093</v>
      </c>
      <c r="B227" s="5210" t="s">
        <v>2944</v>
      </c>
      <c r="C227" s="5213">
        <v>294</v>
      </c>
      <c r="D227" s="5207" t="s">
        <v>4094</v>
      </c>
    </row>
    <row r="228" ht="13.5" spans="1:4">
      <c r="A228" s="5208" t="s">
        <v>4095</v>
      </c>
      <c r="B228" s="5210" t="s">
        <v>2947</v>
      </c>
      <c r="C228" s="5221">
        <v>295</v>
      </c>
      <c r="D228" s="5207" t="s">
        <v>4096</v>
      </c>
    </row>
    <row r="229" ht="13.5" spans="1:4">
      <c r="A229" s="5208" t="s">
        <v>4097</v>
      </c>
      <c r="B229" s="5210" t="s">
        <v>2950</v>
      </c>
      <c r="C229" s="5207">
        <v>296</v>
      </c>
      <c r="D229" s="5207" t="s">
        <v>4098</v>
      </c>
    </row>
    <row r="230" ht="13.5" spans="1:4">
      <c r="A230" s="5217">
        <v>44471</v>
      </c>
      <c r="B230" s="5210" t="s">
        <v>2953</v>
      </c>
      <c r="C230" s="5207">
        <v>297</v>
      </c>
      <c r="D230" s="5207" t="s">
        <v>4083</v>
      </c>
    </row>
    <row r="231" ht="13.5" spans="1:4">
      <c r="A231" s="5208" t="s">
        <v>3902</v>
      </c>
      <c r="B231" s="5209" t="s">
        <v>2836</v>
      </c>
      <c r="C231" s="5207">
        <v>298</v>
      </c>
      <c r="D231" s="5207" t="s">
        <v>4100</v>
      </c>
    </row>
    <row r="232" ht="13.5" spans="1:4">
      <c r="A232" s="5208" t="s">
        <v>3905</v>
      </c>
      <c r="B232" s="5209" t="s">
        <v>2956</v>
      </c>
      <c r="C232" s="5207">
        <v>299</v>
      </c>
      <c r="D232" s="5207" t="s">
        <v>4101</v>
      </c>
    </row>
    <row r="233" ht="13.5" spans="1:4">
      <c r="A233" s="5208" t="s">
        <v>3915</v>
      </c>
      <c r="B233" s="5209" t="s">
        <v>2958</v>
      </c>
      <c r="C233" s="5207">
        <v>300</v>
      </c>
      <c r="D233" s="5207" t="s">
        <v>4102</v>
      </c>
    </row>
    <row r="234" ht="13.5" spans="1:4">
      <c r="A234" s="5208" t="s">
        <v>3918</v>
      </c>
      <c r="B234" s="5209" t="s">
        <v>2960</v>
      </c>
      <c r="C234" s="5207">
        <v>301</v>
      </c>
      <c r="D234" s="5207" t="s">
        <v>4137</v>
      </c>
    </row>
    <row r="235" ht="13.5" spans="1:4">
      <c r="A235" s="5208" t="s">
        <v>3920</v>
      </c>
      <c r="B235" s="5209" t="s">
        <v>2962</v>
      </c>
      <c r="C235" s="5207">
        <v>302</v>
      </c>
      <c r="D235" s="5207" t="s">
        <v>4357</v>
      </c>
    </row>
    <row r="236" spans="1:4">
      <c r="A236" s="5211" t="s">
        <v>3923</v>
      </c>
      <c r="B236" s="5212" t="s">
        <v>2964</v>
      </c>
      <c r="C236" s="5211">
        <v>303</v>
      </c>
      <c r="D236" s="5213" t="s">
        <v>4360</v>
      </c>
    </row>
    <row r="237" ht="13.5" spans="1:4">
      <c r="A237" s="5208"/>
      <c r="B237" s="5214"/>
      <c r="C237" s="5208"/>
      <c r="D237" s="5207" t="s">
        <v>4332</v>
      </c>
    </row>
    <row r="238" ht="13.5" spans="1:4">
      <c r="A238" s="5208" t="s">
        <v>3925</v>
      </c>
      <c r="B238" s="5209" t="s">
        <v>2598</v>
      </c>
      <c r="C238" s="5221">
        <v>304</v>
      </c>
      <c r="D238" s="5205"/>
    </row>
    <row r="239" ht="13.5" spans="1:4">
      <c r="A239" s="5208" t="s">
        <v>4106</v>
      </c>
      <c r="B239" s="5210" t="s">
        <v>2970</v>
      </c>
      <c r="C239" s="5207">
        <v>305</v>
      </c>
      <c r="D239" s="5207" t="s">
        <v>4139</v>
      </c>
    </row>
    <row r="240" ht="13.5" spans="1:4">
      <c r="A240" s="5208" t="s">
        <v>4108</v>
      </c>
      <c r="B240" s="5210" t="s">
        <v>2973</v>
      </c>
      <c r="C240" s="5207">
        <v>306</v>
      </c>
      <c r="D240" s="5207" t="s">
        <v>4109</v>
      </c>
    </row>
    <row r="241" ht="13.5" spans="1:4">
      <c r="A241" s="5208" t="s">
        <v>4110</v>
      </c>
      <c r="B241" s="5210" t="s">
        <v>2976</v>
      </c>
      <c r="C241" s="5207">
        <v>307</v>
      </c>
      <c r="D241" s="5207" t="s">
        <v>4140</v>
      </c>
    </row>
    <row r="242" ht="13.5" spans="1:4">
      <c r="A242" s="5208" t="s">
        <v>3928</v>
      </c>
      <c r="B242" s="5220" t="s">
        <v>2602</v>
      </c>
      <c r="C242" s="5208">
        <v>308</v>
      </c>
      <c r="D242" s="5207" t="s">
        <v>4141</v>
      </c>
    </row>
    <row r="243" ht="13.5" spans="1:4">
      <c r="A243" s="5206" t="s">
        <v>4142</v>
      </c>
      <c r="B243" s="5219" t="s">
        <v>4143</v>
      </c>
      <c r="C243" s="5208">
        <v>309</v>
      </c>
      <c r="D243" s="5205"/>
    </row>
    <row r="244" ht="13.5" spans="1:4">
      <c r="A244" s="5206" t="s">
        <v>4040</v>
      </c>
      <c r="B244" s="5203" t="s">
        <v>4144</v>
      </c>
      <c r="C244" s="5207">
        <v>310</v>
      </c>
      <c r="D244" s="5205"/>
    </row>
    <row r="245" ht="13.5" spans="1:4">
      <c r="A245" s="5206" t="s">
        <v>4041</v>
      </c>
      <c r="B245" s="5203" t="s">
        <v>4361</v>
      </c>
      <c r="C245" s="5207">
        <v>311</v>
      </c>
      <c r="D245" s="5205"/>
    </row>
    <row r="246" ht="13.5" spans="1:4">
      <c r="A246" s="5206" t="s">
        <v>4146</v>
      </c>
      <c r="B246" s="5203" t="s">
        <v>4147</v>
      </c>
      <c r="C246" s="5207">
        <v>312</v>
      </c>
      <c r="D246" s="5205"/>
    </row>
    <row r="247" ht="13.5" spans="1:4">
      <c r="A247" s="5208" t="s">
        <v>3953</v>
      </c>
      <c r="B247" s="5209" t="s">
        <v>2613</v>
      </c>
      <c r="C247" s="5207">
        <v>313</v>
      </c>
      <c r="D247" s="5207" t="s">
        <v>4148</v>
      </c>
    </row>
    <row r="248" ht="13.5" spans="1:4">
      <c r="A248" s="5208" t="s">
        <v>3891</v>
      </c>
      <c r="B248" s="5209" t="s">
        <v>2615</v>
      </c>
      <c r="C248" s="5207">
        <v>314</v>
      </c>
      <c r="D248" s="5205"/>
    </row>
    <row r="249" ht="13.5" spans="1:4">
      <c r="A249" s="5208" t="s">
        <v>3893</v>
      </c>
      <c r="B249" s="5210" t="s">
        <v>2989</v>
      </c>
      <c r="C249" s="5207">
        <v>315</v>
      </c>
      <c r="D249" s="5207" t="s">
        <v>4149</v>
      </c>
    </row>
    <row r="250" ht="13.5" spans="1:4">
      <c r="A250" s="5208" t="s">
        <v>3896</v>
      </c>
      <c r="B250" s="5210" t="s">
        <v>2992</v>
      </c>
      <c r="C250" s="5207">
        <v>316</v>
      </c>
      <c r="D250" s="5207" t="s">
        <v>4150</v>
      </c>
    </row>
    <row r="251" ht="13.5" spans="1:4">
      <c r="A251" s="5208" t="s">
        <v>3898</v>
      </c>
      <c r="B251" s="5210" t="s">
        <v>2995</v>
      </c>
      <c r="C251" s="5207">
        <v>317</v>
      </c>
      <c r="D251" s="5207" t="s">
        <v>4151</v>
      </c>
    </row>
    <row r="252" ht="13.5" spans="1:4">
      <c r="A252" s="5208" t="s">
        <v>3900</v>
      </c>
      <c r="B252" s="5210" t="s">
        <v>2998</v>
      </c>
      <c r="C252" s="5207">
        <v>318</v>
      </c>
      <c r="D252" s="5207" t="s">
        <v>4152</v>
      </c>
    </row>
    <row r="253" ht="13.5" spans="1:4">
      <c r="A253" s="5206" t="s">
        <v>4153</v>
      </c>
      <c r="B253" s="5203" t="s">
        <v>4154</v>
      </c>
      <c r="C253" s="5207">
        <v>319</v>
      </c>
      <c r="D253" s="5205"/>
    </row>
    <row r="254" ht="13.5" spans="1:4">
      <c r="A254" s="5206" t="s">
        <v>4155</v>
      </c>
      <c r="B254" s="5203" t="s">
        <v>4362</v>
      </c>
      <c r="C254" s="5207">
        <v>320</v>
      </c>
      <c r="D254" s="5205"/>
    </row>
    <row r="255" ht="13.5" spans="1:4">
      <c r="A255" s="5206" t="s">
        <v>4157</v>
      </c>
      <c r="B255" s="5203" t="s">
        <v>3004</v>
      </c>
      <c r="C255" s="5207">
        <v>321</v>
      </c>
      <c r="D255" s="5207" t="s">
        <v>4158</v>
      </c>
    </row>
    <row r="256" ht="13.5" spans="1:4">
      <c r="A256" s="5206" t="s">
        <v>4159</v>
      </c>
      <c r="B256" s="5203" t="s">
        <v>4160</v>
      </c>
      <c r="C256" s="5207">
        <v>322</v>
      </c>
      <c r="D256" s="5205"/>
    </row>
    <row r="257" ht="13.5" spans="1:4">
      <c r="A257" s="5206" t="s">
        <v>4161</v>
      </c>
      <c r="B257" s="5203" t="s">
        <v>4162</v>
      </c>
      <c r="C257" s="5207">
        <v>323</v>
      </c>
      <c r="D257" s="5205"/>
    </row>
    <row r="258" ht="13.5" spans="1:4">
      <c r="A258" s="5200"/>
      <c r="B258" s="5209"/>
      <c r="C258" s="5205"/>
      <c r="D258" s="5205"/>
    </row>
    <row r="259" ht="13.5" spans="1:4">
      <c r="A259" s="5222"/>
      <c r="B259" s="5203" t="s">
        <v>2623</v>
      </c>
      <c r="C259" s="5204"/>
      <c r="D259" s="5205"/>
    </row>
    <row r="260" ht="13.5" spans="1:4">
      <c r="A260" s="5206" t="s">
        <v>4163</v>
      </c>
      <c r="B260" s="5203" t="s">
        <v>4164</v>
      </c>
      <c r="C260" s="5207">
        <v>324</v>
      </c>
      <c r="D260" s="5205"/>
    </row>
    <row r="261" ht="13.5" spans="1:4">
      <c r="A261" s="5208" t="s">
        <v>3953</v>
      </c>
      <c r="B261" s="5209" t="s">
        <v>4363</v>
      </c>
      <c r="C261" s="5207">
        <v>325</v>
      </c>
      <c r="D261" s="5205"/>
    </row>
    <row r="262" ht="13.5" spans="1:4">
      <c r="A262" s="5208" t="s">
        <v>3875</v>
      </c>
      <c r="B262" s="5210" t="s">
        <v>3014</v>
      </c>
      <c r="C262" s="5207">
        <v>326</v>
      </c>
      <c r="D262" s="5207" t="s">
        <v>4364</v>
      </c>
    </row>
    <row r="263" ht="13.5" spans="1:4">
      <c r="A263" s="5208" t="s">
        <v>3877</v>
      </c>
      <c r="B263" s="5210" t="s">
        <v>3016</v>
      </c>
      <c r="C263" s="5207">
        <v>327</v>
      </c>
      <c r="D263" s="5207" t="s">
        <v>4365</v>
      </c>
    </row>
    <row r="264" ht="13.5" spans="1:4">
      <c r="A264" s="5208" t="s">
        <v>3880</v>
      </c>
      <c r="B264" s="5210" t="s">
        <v>3018</v>
      </c>
      <c r="C264" s="5207">
        <v>328</v>
      </c>
      <c r="D264" s="5207" t="s">
        <v>4357</v>
      </c>
    </row>
    <row r="265" ht="13.5" spans="1:4">
      <c r="A265" s="5208" t="s">
        <v>3883</v>
      </c>
      <c r="B265" s="5210" t="s">
        <v>3021</v>
      </c>
      <c r="C265" s="5207">
        <v>329</v>
      </c>
      <c r="D265" s="5207" t="s">
        <v>4366</v>
      </c>
    </row>
    <row r="266" ht="13.5" spans="1:4">
      <c r="A266" s="5208" t="s">
        <v>3886</v>
      </c>
      <c r="B266" s="5210" t="s">
        <v>2635</v>
      </c>
      <c r="C266" s="5207">
        <v>330</v>
      </c>
      <c r="D266" s="5207" t="s">
        <v>4367</v>
      </c>
    </row>
    <row r="267" ht="13.5" spans="1:4">
      <c r="A267" s="5208" t="s">
        <v>3891</v>
      </c>
      <c r="B267" s="5209" t="s">
        <v>4368</v>
      </c>
      <c r="C267" s="5207">
        <v>331</v>
      </c>
      <c r="D267" s="5207"/>
    </row>
    <row r="268" ht="13.5" spans="1:4">
      <c r="A268" s="5208" t="s">
        <v>3893</v>
      </c>
      <c r="B268" s="5210" t="s">
        <v>2628</v>
      </c>
      <c r="C268" s="5207">
        <v>332</v>
      </c>
      <c r="D268" s="5207" t="s">
        <v>4369</v>
      </c>
    </row>
    <row r="269" ht="13.5" spans="1:4">
      <c r="A269" s="5208" t="s">
        <v>3896</v>
      </c>
      <c r="B269" s="5210" t="s">
        <v>3026</v>
      </c>
      <c r="C269" s="5207">
        <v>333</v>
      </c>
      <c r="D269" s="5207" t="s">
        <v>4364</v>
      </c>
    </row>
    <row r="270" ht="13.5" spans="1:4">
      <c r="A270" s="5208" t="s">
        <v>3898</v>
      </c>
      <c r="B270" s="5210" t="s">
        <v>3028</v>
      </c>
      <c r="C270" s="5207">
        <v>334</v>
      </c>
      <c r="D270" s="5207" t="s">
        <v>4365</v>
      </c>
    </row>
    <row r="271" ht="13.5" spans="1:4">
      <c r="A271" s="5208" t="s">
        <v>3900</v>
      </c>
      <c r="B271" s="5210" t="s">
        <v>3031</v>
      </c>
      <c r="C271" s="5207">
        <v>335</v>
      </c>
      <c r="D271" s="5207" t="s">
        <v>4370</v>
      </c>
    </row>
    <row r="272" ht="13.5" spans="1:4">
      <c r="A272" s="5208" t="s">
        <v>4089</v>
      </c>
      <c r="B272" s="5210" t="s">
        <v>3018</v>
      </c>
      <c r="C272" s="5207">
        <v>336</v>
      </c>
      <c r="D272" s="5207" t="s">
        <v>4357</v>
      </c>
    </row>
    <row r="273" ht="13.5" spans="1:4">
      <c r="A273" s="5208" t="s">
        <v>4091</v>
      </c>
      <c r="B273" s="5210" t="s">
        <v>3034</v>
      </c>
      <c r="C273" s="5207">
        <v>337</v>
      </c>
      <c r="D273" s="5207" t="s">
        <v>4366</v>
      </c>
    </row>
    <row r="274" ht="13.5" spans="1:4">
      <c r="A274" s="5208" t="s">
        <v>4093</v>
      </c>
      <c r="B274" s="5210" t="s">
        <v>2635</v>
      </c>
      <c r="C274" s="5207">
        <v>338</v>
      </c>
      <c r="D274" s="5207" t="s">
        <v>4367</v>
      </c>
    </row>
    <row r="275" ht="13.5" spans="1:4">
      <c r="A275" s="5206" t="s">
        <v>4173</v>
      </c>
      <c r="B275" s="5203" t="s">
        <v>4174</v>
      </c>
      <c r="C275" s="5207">
        <v>339</v>
      </c>
      <c r="D275" s="5205"/>
    </row>
    <row r="276" ht="13.5" spans="1:4">
      <c r="A276" s="5200"/>
      <c r="B276" s="5209"/>
      <c r="C276" s="5205"/>
      <c r="D276" s="5205"/>
    </row>
    <row r="277" ht="13.5" spans="1:4">
      <c r="A277" s="5200"/>
      <c r="B277" s="5209" t="s">
        <v>3038</v>
      </c>
      <c r="C277" s="5205"/>
      <c r="D277" s="5205"/>
    </row>
    <row r="278" spans="1:4">
      <c r="A278" s="5223"/>
      <c r="B278" s="5215" t="s">
        <v>3040</v>
      </c>
      <c r="C278" s="5211">
        <v>340</v>
      </c>
      <c r="D278" s="5213" t="s">
        <v>4175</v>
      </c>
    </row>
    <row r="279" spans="1:4">
      <c r="A279" s="5224"/>
      <c r="B279" s="5225"/>
      <c r="C279" s="5226"/>
      <c r="D279" s="5213" t="s">
        <v>4371</v>
      </c>
    </row>
    <row r="280" ht="13.5" spans="1:4">
      <c r="A280" s="5200"/>
      <c r="B280" s="5216"/>
      <c r="C280" s="5208"/>
      <c r="D280" s="5207" t="s">
        <v>4372</v>
      </c>
    </row>
    <row r="281" spans="1:4">
      <c r="A281" s="5223"/>
      <c r="B281" s="5215" t="s">
        <v>3042</v>
      </c>
      <c r="C281" s="5211">
        <v>341</v>
      </c>
      <c r="D281" s="5213" t="s">
        <v>4373</v>
      </c>
    </row>
    <row r="282" spans="1:4">
      <c r="A282" s="5224"/>
      <c r="B282" s="5225"/>
      <c r="C282" s="5226"/>
      <c r="D282" s="5213" t="s">
        <v>4374</v>
      </c>
    </row>
    <row r="283" ht="13.5" spans="1:4">
      <c r="A283" s="5200"/>
      <c r="B283" s="5216"/>
      <c r="C283" s="5208"/>
      <c r="D283" s="5207" t="s">
        <v>4375</v>
      </c>
    </row>
    <row r="284" ht="13.5" spans="1:4">
      <c r="A284" s="5200"/>
      <c r="B284" s="5209" t="s">
        <v>4177</v>
      </c>
      <c r="C284" s="5205"/>
      <c r="D284" s="5205"/>
    </row>
    <row r="285" ht="13.5" spans="1:4">
      <c r="A285" s="5200"/>
      <c r="B285" s="5210" t="s">
        <v>3046</v>
      </c>
      <c r="C285" s="5207">
        <v>342</v>
      </c>
      <c r="D285" s="5207" t="s">
        <v>4357</v>
      </c>
    </row>
    <row r="286" ht="13.5" spans="1:4">
      <c r="A286" s="5200"/>
      <c r="B286" s="5210" t="s">
        <v>3048</v>
      </c>
      <c r="C286" s="5207">
        <v>343</v>
      </c>
      <c r="D286" s="5207" t="s">
        <v>4357</v>
      </c>
    </row>
    <row r="287" ht="13.5" spans="1:4">
      <c r="A287" s="5200"/>
      <c r="B287" s="5209" t="s">
        <v>3050</v>
      </c>
      <c r="C287" s="5201"/>
      <c r="D287" s="5205"/>
    </row>
    <row r="288" ht="13.5" spans="1:4">
      <c r="A288" s="5200"/>
      <c r="B288" s="5210" t="s">
        <v>3046</v>
      </c>
      <c r="C288" s="5207">
        <v>344</v>
      </c>
      <c r="D288" s="5207" t="s">
        <v>4357</v>
      </c>
    </row>
    <row r="289" ht="13.5" spans="1:4">
      <c r="A289" s="5200"/>
      <c r="B289" s="5210" t="s">
        <v>3048</v>
      </c>
      <c r="C289" s="5207">
        <v>345</v>
      </c>
      <c r="D289" s="5207" t="s">
        <v>4357</v>
      </c>
    </row>
    <row r="290" ht="14.25" spans="1:4">
      <c r="A290" s="5218"/>
    </row>
    <row r="294" ht="13.5"/>
    <row r="295" ht="13.5" spans="1:4">
      <c r="A295" s="5198" t="s">
        <v>2505</v>
      </c>
      <c r="B295" s="5227" t="s">
        <v>4043</v>
      </c>
      <c r="C295" s="5227" t="s">
        <v>4044</v>
      </c>
      <c r="D295" s="5227" t="s">
        <v>4178</v>
      </c>
    </row>
    <row r="296" ht="13.5" spans="1:4">
      <c r="A296" s="5200"/>
      <c r="B296" s="5201"/>
      <c r="C296" s="5205"/>
      <c r="D296" s="5205"/>
    </row>
    <row r="297" ht="13.5" spans="1:4">
      <c r="A297" s="5206" t="s">
        <v>3953</v>
      </c>
      <c r="B297" s="5203" t="s">
        <v>3250</v>
      </c>
      <c r="C297" s="5205"/>
      <c r="D297" s="5205"/>
    </row>
    <row r="298" ht="13.5" spans="1:4">
      <c r="A298" s="5208" t="s">
        <v>3875</v>
      </c>
      <c r="B298" s="5209" t="s">
        <v>3253</v>
      </c>
      <c r="C298" s="5207">
        <v>401</v>
      </c>
      <c r="D298" s="5207" t="s">
        <v>4376</v>
      </c>
    </row>
    <row r="299" ht="13.5" spans="1:4">
      <c r="A299" s="5208" t="s">
        <v>3877</v>
      </c>
      <c r="B299" s="5209" t="s">
        <v>3256</v>
      </c>
      <c r="C299" s="5207">
        <v>402</v>
      </c>
      <c r="D299" s="5207" t="s">
        <v>4377</v>
      </c>
    </row>
    <row r="300" ht="13.5" spans="1:4">
      <c r="A300" s="5208" t="s">
        <v>3880</v>
      </c>
      <c r="B300" s="5209" t="s">
        <v>3259</v>
      </c>
      <c r="C300" s="5207">
        <v>403</v>
      </c>
      <c r="D300" s="5207" t="s">
        <v>4378</v>
      </c>
    </row>
    <row r="301" ht="13.5" spans="1:4">
      <c r="A301" s="5208" t="s">
        <v>3883</v>
      </c>
      <c r="B301" s="5209" t="s">
        <v>3262</v>
      </c>
      <c r="C301" s="5207">
        <v>404</v>
      </c>
      <c r="D301" s="5207" t="s">
        <v>4379</v>
      </c>
    </row>
    <row r="302" ht="13.5" spans="1:4">
      <c r="A302" s="5208" t="s">
        <v>3886</v>
      </c>
      <c r="B302" s="5209" t="s">
        <v>3265</v>
      </c>
      <c r="C302" s="5207">
        <v>405</v>
      </c>
      <c r="D302" s="5207" t="s">
        <v>4380</v>
      </c>
    </row>
    <row r="303" ht="13.5" spans="1:4">
      <c r="A303" s="5208" t="s">
        <v>3889</v>
      </c>
      <c r="B303" s="5209" t="s">
        <v>3268</v>
      </c>
      <c r="C303" s="5207">
        <v>406</v>
      </c>
      <c r="D303" s="5207" t="s">
        <v>4381</v>
      </c>
    </row>
    <row r="304" ht="13.5" spans="1:4">
      <c r="A304" s="5208" t="s">
        <v>4069</v>
      </c>
      <c r="B304" s="5209" t="s">
        <v>3271</v>
      </c>
      <c r="C304" s="5207">
        <v>407</v>
      </c>
      <c r="D304" s="5207" t="s">
        <v>4382</v>
      </c>
    </row>
    <row r="305" ht="13.5" spans="1:4">
      <c r="A305" s="5206" t="s">
        <v>3872</v>
      </c>
      <c r="B305" s="5228" t="s">
        <v>4383</v>
      </c>
      <c r="C305" s="5207">
        <v>408</v>
      </c>
      <c r="D305" s="5205"/>
    </row>
    <row r="306" ht="13.5" spans="1:4">
      <c r="A306" s="5206" t="s">
        <v>3891</v>
      </c>
      <c r="B306" s="5203" t="s">
        <v>3275</v>
      </c>
      <c r="C306" s="5205"/>
      <c r="D306" s="5205"/>
    </row>
    <row r="307" ht="13.5" spans="1:4">
      <c r="A307" s="5208" t="s">
        <v>3893</v>
      </c>
      <c r="B307" s="5229" t="s">
        <v>3278</v>
      </c>
      <c r="C307" s="5207">
        <v>409</v>
      </c>
      <c r="D307" s="5207" t="s">
        <v>4384</v>
      </c>
    </row>
    <row r="308" ht="13.5" spans="1:4">
      <c r="A308" s="5208" t="s">
        <v>3896</v>
      </c>
      <c r="B308" s="5229" t="s">
        <v>3281</v>
      </c>
      <c r="C308" s="5207">
        <v>410</v>
      </c>
      <c r="D308" s="5207" t="s">
        <v>4385</v>
      </c>
    </row>
    <row r="309" ht="13.5" spans="1:4">
      <c r="A309" s="5208" t="s">
        <v>3898</v>
      </c>
      <c r="B309" s="5229" t="s">
        <v>3284</v>
      </c>
      <c r="C309" s="5207">
        <v>411</v>
      </c>
      <c r="D309" s="5207" t="s">
        <v>4386</v>
      </c>
    </row>
    <row r="310" ht="13.5" spans="1:4">
      <c r="A310" s="5208" t="s">
        <v>3900</v>
      </c>
      <c r="B310" s="5229" t="s">
        <v>3287</v>
      </c>
      <c r="C310" s="5207">
        <v>412</v>
      </c>
      <c r="D310" s="5207" t="s">
        <v>4385</v>
      </c>
    </row>
    <row r="311" ht="13.5" spans="1:4">
      <c r="A311" s="5208" t="s">
        <v>4089</v>
      </c>
      <c r="B311" s="5229" t="s">
        <v>3290</v>
      </c>
      <c r="C311" s="5207">
        <v>413</v>
      </c>
      <c r="D311" s="5207" t="s">
        <v>4384</v>
      </c>
    </row>
    <row r="312" ht="13.5" spans="1:4">
      <c r="A312" s="5208" t="s">
        <v>4091</v>
      </c>
      <c r="B312" s="5229" t="s">
        <v>3293</v>
      </c>
      <c r="C312" s="5207">
        <v>414</v>
      </c>
      <c r="D312" s="5207" t="s">
        <v>4385</v>
      </c>
    </row>
    <row r="313" ht="13.5" spans="1:4">
      <c r="A313" s="5208" t="s">
        <v>4093</v>
      </c>
      <c r="B313" s="5229" t="s">
        <v>3296</v>
      </c>
      <c r="C313" s="5207">
        <v>415</v>
      </c>
      <c r="D313" s="5207" t="s">
        <v>4384</v>
      </c>
    </row>
    <row r="314" ht="13.5" spans="1:4">
      <c r="A314" s="5208" t="s">
        <v>4095</v>
      </c>
      <c r="B314" s="5229" t="s">
        <v>3299</v>
      </c>
      <c r="C314" s="5207">
        <v>416</v>
      </c>
      <c r="D314" s="5207" t="s">
        <v>4385</v>
      </c>
    </row>
    <row r="315" ht="13.5" spans="1:4">
      <c r="A315" s="5208" t="s">
        <v>4097</v>
      </c>
      <c r="B315" s="5229" t="s">
        <v>3302</v>
      </c>
      <c r="C315" s="5207">
        <v>417</v>
      </c>
      <c r="D315" s="5207" t="s">
        <v>4385</v>
      </c>
    </row>
    <row r="316" ht="13.5" spans="1:4">
      <c r="A316" s="5208" t="s">
        <v>4099</v>
      </c>
      <c r="B316" s="5229" t="s">
        <v>3305</v>
      </c>
      <c r="C316" s="5207">
        <v>418</v>
      </c>
      <c r="D316" s="5207" t="s">
        <v>4384</v>
      </c>
    </row>
    <row r="317" ht="13.5" spans="1:4">
      <c r="A317" s="5208" t="s">
        <v>4189</v>
      </c>
      <c r="B317" s="5229" t="s">
        <v>3308</v>
      </c>
      <c r="C317" s="5207">
        <v>419</v>
      </c>
      <c r="D317" s="5207" t="s">
        <v>4387</v>
      </c>
    </row>
    <row r="318" ht="13.5" spans="1:4">
      <c r="A318" s="5208" t="s">
        <v>4191</v>
      </c>
      <c r="B318" s="5229" t="s">
        <v>3311</v>
      </c>
      <c r="C318" s="5207">
        <v>420</v>
      </c>
      <c r="D318" s="5207" t="s">
        <v>4384</v>
      </c>
    </row>
    <row r="319" ht="13.5" spans="1:4">
      <c r="A319" s="5208" t="s">
        <v>4192</v>
      </c>
      <c r="B319" s="5229" t="s">
        <v>3314</v>
      </c>
      <c r="C319" s="5207">
        <v>421</v>
      </c>
      <c r="D319" s="5207" t="s">
        <v>4387</v>
      </c>
    </row>
    <row r="320" ht="13.5" spans="1:4">
      <c r="A320" s="5208" t="s">
        <v>4193</v>
      </c>
      <c r="B320" s="5229" t="s">
        <v>3317</v>
      </c>
      <c r="C320" s="5207">
        <v>422</v>
      </c>
      <c r="D320" s="5207" t="s">
        <v>4384</v>
      </c>
    </row>
    <row r="321" ht="13.5" spans="1:4">
      <c r="A321" s="5208" t="s">
        <v>4194</v>
      </c>
      <c r="B321" s="5229" t="s">
        <v>3320</v>
      </c>
      <c r="C321" s="5207">
        <v>423</v>
      </c>
      <c r="D321" s="5207" t="s">
        <v>4387</v>
      </c>
    </row>
    <row r="322" ht="13.5" spans="1:4">
      <c r="A322" s="5208" t="s">
        <v>4195</v>
      </c>
      <c r="B322" s="5229" t="s">
        <v>3323</v>
      </c>
      <c r="C322" s="5207">
        <v>424</v>
      </c>
      <c r="D322" s="5207" t="s">
        <v>4388</v>
      </c>
    </row>
    <row r="323" ht="13.5" spans="1:4">
      <c r="A323" s="5208" t="s">
        <v>4197</v>
      </c>
      <c r="B323" s="5229" t="s">
        <v>3326</v>
      </c>
      <c r="C323" s="5207">
        <v>425</v>
      </c>
      <c r="D323" s="5207" t="s">
        <v>4389</v>
      </c>
    </row>
    <row r="324" ht="13.5" spans="1:4">
      <c r="A324" s="5208" t="s">
        <v>4199</v>
      </c>
      <c r="B324" s="5229" t="s">
        <v>3326</v>
      </c>
      <c r="C324" s="5207">
        <v>426</v>
      </c>
      <c r="D324" s="5207" t="s">
        <v>4390</v>
      </c>
    </row>
    <row r="325" ht="13.5" spans="1:4">
      <c r="A325" s="5208" t="s">
        <v>4201</v>
      </c>
      <c r="B325" s="5229" t="s">
        <v>3330</v>
      </c>
      <c r="C325" s="5207">
        <v>427</v>
      </c>
      <c r="D325" s="5207" t="s">
        <v>4384</v>
      </c>
    </row>
    <row r="326" ht="13.5" spans="1:4">
      <c r="A326" s="5208" t="s">
        <v>4202</v>
      </c>
      <c r="B326" s="5229" t="s">
        <v>3333</v>
      </c>
      <c r="C326" s="5207">
        <v>428</v>
      </c>
      <c r="D326" s="5207" t="s">
        <v>4385</v>
      </c>
    </row>
    <row r="327" ht="13.5" spans="1:4">
      <c r="A327" s="5208" t="s">
        <v>4203</v>
      </c>
      <c r="B327" s="5229" t="s">
        <v>3335</v>
      </c>
      <c r="C327" s="5207">
        <v>429</v>
      </c>
      <c r="D327" s="5207" t="s">
        <v>4384</v>
      </c>
    </row>
    <row r="328" ht="13.5" spans="1:4">
      <c r="A328" s="5208" t="s">
        <v>4204</v>
      </c>
      <c r="B328" s="5229" t="s">
        <v>3338</v>
      </c>
      <c r="C328" s="5207">
        <v>430</v>
      </c>
      <c r="D328" s="5207" t="s">
        <v>4385</v>
      </c>
    </row>
    <row r="329" ht="13.5" spans="1:4">
      <c r="A329" s="5208" t="s">
        <v>4205</v>
      </c>
      <c r="B329" s="5229" t="s">
        <v>3340</v>
      </c>
      <c r="C329" s="5207">
        <v>431</v>
      </c>
      <c r="D329" s="5207" t="s">
        <v>4384</v>
      </c>
    </row>
    <row r="330" ht="13.5" spans="1:4">
      <c r="A330" s="5208" t="s">
        <v>4206</v>
      </c>
      <c r="B330" s="5229" t="s">
        <v>3343</v>
      </c>
      <c r="C330" s="5207">
        <v>432</v>
      </c>
      <c r="D330" s="5207" t="s">
        <v>4385</v>
      </c>
    </row>
    <row r="331" ht="13.5" spans="1:4">
      <c r="A331" s="5208" t="s">
        <v>4207</v>
      </c>
      <c r="B331" s="5229" t="s">
        <v>3345</v>
      </c>
      <c r="C331" s="5207">
        <v>433</v>
      </c>
      <c r="D331" s="5207" t="s">
        <v>4391</v>
      </c>
    </row>
    <row r="332" ht="13.5" spans="1:4">
      <c r="A332" s="5208" t="s">
        <v>4209</v>
      </c>
      <c r="B332" s="5209" t="s">
        <v>3348</v>
      </c>
      <c r="C332" s="5207">
        <v>434</v>
      </c>
      <c r="D332" s="5207" t="s">
        <v>4392</v>
      </c>
    </row>
    <row r="333" ht="13.5" spans="1:4">
      <c r="A333" s="5208" t="s">
        <v>4211</v>
      </c>
      <c r="B333" s="5209" t="s">
        <v>3351</v>
      </c>
      <c r="C333" s="5207">
        <v>435</v>
      </c>
      <c r="D333" s="5207" t="s">
        <v>4393</v>
      </c>
    </row>
    <row r="334" ht="13.5" spans="1:4">
      <c r="A334" s="5208" t="s">
        <v>4213</v>
      </c>
      <c r="B334" s="5209" t="s">
        <v>3354</v>
      </c>
      <c r="C334" s="5207">
        <v>436</v>
      </c>
      <c r="D334" s="5207" t="s">
        <v>4381</v>
      </c>
    </row>
    <row r="335" ht="13.5" spans="1:4">
      <c r="A335" s="5208" t="s">
        <v>4214</v>
      </c>
      <c r="B335" s="5209" t="s">
        <v>3357</v>
      </c>
      <c r="C335" s="5207">
        <v>437</v>
      </c>
      <c r="D335" s="5207" t="s">
        <v>4382</v>
      </c>
    </row>
    <row r="336" ht="13.5" spans="1:4">
      <c r="A336" s="5206" t="s">
        <v>3949</v>
      </c>
      <c r="B336" s="5228" t="s">
        <v>4394</v>
      </c>
      <c r="C336" s="5230">
        <v>438</v>
      </c>
      <c r="D336" s="5205"/>
    </row>
    <row r="337" ht="13.5" spans="1:4">
      <c r="A337" s="5206" t="s">
        <v>3902</v>
      </c>
      <c r="B337" s="5203" t="s">
        <v>3362</v>
      </c>
      <c r="C337" s="5205"/>
      <c r="D337" s="5205"/>
    </row>
    <row r="338" ht="13.5" spans="1:4">
      <c r="A338" s="5208" t="s">
        <v>3998</v>
      </c>
      <c r="B338" s="5229" t="s">
        <v>3365</v>
      </c>
      <c r="C338" s="5207">
        <v>439</v>
      </c>
      <c r="D338" s="5207" t="s">
        <v>4395</v>
      </c>
    </row>
    <row r="339" ht="13.5" spans="1:4">
      <c r="A339" s="5208" t="s">
        <v>4000</v>
      </c>
      <c r="B339" s="5229" t="s">
        <v>3368</v>
      </c>
      <c r="C339" s="5207">
        <v>440</v>
      </c>
      <c r="D339" s="5207" t="s">
        <v>4396</v>
      </c>
    </row>
    <row r="340" ht="13.5" spans="1:4">
      <c r="A340" s="5208" t="s">
        <v>4058</v>
      </c>
      <c r="B340" s="5229" t="s">
        <v>3371</v>
      </c>
      <c r="C340" s="5207">
        <v>441</v>
      </c>
      <c r="D340" s="5207" t="s">
        <v>4397</v>
      </c>
    </row>
    <row r="341" ht="13.5" spans="1:4">
      <c r="A341" s="5208" t="s">
        <v>4219</v>
      </c>
      <c r="B341" s="5229" t="s">
        <v>3373</v>
      </c>
      <c r="C341" s="5207">
        <v>442</v>
      </c>
      <c r="D341" s="5207" t="s">
        <v>4398</v>
      </c>
    </row>
    <row r="342" ht="13.5" spans="1:4">
      <c r="A342" s="5208" t="s">
        <v>4221</v>
      </c>
      <c r="B342" s="5229" t="s">
        <v>3376</v>
      </c>
      <c r="C342" s="5207">
        <v>443</v>
      </c>
      <c r="D342" s="5207" t="s">
        <v>4399</v>
      </c>
    </row>
    <row r="343" ht="13.5" spans="1:4">
      <c r="A343" s="5208" t="s">
        <v>4223</v>
      </c>
      <c r="B343" s="5229" t="s">
        <v>3378</v>
      </c>
      <c r="C343" s="5207">
        <v>444</v>
      </c>
      <c r="D343" s="5207" t="s">
        <v>4400</v>
      </c>
    </row>
    <row r="344" ht="13.5" spans="1:4">
      <c r="A344" s="5208" t="s">
        <v>4225</v>
      </c>
      <c r="B344" s="5229" t="s">
        <v>3380</v>
      </c>
      <c r="C344" s="5207">
        <v>445</v>
      </c>
      <c r="D344" s="5207" t="s">
        <v>4401</v>
      </c>
    </row>
    <row r="345" ht="13.5" spans="1:4">
      <c r="A345" s="5208" t="s">
        <v>4227</v>
      </c>
      <c r="B345" s="5229" t="s">
        <v>3382</v>
      </c>
      <c r="C345" s="5207">
        <v>446</v>
      </c>
      <c r="D345" s="5207" t="s">
        <v>4402</v>
      </c>
    </row>
    <row r="346" ht="13.5" spans="1:4">
      <c r="A346" s="5208" t="s">
        <v>4229</v>
      </c>
      <c r="B346" s="5229" t="s">
        <v>3384</v>
      </c>
      <c r="C346" s="5207">
        <v>447</v>
      </c>
      <c r="D346" s="5207" t="s">
        <v>4403</v>
      </c>
    </row>
    <row r="347" ht="13.5" spans="1:4">
      <c r="A347" s="5208" t="s">
        <v>4231</v>
      </c>
      <c r="B347" s="5229" t="s">
        <v>3387</v>
      </c>
      <c r="C347" s="5207">
        <v>448</v>
      </c>
      <c r="D347" s="5207" t="s">
        <v>4404</v>
      </c>
    </row>
    <row r="348" ht="13.5" spans="1:4">
      <c r="A348" s="5208" t="s">
        <v>4233</v>
      </c>
      <c r="B348" s="5209" t="s">
        <v>3390</v>
      </c>
      <c r="C348" s="5207">
        <v>449</v>
      </c>
      <c r="D348" s="5207" t="s">
        <v>4405</v>
      </c>
    </row>
    <row r="349" ht="13.5" spans="1:4">
      <c r="A349" s="5208" t="s">
        <v>4235</v>
      </c>
      <c r="B349" s="5209" t="s">
        <v>3393</v>
      </c>
      <c r="C349" s="5207">
        <v>450</v>
      </c>
      <c r="D349" s="5207" t="s">
        <v>4381</v>
      </c>
    </row>
    <row r="350" ht="13.5" spans="1:4">
      <c r="A350" s="5208" t="s">
        <v>4236</v>
      </c>
      <c r="B350" s="5209" t="s">
        <v>3396</v>
      </c>
      <c r="C350" s="5207">
        <v>451</v>
      </c>
      <c r="D350" s="5207" t="s">
        <v>4382</v>
      </c>
    </row>
    <row r="351" ht="13.5" spans="1:4">
      <c r="A351" s="5206" t="s">
        <v>3951</v>
      </c>
      <c r="B351" s="5203" t="s">
        <v>4406</v>
      </c>
      <c r="C351" s="5207">
        <v>452</v>
      </c>
      <c r="D351" s="5205"/>
    </row>
    <row r="352" ht="13.5" spans="1:4">
      <c r="A352" s="5206" t="s">
        <v>3905</v>
      </c>
      <c r="B352" s="5228" t="s">
        <v>4288</v>
      </c>
      <c r="C352" s="5207">
        <v>453</v>
      </c>
      <c r="D352" s="5205"/>
    </row>
    <row r="353" ht="13.5" spans="1:4">
      <c r="A353" s="5206" t="s">
        <v>3915</v>
      </c>
      <c r="B353" s="5203" t="s">
        <v>3404</v>
      </c>
      <c r="C353" s="5207">
        <v>454</v>
      </c>
      <c r="D353" s="5207" t="s">
        <v>4407</v>
      </c>
    </row>
    <row r="354" ht="13.5" spans="1:4">
      <c r="A354" s="5206" t="s">
        <v>3918</v>
      </c>
      <c r="B354" s="5203" t="s">
        <v>3407</v>
      </c>
      <c r="C354" s="5207">
        <v>455</v>
      </c>
      <c r="D354" s="5205"/>
    </row>
    <row r="355" ht="13.5" spans="1:4">
      <c r="A355" s="5206" t="s">
        <v>3920</v>
      </c>
      <c r="B355" s="5203" t="s">
        <v>4408</v>
      </c>
      <c r="C355" s="5207">
        <v>456</v>
      </c>
      <c r="D355" s="5207" t="s">
        <v>4407</v>
      </c>
    </row>
    <row r="359" ht="13.5"/>
    <row r="360" ht="13.5" spans="1:4">
      <c r="A360" s="5198" t="s">
        <v>2505</v>
      </c>
      <c r="B360" s="5227" t="s">
        <v>4043</v>
      </c>
      <c r="C360" s="5227" t="s">
        <v>4044</v>
      </c>
      <c r="D360" s="5227" t="s">
        <v>4178</v>
      </c>
    </row>
    <row r="361" ht="13.5" spans="1:4">
      <c r="A361" s="5200"/>
      <c r="B361" s="5201"/>
      <c r="C361" s="5204"/>
      <c r="D361" s="5205"/>
    </row>
    <row r="362" ht="13.5" spans="1:4">
      <c r="A362" s="5206" t="s">
        <v>3953</v>
      </c>
      <c r="B362" s="5203" t="s">
        <v>3250</v>
      </c>
      <c r="C362" s="5205"/>
      <c r="D362" s="5205"/>
    </row>
    <row r="363" ht="13.5" spans="1:4">
      <c r="A363" s="5208" t="s">
        <v>3875</v>
      </c>
      <c r="B363" s="5229" t="s">
        <v>3415</v>
      </c>
      <c r="C363" s="5230">
        <v>501</v>
      </c>
      <c r="D363" s="5207" t="s">
        <v>4241</v>
      </c>
    </row>
    <row r="364" ht="13.5" spans="1:4">
      <c r="A364" s="5208" t="s">
        <v>3877</v>
      </c>
      <c r="B364" s="5229" t="s">
        <v>3417</v>
      </c>
      <c r="C364" s="5231"/>
      <c r="D364" s="5205"/>
    </row>
    <row r="365" ht="13.5" spans="1:4">
      <c r="A365" s="5208" t="s">
        <v>4242</v>
      </c>
      <c r="B365" s="5232" t="s">
        <v>2576</v>
      </c>
      <c r="C365" s="5230">
        <v>502</v>
      </c>
      <c r="D365" s="5207" t="s">
        <v>4409</v>
      </c>
    </row>
    <row r="366" ht="13.5" spans="1:4">
      <c r="A366" s="5208" t="s">
        <v>4244</v>
      </c>
      <c r="B366" s="5232" t="s">
        <v>3421</v>
      </c>
      <c r="C366" s="5230">
        <v>503</v>
      </c>
      <c r="D366" s="5207" t="s">
        <v>4410</v>
      </c>
    </row>
    <row r="367" ht="13.5" spans="1:4">
      <c r="A367" s="5208" t="s">
        <v>4246</v>
      </c>
      <c r="B367" s="5232" t="s">
        <v>3424</v>
      </c>
      <c r="C367" s="5230">
        <v>504</v>
      </c>
      <c r="D367" s="5207" t="s">
        <v>4410</v>
      </c>
    </row>
    <row r="368" ht="13.5" spans="1:4">
      <c r="A368" s="5208" t="s">
        <v>4247</v>
      </c>
      <c r="B368" s="5232" t="s">
        <v>3427</v>
      </c>
      <c r="C368" s="5230">
        <v>505</v>
      </c>
      <c r="D368" s="5207" t="s">
        <v>4410</v>
      </c>
    </row>
    <row r="369" ht="13.5" spans="1:4">
      <c r="A369" s="5208" t="s">
        <v>4248</v>
      </c>
      <c r="B369" s="5232" t="s">
        <v>3430</v>
      </c>
      <c r="C369" s="5230">
        <v>506</v>
      </c>
      <c r="D369" s="5207" t="s">
        <v>4411</v>
      </c>
    </row>
    <row r="370" ht="13.5" spans="1:4">
      <c r="A370" s="5208" t="s">
        <v>4250</v>
      </c>
      <c r="B370" s="5232" t="s">
        <v>3433</v>
      </c>
      <c r="C370" s="5230">
        <v>507</v>
      </c>
      <c r="D370" s="5207" t="s">
        <v>4412</v>
      </c>
    </row>
    <row r="371" ht="13.5" spans="1:4">
      <c r="A371" s="5208" t="s">
        <v>4252</v>
      </c>
      <c r="B371" s="5232" t="s">
        <v>3436</v>
      </c>
      <c r="C371" s="5230">
        <v>508</v>
      </c>
      <c r="D371" s="5207" t="s">
        <v>4412</v>
      </c>
    </row>
    <row r="372" ht="13.5" spans="1:4">
      <c r="A372" s="5208" t="s">
        <v>4253</v>
      </c>
      <c r="B372" s="5232" t="s">
        <v>3439</v>
      </c>
      <c r="C372" s="5230">
        <v>509</v>
      </c>
      <c r="D372" s="5207" t="s">
        <v>4412</v>
      </c>
    </row>
    <row r="373" ht="13.5" spans="1:4">
      <c r="A373" s="5208" t="s">
        <v>4254</v>
      </c>
      <c r="B373" s="5232" t="s">
        <v>3442</v>
      </c>
      <c r="C373" s="5230">
        <v>510</v>
      </c>
      <c r="D373" s="5207" t="s">
        <v>4413</v>
      </c>
    </row>
    <row r="374" ht="13.5" spans="1:4">
      <c r="A374" s="5208" t="s">
        <v>4256</v>
      </c>
      <c r="B374" s="5232" t="s">
        <v>3445</v>
      </c>
      <c r="C374" s="5230">
        <v>511</v>
      </c>
      <c r="D374" s="5207" t="s">
        <v>4413</v>
      </c>
    </row>
    <row r="375" ht="13.5" spans="1:4">
      <c r="A375" s="5208" t="s">
        <v>4257</v>
      </c>
      <c r="B375" s="5232" t="s">
        <v>3449</v>
      </c>
      <c r="C375" s="5230">
        <v>512</v>
      </c>
      <c r="D375" s="5207" t="s">
        <v>4413</v>
      </c>
    </row>
    <row r="376" ht="13.5" spans="1:4">
      <c r="A376" s="5208" t="s">
        <v>4258</v>
      </c>
      <c r="B376" s="5232" t="s">
        <v>3452</v>
      </c>
      <c r="C376" s="5230">
        <v>513</v>
      </c>
      <c r="D376" s="5207" t="s">
        <v>4411</v>
      </c>
    </row>
    <row r="377" ht="13.5" spans="1:4">
      <c r="A377" s="5208" t="s">
        <v>4259</v>
      </c>
      <c r="B377" s="5232" t="s">
        <v>3456</v>
      </c>
      <c r="C377" s="5230">
        <v>514</v>
      </c>
      <c r="D377" s="5207" t="s">
        <v>4414</v>
      </c>
    </row>
    <row r="378" ht="13.5" spans="1:4">
      <c r="A378" s="5208" t="s">
        <v>4261</v>
      </c>
      <c r="B378" s="5232" t="s">
        <v>3460</v>
      </c>
      <c r="C378" s="5230">
        <v>515</v>
      </c>
      <c r="D378" s="5207" t="s">
        <v>4415</v>
      </c>
    </row>
    <row r="379" ht="13.5" spans="1:4">
      <c r="A379" s="5208" t="s">
        <v>4263</v>
      </c>
      <c r="B379" s="5232" t="s">
        <v>3464</v>
      </c>
      <c r="C379" s="5230">
        <v>516</v>
      </c>
      <c r="D379" s="5207" t="s">
        <v>4416</v>
      </c>
    </row>
    <row r="380" ht="13.5" spans="1:4">
      <c r="A380" s="5208" t="s">
        <v>4265</v>
      </c>
      <c r="B380" s="5232" t="s">
        <v>3468</v>
      </c>
      <c r="C380" s="5230">
        <v>517</v>
      </c>
      <c r="D380" s="5207" t="s">
        <v>4417</v>
      </c>
    </row>
    <row r="381" ht="13.5" spans="1:4">
      <c r="A381" s="5208" t="s">
        <v>4267</v>
      </c>
      <c r="B381" s="5232" t="s">
        <v>3471</v>
      </c>
      <c r="C381" s="5230">
        <v>518</v>
      </c>
      <c r="D381" s="5207" t="s">
        <v>4418</v>
      </c>
    </row>
    <row r="382" ht="13.5" spans="1:4">
      <c r="A382" s="5208" t="s">
        <v>4269</v>
      </c>
      <c r="B382" s="5232" t="s">
        <v>3475</v>
      </c>
      <c r="C382" s="5230">
        <v>519</v>
      </c>
      <c r="D382" s="5207" t="s">
        <v>4419</v>
      </c>
    </row>
    <row r="383" ht="13.5" spans="1:4">
      <c r="A383" s="5208" t="s">
        <v>4271</v>
      </c>
      <c r="B383" s="5232" t="s">
        <v>3479</v>
      </c>
      <c r="C383" s="5230">
        <v>520</v>
      </c>
      <c r="D383" s="5207" t="s">
        <v>4420</v>
      </c>
    </row>
    <row r="384" ht="13.5" spans="1:4">
      <c r="A384" s="5233">
        <v>43862</v>
      </c>
      <c r="B384" s="5232" t="s">
        <v>3482</v>
      </c>
      <c r="C384" s="5230">
        <v>521</v>
      </c>
      <c r="D384" s="5207" t="s">
        <v>4421</v>
      </c>
    </row>
    <row r="385" ht="13.5" spans="1:4">
      <c r="A385" s="5208" t="s">
        <v>4275</v>
      </c>
      <c r="B385" s="5232" t="s">
        <v>2964</v>
      </c>
      <c r="C385" s="5230">
        <v>522</v>
      </c>
      <c r="D385" s="5207" t="s">
        <v>4422</v>
      </c>
    </row>
    <row r="386" ht="13.5" spans="1:4">
      <c r="A386" s="5208" t="s">
        <v>4277</v>
      </c>
      <c r="B386" s="5232" t="s">
        <v>3488</v>
      </c>
      <c r="C386" s="5230">
        <v>523</v>
      </c>
      <c r="D386" s="5207" t="s">
        <v>3488</v>
      </c>
    </row>
    <row r="387" ht="13.5" spans="1:4">
      <c r="A387" s="5208" t="s">
        <v>4278</v>
      </c>
      <c r="B387" s="5232" t="s">
        <v>3492</v>
      </c>
      <c r="C387" s="5230">
        <v>524</v>
      </c>
      <c r="D387" s="5207" t="s">
        <v>3492</v>
      </c>
    </row>
    <row r="388" ht="13.5" spans="1:4">
      <c r="A388" s="5208" t="s">
        <v>4279</v>
      </c>
      <c r="B388" s="5232" t="s">
        <v>3496</v>
      </c>
      <c r="C388" s="5230">
        <v>525</v>
      </c>
      <c r="D388" s="5207" t="s">
        <v>3496</v>
      </c>
    </row>
    <row r="389" ht="13.5" spans="1:4">
      <c r="A389" s="5208" t="s">
        <v>3880</v>
      </c>
      <c r="B389" s="5229" t="s">
        <v>3498</v>
      </c>
      <c r="C389" s="5231"/>
      <c r="D389" s="5205"/>
    </row>
    <row r="390" ht="13.5" spans="1:4">
      <c r="A390" s="5208" t="s">
        <v>4280</v>
      </c>
      <c r="B390" s="5232" t="s">
        <v>3501</v>
      </c>
      <c r="C390" s="5230">
        <v>526</v>
      </c>
      <c r="D390" s="5211" t="s">
        <v>4423</v>
      </c>
    </row>
    <row r="391" ht="13.5" spans="1:4">
      <c r="A391" s="5208" t="s">
        <v>4282</v>
      </c>
      <c r="B391" s="5232" t="s">
        <v>3504</v>
      </c>
      <c r="C391" s="5230">
        <v>527</v>
      </c>
      <c r="D391" s="5226"/>
    </row>
    <row r="392" ht="13.5" spans="1:4">
      <c r="A392" s="5208" t="s">
        <v>4283</v>
      </c>
      <c r="B392" s="5232" t="s">
        <v>3507</v>
      </c>
      <c r="C392" s="5230">
        <v>528</v>
      </c>
      <c r="D392" s="5226"/>
    </row>
    <row r="393" ht="13.5" spans="1:4">
      <c r="A393" s="5208" t="s">
        <v>4284</v>
      </c>
      <c r="B393" s="5232" t="s">
        <v>3510</v>
      </c>
      <c r="C393" s="5230">
        <v>529</v>
      </c>
      <c r="D393" s="5226"/>
    </row>
    <row r="394" ht="13.5" spans="1:4">
      <c r="A394" s="5208" t="s">
        <v>4285</v>
      </c>
      <c r="B394" s="5232" t="s">
        <v>3514</v>
      </c>
      <c r="C394" s="5230">
        <v>530</v>
      </c>
      <c r="D394" s="5226"/>
    </row>
    <row r="395" ht="13.5" spans="1:4">
      <c r="A395" s="5208" t="s">
        <v>4286</v>
      </c>
      <c r="B395" s="5232" t="s">
        <v>3518</v>
      </c>
      <c r="C395" s="5230">
        <v>531</v>
      </c>
      <c r="D395" s="5226"/>
    </row>
    <row r="396" ht="13.5" spans="1:4">
      <c r="A396" s="5208" t="s">
        <v>4287</v>
      </c>
      <c r="B396" s="5232" t="s">
        <v>3522</v>
      </c>
      <c r="C396" s="5230">
        <v>532</v>
      </c>
      <c r="D396" s="5208"/>
    </row>
    <row r="397" ht="13.5" spans="1:4">
      <c r="A397" s="5208" t="s">
        <v>3883</v>
      </c>
      <c r="B397" s="5229" t="s">
        <v>3525</v>
      </c>
      <c r="C397" s="5230">
        <v>533</v>
      </c>
      <c r="D397" s="5205"/>
    </row>
    <row r="398" ht="13.5" spans="1:4">
      <c r="A398" s="5206" t="s">
        <v>3872</v>
      </c>
      <c r="B398" s="5228" t="s">
        <v>4383</v>
      </c>
      <c r="C398" s="5230">
        <v>534</v>
      </c>
      <c r="D398" s="5205"/>
    </row>
    <row r="399" ht="13.5" spans="1:4">
      <c r="A399" s="5206" t="s">
        <v>3891</v>
      </c>
      <c r="B399" s="5203" t="s">
        <v>3275</v>
      </c>
      <c r="C399" s="5205"/>
      <c r="D399" s="5205"/>
    </row>
    <row r="400" ht="13.5" spans="1:4">
      <c r="A400" s="5208" t="s">
        <v>3893</v>
      </c>
      <c r="B400" s="5229" t="s">
        <v>3278</v>
      </c>
      <c r="C400" s="5230">
        <v>535</v>
      </c>
      <c r="D400" s="5207" t="s">
        <v>4384</v>
      </c>
    </row>
    <row r="401" ht="13.5" spans="1:4">
      <c r="A401" s="5208" t="s">
        <v>3896</v>
      </c>
      <c r="B401" s="5229" t="s">
        <v>3281</v>
      </c>
      <c r="C401" s="5230">
        <v>536</v>
      </c>
      <c r="D401" s="5207" t="s">
        <v>4385</v>
      </c>
    </row>
    <row r="402" ht="13.5" spans="1:4">
      <c r="A402" s="5208" t="s">
        <v>3898</v>
      </c>
      <c r="B402" s="5229" t="s">
        <v>3284</v>
      </c>
      <c r="C402" s="5230">
        <v>537</v>
      </c>
      <c r="D402" s="5207" t="s">
        <v>4384</v>
      </c>
    </row>
    <row r="403" ht="13.5" spans="1:4">
      <c r="A403" s="5208" t="s">
        <v>3900</v>
      </c>
      <c r="B403" s="5229" t="s">
        <v>3287</v>
      </c>
      <c r="C403" s="5230">
        <v>538</v>
      </c>
      <c r="D403" s="5207" t="s">
        <v>4385</v>
      </c>
    </row>
    <row r="404" ht="13.5" spans="1:4">
      <c r="A404" s="5208" t="s">
        <v>4089</v>
      </c>
      <c r="B404" s="5229" t="s">
        <v>3536</v>
      </c>
      <c r="C404" s="5230">
        <v>539</v>
      </c>
      <c r="D404" s="5207" t="s">
        <v>4384</v>
      </c>
    </row>
    <row r="405" ht="13.5" spans="1:4">
      <c r="A405" s="5208" t="s">
        <v>4091</v>
      </c>
      <c r="B405" s="5229" t="s">
        <v>3293</v>
      </c>
      <c r="C405" s="5230">
        <v>540</v>
      </c>
      <c r="D405" s="5207" t="s">
        <v>4385</v>
      </c>
    </row>
    <row r="406" ht="13.5" spans="1:4">
      <c r="A406" s="5208" t="s">
        <v>4093</v>
      </c>
      <c r="B406" s="5229" t="s">
        <v>3296</v>
      </c>
      <c r="C406" s="5230">
        <v>541</v>
      </c>
      <c r="D406" s="5207" t="s">
        <v>4384</v>
      </c>
    </row>
    <row r="407" ht="13.5" spans="1:4">
      <c r="A407" s="5208" t="s">
        <v>4095</v>
      </c>
      <c r="B407" s="5229" t="s">
        <v>3299</v>
      </c>
      <c r="C407" s="5230">
        <v>542</v>
      </c>
      <c r="D407" s="5207" t="s">
        <v>4385</v>
      </c>
    </row>
    <row r="408" ht="13.5" spans="1:4">
      <c r="A408" s="5208" t="s">
        <v>4097</v>
      </c>
      <c r="B408" s="5229" t="s">
        <v>3302</v>
      </c>
      <c r="C408" s="5230">
        <v>543</v>
      </c>
      <c r="D408" s="5207" t="s">
        <v>4385</v>
      </c>
    </row>
    <row r="409" ht="13.5" spans="1:4">
      <c r="A409" s="5208" t="s">
        <v>4099</v>
      </c>
      <c r="B409" s="5229" t="s">
        <v>3305</v>
      </c>
      <c r="C409" s="5230">
        <v>544</v>
      </c>
      <c r="D409" s="5207" t="s">
        <v>4384</v>
      </c>
    </row>
    <row r="410" ht="13.5" spans="1:4">
      <c r="A410" s="5208" t="s">
        <v>4189</v>
      </c>
      <c r="B410" s="5229" t="s">
        <v>3308</v>
      </c>
      <c r="C410" s="5230">
        <v>545</v>
      </c>
      <c r="D410" s="5207" t="s">
        <v>4387</v>
      </c>
    </row>
    <row r="411" ht="13.5" spans="1:4">
      <c r="A411" s="5208" t="s">
        <v>4191</v>
      </c>
      <c r="B411" s="5229" t="s">
        <v>3544</v>
      </c>
      <c r="C411" s="5230">
        <v>546</v>
      </c>
      <c r="D411" s="5207" t="s">
        <v>4424</v>
      </c>
    </row>
    <row r="412" ht="13.5" spans="1:4">
      <c r="A412" s="5208" t="s">
        <v>4192</v>
      </c>
      <c r="B412" s="5229" t="s">
        <v>3546</v>
      </c>
      <c r="C412" s="5230">
        <v>547</v>
      </c>
      <c r="D412" s="5207" t="s">
        <v>4425</v>
      </c>
    </row>
    <row r="413" ht="13.5" spans="1:4">
      <c r="A413" s="5208" t="s">
        <v>4193</v>
      </c>
      <c r="B413" s="5229" t="s">
        <v>3317</v>
      </c>
      <c r="C413" s="5230">
        <v>548</v>
      </c>
      <c r="D413" s="5207" t="s">
        <v>4384</v>
      </c>
    </row>
    <row r="414" ht="13.5" spans="1:4">
      <c r="A414" s="5208" t="s">
        <v>4194</v>
      </c>
      <c r="B414" s="5229" t="s">
        <v>3320</v>
      </c>
      <c r="C414" s="5230">
        <v>549</v>
      </c>
      <c r="D414" s="5207" t="s">
        <v>4387</v>
      </c>
    </row>
    <row r="415" ht="13.5" spans="1:4">
      <c r="A415" s="5208" t="s">
        <v>4195</v>
      </c>
      <c r="B415" s="5229" t="s">
        <v>3323</v>
      </c>
      <c r="C415" s="5230">
        <v>550</v>
      </c>
      <c r="D415" s="5207" t="s">
        <v>4388</v>
      </c>
    </row>
    <row r="416" ht="13.5" spans="1:4">
      <c r="A416" s="5208" t="s">
        <v>4197</v>
      </c>
      <c r="B416" s="5229" t="s">
        <v>3551</v>
      </c>
      <c r="C416" s="5230">
        <v>551</v>
      </c>
      <c r="D416" s="5207" t="s">
        <v>4389</v>
      </c>
    </row>
    <row r="417" ht="13.5" spans="1:4">
      <c r="A417" s="5208" t="s">
        <v>4199</v>
      </c>
      <c r="B417" s="5229" t="s">
        <v>3326</v>
      </c>
      <c r="C417" s="5230">
        <v>552</v>
      </c>
      <c r="D417" s="5207" t="s">
        <v>4390</v>
      </c>
    </row>
    <row r="418" ht="13.5" spans="1:4">
      <c r="A418" s="5208" t="s">
        <v>4201</v>
      </c>
      <c r="B418" s="5229" t="s">
        <v>3330</v>
      </c>
      <c r="C418" s="5230">
        <v>553</v>
      </c>
      <c r="D418" s="5207" t="s">
        <v>4384</v>
      </c>
    </row>
    <row r="419" ht="13.5" spans="1:4">
      <c r="A419" s="5208" t="s">
        <v>4202</v>
      </c>
      <c r="B419" s="5229" t="s">
        <v>3333</v>
      </c>
      <c r="C419" s="5230">
        <v>554</v>
      </c>
      <c r="D419" s="5207" t="s">
        <v>4385</v>
      </c>
    </row>
    <row r="420" ht="13.5" spans="1:4">
      <c r="A420" s="5208" t="s">
        <v>4203</v>
      </c>
      <c r="B420" s="5229" t="s">
        <v>3335</v>
      </c>
      <c r="C420" s="5230">
        <v>555</v>
      </c>
      <c r="D420" s="5207" t="s">
        <v>4384</v>
      </c>
    </row>
    <row r="421" ht="13.5" spans="1:4">
      <c r="A421" s="5208" t="s">
        <v>4204</v>
      </c>
      <c r="B421" s="5229" t="s">
        <v>3338</v>
      </c>
      <c r="C421" s="5230">
        <v>556</v>
      </c>
      <c r="D421" s="5207" t="s">
        <v>4385</v>
      </c>
    </row>
    <row r="422" ht="13.5" spans="1:4">
      <c r="A422" s="5208" t="s">
        <v>4205</v>
      </c>
      <c r="B422" s="5229" t="s">
        <v>3340</v>
      </c>
      <c r="C422" s="5230">
        <v>557</v>
      </c>
      <c r="D422" s="5207" t="s">
        <v>4384</v>
      </c>
    </row>
    <row r="423" ht="13.5" spans="1:4">
      <c r="A423" s="5208" t="s">
        <v>4206</v>
      </c>
      <c r="B423" s="5229" t="s">
        <v>3343</v>
      </c>
      <c r="C423" s="5230">
        <v>558</v>
      </c>
      <c r="D423" s="5207" t="s">
        <v>4385</v>
      </c>
    </row>
    <row r="424" ht="13.5" spans="1:4">
      <c r="A424" s="5208" t="s">
        <v>4207</v>
      </c>
      <c r="B424" s="5229" t="s">
        <v>3345</v>
      </c>
      <c r="C424" s="5230">
        <v>559</v>
      </c>
      <c r="D424" s="5207" t="s">
        <v>4391</v>
      </c>
    </row>
    <row r="425" ht="13.5" spans="1:4">
      <c r="A425" s="5208" t="s">
        <v>4209</v>
      </c>
      <c r="B425" s="5209" t="s">
        <v>3348</v>
      </c>
      <c r="C425" s="5207">
        <v>560</v>
      </c>
      <c r="D425" s="5207" t="s">
        <v>4392</v>
      </c>
    </row>
    <row r="426" ht="13.5" spans="1:4">
      <c r="A426" s="5208" t="s">
        <v>4211</v>
      </c>
      <c r="B426" s="5209" t="s">
        <v>3351</v>
      </c>
      <c r="C426" s="5207">
        <v>561</v>
      </c>
      <c r="D426" s="5207" t="s">
        <v>4393</v>
      </c>
    </row>
    <row r="427" ht="13.5" spans="1:4">
      <c r="A427" s="5208" t="s">
        <v>4213</v>
      </c>
      <c r="B427" s="5209" t="s">
        <v>3354</v>
      </c>
      <c r="C427" s="5207">
        <v>562</v>
      </c>
      <c r="D427" s="5207" t="s">
        <v>4381</v>
      </c>
    </row>
    <row r="428" ht="13.5" spans="1:4">
      <c r="A428" s="5208" t="s">
        <v>4214</v>
      </c>
      <c r="B428" s="5209" t="s">
        <v>3357</v>
      </c>
      <c r="C428" s="5207">
        <v>563</v>
      </c>
      <c r="D428" s="5207" t="s">
        <v>4382</v>
      </c>
    </row>
    <row r="429" ht="13.5" spans="1:4">
      <c r="A429" s="5206" t="s">
        <v>3949</v>
      </c>
      <c r="B429" s="5228" t="s">
        <v>4394</v>
      </c>
      <c r="C429" s="5230">
        <v>564</v>
      </c>
      <c r="D429" s="5231"/>
    </row>
    <row r="430" ht="13.5" spans="1:4">
      <c r="A430" s="5206" t="s">
        <v>3902</v>
      </c>
      <c r="B430" s="5203" t="s">
        <v>3362</v>
      </c>
      <c r="C430" s="5205"/>
      <c r="D430" s="5205"/>
    </row>
    <row r="431" ht="13.5" spans="1:4">
      <c r="A431" s="5208" t="s">
        <v>3998</v>
      </c>
      <c r="B431" s="5229" t="s">
        <v>3365</v>
      </c>
      <c r="C431" s="5230">
        <v>565</v>
      </c>
      <c r="D431" s="5207" t="s">
        <v>4395</v>
      </c>
    </row>
    <row r="432" ht="13.5" spans="1:4">
      <c r="A432" s="5208" t="s">
        <v>4000</v>
      </c>
      <c r="B432" s="5229" t="s">
        <v>3368</v>
      </c>
      <c r="C432" s="5230">
        <v>566</v>
      </c>
      <c r="D432" s="5207" t="s">
        <v>4396</v>
      </c>
    </row>
    <row r="433" ht="13.5" spans="1:4">
      <c r="A433" s="5208" t="s">
        <v>4058</v>
      </c>
      <c r="B433" s="5229" t="s">
        <v>3371</v>
      </c>
      <c r="C433" s="5230">
        <v>567</v>
      </c>
      <c r="D433" s="5207" t="s">
        <v>4397</v>
      </c>
    </row>
    <row r="434" ht="13.5" spans="1:4">
      <c r="A434" s="5208" t="s">
        <v>4219</v>
      </c>
      <c r="B434" s="5229" t="s">
        <v>3376</v>
      </c>
      <c r="C434" s="5230">
        <v>568</v>
      </c>
      <c r="D434" s="5207" t="s">
        <v>4396</v>
      </c>
    </row>
    <row r="435" ht="13.5" spans="1:4">
      <c r="A435" s="5208" t="s">
        <v>4221</v>
      </c>
      <c r="B435" s="5229" t="s">
        <v>3378</v>
      </c>
      <c r="C435" s="5230">
        <v>569</v>
      </c>
      <c r="D435" s="5207" t="s">
        <v>4426</v>
      </c>
    </row>
    <row r="436" ht="13.5" spans="1:4">
      <c r="A436" s="5208" t="s">
        <v>4223</v>
      </c>
      <c r="B436" s="5229" t="s">
        <v>3380</v>
      </c>
      <c r="C436" s="5230">
        <v>570</v>
      </c>
      <c r="D436" s="5207" t="s">
        <v>4398</v>
      </c>
    </row>
    <row r="437" ht="13.5" spans="1:4">
      <c r="A437" s="5208" t="s">
        <v>4225</v>
      </c>
      <c r="B437" s="5229" t="s">
        <v>3382</v>
      </c>
      <c r="C437" s="5230">
        <v>571</v>
      </c>
      <c r="D437" s="5207" t="s">
        <v>4399</v>
      </c>
    </row>
    <row r="438" ht="13.5" spans="1:4">
      <c r="A438" s="5208" t="s">
        <v>4227</v>
      </c>
      <c r="B438" s="5229" t="s">
        <v>3384</v>
      </c>
      <c r="C438" s="5230">
        <v>572</v>
      </c>
      <c r="D438" s="5207" t="s">
        <v>4400</v>
      </c>
    </row>
    <row r="439" ht="13.5" spans="1:4">
      <c r="A439" s="5208" t="s">
        <v>4229</v>
      </c>
      <c r="B439" s="5229" t="s">
        <v>3373</v>
      </c>
      <c r="C439" s="5230">
        <v>573</v>
      </c>
      <c r="D439" s="5207" t="s">
        <v>4401</v>
      </c>
    </row>
    <row r="440" ht="13.5" spans="1:4">
      <c r="A440" s="5208" t="s">
        <v>4231</v>
      </c>
      <c r="B440" s="5209" t="s">
        <v>4427</v>
      </c>
      <c r="C440" s="5207">
        <v>574</v>
      </c>
      <c r="D440" s="5207" t="s">
        <v>4428</v>
      </c>
    </row>
    <row r="441" ht="13.5" spans="1:4">
      <c r="A441" s="5208" t="s">
        <v>4233</v>
      </c>
      <c r="B441" s="5209" t="s">
        <v>3390</v>
      </c>
      <c r="C441" s="5207">
        <v>575</v>
      </c>
      <c r="D441" s="5207" t="s">
        <v>4403</v>
      </c>
    </row>
    <row r="442" ht="13.5" spans="1:4">
      <c r="A442" s="5208" t="s">
        <v>4235</v>
      </c>
      <c r="B442" s="5209" t="s">
        <v>3393</v>
      </c>
      <c r="C442" s="5207">
        <v>576</v>
      </c>
      <c r="D442" s="5207" t="s">
        <v>4404</v>
      </c>
    </row>
    <row r="443" ht="13.5" spans="1:4">
      <c r="A443" s="5208" t="s">
        <v>4192</v>
      </c>
      <c r="B443" s="5209" t="s">
        <v>3396</v>
      </c>
      <c r="C443" s="5207">
        <v>577</v>
      </c>
      <c r="D443" s="5207" t="s">
        <v>4405</v>
      </c>
    </row>
    <row r="444" ht="13.5" spans="1:4">
      <c r="A444" s="5206" t="s">
        <v>3951</v>
      </c>
      <c r="B444" s="5228" t="s">
        <v>4406</v>
      </c>
      <c r="C444" s="5230">
        <v>578</v>
      </c>
      <c r="D444" s="5205"/>
    </row>
    <row r="445" ht="13.5" spans="1:4">
      <c r="A445" s="5206" t="s">
        <v>3905</v>
      </c>
      <c r="B445" s="5203" t="s">
        <v>4288</v>
      </c>
      <c r="C445" s="5207">
        <v>579</v>
      </c>
      <c r="D445" s="5204"/>
    </row>
    <row r="446" ht="13.5" spans="1:4">
      <c r="A446" s="5206" t="s">
        <v>3915</v>
      </c>
      <c r="B446" s="5203" t="s">
        <v>3404</v>
      </c>
      <c r="C446" s="5207">
        <v>580</v>
      </c>
      <c r="D446" s="5207" t="s">
        <v>4407</v>
      </c>
    </row>
    <row r="447" ht="13.5" spans="1:4">
      <c r="A447" s="5206" t="s">
        <v>3918</v>
      </c>
      <c r="B447" s="5203" t="s">
        <v>3407</v>
      </c>
      <c r="C447" s="5207">
        <v>581</v>
      </c>
      <c r="D447" s="5204"/>
    </row>
    <row r="448" ht="13.5" spans="1:4">
      <c r="A448" s="5206" t="s">
        <v>3920</v>
      </c>
      <c r="B448" s="5203" t="s">
        <v>4408</v>
      </c>
      <c r="C448" s="5207">
        <v>582</v>
      </c>
      <c r="D448" s="5207" t="s">
        <v>4407</v>
      </c>
    </row>
    <row r="449" ht="14.25" spans="1:4">
      <c r="A449" s="5218"/>
    </row>
    <row r="452" s="690" customFormat="1" spans="1:4">
      <c r="B452" s="3268" t="s">
        <v>2545</v>
      </c>
    </row>
    <row r="453" s="690" customFormat="1" spans="1:4">
      <c r="A453" s="5197" t="s">
        <v>2505</v>
      </c>
      <c r="B453" s="5198" t="s">
        <v>4043</v>
      </c>
      <c r="C453" s="5199" t="s">
        <v>4044</v>
      </c>
      <c r="D453" s="5198" t="s">
        <v>4045</v>
      </c>
    </row>
    <row r="454" s="690" customFormat="1" spans="1:4">
      <c r="A454" s="5200"/>
      <c r="B454" s="5201"/>
      <c r="C454" s="5202"/>
      <c r="D454" s="5200"/>
    </row>
    <row r="455" s="690" customFormat="1" spans="1:4">
      <c r="A455" s="5200"/>
      <c r="B455" s="5203" t="s">
        <v>2645</v>
      </c>
      <c r="C455" s="5204"/>
      <c r="D455" s="5205"/>
    </row>
    <row r="456" s="690" customFormat="1" spans="1:4">
      <c r="A456" s="5206" t="s">
        <v>3872</v>
      </c>
      <c r="B456" s="5203" t="s">
        <v>3873</v>
      </c>
      <c r="C456" s="5207">
        <v>1</v>
      </c>
      <c r="D456" s="5205"/>
    </row>
    <row r="457" s="690" customFormat="1" spans="1:4">
      <c r="A457" s="5208" t="s">
        <v>3953</v>
      </c>
      <c r="B457" s="5209" t="s">
        <v>2650</v>
      </c>
      <c r="C457" s="5207">
        <v>2</v>
      </c>
      <c r="D457" s="5207" t="s">
        <v>4289</v>
      </c>
    </row>
    <row r="458" s="690" customFormat="1" spans="1:4">
      <c r="A458" s="5208" t="s">
        <v>3891</v>
      </c>
      <c r="B458" s="5209" t="s">
        <v>2652</v>
      </c>
      <c r="C458" s="5207">
        <v>3</v>
      </c>
      <c r="D458" s="5207" t="s">
        <v>4290</v>
      </c>
    </row>
    <row r="459" s="690" customFormat="1" spans="1:4">
      <c r="A459" s="5208" t="s">
        <v>3902</v>
      </c>
      <c r="B459" s="5209" t="s">
        <v>2654</v>
      </c>
      <c r="C459" s="5207">
        <v>4</v>
      </c>
      <c r="D459" s="5207" t="s">
        <v>3904</v>
      </c>
    </row>
    <row r="460" s="690" customFormat="1" spans="1:4">
      <c r="A460" s="5208" t="s">
        <v>3905</v>
      </c>
      <c r="B460" s="5209" t="s">
        <v>2656</v>
      </c>
      <c r="C460" s="5207">
        <v>5</v>
      </c>
      <c r="D460" s="5207" t="s">
        <v>4291</v>
      </c>
    </row>
    <row r="461" s="690" customFormat="1" spans="1:4">
      <c r="A461" s="5208" t="s">
        <v>3915</v>
      </c>
      <c r="B461" s="5209" t="s">
        <v>2658</v>
      </c>
      <c r="C461" s="5207">
        <v>6</v>
      </c>
      <c r="D461" s="5207" t="s">
        <v>3917</v>
      </c>
    </row>
    <row r="462" s="690" customFormat="1" spans="1:4">
      <c r="A462" s="5208" t="s">
        <v>3918</v>
      </c>
      <c r="B462" s="5209" t="s">
        <v>2661</v>
      </c>
      <c r="C462" s="5207">
        <v>7</v>
      </c>
      <c r="D462" s="5207" t="s">
        <v>4292</v>
      </c>
    </row>
    <row r="463" s="690" customFormat="1" spans="1:4">
      <c r="A463" s="5208" t="s">
        <v>3920</v>
      </c>
      <c r="B463" s="5209" t="s">
        <v>2663</v>
      </c>
      <c r="C463" s="5207">
        <v>8</v>
      </c>
      <c r="D463" s="5207" t="s">
        <v>4293</v>
      </c>
    </row>
    <row r="464" s="690" customFormat="1" spans="1:4">
      <c r="A464" s="5206" t="s">
        <v>3949</v>
      </c>
      <c r="B464" s="5203" t="s">
        <v>4339</v>
      </c>
      <c r="C464" s="5207">
        <v>9</v>
      </c>
      <c r="D464" s="5207"/>
    </row>
    <row r="465" s="690" customFormat="1" spans="1:4">
      <c r="A465" s="5208" t="s">
        <v>3953</v>
      </c>
      <c r="B465" s="5209" t="s">
        <v>2667</v>
      </c>
      <c r="C465" s="5207">
        <v>10</v>
      </c>
      <c r="D465" s="5207" t="s">
        <v>4294</v>
      </c>
    </row>
    <row r="466" s="690" customFormat="1" spans="1:4">
      <c r="A466" s="5208" t="s">
        <v>3891</v>
      </c>
      <c r="B466" s="5209" t="s">
        <v>2669</v>
      </c>
      <c r="C466" s="5207">
        <v>11</v>
      </c>
      <c r="D466" s="5207" t="s">
        <v>3960</v>
      </c>
    </row>
    <row r="467" s="690" customFormat="1" ht="12" spans="1:4">
      <c r="A467" s="5211" t="s">
        <v>3902</v>
      </c>
      <c r="B467" s="5212" t="s">
        <v>2671</v>
      </c>
      <c r="C467" s="5211">
        <v>12</v>
      </c>
      <c r="D467" s="5213" t="s">
        <v>4295</v>
      </c>
    </row>
    <row r="468" s="690" customFormat="1" spans="1:4">
      <c r="A468" s="5208"/>
      <c r="B468" s="5214"/>
      <c r="C468" s="5208"/>
      <c r="D468" s="5207" t="s">
        <v>3961</v>
      </c>
    </row>
    <row r="469" s="690" customFormat="1" ht="12" spans="1:4">
      <c r="A469" s="5211" t="s">
        <v>3905</v>
      </c>
      <c r="B469" s="5212" t="s">
        <v>2674</v>
      </c>
      <c r="C469" s="5211">
        <v>13</v>
      </c>
      <c r="D469" s="5213" t="s">
        <v>3978</v>
      </c>
    </row>
    <row r="470" s="690" customFormat="1" spans="1:4">
      <c r="A470" s="5208"/>
      <c r="B470" s="5214"/>
      <c r="C470" s="5208"/>
      <c r="D470" s="5207" t="s">
        <v>4296</v>
      </c>
    </row>
    <row r="471" s="690" customFormat="1" spans="1:4">
      <c r="A471" s="5208" t="s">
        <v>3915</v>
      </c>
      <c r="B471" s="5209" t="s">
        <v>2676</v>
      </c>
      <c r="C471" s="5207">
        <v>14</v>
      </c>
      <c r="D471" s="5207" t="s">
        <v>3979</v>
      </c>
    </row>
    <row r="472" s="690" customFormat="1" spans="1:4">
      <c r="A472" s="5208" t="s">
        <v>3918</v>
      </c>
      <c r="B472" s="5209" t="s">
        <v>2678</v>
      </c>
      <c r="C472" s="5207">
        <v>15</v>
      </c>
      <c r="D472" s="5207" t="s">
        <v>3981</v>
      </c>
    </row>
    <row r="473" s="690" customFormat="1" ht="12" spans="1:4">
      <c r="A473" s="5211" t="s">
        <v>3920</v>
      </c>
      <c r="B473" s="5212" t="s">
        <v>2680</v>
      </c>
      <c r="C473" s="5211">
        <v>16</v>
      </c>
      <c r="D473" s="5213" t="s">
        <v>4297</v>
      </c>
    </row>
    <row r="474" s="690" customFormat="1" spans="1:4">
      <c r="A474" s="5208"/>
      <c r="B474" s="5214"/>
      <c r="C474" s="5208"/>
      <c r="D474" s="5207" t="s">
        <v>4298</v>
      </c>
    </row>
    <row r="475" s="690" customFormat="1" spans="1:4">
      <c r="A475" s="5206" t="s">
        <v>3951</v>
      </c>
      <c r="B475" s="5203" t="s">
        <v>3984</v>
      </c>
      <c r="C475" s="5207">
        <v>17</v>
      </c>
      <c r="D475" s="5205"/>
    </row>
    <row r="476" s="690" customFormat="1" spans="1:4">
      <c r="A476" s="5206" t="s">
        <v>3983</v>
      </c>
      <c r="B476" s="5203" t="s">
        <v>2685</v>
      </c>
      <c r="C476" s="5207">
        <v>18</v>
      </c>
      <c r="D476" s="5205"/>
    </row>
    <row r="477" s="690" customFormat="1" spans="1:4">
      <c r="A477" s="5206" t="s">
        <v>3985</v>
      </c>
      <c r="B477" s="5203" t="s">
        <v>3154</v>
      </c>
      <c r="C477" s="5207">
        <v>19</v>
      </c>
      <c r="D477" s="5205"/>
    </row>
    <row r="478" s="690" customFormat="1" spans="1:4">
      <c r="A478" s="5200"/>
      <c r="B478" s="5203" t="s">
        <v>2690</v>
      </c>
      <c r="C478" s="5205"/>
      <c r="D478" s="5205"/>
    </row>
    <row r="479" s="690" customFormat="1" spans="1:4">
      <c r="A479" s="5208" t="s">
        <v>3953</v>
      </c>
      <c r="B479" s="5209" t="s">
        <v>2692</v>
      </c>
      <c r="C479" s="5207">
        <v>20</v>
      </c>
      <c r="D479" s="5207" t="s">
        <v>4299</v>
      </c>
    </row>
    <row r="480" s="690" customFormat="1" spans="1:4">
      <c r="A480" s="5208" t="s">
        <v>3891</v>
      </c>
      <c r="B480" s="5209" t="s">
        <v>2694</v>
      </c>
      <c r="C480" s="5207">
        <v>21</v>
      </c>
      <c r="D480" s="5207" t="s">
        <v>3996</v>
      </c>
    </row>
    <row r="481" s="690" customFormat="1" spans="1:4">
      <c r="A481" s="5208" t="s">
        <v>3902</v>
      </c>
      <c r="B481" s="5209" t="s">
        <v>2696</v>
      </c>
      <c r="C481" s="5207">
        <v>22</v>
      </c>
      <c r="D481" s="5207" t="s">
        <v>4300</v>
      </c>
    </row>
    <row r="482" s="690" customFormat="1" spans="1:4">
      <c r="A482" s="5208" t="s">
        <v>3905</v>
      </c>
      <c r="B482" s="5209" t="s">
        <v>2699</v>
      </c>
      <c r="C482" s="5207">
        <v>23</v>
      </c>
      <c r="D482" s="5207" t="s">
        <v>4301</v>
      </c>
    </row>
    <row r="483" s="690" customFormat="1" spans="1:4">
      <c r="A483" s="5208" t="s">
        <v>3915</v>
      </c>
      <c r="B483" s="5209" t="s">
        <v>4160</v>
      </c>
      <c r="C483" s="5207">
        <v>24</v>
      </c>
      <c r="D483" s="5207"/>
    </row>
    <row r="484" s="690" customFormat="1" spans="1:4">
      <c r="A484" s="5208" t="s">
        <v>3967</v>
      </c>
      <c r="B484" s="5210" t="s">
        <v>2704</v>
      </c>
      <c r="C484" s="5207">
        <v>25</v>
      </c>
      <c r="D484" s="5207" t="s">
        <v>4007</v>
      </c>
    </row>
    <row r="485" s="690" customFormat="1" spans="1:4">
      <c r="A485" s="5208" t="s">
        <v>3969</v>
      </c>
      <c r="B485" s="5210" t="s">
        <v>2707</v>
      </c>
      <c r="C485" s="5207">
        <v>26</v>
      </c>
      <c r="D485" s="5207" t="s">
        <v>4008</v>
      </c>
    </row>
    <row r="486" s="690" customFormat="1" spans="1:4">
      <c r="A486" s="5208" t="s">
        <v>3918</v>
      </c>
      <c r="B486" s="5209" t="s">
        <v>4162</v>
      </c>
      <c r="C486" s="5207">
        <v>27</v>
      </c>
      <c r="D486" s="5207"/>
    </row>
    <row r="487" s="690" customFormat="1" spans="1:4">
      <c r="A487" s="5208" t="s">
        <v>4010</v>
      </c>
      <c r="B487" s="5210" t="s">
        <v>2712</v>
      </c>
      <c r="C487" s="5207">
        <v>28</v>
      </c>
      <c r="D487" s="5207" t="s">
        <v>4011</v>
      </c>
    </row>
    <row r="488" s="690" customFormat="1" spans="1:4">
      <c r="A488" s="5208" t="s">
        <v>4012</v>
      </c>
      <c r="B488" s="5210" t="s">
        <v>2715</v>
      </c>
      <c r="C488" s="5207">
        <v>29</v>
      </c>
      <c r="D488" s="5207" t="s">
        <v>4013</v>
      </c>
    </row>
    <row r="489" s="690" customFormat="1" spans="1:4">
      <c r="A489" s="5206" t="s">
        <v>3872</v>
      </c>
      <c r="B489" s="5203" t="s">
        <v>4016</v>
      </c>
      <c r="C489" s="5207">
        <v>30</v>
      </c>
      <c r="D489" s="5205"/>
    </row>
    <row r="490" s="690" customFormat="1" spans="1:4">
      <c r="A490" s="5200"/>
      <c r="B490" s="5203" t="s">
        <v>2720</v>
      </c>
      <c r="C490" s="5205"/>
      <c r="D490" s="5205"/>
    </row>
    <row r="491" s="690" customFormat="1" spans="1:4">
      <c r="A491" s="5206" t="s">
        <v>3949</v>
      </c>
      <c r="B491" s="5203" t="s">
        <v>4345</v>
      </c>
      <c r="C491" s="5207">
        <v>31</v>
      </c>
      <c r="D491" s="5205"/>
    </row>
    <row r="492" s="690" customFormat="1" spans="1:4">
      <c r="A492" s="5208" t="s">
        <v>3953</v>
      </c>
      <c r="B492" s="5209" t="s">
        <v>2726</v>
      </c>
      <c r="C492" s="5207">
        <v>32</v>
      </c>
      <c r="D492" s="5207" t="s">
        <v>4302</v>
      </c>
    </row>
    <row r="493" s="690" customFormat="1" spans="1:4">
      <c r="A493" s="5208" t="s">
        <v>3891</v>
      </c>
      <c r="B493" s="5209" t="s">
        <v>2729</v>
      </c>
      <c r="C493" s="5207">
        <v>33</v>
      </c>
      <c r="D493" s="5207" t="s">
        <v>4303</v>
      </c>
    </row>
    <row r="494" s="690" customFormat="1" spans="1:4">
      <c r="A494" s="5208" t="s">
        <v>3902</v>
      </c>
      <c r="B494" s="5209" t="s">
        <v>2732</v>
      </c>
      <c r="C494" s="5207">
        <v>34</v>
      </c>
      <c r="D494" s="5207" t="s">
        <v>4304</v>
      </c>
    </row>
    <row r="495" s="690" customFormat="1" spans="1:4">
      <c r="A495" s="5206" t="s">
        <v>3951</v>
      </c>
      <c r="B495" s="5203" t="s">
        <v>4429</v>
      </c>
      <c r="C495" s="5207">
        <v>35</v>
      </c>
      <c r="D495" s="5207"/>
    </row>
    <row r="496" s="690" customFormat="1" spans="1:4">
      <c r="A496" s="5208" t="s">
        <v>3953</v>
      </c>
      <c r="B496" s="5209" t="s">
        <v>2738</v>
      </c>
      <c r="C496" s="5207">
        <v>36</v>
      </c>
      <c r="D496" s="5207" t="s">
        <v>4306</v>
      </c>
    </row>
    <row r="497" s="690" customFormat="1" ht="12" spans="1:4">
      <c r="A497" s="5211" t="s">
        <v>3891</v>
      </c>
      <c r="B497" s="5212" t="s">
        <v>2741</v>
      </c>
      <c r="C497" s="5211">
        <v>37</v>
      </c>
      <c r="D497" s="5213" t="s">
        <v>4307</v>
      </c>
    </row>
    <row r="498" s="690" customFormat="1" spans="1:4">
      <c r="A498" s="5208"/>
      <c r="B498" s="5214"/>
      <c r="C498" s="5208"/>
      <c r="D498" s="5207" t="s">
        <v>4308</v>
      </c>
    </row>
    <row r="499" s="690" customFormat="1" spans="1:4">
      <c r="A499" s="5208" t="s">
        <v>3902</v>
      </c>
      <c r="B499" s="5209" t="s">
        <v>2729</v>
      </c>
      <c r="C499" s="5207">
        <v>38</v>
      </c>
      <c r="D499" s="5207" t="s">
        <v>4037</v>
      </c>
    </row>
    <row r="500" s="690" customFormat="1" spans="1:4">
      <c r="A500" s="5208" t="s">
        <v>3905</v>
      </c>
      <c r="B500" s="5209" t="s">
        <v>2744</v>
      </c>
      <c r="C500" s="5207">
        <v>39</v>
      </c>
      <c r="D500" s="5207" t="s">
        <v>3981</v>
      </c>
    </row>
    <row r="501" s="690" customFormat="1" ht="12" spans="1:4">
      <c r="A501" s="5211" t="s">
        <v>3915</v>
      </c>
      <c r="B501" s="5212" t="s">
        <v>2732</v>
      </c>
      <c r="C501" s="5211">
        <v>40</v>
      </c>
      <c r="D501" s="5213" t="s">
        <v>4309</v>
      </c>
    </row>
    <row r="502" s="690" customFormat="1" spans="1:4">
      <c r="A502" s="5208"/>
      <c r="B502" s="5214"/>
      <c r="C502" s="5208"/>
      <c r="D502" s="5207" t="s">
        <v>4310</v>
      </c>
    </row>
    <row r="503" s="690" customFormat="1" spans="1:4">
      <c r="A503" s="5206" t="s">
        <v>3983</v>
      </c>
      <c r="B503" s="5203" t="s">
        <v>4350</v>
      </c>
      <c r="C503" s="5207">
        <v>41</v>
      </c>
      <c r="D503" s="5205"/>
    </row>
    <row r="504" s="690" customFormat="1" spans="1:4">
      <c r="A504" s="5206" t="s">
        <v>3985</v>
      </c>
      <c r="B504" s="5203" t="s">
        <v>2750</v>
      </c>
      <c r="C504" s="5207">
        <v>42</v>
      </c>
      <c r="D504" s="5205"/>
    </row>
    <row r="505" s="690" customFormat="1" spans="1:4">
      <c r="A505" s="5206" t="s">
        <v>3987</v>
      </c>
      <c r="B505" s="5203" t="s">
        <v>2685</v>
      </c>
      <c r="C505" s="5207">
        <v>43</v>
      </c>
      <c r="D505" s="5205"/>
    </row>
    <row r="506" s="690" customFormat="1" spans="1:4">
      <c r="A506" s="5206" t="s">
        <v>4041</v>
      </c>
      <c r="B506" s="5203" t="s">
        <v>4351</v>
      </c>
      <c r="C506" s="5207">
        <v>44</v>
      </c>
      <c r="D506" s="5205"/>
    </row>
    <row r="507" s="690" customFormat="1" ht="12" spans="1:4">
      <c r="A507" s="5234"/>
    </row>
    <row r="508" s="690" customFormat="1" ht="12"/>
    <row r="509" s="690" customFormat="1" ht="12"/>
    <row r="510" s="690" customFormat="1"/>
    <row r="511" s="690" customFormat="1" spans="1:4">
      <c r="A511" s="5197" t="s">
        <v>2505</v>
      </c>
      <c r="B511" s="5198" t="s">
        <v>4043</v>
      </c>
      <c r="C511" s="5199" t="s">
        <v>4044</v>
      </c>
      <c r="D511" s="5198" t="s">
        <v>4045</v>
      </c>
    </row>
    <row r="512" s="690" customFormat="1" spans="1:4">
      <c r="A512" s="5200"/>
      <c r="B512" s="5201"/>
      <c r="C512" s="5202"/>
      <c r="D512" s="5200"/>
    </row>
    <row r="513" s="690" customFormat="1" spans="1:4">
      <c r="A513" s="5200"/>
      <c r="B513" s="5203" t="s">
        <v>2550</v>
      </c>
      <c r="C513" s="5205"/>
      <c r="D513" s="5205"/>
    </row>
    <row r="514" s="690" customFormat="1" spans="1:4">
      <c r="A514" s="5206" t="s">
        <v>3872</v>
      </c>
      <c r="B514" s="5219" t="s">
        <v>4046</v>
      </c>
      <c r="C514" s="5208">
        <v>101</v>
      </c>
      <c r="D514" s="5205"/>
    </row>
    <row r="515" s="690" customFormat="1" spans="1:4">
      <c r="A515" s="5208" t="s">
        <v>3953</v>
      </c>
      <c r="B515" s="5209" t="s">
        <v>2554</v>
      </c>
      <c r="C515" s="5207">
        <v>102</v>
      </c>
      <c r="D515" s="5207" t="s">
        <v>4311</v>
      </c>
    </row>
    <row r="516" s="690" customFormat="1" spans="1:4">
      <c r="A516" s="5208" t="s">
        <v>3891</v>
      </c>
      <c r="B516" s="5209" t="s">
        <v>2556</v>
      </c>
      <c r="C516" s="5207">
        <v>103</v>
      </c>
      <c r="D516" s="5207" t="s">
        <v>4312</v>
      </c>
    </row>
    <row r="517" s="690" customFormat="1" spans="1:4">
      <c r="A517" s="5208" t="s">
        <v>3902</v>
      </c>
      <c r="B517" s="5209" t="s">
        <v>2558</v>
      </c>
      <c r="C517" s="5207">
        <v>104</v>
      </c>
      <c r="D517" s="5207" t="s">
        <v>4313</v>
      </c>
    </row>
    <row r="518" s="690" customFormat="1" spans="1:4">
      <c r="A518" s="5206" t="s">
        <v>3949</v>
      </c>
      <c r="B518" s="5203" t="s">
        <v>4114</v>
      </c>
      <c r="C518" s="5207">
        <v>105</v>
      </c>
      <c r="D518" s="5205"/>
    </row>
    <row r="519" s="690" customFormat="1" spans="1:4">
      <c r="A519" s="5208" t="s">
        <v>3953</v>
      </c>
      <c r="B519" s="5209" t="s">
        <v>2564</v>
      </c>
      <c r="C519" s="5207">
        <v>106</v>
      </c>
      <c r="D519" s="5207" t="s">
        <v>4115</v>
      </c>
    </row>
    <row r="520" s="690" customFormat="1" spans="1:4">
      <c r="A520" s="5208" t="s">
        <v>3891</v>
      </c>
      <c r="B520" s="5209" t="s">
        <v>2567</v>
      </c>
      <c r="C520" s="5207">
        <v>107</v>
      </c>
      <c r="D520" s="5207" t="s">
        <v>4117</v>
      </c>
    </row>
    <row r="521" s="690" customFormat="1" spans="1:4">
      <c r="A521" s="5208" t="s">
        <v>3902</v>
      </c>
      <c r="B521" s="5209" t="s">
        <v>2569</v>
      </c>
      <c r="C521" s="5207">
        <v>108</v>
      </c>
      <c r="D521" s="5207" t="s">
        <v>4118</v>
      </c>
    </row>
    <row r="522" s="690" customFormat="1" spans="1:4">
      <c r="A522" s="5208" t="s">
        <v>3905</v>
      </c>
      <c r="B522" s="5209" t="s">
        <v>2571</v>
      </c>
      <c r="C522" s="5207">
        <v>109</v>
      </c>
      <c r="D522" s="5207" t="s">
        <v>4119</v>
      </c>
    </row>
    <row r="523" s="690" customFormat="1" spans="1:4">
      <c r="A523" s="5208" t="s">
        <v>3915</v>
      </c>
      <c r="B523" s="5209" t="s">
        <v>2574</v>
      </c>
      <c r="C523" s="5207">
        <v>110</v>
      </c>
      <c r="D523" s="5207" t="s">
        <v>4314</v>
      </c>
    </row>
    <row r="524" s="690" customFormat="1" spans="1:4">
      <c r="A524" s="5208" t="s">
        <v>3918</v>
      </c>
      <c r="B524" s="5209" t="s">
        <v>2576</v>
      </c>
      <c r="C524" s="5207">
        <v>111</v>
      </c>
      <c r="D524" s="5207" t="s">
        <v>4315</v>
      </c>
    </row>
    <row r="525" s="690" customFormat="1" ht="12" spans="1:4">
      <c r="A525" s="5211" t="s">
        <v>3920</v>
      </c>
      <c r="B525" s="5212" t="s">
        <v>2578</v>
      </c>
      <c r="C525" s="5211">
        <v>112</v>
      </c>
      <c r="D525" s="5213" t="s">
        <v>4316</v>
      </c>
    </row>
    <row r="526" s="690" customFormat="1" spans="1:4">
      <c r="A526" s="5208"/>
      <c r="B526" s="5214"/>
      <c r="C526" s="5208"/>
      <c r="D526" s="5207" t="s">
        <v>4317</v>
      </c>
    </row>
    <row r="527" s="690" customFormat="1" spans="1:4">
      <c r="A527" s="5206" t="s">
        <v>3951</v>
      </c>
      <c r="B527" s="5203" t="s">
        <v>4318</v>
      </c>
      <c r="C527" s="5207">
        <v>113</v>
      </c>
      <c r="D527" s="5205"/>
    </row>
    <row r="528" s="690" customFormat="1" spans="1:4">
      <c r="A528" s="5208" t="s">
        <v>3953</v>
      </c>
      <c r="B528" s="5209" t="s">
        <v>2584</v>
      </c>
      <c r="C528" s="5207">
        <v>114</v>
      </c>
      <c r="D528" s="5207" t="s">
        <v>4319</v>
      </c>
    </row>
    <row r="529" s="690" customFormat="1" spans="1:4">
      <c r="A529" s="5208" t="s">
        <v>3891</v>
      </c>
      <c r="B529" s="5209" t="s">
        <v>2587</v>
      </c>
      <c r="C529" s="5207">
        <v>115</v>
      </c>
      <c r="D529" s="5207" t="s">
        <v>4320</v>
      </c>
    </row>
    <row r="530" s="690" customFormat="1" spans="1:4">
      <c r="A530" s="5208" t="s">
        <v>3902</v>
      </c>
      <c r="B530" s="5209" t="s">
        <v>2589</v>
      </c>
      <c r="C530" s="5207">
        <v>116</v>
      </c>
      <c r="D530" s="5207" t="s">
        <v>4321</v>
      </c>
    </row>
    <row r="531" s="690" customFormat="1" spans="1:4">
      <c r="A531" s="5208" t="s">
        <v>3905</v>
      </c>
      <c r="B531" s="5209" t="s">
        <v>2592</v>
      </c>
      <c r="C531" s="5207">
        <v>117</v>
      </c>
      <c r="D531" s="5207" t="s">
        <v>4100</v>
      </c>
    </row>
    <row r="532" s="690" customFormat="1" spans="1:4">
      <c r="A532" s="5208" t="s">
        <v>3915</v>
      </c>
      <c r="B532" s="5209" t="s">
        <v>2595</v>
      </c>
      <c r="C532" s="5207">
        <v>118</v>
      </c>
      <c r="D532" s="5207" t="s">
        <v>4322</v>
      </c>
    </row>
    <row r="533" s="690" customFormat="1" spans="1:4">
      <c r="A533" s="5208" t="s">
        <v>3918</v>
      </c>
      <c r="B533" s="5209" t="s">
        <v>2598</v>
      </c>
      <c r="C533" s="5207">
        <v>119</v>
      </c>
      <c r="D533" s="5207" t="s">
        <v>4323</v>
      </c>
    </row>
    <row r="534" s="690" customFormat="1" spans="1:4">
      <c r="A534" s="5208" t="s">
        <v>3920</v>
      </c>
      <c r="B534" s="5209" t="s">
        <v>2600</v>
      </c>
      <c r="C534" s="5207">
        <v>120</v>
      </c>
      <c r="D534" s="5207" t="s">
        <v>4324</v>
      </c>
    </row>
    <row r="535" s="690" customFormat="1" spans="1:4">
      <c r="A535" s="5208" t="s">
        <v>3923</v>
      </c>
      <c r="B535" s="5209" t="s">
        <v>2602</v>
      </c>
      <c r="C535" s="5207">
        <v>121</v>
      </c>
      <c r="D535" s="5207" t="s">
        <v>4325</v>
      </c>
    </row>
    <row r="536" s="690" customFormat="1" spans="1:4">
      <c r="A536" s="5206" t="s">
        <v>3983</v>
      </c>
      <c r="B536" s="5203" t="s">
        <v>4326</v>
      </c>
      <c r="C536" s="5207">
        <v>122</v>
      </c>
      <c r="D536" s="5205"/>
    </row>
    <row r="537" s="690" customFormat="1" spans="1:4">
      <c r="A537" s="5206" t="s">
        <v>3985</v>
      </c>
      <c r="B537" s="5203" t="s">
        <v>4430</v>
      </c>
      <c r="C537" s="5207">
        <v>123</v>
      </c>
      <c r="D537" s="5205"/>
    </row>
    <row r="538" s="690" customFormat="1" spans="1:4">
      <c r="A538" s="5206" t="s">
        <v>3987</v>
      </c>
      <c r="B538" s="5203" t="s">
        <v>4147</v>
      </c>
      <c r="C538" s="5207">
        <v>124</v>
      </c>
      <c r="D538" s="5205"/>
    </row>
    <row r="539" s="690" customFormat="1" spans="1:4">
      <c r="A539" s="5208" t="s">
        <v>3953</v>
      </c>
      <c r="B539" s="5209" t="s">
        <v>2613</v>
      </c>
      <c r="C539" s="5207">
        <v>125</v>
      </c>
      <c r="D539" s="5205"/>
    </row>
    <row r="540" s="690" customFormat="1" spans="1:4">
      <c r="A540" s="5208" t="s">
        <v>3891</v>
      </c>
      <c r="B540" s="5209" t="s">
        <v>2615</v>
      </c>
      <c r="C540" s="5207">
        <v>126</v>
      </c>
      <c r="D540" s="5207" t="s">
        <v>4328</v>
      </c>
    </row>
    <row r="541" s="690" customFormat="1" spans="1:4">
      <c r="A541" s="5206" t="s">
        <v>4040</v>
      </c>
      <c r="B541" s="5203" t="s">
        <v>4160</v>
      </c>
      <c r="C541" s="5207">
        <v>127</v>
      </c>
      <c r="D541" s="5205"/>
    </row>
    <row r="542" s="690" customFormat="1" spans="1:4">
      <c r="A542" s="5206" t="s">
        <v>4041</v>
      </c>
      <c r="B542" s="5203" t="s">
        <v>4162</v>
      </c>
      <c r="C542" s="5207">
        <v>128</v>
      </c>
      <c r="D542" s="5205"/>
    </row>
    <row r="543" s="690" customFormat="1" spans="1:4">
      <c r="A543" s="5222"/>
      <c r="B543" s="5203" t="s">
        <v>2623</v>
      </c>
      <c r="C543" s="5205"/>
      <c r="D543" s="5205"/>
    </row>
    <row r="544" s="690" customFormat="1" spans="1:4">
      <c r="A544" s="5206" t="s">
        <v>4146</v>
      </c>
      <c r="B544" s="5203" t="s">
        <v>4164</v>
      </c>
      <c r="C544" s="5207">
        <v>129</v>
      </c>
      <c r="D544" s="5205"/>
    </row>
    <row r="545" s="690" customFormat="1" spans="1:4">
      <c r="A545" s="5208" t="s">
        <v>3953</v>
      </c>
      <c r="B545" s="5209" t="s">
        <v>2628</v>
      </c>
      <c r="C545" s="5207">
        <v>130</v>
      </c>
      <c r="D545" s="5207" t="s">
        <v>4369</v>
      </c>
    </row>
    <row r="546" s="690" customFormat="1" spans="1:4">
      <c r="A546" s="5208" t="s">
        <v>3891</v>
      </c>
      <c r="B546" s="5209" t="s">
        <v>2631</v>
      </c>
      <c r="C546" s="5207">
        <v>131</v>
      </c>
      <c r="D546" s="5207" t="s">
        <v>4431</v>
      </c>
    </row>
    <row r="547" s="690" customFormat="1" spans="1:4">
      <c r="A547" s="5208" t="s">
        <v>3902</v>
      </c>
      <c r="B547" s="5209" t="s">
        <v>2633</v>
      </c>
      <c r="C547" s="5207">
        <v>132</v>
      </c>
      <c r="D547" s="5207" t="s">
        <v>4432</v>
      </c>
    </row>
    <row r="548" s="690" customFormat="1" spans="1:4">
      <c r="A548" s="5208" t="s">
        <v>3905</v>
      </c>
      <c r="B548" s="5209" t="s">
        <v>2635</v>
      </c>
      <c r="C548" s="5207">
        <v>133</v>
      </c>
      <c r="D548" s="5205"/>
    </row>
    <row r="549" s="690" customFormat="1" spans="1:4">
      <c r="A549" s="5206" t="s">
        <v>4153</v>
      </c>
      <c r="B549" s="5203" t="s">
        <v>4174</v>
      </c>
      <c r="C549" s="5207">
        <v>134</v>
      </c>
      <c r="D549" s="5205"/>
    </row>
    <row r="550" s="690" customFormat="1" ht="12"/>
    <row r="551" s="690" customFormat="1" ht="12"/>
    <row r="552" ht="14.25" spans="1:4">
      <c r="B552" s="5235" t="s">
        <v>4433</v>
      </c>
    </row>
    <row r="553" spans="1:4">
      <c r="B553" s="2"/>
    </row>
    <row r="554" ht="14.25" spans="1:4">
      <c r="B554" s="5218" t="s">
        <v>4434</v>
      </c>
    </row>
    <row r="555" spans="1:4">
      <c r="B555" s="2"/>
    </row>
    <row r="556" ht="14.25" spans="1:4">
      <c r="B556" s="5218" t="s">
        <v>4435</v>
      </c>
    </row>
    <row r="557" spans="1:4">
      <c r="B557" s="2"/>
    </row>
    <row r="558" ht="14.25" spans="1:4">
      <c r="B558" s="5218" t="s">
        <v>4436</v>
      </c>
    </row>
    <row r="559" spans="1:4">
      <c r="B559" s="2"/>
    </row>
    <row r="560" ht="14.25" spans="1:4">
      <c r="B560" s="5218" t="s">
        <v>4437</v>
      </c>
    </row>
    <row r="561" spans="2:2">
      <c r="B561" s="2"/>
    </row>
    <row r="562" ht="14.25" spans="2:2">
      <c r="B562" s="5218" t="s">
        <v>4438</v>
      </c>
    </row>
    <row r="563" spans="2:2">
      <c r="B563" s="2"/>
    </row>
    <row r="564" ht="14.25" spans="2:2">
      <c r="B564" s="5218" t="s">
        <v>4439</v>
      </c>
    </row>
    <row r="565" spans="2:2">
      <c r="B565" s="2"/>
    </row>
    <row r="566" ht="14.25" spans="2:2">
      <c r="B566" s="5218" t="s">
        <v>4440</v>
      </c>
    </row>
    <row r="568" ht="14.25" spans="2:2">
      <c r="B568" s="5236" t="s">
        <v>4441</v>
      </c>
    </row>
  </sheetData>
  <mergeCells count="46">
    <mergeCell ref="A29:A30"/>
    <mergeCell ref="A32:A33"/>
    <mergeCell ref="A41:A42"/>
    <mergeCell ref="A61:A62"/>
    <mergeCell ref="A68:A69"/>
    <mergeCell ref="A121:A122"/>
    <mergeCell ref="A236:A237"/>
    <mergeCell ref="A278:A280"/>
    <mergeCell ref="A281:A283"/>
    <mergeCell ref="A467:A468"/>
    <mergeCell ref="A469:A470"/>
    <mergeCell ref="A473:A474"/>
    <mergeCell ref="A497:A498"/>
    <mergeCell ref="A501:A502"/>
    <mergeCell ref="A525:A526"/>
    <mergeCell ref="B29:B30"/>
    <mergeCell ref="B32:B33"/>
    <mergeCell ref="B41:B42"/>
    <mergeCell ref="B61:B62"/>
    <mergeCell ref="B68:B69"/>
    <mergeCell ref="B121:B122"/>
    <mergeCell ref="B236:B237"/>
    <mergeCell ref="B278:B280"/>
    <mergeCell ref="B281:B283"/>
    <mergeCell ref="B467:B468"/>
    <mergeCell ref="B469:B470"/>
    <mergeCell ref="B473:B474"/>
    <mergeCell ref="B497:B498"/>
    <mergeCell ref="B501:B502"/>
    <mergeCell ref="B525:B526"/>
    <mergeCell ref="C29:C30"/>
    <mergeCell ref="C32:C33"/>
    <mergeCell ref="C41:C42"/>
    <mergeCell ref="C61:C62"/>
    <mergeCell ref="C68:C69"/>
    <mergeCell ref="C121:C122"/>
    <mergeCell ref="C236:C237"/>
    <mergeCell ref="C278:C280"/>
    <mergeCell ref="C281:C283"/>
    <mergeCell ref="C467:C468"/>
    <mergeCell ref="C469:C470"/>
    <mergeCell ref="C473:C474"/>
    <mergeCell ref="C497:C498"/>
    <mergeCell ref="C501:C502"/>
    <mergeCell ref="C525:C526"/>
    <mergeCell ref="D390:D39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9">
    <tabColor theme="6" tint="-0.499984740745262"/>
    <pageSetUpPr fitToPage="1"/>
  </sheetPr>
  <dimension ref="A1:AO551"/>
  <sheetViews>
    <sheetView showGridLines="0" topLeftCell="A469" workbookViewId="0">
      <selection activeCell="C41" sqref="C41"/>
    </sheetView>
  </sheetViews>
  <sheetFormatPr defaultColWidth="9" defaultRowHeight="12.75"/>
  <cols>
    <col min="1" max="1" width="10.4285714285714" style="3" customWidth="1"/>
    <col min="2" max="3" width="17.2857142857143" style="1112" customWidth="1"/>
    <col min="4" max="4" width="15.8571428571429" customWidth="1"/>
    <col min="5" max="6" width="16.5714285714286" customWidth="1"/>
    <col min="7" max="7" width="20.2857142857143" customWidth="1"/>
    <col min="8" max="8" width="29.5714285714286" customWidth="1"/>
    <col min="9" max="9" width="16.1428571428571" customWidth="1"/>
    <col min="10" max="26" width="2.14285714285714" customWidth="1"/>
    <col min="27" max="27" width="2.14285714285714" hidden="1" customWidth="1"/>
    <col min="28" max="28" width="15.8571428571429" hidden="1" customWidth="1"/>
    <col min="29" max="29" width="34.2857142857143" hidden="1" customWidth="1"/>
  </cols>
  <sheetData>
    <row r="1" ht="17.25" customHeight="1" spans="1:31">
      <c r="A1" s="5085"/>
      <c r="B1" s="5086"/>
      <c r="C1" s="5087"/>
      <c r="D1" s="5085"/>
      <c r="E1" s="5085"/>
      <c r="F1" s="5085"/>
      <c r="G1" s="5085"/>
      <c r="H1" s="5085"/>
      <c r="I1" s="5085"/>
      <c r="J1" s="5085"/>
      <c r="K1" s="5085"/>
      <c r="L1" s="5085"/>
      <c r="M1" s="5085"/>
      <c r="N1" s="5085"/>
      <c r="O1" s="5085"/>
      <c r="P1" s="5085"/>
      <c r="Q1" s="5085"/>
      <c r="R1" s="5085"/>
      <c r="S1" s="5085"/>
      <c r="T1" s="5085"/>
      <c r="U1" s="5085"/>
      <c r="V1" s="5085"/>
      <c r="W1" s="5085"/>
      <c r="X1" s="5085"/>
      <c r="Y1" s="5085"/>
      <c r="Z1" s="5088"/>
      <c r="AB1" s="5089"/>
      <c r="AC1" s="5089"/>
      <c r="AE1" s="5090"/>
    </row>
    <row r="2" ht="21" customHeight="1" spans="1:31">
      <c r="A2" s="5091"/>
      <c r="B2" s="5092" t="str">
        <f>"BILANS USPJEHA - "&amp;Firma&amp;"_"&amp;UnosPod!$O$6&amp;UnosPod!$P$6&amp;"."&amp;UnosPod!$Q$6-1</f>
        <v>BILANS USPJEHA - LILIUM ASSET MANAGEMENT d.o.o. Sarajevo_12.2024</v>
      </c>
      <c r="C2" s="5093"/>
      <c r="D2" s="5094"/>
      <c r="E2" s="5095"/>
      <c r="F2" s="5095"/>
      <c r="G2" s="5095"/>
      <c r="H2" s="5095"/>
      <c r="I2" s="5095"/>
      <c r="J2" s="5095"/>
      <c r="K2" s="5095"/>
      <c r="L2" s="5095"/>
      <c r="M2" s="5095"/>
      <c r="N2" s="5095"/>
      <c r="O2" s="5095"/>
      <c r="P2" s="5095"/>
      <c r="Q2" s="5095"/>
      <c r="R2" s="5095"/>
      <c r="S2" s="5095"/>
      <c r="T2" s="5095"/>
      <c r="U2" s="5095"/>
      <c r="V2" s="5095"/>
      <c r="W2" s="5095"/>
      <c r="X2" s="5095"/>
      <c r="Y2" s="5095"/>
      <c r="Z2" s="5096"/>
      <c r="AB2" s="7"/>
      <c r="AC2" s="9"/>
      <c r="AD2" s="5090"/>
    </row>
    <row r="3" ht="17.25" customHeight="1" spans="1:31">
      <c r="A3" s="5097"/>
      <c r="B3" s="5098">
        <f ca="1">PoslGod-1</f>
        <v>2024</v>
      </c>
      <c r="C3" s="5099"/>
      <c r="D3" s="5085"/>
      <c r="E3" s="5085"/>
      <c r="F3" s="5085"/>
      <c r="G3" s="5100"/>
      <c r="H3" s="5101"/>
      <c r="I3" s="5101"/>
      <c r="J3" s="5101"/>
      <c r="K3" s="5101"/>
      <c r="L3" s="5101"/>
      <c r="M3" s="5101"/>
      <c r="N3" s="5101"/>
      <c r="O3" s="5101"/>
      <c r="P3" s="5101"/>
      <c r="Q3" s="5101"/>
      <c r="R3" s="5101"/>
      <c r="S3" s="5101"/>
      <c r="T3" s="5101"/>
      <c r="U3" s="5101"/>
      <c r="V3" s="5101"/>
      <c r="W3" s="5101"/>
      <c r="X3" s="5101"/>
      <c r="Y3" s="5101"/>
      <c r="Z3" s="5102"/>
      <c r="AB3" s="5103" t="s">
        <v>4442</v>
      </c>
      <c r="AC3" s="4"/>
      <c r="AD3" s="5090"/>
    </row>
    <row r="4" ht="15" spans="1:31">
      <c r="A4" s="5104" t="s">
        <v>2438</v>
      </c>
      <c r="B4" s="5105" t="s">
        <v>4443</v>
      </c>
      <c r="C4" s="5105"/>
      <c r="D4" s="5085"/>
      <c r="E4" s="5085"/>
      <c r="F4" s="5085"/>
      <c r="G4" s="5100" t="s">
        <v>4444</v>
      </c>
      <c r="H4" s="5106" t="s">
        <v>4445</v>
      </c>
      <c r="I4" s="5100" t="s">
        <v>4446</v>
      </c>
      <c r="J4" s="5107">
        <v>4</v>
      </c>
      <c r="K4" s="5107">
        <v>2</v>
      </c>
      <c r="L4" s="5107">
        <v>0</v>
      </c>
      <c r="M4" s="5107">
        <v>1</v>
      </c>
      <c r="N4" s="5107">
        <v>3</v>
      </c>
      <c r="O4" s="5107">
        <v>3</v>
      </c>
      <c r="P4" s="5107">
        <v>7</v>
      </c>
      <c r="Q4" s="5107">
        <v>6</v>
      </c>
      <c r="R4" s="5107">
        <v>7</v>
      </c>
      <c r="S4" s="5107">
        <v>0</v>
      </c>
      <c r="T4" s="5107">
        <v>0</v>
      </c>
      <c r="U4" s="5107">
        <v>0</v>
      </c>
      <c r="V4" s="5107">
        <v>9</v>
      </c>
      <c r="W4" s="5085"/>
      <c r="X4" s="5085"/>
      <c r="Y4" s="5085"/>
      <c r="Z4" s="5102"/>
      <c r="AB4" s="5103" t="s">
        <v>4447</v>
      </c>
      <c r="AC4" s="4"/>
      <c r="AD4" s="5090"/>
    </row>
    <row r="5" ht="15" spans="1:31">
      <c r="A5" s="5108">
        <v>201</v>
      </c>
      <c r="B5" s="5109">
        <f>B_Uspjeha!AP21</f>
        <v>308500</v>
      </c>
      <c r="C5" s="5110"/>
      <c r="D5" s="5085"/>
      <c r="E5" s="5085"/>
      <c r="F5" s="5085"/>
      <c r="G5" s="5100" t="s">
        <v>4448</v>
      </c>
      <c r="H5" s="5111" t="s">
        <v>4449</v>
      </c>
      <c r="I5" s="5100" t="s">
        <v>2283</v>
      </c>
      <c r="J5" s="5107">
        <v>0</v>
      </c>
      <c r="K5" s="5107">
        <v>0</v>
      </c>
      <c r="L5" s="5107">
        <v>0</v>
      </c>
      <c r="M5" s="5107">
        <v>0</v>
      </c>
      <c r="N5" s="5107">
        <v>0</v>
      </c>
      <c r="O5" s="5107">
        <v>0</v>
      </c>
      <c r="P5" s="5107">
        <v>0</v>
      </c>
      <c r="Q5" s="5107">
        <v>0</v>
      </c>
      <c r="R5" s="5107">
        <v>0</v>
      </c>
      <c r="S5" s="5107">
        <v>0</v>
      </c>
      <c r="T5" s="5107">
        <v>0</v>
      </c>
      <c r="U5" s="5107">
        <v>0</v>
      </c>
      <c r="V5" s="5085"/>
      <c r="W5" s="5085"/>
      <c r="X5" s="5085"/>
      <c r="Y5" s="5085"/>
      <c r="Z5" s="5102"/>
      <c r="AB5" s="30">
        <f>B_Uspjeha!AP21-B5</f>
        <v>0</v>
      </c>
      <c r="AC5" s="4"/>
      <c r="AD5" s="5090">
        <f>IF(AB5=0,0,"PAŽNJA! Provjerite AOP "&amp;A5&amp;" MSV - PROŠLU godinu, razlika = "&amp;TEXT(AB5,"#.##0,00 [$KM-141A]"))</f>
        <v>0</v>
      </c>
    </row>
    <row r="6" ht="15" spans="1:31">
      <c r="A6" s="5108">
        <v>202</v>
      </c>
      <c r="B6" s="5109">
        <f>B_Uspjeha!AP22</f>
        <v>0</v>
      </c>
      <c r="C6" s="5110"/>
      <c r="D6" s="5085"/>
      <c r="E6" s="5112"/>
      <c r="F6" s="5085"/>
      <c r="G6" s="5100" t="s">
        <v>4450</v>
      </c>
      <c r="H6" s="5111" t="s">
        <v>4451</v>
      </c>
      <c r="I6" s="5100" t="s">
        <v>2287</v>
      </c>
      <c r="J6" s="5107">
        <v>6</v>
      </c>
      <c r="K6" s="5107">
        <v>6</v>
      </c>
      <c r="L6" s="5107">
        <v>3</v>
      </c>
      <c r="M6" s="5107">
        <v>0</v>
      </c>
      <c r="N6" s="5085"/>
      <c r="O6" s="5085"/>
      <c r="P6" s="5085"/>
      <c r="Q6" s="5085"/>
      <c r="R6" s="5085"/>
      <c r="S6" s="5085"/>
      <c r="T6" s="5085"/>
      <c r="U6" s="5085"/>
      <c r="V6" s="5085"/>
      <c r="W6" s="5085"/>
      <c r="X6" s="5085"/>
      <c r="Y6" s="5085"/>
      <c r="Z6" s="5102"/>
      <c r="AB6" s="30">
        <f>B_Uspjeha!AP22-B6</f>
        <v>0</v>
      </c>
      <c r="AC6" s="4"/>
      <c r="AD6" s="5090">
        <f>IF(AB6=0,0,"PAŽNJA! Provjerite AOP "&amp;A6&amp;" MSV - PROŠLU godinu, razlika = "&amp;TEXT(AB6,"#.##0,00 [$KM-141A]"))</f>
        <v>0</v>
      </c>
    </row>
    <row r="7" ht="15" spans="1:31">
      <c r="A7" s="5108">
        <v>203</v>
      </c>
      <c r="B7" s="5113"/>
      <c r="C7" s="5110"/>
      <c r="D7" s="5085"/>
      <c r="E7" s="5085"/>
      <c r="F7" s="5085"/>
      <c r="G7" s="5100" t="s">
        <v>4452</v>
      </c>
      <c r="H7" s="5111" t="s">
        <v>577</v>
      </c>
      <c r="I7" s="5100" t="s">
        <v>4453</v>
      </c>
      <c r="J7" s="5107">
        <v>1</v>
      </c>
      <c r="K7" s="5107">
        <v>0</v>
      </c>
      <c r="L7" s="5107">
        <v>9</v>
      </c>
      <c r="M7" s="5085"/>
      <c r="N7" s="5085"/>
      <c r="O7" s="5085"/>
      <c r="P7" s="5085"/>
      <c r="Q7" s="5085"/>
      <c r="R7" s="5085"/>
      <c r="S7" s="5085"/>
      <c r="T7" s="5085"/>
      <c r="U7" s="5085"/>
      <c r="V7" s="5085"/>
      <c r="W7" s="5085"/>
      <c r="X7" s="5085"/>
      <c r="Y7" s="5085"/>
      <c r="Z7" s="5102"/>
      <c r="AB7" s="5114">
        <f>B_Uspjeha!AP23-B7</f>
        <v>0</v>
      </c>
      <c r="AC7" s="4"/>
      <c r="AD7" s="5090"/>
    </row>
    <row r="8" ht="15" spans="1:31">
      <c r="A8" s="5108">
        <v>204</v>
      </c>
      <c r="B8" s="5113"/>
      <c r="C8" s="5110"/>
      <c r="D8" s="5085"/>
      <c r="E8" s="5085"/>
      <c r="F8" s="5085"/>
      <c r="G8" s="5100" t="s">
        <v>4454</v>
      </c>
      <c r="H8" s="5111" t="s">
        <v>4455</v>
      </c>
      <c r="I8" s="5100" t="s">
        <v>4456</v>
      </c>
      <c r="J8" s="5107">
        <v>1</v>
      </c>
      <c r="K8" s="5107">
        <v>6</v>
      </c>
      <c r="L8" s="5107">
        <v>1</v>
      </c>
      <c r="M8" s="5107">
        <v>0</v>
      </c>
      <c r="N8" s="5107">
        <v>0</v>
      </c>
      <c r="O8" s="5107">
        <v>0</v>
      </c>
      <c r="P8" s="5107">
        <v>0</v>
      </c>
      <c r="Q8" s="5107">
        <v>1</v>
      </c>
      <c r="R8" s="5107">
        <v>8</v>
      </c>
      <c r="S8" s="5107">
        <v>9</v>
      </c>
      <c r="T8" s="5107">
        <v>4</v>
      </c>
      <c r="U8" s="5107">
        <v>8</v>
      </c>
      <c r="V8" s="5107">
        <v>0</v>
      </c>
      <c r="W8" s="5107">
        <v>0</v>
      </c>
      <c r="X8" s="5107">
        <v>0</v>
      </c>
      <c r="Y8" s="5115">
        <v>5</v>
      </c>
      <c r="Z8" s="5102"/>
      <c r="AB8" s="5114">
        <f>B_Uspjeha!AP24-B8</f>
        <v>0</v>
      </c>
      <c r="AC8" s="4"/>
      <c r="AD8" s="5090"/>
    </row>
    <row r="9" ht="15" spans="1:31">
      <c r="A9" s="5108">
        <v>205</v>
      </c>
      <c r="B9" s="5113"/>
      <c r="C9" s="5110"/>
      <c r="D9" s="5085"/>
      <c r="E9" s="5085"/>
      <c r="F9" s="5085"/>
      <c r="G9" s="5100" t="s">
        <v>4457</v>
      </c>
      <c r="H9" s="5111" t="s">
        <v>4458</v>
      </c>
      <c r="I9" s="5108" t="s">
        <v>2431</v>
      </c>
      <c r="J9" s="5085"/>
      <c r="K9" s="5085"/>
      <c r="L9" s="5085"/>
      <c r="M9" s="5085"/>
      <c r="N9" s="5085"/>
      <c r="O9" s="5085"/>
      <c r="P9" s="5085"/>
      <c r="Q9" s="5085"/>
      <c r="R9" s="5085"/>
      <c r="S9" s="5085"/>
      <c r="T9" s="5085"/>
      <c r="U9" s="5085"/>
      <c r="V9" s="5085"/>
      <c r="W9" s="5085"/>
      <c r="X9" s="5085"/>
      <c r="Y9" s="5085"/>
      <c r="Z9" s="5102"/>
      <c r="AB9" s="5114">
        <f>B_Uspjeha!AP25-B9</f>
        <v>0</v>
      </c>
      <c r="AC9" s="4"/>
      <c r="AD9" s="5090"/>
    </row>
    <row r="10" ht="15" spans="1:31">
      <c r="A10" s="5108">
        <v>206</v>
      </c>
      <c r="B10" s="5109">
        <f>B_Uspjeha!AP26</f>
        <v>308500</v>
      </c>
      <c r="C10" s="5110"/>
      <c r="D10" s="5085"/>
      <c r="E10" s="5085"/>
      <c r="F10" s="5085"/>
      <c r="G10" s="5100" t="s">
        <v>4459</v>
      </c>
      <c r="H10" s="5116" t="s">
        <v>4460</v>
      </c>
      <c r="I10" s="5085"/>
      <c r="J10" s="5085"/>
      <c r="K10" s="5085"/>
      <c r="L10" s="5085"/>
      <c r="M10" s="5085"/>
      <c r="N10" s="5085"/>
      <c r="O10" s="5085"/>
      <c r="P10" s="5085"/>
      <c r="Q10" s="5085"/>
      <c r="R10" s="5085"/>
      <c r="S10" s="5085"/>
      <c r="T10" s="5085"/>
      <c r="U10" s="5085"/>
      <c r="V10" s="5085"/>
      <c r="W10" s="5085"/>
      <c r="X10" s="5085"/>
      <c r="Y10" s="5085"/>
      <c r="Z10" s="5102"/>
      <c r="AB10" s="30">
        <f>B_Uspjeha!AP26-B10</f>
        <v>0</v>
      </c>
      <c r="AC10" s="4"/>
      <c r="AD10" s="5090">
        <f>IF(AB10=0,0,"PAŽNJA! Provjerite AOP "&amp;A10&amp;" MSV - PROŠLU godinu, razlika = "&amp;TEXT(AB10,"#.##0,00 [$KM-141A]"))</f>
        <v>0</v>
      </c>
    </row>
    <row r="11" ht="15" spans="1:31">
      <c r="A11" s="5108">
        <v>207</v>
      </c>
      <c r="B11" s="5113"/>
      <c r="C11" s="5110"/>
      <c r="D11" s="5085"/>
      <c r="E11" s="5085"/>
      <c r="F11" s="5085"/>
      <c r="G11" s="5100" t="s">
        <v>4461</v>
      </c>
      <c r="H11" s="5111" t="s">
        <v>4462</v>
      </c>
      <c r="I11" s="5085"/>
      <c r="J11" s="5085"/>
      <c r="K11" s="5085"/>
      <c r="L11" s="5085"/>
      <c r="M11" s="5085"/>
      <c r="N11" s="5085"/>
      <c r="O11" s="5085"/>
      <c r="P11" s="5085"/>
      <c r="Q11" s="5085"/>
      <c r="R11" s="5085"/>
      <c r="S11" s="5085"/>
      <c r="T11" s="5085"/>
      <c r="U11" s="5085"/>
      <c r="V11" s="5085"/>
      <c r="W11" s="5085"/>
      <c r="X11" s="5085"/>
      <c r="Y11" s="5085"/>
      <c r="Z11" s="5102"/>
      <c r="AB11" s="5114">
        <f>B_Uspjeha!AP27-B11</f>
        <v>0</v>
      </c>
      <c r="AC11" s="4"/>
      <c r="AD11" s="5090"/>
    </row>
    <row r="12" ht="15" spans="1:31">
      <c r="A12" s="5108">
        <v>208</v>
      </c>
      <c r="B12" s="5113"/>
      <c r="C12" s="5110"/>
      <c r="D12" s="5085"/>
      <c r="E12" s="5085"/>
      <c r="F12" s="5085"/>
      <c r="G12" s="5100" t="s">
        <v>4463</v>
      </c>
      <c r="H12" s="5116" t="s">
        <v>4464</v>
      </c>
      <c r="I12" s="5085"/>
      <c r="J12" s="5085"/>
      <c r="K12" s="5085"/>
      <c r="L12" s="5085"/>
      <c r="M12" s="5085"/>
      <c r="N12" s="5085"/>
      <c r="O12" s="5085"/>
      <c r="P12" s="5085"/>
      <c r="Q12" s="5085"/>
      <c r="R12" s="5085"/>
      <c r="S12" s="5085"/>
      <c r="T12" s="5085"/>
      <c r="U12" s="5085"/>
      <c r="V12" s="5085"/>
      <c r="W12" s="5085"/>
      <c r="X12" s="5085"/>
      <c r="Y12" s="5085"/>
      <c r="Z12" s="5102"/>
      <c r="AB12" s="5114">
        <f>B_Uspjeha!AP28-B12</f>
        <v>0</v>
      </c>
      <c r="AC12" s="4"/>
      <c r="AD12" s="5090"/>
    </row>
    <row r="13" ht="15" spans="1:31">
      <c r="A13" s="5108">
        <v>209</v>
      </c>
      <c r="B13" s="5113">
        <v>308500</v>
      </c>
      <c r="C13" s="5110"/>
      <c r="D13" s="5085"/>
      <c r="E13" s="5085"/>
      <c r="F13" s="5085"/>
      <c r="G13" s="5100" t="s">
        <v>4465</v>
      </c>
      <c r="H13" s="5117" t="s">
        <v>4466</v>
      </c>
      <c r="I13" s="5085"/>
      <c r="J13" s="5085"/>
      <c r="K13" s="5085"/>
      <c r="L13" s="5085"/>
      <c r="M13" s="5085"/>
      <c r="N13" s="5085"/>
      <c r="O13" s="5085"/>
      <c r="P13" s="5085"/>
      <c r="Q13" s="5085"/>
      <c r="R13" s="5085"/>
      <c r="S13" s="5085"/>
      <c r="T13" s="5085"/>
      <c r="U13" s="5085"/>
      <c r="V13" s="5085"/>
      <c r="W13" s="5085"/>
      <c r="X13" s="5085"/>
      <c r="Y13" s="5085"/>
      <c r="Z13" s="5102"/>
      <c r="AB13" s="5114">
        <f>B_Uspjeha!AP29-B13</f>
        <v>0</v>
      </c>
      <c r="AC13" s="4"/>
      <c r="AD13" s="5090"/>
    </row>
    <row r="14" ht="15" spans="1:31">
      <c r="A14" s="5108">
        <v>210</v>
      </c>
      <c r="B14" s="5109">
        <f>B_Uspjeha!AP30</f>
        <v>0</v>
      </c>
      <c r="C14" s="5110"/>
      <c r="D14" s="5085"/>
      <c r="E14" s="5085"/>
      <c r="F14" s="5085"/>
      <c r="G14" s="5100" t="s">
        <v>4467</v>
      </c>
      <c r="H14" s="5117" t="s">
        <v>4468</v>
      </c>
      <c r="I14" s="5085"/>
      <c r="J14" s="5085"/>
      <c r="K14" s="5085"/>
      <c r="L14" s="5085"/>
      <c r="M14" s="5085"/>
      <c r="N14" s="5085"/>
      <c r="O14" s="5085"/>
      <c r="P14" s="5085"/>
      <c r="Q14" s="5085"/>
      <c r="R14" s="5085"/>
      <c r="S14" s="5085"/>
      <c r="T14" s="5085"/>
      <c r="U14" s="5085"/>
      <c r="V14" s="5085"/>
      <c r="W14" s="5085"/>
      <c r="X14" s="5085"/>
      <c r="Y14" s="5085"/>
      <c r="Z14" s="5102"/>
      <c r="AB14" s="30">
        <f>B_Uspjeha!AP30-B14</f>
        <v>0</v>
      </c>
      <c r="AC14" s="4"/>
      <c r="AD14" s="5090">
        <f>IF(AB14=0,0,"PAŽNJA! Provjerite AOP "&amp;A14&amp;" MSV - PROŠLU godinu, razlika = "&amp;TEXT(AB14,"#.##0,00 [$KM-141A]"))</f>
        <v>0</v>
      </c>
    </row>
    <row r="15" ht="15" spans="1:31">
      <c r="A15" s="5108">
        <v>211</v>
      </c>
      <c r="B15" s="5113"/>
      <c r="C15" s="5110"/>
      <c r="D15" s="5085"/>
      <c r="E15" s="5085"/>
      <c r="F15" s="5085"/>
      <c r="G15" s="5100" t="s">
        <v>4469</v>
      </c>
      <c r="H15" s="5117" t="s">
        <v>577</v>
      </c>
      <c r="I15" s="5085"/>
      <c r="J15" s="5085"/>
      <c r="K15" s="5085"/>
      <c r="L15" s="5085"/>
      <c r="M15" s="5085"/>
      <c r="N15" s="5085"/>
      <c r="O15" s="5085"/>
      <c r="P15" s="5085"/>
      <c r="Q15" s="5085"/>
      <c r="R15" s="5085"/>
      <c r="S15" s="5085"/>
      <c r="T15" s="5085"/>
      <c r="U15" s="5085"/>
      <c r="V15" s="5085"/>
      <c r="W15" s="5085"/>
      <c r="X15" s="5085"/>
      <c r="Y15" s="5085"/>
      <c r="Z15" s="5102"/>
      <c r="AB15" s="5114">
        <f>B_Uspjeha!AP31-B15</f>
        <v>0</v>
      </c>
      <c r="AC15" s="4"/>
      <c r="AD15" s="5090"/>
    </row>
    <row r="16" ht="15" spans="1:31">
      <c r="A16" s="5108">
        <v>212</v>
      </c>
      <c r="B16" s="5113"/>
      <c r="C16" s="5110"/>
      <c r="D16" s="5085"/>
      <c r="E16" s="5085"/>
      <c r="F16" s="5085"/>
      <c r="G16" s="5100" t="s">
        <v>4470</v>
      </c>
      <c r="H16" s="5117" t="s">
        <v>4471</v>
      </c>
      <c r="I16" s="5085"/>
      <c r="J16" s="5085"/>
      <c r="K16" s="5085"/>
      <c r="L16" s="5085"/>
      <c r="M16" s="5085"/>
      <c r="N16" s="5085"/>
      <c r="O16" s="5085"/>
      <c r="P16" s="5085"/>
      <c r="Q16" s="5085"/>
      <c r="R16" s="5085"/>
      <c r="S16" s="5085"/>
      <c r="T16" s="5085"/>
      <c r="U16" s="5085"/>
      <c r="V16" s="5085"/>
      <c r="W16" s="5085"/>
      <c r="X16" s="5085"/>
      <c r="Y16" s="5085"/>
      <c r="Z16" s="5102"/>
      <c r="AB16" s="5114">
        <f>B_Uspjeha!AP32-B16</f>
        <v>0</v>
      </c>
      <c r="AC16" s="4"/>
      <c r="AD16" s="5090"/>
    </row>
    <row r="17" ht="15" spans="1:30">
      <c r="A17" s="5108">
        <v>213</v>
      </c>
      <c r="B17" s="5113"/>
      <c r="C17" s="5110"/>
      <c r="D17" s="5085"/>
      <c r="E17" s="5085"/>
      <c r="F17" s="5085"/>
      <c r="G17" s="5100" t="s">
        <v>4472</v>
      </c>
      <c r="H17" s="5117"/>
      <c r="I17" s="5085"/>
      <c r="J17" s="5085"/>
      <c r="K17" s="5085"/>
      <c r="L17" s="5085"/>
      <c r="M17" s="5085"/>
      <c r="N17" s="5085"/>
      <c r="O17" s="5085"/>
      <c r="P17" s="5085"/>
      <c r="Q17" s="5085"/>
      <c r="R17" s="5085"/>
      <c r="S17" s="5085"/>
      <c r="T17" s="5085"/>
      <c r="U17" s="5085"/>
      <c r="V17" s="5085"/>
      <c r="W17" s="5085"/>
      <c r="X17" s="5085"/>
      <c r="Y17" s="5085"/>
      <c r="Z17" s="5102"/>
      <c r="AB17" s="5114">
        <f>B_Uspjeha!AP33-B17</f>
        <v>0</v>
      </c>
      <c r="AC17" s="4"/>
      <c r="AD17" s="5090"/>
    </row>
    <row r="18" ht="15" spans="1:30">
      <c r="A18" s="5108">
        <v>214</v>
      </c>
      <c r="B18" s="5109">
        <f>B_Uspjeha!AP34</f>
        <v>76023</v>
      </c>
      <c r="C18" s="5110"/>
      <c r="D18" s="5085"/>
      <c r="E18" s="5085"/>
      <c r="F18" s="5085"/>
      <c r="G18" s="5085"/>
      <c r="H18" s="5085"/>
      <c r="I18" s="5085"/>
      <c r="J18" s="5085"/>
      <c r="K18" s="5085"/>
      <c r="L18" s="5085"/>
      <c r="M18" s="5085"/>
      <c r="N18" s="5085"/>
      <c r="O18" s="5085"/>
      <c r="P18" s="5085"/>
      <c r="Q18" s="5085"/>
      <c r="R18" s="5085"/>
      <c r="S18" s="5085"/>
      <c r="T18" s="5085"/>
      <c r="U18" s="5085"/>
      <c r="V18" s="5085"/>
      <c r="W18" s="5085"/>
      <c r="X18" s="5085"/>
      <c r="Y18" s="5085"/>
      <c r="Z18" s="5102"/>
      <c r="AB18" s="30">
        <f>B_Uspjeha!AP34-B18</f>
        <v>0</v>
      </c>
      <c r="AC18" s="4"/>
      <c r="AD18" s="5090">
        <f>IF(AB18=0,0,"PAŽNJA! Provjerite AOP "&amp;A18&amp;" MSV - PROŠLU godinu, razlika = "&amp;TEXT(AB18,"#.##0,00 [$KM-141A]"))</f>
        <v>0</v>
      </c>
    </row>
    <row r="19" ht="15" spans="1:30">
      <c r="A19" s="5108">
        <v>215</v>
      </c>
      <c r="B19" s="5109">
        <f>B_Uspjeha!AP35</f>
        <v>63891</v>
      </c>
      <c r="C19" s="5110"/>
      <c r="D19" s="5085"/>
      <c r="E19" s="5085"/>
      <c r="F19" s="5085"/>
      <c r="G19" s="5085"/>
      <c r="H19" s="5085"/>
      <c r="I19" s="5085"/>
      <c r="J19" s="5085"/>
      <c r="K19" s="5085"/>
      <c r="L19" s="5085"/>
      <c r="M19" s="5085"/>
      <c r="N19" s="5085"/>
      <c r="O19" s="5085"/>
      <c r="P19" s="5085"/>
      <c r="Q19" s="5085"/>
      <c r="R19" s="5085"/>
      <c r="S19" s="5085"/>
      <c r="T19" s="5085"/>
      <c r="U19" s="5085"/>
      <c r="V19" s="5085"/>
      <c r="W19" s="5085"/>
      <c r="X19" s="5085"/>
      <c r="Y19" s="5085"/>
      <c r="Z19" s="5102"/>
      <c r="AB19" s="30">
        <f>B_Uspjeha!AP35-B19</f>
        <v>0</v>
      </c>
      <c r="AC19" s="4"/>
      <c r="AD19" s="5090">
        <f>IF(AB19=0,0,"PAŽNJA! Provjerite AOP "&amp;A19&amp;" MSV - PROŠLU godinu, razlika = "&amp;TEXT(AB19,"#.##0,00 [$KM-141A]"))</f>
        <v>0</v>
      </c>
    </row>
    <row r="20" spans="1:30">
      <c r="A20" s="5108">
        <v>216</v>
      </c>
      <c r="B20" s="5113"/>
      <c r="C20" s="5110"/>
      <c r="D20" s="5085"/>
      <c r="E20" s="5085"/>
      <c r="F20" s="5085"/>
      <c r="G20" s="5085"/>
      <c r="H20" s="5085"/>
      <c r="I20" s="5085"/>
      <c r="J20" s="5085"/>
      <c r="K20" s="5085"/>
      <c r="L20" s="5085"/>
      <c r="M20" s="5085"/>
      <c r="N20" s="5085"/>
      <c r="O20" s="5085"/>
      <c r="P20" s="5085"/>
      <c r="Q20" s="5085"/>
      <c r="R20" s="5085"/>
      <c r="S20" s="5085"/>
      <c r="T20" s="5085"/>
      <c r="U20" s="5085"/>
      <c r="V20" s="5085"/>
      <c r="W20" s="5085"/>
      <c r="X20" s="5085"/>
      <c r="Y20" s="5085"/>
      <c r="Z20" s="5102"/>
      <c r="AB20" s="5114">
        <f>B_Uspjeha!AP36-B20</f>
        <v>0</v>
      </c>
      <c r="AC20" s="4"/>
    </row>
    <row r="21" spans="1:30">
      <c r="A21" s="5108">
        <v>217</v>
      </c>
      <c r="B21" s="5113"/>
      <c r="C21" s="5110"/>
      <c r="D21" s="5085"/>
      <c r="E21" s="5085"/>
      <c r="F21" s="5085"/>
      <c r="G21" s="5085"/>
      <c r="H21" s="5085"/>
      <c r="I21" s="5085"/>
      <c r="J21" s="5085"/>
      <c r="K21" s="5085"/>
      <c r="L21" s="5085"/>
      <c r="M21" s="5085"/>
      <c r="N21" s="5085"/>
      <c r="O21" s="5085"/>
      <c r="P21" s="5085"/>
      <c r="Q21" s="5085"/>
      <c r="R21" s="5085"/>
      <c r="S21" s="5085"/>
      <c r="T21" s="5085"/>
      <c r="U21" s="5085"/>
      <c r="V21" s="5085"/>
      <c r="W21" s="5085"/>
      <c r="X21" s="5085"/>
      <c r="Y21" s="5085"/>
      <c r="Z21" s="5102"/>
      <c r="AB21" s="5114">
        <f>B_Uspjeha!AP37-B21</f>
        <v>0</v>
      </c>
      <c r="AC21" s="4"/>
    </row>
    <row r="22" spans="1:30">
      <c r="A22" s="5108">
        <v>218</v>
      </c>
      <c r="B22" s="5113"/>
      <c r="C22" s="5110"/>
      <c r="D22" s="5085"/>
      <c r="E22" s="5085"/>
      <c r="F22" s="5085"/>
      <c r="G22" s="5085"/>
      <c r="H22" s="5085"/>
      <c r="I22" s="5085"/>
      <c r="J22" s="5085"/>
      <c r="K22" s="5085"/>
      <c r="L22" s="5085"/>
      <c r="M22" s="5085"/>
      <c r="N22" s="5085"/>
      <c r="O22" s="5085"/>
      <c r="P22" s="5085"/>
      <c r="Q22" s="5085"/>
      <c r="R22" s="5085"/>
      <c r="S22" s="5085"/>
      <c r="T22" s="5085"/>
      <c r="U22" s="5085"/>
      <c r="V22" s="5085"/>
      <c r="W22" s="5085"/>
      <c r="X22" s="5085"/>
      <c r="Y22" s="5085"/>
      <c r="Z22" s="5102"/>
      <c r="AB22" s="5114">
        <f>B_Uspjeha!AP38-B22</f>
        <v>0</v>
      </c>
      <c r="AC22" s="4"/>
    </row>
    <row r="23" spans="1:30">
      <c r="A23" s="5108">
        <v>219</v>
      </c>
      <c r="B23" s="5113"/>
      <c r="C23" s="5110"/>
      <c r="D23" s="5085"/>
      <c r="E23" s="5085"/>
      <c r="F23" s="5085"/>
      <c r="G23" s="5085"/>
      <c r="H23" s="5085"/>
      <c r="I23" s="5085"/>
      <c r="J23" s="5085"/>
      <c r="K23" s="5085"/>
      <c r="L23" s="5085"/>
      <c r="M23" s="5085"/>
      <c r="N23" s="5085"/>
      <c r="O23" s="5085"/>
      <c r="P23" s="5085"/>
      <c r="Q23" s="5085"/>
      <c r="R23" s="5085"/>
      <c r="S23" s="5085"/>
      <c r="T23" s="5085"/>
      <c r="U23" s="5085"/>
      <c r="V23" s="5085"/>
      <c r="W23" s="5085"/>
      <c r="X23" s="5085"/>
      <c r="Y23" s="5085"/>
      <c r="Z23" s="5102"/>
      <c r="AB23" s="5114">
        <f>B_Uspjeha!AP39-B23</f>
        <v>0</v>
      </c>
      <c r="AC23" s="4"/>
    </row>
    <row r="24" spans="1:30">
      <c r="A24" s="5108">
        <v>220</v>
      </c>
      <c r="B24" s="5113"/>
      <c r="C24" s="5110"/>
      <c r="D24" s="5085"/>
      <c r="E24" s="5085"/>
      <c r="F24" s="5085"/>
      <c r="G24" s="5085"/>
      <c r="H24" s="5085"/>
      <c r="I24" s="5085"/>
      <c r="J24" s="5085"/>
      <c r="K24" s="5085"/>
      <c r="L24" s="5085"/>
      <c r="M24" s="5085"/>
      <c r="N24" s="5085"/>
      <c r="O24" s="5085"/>
      <c r="P24" s="5085"/>
      <c r="Q24" s="5085"/>
      <c r="R24" s="5085"/>
      <c r="S24" s="5085"/>
      <c r="T24" s="5085"/>
      <c r="U24" s="5085"/>
      <c r="V24" s="5085"/>
      <c r="W24" s="5085"/>
      <c r="X24" s="5085"/>
      <c r="Y24" s="5085"/>
      <c r="Z24" s="5102"/>
      <c r="AB24" s="5114">
        <f>B_Uspjeha!AP44-B24</f>
        <v>0</v>
      </c>
      <c r="AC24" s="4"/>
    </row>
    <row r="25" spans="1:30">
      <c r="A25" s="5108">
        <v>221</v>
      </c>
      <c r="B25" s="5113"/>
      <c r="C25" s="5110"/>
      <c r="D25" s="5085"/>
      <c r="E25" s="5085"/>
      <c r="F25" s="5085"/>
      <c r="G25" s="5085"/>
      <c r="H25" s="5085"/>
      <c r="I25" s="5085"/>
      <c r="J25" s="5085"/>
      <c r="K25" s="5085"/>
      <c r="L25" s="5085"/>
      <c r="M25" s="5085"/>
      <c r="N25" s="5085"/>
      <c r="O25" s="5085"/>
      <c r="P25" s="5085"/>
      <c r="Q25" s="5085"/>
      <c r="R25" s="5085"/>
      <c r="S25" s="5085"/>
      <c r="T25" s="5085"/>
      <c r="U25" s="5085"/>
      <c r="V25" s="5085"/>
      <c r="W25" s="5085"/>
      <c r="X25" s="5085"/>
      <c r="Y25" s="5085"/>
      <c r="Z25" s="5102"/>
      <c r="AB25" s="5114">
        <f>B_Uspjeha!AP45-B25</f>
        <v>0</v>
      </c>
      <c r="AC25" s="4"/>
    </row>
    <row r="26" spans="1:30">
      <c r="A26" s="5108">
        <v>222</v>
      </c>
      <c r="B26" s="5113"/>
      <c r="C26" s="5110"/>
      <c r="D26" s="5085"/>
      <c r="E26" s="5085"/>
      <c r="F26" s="5085"/>
      <c r="G26" s="5085"/>
      <c r="H26" s="5085"/>
      <c r="I26" s="5085"/>
      <c r="J26" s="5085"/>
      <c r="K26" s="5085"/>
      <c r="L26" s="5085"/>
      <c r="M26" s="5085"/>
      <c r="N26" s="5085"/>
      <c r="O26" s="5085"/>
      <c r="P26" s="5085"/>
      <c r="Q26" s="5085"/>
      <c r="R26" s="5085"/>
      <c r="S26" s="5085"/>
      <c r="T26" s="5085"/>
      <c r="U26" s="5085"/>
      <c r="V26" s="5085"/>
      <c r="W26" s="5085"/>
      <c r="X26" s="5085"/>
      <c r="Y26" s="5085"/>
      <c r="Z26" s="5102"/>
      <c r="AB26" s="5114">
        <f>B_Uspjeha!AP46-B26</f>
        <v>0</v>
      </c>
      <c r="AC26" s="4"/>
    </row>
    <row r="27" spans="1:30">
      <c r="A27" s="5108">
        <v>223</v>
      </c>
      <c r="B27" s="5113"/>
      <c r="C27" s="5110"/>
      <c r="D27" s="5085"/>
      <c r="E27" s="5085"/>
      <c r="F27" s="5085"/>
      <c r="G27" s="5085"/>
      <c r="H27" s="5085"/>
      <c r="I27" s="5085"/>
      <c r="J27" s="5085"/>
      <c r="K27" s="5085"/>
      <c r="L27" s="5085"/>
      <c r="M27" s="5085"/>
      <c r="N27" s="5085"/>
      <c r="O27" s="5085"/>
      <c r="P27" s="5085"/>
      <c r="Q27" s="5085"/>
      <c r="R27" s="5085"/>
      <c r="S27" s="5085"/>
      <c r="T27" s="5085"/>
      <c r="U27" s="5085"/>
      <c r="V27" s="5085"/>
      <c r="W27" s="5085"/>
      <c r="X27" s="5085"/>
      <c r="Y27" s="5085"/>
      <c r="Z27" s="5102"/>
      <c r="AB27" s="5114">
        <f>B_Uspjeha!AP47-B27</f>
        <v>0</v>
      </c>
      <c r="AC27" s="4"/>
    </row>
    <row r="28" spans="1:30">
      <c r="A28" s="5108">
        <v>224</v>
      </c>
      <c r="B28" s="5113">
        <v>63891</v>
      </c>
      <c r="C28" s="5110"/>
      <c r="D28" s="5085"/>
      <c r="E28" s="5085"/>
      <c r="F28" s="5085"/>
      <c r="G28" s="5085"/>
      <c r="H28" s="5085"/>
      <c r="I28" s="5085"/>
      <c r="J28" s="5085"/>
      <c r="K28" s="5085"/>
      <c r="L28" s="5085"/>
      <c r="M28" s="5085"/>
      <c r="N28" s="5085"/>
      <c r="O28" s="5085"/>
      <c r="P28" s="5085"/>
      <c r="Q28" s="5085"/>
      <c r="R28" s="5085"/>
      <c r="S28" s="5085"/>
      <c r="T28" s="5085"/>
      <c r="U28" s="5085"/>
      <c r="V28" s="5085"/>
      <c r="W28" s="5085"/>
      <c r="X28" s="5085"/>
      <c r="Y28" s="5085"/>
      <c r="Z28" s="5102"/>
      <c r="AB28" s="5114">
        <f>B_Uspjeha!AP48-B28</f>
        <v>0</v>
      </c>
      <c r="AC28" s="4"/>
    </row>
    <row r="29" spans="1:30">
      <c r="A29" s="5108">
        <v>225</v>
      </c>
      <c r="B29" s="5113"/>
      <c r="C29" s="5110"/>
      <c r="D29" s="5085"/>
      <c r="E29" s="5085"/>
      <c r="F29" s="5085"/>
      <c r="G29" s="5085"/>
      <c r="H29" s="5085"/>
      <c r="I29" s="5085"/>
      <c r="J29" s="5085"/>
      <c r="K29" s="5085"/>
      <c r="L29" s="5085"/>
      <c r="M29" s="5085"/>
      <c r="N29" s="5085"/>
      <c r="O29" s="5085"/>
      <c r="P29" s="5085"/>
      <c r="Q29" s="5085"/>
      <c r="R29" s="5085"/>
      <c r="S29" s="5085"/>
      <c r="T29" s="5085"/>
      <c r="U29" s="5085"/>
      <c r="V29" s="5085"/>
      <c r="W29" s="5085"/>
      <c r="X29" s="5085"/>
      <c r="Y29" s="5085"/>
      <c r="Z29" s="5102"/>
      <c r="AB29" s="5114">
        <f>B_Uspjeha!AP49-B29</f>
        <v>0</v>
      </c>
      <c r="AC29" s="4"/>
    </row>
    <row r="30" spans="1:30">
      <c r="A30" s="5108">
        <v>226</v>
      </c>
      <c r="B30" s="5113"/>
      <c r="C30" s="5110"/>
      <c r="D30" s="5085"/>
      <c r="E30" s="5085"/>
      <c r="F30" s="5085"/>
      <c r="G30" s="5085"/>
      <c r="H30" s="5085"/>
      <c r="I30" s="5085"/>
      <c r="J30" s="5085"/>
      <c r="K30" s="5085"/>
      <c r="L30" s="5085"/>
      <c r="M30" s="5085"/>
      <c r="N30" s="5085"/>
      <c r="O30" s="5085"/>
      <c r="P30" s="5085"/>
      <c r="Q30" s="5085"/>
      <c r="R30" s="5085"/>
      <c r="S30" s="5085"/>
      <c r="T30" s="5085"/>
      <c r="U30" s="5085"/>
      <c r="V30" s="5085"/>
      <c r="W30" s="5085"/>
      <c r="X30" s="5085"/>
      <c r="Y30" s="5085"/>
      <c r="Z30" s="5102"/>
      <c r="AB30" s="5114">
        <f>B_Uspjeha!AP50-B30</f>
        <v>0</v>
      </c>
      <c r="AC30" s="4"/>
    </row>
    <row r="31" spans="1:30">
      <c r="A31" s="5108">
        <v>227</v>
      </c>
      <c r="B31" s="5113"/>
      <c r="C31" s="5110"/>
      <c r="D31" s="5085"/>
      <c r="E31" s="5085"/>
      <c r="F31" s="5085"/>
      <c r="G31" s="5085"/>
      <c r="H31" s="5085"/>
      <c r="I31" s="5085"/>
      <c r="J31" s="5085"/>
      <c r="K31" s="5085"/>
      <c r="L31" s="5085"/>
      <c r="M31" s="5085"/>
      <c r="N31" s="5085"/>
      <c r="O31" s="5085"/>
      <c r="P31" s="5085"/>
      <c r="Q31" s="5085"/>
      <c r="R31" s="5085"/>
      <c r="S31" s="5085"/>
      <c r="T31" s="5085"/>
      <c r="U31" s="5085"/>
      <c r="V31" s="5085"/>
      <c r="W31" s="5085"/>
      <c r="X31" s="5085"/>
      <c r="Y31" s="5085"/>
      <c r="Z31" s="5102"/>
      <c r="AB31" s="5114">
        <f>B_Uspjeha!AP51-B31</f>
        <v>0</v>
      </c>
      <c r="AC31" s="4"/>
    </row>
    <row r="32" spans="1:30">
      <c r="A32" s="5108">
        <v>228</v>
      </c>
      <c r="B32" s="5113"/>
      <c r="C32" s="5110"/>
      <c r="D32" s="5085"/>
      <c r="E32" s="5085"/>
      <c r="F32" s="5085"/>
      <c r="G32" s="5085"/>
      <c r="H32" s="5085"/>
      <c r="I32" s="5085"/>
      <c r="J32" s="5085"/>
      <c r="K32" s="5085"/>
      <c r="L32" s="5085"/>
      <c r="M32" s="5085"/>
      <c r="N32" s="5085"/>
      <c r="O32" s="5085"/>
      <c r="P32" s="5085"/>
      <c r="Q32" s="5085"/>
      <c r="R32" s="5085"/>
      <c r="S32" s="5085"/>
      <c r="T32" s="5085"/>
      <c r="U32" s="5085"/>
      <c r="V32" s="5085"/>
      <c r="W32" s="5085"/>
      <c r="X32" s="5085"/>
      <c r="Y32" s="5085"/>
      <c r="Z32" s="5102"/>
      <c r="AB32" s="5114">
        <f>B_Uspjeha!AP52-B32</f>
        <v>0</v>
      </c>
      <c r="AC32" s="4"/>
    </row>
    <row r="33" spans="1:30">
      <c r="A33" s="5108">
        <v>229</v>
      </c>
      <c r="B33" s="5113"/>
      <c r="C33" s="5110"/>
      <c r="D33" s="5085"/>
      <c r="E33" s="5085"/>
      <c r="F33" s="5085"/>
      <c r="G33" s="5085"/>
      <c r="H33" s="5085"/>
      <c r="I33" s="5085"/>
      <c r="J33" s="5085"/>
      <c r="K33" s="5085"/>
      <c r="L33" s="5085"/>
      <c r="M33" s="5085"/>
      <c r="N33" s="5085"/>
      <c r="O33" s="5085"/>
      <c r="P33" s="5085"/>
      <c r="Q33" s="5085"/>
      <c r="R33" s="5085"/>
      <c r="S33" s="5085"/>
      <c r="T33" s="5085"/>
      <c r="U33" s="5085"/>
      <c r="V33" s="5085"/>
      <c r="W33" s="5085"/>
      <c r="X33" s="5085"/>
      <c r="Y33" s="5085"/>
      <c r="Z33" s="5102"/>
      <c r="AB33" s="5114">
        <f>B_Uspjeha!AP53-B33</f>
        <v>0</v>
      </c>
      <c r="AC33" s="4"/>
    </row>
    <row r="34" ht="15" spans="1:30">
      <c r="A34" s="5108">
        <v>230</v>
      </c>
      <c r="B34" s="5109">
        <f>B_Uspjeha!AP54</f>
        <v>0</v>
      </c>
      <c r="C34" s="5110"/>
      <c r="D34" s="5085"/>
      <c r="E34" s="5085"/>
      <c r="F34" s="5085"/>
      <c r="G34" s="5085"/>
      <c r="H34" s="5085"/>
      <c r="I34" s="5085"/>
      <c r="J34" s="5085"/>
      <c r="K34" s="5085"/>
      <c r="L34" s="5085"/>
      <c r="M34" s="5085"/>
      <c r="N34" s="5085"/>
      <c r="O34" s="5085"/>
      <c r="P34" s="5085"/>
      <c r="Q34" s="5085"/>
      <c r="R34" s="5085"/>
      <c r="S34" s="5085"/>
      <c r="T34" s="5085"/>
      <c r="U34" s="5085"/>
      <c r="V34" s="5085"/>
      <c r="W34" s="5085"/>
      <c r="X34" s="5085"/>
      <c r="Y34" s="5085"/>
      <c r="Z34" s="5102"/>
      <c r="AB34" s="30">
        <f>B_Uspjeha!AP54-B34</f>
        <v>0</v>
      </c>
      <c r="AC34" s="4"/>
      <c r="AD34" s="5090">
        <f>IF(AB34=0,0,"PAŽNJA! Provjerite AOP "&amp;A34&amp;" MSV - PROŠLU godinu, razlika = "&amp;TEXT(AB34,"#.##0,00 [$KM-141A]"))</f>
        <v>0</v>
      </c>
    </row>
    <row r="35" spans="1:30">
      <c r="A35" s="5108">
        <v>231</v>
      </c>
      <c r="B35" s="5113"/>
      <c r="C35" s="5110"/>
      <c r="D35" s="5085"/>
      <c r="E35" s="5085"/>
      <c r="F35" s="5085"/>
      <c r="G35" s="5085"/>
      <c r="H35" s="5085"/>
      <c r="I35" s="5085"/>
      <c r="J35" s="5085"/>
      <c r="K35" s="5085"/>
      <c r="L35" s="5085"/>
      <c r="M35" s="5085"/>
      <c r="N35" s="5085"/>
      <c r="O35" s="5085"/>
      <c r="P35" s="5085"/>
      <c r="Q35" s="5085"/>
      <c r="R35" s="5085"/>
      <c r="S35" s="5085"/>
      <c r="T35" s="5085"/>
      <c r="U35" s="5085"/>
      <c r="V35" s="5085"/>
      <c r="W35" s="5085"/>
      <c r="X35" s="5085"/>
      <c r="Y35" s="5085"/>
      <c r="Z35" s="5102"/>
      <c r="AB35" s="5114">
        <f>B_Uspjeha!AP55-B35</f>
        <v>0</v>
      </c>
      <c r="AC35" s="4"/>
    </row>
    <row r="36" spans="1:30">
      <c r="A36" s="5108">
        <v>232</v>
      </c>
      <c r="B36" s="5113"/>
      <c r="C36" s="5110"/>
      <c r="D36" s="5085"/>
      <c r="E36" s="5085"/>
      <c r="F36" s="5085"/>
      <c r="G36" s="5085"/>
      <c r="H36" s="5085"/>
      <c r="I36" s="5085"/>
      <c r="J36" s="5085"/>
      <c r="K36" s="5085"/>
      <c r="L36" s="5085"/>
      <c r="M36" s="5085"/>
      <c r="N36" s="5085"/>
      <c r="O36" s="5085"/>
      <c r="P36" s="5085"/>
      <c r="Q36" s="5085"/>
      <c r="R36" s="5085"/>
      <c r="S36" s="5085"/>
      <c r="T36" s="5085"/>
      <c r="U36" s="5085"/>
      <c r="V36" s="5085"/>
      <c r="W36" s="5085"/>
      <c r="X36" s="5085"/>
      <c r="Y36" s="5085"/>
      <c r="Z36" s="5102"/>
      <c r="AB36" s="5114">
        <f>B_Uspjeha!AP56-B36</f>
        <v>0</v>
      </c>
      <c r="AC36" s="4"/>
    </row>
    <row r="37" spans="1:30">
      <c r="A37" s="5108">
        <v>233</v>
      </c>
      <c r="B37" s="5113"/>
      <c r="C37" s="5110"/>
      <c r="D37" s="5085"/>
      <c r="E37" s="5085"/>
      <c r="F37" s="5085"/>
      <c r="G37" s="5085"/>
      <c r="H37" s="5085"/>
      <c r="I37" s="5085"/>
      <c r="J37" s="5085"/>
      <c r="K37" s="5085"/>
      <c r="L37" s="5085"/>
      <c r="M37" s="5085"/>
      <c r="N37" s="5085"/>
      <c r="O37" s="5085"/>
      <c r="P37" s="5085"/>
      <c r="Q37" s="5085"/>
      <c r="R37" s="5085"/>
      <c r="S37" s="5085"/>
      <c r="T37" s="5085"/>
      <c r="U37" s="5085"/>
      <c r="V37" s="5085"/>
      <c r="W37" s="5085"/>
      <c r="X37" s="5085"/>
      <c r="Y37" s="5085"/>
      <c r="Z37" s="5102"/>
      <c r="AB37" s="5114">
        <f>B_Uspjeha!AP57-B37</f>
        <v>0</v>
      </c>
      <c r="AC37" s="4"/>
    </row>
    <row r="38" spans="1:30">
      <c r="A38" s="5108">
        <v>234</v>
      </c>
      <c r="B38" s="5113"/>
      <c r="C38" s="5110"/>
      <c r="D38" s="5085"/>
      <c r="E38" s="5085"/>
      <c r="F38" s="5085"/>
      <c r="G38" s="5085"/>
      <c r="H38" s="5085"/>
      <c r="I38" s="5085"/>
      <c r="J38" s="5085"/>
      <c r="K38" s="5085"/>
      <c r="L38" s="5085"/>
      <c r="M38" s="5085"/>
      <c r="N38" s="5085"/>
      <c r="O38" s="5085"/>
      <c r="P38" s="5085"/>
      <c r="Q38" s="5085"/>
      <c r="R38" s="5085"/>
      <c r="S38" s="5085"/>
      <c r="T38" s="5085"/>
      <c r="U38" s="5085"/>
      <c r="V38" s="5085"/>
      <c r="W38" s="5085"/>
      <c r="X38" s="5085"/>
      <c r="Y38" s="5085"/>
      <c r="Z38" s="5102"/>
      <c r="AB38" s="5114">
        <f>B_Uspjeha!AP58-B38</f>
        <v>0</v>
      </c>
      <c r="AC38" s="4"/>
    </row>
    <row r="39" spans="1:30">
      <c r="A39" s="5108">
        <v>235</v>
      </c>
      <c r="B39" s="5113"/>
      <c r="C39" s="5110"/>
      <c r="D39" s="5085"/>
      <c r="E39" s="5085"/>
      <c r="F39" s="5085"/>
      <c r="G39" s="5085"/>
      <c r="H39" s="5085"/>
      <c r="I39" s="5085"/>
      <c r="J39" s="5085"/>
      <c r="K39" s="5085"/>
      <c r="L39" s="5085"/>
      <c r="M39" s="5085"/>
      <c r="N39" s="5085"/>
      <c r="O39" s="5085"/>
      <c r="P39" s="5085"/>
      <c r="Q39" s="5085"/>
      <c r="R39" s="5085"/>
      <c r="S39" s="5085"/>
      <c r="T39" s="5085"/>
      <c r="U39" s="5085"/>
      <c r="V39" s="5085"/>
      <c r="W39" s="5085"/>
      <c r="X39" s="5085"/>
      <c r="Y39" s="5085"/>
      <c r="Z39" s="5102"/>
      <c r="AB39" s="5114">
        <f>B_Uspjeha!AP59-B39</f>
        <v>0</v>
      </c>
      <c r="AC39" s="4"/>
    </row>
    <row r="40" spans="1:30">
      <c r="A40" s="5108">
        <v>236</v>
      </c>
      <c r="B40" s="5113"/>
      <c r="C40" s="5110"/>
      <c r="D40" s="5085"/>
      <c r="E40" s="5085"/>
      <c r="F40" s="5085"/>
      <c r="G40" s="5085"/>
      <c r="H40" s="5085"/>
      <c r="I40" s="5085"/>
      <c r="J40" s="5085"/>
      <c r="K40" s="5085"/>
      <c r="L40" s="5085"/>
      <c r="M40" s="5085"/>
      <c r="N40" s="5085"/>
      <c r="O40" s="5085"/>
      <c r="P40" s="5085"/>
      <c r="Q40" s="5085"/>
      <c r="R40" s="5085"/>
      <c r="S40" s="5085"/>
      <c r="T40" s="5085"/>
      <c r="U40" s="5085"/>
      <c r="V40" s="5085"/>
      <c r="W40" s="5085"/>
      <c r="X40" s="5085"/>
      <c r="Y40" s="5085"/>
      <c r="Z40" s="5102"/>
      <c r="AB40" s="5114">
        <f>B_Uspjeha!AP60-B40</f>
        <v>0</v>
      </c>
      <c r="AC40" s="4"/>
    </row>
    <row r="41" spans="1:30">
      <c r="A41" s="5108">
        <v>237</v>
      </c>
      <c r="B41" s="5113"/>
      <c r="C41" s="5110"/>
      <c r="D41" s="5085"/>
      <c r="E41" s="5085"/>
      <c r="F41" s="5085"/>
      <c r="G41" s="5085"/>
      <c r="H41" s="5085"/>
      <c r="I41" s="5085"/>
      <c r="J41" s="5085"/>
      <c r="K41" s="5085"/>
      <c r="L41" s="5085"/>
      <c r="M41" s="5085"/>
      <c r="N41" s="5085"/>
      <c r="O41" s="5085"/>
      <c r="P41" s="5085"/>
      <c r="Q41" s="5085"/>
      <c r="R41" s="5085"/>
      <c r="S41" s="5085"/>
      <c r="T41" s="5085"/>
      <c r="U41" s="5085"/>
      <c r="V41" s="5085"/>
      <c r="W41" s="5085"/>
      <c r="X41" s="5085"/>
      <c r="Y41" s="5085"/>
      <c r="Z41" s="5102"/>
      <c r="AB41" s="5114">
        <f>B_Uspjeha!AP61-B41</f>
        <v>0</v>
      </c>
      <c r="AC41" s="4"/>
    </row>
    <row r="42" spans="1:30">
      <c r="A42" s="5108">
        <v>238</v>
      </c>
      <c r="B42" s="5113"/>
      <c r="C42" s="5110"/>
      <c r="D42" s="5085"/>
      <c r="E42" s="5085"/>
      <c r="F42" s="5085"/>
      <c r="G42" s="5085"/>
      <c r="H42" s="5085"/>
      <c r="I42" s="5085"/>
      <c r="J42" s="5085"/>
      <c r="K42" s="5085"/>
      <c r="L42" s="5085"/>
      <c r="M42" s="5085"/>
      <c r="N42" s="5085"/>
      <c r="O42" s="5085"/>
      <c r="P42" s="5085"/>
      <c r="Q42" s="5085"/>
      <c r="R42" s="5085"/>
      <c r="S42" s="5085"/>
      <c r="T42" s="5085"/>
      <c r="U42" s="5085"/>
      <c r="V42" s="5085"/>
      <c r="W42" s="5085"/>
      <c r="X42" s="5085"/>
      <c r="Y42" s="5085"/>
      <c r="Z42" s="5102"/>
      <c r="AB42" s="5114">
        <f>B_Uspjeha!AP62-B42</f>
        <v>0</v>
      </c>
      <c r="AC42" s="4"/>
    </row>
    <row r="43" spans="1:30">
      <c r="A43" s="5108">
        <v>239</v>
      </c>
      <c r="B43" s="5113"/>
      <c r="C43" s="5110"/>
      <c r="D43" s="5085"/>
      <c r="E43" s="5085"/>
      <c r="F43" s="5085"/>
      <c r="G43" s="5085"/>
      <c r="H43" s="5085"/>
      <c r="I43" s="5085"/>
      <c r="J43" s="5085"/>
      <c r="K43" s="5085"/>
      <c r="L43" s="5085"/>
      <c r="M43" s="5085"/>
      <c r="N43" s="5085"/>
      <c r="O43" s="5085"/>
      <c r="P43" s="5085"/>
      <c r="Q43" s="5085"/>
      <c r="R43" s="5085"/>
      <c r="S43" s="5085"/>
      <c r="T43" s="5085"/>
      <c r="U43" s="5085"/>
      <c r="V43" s="5085"/>
      <c r="W43" s="5085"/>
      <c r="X43" s="5085"/>
      <c r="Y43" s="5085"/>
      <c r="Z43" s="5102"/>
      <c r="AB43" s="5114">
        <f>B_Uspjeha!AP63-B43</f>
        <v>0</v>
      </c>
      <c r="AC43" s="4"/>
    </row>
    <row r="44" spans="1:30">
      <c r="A44" s="5108">
        <v>240</v>
      </c>
      <c r="B44" s="5113"/>
      <c r="C44" s="5110"/>
      <c r="D44" s="5085"/>
      <c r="E44" s="5085"/>
      <c r="F44" s="5085"/>
      <c r="G44" s="5085"/>
      <c r="H44" s="5085"/>
      <c r="I44" s="5085"/>
      <c r="J44" s="5085"/>
      <c r="K44" s="5085"/>
      <c r="L44" s="5085"/>
      <c r="M44" s="5085"/>
      <c r="N44" s="5085"/>
      <c r="O44" s="5085"/>
      <c r="P44" s="5085"/>
      <c r="Q44" s="5085"/>
      <c r="R44" s="5085"/>
      <c r="S44" s="5085"/>
      <c r="T44" s="5085"/>
      <c r="U44" s="5085"/>
      <c r="V44" s="5085"/>
      <c r="W44" s="5085"/>
      <c r="X44" s="5085"/>
      <c r="Y44" s="5085"/>
      <c r="Z44" s="5102"/>
      <c r="AB44" s="5114">
        <f>B_Uspjeha!AP64-B44</f>
        <v>0</v>
      </c>
      <c r="AC44" s="4"/>
    </row>
    <row r="45" spans="1:30">
      <c r="A45" s="5108">
        <v>241</v>
      </c>
      <c r="B45" s="5113"/>
      <c r="C45" s="5110"/>
      <c r="D45" s="5085"/>
      <c r="E45" s="5085"/>
      <c r="F45" s="5085"/>
      <c r="G45" s="5085"/>
      <c r="H45" s="5085"/>
      <c r="I45" s="5085"/>
      <c r="J45" s="5085"/>
      <c r="K45" s="5085"/>
      <c r="L45" s="5085"/>
      <c r="M45" s="5085"/>
      <c r="N45" s="5085"/>
      <c r="O45" s="5085"/>
      <c r="P45" s="5085"/>
      <c r="Q45" s="5085"/>
      <c r="R45" s="5085"/>
      <c r="S45" s="5085"/>
      <c r="T45" s="5085"/>
      <c r="U45" s="5085"/>
      <c r="V45" s="5085"/>
      <c r="W45" s="5085"/>
      <c r="X45" s="5085"/>
      <c r="Y45" s="5085"/>
      <c r="Z45" s="5102"/>
      <c r="AB45" s="5114">
        <f>B_Uspjeha!AP65-B45</f>
        <v>0</v>
      </c>
      <c r="AC45" s="4"/>
    </row>
    <row r="46" spans="1:30">
      <c r="A46" s="5108">
        <v>242</v>
      </c>
      <c r="B46" s="5113"/>
      <c r="C46" s="5110"/>
      <c r="D46" s="5085"/>
      <c r="E46" s="5085"/>
      <c r="F46" s="5085"/>
      <c r="G46" s="5085"/>
      <c r="H46" s="5085"/>
      <c r="I46" s="5085"/>
      <c r="J46" s="5085"/>
      <c r="K46" s="5085"/>
      <c r="L46" s="5085"/>
      <c r="M46" s="5085"/>
      <c r="N46" s="5085"/>
      <c r="O46" s="5085"/>
      <c r="P46" s="5085"/>
      <c r="Q46" s="5085"/>
      <c r="R46" s="5085"/>
      <c r="S46" s="5085"/>
      <c r="T46" s="5085"/>
      <c r="U46" s="5085"/>
      <c r="V46" s="5085"/>
      <c r="W46" s="5085"/>
      <c r="X46" s="5085"/>
      <c r="Y46" s="5085"/>
      <c r="Z46" s="5102"/>
      <c r="AB46" s="5114">
        <f>B_Uspjeha!AP66-B46</f>
        <v>0</v>
      </c>
      <c r="AC46" s="4"/>
    </row>
    <row r="47" spans="1:30">
      <c r="A47" s="5108">
        <v>243</v>
      </c>
      <c r="B47" s="5113"/>
      <c r="C47" s="5110"/>
      <c r="D47" s="5085"/>
      <c r="E47" s="5085"/>
      <c r="F47" s="5085"/>
      <c r="G47" s="5085"/>
      <c r="H47" s="5085"/>
      <c r="I47" s="5085"/>
      <c r="J47" s="5085"/>
      <c r="K47" s="5085"/>
      <c r="L47" s="5085"/>
      <c r="M47" s="5085"/>
      <c r="N47" s="5085"/>
      <c r="O47" s="5085"/>
      <c r="P47" s="5085"/>
      <c r="Q47" s="5085"/>
      <c r="R47" s="5085"/>
      <c r="S47" s="5085"/>
      <c r="T47" s="5085"/>
      <c r="U47" s="5085"/>
      <c r="V47" s="5085"/>
      <c r="W47" s="5085"/>
      <c r="X47" s="5085"/>
      <c r="Y47" s="5085"/>
      <c r="Z47" s="5102"/>
      <c r="AB47" s="5114">
        <f>B_Uspjeha!AP67-B47</f>
        <v>0</v>
      </c>
      <c r="AC47" s="4"/>
    </row>
    <row r="48" spans="1:30">
      <c r="A48" s="5108">
        <v>244</v>
      </c>
      <c r="B48" s="5113"/>
      <c r="C48" s="5110"/>
      <c r="D48" s="5085"/>
      <c r="E48" s="5085"/>
      <c r="F48" s="5085"/>
      <c r="G48" s="5085"/>
      <c r="H48" s="5085"/>
      <c r="I48" s="5085"/>
      <c r="J48" s="5085"/>
      <c r="K48" s="5085"/>
      <c r="L48" s="5085"/>
      <c r="M48" s="5085"/>
      <c r="N48" s="5085"/>
      <c r="O48" s="5085"/>
      <c r="P48" s="5085"/>
      <c r="Q48" s="5085"/>
      <c r="R48" s="5085"/>
      <c r="S48" s="5085"/>
      <c r="T48" s="5085"/>
      <c r="U48" s="5085"/>
      <c r="V48" s="5085"/>
      <c r="W48" s="5085"/>
      <c r="X48" s="5085"/>
      <c r="Y48" s="5085"/>
      <c r="Z48" s="5102"/>
      <c r="AB48" s="5114">
        <f>B_Uspjeha!AP68-B48</f>
        <v>0</v>
      </c>
      <c r="AC48" s="4"/>
    </row>
    <row r="49" spans="1:30">
      <c r="A49" s="5108">
        <v>245</v>
      </c>
      <c r="B49" s="5113"/>
      <c r="C49" s="5110"/>
      <c r="D49" s="5085"/>
      <c r="E49" s="5085"/>
      <c r="F49" s="5085"/>
      <c r="G49" s="5085"/>
      <c r="H49" s="5085"/>
      <c r="I49" s="5085"/>
      <c r="J49" s="5085"/>
      <c r="K49" s="5085"/>
      <c r="L49" s="5085"/>
      <c r="M49" s="5085"/>
      <c r="N49" s="5085"/>
      <c r="O49" s="5085"/>
      <c r="P49" s="5085"/>
      <c r="Q49" s="5085"/>
      <c r="R49" s="5085"/>
      <c r="S49" s="5085"/>
      <c r="T49" s="5085"/>
      <c r="U49" s="5085"/>
      <c r="V49" s="5085"/>
      <c r="W49" s="5085"/>
      <c r="X49" s="5085"/>
      <c r="Y49" s="5085"/>
      <c r="Z49" s="5102"/>
      <c r="AB49" s="5114">
        <f>B_Uspjeha!AP69-B49</f>
        <v>0</v>
      </c>
      <c r="AC49" s="4"/>
    </row>
    <row r="50" spans="1:30">
      <c r="A50" s="5108">
        <v>246</v>
      </c>
      <c r="B50" s="5113"/>
      <c r="C50" s="5110"/>
      <c r="D50" s="5085"/>
      <c r="E50" s="5085"/>
      <c r="F50" s="5085"/>
      <c r="G50" s="5085"/>
      <c r="H50" s="5085"/>
      <c r="I50" s="5085"/>
      <c r="J50" s="5085"/>
      <c r="K50" s="5085"/>
      <c r="L50" s="5085"/>
      <c r="M50" s="5085"/>
      <c r="N50" s="5085"/>
      <c r="O50" s="5085"/>
      <c r="P50" s="5085"/>
      <c r="Q50" s="5085"/>
      <c r="R50" s="5085"/>
      <c r="S50" s="5085"/>
      <c r="T50" s="5085"/>
      <c r="U50" s="5085"/>
      <c r="V50" s="5085"/>
      <c r="W50" s="5085"/>
      <c r="X50" s="5085"/>
      <c r="Y50" s="5085"/>
      <c r="Z50" s="5102"/>
      <c r="AB50" s="5114">
        <f>B_Uspjeha!AP70-B50</f>
        <v>0</v>
      </c>
      <c r="AC50" s="4"/>
    </row>
    <row r="51" ht="15" spans="1:30">
      <c r="A51" s="5108">
        <v>247</v>
      </c>
      <c r="B51" s="5109">
        <f>B_Uspjeha!AP71</f>
        <v>3942</v>
      </c>
      <c r="C51" s="5110"/>
      <c r="D51" s="5085"/>
      <c r="E51" s="5085"/>
      <c r="F51" s="5085"/>
      <c r="G51" s="5085"/>
      <c r="H51" s="5085"/>
      <c r="I51" s="5085"/>
      <c r="J51" s="5085"/>
      <c r="K51" s="5085"/>
      <c r="L51" s="5085"/>
      <c r="M51" s="5085"/>
      <c r="N51" s="5085"/>
      <c r="O51" s="5085"/>
      <c r="P51" s="5085"/>
      <c r="Q51" s="5085"/>
      <c r="R51" s="5085"/>
      <c r="S51" s="5085"/>
      <c r="T51" s="5085"/>
      <c r="U51" s="5085"/>
      <c r="V51" s="5085"/>
      <c r="W51" s="5085"/>
      <c r="X51" s="5085"/>
      <c r="Y51" s="5085"/>
      <c r="Z51" s="5102"/>
      <c r="AB51" s="30">
        <f>B_Uspjeha!AP71-B51</f>
        <v>0</v>
      </c>
      <c r="AC51" s="4"/>
      <c r="AD51" s="5090">
        <f>IF(AB51=0,0,"PAŽNJA! Provjerite AOP "&amp;A51&amp;" MSV - PROŠLU godinu, razlika = "&amp;TEXT(AB51,"#.##0,00 [$KM-141A]"))</f>
        <v>0</v>
      </c>
    </row>
    <row r="52" spans="1:30">
      <c r="A52" s="5108">
        <v>248</v>
      </c>
      <c r="B52" s="5113">
        <v>3942</v>
      </c>
      <c r="C52" s="5110"/>
      <c r="D52" s="5085"/>
      <c r="E52" s="5085"/>
      <c r="F52" s="5085"/>
      <c r="G52" s="5085"/>
      <c r="H52" s="5085"/>
      <c r="I52" s="5085"/>
      <c r="J52" s="5085"/>
      <c r="K52" s="5085"/>
      <c r="L52" s="5085"/>
      <c r="M52" s="5085"/>
      <c r="N52" s="5085"/>
      <c r="O52" s="5085"/>
      <c r="P52" s="5085"/>
      <c r="Q52" s="5085"/>
      <c r="R52" s="5085"/>
      <c r="S52" s="5085"/>
      <c r="T52" s="5085"/>
      <c r="U52" s="5085"/>
      <c r="V52" s="5085"/>
      <c r="W52" s="5085"/>
      <c r="X52" s="5085"/>
      <c r="Y52" s="5085"/>
      <c r="Z52" s="5102"/>
      <c r="AB52" s="5114">
        <f>B_Uspjeha!AP72-B52</f>
        <v>0</v>
      </c>
      <c r="AC52" s="4"/>
    </row>
    <row r="53" spans="1:30">
      <c r="A53" s="5108">
        <v>249</v>
      </c>
      <c r="B53" s="5113"/>
      <c r="C53" s="5110"/>
      <c r="D53" s="5085"/>
      <c r="E53" s="5085"/>
      <c r="F53" s="5085"/>
      <c r="G53" s="5085"/>
      <c r="H53" s="5085"/>
      <c r="I53" s="5085"/>
      <c r="J53" s="5085"/>
      <c r="K53" s="5085"/>
      <c r="L53" s="5085"/>
      <c r="M53" s="5085"/>
      <c r="N53" s="5085"/>
      <c r="O53" s="5085"/>
      <c r="P53" s="5085"/>
      <c r="Q53" s="5085"/>
      <c r="R53" s="5085"/>
      <c r="S53" s="5085"/>
      <c r="T53" s="5085"/>
      <c r="U53" s="5085"/>
      <c r="V53" s="5085"/>
      <c r="W53" s="5085"/>
      <c r="X53" s="5085"/>
      <c r="Y53" s="5085"/>
      <c r="Z53" s="5102"/>
      <c r="AB53" s="5114">
        <f>B_Uspjeha!AP73-B53</f>
        <v>0</v>
      </c>
      <c r="AC53" s="4"/>
    </row>
    <row r="54" spans="1:30">
      <c r="A54" s="5108">
        <v>250</v>
      </c>
      <c r="B54" s="5113"/>
      <c r="C54" s="5110"/>
      <c r="D54" s="5085"/>
      <c r="E54" s="5085"/>
      <c r="F54" s="5085"/>
      <c r="G54" s="5085"/>
      <c r="H54" s="5085"/>
      <c r="I54" s="5085"/>
      <c r="J54" s="5085"/>
      <c r="K54" s="5085"/>
      <c r="L54" s="5085"/>
      <c r="M54" s="5085"/>
      <c r="N54" s="5085"/>
      <c r="O54" s="5085"/>
      <c r="P54" s="5085"/>
      <c r="Q54" s="5085"/>
      <c r="R54" s="5085"/>
      <c r="S54" s="5085"/>
      <c r="T54" s="5085"/>
      <c r="U54" s="5085"/>
      <c r="V54" s="5085"/>
      <c r="W54" s="5085"/>
      <c r="X54" s="5085"/>
      <c r="Y54" s="5085"/>
      <c r="Z54" s="5102"/>
      <c r="AB54" s="5114">
        <f>B_Uspjeha!AP74-B54</f>
        <v>0</v>
      </c>
      <c r="AC54" s="4"/>
    </row>
    <row r="55" spans="1:30">
      <c r="A55" s="5108">
        <v>251</v>
      </c>
      <c r="B55" s="5113">
        <v>8190</v>
      </c>
      <c r="C55" s="5110"/>
      <c r="D55" s="5085"/>
      <c r="E55" s="5085"/>
      <c r="F55" s="5085"/>
      <c r="G55" s="5085"/>
      <c r="H55" s="5085"/>
      <c r="I55" s="5085"/>
      <c r="J55" s="5085"/>
      <c r="K55" s="5085"/>
      <c r="L55" s="5085"/>
      <c r="M55" s="5085"/>
      <c r="N55" s="5085"/>
      <c r="O55" s="5085"/>
      <c r="P55" s="5085"/>
      <c r="Q55" s="5085"/>
      <c r="R55" s="5085"/>
      <c r="S55" s="5085"/>
      <c r="T55" s="5085"/>
      <c r="U55" s="5085"/>
      <c r="V55" s="5085"/>
      <c r="W55" s="5085"/>
      <c r="X55" s="5085"/>
      <c r="Y55" s="5085"/>
      <c r="Z55" s="5102"/>
      <c r="AB55" s="5114">
        <f>B_Uspjeha!AP75-B55</f>
        <v>0</v>
      </c>
      <c r="AC55" s="4"/>
    </row>
    <row r="56" ht="15" spans="1:30">
      <c r="A56" s="5108">
        <v>252</v>
      </c>
      <c r="B56" s="5109">
        <f>B_Uspjeha!AP76</f>
        <v>384523</v>
      </c>
      <c r="C56" s="5110"/>
      <c r="D56" s="5085"/>
      <c r="E56" s="5085"/>
      <c r="F56" s="5085"/>
      <c r="G56" s="5085"/>
      <c r="H56" s="5085"/>
      <c r="I56" s="5085"/>
      <c r="J56" s="5085"/>
      <c r="K56" s="5085"/>
      <c r="L56" s="5085"/>
      <c r="M56" s="5085"/>
      <c r="N56" s="5085"/>
      <c r="O56" s="5085"/>
      <c r="P56" s="5085"/>
      <c r="Q56" s="5085"/>
      <c r="R56" s="5085"/>
      <c r="S56" s="5085"/>
      <c r="T56" s="5085"/>
      <c r="U56" s="5085"/>
      <c r="V56" s="5085"/>
      <c r="W56" s="5085"/>
      <c r="X56" s="5085"/>
      <c r="Y56" s="5085"/>
      <c r="Z56" s="5102"/>
      <c r="AB56" s="30">
        <f>B_Uspjeha!AP76-B56</f>
        <v>0</v>
      </c>
      <c r="AC56" s="4"/>
      <c r="AD56" s="5090">
        <f>IF(AB56=0,0,"PAŽNJA! Provjerite AOP "&amp;A56&amp;" MSV - PROŠLU godinu, razlika = "&amp;TEXT(AB56,"#.##0,00 [$KM-141A]"))</f>
        <v>0</v>
      </c>
    </row>
    <row r="57" ht="15" spans="1:30">
      <c r="A57" s="5108">
        <v>253</v>
      </c>
      <c r="B57" s="5109">
        <f>B_Uspjeha!AP80</f>
        <v>282807</v>
      </c>
      <c r="C57" s="5110"/>
      <c r="D57" s="5085"/>
      <c r="E57" s="5085"/>
      <c r="F57" s="5085"/>
      <c r="G57" s="5085"/>
      <c r="H57" s="5085"/>
      <c r="I57" s="5085"/>
      <c r="J57" s="5085"/>
      <c r="K57" s="5085"/>
      <c r="L57" s="5085"/>
      <c r="M57" s="5085"/>
      <c r="N57" s="5085"/>
      <c r="O57" s="5085"/>
      <c r="P57" s="5085"/>
      <c r="Q57" s="5085"/>
      <c r="R57" s="5085"/>
      <c r="S57" s="5085"/>
      <c r="T57" s="5085"/>
      <c r="U57" s="5085"/>
      <c r="V57" s="5085"/>
      <c r="W57" s="5085"/>
      <c r="X57" s="5085"/>
      <c r="Y57" s="5085"/>
      <c r="Z57" s="5102"/>
      <c r="AB57" s="30">
        <f>B_Uspjeha!AP80-B57</f>
        <v>0</v>
      </c>
      <c r="AC57" s="4"/>
      <c r="AD57" s="5090">
        <f>IF(AB57=0,0,"PAŽNJA! Provjerite AOP "&amp;A57&amp;" MSV - PROŠLU godinu, razlika = "&amp;TEXT(AB57,"#.##0,00 [$KM-141A]"))</f>
        <v>0</v>
      </c>
    </row>
    <row r="58" spans="1:30">
      <c r="A58" s="5108">
        <v>254</v>
      </c>
      <c r="B58" s="5113"/>
      <c r="C58" s="5110"/>
      <c r="D58" s="5085"/>
      <c r="E58" s="5085"/>
      <c r="F58" s="5085"/>
      <c r="G58" s="5085"/>
      <c r="H58" s="5085"/>
      <c r="I58" s="5085"/>
      <c r="J58" s="5085"/>
      <c r="K58" s="5085"/>
      <c r="L58" s="5085"/>
      <c r="M58" s="5085"/>
      <c r="N58" s="5085"/>
      <c r="O58" s="5085"/>
      <c r="P58" s="5085"/>
      <c r="Q58" s="5085"/>
      <c r="R58" s="5085"/>
      <c r="S58" s="5085"/>
      <c r="T58" s="5085"/>
      <c r="U58" s="5085"/>
      <c r="V58" s="5085"/>
      <c r="W58" s="5085"/>
      <c r="X58" s="5085"/>
      <c r="Y58" s="5085"/>
      <c r="Z58" s="5102"/>
      <c r="AB58" s="5114">
        <f>B_Uspjeha!AP81-B58</f>
        <v>0</v>
      </c>
      <c r="AC58" s="4"/>
    </row>
    <row r="59" spans="1:30">
      <c r="A59" s="5108">
        <v>255</v>
      </c>
      <c r="B59" s="5113"/>
      <c r="C59" s="5110"/>
      <c r="D59" s="5085"/>
      <c r="E59" s="5085"/>
      <c r="F59" s="5085"/>
      <c r="G59" s="5085"/>
      <c r="H59" s="5085"/>
      <c r="I59" s="5085"/>
      <c r="J59" s="5085"/>
      <c r="K59" s="5085"/>
      <c r="L59" s="5085"/>
      <c r="M59" s="5085"/>
      <c r="N59" s="5085"/>
      <c r="O59" s="5085"/>
      <c r="P59" s="5085"/>
      <c r="Q59" s="5085"/>
      <c r="R59" s="5085"/>
      <c r="S59" s="5085"/>
      <c r="T59" s="5085"/>
      <c r="U59" s="5085"/>
      <c r="V59" s="5085"/>
      <c r="W59" s="5085"/>
      <c r="X59" s="5085"/>
      <c r="Y59" s="5085"/>
      <c r="Z59" s="5102"/>
      <c r="AB59" s="5114">
        <f>B_Uspjeha!AP82-B59</f>
        <v>0</v>
      </c>
      <c r="AC59" s="4"/>
    </row>
    <row r="60" spans="1:30">
      <c r="A60" s="5108">
        <v>256</v>
      </c>
      <c r="B60" s="5113">
        <v>563</v>
      </c>
      <c r="C60" s="5110"/>
      <c r="D60" s="5085"/>
      <c r="E60" s="5085"/>
      <c r="F60" s="5085"/>
      <c r="G60" s="5085"/>
      <c r="H60" s="5085"/>
      <c r="I60" s="5085"/>
      <c r="J60" s="5085"/>
      <c r="K60" s="5085"/>
      <c r="L60" s="5085"/>
      <c r="M60" s="5085"/>
      <c r="N60" s="5085"/>
      <c r="O60" s="5085"/>
      <c r="P60" s="5085"/>
      <c r="Q60" s="5085"/>
      <c r="R60" s="5085"/>
      <c r="S60" s="5085"/>
      <c r="T60" s="5085"/>
      <c r="U60" s="5085"/>
      <c r="V60" s="5085"/>
      <c r="W60" s="5085"/>
      <c r="X60" s="5085"/>
      <c r="Y60" s="5085"/>
      <c r="Z60" s="5102"/>
      <c r="AB60" s="5114">
        <f>B_Uspjeha!AP83-B60</f>
        <v>0</v>
      </c>
      <c r="AC60" s="4"/>
    </row>
    <row r="61" spans="1:30">
      <c r="A61" s="5108">
        <v>257</v>
      </c>
      <c r="B61" s="5113">
        <v>9093</v>
      </c>
      <c r="C61" s="5110"/>
      <c r="D61" s="5085"/>
      <c r="E61" s="5085"/>
      <c r="F61" s="5085"/>
      <c r="G61" s="5085"/>
      <c r="H61" s="5085"/>
      <c r="I61" s="5085"/>
      <c r="J61" s="5085"/>
      <c r="K61" s="5085"/>
      <c r="L61" s="5085"/>
      <c r="M61" s="5085"/>
      <c r="N61" s="5085"/>
      <c r="O61" s="5085"/>
      <c r="P61" s="5085"/>
      <c r="Q61" s="5085"/>
      <c r="R61" s="5085"/>
      <c r="S61" s="5085"/>
      <c r="T61" s="5085"/>
      <c r="U61" s="5085"/>
      <c r="V61" s="5085"/>
      <c r="W61" s="5085"/>
      <c r="X61" s="5085"/>
      <c r="Y61" s="5085"/>
      <c r="Z61" s="5102"/>
      <c r="AB61" s="5114">
        <f>B_Uspjeha!AP84-B61</f>
        <v>0</v>
      </c>
      <c r="AC61" s="4"/>
    </row>
    <row r="62" ht="15" spans="1:30">
      <c r="A62" s="5108">
        <v>258</v>
      </c>
      <c r="B62" s="5109">
        <f>B_Uspjeha!AP85</f>
        <v>197520</v>
      </c>
      <c r="C62" s="5110"/>
      <c r="D62" s="5085"/>
      <c r="E62" s="5085"/>
      <c r="F62" s="5085"/>
      <c r="G62" s="5085"/>
      <c r="H62" s="5085"/>
      <c r="I62" s="5085"/>
      <c r="J62" s="5085"/>
      <c r="K62" s="5085"/>
      <c r="L62" s="5085"/>
      <c r="M62" s="5085"/>
      <c r="N62" s="5085"/>
      <c r="O62" s="5085"/>
      <c r="P62" s="5085"/>
      <c r="Q62" s="5085"/>
      <c r="R62" s="5085"/>
      <c r="S62" s="5085"/>
      <c r="T62" s="5085"/>
      <c r="U62" s="5085"/>
      <c r="V62" s="5085"/>
      <c r="W62" s="5085"/>
      <c r="X62" s="5085"/>
      <c r="Y62" s="5085"/>
      <c r="Z62" s="5102"/>
      <c r="AB62" s="30">
        <f>B_Uspjeha!AP85-B62</f>
        <v>0</v>
      </c>
      <c r="AC62" s="4"/>
      <c r="AD62" s="5090">
        <f>IF(AB62=0,0,"PAŽNJA! Provjerite AOP "&amp;A62&amp;" MSV - PROŠLU godinu, razlika = "&amp;TEXT(AB62,"#.##0,00 [$KM-141A]"))</f>
        <v>0</v>
      </c>
    </row>
    <row r="63" spans="1:30">
      <c r="A63" s="5108">
        <v>259</v>
      </c>
      <c r="B63" s="5113">
        <v>153411</v>
      </c>
      <c r="C63" s="5110"/>
      <c r="D63" s="5085"/>
      <c r="E63" s="5085"/>
      <c r="F63" s="5085"/>
      <c r="G63" s="5085"/>
      <c r="H63" s="5085"/>
      <c r="I63" s="5085"/>
      <c r="J63" s="5085"/>
      <c r="K63" s="5085"/>
      <c r="L63" s="5085"/>
      <c r="M63" s="5085"/>
      <c r="N63" s="5085"/>
      <c r="O63" s="5085"/>
      <c r="P63" s="5085"/>
      <c r="Q63" s="5085"/>
      <c r="R63" s="5085"/>
      <c r="S63" s="5085"/>
      <c r="T63" s="5085"/>
      <c r="U63" s="5085"/>
      <c r="V63" s="5085"/>
      <c r="W63" s="5085"/>
      <c r="X63" s="5085"/>
      <c r="Y63" s="5085"/>
      <c r="Z63" s="5102"/>
      <c r="AB63" s="5114">
        <f>B_Uspjeha!AP86-B63</f>
        <v>0</v>
      </c>
      <c r="AC63" s="4"/>
    </row>
    <row r="64" spans="1:30">
      <c r="A64" s="5108">
        <v>260</v>
      </c>
      <c r="B64" s="5113">
        <v>31914</v>
      </c>
      <c r="C64" s="5110"/>
      <c r="D64" s="5085"/>
      <c r="E64" s="5085"/>
      <c r="F64" s="5085"/>
      <c r="G64" s="5085"/>
      <c r="H64" s="5085"/>
      <c r="I64" s="5085"/>
      <c r="J64" s="5085"/>
      <c r="K64" s="5085"/>
      <c r="L64" s="5085"/>
      <c r="M64" s="5085"/>
      <c r="N64" s="5085"/>
      <c r="O64" s="5085"/>
      <c r="P64" s="5085"/>
      <c r="Q64" s="5085"/>
      <c r="R64" s="5085"/>
      <c r="S64" s="5085"/>
      <c r="T64" s="5085"/>
      <c r="U64" s="5085"/>
      <c r="V64" s="5085"/>
      <c r="W64" s="5085"/>
      <c r="X64" s="5085"/>
      <c r="Y64" s="5085"/>
      <c r="Z64" s="5102"/>
      <c r="AB64" s="5114">
        <f>B_Uspjeha!AP87-B64</f>
        <v>0</v>
      </c>
      <c r="AC64" s="4"/>
    </row>
    <row r="65" spans="1:30">
      <c r="A65" s="5108">
        <v>261</v>
      </c>
      <c r="B65" s="5113">
        <v>12195</v>
      </c>
      <c r="C65" s="5110"/>
      <c r="D65" s="5085"/>
      <c r="E65" s="5085"/>
      <c r="F65" s="5085"/>
      <c r="G65" s="5085"/>
      <c r="H65" s="5085"/>
      <c r="I65" s="5085"/>
      <c r="J65" s="5085"/>
      <c r="K65" s="5085"/>
      <c r="L65" s="5085"/>
      <c r="M65" s="5085"/>
      <c r="N65" s="5085"/>
      <c r="O65" s="5085"/>
      <c r="P65" s="5085"/>
      <c r="Q65" s="5085"/>
      <c r="R65" s="5085"/>
      <c r="S65" s="5085"/>
      <c r="T65" s="5085"/>
      <c r="U65" s="5085"/>
      <c r="V65" s="5085"/>
      <c r="W65" s="5085"/>
      <c r="X65" s="5085"/>
      <c r="Y65" s="5085"/>
      <c r="Z65" s="5102"/>
      <c r="AB65" s="5114">
        <f>B_Uspjeha!AP88-B65</f>
        <v>0</v>
      </c>
      <c r="AC65" s="4"/>
    </row>
    <row r="66" ht="15" spans="1:30">
      <c r="A66" s="5108">
        <v>262</v>
      </c>
      <c r="B66" s="5109">
        <f>B_Uspjeha!AP89</f>
        <v>5172</v>
      </c>
      <c r="C66" s="5110"/>
      <c r="D66" s="5085"/>
      <c r="E66" s="5085"/>
      <c r="F66" s="5085"/>
      <c r="G66" s="5085"/>
      <c r="H66" s="5085"/>
      <c r="I66" s="5085"/>
      <c r="J66" s="5085"/>
      <c r="K66" s="5085"/>
      <c r="L66" s="5085"/>
      <c r="M66" s="5085"/>
      <c r="N66" s="5085"/>
      <c r="O66" s="5085"/>
      <c r="P66" s="5085"/>
      <c r="Q66" s="5085"/>
      <c r="R66" s="5085"/>
      <c r="S66" s="5085"/>
      <c r="T66" s="5085"/>
      <c r="U66" s="5085"/>
      <c r="V66" s="5085"/>
      <c r="W66" s="5085"/>
      <c r="X66" s="5085"/>
      <c r="Y66" s="5085"/>
      <c r="Z66" s="5102"/>
      <c r="AB66" s="30">
        <f>B_Uspjeha!AP89-B66</f>
        <v>0</v>
      </c>
      <c r="AC66" s="4"/>
      <c r="AD66" s="5090">
        <f>IF(AB66=0,0,"PAŽNJA! Provjerite AOP "&amp;A66&amp;" MSV - PROŠLU godinu, razlika = "&amp;TEXT(AB66,"#.##0,00 [$KM-141A]"))</f>
        <v>0</v>
      </c>
    </row>
    <row r="67" spans="1:30">
      <c r="A67" s="5108">
        <v>263</v>
      </c>
      <c r="B67" s="5113">
        <v>5172</v>
      </c>
      <c r="C67" s="5110"/>
      <c r="D67" s="5085"/>
      <c r="E67" s="5085"/>
      <c r="F67" s="5085"/>
      <c r="G67" s="5085"/>
      <c r="H67" s="5085"/>
      <c r="I67" s="5085"/>
      <c r="J67" s="5085"/>
      <c r="K67" s="5085"/>
      <c r="L67" s="5085"/>
      <c r="M67" s="5085"/>
      <c r="N67" s="5085"/>
      <c r="O67" s="5085"/>
      <c r="P67" s="5085"/>
      <c r="Q67" s="5085"/>
      <c r="R67" s="5085"/>
      <c r="S67" s="5085"/>
      <c r="T67" s="5085"/>
      <c r="U67" s="5085"/>
      <c r="V67" s="5085"/>
      <c r="W67" s="5085"/>
      <c r="X67" s="5085"/>
      <c r="Y67" s="5085"/>
      <c r="Z67" s="5102"/>
      <c r="AB67" s="5114">
        <f>B_Uspjeha!AP90-B67</f>
        <v>0</v>
      </c>
      <c r="AC67" s="4"/>
    </row>
    <row r="68" spans="1:30">
      <c r="A68" s="5108">
        <v>264</v>
      </c>
      <c r="B68" s="5113"/>
      <c r="C68" s="5110"/>
      <c r="D68" s="5085"/>
      <c r="E68" s="5085"/>
      <c r="F68" s="5085"/>
      <c r="G68" s="5085"/>
      <c r="H68" s="5085"/>
      <c r="I68" s="5085"/>
      <c r="J68" s="5085"/>
      <c r="K68" s="5085"/>
      <c r="L68" s="5085"/>
      <c r="M68" s="5085"/>
      <c r="N68" s="5085"/>
      <c r="O68" s="5085"/>
      <c r="P68" s="5085"/>
      <c r="Q68" s="5085"/>
      <c r="R68" s="5085"/>
      <c r="S68" s="5085"/>
      <c r="T68" s="5085"/>
      <c r="U68" s="5085"/>
      <c r="V68" s="5085"/>
      <c r="W68" s="5085"/>
      <c r="X68" s="5085"/>
      <c r="Y68" s="5085"/>
      <c r="Z68" s="5102"/>
      <c r="AB68" s="5114">
        <f>B_Uspjeha!AP91-B68</f>
        <v>0</v>
      </c>
      <c r="AC68" s="4"/>
    </row>
    <row r="69" spans="1:30">
      <c r="A69" s="5108">
        <v>265</v>
      </c>
      <c r="B69" s="5113"/>
      <c r="C69" s="5110"/>
      <c r="D69" s="5085"/>
      <c r="E69" s="5085"/>
      <c r="F69" s="5085"/>
      <c r="G69" s="5085"/>
      <c r="H69" s="5085"/>
      <c r="I69" s="5085"/>
      <c r="J69" s="5085"/>
      <c r="K69" s="5085"/>
      <c r="L69" s="5085"/>
      <c r="M69" s="5085"/>
      <c r="N69" s="5085"/>
      <c r="O69" s="5085"/>
      <c r="P69" s="5085"/>
      <c r="Q69" s="5085"/>
      <c r="R69" s="5085"/>
      <c r="S69" s="5085"/>
      <c r="T69" s="5085"/>
      <c r="U69" s="5085"/>
      <c r="V69" s="5085"/>
      <c r="W69" s="5085"/>
      <c r="X69" s="5085"/>
      <c r="Y69" s="5085"/>
      <c r="Z69" s="5102"/>
      <c r="AB69" s="5114">
        <f>B_Uspjeha!AP92-B69</f>
        <v>0</v>
      </c>
      <c r="AC69" s="4"/>
    </row>
    <row r="70" spans="1:30">
      <c r="A70" s="5108">
        <v>266</v>
      </c>
      <c r="B70" s="5113"/>
      <c r="C70" s="5110"/>
      <c r="D70" s="5085"/>
      <c r="E70" s="5085"/>
      <c r="F70" s="5085"/>
      <c r="G70" s="5085"/>
      <c r="H70" s="5085"/>
      <c r="I70" s="5085"/>
      <c r="J70" s="5085"/>
      <c r="K70" s="5085"/>
      <c r="L70" s="5085"/>
      <c r="M70" s="5085"/>
      <c r="N70" s="5085"/>
      <c r="O70" s="5085"/>
      <c r="P70" s="5085"/>
      <c r="Q70" s="5085"/>
      <c r="R70" s="5085"/>
      <c r="S70" s="5085"/>
      <c r="T70" s="5085"/>
      <c r="U70" s="5085"/>
      <c r="V70" s="5085"/>
      <c r="W70" s="5085"/>
      <c r="X70" s="5085"/>
      <c r="Y70" s="5085"/>
      <c r="Z70" s="5102"/>
      <c r="AB70" s="5114">
        <f>B_Uspjeha!AP93-B70</f>
        <v>0</v>
      </c>
      <c r="AC70" s="4"/>
    </row>
    <row r="71" spans="1:30">
      <c r="A71" s="5108">
        <v>267</v>
      </c>
      <c r="B71" s="5113"/>
      <c r="C71" s="5110"/>
      <c r="D71" s="5085"/>
      <c r="E71" s="5085"/>
      <c r="F71" s="5085"/>
      <c r="G71" s="5085"/>
      <c r="H71" s="5085"/>
      <c r="I71" s="5085"/>
      <c r="J71" s="5085"/>
      <c r="K71" s="5085"/>
      <c r="L71" s="5085"/>
      <c r="M71" s="5085"/>
      <c r="N71" s="5085"/>
      <c r="O71" s="5085"/>
      <c r="P71" s="5085"/>
      <c r="Q71" s="5085"/>
      <c r="R71" s="5085"/>
      <c r="S71" s="5085"/>
      <c r="T71" s="5085"/>
      <c r="U71" s="5085"/>
      <c r="V71" s="5085"/>
      <c r="W71" s="5085"/>
      <c r="X71" s="5085"/>
      <c r="Y71" s="5085"/>
      <c r="Z71" s="5102"/>
      <c r="AB71" s="5114">
        <f>B_Uspjeha!AP94-B71</f>
        <v>0</v>
      </c>
      <c r="AC71" s="4"/>
    </row>
    <row r="72" spans="1:30">
      <c r="A72" s="5108">
        <v>268</v>
      </c>
      <c r="B72" s="5113"/>
      <c r="C72" s="5110"/>
      <c r="D72" s="5085"/>
      <c r="E72" s="5085"/>
      <c r="F72" s="5085"/>
      <c r="G72" s="5085"/>
      <c r="H72" s="5085"/>
      <c r="I72" s="5085"/>
      <c r="J72" s="5085"/>
      <c r="K72" s="5085"/>
      <c r="L72" s="5085"/>
      <c r="M72" s="5085"/>
      <c r="N72" s="5085"/>
      <c r="O72" s="5085"/>
      <c r="P72" s="5085"/>
      <c r="Q72" s="5085"/>
      <c r="R72" s="5085"/>
      <c r="S72" s="5085"/>
      <c r="T72" s="5085"/>
      <c r="U72" s="5085"/>
      <c r="V72" s="5085"/>
      <c r="W72" s="5085"/>
      <c r="X72" s="5085"/>
      <c r="Y72" s="5085"/>
      <c r="Z72" s="5102"/>
      <c r="AB72" s="5114">
        <f>B_Uspjeha!AP95-B72</f>
        <v>0</v>
      </c>
      <c r="AC72" s="4"/>
    </row>
    <row r="73" spans="1:30">
      <c r="A73" s="5108">
        <v>269</v>
      </c>
      <c r="B73" s="5113">
        <v>51263</v>
      </c>
      <c r="C73" s="5110"/>
      <c r="D73" s="5085"/>
      <c r="E73" s="5085"/>
      <c r="F73" s="5085"/>
      <c r="G73" s="5085"/>
      <c r="H73" s="5085"/>
      <c r="I73" s="5085"/>
      <c r="J73" s="5085"/>
      <c r="K73" s="5085"/>
      <c r="L73" s="5085"/>
      <c r="M73" s="5085"/>
      <c r="N73" s="5085"/>
      <c r="O73" s="5085"/>
      <c r="P73" s="5085"/>
      <c r="Q73" s="5085"/>
      <c r="R73" s="5085"/>
      <c r="S73" s="5085"/>
      <c r="T73" s="5085"/>
      <c r="U73" s="5085"/>
      <c r="V73" s="5085"/>
      <c r="W73" s="5085"/>
      <c r="X73" s="5085"/>
      <c r="Y73" s="5085"/>
      <c r="Z73" s="5102"/>
      <c r="AB73" s="5114">
        <f>B_Uspjeha!AP96-B73</f>
        <v>0</v>
      </c>
      <c r="AC73" s="4"/>
    </row>
    <row r="74" spans="1:30">
      <c r="A74" s="5108">
        <v>270</v>
      </c>
      <c r="B74" s="5113">
        <v>19196</v>
      </c>
      <c r="C74" s="5110"/>
      <c r="D74" s="5085"/>
      <c r="E74" s="5085"/>
      <c r="F74" s="5085"/>
      <c r="G74" s="5085"/>
      <c r="H74" s="5085"/>
      <c r="I74" s="5085"/>
      <c r="J74" s="5085"/>
      <c r="K74" s="5085"/>
      <c r="L74" s="5085"/>
      <c r="M74" s="5085"/>
      <c r="N74" s="5085"/>
      <c r="O74" s="5085"/>
      <c r="P74" s="5085"/>
      <c r="Q74" s="5085"/>
      <c r="R74" s="5085"/>
      <c r="S74" s="5085"/>
      <c r="T74" s="5085"/>
      <c r="U74" s="5085"/>
      <c r="V74" s="5085"/>
      <c r="W74" s="5085"/>
      <c r="X74" s="5085"/>
      <c r="Y74" s="5085"/>
      <c r="Z74" s="5102"/>
      <c r="AB74" s="5114">
        <f>B_Uspjeha!AP97-B74</f>
        <v>0</v>
      </c>
      <c r="AC74" s="4"/>
    </row>
    <row r="75" ht="15" spans="1:30">
      <c r="A75" s="5108">
        <v>271</v>
      </c>
      <c r="B75" s="5109">
        <f>B_Uspjeha!AP98</f>
        <v>2474</v>
      </c>
      <c r="C75" s="5110"/>
      <c r="D75" s="5085"/>
      <c r="E75" s="5085"/>
      <c r="F75" s="5085"/>
      <c r="G75" s="5085"/>
      <c r="H75" s="5085"/>
      <c r="I75" s="5085"/>
      <c r="J75" s="5085"/>
      <c r="K75" s="5085"/>
      <c r="L75" s="5085"/>
      <c r="M75" s="5085"/>
      <c r="N75" s="5085"/>
      <c r="O75" s="5085"/>
      <c r="P75" s="5085"/>
      <c r="Q75" s="5085"/>
      <c r="R75" s="5085"/>
      <c r="S75" s="5085"/>
      <c r="T75" s="5085"/>
      <c r="U75" s="5085"/>
      <c r="V75" s="5085"/>
      <c r="W75" s="5085"/>
      <c r="X75" s="5085"/>
      <c r="Y75" s="5085"/>
      <c r="Z75" s="5102"/>
      <c r="AB75" s="30">
        <f>B_Uspjeha!AP98-B75</f>
        <v>0</v>
      </c>
      <c r="AC75" s="4"/>
      <c r="AD75" s="5090">
        <f>IF(AB75=0,0,"PAŽNJA! Provjerite AOP "&amp;A75&amp;" MSV - PROŠLU godinu, razlika = "&amp;TEXT(AB75,"#.##0,00 [$KM-141A]"))</f>
        <v>0</v>
      </c>
    </row>
    <row r="76" spans="1:30">
      <c r="A76" s="5108">
        <v>272</v>
      </c>
      <c r="B76" s="5113"/>
      <c r="C76" s="5110"/>
      <c r="D76" s="5085"/>
      <c r="E76" s="5085"/>
      <c r="F76" s="5085"/>
      <c r="G76" s="5085"/>
      <c r="H76" s="5085"/>
      <c r="I76" s="5085"/>
      <c r="J76" s="5085"/>
      <c r="K76" s="5085"/>
      <c r="L76" s="5085"/>
      <c r="M76" s="5085"/>
      <c r="N76" s="5085"/>
      <c r="O76" s="5085"/>
      <c r="P76" s="5085"/>
      <c r="Q76" s="5085"/>
      <c r="R76" s="5085"/>
      <c r="S76" s="5085"/>
      <c r="T76" s="5085"/>
      <c r="U76" s="5085"/>
      <c r="V76" s="5085"/>
      <c r="W76" s="5085"/>
      <c r="X76" s="5085"/>
      <c r="Y76" s="5085"/>
      <c r="Z76" s="5102"/>
      <c r="AB76" s="5114">
        <f>B_Uspjeha!AP99-B76</f>
        <v>0</v>
      </c>
      <c r="AC76" s="4"/>
    </row>
    <row r="77" spans="1:30">
      <c r="A77" s="5108">
        <v>273</v>
      </c>
      <c r="B77" s="5113"/>
      <c r="C77" s="5110"/>
      <c r="D77" s="5085"/>
      <c r="E77" s="5085"/>
      <c r="F77" s="5085"/>
      <c r="G77" s="5085"/>
      <c r="H77" s="5085"/>
      <c r="I77" s="5085"/>
      <c r="J77" s="5085"/>
      <c r="K77" s="5085"/>
      <c r="L77" s="5085"/>
      <c r="M77" s="5085"/>
      <c r="N77" s="5085"/>
      <c r="O77" s="5085"/>
      <c r="P77" s="5085"/>
      <c r="Q77" s="5085"/>
      <c r="R77" s="5085"/>
      <c r="S77" s="5085"/>
      <c r="T77" s="5085"/>
      <c r="U77" s="5085"/>
      <c r="V77" s="5085"/>
      <c r="W77" s="5085"/>
      <c r="X77" s="5085"/>
      <c r="Y77" s="5085"/>
      <c r="Z77" s="5102"/>
      <c r="AB77" s="5114">
        <f>B_Uspjeha!AP100-B77</f>
        <v>0</v>
      </c>
      <c r="AC77" s="4"/>
    </row>
    <row r="78" spans="1:30">
      <c r="A78" s="5108">
        <v>274</v>
      </c>
      <c r="B78" s="5113"/>
      <c r="C78" s="5110"/>
      <c r="D78" s="5085"/>
      <c r="E78" s="5085"/>
      <c r="F78" s="5085"/>
      <c r="G78" s="5085"/>
      <c r="H78" s="5085"/>
      <c r="I78" s="5085"/>
      <c r="J78" s="5085"/>
      <c r="K78" s="5085"/>
      <c r="L78" s="5085"/>
      <c r="M78" s="5085"/>
      <c r="N78" s="5085"/>
      <c r="O78" s="5085"/>
      <c r="P78" s="5085"/>
      <c r="Q78" s="5085"/>
      <c r="R78" s="5085"/>
      <c r="S78" s="5085"/>
      <c r="T78" s="5085"/>
      <c r="U78" s="5085"/>
      <c r="V78" s="5085"/>
      <c r="W78" s="5085"/>
      <c r="X78" s="5085"/>
      <c r="Y78" s="5085"/>
      <c r="Z78" s="5102"/>
      <c r="AB78" s="5114">
        <f>B_Uspjeha!AP101-B78</f>
        <v>0</v>
      </c>
      <c r="AC78" s="4"/>
    </row>
    <row r="79" spans="1:30">
      <c r="A79" s="5108">
        <v>275</v>
      </c>
      <c r="B79" s="5113"/>
      <c r="C79" s="5110"/>
      <c r="D79" s="5085"/>
      <c r="E79" s="5085"/>
      <c r="F79" s="5085"/>
      <c r="G79" s="5085"/>
      <c r="H79" s="5085"/>
      <c r="I79" s="5085"/>
      <c r="J79" s="5085"/>
      <c r="K79" s="5085"/>
      <c r="L79" s="5085"/>
      <c r="M79" s="5085"/>
      <c r="N79" s="5085"/>
      <c r="O79" s="5085"/>
      <c r="P79" s="5085"/>
      <c r="Q79" s="5085"/>
      <c r="R79" s="5085"/>
      <c r="S79" s="5085"/>
      <c r="T79" s="5085"/>
      <c r="U79" s="5085"/>
      <c r="V79" s="5085"/>
      <c r="W79" s="5085"/>
      <c r="X79" s="5085"/>
      <c r="Y79" s="5085"/>
      <c r="Z79" s="5102"/>
      <c r="AB79" s="5114">
        <f>B_Uspjeha!AP102-B79</f>
        <v>0</v>
      </c>
      <c r="AC79" s="4"/>
    </row>
    <row r="80" spans="1:30">
      <c r="A80" s="5108">
        <v>276</v>
      </c>
      <c r="B80" s="5113"/>
      <c r="C80" s="5110"/>
      <c r="D80" s="5085"/>
      <c r="E80" s="5085"/>
      <c r="F80" s="5085"/>
      <c r="G80" s="5085"/>
      <c r="H80" s="5085"/>
      <c r="I80" s="5085"/>
      <c r="J80" s="5085"/>
      <c r="K80" s="5085"/>
      <c r="L80" s="5085"/>
      <c r="M80" s="5085"/>
      <c r="N80" s="5085"/>
      <c r="O80" s="5085"/>
      <c r="P80" s="5085"/>
      <c r="Q80" s="5085"/>
      <c r="R80" s="5085"/>
      <c r="S80" s="5085"/>
      <c r="T80" s="5085"/>
      <c r="U80" s="5085"/>
      <c r="V80" s="5085"/>
      <c r="W80" s="5085"/>
      <c r="X80" s="5085"/>
      <c r="Y80" s="5085"/>
      <c r="Z80" s="5102"/>
      <c r="AB80" s="5114">
        <f>B_Uspjeha!AP103-B80</f>
        <v>0</v>
      </c>
      <c r="AC80" s="4"/>
    </row>
    <row r="81" spans="1:30">
      <c r="A81" s="5108">
        <v>277</v>
      </c>
      <c r="B81" s="5113"/>
      <c r="C81" s="5110"/>
      <c r="D81" s="5085"/>
      <c r="E81" s="5085"/>
      <c r="F81" s="5085"/>
      <c r="G81" s="5085"/>
      <c r="H81" s="5085"/>
      <c r="I81" s="5085"/>
      <c r="J81" s="5085"/>
      <c r="K81" s="5085"/>
      <c r="L81" s="5085"/>
      <c r="M81" s="5085"/>
      <c r="N81" s="5085"/>
      <c r="O81" s="5085"/>
      <c r="P81" s="5085"/>
      <c r="Q81" s="5085"/>
      <c r="R81" s="5085"/>
      <c r="S81" s="5085"/>
      <c r="T81" s="5085"/>
      <c r="U81" s="5085"/>
      <c r="V81" s="5085"/>
      <c r="W81" s="5085"/>
      <c r="X81" s="5085"/>
      <c r="Y81" s="5085"/>
      <c r="Z81" s="5102"/>
      <c r="AB81" s="5114">
        <f>B_Uspjeha!AP104-B81</f>
        <v>0</v>
      </c>
      <c r="AC81" s="4"/>
    </row>
    <row r="82" spans="1:30">
      <c r="A82" s="5108">
        <v>278</v>
      </c>
      <c r="B82" s="5113"/>
      <c r="C82" s="5110"/>
      <c r="D82" s="5085"/>
      <c r="E82" s="5085"/>
      <c r="F82" s="5085"/>
      <c r="G82" s="5085"/>
      <c r="H82" s="5085"/>
      <c r="I82" s="5085"/>
      <c r="J82" s="5085"/>
      <c r="K82" s="5085"/>
      <c r="L82" s="5085"/>
      <c r="M82" s="5085"/>
      <c r="N82" s="5085"/>
      <c r="O82" s="5085"/>
      <c r="P82" s="5085"/>
      <c r="Q82" s="5085"/>
      <c r="R82" s="5085"/>
      <c r="S82" s="5085"/>
      <c r="T82" s="5085"/>
      <c r="U82" s="5085"/>
      <c r="V82" s="5085"/>
      <c r="W82" s="5085"/>
      <c r="X82" s="5085"/>
      <c r="Y82" s="5085"/>
      <c r="Z82" s="5102"/>
      <c r="AB82" s="5114">
        <f>B_Uspjeha!AP105-B82</f>
        <v>0</v>
      </c>
      <c r="AC82" s="4"/>
    </row>
    <row r="83" spans="1:30">
      <c r="A83" s="5108">
        <v>279</v>
      </c>
      <c r="B83" s="5113"/>
      <c r="C83" s="5110"/>
      <c r="D83" s="5085"/>
      <c r="E83" s="5085"/>
      <c r="F83" s="5085"/>
      <c r="G83" s="5085"/>
      <c r="H83" s="5085"/>
      <c r="I83" s="5085"/>
      <c r="J83" s="5085"/>
      <c r="K83" s="5085"/>
      <c r="L83" s="5085"/>
      <c r="M83" s="5085"/>
      <c r="N83" s="5085"/>
      <c r="O83" s="5085"/>
      <c r="P83" s="5085"/>
      <c r="Q83" s="5085"/>
      <c r="R83" s="5085"/>
      <c r="S83" s="5085"/>
      <c r="T83" s="5085"/>
      <c r="U83" s="5085"/>
      <c r="V83" s="5085"/>
      <c r="W83" s="5085"/>
      <c r="X83" s="5085"/>
      <c r="Y83" s="5085"/>
      <c r="Z83" s="5102"/>
      <c r="AB83" s="5114">
        <f>B_Uspjeha!AP106-B83</f>
        <v>0</v>
      </c>
      <c r="AC83" s="4"/>
    </row>
    <row r="84" spans="1:30">
      <c r="A84" s="5108">
        <v>280</v>
      </c>
      <c r="B84" s="5113"/>
      <c r="C84" s="5110"/>
      <c r="D84" s="5085"/>
      <c r="E84" s="5085"/>
      <c r="F84" s="5085"/>
      <c r="G84" s="5085"/>
      <c r="H84" s="5085"/>
      <c r="I84" s="5085"/>
      <c r="J84" s="5085"/>
      <c r="K84" s="5085"/>
      <c r="L84" s="5085"/>
      <c r="M84" s="5085"/>
      <c r="N84" s="5085"/>
      <c r="O84" s="5085"/>
      <c r="P84" s="5085"/>
      <c r="Q84" s="5085"/>
      <c r="R84" s="5085"/>
      <c r="S84" s="5085"/>
      <c r="T84" s="5085"/>
      <c r="U84" s="5085"/>
      <c r="V84" s="5085"/>
      <c r="W84" s="5085"/>
      <c r="X84" s="5085"/>
      <c r="Y84" s="5085"/>
      <c r="Z84" s="5102"/>
      <c r="AB84" s="5114">
        <f>B_Uspjeha!AP107-B84</f>
        <v>0</v>
      </c>
      <c r="AC84" s="4"/>
    </row>
    <row r="85" spans="1:30">
      <c r="A85" s="5108">
        <v>281</v>
      </c>
      <c r="B85" s="5113"/>
      <c r="C85" s="5110"/>
      <c r="D85" s="5085"/>
      <c r="E85" s="5085"/>
      <c r="F85" s="5085"/>
      <c r="G85" s="5085"/>
      <c r="H85" s="5085"/>
      <c r="I85" s="5085"/>
      <c r="J85" s="5085"/>
      <c r="K85" s="5085"/>
      <c r="L85" s="5085"/>
      <c r="M85" s="5085"/>
      <c r="N85" s="5085"/>
      <c r="O85" s="5085"/>
      <c r="P85" s="5085"/>
      <c r="Q85" s="5085"/>
      <c r="R85" s="5085"/>
      <c r="S85" s="5085"/>
      <c r="T85" s="5085"/>
      <c r="U85" s="5085"/>
      <c r="V85" s="5085"/>
      <c r="W85" s="5085"/>
      <c r="X85" s="5085"/>
      <c r="Y85" s="5085"/>
      <c r="Z85" s="5102"/>
      <c r="AB85" s="5114">
        <f>B_Uspjeha!AP108-B85</f>
        <v>0</v>
      </c>
      <c r="AC85" s="4"/>
    </row>
    <row r="86" spans="1:30">
      <c r="A86" s="5108">
        <v>282</v>
      </c>
      <c r="B86" s="5113"/>
      <c r="C86" s="5110"/>
      <c r="D86" s="5085"/>
      <c r="E86" s="5085"/>
      <c r="F86" s="5085"/>
      <c r="G86" s="5085"/>
      <c r="H86" s="5085"/>
      <c r="I86" s="5085"/>
      <c r="J86" s="5085"/>
      <c r="K86" s="5085"/>
      <c r="L86" s="5085"/>
      <c r="M86" s="5085"/>
      <c r="N86" s="5085"/>
      <c r="O86" s="5085"/>
      <c r="P86" s="5085"/>
      <c r="Q86" s="5085"/>
      <c r="R86" s="5085"/>
      <c r="S86" s="5085"/>
      <c r="T86" s="5085"/>
      <c r="U86" s="5085"/>
      <c r="V86" s="5085"/>
      <c r="W86" s="5085"/>
      <c r="X86" s="5085"/>
      <c r="Y86" s="5085"/>
      <c r="Z86" s="5102"/>
      <c r="AB86" s="5114">
        <f>B_Uspjeha!AP109-B86</f>
        <v>0</v>
      </c>
      <c r="AC86" s="4"/>
    </row>
    <row r="87" spans="1:30">
      <c r="A87" s="5108">
        <v>283</v>
      </c>
      <c r="B87" s="5113"/>
      <c r="C87" s="5110"/>
      <c r="D87" s="5085"/>
      <c r="E87" s="5085"/>
      <c r="F87" s="5085"/>
      <c r="G87" s="5085"/>
      <c r="H87" s="5085"/>
      <c r="I87" s="5085"/>
      <c r="J87" s="5085"/>
      <c r="K87" s="5085"/>
      <c r="L87" s="5085"/>
      <c r="M87" s="5085"/>
      <c r="N87" s="5085"/>
      <c r="O87" s="5085"/>
      <c r="P87" s="5085"/>
      <c r="Q87" s="5085"/>
      <c r="R87" s="5085"/>
      <c r="S87" s="5085"/>
      <c r="T87" s="5085"/>
      <c r="U87" s="5085"/>
      <c r="V87" s="5085"/>
      <c r="W87" s="5085"/>
      <c r="X87" s="5085"/>
      <c r="Y87" s="5085"/>
      <c r="Z87" s="5102"/>
      <c r="AB87" s="5114">
        <f>B_Uspjeha!AP110-B87</f>
        <v>0</v>
      </c>
      <c r="AC87" s="4"/>
    </row>
    <row r="88" spans="1:30">
      <c r="A88" s="5108">
        <v>284</v>
      </c>
      <c r="B88" s="5113"/>
      <c r="C88" s="5110"/>
      <c r="D88" s="5085"/>
      <c r="E88" s="5085"/>
      <c r="F88" s="5085"/>
      <c r="G88" s="5085"/>
      <c r="H88" s="5085"/>
      <c r="I88" s="5085"/>
      <c r="J88" s="5085"/>
      <c r="K88" s="5085"/>
      <c r="L88" s="5085"/>
      <c r="M88" s="5085"/>
      <c r="N88" s="5085"/>
      <c r="O88" s="5085"/>
      <c r="P88" s="5085"/>
      <c r="Q88" s="5085"/>
      <c r="R88" s="5085"/>
      <c r="S88" s="5085"/>
      <c r="T88" s="5085"/>
      <c r="U88" s="5085"/>
      <c r="V88" s="5085"/>
      <c r="W88" s="5085"/>
      <c r="X88" s="5085"/>
      <c r="Y88" s="5085"/>
      <c r="Z88" s="5102"/>
      <c r="AB88" s="5114">
        <f>B_Uspjeha!AP111-B88</f>
        <v>0</v>
      </c>
      <c r="AC88" s="4"/>
    </row>
    <row r="89" spans="1:30">
      <c r="A89" s="5108">
        <v>285</v>
      </c>
      <c r="B89" s="5113"/>
      <c r="C89" s="5110"/>
      <c r="D89" s="5085"/>
      <c r="E89" s="5085"/>
      <c r="F89" s="5085"/>
      <c r="G89" s="5085"/>
      <c r="H89" s="5085"/>
      <c r="I89" s="5085"/>
      <c r="J89" s="5085"/>
      <c r="K89" s="5085"/>
      <c r="L89" s="5085"/>
      <c r="M89" s="5085"/>
      <c r="N89" s="5085"/>
      <c r="O89" s="5085"/>
      <c r="P89" s="5085"/>
      <c r="Q89" s="5085"/>
      <c r="R89" s="5085"/>
      <c r="S89" s="5085"/>
      <c r="T89" s="5085"/>
      <c r="U89" s="5085"/>
      <c r="V89" s="5085"/>
      <c r="W89" s="5085"/>
      <c r="X89" s="5085"/>
      <c r="Y89" s="5085"/>
      <c r="Z89" s="5102"/>
      <c r="AB89" s="5114">
        <f>B_Uspjeha!AP112-B89</f>
        <v>0</v>
      </c>
      <c r="AC89" s="4"/>
    </row>
    <row r="90" spans="1:30">
      <c r="A90" s="5108">
        <v>286</v>
      </c>
      <c r="B90" s="5113"/>
      <c r="C90" s="5110"/>
      <c r="D90" s="5085"/>
      <c r="E90" s="5085"/>
      <c r="F90" s="5085"/>
      <c r="G90" s="5085"/>
      <c r="H90" s="5085"/>
      <c r="I90" s="5085"/>
      <c r="J90" s="5085"/>
      <c r="K90" s="5085"/>
      <c r="L90" s="5085"/>
      <c r="M90" s="5085"/>
      <c r="N90" s="5085"/>
      <c r="O90" s="5085"/>
      <c r="P90" s="5085"/>
      <c r="Q90" s="5085"/>
      <c r="R90" s="5085"/>
      <c r="S90" s="5085"/>
      <c r="T90" s="5085"/>
      <c r="U90" s="5085"/>
      <c r="V90" s="5085"/>
      <c r="W90" s="5085"/>
      <c r="X90" s="5085"/>
      <c r="Y90" s="5085"/>
      <c r="Z90" s="5102"/>
      <c r="AB90" s="5114">
        <f>B_Uspjeha!AP113-B90</f>
        <v>0</v>
      </c>
      <c r="AC90" s="4"/>
    </row>
    <row r="91" ht="15" spans="1:30">
      <c r="A91" s="5108">
        <v>287</v>
      </c>
      <c r="B91" s="5109">
        <f>B_Uspjeha!AP118</f>
        <v>0</v>
      </c>
      <c r="C91" s="5110"/>
      <c r="D91" s="5085"/>
      <c r="E91" s="5085"/>
      <c r="F91" s="5085"/>
      <c r="G91" s="5085"/>
      <c r="H91" s="5085"/>
      <c r="I91" s="5085"/>
      <c r="J91" s="5085"/>
      <c r="K91" s="5085"/>
      <c r="L91" s="5085"/>
      <c r="M91" s="5085"/>
      <c r="N91" s="5085"/>
      <c r="O91" s="5085"/>
      <c r="P91" s="5085"/>
      <c r="Q91" s="5085"/>
      <c r="R91" s="5085"/>
      <c r="S91" s="5085"/>
      <c r="T91" s="5085"/>
      <c r="U91" s="5085"/>
      <c r="V91" s="5085"/>
      <c r="W91" s="5085"/>
      <c r="X91" s="5085"/>
      <c r="Y91" s="5085"/>
      <c r="Z91" s="5102"/>
      <c r="AB91" s="30">
        <f>B_Uspjeha!AP118-B91</f>
        <v>0</v>
      </c>
      <c r="AC91" s="4"/>
      <c r="AD91" s="5090">
        <f>IF(AB91=0,0,"PAŽNJA! Provjerite AOP "&amp;A91&amp;" MSV - PROŠLU godinu, razlika = "&amp;TEXT(AB91,"#.##0,00 [$KM-141A]"))</f>
        <v>0</v>
      </c>
    </row>
    <row r="92" spans="1:30">
      <c r="A92" s="5108">
        <v>288</v>
      </c>
      <c r="B92" s="5113"/>
      <c r="C92" s="5110"/>
      <c r="D92" s="5085"/>
      <c r="E92" s="5085"/>
      <c r="F92" s="5085"/>
      <c r="G92" s="5085"/>
      <c r="H92" s="5085"/>
      <c r="I92" s="5085"/>
      <c r="J92" s="5085"/>
      <c r="K92" s="5085"/>
      <c r="L92" s="5085"/>
      <c r="M92" s="5085"/>
      <c r="N92" s="5085"/>
      <c r="O92" s="5085"/>
      <c r="P92" s="5085"/>
      <c r="Q92" s="5085"/>
      <c r="R92" s="5085"/>
      <c r="S92" s="5085"/>
      <c r="T92" s="5085"/>
      <c r="U92" s="5085"/>
      <c r="V92" s="5085"/>
      <c r="W92" s="5085"/>
      <c r="X92" s="5085"/>
      <c r="Y92" s="5085"/>
      <c r="Z92" s="5102"/>
      <c r="AB92" s="5114">
        <f>B_Uspjeha!AP119-B92</f>
        <v>0</v>
      </c>
      <c r="AC92" s="4"/>
    </row>
    <row r="93" spans="1:30">
      <c r="A93" s="5108">
        <v>289</v>
      </c>
      <c r="B93" s="5113"/>
      <c r="C93" s="5110"/>
      <c r="D93" s="5085"/>
      <c r="E93" s="5085"/>
      <c r="F93" s="5085"/>
      <c r="G93" s="5085"/>
      <c r="H93" s="5085"/>
      <c r="I93" s="5085"/>
      <c r="J93" s="5085"/>
      <c r="K93" s="5085"/>
      <c r="L93" s="5085"/>
      <c r="M93" s="5085"/>
      <c r="N93" s="5085"/>
      <c r="O93" s="5085"/>
      <c r="P93" s="5085"/>
      <c r="Q93" s="5085"/>
      <c r="R93" s="5085"/>
      <c r="S93" s="5085"/>
      <c r="T93" s="5085"/>
      <c r="U93" s="5085"/>
      <c r="V93" s="5085"/>
      <c r="W93" s="5085"/>
      <c r="X93" s="5085"/>
      <c r="Y93" s="5085"/>
      <c r="Z93" s="5102"/>
      <c r="AB93" s="5114">
        <f>B_Uspjeha!AP120-B93</f>
        <v>0</v>
      </c>
      <c r="AC93" s="4"/>
    </row>
    <row r="94" spans="1:30">
      <c r="A94" s="5108">
        <v>290</v>
      </c>
      <c r="B94" s="5113"/>
      <c r="C94" s="5110"/>
      <c r="D94" s="5085"/>
      <c r="E94" s="5085"/>
      <c r="F94" s="5085"/>
      <c r="G94" s="5085"/>
      <c r="H94" s="5085"/>
      <c r="I94" s="5085"/>
      <c r="J94" s="5085"/>
      <c r="K94" s="5085"/>
      <c r="L94" s="5085"/>
      <c r="M94" s="5085"/>
      <c r="N94" s="5085"/>
      <c r="O94" s="5085"/>
      <c r="P94" s="5085"/>
      <c r="Q94" s="5085"/>
      <c r="R94" s="5085"/>
      <c r="S94" s="5085"/>
      <c r="T94" s="5085"/>
      <c r="U94" s="5085"/>
      <c r="V94" s="5085"/>
      <c r="W94" s="5085"/>
      <c r="X94" s="5085"/>
      <c r="Y94" s="5085"/>
      <c r="Z94" s="5102"/>
      <c r="AB94" s="5114">
        <f>B_Uspjeha!AP121-B94</f>
        <v>0</v>
      </c>
      <c r="AC94" s="4"/>
    </row>
    <row r="95" spans="1:30">
      <c r="A95" s="5108">
        <v>291</v>
      </c>
      <c r="B95" s="5113"/>
      <c r="C95" s="5110"/>
      <c r="D95" s="5085"/>
      <c r="E95" s="5085"/>
      <c r="F95" s="5085"/>
      <c r="G95" s="5085"/>
      <c r="H95" s="5085"/>
      <c r="I95" s="5085"/>
      <c r="J95" s="5085"/>
      <c r="K95" s="5085"/>
      <c r="L95" s="5085"/>
      <c r="M95" s="5085"/>
      <c r="N95" s="5085"/>
      <c r="O95" s="5085"/>
      <c r="P95" s="5085"/>
      <c r="Q95" s="5085"/>
      <c r="R95" s="5085"/>
      <c r="S95" s="5085"/>
      <c r="T95" s="5085"/>
      <c r="U95" s="5085"/>
      <c r="V95" s="5085"/>
      <c r="W95" s="5085"/>
      <c r="X95" s="5085"/>
      <c r="Y95" s="5085"/>
      <c r="Z95" s="5102"/>
      <c r="AB95" s="5114">
        <f>B_Uspjeha!AP122-B95</f>
        <v>0</v>
      </c>
      <c r="AC95" s="4"/>
    </row>
    <row r="96" spans="1:30">
      <c r="A96" s="5108">
        <v>292</v>
      </c>
      <c r="B96" s="5113"/>
      <c r="C96" s="5110"/>
      <c r="D96" s="5085"/>
      <c r="E96" s="5085"/>
      <c r="F96" s="5085"/>
      <c r="G96" s="5085"/>
      <c r="H96" s="5085"/>
      <c r="I96" s="5085"/>
      <c r="J96" s="5085"/>
      <c r="K96" s="5085"/>
      <c r="L96" s="5085"/>
      <c r="M96" s="5085"/>
      <c r="N96" s="5085"/>
      <c r="O96" s="5085"/>
      <c r="P96" s="5085"/>
      <c r="Q96" s="5085"/>
      <c r="R96" s="5085"/>
      <c r="S96" s="5085"/>
      <c r="T96" s="5085"/>
      <c r="U96" s="5085"/>
      <c r="V96" s="5085"/>
      <c r="W96" s="5085"/>
      <c r="X96" s="5085"/>
      <c r="Y96" s="5085"/>
      <c r="Z96" s="5102"/>
      <c r="AB96" s="5114">
        <f>B_Uspjeha!AP123-B96</f>
        <v>0</v>
      </c>
      <c r="AC96" s="4"/>
    </row>
    <row r="97" spans="1:30">
      <c r="A97" s="5108">
        <v>293</v>
      </c>
      <c r="B97" s="5113"/>
      <c r="C97" s="5110"/>
      <c r="D97" s="5085"/>
      <c r="E97" s="5085"/>
      <c r="F97" s="5085"/>
      <c r="G97" s="5085"/>
      <c r="H97" s="5085"/>
      <c r="I97" s="5085"/>
      <c r="J97" s="5085"/>
      <c r="K97" s="5085"/>
      <c r="L97" s="5085"/>
      <c r="M97" s="5085"/>
      <c r="N97" s="5085"/>
      <c r="O97" s="5085"/>
      <c r="P97" s="5085"/>
      <c r="Q97" s="5085"/>
      <c r="R97" s="5085"/>
      <c r="S97" s="5085"/>
      <c r="T97" s="5085"/>
      <c r="U97" s="5085"/>
      <c r="V97" s="5085"/>
      <c r="W97" s="5085"/>
      <c r="X97" s="5085"/>
      <c r="Y97" s="5085"/>
      <c r="Z97" s="5102"/>
      <c r="AB97" s="5114">
        <f>B_Uspjeha!AP124-B97</f>
        <v>0</v>
      </c>
      <c r="AC97" s="4"/>
    </row>
    <row r="98" spans="1:30">
      <c r="A98" s="5108">
        <v>294</v>
      </c>
      <c r="B98" s="5113"/>
      <c r="C98" s="5110"/>
      <c r="D98" s="5085"/>
      <c r="E98" s="5085"/>
      <c r="F98" s="5085"/>
      <c r="G98" s="5085"/>
      <c r="H98" s="5085"/>
      <c r="I98" s="5085"/>
      <c r="J98" s="5085"/>
      <c r="K98" s="5085"/>
      <c r="L98" s="5085"/>
      <c r="M98" s="5085"/>
      <c r="N98" s="5085"/>
      <c r="O98" s="5085"/>
      <c r="P98" s="5085"/>
      <c r="Q98" s="5085"/>
      <c r="R98" s="5085"/>
      <c r="S98" s="5085"/>
      <c r="T98" s="5085"/>
      <c r="U98" s="5085"/>
      <c r="V98" s="5085"/>
      <c r="W98" s="5085"/>
      <c r="X98" s="5085"/>
      <c r="Y98" s="5085"/>
      <c r="Z98" s="5102"/>
      <c r="AB98" s="5114">
        <f>B_Uspjeha!AP125-B98</f>
        <v>0</v>
      </c>
      <c r="AC98" s="4"/>
    </row>
    <row r="99" spans="1:30">
      <c r="A99" s="5108">
        <v>295</v>
      </c>
      <c r="B99" s="5113"/>
      <c r="C99" s="5110"/>
      <c r="D99" s="5085"/>
      <c r="E99" s="5085"/>
      <c r="F99" s="5085"/>
      <c r="G99" s="5085"/>
      <c r="H99" s="5085"/>
      <c r="I99" s="5085"/>
      <c r="J99" s="5085"/>
      <c r="K99" s="5085"/>
      <c r="L99" s="5085"/>
      <c r="M99" s="5085"/>
      <c r="N99" s="5085"/>
      <c r="O99" s="5085"/>
      <c r="P99" s="5085"/>
      <c r="Q99" s="5085"/>
      <c r="R99" s="5085"/>
      <c r="S99" s="5085"/>
      <c r="T99" s="5085"/>
      <c r="U99" s="5085"/>
      <c r="V99" s="5085"/>
      <c r="W99" s="5085"/>
      <c r="X99" s="5085"/>
      <c r="Y99" s="5085"/>
      <c r="Z99" s="5102"/>
      <c r="AB99" s="5114">
        <f>B_Uspjeha!AP126-B99</f>
        <v>0</v>
      </c>
      <c r="AC99" s="4"/>
    </row>
    <row r="100" spans="1:30">
      <c r="A100" s="5108">
        <v>296</v>
      </c>
      <c r="B100" s="5113"/>
      <c r="C100" s="5110"/>
      <c r="D100" s="5085"/>
      <c r="E100" s="5085"/>
      <c r="F100" s="5085"/>
      <c r="G100" s="5085"/>
      <c r="H100" s="5085"/>
      <c r="I100" s="5085"/>
      <c r="J100" s="5085"/>
      <c r="K100" s="5085"/>
      <c r="L100" s="5085"/>
      <c r="M100" s="5085"/>
      <c r="N100" s="5085"/>
      <c r="O100" s="5085"/>
      <c r="P100" s="5085"/>
      <c r="Q100" s="5085"/>
      <c r="R100" s="5085"/>
      <c r="S100" s="5085"/>
      <c r="T100" s="5085"/>
      <c r="U100" s="5085"/>
      <c r="V100" s="5085"/>
      <c r="W100" s="5085"/>
      <c r="X100" s="5085"/>
      <c r="Y100" s="5085"/>
      <c r="Z100" s="5102"/>
      <c r="AB100" s="5114">
        <f>B_Uspjeha!AP127-B100</f>
        <v>0</v>
      </c>
      <c r="AC100" s="4"/>
    </row>
    <row r="101" spans="1:30">
      <c r="A101" s="5108">
        <v>297</v>
      </c>
      <c r="B101" s="5113"/>
      <c r="C101" s="5110"/>
      <c r="D101" s="5085"/>
      <c r="E101" s="5085"/>
      <c r="F101" s="5085"/>
      <c r="G101" s="5085"/>
      <c r="H101" s="5085"/>
      <c r="I101" s="5085"/>
      <c r="J101" s="5085"/>
      <c r="K101" s="5085"/>
      <c r="L101" s="5085"/>
      <c r="M101" s="5085"/>
      <c r="N101" s="5085"/>
      <c r="O101" s="5085"/>
      <c r="P101" s="5085"/>
      <c r="Q101" s="5085"/>
      <c r="R101" s="5085"/>
      <c r="S101" s="5085"/>
      <c r="T101" s="5085"/>
      <c r="U101" s="5085"/>
      <c r="V101" s="5085"/>
      <c r="W101" s="5085"/>
      <c r="X101" s="5085"/>
      <c r="Y101" s="5085"/>
      <c r="Z101" s="5102"/>
      <c r="AB101" s="5114">
        <f>B_Uspjeha!AP128-B101</f>
        <v>0</v>
      </c>
      <c r="AC101" s="4"/>
    </row>
    <row r="102" spans="1:30">
      <c r="A102" s="5108">
        <v>298</v>
      </c>
      <c r="B102" s="5113"/>
      <c r="C102" s="5110"/>
      <c r="D102" s="5085"/>
      <c r="E102" s="5085"/>
      <c r="F102" s="5085"/>
      <c r="G102" s="5085"/>
      <c r="H102" s="5085"/>
      <c r="I102" s="5085"/>
      <c r="J102" s="5085"/>
      <c r="K102" s="5085"/>
      <c r="L102" s="5085"/>
      <c r="M102" s="5085"/>
      <c r="N102" s="5085"/>
      <c r="O102" s="5085"/>
      <c r="P102" s="5085"/>
      <c r="Q102" s="5085"/>
      <c r="R102" s="5085"/>
      <c r="S102" s="5085"/>
      <c r="T102" s="5085"/>
      <c r="U102" s="5085"/>
      <c r="V102" s="5085"/>
      <c r="W102" s="5085"/>
      <c r="X102" s="5085"/>
      <c r="Y102" s="5085"/>
      <c r="Z102" s="5102"/>
      <c r="AB102" s="5114">
        <f>B_Uspjeha!AP129-B102</f>
        <v>0</v>
      </c>
      <c r="AC102" s="4"/>
    </row>
    <row r="103" spans="1:30">
      <c r="A103" s="5108">
        <v>299</v>
      </c>
      <c r="B103" s="5113"/>
      <c r="C103" s="5110"/>
      <c r="D103" s="5085"/>
      <c r="E103" s="5085"/>
      <c r="F103" s="5085"/>
      <c r="G103" s="5085"/>
      <c r="H103" s="5085"/>
      <c r="I103" s="5085"/>
      <c r="J103" s="5085"/>
      <c r="K103" s="5085"/>
      <c r="L103" s="5085"/>
      <c r="M103" s="5085"/>
      <c r="N103" s="5085"/>
      <c r="O103" s="5085"/>
      <c r="P103" s="5085"/>
      <c r="Q103" s="5085"/>
      <c r="R103" s="5085"/>
      <c r="S103" s="5085"/>
      <c r="T103" s="5085"/>
      <c r="U103" s="5085"/>
      <c r="V103" s="5085"/>
      <c r="W103" s="5085"/>
      <c r="X103" s="5085"/>
      <c r="Y103" s="5085"/>
      <c r="Z103" s="5102"/>
      <c r="AB103" s="5114">
        <f>B_Uspjeha!AP130-B103</f>
        <v>0</v>
      </c>
      <c r="AC103" s="4"/>
    </row>
    <row r="104" spans="1:30">
      <c r="A104" s="5108">
        <v>300</v>
      </c>
      <c r="B104" s="5113"/>
      <c r="C104" s="5110"/>
      <c r="D104" s="5085"/>
      <c r="E104" s="5085"/>
      <c r="F104" s="5085"/>
      <c r="G104" s="5085"/>
      <c r="H104" s="5085"/>
      <c r="I104" s="5085"/>
      <c r="J104" s="5085"/>
      <c r="K104" s="5085"/>
      <c r="L104" s="5085"/>
      <c r="M104" s="5085"/>
      <c r="N104" s="5085"/>
      <c r="O104" s="5085"/>
      <c r="P104" s="5085"/>
      <c r="Q104" s="5085"/>
      <c r="R104" s="5085"/>
      <c r="S104" s="5085"/>
      <c r="T104" s="5085"/>
      <c r="U104" s="5085"/>
      <c r="V104" s="5085"/>
      <c r="W104" s="5085"/>
      <c r="X104" s="5085"/>
      <c r="Y104" s="5085"/>
      <c r="Z104" s="5102"/>
      <c r="AB104" s="5114">
        <f>B_Uspjeha!AP131-B104</f>
        <v>0</v>
      </c>
      <c r="AC104" s="4"/>
    </row>
    <row r="105" spans="1:30">
      <c r="A105" s="5108">
        <v>301</v>
      </c>
      <c r="B105" s="5113"/>
      <c r="C105" s="5110"/>
      <c r="D105" s="5085"/>
      <c r="E105" s="5085"/>
      <c r="F105" s="5085"/>
      <c r="G105" s="5085"/>
      <c r="H105" s="5085"/>
      <c r="I105" s="5085"/>
      <c r="J105" s="5085"/>
      <c r="K105" s="5085"/>
      <c r="L105" s="5085"/>
      <c r="M105" s="5085"/>
      <c r="N105" s="5085"/>
      <c r="O105" s="5085"/>
      <c r="P105" s="5085"/>
      <c r="Q105" s="5085"/>
      <c r="R105" s="5085"/>
      <c r="S105" s="5085"/>
      <c r="T105" s="5085"/>
      <c r="U105" s="5085"/>
      <c r="V105" s="5085"/>
      <c r="W105" s="5085"/>
      <c r="X105" s="5085"/>
      <c r="Y105" s="5085"/>
      <c r="Z105" s="5102"/>
      <c r="AB105" s="5114">
        <f>B_Uspjeha!AP132-B105</f>
        <v>0</v>
      </c>
      <c r="AC105" s="4"/>
    </row>
    <row r="106" spans="1:30">
      <c r="A106" s="5108">
        <v>302</v>
      </c>
      <c r="B106" s="5113"/>
      <c r="C106" s="5110"/>
      <c r="D106" s="5085"/>
      <c r="E106" s="5085"/>
      <c r="F106" s="5085"/>
      <c r="G106" s="5085"/>
      <c r="H106" s="5085"/>
      <c r="I106" s="5085"/>
      <c r="J106" s="5085"/>
      <c r="K106" s="5085"/>
      <c r="L106" s="5085"/>
      <c r="M106" s="5085"/>
      <c r="N106" s="5085"/>
      <c r="O106" s="5085"/>
      <c r="P106" s="5085"/>
      <c r="Q106" s="5085"/>
      <c r="R106" s="5085"/>
      <c r="S106" s="5085"/>
      <c r="T106" s="5085"/>
      <c r="U106" s="5085"/>
      <c r="V106" s="5085"/>
      <c r="W106" s="5085"/>
      <c r="X106" s="5085"/>
      <c r="Y106" s="5085"/>
      <c r="Z106" s="5102"/>
      <c r="AB106" s="5114">
        <f>B_Uspjeha!AP133-B106</f>
        <v>0</v>
      </c>
      <c r="AC106" s="4"/>
    </row>
    <row r="107" spans="1:30">
      <c r="A107" s="5108">
        <v>303</v>
      </c>
      <c r="B107" s="5113"/>
      <c r="C107" s="5110"/>
      <c r="D107" s="5085"/>
      <c r="E107" s="5085"/>
      <c r="F107" s="5085"/>
      <c r="G107" s="5085"/>
      <c r="H107" s="5085"/>
      <c r="I107" s="5085"/>
      <c r="J107" s="5085"/>
      <c r="K107" s="5085"/>
      <c r="L107" s="5085"/>
      <c r="M107" s="5085"/>
      <c r="N107" s="5085"/>
      <c r="O107" s="5085"/>
      <c r="P107" s="5085"/>
      <c r="Q107" s="5085"/>
      <c r="R107" s="5085"/>
      <c r="S107" s="5085"/>
      <c r="T107" s="5085"/>
      <c r="U107" s="5085"/>
      <c r="V107" s="5085"/>
      <c r="W107" s="5085"/>
      <c r="X107" s="5085"/>
      <c r="Y107" s="5085"/>
      <c r="Z107" s="5102"/>
      <c r="AB107" s="5114">
        <f>B_Uspjeha!AP134-B107</f>
        <v>0</v>
      </c>
      <c r="AC107" s="4"/>
    </row>
    <row r="108" ht="15" spans="1:30">
      <c r="A108" s="5108">
        <v>304</v>
      </c>
      <c r="B108" s="5109">
        <f>B_Uspjeha!AP135</f>
        <v>2038</v>
      </c>
      <c r="C108" s="5110"/>
      <c r="D108" s="5085"/>
      <c r="E108" s="5085"/>
      <c r="F108" s="5085"/>
      <c r="G108" s="5085"/>
      <c r="H108" s="5085"/>
      <c r="I108" s="5085"/>
      <c r="J108" s="5085"/>
      <c r="K108" s="5085"/>
      <c r="L108" s="5085"/>
      <c r="M108" s="5085"/>
      <c r="N108" s="5085"/>
      <c r="O108" s="5085"/>
      <c r="P108" s="5085"/>
      <c r="Q108" s="5085"/>
      <c r="R108" s="5085"/>
      <c r="S108" s="5085"/>
      <c r="T108" s="5085"/>
      <c r="U108" s="5085"/>
      <c r="V108" s="5085"/>
      <c r="W108" s="5085"/>
      <c r="X108" s="5085"/>
      <c r="Y108" s="5085"/>
      <c r="Z108" s="5102"/>
      <c r="AB108" s="30">
        <f>B_Uspjeha!AP135-B108</f>
        <v>0</v>
      </c>
      <c r="AC108" s="4"/>
      <c r="AD108" s="5090">
        <f>IF(AB108=0,0,"PAŽNJA! Provjerite AOP "&amp;A108&amp;" MSV - PROŠLU godinu, razlika = "&amp;TEXT(AB108,"#.##0,00 [$KM-141A]"))</f>
        <v>0</v>
      </c>
    </row>
    <row r="109" spans="1:30">
      <c r="A109" s="5108">
        <v>305</v>
      </c>
      <c r="B109" s="5113">
        <v>2038</v>
      </c>
      <c r="C109" s="5110"/>
      <c r="D109" s="5085"/>
      <c r="E109" s="5085"/>
      <c r="F109" s="5085"/>
      <c r="G109" s="5085"/>
      <c r="H109" s="5085"/>
      <c r="I109" s="5085"/>
      <c r="J109" s="5085"/>
      <c r="K109" s="5085"/>
      <c r="L109" s="5085"/>
      <c r="M109" s="5085"/>
      <c r="N109" s="5085"/>
      <c r="O109" s="5085"/>
      <c r="P109" s="5085"/>
      <c r="Q109" s="5085"/>
      <c r="R109" s="5085"/>
      <c r="S109" s="5085"/>
      <c r="T109" s="5085"/>
      <c r="U109" s="5085"/>
      <c r="V109" s="5085"/>
      <c r="W109" s="5085"/>
      <c r="X109" s="5085"/>
      <c r="Y109" s="5085"/>
      <c r="Z109" s="5102"/>
      <c r="AB109" s="5114">
        <f>B_Uspjeha!AP136-B109</f>
        <v>0</v>
      </c>
      <c r="AC109" s="4"/>
    </row>
    <row r="110" spans="1:30">
      <c r="A110" s="5108">
        <v>306</v>
      </c>
      <c r="B110" s="5113"/>
      <c r="C110" s="5110"/>
      <c r="D110" s="5085"/>
      <c r="E110" s="5085"/>
      <c r="F110" s="5085"/>
      <c r="G110" s="5085"/>
      <c r="H110" s="5085"/>
      <c r="I110" s="5085"/>
      <c r="J110" s="5085"/>
      <c r="K110" s="5085"/>
      <c r="L110" s="5085"/>
      <c r="M110" s="5085"/>
      <c r="N110" s="5085"/>
      <c r="O110" s="5085"/>
      <c r="P110" s="5085"/>
      <c r="Q110" s="5085"/>
      <c r="R110" s="5085"/>
      <c r="S110" s="5085"/>
      <c r="T110" s="5085"/>
      <c r="U110" s="5085"/>
      <c r="V110" s="5085"/>
      <c r="W110" s="5085"/>
      <c r="X110" s="5085"/>
      <c r="Y110" s="5085"/>
      <c r="Z110" s="5102"/>
      <c r="AB110" s="5114">
        <f>B_Uspjeha!AP137-B110</f>
        <v>0</v>
      </c>
      <c r="AC110" s="4"/>
    </row>
    <row r="111" spans="1:30">
      <c r="A111" s="5108">
        <v>307</v>
      </c>
      <c r="B111" s="5113"/>
      <c r="C111" s="5110"/>
      <c r="D111" s="5085"/>
      <c r="E111" s="5085"/>
      <c r="F111" s="5085"/>
      <c r="G111" s="5085"/>
      <c r="H111" s="5085"/>
      <c r="I111" s="5085"/>
      <c r="J111" s="5085"/>
      <c r="K111" s="5085"/>
      <c r="L111" s="5085"/>
      <c r="M111" s="5085"/>
      <c r="N111" s="5085"/>
      <c r="O111" s="5085"/>
      <c r="P111" s="5085"/>
      <c r="Q111" s="5085"/>
      <c r="R111" s="5085"/>
      <c r="S111" s="5085"/>
      <c r="T111" s="5085"/>
      <c r="U111" s="5085"/>
      <c r="V111" s="5085"/>
      <c r="W111" s="5085"/>
      <c r="X111" s="5085"/>
      <c r="Y111" s="5085"/>
      <c r="Z111" s="5102"/>
      <c r="AB111" s="5114">
        <f>B_Uspjeha!AP138-B111</f>
        <v>0</v>
      </c>
      <c r="AC111" s="4"/>
    </row>
    <row r="112" spans="1:30">
      <c r="A112" s="5108">
        <v>308</v>
      </c>
      <c r="B112" s="5113">
        <v>436</v>
      </c>
      <c r="C112" s="5110"/>
      <c r="D112" s="5085"/>
      <c r="E112" s="5085"/>
      <c r="F112" s="5085"/>
      <c r="G112" s="5085"/>
      <c r="H112" s="5085"/>
      <c r="I112" s="5085"/>
      <c r="J112" s="5085"/>
      <c r="K112" s="5085"/>
      <c r="L112" s="5085"/>
      <c r="M112" s="5085"/>
      <c r="N112" s="5085"/>
      <c r="O112" s="5085"/>
      <c r="P112" s="5085"/>
      <c r="Q112" s="5085"/>
      <c r="R112" s="5085"/>
      <c r="S112" s="5085"/>
      <c r="T112" s="5085"/>
      <c r="U112" s="5085"/>
      <c r="V112" s="5085"/>
      <c r="W112" s="5085"/>
      <c r="X112" s="5085"/>
      <c r="Y112" s="5085"/>
      <c r="Z112" s="5102"/>
      <c r="AB112" s="5114">
        <f>B_Uspjeha!AP139-B112</f>
        <v>0</v>
      </c>
      <c r="AC112" s="4"/>
    </row>
    <row r="113" ht="15" spans="1:30">
      <c r="A113" s="5108">
        <v>309</v>
      </c>
      <c r="B113" s="5109">
        <f>B_Uspjeha!AP140</f>
        <v>285281</v>
      </c>
      <c r="C113" s="5110"/>
      <c r="D113" s="5085"/>
      <c r="E113" s="5085"/>
      <c r="F113" s="5085"/>
      <c r="G113" s="5085"/>
      <c r="H113" s="5085"/>
      <c r="I113" s="5085"/>
      <c r="J113" s="5085"/>
      <c r="K113" s="5085"/>
      <c r="L113" s="5085"/>
      <c r="M113" s="5085"/>
      <c r="N113" s="5085"/>
      <c r="O113" s="5085"/>
      <c r="P113" s="5085"/>
      <c r="Q113" s="5085"/>
      <c r="R113" s="5085"/>
      <c r="S113" s="5085"/>
      <c r="T113" s="5085"/>
      <c r="U113" s="5085"/>
      <c r="V113" s="5085"/>
      <c r="W113" s="5085"/>
      <c r="X113" s="5085"/>
      <c r="Y113" s="5085"/>
      <c r="Z113" s="5102"/>
      <c r="AB113" s="30">
        <f>B_Uspjeha!AP140-B113</f>
        <v>0</v>
      </c>
      <c r="AC113" s="4"/>
      <c r="AD113" s="5090">
        <f>IF(AB113=0,0,"PAŽNJA! Provjerite AOP "&amp;A113&amp;" MSV - PROŠLU godinu, razlika = "&amp;TEXT(AB113,"#.##0,00 [$KM-141A]"))</f>
        <v>0</v>
      </c>
    </row>
    <row r="114" ht="15" spans="1:30">
      <c r="A114" s="5108">
        <v>310</v>
      </c>
      <c r="B114" s="5109">
        <f>B_Uspjeha!AP141</f>
        <v>99242</v>
      </c>
      <c r="C114" s="5110"/>
      <c r="D114" s="5085"/>
      <c r="E114" s="5085"/>
      <c r="F114" s="5085"/>
      <c r="G114" s="5085"/>
      <c r="H114" s="5085"/>
      <c r="I114" s="5085"/>
      <c r="J114" s="5085"/>
      <c r="K114" s="5085"/>
      <c r="L114" s="5085"/>
      <c r="M114" s="5085"/>
      <c r="N114" s="5085"/>
      <c r="O114" s="5085"/>
      <c r="P114" s="5085"/>
      <c r="Q114" s="5085"/>
      <c r="R114" s="5085"/>
      <c r="S114" s="5085"/>
      <c r="T114" s="5085"/>
      <c r="U114" s="5085"/>
      <c r="V114" s="5085"/>
      <c r="W114" s="5085"/>
      <c r="X114" s="5085"/>
      <c r="Y114" s="5085"/>
      <c r="Z114" s="5102"/>
      <c r="AB114" s="30">
        <f>B_Uspjeha!AP141-B114</f>
        <v>0</v>
      </c>
      <c r="AC114" s="4"/>
      <c r="AD114" s="5090">
        <f>IF(AB114=0,0,"PAŽNJA! Provjerite AOP "&amp;A114&amp;" MSV - PROŠLU godinu, razlika = "&amp;TEXT(AB114,"#.##0,00 [$KM-141A]"))</f>
        <v>0</v>
      </c>
    </row>
    <row r="115" ht="15" spans="1:30">
      <c r="A115" s="5108">
        <v>311</v>
      </c>
      <c r="B115" s="5109">
        <f>B_Uspjeha!AP142</f>
        <v>0</v>
      </c>
      <c r="C115" s="5110"/>
      <c r="D115" s="5085"/>
      <c r="E115" s="5085"/>
      <c r="F115" s="5085"/>
      <c r="G115" s="5085"/>
      <c r="H115" s="5085"/>
      <c r="I115" s="5085"/>
      <c r="J115" s="5085"/>
      <c r="K115" s="5085"/>
      <c r="L115" s="5085"/>
      <c r="M115" s="5085"/>
      <c r="N115" s="5085"/>
      <c r="O115" s="5085"/>
      <c r="P115" s="5085"/>
      <c r="Q115" s="5085"/>
      <c r="R115" s="5085"/>
      <c r="S115" s="5085"/>
      <c r="T115" s="5085"/>
      <c r="U115" s="5085"/>
      <c r="V115" s="5085"/>
      <c r="W115" s="5085"/>
      <c r="X115" s="5085"/>
      <c r="Y115" s="5085"/>
      <c r="Z115" s="5102"/>
      <c r="AB115" s="30">
        <f>B_Uspjeha!AP142-B115</f>
        <v>0</v>
      </c>
      <c r="AC115" s="4"/>
      <c r="AD115" s="5090">
        <f>IF(AB115=0,0,"PAŽNJA! Provjerite AOP "&amp;A115&amp;" MSV - PROŠLU godinu, razlika = "&amp;TEXT(AB115,"#.##0,00 [$KM-141A]"))</f>
        <v>0</v>
      </c>
    </row>
    <row r="116" ht="15" spans="1:30">
      <c r="A116" s="5108">
        <v>312</v>
      </c>
      <c r="B116" s="5109">
        <f>B_Uspjeha!AP143</f>
        <v>7935</v>
      </c>
      <c r="C116" s="5110"/>
      <c r="D116" s="5085"/>
      <c r="E116" s="5085"/>
      <c r="F116" s="5085"/>
      <c r="G116" s="5085"/>
      <c r="H116" s="5085"/>
      <c r="I116" s="5085"/>
      <c r="J116" s="5085"/>
      <c r="K116" s="5085"/>
      <c r="L116" s="5085"/>
      <c r="M116" s="5085"/>
      <c r="N116" s="5085"/>
      <c r="O116" s="5085"/>
      <c r="P116" s="5085"/>
      <c r="Q116" s="5085"/>
      <c r="R116" s="5085"/>
      <c r="S116" s="5085"/>
      <c r="T116" s="5085"/>
      <c r="U116" s="5085"/>
      <c r="V116" s="5085"/>
      <c r="W116" s="5085"/>
      <c r="X116" s="5085"/>
      <c r="Y116" s="5085"/>
      <c r="Z116" s="5102"/>
      <c r="AB116" s="30">
        <f>B_Uspjeha!AP143-B116</f>
        <v>0</v>
      </c>
      <c r="AC116" s="4"/>
      <c r="AD116" s="5090">
        <f>IF(AB116=0,0,"PAŽNJA! Provjerite AOP "&amp;A116&amp;" MSV - PROŠLU godinu, razlika = "&amp;TEXT(AB116,"#.##0,00 [$KM-141A]"))</f>
        <v>0</v>
      </c>
    </row>
    <row r="117" ht="15" spans="1:30">
      <c r="A117" s="5108">
        <v>313</v>
      </c>
      <c r="B117" s="5113">
        <v>7935</v>
      </c>
      <c r="C117" s="5110"/>
      <c r="D117" s="5085"/>
      <c r="E117" s="5085"/>
      <c r="F117" s="5085"/>
      <c r="G117" s="5085"/>
      <c r="H117" s="5085"/>
      <c r="I117" s="5085"/>
      <c r="J117" s="5085"/>
      <c r="K117" s="5085"/>
      <c r="L117" s="5085"/>
      <c r="M117" s="5085"/>
      <c r="N117" s="5085"/>
      <c r="O117" s="5085"/>
      <c r="P117" s="5085"/>
      <c r="Q117" s="5085"/>
      <c r="R117" s="5085"/>
      <c r="S117" s="5085"/>
      <c r="T117" s="5085"/>
      <c r="U117" s="5085"/>
      <c r="V117" s="5085"/>
      <c r="W117" s="5085"/>
      <c r="X117" s="5085"/>
      <c r="Y117" s="5085"/>
      <c r="Z117" s="5102"/>
      <c r="AB117" s="5114">
        <f>B_Uspjeha!AP144-B117</f>
        <v>0</v>
      </c>
      <c r="AC117" s="4"/>
      <c r="AD117" s="5090"/>
    </row>
    <row r="118" ht="15" spans="1:30">
      <c r="A118" s="5108">
        <v>314</v>
      </c>
      <c r="B118" s="5109">
        <f>B_Uspjeha!AP145</f>
        <v>0</v>
      </c>
      <c r="C118" s="5110"/>
      <c r="D118" s="5085"/>
      <c r="E118" s="5085"/>
      <c r="F118" s="5085"/>
      <c r="G118" s="5085"/>
      <c r="H118" s="5085"/>
      <c r="I118" s="5085"/>
      <c r="J118" s="5085"/>
      <c r="K118" s="5085"/>
      <c r="L118" s="5085"/>
      <c r="M118" s="5085"/>
      <c r="N118" s="5085"/>
      <c r="O118" s="5085"/>
      <c r="P118" s="5085"/>
      <c r="Q118" s="5085"/>
      <c r="R118" s="5085"/>
      <c r="S118" s="5085"/>
      <c r="T118" s="5085"/>
      <c r="U118" s="5085"/>
      <c r="V118" s="5085"/>
      <c r="W118" s="5085"/>
      <c r="X118" s="5085"/>
      <c r="Y118" s="5085"/>
      <c r="Z118" s="5102"/>
      <c r="AB118" s="30">
        <f>B_Uspjeha!AP145-B118</f>
        <v>0</v>
      </c>
      <c r="AC118" s="4"/>
      <c r="AD118" s="5090">
        <f>IF(AB118=0,0,"PAŽNJA! Provjerite AOP "&amp;A118&amp;" MSV - PROŠLU godinu, razlika = "&amp;TEXT(AB118,"#.##0,00 [$KM-141A]"))</f>
        <v>0</v>
      </c>
    </row>
    <row r="119" ht="15" spans="1:30">
      <c r="A119" s="5108">
        <v>315</v>
      </c>
      <c r="B119" s="5113"/>
      <c r="C119" s="5110"/>
      <c r="D119" s="5085"/>
      <c r="E119" s="5085"/>
      <c r="F119" s="5085"/>
      <c r="G119" s="5085"/>
      <c r="H119" s="5085"/>
      <c r="I119" s="5085"/>
      <c r="J119" s="5085"/>
      <c r="K119" s="5085"/>
      <c r="L119" s="5085"/>
      <c r="M119" s="5085"/>
      <c r="N119" s="5085"/>
      <c r="O119" s="5085"/>
      <c r="P119" s="5085"/>
      <c r="Q119" s="5085"/>
      <c r="R119" s="5085"/>
      <c r="S119" s="5085"/>
      <c r="T119" s="5085"/>
      <c r="U119" s="5085"/>
      <c r="V119" s="5085"/>
      <c r="W119" s="5085"/>
      <c r="X119" s="5085"/>
      <c r="Y119" s="5085"/>
      <c r="Z119" s="5102"/>
      <c r="AB119" s="5114">
        <f>B_Uspjeha!AP146-B119</f>
        <v>0</v>
      </c>
      <c r="AC119" s="4"/>
      <c r="AD119" s="5090"/>
    </row>
    <row r="120" ht="15" spans="1:30">
      <c r="A120" s="5108">
        <v>316</v>
      </c>
      <c r="B120" s="5113"/>
      <c r="C120" s="5110"/>
      <c r="D120" s="5085"/>
      <c r="E120" s="5085"/>
      <c r="F120" s="5085"/>
      <c r="G120" s="5085"/>
      <c r="H120" s="5085"/>
      <c r="I120" s="5085"/>
      <c r="J120" s="5085"/>
      <c r="K120" s="5085"/>
      <c r="L120" s="5085"/>
      <c r="M120" s="5085"/>
      <c r="N120" s="5085"/>
      <c r="O120" s="5085"/>
      <c r="P120" s="5085"/>
      <c r="Q120" s="5085"/>
      <c r="R120" s="5085"/>
      <c r="S120" s="5085"/>
      <c r="T120" s="5085"/>
      <c r="U120" s="5085"/>
      <c r="V120" s="5085"/>
      <c r="W120" s="5085"/>
      <c r="X120" s="5085"/>
      <c r="Y120" s="5085"/>
      <c r="Z120" s="5102"/>
      <c r="AB120" s="5114">
        <f>B_Uspjeha!AP147-B120</f>
        <v>0</v>
      </c>
      <c r="AC120" s="4"/>
      <c r="AD120" s="5090"/>
    </row>
    <row r="121" ht="15" spans="1:30">
      <c r="A121" s="5108">
        <v>317</v>
      </c>
      <c r="B121" s="5113"/>
      <c r="C121" s="5110"/>
      <c r="D121" s="5085"/>
      <c r="E121" s="5085"/>
      <c r="F121" s="5085"/>
      <c r="G121" s="5085"/>
      <c r="H121" s="5085"/>
      <c r="I121" s="5085"/>
      <c r="J121" s="5085"/>
      <c r="K121" s="5085"/>
      <c r="L121" s="5085"/>
      <c r="M121" s="5085"/>
      <c r="N121" s="5085"/>
      <c r="O121" s="5085"/>
      <c r="P121" s="5085"/>
      <c r="Q121" s="5085"/>
      <c r="R121" s="5085"/>
      <c r="S121" s="5085"/>
      <c r="T121" s="5085"/>
      <c r="U121" s="5085"/>
      <c r="V121" s="5085"/>
      <c r="W121" s="5085"/>
      <c r="X121" s="5085"/>
      <c r="Y121" s="5085"/>
      <c r="Z121" s="5102"/>
      <c r="AB121" s="5114">
        <f>B_Uspjeha!AP148-B121</f>
        <v>0</v>
      </c>
      <c r="AC121" s="4"/>
      <c r="AD121" s="5090"/>
    </row>
    <row r="122" ht="15" spans="1:30">
      <c r="A122" s="5108">
        <v>318</v>
      </c>
      <c r="B122" s="5113"/>
      <c r="C122" s="5110"/>
      <c r="D122" s="5085"/>
      <c r="E122" s="5085"/>
      <c r="F122" s="5085"/>
      <c r="G122" s="5085"/>
      <c r="H122" s="5085"/>
      <c r="I122" s="5085"/>
      <c r="J122" s="5085"/>
      <c r="K122" s="5085"/>
      <c r="L122" s="5085"/>
      <c r="M122" s="5085"/>
      <c r="N122" s="5085"/>
      <c r="O122" s="5085"/>
      <c r="P122" s="5085"/>
      <c r="Q122" s="5085"/>
      <c r="R122" s="5085"/>
      <c r="S122" s="5085"/>
      <c r="T122" s="5085"/>
      <c r="U122" s="5085"/>
      <c r="V122" s="5085"/>
      <c r="W122" s="5085"/>
      <c r="X122" s="5085"/>
      <c r="Y122" s="5085"/>
      <c r="Z122" s="5102"/>
      <c r="AB122" s="5114">
        <f>B_Uspjeha!AP149-B122</f>
        <v>0</v>
      </c>
      <c r="AC122" s="4"/>
      <c r="AD122" s="5090"/>
    </row>
    <row r="123" ht="15" spans="1:30">
      <c r="A123" s="5108">
        <v>319</v>
      </c>
      <c r="B123" s="5109">
        <f>B_Uspjeha!AP150</f>
        <v>91307</v>
      </c>
      <c r="C123" s="5110"/>
      <c r="D123" s="5085"/>
      <c r="E123" s="5085"/>
      <c r="F123" s="5085"/>
      <c r="G123" s="5085"/>
      <c r="H123" s="5085"/>
      <c r="I123" s="5085"/>
      <c r="J123" s="5085"/>
      <c r="K123" s="5085"/>
      <c r="L123" s="5085"/>
      <c r="M123" s="5085"/>
      <c r="N123" s="5085"/>
      <c r="O123" s="5085"/>
      <c r="P123" s="5085"/>
      <c r="Q123" s="5085"/>
      <c r="R123" s="5085"/>
      <c r="S123" s="5085"/>
      <c r="T123" s="5085"/>
      <c r="U123" s="5085"/>
      <c r="V123" s="5085"/>
      <c r="W123" s="5085"/>
      <c r="X123" s="5085"/>
      <c r="Y123" s="5085"/>
      <c r="Z123" s="5102"/>
      <c r="AB123" s="30">
        <f>B_Uspjeha!AP150-B123</f>
        <v>0</v>
      </c>
      <c r="AC123" s="4"/>
      <c r="AD123" s="5090">
        <f>IF(AB123=0,0,"PAŽNJA! Provjerite AOP "&amp;A123&amp;" MSV - PROŠLU godinu, razlika = "&amp;TEXT(AB123,"#.##0,00 [$KM-141A]"))</f>
        <v>0</v>
      </c>
    </row>
    <row r="124" ht="15" spans="1:30">
      <c r="A124" s="5108">
        <v>320</v>
      </c>
      <c r="B124" s="5109">
        <f>B_Uspjeha!AP151</f>
        <v>0</v>
      </c>
      <c r="C124" s="5110"/>
      <c r="D124" s="5085"/>
      <c r="E124" s="5085"/>
      <c r="F124" s="5085"/>
      <c r="G124" s="5085"/>
      <c r="H124" s="5085"/>
      <c r="I124" s="5085"/>
      <c r="J124" s="5085"/>
      <c r="K124" s="5085"/>
      <c r="L124" s="5085"/>
      <c r="M124" s="5085"/>
      <c r="N124" s="5085"/>
      <c r="O124" s="5085"/>
      <c r="P124" s="5085"/>
      <c r="Q124" s="5085"/>
      <c r="R124" s="5085"/>
      <c r="S124" s="5085"/>
      <c r="T124" s="5085"/>
      <c r="U124" s="5085"/>
      <c r="V124" s="5085"/>
      <c r="W124" s="5085"/>
      <c r="X124" s="5085"/>
      <c r="Y124" s="5085"/>
      <c r="Z124" s="5102"/>
      <c r="AB124" s="30">
        <f>B_Uspjeha!AP151-B124</f>
        <v>0</v>
      </c>
      <c r="AC124" s="4"/>
      <c r="AD124" s="5090">
        <f>IF(AB124=0,0,"PAŽNJA! Provjerite AOP "&amp;A124&amp;" MSV - PROŠLU godinu, razlika = "&amp;TEXT(AB124,"#.##0,00 [$KM-141A]"))</f>
        <v>0</v>
      </c>
    </row>
    <row r="125" ht="15" spans="1:30">
      <c r="A125" s="5108">
        <v>321</v>
      </c>
      <c r="B125" s="5113"/>
      <c r="C125" s="5110"/>
      <c r="D125" s="5085"/>
      <c r="E125" s="5085"/>
      <c r="F125" s="5085"/>
      <c r="G125" s="5085"/>
      <c r="H125" s="5085"/>
      <c r="I125" s="5085"/>
      <c r="J125" s="5085"/>
      <c r="K125" s="5085"/>
      <c r="L125" s="5085"/>
      <c r="M125" s="5085"/>
      <c r="N125" s="5085"/>
      <c r="O125" s="5085"/>
      <c r="P125" s="5085"/>
      <c r="Q125" s="5085"/>
      <c r="R125" s="5085"/>
      <c r="S125" s="5085"/>
      <c r="T125" s="5085"/>
      <c r="U125" s="5085"/>
      <c r="V125" s="5085"/>
      <c r="W125" s="5085"/>
      <c r="X125" s="5085"/>
      <c r="Y125" s="5085"/>
      <c r="Z125" s="5102"/>
      <c r="AB125" s="5114">
        <f>B_Uspjeha!AP152-B125</f>
        <v>0</v>
      </c>
      <c r="AC125" s="4"/>
      <c r="AD125" s="5090"/>
    </row>
    <row r="126" ht="15" spans="1:30">
      <c r="A126" s="5108">
        <v>322</v>
      </c>
      <c r="B126" s="5109">
        <f>B_Uspjeha!AP153</f>
        <v>91307</v>
      </c>
      <c r="C126" s="5110"/>
      <c r="D126" s="5085"/>
      <c r="E126" s="5085"/>
      <c r="F126" s="5085"/>
      <c r="G126" s="5085"/>
      <c r="H126" s="5085"/>
      <c r="I126" s="5085"/>
      <c r="J126" s="5085"/>
      <c r="K126" s="5085"/>
      <c r="L126" s="5085"/>
      <c r="M126" s="5085"/>
      <c r="N126" s="5085"/>
      <c r="O126" s="5085"/>
      <c r="P126" s="5085"/>
      <c r="Q126" s="5085"/>
      <c r="R126" s="5085"/>
      <c r="S126" s="5085"/>
      <c r="T126" s="5085"/>
      <c r="U126" s="5085"/>
      <c r="V126" s="5085"/>
      <c r="W126" s="5085"/>
      <c r="X126" s="5085"/>
      <c r="Y126" s="5085"/>
      <c r="Z126" s="5102"/>
      <c r="AB126" s="30">
        <f>B_Uspjeha!AP153-B126</f>
        <v>0</v>
      </c>
      <c r="AC126" s="4"/>
      <c r="AD126" s="5090">
        <f>IF(AB126=0,0,"PAŽNJA! Provjerite AOP "&amp;A126&amp;" MSV - PROŠLU godinu, razlika = "&amp;TEXT(AB126,"#.##0,00 [$KM-141A]"))</f>
        <v>0</v>
      </c>
    </row>
    <row r="127" ht="15" spans="1:30">
      <c r="A127" s="5108">
        <v>323</v>
      </c>
      <c r="B127" s="5109">
        <f>B_Uspjeha!AP154</f>
        <v>0</v>
      </c>
      <c r="C127" s="5110"/>
      <c r="D127" s="5085"/>
      <c r="E127" s="5085"/>
      <c r="F127" s="5085"/>
      <c r="G127" s="5085"/>
      <c r="H127" s="5085"/>
      <c r="I127" s="5085"/>
      <c r="J127" s="5085"/>
      <c r="K127" s="5085"/>
      <c r="L127" s="5085"/>
      <c r="M127" s="5085"/>
      <c r="N127" s="5085"/>
      <c r="O127" s="5085"/>
      <c r="P127" s="5085"/>
      <c r="Q127" s="5085"/>
      <c r="R127" s="5085"/>
      <c r="S127" s="5085"/>
      <c r="T127" s="5085"/>
      <c r="U127" s="5085"/>
      <c r="V127" s="5085"/>
      <c r="W127" s="5085"/>
      <c r="X127" s="5085"/>
      <c r="Y127" s="5085"/>
      <c r="Z127" s="5102"/>
      <c r="AB127" s="30">
        <f>B_Uspjeha!AP154-B127</f>
        <v>0</v>
      </c>
      <c r="AC127" s="4"/>
      <c r="AD127" s="5090">
        <f>IF(AB127=0,0,"PAŽNJA! Provjerite AOP "&amp;A127&amp;" MSV - PROŠLU godinu, razlika = "&amp;TEXT(AB127,"#.##0,00 [$KM-141A]"))</f>
        <v>0</v>
      </c>
    </row>
    <row r="128" ht="15" spans="1:30">
      <c r="A128" s="5108">
        <v>324</v>
      </c>
      <c r="B128" s="5109">
        <f>B_Uspjeha!AP159</f>
        <v>0</v>
      </c>
      <c r="C128" s="5110"/>
      <c r="D128" s="5085"/>
      <c r="E128" s="5085"/>
      <c r="F128" s="5085"/>
      <c r="G128" s="5085"/>
      <c r="H128" s="5085"/>
      <c r="I128" s="5085"/>
      <c r="J128" s="5085"/>
      <c r="K128" s="5085"/>
      <c r="L128" s="5085"/>
      <c r="M128" s="5085"/>
      <c r="N128" s="5085"/>
      <c r="O128" s="5085"/>
      <c r="P128" s="5085"/>
      <c r="Q128" s="5085"/>
      <c r="R128" s="5085"/>
      <c r="S128" s="5085"/>
      <c r="T128" s="5085"/>
      <c r="U128" s="5085"/>
      <c r="V128" s="5085"/>
      <c r="W128" s="5085"/>
      <c r="X128" s="5085"/>
      <c r="Y128" s="5085"/>
      <c r="Z128" s="5102"/>
      <c r="AB128" s="30">
        <f>B_Uspjeha!AP159-B128</f>
        <v>0</v>
      </c>
      <c r="AC128" s="4"/>
      <c r="AD128" s="5090">
        <f>IF(AB128=0,0,"PAŽNJA! Provjerite AOP "&amp;A128&amp;" MSV - PROŠLU godinu, razlika = "&amp;TEXT(AB128,"#.##0,00 [$KM-141A]"))</f>
        <v>0</v>
      </c>
    </row>
    <row r="129" ht="15" spans="1:30">
      <c r="A129" s="5108">
        <v>325</v>
      </c>
      <c r="B129" s="5109">
        <f>B_Uspjeha!AP160</f>
        <v>0</v>
      </c>
      <c r="C129" s="5110"/>
      <c r="D129" s="5085"/>
      <c r="E129" s="5085"/>
      <c r="F129" s="5085"/>
      <c r="G129" s="5085"/>
      <c r="H129" s="5085"/>
      <c r="I129" s="5085"/>
      <c r="J129" s="5085"/>
      <c r="K129" s="5085"/>
      <c r="L129" s="5085"/>
      <c r="M129" s="5085"/>
      <c r="N129" s="5085"/>
      <c r="O129" s="5085"/>
      <c r="P129" s="5085"/>
      <c r="Q129" s="5085"/>
      <c r="R129" s="5085"/>
      <c r="S129" s="5085"/>
      <c r="T129" s="5085"/>
      <c r="U129" s="5085"/>
      <c r="V129" s="5085"/>
      <c r="W129" s="5085"/>
      <c r="X129" s="5085"/>
      <c r="Y129" s="5085"/>
      <c r="Z129" s="5102"/>
      <c r="AB129" s="30">
        <f>B_Uspjeha!AP160-B129</f>
        <v>0</v>
      </c>
      <c r="AC129" s="4"/>
      <c r="AD129" s="5090">
        <f>IF(AB129=0,0,"PAŽNJA! Provjerite AOP "&amp;A129&amp;" MSV - PROŠLU godinu, razlika = "&amp;TEXT(AB129,"#.##0,00 [$KM-141A]"))</f>
        <v>0</v>
      </c>
    </row>
    <row r="130" spans="1:30">
      <c r="A130" s="5108">
        <v>326</v>
      </c>
      <c r="B130" s="5113"/>
      <c r="C130" s="5110"/>
      <c r="D130" s="5085"/>
      <c r="E130" s="5085"/>
      <c r="F130" s="5085"/>
      <c r="G130" s="5085"/>
      <c r="H130" s="5085"/>
      <c r="I130" s="5085"/>
      <c r="J130" s="5085"/>
      <c r="K130" s="5085"/>
      <c r="L130" s="5085"/>
      <c r="M130" s="5085"/>
      <c r="N130" s="5085"/>
      <c r="O130" s="5085"/>
      <c r="P130" s="5085"/>
      <c r="Q130" s="5085"/>
      <c r="R130" s="5085"/>
      <c r="S130" s="5085"/>
      <c r="T130" s="5085"/>
      <c r="U130" s="5085"/>
      <c r="V130" s="5085"/>
      <c r="W130" s="5085"/>
      <c r="X130" s="5085"/>
      <c r="Y130" s="5085"/>
      <c r="Z130" s="5102"/>
      <c r="AB130" s="5114">
        <f>B_Uspjeha!AP161-B130</f>
        <v>0</v>
      </c>
      <c r="AC130" s="4"/>
    </row>
    <row r="131" spans="1:30">
      <c r="A131" s="5108">
        <v>327</v>
      </c>
      <c r="B131" s="5113"/>
      <c r="C131" s="5110"/>
      <c r="D131" s="5085"/>
      <c r="E131" s="5085"/>
      <c r="F131" s="5085"/>
      <c r="G131" s="5085"/>
      <c r="H131" s="5085"/>
      <c r="I131" s="5085"/>
      <c r="J131" s="5085"/>
      <c r="K131" s="5085"/>
      <c r="L131" s="5085"/>
      <c r="M131" s="5085"/>
      <c r="N131" s="5085"/>
      <c r="O131" s="5085"/>
      <c r="P131" s="5085"/>
      <c r="Q131" s="5085"/>
      <c r="R131" s="5085"/>
      <c r="S131" s="5085"/>
      <c r="T131" s="5085"/>
      <c r="U131" s="5085"/>
      <c r="V131" s="5085"/>
      <c r="W131" s="5085"/>
      <c r="X131" s="5085"/>
      <c r="Y131" s="5085"/>
      <c r="Z131" s="5102"/>
      <c r="AB131" s="5114">
        <f>B_Uspjeha!AP162-B131</f>
        <v>0</v>
      </c>
      <c r="AC131" s="4"/>
    </row>
    <row r="132" spans="1:30">
      <c r="A132" s="5108">
        <v>328</v>
      </c>
      <c r="B132" s="5113"/>
      <c r="C132" s="5110"/>
      <c r="D132" s="5085"/>
      <c r="E132" s="5085"/>
      <c r="F132" s="5085"/>
      <c r="G132" s="5085"/>
      <c r="H132" s="5085"/>
      <c r="I132" s="5085"/>
      <c r="J132" s="5085"/>
      <c r="K132" s="5085"/>
      <c r="L132" s="5085"/>
      <c r="M132" s="5085"/>
      <c r="N132" s="5085"/>
      <c r="O132" s="5085"/>
      <c r="P132" s="5085"/>
      <c r="Q132" s="5085"/>
      <c r="R132" s="5085"/>
      <c r="S132" s="5085"/>
      <c r="T132" s="5085"/>
      <c r="U132" s="5085"/>
      <c r="V132" s="5085"/>
      <c r="W132" s="5085"/>
      <c r="X132" s="5085"/>
      <c r="Y132" s="5085"/>
      <c r="Z132" s="5102"/>
      <c r="AB132" s="5114">
        <f>B_Uspjeha!AP163-B132</f>
        <v>0</v>
      </c>
      <c r="AC132" s="4"/>
    </row>
    <row r="133" spans="1:30">
      <c r="A133" s="5108">
        <v>329</v>
      </c>
      <c r="B133" s="5113"/>
      <c r="C133" s="5110"/>
      <c r="D133" s="5085"/>
      <c r="E133" s="5085"/>
      <c r="F133" s="5085"/>
      <c r="G133" s="5085"/>
      <c r="H133" s="5085"/>
      <c r="I133" s="5085"/>
      <c r="J133" s="5085"/>
      <c r="K133" s="5085"/>
      <c r="L133" s="5085"/>
      <c r="M133" s="5085"/>
      <c r="N133" s="5085"/>
      <c r="O133" s="5085"/>
      <c r="P133" s="5085"/>
      <c r="Q133" s="5085"/>
      <c r="R133" s="5085"/>
      <c r="S133" s="5085"/>
      <c r="T133" s="5085"/>
      <c r="U133" s="5085"/>
      <c r="V133" s="5085"/>
      <c r="W133" s="5085"/>
      <c r="X133" s="5085"/>
      <c r="Y133" s="5085"/>
      <c r="Z133" s="5102"/>
      <c r="AB133" s="5114">
        <f>B_Uspjeha!AP164-B133</f>
        <v>0</v>
      </c>
      <c r="AC133" s="4"/>
    </row>
    <row r="134" spans="1:30">
      <c r="A134" s="5108">
        <v>330</v>
      </c>
      <c r="B134" s="5113"/>
      <c r="C134" s="5110"/>
      <c r="D134" s="5085"/>
      <c r="E134" s="5085"/>
      <c r="F134" s="5085"/>
      <c r="G134" s="5085"/>
      <c r="H134" s="5085"/>
      <c r="I134" s="5085"/>
      <c r="J134" s="5085"/>
      <c r="K134" s="5085"/>
      <c r="L134" s="5085"/>
      <c r="M134" s="5085"/>
      <c r="N134" s="5085"/>
      <c r="O134" s="5085"/>
      <c r="P134" s="5085"/>
      <c r="Q134" s="5085"/>
      <c r="R134" s="5085"/>
      <c r="S134" s="5085"/>
      <c r="T134" s="5085"/>
      <c r="U134" s="5085"/>
      <c r="V134" s="5085"/>
      <c r="W134" s="5085"/>
      <c r="X134" s="5085"/>
      <c r="Y134" s="5085"/>
      <c r="Z134" s="5102"/>
      <c r="AB134" s="5114">
        <f>B_Uspjeha!AP165-B134</f>
        <v>0</v>
      </c>
      <c r="AC134" s="4"/>
    </row>
    <row r="135" ht="15" spans="1:30">
      <c r="A135" s="5108">
        <v>331</v>
      </c>
      <c r="B135" s="5109">
        <f>B_Uspjeha!AP166</f>
        <v>0</v>
      </c>
      <c r="C135" s="5110"/>
      <c r="D135" s="5085"/>
      <c r="E135" s="5085"/>
      <c r="F135" s="5085"/>
      <c r="G135" s="5085"/>
      <c r="H135" s="5085"/>
      <c r="I135" s="5085"/>
      <c r="J135" s="5085"/>
      <c r="K135" s="5085"/>
      <c r="L135" s="5085"/>
      <c r="M135" s="5085"/>
      <c r="N135" s="5085"/>
      <c r="O135" s="5085"/>
      <c r="P135" s="5085"/>
      <c r="Q135" s="5085"/>
      <c r="R135" s="5085"/>
      <c r="S135" s="5085"/>
      <c r="T135" s="5085"/>
      <c r="U135" s="5085"/>
      <c r="V135" s="5085"/>
      <c r="W135" s="5085"/>
      <c r="X135" s="5085"/>
      <c r="Y135" s="5085"/>
      <c r="Z135" s="5102"/>
      <c r="AB135" s="30">
        <f>B_Uspjeha!AP166-B135</f>
        <v>0</v>
      </c>
      <c r="AC135" s="4"/>
      <c r="AD135" s="5090">
        <f>IF(AB135=0,0,"PAŽNJA! Provjerite AOP "&amp;A135&amp;" MSV - PROŠLU godinu, razlika = "&amp;TEXT(AB135,"#.##0,00 [$KM-141A]"))</f>
        <v>0</v>
      </c>
    </row>
    <row r="136" spans="1:30">
      <c r="A136" s="5108">
        <v>332</v>
      </c>
      <c r="B136" s="5113"/>
      <c r="C136" s="5110"/>
      <c r="D136" s="5085"/>
      <c r="E136" s="5085"/>
      <c r="F136" s="5085"/>
      <c r="G136" s="5085"/>
      <c r="H136" s="5085"/>
      <c r="I136" s="5085"/>
      <c r="J136" s="5085"/>
      <c r="K136" s="5085"/>
      <c r="L136" s="5085"/>
      <c r="M136" s="5085"/>
      <c r="N136" s="5085"/>
      <c r="O136" s="5085"/>
      <c r="P136" s="5085"/>
      <c r="Q136" s="5085"/>
      <c r="R136" s="5085"/>
      <c r="S136" s="5085"/>
      <c r="T136" s="5085"/>
      <c r="U136" s="5085"/>
      <c r="V136" s="5085"/>
      <c r="W136" s="5085"/>
      <c r="X136" s="5085"/>
      <c r="Y136" s="5085"/>
      <c r="Z136" s="5102"/>
      <c r="AB136" s="5114">
        <f>B_Uspjeha!AP167-B136</f>
        <v>0</v>
      </c>
      <c r="AC136" s="4"/>
    </row>
    <row r="137" spans="1:30">
      <c r="A137" s="5108">
        <v>333</v>
      </c>
      <c r="B137" s="5113"/>
      <c r="C137" s="5110"/>
      <c r="D137" s="5085"/>
      <c r="E137" s="5085"/>
      <c r="F137" s="5085"/>
      <c r="G137" s="5085"/>
      <c r="H137" s="5085"/>
      <c r="I137" s="5085"/>
      <c r="J137" s="5085"/>
      <c r="K137" s="5085"/>
      <c r="L137" s="5085"/>
      <c r="M137" s="5085"/>
      <c r="N137" s="5085"/>
      <c r="O137" s="5085"/>
      <c r="P137" s="5085"/>
      <c r="Q137" s="5085"/>
      <c r="R137" s="5085"/>
      <c r="S137" s="5085"/>
      <c r="T137" s="5085"/>
      <c r="U137" s="5085"/>
      <c r="V137" s="5085"/>
      <c r="W137" s="5085"/>
      <c r="X137" s="5085"/>
      <c r="Y137" s="5085"/>
      <c r="Z137" s="5102"/>
      <c r="AB137" s="5114">
        <f>B_Uspjeha!AP168-B137</f>
        <v>0</v>
      </c>
      <c r="AC137" s="4"/>
    </row>
    <row r="138" spans="1:30">
      <c r="A138" s="5108">
        <v>334</v>
      </c>
      <c r="B138" s="5113"/>
      <c r="C138" s="5110"/>
      <c r="D138" s="5085"/>
      <c r="E138" s="5085"/>
      <c r="F138" s="5085"/>
      <c r="G138" s="5085"/>
      <c r="H138" s="5085"/>
      <c r="I138" s="5085"/>
      <c r="J138" s="5085"/>
      <c r="K138" s="5085"/>
      <c r="L138" s="5085"/>
      <c r="M138" s="5085"/>
      <c r="N138" s="5085"/>
      <c r="O138" s="5085"/>
      <c r="P138" s="5085"/>
      <c r="Q138" s="5085"/>
      <c r="R138" s="5085"/>
      <c r="S138" s="5085"/>
      <c r="T138" s="5085"/>
      <c r="U138" s="5085"/>
      <c r="V138" s="5085"/>
      <c r="W138" s="5085"/>
      <c r="X138" s="5085"/>
      <c r="Y138" s="5085"/>
      <c r="Z138" s="5102"/>
      <c r="AB138" s="5114">
        <f>B_Uspjeha!AP169-B138</f>
        <v>0</v>
      </c>
      <c r="AC138" s="4"/>
    </row>
    <row r="139" spans="1:30">
      <c r="A139" s="5108">
        <v>335</v>
      </c>
      <c r="B139" s="5113"/>
      <c r="C139" s="5110"/>
      <c r="D139" s="5085"/>
      <c r="E139" s="5085"/>
      <c r="F139" s="5085"/>
      <c r="G139" s="5085"/>
      <c r="H139" s="5085"/>
      <c r="I139" s="5085"/>
      <c r="J139" s="5085"/>
      <c r="K139" s="5085"/>
      <c r="L139" s="5085"/>
      <c r="M139" s="5085"/>
      <c r="N139" s="5085"/>
      <c r="O139" s="5085"/>
      <c r="P139" s="5085"/>
      <c r="Q139" s="5085"/>
      <c r="R139" s="5085"/>
      <c r="S139" s="5085"/>
      <c r="T139" s="5085"/>
      <c r="U139" s="5085"/>
      <c r="V139" s="5085"/>
      <c r="W139" s="5085"/>
      <c r="X139" s="5085"/>
      <c r="Y139" s="5085"/>
      <c r="Z139" s="5102"/>
      <c r="AB139" s="5114">
        <f>B_Uspjeha!AP170-B139</f>
        <v>0</v>
      </c>
      <c r="AC139" s="4"/>
    </row>
    <row r="140" spans="1:30">
      <c r="A140" s="5108">
        <v>336</v>
      </c>
      <c r="B140" s="5113"/>
      <c r="C140" s="5110"/>
      <c r="D140" s="5085"/>
      <c r="E140" s="5085"/>
      <c r="F140" s="5085"/>
      <c r="G140" s="5085"/>
      <c r="H140" s="5085"/>
      <c r="I140" s="5085"/>
      <c r="J140" s="5085"/>
      <c r="K140" s="5085"/>
      <c r="L140" s="5085"/>
      <c r="M140" s="5085"/>
      <c r="N140" s="5085"/>
      <c r="O140" s="5085"/>
      <c r="P140" s="5085"/>
      <c r="Q140" s="5085"/>
      <c r="R140" s="5085"/>
      <c r="S140" s="5085"/>
      <c r="T140" s="5085"/>
      <c r="U140" s="5085"/>
      <c r="V140" s="5085"/>
      <c r="W140" s="5085"/>
      <c r="X140" s="5085"/>
      <c r="Y140" s="5085"/>
      <c r="Z140" s="5102"/>
      <c r="AB140" s="5114">
        <f>B_Uspjeha!AP171-B140</f>
        <v>0</v>
      </c>
      <c r="AC140" s="4"/>
    </row>
    <row r="141" spans="1:30">
      <c r="A141" s="5108">
        <v>337</v>
      </c>
      <c r="B141" s="5113"/>
      <c r="C141" s="5110"/>
      <c r="D141" s="5085"/>
      <c r="E141" s="5085"/>
      <c r="F141" s="5085"/>
      <c r="G141" s="5085"/>
      <c r="H141" s="5085"/>
      <c r="I141" s="5085"/>
      <c r="J141" s="5085"/>
      <c r="K141" s="5085"/>
      <c r="L141" s="5085"/>
      <c r="M141" s="5085"/>
      <c r="N141" s="5085"/>
      <c r="O141" s="5085"/>
      <c r="P141" s="5085"/>
      <c r="Q141" s="5085"/>
      <c r="R141" s="5085"/>
      <c r="S141" s="5085"/>
      <c r="T141" s="5085"/>
      <c r="U141" s="5085"/>
      <c r="V141" s="5085"/>
      <c r="W141" s="5085"/>
      <c r="X141" s="5085"/>
      <c r="Y141" s="5085"/>
      <c r="Z141" s="5102"/>
      <c r="AB141" s="5114">
        <f>B_Uspjeha!AP172-B141</f>
        <v>0</v>
      </c>
      <c r="AC141" s="4"/>
    </row>
    <row r="142" spans="1:30">
      <c r="A142" s="5108">
        <v>338</v>
      </c>
      <c r="B142" s="5113"/>
      <c r="C142" s="5110"/>
      <c r="D142" s="5085"/>
      <c r="E142" s="5085"/>
      <c r="F142" s="5085"/>
      <c r="G142" s="5085"/>
      <c r="H142" s="5085"/>
      <c r="I142" s="5085"/>
      <c r="J142" s="5085"/>
      <c r="K142" s="5085"/>
      <c r="L142" s="5085"/>
      <c r="M142" s="5085"/>
      <c r="N142" s="5085"/>
      <c r="O142" s="5085"/>
      <c r="P142" s="5085"/>
      <c r="Q142" s="5085"/>
      <c r="R142" s="5085"/>
      <c r="S142" s="5085"/>
      <c r="T142" s="5085"/>
      <c r="U142" s="5085"/>
      <c r="V142" s="5085"/>
      <c r="W142" s="5085"/>
      <c r="X142" s="5085"/>
      <c r="Y142" s="5085"/>
      <c r="Z142" s="5102"/>
      <c r="AB142" s="5114">
        <f>B_Uspjeha!AP173-B142</f>
        <v>0</v>
      </c>
      <c r="AC142" s="4"/>
    </row>
    <row r="143" ht="15" spans="1:30">
      <c r="A143" s="5108">
        <v>339</v>
      </c>
      <c r="B143" s="5109">
        <f>B_Uspjeha!AP174</f>
        <v>91307</v>
      </c>
      <c r="C143" s="5110"/>
      <c r="D143" s="5085"/>
      <c r="E143" s="5085"/>
      <c r="F143" s="5085"/>
      <c r="G143" s="5085"/>
      <c r="H143" s="5085"/>
      <c r="I143" s="5085"/>
      <c r="J143" s="5085"/>
      <c r="K143" s="5085"/>
      <c r="L143" s="5085"/>
      <c r="M143" s="5085"/>
      <c r="N143" s="5085"/>
      <c r="O143" s="5085"/>
      <c r="P143" s="5085"/>
      <c r="Q143" s="5085"/>
      <c r="R143" s="5085"/>
      <c r="S143" s="5085"/>
      <c r="T143" s="5085"/>
      <c r="U143" s="5085"/>
      <c r="V143" s="5085"/>
      <c r="W143" s="5085"/>
      <c r="X143" s="5085"/>
      <c r="Y143" s="5085"/>
      <c r="Z143" s="5102"/>
      <c r="AB143" s="30">
        <f>B_Uspjeha!AP174-B143</f>
        <v>0</v>
      </c>
      <c r="AC143" s="4"/>
      <c r="AD143" s="5090">
        <f>IF(AB143=0,0,"PAŽNJA! Provjerite AOP "&amp;A143&amp;" MSV - PROŠLU godinu, razlika = "&amp;TEXT(AB143,"#.##0,00 [$KM-141A]"))</f>
        <v>0</v>
      </c>
    </row>
    <row r="144" spans="1:30">
      <c r="A144" s="5118"/>
      <c r="B144" s="5119"/>
      <c r="C144" s="5119"/>
      <c r="D144" s="5085"/>
      <c r="E144" s="5085"/>
      <c r="F144" s="5085"/>
      <c r="G144" s="5085"/>
      <c r="H144" s="5085"/>
      <c r="I144" s="5085"/>
      <c r="J144" s="5085"/>
      <c r="K144" s="5085"/>
      <c r="L144" s="5085"/>
      <c r="M144" s="5085"/>
      <c r="N144" s="5085"/>
      <c r="O144" s="5085"/>
      <c r="P144" s="5085"/>
      <c r="Q144" s="5085"/>
      <c r="R144" s="5085"/>
      <c r="S144" s="5085"/>
      <c r="T144" s="5085"/>
      <c r="U144" s="5085"/>
      <c r="V144" s="5085"/>
      <c r="W144" s="5085"/>
      <c r="X144" s="5085"/>
      <c r="Y144" s="5085"/>
      <c r="Z144" s="5102"/>
      <c r="AB144" s="4"/>
      <c r="AC144" s="4"/>
    </row>
    <row r="145" spans="1:31">
      <c r="A145" s="5108">
        <v>340</v>
      </c>
      <c r="B145" s="5113"/>
      <c r="C145" s="5110"/>
      <c r="D145" s="5085"/>
      <c r="E145" s="5085"/>
      <c r="F145" s="5085"/>
      <c r="G145" s="5085"/>
      <c r="H145" s="5085"/>
      <c r="I145" s="5085"/>
      <c r="J145" s="5085"/>
      <c r="K145" s="5085"/>
      <c r="L145" s="5085"/>
      <c r="M145" s="5085"/>
      <c r="N145" s="5085"/>
      <c r="O145" s="5085"/>
      <c r="P145" s="5085"/>
      <c r="Q145" s="5085"/>
      <c r="R145" s="5085"/>
      <c r="S145" s="5085"/>
      <c r="T145" s="5085"/>
      <c r="U145" s="5085"/>
      <c r="V145" s="5085"/>
      <c r="W145" s="5085"/>
      <c r="X145" s="5085"/>
      <c r="Y145" s="5085"/>
      <c r="Z145" s="5102"/>
      <c r="AB145" s="5114">
        <f>B_Uspjeha!AP176-B145</f>
        <v>0</v>
      </c>
      <c r="AC145" s="4"/>
    </row>
    <row r="146" spans="1:31">
      <c r="A146" s="5108">
        <v>341</v>
      </c>
      <c r="B146" s="5113"/>
      <c r="C146" s="5110"/>
      <c r="D146" s="5085"/>
      <c r="E146" s="5085"/>
      <c r="F146" s="5085"/>
      <c r="G146" s="5085"/>
      <c r="H146" s="5085"/>
      <c r="I146" s="5085"/>
      <c r="J146" s="5085"/>
      <c r="K146" s="5085"/>
      <c r="L146" s="5085"/>
      <c r="M146" s="5085"/>
      <c r="N146" s="5085"/>
      <c r="O146" s="5085"/>
      <c r="P146" s="5085"/>
      <c r="Q146" s="5085"/>
      <c r="R146" s="5085"/>
      <c r="S146" s="5085"/>
      <c r="T146" s="5085"/>
      <c r="U146" s="5085"/>
      <c r="V146" s="5085"/>
      <c r="W146" s="5085"/>
      <c r="X146" s="5085"/>
      <c r="Y146" s="5085"/>
      <c r="Z146" s="5102"/>
      <c r="AB146" s="5114">
        <f>B_Uspjeha!AP177-B146</f>
        <v>0</v>
      </c>
      <c r="AC146" s="4"/>
    </row>
    <row r="147" spans="1:31">
      <c r="A147" s="5118"/>
      <c r="B147" s="5119"/>
      <c r="C147" s="5119"/>
      <c r="D147" s="5085"/>
      <c r="E147" s="5085"/>
      <c r="F147" s="5085"/>
      <c r="G147" s="5085"/>
      <c r="H147" s="5085"/>
      <c r="I147" s="5085"/>
      <c r="J147" s="5085"/>
      <c r="K147" s="5085"/>
      <c r="L147" s="5085"/>
      <c r="M147" s="5085"/>
      <c r="N147" s="5085"/>
      <c r="O147" s="5085"/>
      <c r="P147" s="5085"/>
      <c r="Q147" s="5085"/>
      <c r="R147" s="5085"/>
      <c r="S147" s="5085"/>
      <c r="T147" s="5085"/>
      <c r="U147" s="5085"/>
      <c r="V147" s="5085"/>
      <c r="W147" s="5085"/>
      <c r="X147" s="5085"/>
      <c r="Y147" s="5085"/>
      <c r="Z147" s="5102"/>
      <c r="AB147" s="4"/>
      <c r="AC147" s="4"/>
    </row>
    <row r="148" spans="1:31">
      <c r="A148" s="5108">
        <v>342</v>
      </c>
      <c r="B148" s="5113"/>
      <c r="C148" s="5110"/>
      <c r="D148" s="5085"/>
      <c r="E148" s="5085"/>
      <c r="F148" s="5085"/>
      <c r="G148" s="5085"/>
      <c r="H148" s="5085"/>
      <c r="I148" s="5085"/>
      <c r="J148" s="5085"/>
      <c r="K148" s="5085"/>
      <c r="L148" s="5085"/>
      <c r="M148" s="5085"/>
      <c r="N148" s="5085"/>
      <c r="O148" s="5085"/>
      <c r="P148" s="5085"/>
      <c r="Q148" s="5085"/>
      <c r="R148" s="5085"/>
      <c r="S148" s="5085"/>
      <c r="T148" s="5085"/>
      <c r="U148" s="5085"/>
      <c r="V148" s="5085"/>
      <c r="W148" s="5085"/>
      <c r="X148" s="5085"/>
      <c r="Y148" s="5085"/>
      <c r="Z148" s="5102"/>
      <c r="AB148" s="5114">
        <f>B_Uspjeha!AP179-B148</f>
        <v>0</v>
      </c>
      <c r="AC148" s="4"/>
    </row>
    <row r="149" spans="1:31">
      <c r="A149" s="5108">
        <v>343</v>
      </c>
      <c r="B149" s="5113"/>
      <c r="C149" s="5110"/>
      <c r="D149" s="5085"/>
      <c r="E149" s="5085"/>
      <c r="F149" s="5085"/>
      <c r="G149" s="5085"/>
      <c r="H149" s="5085"/>
      <c r="I149" s="5085"/>
      <c r="J149" s="5085"/>
      <c r="K149" s="5085"/>
      <c r="L149" s="5085"/>
      <c r="M149" s="5085"/>
      <c r="N149" s="5085"/>
      <c r="O149" s="5085"/>
      <c r="P149" s="5085"/>
      <c r="Q149" s="5085"/>
      <c r="R149" s="5085"/>
      <c r="S149" s="5085"/>
      <c r="T149" s="5085"/>
      <c r="U149" s="5085"/>
      <c r="V149" s="5085"/>
      <c r="W149" s="5085"/>
      <c r="X149" s="5085"/>
      <c r="Y149" s="5085"/>
      <c r="Z149" s="5102"/>
      <c r="AB149" s="5114">
        <f>B_Uspjeha!AP180-B149</f>
        <v>0</v>
      </c>
      <c r="AC149" s="4"/>
    </row>
    <row r="150" spans="1:31">
      <c r="A150" s="5118"/>
      <c r="B150" s="5119"/>
      <c r="C150" s="5119"/>
      <c r="D150" s="5085"/>
      <c r="E150" s="5085"/>
      <c r="F150" s="5085"/>
      <c r="G150" s="5085"/>
      <c r="H150" s="5085"/>
      <c r="I150" s="5085"/>
      <c r="J150" s="5085"/>
      <c r="K150" s="5085"/>
      <c r="L150" s="5085"/>
      <c r="M150" s="5085"/>
      <c r="N150" s="5085"/>
      <c r="O150" s="5085"/>
      <c r="P150" s="5085"/>
      <c r="Q150" s="5085"/>
      <c r="R150" s="5085"/>
      <c r="S150" s="5085"/>
      <c r="T150" s="5085"/>
      <c r="U150" s="5085"/>
      <c r="V150" s="5085"/>
      <c r="W150" s="5085"/>
      <c r="X150" s="5085"/>
      <c r="Y150" s="5085"/>
      <c r="Z150" s="5102"/>
      <c r="AB150" s="4"/>
      <c r="AC150" s="4"/>
    </row>
    <row r="151" spans="1:31">
      <c r="A151" s="5108">
        <v>344</v>
      </c>
      <c r="B151" s="5113"/>
      <c r="C151" s="5110"/>
      <c r="D151" s="5085"/>
      <c r="E151" s="5085"/>
      <c r="F151" s="5085"/>
      <c r="G151" s="5085"/>
      <c r="H151" s="5085"/>
      <c r="I151" s="5085"/>
      <c r="J151" s="5085"/>
      <c r="K151" s="5085"/>
      <c r="L151" s="5085"/>
      <c r="M151" s="5085"/>
      <c r="N151" s="5085"/>
      <c r="O151" s="5085"/>
      <c r="P151" s="5085"/>
      <c r="Q151" s="5085"/>
      <c r="R151" s="5085"/>
      <c r="S151" s="5085"/>
      <c r="T151" s="5085"/>
      <c r="U151" s="5085"/>
      <c r="V151" s="5085"/>
      <c r="W151" s="5085"/>
      <c r="X151" s="5085"/>
      <c r="Y151" s="5085"/>
      <c r="Z151" s="5102"/>
      <c r="AB151" s="5114">
        <f>B_Uspjeha!AP182-B151</f>
        <v>0</v>
      </c>
      <c r="AC151" s="4"/>
    </row>
    <row r="152" spans="1:31">
      <c r="A152" s="5108">
        <v>345</v>
      </c>
      <c r="B152" s="5113"/>
      <c r="C152" s="5110"/>
      <c r="D152" s="5085"/>
      <c r="E152" s="5085"/>
      <c r="F152" s="5085"/>
      <c r="G152" s="5085"/>
      <c r="H152" s="5085"/>
      <c r="I152" s="5085"/>
      <c r="J152" s="5085"/>
      <c r="K152" s="5085"/>
      <c r="L152" s="5085"/>
      <c r="M152" s="5085"/>
      <c r="N152" s="5085"/>
      <c r="O152" s="5085"/>
      <c r="P152" s="5085"/>
      <c r="Q152" s="5085"/>
      <c r="R152" s="5085"/>
      <c r="S152" s="5085"/>
      <c r="T152" s="5085"/>
      <c r="U152" s="5085"/>
      <c r="V152" s="5085"/>
      <c r="W152" s="5085"/>
      <c r="X152" s="5085"/>
      <c r="Y152" s="5085"/>
      <c r="Z152" s="5102"/>
      <c r="AB152" s="5114">
        <f>B_Uspjeha!AP183-B152</f>
        <v>0</v>
      </c>
      <c r="AC152" s="4"/>
    </row>
    <row r="153" spans="1:31">
      <c r="A153" s="5085"/>
      <c r="B153" s="5087"/>
      <c r="C153" s="5087"/>
      <c r="D153" s="5085"/>
      <c r="E153" s="5085"/>
      <c r="F153" s="5085"/>
      <c r="G153" s="5085"/>
      <c r="H153" s="5085"/>
      <c r="I153" s="5085"/>
      <c r="J153" s="5085"/>
      <c r="K153" s="5085"/>
      <c r="L153" s="5085"/>
      <c r="M153" s="5085"/>
      <c r="N153" s="5085"/>
      <c r="O153" s="5085"/>
      <c r="P153" s="5085"/>
      <c r="Q153" s="5085"/>
      <c r="R153" s="5085"/>
      <c r="S153" s="5085"/>
      <c r="T153" s="5085"/>
      <c r="U153" s="5085"/>
      <c r="V153" s="5085"/>
      <c r="W153" s="5085"/>
      <c r="X153" s="5085"/>
      <c r="Y153" s="5085"/>
      <c r="Z153" s="5102"/>
      <c r="AB153" s="4"/>
      <c r="AC153" s="4"/>
    </row>
    <row r="154" spans="1:31">
      <c r="A154" s="5085"/>
      <c r="B154" s="5087"/>
      <c r="C154" s="5087"/>
      <c r="D154" s="5085"/>
      <c r="E154" s="5085"/>
      <c r="F154" s="5085"/>
      <c r="G154" s="5085"/>
      <c r="H154" s="5085"/>
      <c r="I154" s="5085"/>
      <c r="J154" s="5085"/>
      <c r="K154" s="5085"/>
      <c r="L154" s="5085"/>
      <c r="M154" s="5085"/>
      <c r="N154" s="5085"/>
      <c r="O154" s="5085"/>
      <c r="P154" s="5085"/>
      <c r="Q154" s="5085"/>
      <c r="R154" s="5085"/>
      <c r="S154" s="5085"/>
      <c r="T154" s="5085"/>
      <c r="U154" s="5085"/>
      <c r="V154" s="5085"/>
      <c r="W154" s="5085"/>
      <c r="X154" s="5085"/>
      <c r="Y154" s="5085"/>
      <c r="Z154" s="5102"/>
      <c r="AB154" s="4"/>
      <c r="AC154" s="4"/>
    </row>
    <row r="155" spans="1:31">
      <c r="A155" s="5085"/>
      <c r="B155" s="5087"/>
      <c r="C155" s="5087"/>
      <c r="D155" s="5085"/>
      <c r="E155" s="5085"/>
      <c r="F155" s="5085"/>
      <c r="G155" s="5085"/>
      <c r="H155" s="5085"/>
      <c r="I155" s="5085"/>
      <c r="J155" s="5085"/>
      <c r="K155" s="5085"/>
      <c r="L155" s="5085"/>
      <c r="M155" s="5085"/>
      <c r="N155" s="5085"/>
      <c r="O155" s="5085"/>
      <c r="P155" s="5085"/>
      <c r="Q155" s="5085"/>
      <c r="R155" s="5085"/>
      <c r="S155" s="5085"/>
      <c r="T155" s="5085"/>
      <c r="U155" s="5085"/>
      <c r="V155" s="5085"/>
      <c r="W155" s="5085"/>
      <c r="X155" s="5085"/>
      <c r="Y155" s="5085"/>
      <c r="Z155" s="5102"/>
      <c r="AB155" s="4"/>
      <c r="AC155" s="4"/>
    </row>
    <row r="156" ht="21" customHeight="1" spans="1:31">
      <c r="A156" s="5091"/>
      <c r="B156" s="5092" t="str">
        <f>"BILANS STANJA - "&amp;Firma&amp;"_"&amp;UnosPod!$O$6&amp;UnosPod!$P$6&amp;"."&amp;UnosPod!$Q$6-1</f>
        <v>BILANS STANJA - LILIUM ASSET MANAGEMENT d.o.o. Sarajevo_12.2024</v>
      </c>
      <c r="C156" s="5120"/>
      <c r="D156" s="5121"/>
      <c r="E156" s="5121"/>
      <c r="F156" s="5121"/>
      <c r="G156" s="5122"/>
      <c r="H156" s="5123"/>
      <c r="I156" s="5124"/>
      <c r="J156" s="5125"/>
      <c r="K156" s="5125"/>
      <c r="L156" s="5125"/>
      <c r="M156" s="5125"/>
      <c r="N156" s="5125"/>
      <c r="O156" s="5125"/>
      <c r="P156" s="5125"/>
      <c r="Q156" s="5125"/>
      <c r="R156" s="5125"/>
      <c r="S156" s="5125"/>
      <c r="T156" s="5125"/>
      <c r="U156" s="5125"/>
      <c r="V156" s="5125"/>
      <c r="W156" s="5125"/>
      <c r="X156" s="5125"/>
      <c r="Y156" s="5125"/>
      <c r="Z156" s="5126"/>
      <c r="AB156" s="7"/>
      <c r="AC156" s="8"/>
    </row>
    <row r="157" ht="21" spans="1:31">
      <c r="A157" s="5097"/>
      <c r="B157" s="5098">
        <f ca="1">PoslGod-1</f>
        <v>2024</v>
      </c>
      <c r="C157" s="5127"/>
      <c r="D157" s="5128"/>
      <c r="E157" s="5085"/>
      <c r="F157" s="5085"/>
      <c r="G157" s="5085"/>
      <c r="H157" s="5085"/>
      <c r="I157" s="5085"/>
      <c r="J157" s="5085"/>
      <c r="K157" s="5085"/>
      <c r="L157" s="5085"/>
      <c r="M157" s="5085"/>
      <c r="N157" s="5085"/>
      <c r="O157" s="5085"/>
      <c r="P157" s="5085"/>
      <c r="Q157" s="5085"/>
      <c r="R157" s="5085"/>
      <c r="S157" s="5085"/>
      <c r="T157" s="5085"/>
      <c r="U157" s="5085"/>
      <c r="V157" s="5085"/>
      <c r="W157" s="5085"/>
      <c r="X157" s="5085"/>
      <c r="Y157" s="5085"/>
      <c r="Z157" s="5129"/>
      <c r="AA157" s="2"/>
      <c r="AB157" s="60" t="s">
        <v>4473</v>
      </c>
      <c r="AC157" s="5130" t="s">
        <v>4474</v>
      </c>
      <c r="AE157" s="5090"/>
    </row>
    <row r="158" ht="15" spans="1:31">
      <c r="A158" s="5104" t="s">
        <v>2438</v>
      </c>
      <c r="B158" s="5105" t="s">
        <v>4443</v>
      </c>
      <c r="C158" s="5105"/>
      <c r="D158" s="5128"/>
      <c r="E158" s="5085"/>
      <c r="F158" s="5085"/>
      <c r="G158" s="5085"/>
      <c r="H158" s="5085"/>
      <c r="I158" s="5085"/>
      <c r="J158" s="5085"/>
      <c r="K158" s="5085"/>
      <c r="L158" s="5085"/>
      <c r="M158" s="5085"/>
      <c r="N158" s="5085"/>
      <c r="O158" s="5085"/>
      <c r="P158" s="5085"/>
      <c r="Q158" s="5085"/>
      <c r="R158" s="5085"/>
      <c r="S158" s="5085"/>
      <c r="T158" s="5085"/>
      <c r="U158" s="5085"/>
      <c r="V158" s="5085"/>
      <c r="W158" s="5085"/>
      <c r="X158" s="5085"/>
      <c r="Y158" s="5085"/>
      <c r="Z158" s="5129"/>
      <c r="AA158" s="2"/>
      <c r="AB158" s="60"/>
      <c r="AC158" s="5130"/>
      <c r="AE158" s="5090"/>
    </row>
    <row r="159" ht="15" spans="1:31">
      <c r="A159" s="5131" t="s">
        <v>384</v>
      </c>
      <c r="B159" s="5132">
        <f>B_Stanja!AP21</f>
        <v>151656</v>
      </c>
      <c r="C159" s="5133"/>
      <c r="D159" s="5134"/>
      <c r="E159" s="5085"/>
      <c r="F159" s="5085"/>
      <c r="G159" s="5085"/>
      <c r="H159" s="5085"/>
      <c r="I159" s="5085"/>
      <c r="J159" s="5085"/>
      <c r="K159" s="5085"/>
      <c r="L159" s="5085"/>
      <c r="M159" s="5085"/>
      <c r="N159" s="5085"/>
      <c r="O159" s="5085"/>
      <c r="P159" s="5085"/>
      <c r="Q159" s="5085"/>
      <c r="R159" s="5085"/>
      <c r="S159" s="5085"/>
      <c r="T159" s="5085"/>
      <c r="U159" s="5085"/>
      <c r="V159" s="5085"/>
      <c r="W159" s="5085"/>
      <c r="X159" s="5085"/>
      <c r="Y159" s="5085"/>
      <c r="Z159" s="5129"/>
      <c r="AA159" s="2"/>
      <c r="AB159" s="5135">
        <f>B_Stanja!AP21-B159</f>
        <v>0</v>
      </c>
      <c r="AC159" s="5136">
        <f>B_Stanja_M!AP21-D159</f>
        <v>0</v>
      </c>
      <c r="AD159" s="5090">
        <f>IF(AB159=0,0,"PAŽNJA! Provjerite AOP "&amp;A159&amp;" MSV - PROŠLU godinu, razlika = "&amp;TEXT(AB159,"#.##0,00 [$KM-141A]"))</f>
        <v>0</v>
      </c>
      <c r="AE159" s="5090"/>
    </row>
    <row r="160" ht="15" spans="1:31">
      <c r="A160" s="5131" t="s">
        <v>3874</v>
      </c>
      <c r="B160" s="5132">
        <f>B_Stanja!AP22</f>
        <v>26656</v>
      </c>
      <c r="C160" s="5110"/>
      <c r="D160" s="5134"/>
      <c r="E160" s="5085"/>
      <c r="F160" s="5085"/>
      <c r="G160" s="5085"/>
      <c r="H160" s="5085"/>
      <c r="I160" s="5085"/>
      <c r="J160" s="5085"/>
      <c r="K160" s="5085"/>
      <c r="L160" s="5085"/>
      <c r="M160" s="5085"/>
      <c r="N160" s="5085"/>
      <c r="O160" s="5085"/>
      <c r="P160" s="5085"/>
      <c r="Q160" s="5085"/>
      <c r="R160" s="5085"/>
      <c r="S160" s="5085"/>
      <c r="T160" s="5085"/>
      <c r="U160" s="5085"/>
      <c r="V160" s="5085"/>
      <c r="W160" s="5085"/>
      <c r="X160" s="5085"/>
      <c r="Y160" s="5085"/>
      <c r="Z160" s="5129"/>
      <c r="AA160" s="2"/>
      <c r="AB160" s="5135">
        <f>B_Stanja!AP22-B160</f>
        <v>0</v>
      </c>
      <c r="AC160" s="5137">
        <f>B_Stanja_M!AP22-D160</f>
        <v>0</v>
      </c>
      <c r="AD160" s="5090">
        <f t="shared" ref="AD160:AD222" si="0">IF(AB160=0,0,"PAŽNJA! Provjerite AOP "&amp;A160&amp;" MSV - PROŠLU godinu, razlika = "&amp;TEXT(AB160,"#.##0,00 [$KM-141A]"))</f>
        <v>0</v>
      </c>
      <c r="AE160" s="5090"/>
    </row>
    <row r="161" ht="15" spans="1:31">
      <c r="A161" s="5131" t="s">
        <v>405</v>
      </c>
      <c r="B161" s="5113"/>
      <c r="C161" s="5110"/>
      <c r="D161" s="5134"/>
      <c r="E161" s="5085"/>
      <c r="F161" s="5085"/>
      <c r="G161" s="5085"/>
      <c r="H161" s="5085"/>
      <c r="I161" s="5085"/>
      <c r="J161" s="5085"/>
      <c r="K161" s="5085"/>
      <c r="L161" s="5085"/>
      <c r="M161" s="5085"/>
      <c r="N161" s="5085"/>
      <c r="O161" s="5085"/>
      <c r="P161" s="5085"/>
      <c r="Q161" s="5085"/>
      <c r="R161" s="5085"/>
      <c r="S161" s="5085"/>
      <c r="T161" s="5085"/>
      <c r="U161" s="5085"/>
      <c r="V161" s="5085"/>
      <c r="W161" s="5085"/>
      <c r="X161" s="5085"/>
      <c r="Y161" s="5085"/>
      <c r="Z161" s="5129"/>
      <c r="AA161" s="2"/>
      <c r="AB161" s="5138">
        <f>B_Stanja!AP23-B161</f>
        <v>0</v>
      </c>
      <c r="AC161" s="5137">
        <f>B_Stanja_M!AP23-D161</f>
        <v>0</v>
      </c>
      <c r="AD161" s="5090"/>
      <c r="AE161" s="5090"/>
    </row>
    <row r="162" ht="15" spans="1:31">
      <c r="A162" s="5131" t="s">
        <v>3878</v>
      </c>
      <c r="B162" s="5113"/>
      <c r="C162" s="5110"/>
      <c r="D162" s="5134"/>
      <c r="E162" s="5085"/>
      <c r="F162" s="5085"/>
      <c r="G162" s="5085"/>
      <c r="H162" s="5085"/>
      <c r="I162" s="5085"/>
      <c r="J162" s="5085"/>
      <c r="K162" s="5085"/>
      <c r="L162" s="5085"/>
      <c r="M162" s="5085"/>
      <c r="N162" s="5085"/>
      <c r="O162" s="5085"/>
      <c r="P162" s="5085"/>
      <c r="Q162" s="5085"/>
      <c r="R162" s="5085"/>
      <c r="S162" s="5085"/>
      <c r="T162" s="5085"/>
      <c r="U162" s="5085"/>
      <c r="V162" s="5085"/>
      <c r="W162" s="5085"/>
      <c r="X162" s="5085"/>
      <c r="Y162" s="5085"/>
      <c r="Z162" s="5129"/>
      <c r="AA162" s="2"/>
      <c r="AB162" s="5138">
        <f>B_Stanja!AP24-B162</f>
        <v>0</v>
      </c>
      <c r="AC162" s="5137">
        <f>B_Stanja_M!AP24-D162</f>
        <v>0</v>
      </c>
      <c r="AD162" s="5090"/>
      <c r="AE162" s="5090"/>
    </row>
    <row r="163" ht="15" spans="1:31">
      <c r="A163" s="5131" t="s">
        <v>3881</v>
      </c>
      <c r="B163" s="5113"/>
      <c r="C163" s="5110"/>
      <c r="D163" s="5134"/>
      <c r="E163" s="5085"/>
      <c r="F163" s="5085"/>
      <c r="G163" s="5085"/>
      <c r="H163" s="5085"/>
      <c r="I163" s="5085"/>
      <c r="J163" s="5085"/>
      <c r="K163" s="5085"/>
      <c r="L163" s="5085"/>
      <c r="M163" s="5085"/>
      <c r="N163" s="5085"/>
      <c r="O163" s="5085"/>
      <c r="P163" s="5085"/>
      <c r="Q163" s="5085"/>
      <c r="R163" s="5085"/>
      <c r="S163" s="5085"/>
      <c r="T163" s="5085"/>
      <c r="U163" s="5085"/>
      <c r="V163" s="5085"/>
      <c r="W163" s="5085"/>
      <c r="X163" s="5085"/>
      <c r="Y163" s="5085"/>
      <c r="Z163" s="5129"/>
      <c r="AA163" s="2"/>
      <c r="AB163" s="5138">
        <f>B_Stanja!AP25-B163</f>
        <v>0</v>
      </c>
      <c r="AC163" s="5137">
        <f>B_Stanja_M!AP25-D163</f>
        <v>0</v>
      </c>
      <c r="AD163" s="5090"/>
      <c r="AE163" s="5090"/>
    </row>
    <row r="164" ht="15" spans="1:31">
      <c r="A164" s="5131" t="s">
        <v>3884</v>
      </c>
      <c r="B164" s="5113">
        <v>26656</v>
      </c>
      <c r="C164" s="5110"/>
      <c r="D164" s="5134"/>
      <c r="E164" s="5085"/>
      <c r="F164" s="5085"/>
      <c r="G164" s="5085"/>
      <c r="H164" s="5085"/>
      <c r="I164" s="5085"/>
      <c r="J164" s="5085"/>
      <c r="K164" s="5085"/>
      <c r="L164" s="5085"/>
      <c r="M164" s="5085"/>
      <c r="N164" s="5085"/>
      <c r="O164" s="5085"/>
      <c r="P164" s="5085"/>
      <c r="Q164" s="5085"/>
      <c r="R164" s="5085"/>
      <c r="S164" s="5085"/>
      <c r="T164" s="5085"/>
      <c r="U164" s="5085"/>
      <c r="V164" s="5085"/>
      <c r="W164" s="5085"/>
      <c r="X164" s="5085"/>
      <c r="Y164" s="5085"/>
      <c r="Z164" s="5129"/>
      <c r="AA164" s="2"/>
      <c r="AB164" s="5138">
        <f>B_Stanja!AP26-B164</f>
        <v>0</v>
      </c>
      <c r="AC164" s="5137">
        <f>B_Stanja_M!AP26-D164</f>
        <v>0</v>
      </c>
      <c r="AD164" s="5090"/>
      <c r="AE164" s="5090"/>
    </row>
    <row r="165" ht="15" spans="1:31">
      <c r="A165" s="5131" t="s">
        <v>3887</v>
      </c>
      <c r="B165" s="5113"/>
      <c r="C165" s="5110"/>
      <c r="D165" s="5134"/>
      <c r="E165" s="5085"/>
      <c r="F165" s="5085"/>
      <c r="G165" s="5085"/>
      <c r="H165" s="5085"/>
      <c r="I165" s="5085"/>
      <c r="J165" s="5085"/>
      <c r="K165" s="5085"/>
      <c r="L165" s="5085"/>
      <c r="M165" s="5085"/>
      <c r="N165" s="5085"/>
      <c r="O165" s="5085"/>
      <c r="P165" s="5085"/>
      <c r="Q165" s="5085"/>
      <c r="R165" s="5085"/>
      <c r="S165" s="5085"/>
      <c r="T165" s="5085"/>
      <c r="U165" s="5085"/>
      <c r="V165" s="5085"/>
      <c r="W165" s="5085"/>
      <c r="X165" s="5085"/>
      <c r="Y165" s="5085"/>
      <c r="Z165" s="5129"/>
      <c r="AA165" s="2"/>
      <c r="AB165" s="5138">
        <f>B_Stanja!AP27-B165</f>
        <v>0</v>
      </c>
      <c r="AC165" s="5137">
        <f>B_Stanja_M!AP27-D165</f>
        <v>0</v>
      </c>
      <c r="AD165" s="5090"/>
      <c r="AE165" s="5090"/>
    </row>
    <row r="166" ht="15" spans="1:31">
      <c r="A166" s="5131" t="s">
        <v>423</v>
      </c>
      <c r="B166" s="5113"/>
      <c r="C166" s="5110"/>
      <c r="D166" s="5134"/>
      <c r="E166" s="5085"/>
      <c r="F166" s="5085"/>
      <c r="G166" s="5085"/>
      <c r="H166" s="5085"/>
      <c r="I166" s="5085"/>
      <c r="J166" s="5085"/>
      <c r="K166" s="5085"/>
      <c r="L166" s="5085"/>
      <c r="M166" s="5085"/>
      <c r="N166" s="5085"/>
      <c r="O166" s="5085"/>
      <c r="P166" s="5085"/>
      <c r="Q166" s="5085"/>
      <c r="R166" s="5085"/>
      <c r="S166" s="5085"/>
      <c r="T166" s="5085"/>
      <c r="U166" s="5085"/>
      <c r="V166" s="5085"/>
      <c r="W166" s="5085"/>
      <c r="X166" s="5085"/>
      <c r="Y166" s="5085"/>
      <c r="Z166" s="5129"/>
      <c r="AA166" s="2"/>
      <c r="AB166" s="5138">
        <f>B_Stanja!AP28-B166</f>
        <v>0</v>
      </c>
      <c r="AC166" s="5137">
        <f>B_Stanja_M!AP28-D166</f>
        <v>0</v>
      </c>
      <c r="AD166" s="5090"/>
      <c r="AE166" s="5090"/>
    </row>
    <row r="167" ht="15" spans="1:31">
      <c r="A167" s="5131" t="s">
        <v>3892</v>
      </c>
      <c r="B167" s="5132">
        <f>B_Stanja!AP29</f>
        <v>0</v>
      </c>
      <c r="C167" s="5110"/>
      <c r="D167" s="5134"/>
      <c r="E167" s="5085"/>
      <c r="F167" s="5085"/>
      <c r="G167" s="5085"/>
      <c r="H167" s="5085"/>
      <c r="I167" s="5085"/>
      <c r="J167" s="5085"/>
      <c r="K167" s="5085"/>
      <c r="L167" s="5085"/>
      <c r="M167" s="5085"/>
      <c r="N167" s="5085"/>
      <c r="O167" s="5085"/>
      <c r="P167" s="5085"/>
      <c r="Q167" s="5085"/>
      <c r="R167" s="5085"/>
      <c r="S167" s="5085"/>
      <c r="T167" s="5085"/>
      <c r="U167" s="5085"/>
      <c r="V167" s="5085"/>
      <c r="W167" s="5085"/>
      <c r="X167" s="5085"/>
      <c r="Y167" s="5085"/>
      <c r="Z167" s="5129"/>
      <c r="AA167" s="2"/>
      <c r="AB167" s="5135">
        <f>B_Stanja!AP29-B167</f>
        <v>0</v>
      </c>
      <c r="AC167" s="5136">
        <f>B_Stanja_M!AP29-D167</f>
        <v>0</v>
      </c>
      <c r="AD167" s="5090">
        <f t="shared" si="0"/>
        <v>0</v>
      </c>
      <c r="AE167" s="5090"/>
    </row>
    <row r="168" ht="15" spans="1:31">
      <c r="A168" s="5131" t="s">
        <v>3894</v>
      </c>
      <c r="B168" s="5113"/>
      <c r="C168" s="5110"/>
      <c r="D168" s="5134"/>
      <c r="E168" s="5085"/>
      <c r="F168" s="5085"/>
      <c r="G168" s="5085"/>
      <c r="H168" s="5085"/>
      <c r="I168" s="5085"/>
      <c r="J168" s="5085"/>
      <c r="K168" s="5085"/>
      <c r="L168" s="5085"/>
      <c r="M168" s="5085"/>
      <c r="N168" s="5085"/>
      <c r="O168" s="5085"/>
      <c r="P168" s="5085"/>
      <c r="Q168" s="5085"/>
      <c r="R168" s="5085"/>
      <c r="S168" s="5085"/>
      <c r="T168" s="5085"/>
      <c r="U168" s="5085"/>
      <c r="V168" s="5085"/>
      <c r="W168" s="5085"/>
      <c r="X168" s="5085"/>
      <c r="Y168" s="5085"/>
      <c r="Z168" s="5129"/>
      <c r="AA168" s="2"/>
      <c r="AB168" s="5138">
        <f>B_Stanja!AP30-B168</f>
        <v>0</v>
      </c>
      <c r="AC168" s="5137">
        <f>B_Stanja_M!AP30-D168</f>
        <v>0</v>
      </c>
      <c r="AD168" s="5090"/>
      <c r="AE168" s="5090"/>
    </row>
    <row r="169" ht="15" spans="1:31">
      <c r="A169" s="5131" t="s">
        <v>441</v>
      </c>
      <c r="B169" s="5113"/>
      <c r="C169" s="5110"/>
      <c r="D169" s="5134"/>
      <c r="E169" s="5085"/>
      <c r="F169" s="5085"/>
      <c r="G169" s="5085"/>
      <c r="H169" s="5085"/>
      <c r="I169" s="5085"/>
      <c r="J169" s="5085"/>
      <c r="K169" s="5085"/>
      <c r="L169" s="5085"/>
      <c r="M169" s="5085"/>
      <c r="N169" s="5085"/>
      <c r="O169" s="5085"/>
      <c r="P169" s="5085"/>
      <c r="Q169" s="5085"/>
      <c r="R169" s="5085"/>
      <c r="S169" s="5085"/>
      <c r="T169" s="5085"/>
      <c r="U169" s="5085"/>
      <c r="V169" s="5085"/>
      <c r="W169" s="5085"/>
      <c r="X169" s="5085"/>
      <c r="Y169" s="5085"/>
      <c r="Z169" s="5129"/>
      <c r="AA169" s="2"/>
      <c r="AB169" s="5138">
        <f>B_Stanja!AP31-B169</f>
        <v>0</v>
      </c>
      <c r="AC169" s="5137">
        <f>B_Stanja_M!AP31-D169</f>
        <v>0</v>
      </c>
      <c r="AD169" s="5090"/>
      <c r="AE169" s="5090"/>
    </row>
    <row r="170" ht="15" spans="1:31">
      <c r="A170" s="5131" t="s">
        <v>616</v>
      </c>
      <c r="B170" s="5113"/>
      <c r="C170" s="5110"/>
      <c r="D170" s="5134"/>
      <c r="E170" s="5085"/>
      <c r="F170" s="5085"/>
      <c r="G170" s="5085"/>
      <c r="H170" s="5085"/>
      <c r="I170" s="5085"/>
      <c r="J170" s="5085"/>
      <c r="K170" s="5085"/>
      <c r="L170" s="5085"/>
      <c r="M170" s="5085"/>
      <c r="N170" s="5085"/>
      <c r="O170" s="5085"/>
      <c r="P170" s="5085"/>
      <c r="Q170" s="5085"/>
      <c r="R170" s="5085"/>
      <c r="S170" s="5085"/>
      <c r="T170" s="5085"/>
      <c r="U170" s="5085"/>
      <c r="V170" s="5085"/>
      <c r="W170" s="5085"/>
      <c r="X170" s="5085"/>
      <c r="Y170" s="5085"/>
      <c r="Z170" s="5129"/>
      <c r="AA170" s="2"/>
      <c r="AB170" s="5138">
        <f>B_Stanja!AP32-B170</f>
        <v>0</v>
      </c>
      <c r="AC170" s="5137">
        <f>B_Stanja_M!AP32-D170</f>
        <v>0</v>
      </c>
      <c r="AD170" s="5090"/>
      <c r="AE170" s="5090"/>
    </row>
    <row r="171" ht="15" spans="1:31">
      <c r="A171" s="5131" t="s">
        <v>455</v>
      </c>
      <c r="B171" s="5113"/>
      <c r="C171" s="5110"/>
      <c r="D171" s="5134"/>
      <c r="E171" s="5085"/>
      <c r="F171" s="5085"/>
      <c r="G171" s="5085"/>
      <c r="H171" s="5085"/>
      <c r="I171" s="5085"/>
      <c r="J171" s="5085"/>
      <c r="K171" s="5085"/>
      <c r="L171" s="5085"/>
      <c r="M171" s="5085"/>
      <c r="N171" s="5085"/>
      <c r="O171" s="5085"/>
      <c r="P171" s="5085"/>
      <c r="Q171" s="5085"/>
      <c r="R171" s="5085"/>
      <c r="S171" s="5085"/>
      <c r="T171" s="5085"/>
      <c r="U171" s="5085"/>
      <c r="V171" s="5085"/>
      <c r="W171" s="5085"/>
      <c r="X171" s="5085"/>
      <c r="Y171" s="5085"/>
      <c r="Z171" s="5129"/>
      <c r="AA171" s="2"/>
      <c r="AB171" s="5138">
        <f>B_Stanja!AP33-B171</f>
        <v>0</v>
      </c>
      <c r="AC171" s="5137">
        <f>B_Stanja_M!AP33-D171</f>
        <v>0</v>
      </c>
      <c r="AD171" s="5090"/>
      <c r="AE171" s="5090"/>
    </row>
    <row r="172" ht="15" spans="1:31">
      <c r="A172" s="5131" t="s">
        <v>3903</v>
      </c>
      <c r="B172" s="5113"/>
      <c r="C172" s="5110"/>
      <c r="D172" s="5134"/>
      <c r="E172" s="5085"/>
      <c r="F172" s="5085"/>
      <c r="G172" s="5085"/>
      <c r="H172" s="5085"/>
      <c r="I172" s="5085"/>
      <c r="J172" s="5085"/>
      <c r="K172" s="5085"/>
      <c r="L172" s="5085"/>
      <c r="M172" s="5085"/>
      <c r="N172" s="5085"/>
      <c r="O172" s="5085"/>
      <c r="P172" s="5085"/>
      <c r="Q172" s="5085"/>
      <c r="R172" s="5085"/>
      <c r="S172" s="5085"/>
      <c r="T172" s="5085"/>
      <c r="U172" s="5085"/>
      <c r="V172" s="5085"/>
      <c r="W172" s="5085"/>
      <c r="X172" s="5085"/>
      <c r="Y172" s="5085"/>
      <c r="Z172" s="5129"/>
      <c r="AA172" s="2"/>
      <c r="AB172" s="5138">
        <f>B_Stanja!AP34-B172</f>
        <v>0</v>
      </c>
      <c r="AC172" s="5137">
        <f>B_Stanja_M!AP34-D172</f>
        <v>0</v>
      </c>
      <c r="AD172" s="5090"/>
      <c r="AE172" s="5090"/>
    </row>
    <row r="173" ht="15" spans="1:31">
      <c r="A173" s="5131" t="s">
        <v>3906</v>
      </c>
      <c r="B173" s="5132">
        <f>B_Stanja!AP35</f>
        <v>0</v>
      </c>
      <c r="C173" s="5110"/>
      <c r="D173" s="5134"/>
      <c r="E173" s="5085"/>
      <c r="F173" s="5085"/>
      <c r="G173" s="5085"/>
      <c r="H173" s="5085"/>
      <c r="I173" s="5085"/>
      <c r="J173" s="5085"/>
      <c r="K173" s="5085"/>
      <c r="L173" s="5085"/>
      <c r="M173" s="5085"/>
      <c r="N173" s="5085"/>
      <c r="O173" s="5085"/>
      <c r="P173" s="5085"/>
      <c r="Q173" s="5085"/>
      <c r="R173" s="5085"/>
      <c r="S173" s="5085"/>
      <c r="T173" s="5085"/>
      <c r="U173" s="5085"/>
      <c r="V173" s="5085"/>
      <c r="W173" s="5085"/>
      <c r="X173" s="5085"/>
      <c r="Y173" s="5085"/>
      <c r="Z173" s="5129"/>
      <c r="AA173" s="2"/>
      <c r="AB173" s="5135">
        <f>B_Stanja!AP35-B173</f>
        <v>0</v>
      </c>
      <c r="AC173" s="5137">
        <f>B_Stanja_M!AP35-D173</f>
        <v>0</v>
      </c>
      <c r="AD173" s="5090">
        <f t="shared" si="0"/>
        <v>0</v>
      </c>
      <c r="AE173" s="5090"/>
    </row>
    <row r="174" ht="15" spans="1:31">
      <c r="A174" s="5131" t="s">
        <v>469</v>
      </c>
      <c r="B174" s="5113"/>
      <c r="C174" s="5110"/>
      <c r="D174" s="5134"/>
      <c r="E174" s="5085"/>
      <c r="F174" s="5085"/>
      <c r="G174" s="5085"/>
      <c r="H174" s="5085"/>
      <c r="I174" s="5085"/>
      <c r="J174" s="5085"/>
      <c r="K174" s="5085"/>
      <c r="L174" s="5085"/>
      <c r="M174" s="5085"/>
      <c r="N174" s="5085"/>
      <c r="O174" s="5085"/>
      <c r="P174" s="5085"/>
      <c r="Q174" s="5085"/>
      <c r="R174" s="5085"/>
      <c r="S174" s="5085"/>
      <c r="T174" s="5085"/>
      <c r="U174" s="5085"/>
      <c r="V174" s="5085"/>
      <c r="W174" s="5085"/>
      <c r="X174" s="5085"/>
      <c r="Y174" s="5085"/>
      <c r="Z174" s="5129"/>
      <c r="AA174" s="2"/>
      <c r="AB174" s="5138">
        <f>B_Stanja!AP36-B174</f>
        <v>0</v>
      </c>
      <c r="AC174" s="5137">
        <f>B_Stanja_M!AP36-D174</f>
        <v>0</v>
      </c>
      <c r="AD174" s="5090"/>
      <c r="AE174" s="5090"/>
    </row>
    <row r="175" ht="15" spans="1:31">
      <c r="A175" s="5131" t="s">
        <v>484</v>
      </c>
      <c r="B175" s="5113"/>
      <c r="C175" s="5110"/>
      <c r="D175" s="5134"/>
      <c r="E175" s="5085"/>
      <c r="F175" s="5085"/>
      <c r="G175" s="5085"/>
      <c r="H175" s="5085"/>
      <c r="I175" s="5085"/>
      <c r="J175" s="5085"/>
      <c r="K175" s="5085"/>
      <c r="L175" s="5085"/>
      <c r="M175" s="5085"/>
      <c r="N175" s="5085"/>
      <c r="O175" s="5085"/>
      <c r="P175" s="5085"/>
      <c r="Q175" s="5085"/>
      <c r="R175" s="5085"/>
      <c r="S175" s="5085"/>
      <c r="T175" s="5085"/>
      <c r="U175" s="5085"/>
      <c r="V175" s="5085"/>
      <c r="W175" s="5085"/>
      <c r="X175" s="5085"/>
      <c r="Y175" s="5085"/>
      <c r="Z175" s="5129"/>
      <c r="AA175" s="2"/>
      <c r="AB175" s="5138">
        <f>B_Stanja!AP37-B175</f>
        <v>0</v>
      </c>
      <c r="AC175" s="5136">
        <f>B_Stanja_M!AP37-D175</f>
        <v>0</v>
      </c>
      <c r="AD175" s="5090"/>
      <c r="AE175" s="5090"/>
    </row>
    <row r="176" ht="15" spans="1:31">
      <c r="A176" s="5131" t="s">
        <v>498</v>
      </c>
      <c r="B176" s="5113"/>
      <c r="C176" s="5110"/>
      <c r="D176" s="5134"/>
      <c r="E176" s="5085"/>
      <c r="F176" s="5085"/>
      <c r="G176" s="5085"/>
      <c r="H176" s="5085"/>
      <c r="I176" s="5085"/>
      <c r="J176" s="5085"/>
      <c r="K176" s="5085"/>
      <c r="L176" s="5085"/>
      <c r="M176" s="5085"/>
      <c r="N176" s="5085"/>
      <c r="O176" s="5085"/>
      <c r="P176" s="5085"/>
      <c r="Q176" s="5085"/>
      <c r="R176" s="5085"/>
      <c r="S176" s="5085"/>
      <c r="T176" s="5085"/>
      <c r="U176" s="5085"/>
      <c r="V176" s="5085"/>
      <c r="W176" s="5085"/>
      <c r="X176" s="5085"/>
      <c r="Y176" s="5085"/>
      <c r="Z176" s="5129"/>
      <c r="AA176" s="2"/>
      <c r="AB176" s="5138">
        <f>B_Stanja!AP38-B176</f>
        <v>0</v>
      </c>
      <c r="AC176" s="5137">
        <f>B_Stanja_M!AP38-D176</f>
        <v>0</v>
      </c>
      <c r="AD176" s="5090"/>
      <c r="AE176" s="5090"/>
    </row>
    <row r="177" ht="15.75" spans="1:31">
      <c r="A177" s="5131" t="s">
        <v>526</v>
      </c>
      <c r="B177" s="5113"/>
      <c r="C177" s="5110"/>
      <c r="D177" s="5134"/>
      <c r="E177" s="5085"/>
      <c r="F177" s="5085"/>
      <c r="G177" s="5085"/>
      <c r="H177" s="5085"/>
      <c r="I177" s="5085"/>
      <c r="J177" s="5085"/>
      <c r="K177" s="5085"/>
      <c r="L177" s="5085"/>
      <c r="M177" s="5085"/>
      <c r="N177" s="5085"/>
      <c r="O177" s="5085"/>
      <c r="P177" s="5085"/>
      <c r="Q177" s="5085"/>
      <c r="R177" s="5085"/>
      <c r="S177" s="5085"/>
      <c r="T177" s="5085"/>
      <c r="U177" s="5085"/>
      <c r="V177" s="5085"/>
      <c r="W177" s="5085"/>
      <c r="X177" s="5085"/>
      <c r="Y177" s="5085"/>
      <c r="Z177" s="5129"/>
      <c r="AA177" s="2"/>
      <c r="AB177" s="5138">
        <f>B_Stanja!AP39-B177</f>
        <v>0</v>
      </c>
      <c r="AC177" s="5139">
        <f>B_Stanja_M!AP39-D177</f>
        <v>0</v>
      </c>
      <c r="AD177" s="5090"/>
      <c r="AE177" s="5090"/>
    </row>
    <row r="178" ht="15.75" spans="1:31">
      <c r="A178" s="5131" t="s">
        <v>3916</v>
      </c>
      <c r="B178" s="5113"/>
      <c r="C178" s="5110"/>
      <c r="D178" s="5134"/>
      <c r="E178" s="5085"/>
      <c r="F178" s="5085"/>
      <c r="G178" s="5085"/>
      <c r="H178" s="5085"/>
      <c r="I178" s="5085"/>
      <c r="J178" s="5085"/>
      <c r="K178" s="5085"/>
      <c r="L178" s="5085"/>
      <c r="M178" s="5085"/>
      <c r="N178" s="5085"/>
      <c r="O178" s="5085"/>
      <c r="P178" s="5085"/>
      <c r="Q178" s="5085"/>
      <c r="R178" s="5085"/>
      <c r="S178" s="5085"/>
      <c r="T178" s="5085"/>
      <c r="U178" s="5085"/>
      <c r="V178" s="5085"/>
      <c r="W178" s="5085"/>
      <c r="X178" s="5085"/>
      <c r="Y178" s="5085"/>
      <c r="Z178" s="5129"/>
      <c r="AA178" s="2"/>
      <c r="AB178" s="5138">
        <f>B_Stanja!AP40-B178</f>
        <v>0</v>
      </c>
      <c r="AC178" s="5140">
        <f>B_Stanja_M!AP48-D178</f>
        <v>0</v>
      </c>
      <c r="AD178" s="5090"/>
      <c r="AE178" s="5090"/>
    </row>
    <row r="179" ht="15" spans="1:31">
      <c r="A179" s="5131" t="s">
        <v>541</v>
      </c>
      <c r="B179" s="5113"/>
      <c r="C179" s="5110"/>
      <c r="D179" s="5134"/>
      <c r="E179" s="5085"/>
      <c r="F179" s="5085"/>
      <c r="G179" s="5085"/>
      <c r="H179" s="5085"/>
      <c r="I179" s="5085"/>
      <c r="J179" s="5085"/>
      <c r="K179" s="5085"/>
      <c r="L179" s="5085"/>
      <c r="M179" s="5085"/>
      <c r="N179" s="5085"/>
      <c r="O179" s="5085"/>
      <c r="P179" s="5085"/>
      <c r="Q179" s="5085"/>
      <c r="R179" s="5085"/>
      <c r="S179" s="5085"/>
      <c r="T179" s="5085"/>
      <c r="U179" s="5085"/>
      <c r="V179" s="5085"/>
      <c r="W179" s="5085"/>
      <c r="X179" s="5085"/>
      <c r="Y179" s="5085"/>
      <c r="Z179" s="5129"/>
      <c r="AA179" s="2"/>
      <c r="AB179" s="5138">
        <f>B_Stanja!AP41-B179</f>
        <v>0</v>
      </c>
      <c r="AC179" s="5137">
        <f>B_Stanja_M!AP49-D179</f>
        <v>0</v>
      </c>
      <c r="AD179" s="5090"/>
      <c r="AE179" s="5090"/>
    </row>
    <row r="180" ht="15" spans="1:31">
      <c r="A180" s="5131" t="s">
        <v>3921</v>
      </c>
      <c r="B180" s="5113"/>
      <c r="C180" s="5110"/>
      <c r="D180" s="5134"/>
      <c r="E180" s="5085"/>
      <c r="F180" s="5085"/>
      <c r="G180" s="5085"/>
      <c r="H180" s="5085"/>
      <c r="I180" s="5085"/>
      <c r="J180" s="5085"/>
      <c r="K180" s="5085"/>
      <c r="L180" s="5085"/>
      <c r="M180" s="5085"/>
      <c r="N180" s="5085"/>
      <c r="O180" s="5085"/>
      <c r="P180" s="5085"/>
      <c r="Q180" s="5085"/>
      <c r="R180" s="5085"/>
      <c r="S180" s="5085"/>
      <c r="T180" s="5085"/>
      <c r="U180" s="5085"/>
      <c r="V180" s="5085"/>
      <c r="W180" s="5085"/>
      <c r="X180" s="5085"/>
      <c r="Y180" s="5085"/>
      <c r="Z180" s="5129"/>
      <c r="AA180" s="2"/>
      <c r="AB180" s="5138">
        <f>B_Stanja!AP42-B180</f>
        <v>0</v>
      </c>
      <c r="AC180" s="5137">
        <f>B_Stanja_M!AP50-D180</f>
        <v>0</v>
      </c>
      <c r="AD180" s="5090"/>
      <c r="AE180" s="5090"/>
    </row>
    <row r="181" ht="15" spans="1:31">
      <c r="A181" s="5131" t="s">
        <v>566</v>
      </c>
      <c r="B181" s="5113"/>
      <c r="C181" s="5110"/>
      <c r="D181" s="5134"/>
      <c r="E181" s="5085"/>
      <c r="F181" s="5085"/>
      <c r="G181" s="5085"/>
      <c r="H181" s="5085"/>
      <c r="I181" s="5085"/>
      <c r="J181" s="5085"/>
      <c r="K181" s="5085"/>
      <c r="L181" s="5085"/>
      <c r="M181" s="5085"/>
      <c r="N181" s="5085"/>
      <c r="O181" s="5085"/>
      <c r="P181" s="5085"/>
      <c r="Q181" s="5085"/>
      <c r="R181" s="5085"/>
      <c r="S181" s="5085"/>
      <c r="T181" s="5085"/>
      <c r="U181" s="5085"/>
      <c r="V181" s="5085"/>
      <c r="W181" s="5085"/>
      <c r="X181" s="5085"/>
      <c r="Y181" s="5085"/>
      <c r="Z181" s="5129"/>
      <c r="AA181" s="2"/>
      <c r="AB181" s="5138">
        <f>B_Stanja!AP43-B181</f>
        <v>0</v>
      </c>
      <c r="AC181" s="5137">
        <f>B_Stanja_M!AP51-D181</f>
        <v>0</v>
      </c>
      <c r="AD181" s="5090"/>
      <c r="AE181" s="5090"/>
    </row>
    <row r="182" ht="15" spans="1:31">
      <c r="A182" s="5131" t="s">
        <v>3926</v>
      </c>
      <c r="B182" s="5113"/>
      <c r="C182" s="5110"/>
      <c r="D182" s="5134"/>
      <c r="E182" s="5085"/>
      <c r="F182" s="5085"/>
      <c r="G182" s="5085"/>
      <c r="H182" s="5085"/>
      <c r="I182" s="5085"/>
      <c r="J182" s="5085"/>
      <c r="K182" s="5085"/>
      <c r="L182" s="5085"/>
      <c r="M182" s="5085"/>
      <c r="N182" s="5085"/>
      <c r="O182" s="5085"/>
      <c r="P182" s="5085"/>
      <c r="Q182" s="5085"/>
      <c r="R182" s="5085"/>
      <c r="S182" s="5085"/>
      <c r="T182" s="5085"/>
      <c r="U182" s="5085"/>
      <c r="V182" s="5085"/>
      <c r="W182" s="5085"/>
      <c r="X182" s="5085"/>
      <c r="Y182" s="5085"/>
      <c r="Z182" s="5129"/>
      <c r="AA182" s="2"/>
      <c r="AB182" s="5138">
        <f>B_Stanja!AP44-B182</f>
        <v>0</v>
      </c>
      <c r="AC182" s="5136">
        <f>B_Stanja_M!AP52-D182</f>
        <v>0</v>
      </c>
      <c r="AD182" s="5090"/>
      <c r="AE182" s="5090"/>
    </row>
    <row r="183" ht="15" spans="1:31">
      <c r="A183" s="5131" t="s">
        <v>967</v>
      </c>
      <c r="B183" s="5132">
        <f>B_Stanja!AP48</f>
        <v>0</v>
      </c>
      <c r="C183" s="5110"/>
      <c r="D183" s="5134"/>
      <c r="E183" s="5085"/>
      <c r="F183" s="5085"/>
      <c r="G183" s="5085"/>
      <c r="H183" s="5085"/>
      <c r="I183" s="5085"/>
      <c r="J183" s="5085"/>
      <c r="K183" s="5085"/>
      <c r="L183" s="5085"/>
      <c r="M183" s="5085"/>
      <c r="N183" s="5085"/>
      <c r="O183" s="5085"/>
      <c r="P183" s="5085"/>
      <c r="Q183" s="5085"/>
      <c r="R183" s="5085"/>
      <c r="S183" s="5085"/>
      <c r="T183" s="5085"/>
      <c r="U183" s="5085"/>
      <c r="V183" s="5085"/>
      <c r="W183" s="5085"/>
      <c r="X183" s="5085"/>
      <c r="Y183" s="5085"/>
      <c r="Z183" s="5129"/>
      <c r="AA183" s="2"/>
      <c r="AB183" s="5135">
        <f>B_Stanja!AP48-B183</f>
        <v>0</v>
      </c>
      <c r="AC183" s="5137">
        <f>B_Stanja_M!AP53-D183</f>
        <v>0</v>
      </c>
      <c r="AD183" s="5090">
        <f t="shared" si="0"/>
        <v>0</v>
      </c>
      <c r="AE183" s="5090"/>
    </row>
    <row r="184" ht="15" spans="1:31">
      <c r="A184" s="5131" t="s">
        <v>628</v>
      </c>
      <c r="B184" s="5113"/>
      <c r="C184" s="5110"/>
      <c r="D184" s="5134"/>
      <c r="E184" s="5085"/>
      <c r="F184" s="5085"/>
      <c r="G184" s="5085"/>
      <c r="H184" s="5085"/>
      <c r="I184" s="5085"/>
      <c r="J184" s="5085"/>
      <c r="K184" s="5085"/>
      <c r="L184" s="5085"/>
      <c r="M184" s="5085"/>
      <c r="N184" s="5085"/>
      <c r="O184" s="5085"/>
      <c r="P184" s="5085"/>
      <c r="Q184" s="5085"/>
      <c r="R184" s="5085"/>
      <c r="S184" s="5085"/>
      <c r="T184" s="5085"/>
      <c r="U184" s="5085"/>
      <c r="V184" s="5085"/>
      <c r="W184" s="5085"/>
      <c r="X184" s="5085"/>
      <c r="Y184" s="5085"/>
      <c r="Z184" s="5129"/>
      <c r="AA184" s="2"/>
      <c r="AB184" s="5138">
        <f>B_Stanja!AP49-B184</f>
        <v>0</v>
      </c>
      <c r="AC184" s="5137">
        <f>B_Stanja_M!AP54-D184</f>
        <v>0</v>
      </c>
      <c r="AD184" s="5090"/>
      <c r="AE184" s="5090"/>
    </row>
    <row r="185" ht="15" spans="1:31">
      <c r="A185" s="5131" t="s">
        <v>640</v>
      </c>
      <c r="B185" s="5113"/>
      <c r="C185" s="5110"/>
      <c r="D185" s="5134"/>
      <c r="E185" s="5085"/>
      <c r="F185" s="5085"/>
      <c r="G185" s="5085"/>
      <c r="H185" s="5085"/>
      <c r="I185" s="5085"/>
      <c r="J185" s="5085"/>
      <c r="K185" s="5085"/>
      <c r="L185" s="5085"/>
      <c r="M185" s="5085"/>
      <c r="N185" s="5085"/>
      <c r="O185" s="5085"/>
      <c r="P185" s="5085"/>
      <c r="Q185" s="5085"/>
      <c r="R185" s="5085"/>
      <c r="S185" s="5085"/>
      <c r="T185" s="5085"/>
      <c r="U185" s="5085"/>
      <c r="V185" s="5085"/>
      <c r="W185" s="5085"/>
      <c r="X185" s="5085"/>
      <c r="Y185" s="5085"/>
      <c r="Z185" s="5129"/>
      <c r="AA185" s="2"/>
      <c r="AB185" s="5138">
        <f>B_Stanja!AP50-B185</f>
        <v>0</v>
      </c>
      <c r="AC185" s="5136">
        <f>B_Stanja_M!AP55-D185</f>
        <v>0</v>
      </c>
      <c r="AD185" s="5090"/>
      <c r="AE185" s="5090"/>
    </row>
    <row r="186" ht="15" spans="1:31">
      <c r="A186" s="5131" t="s">
        <v>946</v>
      </c>
      <c r="B186" s="5132">
        <f>B_Stanja!AP51</f>
        <v>125000</v>
      </c>
      <c r="C186" s="5110"/>
      <c r="D186" s="5134"/>
      <c r="E186" s="5085"/>
      <c r="F186" s="5085"/>
      <c r="G186" s="5085"/>
      <c r="H186" s="5085"/>
      <c r="I186" s="5085"/>
      <c r="J186" s="5085"/>
      <c r="K186" s="5085"/>
      <c r="L186" s="5085"/>
      <c r="M186" s="5085"/>
      <c r="N186" s="5085"/>
      <c r="O186" s="5085"/>
      <c r="P186" s="5085"/>
      <c r="Q186" s="5085"/>
      <c r="R186" s="5085"/>
      <c r="S186" s="5085"/>
      <c r="T186" s="5085"/>
      <c r="U186" s="5085"/>
      <c r="V186" s="5085"/>
      <c r="W186" s="5085"/>
      <c r="X186" s="5085"/>
      <c r="Y186" s="5085"/>
      <c r="Z186" s="5129"/>
      <c r="AA186" s="2"/>
      <c r="AB186" s="5135">
        <f>B_Stanja!AP51-B186</f>
        <v>0</v>
      </c>
      <c r="AC186" s="5137">
        <f>B_Stanja_M!AP56-D186</f>
        <v>0</v>
      </c>
      <c r="AD186" s="5090">
        <f t="shared" si="0"/>
        <v>0</v>
      </c>
      <c r="AE186" s="5090"/>
    </row>
    <row r="187" ht="15" spans="1:31">
      <c r="A187" s="5131" t="s">
        <v>3936</v>
      </c>
      <c r="B187" s="5113">
        <v>125000</v>
      </c>
      <c r="C187" s="5110"/>
      <c r="D187" s="5134"/>
      <c r="E187" s="5085"/>
      <c r="F187" s="5085"/>
      <c r="G187" s="5085"/>
      <c r="H187" s="5085"/>
      <c r="I187" s="5085"/>
      <c r="J187" s="5085"/>
      <c r="K187" s="5085"/>
      <c r="L187" s="5085"/>
      <c r="M187" s="5085"/>
      <c r="N187" s="5085"/>
      <c r="O187" s="5085"/>
      <c r="P187" s="5085"/>
      <c r="Q187" s="5085"/>
      <c r="R187" s="5085"/>
      <c r="S187" s="5085"/>
      <c r="T187" s="5085"/>
      <c r="U187" s="5085"/>
      <c r="V187" s="5085"/>
      <c r="W187" s="5085"/>
      <c r="X187" s="5085"/>
      <c r="Y187" s="5085"/>
      <c r="Z187" s="5129"/>
      <c r="AA187" s="2"/>
      <c r="AB187" s="5138">
        <f>B_Stanja!AP52-B187</f>
        <v>0</v>
      </c>
      <c r="AC187" s="5137">
        <f>B_Stanja_M!AP57-D187</f>
        <v>0</v>
      </c>
      <c r="AD187" s="5090"/>
      <c r="AE187" s="5090"/>
    </row>
    <row r="188" ht="15" spans="1:31">
      <c r="A188" s="5131" t="s">
        <v>660</v>
      </c>
      <c r="B188" s="5113"/>
      <c r="C188" s="5110"/>
      <c r="D188" s="5134"/>
      <c r="E188" s="5085"/>
      <c r="F188" s="5085"/>
      <c r="G188" s="5085"/>
      <c r="H188" s="5085"/>
      <c r="I188" s="5085"/>
      <c r="J188" s="5085"/>
      <c r="K188" s="5085"/>
      <c r="L188" s="5085"/>
      <c r="M188" s="5085"/>
      <c r="N188" s="5085"/>
      <c r="O188" s="5085"/>
      <c r="P188" s="5085"/>
      <c r="Q188" s="5085"/>
      <c r="R188" s="5085"/>
      <c r="S188" s="5085"/>
      <c r="T188" s="5085"/>
      <c r="U188" s="5085"/>
      <c r="V188" s="5085"/>
      <c r="W188" s="5085"/>
      <c r="X188" s="5085"/>
      <c r="Y188" s="5085"/>
      <c r="Z188" s="5129"/>
      <c r="AA188" s="2"/>
      <c r="AB188" s="5138">
        <f>B_Stanja!AP53-B188</f>
        <v>0</v>
      </c>
      <c r="AC188" s="5136">
        <f>B_Stanja_M!AP58-D188</f>
        <v>0</v>
      </c>
      <c r="AD188" s="5090"/>
      <c r="AE188" s="5090"/>
    </row>
    <row r="189" ht="14.25" customHeight="1" spans="1:31">
      <c r="A189" s="5131" t="s">
        <v>3941</v>
      </c>
      <c r="B189" s="5113"/>
      <c r="C189" s="5110"/>
      <c r="D189" s="5141"/>
      <c r="E189" s="5085"/>
      <c r="F189" s="5085"/>
      <c r="G189" s="5085"/>
      <c r="H189" s="5085"/>
      <c r="I189" s="5085"/>
      <c r="J189" s="5085"/>
      <c r="K189" s="5085"/>
      <c r="L189" s="5085"/>
      <c r="M189" s="5085"/>
      <c r="N189" s="5085"/>
      <c r="O189" s="5085"/>
      <c r="P189" s="5085"/>
      <c r="Q189" s="5085"/>
      <c r="R189" s="5085"/>
      <c r="S189" s="5085"/>
      <c r="T189" s="5085"/>
      <c r="U189" s="5085"/>
      <c r="V189" s="5085"/>
      <c r="W189" s="5085"/>
      <c r="X189" s="5085"/>
      <c r="Y189" s="5085"/>
      <c r="Z189" s="5129"/>
      <c r="AA189" s="2"/>
      <c r="AB189" s="5138">
        <f>B_Stanja!AP54-B189</f>
        <v>0</v>
      </c>
      <c r="AC189" s="5142"/>
      <c r="AD189" s="5090"/>
      <c r="AE189" s="5090"/>
    </row>
    <row r="190" ht="14.25" customHeight="1" spans="1:31">
      <c r="A190" s="5131" t="s">
        <v>669</v>
      </c>
      <c r="B190" s="5113"/>
      <c r="C190" s="5110"/>
      <c r="D190" s="5134"/>
      <c r="E190" s="5085"/>
      <c r="F190" s="5085"/>
      <c r="G190" s="5085"/>
      <c r="H190" s="5085"/>
      <c r="I190" s="5085"/>
      <c r="J190" s="5085"/>
      <c r="K190" s="5085"/>
      <c r="L190" s="5085"/>
      <c r="M190" s="5085"/>
      <c r="N190" s="5085"/>
      <c r="O190" s="5085"/>
      <c r="P190" s="5085"/>
      <c r="Q190" s="5085"/>
      <c r="R190" s="5085"/>
      <c r="S190" s="5085"/>
      <c r="T190" s="5085"/>
      <c r="U190" s="5085"/>
      <c r="V190" s="5085"/>
      <c r="W190" s="5085"/>
      <c r="X190" s="5085"/>
      <c r="Y190" s="5085"/>
      <c r="Z190" s="5129"/>
      <c r="AA190" s="2"/>
      <c r="AB190" s="5138">
        <f>B_Stanja!AP55-B190</f>
        <v>0</v>
      </c>
      <c r="AC190" s="5136">
        <f>B_Stanja_M!AP60-D190</f>
        <v>0</v>
      </c>
      <c r="AD190" s="5090"/>
      <c r="AE190" s="5090"/>
    </row>
    <row r="191" ht="15" spans="1:31">
      <c r="A191" s="5131" t="s">
        <v>677</v>
      </c>
      <c r="B191" s="5113"/>
      <c r="C191" s="5110"/>
      <c r="D191" s="5134"/>
      <c r="E191" s="5085"/>
      <c r="F191" s="5085"/>
      <c r="G191" s="5085"/>
      <c r="H191" s="5085"/>
      <c r="I191" s="5085"/>
      <c r="J191" s="5085"/>
      <c r="K191" s="5085"/>
      <c r="L191" s="5085"/>
      <c r="M191" s="5085"/>
      <c r="N191" s="5085"/>
      <c r="O191" s="5085"/>
      <c r="P191" s="5085"/>
      <c r="Q191" s="5085"/>
      <c r="R191" s="5085"/>
      <c r="S191" s="5085"/>
      <c r="T191" s="5085"/>
      <c r="U191" s="5085"/>
      <c r="V191" s="5085"/>
      <c r="W191" s="5085"/>
      <c r="X191" s="5085"/>
      <c r="Y191" s="5085"/>
      <c r="Z191" s="5129"/>
      <c r="AA191" s="2"/>
      <c r="AB191" s="5138">
        <f>B_Stanja!AP56-B191</f>
        <v>0</v>
      </c>
      <c r="AC191" s="5137">
        <f>B_Stanja_M!AP61-D191</f>
        <v>0</v>
      </c>
      <c r="AD191" s="5090"/>
      <c r="AE191" s="5090"/>
    </row>
    <row r="192" ht="14.25" customHeight="1" spans="1:31">
      <c r="A192" s="5131" t="s">
        <v>686</v>
      </c>
      <c r="B192" s="5113"/>
      <c r="C192" s="5110"/>
      <c r="D192" s="5134"/>
      <c r="E192" s="5085"/>
      <c r="F192" s="5085"/>
      <c r="G192" s="5085"/>
      <c r="H192" s="5085"/>
      <c r="I192" s="5085"/>
      <c r="J192" s="5085"/>
      <c r="K192" s="5085"/>
      <c r="L192" s="5085"/>
      <c r="M192" s="5085"/>
      <c r="N192" s="5085"/>
      <c r="O192" s="5085"/>
      <c r="P192" s="5085"/>
      <c r="Q192" s="5085"/>
      <c r="R192" s="5085"/>
      <c r="S192" s="5085"/>
      <c r="T192" s="5085"/>
      <c r="U192" s="5085"/>
      <c r="V192" s="5085"/>
      <c r="W192" s="5085"/>
      <c r="X192" s="5085"/>
      <c r="Y192" s="5085"/>
      <c r="Z192" s="5129"/>
      <c r="AA192" s="2"/>
      <c r="AB192" s="5138">
        <f>B_Stanja!AP57-B192</f>
        <v>0</v>
      </c>
      <c r="AC192" s="5137">
        <f>B_Stanja_M!AP62-D192</f>
        <v>0</v>
      </c>
      <c r="AD192" s="5090"/>
      <c r="AE192" s="5090"/>
    </row>
    <row r="193" ht="14.25" customHeight="1" spans="1:31">
      <c r="A193" s="5131" t="s">
        <v>695</v>
      </c>
      <c r="B193" s="5113"/>
      <c r="C193" s="5110"/>
      <c r="D193" s="5134"/>
      <c r="E193" s="5085"/>
      <c r="F193" s="5085"/>
      <c r="G193" s="5085"/>
      <c r="H193" s="5085"/>
      <c r="I193" s="5085"/>
      <c r="J193" s="5085"/>
      <c r="K193" s="5085"/>
      <c r="L193" s="5085"/>
      <c r="M193" s="5085"/>
      <c r="N193" s="5085"/>
      <c r="O193" s="5085"/>
      <c r="P193" s="5085"/>
      <c r="Q193" s="5085"/>
      <c r="R193" s="5085"/>
      <c r="S193" s="5085"/>
      <c r="T193" s="5085"/>
      <c r="U193" s="5085"/>
      <c r="V193" s="5085"/>
      <c r="W193" s="5085"/>
      <c r="X193" s="5085"/>
      <c r="Y193" s="5085"/>
      <c r="Z193" s="5129"/>
      <c r="AA193" s="2"/>
      <c r="AB193" s="5138">
        <f>B_Stanja!AP58-B193</f>
        <v>0</v>
      </c>
      <c r="AC193" s="5137">
        <f>B_Stanja_M!AP63-D193</f>
        <v>0</v>
      </c>
      <c r="AD193" s="5090"/>
      <c r="AE193" s="5090"/>
    </row>
    <row r="194" ht="15" spans="1:31">
      <c r="A194" s="5131" t="s">
        <v>704</v>
      </c>
      <c r="B194" s="5132">
        <f>B_Stanja!AP59</f>
        <v>617225</v>
      </c>
      <c r="C194" s="5110"/>
      <c r="D194" s="5134"/>
      <c r="E194" s="5085"/>
      <c r="F194" s="5085"/>
      <c r="G194" s="5085"/>
      <c r="H194" s="5085"/>
      <c r="I194" s="5085"/>
      <c r="J194" s="5085"/>
      <c r="K194" s="5085"/>
      <c r="L194" s="5085"/>
      <c r="M194" s="5085"/>
      <c r="N194" s="5085"/>
      <c r="O194" s="5085"/>
      <c r="P194" s="5085"/>
      <c r="Q194" s="5085"/>
      <c r="R194" s="5085"/>
      <c r="S194" s="5085"/>
      <c r="T194" s="5085"/>
      <c r="U194" s="5085"/>
      <c r="V194" s="5085"/>
      <c r="W194" s="5085"/>
      <c r="X194" s="5085"/>
      <c r="Y194" s="5085"/>
      <c r="Z194" s="5129"/>
      <c r="AB194" s="5135">
        <f>B_Stanja!AP59-B194</f>
        <v>0</v>
      </c>
      <c r="AC194" s="5136">
        <f>B_Stanja_M!AP64-D194</f>
        <v>0</v>
      </c>
      <c r="AD194" s="5090">
        <f t="shared" si="0"/>
        <v>0</v>
      </c>
      <c r="AE194" s="5090"/>
    </row>
    <row r="195" ht="15" spans="1:31">
      <c r="A195" s="5131" t="s">
        <v>712</v>
      </c>
      <c r="B195" s="5132">
        <f>B_Stanja!AP60</f>
        <v>0</v>
      </c>
      <c r="C195" s="5110"/>
      <c r="D195" s="5134"/>
      <c r="E195" s="5085"/>
      <c r="F195" s="5085"/>
      <c r="G195" s="5085"/>
      <c r="H195" s="5085"/>
      <c r="I195" s="5085"/>
      <c r="J195" s="5085"/>
      <c r="K195" s="5085"/>
      <c r="L195" s="5085"/>
      <c r="M195" s="5085"/>
      <c r="N195" s="5085"/>
      <c r="O195" s="5085"/>
      <c r="P195" s="5085"/>
      <c r="Q195" s="5085"/>
      <c r="R195" s="5085"/>
      <c r="S195" s="5085"/>
      <c r="T195" s="5085"/>
      <c r="U195" s="5085"/>
      <c r="V195" s="5085"/>
      <c r="W195" s="5085"/>
      <c r="X195" s="5085"/>
      <c r="Y195" s="5085"/>
      <c r="Z195" s="5129"/>
      <c r="AB195" s="5135">
        <f>B_Stanja!AP60-B195</f>
        <v>0</v>
      </c>
      <c r="AC195" s="5137">
        <f>B_Stanja_M!AP65-D195</f>
        <v>0</v>
      </c>
      <c r="AD195" s="5090">
        <f t="shared" si="0"/>
        <v>0</v>
      </c>
      <c r="AE195" s="5090"/>
    </row>
    <row r="196" ht="15" spans="1:31">
      <c r="A196" s="5131" t="s">
        <v>720</v>
      </c>
      <c r="B196" s="5113"/>
      <c r="C196" s="5110"/>
      <c r="D196" s="5134"/>
      <c r="E196" s="5085"/>
      <c r="F196" s="5085"/>
      <c r="G196" s="5085"/>
      <c r="H196" s="5085"/>
      <c r="I196" s="5085"/>
      <c r="J196" s="5085"/>
      <c r="K196" s="5085"/>
      <c r="L196" s="5085"/>
      <c r="M196" s="5085"/>
      <c r="N196" s="5085"/>
      <c r="O196" s="5085"/>
      <c r="P196" s="5085"/>
      <c r="Q196" s="5085"/>
      <c r="R196" s="5085"/>
      <c r="S196" s="5085"/>
      <c r="T196" s="5085"/>
      <c r="U196" s="5085"/>
      <c r="V196" s="5085"/>
      <c r="W196" s="5085"/>
      <c r="X196" s="5085"/>
      <c r="Y196" s="5085"/>
      <c r="Z196" s="5129"/>
      <c r="AB196" s="5138">
        <f>B_Stanja!AP61-B196</f>
        <v>0</v>
      </c>
      <c r="AC196" s="5137">
        <f>B_Stanja_M!AP66-D196</f>
        <v>0</v>
      </c>
      <c r="AD196" s="5090"/>
      <c r="AE196" s="5090"/>
    </row>
    <row r="197" ht="15" spans="1:31">
      <c r="A197" s="5131" t="s">
        <v>3955</v>
      </c>
      <c r="B197" s="5113"/>
      <c r="C197" s="5110"/>
      <c r="D197" s="5134"/>
      <c r="E197" s="5085"/>
      <c r="F197" s="5085"/>
      <c r="G197" s="5085"/>
      <c r="H197" s="5085"/>
      <c r="I197" s="5085"/>
      <c r="J197" s="5085"/>
      <c r="K197" s="5085"/>
      <c r="L197" s="5085"/>
      <c r="M197" s="5085"/>
      <c r="N197" s="5085"/>
      <c r="O197" s="5085"/>
      <c r="P197" s="5085"/>
      <c r="Q197" s="5085"/>
      <c r="R197" s="5085"/>
      <c r="S197" s="5085"/>
      <c r="T197" s="5085"/>
      <c r="U197" s="5085"/>
      <c r="V197" s="5085"/>
      <c r="W197" s="5085"/>
      <c r="X197" s="5085"/>
      <c r="Y197" s="5085"/>
      <c r="Z197" s="5129"/>
      <c r="AB197" s="5138">
        <f>B_Stanja!AP62-B197</f>
        <v>0</v>
      </c>
      <c r="AC197" s="5137">
        <f>B_Stanja_M!AP67-D197</f>
        <v>0</v>
      </c>
      <c r="AD197" s="5090"/>
      <c r="AE197" s="5090"/>
    </row>
    <row r="198" ht="15" spans="1:31">
      <c r="A198" s="5131" t="s">
        <v>735</v>
      </c>
      <c r="B198" s="5113"/>
      <c r="C198" s="5110"/>
      <c r="D198" s="5134"/>
      <c r="E198" s="5085"/>
      <c r="F198" s="5085"/>
      <c r="G198" s="5085"/>
      <c r="H198" s="5085"/>
      <c r="I198" s="5085"/>
      <c r="J198" s="5085"/>
      <c r="K198" s="5085"/>
      <c r="L198" s="5085"/>
      <c r="M198" s="5085"/>
      <c r="N198" s="5085"/>
      <c r="O198" s="5085"/>
      <c r="P198" s="5085"/>
      <c r="Q198" s="5085"/>
      <c r="R198" s="5085"/>
      <c r="S198" s="5085"/>
      <c r="T198" s="5085"/>
      <c r="U198" s="5085"/>
      <c r="V198" s="5085"/>
      <c r="W198" s="5085"/>
      <c r="X198" s="5085"/>
      <c r="Y198" s="5085"/>
      <c r="Z198" s="5129"/>
      <c r="AB198" s="5138">
        <f>B_Stanja!AP63-B198</f>
        <v>0</v>
      </c>
      <c r="AC198" s="5137">
        <f>B_Stanja_M!AP68-D198</f>
        <v>0</v>
      </c>
      <c r="AD198" s="5090"/>
      <c r="AE198" s="5090"/>
    </row>
    <row r="199" ht="15" spans="1:31">
      <c r="A199" s="5131" t="s">
        <v>742</v>
      </c>
      <c r="B199" s="5113"/>
      <c r="C199" s="5110"/>
      <c r="D199" s="5134"/>
      <c r="E199" s="5085"/>
      <c r="F199" s="5085"/>
      <c r="G199" s="5085"/>
      <c r="H199" s="5085"/>
      <c r="I199" s="5085"/>
      <c r="J199" s="5085"/>
      <c r="K199" s="5085"/>
      <c r="L199" s="5085"/>
      <c r="M199" s="5085"/>
      <c r="N199" s="5085"/>
      <c r="O199" s="5085"/>
      <c r="P199" s="5085"/>
      <c r="Q199" s="5085"/>
      <c r="R199" s="5085"/>
      <c r="S199" s="5085"/>
      <c r="T199" s="5085"/>
      <c r="U199" s="5085"/>
      <c r="V199" s="5085"/>
      <c r="W199" s="5085"/>
      <c r="X199" s="5085"/>
      <c r="Y199" s="5085"/>
      <c r="Z199" s="5129"/>
      <c r="AB199" s="5138">
        <f>B_Stanja!AP64-B199</f>
        <v>0</v>
      </c>
      <c r="AC199" s="5137">
        <f>B_Stanja_M!AP69-D199</f>
        <v>0</v>
      </c>
      <c r="AD199" s="5090"/>
      <c r="AE199" s="5090"/>
    </row>
    <row r="200" ht="15" spans="1:31">
      <c r="A200" s="5131" t="s">
        <v>750</v>
      </c>
      <c r="B200" s="5113"/>
      <c r="C200" s="5110"/>
      <c r="D200" s="5134"/>
      <c r="E200" s="5085"/>
      <c r="F200" s="5085"/>
      <c r="G200" s="5085"/>
      <c r="H200" s="5085"/>
      <c r="I200" s="5085"/>
      <c r="J200" s="5085"/>
      <c r="K200" s="5085"/>
      <c r="L200" s="5085"/>
      <c r="M200" s="5085"/>
      <c r="N200" s="5085"/>
      <c r="O200" s="5085"/>
      <c r="P200" s="5085"/>
      <c r="Q200" s="5085"/>
      <c r="R200" s="5085"/>
      <c r="S200" s="5085"/>
      <c r="T200" s="5085"/>
      <c r="U200" s="5085"/>
      <c r="V200" s="5085"/>
      <c r="W200" s="5085"/>
      <c r="X200" s="5085"/>
      <c r="Y200" s="5085"/>
      <c r="Z200" s="5129"/>
      <c r="AB200" s="5138">
        <f>B_Stanja!AP65-B200</f>
        <v>0</v>
      </c>
      <c r="AC200" s="5136">
        <f>B_Stanja_M!AP70-D200</f>
        <v>0</v>
      </c>
      <c r="AD200" s="5090"/>
      <c r="AE200" s="5090"/>
    </row>
    <row r="201" ht="15" spans="1:31">
      <c r="A201" s="5131" t="s">
        <v>756</v>
      </c>
      <c r="B201" s="5113"/>
      <c r="C201" s="5110"/>
      <c r="D201" s="5134"/>
      <c r="E201" s="5085"/>
      <c r="F201" s="5085"/>
      <c r="G201" s="5085"/>
      <c r="H201" s="5085"/>
      <c r="I201" s="5085"/>
      <c r="J201" s="5085"/>
      <c r="K201" s="5085"/>
      <c r="L201" s="5085"/>
      <c r="M201" s="5085"/>
      <c r="N201" s="5085"/>
      <c r="O201" s="5085"/>
      <c r="P201" s="5085"/>
      <c r="Q201" s="5085"/>
      <c r="R201" s="5085"/>
      <c r="S201" s="5085"/>
      <c r="T201" s="5085"/>
      <c r="U201" s="5085"/>
      <c r="V201" s="5085"/>
      <c r="W201" s="5085"/>
      <c r="X201" s="5085"/>
      <c r="Y201" s="5085"/>
      <c r="Z201" s="5129"/>
      <c r="AB201" s="5138">
        <f>B_Stanja!AP66-B201</f>
        <v>0</v>
      </c>
      <c r="AC201" s="5136">
        <f>B_Stanja_M!AP71-D201</f>
        <v>0</v>
      </c>
      <c r="AD201" s="5090"/>
      <c r="AE201" s="5090"/>
    </row>
    <row r="202" ht="15" spans="1:31">
      <c r="A202" s="5131" t="s">
        <v>765</v>
      </c>
      <c r="B202" s="5113"/>
      <c r="C202" s="5110"/>
      <c r="D202" s="5134"/>
      <c r="E202" s="5085"/>
      <c r="F202" s="5085"/>
      <c r="G202" s="5085"/>
      <c r="H202" s="5085"/>
      <c r="I202" s="5085"/>
      <c r="J202" s="5085"/>
      <c r="K202" s="5085"/>
      <c r="L202" s="5085"/>
      <c r="M202" s="5085"/>
      <c r="N202" s="5085"/>
      <c r="O202" s="5085"/>
      <c r="P202" s="5085"/>
      <c r="Q202" s="5085"/>
      <c r="R202" s="5085"/>
      <c r="S202" s="5085"/>
      <c r="T202" s="5085"/>
      <c r="U202" s="5085"/>
      <c r="V202" s="5085"/>
      <c r="W202" s="5085"/>
      <c r="X202" s="5085"/>
      <c r="Y202" s="5085"/>
      <c r="Z202" s="5129"/>
      <c r="AB202" s="5138">
        <f>B_Stanja!AP67-B202</f>
        <v>0</v>
      </c>
      <c r="AC202" s="5137">
        <f>B_Stanja_M!AP72-D202</f>
        <v>0</v>
      </c>
      <c r="AD202" s="5090"/>
      <c r="AE202" s="5090"/>
    </row>
    <row r="203" ht="15" spans="1:31">
      <c r="A203" s="5131" t="s">
        <v>3962</v>
      </c>
      <c r="B203" s="5132">
        <f>B_Stanja!AP68</f>
        <v>21173</v>
      </c>
      <c r="C203" s="5110"/>
      <c r="D203" s="5134"/>
      <c r="E203" s="5085"/>
      <c r="F203" s="5085"/>
      <c r="G203" s="5085"/>
      <c r="H203" s="5085"/>
      <c r="I203" s="5085"/>
      <c r="J203" s="5085"/>
      <c r="K203" s="5085"/>
      <c r="L203" s="5085"/>
      <c r="M203" s="5085"/>
      <c r="N203" s="5085"/>
      <c r="O203" s="5085"/>
      <c r="P203" s="5085"/>
      <c r="Q203" s="5085"/>
      <c r="R203" s="5085"/>
      <c r="S203" s="5085"/>
      <c r="T203" s="5085"/>
      <c r="U203" s="5085"/>
      <c r="V203" s="5085"/>
      <c r="W203" s="5085"/>
      <c r="X203" s="5085"/>
      <c r="Y203" s="5085"/>
      <c r="Z203" s="5129"/>
      <c r="AB203" s="5135">
        <f>B_Stanja!AP68-B203</f>
        <v>0</v>
      </c>
      <c r="AC203" s="5136">
        <f>B_Stanja_M!AP73-D201-D202</f>
        <v>0</v>
      </c>
      <c r="AD203" s="5090">
        <f t="shared" si="0"/>
        <v>0</v>
      </c>
      <c r="AE203" s="5090"/>
    </row>
    <row r="204" ht="15" spans="1:31">
      <c r="A204" s="5131" t="s">
        <v>771</v>
      </c>
      <c r="B204" s="5113"/>
      <c r="C204" s="5110"/>
      <c r="D204" s="5143"/>
      <c r="E204" s="5085"/>
      <c r="F204" s="5085"/>
      <c r="G204" s="5085"/>
      <c r="H204" s="5085"/>
      <c r="I204" s="5085"/>
      <c r="J204" s="5085"/>
      <c r="K204" s="5085"/>
      <c r="L204" s="5085"/>
      <c r="M204" s="5085"/>
      <c r="N204" s="5085"/>
      <c r="O204" s="5085"/>
      <c r="P204" s="5085"/>
      <c r="Q204" s="5085"/>
      <c r="R204" s="5085"/>
      <c r="S204" s="5085"/>
      <c r="T204" s="5085"/>
      <c r="U204" s="5085"/>
      <c r="V204" s="5085"/>
      <c r="W204" s="5085"/>
      <c r="X204" s="5085"/>
      <c r="Y204" s="5085"/>
      <c r="Z204" s="5129"/>
      <c r="AB204" s="5138">
        <f>B_Stanja!AP69-B204</f>
        <v>0</v>
      </c>
      <c r="AC204" s="5144">
        <f>B_Stanja_M!AP74</f>
        <v>0</v>
      </c>
      <c r="AE204" s="5090"/>
    </row>
    <row r="205" ht="15" spans="1:31">
      <c r="A205" s="5131" t="s">
        <v>779</v>
      </c>
      <c r="B205" s="5113">
        <v>21173</v>
      </c>
      <c r="C205" s="5110"/>
      <c r="D205" s="5141"/>
      <c r="E205" s="5085"/>
      <c r="F205" s="5085"/>
      <c r="G205" s="5085"/>
      <c r="H205" s="5085"/>
      <c r="I205" s="5085"/>
      <c r="J205" s="5085"/>
      <c r="K205" s="5085"/>
      <c r="L205" s="5085"/>
      <c r="M205" s="5085"/>
      <c r="N205" s="5085"/>
      <c r="O205" s="5085"/>
      <c r="P205" s="5085"/>
      <c r="Q205" s="5085"/>
      <c r="R205" s="5085"/>
      <c r="S205" s="5085"/>
      <c r="T205" s="5085"/>
      <c r="U205" s="5085"/>
      <c r="V205" s="5085"/>
      <c r="W205" s="5085"/>
      <c r="X205" s="5085"/>
      <c r="Y205" s="5085"/>
      <c r="Z205" s="5129"/>
      <c r="AB205" s="5138">
        <f>B_Stanja!AP70-B205</f>
        <v>0</v>
      </c>
      <c r="AC205" s="4"/>
      <c r="AD205" s="5090"/>
    </row>
    <row r="206" ht="15" spans="1:31">
      <c r="A206" s="5131" t="s">
        <v>786</v>
      </c>
      <c r="B206" s="5113"/>
      <c r="C206" s="5110"/>
      <c r="D206" s="5085"/>
      <c r="E206" s="5085"/>
      <c r="F206" s="5085"/>
      <c r="G206" s="5085"/>
      <c r="H206" s="5085"/>
      <c r="I206" s="5085"/>
      <c r="J206" s="5085"/>
      <c r="K206" s="5085"/>
      <c r="L206" s="5085"/>
      <c r="M206" s="5085"/>
      <c r="N206" s="5085"/>
      <c r="O206" s="5085"/>
      <c r="P206" s="5085"/>
      <c r="Q206" s="5085"/>
      <c r="R206" s="5085"/>
      <c r="S206" s="5085"/>
      <c r="T206" s="5085"/>
      <c r="U206" s="5085"/>
      <c r="V206" s="5085"/>
      <c r="W206" s="5085"/>
      <c r="X206" s="5085"/>
      <c r="Y206" s="5085"/>
      <c r="Z206" s="5129"/>
      <c r="AB206" s="5138">
        <f>B_Stanja!AP71-B206</f>
        <v>0</v>
      </c>
      <c r="AC206" s="4"/>
      <c r="AD206" s="5090"/>
    </row>
    <row r="207" ht="15" spans="1:31">
      <c r="A207" s="5131" t="s">
        <v>793</v>
      </c>
      <c r="B207" s="5132">
        <f>B_Stanja!AP72</f>
        <v>526925</v>
      </c>
      <c r="C207" s="5110"/>
      <c r="D207" s="5085"/>
      <c r="E207" s="5085"/>
      <c r="F207" s="5085"/>
      <c r="G207" s="5085"/>
      <c r="H207" s="5085"/>
      <c r="I207" s="5085"/>
      <c r="J207" s="5085"/>
      <c r="K207" s="5085"/>
      <c r="L207" s="5085"/>
      <c r="M207" s="5085"/>
      <c r="N207" s="5085"/>
      <c r="O207" s="5085"/>
      <c r="P207" s="5085"/>
      <c r="Q207" s="5085"/>
      <c r="R207" s="5085"/>
      <c r="S207" s="5085"/>
      <c r="T207" s="5085"/>
      <c r="U207" s="5085"/>
      <c r="V207" s="5085"/>
      <c r="W207" s="5085"/>
      <c r="X207" s="5085"/>
      <c r="Y207" s="5085"/>
      <c r="Z207" s="5129"/>
      <c r="AB207" s="5135">
        <f>B_Stanja!AP72-B207</f>
        <v>0</v>
      </c>
      <c r="AC207" s="4"/>
      <c r="AD207" s="5090">
        <f t="shared" si="0"/>
        <v>0</v>
      </c>
    </row>
    <row r="208" ht="15" spans="1:31">
      <c r="A208" s="5131" t="s">
        <v>604</v>
      </c>
      <c r="B208" s="5113"/>
      <c r="C208" s="5110"/>
      <c r="D208" s="5085"/>
      <c r="E208" s="5085"/>
      <c r="F208" s="5085"/>
      <c r="G208" s="5085"/>
      <c r="H208" s="5085"/>
      <c r="I208" s="5085"/>
      <c r="J208" s="5085"/>
      <c r="K208" s="5085"/>
      <c r="L208" s="5085"/>
      <c r="M208" s="5085"/>
      <c r="N208" s="5085"/>
      <c r="O208" s="5085"/>
      <c r="P208" s="5085"/>
      <c r="Q208" s="5085"/>
      <c r="R208" s="5085"/>
      <c r="S208" s="5085"/>
      <c r="T208" s="5085"/>
      <c r="U208" s="5085"/>
      <c r="V208" s="5085"/>
      <c r="W208" s="5085"/>
      <c r="X208" s="5085"/>
      <c r="Y208" s="5085"/>
      <c r="Z208" s="5129"/>
      <c r="AB208" s="5138">
        <f>B_Stanja!AP73-B208</f>
        <v>0</v>
      </c>
      <c r="AC208" s="4"/>
      <c r="AD208" s="5090"/>
    </row>
    <row r="209" ht="15" spans="1:31">
      <c r="A209" s="5131" t="s">
        <v>801</v>
      </c>
      <c r="B209" s="5113">
        <v>526925</v>
      </c>
      <c r="C209" s="5110"/>
      <c r="D209" s="5085"/>
      <c r="E209" s="5085"/>
      <c r="F209" s="5085"/>
      <c r="G209" s="5085"/>
      <c r="H209" s="5085"/>
      <c r="I209" s="5085"/>
      <c r="J209" s="5085"/>
      <c r="K209" s="5085"/>
      <c r="L209" s="5085"/>
      <c r="M209" s="5085"/>
      <c r="N209" s="5085"/>
      <c r="O209" s="5085"/>
      <c r="P209" s="5085"/>
      <c r="Q209" s="5085"/>
      <c r="R209" s="5085"/>
      <c r="S209" s="5085"/>
      <c r="T209" s="5085"/>
      <c r="U209" s="5085"/>
      <c r="V209" s="5085"/>
      <c r="W209" s="5085"/>
      <c r="X209" s="5085"/>
      <c r="Y209" s="5085"/>
      <c r="Z209" s="5129"/>
      <c r="AB209" s="5138">
        <f>B_Stanja!AP74-B209</f>
        <v>0</v>
      </c>
      <c r="AC209" s="4"/>
      <c r="AD209" s="5090"/>
    </row>
    <row r="210" ht="15" spans="1:31">
      <c r="A210" s="5131" t="s">
        <v>806</v>
      </c>
      <c r="B210" s="5113"/>
      <c r="C210" s="5110"/>
      <c r="D210" s="5085"/>
      <c r="E210" s="5085"/>
      <c r="F210" s="5085"/>
      <c r="G210" s="5085"/>
      <c r="H210" s="5085"/>
      <c r="I210" s="5085"/>
      <c r="J210" s="5085"/>
      <c r="K210" s="5085"/>
      <c r="L210" s="5085"/>
      <c r="M210" s="5085"/>
      <c r="N210" s="5085"/>
      <c r="O210" s="5085"/>
      <c r="P210" s="5085"/>
      <c r="Q210" s="5085"/>
      <c r="R210" s="5085"/>
      <c r="S210" s="5085"/>
      <c r="T210" s="5085"/>
      <c r="U210" s="5085"/>
      <c r="V210" s="5085"/>
      <c r="W210" s="5085"/>
      <c r="X210" s="5085"/>
      <c r="Y210" s="5085"/>
      <c r="Z210" s="5129"/>
      <c r="AB210" s="5138">
        <f>B_Stanja!AP75-B210</f>
        <v>0</v>
      </c>
      <c r="AC210" s="4"/>
      <c r="AD210" s="5090"/>
    </row>
    <row r="211" ht="15" spans="1:31">
      <c r="A211" s="5131" t="s">
        <v>3974</v>
      </c>
      <c r="B211" s="5113"/>
      <c r="C211" s="5110"/>
      <c r="D211" s="5085"/>
      <c r="E211" s="5085"/>
      <c r="F211" s="5085"/>
      <c r="G211" s="5085"/>
      <c r="H211" s="5085"/>
      <c r="I211" s="5085"/>
      <c r="J211" s="5085"/>
      <c r="K211" s="5085"/>
      <c r="L211" s="5085"/>
      <c r="M211" s="5085"/>
      <c r="N211" s="5085"/>
      <c r="O211" s="5085"/>
      <c r="P211" s="5085"/>
      <c r="Q211" s="5085"/>
      <c r="R211" s="5085"/>
      <c r="S211" s="5085"/>
      <c r="T211" s="5085"/>
      <c r="U211" s="5085"/>
      <c r="V211" s="5085"/>
      <c r="W211" s="5085"/>
      <c r="X211" s="5085"/>
      <c r="Y211" s="5085"/>
      <c r="Z211" s="5129"/>
      <c r="AB211" s="5138">
        <f>B_Stanja!AP76-B211</f>
        <v>0</v>
      </c>
      <c r="AC211" s="4"/>
      <c r="AD211" s="5090"/>
    </row>
    <row r="212" ht="15" spans="1:31">
      <c r="A212" s="5131" t="s">
        <v>928</v>
      </c>
      <c r="B212" s="5113"/>
      <c r="C212" s="5110"/>
      <c r="D212" s="5085"/>
      <c r="E212" s="5085"/>
      <c r="F212" s="5085"/>
      <c r="G212" s="5085"/>
      <c r="H212" s="5085"/>
      <c r="I212" s="5085"/>
      <c r="J212" s="5085"/>
      <c r="K212" s="5085"/>
      <c r="L212" s="5085"/>
      <c r="M212" s="5085"/>
      <c r="N212" s="5085"/>
      <c r="O212" s="5085"/>
      <c r="P212" s="5085"/>
      <c r="Q212" s="5085"/>
      <c r="R212" s="5085"/>
      <c r="S212" s="5085"/>
      <c r="T212" s="5085"/>
      <c r="U212" s="5085"/>
      <c r="V212" s="5085"/>
      <c r="W212" s="5085"/>
      <c r="X212" s="5085"/>
      <c r="Y212" s="5085"/>
      <c r="Z212" s="5129"/>
      <c r="AB212" s="5138">
        <f>B_Stanja!AP77-B212</f>
        <v>0</v>
      </c>
      <c r="AC212" s="4"/>
      <c r="AD212" s="5090"/>
    </row>
    <row r="213" ht="15" spans="1:31">
      <c r="A213" s="5131" t="s">
        <v>811</v>
      </c>
      <c r="B213" s="5113"/>
      <c r="C213" s="5110"/>
      <c r="D213" s="5085"/>
      <c r="E213" s="5085"/>
      <c r="F213" s="5085"/>
      <c r="G213" s="5085"/>
      <c r="H213" s="5085"/>
      <c r="I213" s="5085"/>
      <c r="J213" s="5085"/>
      <c r="K213" s="5085"/>
      <c r="L213" s="5085"/>
      <c r="M213" s="5085"/>
      <c r="N213" s="5085"/>
      <c r="O213" s="5085"/>
      <c r="P213" s="5085"/>
      <c r="Q213" s="5085"/>
      <c r="R213" s="5085"/>
      <c r="S213" s="5085"/>
      <c r="T213" s="5085"/>
      <c r="U213" s="5085"/>
      <c r="V213" s="5085"/>
      <c r="W213" s="5085"/>
      <c r="X213" s="5085"/>
      <c r="Y213" s="5085"/>
      <c r="Z213" s="5129"/>
      <c r="AB213" s="5138">
        <f>B_Stanja!AP78-B213</f>
        <v>0</v>
      </c>
      <c r="AC213" s="4"/>
      <c r="AD213" s="5090"/>
    </row>
    <row r="214" ht="15" spans="1:31">
      <c r="A214" s="5131" t="s">
        <v>553</v>
      </c>
      <c r="B214" s="5113"/>
      <c r="C214" s="5110"/>
      <c r="D214" s="5085"/>
      <c r="E214" s="5085"/>
      <c r="F214" s="5085"/>
      <c r="G214" s="5085"/>
      <c r="H214" s="5085"/>
      <c r="I214" s="5085"/>
      <c r="J214" s="5085"/>
      <c r="K214" s="5085"/>
      <c r="L214" s="5085"/>
      <c r="M214" s="5085"/>
      <c r="N214" s="5085"/>
      <c r="O214" s="5085"/>
      <c r="P214" s="5085"/>
      <c r="Q214" s="5085"/>
      <c r="R214" s="5085"/>
      <c r="S214" s="5085"/>
      <c r="T214" s="5085"/>
      <c r="U214" s="5085"/>
      <c r="V214" s="5085"/>
      <c r="W214" s="5085"/>
      <c r="X214" s="5085"/>
      <c r="Y214" s="5085"/>
      <c r="Z214" s="5129"/>
      <c r="AB214" s="5138">
        <f>B_Stanja!AP79-B214</f>
        <v>0</v>
      </c>
      <c r="AC214" s="4"/>
      <c r="AD214" s="5090"/>
    </row>
    <row r="215" ht="15" spans="1:31">
      <c r="A215" s="5131" t="s">
        <v>815</v>
      </c>
      <c r="B215" s="5113">
        <v>47</v>
      </c>
      <c r="C215" s="5110"/>
      <c r="D215" s="5085"/>
      <c r="E215" s="5085"/>
      <c r="F215" s="5085"/>
      <c r="G215" s="5085"/>
      <c r="H215" s="5085"/>
      <c r="I215" s="5085"/>
      <c r="J215" s="5085"/>
      <c r="K215" s="5085"/>
      <c r="L215" s="5085"/>
      <c r="M215" s="5085"/>
      <c r="N215" s="5085"/>
      <c r="O215" s="5085"/>
      <c r="P215" s="5085"/>
      <c r="Q215" s="5085"/>
      <c r="R215" s="5085"/>
      <c r="S215" s="5085"/>
      <c r="T215" s="5085"/>
      <c r="U215" s="5085"/>
      <c r="V215" s="5085"/>
      <c r="W215" s="5085"/>
      <c r="X215" s="5085"/>
      <c r="Y215" s="5085"/>
      <c r="Z215" s="5129"/>
      <c r="AB215" s="5138">
        <f>B_Stanja!AP80-B215</f>
        <v>0</v>
      </c>
      <c r="AC215" s="4"/>
      <c r="AD215" s="5090"/>
    </row>
    <row r="216" ht="15" spans="1:31">
      <c r="A216" s="5131" t="s">
        <v>3980</v>
      </c>
      <c r="B216" s="5113"/>
      <c r="C216" s="5110"/>
      <c r="D216" s="5085"/>
      <c r="E216" s="5085"/>
      <c r="F216" s="5085"/>
      <c r="G216" s="5085"/>
      <c r="H216" s="5085"/>
      <c r="I216" s="5085"/>
      <c r="J216" s="5085"/>
      <c r="K216" s="5085"/>
      <c r="L216" s="5085"/>
      <c r="M216" s="5085"/>
      <c r="N216" s="5085"/>
      <c r="O216" s="5085"/>
      <c r="P216" s="5085"/>
      <c r="Q216" s="5085"/>
      <c r="R216" s="5085"/>
      <c r="S216" s="5085"/>
      <c r="T216" s="5085"/>
      <c r="U216" s="5085"/>
      <c r="V216" s="5085"/>
      <c r="W216" s="5085"/>
      <c r="X216" s="5085"/>
      <c r="Y216" s="5085"/>
      <c r="Z216" s="5129"/>
      <c r="AB216" s="5138">
        <f>B_Stanja!AP81-B216</f>
        <v>0</v>
      </c>
      <c r="AC216" s="4"/>
      <c r="AD216" s="5090"/>
    </row>
    <row r="217" ht="15" spans="1:31">
      <c r="A217" s="5131" t="s">
        <v>820</v>
      </c>
      <c r="B217" s="5113">
        <v>69080</v>
      </c>
      <c r="C217" s="5110"/>
      <c r="D217" s="5085"/>
      <c r="E217" s="5085"/>
      <c r="F217" s="5085"/>
      <c r="G217" s="5085"/>
      <c r="H217" s="5085"/>
      <c r="I217" s="5085"/>
      <c r="J217" s="5085"/>
      <c r="K217" s="5085"/>
      <c r="L217" s="5085"/>
      <c r="M217" s="5085"/>
      <c r="N217" s="5085"/>
      <c r="O217" s="5085"/>
      <c r="P217" s="5085"/>
      <c r="Q217" s="5085"/>
      <c r="R217" s="5085"/>
      <c r="S217" s="5085"/>
      <c r="T217" s="5085"/>
      <c r="U217" s="5085"/>
      <c r="V217" s="5085"/>
      <c r="W217" s="5085"/>
      <c r="X217" s="5085"/>
      <c r="Y217" s="5085"/>
      <c r="Z217" s="5129"/>
      <c r="AB217" s="5138">
        <f>B_Stanja!AP82-B217</f>
        <v>0</v>
      </c>
      <c r="AC217" s="4"/>
      <c r="AD217" s="5090"/>
    </row>
    <row r="218" ht="15" spans="1:31">
      <c r="A218" s="5131" t="s">
        <v>826</v>
      </c>
      <c r="B218" s="5132">
        <f>B_Stanja!AP83</f>
        <v>768881</v>
      </c>
      <c r="C218" s="5110"/>
      <c r="D218" s="5085"/>
      <c r="E218" s="5085"/>
      <c r="F218" s="5085"/>
      <c r="G218" s="5085"/>
      <c r="H218" s="5085"/>
      <c r="I218" s="5085"/>
      <c r="J218" s="5085"/>
      <c r="K218" s="5085"/>
      <c r="L218" s="5085"/>
      <c r="M218" s="5085"/>
      <c r="N218" s="5085"/>
      <c r="O218" s="5085"/>
      <c r="P218" s="5085"/>
      <c r="Q218" s="5085"/>
      <c r="R218" s="5085"/>
      <c r="S218" s="5085"/>
      <c r="T218" s="5085"/>
      <c r="U218" s="5085"/>
      <c r="V218" s="5085"/>
      <c r="W218" s="5085"/>
      <c r="X218" s="5085"/>
      <c r="Y218" s="5085"/>
      <c r="Z218" s="5129"/>
      <c r="AB218" s="5135">
        <f>B_Stanja!AP83-B218</f>
        <v>0</v>
      </c>
      <c r="AC218" s="4"/>
      <c r="AD218" s="5090">
        <f t="shared" si="0"/>
        <v>0</v>
      </c>
    </row>
    <row r="219" ht="15" spans="1:31">
      <c r="A219" s="5131" t="s">
        <v>3986</v>
      </c>
      <c r="B219" s="5113"/>
      <c r="C219" s="5110"/>
      <c r="D219" s="5085"/>
      <c r="E219" s="5085"/>
      <c r="F219" s="5085"/>
      <c r="G219" s="5085"/>
      <c r="H219" s="5085"/>
      <c r="I219" s="5085"/>
      <c r="J219" s="5085"/>
      <c r="K219" s="5085"/>
      <c r="L219" s="5085"/>
      <c r="M219" s="5085"/>
      <c r="N219" s="5085"/>
      <c r="O219" s="5085"/>
      <c r="P219" s="5085"/>
      <c r="Q219" s="5085"/>
      <c r="R219" s="5085"/>
      <c r="S219" s="5085"/>
      <c r="T219" s="5085"/>
      <c r="U219" s="5085"/>
      <c r="V219" s="5085"/>
      <c r="W219" s="5085"/>
      <c r="X219" s="5085"/>
      <c r="Y219" s="5085"/>
      <c r="Z219" s="5129"/>
      <c r="AB219" s="5138">
        <f>B_Stanja!AP84-B219</f>
        <v>0</v>
      </c>
      <c r="AC219" s="4"/>
      <c r="AD219" s="5090"/>
    </row>
    <row r="220" ht="18.75" customHeight="1" spans="1:31">
      <c r="A220" s="5131" t="s">
        <v>3989</v>
      </c>
      <c r="B220" s="5132">
        <f>B_Stanja!AP85</f>
        <v>768881</v>
      </c>
      <c r="C220" s="5110"/>
      <c r="D220" s="5085"/>
      <c r="E220" s="5085"/>
      <c r="F220" s="5085"/>
      <c r="G220" s="5085"/>
      <c r="H220" s="5085"/>
      <c r="I220" s="5085"/>
      <c r="J220" s="5085"/>
      <c r="K220" s="5085"/>
      <c r="L220" s="5085"/>
      <c r="M220" s="5085"/>
      <c r="N220" s="5085"/>
      <c r="O220" s="5085"/>
      <c r="P220" s="5085"/>
      <c r="Q220" s="5085"/>
      <c r="R220" s="5085"/>
      <c r="S220" s="5085"/>
      <c r="T220" s="5085"/>
      <c r="U220" s="5085"/>
      <c r="V220" s="5085"/>
      <c r="W220" s="5085"/>
      <c r="X220" s="5085"/>
      <c r="Y220" s="5085"/>
      <c r="Z220" s="5129"/>
      <c r="AB220" s="5135">
        <f>B_Stanja!AP85-B220</f>
        <v>0</v>
      </c>
      <c r="AC220" s="4"/>
      <c r="AD220" s="5090">
        <f t="shared" si="0"/>
        <v>0</v>
      </c>
    </row>
    <row r="221" ht="18.75" customHeight="1" spans="1:31">
      <c r="A221" s="5118"/>
      <c r="B221" s="5145">
        <f ca="1">PoslGod-1</f>
        <v>2024</v>
      </c>
      <c r="C221" s="5145">
        <f ca="1">PoslGod-2</f>
        <v>2023</v>
      </c>
      <c r="D221" s="5146"/>
      <c r="E221" s="5147"/>
      <c r="F221" s="5147"/>
      <c r="G221" s="5147"/>
      <c r="H221" s="5147"/>
      <c r="I221" s="5147"/>
      <c r="J221" s="5147"/>
      <c r="K221" s="5147"/>
      <c r="L221" s="5147"/>
      <c r="M221" s="5147"/>
      <c r="N221" s="5147"/>
      <c r="O221" s="5147"/>
      <c r="P221" s="5147"/>
      <c r="Q221" s="5147"/>
      <c r="R221" s="5147"/>
      <c r="S221" s="5147"/>
      <c r="T221" s="5147"/>
      <c r="U221" s="5147"/>
      <c r="V221" s="5147"/>
      <c r="W221" s="5147"/>
      <c r="X221" s="5147"/>
      <c r="Y221" s="5147"/>
      <c r="Z221" s="5148"/>
      <c r="AB221" s="4"/>
      <c r="AC221" s="5149"/>
      <c r="AD221" s="5090"/>
    </row>
    <row r="222" ht="15" spans="1:31">
      <c r="A222" s="5131" t="s">
        <v>490</v>
      </c>
      <c r="B222" s="5150">
        <f>B_Stanja!AP93</f>
        <v>350000</v>
      </c>
      <c r="C222" s="5151">
        <f>C223-C224+C225+C226+C227+C228</f>
        <v>350000</v>
      </c>
      <c r="D222" s="5134"/>
      <c r="E222" s="5141"/>
      <c r="F222" s="5141"/>
      <c r="G222" s="5141"/>
      <c r="H222" s="5141"/>
      <c r="I222" s="5141"/>
      <c r="J222" s="5141"/>
      <c r="K222" s="5141"/>
      <c r="L222" s="5141"/>
      <c r="M222" s="5141"/>
      <c r="N222" s="5141"/>
      <c r="O222" s="5141"/>
      <c r="P222" s="5141"/>
      <c r="Q222" s="5141"/>
      <c r="R222" s="5141"/>
      <c r="S222" s="5141"/>
      <c r="T222" s="5141"/>
      <c r="U222" s="5141"/>
      <c r="V222" s="5141"/>
      <c r="W222" s="5141"/>
      <c r="X222" s="5141"/>
      <c r="Y222" s="5141"/>
      <c r="Z222" s="5152"/>
      <c r="AB222" s="5135">
        <f>B_Stanja!AP93-B222</f>
        <v>0</v>
      </c>
      <c r="AC222" s="5136">
        <f>B_Uspjeha_M!AP22-D222</f>
        <v>0</v>
      </c>
      <c r="AD222" s="5090">
        <f t="shared" si="0"/>
        <v>0</v>
      </c>
      <c r="AE222" s="5090"/>
    </row>
    <row r="223" ht="15" spans="1:31">
      <c r="A223" s="5131" t="s">
        <v>571</v>
      </c>
      <c r="B223" s="5153"/>
      <c r="C223" s="5154">
        <f>B223</f>
        <v>0</v>
      </c>
      <c r="D223" s="5134"/>
      <c r="E223" s="5141"/>
      <c r="F223" s="5141"/>
      <c r="G223" s="5141"/>
      <c r="H223" s="5141"/>
      <c r="I223" s="5141"/>
      <c r="J223" s="5141"/>
      <c r="K223" s="5141"/>
      <c r="L223" s="5141"/>
      <c r="M223" s="5141"/>
      <c r="N223" s="5141"/>
      <c r="O223" s="5141"/>
      <c r="P223" s="5141"/>
      <c r="Q223" s="5141"/>
      <c r="R223" s="5141"/>
      <c r="S223" s="5141"/>
      <c r="T223" s="5141"/>
      <c r="U223" s="5141"/>
      <c r="V223" s="5141"/>
      <c r="W223" s="5141"/>
      <c r="X223" s="5141"/>
      <c r="Y223" s="5141"/>
      <c r="Z223" s="5152"/>
      <c r="AB223" s="5138">
        <f>B_Stanja!AP94-B223</f>
        <v>0</v>
      </c>
      <c r="AC223" s="5137">
        <f>B_Uspjeha_M!AP23-D223</f>
        <v>0</v>
      </c>
      <c r="AD223" s="5090"/>
      <c r="AE223" s="5090"/>
    </row>
    <row r="224" ht="15" spans="1:31">
      <c r="A224" s="5131" t="s">
        <v>1002</v>
      </c>
      <c r="B224" s="5153"/>
      <c r="C224" s="5154">
        <f t="shared" ref="C224:C237" si="1">B224</f>
        <v>0</v>
      </c>
      <c r="D224" s="5134"/>
      <c r="E224" s="5141"/>
      <c r="F224" s="5141"/>
      <c r="G224" s="5141"/>
      <c r="H224" s="5141"/>
      <c r="I224" s="5141"/>
      <c r="J224" s="5141"/>
      <c r="K224" s="5141"/>
      <c r="L224" s="5141"/>
      <c r="M224" s="5141"/>
      <c r="N224" s="5141"/>
      <c r="O224" s="5141"/>
      <c r="P224" s="5141"/>
      <c r="Q224" s="5141"/>
      <c r="R224" s="5141"/>
      <c r="S224" s="5141"/>
      <c r="T224" s="5141"/>
      <c r="U224" s="5141"/>
      <c r="V224" s="5141"/>
      <c r="W224" s="5141"/>
      <c r="X224" s="5141"/>
      <c r="Y224" s="5141"/>
      <c r="Z224" s="5152"/>
      <c r="AB224" s="5138">
        <f>B_Stanja!AP95-B224</f>
        <v>0</v>
      </c>
      <c r="AC224" s="5137">
        <f>B_Uspjeha_M!AP24-D224</f>
        <v>0</v>
      </c>
      <c r="AD224" s="5090"/>
      <c r="AE224" s="5090"/>
    </row>
    <row r="225" ht="15" spans="1:31">
      <c r="A225" s="5131" t="s">
        <v>4475</v>
      </c>
      <c r="B225" s="5153">
        <v>350000</v>
      </c>
      <c r="C225" s="5154">
        <f t="shared" si="1"/>
        <v>350000</v>
      </c>
      <c r="D225" s="5134"/>
      <c r="E225" s="5141"/>
      <c r="F225" s="5141"/>
      <c r="G225" s="5141"/>
      <c r="H225" s="5141"/>
      <c r="I225" s="5141"/>
      <c r="J225" s="5141"/>
      <c r="K225" s="5141"/>
      <c r="L225" s="5141"/>
      <c r="M225" s="5141"/>
      <c r="N225" s="5141"/>
      <c r="O225" s="5141"/>
      <c r="P225" s="5141"/>
      <c r="Q225" s="5141"/>
      <c r="R225" s="5141"/>
      <c r="S225" s="5141"/>
      <c r="T225" s="5141"/>
      <c r="U225" s="5141"/>
      <c r="V225" s="5141"/>
      <c r="W225" s="5141"/>
      <c r="X225" s="5141"/>
      <c r="Y225" s="5141"/>
      <c r="Z225" s="5152"/>
      <c r="AB225" s="5138">
        <f>B_Stanja!AP96-B225</f>
        <v>0</v>
      </c>
      <c r="AC225" s="5137">
        <f>B_Uspjeha_M!AP25-D225</f>
        <v>0</v>
      </c>
      <c r="AD225" s="5090"/>
      <c r="AE225" s="5090"/>
    </row>
    <row r="226" ht="15" spans="1:31">
      <c r="A226" s="5131" t="s">
        <v>1006</v>
      </c>
      <c r="B226" s="5153"/>
      <c r="C226" s="5154">
        <f t="shared" si="1"/>
        <v>0</v>
      </c>
      <c r="D226" s="5134"/>
      <c r="E226" s="5141"/>
      <c r="F226" s="5141"/>
      <c r="G226" s="5141"/>
      <c r="H226" s="5141"/>
      <c r="I226" s="5141"/>
      <c r="J226" s="5141"/>
      <c r="K226" s="5141"/>
      <c r="L226" s="5141"/>
      <c r="M226" s="5141"/>
      <c r="N226" s="5141"/>
      <c r="O226" s="5141"/>
      <c r="P226" s="5141"/>
      <c r="Q226" s="5141"/>
      <c r="R226" s="5141"/>
      <c r="S226" s="5141"/>
      <c r="T226" s="5141"/>
      <c r="U226" s="5141"/>
      <c r="V226" s="5141"/>
      <c r="W226" s="5141"/>
      <c r="X226" s="5141"/>
      <c r="Y226" s="5141"/>
      <c r="Z226" s="5152"/>
      <c r="AB226" s="5138">
        <f>B_Stanja!AP97-B226</f>
        <v>0</v>
      </c>
      <c r="AC226" s="5136">
        <f>B_Uspjeha_M!AP26-D226</f>
        <v>0</v>
      </c>
      <c r="AD226" s="5090"/>
      <c r="AE226" s="5090"/>
    </row>
    <row r="227" ht="15" spans="1:31">
      <c r="A227" s="5131" t="s">
        <v>1011</v>
      </c>
      <c r="B227" s="5153"/>
      <c r="C227" s="5154">
        <f t="shared" si="1"/>
        <v>0</v>
      </c>
      <c r="D227" s="5134"/>
      <c r="E227" s="5141"/>
      <c r="F227" s="5141"/>
      <c r="G227" s="5141"/>
      <c r="H227" s="5141"/>
      <c r="I227" s="5141"/>
      <c r="J227" s="5141"/>
      <c r="K227" s="5141"/>
      <c r="L227" s="5141"/>
      <c r="M227" s="5141"/>
      <c r="N227" s="5141"/>
      <c r="O227" s="5141"/>
      <c r="P227" s="5141"/>
      <c r="Q227" s="5141"/>
      <c r="R227" s="5141"/>
      <c r="S227" s="5141"/>
      <c r="T227" s="5141"/>
      <c r="U227" s="5141"/>
      <c r="V227" s="5141"/>
      <c r="W227" s="5141"/>
      <c r="X227" s="5141"/>
      <c r="Y227" s="5141"/>
      <c r="Z227" s="5152"/>
      <c r="AB227" s="5138">
        <f>B_Stanja!AP98-B227</f>
        <v>0</v>
      </c>
      <c r="AC227" s="5137">
        <f>B_Uspjeha_M!AP27-D227</f>
        <v>0</v>
      </c>
      <c r="AD227" s="5090"/>
      <c r="AE227" s="5090"/>
    </row>
    <row r="228" ht="15" spans="1:31">
      <c r="A228" s="5131" t="s">
        <v>838</v>
      </c>
      <c r="B228" s="5153"/>
      <c r="C228" s="5154">
        <f t="shared" si="1"/>
        <v>0</v>
      </c>
      <c r="D228" s="5134"/>
      <c r="E228" s="5141"/>
      <c r="F228" s="5141"/>
      <c r="G228" s="5141"/>
      <c r="H228" s="5141"/>
      <c r="I228" s="5141"/>
      <c r="J228" s="5141"/>
      <c r="K228" s="5141"/>
      <c r="L228" s="5141"/>
      <c r="M228" s="5141"/>
      <c r="N228" s="5141"/>
      <c r="O228" s="5141"/>
      <c r="P228" s="5141"/>
      <c r="Q228" s="5141"/>
      <c r="R228" s="5141"/>
      <c r="S228" s="5141"/>
      <c r="T228" s="5141"/>
      <c r="U228" s="5141"/>
      <c r="V228" s="5141"/>
      <c r="W228" s="5141"/>
      <c r="X228" s="5141"/>
      <c r="Y228" s="5141"/>
      <c r="Z228" s="5152"/>
      <c r="AB228" s="5138">
        <f>B_Stanja!AP99-B228</f>
        <v>0</v>
      </c>
      <c r="AC228" s="5137">
        <f>B_Uspjeha_M!AP28-D228</f>
        <v>0</v>
      </c>
      <c r="AD228" s="5090"/>
      <c r="AE228" s="5090"/>
    </row>
    <row r="229" ht="15" spans="1:31">
      <c r="A229" s="5131" t="s">
        <v>903</v>
      </c>
      <c r="B229" s="5150">
        <f>B_Stanja!AP100</f>
        <v>18461</v>
      </c>
      <c r="C229" s="5151">
        <f>C230+C231</f>
        <v>18461</v>
      </c>
      <c r="D229" s="5134"/>
      <c r="E229" s="5141"/>
      <c r="F229" s="5141"/>
      <c r="G229" s="5141"/>
      <c r="H229" s="5141"/>
      <c r="I229" s="5141"/>
      <c r="J229" s="5141"/>
      <c r="K229" s="5141"/>
      <c r="L229" s="5141"/>
      <c r="M229" s="5141"/>
      <c r="N229" s="5141"/>
      <c r="O229" s="5141"/>
      <c r="P229" s="5141"/>
      <c r="Q229" s="5141"/>
      <c r="R229" s="5141"/>
      <c r="S229" s="5141"/>
      <c r="T229" s="5141"/>
      <c r="U229" s="5141"/>
      <c r="V229" s="5141"/>
      <c r="W229" s="5141"/>
      <c r="X229" s="5141"/>
      <c r="Y229" s="5141"/>
      <c r="Z229" s="5152"/>
      <c r="AB229" s="5135">
        <f>B_Stanja!AP100-B229</f>
        <v>0</v>
      </c>
      <c r="AC229" s="5137">
        <f>B_Uspjeha_M!AP29-D229</f>
        <v>0</v>
      </c>
      <c r="AD229" s="5090">
        <f t="shared" ref="AD229:AD272" si="2">IF(AB229=0,0,"PAŽNJA! Provjerite AOP "&amp;A229&amp;" MSV - PROŠLU godinu, razlika = "&amp;TEXT(AB229,"#.##0,00 [$KM-141A]"))</f>
        <v>0</v>
      </c>
      <c r="AE229" s="5090"/>
    </row>
    <row r="230" ht="15" spans="1:31">
      <c r="A230" s="5131" t="s">
        <v>914</v>
      </c>
      <c r="B230" s="5153"/>
      <c r="C230" s="5154">
        <f t="shared" si="1"/>
        <v>0</v>
      </c>
      <c r="D230" s="5134"/>
      <c r="E230" s="5141"/>
      <c r="F230" s="5141"/>
      <c r="G230" s="5141"/>
      <c r="H230" s="5141"/>
      <c r="I230" s="5141"/>
      <c r="J230" s="5141"/>
      <c r="K230" s="5141"/>
      <c r="L230" s="5141"/>
      <c r="M230" s="5141"/>
      <c r="N230" s="5141"/>
      <c r="O230" s="5141"/>
      <c r="P230" s="5141"/>
      <c r="Q230" s="5141"/>
      <c r="R230" s="5141"/>
      <c r="S230" s="5141"/>
      <c r="T230" s="5141"/>
      <c r="U230" s="5141"/>
      <c r="V230" s="5141"/>
      <c r="W230" s="5141"/>
      <c r="X230" s="5141"/>
      <c r="Y230" s="5141"/>
      <c r="Z230" s="5152"/>
      <c r="AB230" s="5138">
        <f>B_Stanja!AP101-B230</f>
        <v>0</v>
      </c>
      <c r="AC230" s="5137">
        <f>B_Uspjeha_M!AP30-D230</f>
        <v>0</v>
      </c>
      <c r="AD230" s="5090"/>
      <c r="AE230" s="5090"/>
    </row>
    <row r="231" ht="15" spans="1:31">
      <c r="A231" s="5131" t="s">
        <v>4476</v>
      </c>
      <c r="B231" s="5153">
        <v>18461</v>
      </c>
      <c r="C231" s="5154">
        <f t="shared" si="1"/>
        <v>18461</v>
      </c>
      <c r="D231" s="5134"/>
      <c r="E231" s="5141"/>
      <c r="F231" s="5141"/>
      <c r="G231" s="5141"/>
      <c r="H231" s="5141"/>
      <c r="I231" s="5141"/>
      <c r="J231" s="5141"/>
      <c r="K231" s="5141"/>
      <c r="L231" s="5141"/>
      <c r="M231" s="5141"/>
      <c r="N231" s="5141"/>
      <c r="O231" s="5141"/>
      <c r="P231" s="5141"/>
      <c r="Q231" s="5141"/>
      <c r="R231" s="5141"/>
      <c r="S231" s="5141"/>
      <c r="T231" s="5141"/>
      <c r="U231" s="5141"/>
      <c r="V231" s="5141"/>
      <c r="W231" s="5141"/>
      <c r="X231" s="5141"/>
      <c r="Y231" s="5141"/>
      <c r="Z231" s="5152"/>
      <c r="AB231" s="5138">
        <f>B_Stanja!AP102-B231</f>
        <v>0</v>
      </c>
      <c r="AC231" s="5137">
        <f>B_Uspjeha_M!AP31-D231</f>
        <v>0</v>
      </c>
      <c r="AD231" s="5090"/>
      <c r="AE231" s="5090"/>
    </row>
    <row r="232" ht="15" spans="1:31">
      <c r="A232" s="5131" t="s">
        <v>4477</v>
      </c>
      <c r="B232" s="5150">
        <f>B_Stanja!AP103</f>
        <v>0</v>
      </c>
      <c r="C232" s="5151">
        <f>C233+C234+C235</f>
        <v>0</v>
      </c>
      <c r="D232" s="5134"/>
      <c r="E232" s="5141"/>
      <c r="F232" s="5141"/>
      <c r="G232" s="5141"/>
      <c r="H232" s="5141"/>
      <c r="I232" s="5141"/>
      <c r="J232" s="5141"/>
      <c r="K232" s="5141"/>
      <c r="L232" s="5141"/>
      <c r="M232" s="5141"/>
      <c r="N232" s="5141"/>
      <c r="O232" s="5141"/>
      <c r="P232" s="5141"/>
      <c r="Q232" s="5141"/>
      <c r="R232" s="5141"/>
      <c r="S232" s="5141"/>
      <c r="T232" s="5141"/>
      <c r="U232" s="5141"/>
      <c r="V232" s="5141"/>
      <c r="W232" s="5141"/>
      <c r="X232" s="5141"/>
      <c r="Y232" s="5141"/>
      <c r="Z232" s="5152"/>
      <c r="AB232" s="5135">
        <f>B_Stanja!AP103-B232</f>
        <v>0</v>
      </c>
      <c r="AC232" s="5137">
        <f>B_Uspjeha_M!AP32-D232</f>
        <v>0</v>
      </c>
      <c r="AD232" s="5090">
        <f t="shared" si="2"/>
        <v>0</v>
      </c>
      <c r="AE232" s="5090"/>
    </row>
    <row r="233" ht="15" spans="1:31">
      <c r="A233" s="5131" t="s">
        <v>4478</v>
      </c>
      <c r="B233" s="5153"/>
      <c r="C233" s="5154">
        <f t="shared" si="1"/>
        <v>0</v>
      </c>
      <c r="D233" s="5134"/>
      <c r="E233" s="5141"/>
      <c r="F233" s="5141"/>
      <c r="G233" s="5141"/>
      <c r="H233" s="5141"/>
      <c r="I233" s="5141"/>
      <c r="J233" s="5141"/>
      <c r="K233" s="5141"/>
      <c r="L233" s="5141"/>
      <c r="M233" s="5141"/>
      <c r="N233" s="5141"/>
      <c r="O233" s="5141"/>
      <c r="P233" s="5141"/>
      <c r="Q233" s="5141"/>
      <c r="R233" s="5141"/>
      <c r="S233" s="5141"/>
      <c r="T233" s="5141"/>
      <c r="U233" s="5141"/>
      <c r="V233" s="5141"/>
      <c r="W233" s="5141"/>
      <c r="X233" s="5141"/>
      <c r="Y233" s="5141"/>
      <c r="Z233" s="5152"/>
      <c r="AB233" s="5138">
        <f>B_Stanja!AP104-B233</f>
        <v>0</v>
      </c>
      <c r="AC233" s="5137">
        <f>B_Uspjeha_M!AP33-D233</f>
        <v>0</v>
      </c>
      <c r="AD233" s="5090"/>
      <c r="AE233" s="5090"/>
    </row>
    <row r="234" ht="15" spans="1:31">
      <c r="A234" s="5131" t="s">
        <v>4479</v>
      </c>
      <c r="B234" s="5153"/>
      <c r="C234" s="5154">
        <f t="shared" si="1"/>
        <v>0</v>
      </c>
      <c r="D234" s="5134"/>
      <c r="E234" s="5141"/>
      <c r="F234" s="5141"/>
      <c r="G234" s="5141"/>
      <c r="H234" s="5141"/>
      <c r="I234" s="5141"/>
      <c r="J234" s="5141"/>
      <c r="K234" s="5141"/>
      <c r="L234" s="5141"/>
      <c r="M234" s="5141"/>
      <c r="N234" s="5141"/>
      <c r="O234" s="5141"/>
      <c r="P234" s="5141"/>
      <c r="Q234" s="5141"/>
      <c r="R234" s="5141"/>
      <c r="S234" s="5141"/>
      <c r="T234" s="5141"/>
      <c r="U234" s="5141"/>
      <c r="V234" s="5141"/>
      <c r="W234" s="5141"/>
      <c r="X234" s="5141"/>
      <c r="Y234" s="5141"/>
      <c r="Z234" s="5152"/>
      <c r="AB234" s="5138">
        <f>B_Stanja!AP105-B234</f>
        <v>0</v>
      </c>
      <c r="AC234" s="5136">
        <f>B_Uspjeha_M!AP38-D234</f>
        <v>0</v>
      </c>
      <c r="AD234" s="5090"/>
      <c r="AE234" s="5090"/>
    </row>
    <row r="235" ht="15" spans="1:31">
      <c r="A235" s="5131" t="s">
        <v>4480</v>
      </c>
      <c r="B235" s="5153"/>
      <c r="C235" s="5154">
        <f t="shared" si="1"/>
        <v>0</v>
      </c>
      <c r="D235" s="5134"/>
      <c r="E235" s="5141"/>
      <c r="F235" s="5141"/>
      <c r="G235" s="5141"/>
      <c r="H235" s="5141"/>
      <c r="I235" s="5141"/>
      <c r="J235" s="5141"/>
      <c r="K235" s="5141"/>
      <c r="L235" s="5141"/>
      <c r="M235" s="5141"/>
      <c r="N235" s="5141"/>
      <c r="O235" s="5141"/>
      <c r="P235" s="5141"/>
      <c r="Q235" s="5141"/>
      <c r="R235" s="5141"/>
      <c r="S235" s="5141"/>
      <c r="T235" s="5141"/>
      <c r="U235" s="5141"/>
      <c r="V235" s="5141"/>
      <c r="W235" s="5141"/>
      <c r="X235" s="5141"/>
      <c r="Y235" s="5141"/>
      <c r="Z235" s="5152"/>
      <c r="AB235" s="5138">
        <f>B_Stanja!AP106-B235</f>
        <v>0</v>
      </c>
      <c r="AC235" s="5137">
        <f>B_Uspjeha_M!AP39-D235</f>
        <v>0</v>
      </c>
      <c r="AD235" s="5090"/>
      <c r="AE235" s="5090"/>
    </row>
    <row r="236" ht="15" spans="1:31">
      <c r="A236" s="5131" t="s">
        <v>4481</v>
      </c>
      <c r="B236" s="5150">
        <f>B_Stanja!AP107</f>
        <v>91307</v>
      </c>
      <c r="C236" s="5151">
        <f>C237+C238</f>
        <v>0</v>
      </c>
      <c r="D236" s="5134"/>
      <c r="E236" s="5141"/>
      <c r="F236" s="5141"/>
      <c r="G236" s="5141"/>
      <c r="H236" s="5141"/>
      <c r="I236" s="5141"/>
      <c r="J236" s="5141"/>
      <c r="K236" s="5141"/>
      <c r="L236" s="5141"/>
      <c r="M236" s="5141"/>
      <c r="N236" s="5141"/>
      <c r="O236" s="5141"/>
      <c r="P236" s="5141"/>
      <c r="Q236" s="5141"/>
      <c r="R236" s="5141"/>
      <c r="S236" s="5141"/>
      <c r="T236" s="5141"/>
      <c r="U236" s="5141"/>
      <c r="V236" s="5141"/>
      <c r="W236" s="5141"/>
      <c r="X236" s="5141"/>
      <c r="Y236" s="5141"/>
      <c r="Z236" s="5152"/>
      <c r="AB236" s="5135">
        <f>B_Stanja!AP107-B236</f>
        <v>0</v>
      </c>
      <c r="AC236" s="5137">
        <f>B_Uspjeha_M!AP40-D236</f>
        <v>0</v>
      </c>
      <c r="AD236" s="5090">
        <f t="shared" si="2"/>
        <v>0</v>
      </c>
      <c r="AE236" s="5090"/>
    </row>
    <row r="237" ht="15" spans="1:31">
      <c r="A237" s="5131" t="s">
        <v>4482</v>
      </c>
      <c r="B237" s="5153"/>
      <c r="C237" s="5154">
        <f t="shared" si="1"/>
        <v>0</v>
      </c>
      <c r="D237" s="5134"/>
      <c r="E237" s="5141"/>
      <c r="F237" s="5141"/>
      <c r="G237" s="5141"/>
      <c r="H237" s="5141"/>
      <c r="I237" s="5141"/>
      <c r="J237" s="5141"/>
      <c r="K237" s="5141"/>
      <c r="L237" s="5141"/>
      <c r="M237" s="5141"/>
      <c r="N237" s="5141"/>
      <c r="O237" s="5141"/>
      <c r="P237" s="5141"/>
      <c r="Q237" s="5141"/>
      <c r="R237" s="5141"/>
      <c r="S237" s="5141"/>
      <c r="T237" s="5141"/>
      <c r="U237" s="5141"/>
      <c r="V237" s="5141"/>
      <c r="W237" s="5141"/>
      <c r="X237" s="5141"/>
      <c r="Y237" s="5141"/>
      <c r="Z237" s="5152"/>
      <c r="AB237" s="5138">
        <f>B_Stanja!AP108-B237</f>
        <v>0</v>
      </c>
      <c r="AC237" s="5137">
        <f>B_Uspjeha_M!AP41-D237</f>
        <v>0</v>
      </c>
      <c r="AD237" s="5090"/>
      <c r="AE237" s="5090"/>
    </row>
    <row r="238" ht="15" spans="1:31">
      <c r="A238" s="5131" t="s">
        <v>4483</v>
      </c>
      <c r="B238" s="5153">
        <v>91307</v>
      </c>
      <c r="C238" s="5154"/>
      <c r="D238" s="5134"/>
      <c r="E238" s="5141"/>
      <c r="F238" s="5141"/>
      <c r="G238" s="5141"/>
      <c r="H238" s="5141"/>
      <c r="I238" s="5141"/>
      <c r="J238" s="5141"/>
      <c r="K238" s="5141"/>
      <c r="L238" s="5141"/>
      <c r="M238" s="5141"/>
      <c r="N238" s="5141"/>
      <c r="O238" s="5141"/>
      <c r="P238" s="5141"/>
      <c r="Q238" s="5141"/>
      <c r="R238" s="5141"/>
      <c r="S238" s="5141"/>
      <c r="T238" s="5141"/>
      <c r="U238" s="5141"/>
      <c r="V238" s="5141"/>
      <c r="W238" s="5141"/>
      <c r="X238" s="5141"/>
      <c r="Y238" s="5141"/>
      <c r="Z238" s="5152"/>
      <c r="AB238" s="5138">
        <f>B_Stanja!AP109-B238</f>
        <v>0</v>
      </c>
      <c r="AC238" s="5137">
        <f>B_Uspjeha_M!AP42-D238</f>
        <v>0</v>
      </c>
      <c r="AD238" s="5090"/>
      <c r="AE238" s="5090"/>
    </row>
    <row r="239" ht="15" spans="1:31">
      <c r="A239" s="5131" t="s">
        <v>4484</v>
      </c>
      <c r="B239" s="5150">
        <f>B_Stanja!AP110</f>
        <v>0</v>
      </c>
      <c r="C239" s="5151">
        <f>C240+C241</f>
        <v>0</v>
      </c>
      <c r="D239" s="5134"/>
      <c r="E239" s="5141"/>
      <c r="F239" s="5141"/>
      <c r="G239" s="5141"/>
      <c r="H239" s="5141"/>
      <c r="I239" s="5141"/>
      <c r="J239" s="5141"/>
      <c r="K239" s="5141"/>
      <c r="L239" s="5141"/>
      <c r="M239" s="5141"/>
      <c r="N239" s="5141"/>
      <c r="O239" s="5141"/>
      <c r="P239" s="5141"/>
      <c r="Q239" s="5141"/>
      <c r="R239" s="5141"/>
      <c r="S239" s="5141"/>
      <c r="T239" s="5141"/>
      <c r="U239" s="5141"/>
      <c r="V239" s="5141"/>
      <c r="W239" s="5141"/>
      <c r="X239" s="5141"/>
      <c r="Y239" s="5141"/>
      <c r="Z239" s="5152"/>
      <c r="AB239" s="5135">
        <f>B_Stanja!AP110-B239</f>
        <v>0</v>
      </c>
      <c r="AC239" s="5137">
        <f>B_Uspjeha_M!AP43-D239</f>
        <v>0</v>
      </c>
      <c r="AD239" s="5090">
        <f t="shared" si="2"/>
        <v>0</v>
      </c>
      <c r="AE239" s="5090"/>
    </row>
    <row r="240" ht="15" spans="1:31">
      <c r="A240" s="5131" t="s">
        <v>4485</v>
      </c>
      <c r="B240" s="5153"/>
      <c r="C240" s="5154">
        <f t="shared" ref="C240" si="3">B240</f>
        <v>0</v>
      </c>
      <c r="D240" s="5134"/>
      <c r="E240" s="5141"/>
      <c r="F240" s="5141"/>
      <c r="G240" s="5141"/>
      <c r="H240" s="5141"/>
      <c r="I240" s="5141"/>
      <c r="J240" s="5141"/>
      <c r="K240" s="5141"/>
      <c r="L240" s="5141"/>
      <c r="M240" s="5141"/>
      <c r="N240" s="5141"/>
      <c r="O240" s="5141"/>
      <c r="P240" s="5141"/>
      <c r="Q240" s="5141"/>
      <c r="R240" s="5141"/>
      <c r="S240" s="5141"/>
      <c r="T240" s="5141"/>
      <c r="U240" s="5141"/>
      <c r="V240" s="5141"/>
      <c r="W240" s="5141"/>
      <c r="X240" s="5141"/>
      <c r="Y240" s="5141"/>
      <c r="Z240" s="5152"/>
      <c r="AB240" s="5138">
        <f>B_Stanja!AP111-B240</f>
        <v>0</v>
      </c>
      <c r="AC240" s="5137">
        <f>B_Uspjeha_M!AP44-D240</f>
        <v>0</v>
      </c>
      <c r="AD240" s="5090"/>
      <c r="AE240" s="5090"/>
    </row>
    <row r="241" ht="15" spans="1:31">
      <c r="A241" s="5131" t="s">
        <v>4486</v>
      </c>
      <c r="B241" s="5153"/>
      <c r="C241" s="5154"/>
      <c r="D241" s="5134"/>
      <c r="E241" s="5141"/>
      <c r="F241" s="5141"/>
      <c r="G241" s="5141"/>
      <c r="H241" s="5141"/>
      <c r="I241" s="5141"/>
      <c r="J241" s="5141"/>
      <c r="K241" s="5141"/>
      <c r="L241" s="5141"/>
      <c r="M241" s="5141"/>
      <c r="N241" s="5141"/>
      <c r="O241" s="5141"/>
      <c r="P241" s="5141"/>
      <c r="Q241" s="5141"/>
      <c r="R241" s="5141"/>
      <c r="S241" s="5141"/>
      <c r="T241" s="5141"/>
      <c r="U241" s="5141"/>
      <c r="V241" s="5141"/>
      <c r="W241" s="5141"/>
      <c r="X241" s="5141"/>
      <c r="Y241" s="5141"/>
      <c r="Z241" s="5152"/>
      <c r="AB241" s="5138">
        <f>B_Stanja!AP112-B241</f>
        <v>0</v>
      </c>
      <c r="AC241" s="5137">
        <f>B_Uspjeha_M!AP45-D241</f>
        <v>0</v>
      </c>
      <c r="AD241" s="5090"/>
      <c r="AE241" s="5090"/>
    </row>
    <row r="242" ht="15" spans="1:31">
      <c r="A242" s="5131" t="s">
        <v>4487</v>
      </c>
      <c r="B242" s="5150">
        <f>B_Stanja!AP113</f>
        <v>459768</v>
      </c>
      <c r="C242" s="5151">
        <f>C222+C229+C232+C236-C239</f>
        <v>368461</v>
      </c>
      <c r="D242" s="5134"/>
      <c r="E242" s="5141"/>
      <c r="F242" s="5141"/>
      <c r="G242" s="5141"/>
      <c r="H242" s="5141"/>
      <c r="I242" s="5141"/>
      <c r="J242" s="5141"/>
      <c r="K242" s="5141"/>
      <c r="L242" s="5141"/>
      <c r="M242" s="5141"/>
      <c r="N242" s="5141"/>
      <c r="O242" s="5141"/>
      <c r="P242" s="5141"/>
      <c r="Q242" s="5141"/>
      <c r="R242" s="5141"/>
      <c r="S242" s="5141"/>
      <c r="T242" s="5141"/>
      <c r="U242" s="5141"/>
      <c r="V242" s="5141"/>
      <c r="W242" s="5141"/>
      <c r="X242" s="5141"/>
      <c r="Y242" s="5141"/>
      <c r="Z242" s="5152"/>
      <c r="AB242" s="5135">
        <f>B_Stanja!AP113-B242</f>
        <v>0</v>
      </c>
      <c r="AC242" s="5137">
        <f>B_Uspjeha_M!AP46-D242</f>
        <v>0</v>
      </c>
      <c r="AD242" s="5090">
        <f t="shared" si="2"/>
        <v>0</v>
      </c>
      <c r="AE242" s="5090"/>
    </row>
    <row r="243" ht="15" spans="1:31">
      <c r="A243" s="5131" t="s">
        <v>4488</v>
      </c>
      <c r="B243" s="5153"/>
      <c r="C243" s="5154">
        <f t="shared" ref="C243" si="4">B243</f>
        <v>0</v>
      </c>
      <c r="D243" s="5134"/>
      <c r="E243" s="5141"/>
      <c r="F243" s="5141"/>
      <c r="G243" s="5141"/>
      <c r="H243" s="5141"/>
      <c r="I243" s="5141"/>
      <c r="J243" s="5141"/>
      <c r="K243" s="5141"/>
      <c r="L243" s="5141"/>
      <c r="M243" s="5141"/>
      <c r="N243" s="5141"/>
      <c r="O243" s="5141"/>
      <c r="P243" s="5141"/>
      <c r="Q243" s="5141"/>
      <c r="R243" s="5141"/>
      <c r="S243" s="5141"/>
      <c r="T243" s="5141"/>
      <c r="U243" s="5141"/>
      <c r="V243" s="5141"/>
      <c r="W243" s="5141"/>
      <c r="X243" s="5141"/>
      <c r="Y243" s="5141"/>
      <c r="Z243" s="5152"/>
      <c r="AB243" s="5138">
        <f>B_Stanja!AP114-B243</f>
        <v>0</v>
      </c>
      <c r="AC243" s="5136">
        <f>B_Uspjeha_M!AP47-D243</f>
        <v>0</v>
      </c>
      <c r="AD243" s="5090"/>
      <c r="AE243" s="5090"/>
    </row>
    <row r="244" ht="15.75" spans="1:31">
      <c r="A244" s="5155" t="s">
        <v>4489</v>
      </c>
      <c r="B244" s="5156">
        <f>B_Stanja!AP115</f>
        <v>459768</v>
      </c>
      <c r="C244" s="5157">
        <f>C242+C243</f>
        <v>368461</v>
      </c>
      <c r="D244" s="5134"/>
      <c r="E244" s="5141"/>
      <c r="F244" s="5141"/>
      <c r="G244" s="5141"/>
      <c r="H244" s="5141"/>
      <c r="I244" s="5141"/>
      <c r="J244" s="5141"/>
      <c r="K244" s="5141"/>
      <c r="L244" s="5141"/>
      <c r="M244" s="5141"/>
      <c r="N244" s="5141"/>
      <c r="O244" s="5141"/>
      <c r="P244" s="5141"/>
      <c r="Q244" s="5141"/>
      <c r="R244" s="5141"/>
      <c r="S244" s="5141"/>
      <c r="T244" s="5141"/>
      <c r="U244" s="5141"/>
      <c r="V244" s="5141"/>
      <c r="W244" s="5141"/>
      <c r="X244" s="5141"/>
      <c r="Y244" s="5141"/>
      <c r="Z244" s="5152"/>
      <c r="AB244" s="5135">
        <f>B_Stanja!AP115-B244</f>
        <v>0</v>
      </c>
      <c r="AC244" s="5136">
        <f>B_Uspjeha_M!AP48-D244</f>
        <v>0</v>
      </c>
      <c r="AD244" s="5090">
        <f t="shared" si="2"/>
        <v>0</v>
      </c>
      <c r="AE244" s="5090"/>
    </row>
    <row r="245" ht="15.75" spans="1:31">
      <c r="A245" s="5158" t="s">
        <v>513</v>
      </c>
      <c r="B245" s="5159">
        <f>B_Stanja!AP125</f>
        <v>16678</v>
      </c>
      <c r="C245" s="5160"/>
      <c r="D245" s="5134"/>
      <c r="E245" s="5141"/>
      <c r="F245" s="5141"/>
      <c r="G245" s="5141"/>
      <c r="H245" s="5141"/>
      <c r="I245" s="5141"/>
      <c r="J245" s="5141"/>
      <c r="K245" s="5141"/>
      <c r="L245" s="5141"/>
      <c r="M245" s="5141"/>
      <c r="N245" s="5141"/>
      <c r="O245" s="5141"/>
      <c r="P245" s="5141"/>
      <c r="Q245" s="5141"/>
      <c r="R245" s="5141"/>
      <c r="S245" s="5141"/>
      <c r="T245" s="5141"/>
      <c r="U245" s="5141"/>
      <c r="V245" s="5141"/>
      <c r="W245" s="5141"/>
      <c r="X245" s="5141"/>
      <c r="Y245" s="5141"/>
      <c r="Z245" s="5152"/>
      <c r="AB245" s="5135">
        <f>B_Stanja!AP125-B245</f>
        <v>0</v>
      </c>
      <c r="AC245" s="5136">
        <f>B_Uspjeha_M!AP49-D245</f>
        <v>0</v>
      </c>
      <c r="AD245" s="5090">
        <f t="shared" si="2"/>
        <v>0</v>
      </c>
      <c r="AE245" s="5090"/>
    </row>
    <row r="246" ht="15" spans="1:31">
      <c r="A246" s="5131" t="s">
        <v>4490</v>
      </c>
      <c r="B246" s="5132">
        <f>B_Stanja!AP126</f>
        <v>16678</v>
      </c>
      <c r="C246" s="5110"/>
      <c r="D246" s="5134"/>
      <c r="E246" s="5141"/>
      <c r="F246" s="5141"/>
      <c r="G246" s="5141"/>
      <c r="H246" s="5141"/>
      <c r="I246" s="5141"/>
      <c r="J246" s="5141"/>
      <c r="K246" s="5141"/>
      <c r="L246" s="5141"/>
      <c r="M246" s="5141"/>
      <c r="N246" s="5141"/>
      <c r="O246" s="5141"/>
      <c r="P246" s="5141"/>
      <c r="Q246" s="5141"/>
      <c r="R246" s="5141"/>
      <c r="S246" s="5141"/>
      <c r="T246" s="5141"/>
      <c r="U246" s="5141"/>
      <c r="V246" s="5141"/>
      <c r="W246" s="5141"/>
      <c r="X246" s="5141"/>
      <c r="Y246" s="5141"/>
      <c r="Z246" s="5152"/>
      <c r="AB246" s="5135">
        <f>B_Stanja!AP126-B246</f>
        <v>0</v>
      </c>
      <c r="AC246" s="5137">
        <f>B_Uspjeha_M!AP50-D246</f>
        <v>0</v>
      </c>
      <c r="AD246" s="5090">
        <f t="shared" si="2"/>
        <v>0</v>
      </c>
      <c r="AE246" s="5090"/>
    </row>
    <row r="247" ht="15" spans="1:31">
      <c r="A247" s="5131" t="s">
        <v>4491</v>
      </c>
      <c r="B247" s="5113">
        <v>16678</v>
      </c>
      <c r="C247" s="5110"/>
      <c r="D247" s="5134"/>
      <c r="E247" s="5141"/>
      <c r="F247" s="5141"/>
      <c r="G247" s="5141"/>
      <c r="H247" s="5141"/>
      <c r="I247" s="5141"/>
      <c r="J247" s="5141"/>
      <c r="K247" s="5141"/>
      <c r="L247" s="5141"/>
      <c r="M247" s="5141"/>
      <c r="N247" s="5141"/>
      <c r="O247" s="5141"/>
      <c r="P247" s="5141"/>
      <c r="Q247" s="5141"/>
      <c r="R247" s="5141"/>
      <c r="S247" s="5141"/>
      <c r="T247" s="5141"/>
      <c r="U247" s="5141"/>
      <c r="V247" s="5141"/>
      <c r="W247" s="5141"/>
      <c r="X247" s="5141"/>
      <c r="Y247" s="5141"/>
      <c r="Z247" s="5152"/>
      <c r="AB247" s="5138">
        <f>B_Stanja!AP127-B247</f>
        <v>0</v>
      </c>
      <c r="AC247" s="5137">
        <f>B_Uspjeha_M!AP51-D247</f>
        <v>0</v>
      </c>
      <c r="AD247" s="5090"/>
      <c r="AE247" s="5090"/>
    </row>
    <row r="248" ht="15" spans="1:31">
      <c r="A248" s="5131" t="s">
        <v>4492</v>
      </c>
      <c r="B248" s="5113"/>
      <c r="C248" s="5110"/>
      <c r="D248" s="5134"/>
      <c r="E248" s="5141"/>
      <c r="F248" s="5141"/>
      <c r="G248" s="5141"/>
      <c r="H248" s="5141"/>
      <c r="I248" s="5141"/>
      <c r="J248" s="5141"/>
      <c r="K248" s="5141"/>
      <c r="L248" s="5141"/>
      <c r="M248" s="5141"/>
      <c r="N248" s="5141"/>
      <c r="O248" s="5141"/>
      <c r="P248" s="5141"/>
      <c r="Q248" s="5141"/>
      <c r="R248" s="5141"/>
      <c r="S248" s="5141"/>
      <c r="T248" s="5141"/>
      <c r="U248" s="5141"/>
      <c r="V248" s="5141"/>
      <c r="W248" s="5141"/>
      <c r="X248" s="5141"/>
      <c r="Y248" s="5141"/>
      <c r="Z248" s="5152"/>
      <c r="AB248" s="5138">
        <f>B_Stanja!AP128-B248</f>
        <v>0</v>
      </c>
      <c r="AC248" s="5136">
        <f>B_Uspjeha_M!AP52-D248</f>
        <v>0</v>
      </c>
      <c r="AD248" s="5090"/>
      <c r="AE248" s="5090"/>
    </row>
    <row r="249" ht="15" spans="1:31">
      <c r="A249" s="5131" t="s">
        <v>579</v>
      </c>
      <c r="B249" s="5113"/>
      <c r="C249" s="5110"/>
      <c r="D249" s="5134"/>
      <c r="E249" s="5141"/>
      <c r="F249" s="5141"/>
      <c r="G249" s="5141"/>
      <c r="H249" s="5141"/>
      <c r="I249" s="5141"/>
      <c r="J249" s="5141"/>
      <c r="K249" s="5141"/>
      <c r="L249" s="5141"/>
      <c r="M249" s="5141"/>
      <c r="N249" s="5141"/>
      <c r="O249" s="5141"/>
      <c r="P249" s="5141"/>
      <c r="Q249" s="5141"/>
      <c r="R249" s="5141"/>
      <c r="S249" s="5141"/>
      <c r="T249" s="5141"/>
      <c r="U249" s="5141"/>
      <c r="V249" s="5141"/>
      <c r="W249" s="5141"/>
      <c r="X249" s="5141"/>
      <c r="Y249" s="5141"/>
      <c r="Z249" s="5152"/>
      <c r="AB249" s="5138">
        <f>B_Stanja!AP129-B249</f>
        <v>0</v>
      </c>
      <c r="AC249" s="5136">
        <f>B_Uspjeha_M!AP53-D249</f>
        <v>0</v>
      </c>
      <c r="AD249" s="5090"/>
      <c r="AE249" s="5090"/>
    </row>
    <row r="250" ht="15" spans="1:31">
      <c r="A250" s="5131" t="s">
        <v>4493</v>
      </c>
      <c r="B250" s="5113"/>
      <c r="C250" s="5110"/>
      <c r="D250" s="5134"/>
      <c r="E250" s="5141"/>
      <c r="F250" s="5141"/>
      <c r="G250" s="5141"/>
      <c r="H250" s="5141"/>
      <c r="I250" s="5141"/>
      <c r="J250" s="5141"/>
      <c r="K250" s="5141"/>
      <c r="L250" s="5141"/>
      <c r="M250" s="5141"/>
      <c r="N250" s="5141"/>
      <c r="O250" s="5141"/>
      <c r="P250" s="5141"/>
      <c r="Q250" s="5141"/>
      <c r="R250" s="5141"/>
      <c r="S250" s="5141"/>
      <c r="T250" s="5141"/>
      <c r="U250" s="5141"/>
      <c r="V250" s="5141"/>
      <c r="W250" s="5141"/>
      <c r="X250" s="5141"/>
      <c r="Y250" s="5141"/>
      <c r="Z250" s="5152"/>
      <c r="AB250" s="5138">
        <f>B_Stanja!AP130-B250</f>
        <v>0</v>
      </c>
      <c r="AC250" s="5136">
        <f>B_Uspjeha_M!AP55-D250</f>
        <v>0</v>
      </c>
      <c r="AD250" s="5090"/>
      <c r="AE250" s="5090"/>
    </row>
    <row r="251" ht="15" spans="1:31">
      <c r="A251" s="5131" t="s">
        <v>4494</v>
      </c>
      <c r="B251" s="5113"/>
      <c r="C251" s="5110"/>
      <c r="D251" s="5134"/>
      <c r="E251" s="5141"/>
      <c r="F251" s="5141"/>
      <c r="G251" s="5141"/>
      <c r="H251" s="5141"/>
      <c r="I251" s="5141"/>
      <c r="J251" s="5141"/>
      <c r="K251" s="5141"/>
      <c r="L251" s="5141"/>
      <c r="M251" s="5141"/>
      <c r="N251" s="5141"/>
      <c r="O251" s="5141"/>
      <c r="P251" s="5141"/>
      <c r="Q251" s="5141"/>
      <c r="R251" s="5141"/>
      <c r="S251" s="5141"/>
      <c r="T251" s="5141"/>
      <c r="U251" s="5141"/>
      <c r="V251" s="5141"/>
      <c r="W251" s="5141"/>
      <c r="X251" s="5141"/>
      <c r="Y251" s="5141"/>
      <c r="Z251" s="5152"/>
      <c r="AB251" s="5138">
        <f>B_Stanja!AP131-B251</f>
        <v>0</v>
      </c>
      <c r="AC251" s="5137">
        <f>B_Uspjeha_M!AP56-D251</f>
        <v>0</v>
      </c>
      <c r="AD251" s="5090"/>
      <c r="AE251" s="5090"/>
    </row>
    <row r="252" ht="15" spans="1:31">
      <c r="A252" s="5131" t="s">
        <v>4495</v>
      </c>
      <c r="B252" s="5113"/>
      <c r="C252" s="5110"/>
      <c r="D252" s="5134"/>
      <c r="E252" s="5141"/>
      <c r="F252" s="5141"/>
      <c r="G252" s="5141"/>
      <c r="H252" s="5141"/>
      <c r="I252" s="5141"/>
      <c r="J252" s="5141"/>
      <c r="K252" s="5141"/>
      <c r="L252" s="5141"/>
      <c r="M252" s="5141"/>
      <c r="N252" s="5141"/>
      <c r="O252" s="5141"/>
      <c r="P252" s="5141"/>
      <c r="Q252" s="5141"/>
      <c r="R252" s="5141"/>
      <c r="S252" s="5141"/>
      <c r="T252" s="5141"/>
      <c r="U252" s="5141"/>
      <c r="V252" s="5141"/>
      <c r="W252" s="5141"/>
      <c r="X252" s="5141"/>
      <c r="Y252" s="5141"/>
      <c r="Z252" s="5152"/>
      <c r="AB252" s="5138">
        <f>B_Stanja!AP132-B252</f>
        <v>0</v>
      </c>
      <c r="AC252" s="5137">
        <f>B_Uspjeha_M!AP57-D252</f>
        <v>0</v>
      </c>
      <c r="AD252" s="5090"/>
      <c r="AE252" s="5090"/>
    </row>
    <row r="253" ht="15" spans="1:31">
      <c r="A253" s="5131" t="s">
        <v>475</v>
      </c>
      <c r="B253" s="5113"/>
      <c r="C253" s="5110"/>
      <c r="D253" s="5134"/>
      <c r="E253" s="5141"/>
      <c r="F253" s="5141"/>
      <c r="G253" s="5141"/>
      <c r="H253" s="5141"/>
      <c r="I253" s="5141"/>
      <c r="J253" s="5141"/>
      <c r="K253" s="5141"/>
      <c r="L253" s="5141"/>
      <c r="M253" s="5141"/>
      <c r="N253" s="5141"/>
      <c r="O253" s="5141"/>
      <c r="P253" s="5141"/>
      <c r="Q253" s="5141"/>
      <c r="R253" s="5141"/>
      <c r="S253" s="5141"/>
      <c r="T253" s="5141"/>
      <c r="U253" s="5141"/>
      <c r="V253" s="5141"/>
      <c r="W253" s="5141"/>
      <c r="X253" s="5141"/>
      <c r="Y253" s="5141"/>
      <c r="Z253" s="5152"/>
      <c r="AB253" s="5138">
        <f>B_Stanja!AP133-B253</f>
        <v>0</v>
      </c>
      <c r="AC253" s="5137">
        <f>B_Uspjeha_M!AP58-D253</f>
        <v>0</v>
      </c>
      <c r="AD253" s="5090"/>
      <c r="AE253" s="5090"/>
    </row>
    <row r="254" ht="15" spans="1:31">
      <c r="A254" s="5131" t="s">
        <v>4496</v>
      </c>
      <c r="B254" s="5113"/>
      <c r="C254" s="5110"/>
      <c r="D254" s="5134"/>
      <c r="E254" s="5141"/>
      <c r="F254" s="5141"/>
      <c r="G254" s="5141"/>
      <c r="H254" s="5141"/>
      <c r="I254" s="5141"/>
      <c r="J254" s="5141"/>
      <c r="K254" s="5141"/>
      <c r="L254" s="5141"/>
      <c r="M254" s="5141"/>
      <c r="N254" s="5141"/>
      <c r="O254" s="5141"/>
      <c r="P254" s="5141"/>
      <c r="Q254" s="5141"/>
      <c r="R254" s="5141"/>
      <c r="S254" s="5141"/>
      <c r="T254" s="5141"/>
      <c r="U254" s="5141"/>
      <c r="V254" s="5141"/>
      <c r="W254" s="5141"/>
      <c r="X254" s="5141"/>
      <c r="Y254" s="5141"/>
      <c r="Z254" s="5152"/>
      <c r="AB254" s="5138">
        <f>B_Stanja!AP134-B254</f>
        <v>0</v>
      </c>
      <c r="AC254" s="5137">
        <f>B_Uspjeha_M!AP59-D254</f>
        <v>0</v>
      </c>
      <c r="AD254" s="5090"/>
      <c r="AE254" s="5090"/>
    </row>
    <row r="255" ht="15" spans="1:31">
      <c r="A255" s="5131" t="s">
        <v>410</v>
      </c>
      <c r="B255" s="5132">
        <f>B_Stanja!AP135</f>
        <v>292435</v>
      </c>
      <c r="C255" s="5110"/>
      <c r="D255" s="5134"/>
      <c r="E255" s="5141"/>
      <c r="F255" s="5141"/>
      <c r="G255" s="5141"/>
      <c r="H255" s="5141"/>
      <c r="I255" s="5141"/>
      <c r="J255" s="5141"/>
      <c r="K255" s="5141"/>
      <c r="L255" s="5141"/>
      <c r="M255" s="5141"/>
      <c r="N255" s="5141"/>
      <c r="O255" s="5141"/>
      <c r="P255" s="5141"/>
      <c r="Q255" s="5141"/>
      <c r="R255" s="5141"/>
      <c r="S255" s="5141"/>
      <c r="T255" s="5141"/>
      <c r="U255" s="5141"/>
      <c r="V255" s="5141"/>
      <c r="W255" s="5141"/>
      <c r="X255" s="5141"/>
      <c r="Y255" s="5141"/>
      <c r="Z255" s="5152"/>
      <c r="AB255" s="5135">
        <f>B_Stanja!AP135-B255</f>
        <v>0</v>
      </c>
      <c r="AC255" s="5136">
        <f>B_Uspjeha_M!AP60-D255</f>
        <v>0</v>
      </c>
      <c r="AD255" s="5090">
        <f t="shared" si="2"/>
        <v>0</v>
      </c>
      <c r="AE255" s="5090"/>
    </row>
    <row r="256" ht="15" spans="1:31">
      <c r="A256" s="5131" t="s">
        <v>4497</v>
      </c>
      <c r="B256" s="5132">
        <f>B_Stanja!AP136</f>
        <v>73491</v>
      </c>
      <c r="C256" s="5110"/>
      <c r="D256" s="5141"/>
      <c r="E256" s="5141"/>
      <c r="F256" s="5141"/>
      <c r="G256" s="5141"/>
      <c r="H256" s="5141"/>
      <c r="I256" s="5141"/>
      <c r="J256" s="5141"/>
      <c r="K256" s="5141"/>
      <c r="L256" s="5141"/>
      <c r="M256" s="5141"/>
      <c r="N256" s="5141"/>
      <c r="O256" s="5141"/>
      <c r="P256" s="5141"/>
      <c r="Q256" s="5141"/>
      <c r="R256" s="5141"/>
      <c r="S256" s="5141"/>
      <c r="T256" s="5141"/>
      <c r="U256" s="5141"/>
      <c r="V256" s="5141"/>
      <c r="W256" s="5141"/>
      <c r="X256" s="5141"/>
      <c r="Y256" s="5141"/>
      <c r="Z256" s="5152"/>
      <c r="AB256" s="5135">
        <f>B_Stanja!AP136-B256</f>
        <v>0</v>
      </c>
      <c r="AC256" s="4"/>
      <c r="AD256" s="5090">
        <f t="shared" si="2"/>
        <v>0</v>
      </c>
    </row>
    <row r="257" ht="15" spans="1:30">
      <c r="A257" s="5131" t="s">
        <v>864</v>
      </c>
      <c r="B257" s="5113">
        <v>64182</v>
      </c>
      <c r="C257" s="5110"/>
      <c r="D257" s="5085"/>
      <c r="E257" s="5085"/>
      <c r="F257" s="5085"/>
      <c r="G257" s="5085"/>
      <c r="H257" s="5085"/>
      <c r="I257" s="5085"/>
      <c r="J257" s="5085"/>
      <c r="K257" s="5085"/>
      <c r="L257" s="5085"/>
      <c r="M257" s="5085"/>
      <c r="N257" s="5085"/>
      <c r="O257" s="5085"/>
      <c r="P257" s="5085"/>
      <c r="Q257" s="5085"/>
      <c r="R257" s="5085"/>
      <c r="S257" s="5085"/>
      <c r="T257" s="5085"/>
      <c r="U257" s="5085"/>
      <c r="V257" s="5085"/>
      <c r="W257" s="5085"/>
      <c r="X257" s="5085"/>
      <c r="Y257" s="5085"/>
      <c r="Z257" s="5102"/>
      <c r="AB257" s="5138">
        <f>B_Stanja!AP137-B257</f>
        <v>0</v>
      </c>
      <c r="AC257" s="4"/>
      <c r="AD257" s="5090"/>
    </row>
    <row r="258" ht="15" spans="1:30">
      <c r="A258" s="5131" t="s">
        <v>4498</v>
      </c>
      <c r="B258" s="5113"/>
      <c r="C258" s="5110"/>
      <c r="D258" s="5085"/>
      <c r="E258" s="5085"/>
      <c r="F258" s="5085"/>
      <c r="G258" s="5085"/>
      <c r="H258" s="5085"/>
      <c r="I258" s="5085"/>
      <c r="J258" s="5085"/>
      <c r="K258" s="5085"/>
      <c r="L258" s="5085"/>
      <c r="M258" s="5085"/>
      <c r="N258" s="5085"/>
      <c r="O258" s="5085"/>
      <c r="P258" s="5085"/>
      <c r="Q258" s="5085"/>
      <c r="R258" s="5085"/>
      <c r="S258" s="5085"/>
      <c r="T258" s="5085"/>
      <c r="U258" s="5085"/>
      <c r="V258" s="5085"/>
      <c r="W258" s="5085"/>
      <c r="X258" s="5085"/>
      <c r="Y258" s="5085"/>
      <c r="Z258" s="5102"/>
      <c r="AB258" s="5138">
        <f>B_Stanja!AP138-B258</f>
        <v>0</v>
      </c>
      <c r="AC258" s="4"/>
      <c r="AD258" s="5090"/>
    </row>
    <row r="259" ht="15" spans="1:30">
      <c r="A259" s="5131" t="s">
        <v>891</v>
      </c>
      <c r="B259" s="5113">
        <v>9309</v>
      </c>
      <c r="C259" s="5110"/>
      <c r="D259" s="5085"/>
      <c r="E259" s="5085"/>
      <c r="F259" s="5085"/>
      <c r="G259" s="5085"/>
      <c r="H259" s="5085"/>
      <c r="I259" s="5085"/>
      <c r="J259" s="5085"/>
      <c r="K259" s="5085"/>
      <c r="L259" s="5085"/>
      <c r="M259" s="5085"/>
      <c r="N259" s="5085"/>
      <c r="O259" s="5085"/>
      <c r="P259" s="5085"/>
      <c r="Q259" s="5085"/>
      <c r="R259" s="5085"/>
      <c r="S259" s="5085"/>
      <c r="T259" s="5085"/>
      <c r="U259" s="5085"/>
      <c r="V259" s="5085"/>
      <c r="W259" s="5085"/>
      <c r="X259" s="5085"/>
      <c r="Y259" s="5085"/>
      <c r="Z259" s="5102"/>
      <c r="AB259" s="5138">
        <f>B_Stanja!AP139-B259</f>
        <v>0</v>
      </c>
      <c r="AC259" s="4"/>
      <c r="AD259" s="5090"/>
    </row>
    <row r="260" ht="15" spans="1:30">
      <c r="A260" s="5131" t="s">
        <v>4499</v>
      </c>
      <c r="B260" s="5113"/>
      <c r="C260" s="5110"/>
      <c r="D260" s="5085"/>
      <c r="E260" s="5085"/>
      <c r="F260" s="5085"/>
      <c r="G260" s="5085"/>
      <c r="H260" s="5085"/>
      <c r="I260" s="5085"/>
      <c r="J260" s="5085"/>
      <c r="K260" s="5085"/>
      <c r="L260" s="5085"/>
      <c r="M260" s="5085"/>
      <c r="N260" s="5085"/>
      <c r="O260" s="5085"/>
      <c r="P260" s="5085"/>
      <c r="Q260" s="5085"/>
      <c r="R260" s="5085"/>
      <c r="S260" s="5085"/>
      <c r="T260" s="5085"/>
      <c r="U260" s="5085"/>
      <c r="V260" s="5085"/>
      <c r="W260" s="5085"/>
      <c r="X260" s="5085"/>
      <c r="Y260" s="5085"/>
      <c r="Z260" s="5102"/>
      <c r="AB260" s="5138">
        <f>B_Stanja!AP140-B260</f>
        <v>0</v>
      </c>
      <c r="AC260" s="4"/>
      <c r="AD260" s="5090"/>
    </row>
    <row r="261" ht="15" spans="1:30">
      <c r="A261" s="5131" t="s">
        <v>632</v>
      </c>
      <c r="B261" s="5113"/>
      <c r="C261" s="5110"/>
      <c r="D261" s="5085"/>
      <c r="E261" s="5085"/>
      <c r="F261" s="5085"/>
      <c r="G261" s="5085"/>
      <c r="H261" s="5085"/>
      <c r="I261" s="5085"/>
      <c r="J261" s="5085"/>
      <c r="K261" s="5085"/>
      <c r="L261" s="5085"/>
      <c r="M261" s="5085"/>
      <c r="N261" s="5085"/>
      <c r="O261" s="5085"/>
      <c r="P261" s="5085"/>
      <c r="Q261" s="5085"/>
      <c r="R261" s="5085"/>
      <c r="S261" s="5085"/>
      <c r="T261" s="5085"/>
      <c r="U261" s="5085"/>
      <c r="V261" s="5085"/>
      <c r="W261" s="5085"/>
      <c r="X261" s="5085"/>
      <c r="Y261" s="5085"/>
      <c r="Z261" s="5102"/>
      <c r="AB261" s="5138">
        <f>B_Stanja!AP141-B261</f>
        <v>0</v>
      </c>
      <c r="AC261" s="4"/>
      <c r="AD261" s="5090"/>
    </row>
    <row r="262" ht="15" spans="1:30">
      <c r="A262" s="5131" t="s">
        <v>430</v>
      </c>
      <c r="B262" s="5113"/>
      <c r="C262" s="5110"/>
      <c r="D262" s="5085"/>
      <c r="E262" s="5085"/>
      <c r="F262" s="5085"/>
      <c r="G262" s="5085"/>
      <c r="H262" s="5085"/>
      <c r="I262" s="5085"/>
      <c r="J262" s="5085"/>
      <c r="K262" s="5085"/>
      <c r="L262" s="5085"/>
      <c r="M262" s="5085"/>
      <c r="N262" s="5085"/>
      <c r="O262" s="5085"/>
      <c r="P262" s="5085"/>
      <c r="Q262" s="5085"/>
      <c r="R262" s="5085"/>
      <c r="S262" s="5085"/>
      <c r="T262" s="5085"/>
      <c r="U262" s="5085"/>
      <c r="V262" s="5085"/>
      <c r="W262" s="5085"/>
      <c r="X262" s="5085"/>
      <c r="Y262" s="5085"/>
      <c r="Z262" s="5102"/>
      <c r="AB262" s="5138">
        <f>B_Stanja!AP142-B262</f>
        <v>0</v>
      </c>
      <c r="AC262" s="4"/>
      <c r="AD262" s="5090"/>
    </row>
    <row r="263" ht="15" spans="1:30">
      <c r="A263" s="5131" t="s">
        <v>934</v>
      </c>
      <c r="B263" s="5113"/>
      <c r="C263" s="5110"/>
      <c r="D263" s="5085"/>
      <c r="E263" s="5085"/>
      <c r="F263" s="5085"/>
      <c r="G263" s="5085"/>
      <c r="H263" s="5085"/>
      <c r="I263" s="5085"/>
      <c r="J263" s="5085"/>
      <c r="K263" s="5085"/>
      <c r="L263" s="5085"/>
      <c r="M263" s="5085"/>
      <c r="N263" s="5085"/>
      <c r="O263" s="5085"/>
      <c r="P263" s="5085"/>
      <c r="Q263" s="5085"/>
      <c r="R263" s="5085"/>
      <c r="S263" s="5085"/>
      <c r="T263" s="5085"/>
      <c r="U263" s="5085"/>
      <c r="V263" s="5085"/>
      <c r="W263" s="5085"/>
      <c r="X263" s="5085"/>
      <c r="Y263" s="5085"/>
      <c r="Z263" s="5102"/>
      <c r="AB263" s="5138">
        <f>B_Stanja!AP143-B263</f>
        <v>0</v>
      </c>
      <c r="AC263" s="4"/>
      <c r="AD263" s="5090"/>
    </row>
    <row r="264" ht="15" spans="1:30">
      <c r="A264" s="5131" t="s">
        <v>4500</v>
      </c>
      <c r="B264" s="5113"/>
      <c r="C264" s="5110"/>
      <c r="D264" s="5085"/>
      <c r="E264" s="5085"/>
      <c r="F264" s="5085"/>
      <c r="G264" s="5085"/>
      <c r="H264" s="5085"/>
      <c r="I264" s="5085"/>
      <c r="J264" s="5085"/>
      <c r="K264" s="5085"/>
      <c r="L264" s="5085"/>
      <c r="M264" s="5085"/>
      <c r="N264" s="5085"/>
      <c r="O264" s="5085"/>
      <c r="P264" s="5085"/>
      <c r="Q264" s="5085"/>
      <c r="R264" s="5085"/>
      <c r="S264" s="5085"/>
      <c r="T264" s="5085"/>
      <c r="U264" s="5085"/>
      <c r="V264" s="5085"/>
      <c r="W264" s="5085"/>
      <c r="X264" s="5085"/>
      <c r="Y264" s="5085"/>
      <c r="Z264" s="5102"/>
      <c r="AB264" s="5138">
        <f>B_Stanja!AP144-B264</f>
        <v>0</v>
      </c>
      <c r="AC264" s="4"/>
      <c r="AD264" s="5090"/>
    </row>
    <row r="265" ht="15" spans="1:30">
      <c r="A265" s="5131" t="s">
        <v>4501</v>
      </c>
      <c r="B265" s="5113"/>
      <c r="C265" s="5110"/>
      <c r="D265" s="5085"/>
      <c r="E265" s="5085"/>
      <c r="F265" s="5085"/>
      <c r="G265" s="5085"/>
      <c r="H265" s="5085"/>
      <c r="I265" s="5085"/>
      <c r="J265" s="5085"/>
      <c r="K265" s="5085"/>
      <c r="L265" s="5085"/>
      <c r="M265" s="5085"/>
      <c r="N265" s="5085"/>
      <c r="O265" s="5085"/>
      <c r="P265" s="5085"/>
      <c r="Q265" s="5085"/>
      <c r="R265" s="5085"/>
      <c r="S265" s="5085"/>
      <c r="T265" s="5085"/>
      <c r="U265" s="5085"/>
      <c r="V265" s="5085"/>
      <c r="W265" s="5085"/>
      <c r="X265" s="5085"/>
      <c r="Y265" s="5085"/>
      <c r="Z265" s="5102"/>
      <c r="AB265" s="5138">
        <f>B_Stanja!AP145-B265</f>
        <v>0</v>
      </c>
      <c r="AC265" s="4"/>
      <c r="AD265" s="5090"/>
    </row>
    <row r="266" ht="15" spans="1:30">
      <c r="A266" s="5131" t="s">
        <v>4502</v>
      </c>
      <c r="B266" s="5113"/>
      <c r="C266" s="5110"/>
      <c r="D266" s="5085"/>
      <c r="E266" s="5085"/>
      <c r="F266" s="5085"/>
      <c r="G266" s="5085"/>
      <c r="H266" s="5085"/>
      <c r="I266" s="5085"/>
      <c r="J266" s="5085"/>
      <c r="K266" s="5085"/>
      <c r="L266" s="5085"/>
      <c r="M266" s="5085"/>
      <c r="N266" s="5085"/>
      <c r="O266" s="5085"/>
      <c r="P266" s="5085"/>
      <c r="Q266" s="5085"/>
      <c r="R266" s="5085"/>
      <c r="S266" s="5085"/>
      <c r="T266" s="5085"/>
      <c r="U266" s="5085"/>
      <c r="V266" s="5085"/>
      <c r="W266" s="5085"/>
      <c r="X266" s="5085"/>
      <c r="Y266" s="5085"/>
      <c r="Z266" s="5102"/>
      <c r="AB266" s="5138">
        <f>B_Stanja!AP146-B266</f>
        <v>0</v>
      </c>
      <c r="AC266" s="4"/>
      <c r="AD266" s="5090"/>
    </row>
    <row r="267" ht="15" spans="1:30">
      <c r="A267" s="5131" t="s">
        <v>4503</v>
      </c>
      <c r="B267" s="5113">
        <v>21273</v>
      </c>
      <c r="C267" s="5110"/>
      <c r="D267" s="5085"/>
      <c r="E267" s="5085"/>
      <c r="F267" s="5085"/>
      <c r="G267" s="5085"/>
      <c r="H267" s="5085"/>
      <c r="I267" s="5085"/>
      <c r="J267" s="5085"/>
      <c r="K267" s="5085"/>
      <c r="L267" s="5085"/>
      <c r="M267" s="5085"/>
      <c r="N267" s="5085"/>
      <c r="O267" s="5085"/>
      <c r="P267" s="5085"/>
      <c r="Q267" s="5085"/>
      <c r="R267" s="5085"/>
      <c r="S267" s="5085"/>
      <c r="T267" s="5085"/>
      <c r="U267" s="5085"/>
      <c r="V267" s="5085"/>
      <c r="W267" s="5085"/>
      <c r="X267" s="5085"/>
      <c r="Y267" s="5085"/>
      <c r="Z267" s="5102"/>
      <c r="AB267" s="5138">
        <f>B_Stanja!AP147-B267</f>
        <v>0</v>
      </c>
      <c r="AC267" s="4"/>
      <c r="AD267" s="5090"/>
    </row>
    <row r="268" ht="15" spans="1:30">
      <c r="A268" s="5131" t="s">
        <v>4504</v>
      </c>
      <c r="B268" s="5113">
        <v>197671</v>
      </c>
      <c r="C268" s="5110"/>
      <c r="D268" s="5085"/>
      <c r="E268" s="5085"/>
      <c r="F268" s="5085"/>
      <c r="G268" s="5085"/>
      <c r="H268" s="5085"/>
      <c r="I268" s="5085"/>
      <c r="J268" s="5085"/>
      <c r="K268" s="5085"/>
      <c r="L268" s="5085"/>
      <c r="M268" s="5085"/>
      <c r="N268" s="5085"/>
      <c r="O268" s="5085"/>
      <c r="P268" s="5085"/>
      <c r="Q268" s="5085"/>
      <c r="R268" s="5085"/>
      <c r="S268" s="5085"/>
      <c r="T268" s="5085"/>
      <c r="U268" s="5085"/>
      <c r="V268" s="5085"/>
      <c r="W268" s="5085"/>
      <c r="X268" s="5085"/>
      <c r="Y268" s="5085"/>
      <c r="Z268" s="5102"/>
      <c r="AB268" s="5138">
        <f>B_Stanja!AP148-B268</f>
        <v>0</v>
      </c>
      <c r="AC268" s="4"/>
      <c r="AD268" s="5090"/>
    </row>
    <row r="269" ht="15" spans="1:30">
      <c r="A269" s="5131" t="s">
        <v>4505</v>
      </c>
      <c r="B269" s="5132">
        <f>B_Stanja!AP149</f>
        <v>309113</v>
      </c>
      <c r="C269" s="5110"/>
      <c r="D269" s="5085"/>
      <c r="E269" s="5085"/>
      <c r="F269" s="5085"/>
      <c r="G269" s="5085"/>
      <c r="H269" s="5085"/>
      <c r="I269" s="5085"/>
      <c r="J269" s="5085"/>
      <c r="K269" s="5085"/>
      <c r="L269" s="5085"/>
      <c r="M269" s="5085"/>
      <c r="N269" s="5085"/>
      <c r="O269" s="5085"/>
      <c r="P269" s="5085"/>
      <c r="Q269" s="5085"/>
      <c r="R269" s="5085"/>
      <c r="S269" s="5085"/>
      <c r="T269" s="5085"/>
      <c r="U269" s="5085"/>
      <c r="V269" s="5085"/>
      <c r="W269" s="5085"/>
      <c r="X269" s="5085"/>
      <c r="Y269" s="5085"/>
      <c r="Z269" s="5102"/>
      <c r="AB269" s="5135">
        <f>B_Stanja!AP149-B269</f>
        <v>0</v>
      </c>
      <c r="AC269" s="4"/>
      <c r="AD269" s="5090">
        <f t="shared" si="2"/>
        <v>0</v>
      </c>
    </row>
    <row r="270" ht="15" spans="1:30">
      <c r="A270" s="5131" t="s">
        <v>4506</v>
      </c>
      <c r="B270" s="5132">
        <f>B_Stanja!AP150</f>
        <v>768881</v>
      </c>
      <c r="C270" s="5110"/>
      <c r="D270" s="5085"/>
      <c r="E270" s="5085"/>
      <c r="F270" s="5085"/>
      <c r="G270" s="5085"/>
      <c r="H270" s="5085"/>
      <c r="I270" s="5085"/>
      <c r="J270" s="5085"/>
      <c r="K270" s="5085"/>
      <c r="L270" s="5085"/>
      <c r="M270" s="5085"/>
      <c r="N270" s="5085"/>
      <c r="O270" s="5085"/>
      <c r="P270" s="5085"/>
      <c r="Q270" s="5085"/>
      <c r="R270" s="5085"/>
      <c r="S270" s="5085"/>
      <c r="T270" s="5085"/>
      <c r="U270" s="5085"/>
      <c r="V270" s="5085"/>
      <c r="W270" s="5085"/>
      <c r="X270" s="5085"/>
      <c r="Y270" s="5085"/>
      <c r="Z270" s="5102"/>
      <c r="AB270" s="5135">
        <f>B_Stanja!AP150-B270</f>
        <v>0</v>
      </c>
      <c r="AC270" s="4"/>
      <c r="AD270" s="5090">
        <f t="shared" si="2"/>
        <v>0</v>
      </c>
    </row>
    <row r="271" ht="15" spans="1:30">
      <c r="A271" s="5131" t="s">
        <v>4507</v>
      </c>
      <c r="B271" s="5113"/>
      <c r="C271" s="5110"/>
      <c r="D271" s="5085"/>
      <c r="E271" s="5085"/>
      <c r="F271" s="5085"/>
      <c r="G271" s="5085"/>
      <c r="H271" s="5085"/>
      <c r="I271" s="5085"/>
      <c r="J271" s="5085"/>
      <c r="K271" s="5085"/>
      <c r="L271" s="5085"/>
      <c r="M271" s="5085"/>
      <c r="N271" s="5085"/>
      <c r="O271" s="5085"/>
      <c r="P271" s="5085"/>
      <c r="Q271" s="5085"/>
      <c r="R271" s="5085"/>
      <c r="S271" s="5085"/>
      <c r="T271" s="5085"/>
      <c r="U271" s="5085"/>
      <c r="V271" s="5085"/>
      <c r="W271" s="5085"/>
      <c r="X271" s="5085"/>
      <c r="Y271" s="5085"/>
      <c r="Z271" s="5102"/>
      <c r="AB271" s="5138">
        <f>B_Stanja!AP151-B271</f>
        <v>0</v>
      </c>
      <c r="AC271" s="4"/>
      <c r="AD271" s="5090"/>
    </row>
    <row r="272" ht="15" spans="1:30">
      <c r="A272" s="5131" t="s">
        <v>4508</v>
      </c>
      <c r="B272" s="5132">
        <f>B_Stanja!AP152</f>
        <v>768881</v>
      </c>
      <c r="C272" s="5110"/>
      <c r="D272" s="5085"/>
      <c r="E272" s="5085"/>
      <c r="F272" s="5085"/>
      <c r="G272" s="5085"/>
      <c r="H272" s="5085"/>
      <c r="I272" s="5085"/>
      <c r="J272" s="5085"/>
      <c r="K272" s="5085"/>
      <c r="L272" s="5085"/>
      <c r="M272" s="5085"/>
      <c r="N272" s="5085"/>
      <c r="O272" s="5085"/>
      <c r="P272" s="5085"/>
      <c r="Q272" s="5085"/>
      <c r="R272" s="5085"/>
      <c r="S272" s="5085"/>
      <c r="T272" s="5085"/>
      <c r="U272" s="5085"/>
      <c r="V272" s="5085"/>
      <c r="W272" s="5085"/>
      <c r="X272" s="5085"/>
      <c r="Y272" s="5085"/>
      <c r="Z272" s="5102"/>
      <c r="AB272" s="5135">
        <f>B_Stanja!AP152-B272</f>
        <v>0</v>
      </c>
      <c r="AC272" s="4"/>
      <c r="AD272" s="5090">
        <f t="shared" si="2"/>
        <v>0</v>
      </c>
    </row>
    <row r="273" ht="15" spans="1:31">
      <c r="A273" s="5161">
        <f>B_Stanja!AP153</f>
        <v>0</v>
      </c>
      <c r="B273" s="5087"/>
      <c r="C273" s="5087"/>
      <c r="D273" s="5085"/>
      <c r="E273" s="5085"/>
      <c r="F273" s="5085"/>
      <c r="G273" s="5085"/>
      <c r="H273" s="5085"/>
      <c r="I273" s="5085"/>
      <c r="J273" s="5085"/>
      <c r="K273" s="5085"/>
      <c r="L273" s="5085"/>
      <c r="M273" s="5085"/>
      <c r="N273" s="5085"/>
      <c r="O273" s="5085"/>
      <c r="P273" s="5085"/>
      <c r="Q273" s="5085"/>
      <c r="R273" s="5085"/>
      <c r="S273" s="5085"/>
      <c r="T273" s="5085"/>
      <c r="U273" s="5085"/>
      <c r="V273" s="5085"/>
      <c r="W273" s="5085"/>
      <c r="X273" s="5085"/>
      <c r="Y273" s="5085"/>
      <c r="Z273" s="5102"/>
      <c r="AB273" s="5162">
        <f>B_Stanja!AP153</f>
        <v>0</v>
      </c>
      <c r="AC273" s="4"/>
      <c r="AD273" s="5090">
        <f>IF(AB273=0,0,"PAŽNJA! Provjerite MSV - PROŠLU godinu, razlika = "&amp;TEXT(AB273,"#.##0,00 [$KM-141A]"))</f>
        <v>0</v>
      </c>
    </row>
    <row r="274" ht="15" spans="1:31">
      <c r="A274" s="5085"/>
      <c r="B274" s="5087"/>
      <c r="C274" s="5087"/>
      <c r="D274" s="5085"/>
      <c r="E274" s="5085"/>
      <c r="F274" s="5085"/>
      <c r="G274" s="5085"/>
      <c r="H274" s="5085"/>
      <c r="I274" s="5085"/>
      <c r="J274" s="5085"/>
      <c r="K274" s="5085"/>
      <c r="L274" s="5085"/>
      <c r="M274" s="5085"/>
      <c r="N274" s="5085"/>
      <c r="O274" s="5085"/>
      <c r="P274" s="5085"/>
      <c r="Q274" s="5085"/>
      <c r="R274" s="5085"/>
      <c r="S274" s="5085"/>
      <c r="T274" s="5085"/>
      <c r="U274" s="5085"/>
      <c r="V274" s="5085"/>
      <c r="W274" s="5085"/>
      <c r="X274" s="5085"/>
      <c r="Y274" s="5085"/>
      <c r="Z274" s="5102"/>
      <c r="AB274" s="4"/>
      <c r="AC274" s="4"/>
      <c r="AD274" s="5090"/>
    </row>
    <row r="275" spans="1:31">
      <c r="A275" s="5085"/>
      <c r="B275" s="5087"/>
      <c r="C275" s="5087"/>
      <c r="D275" s="5085"/>
      <c r="E275" s="5085"/>
      <c r="F275" s="5085"/>
      <c r="G275" s="5085"/>
      <c r="H275" s="5085"/>
      <c r="I275" s="5085"/>
      <c r="J275" s="5085"/>
      <c r="K275" s="5085"/>
      <c r="L275" s="5085"/>
      <c r="M275" s="5085"/>
      <c r="N275" s="5085"/>
      <c r="O275" s="5085"/>
      <c r="P275" s="5085"/>
      <c r="Q275" s="5085"/>
      <c r="R275" s="5085"/>
      <c r="S275" s="5085"/>
      <c r="T275" s="5085"/>
      <c r="U275" s="5085"/>
      <c r="V275" s="5085"/>
      <c r="W275" s="5085"/>
      <c r="X275" s="5085"/>
      <c r="Y275" s="5085"/>
      <c r="Z275" s="5102"/>
      <c r="AB275" s="4"/>
      <c r="AC275" s="4"/>
    </row>
    <row r="276" ht="24.75" customHeight="1" spans="1:31">
      <c r="A276" s="5091"/>
      <c r="B276" s="5092" t="str">
        <f>"ANEKS - DODATNI RAČUNOVODSTVENI IZVJEŠTAJ - "&amp;Firma&amp;"_"&amp;UnosPod!$O$6&amp;UnosPod!$P$6&amp;"."&amp;UnosPod!$Q$6-1</f>
        <v>ANEKS - DODATNI RAČUNOVODSTVENI IZVJEŠTAJ - LILIUM ASSET MANAGEMENT d.o.o. Sarajevo_12.2024</v>
      </c>
      <c r="C276" s="5093"/>
      <c r="D276" s="5121"/>
      <c r="E276" s="5094"/>
      <c r="F276" s="5094"/>
      <c r="G276" s="5094"/>
      <c r="H276" s="5121"/>
      <c r="I276" s="5121"/>
      <c r="J276" s="5121"/>
      <c r="K276" s="5121"/>
      <c r="L276" s="5121"/>
      <c r="M276" s="5121"/>
      <c r="N276" s="5121"/>
      <c r="O276" s="5121"/>
      <c r="P276" s="5121"/>
      <c r="Q276" s="5121"/>
      <c r="R276" s="5121"/>
      <c r="S276" s="5121"/>
      <c r="T276" s="5121"/>
      <c r="U276" s="5121"/>
      <c r="V276" s="5121"/>
      <c r="W276" s="5121"/>
      <c r="X276" s="5121"/>
      <c r="Y276" s="5121"/>
      <c r="Z276" s="5096"/>
      <c r="AB276" s="7"/>
      <c r="AC276" s="8"/>
    </row>
    <row r="277" ht="18.75" customHeight="1" spans="1:31">
      <c r="A277" s="5163" t="s">
        <v>2438</v>
      </c>
      <c r="B277" s="5164" t="s">
        <v>4443</v>
      </c>
      <c r="C277" s="5164"/>
      <c r="D277" s="5165"/>
      <c r="E277" s="5085"/>
      <c r="F277" s="5085"/>
      <c r="G277" s="5085"/>
      <c r="H277" s="5085"/>
      <c r="I277" s="5085"/>
      <c r="J277" s="5085"/>
      <c r="K277" s="5085"/>
      <c r="L277" s="5085"/>
      <c r="M277" s="5085"/>
      <c r="N277" s="5085"/>
      <c r="O277" s="5085"/>
      <c r="P277" s="5085"/>
      <c r="Q277" s="5085"/>
      <c r="R277" s="5085"/>
      <c r="S277" s="5085"/>
      <c r="T277" s="5085"/>
      <c r="U277" s="5085"/>
      <c r="V277" s="5085"/>
      <c r="W277" s="5085"/>
      <c r="X277" s="5085"/>
      <c r="Y277" s="5085"/>
      <c r="Z277" s="5102"/>
      <c r="AB277" s="60"/>
      <c r="AC277" s="5166"/>
      <c r="AE277" s="5090"/>
    </row>
    <row r="278" ht="15.75" customHeight="1" spans="1:31">
      <c r="A278" s="5131" t="s">
        <v>4509</v>
      </c>
      <c r="B278" s="5109">
        <f>Anex_MSV!AP20</f>
        <v>0</v>
      </c>
      <c r="C278" s="5133"/>
      <c r="D278" s="5167"/>
      <c r="E278" s="5085"/>
      <c r="F278" s="5085"/>
      <c r="G278" s="5085"/>
      <c r="H278" s="5085"/>
      <c r="I278" s="5085"/>
      <c r="J278" s="5085"/>
      <c r="K278" s="5085"/>
      <c r="L278" s="5085"/>
      <c r="M278" s="5085"/>
      <c r="N278" s="5085"/>
      <c r="O278" s="5085"/>
      <c r="P278" s="5085"/>
      <c r="Q278" s="5085"/>
      <c r="R278" s="5085"/>
      <c r="S278" s="5085"/>
      <c r="T278" s="5085"/>
      <c r="U278" s="5085"/>
      <c r="V278" s="5085"/>
      <c r="W278" s="5085"/>
      <c r="X278" s="5085"/>
      <c r="Y278" s="5085"/>
      <c r="Z278" s="5102"/>
      <c r="AB278" s="30">
        <f>Anex_MSV!AP20-B278</f>
        <v>0</v>
      </c>
      <c r="AC278" s="5168">
        <f>Anex_MIKRO!AP20-D278</f>
        <v>0</v>
      </c>
      <c r="AD278" s="5090">
        <f>IF(AB278=0,0,"PAŽNJA! Provjerite AOP "&amp;A278&amp;" MSV - PROŠLU godinu, razlika = "&amp;TEXT(AB278,"#.##0,00 [$KM-141A]"))</f>
        <v>0</v>
      </c>
      <c r="AE278" s="5090"/>
    </row>
    <row r="279" ht="15.75" customHeight="1" spans="1:31">
      <c r="A279" s="5131" t="s">
        <v>4510</v>
      </c>
      <c r="B279" s="5113"/>
      <c r="C279" s="5110"/>
      <c r="D279" s="5167"/>
      <c r="E279" s="5085"/>
      <c r="F279" s="5085"/>
      <c r="G279" s="5085"/>
      <c r="H279" s="5085"/>
      <c r="I279" s="5085"/>
      <c r="J279" s="5085"/>
      <c r="K279" s="5085"/>
      <c r="L279" s="5085"/>
      <c r="M279" s="5085"/>
      <c r="N279" s="5085"/>
      <c r="O279" s="5085"/>
      <c r="P279" s="5085"/>
      <c r="Q279" s="5085"/>
      <c r="R279" s="5085"/>
      <c r="S279" s="5085"/>
      <c r="T279" s="5085"/>
      <c r="U279" s="5085"/>
      <c r="V279" s="5085"/>
      <c r="W279" s="5085"/>
      <c r="X279" s="5085"/>
      <c r="Y279" s="5085"/>
      <c r="Z279" s="5102"/>
      <c r="AB279" s="5114">
        <f>Anex_MSV!AP21-B279</f>
        <v>0</v>
      </c>
      <c r="AC279" s="5168">
        <f>Anex_MIKRO!AP21-D279</f>
        <v>0</v>
      </c>
      <c r="AD279" s="5090"/>
      <c r="AE279" s="5090"/>
    </row>
    <row r="280" ht="15.75" customHeight="1" spans="1:31">
      <c r="A280" s="5131" t="s">
        <v>4511</v>
      </c>
      <c r="B280" s="5113"/>
      <c r="C280" s="5110"/>
      <c r="D280" s="5167"/>
      <c r="E280" s="5085"/>
      <c r="F280" s="5085"/>
      <c r="G280" s="5085"/>
      <c r="H280" s="5085"/>
      <c r="I280" s="5085"/>
      <c r="J280" s="5085"/>
      <c r="K280" s="5085"/>
      <c r="L280" s="5085"/>
      <c r="M280" s="5085"/>
      <c r="N280" s="5085"/>
      <c r="O280" s="5085"/>
      <c r="P280" s="5085"/>
      <c r="Q280" s="5085"/>
      <c r="R280" s="5085"/>
      <c r="S280" s="5085"/>
      <c r="T280" s="5085"/>
      <c r="U280" s="5085"/>
      <c r="V280" s="5085"/>
      <c r="W280" s="5085"/>
      <c r="X280" s="5085"/>
      <c r="Y280" s="5085"/>
      <c r="Z280" s="5102"/>
      <c r="AB280" s="5114">
        <f>Anex_MSV!AP22-B280</f>
        <v>0</v>
      </c>
      <c r="AC280" s="5114">
        <f>Anex_MIKRO!AP22-D280</f>
        <v>0</v>
      </c>
    </row>
    <row r="281" ht="15.75" customHeight="1" spans="1:31">
      <c r="A281" s="5131" t="s">
        <v>4512</v>
      </c>
      <c r="B281" s="5113"/>
      <c r="C281" s="5110"/>
      <c r="D281" s="5167"/>
      <c r="E281" s="5085"/>
      <c r="F281" s="5085"/>
      <c r="G281" s="5085"/>
      <c r="H281" s="5085"/>
      <c r="I281" s="5085"/>
      <c r="J281" s="5085"/>
      <c r="K281" s="5085"/>
      <c r="L281" s="5085"/>
      <c r="M281" s="5085"/>
      <c r="N281" s="5085"/>
      <c r="O281" s="5085"/>
      <c r="P281" s="5085"/>
      <c r="Q281" s="5085"/>
      <c r="R281" s="5085"/>
      <c r="S281" s="5085"/>
      <c r="T281" s="5085"/>
      <c r="U281" s="5085"/>
      <c r="V281" s="5085"/>
      <c r="W281" s="5085"/>
      <c r="X281" s="5085"/>
      <c r="Y281" s="5085"/>
      <c r="Z281" s="5102"/>
      <c r="AB281" s="5114">
        <f>Anex_MSV!AP23-B281</f>
        <v>0</v>
      </c>
      <c r="AC281" s="5114">
        <f>Anex_MIKRO!AP23-D281</f>
        <v>0</v>
      </c>
    </row>
    <row r="282" ht="15.75" customHeight="1" spans="1:31">
      <c r="A282" s="5131" t="s">
        <v>4513</v>
      </c>
      <c r="B282" s="5113"/>
      <c r="C282" s="5110"/>
      <c r="D282" s="5167"/>
      <c r="E282" s="5085"/>
      <c r="F282" s="5085"/>
      <c r="G282" s="5085"/>
      <c r="H282" s="5085"/>
      <c r="I282" s="5085"/>
      <c r="J282" s="5085"/>
      <c r="K282" s="5085"/>
      <c r="L282" s="5085"/>
      <c r="M282" s="5085"/>
      <c r="N282" s="5085"/>
      <c r="O282" s="5085"/>
      <c r="P282" s="5085"/>
      <c r="Q282" s="5085"/>
      <c r="R282" s="5085"/>
      <c r="S282" s="5085"/>
      <c r="T282" s="5085"/>
      <c r="U282" s="5085"/>
      <c r="V282" s="5085"/>
      <c r="W282" s="5085"/>
      <c r="X282" s="5085"/>
      <c r="Y282" s="5085"/>
      <c r="Z282" s="5102"/>
      <c r="AB282" s="5114">
        <f>Anex_MSV!AP24-B282</f>
        <v>0</v>
      </c>
      <c r="AC282" s="5114">
        <f>Anex_MIKRO!AP24-D282</f>
        <v>0</v>
      </c>
    </row>
    <row r="283" ht="15.75" customHeight="1" spans="1:31">
      <c r="A283" s="5131" t="s">
        <v>4514</v>
      </c>
      <c r="B283" s="5113"/>
      <c r="C283" s="5110"/>
      <c r="D283" s="5167"/>
      <c r="E283" s="5085"/>
      <c r="F283" s="5085"/>
      <c r="G283" s="5085"/>
      <c r="H283" s="5085"/>
      <c r="I283" s="5085"/>
      <c r="J283" s="5085"/>
      <c r="K283" s="5085"/>
      <c r="L283" s="5085"/>
      <c r="M283" s="5085"/>
      <c r="N283" s="5085"/>
      <c r="O283" s="5085"/>
      <c r="P283" s="5085"/>
      <c r="Q283" s="5085"/>
      <c r="R283" s="5085"/>
      <c r="S283" s="5085"/>
      <c r="T283" s="5085"/>
      <c r="U283" s="5085"/>
      <c r="V283" s="5085"/>
      <c r="W283" s="5085"/>
      <c r="X283" s="5085"/>
      <c r="Y283" s="5085"/>
      <c r="Z283" s="5102"/>
      <c r="AB283" s="5114">
        <f>Anex_MSV!AP25-B283</f>
        <v>0</v>
      </c>
      <c r="AC283" s="5168">
        <f>Anex_MIKRO!AP25-D283</f>
        <v>0</v>
      </c>
      <c r="AE283" s="5090"/>
    </row>
    <row r="284" ht="15.75" customHeight="1" spans="1:31">
      <c r="A284" s="5131" t="s">
        <v>4515</v>
      </c>
      <c r="B284" s="5113"/>
      <c r="C284" s="5110"/>
      <c r="D284" s="5167"/>
      <c r="E284" s="5085"/>
      <c r="F284" s="5085"/>
      <c r="G284" s="5085"/>
      <c r="H284" s="5085"/>
      <c r="I284" s="5085"/>
      <c r="J284" s="5085"/>
      <c r="K284" s="5085"/>
      <c r="L284" s="5085"/>
      <c r="M284" s="5085"/>
      <c r="N284" s="5085"/>
      <c r="O284" s="5085"/>
      <c r="P284" s="5085"/>
      <c r="Q284" s="5085"/>
      <c r="R284" s="5085"/>
      <c r="S284" s="5085"/>
      <c r="T284" s="5085"/>
      <c r="U284" s="5085"/>
      <c r="V284" s="5085"/>
      <c r="W284" s="5085"/>
      <c r="X284" s="5085"/>
      <c r="Y284" s="5085"/>
      <c r="Z284" s="5102"/>
      <c r="AB284" s="5114">
        <f>Anex_MSV!AP26-B284</f>
        <v>0</v>
      </c>
      <c r="AC284" s="5114">
        <f>Anex_MIKRO!AP26-D284</f>
        <v>0</v>
      </c>
    </row>
    <row r="285" ht="15.75" customHeight="1" spans="1:31">
      <c r="A285" s="5131" t="s">
        <v>4516</v>
      </c>
      <c r="B285" s="5113"/>
      <c r="C285" s="5110"/>
      <c r="D285" s="5167"/>
      <c r="E285" s="5085"/>
      <c r="F285" s="5085"/>
      <c r="G285" s="5085"/>
      <c r="H285" s="5085"/>
      <c r="I285" s="5085"/>
      <c r="J285" s="5085"/>
      <c r="K285" s="5085"/>
      <c r="L285" s="5085"/>
      <c r="M285" s="5085"/>
      <c r="N285" s="5085"/>
      <c r="O285" s="5085"/>
      <c r="P285" s="5085"/>
      <c r="Q285" s="5085"/>
      <c r="R285" s="5085"/>
      <c r="S285" s="5085"/>
      <c r="T285" s="5085"/>
      <c r="U285" s="5085"/>
      <c r="V285" s="5085"/>
      <c r="W285" s="5085"/>
      <c r="X285" s="5085"/>
      <c r="Y285" s="5085"/>
      <c r="Z285" s="5102"/>
      <c r="AB285" s="5114">
        <f>Anex_MSV!AP27-B285</f>
        <v>0</v>
      </c>
      <c r="AC285" s="5114">
        <f>Anex_MIKRO!AP27-D285</f>
        <v>0</v>
      </c>
    </row>
    <row r="286" ht="15.75" customHeight="1" spans="1:31">
      <c r="A286" s="5131" t="s">
        <v>4517</v>
      </c>
      <c r="B286" s="5113"/>
      <c r="C286" s="5110"/>
      <c r="D286" s="5167"/>
      <c r="E286" s="5085"/>
      <c r="F286" s="5085"/>
      <c r="G286" s="5085"/>
      <c r="H286" s="5085"/>
      <c r="I286" s="5085"/>
      <c r="J286" s="5085"/>
      <c r="K286" s="5085"/>
      <c r="L286" s="5085"/>
      <c r="M286" s="5085"/>
      <c r="N286" s="5085"/>
      <c r="O286" s="5085"/>
      <c r="P286" s="5085"/>
      <c r="Q286" s="5085"/>
      <c r="R286" s="5085"/>
      <c r="S286" s="5085"/>
      <c r="T286" s="5085"/>
      <c r="U286" s="5085"/>
      <c r="V286" s="5085"/>
      <c r="W286" s="5085"/>
      <c r="X286" s="5085"/>
      <c r="Y286" s="5085"/>
      <c r="Z286" s="5102"/>
      <c r="AB286" s="5114">
        <f>Anex_MSV!AP28-B286</f>
        <v>0</v>
      </c>
      <c r="AC286" s="5114">
        <f>Anex_MIKRO!AP28-D286</f>
        <v>0</v>
      </c>
    </row>
    <row r="287" ht="15.75" customHeight="1" spans="1:31">
      <c r="A287" s="5131" t="s">
        <v>4518</v>
      </c>
      <c r="B287" s="5113"/>
      <c r="C287" s="5110"/>
      <c r="D287" s="5167"/>
      <c r="E287" s="5085"/>
      <c r="F287" s="5085"/>
      <c r="G287" s="5085"/>
      <c r="H287" s="5085"/>
      <c r="I287" s="5085"/>
      <c r="J287" s="5085"/>
      <c r="K287" s="5085"/>
      <c r="L287" s="5085"/>
      <c r="M287" s="5085"/>
      <c r="N287" s="5085"/>
      <c r="O287" s="5085"/>
      <c r="P287" s="5085"/>
      <c r="Q287" s="5085"/>
      <c r="R287" s="5085"/>
      <c r="S287" s="5085"/>
      <c r="T287" s="5085"/>
      <c r="U287" s="5085"/>
      <c r="V287" s="5085"/>
      <c r="W287" s="5085"/>
      <c r="X287" s="5085"/>
      <c r="Y287" s="5085"/>
      <c r="Z287" s="5102"/>
      <c r="AB287" s="5114">
        <f>Anex_MSV!AP29-B287</f>
        <v>0</v>
      </c>
      <c r="AC287" s="5168">
        <f>Anex_MIKRO!AP29-D287</f>
        <v>0</v>
      </c>
      <c r="AE287" s="5090"/>
    </row>
    <row r="288" ht="15.75" customHeight="1" spans="1:31">
      <c r="A288" s="5131" t="s">
        <v>4519</v>
      </c>
      <c r="B288" s="5113"/>
      <c r="C288" s="5110"/>
      <c r="D288" s="5167"/>
      <c r="E288" s="5085"/>
      <c r="F288" s="5085"/>
      <c r="G288" s="5085"/>
      <c r="H288" s="5085"/>
      <c r="I288" s="5085"/>
      <c r="J288" s="5085"/>
      <c r="K288" s="5085"/>
      <c r="L288" s="5085"/>
      <c r="M288" s="5085"/>
      <c r="N288" s="5085"/>
      <c r="O288" s="5085"/>
      <c r="P288" s="5085"/>
      <c r="Q288" s="5085"/>
      <c r="R288" s="5085"/>
      <c r="S288" s="5085"/>
      <c r="T288" s="5085"/>
      <c r="U288" s="5085"/>
      <c r="V288" s="5085"/>
      <c r="W288" s="5085"/>
      <c r="X288" s="5085"/>
      <c r="Y288" s="5085"/>
      <c r="Z288" s="5102"/>
      <c r="AB288" s="5114">
        <f>Anex_MSV!AP30-B288</f>
        <v>0</v>
      </c>
      <c r="AC288" s="5114">
        <f>Anex_MIKRO!AP30-D288</f>
        <v>0</v>
      </c>
    </row>
    <row r="289" ht="15.75" customHeight="1" spans="1:31">
      <c r="A289" s="5131" t="s">
        <v>4520</v>
      </c>
      <c r="B289" s="5113"/>
      <c r="C289" s="5110"/>
      <c r="D289" s="5167"/>
      <c r="E289" s="5085"/>
      <c r="F289" s="5085"/>
      <c r="G289" s="5085"/>
      <c r="H289" s="5085"/>
      <c r="I289" s="5085"/>
      <c r="J289" s="5085"/>
      <c r="K289" s="5085"/>
      <c r="L289" s="5085"/>
      <c r="M289" s="5085"/>
      <c r="N289" s="5085"/>
      <c r="O289" s="5085"/>
      <c r="P289" s="5085"/>
      <c r="Q289" s="5085"/>
      <c r="R289" s="5085"/>
      <c r="S289" s="5085"/>
      <c r="T289" s="5085"/>
      <c r="U289" s="5085"/>
      <c r="V289" s="5085"/>
      <c r="W289" s="5085"/>
      <c r="X289" s="5085"/>
      <c r="Y289" s="5085"/>
      <c r="Z289" s="5102"/>
      <c r="AB289" s="5114">
        <f>Anex_MSV!AP31-B289</f>
        <v>0</v>
      </c>
      <c r="AC289" s="5114">
        <f>Anex_MIKRO!AP31-D289</f>
        <v>0</v>
      </c>
    </row>
    <row r="290" ht="15.75" customHeight="1" spans="1:31">
      <c r="A290" s="5131" t="s">
        <v>4521</v>
      </c>
      <c r="B290" s="5109">
        <f>Anex_MSV!AP32</f>
        <v>197520</v>
      </c>
      <c r="C290" s="5110"/>
      <c r="D290" s="5167"/>
      <c r="E290" s="5085"/>
      <c r="F290" s="5085"/>
      <c r="G290" s="5085"/>
      <c r="H290" s="5085"/>
      <c r="I290" s="5085"/>
      <c r="J290" s="5085"/>
      <c r="K290" s="5085"/>
      <c r="L290" s="5085"/>
      <c r="M290" s="5085"/>
      <c r="N290" s="5085"/>
      <c r="O290" s="5085"/>
      <c r="P290" s="5085"/>
      <c r="Q290" s="5085"/>
      <c r="R290" s="5085"/>
      <c r="S290" s="5085"/>
      <c r="T290" s="5085"/>
      <c r="U290" s="5085"/>
      <c r="V290" s="5085"/>
      <c r="W290" s="5085"/>
      <c r="X290" s="5085"/>
      <c r="Y290" s="5085"/>
      <c r="Z290" s="5102"/>
      <c r="AB290" s="30">
        <f>Anex_MSV!AP32-B290</f>
        <v>0</v>
      </c>
      <c r="AC290" s="5114">
        <f>Anex_MIKRO!AP32-D290</f>
        <v>0</v>
      </c>
      <c r="AD290" s="5090">
        <f>IF(AB290=0,0,"PAŽNJA! Provjerite AOP "&amp;A290&amp;" MSV - PROŠLU godinu, razlika = "&amp;TEXT(AB290,"#.##0,00 [$KM-141A]"))</f>
        <v>0</v>
      </c>
    </row>
    <row r="291" ht="15.75" customHeight="1" spans="1:31">
      <c r="A291" s="5131" t="s">
        <v>4522</v>
      </c>
      <c r="B291" s="5113">
        <v>88949</v>
      </c>
      <c r="C291" s="5110"/>
      <c r="D291" s="5167"/>
      <c r="E291" s="5085"/>
      <c r="F291" s="5085"/>
      <c r="G291" s="5085"/>
      <c r="H291" s="5085"/>
      <c r="I291" s="5085"/>
      <c r="J291" s="5085"/>
      <c r="K291" s="5085"/>
      <c r="L291" s="5085"/>
      <c r="M291" s="5085"/>
      <c r="N291" s="5085"/>
      <c r="O291" s="5085"/>
      <c r="P291" s="5085"/>
      <c r="Q291" s="5085"/>
      <c r="R291" s="5085"/>
      <c r="S291" s="5085"/>
      <c r="T291" s="5085"/>
      <c r="U291" s="5085"/>
      <c r="V291" s="5085"/>
      <c r="W291" s="5085"/>
      <c r="X291" s="5085"/>
      <c r="Y291" s="5085"/>
      <c r="Z291" s="5102"/>
      <c r="AB291" s="5114">
        <f>Anex_MSV!AP33-B291</f>
        <v>0</v>
      </c>
      <c r="AC291" s="5168">
        <f>Anex_MIKRO!AP33-D291</f>
        <v>0</v>
      </c>
      <c r="AE291" s="5090"/>
    </row>
    <row r="292" ht="15.75" customHeight="1" spans="1:31">
      <c r="A292" s="5131" t="s">
        <v>4523</v>
      </c>
      <c r="B292" s="5113">
        <v>43042</v>
      </c>
      <c r="C292" s="5110"/>
      <c r="D292" s="5167"/>
      <c r="E292" s="5085"/>
      <c r="F292" s="5085"/>
      <c r="G292" s="5085"/>
      <c r="H292" s="5085"/>
      <c r="I292" s="5085"/>
      <c r="J292" s="5085"/>
      <c r="K292" s="5085"/>
      <c r="L292" s="5085"/>
      <c r="M292" s="5085"/>
      <c r="N292" s="5085"/>
      <c r="O292" s="5085"/>
      <c r="P292" s="5085"/>
      <c r="Q292" s="5085"/>
      <c r="R292" s="5085"/>
      <c r="S292" s="5085"/>
      <c r="T292" s="5085"/>
      <c r="U292" s="5085"/>
      <c r="V292" s="5085"/>
      <c r="W292" s="5085"/>
      <c r="X292" s="5085"/>
      <c r="Y292" s="5085"/>
      <c r="Z292" s="5102"/>
      <c r="AB292" s="5114">
        <f>Anex_MSV!AP34-B292</f>
        <v>0</v>
      </c>
      <c r="AC292" s="5114">
        <f>Anex_MIKRO!AP34-D292</f>
        <v>0</v>
      </c>
    </row>
    <row r="293" ht="15.75" customHeight="1" spans="1:31">
      <c r="A293" s="5131" t="s">
        <v>4524</v>
      </c>
      <c r="B293" s="5113">
        <v>14579</v>
      </c>
      <c r="C293" s="5110"/>
      <c r="D293" s="5167"/>
      <c r="E293" s="5085"/>
      <c r="F293" s="5085"/>
      <c r="G293" s="5085"/>
      <c r="H293" s="5085"/>
      <c r="I293" s="5085"/>
      <c r="J293" s="5085"/>
      <c r="K293" s="5085"/>
      <c r="L293" s="5085"/>
      <c r="M293" s="5085"/>
      <c r="N293" s="5085"/>
      <c r="O293" s="5085"/>
      <c r="P293" s="5085"/>
      <c r="Q293" s="5085"/>
      <c r="R293" s="5085"/>
      <c r="S293" s="5085"/>
      <c r="T293" s="5085"/>
      <c r="U293" s="5085"/>
      <c r="V293" s="5085"/>
      <c r="W293" s="5085"/>
      <c r="X293" s="5085"/>
      <c r="Y293" s="5085"/>
      <c r="Z293" s="5102"/>
      <c r="AB293" s="5114">
        <f>Anex_MSV!AP35-B293</f>
        <v>0</v>
      </c>
      <c r="AC293" s="5114">
        <f>Anex_MIKRO!AP35-D293</f>
        <v>0</v>
      </c>
    </row>
    <row r="294" ht="15.75" customHeight="1" spans="1:31">
      <c r="A294" s="5131" t="s">
        <v>4525</v>
      </c>
      <c r="B294" s="5113">
        <v>6841</v>
      </c>
      <c r="C294" s="5110"/>
      <c r="D294" s="5167"/>
      <c r="E294" s="5085"/>
      <c r="F294" s="5085"/>
      <c r="G294" s="5085"/>
      <c r="H294" s="5085"/>
      <c r="I294" s="5085"/>
      <c r="J294" s="5085"/>
      <c r="K294" s="5085"/>
      <c r="L294" s="5085"/>
      <c r="M294" s="5085"/>
      <c r="N294" s="5085"/>
      <c r="O294" s="5085"/>
      <c r="P294" s="5085"/>
      <c r="Q294" s="5085"/>
      <c r="R294" s="5085"/>
      <c r="S294" s="5085"/>
      <c r="T294" s="5085"/>
      <c r="U294" s="5085"/>
      <c r="V294" s="5085"/>
      <c r="W294" s="5085"/>
      <c r="X294" s="5085"/>
      <c r="Y294" s="5085"/>
      <c r="Z294" s="5102"/>
      <c r="AB294" s="5114">
        <f>Anex_MSV!AP36-B294</f>
        <v>0</v>
      </c>
      <c r="AC294" s="5114">
        <f>Anex_MIKRO!AP36-D294</f>
        <v>0</v>
      </c>
    </row>
    <row r="295" ht="15.75" customHeight="1" spans="1:31">
      <c r="A295" s="5131" t="s">
        <v>4526</v>
      </c>
      <c r="B295" s="5113">
        <v>6336</v>
      </c>
      <c r="C295" s="5110"/>
      <c r="D295" s="5167"/>
      <c r="E295" s="5085"/>
      <c r="F295" s="5085"/>
      <c r="G295" s="5085"/>
      <c r="H295" s="5085"/>
      <c r="I295" s="5085"/>
      <c r="J295" s="5085"/>
      <c r="K295" s="5085"/>
      <c r="L295" s="5085"/>
      <c r="M295" s="5085"/>
      <c r="N295" s="5085"/>
      <c r="O295" s="5085"/>
      <c r="P295" s="5085"/>
      <c r="Q295" s="5085"/>
      <c r="R295" s="5085"/>
      <c r="S295" s="5085"/>
      <c r="T295" s="5085"/>
      <c r="U295" s="5085"/>
      <c r="V295" s="5085"/>
      <c r="W295" s="5085"/>
      <c r="X295" s="5085"/>
      <c r="Y295" s="5085"/>
      <c r="Z295" s="5102"/>
      <c r="AB295" s="5114">
        <f>Anex_MSV!AP37-B295</f>
        <v>0</v>
      </c>
      <c r="AC295" s="5114">
        <f>Anex_MIKRO!AP37-D295</f>
        <v>0</v>
      </c>
    </row>
    <row r="296" ht="15.75" customHeight="1" spans="1:31">
      <c r="A296" s="5131" t="s">
        <v>4527</v>
      </c>
      <c r="B296" s="5113">
        <v>4263</v>
      </c>
      <c r="C296" s="5110"/>
      <c r="D296" s="5167"/>
      <c r="E296" s="5085"/>
      <c r="F296" s="5085"/>
      <c r="G296" s="5085"/>
      <c r="H296" s="5085"/>
      <c r="I296" s="5085"/>
      <c r="J296" s="5085"/>
      <c r="K296" s="5085"/>
      <c r="L296" s="5085"/>
      <c r="M296" s="5085"/>
      <c r="N296" s="5085"/>
      <c r="O296" s="5085"/>
      <c r="P296" s="5085"/>
      <c r="Q296" s="5085"/>
      <c r="R296" s="5085"/>
      <c r="S296" s="5085"/>
      <c r="T296" s="5085"/>
      <c r="U296" s="5085"/>
      <c r="V296" s="5085"/>
      <c r="W296" s="5085"/>
      <c r="X296" s="5085"/>
      <c r="Y296" s="5085"/>
      <c r="Z296" s="5102"/>
      <c r="AB296" s="5114">
        <f>Anex_MSV!AP38-B296</f>
        <v>0</v>
      </c>
      <c r="AC296" s="5114">
        <f>Anex_MIKRO!AP38-D296</f>
        <v>0</v>
      </c>
    </row>
    <row r="297" ht="15.75" customHeight="1" spans="1:31">
      <c r="A297" s="5131" t="s">
        <v>4528</v>
      </c>
      <c r="B297" s="5113">
        <v>25578</v>
      </c>
      <c r="C297" s="5110"/>
      <c r="D297" s="5167"/>
      <c r="E297" s="5085"/>
      <c r="F297" s="5085"/>
      <c r="G297" s="5085"/>
      <c r="H297" s="5085"/>
      <c r="I297" s="5085"/>
      <c r="J297" s="5085"/>
      <c r="K297" s="5085"/>
      <c r="L297" s="5085"/>
      <c r="M297" s="5085"/>
      <c r="N297" s="5085"/>
      <c r="O297" s="5085"/>
      <c r="P297" s="5085"/>
      <c r="Q297" s="5085"/>
      <c r="R297" s="5085"/>
      <c r="S297" s="5085"/>
      <c r="T297" s="5085"/>
      <c r="U297" s="5085"/>
      <c r="V297" s="5085"/>
      <c r="W297" s="5085"/>
      <c r="X297" s="5085"/>
      <c r="Y297" s="5085"/>
      <c r="Z297" s="5102"/>
      <c r="AB297" s="5114">
        <f>Anex_MSV!AP39-B297</f>
        <v>0</v>
      </c>
      <c r="AC297" s="5114">
        <f>Anex_MIKRO!AP39-D297</f>
        <v>0</v>
      </c>
    </row>
    <row r="298" ht="15.75" customHeight="1" spans="1:31">
      <c r="A298" s="5131" t="s">
        <v>4529</v>
      </c>
      <c r="B298" s="5113">
        <v>12195</v>
      </c>
      <c r="C298" s="5110"/>
      <c r="D298" s="5167"/>
      <c r="E298" s="5085"/>
      <c r="F298" s="5085"/>
      <c r="G298" s="5085"/>
      <c r="H298" s="5085"/>
      <c r="I298" s="5085"/>
      <c r="J298" s="5085"/>
      <c r="K298" s="5085"/>
      <c r="L298" s="5085"/>
      <c r="M298" s="5085"/>
      <c r="N298" s="5085"/>
      <c r="O298" s="5085"/>
      <c r="P298" s="5085"/>
      <c r="Q298" s="5085"/>
      <c r="R298" s="5085"/>
      <c r="S298" s="5085"/>
      <c r="T298" s="5085"/>
      <c r="U298" s="5085"/>
      <c r="V298" s="5085"/>
      <c r="W298" s="5085"/>
      <c r="X298" s="5085"/>
      <c r="Y298" s="5085"/>
      <c r="Z298" s="5102"/>
      <c r="AB298" s="5114">
        <f>Anex_MSV!AP40-B298</f>
        <v>0</v>
      </c>
      <c r="AC298" s="5114">
        <f>Anex_MIKRO!AP40-D298</f>
        <v>0</v>
      </c>
    </row>
    <row r="299" ht="15.75" customHeight="1" spans="1:31">
      <c r="A299" s="5131" t="s">
        <v>4530</v>
      </c>
      <c r="B299" s="5113"/>
      <c r="C299" s="5110"/>
      <c r="D299" s="5167"/>
      <c r="E299" s="5085"/>
      <c r="F299" s="5085"/>
      <c r="G299" s="5085"/>
      <c r="H299" s="5085"/>
      <c r="I299" s="5085"/>
      <c r="J299" s="5085"/>
      <c r="K299" s="5085"/>
      <c r="L299" s="5085"/>
      <c r="M299" s="5085"/>
      <c r="N299" s="5085"/>
      <c r="O299" s="5085"/>
      <c r="P299" s="5085"/>
      <c r="Q299" s="5085"/>
      <c r="R299" s="5085"/>
      <c r="S299" s="5085"/>
      <c r="T299" s="5085"/>
      <c r="U299" s="5085"/>
      <c r="V299" s="5085"/>
      <c r="W299" s="5085"/>
      <c r="X299" s="5085"/>
      <c r="Y299" s="5085"/>
      <c r="Z299" s="5102"/>
      <c r="AB299" s="5114">
        <f>Anex_MSV!AP41-B299</f>
        <v>0</v>
      </c>
      <c r="AC299" s="5114">
        <f>Anex_MIKRO!AP41-D299</f>
        <v>0</v>
      </c>
    </row>
    <row r="300" ht="15.75" customHeight="1" spans="1:31">
      <c r="A300" s="5131" t="s">
        <v>4531</v>
      </c>
      <c r="B300" s="5109">
        <f>Anex_MSV!AP42</f>
        <v>25265</v>
      </c>
      <c r="C300" s="5110"/>
      <c r="D300" s="5167"/>
      <c r="E300" s="5085"/>
      <c r="F300" s="5085"/>
      <c r="G300" s="5085"/>
      <c r="H300" s="5085"/>
      <c r="I300" s="5085"/>
      <c r="J300" s="5085"/>
      <c r="K300" s="5085"/>
      <c r="L300" s="5085"/>
      <c r="M300" s="5085"/>
      <c r="N300" s="5085"/>
      <c r="O300" s="5085"/>
      <c r="P300" s="5085"/>
      <c r="Q300" s="5085"/>
      <c r="R300" s="5085"/>
      <c r="S300" s="5085"/>
      <c r="T300" s="5085"/>
      <c r="U300" s="5085"/>
      <c r="V300" s="5085"/>
      <c r="W300" s="5085"/>
      <c r="X300" s="5085"/>
      <c r="Y300" s="5085"/>
      <c r="Z300" s="5102"/>
      <c r="AB300" s="30">
        <f>Anex_MSV!AP42-B300</f>
        <v>0</v>
      </c>
      <c r="AC300" s="5114">
        <f>Anex_MIKRO!AP42-D300</f>
        <v>0</v>
      </c>
      <c r="AD300" s="5090">
        <f>IF(AB300=0,0,"PAŽNJA! Provjerite AOP "&amp;A300&amp;" MSV - PROŠLU godinu, razlika = "&amp;TEXT(AB300,"#.##0,00 [$KM-141A]"))</f>
        <v>0</v>
      </c>
    </row>
    <row r="301" ht="15.75" customHeight="1" spans="1:31">
      <c r="A301" s="5131" t="s">
        <v>4532</v>
      </c>
      <c r="B301" s="5113"/>
      <c r="C301" s="5110"/>
      <c r="D301" s="5167"/>
      <c r="E301" s="5085"/>
      <c r="F301" s="5085"/>
      <c r="G301" s="5085"/>
      <c r="H301" s="5085"/>
      <c r="I301" s="5085"/>
      <c r="J301" s="5085"/>
      <c r="K301" s="5085"/>
      <c r="L301" s="5085"/>
      <c r="M301" s="5085"/>
      <c r="N301" s="5085"/>
      <c r="O301" s="5085"/>
      <c r="P301" s="5085"/>
      <c r="Q301" s="5085"/>
      <c r="R301" s="5085"/>
      <c r="S301" s="5085"/>
      <c r="T301" s="5085"/>
      <c r="U301" s="5085"/>
      <c r="V301" s="5085"/>
      <c r="W301" s="5085"/>
      <c r="X301" s="5085"/>
      <c r="Y301" s="5085"/>
      <c r="Z301" s="5102"/>
      <c r="AB301" s="5114">
        <f>Anex_MSV!AP43-B301</f>
        <v>0</v>
      </c>
      <c r="AC301" s="5114">
        <f>Anex_MIKRO!AP43-D301</f>
        <v>0</v>
      </c>
    </row>
    <row r="302" ht="15.75" customHeight="1" spans="1:31">
      <c r="A302" s="5131" t="s">
        <v>4533</v>
      </c>
      <c r="B302" s="5113">
        <v>24</v>
      </c>
      <c r="C302" s="5110"/>
      <c r="D302" s="5167"/>
      <c r="E302" s="5085"/>
      <c r="F302" s="5085"/>
      <c r="G302" s="5085"/>
      <c r="H302" s="5085"/>
      <c r="I302" s="5085"/>
      <c r="J302" s="5085"/>
      <c r="K302" s="5085"/>
      <c r="L302" s="5085"/>
      <c r="M302" s="5085"/>
      <c r="N302" s="5085"/>
      <c r="O302" s="5085"/>
      <c r="P302" s="5085"/>
      <c r="Q302" s="5085"/>
      <c r="R302" s="5085"/>
      <c r="S302" s="5085"/>
      <c r="T302" s="5085"/>
      <c r="U302" s="5085"/>
      <c r="V302" s="5085"/>
      <c r="W302" s="5085"/>
      <c r="X302" s="5085"/>
      <c r="Y302" s="5085"/>
      <c r="Z302" s="5102"/>
      <c r="AB302" s="5114">
        <f>Anex_MSV!AP44-B302</f>
        <v>0</v>
      </c>
      <c r="AC302" s="5114">
        <f>Anex_MIKRO!AP44-D302</f>
        <v>0</v>
      </c>
    </row>
    <row r="303" ht="15.75" customHeight="1" spans="1:31">
      <c r="A303" s="5131" t="s">
        <v>4534</v>
      </c>
      <c r="B303" s="5113">
        <v>25241</v>
      </c>
      <c r="C303" s="5110"/>
      <c r="D303" s="5167"/>
      <c r="E303" s="5085"/>
      <c r="F303" s="5085"/>
      <c r="G303" s="5085"/>
      <c r="H303" s="5085"/>
      <c r="I303" s="5085"/>
      <c r="J303" s="5085"/>
      <c r="K303" s="5085"/>
      <c r="L303" s="5085"/>
      <c r="M303" s="5085"/>
      <c r="N303" s="5085"/>
      <c r="O303" s="5085"/>
      <c r="P303" s="5085"/>
      <c r="Q303" s="5085"/>
      <c r="R303" s="5085"/>
      <c r="S303" s="5085"/>
      <c r="T303" s="5085"/>
      <c r="U303" s="5085"/>
      <c r="V303" s="5085"/>
      <c r="W303" s="5085"/>
      <c r="X303" s="5085"/>
      <c r="Y303" s="5085"/>
      <c r="Z303" s="5102"/>
      <c r="AB303" s="5114">
        <f>Anex_MSV!AP45-B303</f>
        <v>0</v>
      </c>
      <c r="AC303" s="5114">
        <f>Anex_MIKRO!AP45-D303</f>
        <v>0</v>
      </c>
    </row>
    <row r="304" ht="15.75" customHeight="1" spans="1:31">
      <c r="A304" s="5131" t="s">
        <v>4535</v>
      </c>
      <c r="B304" s="5113"/>
      <c r="C304" s="5110"/>
      <c r="D304" s="5167"/>
      <c r="E304" s="5085"/>
      <c r="F304" s="5085"/>
      <c r="G304" s="5085"/>
      <c r="H304" s="5085"/>
      <c r="I304" s="5085"/>
      <c r="J304" s="5085"/>
      <c r="K304" s="5085"/>
      <c r="L304" s="5085"/>
      <c r="M304" s="5085"/>
      <c r="N304" s="5085"/>
      <c r="O304" s="5085"/>
      <c r="P304" s="5085"/>
      <c r="Q304" s="5085"/>
      <c r="R304" s="5085"/>
      <c r="S304" s="5085"/>
      <c r="T304" s="5085"/>
      <c r="U304" s="5085"/>
      <c r="V304" s="5085"/>
      <c r="W304" s="5085"/>
      <c r="X304" s="5085"/>
      <c r="Y304" s="5085"/>
      <c r="Z304" s="5102"/>
      <c r="AB304" s="5114">
        <f>Anex_MSV!AP46-B304</f>
        <v>0</v>
      </c>
      <c r="AC304" s="5114">
        <f>Anex_MIKRO!AP46-D304</f>
        <v>0</v>
      </c>
    </row>
    <row r="305" ht="15.75" customHeight="1" spans="1:31">
      <c r="A305" s="5131" t="s">
        <v>4536</v>
      </c>
      <c r="B305" s="5113"/>
      <c r="C305" s="5110"/>
      <c r="D305" s="5167"/>
      <c r="E305" s="5085"/>
      <c r="F305" s="5085"/>
      <c r="G305" s="5085"/>
      <c r="H305" s="5085"/>
      <c r="I305" s="5085"/>
      <c r="J305" s="5085"/>
      <c r="K305" s="5085"/>
      <c r="L305" s="5085"/>
      <c r="M305" s="5085"/>
      <c r="N305" s="5085"/>
      <c r="O305" s="5085"/>
      <c r="P305" s="5085"/>
      <c r="Q305" s="5085"/>
      <c r="R305" s="5085"/>
      <c r="S305" s="5085"/>
      <c r="T305" s="5085"/>
      <c r="U305" s="5085"/>
      <c r="V305" s="5085"/>
      <c r="W305" s="5085"/>
      <c r="X305" s="5085"/>
      <c r="Y305" s="5085"/>
      <c r="Z305" s="5102"/>
      <c r="AB305" s="5114">
        <f>Anex_MSV!AP47-B305</f>
        <v>0</v>
      </c>
      <c r="AC305" s="5168">
        <f>Anex_MIKRO!AP59-D305</f>
        <v>0</v>
      </c>
      <c r="AE305" s="5090"/>
    </row>
    <row r="306" ht="15.75" customHeight="1" spans="1:31">
      <c r="A306" s="5131" t="s">
        <v>4537</v>
      </c>
      <c r="B306" s="5113"/>
      <c r="C306" s="5110"/>
      <c r="D306" s="5167"/>
      <c r="E306" s="5085"/>
      <c r="F306" s="5085"/>
      <c r="G306" s="5085"/>
      <c r="H306" s="5085"/>
      <c r="I306" s="5085"/>
      <c r="J306" s="5085"/>
      <c r="K306" s="5085"/>
      <c r="L306" s="5085"/>
      <c r="M306" s="5085"/>
      <c r="N306" s="5085"/>
      <c r="O306" s="5085"/>
      <c r="P306" s="5085"/>
      <c r="Q306" s="5085"/>
      <c r="R306" s="5085"/>
      <c r="S306" s="5085"/>
      <c r="T306" s="5085"/>
      <c r="U306" s="5085"/>
      <c r="V306" s="5085"/>
      <c r="W306" s="5085"/>
      <c r="X306" s="5085"/>
      <c r="Y306" s="5085"/>
      <c r="Z306" s="5102"/>
      <c r="AB306" s="5114">
        <f>Anex_MSV!AP48-B306</f>
        <v>0</v>
      </c>
      <c r="AC306" s="5114">
        <f>Anex_MIKRO!AP60-D306</f>
        <v>0</v>
      </c>
    </row>
    <row r="307" ht="15.75" customHeight="1" spans="1:31">
      <c r="A307" s="5131" t="s">
        <v>4538</v>
      </c>
      <c r="B307" s="5113"/>
      <c r="C307" s="5110"/>
      <c r="D307" s="5167"/>
      <c r="E307" s="5085"/>
      <c r="F307" s="5085"/>
      <c r="G307" s="5085"/>
      <c r="H307" s="5085"/>
      <c r="I307" s="5085"/>
      <c r="J307" s="5085"/>
      <c r="K307" s="5085"/>
      <c r="L307" s="5085"/>
      <c r="M307" s="5085"/>
      <c r="N307" s="5085"/>
      <c r="O307" s="5085"/>
      <c r="P307" s="5085"/>
      <c r="Q307" s="5085"/>
      <c r="R307" s="5085"/>
      <c r="S307" s="5085"/>
      <c r="T307" s="5085"/>
      <c r="U307" s="5085"/>
      <c r="V307" s="5085"/>
      <c r="W307" s="5085"/>
      <c r="X307" s="5085"/>
      <c r="Y307" s="5085"/>
      <c r="Z307" s="5102"/>
      <c r="AB307" s="5114">
        <f>Anex_MSV!AP49-B307</f>
        <v>0</v>
      </c>
      <c r="AC307" s="5114">
        <f>Anex_MIKRO!AP61-D307</f>
        <v>0</v>
      </c>
    </row>
    <row r="308" ht="15.75" customHeight="1" spans="1:31">
      <c r="A308" s="5131" t="s">
        <v>4539</v>
      </c>
      <c r="B308" s="5113"/>
      <c r="C308" s="5110"/>
      <c r="D308" s="5167"/>
      <c r="E308" s="5085"/>
      <c r="F308" s="5085"/>
      <c r="G308" s="5085"/>
      <c r="H308" s="5085"/>
      <c r="I308" s="5085"/>
      <c r="J308" s="5085"/>
      <c r="K308" s="5085"/>
      <c r="L308" s="5085"/>
      <c r="M308" s="5085"/>
      <c r="N308" s="5085"/>
      <c r="O308" s="5085"/>
      <c r="P308" s="5085"/>
      <c r="Q308" s="5085"/>
      <c r="R308" s="5085"/>
      <c r="S308" s="5085"/>
      <c r="T308" s="5085"/>
      <c r="U308" s="5085"/>
      <c r="V308" s="5085"/>
      <c r="W308" s="5085"/>
      <c r="X308" s="5085"/>
      <c r="Y308" s="5085"/>
      <c r="Z308" s="5102"/>
      <c r="AB308" s="5114">
        <f>Anex_MSV!AP50-B308</f>
        <v>0</v>
      </c>
      <c r="AC308" s="5114">
        <f>Anex_MIKRO!AP62-D308</f>
        <v>0</v>
      </c>
    </row>
    <row r="309" ht="15.75" customHeight="1" spans="1:31">
      <c r="A309" s="5131" t="s">
        <v>4540</v>
      </c>
      <c r="B309" s="5113"/>
      <c r="C309" s="5110"/>
      <c r="D309" s="5167"/>
      <c r="E309" s="5085"/>
      <c r="F309" s="5085"/>
      <c r="G309" s="5085"/>
      <c r="H309" s="5085"/>
      <c r="I309" s="5085"/>
      <c r="J309" s="5085"/>
      <c r="K309" s="5085"/>
      <c r="L309" s="5085"/>
      <c r="M309" s="5085"/>
      <c r="N309" s="5085"/>
      <c r="O309" s="5085"/>
      <c r="P309" s="5085"/>
      <c r="Q309" s="5085"/>
      <c r="R309" s="5085"/>
      <c r="S309" s="5085"/>
      <c r="T309" s="5085"/>
      <c r="U309" s="5085"/>
      <c r="V309" s="5085"/>
      <c r="W309" s="5085"/>
      <c r="X309" s="5085"/>
      <c r="Y309" s="5085"/>
      <c r="Z309" s="5102"/>
      <c r="AB309" s="5114">
        <f>Anex_MSV!AP51-B309</f>
        <v>0</v>
      </c>
      <c r="AC309" s="5114">
        <f>Anex_MIKRO!AP63-D309</f>
        <v>0</v>
      </c>
    </row>
    <row r="310" ht="15.75" customHeight="1" spans="1:31">
      <c r="A310" s="5131" t="s">
        <v>4541</v>
      </c>
      <c r="B310" s="5109">
        <f>Anex_MSV!AP52</f>
        <v>45194</v>
      </c>
      <c r="C310" s="5110"/>
      <c r="D310" s="5167"/>
      <c r="E310" s="5085"/>
      <c r="F310" s="5085"/>
      <c r="G310" s="5085"/>
      <c r="H310" s="5085"/>
      <c r="I310" s="5085"/>
      <c r="J310" s="5085"/>
      <c r="K310" s="5085"/>
      <c r="L310" s="5085"/>
      <c r="M310" s="5085"/>
      <c r="N310" s="5085"/>
      <c r="O310" s="5085"/>
      <c r="P310" s="5085"/>
      <c r="Q310" s="5085"/>
      <c r="R310" s="5085"/>
      <c r="S310" s="5085"/>
      <c r="T310" s="5085"/>
      <c r="U310" s="5085"/>
      <c r="V310" s="5085"/>
      <c r="W310" s="5085"/>
      <c r="X310" s="5085"/>
      <c r="Y310" s="5085"/>
      <c r="Z310" s="5102"/>
      <c r="AB310" s="30">
        <f>Anex_MSV!AP52-B310</f>
        <v>0</v>
      </c>
      <c r="AC310" s="5114">
        <f>Anex_MIKRO!AP64-D310</f>
        <v>0</v>
      </c>
      <c r="AD310" s="5090">
        <f>IF(AB310=0,0,"PAŽNJA! Provjerite AOP "&amp;A310&amp;" MSV - PROŠLU godinu, razlika = "&amp;TEXT(AB310,"#.##0,00 [$KM-141A]"))</f>
        <v>0</v>
      </c>
    </row>
    <row r="311" ht="15.75" customHeight="1" spans="1:31">
      <c r="A311" s="5131" t="s">
        <v>4542</v>
      </c>
      <c r="B311" s="5113">
        <v>25998</v>
      </c>
      <c r="C311" s="5110"/>
      <c r="D311" s="5167"/>
      <c r="E311" s="5085"/>
      <c r="F311" s="5085"/>
      <c r="G311" s="5085"/>
      <c r="H311" s="5085"/>
      <c r="I311" s="5085"/>
      <c r="J311" s="5085"/>
      <c r="K311" s="5085"/>
      <c r="L311" s="5085"/>
      <c r="M311" s="5085"/>
      <c r="N311" s="5085"/>
      <c r="O311" s="5085"/>
      <c r="P311" s="5085"/>
      <c r="Q311" s="5085"/>
      <c r="R311" s="5085"/>
      <c r="S311" s="5085"/>
      <c r="T311" s="5085"/>
      <c r="U311" s="5085"/>
      <c r="V311" s="5085"/>
      <c r="W311" s="5085"/>
      <c r="X311" s="5085"/>
      <c r="Y311" s="5085"/>
      <c r="Z311" s="5102"/>
      <c r="AB311" s="5114">
        <f>Anex_MSV!AP53-B311</f>
        <v>0</v>
      </c>
      <c r="AC311" s="5114">
        <f>Anex_MIKRO!AP65-D311</f>
        <v>0</v>
      </c>
    </row>
    <row r="312" ht="15.75" customHeight="1" spans="1:31">
      <c r="A312" s="5131" t="s">
        <v>4543</v>
      </c>
      <c r="B312" s="5113">
        <v>37</v>
      </c>
      <c r="C312" s="5110"/>
      <c r="D312" s="5167"/>
      <c r="E312" s="5085"/>
      <c r="F312" s="5085"/>
      <c r="G312" s="5085"/>
      <c r="H312" s="5085"/>
      <c r="I312" s="5085"/>
      <c r="J312" s="5085"/>
      <c r="K312" s="5085"/>
      <c r="L312" s="5085"/>
      <c r="M312" s="5085"/>
      <c r="N312" s="5085"/>
      <c r="O312" s="5085"/>
      <c r="P312" s="5085"/>
      <c r="Q312" s="5085"/>
      <c r="R312" s="5085"/>
      <c r="S312" s="5085"/>
      <c r="T312" s="5085"/>
      <c r="U312" s="5085"/>
      <c r="V312" s="5085"/>
      <c r="W312" s="5085"/>
      <c r="X312" s="5085"/>
      <c r="Y312" s="5085"/>
      <c r="Z312" s="5102"/>
      <c r="AB312" s="5114">
        <f>Anex_MSV!AP54-B312</f>
        <v>0</v>
      </c>
      <c r="AC312" s="5114">
        <f>Anex_MIKRO!AP66-D312</f>
        <v>0</v>
      </c>
    </row>
    <row r="313" ht="15.75" customHeight="1" spans="1:31">
      <c r="A313" s="5131" t="s">
        <v>4544</v>
      </c>
      <c r="B313" s="5113">
        <v>154</v>
      </c>
      <c r="C313" s="5110"/>
      <c r="D313" s="5167"/>
      <c r="E313" s="5085"/>
      <c r="F313" s="5085"/>
      <c r="G313" s="5085"/>
      <c r="H313" s="5085"/>
      <c r="I313" s="5085"/>
      <c r="J313" s="5085"/>
      <c r="K313" s="5085"/>
      <c r="L313" s="5085"/>
      <c r="M313" s="5085"/>
      <c r="N313" s="5085"/>
      <c r="O313" s="5085"/>
      <c r="P313" s="5085"/>
      <c r="Q313" s="5085"/>
      <c r="R313" s="5085"/>
      <c r="S313" s="5085"/>
      <c r="T313" s="5085"/>
      <c r="U313" s="5085"/>
      <c r="V313" s="5085"/>
      <c r="W313" s="5085"/>
      <c r="X313" s="5085"/>
      <c r="Y313" s="5085"/>
      <c r="Z313" s="5102"/>
      <c r="AB313" s="5114">
        <f>Anex_MSV!AP55-B313</f>
        <v>0</v>
      </c>
      <c r="AC313" s="5114">
        <f>Anex_MIKRO!AP67-D313</f>
        <v>0</v>
      </c>
    </row>
    <row r="314" ht="15.75" customHeight="1" spans="1:31">
      <c r="A314" s="5131" t="s">
        <v>4545</v>
      </c>
      <c r="B314" s="5113">
        <v>742</v>
      </c>
      <c r="C314" s="5110"/>
      <c r="D314" s="5167"/>
      <c r="E314" s="5085"/>
      <c r="F314" s="5085"/>
      <c r="G314" s="5085"/>
      <c r="H314" s="5085"/>
      <c r="I314" s="5085"/>
      <c r="J314" s="5085"/>
      <c r="K314" s="5085"/>
      <c r="L314" s="5085"/>
      <c r="M314" s="5085"/>
      <c r="N314" s="5085"/>
      <c r="O314" s="5085"/>
      <c r="P314" s="5085"/>
      <c r="Q314" s="5085"/>
      <c r="R314" s="5085"/>
      <c r="S314" s="5085"/>
      <c r="T314" s="5085"/>
      <c r="U314" s="5085"/>
      <c r="V314" s="5085"/>
      <c r="W314" s="5085"/>
      <c r="X314" s="5085"/>
      <c r="Y314" s="5085"/>
      <c r="Z314" s="5102"/>
      <c r="AB314" s="5114">
        <f>Anex_MSV!AP56-B314</f>
        <v>0</v>
      </c>
      <c r="AC314" s="5114">
        <f>Anex_MIKRO!AP68-D314</f>
        <v>0</v>
      </c>
    </row>
    <row r="315" ht="15.75" customHeight="1" spans="1:31">
      <c r="A315" s="5131" t="s">
        <v>4546</v>
      </c>
      <c r="B315" s="5113">
        <v>11219</v>
      </c>
      <c r="C315" s="5110"/>
      <c r="D315" s="5167"/>
      <c r="E315" s="5085"/>
      <c r="F315" s="5085"/>
      <c r="G315" s="5085"/>
      <c r="H315" s="5085"/>
      <c r="I315" s="5085"/>
      <c r="J315" s="5085"/>
      <c r="K315" s="5085"/>
      <c r="L315" s="5085"/>
      <c r="M315" s="5085"/>
      <c r="N315" s="5085"/>
      <c r="O315" s="5085"/>
      <c r="P315" s="5085"/>
      <c r="Q315" s="5085"/>
      <c r="R315" s="5085"/>
      <c r="S315" s="5085"/>
      <c r="T315" s="5085"/>
      <c r="U315" s="5085"/>
      <c r="V315" s="5085"/>
      <c r="W315" s="5085"/>
      <c r="X315" s="5085"/>
      <c r="Y315" s="5085"/>
      <c r="Z315" s="5102"/>
      <c r="AB315" s="5114">
        <f>Anex_MSV!AP57-B315</f>
        <v>0</v>
      </c>
      <c r="AC315" s="5168">
        <f>Anex_MIKRO!AP69-D315</f>
        <v>0</v>
      </c>
      <c r="AE315" s="5090"/>
    </row>
    <row r="316" ht="15.75" customHeight="1" spans="1:31">
      <c r="A316" s="5131" t="s">
        <v>4547</v>
      </c>
      <c r="B316" s="5113">
        <v>4422</v>
      </c>
      <c r="C316" s="5110"/>
      <c r="D316" s="5167"/>
      <c r="E316" s="5085"/>
      <c r="F316" s="5085"/>
      <c r="G316" s="5085"/>
      <c r="H316" s="5085"/>
      <c r="I316" s="5085"/>
      <c r="J316" s="5085"/>
      <c r="K316" s="5085"/>
      <c r="L316" s="5085"/>
      <c r="M316" s="5085"/>
      <c r="N316" s="5085"/>
      <c r="O316" s="5085"/>
      <c r="P316" s="5085"/>
      <c r="Q316" s="5085"/>
      <c r="R316" s="5085"/>
      <c r="S316" s="5085"/>
      <c r="T316" s="5085"/>
      <c r="U316" s="5085"/>
      <c r="V316" s="5085"/>
      <c r="W316" s="5085"/>
      <c r="X316" s="5085"/>
      <c r="Y316" s="5085"/>
      <c r="Z316" s="5102"/>
      <c r="AB316" s="5114">
        <f>Anex_MSV!AP58-B316</f>
        <v>0</v>
      </c>
      <c r="AC316" s="5114">
        <f>Anex_MIKRO!AP70-D316</f>
        <v>0</v>
      </c>
    </row>
    <row r="317" ht="15.75" customHeight="1" spans="1:31">
      <c r="A317" s="5131" t="s">
        <v>4548</v>
      </c>
      <c r="B317" s="5113"/>
      <c r="C317" s="5110"/>
      <c r="D317" s="5167"/>
      <c r="E317" s="5085"/>
      <c r="F317" s="5085"/>
      <c r="G317" s="5085"/>
      <c r="H317" s="5085"/>
      <c r="I317" s="5085"/>
      <c r="J317" s="5085"/>
      <c r="K317" s="5085"/>
      <c r="L317" s="5085"/>
      <c r="M317" s="5085"/>
      <c r="N317" s="5085"/>
      <c r="O317" s="5085"/>
      <c r="P317" s="5085"/>
      <c r="Q317" s="5085"/>
      <c r="R317" s="5085"/>
      <c r="S317" s="5085"/>
      <c r="T317" s="5085"/>
      <c r="U317" s="5085"/>
      <c r="V317" s="5085"/>
      <c r="W317" s="5085"/>
      <c r="X317" s="5085"/>
      <c r="Y317" s="5085"/>
      <c r="Z317" s="5102"/>
      <c r="AB317" s="5114">
        <f>Anex_MSV!AP59-B317</f>
        <v>0</v>
      </c>
      <c r="AC317" s="5114">
        <f>Anex_MIKRO!AP71-D317</f>
        <v>0</v>
      </c>
    </row>
    <row r="318" ht="15.75" customHeight="1" spans="1:31">
      <c r="A318" s="5131" t="s">
        <v>4549</v>
      </c>
      <c r="B318" s="5169">
        <v>2622</v>
      </c>
      <c r="C318" s="5110"/>
      <c r="D318" s="5167"/>
      <c r="E318" s="5085"/>
      <c r="F318" s="5085"/>
      <c r="G318" s="5085"/>
      <c r="H318" s="5085"/>
      <c r="I318" s="5085"/>
      <c r="J318" s="5085"/>
      <c r="K318" s="5085"/>
      <c r="L318" s="5085"/>
      <c r="M318" s="5085"/>
      <c r="N318" s="5085"/>
      <c r="O318" s="5085"/>
      <c r="P318" s="5085"/>
      <c r="Q318" s="5085"/>
      <c r="R318" s="5085"/>
      <c r="S318" s="5085"/>
      <c r="T318" s="5085"/>
      <c r="U318" s="5085"/>
      <c r="V318" s="5085"/>
      <c r="W318" s="5085"/>
      <c r="X318" s="5085"/>
      <c r="Y318" s="5085"/>
      <c r="Z318" s="5102"/>
      <c r="AB318" s="5170">
        <f>Anex_MSV!AP60-B318</f>
        <v>0</v>
      </c>
      <c r="AC318" s="5114">
        <f>Anex_MIKRO!AP72-D318</f>
        <v>0</v>
      </c>
    </row>
    <row r="319" ht="15.75" customHeight="1" spans="1:31">
      <c r="A319" s="5131" t="s">
        <v>4550</v>
      </c>
      <c r="B319" s="5171"/>
      <c r="C319" s="5110"/>
      <c r="D319" s="5167"/>
      <c r="E319" s="5085"/>
      <c r="F319" s="5085"/>
      <c r="G319" s="5085"/>
      <c r="H319" s="5085"/>
      <c r="I319" s="5085"/>
      <c r="J319" s="5085"/>
      <c r="K319" s="5085"/>
      <c r="L319" s="5085"/>
      <c r="M319" s="5085"/>
      <c r="N319" s="5085"/>
      <c r="O319" s="5085"/>
      <c r="P319" s="5085"/>
      <c r="Q319" s="5085"/>
      <c r="R319" s="5085"/>
      <c r="S319" s="5085"/>
      <c r="T319" s="5085"/>
      <c r="U319" s="5085"/>
      <c r="V319" s="5085"/>
      <c r="W319" s="5085"/>
      <c r="X319" s="5085"/>
      <c r="Y319" s="5085"/>
      <c r="Z319" s="5102"/>
      <c r="AB319" s="5172">
        <f>Anex_MSV!AP71-B319</f>
        <v>0</v>
      </c>
      <c r="AC319" s="5114">
        <f>Anex_MIKRO!AP73-D319</f>
        <v>0</v>
      </c>
    </row>
    <row r="320" ht="15.75" customHeight="1" spans="1:31">
      <c r="A320" s="5131" t="s">
        <v>4551</v>
      </c>
      <c r="B320" s="5113"/>
      <c r="C320" s="5110"/>
      <c r="D320" s="5167"/>
      <c r="E320" s="5085"/>
      <c r="F320" s="5085"/>
      <c r="G320" s="5085"/>
      <c r="H320" s="5085"/>
      <c r="I320" s="5085"/>
      <c r="J320" s="5085"/>
      <c r="K320" s="5085"/>
      <c r="L320" s="5085"/>
      <c r="M320" s="5085"/>
      <c r="N320" s="5085"/>
      <c r="O320" s="5085"/>
      <c r="P320" s="5085"/>
      <c r="Q320" s="5085"/>
      <c r="R320" s="5085"/>
      <c r="S320" s="5085"/>
      <c r="T320" s="5085"/>
      <c r="U320" s="5085"/>
      <c r="V320" s="5085"/>
      <c r="W320" s="5085"/>
      <c r="X320" s="5085"/>
      <c r="Y320" s="5085"/>
      <c r="Z320" s="5102"/>
      <c r="AB320" s="5114">
        <f>Anex_MSV!AP72-B320</f>
        <v>0</v>
      </c>
      <c r="AC320" s="5114">
        <f>Anex_MIKRO!AP74-D320</f>
        <v>0</v>
      </c>
    </row>
    <row r="321" ht="15.75" customHeight="1" spans="1:41">
      <c r="A321" s="5131" t="s">
        <v>4552</v>
      </c>
      <c r="B321" s="5109">
        <f>Anex_MSV!AP73</f>
        <v>0</v>
      </c>
      <c r="C321" s="5110"/>
      <c r="D321" s="5167"/>
      <c r="E321" s="5085"/>
      <c r="F321" s="5085"/>
      <c r="G321" s="5085"/>
      <c r="H321" s="5085"/>
      <c r="I321" s="5085"/>
      <c r="J321" s="5085"/>
      <c r="K321" s="5085"/>
      <c r="L321" s="5085"/>
      <c r="M321" s="5085"/>
      <c r="N321" s="5085"/>
      <c r="O321" s="5085"/>
      <c r="P321" s="5085"/>
      <c r="Q321" s="5085"/>
      <c r="R321" s="5085"/>
      <c r="S321" s="5085"/>
      <c r="T321" s="5085"/>
      <c r="U321" s="5085"/>
      <c r="V321" s="5085"/>
      <c r="W321" s="5085"/>
      <c r="X321" s="5085"/>
      <c r="Y321" s="5085"/>
      <c r="Z321" s="5102"/>
      <c r="AB321" s="30">
        <f>Anex_MSV!AP73-B321</f>
        <v>0</v>
      </c>
      <c r="AC321" s="5114">
        <f>Anex_MIKRO!AP75-D321</f>
        <v>0</v>
      </c>
      <c r="AD321" s="5090">
        <f>IF(AB321=0,0,"PAŽNJA! Provjerite AOP "&amp;A321&amp;" MSV - PROŠLU godinu, razlika = "&amp;TEXT(AB321,"#.##0,00 [$KM-141A]"))</f>
        <v>0</v>
      </c>
    </row>
    <row r="322" ht="15.75" customHeight="1" spans="1:41">
      <c r="A322" s="5131" t="s">
        <v>4553</v>
      </c>
      <c r="B322" s="5113"/>
      <c r="C322" s="5110"/>
      <c r="D322" s="5167"/>
      <c r="E322" s="5085"/>
      <c r="F322" s="5085"/>
      <c r="G322" s="5085"/>
      <c r="H322" s="5085"/>
      <c r="I322" s="5085"/>
      <c r="J322" s="5085"/>
      <c r="K322" s="5085"/>
      <c r="L322" s="5085"/>
      <c r="M322" s="5085"/>
      <c r="N322" s="5085"/>
      <c r="O322" s="5085"/>
      <c r="P322" s="5085"/>
      <c r="Q322" s="5085"/>
      <c r="R322" s="5085"/>
      <c r="S322" s="5085"/>
      <c r="T322" s="5085"/>
      <c r="U322" s="5085"/>
      <c r="V322" s="5085"/>
      <c r="W322" s="5085"/>
      <c r="X322" s="5085"/>
      <c r="Y322" s="5085"/>
      <c r="Z322" s="5102"/>
      <c r="AB322" s="5114">
        <f>Anex_MSV!AP74-B322</f>
        <v>0</v>
      </c>
      <c r="AC322" s="5114">
        <f>Anex_MIKRO!AP76-D322</f>
        <v>0</v>
      </c>
    </row>
    <row r="323" ht="15.75" customHeight="1" spans="1:41">
      <c r="A323" s="5131" t="s">
        <v>4554</v>
      </c>
      <c r="B323" s="5113"/>
      <c r="C323" s="5110"/>
      <c r="D323" s="5167"/>
      <c r="E323" s="5085"/>
      <c r="F323" s="5085"/>
      <c r="G323" s="5085"/>
      <c r="H323" s="5085"/>
      <c r="I323" s="5085"/>
      <c r="J323" s="5085"/>
      <c r="K323" s="5085"/>
      <c r="L323" s="5085"/>
      <c r="M323" s="5085"/>
      <c r="N323" s="5085"/>
      <c r="O323" s="5085"/>
      <c r="P323" s="5085"/>
      <c r="Q323" s="5085"/>
      <c r="R323" s="5085"/>
      <c r="S323" s="5085"/>
      <c r="T323" s="5085"/>
      <c r="U323" s="5085"/>
      <c r="V323" s="5085"/>
      <c r="W323" s="5085"/>
      <c r="X323" s="5085"/>
      <c r="Y323" s="5085"/>
      <c r="Z323" s="5102"/>
      <c r="AB323" s="5114">
        <f>Anex_MSV!AP75-B323</f>
        <v>0</v>
      </c>
      <c r="AC323" s="5114">
        <f>Anex_MIKRO!AP77-D323</f>
        <v>0</v>
      </c>
    </row>
    <row r="324" ht="15.75" customHeight="1" spans="1:41">
      <c r="A324" s="5131" t="s">
        <v>4555</v>
      </c>
      <c r="B324" s="5169"/>
      <c r="C324" s="5110"/>
      <c r="D324" s="5167"/>
      <c r="E324" s="5085"/>
      <c r="F324" s="5085"/>
      <c r="G324" s="5085"/>
      <c r="H324" s="5085"/>
      <c r="I324" s="5085"/>
      <c r="J324" s="5085"/>
      <c r="K324" s="5085"/>
      <c r="L324" s="5085"/>
      <c r="M324" s="5085"/>
      <c r="N324" s="5085"/>
      <c r="O324" s="5085"/>
      <c r="P324" s="5085"/>
      <c r="Q324" s="5085"/>
      <c r="R324" s="5085"/>
      <c r="S324" s="5085"/>
      <c r="T324" s="5085"/>
      <c r="U324" s="5085"/>
      <c r="V324" s="5085"/>
      <c r="W324" s="5085"/>
      <c r="X324" s="5085"/>
      <c r="Y324" s="5085"/>
      <c r="Z324" s="5102"/>
      <c r="AB324" s="5170">
        <f>Anex_MSV!AP76-B324</f>
        <v>0</v>
      </c>
      <c r="AC324" s="5114">
        <f>Anex_MIKRO!AP78-D324</f>
        <v>0</v>
      </c>
    </row>
    <row r="325" ht="15.75" customHeight="1" spans="1:41">
      <c r="A325" s="5131" t="s">
        <v>4556</v>
      </c>
      <c r="B325" s="5171"/>
      <c r="C325" s="5110"/>
      <c r="D325" s="5167"/>
      <c r="E325" s="5085"/>
      <c r="F325" s="5085"/>
      <c r="G325" s="5085"/>
      <c r="H325" s="5085"/>
      <c r="I325" s="5085"/>
      <c r="J325" s="5085"/>
      <c r="K325" s="5085"/>
      <c r="L325" s="5085"/>
      <c r="M325" s="5085"/>
      <c r="N325" s="5085"/>
      <c r="O325" s="5085"/>
      <c r="P325" s="5085"/>
      <c r="Q325" s="5085"/>
      <c r="R325" s="5085"/>
      <c r="S325" s="5085"/>
      <c r="T325" s="5085"/>
      <c r="U325" s="5085"/>
      <c r="V325" s="5085"/>
      <c r="W325" s="5085"/>
      <c r="X325" s="5085"/>
      <c r="Y325" s="5085"/>
      <c r="Z325" s="5102"/>
      <c r="AB325" s="5172">
        <f>Anex_MSV!AP78-B325</f>
        <v>0</v>
      </c>
      <c r="AC325" s="5168" t="e">
        <f>Anex_MIKRO!AP79-D325</f>
        <v>#REF!</v>
      </c>
      <c r="AE325" s="5090"/>
    </row>
    <row r="326" ht="15.75" customHeight="1" spans="1:41">
      <c r="A326" s="5131" t="s">
        <v>4557</v>
      </c>
      <c r="B326" s="5113"/>
      <c r="C326" s="5110"/>
      <c r="D326" s="5167"/>
      <c r="E326" s="5085"/>
      <c r="F326" s="5085"/>
      <c r="G326" s="5085"/>
      <c r="H326" s="5085"/>
      <c r="I326" s="5085"/>
      <c r="J326" s="5085"/>
      <c r="K326" s="5085"/>
      <c r="L326" s="5085"/>
      <c r="M326" s="5085"/>
      <c r="N326" s="5085"/>
      <c r="O326" s="5085"/>
      <c r="P326" s="5085"/>
      <c r="Q326" s="5085"/>
      <c r="R326" s="5085"/>
      <c r="S326" s="5085"/>
      <c r="T326" s="5085"/>
      <c r="U326" s="5085"/>
      <c r="V326" s="5085"/>
      <c r="W326" s="5085"/>
      <c r="X326" s="5085"/>
      <c r="Y326" s="5085"/>
      <c r="Z326" s="5102"/>
      <c r="AB326" s="5114">
        <f>Anex_MSV!AP79-B326</f>
        <v>0</v>
      </c>
      <c r="AC326" s="5114">
        <f>Anex_MIKRO!AP80-D326</f>
        <v>0</v>
      </c>
    </row>
    <row r="327" ht="15.75" customHeight="1" spans="1:41">
      <c r="A327" s="5131" t="s">
        <v>4558</v>
      </c>
      <c r="B327" s="5169"/>
      <c r="C327" s="5110"/>
      <c r="D327" s="5167"/>
      <c r="E327" s="5085"/>
      <c r="F327" s="5085"/>
      <c r="G327" s="5085"/>
      <c r="H327" s="5085"/>
      <c r="I327" s="5085"/>
      <c r="J327" s="5085"/>
      <c r="K327" s="5085"/>
      <c r="L327" s="5085"/>
      <c r="M327" s="5085"/>
      <c r="N327" s="5085"/>
      <c r="O327" s="5085"/>
      <c r="P327" s="5085"/>
      <c r="Q327" s="5085"/>
      <c r="R327" s="5085"/>
      <c r="S327" s="5085"/>
      <c r="T327" s="5085"/>
      <c r="U327" s="5085"/>
      <c r="V327" s="5085"/>
      <c r="W327" s="5085"/>
      <c r="X327" s="5085"/>
      <c r="Y327" s="5085"/>
      <c r="Z327" s="5102"/>
      <c r="AB327" s="5173">
        <f>Anex_MSV!AP80-B327</f>
        <v>0</v>
      </c>
      <c r="AC327" s="5114">
        <f>Anex_MIKRO!AP81-D327</f>
        <v>0</v>
      </c>
    </row>
    <row r="328" ht="15.75" customHeight="1" spans="1:41">
      <c r="A328" s="5131" t="s">
        <v>4559</v>
      </c>
      <c r="B328" s="5171"/>
      <c r="C328" s="5110"/>
      <c r="D328" s="5167"/>
      <c r="E328" s="5085"/>
      <c r="F328" s="5085"/>
      <c r="G328" s="5085"/>
      <c r="H328" s="5085"/>
      <c r="I328" s="5085"/>
      <c r="J328" s="5085"/>
      <c r="K328" s="5085"/>
      <c r="L328" s="5085"/>
      <c r="M328" s="5085"/>
      <c r="N328" s="5085"/>
      <c r="O328" s="5085"/>
      <c r="P328" s="5085"/>
      <c r="Q328" s="5085"/>
      <c r="R328" s="5085"/>
      <c r="S328" s="5085"/>
      <c r="T328" s="5085"/>
      <c r="U328" s="5085"/>
      <c r="V328" s="5085"/>
      <c r="W328" s="5085"/>
      <c r="X328" s="5085"/>
      <c r="Y328" s="5085"/>
      <c r="Z328" s="5102"/>
      <c r="AB328" s="5172">
        <f>Anex_MSV!AP82-B328</f>
        <v>0</v>
      </c>
      <c r="AC328" s="5114">
        <f>Anex_MIKRO!AP82-D328</f>
        <v>0</v>
      </c>
    </row>
    <row r="329" ht="15.75" customHeight="1" spans="1:41">
      <c r="A329" s="5131" t="s">
        <v>4560</v>
      </c>
      <c r="B329" s="5113"/>
      <c r="C329" s="5110"/>
      <c r="D329" s="5167"/>
      <c r="E329" s="5085"/>
      <c r="F329" s="5085"/>
      <c r="G329" s="5085"/>
      <c r="H329" s="5085"/>
      <c r="I329" s="5085"/>
      <c r="J329" s="5085"/>
      <c r="K329" s="5085"/>
      <c r="L329" s="5085"/>
      <c r="M329" s="5085"/>
      <c r="N329" s="5085"/>
      <c r="O329" s="5085"/>
      <c r="P329" s="5085"/>
      <c r="Q329" s="5085"/>
      <c r="R329" s="5085"/>
      <c r="S329" s="5085"/>
      <c r="T329" s="5085"/>
      <c r="U329" s="5085"/>
      <c r="V329" s="5085"/>
      <c r="W329" s="5085"/>
      <c r="X329" s="5085"/>
      <c r="Y329" s="5085"/>
      <c r="Z329" s="5102"/>
      <c r="AB329" s="5114">
        <f>Anex_MSV!AP83-B329</f>
        <v>0</v>
      </c>
      <c r="AC329" s="5114">
        <f>Anex_MIKRO!AP83-D329</f>
        <v>0</v>
      </c>
    </row>
    <row r="330" ht="15.75" customHeight="1" spans="1:41">
      <c r="A330" s="5131" t="s">
        <v>4561</v>
      </c>
      <c r="B330" s="5113"/>
      <c r="C330" s="5110"/>
      <c r="D330" s="5167"/>
      <c r="E330" s="5085"/>
      <c r="F330" s="5085"/>
      <c r="G330" s="5085"/>
      <c r="H330" s="5085"/>
      <c r="I330" s="5085"/>
      <c r="J330" s="5085"/>
      <c r="K330" s="5085"/>
      <c r="L330" s="5085"/>
      <c r="M330" s="5085"/>
      <c r="N330" s="5085"/>
      <c r="O330" s="5085"/>
      <c r="P330" s="5085"/>
      <c r="Q330" s="5085"/>
      <c r="R330" s="5085"/>
      <c r="S330" s="5085"/>
      <c r="T330" s="5085"/>
      <c r="U330" s="5085"/>
      <c r="V330" s="5085"/>
      <c r="W330" s="5085"/>
      <c r="X330" s="5085"/>
      <c r="Y330" s="5085"/>
      <c r="Z330" s="5102"/>
      <c r="AB330" s="5114">
        <f>Anex_MSV!AP84-B330</f>
        <v>0</v>
      </c>
      <c r="AC330" s="5114">
        <f>Anex_MIKRO!AP84-D330</f>
        <v>0</v>
      </c>
    </row>
    <row r="331" ht="15.75" customHeight="1" spans="1:41">
      <c r="A331" s="5174"/>
      <c r="B331" s="5174"/>
      <c r="C331" s="5174"/>
      <c r="D331" s="5134"/>
      <c r="E331" s="5085"/>
      <c r="F331" s="5085"/>
      <c r="G331" s="5085"/>
      <c r="H331" s="5085"/>
      <c r="I331" s="5085"/>
      <c r="J331" s="5085"/>
      <c r="K331" s="5085"/>
      <c r="L331" s="5085"/>
      <c r="M331" s="5085"/>
      <c r="N331" s="5085"/>
      <c r="O331" s="5085"/>
      <c r="P331" s="5085"/>
      <c r="Q331" s="5085"/>
      <c r="R331" s="5085"/>
      <c r="S331" s="5085"/>
      <c r="T331" s="5085"/>
      <c r="U331" s="5085"/>
      <c r="V331" s="5085"/>
      <c r="W331" s="5085"/>
      <c r="X331" s="5085"/>
      <c r="Y331" s="5085"/>
      <c r="Z331" s="5102"/>
      <c r="AB331" s="71"/>
      <c r="AC331" s="5114">
        <f>Anex_MIKRO!AP85-D331</f>
        <v>0</v>
      </c>
    </row>
    <row r="332" ht="15.75" customHeight="1" spans="1:41">
      <c r="A332" s="5174"/>
      <c r="B332" s="5174"/>
      <c r="C332" s="5174"/>
      <c r="D332" s="5134"/>
      <c r="E332" s="5085"/>
      <c r="F332" s="5085"/>
      <c r="G332" s="5085"/>
      <c r="H332" s="5085"/>
      <c r="I332" s="5085"/>
      <c r="J332" s="5085"/>
      <c r="K332" s="5085"/>
      <c r="L332" s="5085"/>
      <c r="M332" s="5085"/>
      <c r="N332" s="5085"/>
      <c r="O332" s="5085"/>
      <c r="P332" s="5085"/>
      <c r="Q332" s="5085"/>
      <c r="R332" s="5085"/>
      <c r="S332" s="5085"/>
      <c r="T332" s="5085"/>
      <c r="U332" s="5085"/>
      <c r="V332" s="5085"/>
      <c r="W332" s="5085"/>
      <c r="X332" s="5085"/>
      <c r="Y332" s="5085"/>
      <c r="Z332" s="5102"/>
      <c r="AB332" s="71"/>
      <c r="AC332" s="5114">
        <f>Anex_MIKRO!AP86-D332</f>
        <v>0</v>
      </c>
    </row>
    <row r="333" ht="14.25" spans="1:41">
      <c r="A333" s="5175"/>
      <c r="B333" s="5174"/>
      <c r="C333" s="5174"/>
      <c r="D333" s="5175"/>
      <c r="E333" s="5085"/>
      <c r="F333" s="5085"/>
      <c r="G333" s="5085"/>
      <c r="H333" s="5085"/>
      <c r="I333" s="5085"/>
      <c r="J333" s="5085"/>
      <c r="K333" s="5085"/>
      <c r="L333" s="5085"/>
      <c r="M333" s="5085"/>
      <c r="N333" s="5085"/>
      <c r="O333" s="5085"/>
      <c r="P333" s="5085"/>
      <c r="Q333" s="5085"/>
      <c r="R333" s="5085"/>
      <c r="S333" s="5085"/>
      <c r="T333" s="5085"/>
      <c r="U333" s="5085"/>
      <c r="V333" s="5085"/>
      <c r="W333" s="5085"/>
      <c r="X333" s="5085"/>
      <c r="Y333" s="5085"/>
      <c r="Z333" s="5102"/>
      <c r="AB333" s="71"/>
      <c r="AC333" s="71"/>
    </row>
    <row r="334" s="2" customFormat="1" ht="24.75" customHeight="1" spans="1:41">
      <c r="A334" s="5091"/>
      <c r="B334" s="5092" t="str">
        <f>"POSEBNI PODACI   - "&amp;Firma&amp;"_"&amp;UnosPod!$O$6&amp;UnosPod!$P$6&amp;"."&amp;UnosPod!$Q$6-1</f>
        <v>POSEBNI PODACI   - LILIUM ASSET MANAGEMENT d.o.o. Sarajevo_12.2024</v>
      </c>
      <c r="C334" s="5176"/>
      <c r="D334" s="5177"/>
      <c r="E334" s="5177"/>
      <c r="F334" s="5177"/>
      <c r="G334" s="5177"/>
      <c r="H334" s="5177"/>
      <c r="I334" s="5177"/>
      <c r="J334" s="5177"/>
      <c r="K334" s="5177"/>
      <c r="L334" s="5177"/>
      <c r="M334" s="5177"/>
      <c r="N334" s="5177"/>
      <c r="O334" s="5177"/>
      <c r="P334" s="5177"/>
      <c r="Q334" s="5177"/>
      <c r="R334" s="5177"/>
      <c r="S334" s="5177"/>
      <c r="T334" s="5177"/>
      <c r="U334" s="5177"/>
      <c r="V334" s="5177"/>
      <c r="W334" s="5177"/>
      <c r="X334" s="5177"/>
      <c r="Y334" s="5177"/>
      <c r="Z334" s="5178"/>
      <c r="AA334"/>
      <c r="AB334" s="7"/>
      <c r="AC334" s="73"/>
      <c r="AD334"/>
      <c r="AE334"/>
      <c r="AF334"/>
      <c r="AG334"/>
      <c r="AH334"/>
      <c r="AI334"/>
      <c r="AJ334"/>
      <c r="AK334"/>
      <c r="AL334" s="75"/>
      <c r="AM334" s="75"/>
      <c r="AN334" s="75"/>
      <c r="AO334" s="75"/>
    </row>
    <row r="335" ht="15" customHeight="1" spans="1:41">
      <c r="A335" s="5163" t="s">
        <v>2438</v>
      </c>
      <c r="B335" s="5164" t="s">
        <v>4562</v>
      </c>
      <c r="C335" s="5164" t="s">
        <v>4443</v>
      </c>
      <c r="D335" s="5175"/>
      <c r="E335" s="5085"/>
      <c r="F335" s="5085"/>
      <c r="G335" s="5085"/>
      <c r="H335" s="5085"/>
      <c r="I335" s="5085"/>
      <c r="J335" s="5085"/>
      <c r="K335" s="5085"/>
      <c r="L335" s="5085"/>
      <c r="M335" s="5085"/>
      <c r="N335" s="5085"/>
      <c r="O335" s="5085"/>
      <c r="P335" s="5085"/>
      <c r="Q335" s="5085"/>
      <c r="R335" s="5085"/>
      <c r="S335" s="5085"/>
      <c r="T335" s="5085"/>
      <c r="U335" s="5085"/>
      <c r="V335" s="5085"/>
      <c r="W335" s="5085"/>
      <c r="X335" s="5085"/>
      <c r="Y335" s="5085"/>
      <c r="Z335" s="5102"/>
      <c r="AB335" s="5103"/>
      <c r="AC335" s="71"/>
    </row>
    <row r="336" ht="15" customHeight="1" spans="1:41">
      <c r="A336" s="5131">
        <v>901</v>
      </c>
      <c r="B336" s="5132"/>
      <c r="C336" s="5113">
        <v>88949</v>
      </c>
      <c r="D336" s="5175"/>
      <c r="E336" s="5085"/>
      <c r="F336" s="5085"/>
      <c r="G336" s="5085"/>
      <c r="H336" s="5085"/>
      <c r="I336" s="5085"/>
      <c r="J336" s="5085"/>
      <c r="K336" s="5085"/>
      <c r="L336" s="5085"/>
      <c r="M336" s="5085"/>
      <c r="N336" s="5085"/>
      <c r="O336" s="5085"/>
      <c r="P336" s="5085"/>
      <c r="Q336" s="5085"/>
      <c r="R336" s="5085"/>
      <c r="S336" s="5085"/>
      <c r="T336" s="5085"/>
      <c r="U336" s="5085"/>
      <c r="V336" s="5085"/>
      <c r="W336" s="5085"/>
      <c r="X336" s="5085"/>
      <c r="Y336" s="5085"/>
      <c r="Z336" s="5102"/>
      <c r="AB336" s="5114">
        <f>P.Podaci!Y30-C336</f>
        <v>0</v>
      </c>
      <c r="AC336" s="71"/>
    </row>
    <row r="337" ht="15" customHeight="1" spans="1:30">
      <c r="A337" s="5131">
        <v>902</v>
      </c>
      <c r="B337" s="5132"/>
      <c r="C337" s="5113">
        <v>0</v>
      </c>
      <c r="D337" s="5175"/>
      <c r="E337" s="5085"/>
      <c r="F337" s="5085"/>
      <c r="G337" s="5085"/>
      <c r="H337" s="5085"/>
      <c r="I337" s="5085"/>
      <c r="J337" s="5085"/>
      <c r="K337" s="5085"/>
      <c r="L337" s="5085"/>
      <c r="M337" s="5085"/>
      <c r="N337" s="5085"/>
      <c r="O337" s="5085"/>
      <c r="P337" s="5085"/>
      <c r="Q337" s="5085"/>
      <c r="R337" s="5085"/>
      <c r="S337" s="5085"/>
      <c r="T337" s="5085"/>
      <c r="U337" s="5085"/>
      <c r="V337" s="5085"/>
      <c r="W337" s="5085"/>
      <c r="X337" s="5085"/>
      <c r="Y337" s="5085"/>
      <c r="Z337" s="5102"/>
      <c r="AB337" s="5114">
        <f>P.Podaci!Y31-C337</f>
        <v>0</v>
      </c>
      <c r="AC337" s="71"/>
    </row>
    <row r="338" ht="15" customHeight="1" spans="1:30">
      <c r="A338" s="5131">
        <v>903</v>
      </c>
      <c r="B338" s="5109"/>
      <c r="C338" s="5109">
        <f>P.Podaci!Y32</f>
        <v>88949</v>
      </c>
      <c r="D338" s="5175"/>
      <c r="E338" s="5085"/>
      <c r="F338" s="5085"/>
      <c r="G338" s="5085"/>
      <c r="H338" s="5085"/>
      <c r="I338" s="5085"/>
      <c r="J338" s="5085"/>
      <c r="K338" s="5085"/>
      <c r="L338" s="5085"/>
      <c r="M338" s="5085"/>
      <c r="N338" s="5085"/>
      <c r="O338" s="5085"/>
      <c r="P338" s="5085"/>
      <c r="Q338" s="5085"/>
      <c r="R338" s="5085"/>
      <c r="S338" s="5085"/>
      <c r="T338" s="5085"/>
      <c r="U338" s="5085"/>
      <c r="V338" s="5085"/>
      <c r="W338" s="5085"/>
      <c r="X338" s="5085"/>
      <c r="Y338" s="5085"/>
      <c r="Z338" s="5102"/>
      <c r="AB338" s="30">
        <f>P.Podaci!Y32-C338</f>
        <v>0</v>
      </c>
      <c r="AC338" s="71"/>
      <c r="AD338" s="5090">
        <f>IF(AB338=0,0,"PAŽNJA! Provjerite AOP "&amp;A338&amp;" MSV - PROŠLU godinu, razlika = "&amp;TEXT(AB338,"#.##0,00 [$KM-141A]"))</f>
        <v>0</v>
      </c>
    </row>
    <row r="339" ht="15" customHeight="1" spans="1:30">
      <c r="A339" s="5131">
        <v>904</v>
      </c>
      <c r="B339" s="5132"/>
      <c r="C339" s="5113">
        <v>43042</v>
      </c>
      <c r="D339" s="5175"/>
      <c r="E339" s="5085"/>
      <c r="F339" s="5085"/>
      <c r="G339" s="5085"/>
      <c r="H339" s="5085"/>
      <c r="I339" s="5085"/>
      <c r="J339" s="5085"/>
      <c r="K339" s="5085"/>
      <c r="L339" s="5085"/>
      <c r="M339" s="5085"/>
      <c r="N339" s="5085"/>
      <c r="O339" s="5085"/>
      <c r="P339" s="5085"/>
      <c r="Q339" s="5085"/>
      <c r="R339" s="5085"/>
      <c r="S339" s="5085"/>
      <c r="T339" s="5085"/>
      <c r="U339" s="5085"/>
      <c r="V339" s="5085"/>
      <c r="W339" s="5085"/>
      <c r="X339" s="5085"/>
      <c r="Y339" s="5085"/>
      <c r="Z339" s="5102"/>
      <c r="AB339" s="5114">
        <f>P.Podaci!Y33-C339</f>
        <v>0</v>
      </c>
      <c r="AC339" s="71"/>
    </row>
    <row r="340" ht="15" customHeight="1" spans="1:30">
      <c r="A340" s="5131">
        <v>905</v>
      </c>
      <c r="B340" s="5132"/>
      <c r="C340" s="5113">
        <v>14579</v>
      </c>
      <c r="D340" s="5175"/>
      <c r="E340" s="5085"/>
      <c r="F340" s="5085"/>
      <c r="G340" s="5085"/>
      <c r="H340" s="5085"/>
      <c r="I340" s="5085"/>
      <c r="J340" s="5085"/>
      <c r="K340" s="5085"/>
      <c r="L340" s="5085"/>
      <c r="M340" s="5085"/>
      <c r="N340" s="5085"/>
      <c r="O340" s="5085"/>
      <c r="P340" s="5085"/>
      <c r="Q340" s="5085"/>
      <c r="R340" s="5085"/>
      <c r="S340" s="5085"/>
      <c r="T340" s="5085"/>
      <c r="U340" s="5085"/>
      <c r="V340" s="5085"/>
      <c r="W340" s="5085"/>
      <c r="X340" s="5085"/>
      <c r="Y340" s="5085"/>
      <c r="Z340" s="5102"/>
      <c r="AB340" s="5114">
        <f>P.Podaci!Y34-C340</f>
        <v>0</v>
      </c>
      <c r="AC340" s="71"/>
    </row>
    <row r="341" ht="15" customHeight="1" spans="1:30">
      <c r="A341" s="5131">
        <v>906</v>
      </c>
      <c r="B341" s="5132"/>
      <c r="C341" s="5113">
        <v>6841</v>
      </c>
      <c r="D341" s="5175"/>
      <c r="E341" s="5085"/>
      <c r="F341" s="5085"/>
      <c r="G341" s="5085"/>
      <c r="H341" s="5085"/>
      <c r="I341" s="5085"/>
      <c r="J341" s="5085"/>
      <c r="K341" s="5085"/>
      <c r="L341" s="5085"/>
      <c r="M341" s="5085"/>
      <c r="N341" s="5085"/>
      <c r="O341" s="5085"/>
      <c r="P341" s="5085"/>
      <c r="Q341" s="5085"/>
      <c r="R341" s="5085"/>
      <c r="S341" s="5085"/>
      <c r="T341" s="5085"/>
      <c r="U341" s="5085"/>
      <c r="V341" s="5085"/>
      <c r="W341" s="5085"/>
      <c r="X341" s="5085"/>
      <c r="Y341" s="5085"/>
      <c r="Z341" s="5102"/>
      <c r="AB341" s="5114">
        <f>P.Podaci!Y35-C341</f>
        <v>0</v>
      </c>
      <c r="AC341" s="71"/>
    </row>
    <row r="342" ht="15" customHeight="1" spans="1:30">
      <c r="A342" s="5131">
        <v>907</v>
      </c>
      <c r="B342" s="5109"/>
      <c r="C342" s="5109">
        <f>P.Podaci!Y36</f>
        <v>21420</v>
      </c>
      <c r="D342" s="5175"/>
      <c r="E342" s="5085"/>
      <c r="F342" s="5085"/>
      <c r="G342" s="5085"/>
      <c r="H342" s="5085"/>
      <c r="I342" s="5085"/>
      <c r="J342" s="5085"/>
      <c r="K342" s="5085"/>
      <c r="L342" s="5085"/>
      <c r="M342" s="5085"/>
      <c r="N342" s="5085"/>
      <c r="O342" s="5085"/>
      <c r="P342" s="5085"/>
      <c r="Q342" s="5085"/>
      <c r="R342" s="5085"/>
      <c r="S342" s="5085"/>
      <c r="T342" s="5085"/>
      <c r="U342" s="5085"/>
      <c r="V342" s="5085"/>
      <c r="W342" s="5085"/>
      <c r="X342" s="5085"/>
      <c r="Y342" s="5085"/>
      <c r="Z342" s="5102"/>
      <c r="AB342" s="30">
        <f>P.Podaci!Y36-C342</f>
        <v>0</v>
      </c>
      <c r="AC342" s="71"/>
      <c r="AD342" s="5090">
        <f>IF(AB342=0,0,"PAŽNJA! Provjerite AOP "&amp;A342&amp;" MSV - PROŠLU godinu, razlika = "&amp;TEXT(AB342,"#.##0,00 [$KM-141A]"))</f>
        <v>0</v>
      </c>
    </row>
    <row r="343" ht="15" customHeight="1" spans="1:30">
      <c r="A343" s="5131">
        <v>908</v>
      </c>
      <c r="B343" s="5109"/>
      <c r="C343" s="5109">
        <f>P.Podaci!Y37</f>
        <v>153411</v>
      </c>
      <c r="D343" s="5175"/>
      <c r="E343" s="5085"/>
      <c r="F343" s="5085"/>
      <c r="G343" s="5085"/>
      <c r="H343" s="5085"/>
      <c r="I343" s="5085"/>
      <c r="J343" s="5085"/>
      <c r="K343" s="5085"/>
      <c r="L343" s="5085"/>
      <c r="M343" s="5085"/>
      <c r="N343" s="5085"/>
      <c r="O343" s="5085"/>
      <c r="P343" s="5085"/>
      <c r="Q343" s="5085"/>
      <c r="R343" s="5085"/>
      <c r="S343" s="5085"/>
      <c r="T343" s="5085"/>
      <c r="U343" s="5085"/>
      <c r="V343" s="5085"/>
      <c r="W343" s="5085"/>
      <c r="X343" s="5085"/>
      <c r="Y343" s="5085"/>
      <c r="Z343" s="5102"/>
      <c r="AB343" s="30">
        <f>P.Podaci!Y37-C343</f>
        <v>0</v>
      </c>
      <c r="AC343" s="71"/>
      <c r="AD343" s="5090">
        <f>IF(AB343=0,0,"PAŽNJA! Provjerite AOP "&amp;A343&amp;" MSV - PROŠLU godinu, razlika = "&amp;TEXT(AB343,"#.##0,00 [$KM-141A]"))</f>
        <v>0</v>
      </c>
    </row>
    <row r="344" ht="15" customHeight="1" spans="1:30">
      <c r="A344" s="5131">
        <v>909</v>
      </c>
      <c r="B344" s="5132"/>
      <c r="C344" s="5113"/>
      <c r="D344" s="5175"/>
      <c r="E344" s="5085"/>
      <c r="F344" s="5085"/>
      <c r="G344" s="5085"/>
      <c r="H344" s="5085"/>
      <c r="I344" s="5085"/>
      <c r="J344" s="5085"/>
      <c r="K344" s="5085"/>
      <c r="L344" s="5085"/>
      <c r="M344" s="5085"/>
      <c r="N344" s="5085"/>
      <c r="O344" s="5085"/>
      <c r="P344" s="5085"/>
      <c r="Q344" s="5085"/>
      <c r="R344" s="5085"/>
      <c r="S344" s="5085"/>
      <c r="T344" s="5085"/>
      <c r="U344" s="5085"/>
      <c r="V344" s="5085"/>
      <c r="W344" s="5085"/>
      <c r="X344" s="5085"/>
      <c r="Y344" s="5085"/>
      <c r="Z344" s="5102"/>
      <c r="AB344" s="5114">
        <f>P.Podaci!Y38-C344</f>
        <v>0</v>
      </c>
      <c r="AC344" s="71"/>
    </row>
    <row r="345" ht="15" customHeight="1" spans="1:30">
      <c r="A345" s="5131">
        <v>910</v>
      </c>
      <c r="B345" s="5132"/>
      <c r="C345" s="5113"/>
      <c r="D345" s="5175"/>
      <c r="E345" s="5085"/>
      <c r="F345" s="5085"/>
      <c r="G345" s="5085"/>
      <c r="H345" s="5085"/>
      <c r="I345" s="5085"/>
      <c r="J345" s="5085"/>
      <c r="K345" s="5085"/>
      <c r="L345" s="5085"/>
      <c r="M345" s="5085"/>
      <c r="N345" s="5085"/>
      <c r="O345" s="5085"/>
      <c r="P345" s="5085"/>
      <c r="Q345" s="5085"/>
      <c r="R345" s="5085"/>
      <c r="S345" s="5085"/>
      <c r="T345" s="5085"/>
      <c r="U345" s="5085"/>
      <c r="V345" s="5085"/>
      <c r="W345" s="5085"/>
      <c r="X345" s="5085"/>
      <c r="Y345" s="5085"/>
      <c r="Z345" s="5102"/>
      <c r="AB345" s="5114">
        <f>P.Podaci!Y39-C345</f>
        <v>0</v>
      </c>
      <c r="AC345" s="71"/>
    </row>
    <row r="346" ht="15" customHeight="1" spans="1:30">
      <c r="A346" s="5131">
        <v>911</v>
      </c>
      <c r="B346" s="5132"/>
      <c r="C346" s="5113"/>
      <c r="D346" s="5175"/>
      <c r="E346" s="5085"/>
      <c r="F346" s="5085"/>
      <c r="G346" s="5085"/>
      <c r="H346" s="5085"/>
      <c r="I346" s="5085"/>
      <c r="J346" s="5085"/>
      <c r="K346" s="5085"/>
      <c r="L346" s="5085"/>
      <c r="M346" s="5085"/>
      <c r="N346" s="5085"/>
      <c r="O346" s="5085"/>
      <c r="P346" s="5085"/>
      <c r="Q346" s="5085"/>
      <c r="R346" s="5085"/>
      <c r="S346" s="5085"/>
      <c r="T346" s="5085"/>
      <c r="U346" s="5085"/>
      <c r="V346" s="5085"/>
      <c r="W346" s="5085"/>
      <c r="X346" s="5085"/>
      <c r="Y346" s="5085"/>
      <c r="Z346" s="5102"/>
      <c r="AB346" s="5114">
        <f>P.Podaci!Y40-C346</f>
        <v>0</v>
      </c>
      <c r="AC346" s="71"/>
    </row>
    <row r="347" ht="15" customHeight="1" spans="1:30">
      <c r="A347" s="5131">
        <v>912</v>
      </c>
      <c r="B347" s="5132"/>
      <c r="C347" s="5113"/>
      <c r="D347" s="5175"/>
      <c r="E347" s="5085"/>
      <c r="F347" s="5085"/>
      <c r="G347" s="5085"/>
      <c r="H347" s="5085"/>
      <c r="I347" s="5085"/>
      <c r="J347" s="5085"/>
      <c r="K347" s="5085"/>
      <c r="L347" s="5085"/>
      <c r="M347" s="5085"/>
      <c r="N347" s="5085"/>
      <c r="O347" s="5085"/>
      <c r="P347" s="5085"/>
      <c r="Q347" s="5085"/>
      <c r="R347" s="5085"/>
      <c r="S347" s="5085"/>
      <c r="T347" s="5085"/>
      <c r="U347" s="5085"/>
      <c r="V347" s="5085"/>
      <c r="W347" s="5085"/>
      <c r="X347" s="5085"/>
      <c r="Y347" s="5085"/>
      <c r="Z347" s="5102"/>
      <c r="AB347" s="5114">
        <f>P.Podaci!Y41-C347</f>
        <v>0</v>
      </c>
      <c r="AC347" s="71"/>
    </row>
    <row r="348" ht="15" customHeight="1" spans="1:30">
      <c r="A348" s="5131">
        <v>913</v>
      </c>
      <c r="B348" s="5109"/>
      <c r="C348" s="5109">
        <f>P.Podaci!Y42</f>
        <v>0</v>
      </c>
      <c r="D348" s="5175"/>
      <c r="E348" s="5085"/>
      <c r="F348" s="5085"/>
      <c r="G348" s="5085"/>
      <c r="H348" s="5085"/>
      <c r="I348" s="5085"/>
      <c r="J348" s="5085"/>
      <c r="K348" s="5085"/>
      <c r="L348" s="5085"/>
      <c r="M348" s="5085"/>
      <c r="N348" s="5085"/>
      <c r="O348" s="5085"/>
      <c r="P348" s="5085"/>
      <c r="Q348" s="5085"/>
      <c r="R348" s="5085"/>
      <c r="S348" s="5085"/>
      <c r="T348" s="5085"/>
      <c r="U348" s="5085"/>
      <c r="V348" s="5085"/>
      <c r="W348" s="5085"/>
      <c r="X348" s="5085"/>
      <c r="Y348" s="5085"/>
      <c r="Z348" s="5102"/>
      <c r="AB348" s="30">
        <f>P.Podaci!Y42-C348</f>
        <v>0</v>
      </c>
      <c r="AC348" s="71"/>
      <c r="AD348" s="5090">
        <f>IF(AB348=0,0,"PAŽNJA! Provjerite AOP "&amp;A348&amp;" MSV - PROŠLU godinu, razlika = "&amp;TEXT(AB348,"#.##0,00 [$KM-141A]"))</f>
        <v>0</v>
      </c>
    </row>
    <row r="349" ht="15" customHeight="1" spans="1:30">
      <c r="A349" s="5131">
        <v>914</v>
      </c>
      <c r="B349" s="5109"/>
      <c r="C349" s="5109">
        <f>P.Podaci!Y43</f>
        <v>88949</v>
      </c>
      <c r="D349" s="5175"/>
      <c r="E349" s="5085"/>
      <c r="F349" s="5085"/>
      <c r="G349" s="5085"/>
      <c r="H349" s="5085"/>
      <c r="I349" s="5085"/>
      <c r="J349" s="5085"/>
      <c r="K349" s="5085"/>
      <c r="L349" s="5085"/>
      <c r="M349" s="5085"/>
      <c r="N349" s="5085"/>
      <c r="O349" s="5085"/>
      <c r="P349" s="5085"/>
      <c r="Q349" s="5085"/>
      <c r="R349" s="5085"/>
      <c r="S349" s="5085"/>
      <c r="T349" s="5085"/>
      <c r="U349" s="5085"/>
      <c r="V349" s="5085"/>
      <c r="W349" s="5085"/>
      <c r="X349" s="5085"/>
      <c r="Y349" s="5085"/>
      <c r="Z349" s="5102"/>
      <c r="AB349" s="30">
        <f>P.Podaci!Y43-C349</f>
        <v>0</v>
      </c>
      <c r="AC349" s="71"/>
      <c r="AD349" s="5090">
        <f>IF(AB349=0,0,"PAŽNJA! Provjerite AOP "&amp;A349&amp;" MSV - PROŠLU godinu, razlika = "&amp;TEXT(AB349,"#.##0,00 [$KM-141A]"))</f>
        <v>0</v>
      </c>
    </row>
    <row r="350" ht="15" customHeight="1" spans="1:30">
      <c r="A350" s="5131">
        <v>915</v>
      </c>
      <c r="B350" s="5132"/>
      <c r="C350" s="5113">
        <v>6</v>
      </c>
      <c r="D350" s="5175"/>
      <c r="E350" s="5085"/>
      <c r="F350" s="5085"/>
      <c r="G350" s="5085"/>
      <c r="H350" s="5085"/>
      <c r="I350" s="5085"/>
      <c r="J350" s="5085"/>
      <c r="K350" s="5085"/>
      <c r="L350" s="5085"/>
      <c r="M350" s="5085"/>
      <c r="N350" s="5085"/>
      <c r="O350" s="5085"/>
      <c r="P350" s="5085"/>
      <c r="Q350" s="5085"/>
      <c r="R350" s="5085"/>
      <c r="S350" s="5085"/>
      <c r="T350" s="5085"/>
      <c r="U350" s="5085"/>
      <c r="V350" s="5085"/>
      <c r="W350" s="5085"/>
      <c r="X350" s="5085"/>
      <c r="Y350" s="5085"/>
      <c r="Z350" s="5102"/>
      <c r="AB350" s="5114">
        <f>P.Podaci!Y44-C350</f>
        <v>0</v>
      </c>
      <c r="AC350" s="71"/>
    </row>
    <row r="351" ht="14.25" spans="1:30">
      <c r="A351" s="5175"/>
      <c r="B351" s="5174"/>
      <c r="C351" s="5174"/>
      <c r="D351" s="5175"/>
      <c r="E351" s="5085"/>
      <c r="F351" s="5085"/>
      <c r="G351" s="5085"/>
      <c r="H351" s="5085"/>
      <c r="I351" s="5085"/>
      <c r="J351" s="5085"/>
      <c r="K351" s="5085"/>
      <c r="L351" s="5085"/>
      <c r="M351" s="5085"/>
      <c r="N351" s="5085"/>
      <c r="O351" s="5085"/>
      <c r="P351" s="5085"/>
      <c r="Q351" s="5085"/>
      <c r="R351" s="5085"/>
      <c r="S351" s="5085"/>
      <c r="T351" s="5085"/>
      <c r="U351" s="5085"/>
      <c r="V351" s="5085"/>
      <c r="W351" s="5085"/>
      <c r="X351" s="5085"/>
      <c r="Y351" s="5085"/>
      <c r="Z351" s="5102"/>
      <c r="AB351" s="71"/>
      <c r="AC351" s="71"/>
    </row>
    <row r="352" ht="14.25" spans="1:30">
      <c r="A352" s="5175"/>
      <c r="B352" s="5174"/>
      <c r="C352" s="5174"/>
      <c r="D352" s="5175"/>
      <c r="E352" s="5085"/>
      <c r="F352" s="5085"/>
      <c r="G352" s="5085"/>
      <c r="H352" s="5085"/>
      <c r="I352" s="5085"/>
      <c r="J352" s="5085"/>
      <c r="K352" s="5085"/>
      <c r="L352" s="5085"/>
      <c r="M352" s="5085"/>
      <c r="N352" s="5085"/>
      <c r="O352" s="5085"/>
      <c r="P352" s="5085"/>
      <c r="Q352" s="5085"/>
      <c r="R352" s="5085"/>
      <c r="S352" s="5085"/>
      <c r="T352" s="5085"/>
      <c r="U352" s="5085"/>
      <c r="V352" s="5085"/>
      <c r="W352" s="5085"/>
      <c r="X352" s="5085"/>
      <c r="Y352" s="5085"/>
      <c r="Z352" s="5102"/>
      <c r="AB352" s="71"/>
      <c r="AC352" s="71"/>
    </row>
    <row r="353" ht="14.25" spans="1:29">
      <c r="A353" s="5175"/>
      <c r="B353" s="5174"/>
      <c r="C353" s="5174"/>
      <c r="D353" s="5175"/>
      <c r="E353" s="5085"/>
      <c r="F353" s="5085"/>
      <c r="G353" s="5085"/>
      <c r="H353" s="5085"/>
      <c r="I353" s="5085"/>
      <c r="J353" s="5085"/>
      <c r="K353" s="5085"/>
      <c r="L353" s="5085"/>
      <c r="M353" s="5085"/>
      <c r="N353" s="5085"/>
      <c r="O353" s="5085"/>
      <c r="P353" s="5085"/>
      <c r="Q353" s="5085"/>
      <c r="R353" s="5085"/>
      <c r="S353" s="5085"/>
      <c r="T353" s="5085"/>
      <c r="U353" s="5085"/>
      <c r="V353" s="5085"/>
      <c r="W353" s="5085"/>
      <c r="X353" s="5085"/>
      <c r="Y353" s="5085"/>
      <c r="Z353" s="5102"/>
      <c r="AB353" s="71"/>
      <c r="AC353" s="71"/>
    </row>
    <row r="354" s="2" customFormat="1" ht="23.25" spans="1:29">
      <c r="A354" s="5179"/>
      <c r="B354" s="5180" t="str">
        <f>"PORESKI GUBICI  - "&amp;Firma&amp;"_"&amp;UnosPod!$O$6&amp;UnosPod!$P$6&amp;"."&amp;UnosPod!$Q$6-1</f>
        <v>PORESKI GUBICI  - LILIUM ASSET MANAGEMENT d.o.o. Sarajevo_12.2024</v>
      </c>
      <c r="C354" s="5181"/>
      <c r="D354" s="5182"/>
      <c r="E354" s="5182"/>
      <c r="F354" s="5182"/>
      <c r="G354" s="5182"/>
      <c r="H354" s="5182"/>
      <c r="I354" s="5182"/>
      <c r="J354" s="5121"/>
      <c r="K354" s="5121"/>
      <c r="L354" s="5121"/>
      <c r="M354" s="5121"/>
      <c r="N354" s="5121"/>
      <c r="O354" s="5121"/>
      <c r="P354" s="5121"/>
      <c r="Q354" s="5121"/>
      <c r="R354" s="5121"/>
      <c r="S354" s="5121"/>
      <c r="T354" s="5121"/>
      <c r="U354" s="5121"/>
      <c r="V354" s="5121"/>
      <c r="W354" s="5121"/>
      <c r="X354" s="5121"/>
      <c r="Y354" s="5121"/>
      <c r="Z354" s="5096"/>
      <c r="AB354" s="79"/>
      <c r="AC354" s="80"/>
    </row>
    <row r="355" ht="14.25" spans="1:29">
      <c r="A355" s="5183" t="s">
        <v>4563</v>
      </c>
      <c r="B355" s="5184" t="s">
        <v>4564</v>
      </c>
      <c r="C355" s="5184" t="str">
        <f ca="1">"Iskorišteno "&amp;PoslGod-4</f>
        <v>Iskorišteno 2021</v>
      </c>
      <c r="D355" s="5184" t="str">
        <f ca="1">"Iskorišteno "&amp;PoslGod-3</f>
        <v>Iskorišteno 2022</v>
      </c>
      <c r="E355" s="5184" t="str">
        <f ca="1">"Iskorišteno "&amp;PoslGod-2</f>
        <v>Iskorišteno 2023</v>
      </c>
      <c r="F355" s="5184" t="str">
        <f ca="1">"Iskorišteno "&amp;PoslGod-1</f>
        <v>Iskorišteno 2024</v>
      </c>
      <c r="G355" s="5085"/>
      <c r="H355" s="5085"/>
      <c r="I355" s="5085"/>
      <c r="J355" s="5085"/>
      <c r="K355" s="5085"/>
      <c r="L355" s="5085"/>
      <c r="M355" s="5085"/>
      <c r="N355" s="5085"/>
      <c r="O355" s="5085"/>
      <c r="P355" s="5085"/>
      <c r="Q355" s="5085"/>
      <c r="R355" s="5085"/>
      <c r="S355" s="5085"/>
      <c r="T355" s="5085"/>
      <c r="U355" s="5085"/>
      <c r="V355" s="5085"/>
      <c r="W355" s="5085"/>
      <c r="X355" s="5085"/>
      <c r="Y355" s="5085"/>
      <c r="Z355" s="5102"/>
      <c r="AB355" s="71"/>
      <c r="AC355" s="4"/>
    </row>
    <row r="356" ht="15" customHeight="1" spans="1:29">
      <c r="A356" s="5185">
        <f ca="1">PoslGod-6</f>
        <v>2019</v>
      </c>
      <c r="B356" s="5186"/>
      <c r="C356" s="5085"/>
      <c r="D356" s="5085"/>
      <c r="E356" s="5085"/>
      <c r="F356" s="5085"/>
      <c r="G356" s="5085"/>
      <c r="H356" s="5085"/>
      <c r="I356" s="5085"/>
      <c r="J356" s="5085"/>
      <c r="K356" s="5085"/>
      <c r="L356" s="5085"/>
      <c r="M356" s="5085"/>
      <c r="N356" s="5085"/>
      <c r="O356" s="5085"/>
      <c r="P356" s="5085"/>
      <c r="Q356" s="5085"/>
      <c r="R356" s="5085"/>
      <c r="S356" s="5085"/>
      <c r="T356" s="5085"/>
      <c r="U356" s="5085"/>
      <c r="V356" s="5085"/>
      <c r="W356" s="5085"/>
      <c r="X356" s="5085"/>
      <c r="Y356" s="5085"/>
      <c r="Z356" s="5102"/>
      <c r="AB356" s="71"/>
      <c r="AC356" s="4"/>
    </row>
    <row r="357" ht="15" customHeight="1" spans="1:29">
      <c r="A357" s="5185">
        <f ca="1">PoslGod-5</f>
        <v>2020</v>
      </c>
      <c r="B357" s="5113"/>
      <c r="C357" s="5113"/>
      <c r="D357" s="5113"/>
      <c r="E357" s="5113"/>
      <c r="F357" s="5113"/>
      <c r="G357" s="5085"/>
      <c r="H357" s="5085"/>
      <c r="I357" s="5085"/>
      <c r="J357" s="5085"/>
      <c r="K357" s="5085"/>
      <c r="L357" s="5085"/>
      <c r="M357" s="5085"/>
      <c r="N357" s="5085"/>
      <c r="O357" s="5085"/>
      <c r="P357" s="5085"/>
      <c r="Q357" s="5085"/>
      <c r="R357" s="5085"/>
      <c r="S357" s="5085"/>
      <c r="T357" s="5085"/>
      <c r="U357" s="5085"/>
      <c r="V357" s="5085"/>
      <c r="W357" s="5085"/>
      <c r="X357" s="5085"/>
      <c r="Y357" s="5085"/>
      <c r="Z357" s="5102"/>
      <c r="AB357" s="71"/>
      <c r="AC357" s="4"/>
    </row>
    <row r="358" ht="15" customHeight="1" spans="1:29">
      <c r="A358" s="5185">
        <f ca="1">PoslGod-4</f>
        <v>2021</v>
      </c>
      <c r="B358" s="5113"/>
      <c r="C358" s="5087"/>
      <c r="D358" s="5113"/>
      <c r="E358" s="5113"/>
      <c r="F358" s="5113"/>
      <c r="G358" s="5085"/>
      <c r="H358" s="5085"/>
      <c r="I358" s="5085"/>
      <c r="J358" s="5085"/>
      <c r="K358" s="5085"/>
      <c r="L358" s="5085"/>
      <c r="M358" s="5085"/>
      <c r="N358" s="5085"/>
      <c r="O358" s="5085"/>
      <c r="P358" s="5085"/>
      <c r="Q358" s="5085"/>
      <c r="R358" s="5085"/>
      <c r="S358" s="5085"/>
      <c r="T358" s="5085"/>
      <c r="U358" s="5085"/>
      <c r="V358" s="5085"/>
      <c r="W358" s="5085"/>
      <c r="X358" s="5085"/>
      <c r="Y358" s="5085"/>
      <c r="Z358" s="5102"/>
      <c r="AB358" s="71"/>
      <c r="AC358" s="4"/>
    </row>
    <row r="359" ht="15" customHeight="1" spans="1:29">
      <c r="A359" s="5185">
        <f ca="1">PoslGod-3</f>
        <v>2022</v>
      </c>
      <c r="B359" s="5113"/>
      <c r="C359" s="5087"/>
      <c r="D359" s="5085"/>
      <c r="E359" s="5113"/>
      <c r="F359" s="5113"/>
      <c r="G359" s="5085"/>
      <c r="H359" s="5085"/>
      <c r="I359" s="5085"/>
      <c r="J359" s="5085"/>
      <c r="K359" s="5085"/>
      <c r="L359" s="5085"/>
      <c r="M359" s="5085"/>
      <c r="N359" s="5085"/>
      <c r="O359" s="5085"/>
      <c r="P359" s="5085"/>
      <c r="Q359" s="5085"/>
      <c r="R359" s="5085"/>
      <c r="S359" s="5085"/>
      <c r="T359" s="5085"/>
      <c r="U359" s="5085"/>
      <c r="V359" s="5085"/>
      <c r="W359" s="5085"/>
      <c r="X359" s="5085"/>
      <c r="Y359" s="5085"/>
      <c r="Z359" s="5102"/>
      <c r="AB359" s="71"/>
      <c r="AC359" s="4"/>
    </row>
    <row r="360" ht="15" customHeight="1" spans="1:29">
      <c r="A360" s="5185">
        <f ca="1">PoslGod-2</f>
        <v>2023</v>
      </c>
      <c r="B360" s="5113"/>
      <c r="C360" s="5087"/>
      <c r="D360" s="5085"/>
      <c r="E360" s="5085"/>
      <c r="F360" s="5113"/>
      <c r="G360" s="5085"/>
      <c r="H360" s="5085"/>
      <c r="I360" s="5085"/>
      <c r="J360" s="5085"/>
      <c r="K360" s="5085"/>
      <c r="L360" s="5085"/>
      <c r="M360" s="5085"/>
      <c r="N360" s="5085"/>
      <c r="O360" s="5085"/>
      <c r="P360" s="5085"/>
      <c r="Q360" s="5085"/>
      <c r="R360" s="5085"/>
      <c r="S360" s="5085"/>
      <c r="T360" s="5085"/>
      <c r="U360" s="5085"/>
      <c r="V360" s="5085"/>
      <c r="W360" s="5085"/>
      <c r="X360" s="5085"/>
      <c r="Y360" s="5085"/>
      <c r="Z360" s="5102"/>
      <c r="AB360" s="71"/>
      <c r="AC360" s="4"/>
    </row>
    <row r="361" ht="15" customHeight="1" spans="1:29">
      <c r="A361" s="5185">
        <f ca="1">PoslGod-1</f>
        <v>2024</v>
      </c>
      <c r="B361" s="5113"/>
      <c r="C361" s="5087"/>
      <c r="D361" s="5085"/>
      <c r="E361" s="5085"/>
      <c r="F361" s="5085"/>
      <c r="G361" s="5085"/>
      <c r="H361" s="5085"/>
      <c r="I361" s="5085"/>
      <c r="J361" s="5085"/>
      <c r="K361" s="5085"/>
      <c r="L361" s="5085"/>
      <c r="M361" s="5085"/>
      <c r="N361" s="5085"/>
      <c r="O361" s="5085"/>
      <c r="P361" s="5085"/>
      <c r="Q361" s="5085"/>
      <c r="R361" s="5085"/>
      <c r="S361" s="5085"/>
      <c r="T361" s="5085"/>
      <c r="U361" s="5085"/>
      <c r="V361" s="5085"/>
      <c r="W361" s="5085"/>
      <c r="X361" s="5085"/>
      <c r="Y361" s="5085"/>
      <c r="Z361" s="5102"/>
      <c r="AB361" s="71"/>
      <c r="AC361" s="4"/>
    </row>
    <row r="362" ht="15" customHeight="1" spans="1:29">
      <c r="A362" s="5087"/>
      <c r="B362" s="5087"/>
      <c r="C362" s="5087"/>
      <c r="D362" s="5085"/>
      <c r="E362" s="5085"/>
      <c r="F362" s="5085"/>
      <c r="G362" s="5085"/>
      <c r="H362" s="5085"/>
      <c r="I362" s="5085"/>
      <c r="J362" s="5085"/>
      <c r="K362" s="5085"/>
      <c r="L362" s="5085"/>
      <c r="M362" s="5085"/>
      <c r="N362" s="5085"/>
      <c r="O362" s="5085"/>
      <c r="P362" s="5085"/>
      <c r="Q362" s="5085"/>
      <c r="R362" s="5085"/>
      <c r="S362" s="5085"/>
      <c r="T362" s="5085"/>
      <c r="U362" s="5085"/>
      <c r="V362" s="5085"/>
      <c r="W362" s="5085"/>
      <c r="X362" s="5085"/>
      <c r="Y362" s="5085"/>
      <c r="Z362" s="5102"/>
      <c r="AB362" s="71"/>
      <c r="AC362" s="4"/>
    </row>
    <row r="363" ht="15" customHeight="1" spans="1:29">
      <c r="A363" s="5087"/>
      <c r="B363" s="5087"/>
      <c r="C363" s="5087"/>
      <c r="D363" s="5085"/>
      <c r="E363" s="5085"/>
      <c r="F363" s="5085"/>
      <c r="G363" s="5085"/>
      <c r="H363" s="5085"/>
      <c r="I363" s="5085"/>
      <c r="J363" s="5085"/>
      <c r="K363" s="5085"/>
      <c r="L363" s="5085"/>
      <c r="M363" s="5085"/>
      <c r="N363" s="5085"/>
      <c r="O363" s="5085"/>
      <c r="P363" s="5085"/>
      <c r="Q363" s="5085"/>
      <c r="R363" s="5085"/>
      <c r="S363" s="5085"/>
      <c r="T363" s="5085"/>
      <c r="U363" s="5085"/>
      <c r="V363" s="5085"/>
      <c r="W363" s="5085"/>
      <c r="X363" s="5085"/>
      <c r="Y363" s="5085"/>
      <c r="Z363" s="5102"/>
      <c r="AB363" s="71"/>
      <c r="AC363" s="4"/>
    </row>
    <row r="364" ht="15" customHeight="1" spans="1:29">
      <c r="A364" s="5087"/>
      <c r="B364" s="5087"/>
      <c r="C364" s="5087"/>
      <c r="D364" s="5085"/>
      <c r="E364" s="5085"/>
      <c r="F364" s="5085"/>
      <c r="G364" s="5085"/>
      <c r="H364" s="5085"/>
      <c r="I364" s="5085"/>
      <c r="J364" s="5085"/>
      <c r="K364" s="5085"/>
      <c r="L364" s="5085"/>
      <c r="M364" s="5085"/>
      <c r="N364" s="5085"/>
      <c r="O364" s="5085"/>
      <c r="P364" s="5085"/>
      <c r="Q364" s="5085"/>
      <c r="R364" s="5085"/>
      <c r="S364" s="5085"/>
      <c r="T364" s="5085"/>
      <c r="U364" s="5085"/>
      <c r="V364" s="5085"/>
      <c r="W364" s="5085"/>
      <c r="X364" s="5085"/>
      <c r="Y364" s="5085"/>
      <c r="Z364" s="5102"/>
      <c r="AB364" s="71"/>
      <c r="AC364" s="4"/>
    </row>
    <row r="365" ht="22.5" customHeight="1" spans="1:29">
      <c r="A365" s="5091"/>
      <c r="B365" s="5092" t="str">
        <f>"GOTOVINSKI TOKOVI direktna metoda   - "&amp;Firma&amp;"_"&amp;UnosPod!$O$6&amp;UnosPod!$P$6&amp;"."&amp;UnosPod!$Q$6-1</f>
        <v>GOTOVINSKI TOKOVI direktna metoda   - LILIUM ASSET MANAGEMENT d.o.o. Sarajevo_12.2024</v>
      </c>
      <c r="C365" s="5093"/>
      <c r="D365" s="5121"/>
      <c r="E365" s="5094"/>
      <c r="F365" s="5094"/>
      <c r="G365" s="5091"/>
      <c r="H365" s="5091"/>
      <c r="I365" s="5121"/>
      <c r="J365" s="5121"/>
      <c r="K365" s="5121"/>
      <c r="L365" s="5121"/>
      <c r="M365" s="5121"/>
      <c r="N365" s="5121"/>
      <c r="O365" s="5121"/>
      <c r="P365" s="5121"/>
      <c r="Q365" s="5121"/>
      <c r="R365" s="5121"/>
      <c r="S365" s="5121"/>
      <c r="T365" s="5121"/>
      <c r="U365" s="5121"/>
      <c r="V365" s="5121"/>
      <c r="W365" s="5121"/>
      <c r="X365" s="5121"/>
      <c r="Y365" s="5121"/>
      <c r="Z365" s="5096"/>
      <c r="AB365" s="7"/>
      <c r="AC365" s="8"/>
    </row>
    <row r="366" ht="20.25" customHeight="1" spans="1:29">
      <c r="A366" s="5163" t="s">
        <v>2438</v>
      </c>
      <c r="B366" s="5164" t="s">
        <v>4443</v>
      </c>
      <c r="C366" s="5187"/>
      <c r="D366" s="5085"/>
      <c r="E366" s="5085"/>
      <c r="F366" s="5085"/>
      <c r="G366" s="5085"/>
      <c r="H366" s="5085"/>
      <c r="I366" s="5085"/>
      <c r="J366" s="5085"/>
      <c r="K366" s="5085"/>
      <c r="L366" s="5085"/>
      <c r="M366" s="5085"/>
      <c r="N366" s="5085"/>
      <c r="O366" s="5085"/>
      <c r="P366" s="5085"/>
      <c r="Q366" s="5085"/>
      <c r="R366" s="5085"/>
      <c r="S366" s="5085"/>
      <c r="T366" s="5085"/>
      <c r="U366" s="5085"/>
      <c r="V366" s="5085"/>
      <c r="W366" s="5085"/>
      <c r="X366" s="5085"/>
      <c r="Y366" s="5085"/>
      <c r="Z366" s="5102"/>
      <c r="AB366" s="5103"/>
      <c r="AC366" s="4"/>
    </row>
    <row r="367" spans="1:29">
      <c r="A367" s="5131" t="s">
        <v>4565</v>
      </c>
      <c r="B367" s="5113"/>
      <c r="C367" s="5110"/>
      <c r="D367" s="5085"/>
      <c r="E367" s="5085"/>
      <c r="F367" s="5085"/>
      <c r="G367" s="5085"/>
      <c r="H367" s="5085"/>
      <c r="I367" s="5085"/>
      <c r="J367" s="5085"/>
      <c r="K367" s="5085"/>
      <c r="L367" s="5085"/>
      <c r="M367" s="5085"/>
      <c r="N367" s="5085"/>
      <c r="O367" s="5085"/>
      <c r="P367" s="5085"/>
      <c r="Q367" s="5085"/>
      <c r="R367" s="5085"/>
      <c r="S367" s="5085"/>
      <c r="T367" s="5085"/>
      <c r="U367" s="5085"/>
      <c r="V367" s="5085"/>
      <c r="W367" s="5085"/>
      <c r="X367" s="5085"/>
      <c r="Y367" s="5085"/>
      <c r="Z367" s="5102"/>
      <c r="AB367" s="5188">
        <f>GotTok_Direkt!AP21-B367</f>
        <v>0</v>
      </c>
      <c r="AC367" s="4"/>
    </row>
    <row r="368" spans="1:29">
      <c r="A368" s="5131" t="s">
        <v>4566</v>
      </c>
      <c r="B368" s="5113"/>
      <c r="C368" s="5110"/>
      <c r="D368" s="5085"/>
      <c r="E368" s="5085"/>
      <c r="F368" s="5085"/>
      <c r="G368" s="5085"/>
      <c r="H368" s="5085"/>
      <c r="I368" s="5085"/>
      <c r="J368" s="5085"/>
      <c r="K368" s="5085"/>
      <c r="L368" s="5085"/>
      <c r="M368" s="5085"/>
      <c r="N368" s="5085"/>
      <c r="O368" s="5085"/>
      <c r="P368" s="5085"/>
      <c r="Q368" s="5085"/>
      <c r="R368" s="5085"/>
      <c r="S368" s="5085"/>
      <c r="T368" s="5085"/>
      <c r="U368" s="5085"/>
      <c r="V368" s="5085"/>
      <c r="W368" s="5085"/>
      <c r="X368" s="5085"/>
      <c r="Y368" s="5085"/>
      <c r="Z368" s="5102"/>
      <c r="AB368" s="5188">
        <f>GotTok_Direkt!AP22-B368</f>
        <v>0</v>
      </c>
      <c r="AC368" s="4"/>
    </row>
    <row r="369" spans="1:30">
      <c r="A369" s="5131" t="s">
        <v>4567</v>
      </c>
      <c r="B369" s="5113"/>
      <c r="C369" s="5110"/>
      <c r="D369" s="5085"/>
      <c r="E369" s="5085"/>
      <c r="F369" s="5085"/>
      <c r="G369" s="5085"/>
      <c r="H369" s="5085"/>
      <c r="I369" s="5085"/>
      <c r="J369" s="5085"/>
      <c r="K369" s="5085"/>
      <c r="L369" s="5085"/>
      <c r="M369" s="5085"/>
      <c r="N369" s="5085"/>
      <c r="O369" s="5085"/>
      <c r="P369" s="5085"/>
      <c r="Q369" s="5085"/>
      <c r="R369" s="5085"/>
      <c r="S369" s="5085"/>
      <c r="T369" s="5085"/>
      <c r="U369" s="5085"/>
      <c r="V369" s="5085"/>
      <c r="W369" s="5085"/>
      <c r="X369" s="5085"/>
      <c r="Y369" s="5085"/>
      <c r="Z369" s="5102"/>
      <c r="AB369" s="5188">
        <f>GotTok_Direkt!AP23-B369</f>
        <v>0</v>
      </c>
      <c r="AC369" s="4"/>
    </row>
    <row r="370" spans="1:30">
      <c r="A370" s="5131" t="s">
        <v>4568</v>
      </c>
      <c r="B370" s="5113"/>
      <c r="C370" s="5110"/>
      <c r="D370" s="5085"/>
      <c r="E370" s="5085"/>
      <c r="F370" s="5085"/>
      <c r="G370" s="5085"/>
      <c r="H370" s="5085"/>
      <c r="I370" s="5085"/>
      <c r="J370" s="5085"/>
      <c r="K370" s="5085"/>
      <c r="L370" s="5085"/>
      <c r="M370" s="5085"/>
      <c r="N370" s="5085"/>
      <c r="O370" s="5085"/>
      <c r="P370" s="5085"/>
      <c r="Q370" s="5085"/>
      <c r="R370" s="5085"/>
      <c r="S370" s="5085"/>
      <c r="T370" s="5085"/>
      <c r="U370" s="5085"/>
      <c r="V370" s="5085"/>
      <c r="W370" s="5085"/>
      <c r="X370" s="5085"/>
      <c r="Y370" s="5085"/>
      <c r="Z370" s="5102"/>
      <c r="AB370" s="5188">
        <f>GotTok_Direkt!AP24-B370</f>
        <v>0</v>
      </c>
      <c r="AC370" s="4"/>
    </row>
    <row r="371" spans="1:30">
      <c r="A371" s="5131" t="s">
        <v>4569</v>
      </c>
      <c r="B371" s="5113"/>
      <c r="C371" s="5110"/>
      <c r="D371" s="5085"/>
      <c r="E371" s="5085"/>
      <c r="F371" s="5085"/>
      <c r="G371" s="5085"/>
      <c r="H371" s="5085"/>
      <c r="I371" s="5085"/>
      <c r="J371" s="5085"/>
      <c r="K371" s="5085"/>
      <c r="L371" s="5085"/>
      <c r="M371" s="5085"/>
      <c r="N371" s="5085"/>
      <c r="O371" s="5085"/>
      <c r="P371" s="5085"/>
      <c r="Q371" s="5085"/>
      <c r="R371" s="5085"/>
      <c r="S371" s="5085"/>
      <c r="T371" s="5085"/>
      <c r="U371" s="5085"/>
      <c r="V371" s="5085"/>
      <c r="W371" s="5085"/>
      <c r="X371" s="5085"/>
      <c r="Y371" s="5085"/>
      <c r="Z371" s="5102"/>
      <c r="AB371" s="5188">
        <f>GotTok_Direkt!AP25-B371</f>
        <v>0</v>
      </c>
      <c r="AC371" s="4"/>
    </row>
    <row r="372" spans="1:30">
      <c r="A372" s="5131" t="s">
        <v>4570</v>
      </c>
      <c r="B372" s="5113"/>
      <c r="C372" s="5110"/>
      <c r="D372" s="5085"/>
      <c r="E372" s="5085"/>
      <c r="F372" s="5085"/>
      <c r="G372" s="5085"/>
      <c r="H372" s="5085"/>
      <c r="I372" s="5085"/>
      <c r="J372" s="5085"/>
      <c r="K372" s="5085"/>
      <c r="L372" s="5085"/>
      <c r="M372" s="5085"/>
      <c r="N372" s="5085"/>
      <c r="O372" s="5085"/>
      <c r="P372" s="5085"/>
      <c r="Q372" s="5085"/>
      <c r="R372" s="5085"/>
      <c r="S372" s="5085"/>
      <c r="T372" s="5085"/>
      <c r="U372" s="5085"/>
      <c r="V372" s="5085"/>
      <c r="W372" s="5085"/>
      <c r="X372" s="5085"/>
      <c r="Y372" s="5085"/>
      <c r="Z372" s="5102"/>
      <c r="AB372" s="5188">
        <f>GotTok_Direkt!AP26-B372</f>
        <v>0</v>
      </c>
      <c r="AC372" s="4"/>
    </row>
    <row r="373" spans="1:30">
      <c r="A373" s="5131" t="s">
        <v>4571</v>
      </c>
      <c r="B373" s="5113"/>
      <c r="C373" s="5110"/>
      <c r="D373" s="5085"/>
      <c r="E373" s="5085"/>
      <c r="F373" s="5085"/>
      <c r="G373" s="5085"/>
      <c r="H373" s="5085"/>
      <c r="I373" s="5085"/>
      <c r="J373" s="5085"/>
      <c r="K373" s="5085"/>
      <c r="L373" s="5085"/>
      <c r="M373" s="5085"/>
      <c r="N373" s="5085"/>
      <c r="O373" s="5085"/>
      <c r="P373" s="5085"/>
      <c r="Q373" s="5085"/>
      <c r="R373" s="5085"/>
      <c r="S373" s="5085"/>
      <c r="T373" s="5085"/>
      <c r="U373" s="5085"/>
      <c r="V373" s="5085"/>
      <c r="W373" s="5085"/>
      <c r="X373" s="5085"/>
      <c r="Y373" s="5085"/>
      <c r="Z373" s="5102"/>
      <c r="AB373" s="5188">
        <f>GotTok_Direkt!AP27-B373</f>
        <v>0</v>
      </c>
      <c r="AC373" s="4"/>
    </row>
    <row r="374" ht="15" spans="1:30">
      <c r="A374" s="5131" t="s">
        <v>4572</v>
      </c>
      <c r="B374" s="5109">
        <f>GotTok_Direkt!AP28</f>
        <v>0</v>
      </c>
      <c r="C374" s="5110"/>
      <c r="D374" s="5085"/>
      <c r="E374" s="5085"/>
      <c r="F374" s="5085"/>
      <c r="G374" s="5085"/>
      <c r="H374" s="5085"/>
      <c r="I374" s="5085"/>
      <c r="J374" s="5085"/>
      <c r="K374" s="5085"/>
      <c r="L374" s="5085"/>
      <c r="M374" s="5085"/>
      <c r="N374" s="5085"/>
      <c r="O374" s="5085"/>
      <c r="P374" s="5085"/>
      <c r="Q374" s="5085"/>
      <c r="R374" s="5085"/>
      <c r="S374" s="5085"/>
      <c r="T374" s="5085"/>
      <c r="U374" s="5085"/>
      <c r="V374" s="5085"/>
      <c r="W374" s="5085"/>
      <c r="X374" s="5085"/>
      <c r="Y374" s="5085"/>
      <c r="Z374" s="5102"/>
      <c r="AB374" s="5189">
        <f>GotTok_Direkt!AP28-B374</f>
        <v>0</v>
      </c>
      <c r="AC374" s="4"/>
      <c r="AD374" s="5090">
        <f t="shared" ref="AD374" si="5">IF(AB374=0,0,"PAŽNJA! Provjerite AOP "&amp;A374&amp;" MSV - PROŠLU godinu, razlika = "&amp;TEXT(AB374,"#.##0,00 [$KM-141A]"))</f>
        <v>0</v>
      </c>
    </row>
    <row r="375" spans="1:30">
      <c r="A375" s="5085"/>
      <c r="B375" s="5087"/>
      <c r="C375" s="5087"/>
      <c r="D375" s="5085"/>
      <c r="E375" s="5085"/>
      <c r="F375" s="5085"/>
      <c r="G375" s="5085"/>
      <c r="H375" s="5085"/>
      <c r="I375" s="5085"/>
      <c r="J375" s="5085"/>
      <c r="K375" s="5085"/>
      <c r="L375" s="5085"/>
      <c r="M375" s="5085"/>
      <c r="N375" s="5085"/>
      <c r="O375" s="5085"/>
      <c r="P375" s="5085"/>
      <c r="Q375" s="5085"/>
      <c r="R375" s="5085"/>
      <c r="S375" s="5085"/>
      <c r="T375" s="5085"/>
      <c r="U375" s="5085"/>
      <c r="V375" s="5085"/>
      <c r="W375" s="5085"/>
      <c r="X375" s="5085"/>
      <c r="Y375" s="5085"/>
      <c r="Z375" s="5102"/>
      <c r="AB375" s="5190"/>
      <c r="AC375" s="4"/>
    </row>
    <row r="376" spans="1:30">
      <c r="A376" s="5131" t="s">
        <v>4573</v>
      </c>
      <c r="B376" s="5113"/>
      <c r="C376" s="5110"/>
      <c r="D376" s="5085"/>
      <c r="E376" s="5085"/>
      <c r="F376" s="5085"/>
      <c r="G376" s="5085"/>
      <c r="H376" s="5085"/>
      <c r="I376" s="5085"/>
      <c r="J376" s="5085"/>
      <c r="K376" s="5085"/>
      <c r="L376" s="5085"/>
      <c r="M376" s="5085"/>
      <c r="N376" s="5085"/>
      <c r="O376" s="5085"/>
      <c r="P376" s="5085"/>
      <c r="Q376" s="5085"/>
      <c r="R376" s="5085"/>
      <c r="S376" s="5085"/>
      <c r="T376" s="5085"/>
      <c r="U376" s="5085"/>
      <c r="V376" s="5085"/>
      <c r="W376" s="5085"/>
      <c r="X376" s="5085"/>
      <c r="Y376" s="5085"/>
      <c r="Z376" s="5102"/>
      <c r="AB376" s="5188">
        <f>GotTok_Direkt!AP30-B376</f>
        <v>0</v>
      </c>
      <c r="AC376" s="4"/>
    </row>
    <row r="377" spans="1:30">
      <c r="A377" s="5131" t="s">
        <v>4574</v>
      </c>
      <c r="B377" s="5113"/>
      <c r="C377" s="5110"/>
      <c r="D377" s="5085"/>
      <c r="E377" s="5085"/>
      <c r="F377" s="5085"/>
      <c r="G377" s="5085"/>
      <c r="H377" s="5085"/>
      <c r="I377" s="5085"/>
      <c r="J377" s="5085"/>
      <c r="K377" s="5085"/>
      <c r="L377" s="5085"/>
      <c r="M377" s="5085"/>
      <c r="N377" s="5085"/>
      <c r="O377" s="5085"/>
      <c r="P377" s="5085"/>
      <c r="Q377" s="5085"/>
      <c r="R377" s="5085"/>
      <c r="S377" s="5085"/>
      <c r="T377" s="5085"/>
      <c r="U377" s="5085"/>
      <c r="V377" s="5085"/>
      <c r="W377" s="5085"/>
      <c r="X377" s="5085"/>
      <c r="Y377" s="5085"/>
      <c r="Z377" s="5102"/>
      <c r="AB377" s="5188">
        <f>GotTok_Direkt!AP31-B377</f>
        <v>0</v>
      </c>
      <c r="AC377" s="4"/>
    </row>
    <row r="378" spans="1:30">
      <c r="A378" s="5131" t="s">
        <v>4575</v>
      </c>
      <c r="B378" s="5113"/>
      <c r="C378" s="5110"/>
      <c r="D378" s="5085"/>
      <c r="E378" s="5085"/>
      <c r="F378" s="5085"/>
      <c r="G378" s="5085"/>
      <c r="H378" s="5085"/>
      <c r="I378" s="5085"/>
      <c r="J378" s="5085"/>
      <c r="K378" s="5085"/>
      <c r="L378" s="5085"/>
      <c r="M378" s="5085"/>
      <c r="N378" s="5085"/>
      <c r="O378" s="5085"/>
      <c r="P378" s="5085"/>
      <c r="Q378" s="5085"/>
      <c r="R378" s="5085"/>
      <c r="S378" s="5085"/>
      <c r="T378" s="5085"/>
      <c r="U378" s="5085"/>
      <c r="V378" s="5085"/>
      <c r="W378" s="5085"/>
      <c r="X378" s="5085"/>
      <c r="Y378" s="5085"/>
      <c r="Z378" s="5102"/>
      <c r="AB378" s="5188">
        <f>GotTok_Direkt!AP32-B378</f>
        <v>0</v>
      </c>
      <c r="AC378" s="4"/>
    </row>
    <row r="379" spans="1:30">
      <c r="A379" s="5131" t="s">
        <v>4576</v>
      </c>
      <c r="B379" s="5113"/>
      <c r="C379" s="5110"/>
      <c r="D379" s="5085"/>
      <c r="E379" s="5085"/>
      <c r="F379" s="5085"/>
      <c r="G379" s="5085"/>
      <c r="H379" s="5085"/>
      <c r="I379" s="5085"/>
      <c r="J379" s="5085"/>
      <c r="K379" s="5085"/>
      <c r="L379" s="5085"/>
      <c r="M379" s="5085"/>
      <c r="N379" s="5085"/>
      <c r="O379" s="5085"/>
      <c r="P379" s="5085"/>
      <c r="Q379" s="5085"/>
      <c r="R379" s="5085"/>
      <c r="S379" s="5085"/>
      <c r="T379" s="5085"/>
      <c r="U379" s="5085"/>
      <c r="V379" s="5085"/>
      <c r="W379" s="5085"/>
      <c r="X379" s="5085"/>
      <c r="Y379" s="5085"/>
      <c r="Z379" s="5102"/>
      <c r="AB379" s="5188">
        <f>GotTok_Direkt!AP33-B379</f>
        <v>0</v>
      </c>
      <c r="AC379" s="4"/>
    </row>
    <row r="380" spans="1:30">
      <c r="A380" s="5131" t="s">
        <v>4577</v>
      </c>
      <c r="B380" s="5113"/>
      <c r="C380" s="5110"/>
      <c r="D380" s="5085"/>
      <c r="E380" s="5085"/>
      <c r="F380" s="5085"/>
      <c r="G380" s="5085"/>
      <c r="H380" s="5085"/>
      <c r="I380" s="5085"/>
      <c r="J380" s="5085"/>
      <c r="K380" s="5085"/>
      <c r="L380" s="5085"/>
      <c r="M380" s="5085"/>
      <c r="N380" s="5085"/>
      <c r="O380" s="5085"/>
      <c r="P380" s="5085"/>
      <c r="Q380" s="5085"/>
      <c r="R380" s="5085"/>
      <c r="S380" s="5085"/>
      <c r="T380" s="5085"/>
      <c r="U380" s="5085"/>
      <c r="V380" s="5085"/>
      <c r="W380" s="5085"/>
      <c r="X380" s="5085"/>
      <c r="Y380" s="5085"/>
      <c r="Z380" s="5102"/>
      <c r="AB380" s="5188">
        <f>GotTok_Direkt!AP34-B380</f>
        <v>0</v>
      </c>
      <c r="AC380" s="4"/>
    </row>
    <row r="381" spans="1:30">
      <c r="A381" s="5131" t="s">
        <v>4578</v>
      </c>
      <c r="B381" s="5113"/>
      <c r="C381" s="5110"/>
      <c r="D381" s="5085"/>
      <c r="E381" s="5085"/>
      <c r="F381" s="5085"/>
      <c r="G381" s="5085"/>
      <c r="H381" s="5085"/>
      <c r="I381" s="5085"/>
      <c r="J381" s="5085"/>
      <c r="K381" s="5085"/>
      <c r="L381" s="5085"/>
      <c r="M381" s="5085"/>
      <c r="N381" s="5085"/>
      <c r="O381" s="5085"/>
      <c r="P381" s="5085"/>
      <c r="Q381" s="5085"/>
      <c r="R381" s="5085"/>
      <c r="S381" s="5085"/>
      <c r="T381" s="5085"/>
      <c r="U381" s="5085"/>
      <c r="V381" s="5085"/>
      <c r="W381" s="5085"/>
      <c r="X381" s="5085"/>
      <c r="Y381" s="5085"/>
      <c r="Z381" s="5102"/>
      <c r="AB381" s="5188">
        <f>GotTok_Direkt!AP35-B381</f>
        <v>0</v>
      </c>
      <c r="AC381" s="4"/>
    </row>
    <row r="382" spans="1:30">
      <c r="A382" s="5131" t="s">
        <v>4579</v>
      </c>
      <c r="B382" s="5113"/>
      <c r="C382" s="5110"/>
      <c r="D382" s="5085"/>
      <c r="E382" s="5085"/>
      <c r="F382" s="5085"/>
      <c r="G382" s="5085"/>
      <c r="H382" s="5085"/>
      <c r="I382" s="5085"/>
      <c r="J382" s="5085"/>
      <c r="K382" s="5085"/>
      <c r="L382" s="5085"/>
      <c r="M382" s="5085"/>
      <c r="N382" s="5085"/>
      <c r="O382" s="5085"/>
      <c r="P382" s="5085"/>
      <c r="Q382" s="5085"/>
      <c r="R382" s="5085"/>
      <c r="S382" s="5085"/>
      <c r="T382" s="5085"/>
      <c r="U382" s="5085"/>
      <c r="V382" s="5085"/>
      <c r="W382" s="5085"/>
      <c r="X382" s="5085"/>
      <c r="Y382" s="5085"/>
      <c r="Z382" s="5102"/>
      <c r="AB382" s="5188">
        <f>GotTok_Direkt!AP36-B382</f>
        <v>0</v>
      </c>
      <c r="AC382" s="4"/>
    </row>
    <row r="383" spans="1:30">
      <c r="A383" s="5131" t="s">
        <v>4580</v>
      </c>
      <c r="B383" s="5113"/>
      <c r="C383" s="5110"/>
      <c r="D383" s="5085"/>
      <c r="E383" s="5085"/>
      <c r="F383" s="5085"/>
      <c r="G383" s="5085"/>
      <c r="H383" s="5085"/>
      <c r="I383" s="5085"/>
      <c r="J383" s="5085"/>
      <c r="K383" s="5085"/>
      <c r="L383" s="5085"/>
      <c r="M383" s="5085"/>
      <c r="N383" s="5085"/>
      <c r="O383" s="5085"/>
      <c r="P383" s="5085"/>
      <c r="Q383" s="5085"/>
      <c r="R383" s="5085"/>
      <c r="S383" s="5085"/>
      <c r="T383" s="5085"/>
      <c r="U383" s="5085"/>
      <c r="V383" s="5085"/>
      <c r="W383" s="5085"/>
      <c r="X383" s="5085"/>
      <c r="Y383" s="5085"/>
      <c r="Z383" s="5102"/>
      <c r="AB383" s="5188">
        <f>GotTok_Direkt!AP40-B383</f>
        <v>0</v>
      </c>
      <c r="AC383" s="4"/>
    </row>
    <row r="384" spans="1:30">
      <c r="A384" s="5131" t="s">
        <v>4581</v>
      </c>
      <c r="B384" s="5113"/>
      <c r="C384" s="5110"/>
      <c r="D384" s="5085"/>
      <c r="E384" s="5085"/>
      <c r="F384" s="5085"/>
      <c r="G384" s="5085"/>
      <c r="H384" s="5085"/>
      <c r="I384" s="5085"/>
      <c r="J384" s="5085"/>
      <c r="K384" s="5085"/>
      <c r="L384" s="5085"/>
      <c r="M384" s="5085"/>
      <c r="N384" s="5085"/>
      <c r="O384" s="5085"/>
      <c r="P384" s="5085"/>
      <c r="Q384" s="5085"/>
      <c r="R384" s="5085"/>
      <c r="S384" s="5085"/>
      <c r="T384" s="5085"/>
      <c r="U384" s="5085"/>
      <c r="V384" s="5085"/>
      <c r="W384" s="5085"/>
      <c r="X384" s="5085"/>
      <c r="Y384" s="5085"/>
      <c r="Z384" s="5102"/>
      <c r="AB384" s="5188">
        <f>GotTok_Direkt!AP41-B384</f>
        <v>0</v>
      </c>
      <c r="AC384" s="4"/>
    </row>
    <row r="385" spans="1:29">
      <c r="A385" s="5131" t="s">
        <v>4582</v>
      </c>
      <c r="B385" s="5113"/>
      <c r="C385" s="5110"/>
      <c r="D385" s="5085"/>
      <c r="E385" s="5085"/>
      <c r="F385" s="5085"/>
      <c r="G385" s="5085"/>
      <c r="H385" s="5085"/>
      <c r="I385" s="5085"/>
      <c r="J385" s="5085"/>
      <c r="K385" s="5085"/>
      <c r="L385" s="5085"/>
      <c r="M385" s="5085"/>
      <c r="N385" s="5085"/>
      <c r="O385" s="5085"/>
      <c r="P385" s="5085"/>
      <c r="Q385" s="5085"/>
      <c r="R385" s="5085"/>
      <c r="S385" s="5085"/>
      <c r="T385" s="5085"/>
      <c r="U385" s="5085"/>
      <c r="V385" s="5085"/>
      <c r="W385" s="5085"/>
      <c r="X385" s="5085"/>
      <c r="Y385" s="5085"/>
      <c r="Z385" s="5102"/>
      <c r="AB385" s="5188">
        <f>GotTok_Direkt!AP42-B385</f>
        <v>0</v>
      </c>
      <c r="AC385" s="4"/>
    </row>
    <row r="386" spans="1:29">
      <c r="A386" s="5131" t="s">
        <v>4583</v>
      </c>
      <c r="B386" s="5113"/>
      <c r="C386" s="5110"/>
      <c r="D386" s="5085"/>
      <c r="E386" s="5085"/>
      <c r="F386" s="5085"/>
      <c r="G386" s="5085"/>
      <c r="H386" s="5085"/>
      <c r="I386" s="5085"/>
      <c r="J386" s="5085"/>
      <c r="K386" s="5085"/>
      <c r="L386" s="5085"/>
      <c r="M386" s="5085"/>
      <c r="N386" s="5085"/>
      <c r="O386" s="5085"/>
      <c r="P386" s="5085"/>
      <c r="Q386" s="5085"/>
      <c r="R386" s="5085"/>
      <c r="S386" s="5085"/>
      <c r="T386" s="5085"/>
      <c r="U386" s="5085"/>
      <c r="V386" s="5085"/>
      <c r="W386" s="5085"/>
      <c r="X386" s="5085"/>
      <c r="Y386" s="5085"/>
      <c r="Z386" s="5102"/>
      <c r="AB386" s="5188">
        <f>GotTok_Direkt!AP43-B386</f>
        <v>0</v>
      </c>
      <c r="AC386" s="4"/>
    </row>
    <row r="387" spans="1:29">
      <c r="A387" s="5131" t="s">
        <v>4584</v>
      </c>
      <c r="B387" s="5113"/>
      <c r="C387" s="5110"/>
      <c r="D387" s="5085"/>
      <c r="E387" s="5085"/>
      <c r="F387" s="5085"/>
      <c r="G387" s="5085"/>
      <c r="H387" s="5085"/>
      <c r="I387" s="5085"/>
      <c r="J387" s="5085"/>
      <c r="K387" s="5085"/>
      <c r="L387" s="5085"/>
      <c r="M387" s="5085"/>
      <c r="N387" s="5085"/>
      <c r="O387" s="5085"/>
      <c r="P387" s="5085"/>
      <c r="Q387" s="5085"/>
      <c r="R387" s="5085"/>
      <c r="S387" s="5085"/>
      <c r="T387" s="5085"/>
      <c r="U387" s="5085"/>
      <c r="V387" s="5085"/>
      <c r="W387" s="5085"/>
      <c r="X387" s="5085"/>
      <c r="Y387" s="5085"/>
      <c r="Z387" s="5102"/>
      <c r="AB387" s="5188">
        <f>GotTok_Direkt!AP44-B387</f>
        <v>0</v>
      </c>
      <c r="AC387" s="4"/>
    </row>
    <row r="388" spans="1:29">
      <c r="A388" s="5131" t="s">
        <v>4585</v>
      </c>
      <c r="B388" s="5113"/>
      <c r="C388" s="5110"/>
      <c r="D388" s="5085"/>
      <c r="E388" s="5085"/>
      <c r="F388" s="5085"/>
      <c r="G388" s="5085"/>
      <c r="H388" s="5085"/>
      <c r="I388" s="5085"/>
      <c r="J388" s="5085"/>
      <c r="K388" s="5085"/>
      <c r="L388" s="5085"/>
      <c r="M388" s="5085"/>
      <c r="N388" s="5085"/>
      <c r="O388" s="5085"/>
      <c r="P388" s="5085"/>
      <c r="Q388" s="5085"/>
      <c r="R388" s="5085"/>
      <c r="S388" s="5085"/>
      <c r="T388" s="5085"/>
      <c r="U388" s="5085"/>
      <c r="V388" s="5085"/>
      <c r="W388" s="5085"/>
      <c r="X388" s="5085"/>
      <c r="Y388" s="5085"/>
      <c r="Z388" s="5102"/>
      <c r="AB388" s="5188">
        <f>GotTok_Direkt!AP45-B388</f>
        <v>0</v>
      </c>
      <c r="AC388" s="4"/>
    </row>
    <row r="389" spans="1:29">
      <c r="A389" s="5131" t="s">
        <v>4586</v>
      </c>
      <c r="B389" s="5113"/>
      <c r="C389" s="5110"/>
      <c r="D389" s="5085"/>
      <c r="E389" s="5085"/>
      <c r="F389" s="5085"/>
      <c r="G389" s="5085"/>
      <c r="H389" s="5085"/>
      <c r="I389" s="5085"/>
      <c r="J389" s="5085"/>
      <c r="K389" s="5085"/>
      <c r="L389" s="5085"/>
      <c r="M389" s="5085"/>
      <c r="N389" s="5085"/>
      <c r="O389" s="5085"/>
      <c r="P389" s="5085"/>
      <c r="Q389" s="5085"/>
      <c r="R389" s="5085"/>
      <c r="S389" s="5085"/>
      <c r="T389" s="5085"/>
      <c r="U389" s="5085"/>
      <c r="V389" s="5085"/>
      <c r="W389" s="5085"/>
      <c r="X389" s="5085"/>
      <c r="Y389" s="5085"/>
      <c r="Z389" s="5102"/>
      <c r="AB389" s="5188">
        <f>GotTok_Direkt!AP46-B389</f>
        <v>0</v>
      </c>
      <c r="AC389" s="4"/>
    </row>
    <row r="390" spans="1:29">
      <c r="A390" s="5131" t="s">
        <v>4587</v>
      </c>
      <c r="B390" s="5113"/>
      <c r="C390" s="5110"/>
      <c r="D390" s="5085"/>
      <c r="E390" s="5085"/>
      <c r="F390" s="5085"/>
      <c r="G390" s="5085"/>
      <c r="H390" s="5085"/>
      <c r="I390" s="5085"/>
      <c r="J390" s="5085"/>
      <c r="K390" s="5085"/>
      <c r="L390" s="5085"/>
      <c r="M390" s="5085"/>
      <c r="N390" s="5085"/>
      <c r="O390" s="5085"/>
      <c r="P390" s="5085"/>
      <c r="Q390" s="5085"/>
      <c r="R390" s="5085"/>
      <c r="S390" s="5085"/>
      <c r="T390" s="5085"/>
      <c r="U390" s="5085"/>
      <c r="V390" s="5085"/>
      <c r="W390" s="5085"/>
      <c r="X390" s="5085"/>
      <c r="Y390" s="5085"/>
      <c r="Z390" s="5102"/>
      <c r="AB390" s="5188">
        <f>GotTok_Direkt!AP47-B390</f>
        <v>0</v>
      </c>
      <c r="AC390" s="4"/>
    </row>
    <row r="391" spans="1:29">
      <c r="A391" s="5131" t="s">
        <v>4588</v>
      </c>
      <c r="B391" s="5113"/>
      <c r="C391" s="5110"/>
      <c r="D391" s="5085"/>
      <c r="E391" s="5085"/>
      <c r="F391" s="5085"/>
      <c r="G391" s="5085"/>
      <c r="H391" s="5085"/>
      <c r="I391" s="5085"/>
      <c r="J391" s="5085"/>
      <c r="K391" s="5085"/>
      <c r="L391" s="5085"/>
      <c r="M391" s="5085"/>
      <c r="N391" s="5085"/>
      <c r="O391" s="5085"/>
      <c r="P391" s="5085"/>
      <c r="Q391" s="5085"/>
      <c r="R391" s="5085"/>
      <c r="S391" s="5085"/>
      <c r="T391" s="5085"/>
      <c r="U391" s="5085"/>
      <c r="V391" s="5085"/>
      <c r="W391" s="5085"/>
      <c r="X391" s="5085"/>
      <c r="Y391" s="5085"/>
      <c r="Z391" s="5102"/>
      <c r="AB391" s="5188">
        <f>GotTok_Direkt!AP48-B391</f>
        <v>0</v>
      </c>
      <c r="AC391" s="4"/>
    </row>
    <row r="392" spans="1:29">
      <c r="A392" s="5131" t="s">
        <v>4589</v>
      </c>
      <c r="B392" s="5113"/>
      <c r="C392" s="5110"/>
      <c r="D392" s="5085"/>
      <c r="E392" s="5085"/>
      <c r="F392" s="5085"/>
      <c r="G392" s="5085"/>
      <c r="H392" s="5085"/>
      <c r="I392" s="5085"/>
      <c r="J392" s="5085"/>
      <c r="K392" s="5085"/>
      <c r="L392" s="5085"/>
      <c r="M392" s="5085"/>
      <c r="N392" s="5085"/>
      <c r="O392" s="5085"/>
      <c r="P392" s="5085"/>
      <c r="Q392" s="5085"/>
      <c r="R392" s="5085"/>
      <c r="S392" s="5085"/>
      <c r="T392" s="5085"/>
      <c r="U392" s="5085"/>
      <c r="V392" s="5085"/>
      <c r="W392" s="5085"/>
      <c r="X392" s="5085"/>
      <c r="Y392" s="5085"/>
      <c r="Z392" s="5102"/>
      <c r="AB392" s="5188">
        <f>GotTok_Direkt!AP49-B392</f>
        <v>0</v>
      </c>
      <c r="AC392" s="4"/>
    </row>
    <row r="393" spans="1:29">
      <c r="A393" s="5131" t="s">
        <v>4590</v>
      </c>
      <c r="B393" s="5113"/>
      <c r="C393" s="5110"/>
      <c r="D393" s="5085"/>
      <c r="E393" s="5085"/>
      <c r="F393" s="5085"/>
      <c r="G393" s="5085"/>
      <c r="H393" s="5085"/>
      <c r="I393" s="5085"/>
      <c r="J393" s="5085"/>
      <c r="K393" s="5085"/>
      <c r="L393" s="5085"/>
      <c r="M393" s="5085"/>
      <c r="N393" s="5085"/>
      <c r="O393" s="5085"/>
      <c r="P393" s="5085"/>
      <c r="Q393" s="5085"/>
      <c r="R393" s="5085"/>
      <c r="S393" s="5085"/>
      <c r="T393" s="5085"/>
      <c r="U393" s="5085"/>
      <c r="V393" s="5085"/>
      <c r="W393" s="5085"/>
      <c r="X393" s="5085"/>
      <c r="Y393" s="5085"/>
      <c r="Z393" s="5102"/>
      <c r="AB393" s="5188">
        <f>GotTok_Direkt!AP50-B393</f>
        <v>0</v>
      </c>
      <c r="AC393" s="4"/>
    </row>
    <row r="394" spans="1:29">
      <c r="A394" s="5131" t="s">
        <v>4591</v>
      </c>
      <c r="B394" s="5113"/>
      <c r="C394" s="5110"/>
      <c r="D394" s="5085"/>
      <c r="E394" s="5085"/>
      <c r="F394" s="5085"/>
      <c r="G394" s="5085"/>
      <c r="H394" s="5085"/>
      <c r="I394" s="5085"/>
      <c r="J394" s="5085"/>
      <c r="K394" s="5085"/>
      <c r="L394" s="5085"/>
      <c r="M394" s="5085"/>
      <c r="N394" s="5085"/>
      <c r="O394" s="5085"/>
      <c r="P394" s="5085"/>
      <c r="Q394" s="5085"/>
      <c r="R394" s="5085"/>
      <c r="S394" s="5085"/>
      <c r="T394" s="5085"/>
      <c r="U394" s="5085"/>
      <c r="V394" s="5085"/>
      <c r="W394" s="5085"/>
      <c r="X394" s="5085"/>
      <c r="Y394" s="5085"/>
      <c r="Z394" s="5102"/>
      <c r="AB394" s="5188">
        <f>GotTok_Direkt!AP51-B394</f>
        <v>0</v>
      </c>
      <c r="AC394" s="4"/>
    </row>
    <row r="395" spans="1:29">
      <c r="A395" s="5131" t="s">
        <v>4592</v>
      </c>
      <c r="B395" s="5113"/>
      <c r="C395" s="5110"/>
      <c r="D395" s="5085"/>
      <c r="E395" s="5085"/>
      <c r="F395" s="5085"/>
      <c r="G395" s="5085"/>
      <c r="H395" s="5085"/>
      <c r="I395" s="5085"/>
      <c r="J395" s="5085"/>
      <c r="K395" s="5085"/>
      <c r="L395" s="5085"/>
      <c r="M395" s="5085"/>
      <c r="N395" s="5085"/>
      <c r="O395" s="5085"/>
      <c r="P395" s="5085"/>
      <c r="Q395" s="5085"/>
      <c r="R395" s="5085"/>
      <c r="S395" s="5085"/>
      <c r="T395" s="5085"/>
      <c r="U395" s="5085"/>
      <c r="V395" s="5085"/>
      <c r="W395" s="5085"/>
      <c r="X395" s="5085"/>
      <c r="Y395" s="5085"/>
      <c r="Z395" s="5102"/>
      <c r="AB395" s="5188">
        <f>GotTok_Direkt!AP52-B395</f>
        <v>0</v>
      </c>
      <c r="AC395" s="4"/>
    </row>
    <row r="396" spans="1:29">
      <c r="A396" s="5131" t="s">
        <v>4593</v>
      </c>
      <c r="B396" s="5113"/>
      <c r="C396" s="5110"/>
      <c r="D396" s="5085"/>
      <c r="E396" s="5085"/>
      <c r="F396" s="5085"/>
      <c r="G396" s="5085"/>
      <c r="H396" s="5085"/>
      <c r="I396" s="5085"/>
      <c r="J396" s="5085"/>
      <c r="K396" s="5085"/>
      <c r="L396" s="5085"/>
      <c r="M396" s="5085"/>
      <c r="N396" s="5085"/>
      <c r="O396" s="5085"/>
      <c r="P396" s="5085"/>
      <c r="Q396" s="5085"/>
      <c r="R396" s="5085"/>
      <c r="S396" s="5085"/>
      <c r="T396" s="5085"/>
      <c r="U396" s="5085"/>
      <c r="V396" s="5085"/>
      <c r="W396" s="5085"/>
      <c r="X396" s="5085"/>
      <c r="Y396" s="5085"/>
      <c r="Z396" s="5102"/>
      <c r="AB396" s="5188">
        <f>GotTok_Direkt!AP53-B396</f>
        <v>0</v>
      </c>
      <c r="AC396" s="4"/>
    </row>
    <row r="397" spans="1:29">
      <c r="A397" s="5131" t="s">
        <v>4594</v>
      </c>
      <c r="B397" s="5113"/>
      <c r="C397" s="5110"/>
      <c r="D397" s="5085"/>
      <c r="E397" s="5085"/>
      <c r="F397" s="5085"/>
      <c r="G397" s="5085"/>
      <c r="H397" s="5085"/>
      <c r="I397" s="5085"/>
      <c r="J397" s="5085"/>
      <c r="K397" s="5085"/>
      <c r="L397" s="5085"/>
      <c r="M397" s="5085"/>
      <c r="N397" s="5085"/>
      <c r="O397" s="5085"/>
      <c r="P397" s="5085"/>
      <c r="Q397" s="5085"/>
      <c r="R397" s="5085"/>
      <c r="S397" s="5085"/>
      <c r="T397" s="5085"/>
      <c r="U397" s="5085"/>
      <c r="V397" s="5085"/>
      <c r="W397" s="5085"/>
      <c r="X397" s="5085"/>
      <c r="Y397" s="5085"/>
      <c r="Z397" s="5102"/>
      <c r="AB397" s="5188">
        <f>GotTok_Direkt!AP54-B397</f>
        <v>0</v>
      </c>
      <c r="AC397" s="4"/>
    </row>
    <row r="398" spans="1:29">
      <c r="A398" s="5131" t="s">
        <v>4595</v>
      </c>
      <c r="B398" s="5113"/>
      <c r="C398" s="5110"/>
      <c r="D398" s="5085"/>
      <c r="E398" s="5085"/>
      <c r="F398" s="5085"/>
      <c r="G398" s="5085"/>
      <c r="H398" s="5085"/>
      <c r="I398" s="5085"/>
      <c r="J398" s="5085"/>
      <c r="K398" s="5085"/>
      <c r="L398" s="5085"/>
      <c r="M398" s="5085"/>
      <c r="N398" s="5085"/>
      <c r="O398" s="5085"/>
      <c r="P398" s="5085"/>
      <c r="Q398" s="5085"/>
      <c r="R398" s="5085"/>
      <c r="S398" s="5085"/>
      <c r="T398" s="5085"/>
      <c r="U398" s="5085"/>
      <c r="V398" s="5085"/>
      <c r="W398" s="5085"/>
      <c r="X398" s="5085"/>
      <c r="Y398" s="5085"/>
      <c r="Z398" s="5102"/>
      <c r="AB398" s="5188">
        <f>GotTok_Direkt!AP55-B398</f>
        <v>0</v>
      </c>
      <c r="AC398" s="4"/>
    </row>
    <row r="399" spans="1:29">
      <c r="A399" s="5131" t="s">
        <v>4596</v>
      </c>
      <c r="B399" s="5113"/>
      <c r="C399" s="5110"/>
      <c r="D399" s="5085"/>
      <c r="E399" s="5085"/>
      <c r="F399" s="5085"/>
      <c r="G399" s="5085"/>
      <c r="H399" s="5085"/>
      <c r="I399" s="5085"/>
      <c r="J399" s="5085"/>
      <c r="K399" s="5085"/>
      <c r="L399" s="5085"/>
      <c r="M399" s="5085"/>
      <c r="N399" s="5085"/>
      <c r="O399" s="5085"/>
      <c r="P399" s="5085"/>
      <c r="Q399" s="5085"/>
      <c r="R399" s="5085"/>
      <c r="S399" s="5085"/>
      <c r="T399" s="5085"/>
      <c r="U399" s="5085"/>
      <c r="V399" s="5085"/>
      <c r="W399" s="5085"/>
      <c r="X399" s="5085"/>
      <c r="Y399" s="5085"/>
      <c r="Z399" s="5102"/>
      <c r="AB399" s="5188">
        <f>GotTok_Direkt!AP56-B399</f>
        <v>0</v>
      </c>
      <c r="AC399" s="4"/>
    </row>
    <row r="400" spans="1:29">
      <c r="A400" s="5131" t="s">
        <v>4597</v>
      </c>
      <c r="B400" s="5113"/>
      <c r="C400" s="5110"/>
      <c r="D400" s="5085"/>
      <c r="E400" s="5085"/>
      <c r="F400" s="5085"/>
      <c r="G400" s="5085"/>
      <c r="H400" s="5085"/>
      <c r="I400" s="5085"/>
      <c r="J400" s="5085"/>
      <c r="K400" s="5085"/>
      <c r="L400" s="5085"/>
      <c r="M400" s="5085"/>
      <c r="N400" s="5085"/>
      <c r="O400" s="5085"/>
      <c r="P400" s="5085"/>
      <c r="Q400" s="5085"/>
      <c r="R400" s="5085"/>
      <c r="S400" s="5085"/>
      <c r="T400" s="5085"/>
      <c r="U400" s="5085"/>
      <c r="V400" s="5085"/>
      <c r="W400" s="5085"/>
      <c r="X400" s="5085"/>
      <c r="Y400" s="5085"/>
      <c r="Z400" s="5102"/>
      <c r="AB400" s="5188">
        <f>GotTok_Direkt!AP57-B400</f>
        <v>0</v>
      </c>
      <c r="AC400" s="4"/>
    </row>
    <row r="401" spans="1:30">
      <c r="A401" s="5131" t="s">
        <v>4598</v>
      </c>
      <c r="B401" s="5113"/>
      <c r="C401" s="5110"/>
      <c r="D401" s="5085"/>
      <c r="E401" s="5085"/>
      <c r="F401" s="5085"/>
      <c r="G401" s="5085"/>
      <c r="H401" s="5085"/>
      <c r="I401" s="5085"/>
      <c r="J401" s="5085"/>
      <c r="K401" s="5085"/>
      <c r="L401" s="5085"/>
      <c r="M401" s="5085"/>
      <c r="N401" s="5085"/>
      <c r="O401" s="5085"/>
      <c r="P401" s="5085"/>
      <c r="Q401" s="5085"/>
      <c r="R401" s="5085"/>
      <c r="S401" s="5085"/>
      <c r="T401" s="5085"/>
      <c r="U401" s="5085"/>
      <c r="V401" s="5085"/>
      <c r="W401" s="5085"/>
      <c r="X401" s="5085"/>
      <c r="Y401" s="5085"/>
      <c r="Z401" s="5102"/>
      <c r="AB401" s="5188">
        <f>GotTok_Direkt!AP58-B401</f>
        <v>0</v>
      </c>
      <c r="AC401" s="4"/>
    </row>
    <row r="402" spans="1:30">
      <c r="A402" s="5131" t="s">
        <v>4599</v>
      </c>
      <c r="B402" s="5113"/>
      <c r="C402" s="5110"/>
      <c r="D402" s="5085"/>
      <c r="E402" s="5085"/>
      <c r="F402" s="5085"/>
      <c r="G402" s="5085"/>
      <c r="H402" s="5085"/>
      <c r="I402" s="5085"/>
      <c r="J402" s="5085"/>
      <c r="K402" s="5085"/>
      <c r="L402" s="5085"/>
      <c r="M402" s="5085"/>
      <c r="N402" s="5085"/>
      <c r="O402" s="5085"/>
      <c r="P402" s="5085"/>
      <c r="Q402" s="5085"/>
      <c r="R402" s="5085"/>
      <c r="S402" s="5085"/>
      <c r="T402" s="5085"/>
      <c r="U402" s="5085"/>
      <c r="V402" s="5085"/>
      <c r="W402" s="5085"/>
      <c r="X402" s="5085"/>
      <c r="Y402" s="5085"/>
      <c r="Z402" s="5102"/>
      <c r="AB402" s="5188">
        <f>GotTok_Direkt!AP59-B402</f>
        <v>0</v>
      </c>
      <c r="AC402" s="4"/>
    </row>
    <row r="403" spans="1:30">
      <c r="A403" s="5131" t="s">
        <v>4600</v>
      </c>
      <c r="B403" s="5113"/>
      <c r="C403" s="5110"/>
      <c r="D403" s="5085"/>
      <c r="E403" s="5085"/>
      <c r="F403" s="5085"/>
      <c r="G403" s="5085"/>
      <c r="H403" s="5085"/>
      <c r="I403" s="5085"/>
      <c r="J403" s="5085"/>
      <c r="K403" s="5085"/>
      <c r="L403" s="5085"/>
      <c r="M403" s="5085"/>
      <c r="N403" s="5085"/>
      <c r="O403" s="5085"/>
      <c r="P403" s="5085"/>
      <c r="Q403" s="5085"/>
      <c r="R403" s="5085"/>
      <c r="S403" s="5085"/>
      <c r="T403" s="5085"/>
      <c r="U403" s="5085"/>
      <c r="V403" s="5085"/>
      <c r="W403" s="5085"/>
      <c r="X403" s="5085"/>
      <c r="Y403" s="5085"/>
      <c r="Z403" s="5102"/>
      <c r="AB403" s="5188">
        <f>GotTok_Direkt!AP60-B403</f>
        <v>0</v>
      </c>
      <c r="AC403" s="4"/>
    </row>
    <row r="404" spans="1:30">
      <c r="A404" s="5131" t="s">
        <v>4601</v>
      </c>
      <c r="B404" s="5113"/>
      <c r="C404" s="5110"/>
      <c r="D404" s="5085"/>
      <c r="E404" s="5085"/>
      <c r="F404" s="5085"/>
      <c r="G404" s="5085"/>
      <c r="H404" s="5085"/>
      <c r="I404" s="5085"/>
      <c r="J404" s="5085"/>
      <c r="K404" s="5085"/>
      <c r="L404" s="5085"/>
      <c r="M404" s="5085"/>
      <c r="N404" s="5085"/>
      <c r="O404" s="5085"/>
      <c r="P404" s="5085"/>
      <c r="Q404" s="5085"/>
      <c r="R404" s="5085"/>
      <c r="S404" s="5085"/>
      <c r="T404" s="5085"/>
      <c r="U404" s="5085"/>
      <c r="V404" s="5085"/>
      <c r="W404" s="5085"/>
      <c r="X404" s="5085"/>
      <c r="Y404" s="5085"/>
      <c r="Z404" s="5102"/>
      <c r="AB404" s="5188">
        <f>GotTok_Direkt!AP61-B404</f>
        <v>0</v>
      </c>
      <c r="AC404" s="4"/>
    </row>
    <row r="405" ht="15" spans="1:30">
      <c r="A405" s="5131" t="s">
        <v>4602</v>
      </c>
      <c r="B405" s="5109">
        <f>GotTok_Direkt!AP62</f>
        <v>0</v>
      </c>
      <c r="C405" s="5110"/>
      <c r="D405" s="5085"/>
      <c r="E405" s="5085"/>
      <c r="F405" s="5085"/>
      <c r="G405" s="5085"/>
      <c r="H405" s="5085"/>
      <c r="I405" s="5085"/>
      <c r="J405" s="5085"/>
      <c r="K405" s="5085"/>
      <c r="L405" s="5085"/>
      <c r="M405" s="5085"/>
      <c r="N405" s="5085"/>
      <c r="O405" s="5085"/>
      <c r="P405" s="5085"/>
      <c r="Q405" s="5085"/>
      <c r="R405" s="5085"/>
      <c r="S405" s="5085"/>
      <c r="T405" s="5085"/>
      <c r="U405" s="5085"/>
      <c r="V405" s="5085"/>
      <c r="W405" s="5085"/>
      <c r="X405" s="5085"/>
      <c r="Y405" s="5085"/>
      <c r="Z405" s="5102"/>
      <c r="AB405" s="5189">
        <f>GotTok_Direkt!AP62-B405</f>
        <v>0</v>
      </c>
      <c r="AC405" s="4"/>
      <c r="AD405" s="5090">
        <f t="shared" ref="AD405" si="6">IF(AB405=0,0,"PAŽNJA! Provjerite AOP "&amp;A405&amp;" MSV - PROŠLU godinu, razlika = "&amp;TEXT(AB405,"#.##0,00 [$KM-141A]"))</f>
        <v>0</v>
      </c>
    </row>
    <row r="406" spans="1:30">
      <c r="A406" s="5085"/>
      <c r="B406" s="5087"/>
      <c r="C406" s="5087"/>
      <c r="D406" s="5085"/>
      <c r="E406" s="5085"/>
      <c r="F406" s="5085"/>
      <c r="G406" s="5085"/>
      <c r="H406" s="5085"/>
      <c r="I406" s="5085"/>
      <c r="J406" s="5085"/>
      <c r="K406" s="5085"/>
      <c r="L406" s="5085"/>
      <c r="M406" s="5085"/>
      <c r="N406" s="5085"/>
      <c r="O406" s="5085"/>
      <c r="P406" s="5085"/>
      <c r="Q406" s="5085"/>
      <c r="R406" s="5085"/>
      <c r="S406" s="5085"/>
      <c r="T406" s="5085"/>
      <c r="U406" s="5085"/>
      <c r="V406" s="5085"/>
      <c r="W406" s="5085"/>
      <c r="X406" s="5085"/>
      <c r="Y406" s="5085"/>
      <c r="Z406" s="5102"/>
      <c r="AB406" s="5190"/>
      <c r="AC406" s="4"/>
    </row>
    <row r="407" spans="1:30">
      <c r="A407" s="5131" t="s">
        <v>4603</v>
      </c>
      <c r="B407" s="5113"/>
      <c r="C407" s="5110"/>
      <c r="D407" s="5085"/>
      <c r="E407" s="5085"/>
      <c r="F407" s="5085"/>
      <c r="G407" s="5085"/>
      <c r="H407" s="5085"/>
      <c r="I407" s="5085"/>
      <c r="J407" s="5085"/>
      <c r="K407" s="5085"/>
      <c r="L407" s="5085"/>
      <c r="M407" s="5085"/>
      <c r="N407" s="5085"/>
      <c r="O407" s="5085"/>
      <c r="P407" s="5085"/>
      <c r="Q407" s="5085"/>
      <c r="R407" s="5085"/>
      <c r="S407" s="5085"/>
      <c r="T407" s="5085"/>
      <c r="U407" s="5085"/>
      <c r="V407" s="5085"/>
      <c r="W407" s="5085"/>
      <c r="X407" s="5085"/>
      <c r="Y407" s="5085"/>
      <c r="Z407" s="5102"/>
      <c r="AB407" s="5188">
        <f>GotTok_Direkt!AP64-B407</f>
        <v>0</v>
      </c>
      <c r="AC407" s="4"/>
    </row>
    <row r="408" spans="1:30">
      <c r="A408" s="5131" t="s">
        <v>4604</v>
      </c>
      <c r="B408" s="5113"/>
      <c r="C408" s="5110"/>
      <c r="D408" s="5085"/>
      <c r="E408" s="5085"/>
      <c r="F408" s="5085"/>
      <c r="G408" s="5085"/>
      <c r="H408" s="5085"/>
      <c r="I408" s="5085"/>
      <c r="J408" s="5085"/>
      <c r="K408" s="5085"/>
      <c r="L408" s="5085"/>
      <c r="M408" s="5085"/>
      <c r="N408" s="5085"/>
      <c r="O408" s="5085"/>
      <c r="P408" s="5085"/>
      <c r="Q408" s="5085"/>
      <c r="R408" s="5085"/>
      <c r="S408" s="5085"/>
      <c r="T408" s="5085"/>
      <c r="U408" s="5085"/>
      <c r="V408" s="5085"/>
      <c r="W408" s="5085"/>
      <c r="X408" s="5085"/>
      <c r="Y408" s="5085"/>
      <c r="Z408" s="5102"/>
      <c r="AB408" s="5188">
        <f>GotTok_Direkt!AP65-B408</f>
        <v>0</v>
      </c>
      <c r="AC408" s="4"/>
    </row>
    <row r="409" spans="1:30">
      <c r="A409" s="5131" t="s">
        <v>4605</v>
      </c>
      <c r="B409" s="5113"/>
      <c r="C409" s="5110"/>
      <c r="D409" s="5085"/>
      <c r="E409" s="5085"/>
      <c r="F409" s="5085"/>
      <c r="G409" s="5085"/>
      <c r="H409" s="5085"/>
      <c r="I409" s="5085"/>
      <c r="J409" s="5085"/>
      <c r="K409" s="5085"/>
      <c r="L409" s="5085"/>
      <c r="M409" s="5085"/>
      <c r="N409" s="5085"/>
      <c r="O409" s="5085"/>
      <c r="P409" s="5085"/>
      <c r="Q409" s="5085"/>
      <c r="R409" s="5085"/>
      <c r="S409" s="5085"/>
      <c r="T409" s="5085"/>
      <c r="U409" s="5085"/>
      <c r="V409" s="5085"/>
      <c r="W409" s="5085"/>
      <c r="X409" s="5085"/>
      <c r="Y409" s="5085"/>
      <c r="Z409" s="5102"/>
      <c r="AB409" s="5188">
        <f>GotTok_Direkt!AP66-B409</f>
        <v>0</v>
      </c>
      <c r="AC409" s="4"/>
    </row>
    <row r="410" spans="1:30">
      <c r="A410" s="5131" t="s">
        <v>4606</v>
      </c>
      <c r="B410" s="5113"/>
      <c r="C410" s="5110"/>
      <c r="D410" s="5085"/>
      <c r="E410" s="5085"/>
      <c r="F410" s="5085"/>
      <c r="G410" s="5085"/>
      <c r="H410" s="5085"/>
      <c r="I410" s="5085"/>
      <c r="J410" s="5085"/>
      <c r="K410" s="5085"/>
      <c r="L410" s="5085"/>
      <c r="M410" s="5085"/>
      <c r="N410" s="5085"/>
      <c r="O410" s="5085"/>
      <c r="P410" s="5085"/>
      <c r="Q410" s="5085"/>
      <c r="R410" s="5085"/>
      <c r="S410" s="5085"/>
      <c r="T410" s="5085"/>
      <c r="U410" s="5085"/>
      <c r="V410" s="5085"/>
      <c r="W410" s="5085"/>
      <c r="X410" s="5085"/>
      <c r="Y410" s="5085"/>
      <c r="Z410" s="5102"/>
      <c r="AB410" s="5188">
        <f>GotTok_Direkt!AP67-B410</f>
        <v>0</v>
      </c>
      <c r="AC410" s="4"/>
    </row>
    <row r="411" spans="1:30">
      <c r="A411" s="5131" t="s">
        <v>4607</v>
      </c>
      <c r="B411" s="5113"/>
      <c r="C411" s="5110"/>
      <c r="D411" s="5085"/>
      <c r="E411" s="5085"/>
      <c r="F411" s="5085"/>
      <c r="G411" s="5085"/>
      <c r="H411" s="5085"/>
      <c r="I411" s="5085"/>
      <c r="J411" s="5085"/>
      <c r="K411" s="5085"/>
      <c r="L411" s="5085"/>
      <c r="M411" s="5085"/>
      <c r="N411" s="5085"/>
      <c r="O411" s="5085"/>
      <c r="P411" s="5085"/>
      <c r="Q411" s="5085"/>
      <c r="R411" s="5085"/>
      <c r="S411" s="5085"/>
      <c r="T411" s="5085"/>
      <c r="U411" s="5085"/>
      <c r="V411" s="5085"/>
      <c r="W411" s="5085"/>
      <c r="X411" s="5085"/>
      <c r="Y411" s="5085"/>
      <c r="Z411" s="5102"/>
      <c r="AB411" s="5188">
        <f>GotTok_Direkt!AP68-B411</f>
        <v>0</v>
      </c>
      <c r="AC411" s="4"/>
    </row>
    <row r="412" spans="1:30">
      <c r="A412" s="5131" t="s">
        <v>4608</v>
      </c>
      <c r="B412" s="5113"/>
      <c r="C412" s="5110"/>
      <c r="D412" s="5085"/>
      <c r="E412" s="5085"/>
      <c r="F412" s="5085"/>
      <c r="G412" s="5085"/>
      <c r="H412" s="5085"/>
      <c r="I412" s="5085"/>
      <c r="J412" s="5085"/>
      <c r="K412" s="5085"/>
      <c r="L412" s="5085"/>
      <c r="M412" s="5085"/>
      <c r="N412" s="5085"/>
      <c r="O412" s="5085"/>
      <c r="P412" s="5085"/>
      <c r="Q412" s="5085"/>
      <c r="R412" s="5085"/>
      <c r="S412" s="5085"/>
      <c r="T412" s="5085"/>
      <c r="U412" s="5085"/>
      <c r="V412" s="5085"/>
      <c r="W412" s="5085"/>
      <c r="X412" s="5085"/>
      <c r="Y412" s="5085"/>
      <c r="Z412" s="5102"/>
      <c r="AB412" s="5188">
        <f>GotTok_Direkt!AP69-B412</f>
        <v>0</v>
      </c>
      <c r="AC412" s="4"/>
    </row>
    <row r="413" spans="1:30">
      <c r="A413" s="5131" t="s">
        <v>4609</v>
      </c>
      <c r="B413" s="5113"/>
      <c r="C413" s="5110"/>
      <c r="D413" s="5085"/>
      <c r="E413" s="5085"/>
      <c r="F413" s="5085"/>
      <c r="G413" s="5085"/>
      <c r="H413" s="5085"/>
      <c r="I413" s="5085"/>
      <c r="J413" s="5085"/>
      <c r="K413" s="5085"/>
      <c r="L413" s="5085"/>
      <c r="M413" s="5085"/>
      <c r="N413" s="5085"/>
      <c r="O413" s="5085"/>
      <c r="P413" s="5085"/>
      <c r="Q413" s="5085"/>
      <c r="R413" s="5085"/>
      <c r="S413" s="5085"/>
      <c r="T413" s="5085"/>
      <c r="U413" s="5085"/>
      <c r="V413" s="5085"/>
      <c r="W413" s="5085"/>
      <c r="X413" s="5085"/>
      <c r="Y413" s="5085"/>
      <c r="Z413" s="5102"/>
      <c r="AB413" s="5188">
        <f>GotTok_Direkt!AP70-B413</f>
        <v>0</v>
      </c>
      <c r="AC413" s="4"/>
    </row>
    <row r="414" spans="1:30">
      <c r="A414" s="5131" t="s">
        <v>4610</v>
      </c>
      <c r="B414" s="5113"/>
      <c r="C414" s="5110"/>
      <c r="D414" s="5085"/>
      <c r="E414" s="5085"/>
      <c r="F414" s="5085"/>
      <c r="G414" s="5085"/>
      <c r="H414" s="5085"/>
      <c r="I414" s="5085"/>
      <c r="J414" s="5085"/>
      <c r="K414" s="5085"/>
      <c r="L414" s="5085"/>
      <c r="M414" s="5085"/>
      <c r="N414" s="5085"/>
      <c r="O414" s="5085"/>
      <c r="P414" s="5085"/>
      <c r="Q414" s="5085"/>
      <c r="R414" s="5085"/>
      <c r="S414" s="5085"/>
      <c r="T414" s="5085"/>
      <c r="U414" s="5085"/>
      <c r="V414" s="5085"/>
      <c r="W414" s="5085"/>
      <c r="X414" s="5085"/>
      <c r="Y414" s="5085"/>
      <c r="Z414" s="5102"/>
      <c r="AB414" s="5188">
        <f>GotTok_Direkt!AP76-B414</f>
        <v>0</v>
      </c>
      <c r="AC414" s="4"/>
    </row>
    <row r="415" spans="1:30">
      <c r="A415" s="5131" t="s">
        <v>4611</v>
      </c>
      <c r="B415" s="5113"/>
      <c r="C415" s="5110"/>
      <c r="D415" s="5085"/>
      <c r="E415" s="5085"/>
      <c r="F415" s="5085"/>
      <c r="G415" s="5085"/>
      <c r="H415" s="5085"/>
      <c r="I415" s="5085"/>
      <c r="J415" s="5085"/>
      <c r="K415" s="5085"/>
      <c r="L415" s="5085"/>
      <c r="M415" s="5085"/>
      <c r="N415" s="5085"/>
      <c r="O415" s="5085"/>
      <c r="P415" s="5085"/>
      <c r="Q415" s="5085"/>
      <c r="R415" s="5085"/>
      <c r="S415" s="5085"/>
      <c r="T415" s="5085"/>
      <c r="U415" s="5085"/>
      <c r="V415" s="5085"/>
      <c r="W415" s="5085"/>
      <c r="X415" s="5085"/>
      <c r="Y415" s="5085"/>
      <c r="Z415" s="5102"/>
      <c r="AB415" s="5188">
        <f>GotTok_Direkt!AP77-B415</f>
        <v>0</v>
      </c>
      <c r="AC415" s="4"/>
    </row>
    <row r="416" spans="1:30">
      <c r="A416" s="5131" t="s">
        <v>4612</v>
      </c>
      <c r="B416" s="5191"/>
      <c r="C416" s="5110"/>
      <c r="D416" s="5085"/>
      <c r="E416" s="5085"/>
      <c r="F416" s="5085"/>
      <c r="G416" s="5085"/>
      <c r="H416" s="5085"/>
      <c r="I416" s="5085"/>
      <c r="J416" s="5085"/>
      <c r="K416" s="5085"/>
      <c r="L416" s="5085"/>
      <c r="M416" s="5085"/>
      <c r="N416" s="5085"/>
      <c r="O416" s="5085"/>
      <c r="P416" s="5085"/>
      <c r="Q416" s="5085"/>
      <c r="R416" s="5085"/>
      <c r="S416" s="5085"/>
      <c r="T416" s="5085"/>
      <c r="U416" s="5085"/>
      <c r="V416" s="5085"/>
      <c r="W416" s="5085"/>
      <c r="X416" s="5085"/>
      <c r="Y416" s="5085"/>
      <c r="Z416" s="5102"/>
      <c r="AB416" s="5188">
        <f>GotTok_Direkt!AP78-B416</f>
        <v>0</v>
      </c>
      <c r="AC416" s="4"/>
    </row>
    <row r="417" spans="1:30">
      <c r="A417" s="5131" t="s">
        <v>4613</v>
      </c>
      <c r="B417" s="5113"/>
      <c r="C417" s="5110"/>
      <c r="D417" s="5085"/>
      <c r="E417" s="5085"/>
      <c r="F417" s="5085"/>
      <c r="G417" s="5085"/>
      <c r="H417" s="5085"/>
      <c r="I417" s="5085"/>
      <c r="J417" s="5085"/>
      <c r="K417" s="5085"/>
      <c r="L417" s="5085"/>
      <c r="M417" s="5085"/>
      <c r="N417" s="5085"/>
      <c r="O417" s="5085"/>
      <c r="P417" s="5085"/>
      <c r="Q417" s="5085"/>
      <c r="R417" s="5085"/>
      <c r="S417" s="5085"/>
      <c r="T417" s="5085"/>
      <c r="U417" s="5085"/>
      <c r="V417" s="5085"/>
      <c r="W417" s="5085"/>
      <c r="X417" s="5085"/>
      <c r="Y417" s="5085"/>
      <c r="Z417" s="5102"/>
      <c r="AB417" s="5188">
        <f>GotTok_Direkt!AP79-B417</f>
        <v>0</v>
      </c>
      <c r="AC417" s="4"/>
    </row>
    <row r="418" spans="1:30">
      <c r="A418" s="5131" t="s">
        <v>4614</v>
      </c>
      <c r="B418" s="5113"/>
      <c r="C418" s="5110"/>
      <c r="D418" s="5085"/>
      <c r="E418" s="5085"/>
      <c r="F418" s="5085"/>
      <c r="G418" s="5085"/>
      <c r="H418" s="5085"/>
      <c r="I418" s="5085"/>
      <c r="J418" s="5085"/>
      <c r="K418" s="5085"/>
      <c r="L418" s="5085"/>
      <c r="M418" s="5085"/>
      <c r="N418" s="5085"/>
      <c r="O418" s="5085"/>
      <c r="P418" s="5085"/>
      <c r="Q418" s="5085"/>
      <c r="R418" s="5085"/>
      <c r="S418" s="5085"/>
      <c r="T418" s="5085"/>
      <c r="U418" s="5085"/>
      <c r="V418" s="5085"/>
      <c r="W418" s="5085"/>
      <c r="X418" s="5085"/>
      <c r="Y418" s="5085"/>
      <c r="Z418" s="5102"/>
      <c r="AB418" s="5188">
        <f>GotTok_Direkt!AP80-B418</f>
        <v>0</v>
      </c>
      <c r="AC418" s="4"/>
    </row>
    <row r="419" spans="1:30">
      <c r="A419" s="5131" t="s">
        <v>4615</v>
      </c>
      <c r="B419" s="5113"/>
      <c r="C419" s="5110"/>
      <c r="D419" s="5085"/>
      <c r="E419" s="5085"/>
      <c r="F419" s="5085"/>
      <c r="G419" s="5085"/>
      <c r="H419" s="5085"/>
      <c r="I419" s="5085"/>
      <c r="J419" s="5085"/>
      <c r="K419" s="5085"/>
      <c r="L419" s="5085"/>
      <c r="M419" s="5085"/>
      <c r="N419" s="5085"/>
      <c r="O419" s="5085"/>
      <c r="P419" s="5085"/>
      <c r="Q419" s="5085"/>
      <c r="R419" s="5085"/>
      <c r="S419" s="5085"/>
      <c r="T419" s="5085"/>
      <c r="U419" s="5085"/>
      <c r="V419" s="5085"/>
      <c r="W419" s="5085"/>
      <c r="X419" s="5085"/>
      <c r="Y419" s="5085"/>
      <c r="Z419" s="5102"/>
      <c r="AB419" s="5188">
        <f>GotTok_Direkt!AP81-B419</f>
        <v>0</v>
      </c>
      <c r="AC419" s="4"/>
    </row>
    <row r="420" ht="15" spans="1:30">
      <c r="A420" s="5131" t="s">
        <v>4616</v>
      </c>
      <c r="B420" s="30">
        <f>GotTok_Direkt!AP82</f>
        <v>0</v>
      </c>
      <c r="C420" s="5110"/>
      <c r="D420" s="5085"/>
      <c r="E420" s="5085"/>
      <c r="F420" s="5085"/>
      <c r="G420" s="5085"/>
      <c r="H420" s="5085"/>
      <c r="I420" s="5085"/>
      <c r="J420" s="5085"/>
      <c r="K420" s="5085"/>
      <c r="L420" s="5085"/>
      <c r="M420" s="5085"/>
      <c r="N420" s="5085"/>
      <c r="O420" s="5085"/>
      <c r="P420" s="5085"/>
      <c r="Q420" s="5085"/>
      <c r="R420" s="5085"/>
      <c r="S420" s="5085"/>
      <c r="T420" s="5085"/>
      <c r="U420" s="5085"/>
      <c r="V420" s="5085"/>
      <c r="W420" s="5085"/>
      <c r="X420" s="5085"/>
      <c r="Y420" s="5085"/>
      <c r="Z420" s="5102"/>
      <c r="AB420" s="5189">
        <f>GotTok_Direkt!BO82</f>
        <v>0</v>
      </c>
      <c r="AC420" s="4"/>
      <c r="AD420" s="5090">
        <f t="shared" ref="AD420:AD421" si="7">IF(AB420=0,0,"PAŽNJA! Provjerite AOP "&amp;A420&amp;" MSV - PROŠLU godinu, razlika = "&amp;TEXT(AB420,"#.##0,00 [$KM-141A]"))</f>
        <v>0</v>
      </c>
    </row>
    <row r="421" ht="15" spans="1:30">
      <c r="A421" s="5131" t="s">
        <v>4617</v>
      </c>
      <c r="B421" s="30">
        <f>GotTok_Direkt!AP83</f>
        <v>0</v>
      </c>
      <c r="C421" s="5110"/>
      <c r="D421" s="5085"/>
      <c r="E421" s="5085"/>
      <c r="F421" s="5085"/>
      <c r="G421" s="5085"/>
      <c r="H421" s="5085"/>
      <c r="I421" s="5085"/>
      <c r="J421" s="5085"/>
      <c r="K421" s="5085"/>
      <c r="L421" s="5085"/>
      <c r="M421" s="5085"/>
      <c r="N421" s="5085"/>
      <c r="O421" s="5085"/>
      <c r="P421" s="5085"/>
      <c r="Q421" s="5085"/>
      <c r="R421" s="5085"/>
      <c r="S421" s="5085"/>
      <c r="T421" s="5085"/>
      <c r="U421" s="5085"/>
      <c r="V421" s="5085"/>
      <c r="W421" s="5085"/>
      <c r="X421" s="5085"/>
      <c r="Y421" s="5085"/>
      <c r="Z421" s="5102"/>
      <c r="AB421" s="5189">
        <f>GotTok_Direkt!BO83</f>
        <v>0</v>
      </c>
      <c r="AC421" s="4"/>
      <c r="AD421" s="5090">
        <f t="shared" si="7"/>
        <v>0</v>
      </c>
    </row>
    <row r="422" spans="1:30">
      <c r="A422" s="5131" t="s">
        <v>4618</v>
      </c>
      <c r="B422" s="5113"/>
      <c r="C422" s="5110"/>
      <c r="D422" s="5085"/>
      <c r="E422" s="5085"/>
      <c r="F422" s="5085"/>
      <c r="G422" s="5085"/>
      <c r="H422" s="5085"/>
      <c r="I422" s="5085"/>
      <c r="J422" s="5085"/>
      <c r="K422" s="5085"/>
      <c r="L422" s="5085"/>
      <c r="M422" s="5085"/>
      <c r="N422" s="5085"/>
      <c r="O422" s="5085"/>
      <c r="P422" s="5085"/>
      <c r="Q422" s="5085"/>
      <c r="R422" s="5085"/>
      <c r="S422" s="5085"/>
      <c r="T422" s="5085"/>
      <c r="U422" s="5085"/>
      <c r="V422" s="5085"/>
      <c r="W422" s="5085"/>
      <c r="X422" s="5085"/>
      <c r="Y422" s="5085"/>
      <c r="Z422" s="5102"/>
      <c r="AB422" s="5188">
        <f>GotTok_Direkt!AP84-B422</f>
        <v>0</v>
      </c>
      <c r="AC422" s="4"/>
    </row>
    <row r="423" spans="1:30">
      <c r="A423" s="5131" t="s">
        <v>4619</v>
      </c>
      <c r="B423" s="5113"/>
      <c r="C423" s="5110"/>
      <c r="D423" s="5085"/>
      <c r="E423" s="5085"/>
      <c r="F423" s="5085"/>
      <c r="G423" s="5085"/>
      <c r="H423" s="5085"/>
      <c r="I423" s="5085"/>
      <c r="J423" s="5085"/>
      <c r="K423" s="5085"/>
      <c r="L423" s="5085"/>
      <c r="M423" s="5085"/>
      <c r="N423" s="5085"/>
      <c r="O423" s="5085"/>
      <c r="P423" s="5085"/>
      <c r="Q423" s="5085"/>
      <c r="R423" s="5085"/>
      <c r="S423" s="5085"/>
      <c r="T423" s="5085"/>
      <c r="U423" s="5085"/>
      <c r="V423" s="5085"/>
      <c r="W423" s="5085"/>
      <c r="X423" s="5085"/>
      <c r="Y423" s="5085"/>
      <c r="Z423" s="5102"/>
      <c r="AB423" s="5188">
        <f>GotTok_Direkt!AP85-B423</f>
        <v>0</v>
      </c>
      <c r="AC423" s="4"/>
    </row>
    <row r="424" spans="1:30">
      <c r="A424" s="5131" t="s">
        <v>4620</v>
      </c>
      <c r="B424" s="5113"/>
      <c r="C424" s="5110"/>
      <c r="D424" s="5085"/>
      <c r="E424" s="5085"/>
      <c r="F424" s="5085"/>
      <c r="G424" s="5085"/>
      <c r="H424" s="5085"/>
      <c r="I424" s="5085"/>
      <c r="J424" s="5085"/>
      <c r="K424" s="5085"/>
      <c r="L424" s="5085"/>
      <c r="M424" s="5085"/>
      <c r="N424" s="5085"/>
      <c r="O424" s="5085"/>
      <c r="P424" s="5085"/>
      <c r="Q424" s="5085"/>
      <c r="R424" s="5085"/>
      <c r="S424" s="5085"/>
      <c r="T424" s="5085"/>
      <c r="U424" s="5085"/>
      <c r="V424" s="5085"/>
      <c r="W424" s="5085"/>
      <c r="X424" s="5085"/>
      <c r="Y424" s="5085"/>
      <c r="Z424" s="5102"/>
      <c r="AB424" s="5188">
        <f>GotTok_Direkt!AP86-B424</f>
        <v>0</v>
      </c>
      <c r="AC424" s="4"/>
    </row>
    <row r="425" ht="15" spans="1:30">
      <c r="A425" s="5192">
        <f>GotTok_Direkt!AP87</f>
        <v>0</v>
      </c>
      <c r="B425" s="5087"/>
      <c r="C425" s="5087"/>
      <c r="D425" s="5085"/>
      <c r="E425" s="5085"/>
      <c r="F425" s="5085"/>
      <c r="G425" s="5085"/>
      <c r="H425" s="5085"/>
      <c r="I425" s="5085"/>
      <c r="J425" s="5085"/>
      <c r="K425" s="5085"/>
      <c r="L425" s="5085"/>
      <c r="M425" s="5085"/>
      <c r="N425" s="5085"/>
      <c r="O425" s="5085"/>
      <c r="P425" s="5085"/>
      <c r="Q425" s="5085"/>
      <c r="R425" s="5085"/>
      <c r="S425" s="5085"/>
      <c r="T425" s="5085"/>
      <c r="U425" s="5085"/>
      <c r="V425" s="5085"/>
      <c r="W425" s="5085"/>
      <c r="X425" s="5085"/>
      <c r="Y425" s="5085"/>
      <c r="Z425" s="5102"/>
      <c r="AB425" s="5188">
        <f>GotTok_Direkt!AP87</f>
        <v>0</v>
      </c>
      <c r="AC425" s="4"/>
      <c r="AD425" s="5090">
        <f>IF(AB425=0,0,"PAŽNJA! Provjerite PROŠLU godinu, razlika = "&amp;TEXT(AB425,"#.##0,00 [$KM-141A]"))</f>
        <v>0</v>
      </c>
    </row>
    <row r="426" spans="1:30">
      <c r="A426" s="5085"/>
      <c r="B426" s="5087"/>
      <c r="C426" s="5087"/>
      <c r="D426" s="5085"/>
      <c r="E426" s="5085"/>
      <c r="F426" s="5085"/>
      <c r="G426" s="5085"/>
      <c r="H426" s="5085"/>
      <c r="I426" s="5085"/>
      <c r="J426" s="5085"/>
      <c r="K426" s="5085"/>
      <c r="L426" s="5085"/>
      <c r="M426" s="5085"/>
      <c r="N426" s="5085"/>
      <c r="O426" s="5085"/>
      <c r="P426" s="5085"/>
      <c r="Q426" s="5085"/>
      <c r="R426" s="5085"/>
      <c r="S426" s="5085"/>
      <c r="T426" s="5085"/>
      <c r="U426" s="5085"/>
      <c r="V426" s="5085"/>
      <c r="W426" s="5085"/>
      <c r="X426" s="5085"/>
      <c r="Y426" s="5085"/>
      <c r="Z426" s="5102"/>
      <c r="AB426" s="4"/>
      <c r="AC426" s="4"/>
    </row>
    <row r="427" spans="1:30">
      <c r="A427" s="5085"/>
      <c r="B427" s="5087"/>
      <c r="C427" s="5087"/>
      <c r="D427" s="5085"/>
      <c r="E427" s="5085"/>
      <c r="F427" s="5085"/>
      <c r="G427" s="5085"/>
      <c r="H427" s="5085"/>
      <c r="I427" s="5085"/>
      <c r="J427" s="5085"/>
      <c r="K427" s="5085"/>
      <c r="L427" s="5085"/>
      <c r="M427" s="5085"/>
      <c r="N427" s="5085"/>
      <c r="O427" s="5085"/>
      <c r="P427" s="5085"/>
      <c r="Q427" s="5085"/>
      <c r="R427" s="5085"/>
      <c r="S427" s="5085"/>
      <c r="T427" s="5085"/>
      <c r="U427" s="5085"/>
      <c r="V427" s="5085"/>
      <c r="W427" s="5085"/>
      <c r="X427" s="5085"/>
      <c r="Y427" s="5085"/>
      <c r="Z427" s="5102"/>
      <c r="AB427" s="4"/>
      <c r="AC427" s="4"/>
    </row>
    <row r="428" ht="23.25" customHeight="1" spans="1:30">
      <c r="A428" s="5091"/>
      <c r="B428" s="5092" t="str">
        <f>"GOTOVINSKI TOKOVI indirektna metoda  - "&amp;Firma&amp;"_"&amp;UnosPod!$O$6&amp;UnosPod!$P$6&amp;"."&amp;UnosPod!$Q$6-1</f>
        <v>GOTOVINSKI TOKOVI indirektna metoda  - LILIUM ASSET MANAGEMENT d.o.o. Sarajevo_12.2024</v>
      </c>
      <c r="C428" s="5093"/>
      <c r="D428" s="5121"/>
      <c r="E428" s="5094"/>
      <c r="F428" s="5094"/>
      <c r="G428" s="5094"/>
      <c r="H428" s="5121"/>
      <c r="I428" s="5121"/>
      <c r="J428" s="5121"/>
      <c r="K428" s="5121"/>
      <c r="L428" s="5121"/>
      <c r="M428" s="5121"/>
      <c r="N428" s="5121"/>
      <c r="O428" s="5121"/>
      <c r="P428" s="5121"/>
      <c r="Q428" s="5121"/>
      <c r="R428" s="5121"/>
      <c r="S428" s="5121"/>
      <c r="T428" s="5121"/>
      <c r="U428" s="5121"/>
      <c r="V428" s="5121"/>
      <c r="W428" s="5121"/>
      <c r="X428" s="5121"/>
      <c r="Y428" s="5121"/>
      <c r="Z428" s="5096"/>
      <c r="AB428" s="7"/>
      <c r="AC428" s="8"/>
    </row>
    <row r="429" ht="20.25" customHeight="1" spans="1:30">
      <c r="A429" s="5163" t="s">
        <v>2438</v>
      </c>
      <c r="B429" s="5164" t="s">
        <v>4443</v>
      </c>
      <c r="C429" s="5187"/>
      <c r="D429" s="5085"/>
      <c r="E429" s="5085"/>
      <c r="F429" s="5085"/>
      <c r="G429" s="5085"/>
      <c r="H429" s="5085"/>
      <c r="I429" s="5085"/>
      <c r="J429" s="5085"/>
      <c r="K429" s="5085"/>
      <c r="L429" s="5085"/>
      <c r="M429" s="5085"/>
      <c r="N429" s="5085"/>
      <c r="O429" s="5085"/>
      <c r="P429" s="5085"/>
      <c r="Q429" s="5085"/>
      <c r="R429" s="5085"/>
      <c r="S429" s="5085"/>
      <c r="T429" s="5085"/>
      <c r="U429" s="5085"/>
      <c r="V429" s="5085"/>
      <c r="W429" s="5085"/>
      <c r="X429" s="5085"/>
      <c r="Y429" s="5085"/>
      <c r="Z429" s="5102"/>
      <c r="AB429" s="5103"/>
      <c r="AC429" s="4"/>
    </row>
    <row r="430" spans="1:30">
      <c r="A430" s="5131" t="s">
        <v>3414</v>
      </c>
      <c r="B430" s="5113">
        <v>99242</v>
      </c>
      <c r="C430" s="5110"/>
      <c r="D430" s="5085"/>
      <c r="E430" s="5085"/>
      <c r="F430" s="5085"/>
      <c r="G430" s="5085"/>
      <c r="H430" s="5085"/>
      <c r="I430" s="5085"/>
      <c r="J430" s="5085"/>
      <c r="K430" s="5085"/>
      <c r="L430" s="5085"/>
      <c r="M430" s="5085"/>
      <c r="N430" s="5085"/>
      <c r="O430" s="5085"/>
      <c r="P430" s="5085"/>
      <c r="Q430" s="5085"/>
      <c r="R430" s="5085"/>
      <c r="S430" s="5085"/>
      <c r="T430" s="5085"/>
      <c r="U430" s="5085"/>
      <c r="V430" s="5085"/>
      <c r="W430" s="5085"/>
      <c r="X430" s="5085"/>
      <c r="Y430" s="5085"/>
      <c r="Z430" s="5102"/>
      <c r="AB430" s="5188">
        <f>GotTok_Indirekt!AP21-B430</f>
        <v>0</v>
      </c>
      <c r="AC430" s="4"/>
    </row>
    <row r="431" spans="1:30">
      <c r="A431" s="5118"/>
      <c r="B431" s="5119"/>
      <c r="C431" s="5119"/>
      <c r="D431" s="5085"/>
      <c r="E431" s="5085"/>
      <c r="F431" s="5085"/>
      <c r="G431" s="5085"/>
      <c r="H431" s="5085"/>
      <c r="I431" s="5085"/>
      <c r="J431" s="5085"/>
      <c r="K431" s="5085"/>
      <c r="L431" s="5085"/>
      <c r="M431" s="5085"/>
      <c r="N431" s="5085"/>
      <c r="O431" s="5085"/>
      <c r="P431" s="5085"/>
      <c r="Q431" s="5085"/>
      <c r="R431" s="5085"/>
      <c r="S431" s="5085"/>
      <c r="T431" s="5085"/>
      <c r="U431" s="5085"/>
      <c r="V431" s="5085"/>
      <c r="W431" s="5085"/>
      <c r="X431" s="5085"/>
      <c r="Y431" s="5085"/>
      <c r="Z431" s="5102"/>
      <c r="AB431" s="5190"/>
      <c r="AC431" s="4"/>
    </row>
    <row r="432" spans="1:30">
      <c r="A432" s="5131" t="s">
        <v>3419</v>
      </c>
      <c r="B432" s="5113">
        <v>5172</v>
      </c>
      <c r="C432" s="5110"/>
      <c r="D432" s="5085"/>
      <c r="E432" s="5085"/>
      <c r="F432" s="5085"/>
      <c r="G432" s="5085"/>
      <c r="H432" s="5085"/>
      <c r="I432" s="5085"/>
      <c r="J432" s="5085"/>
      <c r="K432" s="5085"/>
      <c r="L432" s="5085"/>
      <c r="M432" s="5085"/>
      <c r="N432" s="5085"/>
      <c r="O432" s="5085"/>
      <c r="P432" s="5085"/>
      <c r="Q432" s="5085"/>
      <c r="R432" s="5085"/>
      <c r="S432" s="5085"/>
      <c r="T432" s="5085"/>
      <c r="U432" s="5085"/>
      <c r="V432" s="5085"/>
      <c r="W432" s="5085"/>
      <c r="X432" s="5085"/>
      <c r="Y432" s="5085"/>
      <c r="Z432" s="5102"/>
      <c r="AB432" s="5188">
        <f>GotTok_Indirekt!AP23-B432</f>
        <v>0</v>
      </c>
      <c r="AC432" s="4"/>
    </row>
    <row r="433" spans="1:29">
      <c r="A433" s="5131" t="s">
        <v>3420</v>
      </c>
      <c r="B433" s="5113"/>
      <c r="C433" s="5110"/>
      <c r="D433" s="5085"/>
      <c r="E433" s="5085"/>
      <c r="F433" s="5085"/>
      <c r="G433" s="5085"/>
      <c r="H433" s="5085"/>
      <c r="I433" s="5085"/>
      <c r="J433" s="5085"/>
      <c r="K433" s="5085"/>
      <c r="L433" s="5085"/>
      <c r="M433" s="5085"/>
      <c r="N433" s="5085"/>
      <c r="O433" s="5085"/>
      <c r="P433" s="5085"/>
      <c r="Q433" s="5085"/>
      <c r="R433" s="5085"/>
      <c r="S433" s="5085"/>
      <c r="T433" s="5085"/>
      <c r="U433" s="5085"/>
      <c r="V433" s="5085"/>
      <c r="W433" s="5085"/>
      <c r="X433" s="5085"/>
      <c r="Y433" s="5085"/>
      <c r="Z433" s="5102"/>
      <c r="AB433" s="5188">
        <f>GotTok_Indirekt!AP24-B433</f>
        <v>0</v>
      </c>
      <c r="AC433" s="4"/>
    </row>
    <row r="434" spans="1:29">
      <c r="A434" s="5131" t="s">
        <v>3423</v>
      </c>
      <c r="B434" s="5113"/>
      <c r="C434" s="5110"/>
      <c r="D434" s="5085"/>
      <c r="E434" s="5085"/>
      <c r="F434" s="5085"/>
      <c r="G434" s="5085"/>
      <c r="H434" s="5085"/>
      <c r="I434" s="5085"/>
      <c r="J434" s="5085"/>
      <c r="K434" s="5085"/>
      <c r="L434" s="5085"/>
      <c r="M434" s="5085"/>
      <c r="N434" s="5085"/>
      <c r="O434" s="5085"/>
      <c r="P434" s="5085"/>
      <c r="Q434" s="5085"/>
      <c r="R434" s="5085"/>
      <c r="S434" s="5085"/>
      <c r="T434" s="5085"/>
      <c r="U434" s="5085"/>
      <c r="V434" s="5085"/>
      <c r="W434" s="5085"/>
      <c r="X434" s="5085"/>
      <c r="Y434" s="5085"/>
      <c r="Z434" s="5102"/>
      <c r="AB434" s="5188">
        <f>GotTok_Indirekt!AP25-B434</f>
        <v>0</v>
      </c>
      <c r="AC434" s="4"/>
    </row>
    <row r="435" spans="1:29">
      <c r="A435" s="5131" t="s">
        <v>3426</v>
      </c>
      <c r="B435" s="5113"/>
      <c r="C435" s="5110"/>
      <c r="D435" s="5085"/>
      <c r="E435" s="5085"/>
      <c r="F435" s="5085"/>
      <c r="G435" s="5085"/>
      <c r="H435" s="5085"/>
      <c r="I435" s="5085"/>
      <c r="J435" s="5085"/>
      <c r="K435" s="5085"/>
      <c r="L435" s="5085"/>
      <c r="M435" s="5085"/>
      <c r="N435" s="5085"/>
      <c r="O435" s="5085"/>
      <c r="P435" s="5085"/>
      <c r="Q435" s="5085"/>
      <c r="R435" s="5085"/>
      <c r="S435" s="5085"/>
      <c r="T435" s="5085"/>
      <c r="U435" s="5085"/>
      <c r="V435" s="5085"/>
      <c r="W435" s="5085"/>
      <c r="X435" s="5085"/>
      <c r="Y435" s="5085"/>
      <c r="Z435" s="5102"/>
      <c r="AB435" s="5188">
        <f>GotTok_Indirekt!AP26-B435</f>
        <v>0</v>
      </c>
      <c r="AC435" s="4"/>
    </row>
    <row r="436" spans="1:29">
      <c r="A436" s="5131" t="s">
        <v>3429</v>
      </c>
      <c r="B436" s="5113"/>
      <c r="C436" s="5110"/>
      <c r="D436" s="5085"/>
      <c r="E436" s="5085"/>
      <c r="F436" s="5085"/>
      <c r="G436" s="5085"/>
      <c r="H436" s="5085"/>
      <c r="I436" s="5085"/>
      <c r="J436" s="5085"/>
      <c r="K436" s="5085"/>
      <c r="L436" s="5085"/>
      <c r="M436" s="5085"/>
      <c r="N436" s="5085"/>
      <c r="O436" s="5085"/>
      <c r="P436" s="5085"/>
      <c r="Q436" s="5085"/>
      <c r="R436" s="5085"/>
      <c r="S436" s="5085"/>
      <c r="T436" s="5085"/>
      <c r="U436" s="5085"/>
      <c r="V436" s="5085"/>
      <c r="W436" s="5085"/>
      <c r="X436" s="5085"/>
      <c r="Y436" s="5085"/>
      <c r="Z436" s="5102"/>
      <c r="AB436" s="5188">
        <f>GotTok_Indirekt!AP27-B436</f>
        <v>0</v>
      </c>
      <c r="AC436" s="4"/>
    </row>
    <row r="437" spans="1:29">
      <c r="A437" s="5131" t="s">
        <v>3432</v>
      </c>
      <c r="B437" s="5113"/>
      <c r="C437" s="5110"/>
      <c r="D437" s="5085"/>
      <c r="E437" s="5085"/>
      <c r="F437" s="5085"/>
      <c r="G437" s="5085"/>
      <c r="H437" s="5085"/>
      <c r="I437" s="5085"/>
      <c r="J437" s="5085"/>
      <c r="K437" s="5085"/>
      <c r="L437" s="5085"/>
      <c r="M437" s="5085"/>
      <c r="N437" s="5085"/>
      <c r="O437" s="5085"/>
      <c r="P437" s="5085"/>
      <c r="Q437" s="5085"/>
      <c r="R437" s="5085"/>
      <c r="S437" s="5085"/>
      <c r="T437" s="5085"/>
      <c r="U437" s="5085"/>
      <c r="V437" s="5085"/>
      <c r="W437" s="5085"/>
      <c r="X437" s="5085"/>
      <c r="Y437" s="5085"/>
      <c r="Z437" s="5102"/>
      <c r="AB437" s="5188">
        <f>GotTok_Indirekt!AP28-B437</f>
        <v>0</v>
      </c>
      <c r="AC437" s="4"/>
    </row>
    <row r="438" spans="1:29">
      <c r="A438" s="5131" t="s">
        <v>3435</v>
      </c>
      <c r="B438" s="5113"/>
      <c r="C438" s="5110"/>
      <c r="D438" s="5085"/>
      <c r="E438" s="5085"/>
      <c r="F438" s="5085"/>
      <c r="G438" s="5085"/>
      <c r="H438" s="5085"/>
      <c r="I438" s="5085"/>
      <c r="J438" s="5085"/>
      <c r="K438" s="5085"/>
      <c r="L438" s="5085"/>
      <c r="M438" s="5085"/>
      <c r="N438" s="5085"/>
      <c r="O438" s="5085"/>
      <c r="P438" s="5085"/>
      <c r="Q438" s="5085"/>
      <c r="R438" s="5085"/>
      <c r="S438" s="5085"/>
      <c r="T438" s="5085"/>
      <c r="U438" s="5085"/>
      <c r="V438" s="5085"/>
      <c r="W438" s="5085"/>
      <c r="X438" s="5085"/>
      <c r="Y438" s="5085"/>
      <c r="Z438" s="5102"/>
      <c r="AB438" s="5188">
        <f>GotTok_Indirekt!AP29-B438</f>
        <v>0</v>
      </c>
      <c r="AC438" s="4"/>
    </row>
    <row r="439" spans="1:29">
      <c r="A439" s="5131" t="s">
        <v>3438</v>
      </c>
      <c r="B439" s="5113"/>
      <c r="C439" s="5110"/>
      <c r="D439" s="5085"/>
      <c r="E439" s="5085"/>
      <c r="F439" s="5085"/>
      <c r="G439" s="5085"/>
      <c r="H439" s="5085"/>
      <c r="I439" s="5085"/>
      <c r="J439" s="5085"/>
      <c r="K439" s="5085"/>
      <c r="L439" s="5085"/>
      <c r="M439" s="5085"/>
      <c r="N439" s="5085"/>
      <c r="O439" s="5085"/>
      <c r="P439" s="5085"/>
      <c r="Q439" s="5085"/>
      <c r="R439" s="5085"/>
      <c r="S439" s="5085"/>
      <c r="T439" s="5085"/>
      <c r="U439" s="5085"/>
      <c r="V439" s="5085"/>
      <c r="W439" s="5085"/>
      <c r="X439" s="5085"/>
      <c r="Y439" s="5085"/>
      <c r="Z439" s="5102"/>
      <c r="AB439" s="5188">
        <f>GotTok_Indirekt!AP30-B439</f>
        <v>0</v>
      </c>
      <c r="AC439" s="4"/>
    </row>
    <row r="440" spans="1:29">
      <c r="A440" s="5131" t="s">
        <v>3441</v>
      </c>
      <c r="B440" s="5113"/>
      <c r="C440" s="5110"/>
      <c r="D440" s="5085"/>
      <c r="E440" s="5085"/>
      <c r="F440" s="5085"/>
      <c r="G440" s="5085"/>
      <c r="H440" s="5085"/>
      <c r="I440" s="5085"/>
      <c r="J440" s="5085"/>
      <c r="K440" s="5085"/>
      <c r="L440" s="5085"/>
      <c r="M440" s="5085"/>
      <c r="N440" s="5085"/>
      <c r="O440" s="5085"/>
      <c r="P440" s="5085"/>
      <c r="Q440" s="5085"/>
      <c r="R440" s="5085"/>
      <c r="S440" s="5085"/>
      <c r="T440" s="5085"/>
      <c r="U440" s="5085"/>
      <c r="V440" s="5085"/>
      <c r="W440" s="5085"/>
      <c r="X440" s="5085"/>
      <c r="Y440" s="5085"/>
      <c r="Z440" s="5102"/>
      <c r="AB440" s="5188">
        <f>GotTok_Indirekt!AP31-B440</f>
        <v>0</v>
      </c>
      <c r="AC440" s="4"/>
    </row>
    <row r="441" spans="1:29">
      <c r="A441" s="5131" t="s">
        <v>3444</v>
      </c>
      <c r="B441" s="5113"/>
      <c r="C441" s="5110"/>
      <c r="D441" s="5085"/>
      <c r="E441" s="5085"/>
      <c r="F441" s="5085"/>
      <c r="G441" s="5085"/>
      <c r="H441" s="5085"/>
      <c r="I441" s="5085"/>
      <c r="J441" s="5085"/>
      <c r="K441" s="5085"/>
      <c r="L441" s="5085"/>
      <c r="M441" s="5085"/>
      <c r="N441" s="5085"/>
      <c r="O441" s="5085"/>
      <c r="P441" s="5085"/>
      <c r="Q441" s="5085"/>
      <c r="R441" s="5085"/>
      <c r="S441" s="5085"/>
      <c r="T441" s="5085"/>
      <c r="U441" s="5085"/>
      <c r="V441" s="5085"/>
      <c r="W441" s="5085"/>
      <c r="X441" s="5085"/>
      <c r="Y441" s="5085"/>
      <c r="Z441" s="5102"/>
      <c r="AB441" s="5188">
        <f>GotTok_Indirekt!AP32-B441</f>
        <v>0</v>
      </c>
      <c r="AC441" s="4"/>
    </row>
    <row r="442" spans="1:29">
      <c r="A442" s="5131" t="s">
        <v>3447</v>
      </c>
      <c r="B442" s="5113"/>
      <c r="C442" s="5110"/>
      <c r="D442" s="5085"/>
      <c r="E442" s="5085"/>
      <c r="F442" s="5085"/>
      <c r="G442" s="5085"/>
      <c r="H442" s="5085"/>
      <c r="I442" s="5085"/>
      <c r="J442" s="5085"/>
      <c r="K442" s="5085"/>
      <c r="L442" s="5085"/>
      <c r="M442" s="5085"/>
      <c r="N442" s="5085"/>
      <c r="O442" s="5085"/>
      <c r="P442" s="5085"/>
      <c r="Q442" s="5085"/>
      <c r="R442" s="5085"/>
      <c r="S442" s="5085"/>
      <c r="T442" s="5085"/>
      <c r="U442" s="5085"/>
      <c r="V442" s="5085"/>
      <c r="W442" s="5085"/>
      <c r="X442" s="5085"/>
      <c r="Y442" s="5085"/>
      <c r="Z442" s="5102"/>
      <c r="AB442" s="5188">
        <f>GotTok_Indirekt!AP33-B442</f>
        <v>0</v>
      </c>
      <c r="AC442" s="4"/>
    </row>
    <row r="443" spans="1:29">
      <c r="A443" s="5131" t="s">
        <v>3451</v>
      </c>
      <c r="B443" s="5113"/>
      <c r="C443" s="5110"/>
      <c r="D443" s="5085"/>
      <c r="E443" s="5085"/>
      <c r="F443" s="5085"/>
      <c r="G443" s="5085"/>
      <c r="H443" s="5085"/>
      <c r="I443" s="5085"/>
      <c r="J443" s="5085"/>
      <c r="K443" s="5085"/>
      <c r="L443" s="5085"/>
      <c r="M443" s="5085"/>
      <c r="N443" s="5085"/>
      <c r="O443" s="5085"/>
      <c r="P443" s="5085"/>
      <c r="Q443" s="5085"/>
      <c r="R443" s="5085"/>
      <c r="S443" s="5085"/>
      <c r="T443" s="5085"/>
      <c r="U443" s="5085"/>
      <c r="V443" s="5085"/>
      <c r="W443" s="5085"/>
      <c r="X443" s="5085"/>
      <c r="Y443" s="5085"/>
      <c r="Z443" s="5102"/>
      <c r="AB443" s="5188">
        <f>GotTok_Indirekt!AP34-B443</f>
        <v>0</v>
      </c>
      <c r="AC443" s="4"/>
    </row>
    <row r="444" spans="1:29">
      <c r="A444" s="5131" t="s">
        <v>3454</v>
      </c>
      <c r="B444" s="5113"/>
      <c r="C444" s="5110"/>
      <c r="D444" s="5085"/>
      <c r="E444" s="5085"/>
      <c r="F444" s="5085"/>
      <c r="G444" s="5085"/>
      <c r="H444" s="5085"/>
      <c r="I444" s="5085"/>
      <c r="J444" s="5085"/>
      <c r="K444" s="5085"/>
      <c r="L444" s="5085"/>
      <c r="M444" s="5085"/>
      <c r="N444" s="5085"/>
      <c r="O444" s="5085"/>
      <c r="P444" s="5085"/>
      <c r="Q444" s="5085"/>
      <c r="R444" s="5085"/>
      <c r="S444" s="5085"/>
      <c r="T444" s="5085"/>
      <c r="U444" s="5085"/>
      <c r="V444" s="5085"/>
      <c r="W444" s="5085"/>
      <c r="X444" s="5085"/>
      <c r="Y444" s="5085"/>
      <c r="Z444" s="5102"/>
      <c r="AB444" s="5188">
        <f>GotTok_Indirekt!AP35-B444</f>
        <v>0</v>
      </c>
      <c r="AC444" s="4"/>
    </row>
    <row r="445" spans="1:29">
      <c r="A445" s="5131" t="s">
        <v>3458</v>
      </c>
      <c r="B445" s="5113"/>
      <c r="C445" s="5110"/>
      <c r="D445" s="5085"/>
      <c r="E445" s="5085"/>
      <c r="F445" s="5085"/>
      <c r="G445" s="5085"/>
      <c r="H445" s="5085"/>
      <c r="I445" s="5085"/>
      <c r="J445" s="5085"/>
      <c r="K445" s="5085"/>
      <c r="L445" s="5085"/>
      <c r="M445" s="5085"/>
      <c r="N445" s="5085"/>
      <c r="O445" s="5085"/>
      <c r="P445" s="5085"/>
      <c r="Q445" s="5085"/>
      <c r="R445" s="5085"/>
      <c r="S445" s="5085"/>
      <c r="T445" s="5085"/>
      <c r="U445" s="5085"/>
      <c r="V445" s="5085"/>
      <c r="W445" s="5085"/>
      <c r="X445" s="5085"/>
      <c r="Y445" s="5085"/>
      <c r="Z445" s="5102"/>
      <c r="AB445" s="5188">
        <f>GotTok_Indirekt!AP36-B445</f>
        <v>0</v>
      </c>
      <c r="AC445" s="4"/>
    </row>
    <row r="446" spans="1:29">
      <c r="A446" s="5131" t="s">
        <v>3462</v>
      </c>
      <c r="B446" s="5113"/>
      <c r="C446" s="5110"/>
      <c r="D446" s="5085"/>
      <c r="E446" s="5085"/>
      <c r="F446" s="5085"/>
      <c r="G446" s="5085"/>
      <c r="H446" s="5085"/>
      <c r="I446" s="5085"/>
      <c r="J446" s="5085"/>
      <c r="K446" s="5085"/>
      <c r="L446" s="5085"/>
      <c r="M446" s="5085"/>
      <c r="N446" s="5085"/>
      <c r="O446" s="5085"/>
      <c r="P446" s="5085"/>
      <c r="Q446" s="5085"/>
      <c r="R446" s="5085"/>
      <c r="S446" s="5085"/>
      <c r="T446" s="5085"/>
      <c r="U446" s="5085"/>
      <c r="V446" s="5085"/>
      <c r="W446" s="5085"/>
      <c r="X446" s="5085"/>
      <c r="Y446" s="5085"/>
      <c r="Z446" s="5102"/>
      <c r="AB446" s="5188">
        <f>GotTok_Indirekt!AP37-B446</f>
        <v>0</v>
      </c>
      <c r="AC446" s="4"/>
    </row>
    <row r="447" spans="1:29">
      <c r="A447" s="5131" t="s">
        <v>3466</v>
      </c>
      <c r="B447" s="5113"/>
      <c r="C447" s="5110"/>
      <c r="D447" s="5085"/>
      <c r="E447" s="5085"/>
      <c r="F447" s="5085"/>
      <c r="G447" s="5085"/>
      <c r="H447" s="5085"/>
      <c r="I447" s="5085"/>
      <c r="J447" s="5085"/>
      <c r="K447" s="5085"/>
      <c r="L447" s="5085"/>
      <c r="M447" s="5085"/>
      <c r="N447" s="5085"/>
      <c r="O447" s="5085"/>
      <c r="P447" s="5085"/>
      <c r="Q447" s="5085"/>
      <c r="R447" s="5085"/>
      <c r="S447" s="5085"/>
      <c r="T447" s="5085"/>
      <c r="U447" s="5085"/>
      <c r="V447" s="5085"/>
      <c r="W447" s="5085"/>
      <c r="X447" s="5085"/>
      <c r="Y447" s="5085"/>
      <c r="Z447" s="5102"/>
      <c r="AB447" s="5188">
        <f>GotTok_Indirekt!AP38-B447</f>
        <v>0</v>
      </c>
      <c r="AC447" s="4"/>
    </row>
    <row r="448" spans="1:29">
      <c r="A448" s="5131" t="s">
        <v>3470</v>
      </c>
      <c r="B448" s="5113"/>
      <c r="C448" s="5110"/>
      <c r="D448" s="5085"/>
      <c r="E448" s="5085"/>
      <c r="F448" s="5085"/>
      <c r="G448" s="5085"/>
      <c r="H448" s="5085"/>
      <c r="I448" s="5085"/>
      <c r="J448" s="5085"/>
      <c r="K448" s="5085"/>
      <c r="L448" s="5085"/>
      <c r="M448" s="5085"/>
      <c r="N448" s="5085"/>
      <c r="O448" s="5085"/>
      <c r="P448" s="5085"/>
      <c r="Q448" s="5085"/>
      <c r="R448" s="5085"/>
      <c r="S448" s="5085"/>
      <c r="T448" s="5085"/>
      <c r="U448" s="5085"/>
      <c r="V448" s="5085"/>
      <c r="W448" s="5085"/>
      <c r="X448" s="5085"/>
      <c r="Y448" s="5085"/>
      <c r="Z448" s="5102"/>
      <c r="AB448" s="5188">
        <f>GotTok_Indirekt!AP39-B448</f>
        <v>0</v>
      </c>
      <c r="AC448" s="4"/>
    </row>
    <row r="449" spans="1:29">
      <c r="A449" s="5131" t="s">
        <v>3473</v>
      </c>
      <c r="B449" s="5113">
        <v>-5382</v>
      </c>
      <c r="C449" s="5110"/>
      <c r="D449" s="5085"/>
      <c r="E449" s="5085"/>
      <c r="F449" s="5085"/>
      <c r="G449" s="5085"/>
      <c r="H449" s="5085"/>
      <c r="I449" s="5085"/>
      <c r="J449" s="5085"/>
      <c r="K449" s="5085"/>
      <c r="L449" s="5085"/>
      <c r="M449" s="5085"/>
      <c r="N449" s="5085"/>
      <c r="O449" s="5085"/>
      <c r="P449" s="5085"/>
      <c r="Q449" s="5085"/>
      <c r="R449" s="5085"/>
      <c r="S449" s="5085"/>
      <c r="T449" s="5085"/>
      <c r="U449" s="5085"/>
      <c r="V449" s="5085"/>
      <c r="W449" s="5085"/>
      <c r="X449" s="5085"/>
      <c r="Y449" s="5085"/>
      <c r="Z449" s="5102"/>
      <c r="AB449" s="5188">
        <f>GotTok_Indirekt!AP43-B449</f>
        <v>0</v>
      </c>
      <c r="AC449" s="4"/>
    </row>
    <row r="450" spans="1:29">
      <c r="A450" s="5131" t="s">
        <v>3477</v>
      </c>
      <c r="B450" s="5113"/>
      <c r="C450" s="5110"/>
      <c r="D450" s="5085"/>
      <c r="E450" s="5085"/>
      <c r="F450" s="5085"/>
      <c r="G450" s="5085"/>
      <c r="H450" s="5085"/>
      <c r="I450" s="5085"/>
      <c r="J450" s="5085"/>
      <c r="K450" s="5085"/>
      <c r="L450" s="5085"/>
      <c r="M450" s="5085"/>
      <c r="N450" s="5085"/>
      <c r="O450" s="5085"/>
      <c r="P450" s="5085"/>
      <c r="Q450" s="5085"/>
      <c r="R450" s="5085"/>
      <c r="S450" s="5085"/>
      <c r="T450" s="5085"/>
      <c r="U450" s="5085"/>
      <c r="V450" s="5085"/>
      <c r="W450" s="5085"/>
      <c r="X450" s="5085"/>
      <c r="Y450" s="5085"/>
      <c r="Z450" s="5102"/>
      <c r="AB450" s="5188">
        <f>GotTok_Indirekt!AP44-B450</f>
        <v>0</v>
      </c>
      <c r="AC450" s="4"/>
    </row>
    <row r="451" spans="1:29">
      <c r="A451" s="5131" t="s">
        <v>3481</v>
      </c>
      <c r="B451" s="5113"/>
      <c r="C451" s="5110"/>
      <c r="D451" s="5085"/>
      <c r="E451" s="5085"/>
      <c r="F451" s="5085"/>
      <c r="G451" s="5085"/>
      <c r="H451" s="5085"/>
      <c r="I451" s="5085"/>
      <c r="J451" s="5085"/>
      <c r="K451" s="5085"/>
      <c r="L451" s="5085"/>
      <c r="M451" s="5085"/>
      <c r="N451" s="5085"/>
      <c r="O451" s="5085"/>
      <c r="P451" s="5085"/>
      <c r="Q451" s="5085"/>
      <c r="R451" s="5085"/>
      <c r="S451" s="5085"/>
      <c r="T451" s="5085"/>
      <c r="U451" s="5085"/>
      <c r="V451" s="5085"/>
      <c r="W451" s="5085"/>
      <c r="X451" s="5085"/>
      <c r="Y451" s="5085"/>
      <c r="Z451" s="5102"/>
      <c r="AB451" s="5188">
        <f>GotTok_Indirekt!AP45-B451</f>
        <v>0</v>
      </c>
      <c r="AC451" s="4"/>
    </row>
    <row r="452" spans="1:29">
      <c r="A452" s="5131" t="s">
        <v>3484</v>
      </c>
      <c r="B452" s="5113"/>
      <c r="C452" s="5110"/>
      <c r="D452" s="5085"/>
      <c r="E452" s="5085"/>
      <c r="F452" s="5085"/>
      <c r="G452" s="5085"/>
      <c r="H452" s="5085"/>
      <c r="I452" s="5085"/>
      <c r="J452" s="5085"/>
      <c r="K452" s="5085"/>
      <c r="L452" s="5085"/>
      <c r="M452" s="5085"/>
      <c r="N452" s="5085"/>
      <c r="O452" s="5085"/>
      <c r="P452" s="5085"/>
      <c r="Q452" s="5085"/>
      <c r="R452" s="5085"/>
      <c r="S452" s="5085"/>
      <c r="T452" s="5085"/>
      <c r="U452" s="5085"/>
      <c r="V452" s="5085"/>
      <c r="W452" s="5085"/>
      <c r="X452" s="5085"/>
      <c r="Y452" s="5085"/>
      <c r="Z452" s="5102"/>
      <c r="AB452" s="5188">
        <f>GotTok_Indirekt!AP46-B452</f>
        <v>0</v>
      </c>
      <c r="AC452" s="4"/>
    </row>
    <row r="453" spans="1:29">
      <c r="A453" s="5131" t="s">
        <v>3486</v>
      </c>
      <c r="B453" s="5113"/>
      <c r="C453" s="5110"/>
      <c r="D453" s="5085"/>
      <c r="E453" s="5085"/>
      <c r="F453" s="5085"/>
      <c r="G453" s="5085"/>
      <c r="H453" s="5085"/>
      <c r="I453" s="5085"/>
      <c r="J453" s="5085"/>
      <c r="K453" s="5085"/>
      <c r="L453" s="5085"/>
      <c r="M453" s="5085"/>
      <c r="N453" s="5085"/>
      <c r="O453" s="5085"/>
      <c r="P453" s="5085"/>
      <c r="Q453" s="5085"/>
      <c r="R453" s="5085"/>
      <c r="S453" s="5085"/>
      <c r="T453" s="5085"/>
      <c r="U453" s="5085"/>
      <c r="V453" s="5085"/>
      <c r="W453" s="5085"/>
      <c r="X453" s="5085"/>
      <c r="Y453" s="5085"/>
      <c r="Z453" s="5102"/>
      <c r="AB453" s="5188">
        <f>GotTok_Indirekt!AP47-B453</f>
        <v>0</v>
      </c>
      <c r="AC453" s="4"/>
    </row>
    <row r="454" spans="1:29">
      <c r="A454" s="5131" t="s">
        <v>3490</v>
      </c>
      <c r="B454" s="5113">
        <v>-3942</v>
      </c>
      <c r="C454" s="5110"/>
      <c r="D454" s="5085"/>
      <c r="E454" s="5085"/>
      <c r="F454" s="5085"/>
      <c r="G454" s="5085"/>
      <c r="H454" s="5085"/>
      <c r="I454" s="5085"/>
      <c r="J454" s="5085"/>
      <c r="K454" s="5085"/>
      <c r="L454" s="5085"/>
      <c r="M454" s="5085"/>
      <c r="N454" s="5085"/>
      <c r="O454" s="5085"/>
      <c r="P454" s="5085"/>
      <c r="Q454" s="5085"/>
      <c r="R454" s="5085"/>
      <c r="S454" s="5085"/>
      <c r="T454" s="5085"/>
      <c r="U454" s="5085"/>
      <c r="V454" s="5085"/>
      <c r="W454" s="5085"/>
      <c r="X454" s="5085"/>
      <c r="Y454" s="5085"/>
      <c r="Z454" s="5102"/>
      <c r="AB454" s="5188">
        <f>GotTok_Indirekt!AP48-B454</f>
        <v>0</v>
      </c>
      <c r="AC454" s="4"/>
    </row>
    <row r="455" spans="1:29">
      <c r="A455" s="5131" t="s">
        <v>3494</v>
      </c>
      <c r="B455" s="5113">
        <v>2038</v>
      </c>
      <c r="C455" s="5110"/>
      <c r="D455" s="5085"/>
      <c r="E455" s="5085"/>
      <c r="F455" s="5085"/>
      <c r="G455" s="5085"/>
      <c r="H455" s="5085"/>
      <c r="I455" s="5085"/>
      <c r="J455" s="5085"/>
      <c r="K455" s="5085"/>
      <c r="L455" s="5085"/>
      <c r="M455" s="5085"/>
      <c r="N455" s="5085"/>
      <c r="O455" s="5085"/>
      <c r="P455" s="5085"/>
      <c r="Q455" s="5085"/>
      <c r="R455" s="5085"/>
      <c r="S455" s="5085"/>
      <c r="T455" s="5085"/>
      <c r="U455" s="5085"/>
      <c r="V455" s="5085"/>
      <c r="W455" s="5085"/>
      <c r="X455" s="5085"/>
      <c r="Y455" s="5085"/>
      <c r="Z455" s="5102"/>
      <c r="AB455" s="5188">
        <f>GotTok_Indirekt!AP49-B455</f>
        <v>0</v>
      </c>
      <c r="AC455" s="4"/>
    </row>
    <row r="456" spans="1:29">
      <c r="A456" s="5085"/>
      <c r="B456" s="5087"/>
      <c r="C456" s="5087"/>
      <c r="D456" s="5085"/>
      <c r="E456" s="5085"/>
      <c r="F456" s="5085"/>
      <c r="G456" s="5085"/>
      <c r="H456" s="5085"/>
      <c r="I456" s="5085"/>
      <c r="J456" s="5085"/>
      <c r="K456" s="5085"/>
      <c r="L456" s="5085"/>
      <c r="M456" s="5085"/>
      <c r="N456" s="5085"/>
      <c r="O456" s="5085"/>
      <c r="P456" s="5085"/>
      <c r="Q456" s="5085"/>
      <c r="R456" s="5085"/>
      <c r="S456" s="5085"/>
      <c r="T456" s="5085"/>
      <c r="U456" s="5085"/>
      <c r="V456" s="5085"/>
      <c r="W456" s="5085"/>
      <c r="X456" s="5085"/>
      <c r="Y456" s="5085"/>
      <c r="Z456" s="5102"/>
      <c r="AB456" s="5190"/>
      <c r="AC456" s="4"/>
    </row>
    <row r="457" spans="1:29">
      <c r="A457" s="5131" t="s">
        <v>3500</v>
      </c>
      <c r="B457" s="5113">
        <v>18</v>
      </c>
      <c r="C457" s="5110"/>
      <c r="D457" s="5085"/>
      <c r="E457" s="5085"/>
      <c r="F457" s="5085"/>
      <c r="G457" s="5085"/>
      <c r="H457" s="5085"/>
      <c r="I457" s="5085"/>
      <c r="J457" s="5085"/>
      <c r="K457" s="5085"/>
      <c r="L457" s="5085"/>
      <c r="M457" s="5085"/>
      <c r="N457" s="5085"/>
      <c r="O457" s="5085"/>
      <c r="P457" s="5085"/>
      <c r="Q457" s="5085"/>
      <c r="R457" s="5085"/>
      <c r="S457" s="5085"/>
      <c r="T457" s="5085"/>
      <c r="U457" s="5085"/>
      <c r="V457" s="5085"/>
      <c r="W457" s="5085"/>
      <c r="X457" s="5085"/>
      <c r="Y457" s="5085"/>
      <c r="Z457" s="5102"/>
      <c r="AB457" s="5188">
        <f>GotTok_Indirekt!AP51-B457</f>
        <v>0</v>
      </c>
      <c r="AC457" s="4"/>
    </row>
    <row r="458" spans="1:29">
      <c r="A458" s="5131" t="s">
        <v>3503</v>
      </c>
      <c r="B458" s="5113">
        <v>9142</v>
      </c>
      <c r="C458" s="5110"/>
      <c r="D458" s="5085"/>
      <c r="E458" s="5085"/>
      <c r="F458" s="5085"/>
      <c r="G458" s="5085"/>
      <c r="H458" s="5085"/>
      <c r="I458" s="5085"/>
      <c r="J458" s="5085"/>
      <c r="K458" s="5085"/>
      <c r="L458" s="5085"/>
      <c r="M458" s="5085"/>
      <c r="N458" s="5085"/>
      <c r="O458" s="5085"/>
      <c r="P458" s="5085"/>
      <c r="Q458" s="5085"/>
      <c r="R458" s="5085"/>
      <c r="S458" s="5085"/>
      <c r="T458" s="5085"/>
      <c r="U458" s="5085"/>
      <c r="V458" s="5085"/>
      <c r="W458" s="5085"/>
      <c r="X458" s="5085"/>
      <c r="Y458" s="5085"/>
      <c r="Z458" s="5102"/>
      <c r="AB458" s="5188">
        <f>GotTok_Indirekt!AP52-B458</f>
        <v>0</v>
      </c>
      <c r="AC458" s="4"/>
    </row>
    <row r="459" spans="1:29">
      <c r="A459" s="5131" t="s">
        <v>3506</v>
      </c>
      <c r="B459" s="5113">
        <v>-59248</v>
      </c>
      <c r="C459" s="5110"/>
      <c r="D459" s="5085"/>
      <c r="E459" s="5085"/>
      <c r="F459" s="5085"/>
      <c r="G459" s="5085"/>
      <c r="H459" s="5085"/>
      <c r="I459" s="5085"/>
      <c r="J459" s="5085"/>
      <c r="K459" s="5085"/>
      <c r="L459" s="5085"/>
      <c r="M459" s="5085"/>
      <c r="N459" s="5085"/>
      <c r="O459" s="5085"/>
      <c r="P459" s="5085"/>
      <c r="Q459" s="5085"/>
      <c r="R459" s="5085"/>
      <c r="S459" s="5085"/>
      <c r="T459" s="5085"/>
      <c r="U459" s="5085"/>
      <c r="V459" s="5085"/>
      <c r="W459" s="5085"/>
      <c r="X459" s="5085"/>
      <c r="Y459" s="5085"/>
      <c r="Z459" s="5102"/>
      <c r="AB459" s="5188">
        <f>GotTok_Indirekt!AP53-B459</f>
        <v>0</v>
      </c>
      <c r="AC459" s="4"/>
    </row>
    <row r="460" spans="1:29">
      <c r="A460" s="5131" t="s">
        <v>3509</v>
      </c>
      <c r="B460" s="5113"/>
      <c r="C460" s="5110"/>
      <c r="D460" s="5085"/>
      <c r="E460" s="5085"/>
      <c r="F460" s="5085"/>
      <c r="G460" s="5085"/>
      <c r="H460" s="5085"/>
      <c r="I460" s="5085"/>
      <c r="J460" s="5085"/>
      <c r="K460" s="5085"/>
      <c r="L460" s="5085"/>
      <c r="M460" s="5085"/>
      <c r="N460" s="5085"/>
      <c r="O460" s="5085"/>
      <c r="P460" s="5085"/>
      <c r="Q460" s="5085"/>
      <c r="R460" s="5085"/>
      <c r="S460" s="5085"/>
      <c r="T460" s="5085"/>
      <c r="U460" s="5085"/>
      <c r="V460" s="5085"/>
      <c r="W460" s="5085"/>
      <c r="X460" s="5085"/>
      <c r="Y460" s="5085"/>
      <c r="Z460" s="5102"/>
      <c r="AB460" s="5188">
        <f>GotTok_Indirekt!AP54-B460</f>
        <v>0</v>
      </c>
      <c r="AC460" s="4"/>
    </row>
    <row r="461" spans="1:29">
      <c r="A461" s="5131" t="s">
        <v>3512</v>
      </c>
      <c r="B461" s="5113">
        <v>2051</v>
      </c>
      <c r="C461" s="5110"/>
      <c r="D461" s="5085"/>
      <c r="E461" s="5085"/>
      <c r="F461" s="5085"/>
      <c r="G461" s="5085"/>
      <c r="H461" s="5085"/>
      <c r="I461" s="5085"/>
      <c r="J461" s="5085"/>
      <c r="K461" s="5085"/>
      <c r="L461" s="5085"/>
      <c r="M461" s="5085"/>
      <c r="N461" s="5085"/>
      <c r="O461" s="5085"/>
      <c r="P461" s="5085"/>
      <c r="Q461" s="5085"/>
      <c r="R461" s="5085"/>
      <c r="S461" s="5085"/>
      <c r="T461" s="5085"/>
      <c r="U461" s="5085"/>
      <c r="V461" s="5085"/>
      <c r="W461" s="5085"/>
      <c r="X461" s="5085"/>
      <c r="Y461" s="5085"/>
      <c r="Z461" s="5102"/>
      <c r="AB461" s="5188">
        <f>GotTok_Indirekt!AP55-B461</f>
        <v>0</v>
      </c>
      <c r="AC461" s="4"/>
    </row>
    <row r="462" spans="1:29">
      <c r="A462" s="5131" t="s">
        <v>3516</v>
      </c>
      <c r="B462" s="5113">
        <v>-36417</v>
      </c>
      <c r="C462" s="5110"/>
      <c r="D462" s="5085"/>
      <c r="E462" s="5085"/>
      <c r="F462" s="5085"/>
      <c r="G462" s="5085"/>
      <c r="H462" s="5085"/>
      <c r="I462" s="5085"/>
      <c r="J462" s="5085"/>
      <c r="K462" s="5085"/>
      <c r="L462" s="5085"/>
      <c r="M462" s="5085"/>
      <c r="N462" s="5085"/>
      <c r="O462" s="5085"/>
      <c r="P462" s="5085"/>
      <c r="Q462" s="5085"/>
      <c r="R462" s="5085"/>
      <c r="S462" s="5085"/>
      <c r="T462" s="5085"/>
      <c r="U462" s="5085"/>
      <c r="V462" s="5085"/>
      <c r="W462" s="5085"/>
      <c r="X462" s="5085"/>
      <c r="Y462" s="5085"/>
      <c r="Z462" s="5102"/>
      <c r="AB462" s="5188">
        <f>GotTok_Indirekt!AP56-B462</f>
        <v>0</v>
      </c>
      <c r="AC462" s="4"/>
    </row>
    <row r="463" spans="1:29">
      <c r="A463" s="5131" t="s">
        <v>3520</v>
      </c>
      <c r="B463" s="5113"/>
      <c r="C463" s="5110"/>
      <c r="D463" s="5085"/>
      <c r="E463" s="5085"/>
      <c r="F463" s="5085"/>
      <c r="G463" s="5085"/>
      <c r="H463" s="5085"/>
      <c r="I463" s="5085"/>
      <c r="J463" s="5085"/>
      <c r="K463" s="5085"/>
      <c r="L463" s="5085"/>
      <c r="M463" s="5085"/>
      <c r="N463" s="5085"/>
      <c r="O463" s="5085"/>
      <c r="P463" s="5085"/>
      <c r="Q463" s="5085"/>
      <c r="R463" s="5085"/>
      <c r="S463" s="5085"/>
      <c r="T463" s="5085"/>
      <c r="U463" s="5085"/>
      <c r="V463" s="5085"/>
      <c r="W463" s="5085"/>
      <c r="X463" s="5085"/>
      <c r="Y463" s="5085"/>
      <c r="Z463" s="5102"/>
      <c r="AB463" s="5188">
        <f>GotTok_Indirekt!AP57-B463</f>
        <v>0</v>
      </c>
      <c r="AC463" s="4"/>
    </row>
    <row r="464" spans="1:29">
      <c r="A464" s="5131" t="s">
        <v>3524</v>
      </c>
      <c r="B464" s="5113"/>
      <c r="C464" s="5110"/>
      <c r="D464" s="5085"/>
      <c r="E464" s="5085"/>
      <c r="F464" s="5085"/>
      <c r="G464" s="5085"/>
      <c r="H464" s="5085"/>
      <c r="I464" s="5085"/>
      <c r="J464" s="5085"/>
      <c r="K464" s="5085"/>
      <c r="L464" s="5085"/>
      <c r="M464" s="5085"/>
      <c r="N464" s="5085"/>
      <c r="O464" s="5085"/>
      <c r="P464" s="5085"/>
      <c r="Q464" s="5085"/>
      <c r="R464" s="5085"/>
      <c r="S464" s="5085"/>
      <c r="T464" s="5085"/>
      <c r="U464" s="5085"/>
      <c r="V464" s="5085"/>
      <c r="W464" s="5085"/>
      <c r="X464" s="5085"/>
      <c r="Y464" s="5085"/>
      <c r="Z464" s="5102"/>
      <c r="AB464" s="5188">
        <f>GotTok_Indirekt!AP58-B464</f>
        <v>0</v>
      </c>
      <c r="AC464" s="4"/>
    </row>
    <row r="465" ht="15" spans="1:30">
      <c r="A465" s="5131" t="s">
        <v>3527</v>
      </c>
      <c r="B465" s="5109">
        <f>GotTok_Indirekt!AP59</f>
        <v>12674</v>
      </c>
      <c r="C465" s="5110"/>
      <c r="D465" s="5085"/>
      <c r="E465" s="5085"/>
      <c r="F465" s="5085"/>
      <c r="G465" s="5085"/>
      <c r="H465" s="5085"/>
      <c r="I465" s="5085"/>
      <c r="J465" s="5085"/>
      <c r="K465" s="5085"/>
      <c r="L465" s="5085"/>
      <c r="M465" s="5085"/>
      <c r="N465" s="5085"/>
      <c r="O465" s="5085"/>
      <c r="P465" s="5085"/>
      <c r="Q465" s="5085"/>
      <c r="R465" s="5085"/>
      <c r="S465" s="5085"/>
      <c r="T465" s="5085"/>
      <c r="U465" s="5085"/>
      <c r="V465" s="5085"/>
      <c r="W465" s="5085"/>
      <c r="X465" s="5085"/>
      <c r="Y465" s="5085"/>
      <c r="Z465" s="5102"/>
      <c r="AB465" s="5189">
        <f>GotTok_Indirekt!AP59-B465</f>
        <v>0</v>
      </c>
      <c r="AC465" s="4"/>
      <c r="AD465" s="5090">
        <f t="shared" ref="AD465" si="8">IF(AB465=0,0,"PAŽNJA! Provjerite AOP "&amp;A465&amp;" MSV - PROŠLU godinu, razlika = "&amp;TEXT(AB465,"#.##0,00 [$KM-141A]"))</f>
        <v>0</v>
      </c>
    </row>
    <row r="466" spans="1:30">
      <c r="A466" s="5085"/>
      <c r="B466" s="5087"/>
      <c r="C466" s="5087"/>
      <c r="D466" s="5085"/>
      <c r="E466" s="5085"/>
      <c r="F466" s="5085"/>
      <c r="G466" s="5085"/>
      <c r="H466" s="5085"/>
      <c r="I466" s="5085"/>
      <c r="J466" s="5085"/>
      <c r="K466" s="5085"/>
      <c r="L466" s="5085"/>
      <c r="M466" s="5085"/>
      <c r="N466" s="5085"/>
      <c r="O466" s="5085"/>
      <c r="P466" s="5085"/>
      <c r="Q466" s="5085"/>
      <c r="R466" s="5085"/>
      <c r="S466" s="5085"/>
      <c r="T466" s="5085"/>
      <c r="U466" s="5085"/>
      <c r="V466" s="5085"/>
      <c r="W466" s="5085"/>
      <c r="X466" s="5085"/>
      <c r="Y466" s="5085"/>
      <c r="Z466" s="5102"/>
      <c r="AB466" s="5190"/>
      <c r="AC466" s="4"/>
    </row>
    <row r="467" spans="1:30">
      <c r="A467" s="5131" t="s">
        <v>3530</v>
      </c>
      <c r="B467" s="5113"/>
      <c r="C467" s="5110"/>
      <c r="D467" s="5085"/>
      <c r="E467" s="5085"/>
      <c r="F467" s="5085"/>
      <c r="G467" s="5085"/>
      <c r="H467" s="5085"/>
      <c r="I467" s="5085"/>
      <c r="J467" s="5085"/>
      <c r="K467" s="5085"/>
      <c r="L467" s="5085"/>
      <c r="M467" s="5085"/>
      <c r="N467" s="5085"/>
      <c r="O467" s="5085"/>
      <c r="P467" s="5085"/>
      <c r="Q467" s="5085"/>
      <c r="R467" s="5085"/>
      <c r="S467" s="5085"/>
      <c r="T467" s="5085"/>
      <c r="U467" s="5085"/>
      <c r="V467" s="5085"/>
      <c r="W467" s="5085"/>
      <c r="X467" s="5085"/>
      <c r="Y467" s="5085"/>
      <c r="Z467" s="5102"/>
      <c r="AB467" s="5188">
        <f>GotTok_Indirekt!AP61-B467</f>
        <v>0</v>
      </c>
      <c r="AC467" s="4"/>
    </row>
    <row r="468" spans="1:30">
      <c r="A468" s="5131" t="s">
        <v>3531</v>
      </c>
      <c r="B468" s="5113"/>
      <c r="C468" s="5110"/>
      <c r="D468" s="5085"/>
      <c r="E468" s="5085"/>
      <c r="F468" s="5085"/>
      <c r="G468" s="5085"/>
      <c r="H468" s="5085"/>
      <c r="I468" s="5085"/>
      <c r="J468" s="5085"/>
      <c r="K468" s="5085"/>
      <c r="L468" s="5085"/>
      <c r="M468" s="5085"/>
      <c r="N468" s="5085"/>
      <c r="O468" s="5085"/>
      <c r="P468" s="5085"/>
      <c r="Q468" s="5085"/>
      <c r="R468" s="5085"/>
      <c r="S468" s="5085"/>
      <c r="T468" s="5085"/>
      <c r="U468" s="5085"/>
      <c r="V468" s="5085"/>
      <c r="W468" s="5085"/>
      <c r="X468" s="5085"/>
      <c r="Y468" s="5085"/>
      <c r="Z468" s="5102"/>
      <c r="AB468" s="5188">
        <f>GotTok_Indirekt!AP62-B468</f>
        <v>0</v>
      </c>
      <c r="AC468" s="4"/>
    </row>
    <row r="469" spans="1:30">
      <c r="A469" s="5131" t="s">
        <v>3532</v>
      </c>
      <c r="B469" s="5113"/>
      <c r="C469" s="5110"/>
      <c r="D469" s="5085"/>
      <c r="E469" s="5085"/>
      <c r="F469" s="5085"/>
      <c r="G469" s="5085"/>
      <c r="H469" s="5085"/>
      <c r="I469" s="5085"/>
      <c r="J469" s="5085"/>
      <c r="K469" s="5085"/>
      <c r="L469" s="5085"/>
      <c r="M469" s="5085"/>
      <c r="N469" s="5085"/>
      <c r="O469" s="5085"/>
      <c r="P469" s="5085"/>
      <c r="Q469" s="5085"/>
      <c r="R469" s="5085"/>
      <c r="S469" s="5085"/>
      <c r="T469" s="5085"/>
      <c r="U469" s="5085"/>
      <c r="V469" s="5085"/>
      <c r="W469" s="5085"/>
      <c r="X469" s="5085"/>
      <c r="Y469" s="5085"/>
      <c r="Z469" s="5102"/>
      <c r="AB469" s="5188">
        <f>GotTok_Indirekt!AP63-B469</f>
        <v>0</v>
      </c>
      <c r="AC469" s="4"/>
    </row>
    <row r="470" spans="1:30">
      <c r="A470" s="5131" t="s">
        <v>3533</v>
      </c>
      <c r="B470" s="5113"/>
      <c r="C470" s="5110"/>
      <c r="D470" s="5085"/>
      <c r="E470" s="5085"/>
      <c r="F470" s="5085"/>
      <c r="G470" s="5085"/>
      <c r="H470" s="5085"/>
      <c r="I470" s="5085"/>
      <c r="J470" s="5085"/>
      <c r="K470" s="5085"/>
      <c r="L470" s="5085"/>
      <c r="M470" s="5085"/>
      <c r="N470" s="5085"/>
      <c r="O470" s="5085"/>
      <c r="P470" s="5085"/>
      <c r="Q470" s="5085"/>
      <c r="R470" s="5085"/>
      <c r="S470" s="5085"/>
      <c r="T470" s="5085"/>
      <c r="U470" s="5085"/>
      <c r="V470" s="5085"/>
      <c r="W470" s="5085"/>
      <c r="X470" s="5085"/>
      <c r="Y470" s="5085"/>
      <c r="Z470" s="5102"/>
      <c r="AB470" s="5188">
        <f>GotTok_Indirekt!AP64-B470</f>
        <v>0</v>
      </c>
      <c r="AC470" s="4"/>
    </row>
    <row r="471" spans="1:30">
      <c r="A471" s="5131" t="s">
        <v>3534</v>
      </c>
      <c r="B471" s="5113"/>
      <c r="C471" s="5110"/>
      <c r="D471" s="5085"/>
      <c r="E471" s="5085"/>
      <c r="F471" s="5085"/>
      <c r="G471" s="5085"/>
      <c r="H471" s="5085"/>
      <c r="I471" s="5085"/>
      <c r="J471" s="5085"/>
      <c r="K471" s="5085"/>
      <c r="L471" s="5085"/>
      <c r="M471" s="5085"/>
      <c r="N471" s="5085"/>
      <c r="O471" s="5085"/>
      <c r="P471" s="5085"/>
      <c r="Q471" s="5085"/>
      <c r="R471" s="5085"/>
      <c r="S471" s="5085"/>
      <c r="T471" s="5085"/>
      <c r="U471" s="5085"/>
      <c r="V471" s="5085"/>
      <c r="W471" s="5085"/>
      <c r="X471" s="5085"/>
      <c r="Y471" s="5085"/>
      <c r="Z471" s="5102"/>
      <c r="AB471" s="5188">
        <f>GotTok_Indirekt!AP65-B471</f>
        <v>0</v>
      </c>
      <c r="AC471" s="4"/>
    </row>
    <row r="472" spans="1:30">
      <c r="A472" s="5131" t="s">
        <v>3537</v>
      </c>
      <c r="B472" s="5113"/>
      <c r="C472" s="5110"/>
      <c r="D472" s="5085"/>
      <c r="E472" s="5085"/>
      <c r="F472" s="5085"/>
      <c r="G472" s="5085"/>
      <c r="H472" s="5085"/>
      <c r="I472" s="5085"/>
      <c r="J472" s="5085"/>
      <c r="K472" s="5085"/>
      <c r="L472" s="5085"/>
      <c r="M472" s="5085"/>
      <c r="N472" s="5085"/>
      <c r="O472" s="5085"/>
      <c r="P472" s="5085"/>
      <c r="Q472" s="5085"/>
      <c r="R472" s="5085"/>
      <c r="S472" s="5085"/>
      <c r="T472" s="5085"/>
      <c r="U472" s="5085"/>
      <c r="V472" s="5085"/>
      <c r="W472" s="5085"/>
      <c r="X472" s="5085"/>
      <c r="Y472" s="5085"/>
      <c r="Z472" s="5102"/>
      <c r="AB472" s="5188">
        <f>GotTok_Indirekt!AP66-B472</f>
        <v>0</v>
      </c>
      <c r="AC472" s="4"/>
    </row>
    <row r="473" spans="1:30">
      <c r="A473" s="5131" t="s">
        <v>3538</v>
      </c>
      <c r="B473" s="5113"/>
      <c r="C473" s="5110"/>
      <c r="D473" s="5085"/>
      <c r="E473" s="5085"/>
      <c r="F473" s="5085"/>
      <c r="G473" s="5085"/>
      <c r="H473" s="5085"/>
      <c r="I473" s="5085"/>
      <c r="J473" s="5085"/>
      <c r="K473" s="5085"/>
      <c r="L473" s="5085"/>
      <c r="M473" s="5085"/>
      <c r="N473" s="5085"/>
      <c r="O473" s="5085"/>
      <c r="P473" s="5085"/>
      <c r="Q473" s="5085"/>
      <c r="R473" s="5085"/>
      <c r="S473" s="5085"/>
      <c r="T473" s="5085"/>
      <c r="U473" s="5085"/>
      <c r="V473" s="5085"/>
      <c r="W473" s="5085"/>
      <c r="X473" s="5085"/>
      <c r="Y473" s="5085"/>
      <c r="Z473" s="5102"/>
      <c r="AB473" s="5188">
        <f>GotTok_Indirekt!AP67-B473</f>
        <v>0</v>
      </c>
      <c r="AC473" s="4"/>
    </row>
    <row r="474" spans="1:30">
      <c r="A474" s="5131" t="s">
        <v>3539</v>
      </c>
      <c r="B474" s="5113"/>
      <c r="C474" s="5110"/>
      <c r="D474" s="5085"/>
      <c r="E474" s="5085"/>
      <c r="F474" s="5085"/>
      <c r="G474" s="5085"/>
      <c r="H474" s="5085"/>
      <c r="I474" s="5085"/>
      <c r="J474" s="5085"/>
      <c r="K474" s="5085"/>
      <c r="L474" s="5085"/>
      <c r="M474" s="5085"/>
      <c r="N474" s="5085"/>
      <c r="O474" s="5085"/>
      <c r="P474" s="5085"/>
      <c r="Q474" s="5085"/>
      <c r="R474" s="5085"/>
      <c r="S474" s="5085"/>
      <c r="T474" s="5085"/>
      <c r="U474" s="5085"/>
      <c r="V474" s="5085"/>
      <c r="W474" s="5085"/>
      <c r="X474" s="5085"/>
      <c r="Y474" s="5085"/>
      <c r="Z474" s="5102"/>
      <c r="AB474" s="5188">
        <f>GotTok_Indirekt!AP68-B474</f>
        <v>0</v>
      </c>
      <c r="AC474" s="4"/>
    </row>
    <row r="475" spans="1:30">
      <c r="A475" s="5131" t="s">
        <v>3540</v>
      </c>
      <c r="B475" s="5113"/>
      <c r="C475" s="5110"/>
      <c r="D475" s="5085"/>
      <c r="E475" s="5085"/>
      <c r="F475" s="5085"/>
      <c r="G475" s="5085"/>
      <c r="H475" s="5085"/>
      <c r="I475" s="5085"/>
      <c r="J475" s="5085"/>
      <c r="K475" s="5085"/>
      <c r="L475" s="5085"/>
      <c r="M475" s="5085"/>
      <c r="N475" s="5085"/>
      <c r="O475" s="5085"/>
      <c r="P475" s="5085"/>
      <c r="Q475" s="5085"/>
      <c r="R475" s="5085"/>
      <c r="S475" s="5085"/>
      <c r="T475" s="5085"/>
      <c r="U475" s="5085"/>
      <c r="V475" s="5085"/>
      <c r="W475" s="5085"/>
      <c r="X475" s="5085"/>
      <c r="Y475" s="5085"/>
      <c r="Z475" s="5102"/>
      <c r="AB475" s="5188">
        <f>GotTok_Indirekt!AP69-B475</f>
        <v>0</v>
      </c>
      <c r="AC475" s="4"/>
    </row>
    <row r="476" spans="1:30">
      <c r="A476" s="5131" t="s">
        <v>3541</v>
      </c>
      <c r="B476" s="5113"/>
      <c r="C476" s="5110"/>
      <c r="D476" s="5085"/>
      <c r="E476" s="5085"/>
      <c r="F476" s="5085"/>
      <c r="G476" s="5085"/>
      <c r="H476" s="5085"/>
      <c r="I476" s="5085"/>
      <c r="J476" s="5085"/>
      <c r="K476" s="5085"/>
      <c r="L476" s="5085"/>
      <c r="M476" s="5085"/>
      <c r="N476" s="5085"/>
      <c r="O476" s="5085"/>
      <c r="P476" s="5085"/>
      <c r="Q476" s="5085"/>
      <c r="R476" s="5085"/>
      <c r="S476" s="5085"/>
      <c r="T476" s="5085"/>
      <c r="U476" s="5085"/>
      <c r="V476" s="5085"/>
      <c r="W476" s="5085"/>
      <c r="X476" s="5085"/>
      <c r="Y476" s="5085"/>
      <c r="Z476" s="5102"/>
      <c r="AB476" s="5188">
        <f>GotTok_Indirekt!AP70-B476</f>
        <v>0</v>
      </c>
      <c r="AC476" s="4"/>
    </row>
    <row r="477" spans="1:30">
      <c r="A477" s="5131" t="s">
        <v>3542</v>
      </c>
      <c r="B477" s="5113"/>
      <c r="C477" s="5110"/>
      <c r="D477" s="5085"/>
      <c r="E477" s="5085"/>
      <c r="F477" s="5085"/>
      <c r="G477" s="5085"/>
      <c r="H477" s="5085"/>
      <c r="I477" s="5085"/>
      <c r="J477" s="5085"/>
      <c r="K477" s="5085"/>
      <c r="L477" s="5085"/>
      <c r="M477" s="5085"/>
      <c r="N477" s="5085"/>
      <c r="O477" s="5085"/>
      <c r="P477" s="5085"/>
      <c r="Q477" s="5085"/>
      <c r="R477" s="5085"/>
      <c r="S477" s="5085"/>
      <c r="T477" s="5085"/>
      <c r="U477" s="5085"/>
      <c r="V477" s="5085"/>
      <c r="W477" s="5085"/>
      <c r="X477" s="5085"/>
      <c r="Y477" s="5085"/>
      <c r="Z477" s="5102"/>
      <c r="AB477" s="5188">
        <f>GotTok_Indirekt!AP71-B477</f>
        <v>0</v>
      </c>
      <c r="AC477" s="4"/>
    </row>
    <row r="478" spans="1:30">
      <c r="A478" s="5131" t="s">
        <v>3543</v>
      </c>
      <c r="B478" s="5113"/>
      <c r="C478" s="5110"/>
      <c r="D478" s="5085"/>
      <c r="E478" s="5085"/>
      <c r="F478" s="5085"/>
      <c r="G478" s="5085"/>
      <c r="H478" s="5085"/>
      <c r="I478" s="5085"/>
      <c r="J478" s="5085"/>
      <c r="K478" s="5085"/>
      <c r="L478" s="5085"/>
      <c r="M478" s="5085"/>
      <c r="N478" s="5085"/>
      <c r="O478" s="5085"/>
      <c r="P478" s="5085"/>
      <c r="Q478" s="5085"/>
      <c r="R478" s="5085"/>
      <c r="S478" s="5085"/>
      <c r="T478" s="5085"/>
      <c r="U478" s="5085"/>
      <c r="V478" s="5085"/>
      <c r="W478" s="5085"/>
      <c r="X478" s="5085"/>
      <c r="Y478" s="5085"/>
      <c r="Z478" s="5102"/>
      <c r="AB478" s="5188">
        <f>GotTok_Indirekt!AP72-B478</f>
        <v>0</v>
      </c>
      <c r="AC478" s="4"/>
    </row>
    <row r="479" spans="1:30">
      <c r="A479" s="5131" t="s">
        <v>3545</v>
      </c>
      <c r="B479" s="5113"/>
      <c r="C479" s="5110"/>
      <c r="D479" s="5085"/>
      <c r="E479" s="5085"/>
      <c r="F479" s="5085"/>
      <c r="G479" s="5085"/>
      <c r="H479" s="5085"/>
      <c r="I479" s="5085"/>
      <c r="J479" s="5085"/>
      <c r="K479" s="5085"/>
      <c r="L479" s="5085"/>
      <c r="M479" s="5085"/>
      <c r="N479" s="5085"/>
      <c r="O479" s="5085"/>
      <c r="P479" s="5085"/>
      <c r="Q479" s="5085"/>
      <c r="R479" s="5085"/>
      <c r="S479" s="5085"/>
      <c r="T479" s="5085"/>
      <c r="U479" s="5085"/>
      <c r="V479" s="5085"/>
      <c r="W479" s="5085"/>
      <c r="X479" s="5085"/>
      <c r="Y479" s="5085"/>
      <c r="Z479" s="5102"/>
      <c r="AB479" s="5188">
        <f>GotTok_Indirekt!AP73-B479</f>
        <v>0</v>
      </c>
      <c r="AC479" s="4"/>
    </row>
    <row r="480" spans="1:30">
      <c r="A480" s="5131" t="s">
        <v>3547</v>
      </c>
      <c r="B480" s="5113"/>
      <c r="C480" s="5110"/>
      <c r="D480" s="5085"/>
      <c r="E480" s="5085"/>
      <c r="F480" s="5085"/>
      <c r="G480" s="5085"/>
      <c r="H480" s="5085"/>
      <c r="I480" s="5085"/>
      <c r="J480" s="5085"/>
      <c r="K480" s="5085"/>
      <c r="L480" s="5085"/>
      <c r="M480" s="5085"/>
      <c r="N480" s="5085"/>
      <c r="O480" s="5085"/>
      <c r="P480" s="5085"/>
      <c r="Q480" s="5085"/>
      <c r="R480" s="5085"/>
      <c r="S480" s="5085"/>
      <c r="T480" s="5085"/>
      <c r="U480" s="5085"/>
      <c r="V480" s="5085"/>
      <c r="W480" s="5085"/>
      <c r="X480" s="5085"/>
      <c r="Y480" s="5085"/>
      <c r="Z480" s="5102"/>
      <c r="AB480" s="5188">
        <f>GotTok_Indirekt!AP74-B480</f>
        <v>0</v>
      </c>
      <c r="AC480" s="4"/>
    </row>
    <row r="481" spans="1:30">
      <c r="A481" s="5131" t="s">
        <v>3548</v>
      </c>
      <c r="B481" s="5113"/>
      <c r="C481" s="5110"/>
      <c r="D481" s="5085"/>
      <c r="E481" s="5085"/>
      <c r="F481" s="5085"/>
      <c r="G481" s="5085"/>
      <c r="H481" s="5085"/>
      <c r="I481" s="5085"/>
      <c r="J481" s="5085"/>
      <c r="K481" s="5085"/>
      <c r="L481" s="5085"/>
      <c r="M481" s="5085"/>
      <c r="N481" s="5085"/>
      <c r="O481" s="5085"/>
      <c r="P481" s="5085"/>
      <c r="Q481" s="5085"/>
      <c r="R481" s="5085"/>
      <c r="S481" s="5085"/>
      <c r="T481" s="5085"/>
      <c r="U481" s="5085"/>
      <c r="V481" s="5085"/>
      <c r="W481" s="5085"/>
      <c r="X481" s="5085"/>
      <c r="Y481" s="5085"/>
      <c r="Z481" s="5102"/>
      <c r="AB481" s="5188">
        <f>GotTok_Indirekt!AP75-B481</f>
        <v>0</v>
      </c>
      <c r="AC481" s="4"/>
    </row>
    <row r="482" spans="1:30">
      <c r="A482" s="5131" t="s">
        <v>3549</v>
      </c>
      <c r="B482" s="5113"/>
      <c r="C482" s="5110"/>
      <c r="D482" s="5085"/>
      <c r="E482" s="5085"/>
      <c r="F482" s="5085"/>
      <c r="G482" s="5085"/>
      <c r="H482" s="5085"/>
      <c r="I482" s="5085"/>
      <c r="J482" s="5085"/>
      <c r="K482" s="5085"/>
      <c r="L482" s="5085"/>
      <c r="M482" s="5085"/>
      <c r="N482" s="5085"/>
      <c r="O482" s="5085"/>
      <c r="P482" s="5085"/>
      <c r="Q482" s="5085"/>
      <c r="R482" s="5085"/>
      <c r="S482" s="5085"/>
      <c r="T482" s="5085"/>
      <c r="U482" s="5085"/>
      <c r="V482" s="5085"/>
      <c r="W482" s="5085"/>
      <c r="X482" s="5085"/>
      <c r="Y482" s="5085"/>
      <c r="Z482" s="5102"/>
      <c r="AB482" s="5188">
        <f>GotTok_Indirekt!AP76-B482</f>
        <v>0</v>
      </c>
      <c r="AC482" s="4"/>
    </row>
    <row r="483" spans="1:30">
      <c r="A483" s="5131" t="s">
        <v>3550</v>
      </c>
      <c r="B483" s="5113"/>
      <c r="C483" s="5110"/>
      <c r="D483" s="5085"/>
      <c r="E483" s="5085"/>
      <c r="F483" s="5085"/>
      <c r="G483" s="5085"/>
      <c r="H483" s="5085"/>
      <c r="I483" s="5085"/>
      <c r="J483" s="5085"/>
      <c r="K483" s="5085"/>
      <c r="L483" s="5085"/>
      <c r="M483" s="5085"/>
      <c r="N483" s="5085"/>
      <c r="O483" s="5085"/>
      <c r="P483" s="5085"/>
      <c r="Q483" s="5085"/>
      <c r="R483" s="5085"/>
      <c r="S483" s="5085"/>
      <c r="T483" s="5085"/>
      <c r="U483" s="5085"/>
      <c r="V483" s="5085"/>
      <c r="W483" s="5085"/>
      <c r="X483" s="5085"/>
      <c r="Y483" s="5085"/>
      <c r="Z483" s="5102"/>
      <c r="AB483" s="5188">
        <f>GotTok_Indirekt!AP77-B483</f>
        <v>0</v>
      </c>
      <c r="AC483" s="4"/>
    </row>
    <row r="484" spans="1:30">
      <c r="A484" s="5131" t="s">
        <v>3553</v>
      </c>
      <c r="B484" s="5113"/>
      <c r="C484" s="5110"/>
      <c r="D484" s="5085"/>
      <c r="E484" s="5085"/>
      <c r="F484" s="5085"/>
      <c r="G484" s="5085"/>
      <c r="H484" s="5085"/>
      <c r="I484" s="5085"/>
      <c r="J484" s="5085"/>
      <c r="K484" s="5085"/>
      <c r="L484" s="5085"/>
      <c r="M484" s="5085"/>
      <c r="N484" s="5085"/>
      <c r="O484" s="5085"/>
      <c r="P484" s="5085"/>
      <c r="Q484" s="5085"/>
      <c r="R484" s="5085"/>
      <c r="S484" s="5085"/>
      <c r="T484" s="5085"/>
      <c r="U484" s="5085"/>
      <c r="V484" s="5085"/>
      <c r="W484" s="5085"/>
      <c r="X484" s="5085"/>
      <c r="Y484" s="5085"/>
      <c r="Z484" s="5102"/>
      <c r="AB484" s="5188">
        <f>GotTok_Indirekt!AP78-B484</f>
        <v>0</v>
      </c>
      <c r="AC484" s="4"/>
    </row>
    <row r="485" spans="1:30">
      <c r="A485" s="5131" t="s">
        <v>3554</v>
      </c>
      <c r="B485" s="5113"/>
      <c r="C485" s="5110"/>
      <c r="D485" s="5085"/>
      <c r="E485" s="5085"/>
      <c r="F485" s="5085"/>
      <c r="G485" s="5085"/>
      <c r="H485" s="5085"/>
      <c r="I485" s="5085"/>
      <c r="J485" s="5085"/>
      <c r="K485" s="5085"/>
      <c r="L485" s="5085"/>
      <c r="M485" s="5085"/>
      <c r="N485" s="5085"/>
      <c r="O485" s="5085"/>
      <c r="P485" s="5085"/>
      <c r="Q485" s="5085"/>
      <c r="R485" s="5085"/>
      <c r="S485" s="5085"/>
      <c r="T485" s="5085"/>
      <c r="U485" s="5085"/>
      <c r="V485" s="5085"/>
      <c r="W485" s="5085"/>
      <c r="X485" s="5085"/>
      <c r="Y485" s="5085"/>
      <c r="Z485" s="5102"/>
      <c r="AB485" s="5188">
        <f>GotTok_Indirekt!AP79-B485</f>
        <v>0</v>
      </c>
      <c r="AC485" s="4"/>
    </row>
    <row r="486" spans="1:30">
      <c r="A486" s="5131" t="s">
        <v>3555</v>
      </c>
      <c r="B486" s="5113"/>
      <c r="C486" s="5110"/>
      <c r="D486" s="5085"/>
      <c r="E486" s="5085"/>
      <c r="F486" s="5085"/>
      <c r="G486" s="5085"/>
      <c r="H486" s="5085"/>
      <c r="I486" s="5085"/>
      <c r="J486" s="5085"/>
      <c r="K486" s="5085"/>
      <c r="L486" s="5085"/>
      <c r="M486" s="5085"/>
      <c r="N486" s="5085"/>
      <c r="O486" s="5085"/>
      <c r="P486" s="5085"/>
      <c r="Q486" s="5085"/>
      <c r="R486" s="5085"/>
      <c r="S486" s="5085"/>
      <c r="T486" s="5085"/>
      <c r="U486" s="5085"/>
      <c r="V486" s="5085"/>
      <c r="W486" s="5085"/>
      <c r="X486" s="5085"/>
      <c r="Y486" s="5085"/>
      <c r="Z486" s="5102"/>
      <c r="AB486" s="5188">
        <f>GotTok_Indirekt!AP80-B486</f>
        <v>0</v>
      </c>
      <c r="AC486" s="4"/>
    </row>
    <row r="487" spans="1:30">
      <c r="A487" s="5131" t="s">
        <v>597</v>
      </c>
      <c r="B487" s="5113"/>
      <c r="C487" s="5110"/>
      <c r="D487" s="5085"/>
      <c r="E487" s="5085"/>
      <c r="F487" s="5085"/>
      <c r="G487" s="5085"/>
      <c r="H487" s="5085"/>
      <c r="I487" s="5085"/>
      <c r="J487" s="5085"/>
      <c r="K487" s="5085"/>
      <c r="L487" s="5085"/>
      <c r="M487" s="5085"/>
      <c r="N487" s="5085"/>
      <c r="O487" s="5085"/>
      <c r="P487" s="5085"/>
      <c r="Q487" s="5085"/>
      <c r="R487" s="5085"/>
      <c r="S487" s="5085"/>
      <c r="T487" s="5085"/>
      <c r="U487" s="5085"/>
      <c r="V487" s="5085"/>
      <c r="W487" s="5085"/>
      <c r="X487" s="5085"/>
      <c r="Y487" s="5085"/>
      <c r="Z487" s="5102"/>
      <c r="AB487" s="5188">
        <f>GotTok_Indirekt!AP84-B487</f>
        <v>0</v>
      </c>
      <c r="AC487" s="4"/>
    </row>
    <row r="488" spans="1:30">
      <c r="A488" s="5131" t="s">
        <v>3556</v>
      </c>
      <c r="B488" s="5113"/>
      <c r="C488" s="5110"/>
      <c r="D488" s="5085"/>
      <c r="E488" s="5085"/>
      <c r="F488" s="5085"/>
      <c r="G488" s="5085"/>
      <c r="H488" s="5085"/>
      <c r="I488" s="5085"/>
      <c r="J488" s="5085"/>
      <c r="K488" s="5085"/>
      <c r="L488" s="5085"/>
      <c r="M488" s="5085"/>
      <c r="N488" s="5085"/>
      <c r="O488" s="5085"/>
      <c r="P488" s="5085"/>
      <c r="Q488" s="5085"/>
      <c r="R488" s="5085"/>
      <c r="S488" s="5085"/>
      <c r="T488" s="5085"/>
      <c r="U488" s="5085"/>
      <c r="V488" s="5085"/>
      <c r="W488" s="5085"/>
      <c r="X488" s="5085"/>
      <c r="Y488" s="5085"/>
      <c r="Z488" s="5102"/>
      <c r="AB488" s="5188">
        <f>GotTok_Indirekt!AP85-B488</f>
        <v>0</v>
      </c>
      <c r="AC488" s="4"/>
    </row>
    <row r="489" spans="1:30">
      <c r="A489" s="5131" t="s">
        <v>3557</v>
      </c>
      <c r="B489" s="5113"/>
      <c r="C489" s="5110"/>
      <c r="D489" s="5085"/>
      <c r="E489" s="5085"/>
      <c r="F489" s="5085"/>
      <c r="G489" s="5085"/>
      <c r="H489" s="5085"/>
      <c r="I489" s="5085"/>
      <c r="J489" s="5085"/>
      <c r="K489" s="5085"/>
      <c r="L489" s="5085"/>
      <c r="M489" s="5085"/>
      <c r="N489" s="5085"/>
      <c r="O489" s="5085"/>
      <c r="P489" s="5085"/>
      <c r="Q489" s="5085"/>
      <c r="R489" s="5085"/>
      <c r="S489" s="5085"/>
      <c r="T489" s="5085"/>
      <c r="U489" s="5085"/>
      <c r="V489" s="5085"/>
      <c r="W489" s="5085"/>
      <c r="X489" s="5085"/>
      <c r="Y489" s="5085"/>
      <c r="Z489" s="5102"/>
      <c r="AB489" s="5188">
        <f>GotTok_Indirekt!AP86-B489</f>
        <v>0</v>
      </c>
      <c r="AC489" s="4"/>
    </row>
    <row r="490" spans="1:30">
      <c r="A490" s="5131" t="s">
        <v>3558</v>
      </c>
      <c r="B490" s="5113"/>
      <c r="C490" s="5110"/>
      <c r="D490" s="5085"/>
      <c r="E490" s="5085"/>
      <c r="F490" s="5085"/>
      <c r="G490" s="5085"/>
      <c r="H490" s="5085"/>
      <c r="I490" s="5085"/>
      <c r="J490" s="5085"/>
      <c r="K490" s="5085"/>
      <c r="L490" s="5085"/>
      <c r="M490" s="5085"/>
      <c r="N490" s="5085"/>
      <c r="O490" s="5085"/>
      <c r="P490" s="5085"/>
      <c r="Q490" s="5085"/>
      <c r="R490" s="5085"/>
      <c r="S490" s="5085"/>
      <c r="T490" s="5085"/>
      <c r="U490" s="5085"/>
      <c r="V490" s="5085"/>
      <c r="W490" s="5085"/>
      <c r="X490" s="5085"/>
      <c r="Y490" s="5085"/>
      <c r="Z490" s="5102"/>
      <c r="AB490" s="5188">
        <f>GotTok_Indirekt!AP87-B490</f>
        <v>0</v>
      </c>
      <c r="AC490" s="4"/>
    </row>
    <row r="491" spans="1:30">
      <c r="A491" s="5131" t="s">
        <v>3559</v>
      </c>
      <c r="B491" s="5113"/>
      <c r="C491" s="5110"/>
      <c r="D491" s="5085"/>
      <c r="E491" s="5085"/>
      <c r="F491" s="5085"/>
      <c r="G491" s="5085"/>
      <c r="H491" s="5085"/>
      <c r="I491" s="5085"/>
      <c r="J491" s="5085"/>
      <c r="K491" s="5085"/>
      <c r="L491" s="5085"/>
      <c r="M491" s="5085"/>
      <c r="N491" s="5085"/>
      <c r="O491" s="5085"/>
      <c r="P491" s="5085"/>
      <c r="Q491" s="5085"/>
      <c r="R491" s="5085"/>
      <c r="S491" s="5085"/>
      <c r="T491" s="5085"/>
      <c r="U491" s="5085"/>
      <c r="V491" s="5085"/>
      <c r="W491" s="5085"/>
      <c r="X491" s="5085"/>
      <c r="Y491" s="5085"/>
      <c r="Z491" s="5102"/>
      <c r="AB491" s="5188">
        <f>GotTok_Indirekt!AP88-B491</f>
        <v>0</v>
      </c>
      <c r="AC491" s="4"/>
    </row>
    <row r="492" spans="1:30">
      <c r="A492" s="5131" t="s">
        <v>3560</v>
      </c>
      <c r="B492" s="5113"/>
      <c r="C492" s="5110"/>
      <c r="D492" s="5085"/>
      <c r="E492" s="5085"/>
      <c r="F492" s="5085"/>
      <c r="G492" s="5085"/>
      <c r="H492" s="5085"/>
      <c r="I492" s="5085"/>
      <c r="J492" s="5085"/>
      <c r="K492" s="5085"/>
      <c r="L492" s="5085"/>
      <c r="M492" s="5085"/>
      <c r="N492" s="5085"/>
      <c r="O492" s="5085"/>
      <c r="P492" s="5085"/>
      <c r="Q492" s="5085"/>
      <c r="R492" s="5085"/>
      <c r="S492" s="5085"/>
      <c r="T492" s="5085"/>
      <c r="U492" s="5085"/>
      <c r="V492" s="5085"/>
      <c r="W492" s="5085"/>
      <c r="X492" s="5085"/>
      <c r="Y492" s="5085"/>
      <c r="Z492" s="5102"/>
      <c r="AB492" s="5188">
        <f>GotTok_Indirekt!AP89-B492</f>
        <v>0</v>
      </c>
      <c r="AC492" s="4"/>
    </row>
    <row r="493" spans="1:30">
      <c r="A493" s="5131" t="s">
        <v>3561</v>
      </c>
      <c r="B493" s="5113"/>
      <c r="C493" s="5110"/>
      <c r="D493" s="5085"/>
      <c r="E493" s="5085"/>
      <c r="F493" s="5085"/>
      <c r="G493" s="5085"/>
      <c r="H493" s="5085"/>
      <c r="I493" s="5085"/>
      <c r="J493" s="5085"/>
      <c r="K493" s="5085"/>
      <c r="L493" s="5085"/>
      <c r="M493" s="5085"/>
      <c r="N493" s="5085"/>
      <c r="O493" s="5085"/>
      <c r="P493" s="5085"/>
      <c r="Q493" s="5085"/>
      <c r="R493" s="5085"/>
      <c r="S493" s="5085"/>
      <c r="T493" s="5085"/>
      <c r="U493" s="5085"/>
      <c r="V493" s="5085"/>
      <c r="W493" s="5085"/>
      <c r="X493" s="5085"/>
      <c r="Y493" s="5085"/>
      <c r="Z493" s="5102"/>
      <c r="AB493" s="5188">
        <f>GotTok_Indirekt!AP90-B493</f>
        <v>0</v>
      </c>
      <c r="AC493" s="4"/>
    </row>
    <row r="494" spans="1:30">
      <c r="A494" s="5131" t="s">
        <v>3562</v>
      </c>
      <c r="B494" s="5113"/>
      <c r="C494" s="5110"/>
      <c r="D494" s="5085"/>
      <c r="E494" s="5085"/>
      <c r="F494" s="5085"/>
      <c r="G494" s="5085"/>
      <c r="H494" s="5085"/>
      <c r="I494" s="5085"/>
      <c r="J494" s="5085"/>
      <c r="K494" s="5085"/>
      <c r="L494" s="5085"/>
      <c r="M494" s="5085"/>
      <c r="N494" s="5085"/>
      <c r="O494" s="5085"/>
      <c r="P494" s="5085"/>
      <c r="Q494" s="5085"/>
      <c r="R494" s="5085"/>
      <c r="S494" s="5085"/>
      <c r="T494" s="5085"/>
      <c r="U494" s="5085"/>
      <c r="V494" s="5085"/>
      <c r="W494" s="5085"/>
      <c r="X494" s="5085"/>
      <c r="Y494" s="5085"/>
      <c r="Z494" s="5102"/>
      <c r="AB494" s="5188">
        <f>GotTok_Indirekt!AP91-B494</f>
        <v>0</v>
      </c>
      <c r="AC494" s="4"/>
    </row>
    <row r="495" spans="1:30">
      <c r="A495" s="5131" t="s">
        <v>3563</v>
      </c>
      <c r="B495" s="5113"/>
      <c r="C495" s="5110"/>
      <c r="D495" s="5085"/>
      <c r="E495" s="5085"/>
      <c r="F495" s="5085"/>
      <c r="G495" s="5085"/>
      <c r="H495" s="5085"/>
      <c r="I495" s="5085"/>
      <c r="J495" s="5085"/>
      <c r="K495" s="5085"/>
      <c r="L495" s="5085"/>
      <c r="M495" s="5085"/>
      <c r="N495" s="5085"/>
      <c r="O495" s="5085"/>
      <c r="P495" s="5085"/>
      <c r="Q495" s="5085"/>
      <c r="R495" s="5085"/>
      <c r="S495" s="5085"/>
      <c r="T495" s="5085"/>
      <c r="U495" s="5085"/>
      <c r="V495" s="5085"/>
      <c r="W495" s="5085"/>
      <c r="X495" s="5085"/>
      <c r="Y495" s="5085"/>
      <c r="Z495" s="5102"/>
      <c r="AB495" s="5188">
        <f>GotTok_Indirekt!AP92-B495</f>
        <v>0</v>
      </c>
      <c r="AC495" s="4"/>
    </row>
    <row r="496" ht="15" spans="1:30">
      <c r="A496" s="5131" t="s">
        <v>3564</v>
      </c>
      <c r="B496" s="5109">
        <f>GotTok_Indirekt!AP93</f>
        <v>0</v>
      </c>
      <c r="C496" s="5110"/>
      <c r="D496" s="5085"/>
      <c r="E496" s="5085"/>
      <c r="F496" s="5085"/>
      <c r="G496" s="5085"/>
      <c r="H496" s="5085"/>
      <c r="I496" s="5085"/>
      <c r="J496" s="5085"/>
      <c r="K496" s="5085"/>
      <c r="L496" s="5085"/>
      <c r="M496" s="5085"/>
      <c r="N496" s="5085"/>
      <c r="O496" s="5085"/>
      <c r="P496" s="5085"/>
      <c r="Q496" s="5085"/>
      <c r="R496" s="5085"/>
      <c r="S496" s="5085"/>
      <c r="T496" s="5085"/>
      <c r="U496" s="5085"/>
      <c r="V496" s="5085"/>
      <c r="W496" s="5085"/>
      <c r="X496" s="5085"/>
      <c r="Y496" s="5085"/>
      <c r="Z496" s="5102"/>
      <c r="AB496" s="5189">
        <f>GotTok_Indirekt!AP93-B496</f>
        <v>0</v>
      </c>
      <c r="AC496" s="4"/>
      <c r="AD496" s="5090">
        <f t="shared" ref="AD496" si="9">IF(AB496=0,0,"PAŽNJA! Provjerite AOP "&amp;A496&amp;" MSV - PROŠLU godinu, razlika = "&amp;TEXT(AB496,"#.##0,00 [$KM-141A]"))</f>
        <v>0</v>
      </c>
    </row>
    <row r="497" spans="1:30">
      <c r="A497" s="5085"/>
      <c r="B497" s="5087"/>
      <c r="C497" s="5087"/>
      <c r="D497" s="5085"/>
      <c r="E497" s="5085"/>
      <c r="F497" s="5085"/>
      <c r="G497" s="5085"/>
      <c r="H497" s="5085"/>
      <c r="I497" s="5085"/>
      <c r="J497" s="5085"/>
      <c r="K497" s="5085"/>
      <c r="L497" s="5085"/>
      <c r="M497" s="5085"/>
      <c r="N497" s="5085"/>
      <c r="O497" s="5085"/>
      <c r="P497" s="5085"/>
      <c r="Q497" s="5085"/>
      <c r="R497" s="5085"/>
      <c r="S497" s="5085"/>
      <c r="T497" s="5085"/>
      <c r="U497" s="5085"/>
      <c r="V497" s="5085"/>
      <c r="W497" s="5085"/>
      <c r="X497" s="5085"/>
      <c r="Y497" s="5085"/>
      <c r="Z497" s="5102"/>
      <c r="AB497" s="5190"/>
      <c r="AC497" s="4"/>
    </row>
    <row r="498" spans="1:30">
      <c r="A498" s="5131" t="s">
        <v>3567</v>
      </c>
      <c r="B498" s="5113"/>
      <c r="C498" s="5110"/>
      <c r="D498" s="5085"/>
      <c r="E498" s="5085"/>
      <c r="F498" s="5085"/>
      <c r="G498" s="5085"/>
      <c r="H498" s="5085"/>
      <c r="I498" s="5085"/>
      <c r="J498" s="5085"/>
      <c r="K498" s="5085"/>
      <c r="L498" s="5085"/>
      <c r="M498" s="5085"/>
      <c r="N498" s="5085"/>
      <c r="O498" s="5085"/>
      <c r="P498" s="5085"/>
      <c r="Q498" s="5085"/>
      <c r="R498" s="5085"/>
      <c r="S498" s="5085"/>
      <c r="T498" s="5085"/>
      <c r="U498" s="5085"/>
      <c r="V498" s="5085"/>
      <c r="W498" s="5085"/>
      <c r="X498" s="5085"/>
      <c r="Y498" s="5085"/>
      <c r="Z498" s="5102"/>
      <c r="AB498" s="5188">
        <f>GotTok_Indirekt!AP95-B498</f>
        <v>0</v>
      </c>
      <c r="AC498" s="4"/>
    </row>
    <row r="499" spans="1:30">
      <c r="A499" s="5131" t="s">
        <v>3568</v>
      </c>
      <c r="B499" s="5113"/>
      <c r="C499" s="5110"/>
      <c r="D499" s="5085"/>
      <c r="E499" s="5085"/>
      <c r="F499" s="5085"/>
      <c r="G499" s="5085"/>
      <c r="H499" s="5085"/>
      <c r="I499" s="5085"/>
      <c r="J499" s="5085"/>
      <c r="K499" s="5085"/>
      <c r="L499" s="5085"/>
      <c r="M499" s="5085"/>
      <c r="N499" s="5085"/>
      <c r="O499" s="5085"/>
      <c r="P499" s="5085"/>
      <c r="Q499" s="5085"/>
      <c r="R499" s="5085"/>
      <c r="S499" s="5085"/>
      <c r="T499" s="5085"/>
      <c r="U499" s="5085"/>
      <c r="V499" s="5085"/>
      <c r="W499" s="5085"/>
      <c r="X499" s="5085"/>
      <c r="Y499" s="5085"/>
      <c r="Z499" s="5102"/>
      <c r="AB499" s="5188">
        <f>GotTok_Indirekt!AP96-B499</f>
        <v>0</v>
      </c>
      <c r="AC499" s="4"/>
    </row>
    <row r="500" spans="1:30">
      <c r="A500" s="5131" t="s">
        <v>3569</v>
      </c>
      <c r="B500" s="5113"/>
      <c r="C500" s="5110"/>
      <c r="D500" s="5085"/>
      <c r="E500" s="5085"/>
      <c r="F500" s="5085"/>
      <c r="G500" s="5085"/>
      <c r="H500" s="5085"/>
      <c r="I500" s="5085"/>
      <c r="J500" s="5085"/>
      <c r="K500" s="5085"/>
      <c r="L500" s="5085"/>
      <c r="M500" s="5085"/>
      <c r="N500" s="5085"/>
      <c r="O500" s="5085"/>
      <c r="P500" s="5085"/>
      <c r="Q500" s="5085"/>
      <c r="R500" s="5085"/>
      <c r="S500" s="5085"/>
      <c r="T500" s="5085"/>
      <c r="U500" s="5085"/>
      <c r="V500" s="5085"/>
      <c r="W500" s="5085"/>
      <c r="X500" s="5085"/>
      <c r="Y500" s="5085"/>
      <c r="Z500" s="5102"/>
      <c r="AB500" s="5188">
        <f>GotTok_Indirekt!AP97-B500</f>
        <v>0</v>
      </c>
      <c r="AC500" s="4"/>
    </row>
    <row r="501" spans="1:30">
      <c r="A501" s="5131" t="s">
        <v>3570</v>
      </c>
      <c r="B501" s="5113"/>
      <c r="C501" s="5110"/>
      <c r="D501" s="5085"/>
      <c r="E501" s="5085"/>
      <c r="F501" s="5085"/>
      <c r="G501" s="5085"/>
      <c r="H501" s="5085"/>
      <c r="I501" s="5085"/>
      <c r="J501" s="5085"/>
      <c r="K501" s="5085"/>
      <c r="L501" s="5085"/>
      <c r="M501" s="5085"/>
      <c r="N501" s="5085"/>
      <c r="O501" s="5085"/>
      <c r="P501" s="5085"/>
      <c r="Q501" s="5085"/>
      <c r="R501" s="5085"/>
      <c r="S501" s="5085"/>
      <c r="T501" s="5085"/>
      <c r="U501" s="5085"/>
      <c r="V501" s="5085"/>
      <c r="W501" s="5085"/>
      <c r="X501" s="5085"/>
      <c r="Y501" s="5085"/>
      <c r="Z501" s="5102"/>
      <c r="AB501" s="5188">
        <f>GotTok_Indirekt!AP98-B501</f>
        <v>0</v>
      </c>
      <c r="AC501" s="4"/>
    </row>
    <row r="502" spans="1:30">
      <c r="A502" s="5131" t="s">
        <v>3571</v>
      </c>
      <c r="B502" s="5113"/>
      <c r="C502" s="5110"/>
      <c r="D502" s="5085"/>
      <c r="E502" s="5085"/>
      <c r="F502" s="5085"/>
      <c r="G502" s="5085"/>
      <c r="H502" s="5085"/>
      <c r="I502" s="5085"/>
      <c r="J502" s="5085"/>
      <c r="K502" s="5085"/>
      <c r="L502" s="5085"/>
      <c r="M502" s="5085"/>
      <c r="N502" s="5085"/>
      <c r="O502" s="5085"/>
      <c r="P502" s="5085"/>
      <c r="Q502" s="5085"/>
      <c r="R502" s="5085"/>
      <c r="S502" s="5085"/>
      <c r="T502" s="5085"/>
      <c r="U502" s="5085"/>
      <c r="V502" s="5085"/>
      <c r="W502" s="5085"/>
      <c r="X502" s="5085"/>
      <c r="Y502" s="5085"/>
      <c r="Z502" s="5102"/>
      <c r="AB502" s="5188">
        <f>GotTok_Indirekt!AP99-B502</f>
        <v>0</v>
      </c>
      <c r="AC502" s="4"/>
    </row>
    <row r="503" spans="1:30">
      <c r="A503" s="5131" t="s">
        <v>3572</v>
      </c>
      <c r="B503" s="5113">
        <v>-13023</v>
      </c>
      <c r="C503" s="5110"/>
      <c r="D503" s="5085"/>
      <c r="E503" s="5085"/>
      <c r="F503" s="5085"/>
      <c r="G503" s="5085"/>
      <c r="H503" s="5085"/>
      <c r="I503" s="5085"/>
      <c r="J503" s="5085"/>
      <c r="K503" s="5085"/>
      <c r="L503" s="5085"/>
      <c r="M503" s="5085"/>
      <c r="N503" s="5085"/>
      <c r="O503" s="5085"/>
      <c r="P503" s="5085"/>
      <c r="Q503" s="5085"/>
      <c r="R503" s="5085"/>
      <c r="S503" s="5085"/>
      <c r="T503" s="5085"/>
      <c r="U503" s="5085"/>
      <c r="V503" s="5085"/>
      <c r="W503" s="5085"/>
      <c r="X503" s="5085"/>
      <c r="Y503" s="5085"/>
      <c r="Z503" s="5102"/>
      <c r="AB503" s="5188">
        <f>GotTok_Indirekt!AP100-B503</f>
        <v>0</v>
      </c>
      <c r="AC503" s="4"/>
    </row>
    <row r="504" spans="1:30">
      <c r="A504" s="5131" t="s">
        <v>608</v>
      </c>
      <c r="B504" s="5113"/>
      <c r="C504" s="5110"/>
      <c r="D504" s="5085"/>
      <c r="E504" s="5085"/>
      <c r="F504" s="5085"/>
      <c r="G504" s="5085"/>
      <c r="H504" s="5085"/>
      <c r="I504" s="5085"/>
      <c r="J504" s="5085"/>
      <c r="K504" s="5085"/>
      <c r="L504" s="5085"/>
      <c r="M504" s="5085"/>
      <c r="N504" s="5085"/>
      <c r="O504" s="5085"/>
      <c r="P504" s="5085"/>
      <c r="Q504" s="5085"/>
      <c r="R504" s="5085"/>
      <c r="S504" s="5085"/>
      <c r="T504" s="5085"/>
      <c r="U504" s="5085"/>
      <c r="V504" s="5085"/>
      <c r="W504" s="5085"/>
      <c r="X504" s="5085"/>
      <c r="Y504" s="5085"/>
      <c r="Z504" s="5102"/>
      <c r="AB504" s="5188">
        <f>GotTok_Indirekt!AP101-B504</f>
        <v>0</v>
      </c>
      <c r="AC504" s="4"/>
    </row>
    <row r="505" spans="1:30">
      <c r="A505" s="5131" t="s">
        <v>620</v>
      </c>
      <c r="B505" s="5113"/>
      <c r="C505" s="5110"/>
      <c r="D505" s="5085"/>
      <c r="E505" s="5085"/>
      <c r="F505" s="5085"/>
      <c r="G505" s="5085"/>
      <c r="H505" s="5085"/>
      <c r="I505" s="5085"/>
      <c r="J505" s="5085"/>
      <c r="K505" s="5085"/>
      <c r="L505" s="5085"/>
      <c r="M505" s="5085"/>
      <c r="N505" s="5085"/>
      <c r="O505" s="5085"/>
      <c r="P505" s="5085"/>
      <c r="Q505" s="5085"/>
      <c r="R505" s="5085"/>
      <c r="S505" s="5085"/>
      <c r="T505" s="5085"/>
      <c r="U505" s="5085"/>
      <c r="V505" s="5085"/>
      <c r="W505" s="5085"/>
      <c r="X505" s="5085"/>
      <c r="Y505" s="5085"/>
      <c r="Z505" s="5102"/>
      <c r="AB505" s="5188">
        <f>GotTok_Indirekt!AP102-B505</f>
        <v>0</v>
      </c>
      <c r="AC505" s="4"/>
    </row>
    <row r="506" spans="1:30">
      <c r="A506" s="5131" t="s">
        <v>3573</v>
      </c>
      <c r="B506" s="5113"/>
      <c r="C506" s="5110"/>
      <c r="D506" s="5085"/>
      <c r="E506" s="5085"/>
      <c r="F506" s="5085"/>
      <c r="G506" s="5085"/>
      <c r="H506" s="5085"/>
      <c r="I506" s="5085"/>
      <c r="J506" s="5085"/>
      <c r="K506" s="5085"/>
      <c r="L506" s="5085"/>
      <c r="M506" s="5085"/>
      <c r="N506" s="5085"/>
      <c r="O506" s="5085"/>
      <c r="P506" s="5085"/>
      <c r="Q506" s="5085"/>
      <c r="R506" s="5085"/>
      <c r="S506" s="5085"/>
      <c r="T506" s="5085"/>
      <c r="U506" s="5085"/>
      <c r="V506" s="5085"/>
      <c r="W506" s="5085"/>
      <c r="X506" s="5085"/>
      <c r="Y506" s="5085"/>
      <c r="Z506" s="5102"/>
      <c r="AB506" s="5188">
        <f>GotTok_Indirekt!AP103-B506</f>
        <v>0</v>
      </c>
      <c r="AC506" s="4"/>
    </row>
    <row r="507" spans="1:30">
      <c r="A507" s="5131" t="s">
        <v>3574</v>
      </c>
      <c r="B507" s="5113"/>
      <c r="C507" s="5110"/>
      <c r="D507" s="5085"/>
      <c r="E507" s="5085"/>
      <c r="F507" s="5085"/>
      <c r="G507" s="5085"/>
      <c r="H507" s="5085"/>
      <c r="I507" s="5085"/>
      <c r="J507" s="5085"/>
      <c r="K507" s="5085"/>
      <c r="L507" s="5085"/>
      <c r="M507" s="5085"/>
      <c r="N507" s="5085"/>
      <c r="O507" s="5085"/>
      <c r="P507" s="5085"/>
      <c r="Q507" s="5085"/>
      <c r="R507" s="5085"/>
      <c r="S507" s="5085"/>
      <c r="T507" s="5085"/>
      <c r="U507" s="5085"/>
      <c r="V507" s="5085"/>
      <c r="W507" s="5085"/>
      <c r="X507" s="5085"/>
      <c r="Y507" s="5085"/>
      <c r="Z507" s="5102"/>
      <c r="AB507" s="5188">
        <f>GotTok_Indirekt!AP104-B507</f>
        <v>0</v>
      </c>
      <c r="AC507" s="4"/>
    </row>
    <row r="508" spans="1:30">
      <c r="A508" s="5131" t="s">
        <v>3575</v>
      </c>
      <c r="B508" s="5113"/>
      <c r="C508" s="5110"/>
      <c r="D508" s="5085"/>
      <c r="E508" s="5085"/>
      <c r="F508" s="5085"/>
      <c r="G508" s="5085"/>
      <c r="H508" s="5085"/>
      <c r="I508" s="5085"/>
      <c r="J508" s="5085"/>
      <c r="K508" s="5085"/>
      <c r="L508" s="5085"/>
      <c r="M508" s="5085"/>
      <c r="N508" s="5085"/>
      <c r="O508" s="5085"/>
      <c r="P508" s="5085"/>
      <c r="Q508" s="5085"/>
      <c r="R508" s="5085"/>
      <c r="S508" s="5085"/>
      <c r="T508" s="5085"/>
      <c r="U508" s="5085"/>
      <c r="V508" s="5085"/>
      <c r="W508" s="5085"/>
      <c r="X508" s="5085"/>
      <c r="Y508" s="5085"/>
      <c r="Z508" s="5102"/>
      <c r="AB508" s="5188">
        <f>GotTok_Indirekt!AP105-B508</f>
        <v>0</v>
      </c>
      <c r="AC508" s="4"/>
    </row>
    <row r="509" spans="1:30">
      <c r="A509" s="5131" t="s">
        <v>3576</v>
      </c>
      <c r="B509" s="5113"/>
      <c r="C509" s="5110"/>
      <c r="D509" s="5085"/>
      <c r="E509" s="5085"/>
      <c r="F509" s="5085"/>
      <c r="G509" s="5085"/>
      <c r="H509" s="5085"/>
      <c r="I509" s="5085"/>
      <c r="J509" s="5085"/>
      <c r="K509" s="5085"/>
      <c r="L509" s="5085"/>
      <c r="M509" s="5085"/>
      <c r="N509" s="5085"/>
      <c r="O509" s="5085"/>
      <c r="P509" s="5085"/>
      <c r="Q509" s="5085"/>
      <c r="R509" s="5085"/>
      <c r="S509" s="5085"/>
      <c r="T509" s="5085"/>
      <c r="U509" s="5085"/>
      <c r="V509" s="5085"/>
      <c r="W509" s="5085"/>
      <c r="X509" s="5085"/>
      <c r="Y509" s="5085"/>
      <c r="Z509" s="5102"/>
      <c r="AB509" s="5188">
        <f>GotTok_Indirekt!AP106-B509</f>
        <v>0</v>
      </c>
      <c r="AC509" s="4"/>
    </row>
    <row r="510" spans="1:30">
      <c r="A510" s="5131" t="s">
        <v>3577</v>
      </c>
      <c r="B510" s="5113"/>
      <c r="C510" s="5110"/>
      <c r="D510" s="5085"/>
      <c r="E510" s="5085"/>
      <c r="F510" s="5085"/>
      <c r="G510" s="5085"/>
      <c r="H510" s="5085"/>
      <c r="I510" s="5085"/>
      <c r="J510" s="5085"/>
      <c r="K510" s="5085"/>
      <c r="L510" s="5085"/>
      <c r="M510" s="5085"/>
      <c r="N510" s="5085"/>
      <c r="O510" s="5085"/>
      <c r="P510" s="5085"/>
      <c r="Q510" s="5085"/>
      <c r="R510" s="5085"/>
      <c r="S510" s="5085"/>
      <c r="T510" s="5085"/>
      <c r="U510" s="5085"/>
      <c r="V510" s="5085"/>
      <c r="W510" s="5085"/>
      <c r="X510" s="5085"/>
      <c r="Y510" s="5085"/>
      <c r="Z510" s="5102"/>
      <c r="AB510" s="5188">
        <f>GotTok_Indirekt!AP107-B510</f>
        <v>0</v>
      </c>
      <c r="AC510" s="4"/>
    </row>
    <row r="511" ht="15" spans="1:30">
      <c r="A511" s="5131" t="s">
        <v>3578</v>
      </c>
      <c r="B511" s="5109">
        <f>GotTok_Indirekt!AP108</f>
        <v>-13023</v>
      </c>
      <c r="C511" s="5110"/>
      <c r="D511" s="5085"/>
      <c r="E511" s="5085"/>
      <c r="F511" s="5085"/>
      <c r="G511" s="5085"/>
      <c r="H511" s="5085"/>
      <c r="I511" s="5085"/>
      <c r="J511" s="5085"/>
      <c r="K511" s="5085"/>
      <c r="L511" s="5085"/>
      <c r="M511" s="5085"/>
      <c r="N511" s="5085"/>
      <c r="O511" s="5085"/>
      <c r="P511" s="5085"/>
      <c r="Q511" s="5085"/>
      <c r="R511" s="5085"/>
      <c r="S511" s="5085"/>
      <c r="T511" s="5085"/>
      <c r="U511" s="5085"/>
      <c r="V511" s="5085"/>
      <c r="W511" s="5085"/>
      <c r="X511" s="5085"/>
      <c r="Y511" s="5085"/>
      <c r="Z511" s="5102"/>
      <c r="AB511" s="5189">
        <f>GotTok_Indirekt!AP108-B511</f>
        <v>0</v>
      </c>
      <c r="AC511" s="4"/>
      <c r="AD511" s="5090">
        <f t="shared" ref="AD511:AD512" si="10">IF(AB511=0,0,"PAŽNJA! Provjerite AOP "&amp;A511&amp;" MSV - PROŠLU godinu, razlika = "&amp;TEXT(AB511,"#.##0,00 [$KM-141A]"))</f>
        <v>0</v>
      </c>
    </row>
    <row r="512" ht="15" spans="1:30">
      <c r="A512" s="5131" t="s">
        <v>3582</v>
      </c>
      <c r="B512" s="5109">
        <f>GotTok_Indirekt!AP109</f>
        <v>-349</v>
      </c>
      <c r="C512" s="5110"/>
      <c r="D512" s="5085"/>
      <c r="E512" s="5085"/>
      <c r="F512" s="5085"/>
      <c r="G512" s="5085"/>
      <c r="H512" s="5085"/>
      <c r="I512" s="5085"/>
      <c r="J512" s="5085"/>
      <c r="K512" s="5085"/>
      <c r="L512" s="5085"/>
      <c r="M512" s="5085"/>
      <c r="N512" s="5085"/>
      <c r="O512" s="5085"/>
      <c r="P512" s="5085"/>
      <c r="Q512" s="5085"/>
      <c r="R512" s="5085"/>
      <c r="S512" s="5085"/>
      <c r="T512" s="5085"/>
      <c r="U512" s="5085"/>
      <c r="V512" s="5085"/>
      <c r="W512" s="5085"/>
      <c r="X512" s="5085"/>
      <c r="Y512" s="5085"/>
      <c r="Z512" s="5102"/>
      <c r="AB512" s="5189">
        <f>GotTok_Indirekt!AP109-B512</f>
        <v>0</v>
      </c>
      <c r="AC512" s="4"/>
      <c r="AD512" s="5090">
        <f t="shared" si="10"/>
        <v>0</v>
      </c>
    </row>
    <row r="513" spans="1:30">
      <c r="A513" s="5131" t="s">
        <v>3583</v>
      </c>
      <c r="B513" s="5113">
        <v>396</v>
      </c>
      <c r="C513" s="5110"/>
      <c r="D513" s="5085"/>
      <c r="E513" s="5085"/>
      <c r="F513" s="5085"/>
      <c r="G513" s="5085"/>
      <c r="H513" s="5085"/>
      <c r="I513" s="5085"/>
      <c r="J513" s="5085"/>
      <c r="K513" s="5085"/>
      <c r="L513" s="5085"/>
      <c r="M513" s="5085"/>
      <c r="N513" s="5085"/>
      <c r="O513" s="5085"/>
      <c r="P513" s="5085"/>
      <c r="Q513" s="5085"/>
      <c r="R513" s="5085"/>
      <c r="S513" s="5085"/>
      <c r="T513" s="5085"/>
      <c r="U513" s="5085"/>
      <c r="V513" s="5085"/>
      <c r="W513" s="5085"/>
      <c r="X513" s="5085"/>
      <c r="Y513" s="5085"/>
      <c r="Z513" s="5102"/>
      <c r="AB513" s="5188">
        <f>GotTok_Indirekt!AP110-B513</f>
        <v>0</v>
      </c>
      <c r="AC513" s="4"/>
    </row>
    <row r="514" spans="1:30">
      <c r="A514" s="5131" t="s">
        <v>3584</v>
      </c>
      <c r="B514" s="5113">
        <v>0</v>
      </c>
      <c r="C514" s="5110"/>
      <c r="D514" s="5085"/>
      <c r="E514" s="5085"/>
      <c r="F514" s="5085"/>
      <c r="G514" s="5085"/>
      <c r="H514" s="5085"/>
      <c r="I514" s="5085"/>
      <c r="J514" s="5085"/>
      <c r="K514" s="5085"/>
      <c r="L514" s="5085"/>
      <c r="M514" s="5085"/>
      <c r="N514" s="5085"/>
      <c r="O514" s="5085"/>
      <c r="P514" s="5085"/>
      <c r="Q514" s="5085"/>
      <c r="R514" s="5085"/>
      <c r="S514" s="5085"/>
      <c r="T514" s="5085"/>
      <c r="U514" s="5085"/>
      <c r="V514" s="5085"/>
      <c r="W514" s="5085"/>
      <c r="X514" s="5085"/>
      <c r="Y514" s="5085"/>
      <c r="Z514" s="5102"/>
      <c r="AB514" s="5188">
        <f>GotTok_Indirekt!AP111-B514</f>
        <v>0</v>
      </c>
      <c r="AC514" s="4"/>
    </row>
    <row r="515" spans="1:30">
      <c r="A515" s="5131" t="s">
        <v>3585</v>
      </c>
      <c r="B515" s="5113">
        <v>47</v>
      </c>
      <c r="C515" s="5110"/>
      <c r="D515" s="5085"/>
      <c r="E515" s="5085"/>
      <c r="F515" s="5085"/>
      <c r="G515" s="5085"/>
      <c r="H515" s="5085"/>
      <c r="I515" s="5085"/>
      <c r="J515" s="5085"/>
      <c r="K515" s="5085"/>
      <c r="L515" s="5085"/>
      <c r="M515" s="5085"/>
      <c r="N515" s="5085"/>
      <c r="O515" s="5085"/>
      <c r="P515" s="5085"/>
      <c r="Q515" s="5085"/>
      <c r="R515" s="5085"/>
      <c r="S515" s="5085"/>
      <c r="T515" s="5085"/>
      <c r="U515" s="5085"/>
      <c r="V515" s="5085"/>
      <c r="W515" s="5085"/>
      <c r="X515" s="5085"/>
      <c r="Y515" s="5085"/>
      <c r="Z515" s="5102"/>
      <c r="AB515" s="5188">
        <f>GotTok_Indirekt!AP112-B515</f>
        <v>0</v>
      </c>
      <c r="AC515" s="4"/>
    </row>
    <row r="516" ht="15" spans="1:30">
      <c r="A516" s="5193">
        <f>GotTok_Indirekt!AP113</f>
        <v>0</v>
      </c>
      <c r="B516" s="5174"/>
      <c r="C516" s="5174"/>
      <c r="D516" s="5175"/>
      <c r="E516" s="5085"/>
      <c r="F516" s="5085"/>
      <c r="G516" s="5085"/>
      <c r="H516" s="5085"/>
      <c r="I516" s="5085"/>
      <c r="J516" s="5085"/>
      <c r="K516" s="5085"/>
      <c r="L516" s="5085"/>
      <c r="M516" s="5085"/>
      <c r="N516" s="5085"/>
      <c r="O516" s="5085"/>
      <c r="P516" s="5085"/>
      <c r="Q516" s="5085"/>
      <c r="R516" s="5085"/>
      <c r="S516" s="5085"/>
      <c r="T516" s="5085"/>
      <c r="U516" s="5085"/>
      <c r="V516" s="5085"/>
      <c r="W516" s="5085"/>
      <c r="X516" s="5085"/>
      <c r="Y516" s="5085"/>
      <c r="Z516" s="5102"/>
      <c r="AB516" s="5188">
        <f>GotTok_Indirekt!AP113-B516</f>
        <v>0</v>
      </c>
      <c r="AC516" s="71"/>
      <c r="AD516" s="5090">
        <f>IF(AB516=0,0,"PAŽNJA! Provjerite PROŠLU godinu, razlika = "&amp;TEXT(AB516,"#.##0,00 [$KM-141A]"))</f>
        <v>0</v>
      </c>
    </row>
    <row r="517" ht="14.25" spans="1:30">
      <c r="A517" s="5175"/>
      <c r="B517" s="5174"/>
      <c r="C517" s="5174"/>
      <c r="D517" s="5175"/>
      <c r="E517" s="5085"/>
      <c r="F517" s="5085"/>
      <c r="G517" s="5085"/>
      <c r="H517" s="5085"/>
      <c r="I517" s="5085"/>
      <c r="J517" s="5085"/>
      <c r="K517" s="5085"/>
      <c r="L517" s="5085"/>
      <c r="M517" s="5085"/>
      <c r="N517" s="5085"/>
      <c r="O517" s="5085"/>
      <c r="P517" s="5085"/>
      <c r="Q517" s="5085"/>
      <c r="R517" s="5085"/>
      <c r="S517" s="5085"/>
      <c r="T517" s="5085"/>
      <c r="U517" s="5085"/>
      <c r="V517" s="5085"/>
      <c r="W517" s="5085"/>
      <c r="X517" s="5085"/>
      <c r="Y517" s="5085"/>
      <c r="Z517" s="5102"/>
      <c r="AB517" s="71"/>
      <c r="AC517" s="71"/>
    </row>
    <row r="518" ht="14.25" spans="1:30">
      <c r="A518" s="5175"/>
      <c r="B518" s="5174"/>
      <c r="C518" s="5174"/>
      <c r="D518" s="5175"/>
      <c r="E518" s="5085"/>
      <c r="F518" s="5085"/>
      <c r="G518" s="5085"/>
      <c r="H518" s="5085"/>
      <c r="I518" s="5085"/>
      <c r="J518" s="5085"/>
      <c r="K518" s="5085"/>
      <c r="L518" s="5085"/>
      <c r="M518" s="5085"/>
      <c r="N518" s="5085"/>
      <c r="O518" s="5085"/>
      <c r="P518" s="5085"/>
      <c r="Q518" s="5085"/>
      <c r="R518" s="5085"/>
      <c r="S518" s="5085"/>
      <c r="T518" s="5085"/>
      <c r="U518" s="5085"/>
      <c r="V518" s="5085"/>
      <c r="W518" s="5085"/>
      <c r="X518" s="5085"/>
      <c r="Y518" s="5085"/>
      <c r="Z518" s="5102"/>
      <c r="AB518" s="71"/>
      <c r="AC518" s="71"/>
    </row>
    <row r="541" ht="14.25" spans="1:29">
      <c r="A541" s="5194"/>
      <c r="B541" s="5195"/>
      <c r="C541" s="5119"/>
      <c r="D541" s="5118"/>
      <c r="E541" s="5118"/>
      <c r="F541" s="5118"/>
      <c r="G541" s="5118"/>
      <c r="H541" s="5118"/>
      <c r="I541" s="5118"/>
      <c r="J541" s="5118"/>
      <c r="K541" s="5118"/>
      <c r="L541" s="5118"/>
      <c r="M541" s="5118"/>
      <c r="N541" s="5118"/>
      <c r="O541" s="5118"/>
      <c r="P541" s="5118"/>
      <c r="Q541" s="5118"/>
      <c r="R541" s="5118"/>
      <c r="S541" s="5118"/>
      <c r="T541" s="5118"/>
      <c r="U541" s="5118"/>
      <c r="V541" s="5118"/>
      <c r="W541" s="5118"/>
      <c r="X541" s="5118"/>
      <c r="Y541" s="5118"/>
      <c r="Z541" s="5196"/>
      <c r="AB541" s="71"/>
      <c r="AC541" s="4"/>
    </row>
    <row r="542" ht="14.25" spans="1:29">
      <c r="A542" s="5194"/>
      <c r="B542" s="5195"/>
      <c r="C542" s="5195"/>
      <c r="D542" s="5118"/>
      <c r="E542" s="5118"/>
      <c r="F542" s="5118"/>
      <c r="G542" s="5118"/>
      <c r="H542" s="5118"/>
      <c r="I542" s="5118"/>
      <c r="J542" s="5118"/>
      <c r="K542" s="5118"/>
      <c r="L542" s="5118"/>
      <c r="M542" s="5118"/>
      <c r="N542" s="5118"/>
      <c r="O542" s="5118"/>
      <c r="P542" s="5118"/>
      <c r="Q542" s="5118"/>
      <c r="R542" s="5118"/>
      <c r="S542" s="5118"/>
      <c r="T542" s="5118"/>
      <c r="U542" s="5118"/>
      <c r="V542" s="5118"/>
      <c r="W542" s="5118"/>
      <c r="X542" s="5118"/>
      <c r="Y542" s="5118"/>
      <c r="Z542" s="5196"/>
      <c r="AB542" s="71"/>
      <c r="AC542" s="4"/>
    </row>
    <row r="543" ht="14.25" spans="1:29">
      <c r="A543" s="5194"/>
      <c r="B543" s="5195"/>
      <c r="C543" s="5195"/>
      <c r="D543" s="5118"/>
      <c r="E543" s="5118"/>
      <c r="F543" s="5118"/>
      <c r="G543" s="5118"/>
      <c r="H543" s="5118"/>
      <c r="I543" s="5118"/>
      <c r="J543" s="5118"/>
      <c r="K543" s="5118"/>
      <c r="L543" s="5118"/>
      <c r="M543" s="5118"/>
      <c r="N543" s="5118"/>
      <c r="O543" s="5118"/>
      <c r="P543" s="5118"/>
      <c r="Q543" s="5118"/>
      <c r="R543" s="5118"/>
      <c r="S543" s="5118"/>
      <c r="T543" s="5118"/>
      <c r="U543" s="5118"/>
      <c r="V543" s="5118"/>
      <c r="W543" s="5118"/>
      <c r="X543" s="5118"/>
      <c r="Y543" s="5118"/>
      <c r="Z543" s="5196"/>
      <c r="AB543" s="71"/>
      <c r="AC543" s="4"/>
    </row>
    <row r="544" ht="14.25" spans="1:29">
      <c r="A544" s="5194"/>
      <c r="B544" s="5195"/>
      <c r="C544" s="5195"/>
      <c r="D544" s="5118"/>
      <c r="E544" s="5118"/>
      <c r="F544" s="5118"/>
      <c r="G544" s="5118"/>
      <c r="H544" s="5118"/>
      <c r="I544" s="5118"/>
      <c r="J544" s="5118"/>
      <c r="K544" s="5118"/>
      <c r="L544" s="5118"/>
      <c r="M544" s="5118"/>
      <c r="N544" s="5118"/>
      <c r="O544" s="5118"/>
      <c r="P544" s="5118"/>
      <c r="Q544" s="5118"/>
      <c r="R544" s="5118"/>
      <c r="S544" s="5118"/>
      <c r="T544" s="5118"/>
      <c r="U544" s="5118"/>
      <c r="V544" s="5118"/>
      <c r="W544" s="5118"/>
      <c r="X544" s="5118"/>
      <c r="Y544" s="5118"/>
      <c r="Z544" s="5196"/>
      <c r="AB544" s="71"/>
      <c r="AC544" s="4"/>
    </row>
    <row r="545" ht="14.25" spans="1:29">
      <c r="A545" s="5194"/>
      <c r="B545" s="5195"/>
      <c r="C545" s="5195"/>
      <c r="D545" s="5118"/>
      <c r="E545" s="5118"/>
      <c r="F545" s="5118"/>
      <c r="G545" s="5118"/>
      <c r="H545" s="5118"/>
      <c r="I545" s="5118"/>
      <c r="J545" s="5118"/>
      <c r="K545" s="5118"/>
      <c r="L545" s="5118"/>
      <c r="M545" s="5118"/>
      <c r="N545" s="5118"/>
      <c r="O545" s="5118"/>
      <c r="P545" s="5118"/>
      <c r="Q545" s="5118"/>
      <c r="R545" s="5118"/>
      <c r="S545" s="5118"/>
      <c r="T545" s="5118"/>
      <c r="U545" s="5118"/>
      <c r="V545" s="5118"/>
      <c r="W545" s="5118"/>
      <c r="X545" s="5118"/>
      <c r="Y545" s="5118"/>
      <c r="Z545" s="5196"/>
      <c r="AB545" s="71"/>
      <c r="AC545" s="4"/>
    </row>
    <row r="546" ht="14.25" spans="1:29">
      <c r="A546" s="5194"/>
      <c r="B546" s="5195"/>
      <c r="C546" s="5195"/>
      <c r="D546" s="5118"/>
      <c r="E546" s="5118"/>
      <c r="F546" s="5118"/>
      <c r="G546" s="5118"/>
      <c r="H546" s="5118"/>
      <c r="I546" s="5118"/>
      <c r="J546" s="5118"/>
      <c r="K546" s="5118"/>
      <c r="L546" s="5118"/>
      <c r="M546" s="5118"/>
      <c r="N546" s="5118"/>
      <c r="O546" s="5118"/>
      <c r="P546" s="5118"/>
      <c r="Q546" s="5118"/>
      <c r="R546" s="5118"/>
      <c r="S546" s="5118"/>
      <c r="T546" s="5118"/>
      <c r="U546" s="5118"/>
      <c r="V546" s="5118"/>
      <c r="W546" s="5118"/>
      <c r="X546" s="5118"/>
      <c r="Y546" s="5118"/>
      <c r="Z546" s="5196"/>
      <c r="AB546" s="71"/>
      <c r="AC546" s="4"/>
    </row>
    <row r="547" ht="14.25" spans="1:29">
      <c r="A547" s="5194"/>
      <c r="B547" s="5195"/>
      <c r="C547" s="5195"/>
      <c r="D547" s="5194"/>
      <c r="E547" s="5194"/>
      <c r="F547" s="5194"/>
      <c r="G547" s="5194"/>
      <c r="H547" s="5118"/>
      <c r="I547" s="5118"/>
      <c r="J547" s="5118"/>
      <c r="K547" s="5118"/>
      <c r="L547" s="5118"/>
      <c r="M547" s="5118"/>
      <c r="N547" s="5118"/>
      <c r="O547" s="5118"/>
      <c r="P547" s="5118"/>
      <c r="Q547" s="5118"/>
      <c r="R547" s="5118"/>
      <c r="S547" s="5118"/>
      <c r="T547" s="5118"/>
      <c r="U547" s="5118"/>
      <c r="V547" s="5118"/>
      <c r="W547" s="5118"/>
      <c r="X547" s="5118"/>
      <c r="Y547" s="5118"/>
      <c r="Z547" s="5196"/>
      <c r="AB547" s="71"/>
      <c r="AC547" s="71"/>
    </row>
    <row r="548" ht="14.25" spans="1:29">
      <c r="A548" s="5194"/>
      <c r="B548" s="5195"/>
      <c r="C548" s="5195"/>
      <c r="D548" s="5194"/>
      <c r="E548" s="5194"/>
      <c r="F548" s="5194"/>
      <c r="G548" s="5194"/>
      <c r="H548" s="5118"/>
      <c r="I548" s="5118"/>
      <c r="J548" s="5118"/>
      <c r="K548" s="5118"/>
      <c r="L548" s="5118"/>
      <c r="M548" s="5118"/>
      <c r="N548" s="5118"/>
      <c r="O548" s="5118"/>
      <c r="P548" s="5118"/>
      <c r="Q548" s="5118"/>
      <c r="R548" s="5118"/>
      <c r="S548" s="5118"/>
      <c r="T548" s="5118"/>
      <c r="U548" s="5118"/>
      <c r="V548" s="5118"/>
      <c r="W548" s="5118"/>
      <c r="X548" s="5118"/>
      <c r="Y548" s="5118"/>
      <c r="Z548" s="5196"/>
      <c r="AB548" s="71"/>
      <c r="AC548" s="71"/>
    </row>
    <row r="549" ht="14.25" spans="1:29">
      <c r="A549" s="5194"/>
      <c r="B549" s="5195"/>
      <c r="C549" s="5195"/>
      <c r="D549" s="5194"/>
      <c r="E549" s="5194"/>
      <c r="F549" s="5194"/>
      <c r="G549" s="5194"/>
      <c r="H549" s="5118"/>
      <c r="I549" s="5118"/>
      <c r="J549" s="5118"/>
      <c r="K549" s="5118"/>
      <c r="L549" s="5118"/>
      <c r="M549" s="5118"/>
      <c r="N549" s="5118"/>
      <c r="O549" s="5118"/>
      <c r="P549" s="5118"/>
      <c r="Q549" s="5118"/>
      <c r="R549" s="5118"/>
      <c r="S549" s="5118"/>
      <c r="T549" s="5118"/>
      <c r="U549" s="5118"/>
      <c r="V549" s="5118"/>
      <c r="W549" s="5118"/>
      <c r="X549" s="5118"/>
      <c r="Y549" s="5118"/>
      <c r="Z549" s="5196"/>
      <c r="AB549" s="71"/>
      <c r="AC549" s="71"/>
    </row>
    <row r="550" ht="14.25" spans="1:29">
      <c r="A550" s="5194"/>
      <c r="B550" s="5195"/>
      <c r="C550" s="5195"/>
      <c r="D550" s="5194"/>
      <c r="E550" s="5194"/>
      <c r="F550" s="5194"/>
      <c r="G550" s="5194"/>
      <c r="H550" s="5118"/>
      <c r="I550" s="5118"/>
      <c r="J550" s="5118"/>
      <c r="K550" s="5118"/>
      <c r="L550" s="5118"/>
      <c r="M550" s="5118"/>
      <c r="N550" s="5118"/>
      <c r="O550" s="5118"/>
      <c r="P550" s="5118"/>
      <c r="Q550" s="5118"/>
      <c r="R550" s="5118"/>
      <c r="S550" s="5118"/>
      <c r="T550" s="5118"/>
      <c r="U550" s="5118"/>
      <c r="V550" s="5118"/>
      <c r="W550" s="5118"/>
      <c r="X550" s="5118"/>
      <c r="Y550" s="5118"/>
      <c r="Z550" s="5196"/>
      <c r="AB550" s="71"/>
      <c r="AC550" s="71"/>
    </row>
    <row r="551" ht="14.25" spans="1:29">
      <c r="A551" s="5194"/>
      <c r="B551" s="5195"/>
      <c r="C551" s="5195"/>
      <c r="D551" s="5194"/>
      <c r="E551" s="5194"/>
      <c r="F551" s="5194"/>
      <c r="G551" s="5194"/>
      <c r="H551" s="5118"/>
      <c r="I551" s="5118"/>
      <c r="J551" s="5118"/>
      <c r="K551" s="5118"/>
      <c r="L551" s="5118"/>
      <c r="M551" s="5118"/>
      <c r="N551" s="5118"/>
      <c r="O551" s="5118"/>
      <c r="P551" s="5118"/>
      <c r="Q551" s="5118"/>
      <c r="R551" s="5118"/>
      <c r="S551" s="5118"/>
      <c r="T551" s="5118"/>
      <c r="U551" s="5118"/>
      <c r="V551" s="5118"/>
      <c r="W551" s="5118"/>
      <c r="X551" s="5118"/>
      <c r="Y551" s="5118"/>
      <c r="Z551" s="5196"/>
      <c r="AB551" s="71"/>
      <c r="AC551" s="71"/>
    </row>
  </sheetData>
  <conditionalFormatting sqref="AE1:AF1;AF2:AF156;AD157:AF164;AD204:AE204;AD273">
    <cfRule type="cellIs" dxfId="4" priority="176" operator="greaterThan">
      <formula>$AD$273&gt;0</formula>
    </cfRule>
  </conditionalFormatting>
  <dataValidations count="1">
    <dataValidation type="custom" allowBlank="1" showInputMessage="1" showErrorMessage="1" error="želite li promjeniti PoluGod 06 2013" sqref="AL334:AO334" errorStyle="warning">
      <formula1>#REF!="DA"</formula1>
    </dataValidation>
  </dataValidations>
  <hyperlinks>
    <hyperlink ref="H10" r:id="rId1" display="info@lilium_dzu.ba"/>
    <hyperlink ref="H12" r:id="rId2" display="www.lilium-dzu.ba"/>
  </hyperlinks>
  <pageMargins left="0.7" right="0.7" top="0.75" bottom="0.75" header="0.3" footer="0.3"/>
  <pageSetup paperSize="9" scale="44"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1">
    <tabColor rgb="FFC00000"/>
    <pageSetUpPr fitToPage="1"/>
  </sheetPr>
  <dimension ref="A1:DY1550"/>
  <sheetViews>
    <sheetView workbookViewId="0">
      <pane ySplit="1" topLeftCell="A120" activePane="bottomLeft" state="frozen"/>
      <selection/>
      <selection pane="bottomLeft" activeCell="F143" sqref="F143:L143"/>
    </sheetView>
  </sheetViews>
  <sheetFormatPr defaultColWidth="2.42857142857143" defaultRowHeight="12.75"/>
  <cols>
    <col min="1" max="1" width="5.57142857142857" style="75" customWidth="1"/>
    <col min="2" max="2" width="4.71428571428571" style="75" customWidth="1"/>
    <col min="3" max="3" width="5.71428571428571" style="75" customWidth="1"/>
    <col min="4" max="4" width="4.28571428571429" style="75" customWidth="1"/>
    <col min="5" max="5" width="4.57142857142857" style="75" customWidth="1"/>
    <col min="6" max="6" width="5" style="75" customWidth="1"/>
    <col min="7" max="7" width="4.14285714285714" style="75" customWidth="1"/>
    <col min="8" max="18" width="3.71428571428571" style="75" customWidth="1"/>
    <col min="19" max="19" width="3.14285714285714" style="75" customWidth="1"/>
    <col min="20" max="20" width="2.85714285714286" style="75" customWidth="1"/>
    <col min="21" max="43" width="3.14285714285714" style="75" customWidth="1"/>
    <col min="44" max="44" width="3.85714285714286" style="75" customWidth="1"/>
    <col min="45" max="45" width="3.85714285714286" style="4141" customWidth="1"/>
    <col min="46" max="49" width="3.28571428571429" style="75" customWidth="1"/>
    <col min="50" max="65" width="3.14285714285714" style="75" customWidth="1"/>
    <col min="66" max="80" width="2.42857142857143" style="75" customWidth="1"/>
    <col min="81" max="81" width="6.42857142857143" style="75" customWidth="1"/>
    <col min="82" max="120" width="2.42857142857143" style="75" customWidth="1"/>
    <col min="121" max="121" width="6.42857142857143" style="75" customWidth="1"/>
    <col min="122" max="122" width="1.85714285714286" style="75" customWidth="1"/>
    <col min="123" max="16384" width="2.42857142857143" style="75"/>
  </cols>
  <sheetData>
    <row r="1" s="4129" customFormat="1" ht="33.75" customHeight="1" spans="1:126">
      <c r="A1" s="4142" t="str">
        <f>Text!B16</f>
        <v>Godišnji obračun preduzeća FBiH</v>
      </c>
      <c r="B1" s="4142"/>
      <c r="C1" s="4142"/>
      <c r="D1" s="4142"/>
      <c r="E1" s="4142"/>
      <c r="F1" s="4142"/>
      <c r="G1" s="4142"/>
      <c r="H1" s="4142"/>
      <c r="I1" s="4142"/>
      <c r="J1" s="4142"/>
      <c r="K1" s="4142"/>
      <c r="L1" s="4142"/>
      <c r="M1" s="4142"/>
      <c r="N1" s="4142"/>
      <c r="O1" s="4142"/>
      <c r="P1" s="4143">
        <f>Q6</f>
        <v>2025</v>
      </c>
      <c r="Q1" s="4144"/>
      <c r="R1" s="4144"/>
      <c r="S1" s="4144"/>
      <c r="T1" s="4145" t="s">
        <v>4621</v>
      </c>
      <c r="U1" s="4142"/>
      <c r="V1" s="4142"/>
      <c r="W1" s="4146" t="str">
        <f>Firma</f>
        <v>LILIUM ASSET MANAGEMENT d.o.o. Sarajevo</v>
      </c>
      <c r="X1" s="4142"/>
      <c r="Y1" s="4145"/>
      <c r="Z1" s="4145"/>
      <c r="AA1" s="4145"/>
      <c r="AB1" s="4146"/>
      <c r="AC1" s="4146"/>
      <c r="AD1" s="4147"/>
      <c r="AE1" s="4147"/>
      <c r="AF1" s="4147"/>
      <c r="AG1" s="4147"/>
      <c r="AH1" s="4147"/>
      <c r="AI1" s="4148" t="s">
        <v>4622</v>
      </c>
      <c r="AJ1" s="4148"/>
      <c r="AK1" s="4148"/>
      <c r="AL1" s="4148"/>
      <c r="AM1" s="4148"/>
      <c r="AN1" s="4148"/>
      <c r="AO1" s="4148"/>
      <c r="AP1" s="4148"/>
      <c r="AQ1" s="4148"/>
      <c r="AR1" s="4148"/>
      <c r="AS1" s="4148"/>
      <c r="AT1" s="4148"/>
      <c r="AU1" s="4148"/>
      <c r="AV1" s="4148"/>
      <c r="AW1" s="4148"/>
      <c r="AX1" s="4148"/>
      <c r="AY1" s="4148"/>
      <c r="AZ1" s="4149"/>
      <c r="BA1" s="4149"/>
      <c r="BB1" s="4149"/>
      <c r="BC1" s="4149"/>
      <c r="BD1" s="4149"/>
      <c r="BE1" s="4149"/>
      <c r="BF1" s="4149"/>
      <c r="BG1" s="4149"/>
      <c r="BH1" s="4149"/>
      <c r="BI1" s="4149"/>
      <c r="BJ1" s="4149"/>
      <c r="BK1" s="4149"/>
      <c r="BL1" s="4149"/>
      <c r="BM1" s="4149"/>
      <c r="BN1" s="4149"/>
      <c r="BO1" s="4149"/>
      <c r="BP1" s="4149"/>
      <c r="BQ1" s="4149"/>
      <c r="BR1" s="4149"/>
      <c r="BS1" s="4149"/>
      <c r="BT1" s="4149"/>
      <c r="BU1" s="4149"/>
      <c r="BV1" s="4149"/>
      <c r="BW1" s="4149"/>
      <c r="BX1" s="4149"/>
      <c r="BY1" s="4150"/>
      <c r="BZ1" s="4150"/>
      <c r="CA1" s="4150"/>
      <c r="CB1" s="4150"/>
      <c r="CC1" s="4150"/>
      <c r="CD1" s="4150"/>
      <c r="CE1" s="4150"/>
      <c r="CF1" s="4150"/>
      <c r="CG1" s="4150"/>
      <c r="CH1" s="4150"/>
      <c r="CI1" s="4150"/>
      <c r="CJ1" s="4150"/>
      <c r="CK1" s="4150"/>
      <c r="CL1" s="4150"/>
      <c r="CM1" s="4150"/>
      <c r="CN1" s="4150"/>
      <c r="CO1" s="4150"/>
      <c r="CP1" s="4150"/>
      <c r="CQ1" s="4150"/>
      <c r="CR1" s="4150"/>
      <c r="CS1" s="4150"/>
      <c r="CT1" s="4150"/>
      <c r="CU1" s="4150"/>
      <c r="CV1" s="4150"/>
      <c r="CW1" s="4150"/>
      <c r="CX1" s="4150"/>
      <c r="CY1" s="4150"/>
      <c r="CZ1" s="4150"/>
      <c r="DA1" s="4150"/>
      <c r="DB1" s="4150"/>
      <c r="DC1" s="4150"/>
      <c r="DD1" s="4150"/>
      <c r="DE1" s="4150"/>
      <c r="DF1" s="4150"/>
      <c r="DG1" s="4150"/>
      <c r="DH1" s="4150"/>
      <c r="DI1" s="4150"/>
      <c r="DJ1" s="4150"/>
      <c r="DK1" s="4150"/>
      <c r="DL1" s="4150"/>
      <c r="DM1" s="4150"/>
      <c r="DN1" s="4150"/>
      <c r="DO1" s="4150"/>
      <c r="DP1" s="4150"/>
      <c r="DQ1" s="4150"/>
      <c r="DR1" s="4150"/>
      <c r="DS1" s="4151"/>
    </row>
    <row r="2" s="4130" customFormat="1" ht="22.5" customHeight="1" spans="1:126">
      <c r="A2" s="4152" t="s">
        <v>4623</v>
      </c>
      <c r="B2" s="4153"/>
      <c r="C2" s="4153"/>
      <c r="D2" s="4153"/>
      <c r="E2" s="4153"/>
      <c r="F2" s="4153"/>
      <c r="G2" s="4153"/>
      <c r="H2" s="4153"/>
      <c r="I2" s="4153"/>
      <c r="J2" s="4153"/>
      <c r="K2" s="4153"/>
      <c r="L2" s="4153"/>
      <c r="M2" s="4153"/>
      <c r="N2" s="4153"/>
      <c r="O2" s="4153"/>
      <c r="P2" s="4153"/>
      <c r="Q2" s="4153"/>
      <c r="R2" s="4153"/>
      <c r="S2" s="4153"/>
      <c r="T2" s="4153"/>
      <c r="U2" s="4153"/>
      <c r="V2" s="4153"/>
      <c r="W2" s="4153"/>
      <c r="X2" s="4153"/>
      <c r="Y2" s="4153"/>
      <c r="Z2" s="4153"/>
      <c r="AA2" s="4153"/>
      <c r="AB2" s="4153"/>
      <c r="AC2" s="4153"/>
      <c r="AD2" s="4153"/>
      <c r="AE2" s="4153"/>
      <c r="AF2" s="4153"/>
      <c r="AG2" s="4153"/>
      <c r="AH2" s="4153"/>
      <c r="AI2" s="4153"/>
      <c r="AJ2" s="4153"/>
      <c r="AK2" s="4153"/>
      <c r="AL2" s="4153"/>
      <c r="AM2" s="4153"/>
      <c r="AN2" s="4153"/>
      <c r="AO2" s="4153"/>
      <c r="AP2" s="4153"/>
      <c r="AQ2" s="4153"/>
      <c r="AR2" s="4154"/>
      <c r="AS2" s="4154"/>
      <c r="AT2" s="4154"/>
      <c r="AU2" s="4154"/>
      <c r="AV2" s="4154"/>
      <c r="AW2" s="4154"/>
      <c r="AX2" s="4154"/>
      <c r="AY2" s="4154"/>
      <c r="AZ2" s="4154"/>
      <c r="BA2" s="4154"/>
      <c r="BB2" s="4154"/>
      <c r="BC2" s="4154"/>
      <c r="BD2" s="4154"/>
      <c r="BE2" s="4154"/>
      <c r="BF2" s="4154"/>
      <c r="BG2" s="4154"/>
      <c r="BH2" s="4154"/>
      <c r="BI2" s="4155"/>
      <c r="BJ2" s="4155"/>
      <c r="BK2" s="4155"/>
      <c r="BL2" s="4155"/>
      <c r="BM2" s="4155"/>
      <c r="BN2" s="4155"/>
      <c r="BO2" s="4155"/>
      <c r="BP2" s="4155"/>
      <c r="BQ2" s="4155"/>
      <c r="BR2" s="4155"/>
      <c r="BS2" s="4155"/>
      <c r="BT2" s="4155"/>
      <c r="BU2" s="4155"/>
      <c r="BV2" s="4155"/>
      <c r="BW2" s="4155"/>
      <c r="BX2" s="4155"/>
      <c r="BY2" s="4155"/>
      <c r="BZ2" s="4155"/>
      <c r="CA2" s="4155"/>
      <c r="CB2" s="4155"/>
      <c r="CC2" s="4155"/>
      <c r="CD2" s="4155"/>
      <c r="CE2" s="4155"/>
      <c r="CF2" s="4155"/>
      <c r="CG2" s="4155"/>
      <c r="CH2" s="4155"/>
      <c r="CI2" s="4155"/>
      <c r="CJ2" s="4155"/>
      <c r="CK2" s="4155"/>
      <c r="CL2" s="4155"/>
      <c r="CM2" s="4155"/>
      <c r="CN2" s="4155"/>
      <c r="CO2" s="4155"/>
      <c r="CP2" s="4155"/>
      <c r="CQ2" s="4155"/>
      <c r="CR2" s="4155"/>
      <c r="CS2" s="4155"/>
      <c r="CT2" s="4155"/>
      <c r="CU2" s="4155"/>
      <c r="CV2" s="4155"/>
      <c r="CW2" s="4155"/>
      <c r="CX2" s="4155"/>
      <c r="CY2" s="4155"/>
      <c r="CZ2" s="4155"/>
      <c r="DA2" s="4155"/>
      <c r="DB2" s="4155"/>
      <c r="DC2" s="4155"/>
      <c r="DD2" s="4155"/>
      <c r="DE2" s="4155"/>
      <c r="DF2" s="4155"/>
      <c r="DG2" s="4155"/>
      <c r="DH2" s="4155"/>
      <c r="DI2" s="4155"/>
      <c r="DJ2" s="4155"/>
      <c r="DK2" s="4155"/>
      <c r="DL2" s="4155"/>
      <c r="DM2" s="4155"/>
      <c r="DN2" s="4155"/>
      <c r="DO2" s="4155"/>
      <c r="DP2" s="4155"/>
      <c r="DQ2" s="4155"/>
      <c r="DR2" s="4155"/>
      <c r="DS2" s="4155"/>
    </row>
    <row r="3" s="4131" customFormat="1" ht="17.25" customHeight="1" spans="1:126">
      <c r="A3" s="4156" t="s">
        <v>4624</v>
      </c>
      <c r="B3" s="4156"/>
      <c r="C3" s="4156"/>
      <c r="D3" s="4156"/>
      <c r="E3" s="4156"/>
      <c r="F3" s="4157" t="s">
        <v>4625</v>
      </c>
      <c r="G3" s="4157"/>
      <c r="H3" s="4157"/>
      <c r="I3" s="4157"/>
      <c r="J3" s="4157"/>
      <c r="K3" s="4157"/>
      <c r="L3" s="4157"/>
      <c r="M3" s="4157"/>
      <c r="N3" s="4157"/>
      <c r="O3" s="4157"/>
      <c r="P3" s="4157"/>
      <c r="Q3" s="4157"/>
      <c r="R3" s="4157"/>
      <c r="S3" s="4158"/>
      <c r="T3" s="4159" t="s">
        <v>4626</v>
      </c>
      <c r="U3" s="4160"/>
      <c r="V3" s="4160"/>
      <c r="W3" s="4160"/>
      <c r="X3" s="4160"/>
      <c r="Y3" s="4160"/>
      <c r="Z3" s="4161"/>
      <c r="AA3" s="4162" t="s">
        <v>4627</v>
      </c>
      <c r="AB3" s="4162"/>
      <c r="AC3" s="4162"/>
      <c r="AD3" s="4162"/>
      <c r="AE3" s="4162"/>
      <c r="AF3" s="4163" t="s">
        <v>4628</v>
      </c>
      <c r="AG3" s="4164"/>
      <c r="AH3" s="4164"/>
      <c r="AI3" s="4164"/>
      <c r="AJ3" s="4164"/>
      <c r="AK3" s="4165"/>
      <c r="AL3" s="4162" t="s">
        <v>4629</v>
      </c>
      <c r="AM3" s="4162"/>
      <c r="AN3" s="4162"/>
      <c r="AO3" s="4162"/>
      <c r="AP3" s="4162"/>
      <c r="AQ3" s="4166"/>
      <c r="AR3" s="4166"/>
      <c r="AS3" s="4166"/>
      <c r="AT3" s="4166"/>
      <c r="AU3" s="4166"/>
      <c r="AV3" s="4166"/>
      <c r="AW3" s="4166"/>
      <c r="AX3" s="4166"/>
      <c r="AY3" s="4166"/>
      <c r="AZ3" s="4166"/>
      <c r="BA3" s="4166"/>
      <c r="BB3" s="4166"/>
      <c r="BC3" s="4166"/>
      <c r="BD3" s="4166"/>
      <c r="BE3" s="4166"/>
      <c r="BF3" s="4167"/>
      <c r="BG3" s="4167"/>
      <c r="BH3" s="4167"/>
      <c r="BI3" s="4167"/>
      <c r="BJ3" s="4167"/>
      <c r="BK3" s="4167"/>
      <c r="BL3" s="4167"/>
      <c r="BM3" s="4167"/>
      <c r="BN3" s="4167"/>
      <c r="BO3" s="4167"/>
      <c r="BP3" s="4167"/>
      <c r="BQ3" s="4167"/>
      <c r="BR3" s="4167"/>
      <c r="BS3" s="4167"/>
      <c r="BT3" s="4167"/>
      <c r="BU3" s="4167"/>
      <c r="BV3" s="4167"/>
      <c r="BW3" s="4167"/>
      <c r="BX3" s="4168"/>
      <c r="BY3" s="4168"/>
      <c r="BZ3" s="4155"/>
      <c r="CA3" s="4168"/>
      <c r="CB3" s="4168"/>
      <c r="CC3" s="4168"/>
      <c r="CD3" s="4168"/>
      <c r="CE3" s="4168"/>
      <c r="CF3" s="4168"/>
      <c r="CG3" s="4168"/>
      <c r="CH3" s="4168"/>
      <c r="CI3" s="4168"/>
      <c r="CJ3" s="4168"/>
      <c r="CK3" s="4168"/>
      <c r="CL3" s="4168"/>
      <c r="CM3" s="4168"/>
      <c r="CN3" s="4168"/>
      <c r="CO3" s="4168"/>
      <c r="CP3" s="4168"/>
      <c r="CQ3" s="4168"/>
      <c r="CR3" s="4168"/>
      <c r="CS3" s="4168"/>
      <c r="CT3" s="4168"/>
      <c r="CU3" s="4168"/>
      <c r="CV3" s="4168"/>
      <c r="CW3" s="4168"/>
      <c r="CX3" s="4168"/>
      <c r="CY3" s="4168"/>
      <c r="CZ3" s="4168"/>
      <c r="DA3" s="4168"/>
      <c r="DB3" s="4168"/>
      <c r="DC3" s="4168"/>
      <c r="DD3" s="4168"/>
      <c r="DE3" s="4168"/>
      <c r="DF3" s="4168"/>
      <c r="DG3" s="4168"/>
      <c r="DH3" s="4168"/>
      <c r="DI3" s="4168"/>
      <c r="DJ3" s="4168"/>
      <c r="DK3" s="4168"/>
      <c r="DL3" s="4168"/>
      <c r="DM3" s="4168"/>
      <c r="DN3" s="4168"/>
      <c r="DO3" s="4168"/>
      <c r="DP3" s="4168"/>
      <c r="DQ3" s="4168"/>
      <c r="DR3" s="4168"/>
      <c r="DS3" s="4168"/>
    </row>
    <row r="4" s="4131" customFormat="1" ht="18.75" customHeight="1" spans="1:126">
      <c r="A4" s="4169" t="s">
        <v>4630</v>
      </c>
      <c r="B4" s="4169"/>
      <c r="C4" s="4169"/>
      <c r="D4" s="4169"/>
      <c r="E4" s="4169"/>
      <c r="F4" s="4170" t="s">
        <v>577</v>
      </c>
      <c r="G4" s="4170"/>
      <c r="H4" s="4170"/>
      <c r="I4" s="4170"/>
      <c r="J4" s="4170"/>
      <c r="K4" s="4170"/>
      <c r="L4" s="4170"/>
      <c r="M4" s="4170"/>
      <c r="N4" s="4170"/>
      <c r="O4" s="4170"/>
      <c r="P4" s="4170"/>
      <c r="Q4" s="4170"/>
      <c r="R4" s="4170"/>
      <c r="S4" s="4171"/>
      <c r="T4" s="4172"/>
      <c r="U4" s="4172"/>
      <c r="V4" s="4172"/>
      <c r="W4" s="4172"/>
      <c r="X4" s="4172"/>
      <c r="Y4" s="4172"/>
      <c r="Z4" s="4172"/>
      <c r="AA4" s="4173" t="s">
        <v>4631</v>
      </c>
      <c r="AB4" s="4174"/>
      <c r="AC4" s="4174"/>
      <c r="AD4" s="4175"/>
      <c r="AE4" s="4176" t="s">
        <v>4632</v>
      </c>
      <c r="AF4" s="4177"/>
      <c r="AG4" s="4177"/>
      <c r="AH4" s="4177"/>
      <c r="AI4" s="4177"/>
      <c r="AJ4" s="4177"/>
      <c r="AK4" s="4177"/>
      <c r="AL4" s="4177"/>
      <c r="AM4" s="4177"/>
      <c r="AN4" s="4177"/>
      <c r="AO4" s="4177"/>
      <c r="AP4" s="4178"/>
      <c r="AQ4" s="4179" t="s">
        <v>4633</v>
      </c>
      <c r="AR4" s="4179"/>
      <c r="AS4" s="4179"/>
      <c r="AT4" s="4180" t="s">
        <v>2435</v>
      </c>
      <c r="AU4" s="4180"/>
      <c r="AV4" s="4180"/>
      <c r="AW4" s="4180"/>
      <c r="AX4" s="4180"/>
      <c r="AY4" s="4180"/>
      <c r="AZ4" s="4180"/>
      <c r="BA4" s="4180"/>
      <c r="BB4" s="4180"/>
      <c r="BC4" s="4180"/>
      <c r="BD4" s="4180"/>
      <c r="BE4" s="4180"/>
      <c r="BF4" s="4180"/>
      <c r="BG4" s="4180"/>
      <c r="BH4" s="4180"/>
      <c r="BI4" s="4166"/>
      <c r="BJ4" s="4181" t="s">
        <v>4634</v>
      </c>
      <c r="BK4" s="4166"/>
      <c r="BL4" s="4166"/>
      <c r="BM4" s="4166"/>
      <c r="BN4" s="4166"/>
      <c r="BO4" s="4166"/>
      <c r="BP4" s="4166"/>
      <c r="BQ4" s="4166"/>
      <c r="BR4" s="4166"/>
      <c r="BS4" s="4166"/>
      <c r="BT4" s="4166"/>
      <c r="BU4" s="4166"/>
      <c r="BV4" s="4166"/>
      <c r="BW4" s="4167"/>
      <c r="BX4" s="4168"/>
      <c r="BY4" s="4168"/>
      <c r="BZ4" s="4155"/>
      <c r="CA4" s="4168"/>
      <c r="CB4" s="4168"/>
      <c r="CC4" s="4168"/>
      <c r="CD4" s="4168"/>
      <c r="CE4" s="4168"/>
      <c r="CF4" s="4168"/>
      <c r="CG4" s="4168"/>
      <c r="CH4" s="4168"/>
      <c r="CI4" s="4168"/>
      <c r="CJ4" s="4168"/>
      <c r="CK4" s="4168"/>
      <c r="CL4" s="4168"/>
      <c r="CM4" s="4168"/>
      <c r="CN4" s="4168"/>
      <c r="CO4" s="4168"/>
      <c r="CP4" s="4168"/>
      <c r="CQ4" s="4168"/>
      <c r="CR4" s="4168"/>
      <c r="CS4" s="4168"/>
      <c r="CT4" s="4168"/>
      <c r="CU4" s="4168"/>
      <c r="CV4" s="4168"/>
      <c r="CW4" s="4168"/>
      <c r="CX4" s="4168"/>
      <c r="CY4" s="4168"/>
      <c r="CZ4" s="4168"/>
      <c r="DA4" s="4168"/>
      <c r="DB4" s="4168"/>
      <c r="DC4" s="4168"/>
      <c r="DD4" s="4168"/>
      <c r="DE4" s="4168"/>
      <c r="DF4" s="4168"/>
      <c r="DG4" s="4168"/>
      <c r="DH4" s="4168"/>
      <c r="DI4" s="4168"/>
      <c r="DJ4" s="4168"/>
      <c r="DK4" s="4168"/>
      <c r="DL4" s="4168"/>
      <c r="DM4" s="4168"/>
      <c r="DN4" s="4168"/>
      <c r="DO4" s="4168"/>
      <c r="DP4" s="4168"/>
      <c r="DQ4" s="4168"/>
      <c r="DR4" s="4168"/>
      <c r="DS4" s="4168"/>
    </row>
    <row r="5" s="4131" customFormat="1" ht="17.25" customHeight="1" spans="1:126">
      <c r="A5" s="4169" t="s">
        <v>4635</v>
      </c>
      <c r="B5" s="4169"/>
      <c r="C5" s="4169"/>
      <c r="D5" s="4169"/>
      <c r="E5" s="4169"/>
      <c r="F5" s="4182" t="s">
        <v>398</v>
      </c>
      <c r="G5" s="4182"/>
      <c r="H5" s="4182"/>
      <c r="I5" s="4182"/>
      <c r="J5" s="4172"/>
      <c r="K5" s="4172"/>
      <c r="L5" s="4172"/>
      <c r="M5" s="4172"/>
      <c r="N5" s="4172"/>
      <c r="O5" s="4172"/>
      <c r="P5" s="4172"/>
      <c r="Q5" s="4172"/>
      <c r="R5" s="4172"/>
      <c r="S5" s="4172"/>
      <c r="T5" s="4172"/>
      <c r="U5" s="4172"/>
      <c r="V5" s="4172"/>
      <c r="W5" s="4172"/>
      <c r="X5" s="4172"/>
      <c r="Y5" s="4172"/>
      <c r="Z5" s="4183"/>
      <c r="AA5" s="4184">
        <f ca="1">Datum_vrijeme</f>
        <v>46120.4752662037</v>
      </c>
      <c r="AB5" s="4184"/>
      <c r="AC5" s="4184"/>
      <c r="AD5" s="4184"/>
      <c r="AE5" s="4184"/>
      <c r="AF5" s="4184"/>
      <c r="AG5" s="4184"/>
      <c r="AH5" s="4184"/>
      <c r="AI5" s="4184"/>
      <c r="AJ5" s="4184"/>
      <c r="AK5" s="4184"/>
      <c r="AL5" s="4184"/>
      <c r="AM5" s="4184"/>
      <c r="AN5" s="4184"/>
      <c r="AO5" s="4184"/>
      <c r="AP5" s="4184"/>
      <c r="AQ5" s="4166"/>
      <c r="AR5" s="4166"/>
      <c r="AS5" s="4166"/>
      <c r="AT5" s="4166"/>
      <c r="AU5" s="4166"/>
      <c r="AV5" s="4166"/>
      <c r="AW5" s="4166"/>
      <c r="AX5" s="4166"/>
      <c r="AY5" s="4166"/>
      <c r="AZ5" s="4166"/>
      <c r="BA5" s="4166"/>
      <c r="BB5" s="4166"/>
      <c r="BC5" s="4166"/>
      <c r="BD5" s="4166"/>
      <c r="BE5" s="4166"/>
      <c r="BF5" s="4166"/>
      <c r="BG5" s="4166"/>
      <c r="BH5" s="4166"/>
      <c r="BI5" s="4166"/>
      <c r="BJ5" s="4166"/>
      <c r="BK5" s="4166"/>
      <c r="BL5" s="4166"/>
      <c r="BM5" s="4166"/>
      <c r="BN5" s="4166"/>
      <c r="BO5" s="4166"/>
      <c r="BP5" s="4166"/>
      <c r="BQ5" s="4166"/>
      <c r="BR5" s="4166"/>
      <c r="BS5" s="4166"/>
      <c r="BT5" s="4166"/>
      <c r="BU5" s="4166"/>
      <c r="BV5" s="4166"/>
      <c r="BW5" s="4166"/>
      <c r="BX5" s="4166"/>
      <c r="BY5" s="4166"/>
      <c r="BZ5" s="4155"/>
      <c r="CA5" s="4168"/>
      <c r="CB5" s="4168"/>
      <c r="CC5" s="4168"/>
      <c r="CD5" s="4168"/>
      <c r="CE5" s="4168"/>
      <c r="CF5" s="4168"/>
      <c r="CG5" s="4168"/>
      <c r="CH5" s="4168"/>
      <c r="CI5" s="4168"/>
      <c r="CJ5" s="4168"/>
      <c r="CK5" s="4168"/>
      <c r="CL5" s="4168"/>
      <c r="CM5" s="4168"/>
      <c r="CN5" s="4168"/>
      <c r="CO5" s="4168"/>
      <c r="CP5" s="4168"/>
      <c r="CQ5" s="4168"/>
      <c r="CR5" s="4168"/>
      <c r="CS5" s="4168"/>
      <c r="CT5" s="4168"/>
      <c r="CU5" s="4168"/>
      <c r="CV5" s="4168"/>
      <c r="CW5" s="4168"/>
      <c r="CX5" s="4168"/>
      <c r="CY5" s="4168"/>
      <c r="CZ5" s="4168"/>
      <c r="DA5" s="4168"/>
      <c r="DB5" s="4168"/>
      <c r="DC5" s="4168"/>
      <c r="DD5" s="4168"/>
      <c r="DE5" s="4168"/>
      <c r="DF5" s="4168"/>
      <c r="DG5" s="4168"/>
      <c r="DH5" s="4168"/>
      <c r="DI5" s="4168"/>
      <c r="DJ5" s="4168"/>
      <c r="DK5" s="4168"/>
      <c r="DL5" s="4168"/>
      <c r="DM5" s="4168"/>
      <c r="DN5" s="4168"/>
      <c r="DO5" s="4168"/>
      <c r="DP5" s="4168"/>
      <c r="DQ5" s="4168"/>
      <c r="DR5" s="4168"/>
      <c r="DS5" s="4168"/>
    </row>
    <row r="6" s="4131" customFormat="1" ht="20.25" customHeight="1" spans="1:126">
      <c r="A6" s="4185" t="str">
        <f>Text!B8&amp;" :"</f>
        <v>period :</v>
      </c>
      <c r="B6" s="4186"/>
      <c r="C6" s="4186"/>
      <c r="D6" s="4186"/>
      <c r="E6" s="4187"/>
      <c r="F6" s="4188">
        <v>0</v>
      </c>
      <c r="G6" s="4189">
        <v>1</v>
      </c>
      <c r="H6" s="4190">
        <v>0</v>
      </c>
      <c r="I6" s="4191">
        <v>1</v>
      </c>
      <c r="J6" s="4192">
        <v>2025</v>
      </c>
      <c r="K6" s="4193"/>
      <c r="L6" s="4194" t="s">
        <v>12</v>
      </c>
      <c r="M6" s="4188">
        <v>3</v>
      </c>
      <c r="N6" s="4189">
        <v>1</v>
      </c>
      <c r="O6" s="4190">
        <v>1</v>
      </c>
      <c r="P6" s="4191">
        <v>2</v>
      </c>
      <c r="Q6" s="4192">
        <v>2025</v>
      </c>
      <c r="R6" s="4193"/>
      <c r="S6" s="4172"/>
      <c r="T6" s="4172"/>
      <c r="U6" s="4172"/>
      <c r="V6" s="4172"/>
      <c r="W6" s="4172"/>
      <c r="X6" s="4172"/>
      <c r="Y6" s="4172"/>
      <c r="Z6" s="4183"/>
      <c r="AA6" s="4195"/>
      <c r="AB6" s="4195"/>
      <c r="AC6" s="4195"/>
      <c r="AD6" s="4195"/>
      <c r="AE6" s="4195"/>
      <c r="AF6" s="4195"/>
      <c r="AG6" s="4195"/>
      <c r="AH6" s="4195"/>
      <c r="AI6" s="4195"/>
      <c r="AJ6" s="4195"/>
      <c r="AK6" s="4195"/>
      <c r="AL6" s="4195"/>
      <c r="AM6" s="4195"/>
      <c r="AN6" s="4195"/>
      <c r="AO6" s="4195"/>
      <c r="AP6" s="4195"/>
      <c r="AQ6" s="4166"/>
      <c r="AR6" s="4166"/>
      <c r="AS6" s="4166"/>
      <c r="AT6" s="4166"/>
      <c r="AU6" s="4166"/>
      <c r="AV6" s="4166"/>
      <c r="AW6" s="4166"/>
      <c r="AX6" s="4166"/>
      <c r="AY6" s="4166"/>
      <c r="AZ6" s="4166"/>
      <c r="BA6" s="4166"/>
      <c r="BB6" s="4166"/>
      <c r="BC6" s="4166"/>
      <c r="BD6" s="4166"/>
      <c r="BE6" s="4166"/>
      <c r="BF6" s="4166"/>
      <c r="BG6" s="4166"/>
      <c r="BH6" s="4166"/>
      <c r="BI6" s="4166"/>
      <c r="BJ6" s="4166"/>
      <c r="BK6" s="4166"/>
      <c r="BL6" s="4166"/>
      <c r="BM6" s="4166"/>
      <c r="BN6" s="4166"/>
      <c r="BO6" s="4166"/>
      <c r="BP6" s="4166"/>
      <c r="BQ6" s="4166"/>
      <c r="BR6" s="4166"/>
      <c r="BS6" s="4166"/>
      <c r="BT6" s="4166"/>
      <c r="BU6" s="4166"/>
      <c r="BV6" s="4166"/>
      <c r="BW6" s="4167"/>
      <c r="BX6" s="4168"/>
      <c r="BY6" s="4168"/>
      <c r="BZ6" s="4155"/>
      <c r="CA6" s="4168"/>
      <c r="CB6" s="4168"/>
      <c r="CC6" s="4168"/>
      <c r="CD6" s="4168"/>
      <c r="CE6" s="4168"/>
      <c r="CF6" s="4168"/>
      <c r="CG6" s="4168"/>
      <c r="CH6" s="4168"/>
      <c r="CI6" s="4168"/>
      <c r="CJ6" s="4168"/>
      <c r="CK6" s="4168"/>
      <c r="CL6" s="4168"/>
      <c r="CM6" s="4168"/>
      <c r="CN6" s="4168"/>
      <c r="CO6" s="4168"/>
      <c r="CP6" s="4168"/>
      <c r="CQ6" s="4168"/>
      <c r="CR6" s="4168"/>
      <c r="CS6" s="4168"/>
      <c r="CT6" s="4168"/>
      <c r="CU6" s="4168"/>
      <c r="CV6" s="4168"/>
      <c r="CW6" s="4168"/>
      <c r="CX6" s="4168"/>
      <c r="CY6" s="4168"/>
      <c r="CZ6" s="4168"/>
      <c r="DA6" s="4168"/>
      <c r="DB6" s="4168"/>
      <c r="DC6" s="4168"/>
      <c r="DD6" s="4168"/>
      <c r="DE6" s="4168"/>
      <c r="DF6" s="4168"/>
      <c r="DG6" s="4168"/>
      <c r="DH6" s="4168"/>
      <c r="DI6" s="4168"/>
      <c r="DJ6" s="4168"/>
      <c r="DK6" s="4168"/>
      <c r="DL6" s="4168"/>
      <c r="DM6" s="4168"/>
      <c r="DN6" s="4168"/>
      <c r="DO6" s="4168"/>
      <c r="DP6" s="4168"/>
      <c r="DQ6" s="4168"/>
      <c r="DR6" s="4168"/>
      <c r="DS6" s="4168"/>
    </row>
    <row r="7" s="4130" customFormat="1" ht="15.75" customHeight="1" spans="1:126">
      <c r="A7" s="4196"/>
      <c r="B7" s="4196"/>
      <c r="C7" s="4196"/>
      <c r="D7" s="4196"/>
      <c r="E7" s="3943"/>
      <c r="F7" s="3943"/>
      <c r="G7" s="3943"/>
      <c r="H7" s="3943"/>
      <c r="I7" s="3943"/>
      <c r="J7" s="3943"/>
      <c r="K7" s="3943"/>
      <c r="L7" s="3943"/>
      <c r="M7" s="3943"/>
      <c r="N7" s="3943"/>
      <c r="O7" s="3943"/>
      <c r="P7" s="3943"/>
      <c r="Q7" s="3943"/>
      <c r="R7" s="3943" t="s">
        <v>4636</v>
      </c>
      <c r="S7" s="4197" t="s">
        <v>4637</v>
      </c>
      <c r="T7" s="4198"/>
      <c r="U7" s="4198"/>
      <c r="V7" s="4198"/>
      <c r="W7" s="4198"/>
      <c r="X7" s="4198"/>
      <c r="Y7" s="4198"/>
      <c r="Z7" s="4198"/>
      <c r="AA7" s="4198"/>
      <c r="AB7" s="4198"/>
      <c r="AC7" s="4198"/>
      <c r="AD7" s="4198"/>
      <c r="AE7" s="4198"/>
      <c r="AF7" s="4198"/>
      <c r="AG7" s="4198"/>
      <c r="AH7" s="4198"/>
      <c r="AI7" s="4198"/>
      <c r="AJ7" s="4198"/>
      <c r="AK7" s="4198"/>
      <c r="AL7" s="4198"/>
      <c r="AM7" s="4198"/>
      <c r="AN7" s="4199"/>
      <c r="AO7" s="4199"/>
      <c r="AP7" s="4199"/>
      <c r="AQ7" s="4200"/>
      <c r="AR7" s="4200"/>
      <c r="AS7" s="4166"/>
      <c r="AT7" s="4200"/>
      <c r="AU7" s="4200"/>
      <c r="AV7" s="4200"/>
      <c r="AW7" s="4200"/>
      <c r="AX7" s="4200"/>
      <c r="AY7" s="4200"/>
      <c r="AZ7" s="4200"/>
      <c r="BA7" s="4200"/>
      <c r="BB7" s="4200"/>
      <c r="BC7" s="4200"/>
      <c r="BD7" s="4200"/>
      <c r="BE7" s="4200"/>
      <c r="BF7" s="4200"/>
      <c r="BG7" s="4201"/>
      <c r="BH7" s="4201"/>
      <c r="BI7" s="4201"/>
      <c r="BJ7" s="4201"/>
      <c r="BK7" s="4201"/>
      <c r="BL7" s="4201"/>
      <c r="BM7" s="4201"/>
      <c r="BN7" s="4201"/>
      <c r="BO7" s="4201"/>
      <c r="BP7" s="4201"/>
      <c r="BQ7" s="4201"/>
      <c r="BR7" s="4201"/>
      <c r="BS7" s="4201"/>
      <c r="BT7" s="4201"/>
      <c r="BU7" s="4201"/>
      <c r="BV7" s="4201"/>
      <c r="BW7" s="4155"/>
      <c r="BX7" s="4202"/>
      <c r="BY7" s="4202"/>
      <c r="BZ7" s="4155"/>
      <c r="CA7" s="4202"/>
      <c r="CB7" s="4202"/>
      <c r="CC7" s="4202"/>
      <c r="CD7" s="4202"/>
      <c r="CE7" s="4202"/>
      <c r="CF7" s="4202"/>
      <c r="CG7" s="4202"/>
      <c r="CH7" s="4202"/>
      <c r="CI7" s="4202"/>
      <c r="CJ7" s="4202"/>
      <c r="CK7" s="4202"/>
      <c r="CL7" s="4202"/>
      <c r="CM7" s="4202"/>
      <c r="CN7" s="4202"/>
      <c r="CO7" s="4202"/>
      <c r="CP7" s="4202"/>
      <c r="CQ7" s="4202"/>
      <c r="CR7" s="4202"/>
      <c r="CS7" s="4202"/>
      <c r="CT7" s="4202"/>
      <c r="CU7" s="4202"/>
      <c r="CV7" s="4202"/>
      <c r="CW7" s="4202"/>
      <c r="CX7" s="4202"/>
      <c r="CY7" s="4202"/>
      <c r="CZ7" s="4202"/>
      <c r="DA7" s="4202"/>
      <c r="DB7" s="4202"/>
      <c r="DC7" s="4202"/>
      <c r="DD7" s="4202"/>
      <c r="DE7" s="4202"/>
      <c r="DF7" s="4202"/>
      <c r="DG7" s="4202"/>
      <c r="DH7" s="4202"/>
      <c r="DI7" s="4202"/>
      <c r="DJ7" s="4202"/>
      <c r="DK7" s="4202"/>
      <c r="DL7" s="4202"/>
      <c r="DM7" s="4202"/>
      <c r="DN7" s="4202"/>
      <c r="DO7" s="4202"/>
      <c r="DP7" s="4202"/>
      <c r="DQ7" s="4202"/>
      <c r="DR7" s="4202"/>
      <c r="DS7" s="4202"/>
    </row>
    <row r="8" s="4132" customFormat="1" ht="19.5" customHeight="1" spans="1:126">
      <c r="A8" s="4169" t="s">
        <v>4444</v>
      </c>
      <c r="B8" s="4169"/>
      <c r="C8" s="4169"/>
      <c r="D8" s="4169"/>
      <c r="E8" s="4169"/>
      <c r="F8" s="4203" t="str">
        <f>IF(Prethodna_2024!H4=0,"",Prethodna_2024!H4)</f>
        <v>LILIUM ASSET MANAGEMENT d.o.o. Sarajevo</v>
      </c>
      <c r="G8" s="4203"/>
      <c r="H8" s="4203"/>
      <c r="I8" s="4203"/>
      <c r="J8" s="4203"/>
      <c r="K8" s="4203"/>
      <c r="L8" s="4203"/>
      <c r="M8" s="4203"/>
      <c r="N8" s="4203"/>
      <c r="O8" s="4203"/>
      <c r="P8" s="4203"/>
      <c r="Q8" s="4203"/>
      <c r="R8" s="4203"/>
      <c r="S8" s="4204"/>
      <c r="T8" s="4169" t="s">
        <v>4638</v>
      </c>
      <c r="U8" s="4169"/>
      <c r="V8" s="4169"/>
      <c r="W8" s="4169"/>
      <c r="X8" s="4169"/>
      <c r="Y8" s="4169"/>
      <c r="Z8" s="4169"/>
      <c r="AA8" s="4205">
        <f>Prethodna_2024!J4</f>
        <v>4</v>
      </c>
      <c r="AB8" s="4205">
        <f>Prethodna_2024!K4</f>
        <v>2</v>
      </c>
      <c r="AC8" s="4205">
        <f>Prethodna_2024!L4</f>
        <v>0</v>
      </c>
      <c r="AD8" s="4205">
        <f>Prethodna_2024!M4</f>
        <v>1</v>
      </c>
      <c r="AE8" s="4205">
        <f>Prethodna_2024!N4</f>
        <v>3</v>
      </c>
      <c r="AF8" s="4205">
        <f>Prethodna_2024!O4</f>
        <v>3</v>
      </c>
      <c r="AG8" s="4205">
        <f>Prethodna_2024!P4</f>
        <v>7</v>
      </c>
      <c r="AH8" s="4205">
        <f>Prethodna_2024!Q4</f>
        <v>6</v>
      </c>
      <c r="AI8" s="4205">
        <f>Prethodna_2024!R4</f>
        <v>7</v>
      </c>
      <c r="AJ8" s="4205">
        <f>Prethodna_2024!S4</f>
        <v>0</v>
      </c>
      <c r="AK8" s="4205">
        <f>Prethodna_2024!T4</f>
        <v>0</v>
      </c>
      <c r="AL8" s="4205">
        <f>Prethodna_2024!U4</f>
        <v>0</v>
      </c>
      <c r="AM8" s="4205">
        <f>Prethodna_2024!V4</f>
        <v>9</v>
      </c>
      <c r="AN8" s="4199"/>
      <c r="AO8" s="4199"/>
      <c r="AP8" s="4199"/>
      <c r="AQ8" s="4206" t="s">
        <v>4639</v>
      </c>
      <c r="AR8" s="4207"/>
      <c r="AS8" s="4208"/>
      <c r="AT8" s="4209" t="s">
        <v>395</v>
      </c>
      <c r="AU8" s="4210"/>
      <c r="AV8" s="4210"/>
      <c r="AW8" s="4210"/>
      <c r="AX8" s="4210"/>
      <c r="AY8" s="4210"/>
      <c r="AZ8" s="4210"/>
      <c r="BA8" s="4210"/>
      <c r="BB8" s="4210"/>
      <c r="BC8" s="4210"/>
      <c r="BD8" s="4210"/>
      <c r="BE8" s="4210"/>
      <c r="BF8" s="4210"/>
      <c r="BG8" s="4210"/>
      <c r="BH8" s="4210"/>
      <c r="BI8" s="4211"/>
      <c r="BJ8" s="4211"/>
      <c r="BK8" s="4211"/>
      <c r="BL8" s="4211"/>
      <c r="BM8" s="4211"/>
      <c r="BN8" s="4211"/>
      <c r="BO8" s="4211"/>
      <c r="BP8" s="4211"/>
      <c r="BQ8" s="4211"/>
      <c r="BR8" s="4211"/>
      <c r="BS8" s="4211"/>
      <c r="BT8" s="4211"/>
      <c r="BU8" s="4211"/>
      <c r="BV8" s="4211"/>
      <c r="BW8" s="4212"/>
      <c r="BX8" s="4213"/>
      <c r="BY8" s="4213"/>
      <c r="BZ8" s="4155"/>
      <c r="CA8" s="4213"/>
      <c r="CB8" s="4213"/>
      <c r="CC8" s="4213"/>
      <c r="CD8" s="4213"/>
      <c r="CE8" s="4213"/>
      <c r="CF8" s="4213"/>
      <c r="CG8" s="4213"/>
      <c r="CH8" s="4213"/>
      <c r="CI8" s="4213"/>
      <c r="CJ8" s="4213"/>
      <c r="CK8" s="4213"/>
      <c r="CL8" s="4213"/>
      <c r="CM8" s="4213"/>
      <c r="CN8" s="4213"/>
      <c r="CO8" s="4213"/>
      <c r="CP8" s="4213"/>
      <c r="CQ8" s="4213"/>
      <c r="CR8" s="4213"/>
      <c r="CS8" s="4213"/>
      <c r="CT8" s="4213"/>
      <c r="CU8" s="4213"/>
      <c r="CV8" s="4213"/>
      <c r="CW8" s="4213"/>
      <c r="CX8" s="4213"/>
      <c r="CY8" s="4213"/>
      <c r="CZ8" s="4213"/>
      <c r="DA8" s="4213"/>
      <c r="DB8" s="4213"/>
      <c r="DC8" s="4213"/>
      <c r="DD8" s="4213"/>
      <c r="DE8" s="4213"/>
      <c r="DF8" s="4213"/>
      <c r="DG8" s="4213"/>
      <c r="DH8" s="4213"/>
      <c r="DI8" s="4213"/>
      <c r="DJ8" s="4213"/>
      <c r="DK8" s="4213"/>
      <c r="DL8" s="4213"/>
      <c r="DM8" s="4213"/>
      <c r="DN8" s="4213"/>
      <c r="DO8" s="4213"/>
      <c r="DP8" s="4213"/>
      <c r="DQ8" s="4213"/>
      <c r="DR8" s="4213"/>
      <c r="DS8" s="4213"/>
    </row>
    <row r="9" s="4132" customFormat="1" ht="19.5" customHeight="1" spans="1:126">
      <c r="A9" s="4169" t="s">
        <v>4640</v>
      </c>
      <c r="B9" s="4169"/>
      <c r="C9" s="4169"/>
      <c r="D9" s="4169"/>
      <c r="E9" s="4169"/>
      <c r="F9" s="4214" t="str">
        <f>IF(Prethodna_2024!H5=0,"",Prethodna_2024!H5)</f>
        <v>Stari Grad</v>
      </c>
      <c r="G9" s="4214"/>
      <c r="H9" s="4214"/>
      <c r="I9" s="4214"/>
      <c r="J9" s="4214"/>
      <c r="K9" s="4214"/>
      <c r="L9" s="4214"/>
      <c r="M9" s="4214"/>
      <c r="N9" s="4214"/>
      <c r="O9" s="4214"/>
      <c r="P9" s="4214"/>
      <c r="Q9" s="4214"/>
      <c r="R9" s="4214"/>
      <c r="S9" s="4204"/>
      <c r="T9" s="4169" t="s">
        <v>4641</v>
      </c>
      <c r="U9" s="4169"/>
      <c r="V9" s="4169"/>
      <c r="W9" s="4169"/>
      <c r="X9" s="4169"/>
      <c r="Y9" s="4169"/>
      <c r="Z9" s="4169"/>
      <c r="AA9" s="4205">
        <f t="shared" ref="AA9:AL9" si="0">IF($AT$9="NE","",AB8)</f>
        <v>2</v>
      </c>
      <c r="AB9" s="4205">
        <f t="shared" si="0"/>
        <v>0</v>
      </c>
      <c r="AC9" s="4205">
        <f t="shared" si="0"/>
        <v>1</v>
      </c>
      <c r="AD9" s="4205">
        <f t="shared" si="0"/>
        <v>3</v>
      </c>
      <c r="AE9" s="4205">
        <f t="shared" si="0"/>
        <v>3</v>
      </c>
      <c r="AF9" s="4205">
        <f t="shared" si="0"/>
        <v>7</v>
      </c>
      <c r="AG9" s="4205">
        <f t="shared" si="0"/>
        <v>6</v>
      </c>
      <c r="AH9" s="4205">
        <f t="shared" si="0"/>
        <v>7</v>
      </c>
      <c r="AI9" s="4205">
        <f t="shared" si="0"/>
        <v>0</v>
      </c>
      <c r="AJ9" s="4205">
        <f t="shared" si="0"/>
        <v>0</v>
      </c>
      <c r="AK9" s="4205">
        <f t="shared" si="0"/>
        <v>0</v>
      </c>
      <c r="AL9" s="4205">
        <f t="shared" si="0"/>
        <v>9</v>
      </c>
      <c r="AM9" s="4199"/>
      <c r="AN9" s="4199"/>
      <c r="AO9" s="4199"/>
      <c r="AP9" s="4199"/>
      <c r="AQ9" s="4206" t="s">
        <v>4642</v>
      </c>
      <c r="AR9" s="4207"/>
      <c r="AS9" s="4208"/>
      <c r="AT9" s="4215" t="s">
        <v>346</v>
      </c>
      <c r="AU9" s="4216"/>
      <c r="AV9" s="4216"/>
      <c r="AW9" s="4216"/>
      <c r="AX9" s="4216"/>
      <c r="AY9" s="4216"/>
      <c r="AZ9" s="4216"/>
      <c r="BA9" s="4216"/>
      <c r="BB9" s="4216"/>
      <c r="BC9" s="4216"/>
      <c r="BD9" s="4216"/>
      <c r="BE9" s="4216"/>
      <c r="BF9" s="4216"/>
      <c r="BG9" s="4216"/>
      <c r="BH9" s="4216"/>
      <c r="BI9" s="4211"/>
      <c r="BJ9" s="4211"/>
      <c r="BK9" s="4211"/>
      <c r="BL9" s="4211"/>
      <c r="BM9" s="4211"/>
      <c r="BN9" s="4211"/>
      <c r="BO9" s="4211"/>
      <c r="BP9" s="4211"/>
      <c r="BQ9" s="4211"/>
      <c r="BR9" s="4211"/>
      <c r="BS9" s="4211"/>
      <c r="BT9" s="4211"/>
      <c r="BU9" s="4211"/>
      <c r="BV9" s="4211"/>
      <c r="BW9" s="4212"/>
      <c r="BX9" s="4213"/>
      <c r="BY9" s="4213"/>
      <c r="BZ9" s="4155"/>
      <c r="CA9" s="4213"/>
      <c r="CB9" s="4213"/>
      <c r="CC9" s="4213"/>
      <c r="CD9" s="4213"/>
      <c r="CE9" s="4213"/>
      <c r="CF9" s="4213"/>
      <c r="CG9" s="4213"/>
      <c r="CH9" s="4213"/>
      <c r="CI9" s="4213"/>
      <c r="CJ9" s="4213"/>
      <c r="CK9" s="4213"/>
      <c r="CL9" s="4213"/>
      <c r="CM9" s="4213"/>
      <c r="CN9" s="4213"/>
      <c r="CO9" s="4213"/>
      <c r="CP9" s="4213"/>
      <c r="CQ9" s="4213"/>
      <c r="CR9" s="4213"/>
      <c r="CS9" s="4213"/>
      <c r="CT9" s="4213"/>
      <c r="CU9" s="4213"/>
      <c r="CV9" s="4213"/>
      <c r="CW9" s="4213"/>
      <c r="CX9" s="4213"/>
      <c r="CY9" s="4213"/>
      <c r="CZ9" s="4213"/>
      <c r="DA9" s="4213"/>
      <c r="DB9" s="4213"/>
      <c r="DC9" s="4213"/>
      <c r="DD9" s="4213"/>
      <c r="DE9" s="4213"/>
      <c r="DF9" s="4213"/>
      <c r="DG9" s="4213"/>
      <c r="DH9" s="4213"/>
      <c r="DI9" s="4213"/>
      <c r="DJ9" s="4213"/>
      <c r="DK9" s="4213"/>
      <c r="DL9" s="4213"/>
      <c r="DM9" s="4213"/>
      <c r="DN9" s="4213"/>
      <c r="DO9" s="4213"/>
      <c r="DP9" s="4213"/>
      <c r="DQ9" s="4213"/>
      <c r="DR9" s="4213"/>
      <c r="DS9" s="4213"/>
    </row>
    <row r="10" s="4132" customFormat="1" ht="19.5" customHeight="1" spans="1:126">
      <c r="A10" s="4169" t="s">
        <v>4450</v>
      </c>
      <c r="B10" s="4169"/>
      <c r="C10" s="4169"/>
      <c r="D10" s="4169"/>
      <c r="E10" s="4169"/>
      <c r="F10" s="4214" t="str">
        <f>IF(Prethodna_2024!H6=0,"",Prethodna_2024!H6)</f>
        <v>Dženetića čikma br.8</v>
      </c>
      <c r="G10" s="4214"/>
      <c r="H10" s="4214"/>
      <c r="I10" s="4214"/>
      <c r="J10" s="4214"/>
      <c r="K10" s="4214"/>
      <c r="L10" s="4214"/>
      <c r="M10" s="4214"/>
      <c r="N10" s="4214"/>
      <c r="O10" s="4214"/>
      <c r="P10" s="4214"/>
      <c r="Q10" s="4214"/>
      <c r="R10" s="4214"/>
      <c r="S10" s="4204"/>
      <c r="T10" s="4169" t="s">
        <v>4643</v>
      </c>
      <c r="U10" s="4169"/>
      <c r="V10" s="4169"/>
      <c r="W10" s="4169"/>
      <c r="X10" s="4169"/>
      <c r="Y10" s="4169"/>
      <c r="Z10" s="4169"/>
      <c r="AA10" s="4205">
        <f>Prethodna_2024!J6</f>
        <v>6</v>
      </c>
      <c r="AB10" s="4205">
        <f>Prethodna_2024!K6</f>
        <v>6</v>
      </c>
      <c r="AC10" s="4205">
        <f>Prethodna_2024!L6</f>
        <v>3</v>
      </c>
      <c r="AD10" s="4205">
        <f>Prethodna_2024!M6</f>
        <v>0</v>
      </c>
      <c r="AE10" s="4199"/>
      <c r="AF10" s="4199"/>
      <c r="AG10" s="4199"/>
      <c r="AH10" s="4199"/>
      <c r="AI10" s="4199"/>
      <c r="AJ10" s="4199"/>
      <c r="AK10" s="4199"/>
      <c r="AL10" s="4199"/>
      <c r="AM10" s="4199"/>
      <c r="AN10" s="4199"/>
      <c r="AO10" s="4199"/>
      <c r="AP10" s="4199"/>
      <c r="AQ10" s="4217" t="str">
        <f>Sif_Djelatn</f>
        <v>66.30</v>
      </c>
      <c r="AR10" s="4218"/>
      <c r="AS10" s="4219"/>
      <c r="AT10" s="4220" t="str">
        <f>Djelatnost</f>
        <v>Djelatnosti upravljanja fondovima</v>
      </c>
      <c r="AU10" s="4220"/>
      <c r="AV10" s="4220"/>
      <c r="AW10" s="4220"/>
      <c r="AX10" s="4220"/>
      <c r="AY10" s="4220"/>
      <c r="AZ10" s="4220"/>
      <c r="BA10" s="4220"/>
      <c r="BB10" s="4220"/>
      <c r="BC10" s="4220"/>
      <c r="BD10" s="4220"/>
      <c r="BE10" s="4220"/>
      <c r="BF10" s="4220"/>
      <c r="BG10" s="4220"/>
      <c r="BH10" s="4220"/>
      <c r="BI10" s="4220"/>
      <c r="BJ10" s="4220"/>
      <c r="BK10" s="4220"/>
      <c r="BL10" s="4220"/>
      <c r="BM10" s="4220"/>
      <c r="BN10" s="4220"/>
      <c r="BO10" s="4220"/>
      <c r="BP10" s="4220"/>
      <c r="BQ10" s="4220"/>
      <c r="BR10" s="4220"/>
      <c r="BS10" s="4220"/>
      <c r="BT10" s="4220"/>
      <c r="BU10" s="4220"/>
      <c r="BV10" s="4220"/>
      <c r="BW10" s="4220"/>
      <c r="BX10" s="4220"/>
      <c r="BY10" s="4220"/>
      <c r="BZ10" s="4155"/>
      <c r="CA10" s="4212"/>
      <c r="CB10" s="4212"/>
      <c r="CC10" s="4212"/>
      <c r="CD10" s="4212"/>
      <c r="CE10" s="4212"/>
      <c r="CF10" s="4212"/>
      <c r="CG10" s="4212"/>
      <c r="CH10" s="4212"/>
      <c r="CI10" s="4212"/>
      <c r="CJ10" s="4212"/>
      <c r="CK10" s="4212"/>
      <c r="CL10" s="4212"/>
      <c r="CM10" s="4212"/>
      <c r="CN10" s="4212"/>
      <c r="CO10" s="4212"/>
      <c r="CP10" s="4212"/>
      <c r="CQ10" s="4212"/>
      <c r="CR10" s="4212"/>
      <c r="CS10" s="4212"/>
      <c r="CT10" s="4212"/>
      <c r="CU10" s="4212"/>
      <c r="CV10" s="4212"/>
      <c r="CW10" s="4212"/>
      <c r="CX10" s="4212"/>
      <c r="CY10" s="4212"/>
      <c r="CZ10" s="4212"/>
      <c r="DA10" s="4212"/>
      <c r="DB10" s="4212"/>
      <c r="DC10" s="4212"/>
      <c r="DD10" s="4212"/>
      <c r="DE10" s="4212"/>
      <c r="DF10" s="4212"/>
      <c r="DG10" s="4212"/>
      <c r="DH10" s="4212"/>
      <c r="DI10" s="4212"/>
      <c r="DJ10" s="4212"/>
      <c r="DK10" s="4212"/>
      <c r="DL10" s="4212"/>
      <c r="DM10" s="4212"/>
      <c r="DN10" s="4212"/>
      <c r="DO10" s="4212"/>
      <c r="DP10" s="4212"/>
      <c r="DQ10" s="4212"/>
      <c r="DR10" s="4212"/>
      <c r="DS10" s="4212"/>
    </row>
    <row r="11" s="4132" customFormat="1" ht="19.5" customHeight="1" spans="1:126">
      <c r="A11" s="4169" t="s">
        <v>4452</v>
      </c>
      <c r="B11" s="4169"/>
      <c r="C11" s="4169"/>
      <c r="D11" s="4169"/>
      <c r="E11" s="4169"/>
      <c r="F11" s="4214" t="str">
        <f>IF(Prethodna_2024!H7=0,"",Prethodna_2024!H7)</f>
        <v>Sarajevo</v>
      </c>
      <c r="G11" s="4214"/>
      <c r="H11" s="4214"/>
      <c r="I11" s="4214"/>
      <c r="J11" s="4214"/>
      <c r="K11" s="4214"/>
      <c r="L11" s="4214"/>
      <c r="M11" s="4214"/>
      <c r="N11" s="4214"/>
      <c r="O11" s="4214"/>
      <c r="P11" s="4214"/>
      <c r="Q11" s="4214"/>
      <c r="R11" s="4214"/>
      <c r="S11" s="4204"/>
      <c r="T11" s="4169" t="s">
        <v>4644</v>
      </c>
      <c r="U11" s="4169"/>
      <c r="V11" s="4169"/>
      <c r="W11" s="4169"/>
      <c r="X11" s="4169"/>
      <c r="Y11" s="4169"/>
      <c r="Z11" s="4169"/>
      <c r="AA11" s="4205">
        <f>Prethodna_2024!J7</f>
        <v>1</v>
      </c>
      <c r="AB11" s="4205">
        <f>Prethodna_2024!K7</f>
        <v>0</v>
      </c>
      <c r="AC11" s="4205">
        <f>Prethodna_2024!L7</f>
        <v>9</v>
      </c>
      <c r="AD11" s="4199"/>
      <c r="AE11" s="4199"/>
      <c r="AF11" s="4199"/>
      <c r="AG11" s="4199"/>
      <c r="AH11" s="4199"/>
      <c r="AI11" s="4199"/>
      <c r="AJ11" s="4199"/>
      <c r="AK11" s="4199"/>
      <c r="AL11" s="4199"/>
      <c r="AM11" s="4199"/>
      <c r="AN11" s="4199"/>
      <c r="AO11" s="4199"/>
      <c r="AP11" s="4199"/>
      <c r="AQ11" s="4221" t="str">
        <f>Sifra_opcine</f>
        <v>109</v>
      </c>
      <c r="AR11" s="4221"/>
      <c r="AS11" s="4221"/>
      <c r="AT11" s="4222" t="str">
        <f>Opcina</f>
        <v>Sarajevo-Stari Grad</v>
      </c>
      <c r="AU11" s="4222"/>
      <c r="AV11" s="4222"/>
      <c r="AW11" s="4222"/>
      <c r="AX11" s="4222"/>
      <c r="AY11" s="4222"/>
      <c r="AZ11" s="4222"/>
      <c r="BA11" s="4222"/>
      <c r="BB11" s="4222"/>
      <c r="BC11" s="4222"/>
      <c r="BD11" s="4222"/>
      <c r="BE11" s="4222"/>
      <c r="BF11" s="4222"/>
      <c r="BG11" s="4222"/>
      <c r="BH11" s="4222"/>
      <c r="BI11" s="4223"/>
      <c r="BJ11" s="4223"/>
      <c r="BK11" s="4223"/>
      <c r="BL11" s="4223"/>
      <c r="BM11" s="4223"/>
      <c r="BN11" s="4223"/>
      <c r="BO11" s="4223"/>
      <c r="BP11" s="4223"/>
      <c r="BQ11" s="4223"/>
      <c r="BR11" s="4223"/>
      <c r="BS11" s="4223"/>
      <c r="BT11" s="4223"/>
      <c r="BU11" s="4223"/>
      <c r="BV11" s="4223"/>
      <c r="BW11" s="4223"/>
      <c r="BX11" s="4223"/>
      <c r="BY11" s="4212"/>
      <c r="BZ11" s="4155"/>
      <c r="CA11" s="4212"/>
      <c r="CB11" s="4212"/>
      <c r="CC11" s="4212"/>
      <c r="CD11" s="4212"/>
      <c r="CE11" s="4212"/>
      <c r="CF11" s="4212"/>
      <c r="CG11" s="4212"/>
      <c r="CH11" s="4212"/>
      <c r="CI11" s="4212"/>
      <c r="CJ11" s="4212"/>
      <c r="CK11" s="4212"/>
      <c r="CL11" s="4212"/>
      <c r="CM11" s="4212"/>
      <c r="CN11" s="4212"/>
      <c r="CO11" s="4212"/>
      <c r="CP11" s="4212"/>
      <c r="CQ11" s="4212"/>
      <c r="CR11" s="4212"/>
      <c r="CS11" s="4212"/>
      <c r="CT11" s="4212"/>
      <c r="CU11" s="4212"/>
      <c r="CV11" s="4212"/>
      <c r="CW11" s="4212"/>
      <c r="CX11" s="4212"/>
      <c r="CY11" s="4212"/>
      <c r="CZ11" s="4212"/>
      <c r="DA11" s="4212"/>
      <c r="DB11" s="4212"/>
      <c r="DC11" s="4212"/>
      <c r="DD11" s="4212"/>
      <c r="DE11" s="4212"/>
      <c r="DF11" s="4212"/>
      <c r="DG11" s="4212"/>
      <c r="DH11" s="4212"/>
      <c r="DI11" s="4212"/>
      <c r="DJ11" s="4212"/>
      <c r="DK11" s="4212"/>
      <c r="DL11" s="4212"/>
      <c r="DM11" s="4212"/>
      <c r="DN11" s="4212"/>
      <c r="DO11" s="4212"/>
      <c r="DP11" s="4212"/>
      <c r="DQ11" s="4212"/>
      <c r="DR11" s="4212"/>
      <c r="DS11" s="4212"/>
    </row>
    <row r="12" s="4132" customFormat="1" ht="19.5" customHeight="1" spans="1:126">
      <c r="A12" s="4169" t="s">
        <v>4454</v>
      </c>
      <c r="B12" s="4169"/>
      <c r="C12" s="4169"/>
      <c r="D12" s="4169"/>
      <c r="E12" s="4169"/>
      <c r="F12" s="4214" t="str">
        <f>IF(Prethodna_2024!H8=0,"",Prethodna_2024!H8)</f>
        <v>Nedim Šaćiragić</v>
      </c>
      <c r="G12" s="4214"/>
      <c r="H12" s="4214"/>
      <c r="I12" s="4214"/>
      <c r="J12" s="4214"/>
      <c r="K12" s="4214"/>
      <c r="L12" s="4214"/>
      <c r="M12" s="4214"/>
      <c r="N12" s="4214"/>
      <c r="O12" s="4214"/>
      <c r="P12" s="4214"/>
      <c r="Q12" s="4214"/>
      <c r="R12" s="4214"/>
      <c r="S12" s="4204"/>
      <c r="T12" s="4169" t="s">
        <v>4645</v>
      </c>
      <c r="U12" s="4169"/>
      <c r="V12" s="4169"/>
      <c r="W12" s="4169"/>
      <c r="X12" s="4169"/>
      <c r="Y12" s="4169"/>
      <c r="Z12" s="4169"/>
      <c r="AA12" s="4205">
        <f>Prethodna_2024!J8</f>
        <v>1</v>
      </c>
      <c r="AB12" s="4205">
        <f>Prethodna_2024!K8</f>
        <v>6</v>
      </c>
      <c r="AC12" s="4205">
        <f>Prethodna_2024!L8</f>
        <v>1</v>
      </c>
      <c r="AD12" s="4205">
        <f>Prethodna_2024!M8</f>
        <v>0</v>
      </c>
      <c r="AE12" s="4205">
        <f>Prethodna_2024!N8</f>
        <v>0</v>
      </c>
      <c r="AF12" s="4205">
        <f>Prethodna_2024!O8</f>
        <v>0</v>
      </c>
      <c r="AG12" s="4205">
        <f>Prethodna_2024!P8</f>
        <v>0</v>
      </c>
      <c r="AH12" s="4205">
        <f>Prethodna_2024!Q8</f>
        <v>1</v>
      </c>
      <c r="AI12" s="4205">
        <f>Prethodna_2024!R8</f>
        <v>8</v>
      </c>
      <c r="AJ12" s="4205">
        <f>Prethodna_2024!S8</f>
        <v>9</v>
      </c>
      <c r="AK12" s="4205">
        <f>Prethodna_2024!T8</f>
        <v>4</v>
      </c>
      <c r="AL12" s="4205">
        <f>Prethodna_2024!U8</f>
        <v>8</v>
      </c>
      <c r="AM12" s="4205">
        <f>Prethodna_2024!V8</f>
        <v>0</v>
      </c>
      <c r="AN12" s="4205">
        <f>Prethodna_2024!W8</f>
        <v>0</v>
      </c>
      <c r="AO12" s="4205">
        <f>Prethodna_2024!X8</f>
        <v>0</v>
      </c>
      <c r="AP12" s="4224">
        <f>Prethodna_2024!Y8</f>
        <v>5</v>
      </c>
      <c r="AQ12" s="4225" t="s">
        <v>4646</v>
      </c>
      <c r="AR12" s="4225"/>
      <c r="AS12" s="4225"/>
      <c r="AT12" s="4226" t="s">
        <v>519</v>
      </c>
      <c r="AU12" s="4226"/>
      <c r="AV12" s="4226"/>
      <c r="AW12" s="4226"/>
      <c r="AX12" s="4226"/>
      <c r="AY12" s="4226"/>
      <c r="AZ12" s="4226"/>
      <c r="BA12" s="4226"/>
      <c r="BB12" s="4226"/>
      <c r="BC12" s="4226"/>
      <c r="BD12" s="4226"/>
      <c r="BE12" s="4226"/>
      <c r="BF12" s="4226"/>
      <c r="BG12" s="4226"/>
      <c r="BH12" s="4226"/>
      <c r="BI12" s="4211"/>
      <c r="BJ12" s="4211"/>
      <c r="BK12" s="4211"/>
      <c r="BL12" s="4211"/>
      <c r="BM12" s="4211"/>
      <c r="BN12" s="4211"/>
      <c r="BO12" s="4211"/>
      <c r="BP12" s="4211"/>
      <c r="BQ12" s="4211"/>
      <c r="BR12" s="4211"/>
      <c r="BS12" s="4211"/>
      <c r="BT12" s="4211"/>
      <c r="BU12" s="4211"/>
      <c r="BV12" s="4211"/>
      <c r="BW12" s="4211"/>
      <c r="BX12" s="4211"/>
      <c r="BY12" s="4212"/>
      <c r="BZ12" s="4155"/>
      <c r="CA12" s="4212"/>
      <c r="CB12" s="4212"/>
      <c r="CC12" s="4212"/>
      <c r="CD12" s="4212"/>
      <c r="CE12" s="4212"/>
      <c r="CF12" s="4212"/>
      <c r="CG12" s="4212"/>
      <c r="CH12" s="4212"/>
      <c r="CI12" s="4212"/>
      <c r="CJ12" s="4212"/>
      <c r="CK12" s="4212"/>
      <c r="CL12" s="4212"/>
      <c r="CM12" s="4212"/>
      <c r="CN12" s="4212"/>
      <c r="CO12" s="4212"/>
      <c r="CP12" s="4212"/>
      <c r="CQ12" s="4212"/>
      <c r="CR12" s="4212"/>
      <c r="CS12" s="4212"/>
      <c r="CT12" s="4212"/>
      <c r="CU12" s="4212"/>
      <c r="CV12" s="4212"/>
      <c r="CW12" s="4212"/>
      <c r="CX12" s="4212"/>
      <c r="CY12" s="4212"/>
      <c r="CZ12" s="4212"/>
      <c r="DA12" s="4212"/>
      <c r="DB12" s="4212"/>
      <c r="DC12" s="4212"/>
      <c r="DD12" s="4212"/>
      <c r="DE12" s="4212"/>
      <c r="DF12" s="4212"/>
      <c r="DG12" s="4212"/>
      <c r="DH12" s="4212"/>
      <c r="DI12" s="4212"/>
      <c r="DJ12" s="4212"/>
      <c r="DK12" s="4212"/>
      <c r="DL12" s="4212"/>
      <c r="DM12" s="4212"/>
      <c r="DN12" s="4212"/>
      <c r="DO12" s="4212"/>
      <c r="DP12" s="4212"/>
      <c r="DQ12" s="4212"/>
      <c r="DR12" s="4212"/>
      <c r="DS12" s="4212"/>
    </row>
    <row r="13" s="4132" customFormat="1" ht="19.5" customHeight="1" spans="1:126">
      <c r="A13" s="4169" t="s">
        <v>4647</v>
      </c>
      <c r="B13" s="4169"/>
      <c r="C13" s="4169"/>
      <c r="D13" s="4169"/>
      <c r="E13" s="4169"/>
      <c r="F13" s="4214" t="str">
        <f>IF(Prethodna_2024!H9=0,"Ime Prezime",Prethodna_2024!H9)</f>
        <v>Nedim Vilogorac</v>
      </c>
      <c r="G13" s="4214"/>
      <c r="H13" s="4214"/>
      <c r="I13" s="4214"/>
      <c r="J13" s="4214"/>
      <c r="K13" s="4214"/>
      <c r="L13" s="4214"/>
      <c r="M13" s="4214"/>
      <c r="N13" s="4214"/>
      <c r="O13" s="4214"/>
      <c r="P13" s="4214"/>
      <c r="Q13" s="4214"/>
      <c r="R13" s="4214"/>
      <c r="S13" s="4204"/>
      <c r="T13" s="4169" t="s">
        <v>4648</v>
      </c>
      <c r="U13" s="4169"/>
      <c r="V13" s="4169"/>
      <c r="W13" s="4169"/>
      <c r="X13" s="4169"/>
      <c r="Y13" s="4169"/>
      <c r="Z13" s="4169"/>
      <c r="AA13" s="4205" t="str">
        <f>PROPER(LEFT(F13,FIND(" ",F13)-1))</f>
        <v>Nedim</v>
      </c>
      <c r="AB13" s="4205"/>
      <c r="AC13" s="4205"/>
      <c r="AD13" s="4205"/>
      <c r="AE13" s="4205"/>
      <c r="AF13" s="4205"/>
      <c r="AG13" s="4205"/>
      <c r="AH13" s="4205"/>
      <c r="AI13" s="4205" t="str">
        <f>PROPER(RIGHT(F13,LEN(F13)-(LEN(AA13)+1)))</f>
        <v>Vilogorac</v>
      </c>
      <c r="AJ13" s="4205"/>
      <c r="AK13" s="4205"/>
      <c r="AL13" s="4205"/>
      <c r="AM13" s="4205"/>
      <c r="AN13" s="4205"/>
      <c r="AO13" s="4205"/>
      <c r="AP13" s="4224"/>
      <c r="AQ13" s="4225" t="s">
        <v>4649</v>
      </c>
      <c r="AR13" s="4225"/>
      <c r="AS13" s="4225"/>
      <c r="AT13" s="4227" t="s">
        <v>2431</v>
      </c>
      <c r="AU13" s="4227"/>
      <c r="AV13" s="4227"/>
      <c r="AW13" s="4227"/>
      <c r="AX13" s="4227"/>
      <c r="AY13" s="4227"/>
      <c r="AZ13" s="4227"/>
      <c r="BA13" s="4227"/>
      <c r="BB13" s="4227"/>
      <c r="BC13" s="4227"/>
      <c r="BD13" s="4227"/>
      <c r="BE13" s="4227"/>
      <c r="BF13" s="4227"/>
      <c r="BG13" s="4227"/>
      <c r="BH13" s="4227"/>
      <c r="BI13" s="4211"/>
      <c r="BJ13" s="4211"/>
      <c r="BK13" s="4211"/>
      <c r="BL13" s="4211"/>
      <c r="BM13" s="4211"/>
      <c r="BN13" s="4211"/>
      <c r="BO13" s="4211"/>
      <c r="BP13" s="4211"/>
      <c r="BQ13" s="4211"/>
      <c r="BR13" s="4211"/>
      <c r="BS13" s="4211"/>
      <c r="BT13" s="4211"/>
      <c r="BU13" s="4211"/>
      <c r="BV13" s="4211"/>
      <c r="BW13" s="4212"/>
      <c r="BX13" s="4213"/>
      <c r="BY13" s="4213"/>
      <c r="BZ13" s="4155"/>
      <c r="CA13" s="4212"/>
      <c r="CB13" s="4212"/>
      <c r="CC13" s="4212"/>
      <c r="CD13" s="4212"/>
      <c r="CE13" s="4212"/>
      <c r="CF13" s="4212"/>
      <c r="CG13" s="4212"/>
      <c r="CH13" s="4212"/>
      <c r="CI13" s="4212"/>
      <c r="CJ13" s="4212"/>
      <c r="CK13" s="4212"/>
      <c r="CL13" s="4212"/>
      <c r="CM13" s="4212"/>
      <c r="CN13" s="4212"/>
      <c r="CO13" s="4212"/>
      <c r="CP13" s="4212"/>
      <c r="CQ13" s="4212"/>
      <c r="CR13" s="4212"/>
      <c r="CS13" s="4212"/>
      <c r="CT13" s="4212"/>
      <c r="CU13" s="4212"/>
      <c r="CV13" s="4212"/>
      <c r="CW13" s="4212"/>
      <c r="CX13" s="4212"/>
      <c r="CY13" s="4212"/>
      <c r="CZ13" s="4212"/>
      <c r="DA13" s="4212"/>
      <c r="DB13" s="4212"/>
      <c r="DC13" s="4212"/>
      <c r="DD13" s="4212"/>
      <c r="DE13" s="4212"/>
      <c r="DF13" s="4212"/>
      <c r="DG13" s="4212"/>
      <c r="DH13" s="4212"/>
      <c r="DI13" s="4212"/>
      <c r="DJ13" s="4212"/>
      <c r="DK13" s="4212"/>
      <c r="DL13" s="4212"/>
      <c r="DM13" s="4212"/>
      <c r="DN13" s="4212"/>
      <c r="DO13" s="4212"/>
      <c r="DP13" s="4212"/>
      <c r="DQ13" s="4212"/>
      <c r="DR13" s="4212"/>
      <c r="DS13" s="4212"/>
    </row>
    <row r="14" s="4132" customFormat="1" ht="19.5" customHeight="1" spans="1:126">
      <c r="A14" s="4169" t="s">
        <v>4459</v>
      </c>
      <c r="B14" s="4169"/>
      <c r="C14" s="4169"/>
      <c r="D14" s="4169"/>
      <c r="E14" s="4169"/>
      <c r="F14" s="4214" t="str">
        <f>IF(Prethodna_2024!H10=0,"",Prethodna_2024!H10)</f>
        <v>info@lilium_dzu.ba</v>
      </c>
      <c r="G14" s="4214"/>
      <c r="H14" s="4214"/>
      <c r="I14" s="4214"/>
      <c r="J14" s="4214"/>
      <c r="K14" s="4214"/>
      <c r="L14" s="4214"/>
      <c r="M14" s="4214"/>
      <c r="N14" s="4214"/>
      <c r="O14" s="4214"/>
      <c r="P14" s="4214"/>
      <c r="Q14" s="4214"/>
      <c r="R14" s="4214"/>
      <c r="S14" s="4204"/>
      <c r="T14" s="4228"/>
      <c r="U14" s="4228"/>
      <c r="V14" s="4228"/>
      <c r="W14" s="4228"/>
      <c r="X14" s="4228"/>
      <c r="Y14" s="4228"/>
      <c r="Z14" s="4228"/>
      <c r="AA14" s="4228"/>
      <c r="AB14" s="4228"/>
      <c r="AC14" s="4228"/>
      <c r="AD14" s="4228"/>
      <c r="AE14" s="4228"/>
      <c r="AF14" s="4228"/>
      <c r="AG14" s="4228"/>
      <c r="AH14" s="4228"/>
      <c r="AI14" s="4228"/>
      <c r="AJ14" s="4228"/>
      <c r="AK14" s="4228"/>
      <c r="AL14" s="4228"/>
      <c r="AM14" s="4228"/>
      <c r="AN14" s="4228"/>
      <c r="AO14" s="4228"/>
      <c r="AP14" s="4228"/>
      <c r="AQ14" s="4225" t="s">
        <v>4650</v>
      </c>
      <c r="AR14" s="4225"/>
      <c r="AS14" s="4225"/>
      <c r="AT14" s="4229" t="s">
        <v>397</v>
      </c>
      <c r="AU14" s="4229"/>
      <c r="AV14" s="4229"/>
      <c r="AW14" s="4229"/>
      <c r="AX14" s="4229"/>
      <c r="AY14" s="4229"/>
      <c r="AZ14" s="4229"/>
      <c r="BA14" s="4229"/>
      <c r="BB14" s="4229"/>
      <c r="BC14" s="4229"/>
      <c r="BD14" s="4229"/>
      <c r="BE14" s="4229"/>
      <c r="BF14" s="4229"/>
      <c r="BG14" s="4229"/>
      <c r="BH14" s="4229"/>
      <c r="BI14" s="4211"/>
      <c r="BJ14" s="4230" t="str">
        <f>Baza!E484&amp;Baza!E485</f>
        <v/>
      </c>
      <c r="BK14" s="4211"/>
      <c r="BL14" s="4211"/>
      <c r="BM14" s="4211"/>
      <c r="BN14" s="4211"/>
      <c r="BO14" s="4211"/>
      <c r="BP14" s="4211"/>
      <c r="BQ14" s="4211"/>
      <c r="BR14" s="4211"/>
      <c r="BS14" s="4211"/>
      <c r="BT14" s="4211"/>
      <c r="BU14" s="4211"/>
      <c r="BV14" s="4211"/>
      <c r="BW14" s="4212"/>
      <c r="BX14" s="4213"/>
      <c r="BY14" s="4213"/>
      <c r="BZ14" s="4155"/>
      <c r="CA14" s="4213"/>
      <c r="CB14" s="4213"/>
      <c r="CC14" s="4213"/>
      <c r="CD14" s="4213"/>
      <c r="CE14" s="4213"/>
      <c r="CF14" s="4213"/>
      <c r="CG14" s="4213"/>
      <c r="CH14" s="4213"/>
      <c r="CI14" s="4213"/>
      <c r="CJ14" s="4213"/>
      <c r="CK14" s="4213"/>
      <c r="CL14" s="4213"/>
      <c r="CM14" s="4213"/>
      <c r="CN14" s="4213"/>
      <c r="CO14" s="4213"/>
      <c r="CP14" s="4213"/>
      <c r="CQ14" s="4213"/>
      <c r="CR14" s="4213"/>
      <c r="CS14" s="4213"/>
      <c r="CT14" s="4213"/>
      <c r="CU14" s="4213"/>
      <c r="CV14" s="4213"/>
      <c r="CW14" s="4213"/>
      <c r="CX14" s="4213"/>
      <c r="CY14" s="4213"/>
      <c r="CZ14" s="4213"/>
      <c r="DA14" s="4213"/>
      <c r="DB14" s="4213"/>
      <c r="DC14" s="4213"/>
      <c r="DD14" s="4213"/>
      <c r="DE14" s="4213"/>
      <c r="DF14" s="4213"/>
      <c r="DG14" s="4213"/>
      <c r="DH14" s="4213"/>
      <c r="DI14" s="4213"/>
      <c r="DJ14" s="4213"/>
      <c r="DK14" s="4213"/>
      <c r="DL14" s="4213"/>
      <c r="DM14" s="4213"/>
      <c r="DN14" s="4213"/>
      <c r="DO14" s="4213"/>
      <c r="DP14" s="4213"/>
      <c r="DQ14" s="4213"/>
      <c r="DR14" s="4213"/>
      <c r="DS14" s="4213"/>
      <c r="DT14" s="4231"/>
      <c r="DU14" s="4231"/>
      <c r="DV14" s="4231"/>
    </row>
    <row r="15" s="4132" customFormat="1" ht="19.5" customHeight="1" spans="1:126">
      <c r="A15" s="4169" t="s">
        <v>4461</v>
      </c>
      <c r="B15" s="4169"/>
      <c r="C15" s="4169"/>
      <c r="D15" s="4169"/>
      <c r="E15" s="4169"/>
      <c r="F15" s="4214" t="str">
        <f>IF(Prethodna_2024!H11=0,"",Prethodna_2024!H11)</f>
        <v>033/953-480</v>
      </c>
      <c r="G15" s="4214"/>
      <c r="H15" s="4214"/>
      <c r="I15" s="4214"/>
      <c r="J15" s="4214"/>
      <c r="K15" s="4214"/>
      <c r="L15" s="4214"/>
      <c r="M15" s="4214"/>
      <c r="N15" s="4214"/>
      <c r="O15" s="4214"/>
      <c r="P15" s="4214"/>
      <c r="Q15" s="4214"/>
      <c r="R15" s="4214"/>
      <c r="S15" s="4204"/>
      <c r="T15" s="3931"/>
      <c r="U15" s="3931"/>
      <c r="V15" s="3931"/>
      <c r="W15" s="3931"/>
      <c r="X15" s="3931"/>
      <c r="Y15" s="3931"/>
      <c r="Z15" s="3931"/>
      <c r="AA15" s="3931"/>
      <c r="AB15" s="3931"/>
      <c r="AC15" s="3931"/>
      <c r="AD15" s="3931"/>
      <c r="AE15" s="3931"/>
      <c r="AF15" s="3931"/>
      <c r="AG15" s="3931"/>
      <c r="AH15" s="3931"/>
      <c r="AI15" s="3931"/>
      <c r="AJ15" s="3931"/>
      <c r="AK15" s="3931"/>
      <c r="AL15" s="3931"/>
      <c r="AM15" s="3931"/>
      <c r="AN15" s="3931"/>
      <c r="AO15" s="3931"/>
      <c r="AP15" s="3931"/>
      <c r="AQ15" s="4232" t="s">
        <v>348</v>
      </c>
      <c r="AR15" s="4233"/>
      <c r="AS15" s="4234"/>
      <c r="AT15" s="4235"/>
      <c r="AU15" s="4236" t="s">
        <v>4651</v>
      </c>
      <c r="AV15" s="4236"/>
      <c r="AW15" s="4236"/>
      <c r="AX15" s="4236"/>
      <c r="AY15" s="4236"/>
      <c r="AZ15" s="4236"/>
      <c r="BA15" s="4236"/>
      <c r="BB15" s="4236"/>
      <c r="BC15" s="4236"/>
      <c r="BD15" s="4236"/>
      <c r="BE15" s="4236"/>
      <c r="BF15" s="4236"/>
      <c r="BG15" s="4236"/>
      <c r="BH15" s="4236"/>
      <c r="BI15" s="3931"/>
      <c r="BJ15" s="4211"/>
      <c r="BK15" s="4211"/>
      <c r="BL15" s="4211"/>
      <c r="BM15" s="4211"/>
      <c r="BN15" s="4211"/>
      <c r="BO15" s="4211"/>
      <c r="BP15" s="4211"/>
      <c r="BQ15" s="4211"/>
      <c r="BR15" s="4211"/>
      <c r="BS15" s="4211"/>
      <c r="BT15" s="4211"/>
      <c r="BU15" s="4211"/>
      <c r="BV15" s="4211"/>
      <c r="BW15" s="4212"/>
      <c r="BX15" s="4213"/>
      <c r="BY15" s="4213"/>
      <c r="BZ15" s="4155"/>
      <c r="CA15" s="4213"/>
      <c r="CB15" s="4213"/>
      <c r="CC15" s="4213"/>
      <c r="CD15" s="4213"/>
      <c r="CE15" s="4213"/>
      <c r="CF15" s="4213"/>
      <c r="CG15" s="4213"/>
      <c r="CH15" s="4213"/>
      <c r="CI15" s="4211"/>
      <c r="CJ15" s="4211"/>
      <c r="CK15" s="4211"/>
      <c r="CL15" s="4211"/>
      <c r="CM15" s="4213"/>
      <c r="CN15" s="4213"/>
      <c r="CO15" s="4213"/>
      <c r="CP15" s="4213"/>
      <c r="CQ15" s="4213"/>
      <c r="CR15" s="4213"/>
      <c r="CS15" s="4213"/>
      <c r="CT15" s="4213"/>
      <c r="CU15" s="4213"/>
      <c r="CV15" s="4213"/>
      <c r="CW15" s="4213"/>
      <c r="CX15" s="4213"/>
      <c r="CY15" s="4213"/>
      <c r="CZ15" s="4213"/>
      <c r="DA15" s="4213"/>
      <c r="DB15" s="4213"/>
      <c r="DC15" s="4213"/>
      <c r="DD15" s="4213"/>
      <c r="DE15" s="4213"/>
      <c r="DF15" s="4213"/>
      <c r="DG15" s="4213"/>
      <c r="DH15" s="4213"/>
      <c r="DI15" s="4213"/>
      <c r="DJ15" s="4213"/>
      <c r="DK15" s="4213"/>
      <c r="DL15" s="4213"/>
      <c r="DM15" s="4213"/>
      <c r="DN15" s="4213"/>
      <c r="DO15" s="4213"/>
      <c r="DP15" s="4213"/>
      <c r="DQ15" s="4213"/>
      <c r="DR15" s="4213"/>
      <c r="DS15" s="4213"/>
    </row>
    <row r="16" s="4132" customFormat="1" ht="19.5" customHeight="1" spans="1:126">
      <c r="A16" s="4169" t="s">
        <v>4652</v>
      </c>
      <c r="B16" s="4169"/>
      <c r="C16" s="4169"/>
      <c r="D16" s="4169"/>
      <c r="E16" s="4169"/>
      <c r="F16" s="4214" t="str">
        <f>IF(Prethodna_2024!H12=0,"",Prethodna_2024!H12)</f>
        <v>www.lilium-dzu.ba</v>
      </c>
      <c r="G16" s="4214"/>
      <c r="H16" s="4214"/>
      <c r="I16" s="4214"/>
      <c r="J16" s="4214"/>
      <c r="K16" s="4214"/>
      <c r="L16" s="4214"/>
      <c r="M16" s="4214"/>
      <c r="N16" s="4214"/>
      <c r="O16" s="4214"/>
      <c r="P16" s="4214"/>
      <c r="Q16" s="4214"/>
      <c r="R16" s="4214"/>
      <c r="S16" s="4211"/>
      <c r="T16" s="3931"/>
      <c r="U16" s="3931"/>
      <c r="V16" s="4237"/>
      <c r="W16" s="3931"/>
      <c r="X16" s="3931"/>
      <c r="Y16" s="3931"/>
      <c r="Z16" s="3931"/>
      <c r="AA16" s="3931"/>
      <c r="AB16" s="3931"/>
      <c r="AC16" s="3931"/>
      <c r="AD16" s="3931"/>
      <c r="AE16" s="3931"/>
      <c r="AF16" s="3931"/>
      <c r="AG16" s="3931"/>
      <c r="AH16" s="3931"/>
      <c r="AI16" s="3931"/>
      <c r="AJ16" s="3931"/>
      <c r="AK16" s="3931"/>
      <c r="AL16" s="3931"/>
      <c r="AM16" s="3931"/>
      <c r="AN16" s="3931"/>
      <c r="AO16" s="3931"/>
      <c r="AP16" s="3931"/>
      <c r="AQ16" s="4238" t="s">
        <v>4653</v>
      </c>
      <c r="AR16" s="4239"/>
      <c r="AS16" s="4239"/>
      <c r="AT16" s="4239"/>
      <c r="AU16" s="4240"/>
      <c r="AV16" s="4240"/>
      <c r="AW16" s="4240"/>
      <c r="AX16" s="4240"/>
      <c r="AY16" s="4240"/>
      <c r="AZ16" s="4240"/>
      <c r="BA16" s="4240"/>
      <c r="BB16" s="4240"/>
      <c r="BC16" s="4240"/>
      <c r="BD16" s="4240"/>
      <c r="BE16" s="4240"/>
      <c r="BF16" s="4240"/>
      <c r="BG16" s="4240"/>
      <c r="BH16" s="4241"/>
      <c r="BI16" s="4211"/>
      <c r="BJ16" s="4211"/>
      <c r="BK16" s="4211"/>
      <c r="BL16" s="4211"/>
      <c r="BM16" s="4211"/>
      <c r="BN16" s="4211"/>
      <c r="BO16" s="4211"/>
      <c r="BP16" s="4211"/>
      <c r="BQ16" s="4211"/>
      <c r="BR16" s="4211"/>
      <c r="BS16" s="4211"/>
      <c r="BT16" s="4211"/>
      <c r="BU16" s="4211"/>
      <c r="BV16" s="4211"/>
      <c r="BW16" s="4212"/>
      <c r="BX16" s="4213"/>
      <c r="BY16" s="4213"/>
      <c r="BZ16" s="4155"/>
      <c r="CA16" s="4213"/>
      <c r="CB16" s="4213"/>
      <c r="CC16" s="4213"/>
      <c r="CD16" s="4213"/>
      <c r="CE16" s="4213"/>
      <c r="CF16" s="4213"/>
      <c r="CG16" s="4213"/>
      <c r="CH16" s="4213"/>
      <c r="CI16" s="4211"/>
      <c r="CJ16" s="4211"/>
      <c r="CK16" s="4211"/>
      <c r="CL16" s="4211"/>
      <c r="CM16" s="4213"/>
      <c r="CN16" s="4213"/>
      <c r="CO16" s="4213"/>
      <c r="CP16" s="4213"/>
      <c r="CQ16" s="4213"/>
      <c r="CR16" s="4213"/>
      <c r="CS16" s="4213"/>
      <c r="CT16" s="4213"/>
      <c r="CU16" s="4213"/>
      <c r="CV16" s="4213"/>
      <c r="CW16" s="4213"/>
      <c r="CX16" s="4213"/>
      <c r="CY16" s="4213"/>
      <c r="CZ16" s="4213"/>
      <c r="DA16" s="4213"/>
      <c r="DB16" s="4213"/>
      <c r="DC16" s="4213"/>
      <c r="DD16" s="4213"/>
      <c r="DE16" s="4213"/>
      <c r="DF16" s="4213"/>
      <c r="DG16" s="4213"/>
      <c r="DH16" s="4213"/>
      <c r="DI16" s="4213"/>
      <c r="DJ16" s="4213"/>
      <c r="DK16" s="4213"/>
      <c r="DL16" s="4213"/>
      <c r="DM16" s="4213"/>
      <c r="DN16" s="4213"/>
      <c r="DO16" s="4213"/>
      <c r="DP16" s="4213"/>
      <c r="DQ16" s="4213"/>
      <c r="DR16" s="4213"/>
      <c r="DS16" s="4213"/>
    </row>
    <row r="17" s="4132" customFormat="1" ht="16.5" customHeight="1" spans="1:123">
      <c r="A17" s="4169" t="s">
        <v>4654</v>
      </c>
      <c r="B17" s="4169"/>
      <c r="C17" s="4169"/>
      <c r="D17" s="4169"/>
      <c r="E17" s="4169"/>
      <c r="F17" s="4242" t="str">
        <f>IF(Prethodna_2024!H14=0,"",Prethodna_2024!H14)</f>
        <v>65-01-0233-08</v>
      </c>
      <c r="G17" s="4242"/>
      <c r="H17" s="4242"/>
      <c r="I17" s="4242"/>
      <c r="J17" s="4242"/>
      <c r="K17" s="4242"/>
      <c r="L17" s="4242"/>
      <c r="M17" s="4242"/>
      <c r="N17" s="4242"/>
      <c r="O17" s="4242"/>
      <c r="P17" s="4242"/>
      <c r="Q17" s="4242"/>
      <c r="R17" s="4242"/>
      <c r="S17" s="4171"/>
      <c r="T17" s="3931"/>
      <c r="U17" s="3931"/>
      <c r="V17" s="3931"/>
      <c r="W17" s="3931"/>
      <c r="X17" s="3931"/>
      <c r="Y17" s="3931"/>
      <c r="Z17" s="3931"/>
      <c r="AA17" s="3931"/>
      <c r="AB17" s="3931"/>
      <c r="AC17" s="3931"/>
      <c r="AD17" s="3931"/>
      <c r="AE17" s="3931"/>
      <c r="AF17" s="3931"/>
      <c r="AG17" s="3931"/>
      <c r="AH17" s="3931"/>
      <c r="AI17" s="3931"/>
      <c r="AJ17" s="3931"/>
      <c r="AK17" s="3931"/>
      <c r="AL17" s="3931"/>
      <c r="AM17" s="3931"/>
      <c r="AN17" s="3931"/>
      <c r="AO17" s="3931"/>
      <c r="AP17" s="3931"/>
      <c r="AQ17" s="4243"/>
      <c r="AR17" s="4244"/>
      <c r="AS17" s="4244"/>
      <c r="AT17" s="4245" t="s">
        <v>4655</v>
      </c>
      <c r="AU17" s="4246"/>
      <c r="AV17" s="4246"/>
      <c r="AW17" s="4246"/>
      <c r="AX17" s="4246"/>
      <c r="AY17" s="4246"/>
      <c r="AZ17" s="4246"/>
      <c r="BA17" s="4246"/>
      <c r="BB17" s="4246"/>
      <c r="BC17" s="4246"/>
      <c r="BD17" s="4246"/>
      <c r="BE17" s="4246"/>
      <c r="BF17" s="4246"/>
      <c r="BG17" s="4246"/>
      <c r="BH17" s="4247"/>
      <c r="BI17" s="4211"/>
      <c r="BJ17" s="4211"/>
      <c r="BK17" s="4211"/>
      <c r="BL17" s="4211"/>
      <c r="BM17" s="4211"/>
      <c r="BN17" s="4211"/>
      <c r="BO17" s="4211"/>
      <c r="BP17" s="4211"/>
      <c r="BQ17" s="4211"/>
      <c r="BR17" s="4211"/>
      <c r="BS17" s="4211"/>
      <c r="BT17" s="4211"/>
      <c r="BU17" s="4211"/>
      <c r="BV17" s="4211"/>
      <c r="BW17" s="4212"/>
      <c r="BX17" s="4213"/>
      <c r="BY17" s="4213"/>
      <c r="BZ17" s="4155"/>
      <c r="CA17" s="4213"/>
      <c r="CB17" s="4213"/>
      <c r="CC17" s="4213"/>
      <c r="CD17" s="4213"/>
      <c r="CE17" s="4213"/>
      <c r="CF17" s="4213"/>
      <c r="CG17" s="4213"/>
      <c r="CH17" s="4213"/>
      <c r="CI17" s="4211"/>
      <c r="CJ17" s="4211"/>
      <c r="CK17" s="4211"/>
      <c r="CL17" s="4211"/>
      <c r="CM17" s="4213"/>
      <c r="CN17" s="4213"/>
      <c r="CO17" s="4213"/>
      <c r="CP17" s="4213"/>
      <c r="CQ17" s="4213"/>
      <c r="CR17" s="4213"/>
      <c r="CS17" s="4213"/>
      <c r="CT17" s="4213"/>
      <c r="CU17" s="4213"/>
      <c r="CV17" s="4213"/>
      <c r="CW17" s="4213"/>
      <c r="CX17" s="4213"/>
      <c r="CY17" s="4213"/>
      <c r="CZ17" s="4213"/>
      <c r="DA17" s="4213"/>
      <c r="DB17" s="4213"/>
      <c r="DC17" s="4213"/>
      <c r="DD17" s="4213"/>
      <c r="DE17" s="4213"/>
      <c r="DF17" s="4213"/>
      <c r="DG17" s="4213"/>
      <c r="DH17" s="4213"/>
      <c r="DI17" s="4213"/>
      <c r="DJ17" s="4213"/>
      <c r="DK17" s="4213"/>
      <c r="DL17" s="4213"/>
      <c r="DM17" s="4213"/>
      <c r="DN17" s="4213"/>
      <c r="DO17" s="4213"/>
      <c r="DP17" s="4213"/>
      <c r="DQ17" s="4213"/>
      <c r="DR17" s="4213"/>
      <c r="DS17" s="4213"/>
    </row>
    <row r="18" s="4132" customFormat="1" ht="16.5" customHeight="1" spans="1:123">
      <c r="A18" s="4248" t="s">
        <v>4469</v>
      </c>
      <c r="B18" s="4248"/>
      <c r="C18" s="4248"/>
      <c r="D18" s="4248"/>
      <c r="E18" s="4248"/>
      <c r="F18" s="4214" t="str">
        <f>IF(Prethodna_2024!H15=0,"",Prethodna_2024!H15)</f>
        <v>Sarajevo</v>
      </c>
      <c r="G18" s="4214"/>
      <c r="H18" s="4214"/>
      <c r="I18" s="4214"/>
      <c r="J18" s="4214"/>
      <c r="K18" s="4214"/>
      <c r="L18" s="4214"/>
      <c r="M18" s="4214"/>
      <c r="N18" s="4214"/>
      <c r="O18" s="4214"/>
      <c r="P18" s="4214"/>
      <c r="Q18" s="4214"/>
      <c r="R18" s="4214"/>
      <c r="S18" s="4171"/>
      <c r="T18" s="3931"/>
      <c r="U18" s="3931"/>
      <c r="V18" s="3931"/>
      <c r="W18" s="3931"/>
      <c r="X18" s="3931"/>
      <c r="Y18" s="3931"/>
      <c r="Z18" s="3931"/>
      <c r="AA18" s="3931"/>
      <c r="AB18" s="3931"/>
      <c r="AC18" s="3931"/>
      <c r="AD18" s="3931"/>
      <c r="AE18" s="3931"/>
      <c r="AF18" s="3931"/>
      <c r="AG18" s="3931"/>
      <c r="AH18" s="3931"/>
      <c r="AI18" s="3931"/>
      <c r="AJ18" s="3931"/>
      <c r="AK18" s="3931"/>
      <c r="AL18" s="3931"/>
      <c r="AM18" s="3931"/>
      <c r="AN18" s="3931"/>
      <c r="AO18" s="3931"/>
      <c r="AP18" s="3931"/>
      <c r="AQ18" s="4243"/>
      <c r="AR18" s="4244"/>
      <c r="AS18" s="4244"/>
      <c r="AT18" s="4245" t="s">
        <v>4656</v>
      </c>
      <c r="AU18" s="4246"/>
      <c r="AV18" s="4246"/>
      <c r="AW18" s="4246"/>
      <c r="AX18" s="4246"/>
      <c r="AY18" s="4246"/>
      <c r="AZ18" s="4246"/>
      <c r="BA18" s="4246"/>
      <c r="BB18" s="4246"/>
      <c r="BC18" s="4246"/>
      <c r="BD18" s="4246"/>
      <c r="BE18" s="4246"/>
      <c r="BF18" s="4246"/>
      <c r="BG18" s="4246"/>
      <c r="BH18" s="4247"/>
      <c r="BI18" s="4211"/>
      <c r="BJ18" s="4211"/>
      <c r="BK18" s="4211"/>
      <c r="BL18" s="4211"/>
      <c r="BM18" s="4211"/>
      <c r="BN18" s="4211"/>
      <c r="BO18" s="4211"/>
      <c r="BP18" s="4211"/>
      <c r="BQ18" s="4211"/>
      <c r="BR18" s="4211"/>
      <c r="BS18" s="4211"/>
      <c r="BT18" s="4211"/>
      <c r="BU18" s="4211"/>
      <c r="BV18" s="4211"/>
      <c r="BW18" s="4212"/>
      <c r="BX18" s="4213"/>
      <c r="BY18" s="4213"/>
      <c r="BZ18" s="4155"/>
      <c r="CA18" s="4213"/>
      <c r="CB18" s="4213"/>
      <c r="CC18" s="4213"/>
      <c r="CD18" s="4213"/>
      <c r="CE18" s="4213"/>
      <c r="CF18" s="4213"/>
      <c r="CG18" s="4213"/>
      <c r="CH18" s="4213"/>
      <c r="CI18" s="4211"/>
      <c r="CJ18" s="4211"/>
      <c r="CK18" s="4211"/>
      <c r="CL18" s="4211"/>
      <c r="CM18" s="4213"/>
      <c r="CN18" s="4213"/>
      <c r="CO18" s="4213"/>
      <c r="CP18" s="4213"/>
      <c r="CQ18" s="4213"/>
      <c r="CR18" s="4213"/>
      <c r="CS18" s="4213"/>
      <c r="CT18" s="4213"/>
      <c r="CU18" s="4213"/>
      <c r="CV18" s="4213"/>
      <c r="CW18" s="4213"/>
      <c r="CX18" s="4213"/>
      <c r="CY18" s="4213"/>
      <c r="CZ18" s="4213"/>
      <c r="DA18" s="4213"/>
      <c r="DB18" s="4213"/>
      <c r="DC18" s="4213"/>
      <c r="DD18" s="4213"/>
      <c r="DE18" s="4213"/>
      <c r="DF18" s="4213"/>
      <c r="DG18" s="4213"/>
      <c r="DH18" s="4213"/>
      <c r="DI18" s="4213"/>
      <c r="DJ18" s="4213"/>
      <c r="DK18" s="4213"/>
      <c r="DL18" s="4213"/>
      <c r="DM18" s="4213"/>
      <c r="DN18" s="4213"/>
      <c r="DO18" s="4213"/>
      <c r="DP18" s="4213"/>
      <c r="DQ18" s="4213"/>
      <c r="DR18" s="4213"/>
      <c r="DS18" s="4213"/>
    </row>
    <row r="19" s="4132" customFormat="1" ht="16.5" customHeight="1" spans="1:123">
      <c r="A19" s="4169" t="s">
        <v>4470</v>
      </c>
      <c r="B19" s="4169"/>
      <c r="C19" s="4169"/>
      <c r="D19" s="4169"/>
      <c r="E19" s="4169"/>
      <c r="F19" s="4214" t="str">
        <f>Sjedište</f>
        <v>Sarajevo-Stari Grad</v>
      </c>
      <c r="G19" s="4214"/>
      <c r="H19" s="4214"/>
      <c r="I19" s="4214"/>
      <c r="J19" s="4214"/>
      <c r="K19" s="4214"/>
      <c r="L19" s="4214"/>
      <c r="M19" s="4214"/>
      <c r="N19" s="4214"/>
      <c r="O19" s="4214"/>
      <c r="P19" s="4214"/>
      <c r="Q19" s="4214"/>
      <c r="R19" s="4214"/>
      <c r="S19" s="4213"/>
      <c r="T19" s="3931"/>
      <c r="U19" s="3931"/>
      <c r="V19" s="3931"/>
      <c r="W19" s="3931"/>
      <c r="X19" s="3931"/>
      <c r="Y19" s="3931"/>
      <c r="Z19" s="3931"/>
      <c r="AA19" s="3931"/>
      <c r="AB19" s="3931"/>
      <c r="AC19" s="3931"/>
      <c r="AD19" s="3931"/>
      <c r="AE19" s="3931"/>
      <c r="AF19" s="3931"/>
      <c r="AG19" s="3931"/>
      <c r="AH19" s="3931"/>
      <c r="AI19" s="3931"/>
      <c r="AJ19" s="3931"/>
      <c r="AK19" s="3931"/>
      <c r="AL19" s="3931"/>
      <c r="AM19" s="3931"/>
      <c r="AN19" s="3931"/>
      <c r="AO19" s="3931"/>
      <c r="AP19" s="3931"/>
      <c r="AQ19" s="4243"/>
      <c r="AR19" s="4244"/>
      <c r="AS19" s="4244"/>
      <c r="AT19" s="4245" t="s">
        <v>4657</v>
      </c>
      <c r="AU19" s="4246"/>
      <c r="AV19" s="4246"/>
      <c r="AW19" s="4246"/>
      <c r="AX19" s="4246"/>
      <c r="AY19" s="4246"/>
      <c r="AZ19" s="4246"/>
      <c r="BA19" s="4246"/>
      <c r="BB19" s="4246"/>
      <c r="BC19" s="4246"/>
      <c r="BD19" s="4246"/>
      <c r="BE19" s="4246"/>
      <c r="BF19" s="4246"/>
      <c r="BG19" s="4246"/>
      <c r="BH19" s="4247"/>
      <c r="BI19" s="4222"/>
      <c r="BJ19" s="4222"/>
      <c r="BK19" s="4222"/>
      <c r="BL19" s="4222"/>
      <c r="BM19" s="4222"/>
      <c r="BN19" s="4222"/>
      <c r="BO19" s="4222"/>
      <c r="BP19" s="4222"/>
      <c r="BQ19" s="4222"/>
      <c r="BR19" s="4222"/>
      <c r="BS19" s="4222"/>
      <c r="BT19" s="4222"/>
      <c r="BU19" s="4222"/>
      <c r="BV19" s="4222"/>
      <c r="BW19" s="4222"/>
      <c r="BX19" s="4213"/>
      <c r="BY19" s="4249">
        <f>IF(BI19&lt;&gt;"",0,IF(AQ19=0,0,"&lt; PAŽNJA! Izaberite Kanton"))</f>
        <v>0</v>
      </c>
      <c r="BZ19" s="4155"/>
      <c r="CA19" s="4213"/>
      <c r="CB19" s="4213"/>
      <c r="CC19" s="4213"/>
      <c r="CD19" s="4213"/>
      <c r="CE19" s="4213"/>
      <c r="CF19" s="4213"/>
      <c r="CG19" s="4213"/>
      <c r="CH19" s="4213"/>
      <c r="CI19" s="4211"/>
      <c r="CJ19" s="4211"/>
      <c r="CK19" s="4211"/>
      <c r="CL19" s="4211"/>
      <c r="CM19" s="4213"/>
      <c r="CN19" s="4213"/>
      <c r="CO19" s="4213"/>
      <c r="CP19" s="4213"/>
      <c r="CQ19" s="4213"/>
      <c r="CR19" s="4213"/>
      <c r="CS19" s="4213"/>
      <c r="CT19" s="4213"/>
      <c r="CU19" s="4213"/>
      <c r="CV19" s="4213"/>
      <c r="CW19" s="4213"/>
      <c r="CX19" s="4213"/>
      <c r="CY19" s="4213"/>
      <c r="CZ19" s="4213"/>
      <c r="DA19" s="4213"/>
      <c r="DB19" s="4213"/>
      <c r="DC19" s="4213"/>
      <c r="DD19" s="4213"/>
      <c r="DE19" s="4213"/>
      <c r="DF19" s="4213"/>
      <c r="DG19" s="4213"/>
      <c r="DH19" s="4213"/>
      <c r="DI19" s="4213"/>
      <c r="DJ19" s="4213"/>
      <c r="DK19" s="4213"/>
      <c r="DL19" s="4213"/>
      <c r="DM19" s="4213"/>
      <c r="DN19" s="4213"/>
      <c r="DO19" s="4213"/>
      <c r="DP19" s="4213"/>
      <c r="DQ19" s="4213"/>
      <c r="DR19" s="4213"/>
      <c r="DS19" s="4213"/>
    </row>
    <row r="20" s="4132" customFormat="1" ht="16.5" customHeight="1" spans="1:123">
      <c r="A20" s="4169" t="s">
        <v>4658</v>
      </c>
      <c r="B20" s="4169"/>
      <c r="C20" s="4169"/>
      <c r="D20" s="4169"/>
      <c r="E20" s="4169"/>
      <c r="F20" s="4242">
        <v>1</v>
      </c>
      <c r="G20" s="4242"/>
      <c r="H20" s="4242"/>
      <c r="I20" s="4242"/>
      <c r="J20" s="4242"/>
      <c r="K20" s="4242"/>
      <c r="L20" s="4242"/>
      <c r="M20" s="4242"/>
      <c r="N20" s="4242"/>
      <c r="O20" s="4242"/>
      <c r="P20" s="4242"/>
      <c r="Q20" s="4242"/>
      <c r="R20" s="4242"/>
      <c r="S20" s="4213"/>
      <c r="T20" s="3931"/>
      <c r="U20" s="3931"/>
      <c r="V20" s="3931"/>
      <c r="W20" s="3931"/>
      <c r="X20" s="3931"/>
      <c r="Y20" s="3931"/>
      <c r="Z20" s="3931"/>
      <c r="AA20" s="3931"/>
      <c r="AB20" s="3931"/>
      <c r="AC20" s="3931"/>
      <c r="AD20" s="3931"/>
      <c r="AE20" s="3931"/>
      <c r="AF20" s="3931"/>
      <c r="AG20" s="3931"/>
      <c r="AH20" s="3931"/>
      <c r="AI20" s="3931"/>
      <c r="AJ20" s="3931"/>
      <c r="AK20" s="3931"/>
      <c r="AL20" s="3931"/>
      <c r="AM20" s="3931"/>
      <c r="AN20" s="3931"/>
      <c r="AO20" s="3931"/>
      <c r="AP20" s="3931"/>
      <c r="AQ20" s="4243"/>
      <c r="AR20" s="4244"/>
      <c r="AS20" s="4244"/>
      <c r="AT20" s="4245" t="s">
        <v>4659</v>
      </c>
      <c r="AU20" s="4246"/>
      <c r="AV20" s="4246"/>
      <c r="AW20" s="4246"/>
      <c r="AX20" s="4246"/>
      <c r="AY20" s="4246"/>
      <c r="AZ20" s="4246"/>
      <c r="BA20" s="4246"/>
      <c r="BB20" s="4246"/>
      <c r="BC20" s="4246"/>
      <c r="BD20" s="4246"/>
      <c r="BE20" s="4246"/>
      <c r="BF20" s="4246"/>
      <c r="BG20" s="4246"/>
      <c r="BH20" s="4247"/>
      <c r="BI20" s="4222"/>
      <c r="BJ20" s="4222"/>
      <c r="BK20" s="4222"/>
      <c r="BL20" s="4222"/>
      <c r="BM20" s="4222"/>
      <c r="BN20" s="4222"/>
      <c r="BO20" s="4222"/>
      <c r="BP20" s="4222"/>
      <c r="BQ20" s="4222"/>
      <c r="BR20" s="4222"/>
      <c r="BS20" s="4222"/>
      <c r="BT20" s="4222"/>
      <c r="BU20" s="4222"/>
      <c r="BV20" s="4222"/>
      <c r="BW20" s="4222"/>
      <c r="BX20" s="4213"/>
      <c r="BY20" s="4249">
        <f>IF(BI20&lt;&gt;"",0,IF(AQ20=0,0,"&lt; PAŽNJA! Izaberite Grad"))</f>
        <v>0</v>
      </c>
      <c r="BZ20" s="4155"/>
      <c r="CA20" s="4213"/>
      <c r="CB20" s="4213"/>
      <c r="CC20" s="4213"/>
      <c r="CD20" s="4213"/>
      <c r="CE20" s="4213"/>
      <c r="CF20" s="4213"/>
      <c r="CG20" s="4213"/>
      <c r="CH20" s="4213"/>
      <c r="CI20" s="4211"/>
      <c r="CJ20" s="4211"/>
      <c r="CK20" s="4211"/>
      <c r="CL20" s="4211"/>
      <c r="CM20" s="4213"/>
      <c r="CN20" s="4213"/>
      <c r="CO20" s="4213"/>
      <c r="CP20" s="4213"/>
      <c r="CQ20" s="4213"/>
      <c r="CR20" s="4213"/>
      <c r="CS20" s="4213"/>
      <c r="CT20" s="4213"/>
      <c r="CU20" s="4213"/>
      <c r="CV20" s="4213"/>
      <c r="CW20" s="4213"/>
      <c r="CX20" s="4213"/>
      <c r="CY20" s="4213"/>
      <c r="CZ20" s="4213"/>
      <c r="DA20" s="4213"/>
      <c r="DB20" s="4213"/>
      <c r="DC20" s="4213"/>
      <c r="DD20" s="4213"/>
      <c r="DE20" s="4213"/>
      <c r="DF20" s="4213"/>
      <c r="DG20" s="4213"/>
      <c r="DH20" s="4213"/>
      <c r="DI20" s="4213"/>
      <c r="DJ20" s="4213"/>
      <c r="DK20" s="4213"/>
      <c r="DL20" s="4213"/>
      <c r="DM20" s="4213"/>
      <c r="DN20" s="4213"/>
      <c r="DO20" s="4213"/>
      <c r="DP20" s="4213"/>
      <c r="DQ20" s="4213"/>
      <c r="DR20" s="4213"/>
      <c r="DS20" s="4213"/>
    </row>
    <row r="21" s="4132" customFormat="1" ht="18.75" customHeight="1" spans="1:123">
      <c r="A21" s="4250"/>
      <c r="B21" s="4250"/>
      <c r="C21" s="4250"/>
      <c r="D21" s="4250"/>
      <c r="E21" s="4250"/>
      <c r="F21" s="4250"/>
      <c r="G21" s="4250"/>
      <c r="H21" s="4250"/>
      <c r="I21" s="4250"/>
      <c r="J21" s="4250"/>
      <c r="K21" s="4250"/>
      <c r="L21" s="4250"/>
      <c r="M21" s="4250"/>
      <c r="N21" s="4250"/>
      <c r="O21" s="4250"/>
      <c r="P21" s="4250"/>
      <c r="Q21" s="4250"/>
      <c r="R21" s="4250"/>
      <c r="S21" s="4250"/>
      <c r="T21" s="3931"/>
      <c r="U21" s="3931"/>
      <c r="V21" s="3931"/>
      <c r="W21" s="3931"/>
      <c r="X21" s="3931"/>
      <c r="Y21" s="3931"/>
      <c r="Z21" s="3931"/>
      <c r="AA21" s="3931"/>
      <c r="AB21" s="3931"/>
      <c r="AC21" s="3931"/>
      <c r="AD21" s="3931"/>
      <c r="AE21" s="3931"/>
      <c r="AF21" s="3931"/>
      <c r="AG21" s="3931"/>
      <c r="AH21" s="3931"/>
      <c r="AI21" s="3931"/>
      <c r="AJ21" s="3931"/>
      <c r="AK21" s="3931"/>
      <c r="AL21" s="3931"/>
      <c r="AM21" s="3931"/>
      <c r="AN21" s="3931"/>
      <c r="AO21" s="3931"/>
      <c r="AP21" s="3931"/>
      <c r="AQ21" s="4243"/>
      <c r="AR21" s="4244"/>
      <c r="AS21" s="4244"/>
      <c r="AT21" s="4245" t="s">
        <v>4660</v>
      </c>
      <c r="AU21" s="4251"/>
      <c r="AV21" s="4251"/>
      <c r="AW21" s="4251"/>
      <c r="AX21" s="4246"/>
      <c r="AY21" s="4246"/>
      <c r="AZ21" s="4246"/>
      <c r="BA21" s="4246"/>
      <c r="BB21" s="4246"/>
      <c r="BC21" s="4246"/>
      <c r="BD21" s="4246"/>
      <c r="BE21" s="4246"/>
      <c r="BF21" s="4246"/>
      <c r="BG21" s="4246"/>
      <c r="BH21" s="4247"/>
      <c r="BI21" s="4222"/>
      <c r="BJ21" s="4222"/>
      <c r="BK21" s="4222"/>
      <c r="BL21" s="4222"/>
      <c r="BM21" s="4222"/>
      <c r="BN21" s="4222"/>
      <c r="BO21" s="4222"/>
      <c r="BP21" s="4222"/>
      <c r="BQ21" s="4222"/>
      <c r="BR21" s="4222"/>
      <c r="BS21" s="4222"/>
      <c r="BT21" s="4222"/>
      <c r="BU21" s="4222"/>
      <c r="BV21" s="4222"/>
      <c r="BW21" s="4222"/>
      <c r="BX21" s="4213"/>
      <c r="BY21" s="4249">
        <f>IF(BI21&lt;&gt;"",0,IF(AQ21=0,0,"&lt; PAŽNJA! Izaberite Općinu"))</f>
        <v>0</v>
      </c>
      <c r="BZ21" s="4155"/>
      <c r="CA21" s="4213"/>
      <c r="CB21" s="4213"/>
      <c r="CC21" s="4213"/>
      <c r="CD21" s="4213"/>
      <c r="CE21" s="4213"/>
      <c r="CF21" s="4213"/>
      <c r="CG21" s="4213"/>
      <c r="CH21" s="4213"/>
      <c r="CI21" s="4211"/>
      <c r="CJ21" s="4211"/>
      <c r="CK21" s="4211"/>
      <c r="CL21" s="4211"/>
      <c r="CM21" s="4213"/>
      <c r="CN21" s="4213"/>
      <c r="CO21" s="4213"/>
      <c r="CP21" s="4213"/>
      <c r="CQ21" s="4213"/>
      <c r="CR21" s="4213"/>
      <c r="CS21" s="4213"/>
      <c r="CT21" s="4213"/>
      <c r="CU21" s="4213"/>
      <c r="CV21" s="4213"/>
      <c r="CW21" s="4213"/>
      <c r="CX21" s="4213"/>
      <c r="CY21" s="4213"/>
      <c r="CZ21" s="4213"/>
      <c r="DA21" s="4213"/>
      <c r="DB21" s="4213"/>
      <c r="DC21" s="4213"/>
      <c r="DD21" s="4213"/>
      <c r="DE21" s="4213"/>
      <c r="DF21" s="4213"/>
      <c r="DG21" s="4213"/>
      <c r="DH21" s="4213"/>
      <c r="DI21" s="4213"/>
      <c r="DJ21" s="4213"/>
      <c r="DK21" s="4213"/>
      <c r="DL21" s="4213"/>
      <c r="DM21" s="4213"/>
      <c r="DN21" s="4213"/>
      <c r="DO21" s="4213"/>
      <c r="DP21" s="4213"/>
      <c r="DQ21" s="4213"/>
      <c r="DR21" s="4213"/>
      <c r="DS21" s="4213"/>
    </row>
    <row r="22" ht="19.5" customHeight="1" spans="1:123">
      <c r="A22" s="4252" t="s">
        <v>4661</v>
      </c>
      <c r="B22" s="4252"/>
      <c r="C22" s="4252"/>
      <c r="D22" s="4252"/>
      <c r="E22" s="4252"/>
      <c r="F22" s="4252"/>
      <c r="G22" s="4252"/>
      <c r="H22" s="4252"/>
      <c r="I22" s="4252"/>
      <c r="J22" s="4252"/>
      <c r="K22" s="4252"/>
      <c r="L22" s="4252"/>
      <c r="M22" s="4252"/>
      <c r="N22" s="4252"/>
      <c r="O22" s="4252"/>
      <c r="P22" s="4252"/>
      <c r="Q22" s="4252"/>
      <c r="R22" s="4252"/>
      <c r="S22" s="4253"/>
      <c r="T22" s="4185" t="s">
        <v>4662</v>
      </c>
      <c r="U22" s="4186"/>
      <c r="V22" s="4186"/>
      <c r="W22" s="4186"/>
      <c r="X22" s="4186"/>
      <c r="Y22" s="4186"/>
      <c r="Z22" s="4187"/>
      <c r="AA22" s="4254">
        <v>2</v>
      </c>
      <c r="AB22" s="4255">
        <v>8</v>
      </c>
      <c r="AC22" s="4256">
        <v>0</v>
      </c>
      <c r="AD22" s="4257">
        <f>IF((O6*10)+P6=12,2,P6+1)</f>
        <v>2</v>
      </c>
      <c r="AE22" s="4258">
        <v>2</v>
      </c>
      <c r="AF22" s="4259">
        <v>0</v>
      </c>
      <c r="AG22" s="4259">
        <v>2</v>
      </c>
      <c r="AH22" s="4260">
        <f>Q6-2020+1</f>
        <v>6</v>
      </c>
      <c r="AI22" s="4253"/>
      <c r="AJ22" s="4253"/>
      <c r="AK22" s="4253"/>
      <c r="AL22" s="4253"/>
      <c r="AM22" s="4253"/>
      <c r="AN22" s="4253"/>
      <c r="AO22" s="4253"/>
      <c r="AP22" s="4253"/>
      <c r="AQ22" s="4243"/>
      <c r="AR22" s="4244"/>
      <c r="AS22" s="4244"/>
      <c r="AT22" s="4245" t="s">
        <v>4663</v>
      </c>
      <c r="AU22" s="4261"/>
      <c r="AV22" s="4261"/>
      <c r="AW22" s="4261"/>
      <c r="AX22" s="4251"/>
      <c r="AY22" s="4251"/>
      <c r="AZ22" s="4251"/>
      <c r="BA22" s="4251"/>
      <c r="BB22" s="4246"/>
      <c r="BC22" s="4246"/>
      <c r="BD22" s="4246"/>
      <c r="BE22" s="4246"/>
      <c r="BF22" s="4246"/>
      <c r="BG22" s="4246"/>
      <c r="BH22" s="4247"/>
      <c r="BI22" s="4222"/>
      <c r="BJ22" s="4222"/>
      <c r="BK22" s="4222"/>
      <c r="BL22" s="4222"/>
      <c r="BM22" s="4222"/>
      <c r="BN22" s="4222"/>
      <c r="BO22" s="4222"/>
      <c r="BP22" s="4222"/>
      <c r="BQ22" s="4222"/>
      <c r="BR22" s="4222"/>
      <c r="BS22" s="4222"/>
      <c r="BT22" s="4222"/>
      <c r="BU22" s="4222"/>
      <c r="BV22" s="4222"/>
      <c r="BW22" s="4222"/>
      <c r="BX22" s="4213"/>
      <c r="BY22" s="4249">
        <f>IF(BI22&lt;&gt;"",0,IF(AQ22=0,0,"&lt; PAŽNJA! Izaberite Općinu"))</f>
        <v>0</v>
      </c>
      <c r="BZ22" s="4155"/>
      <c r="CA22" s="4213"/>
      <c r="CB22" s="4213"/>
      <c r="CC22" s="4213"/>
      <c r="CD22" s="4213"/>
      <c r="CE22" s="4213"/>
      <c r="CF22" s="4213"/>
      <c r="CG22" s="4213"/>
      <c r="CH22" s="4213"/>
      <c r="CI22" s="4211"/>
      <c r="CJ22" s="4211"/>
      <c r="CK22" s="4211"/>
      <c r="CL22" s="4211"/>
      <c r="CM22" s="4213"/>
      <c r="CN22" s="4213"/>
      <c r="CO22" s="4213"/>
      <c r="CP22" s="4213"/>
      <c r="CQ22" s="4213"/>
      <c r="CR22" s="4213"/>
      <c r="CS22" s="4213"/>
      <c r="CT22" s="4213"/>
      <c r="CU22" s="4213"/>
      <c r="CV22" s="4213"/>
      <c r="CW22" s="4213"/>
      <c r="CX22" s="4213"/>
      <c r="CY22" s="4213"/>
      <c r="CZ22" s="4213"/>
      <c r="DA22" s="4213"/>
      <c r="DB22" s="4213"/>
      <c r="DC22" s="4213"/>
      <c r="DD22" s="4213"/>
      <c r="DE22" s="4213"/>
      <c r="DF22" s="4213"/>
      <c r="DG22" s="4213"/>
      <c r="DH22" s="4213"/>
      <c r="DI22" s="4213"/>
      <c r="DJ22" s="4213"/>
      <c r="DK22" s="4213"/>
      <c r="DL22" s="4213"/>
      <c r="DM22" s="4213"/>
      <c r="DN22" s="4213"/>
      <c r="DO22" s="4213"/>
      <c r="DP22" s="4213"/>
      <c r="DQ22" s="4213"/>
      <c r="DR22" s="4213"/>
      <c r="DS22" s="4213"/>
    </row>
    <row r="23" ht="16.5" customHeight="1" spans="1:123">
      <c r="A23" s="4262" t="s">
        <v>4664</v>
      </c>
      <c r="B23" s="4262"/>
      <c r="C23" s="4262"/>
      <c r="D23" s="4262"/>
      <c r="E23" s="4262"/>
      <c r="F23" s="4263" t="str">
        <f>IF(ObavRazv!X28="DA","",IF(ObavRazv!$X$30="Mikro","N",IF(ObavRazv!$X$30="Malo","N","")))</f>
        <v>N</v>
      </c>
      <c r="G23" s="4264"/>
      <c r="H23" s="4264"/>
      <c r="I23" s="4264"/>
      <c r="J23" s="4264"/>
      <c r="K23" s="4264"/>
      <c r="L23" s="4264"/>
      <c r="M23" s="4264"/>
      <c r="N23" s="4264"/>
      <c r="O23" s="4264"/>
      <c r="P23" s="4264"/>
      <c r="Q23" s="4264"/>
      <c r="R23" s="4265"/>
      <c r="S23" s="4266"/>
      <c r="T23" s="4267"/>
      <c r="U23" s="4267"/>
      <c r="V23" s="4267"/>
      <c r="W23" s="4267"/>
      <c r="X23" s="4267"/>
      <c r="Y23" s="4267"/>
      <c r="Z23" s="4267"/>
      <c r="AA23" s="4267"/>
      <c r="AB23" s="4267"/>
      <c r="AC23" s="4267"/>
      <c r="AD23" s="4267"/>
      <c r="AE23" s="4267"/>
      <c r="AF23" s="4267"/>
      <c r="AG23" s="4267"/>
      <c r="AH23" s="4267"/>
      <c r="AI23" s="4267"/>
      <c r="AJ23" s="4267"/>
      <c r="AK23" s="4267"/>
      <c r="AL23" s="4267"/>
      <c r="AM23" s="4267"/>
      <c r="AN23" s="4267"/>
      <c r="AO23" s="4267"/>
      <c r="AP23" s="4267"/>
      <c r="AQ23" s="4243"/>
      <c r="AR23" s="4244"/>
      <c r="AS23" s="4244"/>
      <c r="AT23" s="4245" t="s">
        <v>4665</v>
      </c>
      <c r="AU23" s="4261"/>
      <c r="AV23" s="4261"/>
      <c r="AW23" s="4261"/>
      <c r="AX23" s="4261"/>
      <c r="AY23" s="4268"/>
      <c r="AZ23" s="4268"/>
      <c r="BA23" s="4268"/>
      <c r="BB23" s="4246"/>
      <c r="BC23" s="4246"/>
      <c r="BD23" s="4246"/>
      <c r="BE23" s="4246"/>
      <c r="BF23" s="4246"/>
      <c r="BG23" s="4246"/>
      <c r="BH23" s="4247"/>
      <c r="BI23" s="4222"/>
      <c r="BJ23" s="4222"/>
      <c r="BK23" s="4222"/>
      <c r="BL23" s="4222"/>
      <c r="BM23" s="4222"/>
      <c r="BN23" s="4222"/>
      <c r="BO23" s="4222"/>
      <c r="BP23" s="4222"/>
      <c r="BQ23" s="4222"/>
      <c r="BR23" s="4222"/>
      <c r="BS23" s="4222"/>
      <c r="BT23" s="4222"/>
      <c r="BU23" s="4222"/>
      <c r="BV23" s="4222"/>
      <c r="BW23" s="4222"/>
      <c r="BX23" s="4213"/>
      <c r="BY23" s="4249">
        <f>IF(BI23&lt;&gt;"",0,IF(AQ23=0,0,"&lt; PAŽNJA! Izaberite Općinu"))</f>
        <v>0</v>
      </c>
      <c r="BZ23" s="4155"/>
      <c r="CA23" s="4213"/>
      <c r="CB23" s="4213"/>
      <c r="CC23" s="4213"/>
      <c r="CD23" s="4213"/>
      <c r="CE23" s="4213"/>
      <c r="CF23" s="4213"/>
      <c r="CG23" s="4213"/>
      <c r="CH23" s="4213"/>
      <c r="CI23" s="4211"/>
      <c r="CJ23" s="4211"/>
      <c r="CK23" s="4211"/>
      <c r="CL23" s="4211"/>
      <c r="CM23" s="4213"/>
      <c r="CN23" s="4213"/>
      <c r="CO23" s="4213"/>
      <c r="CP23" s="4213"/>
      <c r="CQ23" s="4213"/>
      <c r="CR23" s="4213"/>
      <c r="CS23" s="4213"/>
      <c r="CT23" s="4213"/>
      <c r="CU23" s="4213"/>
      <c r="CV23" s="4213"/>
      <c r="CW23" s="4213"/>
      <c r="CX23" s="4213"/>
      <c r="CY23" s="4213"/>
      <c r="CZ23" s="4213"/>
      <c r="DA23" s="4213"/>
      <c r="DB23" s="4213"/>
      <c r="DC23" s="4213"/>
      <c r="DD23" s="4213"/>
      <c r="DE23" s="4213"/>
      <c r="DF23" s="4213"/>
      <c r="DG23" s="4213"/>
      <c r="DH23" s="4213"/>
      <c r="DI23" s="4213"/>
      <c r="DJ23" s="4213"/>
      <c r="DK23" s="4213"/>
      <c r="DL23" s="4213"/>
      <c r="DM23" s="4213"/>
      <c r="DN23" s="4213"/>
      <c r="DO23" s="4213"/>
      <c r="DP23" s="4213"/>
      <c r="DQ23" s="4213"/>
      <c r="DR23" s="4213"/>
      <c r="DS23" s="4213"/>
    </row>
    <row r="24" ht="16.5" customHeight="1" spans="1:123">
      <c r="A24" s="4262" t="s">
        <v>4666</v>
      </c>
      <c r="B24" s="4262"/>
      <c r="C24" s="4262"/>
      <c r="D24" s="4262"/>
      <c r="E24" s="4262"/>
      <c r="F24" s="4263" t="str">
        <f>IF(ObavRazv!X28="DA","",IF(ObavRazv!$X$30="Mikro","N",IF(ObavRazv!$X$30="Malo","N","")))</f>
        <v>N</v>
      </c>
      <c r="G24" s="4264"/>
      <c r="H24" s="4264"/>
      <c r="I24" s="4264"/>
      <c r="J24" s="4264"/>
      <c r="K24" s="4264"/>
      <c r="L24" s="4264"/>
      <c r="M24" s="4264"/>
      <c r="N24" s="4264"/>
      <c r="O24" s="4264"/>
      <c r="P24" s="4264"/>
      <c r="Q24" s="4264"/>
      <c r="R24" s="4265"/>
      <c r="S24" s="4266"/>
      <c r="T24" s="4267"/>
      <c r="U24" s="4267"/>
      <c r="V24" s="4267"/>
      <c r="W24" s="4267"/>
      <c r="X24" s="4267"/>
      <c r="Y24" s="4267"/>
      <c r="Z24" s="4267"/>
      <c r="AA24" s="4267"/>
      <c r="AB24" s="4267"/>
      <c r="AC24" s="4267"/>
      <c r="AD24" s="4267"/>
      <c r="AE24" s="4267"/>
      <c r="AF24" s="4267"/>
      <c r="AG24" s="4267"/>
      <c r="AH24" s="4267"/>
      <c r="AI24" s="4267"/>
      <c r="AJ24" s="4267"/>
      <c r="AK24" s="4267"/>
      <c r="AL24" s="4267"/>
      <c r="AM24" s="4267"/>
      <c r="AN24" s="4267"/>
      <c r="AO24" s="4267"/>
      <c r="AP24" s="4267"/>
      <c r="AQ24" s="4243"/>
      <c r="AR24" s="4244"/>
      <c r="AS24" s="4244"/>
      <c r="AT24" s="4245" t="s">
        <v>4667</v>
      </c>
      <c r="AU24" s="4261"/>
      <c r="AV24" s="4261"/>
      <c r="AW24" s="4261"/>
      <c r="AX24" s="4261"/>
      <c r="AY24" s="4268"/>
      <c r="AZ24" s="4268"/>
      <c r="BA24" s="4268"/>
      <c r="BB24" s="4246"/>
      <c r="BC24" s="4246"/>
      <c r="BD24" s="4246"/>
      <c r="BE24" s="4246"/>
      <c r="BF24" s="4246"/>
      <c r="BG24" s="4246"/>
      <c r="BH24" s="4247"/>
      <c r="BI24" s="4211"/>
      <c r="BJ24" s="4211"/>
      <c r="BK24" s="4211"/>
      <c r="BL24" s="4211"/>
      <c r="BM24" s="4211"/>
      <c r="BN24" s="4211"/>
      <c r="BO24" s="4211"/>
      <c r="BP24" s="4211"/>
      <c r="BQ24" s="4211"/>
      <c r="BR24" s="4211"/>
      <c r="BS24" s="4211"/>
      <c r="BT24" s="4211"/>
      <c r="BU24" s="4211"/>
      <c r="BV24" s="4211"/>
      <c r="BW24" s="4212"/>
      <c r="BX24" s="4213"/>
      <c r="BY24" s="4213"/>
      <c r="BZ24" s="4155"/>
      <c r="CA24" s="4213"/>
      <c r="CB24" s="4213"/>
      <c r="CC24" s="4213"/>
      <c r="CD24" s="4213"/>
      <c r="CE24" s="4213"/>
      <c r="CF24" s="4213"/>
      <c r="CG24" s="4213"/>
      <c r="CH24" s="4213"/>
      <c r="CI24" s="4211"/>
      <c r="CJ24" s="4211"/>
      <c r="CK24" s="4211"/>
      <c r="CL24" s="4211"/>
      <c r="CM24" s="4213"/>
      <c r="CN24" s="4213"/>
      <c r="CO24" s="4213"/>
      <c r="CP24" s="4213"/>
      <c r="CQ24" s="4213"/>
      <c r="CR24" s="4213"/>
      <c r="CS24" s="4213"/>
      <c r="CT24" s="4213"/>
      <c r="CU24" s="4213"/>
      <c r="CV24" s="4213"/>
      <c r="CW24" s="4213"/>
      <c r="CX24" s="4213"/>
      <c r="CY24" s="4213"/>
      <c r="CZ24" s="4213"/>
      <c r="DA24" s="4213"/>
      <c r="DB24" s="4213"/>
      <c r="DC24" s="4213"/>
      <c r="DD24" s="4213"/>
      <c r="DE24" s="4213"/>
      <c r="DF24" s="4213"/>
      <c r="DG24" s="4213"/>
      <c r="DH24" s="4213"/>
      <c r="DI24" s="4213"/>
      <c r="DJ24" s="4213"/>
      <c r="DK24" s="4213"/>
      <c r="DL24" s="4213"/>
      <c r="DM24" s="4213"/>
      <c r="DN24" s="4213"/>
      <c r="DO24" s="4213"/>
      <c r="DP24" s="4213"/>
      <c r="DQ24" s="4213"/>
      <c r="DR24" s="4213"/>
      <c r="DS24" s="4213"/>
    </row>
    <row r="25" ht="16.5" customHeight="1" spans="1:123">
      <c r="A25" s="4262" t="s">
        <v>4668</v>
      </c>
      <c r="B25" s="4262"/>
      <c r="C25" s="4262"/>
      <c r="D25" s="4262"/>
      <c r="E25" s="4262"/>
      <c r="F25" s="4263" t="str">
        <f>IF(ObavRazv!X28="DA","",IF(ObavRazv!$X$30="Mikro","N",IF(ObavRazv!$X$30="Malo","N","")))</f>
        <v>N</v>
      </c>
      <c r="G25" s="4264"/>
      <c r="H25" s="4264"/>
      <c r="I25" s="4264"/>
      <c r="J25" s="4264"/>
      <c r="K25" s="4264"/>
      <c r="L25" s="4264"/>
      <c r="M25" s="4264"/>
      <c r="N25" s="4264"/>
      <c r="O25" s="4264"/>
      <c r="P25" s="4264"/>
      <c r="Q25" s="4264"/>
      <c r="R25" s="4265"/>
      <c r="S25" s="4266"/>
      <c r="T25" s="4267"/>
      <c r="U25" s="4267"/>
      <c r="V25" s="4267"/>
      <c r="W25" s="4267"/>
      <c r="X25" s="4267"/>
      <c r="Y25" s="4267"/>
      <c r="Z25" s="4267"/>
      <c r="AA25" s="4267"/>
      <c r="AB25" s="4267"/>
      <c r="AC25" s="4267"/>
      <c r="AD25" s="4267"/>
      <c r="AE25" s="4267"/>
      <c r="AF25" s="4267"/>
      <c r="AG25" s="4267"/>
      <c r="AH25" s="4267"/>
      <c r="AI25" s="4267"/>
      <c r="AJ25" s="4267"/>
      <c r="AK25" s="4267"/>
      <c r="AL25" s="4267"/>
      <c r="AM25" s="4267"/>
      <c r="AN25" s="4267"/>
      <c r="AO25" s="4267"/>
      <c r="AP25" s="4267"/>
      <c r="AQ25" s="4243">
        <f>IF(AQ15="NE",100%,"")</f>
        <v>1</v>
      </c>
      <c r="AR25" s="4244"/>
      <c r="AS25" s="4244"/>
      <c r="AT25" s="4245" t="s">
        <v>4669</v>
      </c>
      <c r="AU25" s="4261"/>
      <c r="AV25" s="4261"/>
      <c r="AW25" s="4261"/>
      <c r="AX25" s="4261"/>
      <c r="AY25" s="4268"/>
      <c r="AZ25" s="4268"/>
      <c r="BA25" s="4268"/>
      <c r="BB25" s="4246"/>
      <c r="BC25" s="4246"/>
      <c r="BD25" s="4246"/>
      <c r="BE25" s="4246"/>
      <c r="BF25" s="4246"/>
      <c r="BG25" s="4246"/>
      <c r="BH25" s="4247"/>
      <c r="BI25" s="4267"/>
      <c r="BJ25" s="4267"/>
      <c r="BK25" s="4211"/>
      <c r="BL25" s="4211"/>
      <c r="BM25" s="4211"/>
      <c r="BN25" s="4211"/>
      <c r="BO25" s="4211"/>
      <c r="BP25" s="4211"/>
      <c r="BQ25" s="4211"/>
      <c r="BR25" s="4211"/>
      <c r="BS25" s="4211"/>
      <c r="BT25" s="4211"/>
      <c r="BU25" s="4211"/>
      <c r="BV25" s="4211"/>
      <c r="BW25" s="4211"/>
      <c r="BX25" s="4211"/>
      <c r="BY25" s="4211"/>
      <c r="BZ25" s="4155"/>
      <c r="CA25" s="4211"/>
      <c r="CB25" s="4211"/>
      <c r="CC25" s="4211"/>
      <c r="CD25" s="4211"/>
      <c r="CE25" s="4211"/>
      <c r="CF25" s="4211"/>
      <c r="CG25" s="4211"/>
      <c r="CH25" s="4211"/>
      <c r="CI25" s="4211"/>
      <c r="CJ25" s="4211"/>
      <c r="CK25" s="4211"/>
      <c r="CL25" s="4211"/>
      <c r="CM25" s="4213"/>
      <c r="CN25" s="4213"/>
      <c r="CO25" s="4213"/>
      <c r="CP25" s="4213"/>
      <c r="CQ25" s="4213"/>
      <c r="CR25" s="4213"/>
      <c r="CS25" s="4213"/>
      <c r="CT25" s="4213"/>
      <c r="CU25" s="4213"/>
      <c r="CV25" s="4213"/>
      <c r="CW25" s="4213"/>
      <c r="CX25" s="4213"/>
      <c r="CY25" s="4213"/>
      <c r="CZ25" s="4213"/>
      <c r="DA25" s="4213"/>
      <c r="DB25" s="4213"/>
      <c r="DC25" s="4213"/>
      <c r="DD25" s="4213"/>
      <c r="DE25" s="4213"/>
      <c r="DF25" s="4213"/>
      <c r="DG25" s="4213"/>
      <c r="DH25" s="4213"/>
      <c r="DI25" s="4213"/>
      <c r="DJ25" s="4213"/>
      <c r="DK25" s="4213"/>
      <c r="DL25" s="4213"/>
      <c r="DM25" s="4213"/>
      <c r="DN25" s="4213"/>
      <c r="DO25" s="4213"/>
      <c r="DP25" s="4213"/>
      <c r="DQ25" s="4213"/>
      <c r="DR25" s="4213"/>
      <c r="DS25" s="4213"/>
    </row>
    <row r="26" ht="16.5" customHeight="1" spans="1:123">
      <c r="A26" s="4262" t="s">
        <v>4670</v>
      </c>
      <c r="B26" s="4262"/>
      <c r="C26" s="4262"/>
      <c r="D26" s="4262"/>
      <c r="E26" s="4262"/>
      <c r="F26" s="4269" t="str">
        <f>IF(Baza!C468+Baza!C469+Baza!C470=0,"",ObavRazv!$X$30)</f>
        <v>Mikro</v>
      </c>
      <c r="G26" s="4270"/>
      <c r="H26" s="4270"/>
      <c r="I26" s="4270"/>
      <c r="J26" s="4270"/>
      <c r="K26" s="4270"/>
      <c r="L26" s="4270"/>
      <c r="M26" s="4270"/>
      <c r="N26" s="4270"/>
      <c r="O26" s="4270"/>
      <c r="P26" s="4270"/>
      <c r="Q26" s="4270"/>
      <c r="R26" s="4271"/>
      <c r="S26" s="4266"/>
      <c r="T26" s="4267"/>
      <c r="U26" s="4267"/>
      <c r="V26" s="4267"/>
      <c r="W26" s="4267"/>
      <c r="X26" s="4267"/>
      <c r="Y26" s="4267"/>
      <c r="Z26" s="4267"/>
      <c r="AA26" s="4267"/>
      <c r="AB26" s="4267"/>
      <c r="AC26" s="4267"/>
      <c r="AD26" s="4267"/>
      <c r="AE26" s="4267"/>
      <c r="AF26" s="4267"/>
      <c r="AG26" s="4267"/>
      <c r="AH26" s="4267"/>
      <c r="AI26" s="4267"/>
      <c r="AJ26" s="4267"/>
      <c r="AK26" s="4267"/>
      <c r="AL26" s="4267"/>
      <c r="AM26" s="4267"/>
      <c r="AN26" s="4267"/>
      <c r="AO26" s="4267"/>
      <c r="AP26" s="4267"/>
      <c r="AQ26" s="4272">
        <f>SUM(AQ17:AS25)</f>
        <v>1</v>
      </c>
      <c r="AR26" s="4273"/>
      <c r="AS26" s="4273"/>
      <c r="AT26" s="4274" t="s">
        <v>4671</v>
      </c>
      <c r="AU26" s="4275"/>
      <c r="AV26" s="4275"/>
      <c r="AW26" s="4275"/>
      <c r="AX26" s="4275"/>
      <c r="AY26" s="4276"/>
      <c r="AZ26" s="4276"/>
      <c r="BA26" s="4276"/>
      <c r="BB26" s="4277"/>
      <c r="BC26" s="4277"/>
      <c r="BD26" s="4277"/>
      <c r="BE26" s="4277"/>
      <c r="BF26" s="4277"/>
      <c r="BG26" s="4277"/>
      <c r="BH26" s="4278"/>
      <c r="BI26" s="4267"/>
      <c r="BJ26" s="4249">
        <f>IF(AQ26&gt;0,0,"PAŽNJA! Upišite % vlasništva Subjekta javnog interesa")</f>
        <v>0</v>
      </c>
      <c r="BK26" s="4267"/>
      <c r="BL26" s="4267"/>
      <c r="BM26" s="4211"/>
      <c r="BN26" s="4211"/>
      <c r="BO26" s="4211"/>
      <c r="BP26" s="4211"/>
      <c r="BQ26" s="4211"/>
      <c r="BR26" s="4211"/>
      <c r="BS26" s="4211"/>
      <c r="BT26" s="4211"/>
      <c r="BU26" s="4211"/>
      <c r="BV26" s="4211"/>
      <c r="BW26" s="4211"/>
      <c r="BX26" s="4211"/>
      <c r="BY26" s="4211"/>
      <c r="BZ26" s="4155"/>
      <c r="CA26" s="4211"/>
      <c r="CB26" s="4211"/>
      <c r="CC26" s="4211"/>
      <c r="CD26" s="4211"/>
      <c r="CE26" s="4211"/>
      <c r="CF26" s="4211"/>
      <c r="CG26" s="4211"/>
      <c r="CH26" s="4211"/>
      <c r="CI26" s="4211"/>
      <c r="CJ26" s="4211"/>
      <c r="CK26" s="4211"/>
      <c r="CL26" s="4211"/>
      <c r="CM26" s="4213"/>
      <c r="CN26" s="4213"/>
      <c r="CO26" s="4213"/>
      <c r="CP26" s="4213"/>
      <c r="CQ26" s="4213"/>
      <c r="CR26" s="4213"/>
      <c r="CS26" s="4213"/>
      <c r="CT26" s="4213"/>
      <c r="CU26" s="4213"/>
      <c r="CV26" s="4213"/>
      <c r="CW26" s="4213"/>
      <c r="CX26" s="4213"/>
      <c r="CY26" s="4213"/>
      <c r="CZ26" s="4213"/>
      <c r="DA26" s="4213"/>
      <c r="DB26" s="4213"/>
      <c r="DC26" s="4213"/>
      <c r="DD26" s="4213"/>
      <c r="DE26" s="4213"/>
      <c r="DF26" s="4213"/>
      <c r="DG26" s="4213"/>
      <c r="DH26" s="4213"/>
      <c r="DI26" s="4213"/>
      <c r="DJ26" s="4213"/>
      <c r="DK26" s="4213"/>
      <c r="DL26" s="4213"/>
      <c r="DM26" s="4213"/>
      <c r="DN26" s="4213"/>
      <c r="DO26" s="4213"/>
      <c r="DP26" s="4213"/>
      <c r="DQ26" s="4213"/>
      <c r="DR26" s="4213"/>
      <c r="DS26" s="4213"/>
    </row>
    <row r="27" s="75" customFormat="1" ht="15.75" spans="1:123">
      <c r="A27" s="3395"/>
      <c r="B27" s="3395"/>
      <c r="C27" s="3395"/>
      <c r="D27" s="3395"/>
      <c r="E27" s="3395"/>
      <c r="F27" s="4279" t="str">
        <f>Baza!E485</f>
        <v/>
      </c>
      <c r="G27" s="3395"/>
      <c r="H27" s="3395"/>
      <c r="I27" s="3395"/>
      <c r="J27" s="3395"/>
      <c r="K27" s="3395"/>
      <c r="L27" s="3395"/>
      <c r="M27" s="3395"/>
      <c r="N27" s="3395"/>
      <c r="O27" s="3395"/>
      <c r="P27" s="3395"/>
      <c r="Q27" s="3395"/>
      <c r="R27" s="3395"/>
      <c r="S27" s="3395"/>
      <c r="T27" s="3395"/>
      <c r="U27" s="3395"/>
      <c r="V27" s="3395"/>
      <c r="W27" s="3395"/>
      <c r="X27" s="3395"/>
      <c r="Y27" s="3395"/>
      <c r="Z27" s="3395"/>
      <c r="AA27" s="3395"/>
      <c r="AB27" s="3395"/>
      <c r="AC27" s="3395"/>
      <c r="AD27" s="3395"/>
      <c r="AE27" s="3395"/>
      <c r="AF27" s="3395"/>
      <c r="AG27" s="3395"/>
      <c r="AH27" s="3395"/>
      <c r="AI27" s="3395"/>
      <c r="AJ27" s="3395"/>
      <c r="AK27" s="3395"/>
      <c r="AL27" s="3395"/>
      <c r="AM27" s="3395"/>
      <c r="AN27" s="3395"/>
      <c r="AO27" s="3395"/>
      <c r="AP27" s="3395"/>
      <c r="AQ27" s="3395"/>
      <c r="AR27" s="3395"/>
      <c r="AS27" s="4280"/>
      <c r="AT27" s="4201"/>
      <c r="AU27" s="4201"/>
      <c r="AV27" s="4201"/>
      <c r="AW27" s="4201"/>
      <c r="AX27" s="4201"/>
      <c r="AY27" s="4201"/>
      <c r="AZ27" s="4201"/>
      <c r="BA27" s="4201"/>
      <c r="BB27" s="4201"/>
      <c r="BC27" s="4201"/>
      <c r="BD27" s="4201"/>
      <c r="BE27" s="4201"/>
      <c r="BF27" s="3395"/>
      <c r="BG27" s="3395"/>
      <c r="BH27" s="3395"/>
      <c r="BI27" s="3395"/>
      <c r="BJ27" s="3395"/>
      <c r="BK27" s="3395"/>
      <c r="BL27" s="3395"/>
      <c r="BM27" s="3395"/>
      <c r="BN27" s="3395"/>
      <c r="BO27" s="3395"/>
      <c r="BP27" s="3395"/>
      <c r="BQ27" s="3395"/>
      <c r="BR27" s="3395"/>
      <c r="BS27" s="3395"/>
      <c r="BT27" s="3395"/>
      <c r="BU27" s="3395"/>
      <c r="BV27" s="3395"/>
      <c r="BW27" s="3395"/>
      <c r="BX27" s="3395"/>
      <c r="BY27" s="3395"/>
      <c r="BZ27" s="3395"/>
      <c r="CA27" s="3395"/>
      <c r="CB27" s="3395"/>
      <c r="CC27" s="3395"/>
      <c r="CD27" s="3395"/>
      <c r="CE27" s="3395"/>
      <c r="CF27" s="3395"/>
      <c r="CG27" s="3395"/>
      <c r="CH27" s="3395"/>
      <c r="CI27" s="3395"/>
      <c r="CJ27" s="3395"/>
      <c r="CK27" s="3395"/>
      <c r="CL27" s="3395"/>
      <c r="CM27" s="3395"/>
      <c r="CN27" s="3395"/>
      <c r="CO27" s="3395"/>
      <c r="CP27" s="3395"/>
      <c r="CQ27" s="3395"/>
      <c r="CR27" s="3395"/>
      <c r="CS27" s="3395"/>
      <c r="CT27" s="3395"/>
      <c r="CU27" s="3395"/>
      <c r="CV27" s="3395"/>
      <c r="CW27" s="3395"/>
      <c r="CX27" s="3395"/>
      <c r="CY27" s="3395"/>
      <c r="CZ27" s="3395"/>
      <c r="DA27" s="3395"/>
      <c r="DB27" s="3395"/>
      <c r="DC27" s="3395"/>
      <c r="DD27" s="3395"/>
      <c r="DE27" s="3395"/>
      <c r="DF27" s="3395"/>
      <c r="DG27" s="3395"/>
      <c r="DH27" s="3395"/>
      <c r="DI27" s="3395"/>
      <c r="DJ27" s="3395"/>
      <c r="DK27" s="3395"/>
      <c r="DL27" s="3395"/>
      <c r="DM27" s="3395"/>
      <c r="DN27" s="3395"/>
      <c r="DO27" s="3395"/>
      <c r="DP27" s="3395"/>
      <c r="DQ27" s="3395"/>
      <c r="DR27" s="3395"/>
      <c r="DS27" s="3395"/>
    </row>
    <row r="28" s="75" customFormat="1" ht="16.5" hidden="1" customHeight="1" spans="1:123">
      <c r="A28" s="4281"/>
      <c r="B28" s="4282"/>
      <c r="C28" s="4282"/>
      <c r="D28" s="4282"/>
      <c r="E28" s="4187" t="s">
        <v>4672</v>
      </c>
      <c r="F28" s="4283">
        <f>DATE(J6,H6&amp;I6,F6&amp;G6)</f>
        <v>45658</v>
      </c>
      <c r="G28" s="4283"/>
      <c r="H28" s="4283"/>
      <c r="I28" s="4283"/>
      <c r="J28" s="4283"/>
      <c r="K28" s="4283"/>
      <c r="L28" s="4284" t="s">
        <v>12</v>
      </c>
      <c r="M28" s="4283">
        <f>DATE(Q6,O6&amp;P6,M6&amp;N6)</f>
        <v>46022</v>
      </c>
      <c r="N28" s="4283"/>
      <c r="O28" s="4283"/>
      <c r="P28" s="4283"/>
      <c r="Q28" s="4283"/>
      <c r="R28" s="4283"/>
      <c r="S28" s="4283"/>
      <c r="T28" s="3395"/>
      <c r="U28" s="3395"/>
      <c r="V28" s="3395"/>
      <c r="W28" s="3395"/>
      <c r="X28" s="3395"/>
      <c r="Y28" s="3395"/>
      <c r="Z28" s="3395"/>
      <c r="AA28" s="3395"/>
      <c r="AB28" s="3395"/>
      <c r="AC28" s="3395"/>
      <c r="AD28" s="3395"/>
      <c r="AE28" s="3395"/>
      <c r="AF28" s="3395"/>
      <c r="AG28" s="3395"/>
      <c r="AH28" s="3395"/>
      <c r="AI28" s="3395"/>
      <c r="AJ28" s="3395"/>
      <c r="AK28" s="3395"/>
      <c r="AL28" s="3395"/>
      <c r="AM28" s="3395"/>
      <c r="AN28" s="3395"/>
      <c r="AO28" s="3395"/>
      <c r="AP28" s="3395"/>
      <c r="AQ28" s="3395"/>
      <c r="AR28" s="3395"/>
      <c r="AS28" s="4280"/>
      <c r="AT28" s="4201"/>
      <c r="AU28" s="4201"/>
      <c r="AV28" s="4201"/>
      <c r="AW28" s="4201"/>
      <c r="AX28" s="4201"/>
      <c r="AY28" s="4201"/>
      <c r="AZ28" s="4201"/>
      <c r="BA28" s="4201"/>
      <c r="BB28" s="4201"/>
      <c r="BC28" s="4201"/>
      <c r="BD28" s="4201"/>
      <c r="BE28" s="4201"/>
      <c r="BF28" s="3395"/>
      <c r="BG28" s="3395"/>
      <c r="BH28" s="3395"/>
      <c r="BI28" s="3395"/>
      <c r="BJ28" s="3395"/>
      <c r="BK28" s="3395"/>
      <c r="BL28" s="3395"/>
      <c r="BM28" s="3395"/>
      <c r="BN28" s="3395"/>
      <c r="BO28" s="3395"/>
      <c r="BP28" s="3395"/>
      <c r="BQ28" s="3395"/>
      <c r="BR28" s="3395"/>
      <c r="BS28" s="3395"/>
      <c r="BT28" s="3395"/>
      <c r="BU28" s="3395"/>
      <c r="BV28" s="3395"/>
      <c r="BW28" s="3395"/>
      <c r="BX28" s="3395"/>
      <c r="BY28" s="3395"/>
      <c r="BZ28" s="3395"/>
      <c r="CA28" s="3395"/>
      <c r="CB28" s="3395"/>
      <c r="CC28" s="3395"/>
      <c r="CD28" s="3395"/>
      <c r="CE28" s="3395"/>
      <c r="CF28" s="3395"/>
      <c r="CG28" s="3395"/>
      <c r="CH28" s="3395"/>
      <c r="CI28" s="3395"/>
      <c r="CJ28" s="3395"/>
      <c r="CK28" s="3395"/>
      <c r="CL28" s="3395"/>
      <c r="CM28" s="3395"/>
      <c r="CN28" s="3395"/>
      <c r="CO28" s="3395"/>
      <c r="CP28" s="3395"/>
      <c r="CQ28" s="3395"/>
      <c r="CR28" s="3395"/>
      <c r="CS28" s="3395"/>
      <c r="CT28" s="3395"/>
      <c r="CU28" s="3395"/>
      <c r="CV28" s="3395"/>
      <c r="CW28" s="3395"/>
      <c r="CX28" s="3395"/>
      <c r="CY28" s="3395"/>
      <c r="CZ28" s="3395"/>
      <c r="DA28" s="3395"/>
      <c r="DB28" s="3395"/>
      <c r="DC28" s="3395"/>
      <c r="DD28" s="3395"/>
      <c r="DE28" s="3395"/>
      <c r="DF28" s="3395"/>
      <c r="DG28" s="3395"/>
      <c r="DH28" s="3395"/>
      <c r="DI28" s="3395"/>
      <c r="DJ28" s="3395"/>
      <c r="DK28" s="3395"/>
      <c r="DL28" s="3395"/>
      <c r="DM28" s="3395"/>
      <c r="DN28" s="3395"/>
      <c r="DO28" s="3395"/>
      <c r="DP28" s="3395"/>
      <c r="DQ28" s="3395"/>
      <c r="DR28" s="3395"/>
      <c r="DS28" s="3395"/>
    </row>
    <row r="29" s="75" customFormat="1" ht="16.5" hidden="1" customHeight="1" spans="1:123">
      <c r="A29" s="4281"/>
      <c r="B29" s="4282"/>
      <c r="C29" s="4282"/>
      <c r="D29" s="4282"/>
      <c r="E29" s="4187" t="s">
        <v>4673</v>
      </c>
      <c r="F29" s="4285"/>
      <c r="G29" s="4285"/>
      <c r="H29" s="4285"/>
      <c r="I29" s="4285"/>
      <c r="J29" s="4285"/>
      <c r="K29" s="4285"/>
      <c r="L29" s="3395"/>
      <c r="M29" s="3395"/>
      <c r="N29" s="3395"/>
      <c r="O29" s="3395"/>
      <c r="P29" s="3395"/>
      <c r="Q29" s="3395"/>
      <c r="R29" s="3395"/>
      <c r="S29" s="3395"/>
      <c r="T29" s="3395"/>
      <c r="U29" s="3395"/>
      <c r="V29" s="3395"/>
      <c r="W29" s="3395"/>
      <c r="X29" s="3395"/>
      <c r="Y29" s="3395"/>
      <c r="Z29" s="3395"/>
      <c r="AA29" s="3395"/>
      <c r="AB29" s="3395"/>
      <c r="AC29" s="3395"/>
      <c r="AD29" s="3395"/>
      <c r="AE29" s="3395"/>
      <c r="AF29" s="3395"/>
      <c r="AG29" s="3395"/>
      <c r="AH29" s="3395"/>
      <c r="AI29" s="3395"/>
      <c r="AJ29" s="3395"/>
      <c r="AK29" s="3395"/>
      <c r="AL29" s="3395"/>
      <c r="AM29" s="3395"/>
      <c r="AN29" s="3395"/>
      <c r="AO29" s="3395"/>
      <c r="AP29" s="3395"/>
      <c r="AQ29" s="3395"/>
      <c r="AR29" s="3395"/>
      <c r="AS29" s="4280"/>
      <c r="AT29" s="4201"/>
      <c r="AU29" s="4201"/>
      <c r="AV29" s="4201"/>
      <c r="AW29" s="4201"/>
      <c r="AX29" s="4201"/>
      <c r="AY29" s="4201"/>
      <c r="AZ29" s="4201"/>
      <c r="BA29" s="4201"/>
      <c r="BB29" s="4201"/>
      <c r="BC29" s="4201"/>
      <c r="BD29" s="4201"/>
      <c r="BE29" s="4201"/>
      <c r="BF29" s="3395"/>
      <c r="BG29" s="3395"/>
      <c r="BH29" s="3395"/>
      <c r="BI29" s="3395"/>
      <c r="BJ29" s="3395"/>
      <c r="BK29" s="3395"/>
      <c r="BL29" s="3395"/>
      <c r="BM29" s="3395"/>
      <c r="BN29" s="3395"/>
      <c r="BO29" s="3395"/>
      <c r="BP29" s="3395"/>
      <c r="BQ29" s="3395"/>
      <c r="BR29" s="3395"/>
      <c r="BS29" s="3395"/>
      <c r="BT29" s="3395"/>
      <c r="BU29" s="3395"/>
      <c r="BV29" s="3395"/>
      <c r="BW29" s="3395"/>
      <c r="BX29" s="3395"/>
      <c r="BY29" s="3395"/>
      <c r="BZ29" s="3395"/>
      <c r="CA29" s="3395"/>
      <c r="CB29" s="3395"/>
      <c r="CC29" s="3395"/>
      <c r="CD29" s="3395"/>
      <c r="CE29" s="3395"/>
      <c r="CF29" s="3395"/>
      <c r="CG29" s="3395"/>
      <c r="CH29" s="3395"/>
      <c r="CI29" s="3395"/>
      <c r="CJ29" s="3395"/>
      <c r="CK29" s="3395"/>
      <c r="CL29" s="3395"/>
      <c r="CM29" s="3395"/>
      <c r="CN29" s="3395"/>
      <c r="CO29" s="3395"/>
      <c r="CP29" s="3395"/>
      <c r="CQ29" s="3395"/>
      <c r="CR29" s="3395"/>
      <c r="CS29" s="3395"/>
      <c r="CT29" s="3395"/>
      <c r="CU29" s="3395"/>
      <c r="CV29" s="3395"/>
      <c r="CW29" s="3395"/>
      <c r="CX29" s="3395"/>
      <c r="CY29" s="3395"/>
      <c r="CZ29" s="3395"/>
      <c r="DA29" s="3395"/>
      <c r="DB29" s="3395"/>
      <c r="DC29" s="3395"/>
      <c r="DD29" s="3395"/>
      <c r="DE29" s="3395"/>
      <c r="DF29" s="3395"/>
      <c r="DG29" s="3395"/>
      <c r="DH29" s="3395"/>
      <c r="DI29" s="3395"/>
      <c r="DJ29" s="3395"/>
      <c r="DK29" s="3395"/>
      <c r="DL29" s="3395"/>
      <c r="DM29" s="3395"/>
      <c r="DN29" s="3395"/>
      <c r="DO29" s="3395"/>
      <c r="DP29" s="3395"/>
      <c r="DQ29" s="3395"/>
      <c r="DR29" s="3395"/>
      <c r="DS29" s="3395"/>
    </row>
    <row r="30" hidden="1" spans="1:123">
      <c r="A30" s="3395"/>
      <c r="B30" s="3395"/>
      <c r="C30" s="3395"/>
      <c r="D30" s="3395"/>
      <c r="E30" s="3395"/>
      <c r="F30" s="3395"/>
      <c r="G30" s="3395"/>
      <c r="H30" s="3395"/>
      <c r="I30" s="3395"/>
      <c r="J30" s="3395"/>
      <c r="K30" s="3395"/>
      <c r="L30" s="3395"/>
      <c r="M30" s="3395"/>
      <c r="N30" s="3395"/>
      <c r="O30" s="3395"/>
      <c r="P30" s="3395"/>
      <c r="Q30" s="3395"/>
      <c r="R30" s="3395"/>
      <c r="S30" s="3395"/>
      <c r="T30" s="3395"/>
      <c r="U30" s="3395"/>
      <c r="V30" s="3395"/>
      <c r="W30" s="3395"/>
      <c r="X30" s="3395"/>
      <c r="Y30" s="3395"/>
      <c r="Z30" s="3395"/>
      <c r="AA30" s="3395"/>
      <c r="AB30" s="3395"/>
      <c r="AC30" s="3395"/>
      <c r="AD30" s="3395"/>
      <c r="AE30" s="3395"/>
      <c r="AF30" s="3395"/>
      <c r="AG30" s="3395"/>
      <c r="AH30" s="3395"/>
      <c r="AI30" s="3395"/>
      <c r="AJ30" s="3395"/>
      <c r="AK30" s="3395"/>
      <c r="AL30" s="3395"/>
      <c r="AM30" s="3395"/>
      <c r="AN30" s="3395"/>
      <c r="AO30" s="3395"/>
      <c r="AP30" s="3395"/>
      <c r="AQ30" s="3395"/>
      <c r="AR30" s="3395"/>
      <c r="AS30" s="4280"/>
      <c r="AT30" s="4201"/>
      <c r="AU30" s="4201"/>
      <c r="AV30" s="4201"/>
      <c r="AW30" s="4201"/>
      <c r="AX30" s="4201"/>
      <c r="AY30" s="4201"/>
      <c r="AZ30" s="4201"/>
      <c r="BA30" s="4201"/>
      <c r="BB30" s="4201"/>
      <c r="BC30" s="4201"/>
      <c r="BD30" s="4201"/>
      <c r="BE30" s="4201"/>
      <c r="BF30" s="3395"/>
      <c r="BG30" s="3395"/>
      <c r="BH30" s="3395"/>
      <c r="BI30" s="3395"/>
      <c r="BJ30" s="3395"/>
      <c r="BK30" s="3395"/>
      <c r="BL30" s="3395"/>
      <c r="BM30" s="3395"/>
      <c r="BN30" s="3395"/>
      <c r="BO30" s="3395"/>
      <c r="BP30" s="3395"/>
      <c r="BQ30" s="3395"/>
      <c r="BR30" s="3395"/>
      <c r="BS30" s="3395"/>
      <c r="BT30" s="3395"/>
      <c r="BU30" s="3395"/>
      <c r="BV30" s="3395"/>
      <c r="BW30" s="3395"/>
      <c r="BX30" s="3395"/>
      <c r="BY30" s="3395"/>
      <c r="BZ30" s="3395"/>
      <c r="CA30" s="3395"/>
      <c r="CB30" s="3395"/>
      <c r="CC30" s="3395"/>
      <c r="CD30" s="3395"/>
      <c r="CE30" s="3395"/>
      <c r="CF30" s="3395"/>
      <c r="CG30" s="3395"/>
      <c r="CH30" s="3395"/>
      <c r="CI30" s="3395"/>
      <c r="CJ30" s="3395"/>
      <c r="CK30" s="3395"/>
      <c r="CL30" s="3395"/>
      <c r="CM30" s="3395"/>
      <c r="CN30" s="3395"/>
      <c r="CO30" s="3395"/>
      <c r="CP30" s="3395"/>
      <c r="CQ30" s="3395"/>
      <c r="CR30" s="3395"/>
      <c r="CS30" s="3395"/>
      <c r="CT30" s="3395"/>
      <c r="CU30" s="3395"/>
      <c r="CV30" s="3395"/>
      <c r="CW30" s="3395"/>
      <c r="CX30" s="3395"/>
      <c r="CY30" s="3395"/>
      <c r="CZ30" s="3395"/>
      <c r="DA30" s="3395"/>
      <c r="DB30" s="3395"/>
      <c r="DC30" s="3395"/>
      <c r="DD30" s="3395"/>
      <c r="DE30" s="3395"/>
      <c r="DF30" s="3395"/>
      <c r="DG30" s="3395"/>
      <c r="DH30" s="3395"/>
      <c r="DI30" s="3395"/>
      <c r="DJ30" s="3395"/>
      <c r="DK30" s="3395"/>
      <c r="DL30" s="3395"/>
      <c r="DM30" s="3395"/>
      <c r="DN30" s="3395"/>
      <c r="DO30" s="3395"/>
      <c r="DP30" s="3395"/>
      <c r="DQ30" s="3395"/>
      <c r="DR30" s="3395"/>
      <c r="DS30" s="3395"/>
    </row>
    <row r="31" ht="15.75" hidden="1" spans="1:123">
      <c r="A31" s="4281"/>
      <c r="B31" s="4282"/>
      <c r="C31" s="4282"/>
      <c r="D31" s="4282"/>
      <c r="E31" s="4187" t="s">
        <v>4674</v>
      </c>
      <c r="F31" s="4286">
        <f>B_Uspjeha!AI153</f>
        <v>0</v>
      </c>
      <c r="G31" s="4286"/>
      <c r="H31" s="4286"/>
      <c r="I31" s="4286"/>
      <c r="J31" s="4286"/>
      <c r="K31" s="4286"/>
      <c r="L31" s="3395"/>
      <c r="M31" s="3395"/>
      <c r="N31" s="3395"/>
      <c r="O31" s="3395"/>
      <c r="P31" s="3395"/>
      <c r="Q31" s="3395"/>
      <c r="R31" s="3395"/>
      <c r="S31" s="3395"/>
      <c r="T31" s="3395"/>
      <c r="U31" s="3395"/>
      <c r="V31" s="3395"/>
      <c r="W31" s="3395"/>
      <c r="X31" s="3395"/>
      <c r="Y31" s="3395"/>
      <c r="Z31" s="3395"/>
      <c r="AA31" s="3395"/>
      <c r="AB31" s="3395"/>
      <c r="AC31" s="3395"/>
      <c r="AD31" s="3395"/>
      <c r="AE31" s="3395"/>
      <c r="AF31" s="3395"/>
      <c r="AG31" s="3395"/>
      <c r="AH31" s="3395"/>
      <c r="AI31" s="3395"/>
      <c r="AJ31" s="3395"/>
      <c r="AK31" s="3395"/>
      <c r="AL31" s="3395"/>
      <c r="AM31" s="3395"/>
      <c r="AN31" s="3395"/>
      <c r="AO31" s="3395"/>
      <c r="AP31" s="3395"/>
      <c r="AQ31" s="3395"/>
      <c r="AR31" s="3395"/>
      <c r="AS31" s="4280"/>
      <c r="AT31" s="4201"/>
      <c r="AU31" s="4201"/>
      <c r="AV31" s="4201"/>
      <c r="AW31" s="4201"/>
      <c r="AX31" s="4201"/>
      <c r="AY31" s="4201"/>
      <c r="AZ31" s="4201"/>
      <c r="BA31" s="4201"/>
      <c r="BB31" s="4201"/>
      <c r="BC31" s="4201"/>
      <c r="BD31" s="4201"/>
      <c r="BE31" s="4201"/>
      <c r="BF31" s="3395"/>
      <c r="BG31" s="3395"/>
      <c r="BH31" s="3395"/>
      <c r="BI31" s="3395"/>
      <c r="BJ31" s="3395"/>
      <c r="BK31" s="3395"/>
      <c r="BL31" s="3395"/>
      <c r="BM31" s="3395"/>
      <c r="BN31" s="3395"/>
      <c r="BO31" s="3395"/>
      <c r="BP31" s="3395"/>
      <c r="BQ31" s="3395"/>
      <c r="BR31" s="3395"/>
      <c r="BS31" s="3395"/>
      <c r="BT31" s="3395"/>
      <c r="BU31" s="3395"/>
      <c r="BV31" s="3395"/>
      <c r="BW31" s="3395"/>
      <c r="BX31" s="3395"/>
      <c r="BY31" s="3395"/>
      <c r="BZ31" s="3395"/>
      <c r="CA31" s="3395"/>
      <c r="CB31" s="3395"/>
      <c r="CC31" s="3395"/>
      <c r="CD31" s="3395"/>
      <c r="CE31" s="3395"/>
      <c r="CF31" s="3395"/>
      <c r="CG31" s="3395"/>
      <c r="CH31" s="3395"/>
      <c r="CI31" s="3395"/>
      <c r="CJ31" s="3395"/>
      <c r="CK31" s="3395"/>
      <c r="CL31" s="3395"/>
      <c r="CM31" s="3395"/>
      <c r="CN31" s="3395"/>
      <c r="CO31" s="3395"/>
      <c r="CP31" s="3395"/>
      <c r="CQ31" s="3395"/>
      <c r="CR31" s="3395"/>
      <c r="CS31" s="3395"/>
      <c r="CT31" s="3395"/>
      <c r="CU31" s="3395"/>
      <c r="CV31" s="3395"/>
      <c r="CW31" s="3395"/>
      <c r="CX31" s="3395"/>
      <c r="CY31" s="3395"/>
      <c r="CZ31" s="3395"/>
      <c r="DA31" s="3395"/>
      <c r="DB31" s="3395"/>
      <c r="DC31" s="3395"/>
      <c r="DD31" s="3395"/>
      <c r="DE31" s="3395"/>
      <c r="DF31" s="3395"/>
      <c r="DG31" s="3395"/>
      <c r="DH31" s="3395"/>
      <c r="DI31" s="3395"/>
      <c r="DJ31" s="3395"/>
      <c r="DK31" s="3395"/>
      <c r="DL31" s="3395"/>
      <c r="DM31" s="3395"/>
      <c r="DN31" s="3395"/>
      <c r="DO31" s="3395"/>
      <c r="DP31" s="3395"/>
      <c r="DQ31" s="3395"/>
      <c r="DR31" s="3395"/>
      <c r="DS31" s="3395"/>
    </row>
    <row r="32" ht="15.75" hidden="1" spans="1:123">
      <c r="A32" s="4281"/>
      <c r="B32" s="4282"/>
      <c r="C32" s="4282"/>
      <c r="D32" s="4282"/>
      <c r="E32" s="4187" t="s">
        <v>4675</v>
      </c>
      <c r="F32" s="4286">
        <f>B_Uspjeha!AI154</f>
        <v>59197</v>
      </c>
      <c r="G32" s="4286"/>
      <c r="H32" s="4286"/>
      <c r="I32" s="4286"/>
      <c r="J32" s="4286"/>
      <c r="K32" s="4286"/>
      <c r="L32" s="3395"/>
      <c r="M32" s="3395"/>
      <c r="N32" s="3395"/>
      <c r="O32" s="3395"/>
      <c r="P32" s="3395"/>
      <c r="Q32" s="3395"/>
      <c r="R32" s="3395"/>
      <c r="S32" s="3395"/>
      <c r="T32" s="3395"/>
      <c r="U32" s="3395"/>
      <c r="V32" s="3395"/>
      <c r="W32" s="3395"/>
      <c r="X32" s="3395"/>
      <c r="Y32" s="3395"/>
      <c r="Z32" s="3395"/>
      <c r="AA32" s="3395"/>
      <c r="AB32" s="3395"/>
      <c r="AC32" s="3395"/>
      <c r="AD32" s="3395"/>
      <c r="AE32" s="3395"/>
      <c r="AF32" s="3395"/>
      <c r="AG32" s="3395"/>
      <c r="AH32" s="3395"/>
      <c r="AI32" s="3395"/>
      <c r="AJ32" s="3395"/>
      <c r="AK32" s="3395"/>
      <c r="AL32" s="3395"/>
      <c r="AM32" s="3395"/>
      <c r="AN32" s="3395"/>
      <c r="AO32" s="3395"/>
      <c r="AP32" s="3395"/>
      <c r="AQ32" s="3395"/>
      <c r="AR32" s="3395"/>
      <c r="AS32" s="4280"/>
      <c r="AT32" s="4201"/>
      <c r="AU32" s="4201"/>
      <c r="AV32" s="4201"/>
      <c r="AW32" s="4201"/>
      <c r="AX32" s="4201"/>
      <c r="AY32" s="4201"/>
      <c r="AZ32" s="4201"/>
      <c r="BA32" s="4201"/>
      <c r="BB32" s="4201"/>
      <c r="BC32" s="4201"/>
      <c r="BD32" s="4201"/>
      <c r="BE32" s="4201"/>
      <c r="BF32" s="3395"/>
      <c r="BG32" s="3395"/>
      <c r="BH32" s="3395"/>
      <c r="BI32" s="3395"/>
      <c r="BJ32" s="3395"/>
      <c r="BK32" s="3395"/>
      <c r="BL32" s="3395"/>
      <c r="BM32" s="3395"/>
      <c r="BN32" s="3395"/>
      <c r="BO32" s="3395"/>
      <c r="BP32" s="3395"/>
      <c r="BQ32" s="3395"/>
      <c r="BR32" s="3395"/>
      <c r="BS32" s="3395"/>
      <c r="BT32" s="3395"/>
      <c r="BU32" s="3395"/>
      <c r="BV32" s="3395"/>
      <c r="BW32" s="3395"/>
      <c r="BX32" s="3395"/>
      <c r="BY32" s="3395"/>
      <c r="BZ32" s="3395"/>
      <c r="CA32" s="3395"/>
      <c r="CB32" s="3395"/>
      <c r="CC32" s="3395"/>
      <c r="CD32" s="3395"/>
      <c r="CE32" s="3395"/>
      <c r="CF32" s="3395"/>
      <c r="CG32" s="3395"/>
      <c r="CH32" s="3395"/>
      <c r="CI32" s="3395"/>
      <c r="CJ32" s="3395"/>
      <c r="CK32" s="3395"/>
      <c r="CL32" s="3395"/>
      <c r="CM32" s="3395"/>
      <c r="CN32" s="3395"/>
      <c r="CO32" s="3395"/>
      <c r="CP32" s="3395"/>
      <c r="CQ32" s="3395"/>
      <c r="CR32" s="3395"/>
      <c r="CS32" s="3395"/>
      <c r="CT32" s="3395"/>
      <c r="CU32" s="3395"/>
      <c r="CV32" s="3395"/>
      <c r="CW32" s="3395"/>
      <c r="CX32" s="3395"/>
      <c r="CY32" s="3395"/>
      <c r="CZ32" s="3395"/>
      <c r="DA32" s="3395"/>
      <c r="DB32" s="3395"/>
      <c r="DC32" s="3395"/>
      <c r="DD32" s="3395"/>
      <c r="DE32" s="3395"/>
      <c r="DF32" s="3395"/>
      <c r="DG32" s="3395"/>
      <c r="DH32" s="3395"/>
      <c r="DI32" s="3395"/>
      <c r="DJ32" s="3395"/>
      <c r="DK32" s="3395"/>
      <c r="DL32" s="3395"/>
      <c r="DM32" s="3395"/>
      <c r="DN32" s="3395"/>
      <c r="DO32" s="3395"/>
      <c r="DP32" s="3395"/>
      <c r="DQ32" s="3395"/>
      <c r="DR32" s="3395"/>
      <c r="DS32" s="3395"/>
    </row>
    <row r="33" hidden="1" spans="1:123">
      <c r="A33" s="3395"/>
      <c r="B33" s="3395"/>
      <c r="C33" s="3395"/>
      <c r="D33" s="3395"/>
      <c r="E33" s="3395"/>
      <c r="F33" s="3395"/>
      <c r="G33" s="3395"/>
      <c r="H33" s="3395"/>
      <c r="I33" s="3395"/>
      <c r="J33" s="3395"/>
      <c r="K33" s="3395"/>
      <c r="L33" s="3395"/>
      <c r="M33" s="3395"/>
      <c r="N33" s="3395"/>
      <c r="O33" s="3395"/>
      <c r="P33" s="3395"/>
      <c r="Q33" s="3395"/>
      <c r="R33" s="3395"/>
      <c r="S33" s="3395"/>
      <c r="T33" s="3395"/>
      <c r="U33" s="3395"/>
      <c r="V33" s="3395"/>
      <c r="W33" s="3395"/>
      <c r="X33" s="3395"/>
      <c r="Y33" s="3395"/>
      <c r="Z33" s="3395"/>
      <c r="AA33" s="3395"/>
      <c r="AB33" s="3395"/>
      <c r="AC33" s="3395"/>
      <c r="AD33" s="3395"/>
      <c r="AE33" s="3395"/>
      <c r="AF33" s="3395"/>
      <c r="AG33" s="3395"/>
      <c r="AH33" s="3395"/>
      <c r="AI33" s="3395"/>
      <c r="AJ33" s="3395"/>
      <c r="AK33" s="3395"/>
      <c r="AL33" s="3395"/>
      <c r="AM33" s="3395"/>
      <c r="AN33" s="3395"/>
      <c r="AO33" s="3395"/>
      <c r="AP33" s="3395"/>
      <c r="AQ33" s="3395"/>
      <c r="AR33" s="3395"/>
      <c r="AS33" s="4280"/>
      <c r="AT33" s="4201"/>
      <c r="AU33" s="4201"/>
      <c r="AV33" s="4201"/>
      <c r="AW33" s="4201"/>
      <c r="AX33" s="4201"/>
      <c r="AY33" s="4201"/>
      <c r="AZ33" s="4201"/>
      <c r="BA33" s="4201"/>
      <c r="BB33" s="4201"/>
      <c r="BC33" s="4201"/>
      <c r="BD33" s="4201"/>
      <c r="BE33" s="4201"/>
      <c r="BF33" s="3395"/>
      <c r="BG33" s="3395"/>
      <c r="BH33" s="3395"/>
      <c r="BI33" s="3395"/>
      <c r="BJ33" s="3395"/>
      <c r="BK33" s="3395"/>
      <c r="BL33" s="3395"/>
      <c r="BM33" s="3395"/>
      <c r="BN33" s="3395"/>
      <c r="BO33" s="3395"/>
      <c r="BP33" s="3395"/>
      <c r="BQ33" s="3395"/>
      <c r="BR33" s="3395"/>
      <c r="BS33" s="3395"/>
      <c r="BT33" s="3395"/>
      <c r="BU33" s="3395"/>
      <c r="BV33" s="3395"/>
      <c r="BW33" s="3395"/>
      <c r="BX33" s="3395"/>
      <c r="BY33" s="3395"/>
      <c r="BZ33" s="3395"/>
      <c r="CA33" s="3395"/>
      <c r="CB33" s="3395"/>
      <c r="CC33" s="3395"/>
      <c r="CD33" s="3395"/>
      <c r="CE33" s="3395"/>
      <c r="CF33" s="3395"/>
      <c r="CG33" s="3395"/>
      <c r="CH33" s="3395"/>
      <c r="CI33" s="3395"/>
      <c r="CJ33" s="3395"/>
      <c r="CK33" s="3395"/>
      <c r="CL33" s="3395"/>
      <c r="CM33" s="3395"/>
      <c r="CN33" s="3395"/>
      <c r="CO33" s="3395"/>
      <c r="CP33" s="3395"/>
      <c r="CQ33" s="3395"/>
      <c r="CR33" s="3395"/>
      <c r="CS33" s="3395"/>
      <c r="CT33" s="3395"/>
      <c r="CU33" s="3395"/>
      <c r="CV33" s="3395"/>
      <c r="CW33" s="3395"/>
      <c r="CX33" s="3395"/>
      <c r="CY33" s="3395"/>
      <c r="CZ33" s="3395"/>
      <c r="DA33" s="3395"/>
      <c r="DB33" s="3395"/>
      <c r="DC33" s="3395"/>
      <c r="DD33" s="3395"/>
      <c r="DE33" s="3395"/>
      <c r="DF33" s="3395"/>
      <c r="DG33" s="3395"/>
      <c r="DH33" s="3395"/>
      <c r="DI33" s="3395"/>
      <c r="DJ33" s="3395"/>
      <c r="DK33" s="3395"/>
      <c r="DL33" s="3395"/>
      <c r="DM33" s="3395"/>
      <c r="DN33" s="3395"/>
      <c r="DO33" s="3395"/>
      <c r="DP33" s="3395"/>
      <c r="DQ33" s="3395"/>
      <c r="DR33" s="3395"/>
      <c r="DS33" s="3395"/>
    </row>
    <row r="34" hidden="1" spans="1:123">
      <c r="A34" s="3395"/>
      <c r="B34" s="3395"/>
      <c r="C34" s="3395"/>
      <c r="D34" s="3395"/>
      <c r="E34" s="3395"/>
      <c r="F34" s="3395"/>
      <c r="G34" s="3395"/>
      <c r="H34" s="3395"/>
      <c r="I34" s="3395"/>
      <c r="J34" s="3395"/>
      <c r="K34" s="3395"/>
      <c r="L34" s="3395"/>
      <c r="M34" s="3395"/>
      <c r="N34" s="3395"/>
      <c r="O34" s="3395"/>
      <c r="P34" s="3395"/>
      <c r="Q34" s="3395"/>
      <c r="R34" s="3395"/>
      <c r="S34" s="3395"/>
      <c r="T34" s="3395"/>
      <c r="U34" s="3395"/>
      <c r="V34" s="3395"/>
      <c r="W34" s="3395"/>
      <c r="X34" s="3395"/>
      <c r="Y34" s="3395"/>
      <c r="Z34" s="3395"/>
      <c r="AA34" s="3395"/>
      <c r="AB34" s="3395"/>
      <c r="AC34" s="3395"/>
      <c r="AD34" s="3395"/>
      <c r="AE34" s="3395"/>
      <c r="AF34" s="3395"/>
      <c r="AG34" s="3395"/>
      <c r="AH34" s="3395"/>
      <c r="AI34" s="3395"/>
      <c r="AJ34" s="3395"/>
      <c r="AK34" s="3395"/>
      <c r="AL34" s="3395"/>
      <c r="AM34" s="3395"/>
      <c r="AN34" s="3395"/>
      <c r="AO34" s="3395"/>
      <c r="AP34" s="3395"/>
      <c r="AQ34" s="3395"/>
      <c r="AR34" s="3395"/>
      <c r="AS34" s="3395"/>
      <c r="AT34" s="3395"/>
      <c r="AU34" s="3395"/>
      <c r="AV34" s="3395"/>
      <c r="AW34" s="3395"/>
      <c r="AX34" s="3395"/>
      <c r="AY34" s="3395"/>
      <c r="AZ34" s="3395"/>
      <c r="BA34" s="3395"/>
      <c r="BB34" s="3395"/>
      <c r="BC34" s="3395"/>
      <c r="BD34" s="3395"/>
      <c r="BE34" s="3395"/>
      <c r="BF34" s="3395"/>
      <c r="BG34" s="3395"/>
      <c r="BH34" s="3395"/>
      <c r="BI34" s="3395"/>
      <c r="BJ34" s="3395"/>
      <c r="BK34" s="3395"/>
      <c r="BL34" s="3395"/>
      <c r="BM34" s="3395"/>
      <c r="BN34" s="3395"/>
      <c r="BO34" s="3395"/>
      <c r="BP34" s="3395"/>
      <c r="BQ34" s="3395"/>
      <c r="BR34" s="3395"/>
      <c r="BS34" s="3395"/>
      <c r="BT34" s="3395"/>
      <c r="BU34" s="3395"/>
      <c r="BV34" s="3395"/>
      <c r="BW34" s="3395"/>
      <c r="BX34" s="3395"/>
      <c r="BY34" s="3395"/>
      <c r="BZ34" s="3395"/>
      <c r="CA34" s="3395"/>
      <c r="CB34" s="3395"/>
      <c r="CC34" s="3395"/>
      <c r="CD34" s="3395"/>
      <c r="CE34" s="3395"/>
      <c r="CF34" s="3395"/>
      <c r="CG34" s="3395"/>
      <c r="CH34" s="3395"/>
      <c r="CI34" s="3395"/>
      <c r="CJ34" s="3395"/>
      <c r="CK34" s="3395"/>
      <c r="CL34" s="3395"/>
      <c r="CM34" s="3395"/>
      <c r="CN34" s="3395"/>
      <c r="CO34" s="3395"/>
      <c r="CP34" s="3395"/>
      <c r="CQ34" s="3395"/>
      <c r="CR34" s="3395"/>
      <c r="CS34" s="3395"/>
      <c r="CT34" s="3395"/>
      <c r="CU34" s="3395"/>
      <c r="CV34" s="3395"/>
      <c r="CW34" s="3395"/>
      <c r="CX34" s="3395"/>
      <c r="CY34" s="3395"/>
      <c r="CZ34" s="3395"/>
      <c r="DA34" s="3395"/>
      <c r="DB34" s="3395"/>
      <c r="DC34" s="3395"/>
      <c r="DD34" s="3395"/>
      <c r="DE34" s="3395"/>
      <c r="DF34" s="3395"/>
      <c r="DG34" s="3395"/>
      <c r="DH34" s="3395"/>
      <c r="DI34" s="3395"/>
      <c r="DJ34" s="3395"/>
      <c r="DK34" s="3395"/>
      <c r="DL34" s="3395"/>
      <c r="DM34" s="3395"/>
      <c r="DN34" s="3395"/>
      <c r="DO34" s="3395"/>
      <c r="DP34" s="3395"/>
      <c r="DQ34" s="3395"/>
      <c r="DR34" s="3395"/>
      <c r="DS34" s="3395"/>
    </row>
    <row r="35" hidden="1" spans="1:123">
      <c r="A35" s="3395"/>
      <c r="B35" s="3395"/>
      <c r="C35" s="3395"/>
      <c r="D35" s="3395"/>
      <c r="E35" s="3395"/>
      <c r="F35" s="3395"/>
      <c r="G35" s="3395"/>
      <c r="H35" s="3395"/>
      <c r="I35" s="3395"/>
      <c r="J35" s="3395"/>
      <c r="K35" s="3395"/>
      <c r="L35" s="3395"/>
      <c r="M35" s="3395"/>
      <c r="N35" s="3395"/>
      <c r="O35" s="3395"/>
      <c r="P35" s="3395"/>
      <c r="Q35" s="3395"/>
      <c r="R35" s="3395"/>
      <c r="S35" s="3395"/>
      <c r="T35" s="3395"/>
      <c r="U35" s="3395"/>
      <c r="V35" s="3395"/>
      <c r="W35" s="3395"/>
      <c r="X35" s="3395"/>
      <c r="Y35" s="3395"/>
      <c r="Z35" s="3395"/>
      <c r="AA35" s="3395"/>
      <c r="AB35" s="3395"/>
      <c r="AC35" s="3395"/>
      <c r="AD35" s="3395"/>
      <c r="AE35" s="3395"/>
      <c r="AF35" s="3395"/>
      <c r="AG35" s="3395"/>
      <c r="AH35" s="3395"/>
      <c r="AI35" s="3395"/>
      <c r="AJ35" s="3395"/>
      <c r="AK35" s="3395"/>
      <c r="AL35" s="3395"/>
      <c r="AM35" s="3395"/>
      <c r="AN35" s="3395"/>
      <c r="AO35" s="3395"/>
      <c r="AP35" s="3395"/>
      <c r="AQ35" s="3395"/>
      <c r="AR35" s="3395"/>
      <c r="AS35" s="4280"/>
      <c r="AT35" s="4201"/>
      <c r="AU35" s="4201"/>
      <c r="AV35" s="4201"/>
      <c r="AW35" s="4201"/>
      <c r="AX35" s="4201"/>
      <c r="AY35" s="4201"/>
      <c r="AZ35" s="4201"/>
      <c r="BA35" s="4201"/>
      <c r="BB35" s="4201"/>
      <c r="BC35" s="4201"/>
      <c r="BD35" s="4201"/>
      <c r="BE35" s="4201"/>
      <c r="BF35" s="3395"/>
      <c r="BG35" s="3395"/>
      <c r="BH35" s="3395"/>
      <c r="BI35" s="3395"/>
      <c r="BJ35" s="3395"/>
      <c r="BK35" s="3395"/>
      <c r="BL35" s="3395"/>
      <c r="BM35" s="3395"/>
      <c r="BN35" s="3395"/>
      <c r="BO35" s="3395"/>
      <c r="BP35" s="3395"/>
      <c r="BQ35" s="3395"/>
      <c r="BR35" s="3395"/>
      <c r="BS35" s="3395"/>
      <c r="BT35" s="3395"/>
      <c r="BU35" s="3395"/>
      <c r="BV35" s="3395"/>
      <c r="BW35" s="3395"/>
      <c r="BX35" s="3395"/>
      <c r="BY35" s="3395"/>
      <c r="BZ35" s="3395"/>
      <c r="CA35" s="3395"/>
      <c r="CB35" s="3395"/>
      <c r="CC35" s="3395"/>
      <c r="CD35" s="3395"/>
      <c r="CE35" s="3395"/>
      <c r="CF35" s="3395"/>
      <c r="CG35" s="3395"/>
      <c r="CH35" s="3395"/>
      <c r="CI35" s="3395"/>
      <c r="CJ35" s="3395"/>
      <c r="CK35" s="3395"/>
      <c r="CL35" s="3395"/>
      <c r="CM35" s="3395"/>
      <c r="CN35" s="3395"/>
      <c r="CO35" s="3395"/>
      <c r="CP35" s="3395"/>
      <c r="CQ35" s="3395"/>
      <c r="CR35" s="3395"/>
      <c r="CS35" s="3395"/>
      <c r="CT35" s="3395"/>
      <c r="CU35" s="3395"/>
      <c r="CV35" s="3395"/>
      <c r="CW35" s="3395"/>
      <c r="CX35" s="3395"/>
      <c r="CY35" s="3395"/>
      <c r="CZ35" s="3395"/>
      <c r="DA35" s="3395"/>
      <c r="DB35" s="3395"/>
      <c r="DC35" s="3395"/>
      <c r="DD35" s="3395"/>
      <c r="DE35" s="3395"/>
      <c r="DF35" s="3395"/>
      <c r="DG35" s="3395"/>
      <c r="DH35" s="3395"/>
      <c r="DI35" s="3395"/>
      <c r="DJ35" s="3395"/>
      <c r="DK35" s="3395"/>
      <c r="DL35" s="3395"/>
      <c r="DM35" s="3395"/>
      <c r="DN35" s="3395"/>
      <c r="DO35" s="3395"/>
      <c r="DP35" s="3395"/>
      <c r="DQ35" s="3395"/>
      <c r="DR35" s="3395"/>
      <c r="DS35" s="3395"/>
    </row>
    <row r="36" ht="16.5" hidden="1" customHeight="1" spans="1:123">
      <c r="A36" s="3395"/>
      <c r="B36" s="3395"/>
      <c r="C36" s="3395"/>
      <c r="D36" s="3395"/>
      <c r="E36" s="3395"/>
      <c r="F36" s="3395"/>
      <c r="G36" s="3395"/>
      <c r="H36" s="3395"/>
      <c r="I36" s="3395"/>
      <c r="J36" s="3395"/>
      <c r="K36" s="3395"/>
      <c r="L36" s="3395"/>
      <c r="M36" s="3395"/>
      <c r="N36" s="3395"/>
      <c r="O36" s="3395"/>
      <c r="P36" s="3395"/>
      <c r="Q36" s="3395"/>
      <c r="R36" s="3395"/>
      <c r="S36" s="3395"/>
      <c r="T36" s="3395"/>
      <c r="U36" s="3395"/>
      <c r="V36" s="3395"/>
      <c r="W36" s="3395"/>
      <c r="X36" s="3395"/>
      <c r="Y36" s="3395"/>
      <c r="Z36" s="3395"/>
      <c r="AA36" s="3395"/>
      <c r="AB36" s="3395"/>
      <c r="AC36" s="3395"/>
      <c r="AD36" s="3395"/>
      <c r="AE36" s="3395"/>
      <c r="AF36" s="3395"/>
      <c r="AG36" s="3395"/>
      <c r="AH36" s="3395"/>
      <c r="AI36" s="3395"/>
      <c r="AJ36" s="3395"/>
      <c r="AK36" s="3395"/>
      <c r="AL36" s="3395"/>
      <c r="AM36" s="3395"/>
      <c r="AN36" s="3395"/>
      <c r="AO36" s="3395"/>
      <c r="AP36" s="3395"/>
      <c r="AQ36" s="3395"/>
      <c r="AR36" s="3395"/>
      <c r="AS36" s="3395"/>
      <c r="AT36" s="3395"/>
      <c r="AU36" s="3395"/>
      <c r="AV36" s="3395"/>
      <c r="AW36" s="3395"/>
      <c r="AX36" s="3395"/>
      <c r="AY36" s="3395"/>
      <c r="AZ36" s="3395"/>
      <c r="BA36" s="3395"/>
      <c r="BB36" s="3395"/>
      <c r="BC36" s="3395"/>
      <c r="BD36" s="3395"/>
      <c r="BE36" s="3395"/>
      <c r="BF36" s="3395"/>
      <c r="BG36" s="3395"/>
      <c r="BH36" s="3395"/>
      <c r="BI36" s="3395"/>
      <c r="BJ36" s="3395"/>
      <c r="BK36" s="3395"/>
      <c r="BL36" s="3395"/>
      <c r="BM36" s="3395"/>
      <c r="BN36" s="3395"/>
      <c r="BO36" s="3395"/>
      <c r="BP36" s="3395"/>
      <c r="BQ36" s="3395"/>
      <c r="BR36" s="3395"/>
      <c r="BS36" s="3395"/>
      <c r="BT36" s="3395"/>
      <c r="BU36" s="3395"/>
      <c r="BV36" s="3395"/>
      <c r="BW36" s="3395"/>
      <c r="BX36" s="3395"/>
      <c r="BY36" s="3395"/>
      <c r="BZ36" s="3395"/>
      <c r="CA36" s="3395"/>
      <c r="CB36" s="3395"/>
      <c r="CC36" s="3395"/>
      <c r="CD36" s="3395"/>
      <c r="CE36" s="3395"/>
      <c r="CF36" s="3395"/>
      <c r="CG36" s="3395"/>
      <c r="CH36" s="3395"/>
      <c r="CI36" s="3395"/>
      <c r="CJ36" s="3395"/>
      <c r="CK36" s="3395"/>
      <c r="CL36" s="3395"/>
      <c r="CM36" s="3395"/>
      <c r="CN36" s="3395"/>
      <c r="CO36" s="3395"/>
      <c r="CP36" s="3395"/>
      <c r="CQ36" s="3395"/>
      <c r="CR36" s="3395"/>
      <c r="CS36" s="3395"/>
      <c r="CT36" s="3395"/>
      <c r="CU36" s="3395"/>
      <c r="CV36" s="3395"/>
      <c r="CW36" s="3395"/>
      <c r="CX36" s="3395"/>
      <c r="CY36" s="3395"/>
      <c r="CZ36" s="3395"/>
      <c r="DA36" s="3395"/>
      <c r="DB36" s="3395"/>
      <c r="DC36" s="3395"/>
      <c r="DD36" s="3395"/>
      <c r="DE36" s="3395"/>
      <c r="DF36" s="3395"/>
      <c r="DG36" s="3395"/>
      <c r="DH36" s="3395"/>
      <c r="DI36" s="3395"/>
      <c r="DJ36" s="3395"/>
      <c r="DK36" s="3395"/>
      <c r="DL36" s="3395"/>
      <c r="DM36" s="3395"/>
      <c r="DN36" s="3395"/>
      <c r="DO36" s="3395"/>
      <c r="DP36" s="3395"/>
      <c r="DQ36" s="3395"/>
      <c r="DR36" s="3395"/>
      <c r="DS36" s="3395"/>
    </row>
    <row r="37" ht="16.5" hidden="1" customHeight="1" spans="1:123">
      <c r="A37" s="3395"/>
      <c r="B37" s="3395"/>
      <c r="C37" s="3395"/>
      <c r="D37" s="3395"/>
      <c r="E37" s="3395"/>
      <c r="F37" s="3395"/>
      <c r="G37" s="3395"/>
      <c r="H37" s="3395"/>
      <c r="I37" s="3395"/>
      <c r="J37" s="3395"/>
      <c r="K37" s="3395"/>
      <c r="L37" s="3395"/>
      <c r="M37" s="3395"/>
      <c r="N37" s="3395"/>
      <c r="O37" s="3395"/>
      <c r="P37" s="3395"/>
      <c r="Q37" s="3395"/>
      <c r="R37" s="3395"/>
      <c r="S37" s="3395"/>
      <c r="T37" s="3395"/>
      <c r="U37" s="3395"/>
      <c r="V37" s="3395"/>
      <c r="W37" s="3395"/>
      <c r="X37" s="3395"/>
      <c r="Y37" s="3395"/>
      <c r="Z37" s="3395"/>
      <c r="AA37" s="3395"/>
      <c r="AB37" s="3395"/>
      <c r="AC37" s="3395"/>
      <c r="AD37" s="3395"/>
      <c r="AE37" s="3395"/>
      <c r="AF37" s="3395"/>
      <c r="AG37" s="3395"/>
      <c r="AH37" s="3395"/>
      <c r="AI37" s="3395"/>
      <c r="AJ37" s="3395"/>
      <c r="AK37" s="3395"/>
      <c r="AL37" s="3395"/>
      <c r="AM37" s="3395"/>
      <c r="AN37" s="3395"/>
      <c r="AO37" s="3395"/>
      <c r="AP37" s="3395"/>
      <c r="AQ37" s="3395"/>
      <c r="AR37" s="3395"/>
      <c r="AS37" s="4280"/>
      <c r="AT37" s="4201"/>
      <c r="AU37" s="4201"/>
      <c r="AV37" s="4201"/>
      <c r="AW37" s="4201"/>
      <c r="AX37" s="4201"/>
      <c r="AY37" s="4201"/>
      <c r="AZ37" s="4201"/>
      <c r="BA37" s="4201"/>
      <c r="BB37" s="4201"/>
      <c r="BC37" s="4201"/>
      <c r="BD37" s="4201"/>
      <c r="BE37" s="4201"/>
      <c r="BF37" s="3395"/>
      <c r="BG37" s="3395"/>
      <c r="BH37" s="3395"/>
      <c r="BI37" s="3395"/>
      <c r="BJ37" s="3395"/>
      <c r="BK37" s="3395"/>
      <c r="BL37" s="3395"/>
      <c r="BM37" s="3395"/>
      <c r="BN37" s="3395"/>
      <c r="BO37" s="3395"/>
      <c r="BP37" s="3395"/>
      <c r="BQ37" s="3395"/>
      <c r="BR37" s="3395"/>
      <c r="BS37" s="3395"/>
      <c r="BT37" s="3395"/>
      <c r="BU37" s="3395"/>
      <c r="BV37" s="3395"/>
      <c r="BW37" s="3395"/>
      <c r="BX37" s="3395"/>
      <c r="BY37" s="3395"/>
      <c r="BZ37" s="3395"/>
      <c r="CA37" s="3395"/>
      <c r="CB37" s="3395"/>
      <c r="CC37" s="3395"/>
      <c r="CD37" s="3395"/>
      <c r="CE37" s="3395"/>
      <c r="CF37" s="3395"/>
      <c r="CG37" s="3395"/>
      <c r="CH37" s="3395"/>
      <c r="CI37" s="3395"/>
      <c r="CJ37" s="3395"/>
      <c r="CK37" s="3395"/>
      <c r="CL37" s="3395"/>
      <c r="CM37" s="3395"/>
      <c r="CN37" s="3395"/>
      <c r="CO37" s="3395"/>
      <c r="CP37" s="3395"/>
      <c r="CQ37" s="3395"/>
      <c r="CR37" s="3395"/>
      <c r="CS37" s="3395"/>
      <c r="CT37" s="3395"/>
      <c r="CU37" s="3395"/>
      <c r="CV37" s="3395"/>
      <c r="CW37" s="3395"/>
      <c r="CX37" s="3395"/>
      <c r="CY37" s="3395"/>
      <c r="CZ37" s="3395"/>
      <c r="DA37" s="3395"/>
      <c r="DB37" s="3395"/>
      <c r="DC37" s="3395"/>
      <c r="DD37" s="3395"/>
      <c r="DE37" s="3395"/>
      <c r="DF37" s="3395"/>
      <c r="DG37" s="3395"/>
      <c r="DH37" s="3395"/>
      <c r="DI37" s="3395"/>
      <c r="DJ37" s="3395"/>
      <c r="DK37" s="3395"/>
      <c r="DL37" s="3395"/>
      <c r="DM37" s="3395"/>
      <c r="DN37" s="3395"/>
      <c r="DO37" s="3395"/>
      <c r="DP37" s="3395"/>
      <c r="DQ37" s="3395"/>
      <c r="DR37" s="3395"/>
      <c r="DS37" s="3395"/>
    </row>
    <row r="38" ht="15.75" hidden="1" customHeight="1" spans="1:123">
      <c r="A38" s="3395"/>
      <c r="B38" s="3395"/>
      <c r="C38" s="3395"/>
      <c r="D38" s="3395"/>
      <c r="E38" s="3395"/>
      <c r="F38" s="3395"/>
      <c r="G38" s="3395"/>
      <c r="H38" s="3395"/>
      <c r="I38" s="3395"/>
      <c r="J38" s="3395"/>
      <c r="K38" s="3395"/>
      <c r="L38" s="3395"/>
      <c r="M38" s="3395"/>
      <c r="N38" s="3395"/>
      <c r="O38" s="3395"/>
      <c r="P38" s="3395"/>
      <c r="Q38" s="3395"/>
      <c r="R38" s="3395"/>
      <c r="S38" s="3395"/>
      <c r="T38" s="3395"/>
      <c r="U38" s="3395"/>
      <c r="V38" s="3395"/>
      <c r="W38" s="3395"/>
      <c r="X38" s="3395"/>
      <c r="Y38" s="3395"/>
      <c r="Z38" s="3395"/>
      <c r="AA38" s="3395"/>
      <c r="AB38" s="3395"/>
      <c r="AC38" s="3395"/>
      <c r="AD38" s="3395"/>
      <c r="AE38" s="3395"/>
      <c r="AF38" s="3395"/>
      <c r="AG38" s="3395"/>
      <c r="AH38" s="3395"/>
      <c r="AI38" s="3395"/>
      <c r="AJ38" s="3395"/>
      <c r="AK38" s="3395"/>
      <c r="AL38" s="3395"/>
      <c r="AM38" s="3395"/>
      <c r="AN38" s="3395"/>
      <c r="AO38" s="3395"/>
      <c r="AP38" s="3395"/>
      <c r="AQ38" s="3395"/>
      <c r="AR38" s="3395"/>
      <c r="AS38" s="4280"/>
      <c r="AT38" s="4201"/>
      <c r="AU38" s="4201"/>
      <c r="AV38" s="4201"/>
      <c r="AW38" s="4201"/>
      <c r="AX38" s="4201"/>
      <c r="AY38" s="4201"/>
      <c r="AZ38" s="4201"/>
      <c r="BA38" s="4201"/>
      <c r="BB38" s="4201"/>
      <c r="BC38" s="4201"/>
      <c r="BD38" s="4201"/>
      <c r="BE38" s="4201"/>
      <c r="BF38" s="3395"/>
      <c r="BG38" s="3395"/>
      <c r="BH38" s="3395"/>
      <c r="BI38" s="3395"/>
      <c r="BJ38" s="3395"/>
      <c r="BK38" s="3395"/>
      <c r="BL38" s="3395"/>
      <c r="BM38" s="3395"/>
      <c r="BN38" s="3395"/>
      <c r="BO38" s="3395"/>
      <c r="BP38" s="3395"/>
      <c r="BQ38" s="3395"/>
      <c r="BR38" s="3395"/>
      <c r="BS38" s="3395"/>
      <c r="BT38" s="3395"/>
      <c r="BU38" s="3395"/>
      <c r="BV38" s="3395"/>
      <c r="BW38" s="3395"/>
      <c r="BX38" s="3395"/>
      <c r="BY38" s="3395"/>
      <c r="BZ38" s="3395"/>
      <c r="CA38" s="3395"/>
      <c r="CB38" s="3395"/>
      <c r="CC38" s="3395"/>
      <c r="CD38" s="3395"/>
      <c r="CE38" s="3395"/>
      <c r="CF38" s="3395"/>
      <c r="CG38" s="3395"/>
      <c r="CH38" s="3395"/>
      <c r="CI38" s="3395"/>
      <c r="CJ38" s="3395"/>
      <c r="CK38" s="3395"/>
      <c r="CL38" s="3395"/>
      <c r="CM38" s="3395"/>
      <c r="CN38" s="3395"/>
      <c r="CO38" s="3395"/>
      <c r="CP38" s="3395"/>
      <c r="CQ38" s="3395"/>
      <c r="CR38" s="3395"/>
      <c r="CS38" s="3395"/>
      <c r="CT38" s="3395"/>
      <c r="CU38" s="3395"/>
      <c r="CV38" s="3395"/>
      <c r="CW38" s="3395"/>
      <c r="CX38" s="3395"/>
      <c r="CY38" s="3395"/>
      <c r="CZ38" s="3395"/>
      <c r="DA38" s="3395"/>
      <c r="DB38" s="3395"/>
      <c r="DC38" s="3395"/>
      <c r="DD38" s="3395"/>
      <c r="DE38" s="3395"/>
      <c r="DF38" s="3395"/>
      <c r="DG38" s="3395"/>
      <c r="DH38" s="3395"/>
      <c r="DI38" s="3395"/>
      <c r="DJ38" s="3395"/>
      <c r="DK38" s="3395"/>
      <c r="DL38" s="3395"/>
      <c r="DM38" s="3395"/>
      <c r="DN38" s="3395"/>
      <c r="DO38" s="3395"/>
      <c r="DP38" s="3395"/>
      <c r="DQ38" s="3395"/>
      <c r="DR38" s="3395"/>
      <c r="DS38" s="3395"/>
    </row>
    <row r="39" ht="15.75" hidden="1" customHeight="1" spans="1:123">
      <c r="A39" s="3395"/>
      <c r="B39" s="3395"/>
      <c r="C39" s="3395"/>
      <c r="D39" s="3395"/>
      <c r="E39" s="3395"/>
      <c r="F39" s="3395"/>
      <c r="G39" s="3395"/>
      <c r="H39" s="3395"/>
      <c r="I39" s="3395"/>
      <c r="J39" s="3395"/>
      <c r="K39" s="3395"/>
      <c r="L39" s="3395"/>
      <c r="M39" s="3395"/>
      <c r="N39" s="3395"/>
      <c r="O39" s="3395"/>
      <c r="P39" s="3395"/>
      <c r="Q39" s="3395"/>
      <c r="R39" s="3395"/>
      <c r="S39" s="3395"/>
      <c r="T39" s="3395"/>
      <c r="U39" s="3395"/>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4280"/>
      <c r="AT39" s="4201"/>
      <c r="AU39" s="4201"/>
      <c r="AV39" s="4201"/>
      <c r="AW39" s="4201"/>
      <c r="AX39" s="4201"/>
      <c r="AY39" s="4201"/>
      <c r="AZ39" s="4201"/>
      <c r="BA39" s="4201"/>
      <c r="BB39" s="4201"/>
      <c r="BC39" s="4201"/>
      <c r="BD39" s="4201"/>
      <c r="BE39" s="4201"/>
      <c r="BF39" s="3395"/>
      <c r="BG39" s="3395"/>
      <c r="BH39" s="3395"/>
      <c r="BI39" s="3395"/>
      <c r="BJ39" s="3395"/>
      <c r="BK39" s="3395"/>
      <c r="BL39" s="3395"/>
      <c r="BM39" s="3395"/>
      <c r="BN39" s="3395"/>
      <c r="BO39" s="3395"/>
      <c r="BP39" s="3395"/>
      <c r="BQ39" s="3395"/>
      <c r="BR39" s="3395"/>
      <c r="BS39" s="3395"/>
      <c r="BT39" s="3395"/>
      <c r="BU39" s="3395"/>
      <c r="BV39" s="3395"/>
      <c r="BW39" s="3395"/>
      <c r="BX39" s="3395"/>
      <c r="BY39" s="3395"/>
      <c r="BZ39" s="3395"/>
      <c r="CA39" s="3395"/>
      <c r="CB39" s="3395"/>
      <c r="CC39" s="3395"/>
      <c r="CD39" s="3395"/>
      <c r="CE39" s="3395"/>
      <c r="CF39" s="3395"/>
      <c r="CG39" s="3395"/>
      <c r="CH39" s="3395"/>
      <c r="CI39" s="3395"/>
      <c r="CJ39" s="3395"/>
      <c r="CK39" s="3395"/>
      <c r="CL39" s="3395"/>
      <c r="CM39" s="3395"/>
      <c r="CN39" s="3395"/>
      <c r="CO39" s="3395"/>
      <c r="CP39" s="3395"/>
      <c r="CQ39" s="3395"/>
      <c r="CR39" s="3395"/>
      <c r="CS39" s="3395"/>
      <c r="CT39" s="3395"/>
      <c r="CU39" s="3395"/>
      <c r="CV39" s="3395"/>
      <c r="CW39" s="3395"/>
      <c r="CX39" s="3395"/>
      <c r="CY39" s="3395"/>
      <c r="CZ39" s="3395"/>
      <c r="DA39" s="3395"/>
      <c r="DB39" s="3395"/>
      <c r="DC39" s="3395"/>
      <c r="DD39" s="3395"/>
      <c r="DE39" s="3395"/>
      <c r="DF39" s="3395"/>
      <c r="DG39" s="3395"/>
      <c r="DH39" s="3395"/>
      <c r="DI39" s="3395"/>
      <c r="DJ39" s="3395"/>
      <c r="DK39" s="3395"/>
      <c r="DL39" s="3395"/>
      <c r="DM39" s="3395"/>
      <c r="DN39" s="3395"/>
      <c r="DO39" s="3395"/>
      <c r="DP39" s="3395"/>
      <c r="DQ39" s="3395"/>
      <c r="DR39" s="3395"/>
      <c r="DS39" s="3395"/>
    </row>
    <row r="40" hidden="1" spans="1:123">
      <c r="A40" s="3395"/>
      <c r="B40" s="3395"/>
      <c r="C40" s="3395"/>
      <c r="D40" s="3395"/>
      <c r="E40" s="3395"/>
      <c r="F40" s="3395"/>
      <c r="G40" s="3395"/>
      <c r="H40" s="3395"/>
      <c r="I40" s="3395"/>
      <c r="J40" s="3395"/>
      <c r="K40" s="3395"/>
      <c r="L40" s="3395"/>
      <c r="M40" s="3395"/>
      <c r="N40" s="3395"/>
      <c r="O40" s="3395"/>
      <c r="P40" s="3395"/>
      <c r="Q40" s="3395"/>
      <c r="R40" s="3395"/>
      <c r="S40" s="3395"/>
      <c r="T40" s="3395"/>
      <c r="U40" s="3395"/>
      <c r="V40" s="3395"/>
      <c r="W40" s="3395"/>
      <c r="X40" s="3395"/>
      <c r="Y40" s="3395"/>
      <c r="Z40" s="3395"/>
      <c r="AA40" s="3395"/>
      <c r="AB40" s="3395"/>
      <c r="AC40" s="3395"/>
      <c r="AD40" s="3395"/>
      <c r="AE40" s="3395"/>
      <c r="AF40" s="3395"/>
      <c r="AG40" s="3395"/>
      <c r="AH40" s="3395"/>
      <c r="AI40" s="3395"/>
      <c r="AJ40" s="3395"/>
      <c r="AK40" s="3395"/>
      <c r="AL40" s="3395"/>
      <c r="AM40" s="3395"/>
      <c r="AN40" s="3395"/>
      <c r="AO40" s="3395"/>
      <c r="AP40" s="3395"/>
      <c r="AQ40" s="3395"/>
      <c r="AR40" s="3395"/>
      <c r="AS40" s="4280"/>
      <c r="AT40" s="4201"/>
      <c r="AU40" s="4201"/>
      <c r="AV40" s="4201"/>
      <c r="AW40" s="4201"/>
      <c r="AX40" s="4201"/>
      <c r="AY40" s="4201"/>
      <c r="AZ40" s="4201"/>
      <c r="BA40" s="4201"/>
      <c r="BB40" s="4201"/>
      <c r="BC40" s="4201"/>
      <c r="BD40" s="4201"/>
      <c r="BE40" s="4201"/>
      <c r="BF40" s="3395"/>
      <c r="BG40" s="3395"/>
      <c r="BH40" s="3395"/>
      <c r="BI40" s="3395"/>
      <c r="BJ40" s="3395"/>
      <c r="BK40" s="3395"/>
      <c r="BL40" s="3395"/>
      <c r="BM40" s="3395"/>
      <c r="BN40" s="3395"/>
      <c r="BO40" s="3395"/>
      <c r="BP40" s="3395"/>
      <c r="BQ40" s="3395"/>
      <c r="BR40" s="3395"/>
      <c r="BS40" s="3395"/>
      <c r="BT40" s="3395"/>
      <c r="BU40" s="3395"/>
      <c r="BV40" s="3395"/>
      <c r="BW40" s="3395"/>
      <c r="BX40" s="3395"/>
      <c r="BY40" s="3395"/>
      <c r="BZ40" s="3395"/>
      <c r="CA40" s="3395"/>
      <c r="CB40" s="3395"/>
      <c r="CC40" s="3395"/>
      <c r="CD40" s="3395"/>
      <c r="CE40" s="3395"/>
      <c r="CF40" s="3395"/>
      <c r="CG40" s="3395"/>
      <c r="CH40" s="3395"/>
      <c r="CI40" s="3395"/>
      <c r="CJ40" s="3395"/>
      <c r="CK40" s="3395"/>
      <c r="CL40" s="3395"/>
      <c r="CM40" s="3395"/>
      <c r="CN40" s="3395"/>
      <c r="CO40" s="3395"/>
      <c r="CP40" s="3395"/>
      <c r="CQ40" s="3395"/>
      <c r="CR40" s="3395"/>
      <c r="CS40" s="3395"/>
      <c r="CT40" s="3395"/>
      <c r="CU40" s="3395"/>
      <c r="CV40" s="3395"/>
      <c r="CW40" s="3395"/>
      <c r="CX40" s="3395"/>
      <c r="CY40" s="3395"/>
      <c r="CZ40" s="3395"/>
      <c r="DA40" s="3395"/>
      <c r="DB40" s="3395"/>
      <c r="DC40" s="3395"/>
      <c r="DD40" s="3395"/>
      <c r="DE40" s="3395"/>
      <c r="DF40" s="3395"/>
      <c r="DG40" s="3395"/>
      <c r="DH40" s="3395"/>
      <c r="DI40" s="3395"/>
      <c r="DJ40" s="3395"/>
      <c r="DK40" s="3395"/>
      <c r="DL40" s="3395"/>
      <c r="DM40" s="3395"/>
      <c r="DN40" s="3395"/>
      <c r="DO40" s="3395"/>
      <c r="DP40" s="3395"/>
      <c r="DQ40" s="3395"/>
      <c r="DR40" s="3395"/>
      <c r="DS40" s="3395"/>
    </row>
    <row r="41" hidden="1" spans="1:123">
      <c r="A41" s="3395"/>
      <c r="B41" s="3395"/>
      <c r="C41" s="3395"/>
      <c r="D41" s="3395"/>
      <c r="E41" s="3395"/>
      <c r="F41" s="3395"/>
      <c r="G41" s="3395"/>
      <c r="H41" s="3395"/>
      <c r="I41" s="3395"/>
      <c r="J41" s="3395"/>
      <c r="K41" s="3395"/>
      <c r="L41" s="3395"/>
      <c r="M41" s="3395"/>
      <c r="N41" s="3395"/>
      <c r="O41" s="3395"/>
      <c r="P41" s="3395"/>
      <c r="Q41" s="3395"/>
      <c r="R41" s="3395"/>
      <c r="S41" s="3395"/>
      <c r="T41" s="3395"/>
      <c r="U41" s="3395"/>
      <c r="V41" s="3395"/>
      <c r="W41" s="3395"/>
      <c r="X41" s="3395"/>
      <c r="Y41" s="3395"/>
      <c r="Z41" s="3395"/>
      <c r="AA41" s="3395"/>
      <c r="AB41" s="3395"/>
      <c r="AC41" s="3395"/>
      <c r="AD41" s="3395"/>
      <c r="AE41" s="3395"/>
      <c r="AF41" s="3395"/>
      <c r="AG41" s="3395"/>
      <c r="AH41" s="3395"/>
      <c r="AI41" s="3395"/>
      <c r="AJ41" s="3395"/>
      <c r="AK41" s="3395"/>
      <c r="AL41" s="3395"/>
      <c r="AM41" s="3395"/>
      <c r="AN41" s="3395"/>
      <c r="AO41" s="3395"/>
      <c r="AP41" s="3395"/>
      <c r="AQ41" s="3395"/>
      <c r="AR41" s="3395"/>
      <c r="AS41" s="4280"/>
      <c r="AT41" s="4201"/>
      <c r="AU41" s="4201"/>
      <c r="AV41" s="4201"/>
      <c r="AW41" s="4201"/>
      <c r="AX41" s="4201"/>
      <c r="AY41" s="4201"/>
      <c r="AZ41" s="4201"/>
      <c r="BA41" s="4201"/>
      <c r="BB41" s="4201"/>
      <c r="BC41" s="4201"/>
      <c r="BD41" s="4201"/>
      <c r="BE41" s="4201"/>
      <c r="BF41" s="3395"/>
      <c r="BG41" s="3395"/>
      <c r="BH41" s="3395"/>
      <c r="BI41" s="3395"/>
      <c r="BJ41" s="3395"/>
      <c r="BK41" s="3395"/>
      <c r="BL41" s="3395"/>
      <c r="BM41" s="3395"/>
      <c r="BN41" s="3395"/>
      <c r="BO41" s="3395"/>
      <c r="BP41" s="3395"/>
      <c r="BQ41" s="3395"/>
      <c r="BR41" s="3395"/>
      <c r="BS41" s="3395"/>
      <c r="BT41" s="3395"/>
      <c r="BU41" s="3395"/>
      <c r="BV41" s="3395"/>
      <c r="BW41" s="3395"/>
      <c r="BX41" s="3395"/>
      <c r="BY41" s="3395"/>
      <c r="BZ41" s="3395"/>
      <c r="CA41" s="3395"/>
      <c r="CB41" s="3395"/>
      <c r="CC41" s="3395"/>
      <c r="CD41" s="3395"/>
      <c r="CE41" s="3395"/>
      <c r="CF41" s="3395"/>
      <c r="CG41" s="3395"/>
      <c r="CH41" s="3395"/>
      <c r="CI41" s="3395"/>
      <c r="CJ41" s="3395"/>
      <c r="CK41" s="3395"/>
      <c r="CL41" s="3395"/>
      <c r="CM41" s="3395"/>
      <c r="CN41" s="3395"/>
      <c r="CO41" s="3395"/>
      <c r="CP41" s="3395"/>
      <c r="CQ41" s="3395"/>
      <c r="CR41" s="3395"/>
      <c r="CS41" s="3395"/>
      <c r="CT41" s="3395"/>
      <c r="CU41" s="3395"/>
      <c r="CV41" s="3395"/>
      <c r="CW41" s="3395"/>
      <c r="CX41" s="3395"/>
      <c r="CY41" s="3395"/>
      <c r="CZ41" s="3395"/>
      <c r="DA41" s="3395"/>
      <c r="DB41" s="3395"/>
      <c r="DC41" s="3395"/>
      <c r="DD41" s="3395"/>
      <c r="DE41" s="3395"/>
      <c r="DF41" s="3395"/>
      <c r="DG41" s="3395"/>
      <c r="DH41" s="3395"/>
      <c r="DI41" s="3395"/>
      <c r="DJ41" s="3395"/>
      <c r="DK41" s="3395"/>
      <c r="DL41" s="3395"/>
      <c r="DM41" s="3395"/>
      <c r="DN41" s="3395"/>
      <c r="DO41" s="3395"/>
      <c r="DP41" s="3395"/>
      <c r="DQ41" s="3395"/>
      <c r="DR41" s="3395"/>
      <c r="DS41" s="3395"/>
    </row>
    <row r="42" hidden="1" spans="1:123">
      <c r="A42" s="3395"/>
      <c r="B42" s="3395"/>
      <c r="C42" s="3395"/>
      <c r="D42" s="3395"/>
      <c r="E42" s="3395"/>
      <c r="F42" s="3395"/>
      <c r="G42" s="3395"/>
      <c r="H42" s="3395"/>
      <c r="I42" s="3395"/>
      <c r="J42" s="3395"/>
      <c r="K42" s="3395"/>
      <c r="L42" s="3395"/>
      <c r="M42" s="3395"/>
      <c r="N42" s="3395"/>
      <c r="O42" s="3395"/>
      <c r="P42" s="3395"/>
      <c r="Q42" s="3395"/>
      <c r="R42" s="3395"/>
      <c r="S42" s="3395"/>
      <c r="T42" s="3395"/>
      <c r="U42" s="3395"/>
      <c r="V42" s="3395"/>
      <c r="W42" s="3395"/>
      <c r="X42" s="3395"/>
      <c r="Y42" s="3395"/>
      <c r="Z42" s="3395"/>
      <c r="AA42" s="3395"/>
      <c r="AB42" s="3395"/>
      <c r="AC42" s="3395"/>
      <c r="AD42" s="3395"/>
      <c r="AE42" s="3395"/>
      <c r="AF42" s="3395"/>
      <c r="AG42" s="3395"/>
      <c r="AH42" s="3395"/>
      <c r="AI42" s="3395"/>
      <c r="AJ42" s="3395"/>
      <c r="AK42" s="3395"/>
      <c r="AL42" s="3395"/>
      <c r="AM42" s="3395"/>
      <c r="AN42" s="3395"/>
      <c r="AO42" s="3395"/>
      <c r="AP42" s="3395"/>
      <c r="AQ42" s="3395"/>
      <c r="AR42" s="3395"/>
      <c r="AS42" s="4280"/>
      <c r="AT42" s="4201"/>
      <c r="AU42" s="4201"/>
      <c r="AV42" s="4201"/>
      <c r="AW42" s="4201"/>
      <c r="AX42" s="4201"/>
      <c r="AY42" s="4201"/>
      <c r="AZ42" s="4201"/>
      <c r="BA42" s="4201"/>
      <c r="BB42" s="4201"/>
      <c r="BC42" s="4201"/>
      <c r="BD42" s="4201"/>
      <c r="BE42" s="4201"/>
      <c r="BF42" s="3395"/>
      <c r="BG42" s="3395"/>
      <c r="BH42" s="3395"/>
      <c r="BI42" s="3395"/>
      <c r="BJ42" s="3395"/>
      <c r="BK42" s="3395"/>
      <c r="BL42" s="3395"/>
      <c r="BM42" s="3395"/>
      <c r="BN42" s="3395"/>
      <c r="BO42" s="3395"/>
      <c r="BP42" s="3395"/>
      <c r="BQ42" s="3395"/>
      <c r="BR42" s="3395"/>
      <c r="BS42" s="3395"/>
      <c r="BT42" s="3395"/>
      <c r="BU42" s="3395"/>
      <c r="BV42" s="3395"/>
      <c r="BW42" s="3395"/>
      <c r="BX42" s="3395"/>
      <c r="BY42" s="3395"/>
      <c r="BZ42" s="3395"/>
      <c r="CA42" s="3395"/>
      <c r="CB42" s="3395"/>
      <c r="CC42" s="3395"/>
      <c r="CD42" s="3395"/>
      <c r="CE42" s="3395"/>
      <c r="CF42" s="3395"/>
      <c r="CG42" s="3395"/>
      <c r="CH42" s="3395"/>
      <c r="CI42" s="3395"/>
      <c r="CJ42" s="3395"/>
      <c r="CK42" s="3395"/>
      <c r="CL42" s="3395"/>
      <c r="CM42" s="3395"/>
      <c r="CN42" s="3395"/>
      <c r="CO42" s="3395"/>
      <c r="CP42" s="3395"/>
      <c r="CQ42" s="3395"/>
      <c r="CR42" s="3395"/>
      <c r="CS42" s="3395"/>
      <c r="CT42" s="3395"/>
      <c r="CU42" s="3395"/>
      <c r="CV42" s="3395"/>
      <c r="CW42" s="3395"/>
      <c r="CX42" s="3395"/>
      <c r="CY42" s="3395"/>
      <c r="CZ42" s="3395"/>
      <c r="DA42" s="3395"/>
      <c r="DB42" s="3395"/>
      <c r="DC42" s="3395"/>
      <c r="DD42" s="3395"/>
      <c r="DE42" s="3395"/>
      <c r="DF42" s="3395"/>
      <c r="DG42" s="3395"/>
      <c r="DH42" s="3395"/>
      <c r="DI42" s="3395"/>
      <c r="DJ42" s="3395"/>
      <c r="DK42" s="3395"/>
      <c r="DL42" s="3395"/>
      <c r="DM42" s="3395"/>
      <c r="DN42" s="3395"/>
      <c r="DO42" s="3395"/>
      <c r="DP42" s="3395"/>
      <c r="DQ42" s="3395"/>
      <c r="DR42" s="3395"/>
      <c r="DS42" s="3395"/>
    </row>
    <row r="43" hidden="1" spans="1:123">
      <c r="A43" s="3395"/>
      <c r="B43" s="3395"/>
      <c r="C43" s="3395"/>
      <c r="D43" s="3395"/>
      <c r="E43" s="3395"/>
      <c r="F43" s="3395"/>
      <c r="G43" s="3395"/>
      <c r="H43" s="3395"/>
      <c r="I43" s="3395"/>
      <c r="J43" s="3395"/>
      <c r="K43" s="3395"/>
      <c r="L43" s="3395"/>
      <c r="M43" s="3395"/>
      <c r="N43" s="3395"/>
      <c r="O43" s="3395"/>
      <c r="P43" s="3395"/>
      <c r="Q43" s="3395"/>
      <c r="R43" s="3395"/>
      <c r="S43" s="3395"/>
      <c r="T43" s="3395"/>
      <c r="U43" s="3395"/>
      <c r="V43" s="3395"/>
      <c r="W43" s="3395"/>
      <c r="X43" s="3395"/>
      <c r="Y43" s="3395"/>
      <c r="Z43" s="3395"/>
      <c r="AA43" s="3395"/>
      <c r="AB43" s="3395"/>
      <c r="AC43" s="3395"/>
      <c r="AD43" s="3395"/>
      <c r="AE43" s="3395"/>
      <c r="AF43" s="3395"/>
      <c r="AG43" s="3395"/>
      <c r="AH43" s="3395"/>
      <c r="AI43" s="3395"/>
      <c r="AJ43" s="3395"/>
      <c r="AK43" s="3395"/>
      <c r="AL43" s="3395"/>
      <c r="AM43" s="3395"/>
      <c r="AN43" s="3395"/>
      <c r="AO43" s="3395"/>
      <c r="AP43" s="3395"/>
      <c r="AQ43" s="3395"/>
      <c r="AR43" s="3395"/>
      <c r="AS43" s="4280"/>
      <c r="AT43" s="4201"/>
      <c r="AU43" s="4201"/>
      <c r="AV43" s="4201"/>
      <c r="AW43" s="4201"/>
      <c r="AX43" s="4201"/>
      <c r="AY43" s="4201"/>
      <c r="AZ43" s="4201"/>
      <c r="BA43" s="4201"/>
      <c r="BB43" s="4201"/>
      <c r="BC43" s="4201"/>
      <c r="BD43" s="4201"/>
      <c r="BE43" s="4201"/>
      <c r="BF43" s="3395"/>
      <c r="BG43" s="3395"/>
      <c r="BH43" s="3395"/>
      <c r="BI43" s="3395"/>
      <c r="BJ43" s="3395"/>
      <c r="BK43" s="3395"/>
      <c r="BL43" s="3395"/>
      <c r="BM43" s="3395"/>
      <c r="BN43" s="3395"/>
      <c r="BO43" s="3395"/>
      <c r="BP43" s="3395"/>
      <c r="BQ43" s="3395"/>
      <c r="BR43" s="3395"/>
      <c r="BS43" s="3395"/>
      <c r="BT43" s="3395"/>
      <c r="BU43" s="3395"/>
      <c r="BV43" s="3395"/>
      <c r="BW43" s="3395"/>
      <c r="BX43" s="3395"/>
      <c r="BY43" s="3395"/>
      <c r="BZ43" s="3395"/>
      <c r="CA43" s="3395"/>
      <c r="CB43" s="3395"/>
      <c r="CC43" s="3395"/>
      <c r="CD43" s="3395"/>
      <c r="CE43" s="3395"/>
      <c r="CF43" s="3395"/>
      <c r="CG43" s="3395"/>
      <c r="CH43" s="3395"/>
      <c r="CI43" s="3395"/>
      <c r="CJ43" s="3395"/>
      <c r="CK43" s="3395"/>
      <c r="CL43" s="3395"/>
      <c r="CM43" s="3395"/>
      <c r="CN43" s="3395"/>
      <c r="CO43" s="3395"/>
      <c r="CP43" s="3395"/>
      <c r="CQ43" s="3395"/>
      <c r="CR43" s="3395"/>
      <c r="CS43" s="3395"/>
      <c r="CT43" s="3395"/>
      <c r="CU43" s="3395"/>
      <c r="CV43" s="3395"/>
      <c r="CW43" s="3395"/>
      <c r="CX43" s="3395"/>
      <c r="CY43" s="3395"/>
      <c r="CZ43" s="3395"/>
      <c r="DA43" s="3395"/>
      <c r="DB43" s="3395"/>
      <c r="DC43" s="3395"/>
      <c r="DD43" s="3395"/>
      <c r="DE43" s="3395"/>
      <c r="DF43" s="3395"/>
      <c r="DG43" s="3395"/>
      <c r="DH43" s="3395"/>
      <c r="DI43" s="3395"/>
      <c r="DJ43" s="3395"/>
      <c r="DK43" s="3395"/>
      <c r="DL43" s="3395"/>
      <c r="DM43" s="3395"/>
      <c r="DN43" s="3395"/>
      <c r="DO43" s="3395"/>
      <c r="DP43" s="3395"/>
      <c r="DQ43" s="3395"/>
      <c r="DR43" s="3395"/>
      <c r="DS43" s="3395"/>
    </row>
    <row r="44" hidden="1" spans="1:123">
      <c r="A44" s="3395"/>
      <c r="B44" s="3395"/>
      <c r="C44" s="3395"/>
      <c r="D44" s="3395"/>
      <c r="E44" s="3395"/>
      <c r="F44" s="3395"/>
      <c r="G44" s="3395"/>
      <c r="H44" s="3395"/>
      <c r="I44" s="3395"/>
      <c r="J44" s="3395"/>
      <c r="K44" s="3395"/>
      <c r="L44" s="3395"/>
      <c r="M44" s="3395"/>
      <c r="N44" s="3395"/>
      <c r="O44" s="3395"/>
      <c r="P44" s="3395"/>
      <c r="Q44" s="3395"/>
      <c r="R44" s="3395"/>
      <c r="S44" s="3395"/>
      <c r="T44" s="3395"/>
      <c r="U44" s="3395"/>
      <c r="V44" s="3395"/>
      <c r="W44" s="3395"/>
      <c r="X44" s="3395"/>
      <c r="Y44" s="3395"/>
      <c r="Z44" s="3395"/>
      <c r="AA44" s="3395"/>
      <c r="AB44" s="3395"/>
      <c r="AC44" s="3395"/>
      <c r="AD44" s="3395"/>
      <c r="AE44" s="3395"/>
      <c r="AF44" s="3395"/>
      <c r="AG44" s="3395"/>
      <c r="AH44" s="3395"/>
      <c r="AI44" s="3395"/>
      <c r="AJ44" s="3395"/>
      <c r="AK44" s="3395"/>
      <c r="AL44" s="3395"/>
      <c r="AM44" s="3395"/>
      <c r="AN44" s="3395"/>
      <c r="AO44" s="3395"/>
      <c r="AP44" s="3395"/>
      <c r="AQ44" s="3395"/>
      <c r="AR44" s="3395"/>
      <c r="AS44" s="4280"/>
      <c r="AT44" s="4201"/>
      <c r="AU44" s="4201"/>
      <c r="AV44" s="4201"/>
      <c r="AW44" s="4201"/>
      <c r="AX44" s="4201"/>
      <c r="AY44" s="4201"/>
      <c r="AZ44" s="4201"/>
      <c r="BA44" s="4201"/>
      <c r="BB44" s="4201"/>
      <c r="BC44" s="4201"/>
      <c r="BD44" s="4201"/>
      <c r="BE44" s="4201"/>
      <c r="BF44" s="3395"/>
      <c r="BG44" s="3395"/>
      <c r="BH44" s="3395"/>
      <c r="BI44" s="3395"/>
      <c r="BJ44" s="3395"/>
      <c r="BK44" s="3395"/>
      <c r="BL44" s="3395"/>
      <c r="BM44" s="3395"/>
      <c r="BN44" s="3395"/>
      <c r="BO44" s="3395"/>
      <c r="BP44" s="3395"/>
      <c r="BQ44" s="3395"/>
      <c r="BR44" s="3395"/>
      <c r="BS44" s="3395"/>
      <c r="BT44" s="3395"/>
      <c r="BU44" s="3395"/>
      <c r="BV44" s="3395"/>
      <c r="BW44" s="3395"/>
      <c r="BX44" s="3395"/>
      <c r="BY44" s="3395"/>
      <c r="BZ44" s="3395"/>
      <c r="CA44" s="3395"/>
      <c r="CB44" s="3395"/>
      <c r="CC44" s="3395"/>
      <c r="CD44" s="3395"/>
      <c r="CE44" s="3395"/>
      <c r="CF44" s="3395"/>
      <c r="CG44" s="3395"/>
      <c r="CH44" s="3395"/>
      <c r="CI44" s="3395"/>
      <c r="CJ44" s="3395"/>
      <c r="CK44" s="3395"/>
      <c r="CL44" s="3395"/>
      <c r="CM44" s="3395"/>
      <c r="CN44" s="3395"/>
      <c r="CO44" s="3395"/>
      <c r="CP44" s="3395"/>
      <c r="CQ44" s="3395"/>
      <c r="CR44" s="3395"/>
      <c r="CS44" s="3395"/>
      <c r="CT44" s="3395"/>
      <c r="CU44" s="3395"/>
      <c r="CV44" s="3395"/>
      <c r="CW44" s="3395"/>
      <c r="CX44" s="3395"/>
      <c r="CY44" s="3395"/>
      <c r="CZ44" s="3395"/>
      <c r="DA44" s="3395"/>
      <c r="DB44" s="3395"/>
      <c r="DC44" s="3395"/>
      <c r="DD44" s="3395"/>
      <c r="DE44" s="3395"/>
      <c r="DF44" s="3395"/>
      <c r="DG44" s="3395"/>
      <c r="DH44" s="3395"/>
      <c r="DI44" s="3395"/>
      <c r="DJ44" s="3395"/>
      <c r="DK44" s="3395"/>
      <c r="DL44" s="3395"/>
      <c r="DM44" s="3395"/>
      <c r="DN44" s="3395"/>
      <c r="DO44" s="3395"/>
      <c r="DP44" s="3395"/>
      <c r="DQ44" s="3395"/>
      <c r="DR44" s="3395"/>
      <c r="DS44" s="3395"/>
    </row>
    <row r="45" hidden="1" spans="1:123">
      <c r="A45" s="3395"/>
      <c r="B45" s="3395"/>
      <c r="C45" s="3395"/>
      <c r="D45" s="3395"/>
      <c r="E45" s="3395"/>
      <c r="F45" s="3395"/>
      <c r="G45" s="3395"/>
      <c r="H45" s="3395"/>
      <c r="I45" s="3395"/>
      <c r="J45" s="3395"/>
      <c r="K45" s="3395"/>
      <c r="L45" s="3395"/>
      <c r="M45" s="3395"/>
      <c r="N45" s="3395"/>
      <c r="O45" s="3395"/>
      <c r="P45" s="3395"/>
      <c r="Q45" s="3395"/>
      <c r="R45" s="3395"/>
      <c r="S45" s="3395"/>
      <c r="T45" s="3395"/>
      <c r="U45" s="3395"/>
      <c r="V45" s="3395"/>
      <c r="W45" s="3395"/>
      <c r="X45" s="3395"/>
      <c r="Y45" s="3395"/>
      <c r="Z45" s="3395"/>
      <c r="AA45" s="3395"/>
      <c r="AB45" s="3395"/>
      <c r="AC45" s="3395"/>
      <c r="AD45" s="3395"/>
      <c r="AE45" s="3395"/>
      <c r="AF45" s="3395"/>
      <c r="AG45" s="3395"/>
      <c r="AH45" s="3395"/>
      <c r="AI45" s="3395"/>
      <c r="AJ45" s="3395"/>
      <c r="AK45" s="3395"/>
      <c r="AL45" s="3395"/>
      <c r="AM45" s="3395"/>
      <c r="AN45" s="3395"/>
      <c r="AO45" s="3395"/>
      <c r="AP45" s="3395"/>
      <c r="AQ45" s="3395"/>
      <c r="AR45" s="3395"/>
      <c r="AS45" s="4280"/>
      <c r="AT45" s="4201"/>
      <c r="AU45" s="4201"/>
      <c r="AV45" s="4201"/>
      <c r="AW45" s="4201"/>
      <c r="AX45" s="4201"/>
      <c r="AY45" s="4201"/>
      <c r="AZ45" s="4201"/>
      <c r="BA45" s="4201"/>
      <c r="BB45" s="4201"/>
      <c r="BC45" s="4201"/>
      <c r="BD45" s="4201"/>
      <c r="BE45" s="4201"/>
      <c r="BF45" s="3395"/>
      <c r="BG45" s="3395"/>
      <c r="BH45" s="3395"/>
      <c r="BI45" s="3395"/>
      <c r="BJ45" s="3395"/>
      <c r="BK45" s="3395"/>
      <c r="BL45" s="3395"/>
      <c r="BM45" s="3395"/>
      <c r="BN45" s="3395"/>
      <c r="BO45" s="3395"/>
      <c r="BP45" s="3395"/>
      <c r="BQ45" s="3395"/>
      <c r="BR45" s="3395"/>
      <c r="BS45" s="3395"/>
      <c r="BT45" s="3395"/>
      <c r="BU45" s="3395"/>
      <c r="BV45" s="3395"/>
      <c r="BW45" s="3395"/>
      <c r="BX45" s="3395"/>
      <c r="BY45" s="3395"/>
      <c r="BZ45" s="3395"/>
      <c r="CA45" s="3395"/>
      <c r="CB45" s="3395"/>
      <c r="CC45" s="3395"/>
      <c r="CD45" s="3395"/>
      <c r="CE45" s="3395"/>
      <c r="CF45" s="3395"/>
      <c r="CG45" s="3395"/>
      <c r="CH45" s="3395"/>
      <c r="CI45" s="3395"/>
      <c r="CJ45" s="3395"/>
      <c r="CK45" s="3395"/>
      <c r="CL45" s="3395"/>
      <c r="CM45" s="3395"/>
      <c r="CN45" s="3395"/>
      <c r="CO45" s="3395"/>
      <c r="CP45" s="3395"/>
      <c r="CQ45" s="3395"/>
      <c r="CR45" s="3395"/>
      <c r="CS45" s="3395"/>
      <c r="CT45" s="3395"/>
      <c r="CU45" s="3395"/>
      <c r="CV45" s="3395"/>
      <c r="CW45" s="3395"/>
      <c r="CX45" s="3395"/>
      <c r="CY45" s="3395"/>
      <c r="CZ45" s="3395"/>
      <c r="DA45" s="3395"/>
      <c r="DB45" s="3395"/>
      <c r="DC45" s="3395"/>
      <c r="DD45" s="3395"/>
      <c r="DE45" s="3395"/>
      <c r="DF45" s="3395"/>
      <c r="DG45" s="3395"/>
      <c r="DH45" s="3395"/>
      <c r="DI45" s="3395"/>
      <c r="DJ45" s="3395"/>
      <c r="DK45" s="3395"/>
      <c r="DL45" s="3395"/>
      <c r="DM45" s="3395"/>
      <c r="DN45" s="3395"/>
      <c r="DO45" s="3395"/>
      <c r="DP45" s="3395"/>
      <c r="DQ45" s="3395"/>
      <c r="DR45" s="3395"/>
      <c r="DS45" s="3395"/>
    </row>
    <row r="46" hidden="1" spans="1:123">
      <c r="A46" s="3395"/>
      <c r="B46" s="3395"/>
      <c r="C46" s="3395"/>
      <c r="D46" s="3395"/>
      <c r="E46" s="3395"/>
      <c r="F46" s="3395"/>
      <c r="G46" s="3395"/>
      <c r="H46" s="3395"/>
      <c r="I46" s="3395"/>
      <c r="J46" s="3395"/>
      <c r="K46" s="3395"/>
      <c r="L46" s="3395"/>
      <c r="M46" s="3395"/>
      <c r="N46" s="3395"/>
      <c r="O46" s="3395"/>
      <c r="P46" s="3395"/>
      <c r="Q46" s="3395"/>
      <c r="R46" s="3395"/>
      <c r="S46" s="3395"/>
      <c r="T46" s="3395"/>
      <c r="U46" s="3395"/>
      <c r="V46" s="3395"/>
      <c r="W46" s="3395"/>
      <c r="X46" s="3395"/>
      <c r="Y46" s="3395"/>
      <c r="Z46" s="3395"/>
      <c r="AA46" s="3395"/>
      <c r="AB46" s="3395"/>
      <c r="AC46" s="3395"/>
      <c r="AD46" s="3395"/>
      <c r="AE46" s="3395"/>
      <c r="AF46" s="3395"/>
      <c r="AG46" s="3395"/>
      <c r="AH46" s="3395"/>
      <c r="AI46" s="3395"/>
      <c r="AJ46" s="3395"/>
      <c r="AK46" s="3395"/>
      <c r="AL46" s="3395"/>
      <c r="AM46" s="3395"/>
      <c r="AN46" s="3395"/>
      <c r="AO46" s="3395"/>
      <c r="AP46" s="3395"/>
      <c r="AQ46" s="3395"/>
      <c r="AR46" s="3395"/>
      <c r="AS46" s="4280"/>
      <c r="AT46" s="4201"/>
      <c r="AU46" s="4201"/>
      <c r="AV46" s="4201"/>
      <c r="AW46" s="4201"/>
      <c r="AX46" s="4201"/>
      <c r="AY46" s="4201"/>
      <c r="AZ46" s="4201"/>
      <c r="BA46" s="4201"/>
      <c r="BB46" s="4201"/>
      <c r="BC46" s="4201"/>
      <c r="BD46" s="4201"/>
      <c r="BE46" s="4201"/>
      <c r="BF46" s="3395"/>
      <c r="BG46" s="3395"/>
      <c r="BH46" s="3395"/>
      <c r="BI46" s="3395"/>
      <c r="BJ46" s="3395"/>
      <c r="BK46" s="3395"/>
      <c r="BL46" s="3395"/>
      <c r="BM46" s="3395"/>
      <c r="BN46" s="3395"/>
      <c r="BO46" s="3395"/>
      <c r="BP46" s="3395"/>
      <c r="BQ46" s="3395"/>
      <c r="BR46" s="3395"/>
      <c r="BS46" s="3395"/>
      <c r="BT46" s="3395"/>
      <c r="BU46" s="3395"/>
      <c r="BV46" s="3395"/>
      <c r="BW46" s="3395"/>
      <c r="BX46" s="3395"/>
      <c r="BY46" s="3395"/>
      <c r="BZ46" s="3395"/>
      <c r="CA46" s="3395"/>
      <c r="CB46" s="3395"/>
      <c r="CC46" s="3395"/>
      <c r="CD46" s="3395"/>
      <c r="CE46" s="3395"/>
      <c r="CF46" s="3395"/>
      <c r="CG46" s="3395"/>
      <c r="CH46" s="3395"/>
      <c r="CI46" s="3395"/>
      <c r="CJ46" s="3395"/>
      <c r="CK46" s="3395"/>
      <c r="CL46" s="3395"/>
      <c r="CM46" s="3395"/>
      <c r="CN46" s="3395"/>
      <c r="CO46" s="3395"/>
      <c r="CP46" s="3395"/>
      <c r="CQ46" s="3395"/>
      <c r="CR46" s="3395"/>
      <c r="CS46" s="3395"/>
      <c r="CT46" s="3395"/>
      <c r="CU46" s="3395"/>
      <c r="CV46" s="3395"/>
      <c r="CW46" s="3395"/>
      <c r="CX46" s="3395"/>
      <c r="CY46" s="3395"/>
      <c r="CZ46" s="3395"/>
      <c r="DA46" s="3395"/>
      <c r="DB46" s="3395"/>
      <c r="DC46" s="3395"/>
      <c r="DD46" s="3395"/>
      <c r="DE46" s="3395"/>
      <c r="DF46" s="3395"/>
      <c r="DG46" s="3395"/>
      <c r="DH46" s="3395"/>
      <c r="DI46" s="3395"/>
      <c r="DJ46" s="3395"/>
      <c r="DK46" s="3395"/>
      <c r="DL46" s="3395"/>
      <c r="DM46" s="3395"/>
      <c r="DN46" s="3395"/>
      <c r="DO46" s="3395"/>
      <c r="DP46" s="3395"/>
      <c r="DQ46" s="3395"/>
      <c r="DR46" s="3395"/>
      <c r="DS46" s="3395"/>
    </row>
    <row r="47" hidden="1" spans="1:123">
      <c r="A47" s="3395"/>
      <c r="B47" s="3395"/>
      <c r="C47" s="3395"/>
      <c r="D47" s="3395"/>
      <c r="E47" s="3395"/>
      <c r="F47" s="3395"/>
      <c r="G47" s="3395"/>
      <c r="H47" s="3395"/>
      <c r="I47" s="3395"/>
      <c r="J47" s="3395"/>
      <c r="K47" s="3395"/>
      <c r="L47" s="3395"/>
      <c r="M47" s="3395"/>
      <c r="N47" s="3395"/>
      <c r="O47" s="3395"/>
      <c r="P47" s="3395"/>
      <c r="Q47" s="3395"/>
      <c r="R47" s="3395"/>
      <c r="S47" s="3395"/>
      <c r="T47" s="3395"/>
      <c r="U47" s="3395"/>
      <c r="V47" s="3395"/>
      <c r="W47" s="3395"/>
      <c r="X47" s="3395"/>
      <c r="Y47" s="3395"/>
      <c r="Z47" s="3395"/>
      <c r="AA47" s="3395"/>
      <c r="AB47" s="3395"/>
      <c r="AC47" s="3395"/>
      <c r="AD47" s="3395"/>
      <c r="AE47" s="3395"/>
      <c r="AF47" s="3395"/>
      <c r="AG47" s="3395"/>
      <c r="AH47" s="3395"/>
      <c r="AI47" s="3395"/>
      <c r="AJ47" s="3395"/>
      <c r="AK47" s="3395"/>
      <c r="AL47" s="3395"/>
      <c r="AM47" s="3395"/>
      <c r="AN47" s="3395"/>
      <c r="AO47" s="3395"/>
      <c r="AP47" s="3395"/>
      <c r="AQ47" s="3395"/>
      <c r="AR47" s="3395"/>
      <c r="AS47" s="4280"/>
      <c r="AT47" s="4201"/>
      <c r="AU47" s="4201"/>
      <c r="AV47" s="4201"/>
      <c r="AW47" s="4201"/>
      <c r="AX47" s="4201"/>
      <c r="AY47" s="4201"/>
      <c r="AZ47" s="4201"/>
      <c r="BA47" s="4201"/>
      <c r="BB47" s="4201"/>
      <c r="BC47" s="4201"/>
      <c r="BD47" s="4201"/>
      <c r="BE47" s="4201"/>
      <c r="BF47" s="3395"/>
      <c r="BG47" s="3395"/>
      <c r="BH47" s="3395"/>
      <c r="BI47" s="3395"/>
      <c r="BJ47" s="3395"/>
      <c r="BK47" s="3395"/>
      <c r="BL47" s="3395"/>
      <c r="BM47" s="3395"/>
      <c r="BN47" s="3395"/>
      <c r="BO47" s="3395"/>
      <c r="BP47" s="3395"/>
      <c r="BQ47" s="3395"/>
      <c r="BR47" s="3395"/>
      <c r="BS47" s="3395"/>
      <c r="BT47" s="3395"/>
      <c r="BU47" s="3395"/>
      <c r="BV47" s="3395"/>
      <c r="BW47" s="3395"/>
      <c r="BX47" s="3395"/>
      <c r="BY47" s="3395"/>
      <c r="BZ47" s="3395"/>
      <c r="CA47" s="3395"/>
      <c r="CB47" s="3395"/>
      <c r="CC47" s="3395"/>
      <c r="CD47" s="3395"/>
      <c r="CE47" s="3395"/>
      <c r="CF47" s="3395"/>
      <c r="CG47" s="3395"/>
      <c r="CH47" s="3395"/>
      <c r="CI47" s="3395"/>
      <c r="CJ47" s="3395"/>
      <c r="CK47" s="3395"/>
      <c r="CL47" s="3395"/>
      <c r="CM47" s="3395"/>
      <c r="CN47" s="3395"/>
      <c r="CO47" s="3395"/>
      <c r="CP47" s="3395"/>
      <c r="CQ47" s="3395"/>
      <c r="CR47" s="3395"/>
      <c r="CS47" s="3395"/>
      <c r="CT47" s="3395"/>
      <c r="CU47" s="3395"/>
      <c r="CV47" s="3395"/>
      <c r="CW47" s="3395"/>
      <c r="CX47" s="3395"/>
      <c r="CY47" s="3395"/>
      <c r="CZ47" s="3395"/>
      <c r="DA47" s="3395"/>
      <c r="DB47" s="3395"/>
      <c r="DC47" s="3395"/>
      <c r="DD47" s="3395"/>
      <c r="DE47" s="3395"/>
      <c r="DF47" s="3395"/>
      <c r="DG47" s="3395"/>
      <c r="DH47" s="3395"/>
      <c r="DI47" s="3395"/>
      <c r="DJ47" s="3395"/>
      <c r="DK47" s="3395"/>
      <c r="DL47" s="3395"/>
      <c r="DM47" s="3395"/>
      <c r="DN47" s="3395"/>
      <c r="DO47" s="3395"/>
      <c r="DP47" s="3395"/>
      <c r="DQ47" s="3395"/>
      <c r="DR47" s="3395"/>
      <c r="DS47" s="3395"/>
    </row>
    <row r="48" hidden="1" spans="1:123">
      <c r="A48" s="3395"/>
      <c r="B48" s="3395"/>
      <c r="C48" s="3395"/>
      <c r="D48" s="3395"/>
      <c r="E48" s="3395"/>
      <c r="F48" s="3395"/>
      <c r="G48" s="3395"/>
      <c r="H48" s="3395"/>
      <c r="I48" s="3395"/>
      <c r="J48" s="3395"/>
      <c r="K48" s="3395"/>
      <c r="L48" s="3395"/>
      <c r="M48" s="3395"/>
      <c r="N48" s="3395"/>
      <c r="O48" s="3395"/>
      <c r="P48" s="3395"/>
      <c r="Q48" s="3395"/>
      <c r="R48" s="3395"/>
      <c r="S48" s="3395"/>
      <c r="T48" s="3395"/>
      <c r="U48" s="3395"/>
      <c r="V48" s="3395"/>
      <c r="W48" s="3395"/>
      <c r="X48" s="3395"/>
      <c r="Y48" s="3395"/>
      <c r="Z48" s="3395"/>
      <c r="AA48" s="3395"/>
      <c r="AB48" s="3395"/>
      <c r="AC48" s="3395"/>
      <c r="AD48" s="3395"/>
      <c r="AE48" s="3395"/>
      <c r="AF48" s="3395"/>
      <c r="AG48" s="3395"/>
      <c r="AH48" s="3395"/>
      <c r="AI48" s="3395"/>
      <c r="AJ48" s="3395"/>
      <c r="AK48" s="3395"/>
      <c r="AL48" s="3395"/>
      <c r="AM48" s="3395"/>
      <c r="AN48" s="3395"/>
      <c r="AO48" s="3395"/>
      <c r="AP48" s="3395"/>
      <c r="AQ48" s="3395"/>
      <c r="AR48" s="3395"/>
      <c r="AS48" s="4280"/>
      <c r="AT48" s="4201"/>
      <c r="AU48" s="4201"/>
      <c r="AV48" s="4201"/>
      <c r="AW48" s="4201"/>
      <c r="AX48" s="4201"/>
      <c r="AY48" s="4201"/>
      <c r="AZ48" s="4201"/>
      <c r="BA48" s="4201"/>
      <c r="BB48" s="4201"/>
      <c r="BC48" s="4201"/>
      <c r="BD48" s="4201"/>
      <c r="BE48" s="4201"/>
      <c r="BF48" s="3395"/>
      <c r="BG48" s="3395"/>
      <c r="BH48" s="3395"/>
      <c r="BI48" s="3395"/>
      <c r="BJ48" s="3395"/>
      <c r="BK48" s="3395"/>
      <c r="BL48" s="3395"/>
      <c r="BM48" s="3395"/>
      <c r="BN48" s="3395"/>
      <c r="BO48" s="3395"/>
      <c r="BP48" s="3395"/>
      <c r="BQ48" s="3395"/>
      <c r="BR48" s="3395"/>
      <c r="BS48" s="3395"/>
      <c r="BT48" s="3395"/>
      <c r="BU48" s="3395"/>
      <c r="BV48" s="3395"/>
      <c r="BW48" s="3395"/>
      <c r="BX48" s="3395"/>
      <c r="BY48" s="3395"/>
      <c r="BZ48" s="3395"/>
      <c r="CA48" s="3395"/>
      <c r="CB48" s="3395"/>
      <c r="CC48" s="3395"/>
      <c r="CD48" s="3395"/>
      <c r="CE48" s="3395"/>
      <c r="CF48" s="3395"/>
      <c r="CG48" s="3395"/>
      <c r="CH48" s="3395"/>
      <c r="CI48" s="3395"/>
      <c r="CJ48" s="3395"/>
      <c r="CK48" s="3395"/>
      <c r="CL48" s="3395"/>
      <c r="CM48" s="3395"/>
      <c r="CN48" s="3395"/>
      <c r="CO48" s="3395"/>
      <c r="CP48" s="3395"/>
      <c r="CQ48" s="3395"/>
      <c r="CR48" s="3395"/>
      <c r="CS48" s="3395"/>
      <c r="CT48" s="3395"/>
      <c r="CU48" s="3395"/>
      <c r="CV48" s="3395"/>
      <c r="CW48" s="3395"/>
      <c r="CX48" s="3395"/>
      <c r="CY48" s="3395"/>
      <c r="CZ48" s="3395"/>
      <c r="DA48" s="3395"/>
      <c r="DB48" s="3395"/>
      <c r="DC48" s="3395"/>
      <c r="DD48" s="3395"/>
      <c r="DE48" s="3395"/>
      <c r="DF48" s="3395"/>
      <c r="DG48" s="3395"/>
      <c r="DH48" s="3395"/>
      <c r="DI48" s="3395"/>
      <c r="DJ48" s="3395"/>
      <c r="DK48" s="3395"/>
      <c r="DL48" s="3395"/>
      <c r="DM48" s="3395"/>
      <c r="DN48" s="3395"/>
      <c r="DO48" s="3395"/>
      <c r="DP48" s="3395"/>
      <c r="DQ48" s="3395"/>
      <c r="DR48" s="3395"/>
      <c r="DS48" s="3395"/>
    </row>
    <row r="49" hidden="1" spans="1:123">
      <c r="A49" s="3395"/>
      <c r="B49" s="3395"/>
      <c r="C49" s="3395"/>
      <c r="D49" s="3395"/>
      <c r="E49" s="3395"/>
      <c r="F49" s="3395"/>
      <c r="G49" s="3395"/>
      <c r="H49" s="3395"/>
      <c r="I49" s="3395"/>
      <c r="J49" s="3395"/>
      <c r="K49" s="3395"/>
      <c r="L49" s="3395"/>
      <c r="M49" s="3395"/>
      <c r="N49" s="3395"/>
      <c r="O49" s="3395"/>
      <c r="P49" s="3395"/>
      <c r="Q49" s="3395"/>
      <c r="R49" s="3395"/>
      <c r="S49" s="3395"/>
      <c r="T49" s="3395"/>
      <c r="U49" s="3395"/>
      <c r="V49" s="3395"/>
      <c r="W49" s="3395"/>
      <c r="X49" s="3395"/>
      <c r="Y49" s="3395"/>
      <c r="Z49" s="3395"/>
      <c r="AA49" s="3395"/>
      <c r="AB49" s="3395"/>
      <c r="AC49" s="3395"/>
      <c r="AD49" s="3395"/>
      <c r="AE49" s="3395"/>
      <c r="AF49" s="3395"/>
      <c r="AG49" s="3395"/>
      <c r="AH49" s="3395"/>
      <c r="AI49" s="3395"/>
      <c r="AJ49" s="3395"/>
      <c r="AK49" s="3395"/>
      <c r="AL49" s="3395"/>
      <c r="AM49" s="3395"/>
      <c r="AN49" s="3395"/>
      <c r="AO49" s="3395"/>
      <c r="AP49" s="3395"/>
      <c r="AQ49" s="3395"/>
      <c r="AR49" s="3395"/>
      <c r="AS49" s="4280"/>
      <c r="AT49" s="4201"/>
      <c r="AU49" s="4201"/>
      <c r="AV49" s="4201"/>
      <c r="AW49" s="4201"/>
      <c r="AX49" s="4201"/>
      <c r="AY49" s="4201"/>
      <c r="AZ49" s="4201"/>
      <c r="BA49" s="4201"/>
      <c r="BB49" s="4201"/>
      <c r="BC49" s="4201"/>
      <c r="BD49" s="4201"/>
      <c r="BE49" s="4201"/>
      <c r="BF49" s="3395"/>
      <c r="BG49" s="3395"/>
      <c r="BH49" s="3395"/>
      <c r="BI49" s="3395"/>
      <c r="BJ49" s="3395"/>
      <c r="BK49" s="3395"/>
      <c r="BL49" s="3395"/>
      <c r="BM49" s="3395"/>
      <c r="BN49" s="3395"/>
      <c r="BO49" s="3395"/>
      <c r="BP49" s="3395"/>
      <c r="BQ49" s="3395"/>
      <c r="BR49" s="3395"/>
      <c r="BS49" s="3395"/>
      <c r="BT49" s="3395"/>
      <c r="BU49" s="3395"/>
      <c r="BV49" s="3395"/>
      <c r="BW49" s="3395"/>
      <c r="BX49" s="3395"/>
      <c r="BY49" s="3395"/>
      <c r="BZ49" s="3395"/>
      <c r="CA49" s="3395"/>
      <c r="CB49" s="3395"/>
      <c r="CC49" s="3395"/>
      <c r="CD49" s="3395"/>
      <c r="CE49" s="3395"/>
      <c r="CF49" s="3395"/>
      <c r="CG49" s="3395"/>
      <c r="CH49" s="3395"/>
      <c r="CI49" s="3395"/>
      <c r="CJ49" s="3395"/>
      <c r="CK49" s="3395"/>
      <c r="CL49" s="3395"/>
      <c r="CM49" s="3395"/>
      <c r="CN49" s="3395"/>
      <c r="CO49" s="3395"/>
      <c r="CP49" s="3395"/>
      <c r="CQ49" s="3395"/>
      <c r="CR49" s="3395"/>
      <c r="CS49" s="3395"/>
      <c r="CT49" s="3395"/>
      <c r="CU49" s="3395"/>
      <c r="CV49" s="3395"/>
      <c r="CW49" s="3395"/>
      <c r="CX49" s="3395"/>
      <c r="CY49" s="3395"/>
      <c r="CZ49" s="3395"/>
      <c r="DA49" s="3395"/>
      <c r="DB49" s="3395"/>
      <c r="DC49" s="3395"/>
      <c r="DD49" s="3395"/>
      <c r="DE49" s="3395"/>
      <c r="DF49" s="3395"/>
      <c r="DG49" s="3395"/>
      <c r="DH49" s="3395"/>
      <c r="DI49" s="3395"/>
      <c r="DJ49" s="3395"/>
      <c r="DK49" s="3395"/>
      <c r="DL49" s="3395"/>
      <c r="DM49" s="3395"/>
      <c r="DN49" s="3395"/>
      <c r="DO49" s="3395"/>
      <c r="DP49" s="3395"/>
      <c r="DQ49" s="3395"/>
      <c r="DR49" s="3395"/>
      <c r="DS49" s="3395"/>
    </row>
    <row r="50" hidden="1" spans="1:123">
      <c r="A50" s="3395"/>
      <c r="B50" s="3395"/>
      <c r="C50" s="3395"/>
      <c r="D50" s="3395"/>
      <c r="E50" s="3395"/>
      <c r="F50" s="3395"/>
      <c r="G50" s="3395"/>
      <c r="H50" s="3395"/>
      <c r="I50" s="3395"/>
      <c r="J50" s="3395"/>
      <c r="K50" s="3395"/>
      <c r="L50" s="3395"/>
      <c r="M50" s="3395"/>
      <c r="N50" s="3395"/>
      <c r="O50" s="3395"/>
      <c r="P50" s="3395"/>
      <c r="Q50" s="3395"/>
      <c r="R50" s="3395"/>
      <c r="S50" s="3395"/>
      <c r="T50" s="3395"/>
      <c r="U50" s="3395"/>
      <c r="V50" s="3395"/>
      <c r="W50" s="3395"/>
      <c r="X50" s="3395"/>
      <c r="Y50" s="3395"/>
      <c r="Z50" s="3395"/>
      <c r="AA50" s="3395"/>
      <c r="AB50" s="3395"/>
      <c r="AC50" s="3395"/>
      <c r="AD50" s="3395"/>
      <c r="AE50" s="3395"/>
      <c r="AF50" s="3395"/>
      <c r="AG50" s="3395"/>
      <c r="AH50" s="3395"/>
      <c r="AI50" s="3395"/>
      <c r="AJ50" s="3395"/>
      <c r="AK50" s="3395"/>
      <c r="AL50" s="3395"/>
      <c r="AM50" s="3395"/>
      <c r="AN50" s="3395"/>
      <c r="AO50" s="3395"/>
      <c r="AP50" s="3395"/>
      <c r="AQ50" s="3395"/>
      <c r="AR50" s="3395"/>
      <c r="AS50" s="4280"/>
      <c r="AT50" s="4201"/>
      <c r="AU50" s="4201"/>
      <c r="AV50" s="4201"/>
      <c r="AW50" s="4201"/>
      <c r="AX50" s="4201"/>
      <c r="AY50" s="4201"/>
      <c r="AZ50" s="4201"/>
      <c r="BA50" s="4201"/>
      <c r="BB50" s="4201"/>
      <c r="BC50" s="4201"/>
      <c r="BD50" s="4201"/>
      <c r="BE50" s="4201"/>
      <c r="BF50" s="3395"/>
      <c r="BG50" s="3395"/>
      <c r="BH50" s="3395"/>
      <c r="BI50" s="3395"/>
      <c r="BJ50" s="3395"/>
      <c r="BK50" s="3395"/>
      <c r="BL50" s="3395"/>
      <c r="BM50" s="3395"/>
      <c r="BN50" s="3395"/>
      <c r="BO50" s="3395"/>
      <c r="BP50" s="3395"/>
      <c r="BQ50" s="3395"/>
      <c r="BR50" s="3395"/>
      <c r="BS50" s="3395"/>
      <c r="BT50" s="3395"/>
      <c r="BU50" s="3395"/>
      <c r="BV50" s="3395"/>
      <c r="BW50" s="3395"/>
      <c r="BX50" s="3395"/>
      <c r="BY50" s="3395"/>
      <c r="BZ50" s="3395"/>
      <c r="CA50" s="3395"/>
      <c r="CB50" s="3395"/>
      <c r="CC50" s="3395"/>
      <c r="CD50" s="3395"/>
      <c r="CE50" s="3395"/>
      <c r="CF50" s="3395"/>
      <c r="CG50" s="3395"/>
      <c r="CH50" s="3395"/>
      <c r="CI50" s="3395"/>
      <c r="CJ50" s="3395"/>
      <c r="CK50" s="3395"/>
      <c r="CL50" s="3395"/>
      <c r="CM50" s="3395"/>
      <c r="CN50" s="3395"/>
      <c r="CO50" s="3395"/>
      <c r="CP50" s="3395"/>
      <c r="CQ50" s="3395"/>
      <c r="CR50" s="3395"/>
      <c r="CS50" s="3395"/>
      <c r="CT50" s="3395"/>
      <c r="CU50" s="3395"/>
      <c r="CV50" s="3395"/>
      <c r="CW50" s="3395"/>
      <c r="CX50" s="3395"/>
      <c r="CY50" s="3395"/>
      <c r="CZ50" s="3395"/>
      <c r="DA50" s="3395"/>
      <c r="DB50" s="3395"/>
      <c r="DC50" s="3395"/>
      <c r="DD50" s="3395"/>
      <c r="DE50" s="3395"/>
      <c r="DF50" s="3395"/>
      <c r="DG50" s="3395"/>
      <c r="DH50" s="3395"/>
      <c r="DI50" s="3395"/>
      <c r="DJ50" s="3395"/>
      <c r="DK50" s="3395"/>
      <c r="DL50" s="3395"/>
      <c r="DM50" s="3395"/>
      <c r="DN50" s="3395"/>
      <c r="DO50" s="3395"/>
      <c r="DP50" s="3395"/>
      <c r="DQ50" s="3395"/>
      <c r="DR50" s="3395"/>
      <c r="DS50" s="3395"/>
    </row>
    <row r="51" hidden="1" spans="1:123">
      <c r="A51" s="3395"/>
      <c r="B51" s="3395"/>
      <c r="C51" s="3395"/>
      <c r="D51" s="3395"/>
      <c r="E51" s="3395"/>
      <c r="F51" s="3395"/>
      <c r="G51" s="3395"/>
      <c r="H51" s="3395"/>
      <c r="I51" s="3395"/>
      <c r="J51" s="3395"/>
      <c r="K51" s="3395"/>
      <c r="L51" s="3395"/>
      <c r="M51" s="3395"/>
      <c r="N51" s="3395"/>
      <c r="O51" s="3395"/>
      <c r="P51" s="3395"/>
      <c r="Q51" s="3395"/>
      <c r="R51" s="3395"/>
      <c r="S51" s="3395"/>
      <c r="T51" s="3395"/>
      <c r="U51" s="3395"/>
      <c r="V51" s="3395"/>
      <c r="W51" s="3395"/>
      <c r="X51" s="3395"/>
      <c r="Y51" s="3395"/>
      <c r="Z51" s="3395"/>
      <c r="AA51" s="3395"/>
      <c r="AB51" s="3395"/>
      <c r="AC51" s="3395"/>
      <c r="AD51" s="3395"/>
      <c r="AE51" s="3395"/>
      <c r="AF51" s="3395"/>
      <c r="AG51" s="3395"/>
      <c r="AH51" s="3395"/>
      <c r="AI51" s="3395"/>
      <c r="AJ51" s="3395"/>
      <c r="AK51" s="3395"/>
      <c r="AL51" s="3395"/>
      <c r="AM51" s="3395"/>
      <c r="AN51" s="3395"/>
      <c r="AO51" s="3395"/>
      <c r="AP51" s="3395"/>
      <c r="AQ51" s="3395"/>
      <c r="AR51" s="3395"/>
      <c r="AS51" s="4280"/>
      <c r="AT51" s="4201"/>
      <c r="AU51" s="4201"/>
      <c r="AV51" s="4201"/>
      <c r="AW51" s="4201"/>
      <c r="AX51" s="4201"/>
      <c r="AY51" s="4201"/>
      <c r="AZ51" s="4201"/>
      <c r="BA51" s="4201"/>
      <c r="BB51" s="4201"/>
      <c r="BC51" s="4201"/>
      <c r="BD51" s="4201"/>
      <c r="BE51" s="4201"/>
      <c r="BF51" s="3395"/>
      <c r="BG51" s="3395"/>
      <c r="BH51" s="3395"/>
      <c r="BI51" s="3395"/>
      <c r="BJ51" s="3395"/>
      <c r="BK51" s="3395"/>
      <c r="BL51" s="3395"/>
      <c r="BM51" s="3395"/>
      <c r="BN51" s="3395"/>
      <c r="BO51" s="3395"/>
      <c r="BP51" s="3395"/>
      <c r="BQ51" s="3395"/>
      <c r="BR51" s="3395"/>
      <c r="BS51" s="3395"/>
      <c r="BT51" s="3395"/>
      <c r="BU51" s="3395"/>
      <c r="BV51" s="3395"/>
      <c r="BW51" s="3395"/>
      <c r="BX51" s="3395"/>
      <c r="BY51" s="3395"/>
      <c r="BZ51" s="3395"/>
      <c r="CA51" s="3395"/>
      <c r="CB51" s="3395"/>
      <c r="CC51" s="3395"/>
      <c r="CD51" s="3395"/>
      <c r="CE51" s="3395"/>
      <c r="CF51" s="3395"/>
      <c r="CG51" s="3395"/>
      <c r="CH51" s="3395"/>
      <c r="CI51" s="3395"/>
      <c r="CJ51" s="3395"/>
      <c r="CK51" s="3395"/>
      <c r="CL51" s="3395"/>
      <c r="CM51" s="3395"/>
      <c r="CN51" s="3395"/>
      <c r="CO51" s="3395"/>
      <c r="CP51" s="3395"/>
      <c r="CQ51" s="3395"/>
      <c r="CR51" s="3395"/>
      <c r="CS51" s="3395"/>
      <c r="CT51" s="3395"/>
      <c r="CU51" s="3395"/>
      <c r="CV51" s="3395"/>
      <c r="CW51" s="3395"/>
      <c r="CX51" s="3395"/>
      <c r="CY51" s="3395"/>
      <c r="CZ51" s="3395"/>
      <c r="DA51" s="3395"/>
      <c r="DB51" s="3395"/>
      <c r="DC51" s="3395"/>
      <c r="DD51" s="3395"/>
      <c r="DE51" s="3395"/>
      <c r="DF51" s="3395"/>
      <c r="DG51" s="3395"/>
      <c r="DH51" s="3395"/>
      <c r="DI51" s="3395"/>
      <c r="DJ51" s="3395"/>
      <c r="DK51" s="3395"/>
      <c r="DL51" s="3395"/>
      <c r="DM51" s="3395"/>
      <c r="DN51" s="3395"/>
      <c r="DO51" s="3395"/>
      <c r="DP51" s="3395"/>
      <c r="DQ51" s="3395"/>
      <c r="DR51" s="3395"/>
      <c r="DS51" s="3395"/>
    </row>
    <row r="52" hidden="1" spans="1:123">
      <c r="A52" s="3395"/>
      <c r="B52" s="3395"/>
      <c r="C52" s="3395"/>
      <c r="D52" s="3395"/>
      <c r="E52" s="3395"/>
      <c r="F52" s="3395"/>
      <c r="G52" s="3395"/>
      <c r="H52" s="3395"/>
      <c r="I52" s="3395"/>
      <c r="J52" s="3395"/>
      <c r="K52" s="3395"/>
      <c r="L52" s="3395"/>
      <c r="M52" s="3395"/>
      <c r="N52" s="3395"/>
      <c r="O52" s="3395"/>
      <c r="P52" s="3395"/>
      <c r="Q52" s="3395"/>
      <c r="R52" s="3395"/>
      <c r="S52" s="3395"/>
      <c r="T52" s="3395"/>
      <c r="U52" s="3395"/>
      <c r="V52" s="3395"/>
      <c r="W52" s="3395"/>
      <c r="X52" s="3395"/>
      <c r="Y52" s="3395"/>
      <c r="Z52" s="3395"/>
      <c r="AA52" s="3395"/>
      <c r="AB52" s="3395"/>
      <c r="AC52" s="3395"/>
      <c r="AD52" s="3395"/>
      <c r="AE52" s="3395"/>
      <c r="AF52" s="3395"/>
      <c r="AG52" s="3395"/>
      <c r="AH52" s="3395"/>
      <c r="AI52" s="3395"/>
      <c r="AJ52" s="3395"/>
      <c r="AK52" s="3395"/>
      <c r="AL52" s="3395"/>
      <c r="AM52" s="3395"/>
      <c r="AN52" s="3395"/>
      <c r="AO52" s="3395"/>
      <c r="AP52" s="3395"/>
      <c r="AQ52" s="3395"/>
      <c r="AR52" s="3395"/>
      <c r="AS52" s="4280"/>
      <c r="AT52" s="4201"/>
      <c r="AU52" s="4201"/>
      <c r="AV52" s="4201"/>
      <c r="AW52" s="4201"/>
      <c r="AX52" s="4201"/>
      <c r="AY52" s="4201"/>
      <c r="AZ52" s="4201"/>
      <c r="BA52" s="4201"/>
      <c r="BB52" s="4201"/>
      <c r="BC52" s="4201"/>
      <c r="BD52" s="4201"/>
      <c r="BE52" s="4201"/>
      <c r="BF52" s="3395"/>
      <c r="BG52" s="3395"/>
      <c r="BH52" s="3395"/>
      <c r="BI52" s="3395"/>
      <c r="BJ52" s="3395"/>
      <c r="BK52" s="3395"/>
      <c r="BL52" s="3395"/>
      <c r="BM52" s="3395"/>
      <c r="BN52" s="3395"/>
      <c r="BO52" s="3395"/>
      <c r="BP52" s="3395"/>
      <c r="BQ52" s="3395"/>
      <c r="BR52" s="3395"/>
      <c r="BS52" s="3395"/>
      <c r="BT52" s="3395"/>
      <c r="BU52" s="3395"/>
      <c r="BV52" s="3395"/>
      <c r="BW52" s="3395"/>
      <c r="BX52" s="3395"/>
      <c r="BY52" s="3395"/>
      <c r="BZ52" s="3395"/>
      <c r="CA52" s="3395"/>
      <c r="CB52" s="3395"/>
      <c r="CC52" s="3395"/>
      <c r="CD52" s="3395"/>
      <c r="CE52" s="3395"/>
      <c r="CF52" s="3395"/>
      <c r="CG52" s="3395"/>
      <c r="CH52" s="3395"/>
      <c r="CI52" s="3395"/>
      <c r="CJ52" s="3395"/>
      <c r="CK52" s="3395"/>
      <c r="CL52" s="3395"/>
      <c r="CM52" s="3395"/>
      <c r="CN52" s="3395"/>
      <c r="CO52" s="3395"/>
      <c r="CP52" s="3395"/>
      <c r="CQ52" s="3395"/>
      <c r="CR52" s="3395"/>
      <c r="CS52" s="3395"/>
      <c r="CT52" s="3395"/>
      <c r="CU52" s="3395"/>
      <c r="CV52" s="3395"/>
      <c r="CW52" s="3395"/>
      <c r="CX52" s="3395"/>
      <c r="CY52" s="3395"/>
      <c r="CZ52" s="3395"/>
      <c r="DA52" s="3395"/>
      <c r="DB52" s="3395"/>
      <c r="DC52" s="3395"/>
      <c r="DD52" s="3395"/>
      <c r="DE52" s="3395"/>
      <c r="DF52" s="3395"/>
      <c r="DG52" s="3395"/>
      <c r="DH52" s="3395"/>
      <c r="DI52" s="3395"/>
      <c r="DJ52" s="3395"/>
      <c r="DK52" s="3395"/>
      <c r="DL52" s="3395"/>
      <c r="DM52" s="3395"/>
      <c r="DN52" s="3395"/>
      <c r="DO52" s="3395"/>
      <c r="DP52" s="3395"/>
      <c r="DQ52" s="3395"/>
      <c r="DR52" s="3395"/>
      <c r="DS52" s="3395"/>
    </row>
    <row r="53" hidden="1" spans="1:123">
      <c r="A53" s="3395"/>
      <c r="B53" s="3395"/>
      <c r="C53" s="3395"/>
      <c r="D53" s="3395"/>
      <c r="E53" s="3395"/>
      <c r="F53" s="3395"/>
      <c r="G53" s="3395"/>
      <c r="H53" s="3395"/>
      <c r="I53" s="3395"/>
      <c r="J53" s="3395"/>
      <c r="K53" s="3395"/>
      <c r="L53" s="3395"/>
      <c r="M53" s="3395"/>
      <c r="N53" s="3395"/>
      <c r="O53" s="3395"/>
      <c r="P53" s="3395"/>
      <c r="Q53" s="3395"/>
      <c r="R53" s="3395"/>
      <c r="S53" s="3395"/>
      <c r="T53" s="3395"/>
      <c r="U53" s="3395"/>
      <c r="V53" s="3395"/>
      <c r="W53" s="3395"/>
      <c r="X53" s="3395"/>
      <c r="Y53" s="3395"/>
      <c r="Z53" s="3395"/>
      <c r="AA53" s="3395"/>
      <c r="AB53" s="3395"/>
      <c r="AC53" s="3395"/>
      <c r="AD53" s="3395"/>
      <c r="AE53" s="3395"/>
      <c r="AF53" s="3395"/>
      <c r="AG53" s="3395"/>
      <c r="AH53" s="3395"/>
      <c r="AI53" s="3395"/>
      <c r="AJ53" s="3395"/>
      <c r="AK53" s="3395"/>
      <c r="AL53" s="3395"/>
      <c r="AM53" s="3395"/>
      <c r="AN53" s="3395"/>
      <c r="AO53" s="3395"/>
      <c r="AP53" s="3395"/>
      <c r="AQ53" s="3395"/>
      <c r="AR53" s="3395"/>
      <c r="AS53" s="4280"/>
      <c r="AT53" s="4201"/>
      <c r="AU53" s="4201"/>
      <c r="AV53" s="4201"/>
      <c r="AW53" s="4201"/>
      <c r="AX53" s="4201"/>
      <c r="AY53" s="4201"/>
      <c r="AZ53" s="4201"/>
      <c r="BA53" s="4201"/>
      <c r="BB53" s="4201"/>
      <c r="BC53" s="4201"/>
      <c r="BD53" s="4201"/>
      <c r="BE53" s="4201"/>
      <c r="BF53" s="3395"/>
      <c r="BG53" s="3395"/>
      <c r="BH53" s="3395"/>
      <c r="BI53" s="3395"/>
      <c r="BJ53" s="3395"/>
      <c r="BK53" s="3395"/>
      <c r="BL53" s="3395"/>
      <c r="BM53" s="3395"/>
      <c r="BN53" s="3395"/>
      <c r="BO53" s="3395"/>
      <c r="BP53" s="3395"/>
      <c r="BQ53" s="3395"/>
      <c r="BR53" s="3395"/>
      <c r="BS53" s="3395"/>
      <c r="BT53" s="3395"/>
      <c r="BU53" s="3395"/>
      <c r="BV53" s="3395"/>
      <c r="BW53" s="3395"/>
      <c r="BX53" s="3395"/>
      <c r="BY53" s="3395"/>
      <c r="BZ53" s="3395"/>
      <c r="CA53" s="3395"/>
      <c r="CB53" s="3395"/>
      <c r="CC53" s="3395"/>
      <c r="CD53" s="3395"/>
      <c r="CE53" s="3395"/>
      <c r="CF53" s="3395"/>
      <c r="CG53" s="3395"/>
      <c r="CH53" s="3395"/>
      <c r="CI53" s="3395"/>
      <c r="CJ53" s="3395"/>
      <c r="CK53" s="3395"/>
      <c r="CL53" s="3395"/>
      <c r="CM53" s="3395"/>
      <c r="CN53" s="3395"/>
      <c r="CO53" s="3395"/>
      <c r="CP53" s="3395"/>
      <c r="CQ53" s="3395"/>
      <c r="CR53" s="3395"/>
      <c r="CS53" s="3395"/>
      <c r="CT53" s="3395"/>
      <c r="CU53" s="3395"/>
      <c r="CV53" s="3395"/>
      <c r="CW53" s="3395"/>
      <c r="CX53" s="3395"/>
      <c r="CY53" s="3395"/>
      <c r="CZ53" s="3395"/>
      <c r="DA53" s="3395"/>
      <c r="DB53" s="3395"/>
      <c r="DC53" s="3395"/>
      <c r="DD53" s="3395"/>
      <c r="DE53" s="3395"/>
      <c r="DF53" s="3395"/>
      <c r="DG53" s="3395"/>
      <c r="DH53" s="3395"/>
      <c r="DI53" s="3395"/>
      <c r="DJ53" s="3395"/>
      <c r="DK53" s="3395"/>
      <c r="DL53" s="3395"/>
      <c r="DM53" s="3395"/>
      <c r="DN53" s="3395"/>
      <c r="DO53" s="3395"/>
      <c r="DP53" s="3395"/>
      <c r="DQ53" s="3395"/>
      <c r="DR53" s="3395"/>
      <c r="DS53" s="3395"/>
    </row>
    <row r="54" hidden="1" spans="1:123">
      <c r="A54" s="3395"/>
      <c r="B54" s="3395"/>
      <c r="C54" s="3395"/>
      <c r="D54" s="3395"/>
      <c r="E54" s="3395"/>
      <c r="F54" s="3395"/>
      <c r="G54" s="3395"/>
      <c r="H54" s="3395"/>
      <c r="I54" s="3395"/>
      <c r="J54" s="3395"/>
      <c r="K54" s="3395"/>
      <c r="L54" s="3395"/>
      <c r="M54" s="3395"/>
      <c r="N54" s="3395"/>
      <c r="O54" s="3395"/>
      <c r="P54" s="3395"/>
      <c r="Q54" s="3395"/>
      <c r="R54" s="3395"/>
      <c r="S54" s="3395"/>
      <c r="T54" s="3395"/>
      <c r="U54" s="3395"/>
      <c r="V54" s="3395"/>
      <c r="W54" s="3395"/>
      <c r="X54" s="3395"/>
      <c r="Y54" s="3395"/>
      <c r="Z54" s="3395"/>
      <c r="AA54" s="3395"/>
      <c r="AB54" s="3395"/>
      <c r="AC54" s="3395"/>
      <c r="AD54" s="3395"/>
      <c r="AE54" s="3395"/>
      <c r="AF54" s="3395"/>
      <c r="AG54" s="3395"/>
      <c r="AH54" s="3395"/>
      <c r="AI54" s="3395"/>
      <c r="AJ54" s="3395"/>
      <c r="AK54" s="3395"/>
      <c r="AL54" s="3395"/>
      <c r="AM54" s="3395"/>
      <c r="AN54" s="3395"/>
      <c r="AO54" s="3395"/>
      <c r="AP54" s="3395"/>
      <c r="AQ54" s="3395"/>
      <c r="AR54" s="3395"/>
      <c r="AS54" s="4280"/>
      <c r="AT54" s="4201"/>
      <c r="AU54" s="4201"/>
      <c r="AV54" s="4201"/>
      <c r="AW54" s="4201"/>
      <c r="AX54" s="4201"/>
      <c r="AY54" s="4201"/>
      <c r="AZ54" s="4201"/>
      <c r="BA54" s="4201"/>
      <c r="BB54" s="4201"/>
      <c r="BC54" s="4201"/>
      <c r="BD54" s="4201"/>
      <c r="BE54" s="4201"/>
      <c r="BF54" s="3395"/>
      <c r="BG54" s="3395"/>
      <c r="BH54" s="3395"/>
      <c r="BI54" s="3395"/>
      <c r="BJ54" s="3395"/>
      <c r="BK54" s="3395"/>
      <c r="BL54" s="3395"/>
      <c r="BM54" s="3395"/>
      <c r="BN54" s="3395"/>
      <c r="BO54" s="3395"/>
      <c r="BP54" s="3395"/>
      <c r="BQ54" s="3395"/>
      <c r="BR54" s="3395"/>
      <c r="BS54" s="3395"/>
      <c r="BT54" s="3395"/>
      <c r="BU54" s="3395"/>
      <c r="BV54" s="3395"/>
      <c r="BW54" s="3395"/>
      <c r="BX54" s="3395"/>
      <c r="BY54" s="3395"/>
      <c r="BZ54" s="3395"/>
      <c r="CA54" s="3395"/>
      <c r="CB54" s="3395"/>
      <c r="CC54" s="3395"/>
      <c r="CD54" s="3395"/>
      <c r="CE54" s="3395"/>
      <c r="CF54" s="3395"/>
      <c r="CG54" s="3395"/>
      <c r="CH54" s="3395"/>
      <c r="CI54" s="3395"/>
      <c r="CJ54" s="3395"/>
      <c r="CK54" s="3395"/>
      <c r="CL54" s="3395"/>
      <c r="CM54" s="3395"/>
      <c r="CN54" s="3395"/>
      <c r="CO54" s="3395"/>
      <c r="CP54" s="3395"/>
      <c r="CQ54" s="3395"/>
      <c r="CR54" s="3395"/>
      <c r="CS54" s="3395"/>
      <c r="CT54" s="3395"/>
      <c r="CU54" s="3395"/>
      <c r="CV54" s="3395"/>
      <c r="CW54" s="3395"/>
      <c r="CX54" s="3395"/>
      <c r="CY54" s="3395"/>
      <c r="CZ54" s="3395"/>
      <c r="DA54" s="3395"/>
      <c r="DB54" s="3395"/>
      <c r="DC54" s="3395"/>
      <c r="DD54" s="3395"/>
      <c r="DE54" s="3395"/>
      <c r="DF54" s="3395"/>
      <c r="DG54" s="3395"/>
      <c r="DH54" s="3395"/>
      <c r="DI54" s="3395"/>
      <c r="DJ54" s="3395"/>
      <c r="DK54" s="3395"/>
      <c r="DL54" s="3395"/>
      <c r="DM54" s="3395"/>
      <c r="DN54" s="3395"/>
      <c r="DO54" s="3395"/>
      <c r="DP54" s="3395"/>
      <c r="DQ54" s="3395"/>
      <c r="DR54" s="3395"/>
      <c r="DS54" s="3395"/>
    </row>
    <row r="55" hidden="1" spans="1:123">
      <c r="A55" s="3395"/>
      <c r="B55" s="3395"/>
      <c r="C55" s="3395"/>
      <c r="D55" s="3395"/>
      <c r="E55" s="3395"/>
      <c r="F55" s="3395"/>
      <c r="G55" s="3395"/>
      <c r="H55" s="3395"/>
      <c r="I55" s="3395"/>
      <c r="J55" s="3395"/>
      <c r="K55" s="3395"/>
      <c r="L55" s="3395"/>
      <c r="M55" s="3395"/>
      <c r="N55" s="3395"/>
      <c r="O55" s="3395"/>
      <c r="P55" s="3395"/>
      <c r="Q55" s="3395"/>
      <c r="R55" s="3395"/>
      <c r="S55" s="3395"/>
      <c r="T55" s="3395"/>
      <c r="U55" s="3395"/>
      <c r="V55" s="3395"/>
      <c r="W55" s="3395"/>
      <c r="X55" s="3395"/>
      <c r="Y55" s="3395"/>
      <c r="Z55" s="3395"/>
      <c r="AA55" s="3395"/>
      <c r="AB55" s="3395"/>
      <c r="AC55" s="3395"/>
      <c r="AD55" s="3395"/>
      <c r="AE55" s="3395"/>
      <c r="AF55" s="3395"/>
      <c r="AG55" s="3395"/>
      <c r="AH55" s="3395"/>
      <c r="AI55" s="3395"/>
      <c r="AJ55" s="3395"/>
      <c r="AK55" s="3395"/>
      <c r="AL55" s="3395"/>
      <c r="AM55" s="3395"/>
      <c r="AN55" s="3395"/>
      <c r="AO55" s="3395"/>
      <c r="AP55" s="3395"/>
      <c r="AQ55" s="3395"/>
      <c r="AR55" s="3395"/>
      <c r="AS55" s="4280"/>
      <c r="AT55" s="4201"/>
      <c r="AU55" s="4201"/>
      <c r="AV55" s="4201"/>
      <c r="AW55" s="4201"/>
      <c r="AX55" s="4201"/>
      <c r="AY55" s="4201"/>
      <c r="AZ55" s="4201"/>
      <c r="BA55" s="4201"/>
      <c r="BB55" s="4201"/>
      <c r="BC55" s="4201"/>
      <c r="BD55" s="4201"/>
      <c r="BE55" s="4201"/>
      <c r="BF55" s="3395"/>
      <c r="BG55" s="3395"/>
      <c r="BH55" s="3395"/>
      <c r="BI55" s="3395"/>
      <c r="BJ55" s="3395"/>
      <c r="BK55" s="3395"/>
      <c r="BL55" s="3395"/>
      <c r="BM55" s="3395"/>
      <c r="BN55" s="3395"/>
      <c r="BO55" s="3395"/>
      <c r="BP55" s="3395"/>
      <c r="BQ55" s="3395"/>
      <c r="BR55" s="3395"/>
      <c r="BS55" s="3395"/>
      <c r="BT55" s="3395"/>
      <c r="BU55" s="3395"/>
      <c r="BV55" s="3395"/>
      <c r="BW55" s="3395"/>
      <c r="BX55" s="3395"/>
      <c r="BY55" s="3395"/>
      <c r="BZ55" s="3395"/>
      <c r="CA55" s="3395"/>
      <c r="CB55" s="3395"/>
      <c r="CC55" s="3395"/>
      <c r="CD55" s="3395"/>
      <c r="CE55" s="3395"/>
      <c r="CF55" s="3395"/>
      <c r="CG55" s="3395"/>
      <c r="CH55" s="3395"/>
      <c r="CI55" s="3395"/>
      <c r="CJ55" s="3395"/>
      <c r="CK55" s="3395"/>
      <c r="CL55" s="3395"/>
      <c r="CM55" s="3395"/>
      <c r="CN55" s="3395"/>
      <c r="CO55" s="3395"/>
      <c r="CP55" s="3395"/>
      <c r="CQ55" s="3395"/>
      <c r="CR55" s="3395"/>
      <c r="CS55" s="3395"/>
      <c r="CT55" s="3395"/>
      <c r="CU55" s="3395"/>
      <c r="CV55" s="3395"/>
      <c r="CW55" s="3395"/>
      <c r="CX55" s="3395"/>
      <c r="CY55" s="3395"/>
      <c r="CZ55" s="3395"/>
      <c r="DA55" s="3395"/>
      <c r="DB55" s="3395"/>
      <c r="DC55" s="3395"/>
      <c r="DD55" s="3395"/>
      <c r="DE55" s="3395"/>
      <c r="DF55" s="3395"/>
      <c r="DG55" s="3395"/>
      <c r="DH55" s="3395"/>
      <c r="DI55" s="3395"/>
      <c r="DJ55" s="3395"/>
      <c r="DK55" s="3395"/>
      <c r="DL55" s="3395"/>
      <c r="DM55" s="3395"/>
      <c r="DN55" s="3395"/>
      <c r="DO55" s="3395"/>
      <c r="DP55" s="3395"/>
      <c r="DQ55" s="3395"/>
      <c r="DR55" s="3395"/>
      <c r="DS55" s="3395"/>
    </row>
    <row r="56" hidden="1" spans="1:123">
      <c r="A56" s="3395"/>
      <c r="B56" s="3395"/>
      <c r="C56" s="3395"/>
      <c r="D56" s="3395"/>
      <c r="E56" s="3395"/>
      <c r="F56" s="3395"/>
      <c r="G56" s="3395"/>
      <c r="H56" s="3395"/>
      <c r="I56" s="3395"/>
      <c r="J56" s="3395"/>
      <c r="K56" s="3395"/>
      <c r="L56" s="3395"/>
      <c r="M56" s="3395"/>
      <c r="N56" s="3395"/>
      <c r="O56" s="3395"/>
      <c r="P56" s="3395"/>
      <c r="Q56" s="3395"/>
      <c r="R56" s="3395"/>
      <c r="S56" s="3395"/>
      <c r="T56" s="3395"/>
      <c r="U56" s="3395"/>
      <c r="V56" s="3395"/>
      <c r="W56" s="3395"/>
      <c r="X56" s="3395"/>
      <c r="Y56" s="3395"/>
      <c r="Z56" s="3395"/>
      <c r="AA56" s="3395"/>
      <c r="AB56" s="3395"/>
      <c r="AC56" s="3395"/>
      <c r="AD56" s="3395"/>
      <c r="AE56" s="3395"/>
      <c r="AF56" s="3395"/>
      <c r="AG56" s="3395"/>
      <c r="AH56" s="3395"/>
      <c r="AI56" s="3395"/>
      <c r="AJ56" s="3395"/>
      <c r="AK56" s="3395"/>
      <c r="AL56" s="3395"/>
      <c r="AM56" s="3395"/>
      <c r="AN56" s="3395"/>
      <c r="AO56" s="3395"/>
      <c r="AP56" s="3395"/>
      <c r="AQ56" s="3395"/>
      <c r="AR56" s="3395"/>
      <c r="AS56" s="4280"/>
      <c r="AT56" s="4201"/>
      <c r="AU56" s="4201"/>
      <c r="AV56" s="4201"/>
      <c r="AW56" s="4201"/>
      <c r="AX56" s="4201"/>
      <c r="AY56" s="4201"/>
      <c r="AZ56" s="4201"/>
      <c r="BA56" s="4201"/>
      <c r="BB56" s="4201"/>
      <c r="BC56" s="4201"/>
      <c r="BD56" s="4201"/>
      <c r="BE56" s="4201"/>
      <c r="BF56" s="3395"/>
      <c r="BG56" s="3395"/>
      <c r="BH56" s="3395"/>
      <c r="BI56" s="3395"/>
      <c r="BJ56" s="3395"/>
      <c r="BK56" s="3395"/>
      <c r="BL56" s="3395"/>
      <c r="BM56" s="3395"/>
      <c r="BN56" s="3395"/>
      <c r="BO56" s="3395"/>
      <c r="BP56" s="3395"/>
      <c r="BQ56" s="3395"/>
      <c r="BR56" s="3395"/>
      <c r="BS56" s="3395"/>
      <c r="BT56" s="3395"/>
      <c r="BU56" s="3395"/>
      <c r="BV56" s="3395"/>
      <c r="BW56" s="3395"/>
      <c r="BX56" s="3395"/>
      <c r="BY56" s="3395"/>
      <c r="BZ56" s="3395"/>
      <c r="CA56" s="3395"/>
      <c r="CB56" s="3395"/>
      <c r="CC56" s="3395"/>
      <c r="CD56" s="3395"/>
      <c r="CE56" s="3395"/>
      <c r="CF56" s="3395"/>
      <c r="CG56" s="3395"/>
      <c r="CH56" s="3395"/>
      <c r="CI56" s="3395"/>
      <c r="CJ56" s="3395"/>
      <c r="CK56" s="3395"/>
      <c r="CL56" s="3395"/>
      <c r="CM56" s="3395"/>
      <c r="CN56" s="3395"/>
      <c r="CO56" s="3395"/>
      <c r="CP56" s="3395"/>
      <c r="CQ56" s="3395"/>
      <c r="CR56" s="3395"/>
      <c r="CS56" s="3395"/>
      <c r="CT56" s="3395"/>
      <c r="CU56" s="3395"/>
      <c r="CV56" s="3395"/>
      <c r="CW56" s="3395"/>
      <c r="CX56" s="3395"/>
      <c r="CY56" s="3395"/>
      <c r="CZ56" s="3395"/>
      <c r="DA56" s="3395"/>
      <c r="DB56" s="3395"/>
      <c r="DC56" s="3395"/>
      <c r="DD56" s="3395"/>
      <c r="DE56" s="3395"/>
      <c r="DF56" s="3395"/>
      <c r="DG56" s="3395"/>
      <c r="DH56" s="3395"/>
      <c r="DI56" s="3395"/>
      <c r="DJ56" s="3395"/>
      <c r="DK56" s="3395"/>
      <c r="DL56" s="3395"/>
      <c r="DM56" s="3395"/>
      <c r="DN56" s="3395"/>
      <c r="DO56" s="3395"/>
      <c r="DP56" s="3395"/>
      <c r="DQ56" s="3395"/>
      <c r="DR56" s="3395"/>
      <c r="DS56" s="3395"/>
    </row>
    <row r="57" hidden="1" spans="1:123">
      <c r="A57" s="3395"/>
      <c r="B57" s="3395"/>
      <c r="C57" s="3395"/>
      <c r="D57" s="3395"/>
      <c r="E57" s="3395"/>
      <c r="F57" s="3395"/>
      <c r="G57" s="3395"/>
      <c r="H57" s="3395"/>
      <c r="I57" s="3395"/>
      <c r="J57" s="3395"/>
      <c r="K57" s="3395"/>
      <c r="L57" s="3395"/>
      <c r="M57" s="3395"/>
      <c r="N57" s="3395"/>
      <c r="O57" s="3395"/>
      <c r="P57" s="3395"/>
      <c r="Q57" s="3395"/>
      <c r="R57" s="3395"/>
      <c r="S57" s="3395"/>
      <c r="T57" s="3395"/>
      <c r="U57" s="3395"/>
      <c r="V57" s="3395"/>
      <c r="W57" s="3395"/>
      <c r="X57" s="3395"/>
      <c r="Y57" s="3395"/>
      <c r="Z57" s="3395"/>
      <c r="AA57" s="3395"/>
      <c r="AB57" s="3395"/>
      <c r="AC57" s="3395"/>
      <c r="AD57" s="3395"/>
      <c r="AE57" s="3395"/>
      <c r="AF57" s="3395"/>
      <c r="AG57" s="3395"/>
      <c r="AH57" s="3395"/>
      <c r="AI57" s="3395"/>
      <c r="AJ57" s="3395"/>
      <c r="AK57" s="3395"/>
      <c r="AL57" s="3395"/>
      <c r="AM57" s="3395"/>
      <c r="AN57" s="3395"/>
      <c r="AO57" s="3395"/>
      <c r="AP57" s="3395"/>
      <c r="AQ57" s="3395"/>
      <c r="AR57" s="3395"/>
      <c r="AS57" s="4280"/>
      <c r="AT57" s="4201"/>
      <c r="AU57" s="4201"/>
      <c r="AV57" s="4201"/>
      <c r="AW57" s="4201"/>
      <c r="AX57" s="4201"/>
      <c r="AY57" s="4201"/>
      <c r="AZ57" s="4201"/>
      <c r="BA57" s="4201"/>
      <c r="BB57" s="4201"/>
      <c r="BC57" s="4201"/>
      <c r="BD57" s="4201"/>
      <c r="BE57" s="4201"/>
      <c r="BF57" s="3395"/>
      <c r="BG57" s="3395"/>
      <c r="BH57" s="3395"/>
      <c r="BI57" s="3395"/>
      <c r="BJ57" s="3395"/>
      <c r="BK57" s="3395"/>
      <c r="BL57" s="3395"/>
      <c r="BM57" s="3395"/>
      <c r="BN57" s="3395"/>
      <c r="BO57" s="3395"/>
      <c r="BP57" s="3395"/>
      <c r="BQ57" s="3395"/>
      <c r="BR57" s="3395"/>
      <c r="BS57" s="3395"/>
      <c r="BT57" s="3395"/>
      <c r="BU57" s="3395"/>
      <c r="BV57" s="3395"/>
      <c r="BW57" s="3395"/>
      <c r="BX57" s="3395"/>
      <c r="BY57" s="3395"/>
      <c r="BZ57" s="3395"/>
      <c r="CA57" s="3395"/>
      <c r="CB57" s="3395"/>
      <c r="CC57" s="3395"/>
      <c r="CD57" s="3395"/>
      <c r="CE57" s="3395"/>
      <c r="CF57" s="3395"/>
      <c r="CG57" s="3395"/>
      <c r="CH57" s="3395"/>
      <c r="CI57" s="3395"/>
      <c r="CJ57" s="3395"/>
      <c r="CK57" s="3395"/>
      <c r="CL57" s="3395"/>
      <c r="CM57" s="3395"/>
      <c r="CN57" s="3395"/>
      <c r="CO57" s="3395"/>
      <c r="CP57" s="3395"/>
      <c r="CQ57" s="3395"/>
      <c r="CR57" s="3395"/>
      <c r="CS57" s="3395"/>
      <c r="CT57" s="3395"/>
      <c r="CU57" s="3395"/>
      <c r="CV57" s="3395"/>
      <c r="CW57" s="3395"/>
      <c r="CX57" s="3395"/>
      <c r="CY57" s="3395"/>
      <c r="CZ57" s="3395"/>
      <c r="DA57" s="3395"/>
      <c r="DB57" s="3395"/>
      <c r="DC57" s="3395"/>
      <c r="DD57" s="3395"/>
      <c r="DE57" s="3395"/>
      <c r="DF57" s="3395"/>
      <c r="DG57" s="3395"/>
      <c r="DH57" s="3395"/>
      <c r="DI57" s="3395"/>
      <c r="DJ57" s="3395"/>
      <c r="DK57" s="3395"/>
      <c r="DL57" s="3395"/>
      <c r="DM57" s="3395"/>
      <c r="DN57" s="3395"/>
      <c r="DO57" s="3395"/>
      <c r="DP57" s="3395"/>
      <c r="DQ57" s="3395"/>
      <c r="DR57" s="3395"/>
      <c r="DS57" s="3395"/>
    </row>
    <row r="58" hidden="1" spans="1:123">
      <c r="A58" s="3395"/>
      <c r="B58" s="3395"/>
      <c r="C58" s="3395"/>
      <c r="D58" s="3395"/>
      <c r="E58" s="3395"/>
      <c r="F58" s="3395"/>
      <c r="G58" s="3395"/>
      <c r="H58" s="3395"/>
      <c r="I58" s="3395"/>
      <c r="J58" s="3395"/>
      <c r="K58" s="3395"/>
      <c r="L58" s="3395"/>
      <c r="M58" s="3395"/>
      <c r="N58" s="3395"/>
      <c r="O58" s="3395"/>
      <c r="P58" s="3395"/>
      <c r="Q58" s="3395"/>
      <c r="R58" s="3395"/>
      <c r="S58" s="3395"/>
      <c r="T58" s="3395"/>
      <c r="U58" s="3395"/>
      <c r="V58" s="3395"/>
      <c r="W58" s="3395"/>
      <c r="X58" s="3395"/>
      <c r="Y58" s="3395"/>
      <c r="Z58" s="3395"/>
      <c r="AA58" s="3395"/>
      <c r="AB58" s="3395"/>
      <c r="AC58" s="3395"/>
      <c r="AD58" s="3395"/>
      <c r="AE58" s="3395"/>
      <c r="AF58" s="3395"/>
      <c r="AG58" s="3395"/>
      <c r="AH58" s="3395"/>
      <c r="AI58" s="3395"/>
      <c r="AJ58" s="3395"/>
      <c r="AK58" s="3395"/>
      <c r="AL58" s="3395"/>
      <c r="AM58" s="3395"/>
      <c r="AN58" s="3395"/>
      <c r="AO58" s="3395"/>
      <c r="AP58" s="3395"/>
      <c r="AQ58" s="3395"/>
      <c r="AR58" s="3395"/>
      <c r="AS58" s="4280"/>
      <c r="AT58" s="4201"/>
      <c r="AU58" s="4201"/>
      <c r="AV58" s="4201"/>
      <c r="AW58" s="4201"/>
      <c r="AX58" s="4201"/>
      <c r="AY58" s="4201"/>
      <c r="AZ58" s="4201"/>
      <c r="BA58" s="4201"/>
      <c r="BB58" s="4201"/>
      <c r="BC58" s="4201"/>
      <c r="BD58" s="4201"/>
      <c r="BE58" s="4201"/>
      <c r="BF58" s="3395"/>
      <c r="BG58" s="3395"/>
      <c r="BH58" s="3395"/>
      <c r="BI58" s="3395"/>
      <c r="BJ58" s="3395"/>
      <c r="BK58" s="3395"/>
      <c r="BL58" s="3395"/>
      <c r="BM58" s="3395"/>
      <c r="BN58" s="3395"/>
      <c r="BO58" s="3395"/>
      <c r="BP58" s="3395"/>
      <c r="BQ58" s="3395"/>
      <c r="BR58" s="3395"/>
      <c r="BS58" s="3395"/>
      <c r="BT58" s="3395"/>
      <c r="BU58" s="3395"/>
      <c r="BV58" s="3395"/>
      <c r="BW58" s="3395"/>
      <c r="BX58" s="3395"/>
      <c r="BY58" s="3395"/>
      <c r="BZ58" s="3395"/>
      <c r="CA58" s="3395"/>
      <c r="CB58" s="3395"/>
      <c r="CC58" s="3395"/>
      <c r="CD58" s="3395"/>
      <c r="CE58" s="3395"/>
      <c r="CF58" s="3395"/>
      <c r="CG58" s="3395"/>
      <c r="CH58" s="3395"/>
      <c r="CI58" s="3395"/>
      <c r="CJ58" s="3395"/>
      <c r="CK58" s="3395"/>
      <c r="CL58" s="3395"/>
      <c r="CM58" s="3395"/>
      <c r="CN58" s="3395"/>
      <c r="CO58" s="3395"/>
      <c r="CP58" s="3395"/>
      <c r="CQ58" s="3395"/>
      <c r="CR58" s="3395"/>
      <c r="CS58" s="3395"/>
      <c r="CT58" s="3395"/>
      <c r="CU58" s="3395"/>
      <c r="CV58" s="3395"/>
      <c r="CW58" s="3395"/>
      <c r="CX58" s="3395"/>
      <c r="CY58" s="3395"/>
      <c r="CZ58" s="3395"/>
      <c r="DA58" s="3395"/>
      <c r="DB58" s="3395"/>
      <c r="DC58" s="3395"/>
      <c r="DD58" s="3395"/>
      <c r="DE58" s="3395"/>
      <c r="DF58" s="3395"/>
      <c r="DG58" s="3395"/>
      <c r="DH58" s="3395"/>
      <c r="DI58" s="3395"/>
      <c r="DJ58" s="3395"/>
      <c r="DK58" s="3395"/>
      <c r="DL58" s="3395"/>
      <c r="DM58" s="3395"/>
      <c r="DN58" s="3395"/>
      <c r="DO58" s="3395"/>
      <c r="DP58" s="3395"/>
      <c r="DQ58" s="3395"/>
      <c r="DR58" s="3395"/>
      <c r="DS58" s="3395"/>
    </row>
    <row r="59" hidden="1" spans="1:123">
      <c r="A59" s="3395"/>
      <c r="B59" s="3395"/>
      <c r="C59" s="3395"/>
      <c r="D59" s="3395"/>
      <c r="E59" s="3395"/>
      <c r="F59" s="3395"/>
      <c r="G59" s="3395"/>
      <c r="H59" s="3395"/>
      <c r="I59" s="3395"/>
      <c r="J59" s="3395"/>
      <c r="K59" s="3395"/>
      <c r="L59" s="3395"/>
      <c r="M59" s="3395"/>
      <c r="N59" s="3395"/>
      <c r="O59" s="3395"/>
      <c r="P59" s="3395"/>
      <c r="Q59" s="3395"/>
      <c r="R59" s="3395"/>
      <c r="S59" s="3395"/>
      <c r="T59" s="3395"/>
      <c r="U59" s="3395"/>
      <c r="V59" s="3395"/>
      <c r="W59" s="3395"/>
      <c r="X59" s="3395"/>
      <c r="Y59" s="3395"/>
      <c r="Z59" s="3395"/>
      <c r="AA59" s="3395"/>
      <c r="AB59" s="3395"/>
      <c r="AC59" s="3395"/>
      <c r="AD59" s="3395"/>
      <c r="AE59" s="3395"/>
      <c r="AF59" s="3395"/>
      <c r="AG59" s="3395"/>
      <c r="AH59" s="3395"/>
      <c r="AI59" s="3395"/>
      <c r="AJ59" s="3395"/>
      <c r="AK59" s="3395"/>
      <c r="AL59" s="3395"/>
      <c r="AM59" s="3395"/>
      <c r="AN59" s="3395"/>
      <c r="AO59" s="3395"/>
      <c r="AP59" s="3395"/>
      <c r="AQ59" s="3395"/>
      <c r="AR59" s="3395"/>
      <c r="AS59" s="4280"/>
      <c r="AT59" s="4201"/>
      <c r="AU59" s="4201"/>
      <c r="AV59" s="4201"/>
      <c r="AW59" s="4201"/>
      <c r="AX59" s="4201"/>
      <c r="AY59" s="4201"/>
      <c r="AZ59" s="4201"/>
      <c r="BA59" s="4201"/>
      <c r="BB59" s="4201"/>
      <c r="BC59" s="4201"/>
      <c r="BD59" s="4201"/>
      <c r="BE59" s="4201"/>
      <c r="BF59" s="3395"/>
      <c r="BG59" s="3395"/>
      <c r="BH59" s="3395"/>
      <c r="BI59" s="3395"/>
      <c r="BJ59" s="3395"/>
      <c r="BK59" s="3395"/>
      <c r="BL59" s="3395"/>
      <c r="BM59" s="3395"/>
      <c r="BN59" s="3395"/>
      <c r="BO59" s="3395"/>
      <c r="BP59" s="3395"/>
      <c r="BQ59" s="3395"/>
      <c r="BR59" s="3395"/>
      <c r="BS59" s="3395"/>
      <c r="BT59" s="3395"/>
      <c r="BU59" s="3395"/>
      <c r="BV59" s="3395"/>
      <c r="BW59" s="3395"/>
      <c r="BX59" s="3395"/>
      <c r="BY59" s="3395"/>
      <c r="BZ59" s="3395"/>
      <c r="CA59" s="3395"/>
      <c r="CB59" s="3395"/>
      <c r="CC59" s="3395"/>
      <c r="CD59" s="3395"/>
      <c r="CE59" s="3395"/>
      <c r="CF59" s="3395"/>
      <c r="CG59" s="3395"/>
      <c r="CH59" s="3395"/>
      <c r="CI59" s="3395"/>
      <c r="CJ59" s="3395"/>
      <c r="CK59" s="3395"/>
      <c r="CL59" s="3395"/>
      <c r="CM59" s="3395"/>
      <c r="CN59" s="3395"/>
      <c r="CO59" s="3395"/>
      <c r="CP59" s="3395"/>
      <c r="CQ59" s="3395"/>
      <c r="CR59" s="3395"/>
      <c r="CS59" s="3395"/>
      <c r="CT59" s="3395"/>
      <c r="CU59" s="3395"/>
      <c r="CV59" s="3395"/>
      <c r="CW59" s="3395"/>
      <c r="CX59" s="3395"/>
      <c r="CY59" s="3395"/>
      <c r="CZ59" s="3395"/>
      <c r="DA59" s="3395"/>
      <c r="DB59" s="3395"/>
      <c r="DC59" s="3395"/>
      <c r="DD59" s="3395"/>
      <c r="DE59" s="3395"/>
      <c r="DF59" s="3395"/>
      <c r="DG59" s="3395"/>
      <c r="DH59" s="3395"/>
      <c r="DI59" s="3395"/>
      <c r="DJ59" s="3395"/>
      <c r="DK59" s="3395"/>
      <c r="DL59" s="3395"/>
      <c r="DM59" s="3395"/>
      <c r="DN59" s="3395"/>
      <c r="DO59" s="3395"/>
      <c r="DP59" s="3395"/>
      <c r="DQ59" s="3395"/>
      <c r="DR59" s="3395"/>
      <c r="DS59" s="3395"/>
    </row>
    <row r="60" hidden="1" spans="1:123">
      <c r="A60" s="3395"/>
      <c r="B60" s="3395"/>
      <c r="C60" s="3395"/>
      <c r="D60" s="3395"/>
      <c r="E60" s="3395"/>
      <c r="F60" s="3395"/>
      <c r="G60" s="3395"/>
      <c r="H60" s="3395"/>
      <c r="I60" s="3395"/>
      <c r="J60" s="3395"/>
      <c r="K60" s="3395"/>
      <c r="L60" s="3395"/>
      <c r="M60" s="3395"/>
      <c r="N60" s="3395"/>
      <c r="O60" s="3395"/>
      <c r="P60" s="3395"/>
      <c r="Q60" s="3395"/>
      <c r="R60" s="3395"/>
      <c r="S60" s="3395"/>
      <c r="T60" s="3395"/>
      <c r="U60" s="3395"/>
      <c r="V60" s="3395"/>
      <c r="W60" s="3395"/>
      <c r="X60" s="3395"/>
      <c r="Y60" s="3395"/>
      <c r="Z60" s="3395"/>
      <c r="AA60" s="3395"/>
      <c r="AB60" s="3395"/>
      <c r="AC60" s="3395"/>
      <c r="AD60" s="3395"/>
      <c r="AE60" s="3395"/>
      <c r="AF60" s="3395"/>
      <c r="AG60" s="3395"/>
      <c r="AH60" s="3395"/>
      <c r="AI60" s="3395"/>
      <c r="AJ60" s="3395"/>
      <c r="AK60" s="3395"/>
      <c r="AL60" s="3395"/>
      <c r="AM60" s="3395"/>
      <c r="AN60" s="3395"/>
      <c r="AO60" s="3395"/>
      <c r="AP60" s="3395"/>
      <c r="AQ60" s="3395"/>
      <c r="AR60" s="3395"/>
      <c r="AS60" s="4280"/>
      <c r="AT60" s="4201"/>
      <c r="AU60" s="4201"/>
      <c r="AV60" s="4201"/>
      <c r="AW60" s="4201"/>
      <c r="AX60" s="4201"/>
      <c r="AY60" s="4201"/>
      <c r="AZ60" s="4201"/>
      <c r="BA60" s="4201"/>
      <c r="BB60" s="4201"/>
      <c r="BC60" s="4201"/>
      <c r="BD60" s="4201"/>
      <c r="BE60" s="4201"/>
      <c r="BF60" s="3395"/>
      <c r="BG60" s="3395"/>
      <c r="BH60" s="3395"/>
      <c r="BI60" s="3395"/>
      <c r="BJ60" s="3395"/>
      <c r="BK60" s="3395"/>
      <c r="BL60" s="3395"/>
      <c r="BM60" s="3395"/>
      <c r="BN60" s="3395"/>
      <c r="BO60" s="3395"/>
      <c r="BP60" s="3395"/>
      <c r="BQ60" s="3395"/>
      <c r="BR60" s="3395"/>
      <c r="BS60" s="3395"/>
      <c r="BT60" s="3395"/>
      <c r="BU60" s="3395"/>
      <c r="BV60" s="3395"/>
      <c r="BW60" s="3395"/>
      <c r="BX60" s="3395"/>
      <c r="BY60" s="3395"/>
      <c r="BZ60" s="3395"/>
      <c r="CA60" s="3395"/>
      <c r="CB60" s="3395"/>
      <c r="CC60" s="3395"/>
      <c r="CD60" s="3395"/>
      <c r="CE60" s="3395"/>
      <c r="CF60" s="3395"/>
      <c r="CG60" s="3395"/>
      <c r="CH60" s="3395"/>
      <c r="CI60" s="3395"/>
      <c r="CJ60" s="3395"/>
      <c r="CK60" s="3395"/>
      <c r="CL60" s="3395"/>
      <c r="CM60" s="3395"/>
      <c r="CN60" s="3395"/>
      <c r="CO60" s="3395"/>
      <c r="CP60" s="3395"/>
      <c r="CQ60" s="3395"/>
      <c r="CR60" s="3395"/>
      <c r="CS60" s="3395"/>
      <c r="CT60" s="3395"/>
      <c r="CU60" s="3395"/>
      <c r="CV60" s="3395"/>
      <c r="CW60" s="3395"/>
      <c r="CX60" s="3395"/>
      <c r="CY60" s="3395"/>
      <c r="CZ60" s="3395"/>
      <c r="DA60" s="3395"/>
      <c r="DB60" s="3395"/>
      <c r="DC60" s="3395"/>
      <c r="DD60" s="3395"/>
      <c r="DE60" s="3395"/>
      <c r="DF60" s="3395"/>
      <c r="DG60" s="3395"/>
      <c r="DH60" s="3395"/>
      <c r="DI60" s="3395"/>
      <c r="DJ60" s="3395"/>
      <c r="DK60" s="3395"/>
      <c r="DL60" s="3395"/>
      <c r="DM60" s="3395"/>
      <c r="DN60" s="3395"/>
      <c r="DO60" s="3395"/>
      <c r="DP60" s="3395"/>
      <c r="DQ60" s="3395"/>
      <c r="DR60" s="3395"/>
      <c r="DS60" s="3395"/>
    </row>
    <row r="61" hidden="1" spans="1:123">
      <c r="A61" s="3395"/>
      <c r="B61" s="3395"/>
      <c r="C61" s="3395"/>
      <c r="D61" s="3395"/>
      <c r="E61" s="3395"/>
      <c r="F61" s="3395"/>
      <c r="G61" s="3395"/>
      <c r="H61" s="3395"/>
      <c r="I61" s="3395"/>
      <c r="J61" s="3395"/>
      <c r="K61" s="3395"/>
      <c r="L61" s="3395"/>
      <c r="M61" s="3395"/>
      <c r="N61" s="3395"/>
      <c r="O61" s="3395"/>
      <c r="P61" s="3395"/>
      <c r="Q61" s="3395"/>
      <c r="R61" s="3395"/>
      <c r="S61" s="3395"/>
      <c r="T61" s="3395"/>
      <c r="U61" s="3395"/>
      <c r="V61" s="3395"/>
      <c r="W61" s="3395"/>
      <c r="X61" s="3395"/>
      <c r="Y61" s="3395"/>
      <c r="Z61" s="3395"/>
      <c r="AA61" s="3395"/>
      <c r="AB61" s="3395"/>
      <c r="AC61" s="3395"/>
      <c r="AD61" s="3395"/>
      <c r="AE61" s="3395"/>
      <c r="AF61" s="3395"/>
      <c r="AG61" s="3395"/>
      <c r="AH61" s="3395"/>
      <c r="AI61" s="3395"/>
      <c r="AJ61" s="3395"/>
      <c r="AK61" s="3395"/>
      <c r="AL61" s="3395"/>
      <c r="AM61" s="3395"/>
      <c r="AN61" s="3395"/>
      <c r="AO61" s="3395"/>
      <c r="AP61" s="3395"/>
      <c r="AQ61" s="3395"/>
      <c r="AR61" s="3395"/>
      <c r="AS61" s="4280"/>
      <c r="AT61" s="4201"/>
      <c r="AU61" s="4201"/>
      <c r="AV61" s="4201"/>
      <c r="AW61" s="4201"/>
      <c r="AX61" s="4201"/>
      <c r="AY61" s="4201"/>
      <c r="AZ61" s="4201"/>
      <c r="BA61" s="4201"/>
      <c r="BB61" s="4201"/>
      <c r="BC61" s="4201"/>
      <c r="BD61" s="4201"/>
      <c r="BE61" s="4201"/>
      <c r="BF61" s="3395"/>
      <c r="BG61" s="3395"/>
      <c r="BH61" s="3395"/>
      <c r="BI61" s="3395"/>
      <c r="BJ61" s="3395"/>
      <c r="BK61" s="3395"/>
      <c r="BL61" s="3395"/>
      <c r="BM61" s="3395"/>
      <c r="BN61" s="3395"/>
      <c r="BO61" s="3395"/>
      <c r="BP61" s="3395"/>
      <c r="BQ61" s="3395"/>
      <c r="BR61" s="3395"/>
      <c r="BS61" s="3395"/>
      <c r="BT61" s="3395"/>
      <c r="BU61" s="3395"/>
      <c r="BV61" s="3395"/>
      <c r="BW61" s="3395"/>
      <c r="BX61" s="3395"/>
      <c r="BY61" s="3395"/>
      <c r="BZ61" s="3395"/>
      <c r="CA61" s="3395"/>
      <c r="CB61" s="3395"/>
      <c r="CC61" s="3395"/>
      <c r="CD61" s="3395"/>
      <c r="CE61" s="3395"/>
      <c r="CF61" s="3395"/>
      <c r="CG61" s="3395"/>
      <c r="CH61" s="3395"/>
      <c r="CI61" s="3395"/>
      <c r="CJ61" s="3395"/>
      <c r="CK61" s="3395"/>
      <c r="CL61" s="3395"/>
      <c r="CM61" s="3395"/>
      <c r="CN61" s="3395"/>
      <c r="CO61" s="3395"/>
      <c r="CP61" s="3395"/>
      <c r="CQ61" s="3395"/>
      <c r="CR61" s="3395"/>
      <c r="CS61" s="3395"/>
      <c r="CT61" s="3395"/>
      <c r="CU61" s="3395"/>
      <c r="CV61" s="3395"/>
      <c r="CW61" s="3395"/>
      <c r="CX61" s="3395"/>
      <c r="CY61" s="3395"/>
      <c r="CZ61" s="3395"/>
      <c r="DA61" s="3395"/>
      <c r="DB61" s="3395"/>
      <c r="DC61" s="3395"/>
      <c r="DD61" s="3395"/>
      <c r="DE61" s="3395"/>
      <c r="DF61" s="3395"/>
      <c r="DG61" s="3395"/>
      <c r="DH61" s="3395"/>
      <c r="DI61" s="3395"/>
      <c r="DJ61" s="3395"/>
      <c r="DK61" s="3395"/>
      <c r="DL61" s="3395"/>
      <c r="DM61" s="3395"/>
      <c r="DN61" s="3395"/>
      <c r="DO61" s="3395"/>
      <c r="DP61" s="3395"/>
      <c r="DQ61" s="3395"/>
      <c r="DR61" s="3395"/>
      <c r="DS61" s="3395"/>
    </row>
    <row r="62" hidden="1" spans="1:123">
      <c r="A62" s="3395"/>
      <c r="B62" s="3395"/>
      <c r="C62" s="3395"/>
      <c r="D62" s="3395"/>
      <c r="E62" s="3395"/>
      <c r="F62" s="3395"/>
      <c r="G62" s="3395"/>
      <c r="H62" s="3395"/>
      <c r="I62" s="3395"/>
      <c r="J62" s="3395"/>
      <c r="K62" s="3395"/>
      <c r="L62" s="3395"/>
      <c r="M62" s="3395"/>
      <c r="N62" s="3395"/>
      <c r="O62" s="3395"/>
      <c r="P62" s="3395"/>
      <c r="Q62" s="3395"/>
      <c r="R62" s="3395"/>
      <c r="S62" s="3395"/>
      <c r="T62" s="3395"/>
      <c r="U62" s="3395"/>
      <c r="V62" s="3395"/>
      <c r="W62" s="3395"/>
      <c r="X62" s="3395"/>
      <c r="Y62" s="3395"/>
      <c r="Z62" s="3395"/>
      <c r="AA62" s="3395"/>
      <c r="AB62" s="3395"/>
      <c r="AC62" s="3395"/>
      <c r="AD62" s="3395"/>
      <c r="AE62" s="3395"/>
      <c r="AF62" s="3395"/>
      <c r="AG62" s="3395"/>
      <c r="AH62" s="3395"/>
      <c r="AI62" s="3395"/>
      <c r="AJ62" s="3395"/>
      <c r="AK62" s="3395"/>
      <c r="AL62" s="3395"/>
      <c r="AM62" s="3395"/>
      <c r="AN62" s="3395"/>
      <c r="AO62" s="3395"/>
      <c r="AP62" s="3395"/>
      <c r="AQ62" s="3395"/>
      <c r="AR62" s="3395"/>
      <c r="AS62" s="4280"/>
      <c r="AT62" s="4201"/>
      <c r="AU62" s="4201"/>
      <c r="AV62" s="4201"/>
      <c r="AW62" s="4201"/>
      <c r="AX62" s="4201"/>
      <c r="AY62" s="4201"/>
      <c r="AZ62" s="4201"/>
      <c r="BA62" s="4201"/>
      <c r="BB62" s="4201"/>
      <c r="BC62" s="4201"/>
      <c r="BD62" s="4201"/>
      <c r="BE62" s="4201"/>
      <c r="BF62" s="3395"/>
      <c r="BG62" s="3395"/>
      <c r="BH62" s="3395"/>
      <c r="BI62" s="3395"/>
      <c r="BJ62" s="3395"/>
      <c r="BK62" s="3395"/>
      <c r="BL62" s="3395"/>
      <c r="BM62" s="3395"/>
      <c r="BN62" s="3395"/>
      <c r="BO62" s="3395"/>
      <c r="BP62" s="3395"/>
      <c r="BQ62" s="3395"/>
      <c r="BR62" s="3395"/>
      <c r="BS62" s="3395"/>
      <c r="BT62" s="3395"/>
      <c r="BU62" s="3395"/>
      <c r="BV62" s="3395"/>
      <c r="BW62" s="3395"/>
      <c r="BX62" s="3395"/>
      <c r="BY62" s="3395"/>
      <c r="BZ62" s="3395"/>
      <c r="CA62" s="3395"/>
      <c r="CB62" s="3395"/>
      <c r="CC62" s="3395"/>
      <c r="CD62" s="3395"/>
      <c r="CE62" s="3395"/>
      <c r="CF62" s="3395"/>
      <c r="CG62" s="3395"/>
      <c r="CH62" s="3395"/>
      <c r="CI62" s="3395"/>
      <c r="CJ62" s="3395"/>
      <c r="CK62" s="3395"/>
      <c r="CL62" s="3395"/>
      <c r="CM62" s="3395"/>
      <c r="CN62" s="3395"/>
      <c r="CO62" s="3395"/>
      <c r="CP62" s="3395"/>
      <c r="CQ62" s="3395"/>
      <c r="CR62" s="3395"/>
      <c r="CS62" s="3395"/>
      <c r="CT62" s="3395"/>
      <c r="CU62" s="3395"/>
      <c r="CV62" s="3395"/>
      <c r="CW62" s="3395"/>
      <c r="CX62" s="3395"/>
      <c r="CY62" s="3395"/>
      <c r="CZ62" s="3395"/>
      <c r="DA62" s="3395"/>
      <c r="DB62" s="3395"/>
      <c r="DC62" s="3395"/>
      <c r="DD62" s="3395"/>
      <c r="DE62" s="3395"/>
      <c r="DF62" s="3395"/>
      <c r="DG62" s="3395"/>
      <c r="DH62" s="3395"/>
      <c r="DI62" s="3395"/>
      <c r="DJ62" s="3395"/>
      <c r="DK62" s="3395"/>
      <c r="DL62" s="3395"/>
      <c r="DM62" s="3395"/>
      <c r="DN62" s="3395"/>
      <c r="DO62" s="3395"/>
      <c r="DP62" s="3395"/>
      <c r="DQ62" s="3395"/>
      <c r="DR62" s="3395"/>
      <c r="DS62" s="3395"/>
    </row>
    <row r="63" hidden="1" spans="1:123">
      <c r="A63" s="3395"/>
      <c r="B63" s="3395"/>
      <c r="C63" s="3395"/>
      <c r="D63" s="3395"/>
      <c r="E63" s="3395"/>
      <c r="F63" s="3395"/>
      <c r="G63" s="3395"/>
      <c r="H63" s="3395"/>
      <c r="I63" s="3395"/>
      <c r="J63" s="3395"/>
      <c r="K63" s="3395"/>
      <c r="L63" s="3395"/>
      <c r="M63" s="3395"/>
      <c r="N63" s="3395"/>
      <c r="O63" s="3395"/>
      <c r="P63" s="3395"/>
      <c r="Q63" s="3395"/>
      <c r="R63" s="3395"/>
      <c r="S63" s="3395"/>
      <c r="T63" s="3395"/>
      <c r="U63" s="3395"/>
      <c r="V63" s="3395"/>
      <c r="W63" s="3395"/>
      <c r="X63" s="3395"/>
      <c r="Y63" s="3395"/>
      <c r="Z63" s="3395"/>
      <c r="AA63" s="3395"/>
      <c r="AB63" s="3395"/>
      <c r="AC63" s="3395"/>
      <c r="AD63" s="3395"/>
      <c r="AE63" s="3395"/>
      <c r="AF63" s="3395"/>
      <c r="AG63" s="3395"/>
      <c r="AH63" s="3395"/>
      <c r="AI63" s="3395"/>
      <c r="AJ63" s="3395"/>
      <c r="AK63" s="3395"/>
      <c r="AL63" s="3395"/>
      <c r="AM63" s="3395"/>
      <c r="AN63" s="3395"/>
      <c r="AO63" s="3395"/>
      <c r="AP63" s="3395"/>
      <c r="AQ63" s="3395"/>
      <c r="AR63" s="3395"/>
      <c r="AS63" s="4280"/>
      <c r="AT63" s="4201"/>
      <c r="AU63" s="4201"/>
      <c r="AV63" s="4201"/>
      <c r="AW63" s="4201"/>
      <c r="AX63" s="4201"/>
      <c r="AY63" s="4201"/>
      <c r="AZ63" s="4201"/>
      <c r="BA63" s="4201"/>
      <c r="BB63" s="4201"/>
      <c r="BC63" s="4201"/>
      <c r="BD63" s="4201"/>
      <c r="BE63" s="4201"/>
      <c r="BF63" s="3395"/>
      <c r="BG63" s="3395"/>
      <c r="BH63" s="3395"/>
      <c r="BI63" s="3395"/>
      <c r="BJ63" s="3395"/>
      <c r="BK63" s="3395"/>
      <c r="BL63" s="3395"/>
      <c r="BM63" s="3395"/>
      <c r="BN63" s="3395"/>
      <c r="BO63" s="3395"/>
      <c r="BP63" s="3395"/>
      <c r="BQ63" s="3395"/>
      <c r="BR63" s="3395"/>
      <c r="BS63" s="3395"/>
      <c r="BT63" s="3395"/>
      <c r="BU63" s="3395"/>
      <c r="BV63" s="3395"/>
      <c r="BW63" s="3395"/>
      <c r="BX63" s="3395"/>
      <c r="BY63" s="3395"/>
      <c r="BZ63" s="3395"/>
      <c r="CA63" s="3395"/>
      <c r="CB63" s="3395"/>
      <c r="CC63" s="3395"/>
      <c r="CD63" s="3395"/>
      <c r="CE63" s="3395"/>
      <c r="CF63" s="3395"/>
      <c r="CG63" s="3395"/>
      <c r="CH63" s="3395"/>
      <c r="CI63" s="3395"/>
      <c r="CJ63" s="3395"/>
      <c r="CK63" s="3395"/>
      <c r="CL63" s="3395"/>
      <c r="CM63" s="3395"/>
      <c r="CN63" s="3395"/>
      <c r="CO63" s="3395"/>
      <c r="CP63" s="3395"/>
      <c r="CQ63" s="3395"/>
      <c r="CR63" s="3395"/>
      <c r="CS63" s="3395"/>
      <c r="CT63" s="3395"/>
      <c r="CU63" s="3395"/>
      <c r="CV63" s="3395"/>
      <c r="CW63" s="3395"/>
      <c r="CX63" s="3395"/>
      <c r="CY63" s="3395"/>
      <c r="CZ63" s="3395"/>
      <c r="DA63" s="3395"/>
      <c r="DB63" s="3395"/>
      <c r="DC63" s="3395"/>
      <c r="DD63" s="3395"/>
      <c r="DE63" s="3395"/>
      <c r="DF63" s="3395"/>
      <c r="DG63" s="3395"/>
      <c r="DH63" s="3395"/>
      <c r="DI63" s="3395"/>
      <c r="DJ63" s="3395"/>
      <c r="DK63" s="3395"/>
      <c r="DL63" s="3395"/>
      <c r="DM63" s="3395"/>
      <c r="DN63" s="3395"/>
      <c r="DO63" s="3395"/>
      <c r="DP63" s="3395"/>
      <c r="DQ63" s="3395"/>
      <c r="DR63" s="3395"/>
      <c r="DS63" s="3395"/>
    </row>
    <row r="64" hidden="1" spans="1:123">
      <c r="A64" s="3395"/>
      <c r="B64" s="3395"/>
      <c r="C64" s="3395"/>
      <c r="D64" s="3395"/>
      <c r="E64" s="3395"/>
      <c r="F64" s="3395"/>
      <c r="G64" s="3395"/>
      <c r="H64" s="3395"/>
      <c r="I64" s="3395"/>
      <c r="J64" s="3395"/>
      <c r="K64" s="3395"/>
      <c r="L64" s="3395"/>
      <c r="M64" s="3395"/>
      <c r="N64" s="3395"/>
      <c r="O64" s="3395"/>
      <c r="P64" s="3395"/>
      <c r="Q64" s="3395"/>
      <c r="R64" s="3395"/>
      <c r="S64" s="3395"/>
      <c r="T64" s="3395"/>
      <c r="U64" s="3395"/>
      <c r="V64" s="3395"/>
      <c r="W64" s="3395"/>
      <c r="X64" s="3395"/>
      <c r="Y64" s="3395"/>
      <c r="Z64" s="3395"/>
      <c r="AA64" s="3395"/>
      <c r="AB64" s="3395"/>
      <c r="AC64" s="3395"/>
      <c r="AD64" s="3395"/>
      <c r="AE64" s="3395"/>
      <c r="AF64" s="3395"/>
      <c r="AG64" s="3395"/>
      <c r="AH64" s="3395"/>
      <c r="AI64" s="3395"/>
      <c r="AJ64" s="3395"/>
      <c r="AK64" s="3395"/>
      <c r="AL64" s="3395"/>
      <c r="AM64" s="3395"/>
      <c r="AN64" s="3395"/>
      <c r="AO64" s="3395"/>
      <c r="AP64" s="3395"/>
      <c r="AQ64" s="3395"/>
      <c r="AR64" s="3395"/>
      <c r="AS64" s="4280"/>
      <c r="AT64" s="4201"/>
      <c r="AU64" s="4201"/>
      <c r="AV64" s="4201"/>
      <c r="AW64" s="4201"/>
      <c r="AX64" s="4201"/>
      <c r="AY64" s="4201"/>
      <c r="AZ64" s="4201"/>
      <c r="BA64" s="4201"/>
      <c r="BB64" s="4201"/>
      <c r="BC64" s="4201"/>
      <c r="BD64" s="4201"/>
      <c r="BE64" s="4201"/>
      <c r="BF64" s="3395"/>
      <c r="BG64" s="3395"/>
      <c r="BH64" s="3395"/>
      <c r="BI64" s="3395"/>
      <c r="BJ64" s="3395"/>
      <c r="BK64" s="3395"/>
      <c r="BL64" s="3395"/>
      <c r="BM64" s="3395"/>
      <c r="BN64" s="3395"/>
      <c r="BO64" s="3395"/>
      <c r="BP64" s="3395"/>
      <c r="BQ64" s="3395"/>
      <c r="BR64" s="3395"/>
      <c r="BS64" s="3395"/>
      <c r="BT64" s="3395"/>
      <c r="BU64" s="3395"/>
      <c r="BV64" s="3395"/>
      <c r="BW64" s="3395"/>
      <c r="BX64" s="3395"/>
      <c r="BY64" s="3395"/>
      <c r="BZ64" s="3395"/>
      <c r="CA64" s="3395"/>
      <c r="CB64" s="3395"/>
      <c r="CC64" s="3395"/>
      <c r="CD64" s="3395"/>
      <c r="CE64" s="3395"/>
      <c r="CF64" s="3395"/>
      <c r="CG64" s="3395"/>
      <c r="CH64" s="3395"/>
      <c r="CI64" s="3395"/>
      <c r="CJ64" s="3395"/>
      <c r="CK64" s="3395"/>
      <c r="CL64" s="3395"/>
      <c r="CM64" s="3395"/>
      <c r="CN64" s="3395"/>
      <c r="CO64" s="3395"/>
      <c r="CP64" s="3395"/>
      <c r="CQ64" s="3395"/>
      <c r="CR64" s="3395"/>
      <c r="CS64" s="3395"/>
      <c r="CT64" s="3395"/>
      <c r="CU64" s="3395"/>
      <c r="CV64" s="3395"/>
      <c r="CW64" s="3395"/>
      <c r="CX64" s="3395"/>
      <c r="CY64" s="3395"/>
      <c r="CZ64" s="3395"/>
      <c r="DA64" s="3395"/>
      <c r="DB64" s="3395"/>
      <c r="DC64" s="3395"/>
      <c r="DD64" s="3395"/>
      <c r="DE64" s="3395"/>
      <c r="DF64" s="3395"/>
      <c r="DG64" s="3395"/>
      <c r="DH64" s="3395"/>
      <c r="DI64" s="3395"/>
      <c r="DJ64" s="3395"/>
      <c r="DK64" s="3395"/>
      <c r="DL64" s="3395"/>
      <c r="DM64" s="3395"/>
      <c r="DN64" s="3395"/>
      <c r="DO64" s="3395"/>
      <c r="DP64" s="3395"/>
      <c r="DQ64" s="3395"/>
      <c r="DR64" s="3395"/>
      <c r="DS64" s="3395"/>
    </row>
    <row r="65" hidden="1" spans="1:123">
      <c r="A65" s="3395"/>
      <c r="B65" s="3395"/>
      <c r="C65" s="3395"/>
      <c r="D65" s="3395"/>
      <c r="E65" s="3395"/>
      <c r="F65" s="3395"/>
      <c r="G65" s="3395"/>
      <c r="H65" s="3395"/>
      <c r="I65" s="3395"/>
      <c r="J65" s="3395"/>
      <c r="K65" s="3395"/>
      <c r="L65" s="3395"/>
      <c r="M65" s="3395"/>
      <c r="N65" s="3395"/>
      <c r="O65" s="3395"/>
      <c r="P65" s="3395"/>
      <c r="Q65" s="3395"/>
      <c r="R65" s="3395"/>
      <c r="S65" s="3395"/>
      <c r="T65" s="3395"/>
      <c r="U65" s="3395"/>
      <c r="V65" s="3395"/>
      <c r="W65" s="3395"/>
      <c r="X65" s="3395"/>
      <c r="Y65" s="3395"/>
      <c r="Z65" s="3395"/>
      <c r="AA65" s="3395"/>
      <c r="AB65" s="3395"/>
      <c r="AC65" s="3395"/>
      <c r="AD65" s="3395"/>
      <c r="AE65" s="3395"/>
      <c r="AF65" s="3395"/>
      <c r="AG65" s="3395"/>
      <c r="AH65" s="3395"/>
      <c r="AI65" s="3395"/>
      <c r="AJ65" s="3395"/>
      <c r="AK65" s="3395"/>
      <c r="AL65" s="3395"/>
      <c r="AM65" s="3395"/>
      <c r="AN65" s="3395"/>
      <c r="AO65" s="3395"/>
      <c r="AP65" s="3395"/>
      <c r="AQ65" s="3395"/>
      <c r="AR65" s="3395"/>
      <c r="AS65" s="4280"/>
      <c r="AT65" s="4201"/>
      <c r="AU65" s="4201"/>
      <c r="AV65" s="4201"/>
      <c r="AW65" s="4201"/>
      <c r="AX65" s="4201"/>
      <c r="AY65" s="4201"/>
      <c r="AZ65" s="4201"/>
      <c r="BA65" s="4201"/>
      <c r="BB65" s="4201"/>
      <c r="BC65" s="4201"/>
      <c r="BD65" s="4201"/>
      <c r="BE65" s="4201"/>
      <c r="BF65" s="3395"/>
      <c r="BG65" s="3395"/>
      <c r="BH65" s="3395"/>
      <c r="BI65" s="3395"/>
      <c r="BJ65" s="3395"/>
      <c r="BK65" s="3395"/>
      <c r="BL65" s="3395"/>
      <c r="BM65" s="3395"/>
      <c r="BN65" s="3395"/>
      <c r="BO65" s="3395"/>
      <c r="BP65" s="3395"/>
      <c r="BQ65" s="3395"/>
      <c r="BR65" s="3395"/>
      <c r="BS65" s="3395"/>
      <c r="BT65" s="3395"/>
      <c r="BU65" s="3395"/>
      <c r="BV65" s="3395"/>
      <c r="BW65" s="3395"/>
      <c r="BX65" s="3395"/>
      <c r="BY65" s="3395"/>
      <c r="BZ65" s="3395"/>
      <c r="CA65" s="3395"/>
      <c r="CB65" s="3395"/>
      <c r="CC65" s="3395"/>
      <c r="CD65" s="3395"/>
      <c r="CE65" s="3395"/>
      <c r="CF65" s="3395"/>
      <c r="CG65" s="3395"/>
      <c r="CH65" s="3395"/>
      <c r="CI65" s="3395"/>
      <c r="CJ65" s="3395"/>
      <c r="CK65" s="3395"/>
      <c r="CL65" s="3395"/>
      <c r="CM65" s="3395"/>
      <c r="CN65" s="3395"/>
      <c r="CO65" s="3395"/>
      <c r="CP65" s="3395"/>
      <c r="CQ65" s="3395"/>
      <c r="CR65" s="3395"/>
      <c r="CS65" s="3395"/>
      <c r="CT65" s="3395"/>
      <c r="CU65" s="3395"/>
      <c r="CV65" s="3395"/>
      <c r="CW65" s="3395"/>
      <c r="CX65" s="3395"/>
      <c r="CY65" s="3395"/>
      <c r="CZ65" s="3395"/>
      <c r="DA65" s="3395"/>
      <c r="DB65" s="3395"/>
      <c r="DC65" s="3395"/>
      <c r="DD65" s="3395"/>
      <c r="DE65" s="3395"/>
      <c r="DF65" s="3395"/>
      <c r="DG65" s="3395"/>
      <c r="DH65" s="3395"/>
      <c r="DI65" s="3395"/>
      <c r="DJ65" s="3395"/>
      <c r="DK65" s="3395"/>
      <c r="DL65" s="3395"/>
      <c r="DM65" s="3395"/>
      <c r="DN65" s="3395"/>
      <c r="DO65" s="3395"/>
      <c r="DP65" s="3395"/>
      <c r="DQ65" s="3395"/>
      <c r="DR65" s="3395"/>
      <c r="DS65" s="3395"/>
    </row>
    <row r="66" hidden="1" spans="1:123">
      <c r="A66" s="3395"/>
      <c r="B66" s="3395"/>
      <c r="C66" s="3395"/>
      <c r="D66" s="3395"/>
      <c r="E66" s="3395"/>
      <c r="F66" s="3395"/>
      <c r="G66" s="3395"/>
      <c r="H66" s="3395"/>
      <c r="I66" s="3395"/>
      <c r="J66" s="3395"/>
      <c r="K66" s="3395"/>
      <c r="L66" s="3395"/>
      <c r="M66" s="3395"/>
      <c r="N66" s="3395"/>
      <c r="O66" s="3395"/>
      <c r="P66" s="3395"/>
      <c r="Q66" s="3395"/>
      <c r="R66" s="3395"/>
      <c r="S66" s="3395"/>
      <c r="T66" s="3395"/>
      <c r="U66" s="3395"/>
      <c r="V66" s="3395"/>
      <c r="W66" s="3395"/>
      <c r="X66" s="3395"/>
      <c r="Y66" s="3395"/>
      <c r="Z66" s="3395"/>
      <c r="AA66" s="3395"/>
      <c r="AB66" s="3395"/>
      <c r="AC66" s="3395"/>
      <c r="AD66" s="3395"/>
      <c r="AE66" s="3395"/>
      <c r="AF66" s="3395"/>
      <c r="AG66" s="3395"/>
      <c r="AH66" s="3395"/>
      <c r="AI66" s="3395"/>
      <c r="AJ66" s="3395"/>
      <c r="AK66" s="3395"/>
      <c r="AL66" s="3395"/>
      <c r="AM66" s="3395"/>
      <c r="AN66" s="3395"/>
      <c r="AO66" s="3395"/>
      <c r="AP66" s="3395"/>
      <c r="AQ66" s="3395"/>
      <c r="AR66" s="3395"/>
      <c r="AS66" s="4280"/>
      <c r="AT66" s="4201"/>
      <c r="AU66" s="4201"/>
      <c r="AV66" s="4201"/>
      <c r="AW66" s="4201"/>
      <c r="AX66" s="4201"/>
      <c r="AY66" s="4201"/>
      <c r="AZ66" s="4201"/>
      <c r="BA66" s="4201"/>
      <c r="BB66" s="4201"/>
      <c r="BC66" s="4201"/>
      <c r="BD66" s="4201"/>
      <c r="BE66" s="4201"/>
      <c r="BF66" s="3395"/>
      <c r="BG66" s="3395"/>
      <c r="BH66" s="3395"/>
      <c r="BI66" s="3395"/>
      <c r="BJ66" s="3395"/>
      <c r="BK66" s="3395"/>
      <c r="BL66" s="3395"/>
      <c r="BM66" s="3395"/>
      <c r="BN66" s="3395"/>
      <c r="BO66" s="3395"/>
      <c r="BP66" s="3395"/>
      <c r="BQ66" s="3395"/>
      <c r="BR66" s="3395"/>
      <c r="BS66" s="3395"/>
      <c r="BT66" s="3395"/>
      <c r="BU66" s="3395"/>
      <c r="BV66" s="3395"/>
      <c r="BW66" s="3395"/>
      <c r="BX66" s="3395"/>
      <c r="BY66" s="3395"/>
      <c r="BZ66" s="3395"/>
      <c r="CA66" s="3395"/>
      <c r="CB66" s="3395"/>
      <c r="CC66" s="3395"/>
      <c r="CD66" s="3395"/>
      <c r="CE66" s="3395"/>
      <c r="CF66" s="3395"/>
      <c r="CG66" s="3395"/>
      <c r="CH66" s="3395"/>
      <c r="CI66" s="3395"/>
      <c r="CJ66" s="3395"/>
      <c r="CK66" s="3395"/>
      <c r="CL66" s="3395"/>
      <c r="CM66" s="3395"/>
      <c r="CN66" s="3395"/>
      <c r="CO66" s="3395"/>
      <c r="CP66" s="3395"/>
      <c r="CQ66" s="3395"/>
      <c r="CR66" s="3395"/>
      <c r="CS66" s="3395"/>
      <c r="CT66" s="3395"/>
      <c r="CU66" s="3395"/>
      <c r="CV66" s="3395"/>
      <c r="CW66" s="3395"/>
      <c r="CX66" s="3395"/>
      <c r="CY66" s="3395"/>
      <c r="CZ66" s="3395"/>
      <c r="DA66" s="3395"/>
      <c r="DB66" s="3395"/>
      <c r="DC66" s="3395"/>
      <c r="DD66" s="3395"/>
      <c r="DE66" s="3395"/>
      <c r="DF66" s="3395"/>
      <c r="DG66" s="3395"/>
      <c r="DH66" s="3395"/>
      <c r="DI66" s="3395"/>
      <c r="DJ66" s="3395"/>
      <c r="DK66" s="3395"/>
      <c r="DL66" s="3395"/>
      <c r="DM66" s="3395"/>
      <c r="DN66" s="3395"/>
      <c r="DO66" s="3395"/>
      <c r="DP66" s="3395"/>
      <c r="DQ66" s="3395"/>
      <c r="DR66" s="3395"/>
      <c r="DS66" s="3395"/>
    </row>
    <row r="67" hidden="1" spans="1:123">
      <c r="A67" s="3395"/>
      <c r="B67" s="3395"/>
      <c r="C67" s="3395"/>
      <c r="D67" s="3395"/>
      <c r="E67" s="3395"/>
      <c r="F67" s="3395"/>
      <c r="G67" s="3395"/>
      <c r="H67" s="3395"/>
      <c r="I67" s="3395"/>
      <c r="J67" s="3395"/>
      <c r="K67" s="3395"/>
      <c r="L67" s="3395"/>
      <c r="M67" s="3395"/>
      <c r="N67" s="3395"/>
      <c r="O67" s="3395"/>
      <c r="P67" s="3395"/>
      <c r="Q67" s="3395"/>
      <c r="R67" s="3395"/>
      <c r="S67" s="3395"/>
      <c r="T67" s="3395"/>
      <c r="U67" s="3395"/>
      <c r="V67" s="3395"/>
      <c r="W67" s="3395"/>
      <c r="X67" s="3395"/>
      <c r="Y67" s="3395"/>
      <c r="Z67" s="3395"/>
      <c r="AA67" s="3395"/>
      <c r="AB67" s="3395"/>
      <c r="AC67" s="3395"/>
      <c r="AD67" s="3395"/>
      <c r="AE67" s="3395"/>
      <c r="AF67" s="3395"/>
      <c r="AG67" s="3395"/>
      <c r="AH67" s="3395"/>
      <c r="AI67" s="3395"/>
      <c r="AJ67" s="3395"/>
      <c r="AK67" s="3395"/>
      <c r="AL67" s="3395"/>
      <c r="AM67" s="3395"/>
      <c r="AN67" s="3395"/>
      <c r="AO67" s="3395"/>
      <c r="AP67" s="3395"/>
      <c r="AQ67" s="3395"/>
      <c r="AR67" s="3395"/>
      <c r="AS67" s="4280"/>
      <c r="AT67" s="4201"/>
      <c r="AU67" s="4201"/>
      <c r="AV67" s="4201"/>
      <c r="AW67" s="4201"/>
      <c r="AX67" s="4201"/>
      <c r="AY67" s="4201"/>
      <c r="AZ67" s="4201"/>
      <c r="BA67" s="4201"/>
      <c r="BB67" s="4201"/>
      <c r="BC67" s="4201"/>
      <c r="BD67" s="4201"/>
      <c r="BE67" s="4201"/>
      <c r="BF67" s="3395"/>
      <c r="BG67" s="3395"/>
      <c r="BH67" s="3395"/>
      <c r="BI67" s="3395"/>
      <c r="BJ67" s="3395"/>
      <c r="BK67" s="3395"/>
      <c r="BL67" s="3395"/>
      <c r="BM67" s="3395"/>
      <c r="BN67" s="3395"/>
      <c r="BO67" s="3395"/>
      <c r="BP67" s="3395"/>
      <c r="BQ67" s="3395"/>
      <c r="BR67" s="3395"/>
      <c r="BS67" s="3395"/>
      <c r="BT67" s="3395"/>
      <c r="BU67" s="3395"/>
      <c r="BV67" s="3395"/>
      <c r="BW67" s="3395"/>
      <c r="BX67" s="3395"/>
      <c r="BY67" s="3395"/>
      <c r="BZ67" s="3395"/>
      <c r="CA67" s="3395"/>
      <c r="CB67" s="3395"/>
      <c r="CC67" s="3395"/>
      <c r="CD67" s="3395"/>
      <c r="CE67" s="3395"/>
      <c r="CF67" s="3395"/>
      <c r="CG67" s="3395"/>
      <c r="CH67" s="3395"/>
      <c r="CI67" s="3395"/>
      <c r="CJ67" s="3395"/>
      <c r="CK67" s="3395"/>
      <c r="CL67" s="3395"/>
      <c r="CM67" s="3395"/>
      <c r="CN67" s="3395"/>
      <c r="CO67" s="3395"/>
      <c r="CP67" s="3395"/>
      <c r="CQ67" s="3395"/>
      <c r="CR67" s="3395"/>
      <c r="CS67" s="3395"/>
      <c r="CT67" s="3395"/>
      <c r="CU67" s="3395"/>
      <c r="CV67" s="3395"/>
      <c r="CW67" s="3395"/>
      <c r="CX67" s="3395"/>
      <c r="CY67" s="3395"/>
      <c r="CZ67" s="3395"/>
      <c r="DA67" s="3395"/>
      <c r="DB67" s="3395"/>
      <c r="DC67" s="3395"/>
      <c r="DD67" s="3395"/>
      <c r="DE67" s="3395"/>
      <c r="DF67" s="3395"/>
      <c r="DG67" s="3395"/>
      <c r="DH67" s="3395"/>
      <c r="DI67" s="3395"/>
      <c r="DJ67" s="3395"/>
      <c r="DK67" s="3395"/>
      <c r="DL67" s="3395"/>
      <c r="DM67" s="3395"/>
      <c r="DN67" s="3395"/>
      <c r="DO67" s="3395"/>
      <c r="DP67" s="3395"/>
      <c r="DQ67" s="3395"/>
      <c r="DR67" s="3395"/>
      <c r="DS67" s="3395"/>
    </row>
    <row r="68" hidden="1" spans="1:123">
      <c r="A68" s="3395"/>
      <c r="B68" s="3395"/>
      <c r="C68" s="3395"/>
      <c r="D68" s="3395"/>
      <c r="E68" s="3395"/>
      <c r="F68" s="3395"/>
      <c r="G68" s="3395"/>
      <c r="H68" s="3395"/>
      <c r="I68" s="3395"/>
      <c r="J68" s="3395"/>
      <c r="K68" s="3395"/>
      <c r="L68" s="3395"/>
      <c r="M68" s="3395"/>
      <c r="N68" s="3395"/>
      <c r="O68" s="3395"/>
      <c r="P68" s="3395"/>
      <c r="Q68" s="3395"/>
      <c r="R68" s="3395"/>
      <c r="S68" s="3395"/>
      <c r="T68" s="3395"/>
      <c r="U68" s="3395"/>
      <c r="V68" s="3395"/>
      <c r="W68" s="3395"/>
      <c r="X68" s="3395"/>
      <c r="Y68" s="3395"/>
      <c r="Z68" s="3395"/>
      <c r="AA68" s="3395"/>
      <c r="AB68" s="3395"/>
      <c r="AC68" s="3395"/>
      <c r="AD68" s="3395"/>
      <c r="AE68" s="3395"/>
      <c r="AF68" s="3395"/>
      <c r="AG68" s="3395"/>
      <c r="AH68" s="3395"/>
      <c r="AI68" s="3395"/>
      <c r="AJ68" s="3395"/>
      <c r="AK68" s="3395"/>
      <c r="AL68" s="3395"/>
      <c r="AM68" s="3395"/>
      <c r="AN68" s="3395"/>
      <c r="AO68" s="3395"/>
      <c r="AP68" s="3395"/>
      <c r="AQ68" s="3395"/>
      <c r="AR68" s="3395"/>
      <c r="AS68" s="4280"/>
      <c r="AT68" s="4201"/>
      <c r="AU68" s="4201"/>
      <c r="AV68" s="4201"/>
      <c r="AW68" s="4201"/>
      <c r="AX68" s="4201"/>
      <c r="AY68" s="4201"/>
      <c r="AZ68" s="4201"/>
      <c r="BA68" s="4201"/>
      <c r="BB68" s="4201"/>
      <c r="BC68" s="4201"/>
      <c r="BD68" s="4201"/>
      <c r="BE68" s="4201"/>
      <c r="BF68" s="3395"/>
      <c r="BG68" s="3395"/>
      <c r="BH68" s="3395"/>
      <c r="BI68" s="3395"/>
      <c r="BJ68" s="3395"/>
      <c r="BK68" s="3395"/>
      <c r="BL68" s="3395"/>
      <c r="BM68" s="3395"/>
      <c r="BN68" s="3395"/>
      <c r="BO68" s="3395"/>
      <c r="BP68" s="3395"/>
      <c r="BQ68" s="3395"/>
      <c r="BR68" s="3395"/>
      <c r="BS68" s="3395"/>
      <c r="BT68" s="3395"/>
      <c r="BU68" s="3395"/>
      <c r="BV68" s="3395"/>
      <c r="BW68" s="3395"/>
      <c r="BX68" s="3395"/>
      <c r="BY68" s="3395"/>
      <c r="BZ68" s="3395"/>
      <c r="CA68" s="3395"/>
      <c r="CB68" s="3395"/>
      <c r="CC68" s="3395"/>
      <c r="CD68" s="3395"/>
      <c r="CE68" s="3395"/>
      <c r="CF68" s="3395"/>
      <c r="CG68" s="3395"/>
      <c r="CH68" s="3395"/>
      <c r="CI68" s="3395"/>
      <c r="CJ68" s="3395"/>
      <c r="CK68" s="3395"/>
      <c r="CL68" s="3395"/>
      <c r="CM68" s="3395"/>
      <c r="CN68" s="3395"/>
      <c r="CO68" s="3395"/>
      <c r="CP68" s="3395"/>
      <c r="CQ68" s="3395"/>
      <c r="CR68" s="3395"/>
      <c r="CS68" s="3395"/>
      <c r="CT68" s="3395"/>
      <c r="CU68" s="3395"/>
      <c r="CV68" s="3395"/>
      <c r="CW68" s="3395"/>
      <c r="CX68" s="3395"/>
      <c r="CY68" s="3395"/>
      <c r="CZ68" s="3395"/>
      <c r="DA68" s="3395"/>
      <c r="DB68" s="3395"/>
      <c r="DC68" s="3395"/>
      <c r="DD68" s="3395"/>
      <c r="DE68" s="3395"/>
      <c r="DF68" s="3395"/>
      <c r="DG68" s="3395"/>
      <c r="DH68" s="3395"/>
      <c r="DI68" s="3395"/>
      <c r="DJ68" s="3395"/>
      <c r="DK68" s="3395"/>
      <c r="DL68" s="3395"/>
      <c r="DM68" s="3395"/>
      <c r="DN68" s="3395"/>
      <c r="DO68" s="3395"/>
      <c r="DP68" s="3395"/>
      <c r="DQ68" s="3395"/>
      <c r="DR68" s="3395"/>
      <c r="DS68" s="3395"/>
    </row>
    <row r="69" hidden="1" spans="1:123">
      <c r="A69" s="3395"/>
      <c r="B69" s="3395"/>
      <c r="C69" s="3395"/>
      <c r="D69" s="3395"/>
      <c r="E69" s="3395"/>
      <c r="F69" s="3395"/>
      <c r="G69" s="3395"/>
      <c r="H69" s="3395"/>
      <c r="I69" s="3395"/>
      <c r="J69" s="3395"/>
      <c r="K69" s="3395"/>
      <c r="L69" s="3395"/>
      <c r="M69" s="3395"/>
      <c r="N69" s="3395"/>
      <c r="O69" s="3395"/>
      <c r="P69" s="3395"/>
      <c r="Q69" s="3395"/>
      <c r="R69" s="3395"/>
      <c r="S69" s="3395"/>
      <c r="T69" s="3395"/>
      <c r="U69" s="3395"/>
      <c r="V69" s="3395"/>
      <c r="W69" s="3395"/>
      <c r="X69" s="3395"/>
      <c r="Y69" s="3395"/>
      <c r="Z69" s="3395"/>
      <c r="AA69" s="3395"/>
      <c r="AB69" s="3395"/>
      <c r="AC69" s="3395"/>
      <c r="AD69" s="3395"/>
      <c r="AE69" s="3395"/>
      <c r="AF69" s="3395"/>
      <c r="AG69" s="3395"/>
      <c r="AH69" s="3395"/>
      <c r="AI69" s="3395"/>
      <c r="AJ69" s="3395"/>
      <c r="AK69" s="3395"/>
      <c r="AL69" s="3395"/>
      <c r="AM69" s="3395"/>
      <c r="AN69" s="3395"/>
      <c r="AO69" s="3395"/>
      <c r="AP69" s="3395"/>
      <c r="AQ69" s="3395"/>
      <c r="AR69" s="3395"/>
      <c r="AS69" s="4280"/>
      <c r="AT69" s="4201"/>
      <c r="AU69" s="4201"/>
      <c r="AV69" s="4201"/>
      <c r="AW69" s="4201"/>
      <c r="AX69" s="4201"/>
      <c r="AY69" s="4201"/>
      <c r="AZ69" s="4201"/>
      <c r="BA69" s="4201"/>
      <c r="BB69" s="4201"/>
      <c r="BC69" s="4201"/>
      <c r="BD69" s="4201"/>
      <c r="BE69" s="4201"/>
      <c r="BF69" s="3395"/>
      <c r="BG69" s="3395"/>
      <c r="BH69" s="3395"/>
      <c r="BI69" s="3395"/>
      <c r="BJ69" s="3395"/>
      <c r="BK69" s="3395"/>
      <c r="BL69" s="3395"/>
      <c r="BM69" s="3395"/>
      <c r="BN69" s="3395"/>
      <c r="BO69" s="3395"/>
      <c r="BP69" s="3395"/>
      <c r="BQ69" s="3395"/>
      <c r="BR69" s="3395"/>
      <c r="BS69" s="3395"/>
      <c r="BT69" s="3395"/>
      <c r="BU69" s="3395"/>
      <c r="BV69" s="3395"/>
      <c r="BW69" s="3395"/>
      <c r="BX69" s="3395"/>
      <c r="BY69" s="3395"/>
      <c r="BZ69" s="3395"/>
      <c r="CA69" s="3395"/>
      <c r="CB69" s="3395"/>
      <c r="CC69" s="3395"/>
      <c r="CD69" s="3395"/>
      <c r="CE69" s="3395"/>
      <c r="CF69" s="3395"/>
      <c r="CG69" s="3395"/>
      <c r="CH69" s="3395"/>
      <c r="CI69" s="3395"/>
      <c r="CJ69" s="3395"/>
      <c r="CK69" s="3395"/>
      <c r="CL69" s="3395"/>
      <c r="CM69" s="3395"/>
      <c r="CN69" s="3395"/>
      <c r="CO69" s="3395"/>
      <c r="CP69" s="3395"/>
      <c r="CQ69" s="3395"/>
      <c r="CR69" s="3395"/>
      <c r="CS69" s="3395"/>
      <c r="CT69" s="3395"/>
      <c r="CU69" s="3395"/>
      <c r="CV69" s="3395"/>
      <c r="CW69" s="3395"/>
      <c r="CX69" s="3395"/>
      <c r="CY69" s="3395"/>
      <c r="CZ69" s="3395"/>
      <c r="DA69" s="3395"/>
      <c r="DB69" s="3395"/>
      <c r="DC69" s="3395"/>
      <c r="DD69" s="3395"/>
      <c r="DE69" s="3395"/>
      <c r="DF69" s="3395"/>
      <c r="DG69" s="3395"/>
      <c r="DH69" s="3395"/>
      <c r="DI69" s="3395"/>
      <c r="DJ69" s="3395"/>
      <c r="DK69" s="3395"/>
      <c r="DL69" s="3395"/>
      <c r="DM69" s="3395"/>
      <c r="DN69" s="3395"/>
      <c r="DO69" s="3395"/>
      <c r="DP69" s="3395"/>
      <c r="DQ69" s="3395"/>
      <c r="DR69" s="3395"/>
      <c r="DS69" s="3395"/>
    </row>
    <row r="70" hidden="1" spans="1:123">
      <c r="A70" s="3395"/>
      <c r="B70" s="3395"/>
      <c r="C70" s="3395"/>
      <c r="D70" s="3395"/>
      <c r="E70" s="3395"/>
      <c r="F70" s="3395"/>
      <c r="G70" s="3395"/>
      <c r="H70" s="3395"/>
      <c r="I70" s="3395"/>
      <c r="J70" s="3395"/>
      <c r="K70" s="3395"/>
      <c r="L70" s="3395"/>
      <c r="M70" s="3395"/>
      <c r="N70" s="3395"/>
      <c r="O70" s="3395"/>
      <c r="P70" s="3395"/>
      <c r="Q70" s="3395"/>
      <c r="R70" s="3395"/>
      <c r="S70" s="3395"/>
      <c r="T70" s="3395"/>
      <c r="U70" s="3395"/>
      <c r="V70" s="3395"/>
      <c r="W70" s="3395"/>
      <c r="X70" s="3395"/>
      <c r="Y70" s="3395"/>
      <c r="Z70" s="3395"/>
      <c r="AA70" s="3395"/>
      <c r="AB70" s="3395"/>
      <c r="AC70" s="3395"/>
      <c r="AD70" s="3395"/>
      <c r="AE70" s="3395"/>
      <c r="AF70" s="3395"/>
      <c r="AG70" s="3395"/>
      <c r="AH70" s="3395"/>
      <c r="AI70" s="3395"/>
      <c r="AJ70" s="3395"/>
      <c r="AK70" s="3395"/>
      <c r="AL70" s="3395"/>
      <c r="AM70" s="3395"/>
      <c r="AN70" s="3395"/>
      <c r="AO70" s="3395"/>
      <c r="AP70" s="3395"/>
      <c r="AQ70" s="3395"/>
      <c r="AR70" s="3395"/>
      <c r="AS70" s="4280"/>
      <c r="AT70" s="4201"/>
      <c r="AU70" s="4201"/>
      <c r="AV70" s="4201"/>
      <c r="AW70" s="4201"/>
      <c r="AX70" s="4201"/>
      <c r="AY70" s="4201"/>
      <c r="AZ70" s="4201"/>
      <c r="BA70" s="4201"/>
      <c r="BB70" s="4201"/>
      <c r="BC70" s="4201"/>
      <c r="BD70" s="4201"/>
      <c r="BE70" s="4201"/>
      <c r="BF70" s="3395"/>
      <c r="BG70" s="3395"/>
      <c r="BH70" s="3395"/>
      <c r="BI70" s="3395"/>
      <c r="BJ70" s="3395"/>
      <c r="BK70" s="3395"/>
      <c r="BL70" s="3395"/>
      <c r="BM70" s="3395"/>
      <c r="BN70" s="3395"/>
      <c r="BO70" s="3395"/>
      <c r="BP70" s="3395"/>
      <c r="BQ70" s="3395"/>
      <c r="BR70" s="3395"/>
      <c r="BS70" s="3395"/>
      <c r="BT70" s="3395"/>
      <c r="BU70" s="3395"/>
      <c r="BV70" s="3395"/>
      <c r="BW70" s="3395"/>
      <c r="BX70" s="3395"/>
      <c r="BY70" s="3395"/>
      <c r="BZ70" s="3395"/>
      <c r="CA70" s="3395"/>
      <c r="CB70" s="3395"/>
      <c r="CC70" s="3395"/>
      <c r="CD70" s="3395"/>
      <c r="CE70" s="3395"/>
      <c r="CF70" s="3395"/>
      <c r="CG70" s="3395"/>
      <c r="CH70" s="3395"/>
      <c r="CI70" s="3395"/>
      <c r="CJ70" s="3395"/>
      <c r="CK70" s="3395"/>
      <c r="CL70" s="3395"/>
      <c r="CM70" s="3395"/>
      <c r="CN70" s="3395"/>
      <c r="CO70" s="3395"/>
      <c r="CP70" s="3395"/>
      <c r="CQ70" s="3395"/>
      <c r="CR70" s="3395"/>
      <c r="CS70" s="3395"/>
      <c r="CT70" s="3395"/>
      <c r="CU70" s="3395"/>
      <c r="CV70" s="3395"/>
      <c r="CW70" s="3395"/>
      <c r="CX70" s="3395"/>
      <c r="CY70" s="3395"/>
      <c r="CZ70" s="3395"/>
      <c r="DA70" s="3395"/>
      <c r="DB70" s="3395"/>
      <c r="DC70" s="3395"/>
      <c r="DD70" s="3395"/>
      <c r="DE70" s="3395"/>
      <c r="DF70" s="3395"/>
      <c r="DG70" s="3395"/>
      <c r="DH70" s="3395"/>
      <c r="DI70" s="3395"/>
      <c r="DJ70" s="3395"/>
      <c r="DK70" s="3395"/>
      <c r="DL70" s="3395"/>
      <c r="DM70" s="3395"/>
      <c r="DN70" s="3395"/>
      <c r="DO70" s="3395"/>
      <c r="DP70" s="3395"/>
      <c r="DQ70" s="3395"/>
      <c r="DR70" s="3395"/>
      <c r="DS70" s="3395"/>
    </row>
    <row r="71" hidden="1" spans="1:123">
      <c r="A71" s="3395"/>
      <c r="B71" s="3395"/>
      <c r="C71" s="3395"/>
      <c r="D71" s="3395"/>
      <c r="E71" s="3395"/>
      <c r="F71" s="3395"/>
      <c r="G71" s="3395"/>
      <c r="H71" s="3395"/>
      <c r="I71" s="3395"/>
      <c r="J71" s="3395"/>
      <c r="K71" s="3395"/>
      <c r="L71" s="3395"/>
      <c r="M71" s="3395"/>
      <c r="N71" s="3395"/>
      <c r="O71" s="3395"/>
      <c r="P71" s="3395"/>
      <c r="Q71" s="3395"/>
      <c r="R71" s="3395"/>
      <c r="S71" s="3395"/>
      <c r="T71" s="3395"/>
      <c r="U71" s="3395"/>
      <c r="V71" s="3395"/>
      <c r="W71" s="3395"/>
      <c r="X71" s="3395"/>
      <c r="Y71" s="3395"/>
      <c r="Z71" s="3395"/>
      <c r="AA71" s="3395"/>
      <c r="AB71" s="3395"/>
      <c r="AC71" s="3395"/>
      <c r="AD71" s="3395"/>
      <c r="AE71" s="3395"/>
      <c r="AF71" s="3395"/>
      <c r="AG71" s="3395"/>
      <c r="AH71" s="3395"/>
      <c r="AI71" s="3395"/>
      <c r="AJ71" s="3395"/>
      <c r="AK71" s="3395"/>
      <c r="AL71" s="3395"/>
      <c r="AM71" s="3395"/>
      <c r="AN71" s="3395"/>
      <c r="AO71" s="3395"/>
      <c r="AP71" s="3395"/>
      <c r="AQ71" s="3395"/>
      <c r="AR71" s="3395"/>
      <c r="AS71" s="4280"/>
      <c r="AT71" s="4201"/>
      <c r="AU71" s="4201"/>
      <c r="AV71" s="4201"/>
      <c r="AW71" s="4201"/>
      <c r="AX71" s="4201"/>
      <c r="AY71" s="4201"/>
      <c r="AZ71" s="4201"/>
      <c r="BA71" s="4201"/>
      <c r="BB71" s="4201"/>
      <c r="BC71" s="4201"/>
      <c r="BD71" s="4201"/>
      <c r="BE71" s="4201"/>
      <c r="BF71" s="3395"/>
      <c r="BG71" s="3395"/>
      <c r="BH71" s="3395"/>
      <c r="BI71" s="3395"/>
      <c r="BJ71" s="3395"/>
      <c r="BK71" s="3395"/>
      <c r="BL71" s="3395"/>
      <c r="BM71" s="3395"/>
      <c r="BN71" s="3395"/>
      <c r="BO71" s="3395"/>
      <c r="BP71" s="3395"/>
      <c r="BQ71" s="3395"/>
      <c r="BR71" s="3395"/>
      <c r="BS71" s="3395"/>
      <c r="BT71" s="3395"/>
      <c r="BU71" s="3395"/>
      <c r="BV71" s="3395"/>
      <c r="BW71" s="3395"/>
      <c r="BX71" s="3395"/>
      <c r="BY71" s="3395"/>
      <c r="BZ71" s="3395"/>
      <c r="CA71" s="3395"/>
      <c r="CB71" s="3395"/>
      <c r="CC71" s="3395"/>
      <c r="CD71" s="3395"/>
      <c r="CE71" s="3395"/>
      <c r="CF71" s="3395"/>
      <c r="CG71" s="3395"/>
      <c r="CH71" s="3395"/>
      <c r="CI71" s="3395"/>
      <c r="CJ71" s="3395"/>
      <c r="CK71" s="3395"/>
      <c r="CL71" s="3395"/>
      <c r="CM71" s="3395"/>
      <c r="CN71" s="3395"/>
      <c r="CO71" s="3395"/>
      <c r="CP71" s="3395"/>
      <c r="CQ71" s="3395"/>
      <c r="CR71" s="3395"/>
      <c r="CS71" s="3395"/>
      <c r="CT71" s="3395"/>
      <c r="CU71" s="3395"/>
      <c r="CV71" s="3395"/>
      <c r="CW71" s="3395"/>
      <c r="CX71" s="3395"/>
      <c r="CY71" s="3395"/>
      <c r="CZ71" s="3395"/>
      <c r="DA71" s="3395"/>
      <c r="DB71" s="3395"/>
      <c r="DC71" s="3395"/>
      <c r="DD71" s="3395"/>
      <c r="DE71" s="3395"/>
      <c r="DF71" s="3395"/>
      <c r="DG71" s="3395"/>
      <c r="DH71" s="3395"/>
      <c r="DI71" s="3395"/>
      <c r="DJ71" s="3395"/>
      <c r="DK71" s="3395"/>
      <c r="DL71" s="3395"/>
      <c r="DM71" s="3395"/>
      <c r="DN71" s="3395"/>
      <c r="DO71" s="3395"/>
      <c r="DP71" s="3395"/>
      <c r="DQ71" s="3395"/>
      <c r="DR71" s="3395"/>
      <c r="DS71" s="3395"/>
    </row>
    <row r="72" hidden="1" spans="1:123">
      <c r="A72" s="3395"/>
      <c r="B72" s="3395"/>
      <c r="C72" s="3395"/>
      <c r="D72" s="3395"/>
      <c r="E72" s="3395"/>
      <c r="F72" s="3395"/>
      <c r="G72" s="3395"/>
      <c r="H72" s="3395"/>
      <c r="I72" s="3395"/>
      <c r="J72" s="3395"/>
      <c r="K72" s="3395"/>
      <c r="L72" s="3395"/>
      <c r="M72" s="3395"/>
      <c r="N72" s="3395"/>
      <c r="O72" s="3395"/>
      <c r="P72" s="3395"/>
      <c r="Q72" s="3395"/>
      <c r="R72" s="3395"/>
      <c r="S72" s="3395"/>
      <c r="T72" s="3395"/>
      <c r="U72" s="3395"/>
      <c r="V72" s="3395"/>
      <c r="W72" s="3395"/>
      <c r="X72" s="3395"/>
      <c r="Y72" s="3395"/>
      <c r="Z72" s="3395"/>
      <c r="AA72" s="3395"/>
      <c r="AB72" s="3395"/>
      <c r="AC72" s="3395"/>
      <c r="AD72" s="3395"/>
      <c r="AE72" s="3395"/>
      <c r="AF72" s="3395"/>
      <c r="AG72" s="3395"/>
      <c r="AH72" s="3395"/>
      <c r="AI72" s="3395"/>
      <c r="AJ72" s="3395"/>
      <c r="AK72" s="3395"/>
      <c r="AL72" s="3395"/>
      <c r="AM72" s="3395"/>
      <c r="AN72" s="3395"/>
      <c r="AO72" s="3395"/>
      <c r="AP72" s="3395"/>
      <c r="AQ72" s="3395"/>
      <c r="AR72" s="3395"/>
      <c r="AS72" s="4280"/>
      <c r="AT72" s="4201"/>
      <c r="AU72" s="4201"/>
      <c r="AV72" s="4201"/>
      <c r="AW72" s="4201"/>
      <c r="AX72" s="4201"/>
      <c r="AY72" s="4201"/>
      <c r="AZ72" s="4201"/>
      <c r="BA72" s="4201"/>
      <c r="BB72" s="4201"/>
      <c r="BC72" s="4201"/>
      <c r="BD72" s="4201"/>
      <c r="BE72" s="4201"/>
      <c r="BF72" s="3395"/>
      <c r="BG72" s="3395"/>
      <c r="BH72" s="3395"/>
      <c r="BI72" s="3395"/>
      <c r="BJ72" s="3395"/>
      <c r="BK72" s="3395"/>
      <c r="BL72" s="3395"/>
      <c r="BM72" s="3395"/>
      <c r="BN72" s="3395"/>
      <c r="BO72" s="3395"/>
      <c r="BP72" s="3395"/>
      <c r="BQ72" s="3395"/>
      <c r="BR72" s="3395"/>
      <c r="BS72" s="3395"/>
      <c r="BT72" s="3395"/>
      <c r="BU72" s="3395"/>
      <c r="BV72" s="3395"/>
      <c r="BW72" s="3395"/>
      <c r="BX72" s="3395"/>
      <c r="BY72" s="3395"/>
      <c r="BZ72" s="3395"/>
      <c r="CA72" s="3395"/>
      <c r="CB72" s="3395"/>
      <c r="CC72" s="3395"/>
      <c r="CD72" s="3395"/>
      <c r="CE72" s="3395"/>
      <c r="CF72" s="3395"/>
      <c r="CG72" s="3395"/>
      <c r="CH72" s="3395"/>
      <c r="CI72" s="3395"/>
      <c r="CJ72" s="3395"/>
      <c r="CK72" s="3395"/>
      <c r="CL72" s="3395"/>
      <c r="CM72" s="3395"/>
      <c r="CN72" s="3395"/>
      <c r="CO72" s="3395"/>
      <c r="CP72" s="3395"/>
      <c r="CQ72" s="3395"/>
      <c r="CR72" s="3395"/>
      <c r="CS72" s="3395"/>
      <c r="CT72" s="3395"/>
      <c r="CU72" s="3395"/>
      <c r="CV72" s="3395"/>
      <c r="CW72" s="3395"/>
      <c r="CX72" s="3395"/>
      <c r="CY72" s="3395"/>
      <c r="CZ72" s="3395"/>
      <c r="DA72" s="3395"/>
      <c r="DB72" s="3395"/>
      <c r="DC72" s="3395"/>
      <c r="DD72" s="3395"/>
      <c r="DE72" s="3395"/>
      <c r="DF72" s="3395"/>
      <c r="DG72" s="3395"/>
      <c r="DH72" s="3395"/>
      <c r="DI72" s="3395"/>
      <c r="DJ72" s="3395"/>
      <c r="DK72" s="3395"/>
      <c r="DL72" s="3395"/>
      <c r="DM72" s="3395"/>
      <c r="DN72" s="3395"/>
      <c r="DO72" s="3395"/>
      <c r="DP72" s="3395"/>
      <c r="DQ72" s="3395"/>
      <c r="DR72" s="3395"/>
      <c r="DS72" s="3395"/>
    </row>
    <row r="73" hidden="1" spans="1:123">
      <c r="A73" s="3395"/>
      <c r="B73" s="3395"/>
      <c r="C73" s="3395"/>
      <c r="D73" s="3395"/>
      <c r="E73" s="3395"/>
      <c r="F73" s="3395"/>
      <c r="G73" s="3395"/>
      <c r="H73" s="3395"/>
      <c r="I73" s="3395"/>
      <c r="J73" s="3395"/>
      <c r="K73" s="3395"/>
      <c r="L73" s="3395"/>
      <c r="M73" s="3395"/>
      <c r="N73" s="3395"/>
      <c r="O73" s="3395"/>
      <c r="P73" s="3395"/>
      <c r="Q73" s="3395"/>
      <c r="R73" s="3395"/>
      <c r="S73" s="3395"/>
      <c r="T73" s="3395"/>
      <c r="U73" s="3395"/>
      <c r="V73" s="3395"/>
      <c r="W73" s="3395"/>
      <c r="X73" s="3395"/>
      <c r="Y73" s="3395"/>
      <c r="Z73" s="3395"/>
      <c r="AA73" s="3395"/>
      <c r="AB73" s="3395"/>
      <c r="AC73" s="3395"/>
      <c r="AD73" s="3395"/>
      <c r="AE73" s="3395"/>
      <c r="AF73" s="3395"/>
      <c r="AG73" s="3395"/>
      <c r="AH73" s="3395"/>
      <c r="AI73" s="3395"/>
      <c r="AJ73" s="3395"/>
      <c r="AK73" s="3395"/>
      <c r="AL73" s="3395"/>
      <c r="AM73" s="3395"/>
      <c r="AN73" s="3395"/>
      <c r="AO73" s="3395"/>
      <c r="AP73" s="3395"/>
      <c r="AQ73" s="3395"/>
      <c r="AR73" s="3395"/>
      <c r="AS73" s="4280"/>
      <c r="AT73" s="4201"/>
      <c r="AU73" s="4201"/>
      <c r="AV73" s="4201"/>
      <c r="AW73" s="4201"/>
      <c r="AX73" s="4201"/>
      <c r="AY73" s="4201"/>
      <c r="AZ73" s="4201"/>
      <c r="BA73" s="4201"/>
      <c r="BB73" s="4201"/>
      <c r="BC73" s="4201"/>
      <c r="BD73" s="4201"/>
      <c r="BE73" s="4201"/>
      <c r="BF73" s="3395"/>
      <c r="BG73" s="3395"/>
      <c r="BH73" s="3395"/>
      <c r="BI73" s="3395"/>
      <c r="BJ73" s="3395"/>
      <c r="BK73" s="3395"/>
      <c r="BL73" s="3395"/>
      <c r="BM73" s="3395"/>
      <c r="BN73" s="3395"/>
      <c r="BO73" s="3395"/>
      <c r="BP73" s="3395"/>
      <c r="BQ73" s="3395"/>
      <c r="BR73" s="3395"/>
      <c r="BS73" s="3395"/>
      <c r="BT73" s="3395"/>
      <c r="BU73" s="3395"/>
      <c r="BV73" s="3395"/>
      <c r="BW73" s="3395"/>
      <c r="BX73" s="3395"/>
      <c r="BY73" s="3395"/>
      <c r="BZ73" s="3395"/>
      <c r="CA73" s="3395"/>
      <c r="CB73" s="3395"/>
      <c r="CC73" s="3395"/>
      <c r="CD73" s="3395"/>
      <c r="CE73" s="3395"/>
      <c r="CF73" s="3395"/>
      <c r="CG73" s="3395"/>
      <c r="CH73" s="3395"/>
      <c r="CI73" s="3395"/>
      <c r="CJ73" s="3395"/>
      <c r="CK73" s="3395"/>
      <c r="CL73" s="3395"/>
      <c r="CM73" s="3395"/>
      <c r="CN73" s="3395"/>
      <c r="CO73" s="3395"/>
      <c r="CP73" s="3395"/>
      <c r="CQ73" s="3395"/>
      <c r="CR73" s="3395"/>
      <c r="CS73" s="3395"/>
      <c r="CT73" s="3395"/>
      <c r="CU73" s="3395"/>
      <c r="CV73" s="3395"/>
      <c r="CW73" s="3395"/>
      <c r="CX73" s="3395"/>
      <c r="CY73" s="3395"/>
      <c r="CZ73" s="3395"/>
      <c r="DA73" s="3395"/>
      <c r="DB73" s="3395"/>
      <c r="DC73" s="3395"/>
      <c r="DD73" s="3395"/>
      <c r="DE73" s="3395"/>
      <c r="DF73" s="3395"/>
      <c r="DG73" s="3395"/>
      <c r="DH73" s="3395"/>
      <c r="DI73" s="3395"/>
      <c r="DJ73" s="3395"/>
      <c r="DK73" s="3395"/>
      <c r="DL73" s="3395"/>
      <c r="DM73" s="3395"/>
      <c r="DN73" s="3395"/>
      <c r="DO73" s="3395"/>
      <c r="DP73" s="3395"/>
      <c r="DQ73" s="3395"/>
      <c r="DR73" s="3395"/>
      <c r="DS73" s="3395"/>
    </row>
    <row r="74" hidden="1" spans="1:123">
      <c r="A74" s="3395"/>
      <c r="B74" s="3395"/>
      <c r="C74" s="3395"/>
      <c r="D74" s="3395"/>
      <c r="E74" s="3395"/>
      <c r="F74" s="3395"/>
      <c r="G74" s="3395"/>
      <c r="H74" s="3395"/>
      <c r="I74" s="3395"/>
      <c r="J74" s="3395"/>
      <c r="K74" s="3395"/>
      <c r="L74" s="3395"/>
      <c r="M74" s="3395"/>
      <c r="N74" s="3395"/>
      <c r="O74" s="3395"/>
      <c r="P74" s="3395"/>
      <c r="Q74" s="3395"/>
      <c r="R74" s="3395"/>
      <c r="S74" s="3395"/>
      <c r="T74" s="3395"/>
      <c r="U74" s="3395"/>
      <c r="V74" s="3395"/>
      <c r="W74" s="3395"/>
      <c r="X74" s="3395"/>
      <c r="Y74" s="3395"/>
      <c r="Z74" s="3395"/>
      <c r="AA74" s="3395"/>
      <c r="AB74" s="3395"/>
      <c r="AC74" s="3395"/>
      <c r="AD74" s="3395"/>
      <c r="AE74" s="3395"/>
      <c r="AF74" s="3395"/>
      <c r="AG74" s="3395"/>
      <c r="AH74" s="3395"/>
      <c r="AI74" s="3395"/>
      <c r="AJ74" s="3395"/>
      <c r="AK74" s="3395"/>
      <c r="AL74" s="3395"/>
      <c r="AM74" s="3395"/>
      <c r="AN74" s="3395"/>
      <c r="AO74" s="3395"/>
      <c r="AP74" s="3395"/>
      <c r="AQ74" s="3395"/>
      <c r="AR74" s="3395"/>
      <c r="AS74" s="4280"/>
      <c r="AT74" s="4201"/>
      <c r="AU74" s="4201"/>
      <c r="AV74" s="4201"/>
      <c r="AW74" s="4201"/>
      <c r="AX74" s="4201"/>
      <c r="AY74" s="4201"/>
      <c r="AZ74" s="4201"/>
      <c r="BA74" s="4201"/>
      <c r="BB74" s="4201"/>
      <c r="BC74" s="4201"/>
      <c r="BD74" s="4201"/>
      <c r="BE74" s="4201"/>
      <c r="BF74" s="3395"/>
      <c r="BG74" s="3395"/>
      <c r="BH74" s="3395"/>
      <c r="BI74" s="3395"/>
      <c r="BJ74" s="3395"/>
      <c r="BK74" s="3395"/>
      <c r="BL74" s="3395"/>
      <c r="BM74" s="3395"/>
      <c r="BN74" s="3395"/>
      <c r="BO74" s="3395"/>
      <c r="BP74" s="3395"/>
      <c r="BQ74" s="3395"/>
      <c r="BR74" s="3395"/>
      <c r="BS74" s="3395"/>
      <c r="BT74" s="3395"/>
      <c r="BU74" s="3395"/>
      <c r="BV74" s="3395"/>
      <c r="BW74" s="3395"/>
      <c r="BX74" s="3395"/>
      <c r="BY74" s="3395"/>
      <c r="BZ74" s="3395"/>
      <c r="CA74" s="3395"/>
      <c r="CB74" s="3395"/>
      <c r="CC74" s="3395"/>
      <c r="CD74" s="3395"/>
      <c r="CE74" s="3395"/>
      <c r="CF74" s="3395"/>
      <c r="CG74" s="3395"/>
      <c r="CH74" s="3395"/>
      <c r="CI74" s="3395"/>
      <c r="CJ74" s="3395"/>
      <c r="CK74" s="3395"/>
      <c r="CL74" s="3395"/>
      <c r="CM74" s="3395"/>
      <c r="CN74" s="3395"/>
      <c r="CO74" s="3395"/>
      <c r="CP74" s="3395"/>
      <c r="CQ74" s="3395"/>
      <c r="CR74" s="3395"/>
      <c r="CS74" s="3395"/>
      <c r="CT74" s="3395"/>
      <c r="CU74" s="3395"/>
      <c r="CV74" s="3395"/>
      <c r="CW74" s="3395"/>
      <c r="CX74" s="3395"/>
      <c r="CY74" s="3395"/>
      <c r="CZ74" s="3395"/>
      <c r="DA74" s="3395"/>
      <c r="DB74" s="3395"/>
      <c r="DC74" s="3395"/>
      <c r="DD74" s="3395"/>
      <c r="DE74" s="3395"/>
      <c r="DF74" s="3395"/>
      <c r="DG74" s="3395"/>
      <c r="DH74" s="3395"/>
      <c r="DI74" s="3395"/>
      <c r="DJ74" s="3395"/>
      <c r="DK74" s="3395"/>
      <c r="DL74" s="3395"/>
      <c r="DM74" s="3395"/>
      <c r="DN74" s="3395"/>
      <c r="DO74" s="3395"/>
      <c r="DP74" s="3395"/>
      <c r="DQ74" s="3395"/>
      <c r="DR74" s="3395"/>
      <c r="DS74" s="3395"/>
    </row>
    <row r="75" hidden="1" spans="1:123">
      <c r="A75" s="3395"/>
      <c r="B75" s="3395"/>
      <c r="C75" s="3395"/>
      <c r="D75" s="3395"/>
      <c r="E75" s="3395"/>
      <c r="F75" s="3395"/>
      <c r="G75" s="3395"/>
      <c r="H75" s="3395"/>
      <c r="I75" s="3395"/>
      <c r="J75" s="3395"/>
      <c r="K75" s="3395"/>
      <c r="L75" s="3395"/>
      <c r="M75" s="3395"/>
      <c r="N75" s="3395"/>
      <c r="O75" s="3395"/>
      <c r="P75" s="3395"/>
      <c r="Q75" s="3395"/>
      <c r="R75" s="3395"/>
      <c r="S75" s="3395"/>
      <c r="T75" s="3395"/>
      <c r="U75" s="3395"/>
      <c r="V75" s="3395"/>
      <c r="W75" s="3395"/>
      <c r="X75" s="3395"/>
      <c r="Y75" s="3395"/>
      <c r="Z75" s="3395"/>
      <c r="AA75" s="3395"/>
      <c r="AB75" s="3395"/>
      <c r="AC75" s="3395"/>
      <c r="AD75" s="3395"/>
      <c r="AE75" s="3395"/>
      <c r="AF75" s="3395"/>
      <c r="AG75" s="3395"/>
      <c r="AH75" s="3395"/>
      <c r="AI75" s="3395"/>
      <c r="AJ75" s="3395"/>
      <c r="AK75" s="3395"/>
      <c r="AL75" s="3395"/>
      <c r="AM75" s="3395"/>
      <c r="AN75" s="3395"/>
      <c r="AO75" s="3395"/>
      <c r="AP75" s="3395"/>
      <c r="AQ75" s="3395"/>
      <c r="AR75" s="3395"/>
      <c r="AS75" s="4280"/>
      <c r="AT75" s="4201"/>
      <c r="AU75" s="4201"/>
      <c r="AV75" s="4201"/>
      <c r="AW75" s="4201"/>
      <c r="AX75" s="4201"/>
      <c r="AY75" s="4201"/>
      <c r="AZ75" s="4201"/>
      <c r="BA75" s="4201"/>
      <c r="BB75" s="4201"/>
      <c r="BC75" s="4201"/>
      <c r="BD75" s="4201"/>
      <c r="BE75" s="4201"/>
      <c r="BF75" s="3395"/>
      <c r="BG75" s="3395"/>
      <c r="BH75" s="3395"/>
      <c r="BI75" s="3395"/>
      <c r="BJ75" s="3395"/>
      <c r="BK75" s="3395"/>
      <c r="BL75" s="3395"/>
      <c r="BM75" s="3395"/>
      <c r="BN75" s="3395"/>
      <c r="BO75" s="3395"/>
      <c r="BP75" s="3395"/>
      <c r="BQ75" s="3395"/>
      <c r="BR75" s="3395"/>
      <c r="BS75" s="3395"/>
      <c r="BT75" s="3395"/>
      <c r="BU75" s="3395"/>
      <c r="BV75" s="3395"/>
      <c r="BW75" s="3395"/>
      <c r="BX75" s="3395"/>
      <c r="BY75" s="3395"/>
      <c r="BZ75" s="3395"/>
      <c r="CA75" s="3395"/>
      <c r="CB75" s="3395"/>
      <c r="CC75" s="3395"/>
      <c r="CD75" s="3395"/>
      <c r="CE75" s="3395"/>
      <c r="CF75" s="3395"/>
      <c r="CG75" s="3395"/>
      <c r="CH75" s="3395"/>
      <c r="CI75" s="3395"/>
      <c r="CJ75" s="3395"/>
      <c r="CK75" s="3395"/>
      <c r="CL75" s="3395"/>
      <c r="CM75" s="3395"/>
      <c r="CN75" s="3395"/>
      <c r="CO75" s="3395"/>
      <c r="CP75" s="3395"/>
      <c r="CQ75" s="3395"/>
      <c r="CR75" s="3395"/>
      <c r="CS75" s="3395"/>
      <c r="CT75" s="3395"/>
      <c r="CU75" s="3395"/>
      <c r="CV75" s="3395"/>
      <c r="CW75" s="3395"/>
      <c r="CX75" s="3395"/>
      <c r="CY75" s="3395"/>
      <c r="CZ75" s="3395"/>
      <c r="DA75" s="3395"/>
      <c r="DB75" s="3395"/>
      <c r="DC75" s="3395"/>
      <c r="DD75" s="3395"/>
      <c r="DE75" s="3395"/>
      <c r="DF75" s="3395"/>
      <c r="DG75" s="3395"/>
      <c r="DH75" s="3395"/>
      <c r="DI75" s="3395"/>
      <c r="DJ75" s="3395"/>
      <c r="DK75" s="3395"/>
      <c r="DL75" s="3395"/>
      <c r="DM75" s="3395"/>
      <c r="DN75" s="3395"/>
      <c r="DO75" s="3395"/>
      <c r="DP75" s="3395"/>
      <c r="DQ75" s="3395"/>
      <c r="DR75" s="3395"/>
      <c r="DS75" s="3395"/>
    </row>
    <row r="76" hidden="1" spans="1:123">
      <c r="A76" s="3395"/>
      <c r="B76" s="3395"/>
      <c r="C76" s="3395"/>
      <c r="D76" s="3395"/>
      <c r="E76" s="3395"/>
      <c r="F76" s="3395"/>
      <c r="G76" s="3395"/>
      <c r="H76" s="3395"/>
      <c r="I76" s="3395"/>
      <c r="J76" s="3395"/>
      <c r="K76" s="3395"/>
      <c r="L76" s="3395"/>
      <c r="M76" s="3395"/>
      <c r="N76" s="3395"/>
      <c r="O76" s="3395"/>
      <c r="P76" s="3395"/>
      <c r="Q76" s="3395"/>
      <c r="R76" s="3395"/>
      <c r="S76" s="3395"/>
      <c r="T76" s="3395"/>
      <c r="U76" s="3395"/>
      <c r="V76" s="3395"/>
      <c r="W76" s="3395"/>
      <c r="X76" s="3395"/>
      <c r="Y76" s="3395"/>
      <c r="Z76" s="3395"/>
      <c r="AA76" s="3395"/>
      <c r="AB76" s="3395"/>
      <c r="AC76" s="3395"/>
      <c r="AD76" s="3395"/>
      <c r="AE76" s="3395"/>
      <c r="AF76" s="3395"/>
      <c r="AG76" s="3395"/>
      <c r="AH76" s="3395"/>
      <c r="AI76" s="3395"/>
      <c r="AJ76" s="3395"/>
      <c r="AK76" s="3395"/>
      <c r="AL76" s="3395"/>
      <c r="AM76" s="3395"/>
      <c r="AN76" s="3395"/>
      <c r="AO76" s="3395"/>
      <c r="AP76" s="3395"/>
      <c r="AQ76" s="3395"/>
      <c r="AR76" s="3395"/>
      <c r="AS76" s="4280"/>
      <c r="AT76" s="4201"/>
      <c r="AU76" s="4201"/>
      <c r="AV76" s="4201"/>
      <c r="AW76" s="4201"/>
      <c r="AX76" s="4201"/>
      <c r="AY76" s="4201"/>
      <c r="AZ76" s="4201"/>
      <c r="BA76" s="4201"/>
      <c r="BB76" s="4201"/>
      <c r="BC76" s="4201"/>
      <c r="BD76" s="4201"/>
      <c r="BE76" s="4201"/>
      <c r="BF76" s="3395"/>
      <c r="BG76" s="3395"/>
      <c r="BH76" s="3395"/>
      <c r="BI76" s="3395"/>
      <c r="BJ76" s="3395"/>
      <c r="BK76" s="3395"/>
      <c r="BL76" s="3395"/>
      <c r="BM76" s="3395"/>
      <c r="BN76" s="3395"/>
      <c r="BO76" s="3395"/>
      <c r="BP76" s="3395"/>
      <c r="BQ76" s="3395"/>
      <c r="BR76" s="3395"/>
      <c r="BS76" s="3395"/>
      <c r="BT76" s="3395"/>
      <c r="BU76" s="3395"/>
      <c r="BV76" s="3395"/>
      <c r="BW76" s="3395"/>
      <c r="BX76" s="3395"/>
      <c r="BY76" s="3395"/>
      <c r="BZ76" s="3395"/>
      <c r="CA76" s="3395"/>
      <c r="CB76" s="3395"/>
      <c r="CC76" s="3395"/>
      <c r="CD76" s="3395"/>
      <c r="CE76" s="3395"/>
      <c r="CF76" s="3395"/>
      <c r="CG76" s="3395"/>
      <c r="CH76" s="3395"/>
      <c r="CI76" s="3395"/>
      <c r="CJ76" s="3395"/>
      <c r="CK76" s="3395"/>
      <c r="CL76" s="3395"/>
      <c r="CM76" s="3395"/>
      <c r="CN76" s="3395"/>
      <c r="CO76" s="3395"/>
      <c r="CP76" s="3395"/>
      <c r="CQ76" s="3395"/>
      <c r="CR76" s="3395"/>
      <c r="CS76" s="3395"/>
      <c r="CT76" s="3395"/>
      <c r="CU76" s="3395"/>
      <c r="CV76" s="3395"/>
      <c r="CW76" s="3395"/>
      <c r="CX76" s="3395"/>
      <c r="CY76" s="3395"/>
      <c r="CZ76" s="3395"/>
      <c r="DA76" s="3395"/>
      <c r="DB76" s="3395"/>
      <c r="DC76" s="3395"/>
      <c r="DD76" s="3395"/>
      <c r="DE76" s="3395"/>
      <c r="DF76" s="3395"/>
      <c r="DG76" s="3395"/>
      <c r="DH76" s="3395"/>
      <c r="DI76" s="3395"/>
      <c r="DJ76" s="3395"/>
      <c r="DK76" s="3395"/>
      <c r="DL76" s="3395"/>
      <c r="DM76" s="3395"/>
      <c r="DN76" s="3395"/>
      <c r="DO76" s="3395"/>
      <c r="DP76" s="3395"/>
      <c r="DQ76" s="3395"/>
      <c r="DR76" s="3395"/>
      <c r="DS76" s="3395"/>
    </row>
    <row r="77" hidden="1" spans="1:123">
      <c r="A77" s="3395"/>
      <c r="B77" s="3395"/>
      <c r="C77" s="3395"/>
      <c r="D77" s="3395"/>
      <c r="E77" s="3395"/>
      <c r="F77" s="3395"/>
      <c r="G77" s="3395"/>
      <c r="H77" s="3395"/>
      <c r="I77" s="3395"/>
      <c r="J77" s="3395"/>
      <c r="K77" s="3395"/>
      <c r="L77" s="3395"/>
      <c r="M77" s="3395"/>
      <c r="N77" s="3395"/>
      <c r="O77" s="3395"/>
      <c r="P77" s="3395"/>
      <c r="Q77" s="3395"/>
      <c r="R77" s="3395"/>
      <c r="S77" s="3395"/>
      <c r="T77" s="3395"/>
      <c r="U77" s="3395"/>
      <c r="V77" s="3395"/>
      <c r="W77" s="3395"/>
      <c r="X77" s="3395"/>
      <c r="Y77" s="3395"/>
      <c r="Z77" s="3395"/>
      <c r="AA77" s="3395"/>
      <c r="AB77" s="3395"/>
      <c r="AC77" s="3395"/>
      <c r="AD77" s="3395"/>
      <c r="AE77" s="3395"/>
      <c r="AF77" s="3395"/>
      <c r="AG77" s="3395"/>
      <c r="AH77" s="3395"/>
      <c r="AI77" s="3395"/>
      <c r="AJ77" s="3395"/>
      <c r="AK77" s="3395"/>
      <c r="AL77" s="3395"/>
      <c r="AM77" s="3395"/>
      <c r="AN77" s="3395"/>
      <c r="AO77" s="3395"/>
      <c r="AP77" s="3395"/>
      <c r="AQ77" s="3395"/>
      <c r="AR77" s="3395"/>
      <c r="AS77" s="4280"/>
      <c r="AT77" s="4201"/>
      <c r="AU77" s="4201"/>
      <c r="AV77" s="4201"/>
      <c r="AW77" s="4201"/>
      <c r="AX77" s="4201"/>
      <c r="AY77" s="4201"/>
      <c r="AZ77" s="4201"/>
      <c r="BA77" s="4201"/>
      <c r="BB77" s="4201"/>
      <c r="BC77" s="4201"/>
      <c r="BD77" s="4201"/>
      <c r="BE77" s="4201"/>
      <c r="BF77" s="3395"/>
      <c r="BG77" s="3395"/>
      <c r="BH77" s="3395"/>
      <c r="BI77" s="3395"/>
      <c r="BJ77" s="3395"/>
      <c r="BK77" s="3395"/>
      <c r="BL77" s="3395"/>
      <c r="BM77" s="3395"/>
      <c r="BN77" s="3395"/>
      <c r="BO77" s="3395"/>
      <c r="BP77" s="3395"/>
      <c r="BQ77" s="3395"/>
      <c r="BR77" s="3395"/>
      <c r="BS77" s="3395"/>
      <c r="BT77" s="3395"/>
      <c r="BU77" s="3395"/>
      <c r="BV77" s="3395"/>
      <c r="BW77" s="3395"/>
      <c r="BX77" s="3395"/>
      <c r="BY77" s="3395"/>
      <c r="BZ77" s="3395"/>
      <c r="CA77" s="3395"/>
      <c r="CB77" s="3395"/>
      <c r="CC77" s="3395"/>
      <c r="CD77" s="3395"/>
      <c r="CE77" s="3395"/>
      <c r="CF77" s="3395"/>
      <c r="CG77" s="3395"/>
      <c r="CH77" s="3395"/>
      <c r="CI77" s="3395"/>
      <c r="CJ77" s="3395"/>
      <c r="CK77" s="3395"/>
      <c r="CL77" s="3395"/>
      <c r="CM77" s="3395"/>
      <c r="CN77" s="3395"/>
      <c r="CO77" s="3395"/>
      <c r="CP77" s="3395"/>
      <c r="CQ77" s="3395"/>
      <c r="CR77" s="3395"/>
      <c r="CS77" s="3395"/>
      <c r="CT77" s="3395"/>
      <c r="CU77" s="3395"/>
      <c r="CV77" s="3395"/>
      <c r="CW77" s="3395"/>
      <c r="CX77" s="3395"/>
      <c r="CY77" s="3395"/>
      <c r="CZ77" s="3395"/>
      <c r="DA77" s="3395"/>
      <c r="DB77" s="3395"/>
      <c r="DC77" s="3395"/>
      <c r="DD77" s="3395"/>
      <c r="DE77" s="3395"/>
      <c r="DF77" s="3395"/>
      <c r="DG77" s="3395"/>
      <c r="DH77" s="3395"/>
      <c r="DI77" s="3395"/>
      <c r="DJ77" s="3395"/>
      <c r="DK77" s="3395"/>
      <c r="DL77" s="3395"/>
      <c r="DM77" s="3395"/>
      <c r="DN77" s="3395"/>
      <c r="DO77" s="3395"/>
      <c r="DP77" s="3395"/>
      <c r="DQ77" s="3395"/>
      <c r="DR77" s="3395"/>
      <c r="DS77" s="3395"/>
    </row>
    <row r="78" hidden="1" spans="1:123">
      <c r="A78" s="3395"/>
      <c r="B78" s="3395"/>
      <c r="C78" s="3395"/>
      <c r="D78" s="3395"/>
      <c r="E78" s="3395"/>
      <c r="F78" s="3395"/>
      <c r="G78" s="3395"/>
      <c r="H78" s="3395"/>
      <c r="I78" s="3395"/>
      <c r="J78" s="3395"/>
      <c r="K78" s="3395"/>
      <c r="L78" s="3395"/>
      <c r="M78" s="3395"/>
      <c r="N78" s="3395"/>
      <c r="O78" s="3395"/>
      <c r="P78" s="3395"/>
      <c r="Q78" s="3395"/>
      <c r="R78" s="3395"/>
      <c r="S78" s="3395"/>
      <c r="T78" s="3395"/>
      <c r="U78" s="3395"/>
      <c r="V78" s="3395"/>
      <c r="W78" s="3395"/>
      <c r="X78" s="3395"/>
      <c r="Y78" s="3395"/>
      <c r="Z78" s="3395"/>
      <c r="AA78" s="3395"/>
      <c r="AB78" s="3395"/>
      <c r="AC78" s="3395"/>
      <c r="AD78" s="3395"/>
      <c r="AE78" s="3395"/>
      <c r="AF78" s="3395"/>
      <c r="AG78" s="3395"/>
      <c r="AH78" s="3395"/>
      <c r="AI78" s="3395"/>
      <c r="AJ78" s="3395"/>
      <c r="AK78" s="3395"/>
      <c r="AL78" s="3395"/>
      <c r="AM78" s="3395"/>
      <c r="AN78" s="3395"/>
      <c r="AO78" s="3395"/>
      <c r="AP78" s="3395"/>
      <c r="AQ78" s="3395"/>
      <c r="AR78" s="3395"/>
      <c r="AS78" s="4280"/>
      <c r="AT78" s="4201"/>
      <c r="AU78" s="4201"/>
      <c r="AV78" s="4201"/>
      <c r="AW78" s="4201"/>
      <c r="AX78" s="4201"/>
      <c r="AY78" s="4201"/>
      <c r="AZ78" s="4201"/>
      <c r="BA78" s="4201"/>
      <c r="BB78" s="4201"/>
      <c r="BC78" s="4201"/>
      <c r="BD78" s="4201"/>
      <c r="BE78" s="4201"/>
      <c r="BF78" s="3395"/>
      <c r="BG78" s="3395"/>
      <c r="BH78" s="3395"/>
      <c r="BI78" s="3395"/>
      <c r="BJ78" s="3395"/>
      <c r="BK78" s="3395"/>
      <c r="BL78" s="3395"/>
      <c r="BM78" s="3395"/>
      <c r="BN78" s="3395"/>
      <c r="BO78" s="3395"/>
      <c r="BP78" s="3395"/>
      <c r="BQ78" s="3395"/>
      <c r="BR78" s="3395"/>
      <c r="BS78" s="3395"/>
      <c r="BT78" s="3395"/>
      <c r="BU78" s="3395"/>
      <c r="BV78" s="3395"/>
      <c r="BW78" s="3395"/>
      <c r="BX78" s="3395"/>
      <c r="BY78" s="3395"/>
      <c r="BZ78" s="3395"/>
      <c r="CA78" s="3395"/>
      <c r="CB78" s="3395"/>
      <c r="CC78" s="3395"/>
      <c r="CD78" s="3395"/>
      <c r="CE78" s="3395"/>
      <c r="CF78" s="3395"/>
      <c r="CG78" s="3395"/>
      <c r="CH78" s="3395"/>
      <c r="CI78" s="3395"/>
      <c r="CJ78" s="3395"/>
      <c r="CK78" s="3395"/>
      <c r="CL78" s="3395"/>
      <c r="CM78" s="3395"/>
      <c r="CN78" s="3395"/>
      <c r="CO78" s="3395"/>
      <c r="CP78" s="3395"/>
      <c r="CQ78" s="3395"/>
      <c r="CR78" s="3395"/>
      <c r="CS78" s="3395"/>
      <c r="CT78" s="3395"/>
      <c r="CU78" s="3395"/>
      <c r="CV78" s="3395"/>
      <c r="CW78" s="3395"/>
      <c r="CX78" s="3395"/>
      <c r="CY78" s="3395"/>
      <c r="CZ78" s="3395"/>
      <c r="DA78" s="3395"/>
      <c r="DB78" s="3395"/>
      <c r="DC78" s="3395"/>
      <c r="DD78" s="3395"/>
      <c r="DE78" s="3395"/>
      <c r="DF78" s="3395"/>
      <c r="DG78" s="3395"/>
      <c r="DH78" s="3395"/>
      <c r="DI78" s="3395"/>
      <c r="DJ78" s="3395"/>
      <c r="DK78" s="3395"/>
      <c r="DL78" s="3395"/>
      <c r="DM78" s="3395"/>
      <c r="DN78" s="3395"/>
      <c r="DO78" s="3395"/>
      <c r="DP78" s="3395"/>
      <c r="DQ78" s="3395"/>
      <c r="DR78" s="3395"/>
      <c r="DS78" s="3395"/>
    </row>
    <row r="79" hidden="1" spans="1:123">
      <c r="A79" s="3395"/>
      <c r="B79" s="3395"/>
      <c r="C79" s="3395"/>
      <c r="D79" s="3395"/>
      <c r="E79" s="3395"/>
      <c r="F79" s="3395"/>
      <c r="G79" s="3395"/>
      <c r="H79" s="3395"/>
      <c r="I79" s="3395"/>
      <c r="J79" s="3395"/>
      <c r="K79" s="3395"/>
      <c r="L79" s="3395"/>
      <c r="M79" s="3395"/>
      <c r="N79" s="3395"/>
      <c r="O79" s="3395"/>
      <c r="P79" s="3395"/>
      <c r="Q79" s="3395"/>
      <c r="R79" s="3395"/>
      <c r="S79" s="3395"/>
      <c r="T79" s="3395"/>
      <c r="U79" s="3395"/>
      <c r="V79" s="3395"/>
      <c r="W79" s="3395"/>
      <c r="X79" s="3395"/>
      <c r="Y79" s="3395"/>
      <c r="Z79" s="3395"/>
      <c r="AA79" s="3395"/>
      <c r="AB79" s="3395"/>
      <c r="AC79" s="3395"/>
      <c r="AD79" s="3395"/>
      <c r="AE79" s="3395"/>
      <c r="AF79" s="3395"/>
      <c r="AG79" s="3395"/>
      <c r="AH79" s="3395"/>
      <c r="AI79" s="3395"/>
      <c r="AJ79" s="3395"/>
      <c r="AK79" s="3395"/>
      <c r="AL79" s="3395"/>
      <c r="AM79" s="3395"/>
      <c r="AN79" s="3395"/>
      <c r="AO79" s="3395"/>
      <c r="AP79" s="3395"/>
      <c r="AQ79" s="3395"/>
      <c r="AR79" s="3395"/>
      <c r="AS79" s="4280"/>
      <c r="AT79" s="4201"/>
      <c r="AU79" s="4201"/>
      <c r="AV79" s="4201"/>
      <c r="AW79" s="4201"/>
      <c r="AX79" s="4201"/>
      <c r="AY79" s="4201"/>
      <c r="AZ79" s="4201"/>
      <c r="BA79" s="4201"/>
      <c r="BB79" s="4201"/>
      <c r="BC79" s="4201"/>
      <c r="BD79" s="4201"/>
      <c r="BE79" s="4201"/>
      <c r="BF79" s="3395"/>
      <c r="BG79" s="3395"/>
      <c r="BH79" s="3395"/>
      <c r="BI79" s="3395"/>
      <c r="BJ79" s="3395"/>
      <c r="BK79" s="3395"/>
      <c r="BL79" s="3395"/>
      <c r="BM79" s="3395"/>
      <c r="BN79" s="3395"/>
      <c r="BO79" s="3395"/>
      <c r="BP79" s="3395"/>
      <c r="BQ79" s="3395"/>
      <c r="BR79" s="3395"/>
      <c r="BS79" s="3395"/>
      <c r="BT79" s="3395"/>
      <c r="BU79" s="3395"/>
      <c r="BV79" s="3395"/>
      <c r="BW79" s="3395"/>
      <c r="BX79" s="3395"/>
      <c r="BY79" s="3395"/>
      <c r="BZ79" s="3395"/>
      <c r="CA79" s="3395"/>
      <c r="CB79" s="3395"/>
      <c r="CC79" s="3395"/>
      <c r="CD79" s="3395"/>
      <c r="CE79" s="3395"/>
      <c r="CF79" s="3395"/>
      <c r="CG79" s="3395"/>
      <c r="CH79" s="3395"/>
      <c r="CI79" s="3395"/>
      <c r="CJ79" s="3395"/>
      <c r="CK79" s="3395"/>
      <c r="CL79" s="3395"/>
      <c r="CM79" s="3395"/>
      <c r="CN79" s="3395"/>
      <c r="CO79" s="3395"/>
      <c r="CP79" s="3395"/>
      <c r="CQ79" s="3395"/>
      <c r="CR79" s="3395"/>
      <c r="CS79" s="3395"/>
      <c r="CT79" s="3395"/>
      <c r="CU79" s="3395"/>
      <c r="CV79" s="3395"/>
      <c r="CW79" s="3395"/>
      <c r="CX79" s="3395"/>
      <c r="CY79" s="3395"/>
      <c r="CZ79" s="3395"/>
      <c r="DA79" s="3395"/>
      <c r="DB79" s="3395"/>
      <c r="DC79" s="3395"/>
      <c r="DD79" s="3395"/>
      <c r="DE79" s="3395"/>
      <c r="DF79" s="3395"/>
      <c r="DG79" s="3395"/>
      <c r="DH79" s="3395"/>
      <c r="DI79" s="3395"/>
      <c r="DJ79" s="3395"/>
      <c r="DK79" s="3395"/>
      <c r="DL79" s="3395"/>
      <c r="DM79" s="3395"/>
      <c r="DN79" s="3395"/>
      <c r="DO79" s="3395"/>
      <c r="DP79" s="3395"/>
      <c r="DQ79" s="3395"/>
      <c r="DR79" s="3395"/>
      <c r="DS79" s="3395"/>
    </row>
    <row r="80" hidden="1" spans="1:123">
      <c r="A80" s="3395"/>
      <c r="B80" s="3395"/>
      <c r="C80" s="3395"/>
      <c r="D80" s="3395"/>
      <c r="E80" s="3395"/>
      <c r="F80" s="3395"/>
      <c r="G80" s="3395"/>
      <c r="H80" s="3395"/>
      <c r="I80" s="3395"/>
      <c r="J80" s="3395"/>
      <c r="K80" s="3395"/>
      <c r="L80" s="3395"/>
      <c r="M80" s="3395"/>
      <c r="N80" s="3395"/>
      <c r="O80" s="3395"/>
      <c r="P80" s="3395"/>
      <c r="Q80" s="3395"/>
      <c r="R80" s="3395"/>
      <c r="S80" s="3395"/>
      <c r="T80" s="3395"/>
      <c r="U80" s="3395"/>
      <c r="V80" s="3395"/>
      <c r="W80" s="3395"/>
      <c r="X80" s="3395"/>
      <c r="Y80" s="3395"/>
      <c r="Z80" s="3395"/>
      <c r="AA80" s="3395"/>
      <c r="AB80" s="3395"/>
      <c r="AC80" s="3395"/>
      <c r="AD80" s="3395"/>
      <c r="AE80" s="3395"/>
      <c r="AF80" s="3395"/>
      <c r="AG80" s="3395"/>
      <c r="AH80" s="3395"/>
      <c r="AI80" s="3395"/>
      <c r="AJ80" s="3395"/>
      <c r="AK80" s="3395"/>
      <c r="AL80" s="3395"/>
      <c r="AM80" s="3395"/>
      <c r="AN80" s="3395"/>
      <c r="AO80" s="3395"/>
      <c r="AP80" s="3395"/>
      <c r="AQ80" s="3395"/>
      <c r="AR80" s="3395"/>
      <c r="AS80" s="4280"/>
      <c r="AT80" s="4201"/>
      <c r="AU80" s="4201"/>
      <c r="AV80" s="4201"/>
      <c r="AW80" s="4201"/>
      <c r="AX80" s="4201"/>
      <c r="AY80" s="4201"/>
      <c r="AZ80" s="4201"/>
      <c r="BA80" s="4201"/>
      <c r="BB80" s="4201"/>
      <c r="BC80" s="4201"/>
      <c r="BD80" s="4201"/>
      <c r="BE80" s="4201"/>
      <c r="BF80" s="3395"/>
      <c r="BG80" s="3395"/>
      <c r="BH80" s="3395"/>
      <c r="BI80" s="3395"/>
      <c r="BJ80" s="3395"/>
      <c r="BK80" s="3395"/>
      <c r="BL80" s="3395"/>
      <c r="BM80" s="3395"/>
      <c r="BN80" s="3395"/>
      <c r="BO80" s="3395"/>
      <c r="BP80" s="3395"/>
      <c r="BQ80" s="3395"/>
      <c r="BR80" s="3395"/>
      <c r="BS80" s="3395"/>
      <c r="BT80" s="3395"/>
      <c r="BU80" s="3395"/>
      <c r="BV80" s="3395"/>
      <c r="BW80" s="3395"/>
      <c r="BX80" s="3395"/>
      <c r="BY80" s="3395"/>
      <c r="BZ80" s="3395"/>
      <c r="CA80" s="3395"/>
      <c r="CB80" s="3395"/>
      <c r="CC80" s="3395"/>
      <c r="CD80" s="3395"/>
      <c r="CE80" s="3395"/>
      <c r="CF80" s="3395"/>
      <c r="CG80" s="3395"/>
      <c r="CH80" s="3395"/>
      <c r="CI80" s="3395"/>
      <c r="CJ80" s="3395"/>
      <c r="CK80" s="3395"/>
      <c r="CL80" s="3395"/>
      <c r="CM80" s="3395"/>
      <c r="CN80" s="3395"/>
      <c r="CO80" s="3395"/>
      <c r="CP80" s="3395"/>
      <c r="CQ80" s="3395"/>
      <c r="CR80" s="3395"/>
      <c r="CS80" s="3395"/>
      <c r="CT80" s="3395"/>
      <c r="CU80" s="3395"/>
      <c r="CV80" s="3395"/>
      <c r="CW80" s="3395"/>
      <c r="CX80" s="3395"/>
      <c r="CY80" s="3395"/>
      <c r="CZ80" s="3395"/>
      <c r="DA80" s="3395"/>
      <c r="DB80" s="3395"/>
      <c r="DC80" s="3395"/>
      <c r="DD80" s="3395"/>
      <c r="DE80" s="3395"/>
      <c r="DF80" s="3395"/>
      <c r="DG80" s="3395"/>
      <c r="DH80" s="3395"/>
      <c r="DI80" s="3395"/>
      <c r="DJ80" s="3395"/>
      <c r="DK80" s="3395"/>
      <c r="DL80" s="3395"/>
      <c r="DM80" s="3395"/>
      <c r="DN80" s="3395"/>
      <c r="DO80" s="3395"/>
      <c r="DP80" s="3395"/>
      <c r="DQ80" s="3395"/>
      <c r="DR80" s="3395"/>
      <c r="DS80" s="3395"/>
    </row>
    <row r="81" hidden="1" spans="1:123">
      <c r="A81" s="3395"/>
      <c r="B81" s="3395"/>
      <c r="C81" s="3395"/>
      <c r="D81" s="3395"/>
      <c r="E81" s="3395"/>
      <c r="F81" s="3395"/>
      <c r="G81" s="3395"/>
      <c r="H81" s="3395"/>
      <c r="I81" s="3395"/>
      <c r="J81" s="3395"/>
      <c r="K81" s="3395"/>
      <c r="L81" s="3395"/>
      <c r="M81" s="3395"/>
      <c r="N81" s="3395"/>
      <c r="O81" s="3395"/>
      <c r="P81" s="3395"/>
      <c r="Q81" s="3395"/>
      <c r="R81" s="3395"/>
      <c r="S81" s="3395"/>
      <c r="T81" s="3395"/>
      <c r="U81" s="3395"/>
      <c r="V81" s="3395"/>
      <c r="W81" s="3395"/>
      <c r="X81" s="3395"/>
      <c r="Y81" s="3395"/>
      <c r="Z81" s="3395"/>
      <c r="AA81" s="3395"/>
      <c r="AB81" s="3395"/>
      <c r="AC81" s="3395"/>
      <c r="AD81" s="3395"/>
      <c r="AE81" s="3395"/>
      <c r="AF81" s="3395"/>
      <c r="AG81" s="3395"/>
      <c r="AH81" s="3395"/>
      <c r="AI81" s="3395"/>
      <c r="AJ81" s="3395"/>
      <c r="AK81" s="3395"/>
      <c r="AL81" s="3395"/>
      <c r="AM81" s="3395"/>
      <c r="AN81" s="3395"/>
      <c r="AO81" s="3395"/>
      <c r="AP81" s="3395"/>
      <c r="AQ81" s="3395"/>
      <c r="AR81" s="3395"/>
      <c r="AS81" s="4280"/>
      <c r="AT81" s="4201"/>
      <c r="AU81" s="4201"/>
      <c r="AV81" s="4201"/>
      <c r="AW81" s="4201"/>
      <c r="AX81" s="4201"/>
      <c r="AY81" s="4201"/>
      <c r="AZ81" s="4201"/>
      <c r="BA81" s="4201"/>
      <c r="BB81" s="4201"/>
      <c r="BC81" s="4201"/>
      <c r="BD81" s="4201"/>
      <c r="BE81" s="4201"/>
      <c r="BF81" s="3395"/>
      <c r="BG81" s="3395"/>
      <c r="BH81" s="3395"/>
      <c r="BI81" s="3395"/>
      <c r="BJ81" s="3395"/>
      <c r="BK81" s="3395"/>
      <c r="BL81" s="3395"/>
      <c r="BM81" s="3395"/>
      <c r="BN81" s="3395"/>
      <c r="BO81" s="3395"/>
      <c r="BP81" s="3395"/>
      <c r="BQ81" s="3395"/>
      <c r="BR81" s="3395"/>
      <c r="BS81" s="3395"/>
      <c r="BT81" s="3395"/>
      <c r="BU81" s="3395"/>
      <c r="BV81" s="3395"/>
      <c r="BW81" s="3395"/>
      <c r="BX81" s="3395"/>
      <c r="BY81" s="3395"/>
      <c r="BZ81" s="3395"/>
      <c r="CA81" s="3395"/>
      <c r="CB81" s="3395"/>
      <c r="CC81" s="3395"/>
      <c r="CD81" s="3395"/>
      <c r="CE81" s="3395"/>
      <c r="CF81" s="3395"/>
      <c r="CG81" s="3395"/>
      <c r="CH81" s="3395"/>
      <c r="CI81" s="3395"/>
      <c r="CJ81" s="3395"/>
      <c r="CK81" s="3395"/>
      <c r="CL81" s="3395"/>
      <c r="CM81" s="3395"/>
      <c r="CN81" s="3395"/>
      <c r="CO81" s="3395"/>
      <c r="CP81" s="3395"/>
      <c r="CQ81" s="3395"/>
      <c r="CR81" s="3395"/>
      <c r="CS81" s="3395"/>
      <c r="CT81" s="3395"/>
      <c r="CU81" s="3395"/>
      <c r="CV81" s="3395"/>
      <c r="CW81" s="3395"/>
      <c r="CX81" s="3395"/>
      <c r="CY81" s="3395"/>
      <c r="CZ81" s="3395"/>
      <c r="DA81" s="3395"/>
      <c r="DB81" s="3395"/>
      <c r="DC81" s="3395"/>
      <c r="DD81" s="3395"/>
      <c r="DE81" s="3395"/>
      <c r="DF81" s="3395"/>
      <c r="DG81" s="3395"/>
      <c r="DH81" s="3395"/>
      <c r="DI81" s="3395"/>
      <c r="DJ81" s="3395"/>
      <c r="DK81" s="3395"/>
      <c r="DL81" s="3395"/>
      <c r="DM81" s="3395"/>
      <c r="DN81" s="3395"/>
      <c r="DO81" s="3395"/>
      <c r="DP81" s="3395"/>
      <c r="DQ81" s="3395"/>
      <c r="DR81" s="3395"/>
      <c r="DS81" s="3395"/>
    </row>
    <row r="82" hidden="1" spans="1:123">
      <c r="A82" s="3395"/>
      <c r="B82" s="3395"/>
      <c r="C82" s="3395"/>
      <c r="D82" s="3395"/>
      <c r="E82" s="3395"/>
      <c r="F82" s="3395"/>
      <c r="G82" s="3395"/>
      <c r="H82" s="3395"/>
      <c r="I82" s="3395"/>
      <c r="J82" s="3395"/>
      <c r="K82" s="3395"/>
      <c r="L82" s="3395"/>
      <c r="M82" s="3395"/>
      <c r="N82" s="3395"/>
      <c r="O82" s="3395"/>
      <c r="P82" s="3395"/>
      <c r="Q82" s="3395"/>
      <c r="R82" s="3395"/>
      <c r="S82" s="3395"/>
      <c r="T82" s="3395"/>
      <c r="U82" s="3395"/>
      <c r="V82" s="3395"/>
      <c r="W82" s="3395"/>
      <c r="X82" s="3395"/>
      <c r="Y82" s="3395"/>
      <c r="Z82" s="3395"/>
      <c r="AA82" s="3395"/>
      <c r="AB82" s="3395"/>
      <c r="AC82" s="3395"/>
      <c r="AD82" s="3395"/>
      <c r="AE82" s="3395"/>
      <c r="AF82" s="3395"/>
      <c r="AG82" s="3395"/>
      <c r="AH82" s="3395"/>
      <c r="AI82" s="3395"/>
      <c r="AJ82" s="3395"/>
      <c r="AK82" s="3395"/>
      <c r="AL82" s="3395"/>
      <c r="AM82" s="3395"/>
      <c r="AN82" s="3395"/>
      <c r="AO82" s="3395"/>
      <c r="AP82" s="3395"/>
      <c r="AQ82" s="3395"/>
      <c r="AR82" s="3395"/>
      <c r="AS82" s="4280"/>
      <c r="AT82" s="4201"/>
      <c r="AU82" s="4201"/>
      <c r="AV82" s="4201"/>
      <c r="AW82" s="4201"/>
      <c r="AX82" s="4201"/>
      <c r="AY82" s="4201"/>
      <c r="AZ82" s="4201"/>
      <c r="BA82" s="4201"/>
      <c r="BB82" s="4201"/>
      <c r="BC82" s="4201"/>
      <c r="BD82" s="4201"/>
      <c r="BE82" s="4201"/>
      <c r="BF82" s="3395"/>
      <c r="BG82" s="3395"/>
      <c r="BH82" s="3395"/>
      <c r="BI82" s="3395"/>
      <c r="BJ82" s="3395"/>
      <c r="BK82" s="3395"/>
      <c r="BL82" s="3395"/>
      <c r="BM82" s="3395"/>
      <c r="BN82" s="3395"/>
      <c r="BO82" s="3395"/>
      <c r="BP82" s="3395"/>
      <c r="BQ82" s="3395"/>
      <c r="BR82" s="3395"/>
      <c r="BS82" s="3395"/>
      <c r="BT82" s="3395"/>
      <c r="BU82" s="3395"/>
      <c r="BV82" s="3395"/>
      <c r="BW82" s="3395"/>
      <c r="BX82" s="3395"/>
      <c r="BY82" s="3395"/>
      <c r="BZ82" s="3395"/>
      <c r="CA82" s="3395"/>
      <c r="CB82" s="3395"/>
      <c r="CC82" s="3395"/>
      <c r="CD82" s="3395"/>
      <c r="CE82" s="3395"/>
      <c r="CF82" s="3395"/>
      <c r="CG82" s="3395"/>
      <c r="CH82" s="3395"/>
      <c r="CI82" s="3395"/>
      <c r="CJ82" s="3395"/>
      <c r="CK82" s="3395"/>
      <c r="CL82" s="3395"/>
      <c r="CM82" s="3395"/>
      <c r="CN82" s="3395"/>
      <c r="CO82" s="3395"/>
      <c r="CP82" s="3395"/>
      <c r="CQ82" s="3395"/>
      <c r="CR82" s="3395"/>
      <c r="CS82" s="3395"/>
      <c r="CT82" s="3395"/>
      <c r="CU82" s="3395"/>
      <c r="CV82" s="3395"/>
      <c r="CW82" s="3395"/>
      <c r="CX82" s="3395"/>
      <c r="CY82" s="3395"/>
      <c r="CZ82" s="3395"/>
      <c r="DA82" s="3395"/>
      <c r="DB82" s="3395"/>
      <c r="DC82" s="3395"/>
      <c r="DD82" s="3395"/>
      <c r="DE82" s="3395"/>
      <c r="DF82" s="3395"/>
      <c r="DG82" s="3395"/>
      <c r="DH82" s="3395"/>
      <c r="DI82" s="3395"/>
      <c r="DJ82" s="3395"/>
      <c r="DK82" s="3395"/>
      <c r="DL82" s="3395"/>
      <c r="DM82" s="3395"/>
      <c r="DN82" s="3395"/>
      <c r="DO82" s="3395"/>
      <c r="DP82" s="3395"/>
      <c r="DQ82" s="3395"/>
      <c r="DR82" s="3395"/>
      <c r="DS82" s="3395"/>
    </row>
    <row r="83" hidden="1" spans="1:123">
      <c r="A83" s="3395"/>
      <c r="B83" s="3395"/>
      <c r="C83" s="3395"/>
      <c r="D83" s="3395"/>
      <c r="E83" s="3395"/>
      <c r="F83" s="3395"/>
      <c r="G83" s="3395"/>
      <c r="H83" s="3395"/>
      <c r="I83" s="3395"/>
      <c r="J83" s="3395"/>
      <c r="K83" s="3395"/>
      <c r="L83" s="3395"/>
      <c r="M83" s="3395"/>
      <c r="N83" s="3395"/>
      <c r="O83" s="3395"/>
      <c r="P83" s="3395"/>
      <c r="Q83" s="3395"/>
      <c r="R83" s="3395"/>
      <c r="S83" s="3395"/>
      <c r="T83" s="3395"/>
      <c r="U83" s="3395"/>
      <c r="V83" s="3395"/>
      <c r="W83" s="3395"/>
      <c r="X83" s="3395"/>
      <c r="Y83" s="3395"/>
      <c r="Z83" s="3395"/>
      <c r="AA83" s="3395"/>
      <c r="AB83" s="3395"/>
      <c r="AC83" s="3395"/>
      <c r="AD83" s="3395"/>
      <c r="AE83" s="3395"/>
      <c r="AF83" s="3395"/>
      <c r="AG83" s="3395"/>
      <c r="AH83" s="3395"/>
      <c r="AI83" s="3395"/>
      <c r="AJ83" s="3395"/>
      <c r="AK83" s="3395"/>
      <c r="AL83" s="3395"/>
      <c r="AM83" s="3395"/>
      <c r="AN83" s="3395"/>
      <c r="AO83" s="3395"/>
      <c r="AP83" s="3395"/>
      <c r="AQ83" s="3395"/>
      <c r="AR83" s="3395"/>
      <c r="AS83" s="4280"/>
      <c r="AT83" s="4201"/>
      <c r="AU83" s="4201"/>
      <c r="AV83" s="4201"/>
      <c r="AW83" s="4201"/>
      <c r="AX83" s="4201"/>
      <c r="AY83" s="4201"/>
      <c r="AZ83" s="4201"/>
      <c r="BA83" s="4201"/>
      <c r="BB83" s="4201"/>
      <c r="BC83" s="4201"/>
      <c r="BD83" s="4201"/>
      <c r="BE83" s="4201"/>
      <c r="BF83" s="3395"/>
      <c r="BG83" s="3395"/>
      <c r="BH83" s="3395"/>
      <c r="BI83" s="3395"/>
      <c r="BJ83" s="3395"/>
      <c r="BK83" s="3395"/>
      <c r="BL83" s="3395"/>
      <c r="BM83" s="3395"/>
      <c r="BN83" s="3395"/>
      <c r="BO83" s="3395"/>
      <c r="BP83" s="3395"/>
      <c r="BQ83" s="3395"/>
      <c r="BR83" s="3395"/>
      <c r="BS83" s="3395"/>
      <c r="BT83" s="3395"/>
      <c r="BU83" s="3395"/>
      <c r="BV83" s="3395"/>
      <c r="BW83" s="3395"/>
      <c r="BX83" s="3395"/>
      <c r="BY83" s="3395"/>
      <c r="BZ83" s="3395"/>
      <c r="CA83" s="3395"/>
      <c r="CB83" s="3395"/>
      <c r="CC83" s="3395"/>
      <c r="CD83" s="3395"/>
      <c r="CE83" s="3395"/>
      <c r="CF83" s="3395"/>
      <c r="CG83" s="3395"/>
      <c r="CH83" s="3395"/>
      <c r="CI83" s="3395"/>
      <c r="CJ83" s="3395"/>
      <c r="CK83" s="3395"/>
      <c r="CL83" s="3395"/>
      <c r="CM83" s="3395"/>
      <c r="CN83" s="3395"/>
      <c r="CO83" s="3395"/>
      <c r="CP83" s="3395"/>
      <c r="CQ83" s="3395"/>
      <c r="CR83" s="3395"/>
      <c r="CS83" s="3395"/>
      <c r="CT83" s="3395"/>
      <c r="CU83" s="3395"/>
      <c r="CV83" s="3395"/>
      <c r="CW83" s="3395"/>
      <c r="CX83" s="3395"/>
      <c r="CY83" s="3395"/>
      <c r="CZ83" s="3395"/>
      <c r="DA83" s="3395"/>
      <c r="DB83" s="3395"/>
      <c r="DC83" s="3395"/>
      <c r="DD83" s="3395"/>
      <c r="DE83" s="3395"/>
      <c r="DF83" s="3395"/>
      <c r="DG83" s="3395"/>
      <c r="DH83" s="3395"/>
      <c r="DI83" s="3395"/>
      <c r="DJ83" s="3395"/>
      <c r="DK83" s="3395"/>
      <c r="DL83" s="3395"/>
      <c r="DM83" s="3395"/>
      <c r="DN83" s="3395"/>
      <c r="DO83" s="3395"/>
      <c r="DP83" s="3395"/>
      <c r="DQ83" s="3395"/>
      <c r="DR83" s="3395"/>
      <c r="DS83" s="3395"/>
    </row>
    <row r="84" hidden="1" spans="1:123">
      <c r="A84" s="3395"/>
      <c r="B84" s="3395"/>
      <c r="C84" s="3395"/>
      <c r="D84" s="3395"/>
      <c r="E84" s="3395"/>
      <c r="F84" s="3395"/>
      <c r="G84" s="3395"/>
      <c r="H84" s="3395"/>
      <c r="I84" s="3395"/>
      <c r="J84" s="3395"/>
      <c r="K84" s="3395"/>
      <c r="L84" s="3395"/>
      <c r="M84" s="3395"/>
      <c r="N84" s="3395"/>
      <c r="O84" s="3395"/>
      <c r="P84" s="3395"/>
      <c r="Q84" s="3395"/>
      <c r="R84" s="3395"/>
      <c r="S84" s="3395"/>
      <c r="T84" s="3395"/>
      <c r="U84" s="3395"/>
      <c r="V84" s="3395"/>
      <c r="W84" s="3395"/>
      <c r="X84" s="3395"/>
      <c r="Y84" s="3395"/>
      <c r="Z84" s="3395"/>
      <c r="AA84" s="3395"/>
      <c r="AB84" s="3395"/>
      <c r="AC84" s="3395"/>
      <c r="AD84" s="3395"/>
      <c r="AE84" s="3395"/>
      <c r="AF84" s="3395"/>
      <c r="AG84" s="3395"/>
      <c r="AH84" s="3395"/>
      <c r="AI84" s="3395"/>
      <c r="AJ84" s="3395"/>
      <c r="AK84" s="3395"/>
      <c r="AL84" s="3395"/>
      <c r="AM84" s="3395"/>
      <c r="AN84" s="3395"/>
      <c r="AO84" s="3395"/>
      <c r="AP84" s="3395"/>
      <c r="AQ84" s="3395"/>
      <c r="AR84" s="3395"/>
      <c r="AS84" s="4280"/>
      <c r="AT84" s="4201"/>
      <c r="AU84" s="4201"/>
      <c r="AV84" s="4201"/>
      <c r="AW84" s="4201"/>
      <c r="AX84" s="4201"/>
      <c r="AY84" s="4201"/>
      <c r="AZ84" s="4201"/>
      <c r="BA84" s="4201"/>
      <c r="BB84" s="4201"/>
      <c r="BC84" s="4201"/>
      <c r="BD84" s="4201"/>
      <c r="BE84" s="4201"/>
      <c r="BF84" s="3395"/>
      <c r="BG84" s="3395"/>
      <c r="BH84" s="3395"/>
      <c r="BI84" s="3395"/>
      <c r="BJ84" s="3395"/>
      <c r="BK84" s="3395"/>
      <c r="BL84" s="3395"/>
      <c r="BM84" s="3395"/>
      <c r="BN84" s="3395"/>
      <c r="BO84" s="3395"/>
      <c r="BP84" s="3395"/>
      <c r="BQ84" s="3395"/>
      <c r="BR84" s="3395"/>
      <c r="BS84" s="3395"/>
      <c r="BT84" s="3395"/>
      <c r="BU84" s="3395"/>
      <c r="BV84" s="3395"/>
      <c r="BW84" s="3395"/>
      <c r="BX84" s="3395"/>
      <c r="BY84" s="3395"/>
      <c r="BZ84" s="3395"/>
      <c r="CA84" s="3395"/>
      <c r="CB84" s="3395"/>
      <c r="CC84" s="3395"/>
      <c r="CD84" s="3395"/>
      <c r="CE84" s="3395"/>
      <c r="CF84" s="3395"/>
      <c r="CG84" s="3395"/>
      <c r="CH84" s="3395"/>
      <c r="CI84" s="3395"/>
      <c r="CJ84" s="3395"/>
      <c r="CK84" s="3395"/>
      <c r="CL84" s="3395"/>
      <c r="CM84" s="3395"/>
      <c r="CN84" s="3395"/>
      <c r="CO84" s="3395"/>
      <c r="CP84" s="3395"/>
      <c r="CQ84" s="3395"/>
      <c r="CR84" s="3395"/>
      <c r="CS84" s="3395"/>
      <c r="CT84" s="3395"/>
      <c r="CU84" s="3395"/>
      <c r="CV84" s="3395"/>
      <c r="CW84" s="3395"/>
      <c r="CX84" s="3395"/>
      <c r="CY84" s="3395"/>
      <c r="CZ84" s="3395"/>
      <c r="DA84" s="3395"/>
      <c r="DB84" s="3395"/>
      <c r="DC84" s="3395"/>
      <c r="DD84" s="3395"/>
      <c r="DE84" s="3395"/>
      <c r="DF84" s="3395"/>
      <c r="DG84" s="3395"/>
      <c r="DH84" s="3395"/>
      <c r="DI84" s="3395"/>
      <c r="DJ84" s="3395"/>
      <c r="DK84" s="3395"/>
      <c r="DL84" s="3395"/>
      <c r="DM84" s="3395"/>
      <c r="DN84" s="3395"/>
      <c r="DO84" s="3395"/>
      <c r="DP84" s="3395"/>
      <c r="DQ84" s="3395"/>
      <c r="DR84" s="3395"/>
      <c r="DS84" s="3395"/>
    </row>
    <row r="85" hidden="1" spans="1:123">
      <c r="A85" s="3395"/>
      <c r="B85" s="3395"/>
      <c r="C85" s="3395"/>
      <c r="D85" s="3395"/>
      <c r="E85" s="3395"/>
      <c r="F85" s="3395"/>
      <c r="G85" s="3395"/>
      <c r="H85" s="3395"/>
      <c r="I85" s="3395"/>
      <c r="J85" s="3395"/>
      <c r="K85" s="3395"/>
      <c r="L85" s="3395"/>
      <c r="M85" s="3395"/>
      <c r="N85" s="3395"/>
      <c r="O85" s="3395"/>
      <c r="P85" s="3395"/>
      <c r="Q85" s="3395"/>
      <c r="R85" s="3395"/>
      <c r="S85" s="3395"/>
      <c r="T85" s="3395"/>
      <c r="U85" s="3395"/>
      <c r="V85" s="3395"/>
      <c r="W85" s="3395"/>
      <c r="X85" s="3395"/>
      <c r="Y85" s="3395"/>
      <c r="Z85" s="3395"/>
      <c r="AA85" s="3395"/>
      <c r="AB85" s="3395"/>
      <c r="AC85" s="3395"/>
      <c r="AD85" s="3395"/>
      <c r="AE85" s="3395"/>
      <c r="AF85" s="3395"/>
      <c r="AG85" s="3395"/>
      <c r="AH85" s="3395"/>
      <c r="AI85" s="3395"/>
      <c r="AJ85" s="3395"/>
      <c r="AK85" s="3395"/>
      <c r="AL85" s="3395"/>
      <c r="AM85" s="3395"/>
      <c r="AN85" s="3395"/>
      <c r="AO85" s="3395"/>
      <c r="AP85" s="3395"/>
      <c r="AQ85" s="3395"/>
      <c r="AR85" s="3395"/>
      <c r="AS85" s="4280"/>
      <c r="AT85" s="4201"/>
      <c r="AU85" s="4201"/>
      <c r="AV85" s="4201"/>
      <c r="AW85" s="4201"/>
      <c r="AX85" s="4201"/>
      <c r="AY85" s="4201"/>
      <c r="AZ85" s="4201"/>
      <c r="BA85" s="4201"/>
      <c r="BB85" s="4201"/>
      <c r="BC85" s="4201"/>
      <c r="BD85" s="4201"/>
      <c r="BE85" s="4201"/>
      <c r="BF85" s="3395"/>
      <c r="BG85" s="3395"/>
      <c r="BH85" s="3395"/>
      <c r="BI85" s="3395"/>
      <c r="BJ85" s="3395"/>
      <c r="BK85" s="3395"/>
      <c r="BL85" s="3395"/>
      <c r="BM85" s="3395"/>
      <c r="BN85" s="3395"/>
      <c r="BO85" s="3395"/>
      <c r="BP85" s="3395"/>
      <c r="BQ85" s="3395"/>
      <c r="BR85" s="3395"/>
      <c r="BS85" s="3395"/>
      <c r="BT85" s="3395"/>
      <c r="BU85" s="3395"/>
      <c r="BV85" s="3395"/>
      <c r="BW85" s="3395"/>
      <c r="BX85" s="3395"/>
      <c r="BY85" s="3395"/>
      <c r="BZ85" s="3395"/>
      <c r="CA85" s="3395"/>
      <c r="CB85" s="3395"/>
      <c r="CC85" s="3395"/>
      <c r="CD85" s="3395"/>
      <c r="CE85" s="3395"/>
      <c r="CF85" s="3395"/>
      <c r="CG85" s="3395"/>
      <c r="CH85" s="3395"/>
      <c r="CI85" s="3395"/>
      <c r="CJ85" s="3395"/>
      <c r="CK85" s="3395"/>
      <c r="CL85" s="3395"/>
      <c r="CM85" s="3395"/>
      <c r="CN85" s="3395"/>
      <c r="CO85" s="3395"/>
      <c r="CP85" s="3395"/>
      <c r="CQ85" s="3395"/>
      <c r="CR85" s="3395"/>
      <c r="CS85" s="3395"/>
      <c r="CT85" s="3395"/>
      <c r="CU85" s="3395"/>
      <c r="CV85" s="3395"/>
      <c r="CW85" s="3395"/>
      <c r="CX85" s="3395"/>
      <c r="CY85" s="3395"/>
      <c r="CZ85" s="3395"/>
      <c r="DA85" s="3395"/>
      <c r="DB85" s="3395"/>
      <c r="DC85" s="3395"/>
      <c r="DD85" s="3395"/>
      <c r="DE85" s="3395"/>
      <c r="DF85" s="3395"/>
      <c r="DG85" s="3395"/>
      <c r="DH85" s="3395"/>
      <c r="DI85" s="3395"/>
      <c r="DJ85" s="3395"/>
      <c r="DK85" s="3395"/>
      <c r="DL85" s="3395"/>
      <c r="DM85" s="3395"/>
      <c r="DN85" s="3395"/>
      <c r="DO85" s="3395"/>
      <c r="DP85" s="3395"/>
      <c r="DQ85" s="3395"/>
      <c r="DR85" s="3395"/>
      <c r="DS85" s="3395"/>
    </row>
    <row r="86" hidden="1" spans="1:123">
      <c r="A86" s="3395"/>
      <c r="B86" s="3395"/>
      <c r="C86" s="3395"/>
      <c r="D86" s="3395"/>
      <c r="E86" s="3395"/>
      <c r="F86" s="3395"/>
      <c r="G86" s="3395"/>
      <c r="H86" s="3395"/>
      <c r="I86" s="3395"/>
      <c r="J86" s="3395"/>
      <c r="K86" s="3395"/>
      <c r="L86" s="3395"/>
      <c r="M86" s="3395"/>
      <c r="N86" s="3395"/>
      <c r="O86" s="3395"/>
      <c r="P86" s="3395"/>
      <c r="Q86" s="3395"/>
      <c r="R86" s="3395"/>
      <c r="S86" s="3395"/>
      <c r="T86" s="3395"/>
      <c r="U86" s="3395"/>
      <c r="V86" s="3395"/>
      <c r="W86" s="3395"/>
      <c r="X86" s="3395"/>
      <c r="Y86" s="3395"/>
      <c r="Z86" s="3395"/>
      <c r="AA86" s="3395"/>
      <c r="AB86" s="3395"/>
      <c r="AC86" s="3395"/>
      <c r="AD86" s="3395"/>
      <c r="AE86" s="3395"/>
      <c r="AF86" s="3395"/>
      <c r="AG86" s="3395"/>
      <c r="AH86" s="3395"/>
      <c r="AI86" s="3395"/>
      <c r="AJ86" s="3395"/>
      <c r="AK86" s="3395"/>
      <c r="AL86" s="3395"/>
      <c r="AM86" s="3395"/>
      <c r="AN86" s="3395"/>
      <c r="AO86" s="3395"/>
      <c r="AP86" s="3395"/>
      <c r="AQ86" s="3395"/>
      <c r="AR86" s="3395"/>
      <c r="AS86" s="4280"/>
      <c r="AT86" s="4201"/>
      <c r="AU86" s="4201"/>
      <c r="AV86" s="4201"/>
      <c r="AW86" s="4201"/>
      <c r="AX86" s="4201"/>
      <c r="AY86" s="4201"/>
      <c r="AZ86" s="4201"/>
      <c r="BA86" s="4201"/>
      <c r="BB86" s="4201"/>
      <c r="BC86" s="4201"/>
      <c r="BD86" s="4201"/>
      <c r="BE86" s="4201"/>
      <c r="BF86" s="3395"/>
      <c r="BG86" s="3395"/>
      <c r="BH86" s="3395"/>
      <c r="BI86" s="3395"/>
      <c r="BJ86" s="3395"/>
      <c r="BK86" s="3395"/>
      <c r="BL86" s="3395"/>
      <c r="BM86" s="3395"/>
      <c r="BN86" s="3395"/>
      <c r="BO86" s="3395"/>
      <c r="BP86" s="3395"/>
      <c r="BQ86" s="3395"/>
      <c r="BR86" s="3395"/>
      <c r="BS86" s="3395"/>
      <c r="BT86" s="3395"/>
      <c r="BU86" s="3395"/>
      <c r="BV86" s="3395"/>
      <c r="BW86" s="3395"/>
      <c r="BX86" s="3395"/>
      <c r="BY86" s="3395"/>
      <c r="BZ86" s="3395"/>
      <c r="CA86" s="3395"/>
      <c r="CB86" s="3395"/>
      <c r="CC86" s="3395"/>
      <c r="CD86" s="3395"/>
      <c r="CE86" s="3395"/>
      <c r="CF86" s="3395"/>
      <c r="CG86" s="3395"/>
      <c r="CH86" s="3395"/>
      <c r="CI86" s="3395"/>
      <c r="CJ86" s="3395"/>
      <c r="CK86" s="3395"/>
      <c r="CL86" s="3395"/>
      <c r="CM86" s="3395"/>
      <c r="CN86" s="3395"/>
      <c r="CO86" s="3395"/>
      <c r="CP86" s="3395"/>
      <c r="CQ86" s="3395"/>
      <c r="CR86" s="3395"/>
      <c r="CS86" s="3395"/>
      <c r="CT86" s="3395"/>
      <c r="CU86" s="3395"/>
      <c r="CV86" s="3395"/>
      <c r="CW86" s="3395"/>
      <c r="CX86" s="3395"/>
      <c r="CY86" s="3395"/>
      <c r="CZ86" s="3395"/>
      <c r="DA86" s="3395"/>
      <c r="DB86" s="3395"/>
      <c r="DC86" s="3395"/>
      <c r="DD86" s="3395"/>
      <c r="DE86" s="3395"/>
      <c r="DF86" s="3395"/>
      <c r="DG86" s="3395"/>
      <c r="DH86" s="3395"/>
      <c r="DI86" s="3395"/>
      <c r="DJ86" s="3395"/>
      <c r="DK86" s="3395"/>
      <c r="DL86" s="3395"/>
      <c r="DM86" s="3395"/>
      <c r="DN86" s="3395"/>
      <c r="DO86" s="3395"/>
      <c r="DP86" s="3395"/>
      <c r="DQ86" s="3395"/>
      <c r="DR86" s="3395"/>
      <c r="DS86" s="3395"/>
    </row>
    <row r="87" hidden="1" spans="1:123">
      <c r="A87" s="3395"/>
      <c r="B87" s="3395"/>
      <c r="C87" s="3395"/>
      <c r="D87" s="3395"/>
      <c r="E87" s="3395"/>
      <c r="F87" s="3395"/>
      <c r="G87" s="3395"/>
      <c r="H87" s="3395"/>
      <c r="I87" s="3395"/>
      <c r="J87" s="3395"/>
      <c r="K87" s="3395"/>
      <c r="L87" s="3395"/>
      <c r="M87" s="3395"/>
      <c r="N87" s="3395"/>
      <c r="O87" s="3395"/>
      <c r="P87" s="3395"/>
      <c r="Q87" s="3395"/>
      <c r="R87" s="3395"/>
      <c r="S87" s="3395"/>
      <c r="T87" s="3395"/>
      <c r="U87" s="3395"/>
      <c r="V87" s="3395"/>
      <c r="W87" s="3395"/>
      <c r="X87" s="3395"/>
      <c r="Y87" s="3395"/>
      <c r="Z87" s="3395"/>
      <c r="AA87" s="3395"/>
      <c r="AB87" s="3395"/>
      <c r="AC87" s="3395"/>
      <c r="AD87" s="3395"/>
      <c r="AE87" s="3395"/>
      <c r="AF87" s="3395"/>
      <c r="AG87" s="3395"/>
      <c r="AH87" s="3395"/>
      <c r="AI87" s="3395"/>
      <c r="AJ87" s="3395"/>
      <c r="AK87" s="3395"/>
      <c r="AL87" s="3395"/>
      <c r="AM87" s="3395"/>
      <c r="AN87" s="3395"/>
      <c r="AO87" s="3395"/>
      <c r="AP87" s="3395"/>
      <c r="AQ87" s="3395"/>
      <c r="AR87" s="3395"/>
      <c r="AS87" s="4280"/>
      <c r="AT87" s="4201"/>
      <c r="AU87" s="4201"/>
      <c r="AV87" s="4201"/>
      <c r="AW87" s="4201"/>
      <c r="AX87" s="4201"/>
      <c r="AY87" s="4201"/>
      <c r="AZ87" s="4201"/>
      <c r="BA87" s="4201"/>
      <c r="BB87" s="4201"/>
      <c r="BC87" s="4201"/>
      <c r="BD87" s="4201"/>
      <c r="BE87" s="4201"/>
      <c r="BF87" s="3395"/>
      <c r="BG87" s="3395"/>
      <c r="BH87" s="3395"/>
      <c r="BI87" s="3395"/>
      <c r="BJ87" s="3395"/>
      <c r="BK87" s="3395"/>
      <c r="BL87" s="3395"/>
      <c r="BM87" s="3395"/>
      <c r="BN87" s="3395"/>
      <c r="BO87" s="3395"/>
      <c r="BP87" s="3395"/>
      <c r="BQ87" s="3395"/>
      <c r="BR87" s="3395"/>
      <c r="BS87" s="3395"/>
      <c r="BT87" s="3395"/>
      <c r="BU87" s="3395"/>
      <c r="BV87" s="3395"/>
      <c r="BW87" s="3395"/>
      <c r="BX87" s="3395"/>
      <c r="BY87" s="3395"/>
      <c r="BZ87" s="3395"/>
      <c r="CA87" s="3395"/>
      <c r="CB87" s="3395"/>
      <c r="CC87" s="3395"/>
      <c r="CD87" s="3395"/>
      <c r="CE87" s="3395"/>
      <c r="CF87" s="3395"/>
      <c r="CG87" s="3395"/>
      <c r="CH87" s="3395"/>
      <c r="CI87" s="3395"/>
      <c r="CJ87" s="3395"/>
      <c r="CK87" s="3395"/>
      <c r="CL87" s="3395"/>
      <c r="CM87" s="3395"/>
      <c r="CN87" s="3395"/>
      <c r="CO87" s="3395"/>
      <c r="CP87" s="3395"/>
      <c r="CQ87" s="3395"/>
      <c r="CR87" s="3395"/>
      <c r="CS87" s="3395"/>
      <c r="CT87" s="3395"/>
      <c r="CU87" s="3395"/>
      <c r="CV87" s="3395"/>
      <c r="CW87" s="3395"/>
      <c r="CX87" s="3395"/>
      <c r="CY87" s="3395"/>
      <c r="CZ87" s="3395"/>
      <c r="DA87" s="3395"/>
      <c r="DB87" s="3395"/>
      <c r="DC87" s="3395"/>
      <c r="DD87" s="3395"/>
      <c r="DE87" s="3395"/>
      <c r="DF87" s="3395"/>
      <c r="DG87" s="3395"/>
      <c r="DH87" s="3395"/>
      <c r="DI87" s="3395"/>
      <c r="DJ87" s="3395"/>
      <c r="DK87" s="3395"/>
      <c r="DL87" s="3395"/>
      <c r="DM87" s="3395"/>
      <c r="DN87" s="3395"/>
      <c r="DO87" s="3395"/>
      <c r="DP87" s="3395"/>
      <c r="DQ87" s="3395"/>
      <c r="DR87" s="3395"/>
      <c r="DS87" s="3395"/>
    </row>
    <row r="88" hidden="1" spans="1:123">
      <c r="A88" s="3395"/>
      <c r="B88" s="3395"/>
      <c r="C88" s="3395"/>
      <c r="D88" s="3395"/>
      <c r="E88" s="3395"/>
      <c r="F88" s="3395"/>
      <c r="G88" s="3395"/>
      <c r="H88" s="3395"/>
      <c r="I88" s="3395"/>
      <c r="J88" s="3395"/>
      <c r="K88" s="3395"/>
      <c r="L88" s="3395"/>
      <c r="M88" s="3395"/>
      <c r="N88" s="3395"/>
      <c r="O88" s="3395"/>
      <c r="P88" s="3395"/>
      <c r="Q88" s="3395"/>
      <c r="R88" s="3395"/>
      <c r="S88" s="3395"/>
      <c r="T88" s="3395"/>
      <c r="U88" s="3395"/>
      <c r="V88" s="3395"/>
      <c r="W88" s="3395"/>
      <c r="X88" s="3395"/>
      <c r="Y88" s="3395"/>
      <c r="Z88" s="3395"/>
      <c r="AA88" s="3395"/>
      <c r="AB88" s="3395"/>
      <c r="AC88" s="3395"/>
      <c r="AD88" s="3395"/>
      <c r="AE88" s="3395"/>
      <c r="AF88" s="3395"/>
      <c r="AG88" s="3395"/>
      <c r="AH88" s="3395"/>
      <c r="AI88" s="3395"/>
      <c r="AJ88" s="3395"/>
      <c r="AK88" s="3395"/>
      <c r="AL88" s="3395"/>
      <c r="AM88" s="3395"/>
      <c r="AN88" s="3395"/>
      <c r="AO88" s="3395"/>
      <c r="AP88" s="3395"/>
      <c r="AQ88" s="3395"/>
      <c r="AR88" s="3395"/>
      <c r="AS88" s="4280"/>
      <c r="AT88" s="4201"/>
      <c r="AU88" s="4201"/>
      <c r="AV88" s="4201"/>
      <c r="AW88" s="4201"/>
      <c r="AX88" s="4201"/>
      <c r="AY88" s="4201"/>
      <c r="AZ88" s="4201"/>
      <c r="BA88" s="4201"/>
      <c r="BB88" s="4201"/>
      <c r="BC88" s="4201"/>
      <c r="BD88" s="4201"/>
      <c r="BE88" s="4201"/>
      <c r="BF88" s="3395"/>
      <c r="BG88" s="3395"/>
      <c r="BH88" s="3395"/>
      <c r="BI88" s="3395"/>
      <c r="BJ88" s="3395"/>
      <c r="BK88" s="3395"/>
      <c r="BL88" s="3395"/>
      <c r="BM88" s="3395"/>
      <c r="BN88" s="3395"/>
      <c r="BO88" s="3395"/>
      <c r="BP88" s="3395"/>
      <c r="BQ88" s="3395"/>
      <c r="BR88" s="3395"/>
      <c r="BS88" s="3395"/>
      <c r="BT88" s="3395"/>
      <c r="BU88" s="3395"/>
      <c r="BV88" s="3395"/>
      <c r="BW88" s="3395"/>
      <c r="BX88" s="3395"/>
      <c r="BY88" s="3395"/>
      <c r="BZ88" s="3395"/>
      <c r="CA88" s="3395"/>
      <c r="CB88" s="3395"/>
      <c r="CC88" s="3395"/>
      <c r="CD88" s="3395"/>
      <c r="CE88" s="3395"/>
      <c r="CF88" s="3395"/>
      <c r="CG88" s="3395"/>
      <c r="CH88" s="3395"/>
      <c r="CI88" s="3395"/>
      <c r="CJ88" s="3395"/>
      <c r="CK88" s="3395"/>
      <c r="CL88" s="3395"/>
      <c r="CM88" s="3395"/>
      <c r="CN88" s="3395"/>
      <c r="CO88" s="3395"/>
      <c r="CP88" s="3395"/>
      <c r="CQ88" s="3395"/>
      <c r="CR88" s="3395"/>
      <c r="CS88" s="3395"/>
      <c r="CT88" s="3395"/>
      <c r="CU88" s="3395"/>
      <c r="CV88" s="3395"/>
      <c r="CW88" s="3395"/>
      <c r="CX88" s="3395"/>
      <c r="CY88" s="3395"/>
      <c r="CZ88" s="3395"/>
      <c r="DA88" s="3395"/>
      <c r="DB88" s="3395"/>
      <c r="DC88" s="3395"/>
      <c r="DD88" s="3395"/>
      <c r="DE88" s="3395"/>
      <c r="DF88" s="3395"/>
      <c r="DG88" s="3395"/>
      <c r="DH88" s="3395"/>
      <c r="DI88" s="3395"/>
      <c r="DJ88" s="3395"/>
      <c r="DK88" s="3395"/>
      <c r="DL88" s="3395"/>
      <c r="DM88" s="3395"/>
      <c r="DN88" s="3395"/>
      <c r="DO88" s="3395"/>
      <c r="DP88" s="3395"/>
      <c r="DQ88" s="3395"/>
      <c r="DR88" s="3395"/>
      <c r="DS88" s="3395"/>
    </row>
    <row r="89" hidden="1" spans="1:123">
      <c r="A89" s="3395"/>
      <c r="B89" s="3395"/>
      <c r="C89" s="3395"/>
      <c r="D89" s="3395"/>
      <c r="E89" s="3395"/>
      <c r="F89" s="3395"/>
      <c r="G89" s="3395"/>
      <c r="H89" s="3395"/>
      <c r="I89" s="3395"/>
      <c r="J89" s="3395"/>
      <c r="K89" s="3395"/>
      <c r="L89" s="3395"/>
      <c r="M89" s="3395"/>
      <c r="N89" s="3395"/>
      <c r="O89" s="3395"/>
      <c r="P89" s="3395"/>
      <c r="Q89" s="3395"/>
      <c r="R89" s="3395"/>
      <c r="S89" s="3395"/>
      <c r="T89" s="3395"/>
      <c r="U89" s="3395"/>
      <c r="V89" s="3395"/>
      <c r="W89" s="3395"/>
      <c r="X89" s="3395"/>
      <c r="Y89" s="3395"/>
      <c r="Z89" s="3395"/>
      <c r="AA89" s="3395"/>
      <c r="AB89" s="3395"/>
      <c r="AC89" s="3395"/>
      <c r="AD89" s="3395"/>
      <c r="AE89" s="3395"/>
      <c r="AF89" s="3395"/>
      <c r="AG89" s="3395"/>
      <c r="AH89" s="3395"/>
      <c r="AI89" s="3395"/>
      <c r="AJ89" s="3395"/>
      <c r="AK89" s="3395"/>
      <c r="AL89" s="3395"/>
      <c r="AM89" s="3395"/>
      <c r="AN89" s="3395"/>
      <c r="AO89" s="3395"/>
      <c r="AP89" s="3395"/>
      <c r="AQ89" s="3395"/>
      <c r="AR89" s="3395"/>
      <c r="AS89" s="4280"/>
      <c r="AT89" s="4201"/>
      <c r="AU89" s="4201"/>
      <c r="AV89" s="4201"/>
      <c r="AW89" s="4201"/>
      <c r="AX89" s="4201"/>
      <c r="AY89" s="4201"/>
      <c r="AZ89" s="4201"/>
      <c r="BA89" s="4201"/>
      <c r="BB89" s="4201"/>
      <c r="BC89" s="4201"/>
      <c r="BD89" s="4201"/>
      <c r="BE89" s="4201"/>
      <c r="BF89" s="3395"/>
      <c r="BG89" s="3395"/>
      <c r="BH89" s="3395"/>
      <c r="BI89" s="3395"/>
      <c r="BJ89" s="3395"/>
      <c r="BK89" s="3395"/>
      <c r="BL89" s="3395"/>
      <c r="BM89" s="3395"/>
      <c r="BN89" s="3395"/>
      <c r="BO89" s="3395"/>
      <c r="BP89" s="3395"/>
      <c r="BQ89" s="3395"/>
      <c r="BR89" s="3395"/>
      <c r="BS89" s="3395"/>
      <c r="BT89" s="3395"/>
      <c r="BU89" s="3395"/>
      <c r="BV89" s="3395"/>
      <c r="BW89" s="3395"/>
      <c r="BX89" s="3395"/>
      <c r="BY89" s="3395"/>
      <c r="BZ89" s="3395"/>
      <c r="CA89" s="3395"/>
      <c r="CB89" s="3395"/>
      <c r="CC89" s="3395"/>
      <c r="CD89" s="3395"/>
      <c r="CE89" s="3395"/>
      <c r="CF89" s="3395"/>
      <c r="CG89" s="3395"/>
      <c r="CH89" s="3395"/>
      <c r="CI89" s="3395"/>
      <c r="CJ89" s="3395"/>
      <c r="CK89" s="3395"/>
      <c r="CL89" s="3395"/>
      <c r="CM89" s="3395"/>
      <c r="CN89" s="3395"/>
      <c r="CO89" s="3395"/>
      <c r="CP89" s="3395"/>
      <c r="CQ89" s="3395"/>
      <c r="CR89" s="3395"/>
      <c r="CS89" s="3395"/>
      <c r="CT89" s="3395"/>
      <c r="CU89" s="3395"/>
      <c r="CV89" s="3395"/>
      <c r="CW89" s="3395"/>
      <c r="CX89" s="3395"/>
      <c r="CY89" s="3395"/>
      <c r="CZ89" s="3395"/>
      <c r="DA89" s="3395"/>
      <c r="DB89" s="3395"/>
      <c r="DC89" s="3395"/>
      <c r="DD89" s="3395"/>
      <c r="DE89" s="3395"/>
      <c r="DF89" s="3395"/>
      <c r="DG89" s="3395"/>
      <c r="DH89" s="3395"/>
      <c r="DI89" s="3395"/>
      <c r="DJ89" s="3395"/>
      <c r="DK89" s="3395"/>
      <c r="DL89" s="3395"/>
      <c r="DM89" s="3395"/>
      <c r="DN89" s="3395"/>
      <c r="DO89" s="3395"/>
      <c r="DP89" s="3395"/>
      <c r="DQ89" s="3395"/>
      <c r="DR89" s="3395"/>
      <c r="DS89" s="3395"/>
    </row>
    <row r="90" hidden="1" spans="1:123">
      <c r="A90" s="3395"/>
      <c r="B90" s="3395"/>
      <c r="C90" s="3395"/>
      <c r="D90" s="3395"/>
      <c r="E90" s="3395"/>
      <c r="F90" s="3395"/>
      <c r="G90" s="3395"/>
      <c r="H90" s="3395"/>
      <c r="I90" s="3395"/>
      <c r="J90" s="3395"/>
      <c r="K90" s="3395"/>
      <c r="L90" s="3395"/>
      <c r="M90" s="3395"/>
      <c r="N90" s="3395"/>
      <c r="O90" s="3395"/>
      <c r="P90" s="3395"/>
      <c r="Q90" s="3395"/>
      <c r="R90" s="3395"/>
      <c r="S90" s="3395"/>
      <c r="T90" s="3395"/>
      <c r="U90" s="3395"/>
      <c r="V90" s="3395"/>
      <c r="W90" s="3395"/>
      <c r="X90" s="3395"/>
      <c r="Y90" s="3395"/>
      <c r="Z90" s="3395"/>
      <c r="AA90" s="3395"/>
      <c r="AB90" s="3395"/>
      <c r="AC90" s="3395"/>
      <c r="AD90" s="3395"/>
      <c r="AE90" s="3395"/>
      <c r="AF90" s="3395"/>
      <c r="AG90" s="3395"/>
      <c r="AH90" s="3395"/>
      <c r="AI90" s="3395"/>
      <c r="AJ90" s="3395"/>
      <c r="AK90" s="3395"/>
      <c r="AL90" s="3395"/>
      <c r="AM90" s="3395"/>
      <c r="AN90" s="3395"/>
      <c r="AO90" s="3395"/>
      <c r="AP90" s="3395"/>
      <c r="AQ90" s="3395"/>
      <c r="AR90" s="3395"/>
      <c r="AS90" s="4280"/>
      <c r="AT90" s="4201"/>
      <c r="AU90" s="4201"/>
      <c r="AV90" s="4201"/>
      <c r="AW90" s="4201"/>
      <c r="AX90" s="4201"/>
      <c r="AY90" s="4201"/>
      <c r="AZ90" s="4201"/>
      <c r="BA90" s="4201"/>
      <c r="BB90" s="4201"/>
      <c r="BC90" s="4201"/>
      <c r="BD90" s="4201"/>
      <c r="BE90" s="4201"/>
      <c r="BF90" s="3395"/>
      <c r="BG90" s="3395"/>
      <c r="BH90" s="3395"/>
      <c r="BI90" s="3395"/>
      <c r="BJ90" s="3395"/>
      <c r="BK90" s="3395"/>
      <c r="BL90" s="3395"/>
      <c r="BM90" s="3395"/>
      <c r="BN90" s="3395"/>
      <c r="BO90" s="3395"/>
      <c r="BP90" s="3395"/>
      <c r="BQ90" s="3395"/>
      <c r="BR90" s="3395"/>
      <c r="BS90" s="3395"/>
      <c r="BT90" s="3395"/>
      <c r="BU90" s="3395"/>
      <c r="BV90" s="3395"/>
      <c r="BW90" s="3395"/>
      <c r="BX90" s="3395"/>
      <c r="BY90" s="3395"/>
      <c r="BZ90" s="3395"/>
      <c r="CA90" s="3395"/>
      <c r="CB90" s="3395"/>
      <c r="CC90" s="3395"/>
      <c r="CD90" s="3395"/>
      <c r="CE90" s="3395"/>
      <c r="CF90" s="3395"/>
      <c r="CG90" s="3395"/>
      <c r="CH90" s="3395"/>
      <c r="CI90" s="3395"/>
      <c r="CJ90" s="3395"/>
      <c r="CK90" s="3395"/>
      <c r="CL90" s="3395"/>
      <c r="CM90" s="3395"/>
      <c r="CN90" s="3395"/>
      <c r="CO90" s="3395"/>
      <c r="CP90" s="3395"/>
      <c r="CQ90" s="3395"/>
      <c r="CR90" s="3395"/>
      <c r="CS90" s="3395"/>
      <c r="CT90" s="3395"/>
      <c r="CU90" s="3395"/>
      <c r="CV90" s="3395"/>
      <c r="CW90" s="3395"/>
      <c r="CX90" s="3395"/>
      <c r="CY90" s="3395"/>
      <c r="CZ90" s="3395"/>
      <c r="DA90" s="3395"/>
      <c r="DB90" s="3395"/>
      <c r="DC90" s="3395"/>
      <c r="DD90" s="3395"/>
      <c r="DE90" s="3395"/>
      <c r="DF90" s="3395"/>
      <c r="DG90" s="3395"/>
      <c r="DH90" s="3395"/>
      <c r="DI90" s="3395"/>
      <c r="DJ90" s="3395"/>
      <c r="DK90" s="3395"/>
      <c r="DL90" s="3395"/>
      <c r="DM90" s="3395"/>
      <c r="DN90" s="3395"/>
      <c r="DO90" s="3395"/>
      <c r="DP90" s="3395"/>
      <c r="DQ90" s="3395"/>
      <c r="DR90" s="3395"/>
      <c r="DS90" s="3395"/>
    </row>
    <row r="91" hidden="1" spans="1:123">
      <c r="A91" s="3395"/>
      <c r="B91" s="3395"/>
      <c r="C91" s="3395"/>
      <c r="D91" s="3395"/>
      <c r="E91" s="3395"/>
      <c r="F91" s="3395"/>
      <c r="G91" s="3395"/>
      <c r="H91" s="3395"/>
      <c r="I91" s="3395"/>
      <c r="J91" s="3395"/>
      <c r="K91" s="3395"/>
      <c r="L91" s="3395"/>
      <c r="M91" s="3395"/>
      <c r="N91" s="3395"/>
      <c r="O91" s="3395"/>
      <c r="P91" s="3395"/>
      <c r="Q91" s="3395"/>
      <c r="R91" s="3395"/>
      <c r="S91" s="3395"/>
      <c r="T91" s="3395"/>
      <c r="U91" s="3395"/>
      <c r="V91" s="3395"/>
      <c r="W91" s="3395"/>
      <c r="X91" s="3395"/>
      <c r="Y91" s="3395"/>
      <c r="Z91" s="3395"/>
      <c r="AA91" s="3395"/>
      <c r="AB91" s="3395"/>
      <c r="AC91" s="3395"/>
      <c r="AD91" s="3395"/>
      <c r="AE91" s="3395"/>
      <c r="AF91" s="3395"/>
      <c r="AG91" s="3395"/>
      <c r="AH91" s="3395"/>
      <c r="AI91" s="3395"/>
      <c r="AJ91" s="3395"/>
      <c r="AK91" s="3395"/>
      <c r="AL91" s="3395"/>
      <c r="AM91" s="3395"/>
      <c r="AN91" s="3395"/>
      <c r="AO91" s="3395"/>
      <c r="AP91" s="3395"/>
      <c r="AQ91" s="3395"/>
      <c r="AR91" s="3395"/>
      <c r="AS91" s="4280"/>
      <c r="AT91" s="4201"/>
      <c r="AU91" s="4201"/>
      <c r="AV91" s="4201"/>
      <c r="AW91" s="4201"/>
      <c r="AX91" s="4201"/>
      <c r="AY91" s="4201"/>
      <c r="AZ91" s="4201"/>
      <c r="BA91" s="4201"/>
      <c r="BB91" s="4201"/>
      <c r="BC91" s="4201"/>
      <c r="BD91" s="4201"/>
      <c r="BE91" s="4201"/>
      <c r="BF91" s="3395"/>
      <c r="BG91" s="3395"/>
      <c r="BH91" s="3395"/>
      <c r="BI91" s="3395"/>
      <c r="BJ91" s="3395"/>
      <c r="BK91" s="3395"/>
      <c r="BL91" s="3395"/>
      <c r="BM91" s="3395"/>
      <c r="BN91" s="3395"/>
      <c r="BO91" s="3395"/>
      <c r="BP91" s="3395"/>
      <c r="BQ91" s="3395"/>
      <c r="BR91" s="3395"/>
      <c r="BS91" s="3395"/>
      <c r="BT91" s="3395"/>
      <c r="BU91" s="3395"/>
      <c r="BV91" s="3395"/>
      <c r="BW91" s="3395"/>
      <c r="BX91" s="3395"/>
      <c r="BY91" s="3395"/>
      <c r="BZ91" s="3395"/>
      <c r="CA91" s="3395"/>
      <c r="CB91" s="3395"/>
      <c r="CC91" s="3395"/>
      <c r="CD91" s="3395"/>
      <c r="CE91" s="3395"/>
      <c r="CF91" s="3395"/>
      <c r="CG91" s="3395"/>
      <c r="CH91" s="3395"/>
      <c r="CI91" s="3395"/>
      <c r="CJ91" s="3395"/>
      <c r="CK91" s="3395"/>
      <c r="CL91" s="3395"/>
      <c r="CM91" s="3395"/>
      <c r="CN91" s="3395"/>
      <c r="CO91" s="3395"/>
      <c r="CP91" s="3395"/>
      <c r="CQ91" s="3395"/>
      <c r="CR91" s="3395"/>
      <c r="CS91" s="3395"/>
      <c r="CT91" s="3395"/>
      <c r="CU91" s="3395"/>
      <c r="CV91" s="3395"/>
      <c r="CW91" s="3395"/>
      <c r="CX91" s="3395"/>
      <c r="CY91" s="3395"/>
      <c r="CZ91" s="3395"/>
      <c r="DA91" s="3395"/>
      <c r="DB91" s="3395"/>
      <c r="DC91" s="3395"/>
      <c r="DD91" s="3395"/>
      <c r="DE91" s="3395"/>
      <c r="DF91" s="3395"/>
      <c r="DG91" s="3395"/>
      <c r="DH91" s="3395"/>
      <c r="DI91" s="3395"/>
      <c r="DJ91" s="3395"/>
      <c r="DK91" s="3395"/>
      <c r="DL91" s="3395"/>
      <c r="DM91" s="3395"/>
      <c r="DN91" s="3395"/>
      <c r="DO91" s="3395"/>
      <c r="DP91" s="3395"/>
      <c r="DQ91" s="3395"/>
      <c r="DR91" s="3395"/>
      <c r="DS91" s="3395"/>
    </row>
    <row r="92" hidden="1" spans="1:123">
      <c r="A92" s="3395"/>
      <c r="B92" s="3395"/>
      <c r="C92" s="3395"/>
      <c r="D92" s="3395"/>
      <c r="E92" s="3395"/>
      <c r="F92" s="3395"/>
      <c r="G92" s="3395"/>
      <c r="H92" s="3395"/>
      <c r="I92" s="3395"/>
      <c r="J92" s="3395"/>
      <c r="K92" s="3395"/>
      <c r="L92" s="3395"/>
      <c r="M92" s="3395"/>
      <c r="N92" s="3395"/>
      <c r="O92" s="3395"/>
      <c r="P92" s="3395"/>
      <c r="Q92" s="3395"/>
      <c r="R92" s="3395"/>
      <c r="S92" s="3395"/>
      <c r="T92" s="3395"/>
      <c r="U92" s="3395"/>
      <c r="V92" s="3395"/>
      <c r="W92" s="3395"/>
      <c r="X92" s="3395"/>
      <c r="Y92" s="3395"/>
      <c r="Z92" s="3395"/>
      <c r="AA92" s="3395"/>
      <c r="AB92" s="3395"/>
      <c r="AC92" s="3395"/>
      <c r="AD92" s="3395"/>
      <c r="AE92" s="3395"/>
      <c r="AF92" s="3395"/>
      <c r="AG92" s="3395"/>
      <c r="AH92" s="3395"/>
      <c r="AI92" s="3395"/>
      <c r="AJ92" s="3395"/>
      <c r="AK92" s="3395"/>
      <c r="AL92" s="3395"/>
      <c r="AM92" s="3395"/>
      <c r="AN92" s="3395"/>
      <c r="AO92" s="3395"/>
      <c r="AP92" s="3395"/>
      <c r="AQ92" s="3395"/>
      <c r="AR92" s="3395"/>
      <c r="AS92" s="4280"/>
      <c r="AT92" s="4201"/>
      <c r="AU92" s="4201"/>
      <c r="AV92" s="4201"/>
      <c r="AW92" s="4201"/>
      <c r="AX92" s="4201"/>
      <c r="AY92" s="4201"/>
      <c r="AZ92" s="4201"/>
      <c r="BA92" s="4201"/>
      <c r="BB92" s="4201"/>
      <c r="BC92" s="4201"/>
      <c r="BD92" s="4201"/>
      <c r="BE92" s="4201"/>
      <c r="BF92" s="3395"/>
      <c r="BG92" s="3395"/>
      <c r="BH92" s="3395"/>
      <c r="BI92" s="3395"/>
      <c r="BJ92" s="3395"/>
      <c r="BK92" s="3395"/>
      <c r="BL92" s="3395"/>
      <c r="BM92" s="3395"/>
      <c r="BN92" s="3395"/>
      <c r="BO92" s="3395"/>
      <c r="BP92" s="3395"/>
      <c r="BQ92" s="3395"/>
      <c r="BR92" s="3395"/>
      <c r="BS92" s="3395"/>
      <c r="BT92" s="3395"/>
      <c r="BU92" s="3395"/>
      <c r="BV92" s="3395"/>
      <c r="BW92" s="3395"/>
      <c r="BX92" s="3395"/>
      <c r="BY92" s="3395"/>
      <c r="BZ92" s="3395"/>
      <c r="CA92" s="3395"/>
      <c r="CB92" s="3395"/>
      <c r="CC92" s="3395"/>
      <c r="CD92" s="3395"/>
      <c r="CE92" s="3395"/>
      <c r="CF92" s="3395"/>
      <c r="CG92" s="3395"/>
      <c r="CH92" s="3395"/>
      <c r="CI92" s="3395"/>
      <c r="CJ92" s="3395"/>
      <c r="CK92" s="3395"/>
      <c r="CL92" s="3395"/>
      <c r="CM92" s="3395"/>
      <c r="CN92" s="3395"/>
      <c r="CO92" s="3395"/>
      <c r="CP92" s="3395"/>
      <c r="CQ92" s="3395"/>
      <c r="CR92" s="3395"/>
      <c r="CS92" s="3395"/>
      <c r="CT92" s="3395"/>
      <c r="CU92" s="3395"/>
      <c r="CV92" s="3395"/>
      <c r="CW92" s="3395"/>
      <c r="CX92" s="3395"/>
      <c r="CY92" s="3395"/>
      <c r="CZ92" s="3395"/>
      <c r="DA92" s="3395"/>
      <c r="DB92" s="3395"/>
      <c r="DC92" s="3395"/>
      <c r="DD92" s="3395"/>
      <c r="DE92" s="3395"/>
      <c r="DF92" s="3395"/>
      <c r="DG92" s="3395"/>
      <c r="DH92" s="3395"/>
      <c r="DI92" s="3395"/>
      <c r="DJ92" s="3395"/>
      <c r="DK92" s="3395"/>
      <c r="DL92" s="3395"/>
      <c r="DM92" s="3395"/>
      <c r="DN92" s="3395"/>
      <c r="DO92" s="3395"/>
      <c r="DP92" s="3395"/>
      <c r="DQ92" s="3395"/>
      <c r="DR92" s="3395"/>
      <c r="DS92" s="3395"/>
    </row>
    <row r="93" hidden="1" spans="1:123">
      <c r="A93" s="3395"/>
      <c r="B93" s="3395"/>
      <c r="C93" s="3395"/>
      <c r="D93" s="3395"/>
      <c r="E93" s="3395"/>
      <c r="F93" s="3395"/>
      <c r="G93" s="3395"/>
      <c r="H93" s="3395"/>
      <c r="I93" s="3395"/>
      <c r="J93" s="3395"/>
      <c r="K93" s="3395"/>
      <c r="L93" s="3395"/>
      <c r="M93" s="3395"/>
      <c r="N93" s="3395"/>
      <c r="O93" s="3395"/>
      <c r="P93" s="3395"/>
      <c r="Q93" s="3395"/>
      <c r="R93" s="3395"/>
      <c r="S93" s="3395"/>
      <c r="T93" s="3395"/>
      <c r="U93" s="3395"/>
      <c r="V93" s="3395"/>
      <c r="W93" s="3395"/>
      <c r="X93" s="3395"/>
      <c r="Y93" s="3395"/>
      <c r="Z93" s="3395"/>
      <c r="AA93" s="3395"/>
      <c r="AB93" s="3395"/>
      <c r="AC93" s="3395"/>
      <c r="AD93" s="3395"/>
      <c r="AE93" s="3395"/>
      <c r="AF93" s="3395"/>
      <c r="AG93" s="3395"/>
      <c r="AH93" s="3395"/>
      <c r="AI93" s="3395"/>
      <c r="AJ93" s="3395"/>
      <c r="AK93" s="3395"/>
      <c r="AL93" s="3395"/>
      <c r="AM93" s="3395"/>
      <c r="AN93" s="3395"/>
      <c r="AO93" s="3395"/>
      <c r="AP93" s="3395"/>
      <c r="AQ93" s="3395"/>
      <c r="AR93" s="3395"/>
      <c r="AS93" s="4280"/>
      <c r="AT93" s="4201"/>
      <c r="AU93" s="4201"/>
      <c r="AV93" s="4201"/>
      <c r="AW93" s="4201"/>
      <c r="AX93" s="4201"/>
      <c r="AY93" s="4201"/>
      <c r="AZ93" s="4201"/>
      <c r="BA93" s="4201"/>
      <c r="BB93" s="4201"/>
      <c r="BC93" s="4201"/>
      <c r="BD93" s="4201"/>
      <c r="BE93" s="4201"/>
      <c r="BF93" s="3395"/>
      <c r="BG93" s="3395"/>
      <c r="BH93" s="3395"/>
      <c r="BI93" s="3395"/>
      <c r="BJ93" s="3395"/>
      <c r="BK93" s="3395"/>
      <c r="BL93" s="3395"/>
      <c r="BM93" s="3395"/>
      <c r="BN93" s="3395"/>
      <c r="BO93" s="3395"/>
      <c r="BP93" s="3395"/>
      <c r="BQ93" s="3395"/>
      <c r="BR93" s="3395"/>
      <c r="BS93" s="3395"/>
      <c r="BT93" s="3395"/>
      <c r="BU93" s="3395"/>
      <c r="BV93" s="3395"/>
      <c r="BW93" s="3395"/>
      <c r="BX93" s="3395"/>
      <c r="BY93" s="3395"/>
      <c r="BZ93" s="3395"/>
      <c r="CA93" s="3395"/>
      <c r="CB93" s="3395"/>
      <c r="CC93" s="3395"/>
      <c r="CD93" s="3395"/>
      <c r="CE93" s="3395"/>
      <c r="CF93" s="3395"/>
      <c r="CG93" s="3395"/>
      <c r="CH93" s="3395"/>
      <c r="CI93" s="3395"/>
      <c r="CJ93" s="3395"/>
      <c r="CK93" s="3395"/>
      <c r="CL93" s="3395"/>
      <c r="CM93" s="3395"/>
      <c r="CN93" s="3395"/>
      <c r="CO93" s="3395"/>
      <c r="CP93" s="3395"/>
      <c r="CQ93" s="3395"/>
      <c r="CR93" s="3395"/>
      <c r="CS93" s="3395"/>
      <c r="CT93" s="3395"/>
      <c r="CU93" s="3395"/>
      <c r="CV93" s="3395"/>
      <c r="CW93" s="3395"/>
      <c r="CX93" s="3395"/>
      <c r="CY93" s="3395"/>
      <c r="CZ93" s="3395"/>
      <c r="DA93" s="3395"/>
      <c r="DB93" s="3395"/>
      <c r="DC93" s="3395"/>
      <c r="DD93" s="3395"/>
      <c r="DE93" s="3395"/>
      <c r="DF93" s="3395"/>
      <c r="DG93" s="3395"/>
      <c r="DH93" s="3395"/>
      <c r="DI93" s="3395"/>
      <c r="DJ93" s="3395"/>
      <c r="DK93" s="3395"/>
      <c r="DL93" s="3395"/>
      <c r="DM93" s="3395"/>
      <c r="DN93" s="3395"/>
      <c r="DO93" s="3395"/>
      <c r="DP93" s="3395"/>
      <c r="DQ93" s="3395"/>
      <c r="DR93" s="3395"/>
      <c r="DS93" s="3395"/>
    </row>
    <row r="94" hidden="1" spans="1:123">
      <c r="A94" s="3395"/>
      <c r="B94" s="3395"/>
      <c r="C94" s="3395"/>
      <c r="D94" s="3395"/>
      <c r="E94" s="3395"/>
      <c r="F94" s="3395"/>
      <c r="G94" s="3395"/>
      <c r="H94" s="3395"/>
      <c r="I94" s="3395"/>
      <c r="J94" s="3395"/>
      <c r="K94" s="3395"/>
      <c r="L94" s="3395"/>
      <c r="M94" s="3395"/>
      <c r="N94" s="3395"/>
      <c r="O94" s="3395"/>
      <c r="P94" s="3395"/>
      <c r="Q94" s="3395"/>
      <c r="R94" s="3395"/>
      <c r="S94" s="3395"/>
      <c r="T94" s="3395"/>
      <c r="U94" s="3395"/>
      <c r="V94" s="3395"/>
      <c r="W94" s="3395"/>
      <c r="X94" s="3395"/>
      <c r="Y94" s="3395"/>
      <c r="Z94" s="3395"/>
      <c r="AA94" s="3395"/>
      <c r="AB94" s="3395"/>
      <c r="AC94" s="3395"/>
      <c r="AD94" s="3395"/>
      <c r="AE94" s="3395"/>
      <c r="AF94" s="3395"/>
      <c r="AG94" s="3395"/>
      <c r="AH94" s="3395"/>
      <c r="AI94" s="3395"/>
      <c r="AJ94" s="3395"/>
      <c r="AK94" s="3395"/>
      <c r="AL94" s="3395"/>
      <c r="AM94" s="3395"/>
      <c r="AN94" s="3395"/>
      <c r="AO94" s="3395"/>
      <c r="AP94" s="3395"/>
      <c r="AQ94" s="3395"/>
      <c r="AR94" s="3395"/>
      <c r="AS94" s="4280"/>
      <c r="AT94" s="4201"/>
      <c r="AU94" s="4201"/>
      <c r="AV94" s="4201"/>
      <c r="AW94" s="4201"/>
      <c r="AX94" s="4201"/>
      <c r="AY94" s="4201"/>
      <c r="AZ94" s="4201"/>
      <c r="BA94" s="4201"/>
      <c r="BB94" s="4201"/>
      <c r="BC94" s="4201"/>
      <c r="BD94" s="4201"/>
      <c r="BE94" s="4201"/>
      <c r="BF94" s="3395"/>
      <c r="BG94" s="3395"/>
      <c r="BH94" s="3395"/>
      <c r="BI94" s="3395"/>
      <c r="BJ94" s="3395"/>
      <c r="BK94" s="3395"/>
      <c r="BL94" s="3395"/>
      <c r="BM94" s="3395"/>
      <c r="BN94" s="3395"/>
      <c r="BO94" s="3395"/>
      <c r="BP94" s="3395"/>
      <c r="BQ94" s="3395"/>
      <c r="BR94" s="3395"/>
      <c r="BS94" s="3395"/>
      <c r="BT94" s="3395"/>
      <c r="BU94" s="3395"/>
      <c r="BV94" s="3395"/>
      <c r="BW94" s="3395"/>
      <c r="BX94" s="3395"/>
      <c r="BY94" s="3395"/>
      <c r="BZ94" s="3395"/>
      <c r="CA94" s="3395"/>
      <c r="CB94" s="3395"/>
      <c r="CC94" s="3395"/>
      <c r="CD94" s="3395"/>
      <c r="CE94" s="3395"/>
      <c r="CF94" s="3395"/>
      <c r="CG94" s="3395"/>
      <c r="CH94" s="3395"/>
      <c r="CI94" s="3395"/>
      <c r="CJ94" s="3395"/>
      <c r="CK94" s="3395"/>
      <c r="CL94" s="3395"/>
      <c r="CM94" s="3395"/>
      <c r="CN94" s="3395"/>
      <c r="CO94" s="3395"/>
      <c r="CP94" s="3395"/>
      <c r="CQ94" s="3395"/>
      <c r="CR94" s="3395"/>
      <c r="CS94" s="3395"/>
      <c r="CT94" s="3395"/>
      <c r="CU94" s="3395"/>
      <c r="CV94" s="3395"/>
      <c r="CW94" s="3395"/>
      <c r="CX94" s="3395"/>
      <c r="CY94" s="3395"/>
      <c r="CZ94" s="3395"/>
      <c r="DA94" s="3395"/>
      <c r="DB94" s="3395"/>
      <c r="DC94" s="3395"/>
      <c r="DD94" s="3395"/>
      <c r="DE94" s="3395"/>
      <c r="DF94" s="3395"/>
      <c r="DG94" s="3395"/>
      <c r="DH94" s="3395"/>
      <c r="DI94" s="3395"/>
      <c r="DJ94" s="3395"/>
      <c r="DK94" s="3395"/>
      <c r="DL94" s="3395"/>
      <c r="DM94" s="3395"/>
      <c r="DN94" s="3395"/>
      <c r="DO94" s="3395"/>
      <c r="DP94" s="3395"/>
      <c r="DQ94" s="3395"/>
      <c r="DR94" s="3395"/>
      <c r="DS94" s="3395"/>
    </row>
    <row r="95" hidden="1" spans="1:123">
      <c r="A95" s="3395"/>
      <c r="B95" s="3395"/>
      <c r="C95" s="3395"/>
      <c r="D95" s="3395"/>
      <c r="E95" s="3395"/>
      <c r="F95" s="3395"/>
      <c r="G95" s="3395"/>
      <c r="H95" s="3395"/>
      <c r="I95" s="3395"/>
      <c r="J95" s="3395"/>
      <c r="K95" s="3395"/>
      <c r="L95" s="3395"/>
      <c r="M95" s="3395"/>
      <c r="N95" s="3395"/>
      <c r="O95" s="3395"/>
      <c r="P95" s="3395"/>
      <c r="Q95" s="3395"/>
      <c r="R95" s="3395"/>
      <c r="S95" s="3395"/>
      <c r="T95" s="3395"/>
      <c r="U95" s="3395"/>
      <c r="V95" s="3395"/>
      <c r="W95" s="3395"/>
      <c r="X95" s="3395"/>
      <c r="Y95" s="3395"/>
      <c r="Z95" s="3395"/>
      <c r="AA95" s="3395"/>
      <c r="AB95" s="3395"/>
      <c r="AC95" s="3395"/>
      <c r="AD95" s="3395"/>
      <c r="AE95" s="3395"/>
      <c r="AF95" s="3395"/>
      <c r="AG95" s="3395"/>
      <c r="AH95" s="3395"/>
      <c r="AI95" s="3395"/>
      <c r="AJ95" s="3395"/>
      <c r="AK95" s="3395"/>
      <c r="AL95" s="3395"/>
      <c r="AM95" s="3395"/>
      <c r="AN95" s="3395"/>
      <c r="AO95" s="3395"/>
      <c r="AP95" s="3395"/>
      <c r="AQ95" s="3395"/>
      <c r="AR95" s="3395"/>
      <c r="AS95" s="4280"/>
      <c r="AT95" s="4201"/>
      <c r="AU95" s="4201"/>
      <c r="AV95" s="4201"/>
      <c r="AW95" s="4201"/>
      <c r="AX95" s="4201"/>
      <c r="AY95" s="4201"/>
      <c r="AZ95" s="4201"/>
      <c r="BA95" s="4201"/>
      <c r="BB95" s="4201"/>
      <c r="BC95" s="4201"/>
      <c r="BD95" s="4201"/>
      <c r="BE95" s="4201"/>
      <c r="BF95" s="3395"/>
      <c r="BG95" s="3395"/>
      <c r="BH95" s="3395"/>
      <c r="BI95" s="3395"/>
      <c r="BJ95" s="3395"/>
      <c r="BK95" s="3395"/>
      <c r="BL95" s="3395"/>
      <c r="BM95" s="3395"/>
      <c r="BN95" s="3395"/>
      <c r="BO95" s="3395"/>
      <c r="BP95" s="3395"/>
      <c r="BQ95" s="3395"/>
      <c r="BR95" s="3395"/>
      <c r="BS95" s="3395"/>
      <c r="BT95" s="3395"/>
      <c r="BU95" s="3395"/>
      <c r="BV95" s="3395"/>
      <c r="BW95" s="3395"/>
      <c r="BX95" s="3395"/>
      <c r="BY95" s="3395"/>
      <c r="BZ95" s="3395"/>
      <c r="CA95" s="3395"/>
      <c r="CB95" s="3395"/>
      <c r="CC95" s="3395"/>
      <c r="CD95" s="3395"/>
      <c r="CE95" s="3395"/>
      <c r="CF95" s="3395"/>
      <c r="CG95" s="3395"/>
      <c r="CH95" s="3395"/>
      <c r="CI95" s="3395"/>
      <c r="CJ95" s="3395"/>
      <c r="CK95" s="3395"/>
      <c r="CL95" s="3395"/>
      <c r="CM95" s="3395"/>
      <c r="CN95" s="3395"/>
      <c r="CO95" s="3395"/>
      <c r="CP95" s="3395"/>
      <c r="CQ95" s="3395"/>
      <c r="CR95" s="3395"/>
      <c r="CS95" s="3395"/>
      <c r="CT95" s="3395"/>
      <c r="CU95" s="3395"/>
      <c r="CV95" s="3395"/>
      <c r="CW95" s="3395"/>
      <c r="CX95" s="3395"/>
      <c r="CY95" s="3395"/>
      <c r="CZ95" s="3395"/>
      <c r="DA95" s="3395"/>
      <c r="DB95" s="3395"/>
      <c r="DC95" s="3395"/>
      <c r="DD95" s="3395"/>
      <c r="DE95" s="3395"/>
      <c r="DF95" s="3395"/>
      <c r="DG95" s="3395"/>
      <c r="DH95" s="3395"/>
      <c r="DI95" s="3395"/>
      <c r="DJ95" s="3395"/>
      <c r="DK95" s="3395"/>
      <c r="DL95" s="3395"/>
      <c r="DM95" s="3395"/>
      <c r="DN95" s="3395"/>
      <c r="DO95" s="3395"/>
      <c r="DP95" s="3395"/>
      <c r="DQ95" s="3395"/>
      <c r="DR95" s="3395"/>
      <c r="DS95" s="3395"/>
    </row>
    <row r="96" hidden="1" spans="1:123">
      <c r="A96" s="3395"/>
      <c r="B96" s="3395"/>
      <c r="C96" s="3395"/>
      <c r="D96" s="3395"/>
      <c r="E96" s="3395"/>
      <c r="F96" s="3395"/>
      <c r="G96" s="3395"/>
      <c r="H96" s="3395"/>
      <c r="I96" s="3395"/>
      <c r="J96" s="3395"/>
      <c r="K96" s="3395"/>
      <c r="L96" s="3395"/>
      <c r="M96" s="3395"/>
      <c r="N96" s="3395"/>
      <c r="O96" s="3395"/>
      <c r="P96" s="3395"/>
      <c r="Q96" s="3395"/>
      <c r="R96" s="3395"/>
      <c r="S96" s="3395"/>
      <c r="T96" s="3395"/>
      <c r="U96" s="3395"/>
      <c r="V96" s="3395"/>
      <c r="W96" s="3395"/>
      <c r="X96" s="3395"/>
      <c r="Y96" s="3395"/>
      <c r="Z96" s="3395"/>
      <c r="AA96" s="3395"/>
      <c r="AB96" s="3395"/>
      <c r="AC96" s="3395"/>
      <c r="AD96" s="3395"/>
      <c r="AE96" s="3395"/>
      <c r="AF96" s="3395"/>
      <c r="AG96" s="3395"/>
      <c r="AH96" s="3395"/>
      <c r="AI96" s="3395"/>
      <c r="AJ96" s="3395"/>
      <c r="AK96" s="3395"/>
      <c r="AL96" s="3395"/>
      <c r="AM96" s="3395"/>
      <c r="AN96" s="3395"/>
      <c r="AO96" s="3395"/>
      <c r="AP96" s="3395"/>
      <c r="AQ96" s="3395"/>
      <c r="AR96" s="3395"/>
      <c r="AS96" s="4280"/>
      <c r="AT96" s="4201"/>
      <c r="AU96" s="4201"/>
      <c r="AV96" s="4201"/>
      <c r="AW96" s="4201"/>
      <c r="AX96" s="4201"/>
      <c r="AY96" s="4201"/>
      <c r="AZ96" s="4201"/>
      <c r="BA96" s="4201"/>
      <c r="BB96" s="4201"/>
      <c r="BC96" s="4201"/>
      <c r="BD96" s="4201"/>
      <c r="BE96" s="4201"/>
      <c r="BF96" s="3395"/>
      <c r="BG96" s="3395"/>
      <c r="BH96" s="3395"/>
      <c r="BI96" s="3395"/>
      <c r="BJ96" s="3395"/>
      <c r="BK96" s="3395"/>
      <c r="BL96" s="3395"/>
      <c r="BM96" s="3395"/>
      <c r="BN96" s="3395"/>
      <c r="BO96" s="3395"/>
      <c r="BP96" s="3395"/>
      <c r="BQ96" s="3395"/>
      <c r="BR96" s="3395"/>
      <c r="BS96" s="3395"/>
      <c r="BT96" s="3395"/>
      <c r="BU96" s="3395"/>
      <c r="BV96" s="3395"/>
      <c r="BW96" s="3395"/>
      <c r="BX96" s="3395"/>
      <c r="BY96" s="3395"/>
      <c r="BZ96" s="3395"/>
      <c r="CA96" s="3395"/>
      <c r="CB96" s="3395"/>
      <c r="CC96" s="3395"/>
      <c r="CD96" s="3395"/>
      <c r="CE96" s="3395"/>
      <c r="CF96" s="3395"/>
      <c r="CG96" s="3395"/>
      <c r="CH96" s="3395"/>
      <c r="CI96" s="3395"/>
      <c r="CJ96" s="3395"/>
      <c r="CK96" s="3395"/>
      <c r="CL96" s="3395"/>
      <c r="CM96" s="3395"/>
      <c r="CN96" s="3395"/>
      <c r="CO96" s="3395"/>
      <c r="CP96" s="3395"/>
      <c r="CQ96" s="3395"/>
      <c r="CR96" s="3395"/>
      <c r="CS96" s="3395"/>
      <c r="CT96" s="3395"/>
      <c r="CU96" s="3395"/>
      <c r="CV96" s="3395"/>
      <c r="CW96" s="3395"/>
      <c r="CX96" s="3395"/>
      <c r="CY96" s="3395"/>
      <c r="CZ96" s="3395"/>
      <c r="DA96" s="3395"/>
      <c r="DB96" s="3395"/>
      <c r="DC96" s="3395"/>
      <c r="DD96" s="3395"/>
      <c r="DE96" s="3395"/>
      <c r="DF96" s="3395"/>
      <c r="DG96" s="3395"/>
      <c r="DH96" s="3395"/>
      <c r="DI96" s="3395"/>
      <c r="DJ96" s="3395"/>
      <c r="DK96" s="3395"/>
      <c r="DL96" s="3395"/>
      <c r="DM96" s="3395"/>
      <c r="DN96" s="3395"/>
      <c r="DO96" s="3395"/>
      <c r="DP96" s="3395"/>
      <c r="DQ96" s="3395"/>
      <c r="DR96" s="3395"/>
      <c r="DS96" s="3395"/>
    </row>
    <row r="97" hidden="1" spans="1:123">
      <c r="A97" s="3395"/>
      <c r="B97" s="3395"/>
      <c r="C97" s="3395"/>
      <c r="D97" s="3395"/>
      <c r="E97" s="3395"/>
      <c r="F97" s="3395"/>
      <c r="G97" s="3395"/>
      <c r="H97" s="3395"/>
      <c r="I97" s="3395"/>
      <c r="J97" s="3395"/>
      <c r="K97" s="3395"/>
      <c r="L97" s="3395"/>
      <c r="M97" s="3395"/>
      <c r="N97" s="3395"/>
      <c r="O97" s="3395"/>
      <c r="P97" s="3395"/>
      <c r="Q97" s="3395"/>
      <c r="R97" s="3395"/>
      <c r="S97" s="3395"/>
      <c r="T97" s="3395"/>
      <c r="U97" s="3395"/>
      <c r="V97" s="3395"/>
      <c r="W97" s="3395"/>
      <c r="X97" s="3395"/>
      <c r="Y97" s="3395"/>
      <c r="Z97" s="3395"/>
      <c r="AA97" s="3395"/>
      <c r="AB97" s="3395"/>
      <c r="AC97" s="3395"/>
      <c r="AD97" s="3395"/>
      <c r="AE97" s="3395"/>
      <c r="AF97" s="3395"/>
      <c r="AG97" s="3395"/>
      <c r="AH97" s="3395"/>
      <c r="AI97" s="3395"/>
      <c r="AJ97" s="3395"/>
      <c r="AK97" s="3395"/>
      <c r="AL97" s="3395"/>
      <c r="AM97" s="3395"/>
      <c r="AN97" s="3395"/>
      <c r="AO97" s="3395"/>
      <c r="AP97" s="3395"/>
      <c r="AQ97" s="3395"/>
      <c r="AR97" s="3395"/>
      <c r="AS97" s="4280"/>
      <c r="AT97" s="4201"/>
      <c r="AU97" s="4201"/>
      <c r="AV97" s="4201"/>
      <c r="AW97" s="4201"/>
      <c r="AX97" s="4201"/>
      <c r="AY97" s="4201"/>
      <c r="AZ97" s="4201"/>
      <c r="BA97" s="4201"/>
      <c r="BB97" s="4201"/>
      <c r="BC97" s="4201"/>
      <c r="BD97" s="4201"/>
      <c r="BE97" s="4201"/>
      <c r="BF97" s="3395"/>
      <c r="BG97" s="3395"/>
      <c r="BH97" s="3395"/>
      <c r="BI97" s="3395"/>
      <c r="BJ97" s="3395"/>
      <c r="BK97" s="3395"/>
      <c r="BL97" s="3395"/>
      <c r="BM97" s="3395"/>
      <c r="BN97" s="3395"/>
      <c r="BO97" s="3395"/>
      <c r="BP97" s="3395"/>
      <c r="BQ97" s="3395"/>
      <c r="BR97" s="3395"/>
      <c r="BS97" s="3395"/>
      <c r="BT97" s="3395"/>
      <c r="BU97" s="3395"/>
      <c r="BV97" s="3395"/>
      <c r="BW97" s="3395"/>
      <c r="BX97" s="3395"/>
      <c r="BY97" s="3395"/>
      <c r="BZ97" s="3395"/>
      <c r="CA97" s="3395"/>
      <c r="CB97" s="3395"/>
      <c r="CC97" s="3395"/>
      <c r="CD97" s="3395"/>
      <c r="CE97" s="3395"/>
      <c r="CF97" s="3395"/>
      <c r="CG97" s="3395"/>
      <c r="CH97" s="3395"/>
      <c r="CI97" s="3395"/>
      <c r="CJ97" s="3395"/>
      <c r="CK97" s="3395"/>
      <c r="CL97" s="3395"/>
      <c r="CM97" s="3395"/>
      <c r="CN97" s="3395"/>
      <c r="CO97" s="3395"/>
      <c r="CP97" s="3395"/>
      <c r="CQ97" s="3395"/>
      <c r="CR97" s="3395"/>
      <c r="CS97" s="3395"/>
      <c r="CT97" s="3395"/>
      <c r="CU97" s="3395"/>
      <c r="CV97" s="3395"/>
      <c r="CW97" s="3395"/>
      <c r="CX97" s="3395"/>
      <c r="CY97" s="3395"/>
      <c r="CZ97" s="3395"/>
      <c r="DA97" s="3395"/>
      <c r="DB97" s="3395"/>
      <c r="DC97" s="3395"/>
      <c r="DD97" s="3395"/>
      <c r="DE97" s="3395"/>
      <c r="DF97" s="3395"/>
      <c r="DG97" s="3395"/>
      <c r="DH97" s="3395"/>
      <c r="DI97" s="3395"/>
      <c r="DJ97" s="3395"/>
      <c r="DK97" s="3395"/>
      <c r="DL97" s="3395"/>
      <c r="DM97" s="3395"/>
      <c r="DN97" s="3395"/>
      <c r="DO97" s="3395"/>
      <c r="DP97" s="3395"/>
      <c r="DQ97" s="3395"/>
      <c r="DR97" s="3395"/>
      <c r="DS97" s="3395"/>
    </row>
    <row r="98" hidden="1" spans="1:123">
      <c r="A98" s="3395"/>
      <c r="B98" s="3395"/>
      <c r="C98" s="3395"/>
      <c r="D98" s="3395"/>
      <c r="E98" s="3395"/>
      <c r="F98" s="3395"/>
      <c r="G98" s="3395"/>
      <c r="H98" s="3395"/>
      <c r="I98" s="3395"/>
      <c r="J98" s="3395"/>
      <c r="K98" s="3395"/>
      <c r="L98" s="3395"/>
      <c r="M98" s="3395"/>
      <c r="N98" s="3395"/>
      <c r="O98" s="3395"/>
      <c r="P98" s="3395"/>
      <c r="Q98" s="3395"/>
      <c r="R98" s="3395"/>
      <c r="S98" s="3395"/>
      <c r="T98" s="3395"/>
      <c r="U98" s="3395"/>
      <c r="V98" s="3395"/>
      <c r="W98" s="3395"/>
      <c r="X98" s="3395"/>
      <c r="Y98" s="3395"/>
      <c r="Z98" s="3395"/>
      <c r="AA98" s="3395"/>
      <c r="AB98" s="3395"/>
      <c r="AC98" s="3395"/>
      <c r="AD98" s="3395"/>
      <c r="AE98" s="3395"/>
      <c r="AF98" s="3395"/>
      <c r="AG98" s="3395"/>
      <c r="AH98" s="3395"/>
      <c r="AI98" s="3395"/>
      <c r="AJ98" s="3395"/>
      <c r="AK98" s="3395"/>
      <c r="AL98" s="3395"/>
      <c r="AM98" s="3395"/>
      <c r="AN98" s="3395"/>
      <c r="AO98" s="3395"/>
      <c r="AP98" s="3395"/>
      <c r="AQ98" s="3395"/>
      <c r="AR98" s="3395"/>
      <c r="AS98" s="4280"/>
      <c r="AT98" s="4201"/>
      <c r="AU98" s="4201"/>
      <c r="AV98" s="4201"/>
      <c r="AW98" s="4201"/>
      <c r="AX98" s="4201"/>
      <c r="AY98" s="4201"/>
      <c r="AZ98" s="4201"/>
      <c r="BA98" s="4201"/>
      <c r="BB98" s="4201"/>
      <c r="BC98" s="4201"/>
      <c r="BD98" s="4201"/>
      <c r="BE98" s="4201"/>
      <c r="BF98" s="3395"/>
      <c r="BG98" s="3395"/>
      <c r="BH98" s="3395"/>
      <c r="BI98" s="3395"/>
      <c r="BJ98" s="3395"/>
      <c r="BK98" s="3395"/>
      <c r="BL98" s="3395"/>
      <c r="BM98" s="3395"/>
      <c r="BN98" s="3395"/>
      <c r="BO98" s="3395"/>
      <c r="BP98" s="3395"/>
      <c r="BQ98" s="3395"/>
      <c r="BR98" s="3395"/>
      <c r="BS98" s="3395"/>
      <c r="BT98" s="3395"/>
      <c r="BU98" s="3395"/>
      <c r="BV98" s="3395"/>
      <c r="BW98" s="3395"/>
      <c r="BX98" s="3395"/>
      <c r="BY98" s="3395"/>
      <c r="BZ98" s="3395"/>
      <c r="CA98" s="3395"/>
      <c r="CB98" s="3395"/>
      <c r="CC98" s="3395"/>
      <c r="CD98" s="3395"/>
      <c r="CE98" s="3395"/>
      <c r="CF98" s="3395"/>
      <c r="CG98" s="3395"/>
      <c r="CH98" s="3395"/>
      <c r="CI98" s="3395"/>
      <c r="CJ98" s="3395"/>
      <c r="CK98" s="3395"/>
      <c r="CL98" s="3395"/>
      <c r="CM98" s="3395"/>
      <c r="CN98" s="3395"/>
      <c r="CO98" s="3395"/>
      <c r="CP98" s="3395"/>
      <c r="CQ98" s="3395"/>
      <c r="CR98" s="3395"/>
      <c r="CS98" s="3395"/>
      <c r="CT98" s="3395"/>
      <c r="CU98" s="3395"/>
      <c r="CV98" s="3395"/>
      <c r="CW98" s="3395"/>
      <c r="CX98" s="3395"/>
      <c r="CY98" s="3395"/>
      <c r="CZ98" s="3395"/>
      <c r="DA98" s="3395"/>
      <c r="DB98" s="3395"/>
      <c r="DC98" s="3395"/>
      <c r="DD98" s="3395"/>
      <c r="DE98" s="3395"/>
      <c r="DF98" s="3395"/>
      <c r="DG98" s="3395"/>
      <c r="DH98" s="3395"/>
      <c r="DI98" s="3395"/>
      <c r="DJ98" s="3395"/>
      <c r="DK98" s="3395"/>
      <c r="DL98" s="3395"/>
      <c r="DM98" s="3395"/>
      <c r="DN98" s="3395"/>
      <c r="DO98" s="3395"/>
      <c r="DP98" s="3395"/>
      <c r="DQ98" s="3395"/>
      <c r="DR98" s="3395"/>
      <c r="DS98" s="3395"/>
    </row>
    <row r="99" hidden="1" spans="1:123">
      <c r="A99" s="3395"/>
      <c r="B99" s="3395"/>
      <c r="C99" s="3395"/>
      <c r="D99" s="3395"/>
      <c r="E99" s="3395"/>
      <c r="F99" s="3395"/>
      <c r="G99" s="3395"/>
      <c r="H99" s="3395"/>
      <c r="I99" s="3395"/>
      <c r="J99" s="3395"/>
      <c r="K99" s="3395"/>
      <c r="L99" s="3395"/>
      <c r="M99" s="3395"/>
      <c r="N99" s="3395"/>
      <c r="O99" s="3395"/>
      <c r="P99" s="3395"/>
      <c r="Q99" s="3395"/>
      <c r="R99" s="3395"/>
      <c r="S99" s="3395"/>
      <c r="T99" s="3395"/>
      <c r="U99" s="3395"/>
      <c r="V99" s="3395"/>
      <c r="W99" s="3395"/>
      <c r="X99" s="3395"/>
      <c r="Y99" s="3395"/>
      <c r="Z99" s="3395"/>
      <c r="AA99" s="3395"/>
      <c r="AB99" s="3395"/>
      <c r="AC99" s="3395"/>
      <c r="AD99" s="3395"/>
      <c r="AE99" s="3395"/>
      <c r="AF99" s="3395"/>
      <c r="AG99" s="3395"/>
      <c r="AH99" s="3395"/>
      <c r="AI99" s="3395"/>
      <c r="AJ99" s="3395"/>
      <c r="AK99" s="3395"/>
      <c r="AL99" s="3395"/>
      <c r="AM99" s="3395"/>
      <c r="AN99" s="3395"/>
      <c r="AO99" s="3395"/>
      <c r="AP99" s="3395"/>
      <c r="AQ99" s="3395"/>
      <c r="AR99" s="3395"/>
      <c r="AS99" s="4280"/>
      <c r="AT99" s="4201"/>
      <c r="AU99" s="4201"/>
      <c r="AV99" s="4201"/>
      <c r="AW99" s="4201"/>
      <c r="AX99" s="4201"/>
      <c r="AY99" s="4201"/>
      <c r="AZ99" s="4201"/>
      <c r="BA99" s="4201"/>
      <c r="BB99" s="4201"/>
      <c r="BC99" s="4201"/>
      <c r="BD99" s="4201"/>
      <c r="BE99" s="4201"/>
      <c r="BF99" s="3395"/>
      <c r="BG99" s="3395"/>
      <c r="BH99" s="3395"/>
      <c r="BI99" s="3395"/>
      <c r="BJ99" s="3395"/>
      <c r="BK99" s="3395"/>
      <c r="BL99" s="3395"/>
      <c r="BM99" s="3395"/>
      <c r="BN99" s="3395"/>
      <c r="BO99" s="3395"/>
      <c r="BP99" s="3395"/>
      <c r="BQ99" s="3395"/>
      <c r="BR99" s="3395"/>
      <c r="BS99" s="3395"/>
      <c r="BT99" s="3395"/>
      <c r="BU99" s="3395"/>
      <c r="BV99" s="3395"/>
      <c r="BW99" s="3395"/>
      <c r="BX99" s="3395"/>
      <c r="BY99" s="3395"/>
      <c r="BZ99" s="3395"/>
      <c r="CA99" s="3395"/>
      <c r="CB99" s="3395"/>
      <c r="CC99" s="3395"/>
      <c r="CD99" s="3395"/>
      <c r="CE99" s="3395"/>
      <c r="CF99" s="3395"/>
      <c r="CG99" s="3395"/>
      <c r="CH99" s="3395"/>
      <c r="CI99" s="3395"/>
      <c r="CJ99" s="3395"/>
      <c r="CK99" s="3395"/>
      <c r="CL99" s="3395"/>
      <c r="CM99" s="3395"/>
      <c r="CN99" s="3395"/>
      <c r="CO99" s="3395"/>
      <c r="CP99" s="3395"/>
      <c r="CQ99" s="3395"/>
      <c r="CR99" s="3395"/>
      <c r="CS99" s="3395"/>
      <c r="CT99" s="3395"/>
      <c r="CU99" s="3395"/>
      <c r="CV99" s="3395"/>
      <c r="CW99" s="3395"/>
      <c r="CX99" s="3395"/>
      <c r="CY99" s="3395"/>
      <c r="CZ99" s="3395"/>
      <c r="DA99" s="3395"/>
      <c r="DB99" s="3395"/>
      <c r="DC99" s="3395"/>
      <c r="DD99" s="3395"/>
      <c r="DE99" s="3395"/>
      <c r="DF99" s="3395"/>
      <c r="DG99" s="3395"/>
      <c r="DH99" s="3395"/>
      <c r="DI99" s="3395"/>
      <c r="DJ99" s="3395"/>
      <c r="DK99" s="3395"/>
      <c r="DL99" s="3395"/>
      <c r="DM99" s="3395"/>
      <c r="DN99" s="3395"/>
      <c r="DO99" s="3395"/>
      <c r="DP99" s="3395"/>
      <c r="DQ99" s="3395"/>
      <c r="DR99" s="3395"/>
      <c r="DS99" s="3395"/>
    </row>
    <row r="100" hidden="1" spans="1:123">
      <c r="A100" s="3395"/>
      <c r="B100" s="3395"/>
      <c r="C100" s="3395"/>
      <c r="D100" s="3395"/>
      <c r="E100" s="3395"/>
      <c r="F100" s="3395"/>
      <c r="G100" s="3395"/>
      <c r="H100" s="3395"/>
      <c r="I100" s="3395"/>
      <c r="J100" s="3395"/>
      <c r="K100" s="3395"/>
      <c r="L100" s="3395"/>
      <c r="M100" s="3395"/>
      <c r="N100" s="3395"/>
      <c r="O100" s="3395"/>
      <c r="P100" s="3395"/>
      <c r="Q100" s="3395"/>
      <c r="R100" s="3395"/>
      <c r="S100" s="3395"/>
      <c r="T100" s="3395"/>
      <c r="U100" s="3395"/>
      <c r="V100" s="3395"/>
      <c r="W100" s="3395"/>
      <c r="X100" s="3395"/>
      <c r="Y100" s="3395"/>
      <c r="Z100" s="3395"/>
      <c r="AA100" s="3395"/>
      <c r="AB100" s="3395"/>
      <c r="AC100" s="3395"/>
      <c r="AD100" s="3395"/>
      <c r="AE100" s="3395"/>
      <c r="AF100" s="3395"/>
      <c r="AG100" s="3395"/>
      <c r="AH100" s="3395"/>
      <c r="AI100" s="3395"/>
      <c r="AJ100" s="3395"/>
      <c r="AK100" s="3395"/>
      <c r="AL100" s="3395"/>
      <c r="AM100" s="3395"/>
      <c r="AN100" s="3395"/>
      <c r="AO100" s="3395"/>
      <c r="AP100" s="3395"/>
      <c r="AQ100" s="3395"/>
      <c r="AR100" s="3395"/>
      <c r="AS100" s="4280"/>
      <c r="AT100" s="4201"/>
      <c r="AU100" s="4201"/>
      <c r="AV100" s="4201"/>
      <c r="AW100" s="4201"/>
      <c r="AX100" s="4201"/>
      <c r="AY100" s="4201"/>
      <c r="AZ100" s="4201"/>
      <c r="BA100" s="4201"/>
      <c r="BB100" s="4201"/>
      <c r="BC100" s="4201"/>
      <c r="BD100" s="4201"/>
      <c r="BE100" s="4201"/>
      <c r="BF100" s="3395"/>
      <c r="BG100" s="3395"/>
      <c r="BH100" s="3395"/>
      <c r="BI100" s="3395"/>
      <c r="BJ100" s="3395"/>
      <c r="BK100" s="3395"/>
      <c r="BL100" s="3395"/>
      <c r="BM100" s="3395"/>
      <c r="BN100" s="3395"/>
      <c r="BO100" s="3395"/>
      <c r="BP100" s="3395"/>
      <c r="BQ100" s="3395"/>
      <c r="BR100" s="3395"/>
      <c r="BS100" s="3395"/>
      <c r="BT100" s="3395"/>
      <c r="BU100" s="3395"/>
      <c r="BV100" s="3395"/>
      <c r="BW100" s="3395"/>
      <c r="BX100" s="3395"/>
      <c r="BY100" s="3395"/>
      <c r="BZ100" s="3395"/>
      <c r="CA100" s="3395"/>
      <c r="CB100" s="3395"/>
      <c r="CC100" s="3395"/>
      <c r="CD100" s="3395"/>
      <c r="CE100" s="3395"/>
      <c r="CF100" s="3395"/>
      <c r="CG100" s="3395"/>
      <c r="CH100" s="3395"/>
      <c r="CI100" s="3395"/>
      <c r="CJ100" s="3395"/>
      <c r="CK100" s="3395"/>
      <c r="CL100" s="3395"/>
      <c r="CM100" s="3395"/>
      <c r="CN100" s="3395"/>
      <c r="CO100" s="3395"/>
      <c r="CP100" s="3395"/>
      <c r="CQ100" s="3395"/>
      <c r="CR100" s="3395"/>
      <c r="CS100" s="3395"/>
      <c r="CT100" s="3395"/>
      <c r="CU100" s="3395"/>
      <c r="CV100" s="3395"/>
      <c r="CW100" s="3395"/>
      <c r="CX100" s="3395"/>
      <c r="CY100" s="3395"/>
      <c r="CZ100" s="3395"/>
      <c r="DA100" s="3395"/>
      <c r="DB100" s="3395"/>
      <c r="DC100" s="3395"/>
      <c r="DD100" s="3395"/>
      <c r="DE100" s="3395"/>
      <c r="DF100" s="3395"/>
      <c r="DG100" s="3395"/>
      <c r="DH100" s="3395"/>
      <c r="DI100" s="3395"/>
      <c r="DJ100" s="3395"/>
      <c r="DK100" s="3395"/>
      <c r="DL100" s="3395"/>
      <c r="DM100" s="3395"/>
      <c r="DN100" s="3395"/>
      <c r="DO100" s="3395"/>
      <c r="DP100" s="3395"/>
      <c r="DQ100" s="3395"/>
      <c r="DR100" s="3395"/>
      <c r="DS100" s="3395"/>
    </row>
    <row r="101" hidden="1" spans="1:123">
      <c r="A101" s="3395"/>
      <c r="B101" s="3395"/>
      <c r="C101" s="3395"/>
      <c r="D101" s="3395"/>
      <c r="E101" s="3395"/>
      <c r="F101" s="3395"/>
      <c r="G101" s="3395"/>
      <c r="H101" s="3395"/>
      <c r="I101" s="3395"/>
      <c r="J101" s="3395"/>
      <c r="K101" s="3395"/>
      <c r="L101" s="3395"/>
      <c r="M101" s="3395"/>
      <c r="N101" s="3395"/>
      <c r="O101" s="3395"/>
      <c r="P101" s="3395"/>
      <c r="Q101" s="3395"/>
      <c r="R101" s="3395"/>
      <c r="S101" s="3395"/>
      <c r="T101" s="3395"/>
      <c r="U101" s="3395"/>
      <c r="V101" s="3395"/>
      <c r="W101" s="3395"/>
      <c r="X101" s="3395"/>
      <c r="Y101" s="3395"/>
      <c r="Z101" s="3395"/>
      <c r="AA101" s="3395"/>
      <c r="AB101" s="3395"/>
      <c r="AC101" s="3395"/>
      <c r="AD101" s="3395"/>
      <c r="AE101" s="3395"/>
      <c r="AF101" s="3395"/>
      <c r="AG101" s="3395"/>
      <c r="AH101" s="3395"/>
      <c r="AI101" s="3395"/>
      <c r="AJ101" s="3395"/>
      <c r="AK101" s="3395"/>
      <c r="AL101" s="3395"/>
      <c r="AM101" s="3395"/>
      <c r="AN101" s="3395"/>
      <c r="AO101" s="3395"/>
      <c r="AP101" s="3395"/>
      <c r="AQ101" s="3395"/>
      <c r="AR101" s="3395"/>
      <c r="AS101" s="4280"/>
      <c r="AT101" s="4201"/>
      <c r="AU101" s="4201"/>
      <c r="AV101" s="4201"/>
      <c r="AW101" s="4201"/>
      <c r="AX101" s="4201"/>
      <c r="AY101" s="4201"/>
      <c r="AZ101" s="4201"/>
      <c r="BA101" s="4201"/>
      <c r="BB101" s="4201"/>
      <c r="BC101" s="4201"/>
      <c r="BD101" s="4201"/>
      <c r="BE101" s="4201"/>
      <c r="BF101" s="3395"/>
      <c r="BG101" s="3395"/>
      <c r="BH101" s="3395"/>
      <c r="BI101" s="3395"/>
      <c r="BJ101" s="3395"/>
      <c r="BK101" s="3395"/>
      <c r="BL101" s="3395"/>
      <c r="BM101" s="3395"/>
      <c r="BN101" s="3395"/>
      <c r="BO101" s="3395"/>
      <c r="BP101" s="3395"/>
      <c r="BQ101" s="3395"/>
      <c r="BR101" s="3395"/>
      <c r="BS101" s="3395"/>
      <c r="BT101" s="3395"/>
      <c r="BU101" s="3395"/>
      <c r="BV101" s="3395"/>
      <c r="BW101" s="3395"/>
      <c r="BX101" s="3395"/>
      <c r="BY101" s="3395"/>
      <c r="BZ101" s="3395"/>
      <c r="CA101" s="3395"/>
      <c r="CB101" s="3395"/>
      <c r="CC101" s="3395"/>
      <c r="CD101" s="3395"/>
      <c r="CE101" s="3395"/>
      <c r="CF101" s="3395"/>
      <c r="CG101" s="3395"/>
      <c r="CH101" s="3395"/>
      <c r="CI101" s="3395"/>
      <c r="CJ101" s="3395"/>
      <c r="CK101" s="3395"/>
      <c r="CL101" s="3395"/>
      <c r="CM101" s="3395"/>
      <c r="CN101" s="3395"/>
      <c r="CO101" s="3395"/>
      <c r="CP101" s="3395"/>
      <c r="CQ101" s="3395"/>
      <c r="CR101" s="3395"/>
      <c r="CS101" s="3395"/>
      <c r="CT101" s="3395"/>
      <c r="CU101" s="3395"/>
      <c r="CV101" s="3395"/>
      <c r="CW101" s="3395"/>
      <c r="CX101" s="3395"/>
      <c r="CY101" s="3395"/>
      <c r="CZ101" s="3395"/>
      <c r="DA101" s="3395"/>
      <c r="DB101" s="3395"/>
      <c r="DC101" s="3395"/>
      <c r="DD101" s="3395"/>
      <c r="DE101" s="3395"/>
      <c r="DF101" s="3395"/>
      <c r="DG101" s="3395"/>
      <c r="DH101" s="3395"/>
      <c r="DI101" s="3395"/>
      <c r="DJ101" s="3395"/>
      <c r="DK101" s="3395"/>
      <c r="DL101" s="3395"/>
      <c r="DM101" s="3395"/>
      <c r="DN101" s="3395"/>
      <c r="DO101" s="3395"/>
      <c r="DP101" s="3395"/>
      <c r="DQ101" s="3395"/>
      <c r="DR101" s="3395"/>
      <c r="DS101" s="3395"/>
    </row>
    <row r="102" hidden="1" spans="1:123">
      <c r="A102" s="3395"/>
      <c r="B102" s="3395"/>
      <c r="C102" s="3395"/>
      <c r="D102" s="3395"/>
      <c r="E102" s="3395"/>
      <c r="F102" s="3395"/>
      <c r="G102" s="3395"/>
      <c r="H102" s="3395"/>
      <c r="I102" s="3395"/>
      <c r="J102" s="3395"/>
      <c r="K102" s="3395"/>
      <c r="L102" s="3395"/>
      <c r="M102" s="3395"/>
      <c r="N102" s="3395"/>
      <c r="O102" s="3395"/>
      <c r="P102" s="3395"/>
      <c r="Q102" s="3395"/>
      <c r="R102" s="3395"/>
      <c r="S102" s="3395"/>
      <c r="T102" s="3395"/>
      <c r="U102" s="3395"/>
      <c r="V102" s="3395"/>
      <c r="W102" s="3395"/>
      <c r="X102" s="3395"/>
      <c r="Y102" s="3395"/>
      <c r="Z102" s="3395"/>
      <c r="AA102" s="3395"/>
      <c r="AB102" s="3395"/>
      <c r="AC102" s="3395"/>
      <c r="AD102" s="3395"/>
      <c r="AE102" s="3395"/>
      <c r="AF102" s="3395"/>
      <c r="AG102" s="3395"/>
      <c r="AH102" s="3395"/>
      <c r="AI102" s="3395"/>
      <c r="AJ102" s="3395"/>
      <c r="AK102" s="3395"/>
      <c r="AL102" s="3395"/>
      <c r="AM102" s="3395"/>
      <c r="AN102" s="3395"/>
      <c r="AO102" s="3395"/>
      <c r="AP102" s="3395"/>
      <c r="AQ102" s="3395"/>
      <c r="AR102" s="3395"/>
      <c r="AS102" s="4280"/>
      <c r="AT102" s="4201"/>
      <c r="AU102" s="4201"/>
      <c r="AV102" s="4201"/>
      <c r="AW102" s="4201"/>
      <c r="AX102" s="4201"/>
      <c r="AY102" s="4201"/>
      <c r="AZ102" s="4201"/>
      <c r="BA102" s="4201"/>
      <c r="BB102" s="4201"/>
      <c r="BC102" s="4201"/>
      <c r="BD102" s="4201"/>
      <c r="BE102" s="4201"/>
      <c r="BF102" s="3395"/>
      <c r="BG102" s="3395"/>
      <c r="BH102" s="3395"/>
      <c r="BI102" s="3395"/>
      <c r="BJ102" s="3395"/>
      <c r="BK102" s="3395"/>
      <c r="BL102" s="3395"/>
      <c r="BM102" s="3395"/>
      <c r="BN102" s="3395"/>
      <c r="BO102" s="3395"/>
      <c r="BP102" s="3395"/>
      <c r="BQ102" s="3395"/>
      <c r="BR102" s="3395"/>
      <c r="BS102" s="3395"/>
      <c r="BT102" s="3395"/>
      <c r="BU102" s="3395"/>
      <c r="BV102" s="3395"/>
      <c r="BW102" s="3395"/>
      <c r="BX102" s="3395"/>
      <c r="BY102" s="3395"/>
      <c r="BZ102" s="3395"/>
      <c r="CA102" s="3395"/>
      <c r="CB102" s="3395"/>
      <c r="CC102" s="3395"/>
      <c r="CD102" s="3395"/>
      <c r="CE102" s="3395"/>
      <c r="CF102" s="3395"/>
      <c r="CG102" s="3395"/>
      <c r="CH102" s="3395"/>
      <c r="CI102" s="3395"/>
      <c r="CJ102" s="3395"/>
      <c r="CK102" s="3395"/>
      <c r="CL102" s="3395"/>
      <c r="CM102" s="3395"/>
      <c r="CN102" s="3395"/>
      <c r="CO102" s="3395"/>
      <c r="CP102" s="3395"/>
      <c r="CQ102" s="3395"/>
      <c r="CR102" s="3395"/>
      <c r="CS102" s="3395"/>
      <c r="CT102" s="3395"/>
      <c r="CU102" s="3395"/>
      <c r="CV102" s="3395"/>
      <c r="CW102" s="3395"/>
      <c r="CX102" s="3395"/>
      <c r="CY102" s="3395"/>
      <c r="CZ102" s="3395"/>
      <c r="DA102" s="3395"/>
      <c r="DB102" s="3395"/>
      <c r="DC102" s="3395"/>
      <c r="DD102" s="3395"/>
      <c r="DE102" s="3395"/>
      <c r="DF102" s="3395"/>
      <c r="DG102" s="3395"/>
      <c r="DH102" s="3395"/>
      <c r="DI102" s="3395"/>
      <c r="DJ102" s="3395"/>
      <c r="DK102" s="3395"/>
      <c r="DL102" s="3395"/>
      <c r="DM102" s="3395"/>
      <c r="DN102" s="3395"/>
      <c r="DO102" s="3395"/>
      <c r="DP102" s="3395"/>
      <c r="DQ102" s="3395"/>
      <c r="DR102" s="3395"/>
      <c r="DS102" s="3395"/>
    </row>
    <row r="103" hidden="1" spans="1:123">
      <c r="A103" s="3395"/>
      <c r="B103" s="3395"/>
      <c r="C103" s="3395"/>
      <c r="D103" s="3395"/>
      <c r="E103" s="3395"/>
      <c r="F103" s="3395"/>
      <c r="G103" s="3395"/>
      <c r="H103" s="3395"/>
      <c r="I103" s="3395"/>
      <c r="J103" s="3395"/>
      <c r="K103" s="3395"/>
      <c r="L103" s="3395"/>
      <c r="M103" s="3395"/>
      <c r="N103" s="3395"/>
      <c r="O103" s="3395"/>
      <c r="P103" s="3395"/>
      <c r="Q103" s="3395"/>
      <c r="R103" s="3395"/>
      <c r="S103" s="3395"/>
      <c r="T103" s="3395"/>
      <c r="U103" s="3395"/>
      <c r="V103" s="3395"/>
      <c r="W103" s="3395"/>
      <c r="X103" s="3395"/>
      <c r="Y103" s="3395"/>
      <c r="Z103" s="3395"/>
      <c r="AA103" s="3395"/>
      <c r="AB103" s="3395"/>
      <c r="AC103" s="3395"/>
      <c r="AD103" s="3395"/>
      <c r="AE103" s="3395"/>
      <c r="AF103" s="3395"/>
      <c r="AG103" s="3395"/>
      <c r="AH103" s="3395"/>
      <c r="AI103" s="3395"/>
      <c r="AJ103" s="3395"/>
      <c r="AK103" s="3395"/>
      <c r="AL103" s="3395"/>
      <c r="AM103" s="3395"/>
      <c r="AN103" s="3395"/>
      <c r="AO103" s="3395"/>
      <c r="AP103" s="3395"/>
      <c r="AQ103" s="3395"/>
      <c r="AR103" s="3395"/>
      <c r="AS103" s="4280"/>
      <c r="AT103" s="4201"/>
      <c r="AU103" s="4201"/>
      <c r="AV103" s="4201"/>
      <c r="AW103" s="4201"/>
      <c r="AX103" s="4201"/>
      <c r="AY103" s="4201"/>
      <c r="AZ103" s="4201"/>
      <c r="BA103" s="4201"/>
      <c r="BB103" s="4201"/>
      <c r="BC103" s="4201"/>
      <c r="BD103" s="4201"/>
      <c r="BE103" s="4201"/>
      <c r="BF103" s="3395"/>
      <c r="BG103" s="3395"/>
      <c r="BH103" s="3395"/>
      <c r="BI103" s="3395"/>
      <c r="BJ103" s="3395"/>
      <c r="BK103" s="3395"/>
      <c r="BL103" s="3395"/>
      <c r="BM103" s="3395"/>
      <c r="BN103" s="3395"/>
      <c r="BO103" s="3395"/>
      <c r="BP103" s="3395"/>
      <c r="BQ103" s="3395"/>
      <c r="BR103" s="3395"/>
      <c r="BS103" s="3395"/>
      <c r="BT103" s="3395"/>
      <c r="BU103" s="3395"/>
      <c r="BV103" s="3395"/>
      <c r="BW103" s="3395"/>
      <c r="BX103" s="3395"/>
      <c r="BY103" s="3395"/>
      <c r="BZ103" s="3395"/>
      <c r="CA103" s="3395"/>
      <c r="CB103" s="3395"/>
      <c r="CC103" s="3395"/>
      <c r="CD103" s="3395"/>
      <c r="CE103" s="3395"/>
      <c r="CF103" s="3395"/>
      <c r="CG103" s="3395"/>
      <c r="CH103" s="3395"/>
      <c r="CI103" s="3395"/>
      <c r="CJ103" s="3395"/>
      <c r="CK103" s="3395"/>
      <c r="CL103" s="3395"/>
      <c r="CM103" s="3395"/>
      <c r="CN103" s="3395"/>
      <c r="CO103" s="3395"/>
      <c r="CP103" s="3395"/>
      <c r="CQ103" s="3395"/>
      <c r="CR103" s="3395"/>
      <c r="CS103" s="3395"/>
      <c r="CT103" s="3395"/>
      <c r="CU103" s="3395"/>
      <c r="CV103" s="3395"/>
      <c r="CW103" s="3395"/>
      <c r="CX103" s="3395"/>
      <c r="CY103" s="3395"/>
      <c r="CZ103" s="3395"/>
      <c r="DA103" s="3395"/>
      <c r="DB103" s="3395"/>
      <c r="DC103" s="3395"/>
      <c r="DD103" s="3395"/>
      <c r="DE103" s="3395"/>
      <c r="DF103" s="3395"/>
      <c r="DG103" s="3395"/>
      <c r="DH103" s="3395"/>
      <c r="DI103" s="3395"/>
      <c r="DJ103" s="3395"/>
      <c r="DK103" s="3395"/>
      <c r="DL103" s="3395"/>
      <c r="DM103" s="3395"/>
      <c r="DN103" s="3395"/>
      <c r="DO103" s="3395"/>
      <c r="DP103" s="3395"/>
      <c r="DQ103" s="3395"/>
      <c r="DR103" s="3395"/>
      <c r="DS103" s="3395"/>
    </row>
    <row r="104" hidden="1" spans="1:123">
      <c r="A104" s="3395"/>
      <c r="B104" s="3395"/>
      <c r="C104" s="3395"/>
      <c r="D104" s="3395"/>
      <c r="E104" s="3395"/>
      <c r="F104" s="3395"/>
      <c r="G104" s="3395"/>
      <c r="H104" s="3395"/>
      <c r="I104" s="3395"/>
      <c r="J104" s="3395"/>
      <c r="K104" s="3395"/>
      <c r="L104" s="3395"/>
      <c r="M104" s="3395"/>
      <c r="N104" s="3395"/>
      <c r="O104" s="3395"/>
      <c r="P104" s="3395"/>
      <c r="Q104" s="3395"/>
      <c r="R104" s="3395"/>
      <c r="S104" s="3395"/>
      <c r="T104" s="3395"/>
      <c r="U104" s="3395"/>
      <c r="V104" s="3395"/>
      <c r="W104" s="3395"/>
      <c r="X104" s="3395"/>
      <c r="Y104" s="3395"/>
      <c r="Z104" s="3395"/>
      <c r="AA104" s="3395"/>
      <c r="AB104" s="3395"/>
      <c r="AC104" s="3395"/>
      <c r="AD104" s="3395"/>
      <c r="AE104" s="3395"/>
      <c r="AF104" s="3395"/>
      <c r="AG104" s="3395"/>
      <c r="AH104" s="3395"/>
      <c r="AI104" s="3395"/>
      <c r="AJ104" s="3395"/>
      <c r="AK104" s="3395"/>
      <c r="AL104" s="3395"/>
      <c r="AM104" s="3395"/>
      <c r="AN104" s="3395"/>
      <c r="AO104" s="3395"/>
      <c r="AP104" s="3395"/>
      <c r="AQ104" s="3395"/>
      <c r="AR104" s="3395"/>
      <c r="AS104" s="4280"/>
      <c r="AT104" s="4201"/>
      <c r="AU104" s="4201"/>
      <c r="AV104" s="4201"/>
      <c r="AW104" s="4201"/>
      <c r="AX104" s="4201"/>
      <c r="AY104" s="4201"/>
      <c r="AZ104" s="4201"/>
      <c r="BA104" s="4201"/>
      <c r="BB104" s="4201"/>
      <c r="BC104" s="4201"/>
      <c r="BD104" s="4201"/>
      <c r="BE104" s="4201"/>
      <c r="BF104" s="3395"/>
      <c r="BG104" s="3395"/>
      <c r="BH104" s="3395"/>
      <c r="BI104" s="3395"/>
      <c r="BJ104" s="3395"/>
      <c r="BK104" s="3395"/>
      <c r="BL104" s="3395"/>
      <c r="BM104" s="3395"/>
      <c r="BN104" s="3395"/>
      <c r="BO104" s="3395"/>
      <c r="BP104" s="3395"/>
      <c r="BQ104" s="3395"/>
      <c r="BR104" s="3395"/>
      <c r="BS104" s="3395"/>
      <c r="BT104" s="3395"/>
      <c r="BU104" s="3395"/>
      <c r="BV104" s="3395"/>
      <c r="BW104" s="3395"/>
      <c r="BX104" s="3395"/>
      <c r="BY104" s="3395"/>
      <c r="BZ104" s="3395"/>
      <c r="CA104" s="3395"/>
      <c r="CB104" s="3395"/>
      <c r="CC104" s="3395"/>
      <c r="CD104" s="3395"/>
      <c r="CE104" s="3395"/>
      <c r="CF104" s="3395"/>
      <c r="CG104" s="3395"/>
      <c r="CH104" s="3395"/>
      <c r="CI104" s="3395"/>
      <c r="CJ104" s="3395"/>
      <c r="CK104" s="3395"/>
      <c r="CL104" s="3395"/>
      <c r="CM104" s="3395"/>
      <c r="CN104" s="3395"/>
      <c r="CO104" s="3395"/>
      <c r="CP104" s="3395"/>
      <c r="CQ104" s="3395"/>
      <c r="CR104" s="3395"/>
      <c r="CS104" s="3395"/>
      <c r="CT104" s="3395"/>
      <c r="CU104" s="3395"/>
      <c r="CV104" s="3395"/>
      <c r="CW104" s="3395"/>
      <c r="CX104" s="3395"/>
      <c r="CY104" s="3395"/>
      <c r="CZ104" s="3395"/>
      <c r="DA104" s="3395"/>
      <c r="DB104" s="3395"/>
      <c r="DC104" s="3395"/>
      <c r="DD104" s="3395"/>
      <c r="DE104" s="3395"/>
      <c r="DF104" s="3395"/>
      <c r="DG104" s="3395"/>
      <c r="DH104" s="3395"/>
      <c r="DI104" s="3395"/>
      <c r="DJ104" s="3395"/>
      <c r="DK104" s="3395"/>
      <c r="DL104" s="3395"/>
      <c r="DM104" s="3395"/>
      <c r="DN104" s="3395"/>
      <c r="DO104" s="3395"/>
      <c r="DP104" s="3395"/>
      <c r="DQ104" s="3395"/>
      <c r="DR104" s="3395"/>
      <c r="DS104" s="3395"/>
    </row>
    <row r="105" spans="1:123">
      <c r="A105" s="3395"/>
      <c r="B105" s="3395"/>
      <c r="C105" s="3395"/>
      <c r="D105" s="3395"/>
      <c r="E105" s="3395"/>
      <c r="F105" s="3395"/>
      <c r="G105" s="3395"/>
      <c r="H105" s="3395"/>
      <c r="I105" s="3395"/>
      <c r="J105" s="3395"/>
      <c r="K105" s="3395"/>
      <c r="L105" s="3395"/>
      <c r="M105" s="3395"/>
      <c r="N105" s="3395"/>
      <c r="O105" s="3395"/>
      <c r="P105" s="3395"/>
      <c r="Q105" s="3395"/>
      <c r="R105" s="3395"/>
      <c r="S105" s="3395"/>
      <c r="T105" s="3395"/>
      <c r="U105" s="3395"/>
      <c r="V105" s="3395"/>
      <c r="W105" s="3395"/>
      <c r="X105" s="3395"/>
      <c r="Y105" s="3395"/>
      <c r="Z105" s="3395"/>
      <c r="AA105" s="3395"/>
      <c r="AB105" s="3395"/>
      <c r="AC105" s="3395"/>
      <c r="AD105" s="3395"/>
      <c r="AE105" s="3395"/>
      <c r="AF105" s="3395"/>
      <c r="AG105" s="3395"/>
      <c r="AH105" s="3395"/>
      <c r="AI105" s="3395"/>
      <c r="AJ105" s="3395"/>
      <c r="AK105" s="3395"/>
      <c r="AL105" s="3395"/>
      <c r="AM105" s="3395"/>
      <c r="AN105" s="3395"/>
      <c r="AO105" s="3395"/>
      <c r="AP105" s="3395"/>
      <c r="AQ105" s="3395"/>
      <c r="AR105" s="3395"/>
      <c r="AS105" s="4280"/>
      <c r="AT105" s="4201"/>
      <c r="AU105" s="4201"/>
      <c r="AV105" s="4201"/>
      <c r="AW105" s="4201"/>
      <c r="AX105" s="4201"/>
      <c r="AY105" s="4201"/>
      <c r="AZ105" s="4201"/>
      <c r="BA105" s="4201"/>
      <c r="BB105" s="4201"/>
      <c r="BC105" s="4201"/>
      <c r="BD105" s="4201"/>
      <c r="BE105" s="4201"/>
      <c r="BF105" s="3395"/>
      <c r="BG105" s="3395"/>
      <c r="BH105" s="3395"/>
      <c r="BI105" s="3395"/>
      <c r="BJ105" s="3395"/>
      <c r="BK105" s="3395"/>
      <c r="BL105" s="3395"/>
      <c r="BM105" s="3395"/>
      <c r="BN105" s="3395"/>
      <c r="BO105" s="3395"/>
      <c r="BP105" s="3395"/>
      <c r="BQ105" s="3395"/>
      <c r="BR105" s="3395"/>
      <c r="BS105" s="3395"/>
      <c r="BT105" s="3395"/>
      <c r="BU105" s="3395"/>
      <c r="BV105" s="3395"/>
      <c r="BW105" s="3395"/>
      <c r="BX105" s="3395"/>
      <c r="BY105" s="3395"/>
      <c r="BZ105" s="3395"/>
      <c r="CA105" s="3395"/>
      <c r="CB105" s="3395"/>
      <c r="CC105" s="3395"/>
      <c r="CD105" s="3395"/>
      <c r="CE105" s="3395"/>
      <c r="CF105" s="3395"/>
      <c r="CG105" s="3395"/>
      <c r="CH105" s="3395"/>
      <c r="CI105" s="3395"/>
      <c r="CJ105" s="3395"/>
      <c r="CK105" s="3395"/>
      <c r="CL105" s="3395"/>
      <c r="CM105" s="3395"/>
      <c r="CN105" s="3395"/>
      <c r="CO105" s="3395"/>
      <c r="CP105" s="3395"/>
      <c r="CQ105" s="3395"/>
      <c r="CR105" s="3395"/>
      <c r="CS105" s="3395"/>
      <c r="CT105" s="3395"/>
      <c r="CU105" s="3395"/>
      <c r="CV105" s="3395"/>
      <c r="CW105" s="3395"/>
      <c r="CX105" s="3395"/>
      <c r="CY105" s="3395"/>
      <c r="CZ105" s="3395"/>
      <c r="DA105" s="3395"/>
      <c r="DB105" s="3395"/>
      <c r="DC105" s="3395"/>
      <c r="DD105" s="3395"/>
      <c r="DE105" s="3395"/>
      <c r="DF105" s="3395"/>
      <c r="DG105" s="3395"/>
      <c r="DH105" s="3395"/>
      <c r="DI105" s="3395"/>
      <c r="DJ105" s="3395"/>
      <c r="DK105" s="3395"/>
      <c r="DL105" s="3395"/>
      <c r="DM105" s="3395"/>
      <c r="DN105" s="3395"/>
      <c r="DO105" s="3395"/>
      <c r="DP105" s="3395"/>
      <c r="DQ105" s="3395"/>
      <c r="DR105" s="3395"/>
      <c r="DS105" s="3395"/>
    </row>
    <row r="106" s="4131" customFormat="1" ht="27.75" customHeight="1" spans="1:123">
      <c r="A106" s="4287" t="str">
        <f>"1. - "&amp;Text!B55</f>
        <v>1. - (BILANS USPJEHA)</v>
      </c>
      <c r="B106" s="4288"/>
      <c r="C106" s="4288"/>
      <c r="D106" s="4288"/>
      <c r="E106" s="4288"/>
      <c r="F106" s="4288"/>
      <c r="G106" s="4288"/>
      <c r="H106" s="4288"/>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4288"/>
      <c r="AD106" s="4288"/>
      <c r="AE106" s="4288"/>
      <c r="AF106" s="4288"/>
      <c r="AG106" s="4288"/>
      <c r="AH106" s="4288"/>
      <c r="AI106" s="4288"/>
      <c r="AJ106" s="4288"/>
      <c r="AK106" s="4288"/>
      <c r="AL106" s="4288"/>
      <c r="AM106" s="4288"/>
      <c r="AN106" s="4288"/>
      <c r="AO106" s="4288"/>
      <c r="AP106" s="4288"/>
      <c r="AQ106" s="4288"/>
      <c r="AR106" s="4288"/>
      <c r="AS106" s="4288"/>
      <c r="AT106" s="4288"/>
      <c r="AU106" s="4288"/>
      <c r="AV106" s="4288"/>
      <c r="AW106" s="4288"/>
      <c r="AX106" s="4288"/>
      <c r="AY106" s="4288"/>
      <c r="AZ106" s="4288"/>
      <c r="BA106" s="4288"/>
      <c r="BB106" s="4288"/>
      <c r="BC106" s="4288"/>
      <c r="BD106" s="4288"/>
      <c r="BE106" s="4288"/>
      <c r="BF106" s="4288"/>
      <c r="BG106" s="4288"/>
      <c r="BH106" s="4288"/>
      <c r="BI106" s="4288"/>
      <c r="BJ106" s="4288"/>
      <c r="BK106" s="4288"/>
      <c r="BL106" s="4288"/>
      <c r="BM106" s="4288"/>
      <c r="BN106" s="4288"/>
      <c r="BO106" s="4288"/>
      <c r="BP106" s="4288"/>
      <c r="BQ106" s="4288"/>
      <c r="BR106" s="4288"/>
      <c r="BS106" s="4288"/>
      <c r="BT106" s="4288"/>
      <c r="BU106" s="4288"/>
      <c r="BV106" s="4288"/>
      <c r="BW106" s="4288"/>
      <c r="BX106" s="4288"/>
      <c r="BY106" s="4288"/>
      <c r="BZ106" s="4288"/>
      <c r="CA106" s="4288"/>
      <c r="CB106" s="4288"/>
      <c r="CC106" s="4288"/>
      <c r="CD106" s="4288"/>
      <c r="CE106" s="4288"/>
      <c r="CF106" s="4288"/>
      <c r="CG106" s="4288"/>
      <c r="CH106" s="4288"/>
      <c r="CI106" s="4288"/>
      <c r="CJ106" s="4288"/>
      <c r="CK106" s="4288"/>
      <c r="CL106" s="4288"/>
      <c r="CM106" s="4288"/>
      <c r="CN106" s="4288"/>
      <c r="CO106" s="4288"/>
      <c r="CP106" s="4288"/>
      <c r="CQ106" s="4288"/>
      <c r="CR106" s="4288"/>
      <c r="CS106" s="4288"/>
      <c r="CT106" s="4288"/>
      <c r="CU106" s="4288"/>
      <c r="CV106" s="4288"/>
      <c r="CW106" s="4288"/>
      <c r="CX106" s="4288"/>
      <c r="CY106" s="4288"/>
      <c r="CZ106" s="4288"/>
      <c r="DA106" s="4288"/>
      <c r="DB106" s="4288"/>
      <c r="DC106" s="4288"/>
      <c r="DD106" s="4288"/>
      <c r="DE106" s="4288"/>
      <c r="DF106" s="4288"/>
      <c r="DG106" s="4288"/>
      <c r="DH106" s="4288"/>
      <c r="DI106" s="4288"/>
      <c r="DJ106" s="4288"/>
      <c r="DK106" s="4288"/>
      <c r="DL106" s="4288"/>
      <c r="DM106" s="4288"/>
      <c r="DN106" s="4288"/>
      <c r="DO106" s="4288"/>
      <c r="DP106" s="4288"/>
      <c r="DQ106" s="4288"/>
      <c r="DR106" s="4288"/>
      <c r="DS106" s="4288"/>
    </row>
    <row r="107" s="4133" customFormat="1" ht="27" customHeight="1" spans="1:123">
      <c r="A107" s="4289" t="s">
        <v>4676</v>
      </c>
      <c r="B107" s="4290"/>
      <c r="C107" s="4290"/>
      <c r="D107" s="4290"/>
      <c r="E107" s="4290"/>
      <c r="F107" s="4291">
        <f ca="1">PoslGod</f>
        <v>2025</v>
      </c>
      <c r="G107" s="4291"/>
      <c r="H107" s="4291"/>
      <c r="I107" s="4291"/>
      <c r="J107" s="4291"/>
      <c r="K107" s="4291"/>
      <c r="L107" s="4291"/>
      <c r="M107" s="4292"/>
      <c r="N107" s="4292"/>
      <c r="O107" s="4292"/>
      <c r="P107" s="4292"/>
      <c r="Q107" s="4292"/>
      <c r="R107" s="4292"/>
      <c r="S107" s="4292"/>
      <c r="T107" s="4292"/>
      <c r="U107" s="4292"/>
      <c r="V107" s="4292"/>
      <c r="W107" s="4292"/>
      <c r="X107" s="4292"/>
      <c r="Y107" s="4292"/>
      <c r="Z107" s="4292"/>
      <c r="AA107" s="4292"/>
      <c r="AB107" s="4292"/>
      <c r="AC107" s="4292"/>
      <c r="AD107" s="4292"/>
      <c r="AE107" s="4292"/>
      <c r="AF107" s="4292"/>
      <c r="AG107" s="4292"/>
      <c r="AH107" s="4292"/>
      <c r="AI107" s="4292"/>
      <c r="AJ107" s="4292"/>
      <c r="AK107" s="4292"/>
      <c r="AL107" s="4292"/>
      <c r="AM107" s="4292"/>
      <c r="AN107" s="4292"/>
      <c r="AO107" s="4292"/>
      <c r="AP107" s="4292"/>
      <c r="AQ107" s="4292"/>
      <c r="AR107" s="4292"/>
      <c r="AS107" s="4292"/>
      <c r="AT107" s="4292"/>
      <c r="AU107" s="4292"/>
      <c r="AV107" s="4292"/>
      <c r="AW107" s="4292"/>
      <c r="AX107" s="4292"/>
      <c r="AY107" s="4292"/>
      <c r="AZ107" s="4292"/>
      <c r="BA107" s="4292"/>
      <c r="BB107" s="4292"/>
      <c r="BC107" s="4292"/>
      <c r="BD107" s="4292"/>
      <c r="BE107" s="4292"/>
      <c r="BF107" s="4292"/>
      <c r="BG107" s="4292"/>
      <c r="BH107" s="4292"/>
      <c r="BI107" s="4292"/>
      <c r="BJ107" s="4292"/>
      <c r="BK107" s="4292"/>
      <c r="BL107" s="4292"/>
      <c r="BM107" s="4292"/>
      <c r="BN107" s="4292"/>
      <c r="BO107" s="4292"/>
      <c r="BP107" s="4292"/>
      <c r="BQ107" s="4292"/>
      <c r="BR107" s="4292"/>
      <c r="BS107" s="4292"/>
      <c r="BT107" s="4292"/>
      <c r="BU107" s="4292"/>
      <c r="BV107" s="4292"/>
      <c r="BW107" s="4292"/>
      <c r="BX107" s="4292"/>
      <c r="BY107" s="4292"/>
      <c r="BZ107" s="4292"/>
      <c r="CA107" s="4292"/>
      <c r="CB107" s="4292"/>
      <c r="CC107" s="4292"/>
      <c r="CD107" s="4292"/>
      <c r="CE107" s="4292"/>
      <c r="CF107" s="4292"/>
      <c r="CG107" s="4292"/>
      <c r="CH107" s="4292"/>
      <c r="CI107" s="4292"/>
      <c r="CJ107" s="4292"/>
      <c r="CK107" s="4292"/>
      <c r="CL107" s="4292"/>
      <c r="CM107" s="4292"/>
      <c r="CN107" s="4292"/>
      <c r="CO107" s="4292"/>
      <c r="CP107" s="4292"/>
      <c r="CQ107" s="4292"/>
      <c r="CR107" s="4292"/>
      <c r="CS107" s="4292"/>
      <c r="CT107" s="4292"/>
      <c r="CU107" s="4292"/>
      <c r="CV107" s="4292"/>
      <c r="CW107" s="4292"/>
      <c r="CX107" s="4292"/>
      <c r="CY107" s="4292"/>
      <c r="CZ107" s="4292"/>
      <c r="DA107" s="4292"/>
      <c r="DB107" s="4292"/>
      <c r="DC107" s="4292"/>
      <c r="DD107" s="4292"/>
      <c r="DE107" s="4292"/>
      <c r="DF107" s="4292"/>
      <c r="DG107" s="4292"/>
      <c r="DH107" s="4292"/>
      <c r="DI107" s="4292"/>
      <c r="DJ107" s="4292"/>
      <c r="DK107" s="4292"/>
      <c r="DL107" s="4292"/>
      <c r="DM107" s="4292"/>
      <c r="DN107" s="4292"/>
      <c r="DO107" s="4292"/>
      <c r="DP107" s="4292"/>
      <c r="DQ107" s="4292"/>
      <c r="DR107" s="4292"/>
      <c r="DS107" s="4292"/>
    </row>
    <row r="108" s="4133" customFormat="1" ht="15.75" customHeight="1" spans="1:123">
      <c r="A108" s="4293" t="s">
        <v>4677</v>
      </c>
      <c r="B108" s="4293"/>
      <c r="C108" s="4293"/>
      <c r="D108" s="4293"/>
      <c r="E108" s="4293"/>
      <c r="F108" s="4294" t="str">
        <f ca="1">PeriodOd&amp;"."&amp;" - "&amp;PeriodDo</f>
        <v>01.01.2025. - 31.12.2025</v>
      </c>
      <c r="G108" s="4294"/>
      <c r="H108" s="4294"/>
      <c r="I108" s="4294"/>
      <c r="J108" s="4294"/>
      <c r="K108" s="4294"/>
      <c r="L108" s="4294"/>
      <c r="M108" s="4295"/>
      <c r="N108" s="4295"/>
      <c r="O108" s="4295"/>
      <c r="P108" s="4295"/>
      <c r="Q108" s="4295"/>
      <c r="R108" s="4295"/>
      <c r="S108" s="4295"/>
      <c r="T108" s="4295"/>
      <c r="U108" s="4295"/>
      <c r="V108" s="4295"/>
      <c r="W108" s="4295"/>
      <c r="X108" s="4295"/>
      <c r="Y108" s="4295"/>
      <c r="Z108" s="4295"/>
      <c r="AA108" s="4295"/>
      <c r="AB108" s="4295"/>
      <c r="AC108" s="4295"/>
      <c r="AD108" s="4295"/>
      <c r="AE108" s="4295"/>
      <c r="AF108" s="4295"/>
      <c r="AG108" s="4295"/>
      <c r="AH108" s="4295"/>
      <c r="AI108" s="4295"/>
      <c r="AJ108" s="4295"/>
      <c r="AK108" s="4295"/>
      <c r="AL108" s="4295"/>
      <c r="AM108" s="4295"/>
      <c r="AN108" s="4295"/>
      <c r="AO108" s="4295"/>
      <c r="AP108" s="4295"/>
      <c r="AQ108" s="4295"/>
      <c r="AR108" s="4295"/>
      <c r="AS108" s="4296"/>
      <c r="AT108" s="4295"/>
      <c r="AU108" s="4295"/>
      <c r="AV108" s="4295"/>
      <c r="AW108" s="4295"/>
      <c r="AX108" s="4295"/>
      <c r="AY108" s="4295"/>
      <c r="AZ108" s="4295"/>
      <c r="BA108" s="4295"/>
      <c r="BB108" s="4295"/>
      <c r="BC108" s="4295"/>
      <c r="BD108" s="4295"/>
      <c r="BE108" s="4295"/>
      <c r="BF108" s="4295"/>
      <c r="BG108" s="4295"/>
      <c r="BH108" s="4295"/>
      <c r="BI108" s="4295"/>
      <c r="BJ108" s="4295"/>
      <c r="BK108" s="4295"/>
      <c r="BL108" s="4295"/>
      <c r="BM108" s="4295"/>
      <c r="BN108" s="4295"/>
      <c r="BO108" s="4295"/>
      <c r="BP108" s="4295"/>
      <c r="BQ108" s="4295"/>
      <c r="BR108" s="4295"/>
      <c r="BS108" s="4295"/>
      <c r="BT108" s="4295"/>
      <c r="BU108" s="4295"/>
      <c r="BV108" s="4295"/>
      <c r="BW108" s="4295"/>
      <c r="BX108" s="4295"/>
      <c r="BY108" s="4295"/>
      <c r="BZ108" s="4295"/>
      <c r="CA108" s="4295"/>
      <c r="CB108" s="4295"/>
      <c r="CC108" s="4295"/>
      <c r="CD108" s="4295"/>
      <c r="CE108" s="4295"/>
      <c r="CF108" s="4295"/>
      <c r="CG108" s="4295"/>
      <c r="CH108" s="4295"/>
      <c r="CI108" s="4295"/>
      <c r="CJ108" s="4295"/>
      <c r="CK108" s="4295"/>
      <c r="CL108" s="4295"/>
      <c r="CM108" s="4295"/>
      <c r="CN108" s="4295"/>
      <c r="CO108" s="4295"/>
      <c r="CP108" s="4295"/>
      <c r="CQ108" s="4295"/>
      <c r="CR108" s="4295"/>
      <c r="CS108" s="4295"/>
      <c r="CT108" s="4295"/>
      <c r="CU108" s="4295"/>
      <c r="CV108" s="4295"/>
      <c r="CW108" s="4295"/>
      <c r="CX108" s="4295"/>
      <c r="CY108" s="4295"/>
      <c r="CZ108" s="4295"/>
      <c r="DA108" s="4295"/>
      <c r="DB108" s="4295"/>
      <c r="DC108" s="4295"/>
      <c r="DD108" s="4295"/>
      <c r="DE108" s="4295"/>
      <c r="DF108" s="4295"/>
      <c r="DG108" s="4295"/>
      <c r="DH108" s="4295"/>
      <c r="DI108" s="4295"/>
      <c r="DJ108" s="4295"/>
      <c r="DK108" s="4295"/>
      <c r="DL108" s="4295"/>
      <c r="DM108" s="4295"/>
      <c r="DN108" s="4295"/>
      <c r="DO108" s="4295"/>
      <c r="DP108" s="4295"/>
      <c r="DQ108" s="4295"/>
      <c r="DR108" s="4295"/>
      <c r="DS108" s="4295"/>
    </row>
    <row r="109" s="4133" customFormat="1" ht="18" customHeight="1" spans="1:123">
      <c r="A109" s="4297" t="s">
        <v>15</v>
      </c>
      <c r="B109" s="4297"/>
      <c r="C109" s="4297"/>
      <c r="D109" s="4297"/>
      <c r="E109" s="4297"/>
      <c r="F109" s="4294"/>
      <c r="G109" s="4294"/>
      <c r="H109" s="4294"/>
      <c r="I109" s="4294"/>
      <c r="J109" s="4294"/>
      <c r="K109" s="4294"/>
      <c r="L109" s="4294"/>
      <c r="M109" s="4295"/>
      <c r="N109" s="4295"/>
      <c r="O109" s="4295"/>
      <c r="P109" s="4295"/>
      <c r="Q109" s="4295"/>
      <c r="R109" s="4295"/>
      <c r="S109" s="4295"/>
      <c r="T109" s="4295"/>
      <c r="U109" s="4295"/>
      <c r="V109" s="4295"/>
      <c r="W109" s="4295"/>
      <c r="X109" s="4295"/>
      <c r="Y109" s="4295"/>
      <c r="Z109" s="4295"/>
      <c r="AA109" s="4295"/>
      <c r="AB109" s="4295"/>
      <c r="AC109" s="4295"/>
      <c r="AD109" s="4295"/>
      <c r="AE109" s="4295"/>
      <c r="AF109" s="4295"/>
      <c r="AG109" s="4295"/>
      <c r="AH109" s="4295"/>
      <c r="AI109" s="4295"/>
      <c r="AJ109" s="4295"/>
      <c r="AK109" s="4295"/>
      <c r="AL109" s="4295"/>
      <c r="AM109" s="4295"/>
      <c r="AN109" s="4295"/>
      <c r="AO109" s="4295"/>
      <c r="AP109" s="4295"/>
      <c r="AQ109" s="4295"/>
      <c r="AR109" s="4295"/>
      <c r="AS109" s="4296"/>
      <c r="AT109" s="4295"/>
      <c r="AU109" s="4295"/>
      <c r="AV109" s="4295"/>
      <c r="AW109" s="4295"/>
      <c r="AX109" s="4295"/>
      <c r="AY109" s="4295"/>
      <c r="AZ109" s="4295"/>
      <c r="BA109" s="4295"/>
      <c r="BB109" s="4295"/>
      <c r="BC109" s="4295"/>
      <c r="BD109" s="4295"/>
      <c r="BE109" s="4295"/>
      <c r="BF109" s="4295"/>
      <c r="BG109" s="4295"/>
      <c r="BH109" s="4295"/>
      <c r="BI109" s="4295"/>
      <c r="BJ109" s="4295"/>
      <c r="BK109" s="4295"/>
      <c r="BL109" s="4295"/>
      <c r="BM109" s="4295"/>
      <c r="BN109" s="4295"/>
      <c r="BO109" s="4295"/>
      <c r="BP109" s="4295"/>
      <c r="BQ109" s="4295"/>
      <c r="BR109" s="4295"/>
      <c r="BS109" s="4295"/>
      <c r="BT109" s="4295"/>
      <c r="BU109" s="4295"/>
      <c r="BV109" s="4295"/>
      <c r="BW109" s="4295"/>
      <c r="BX109" s="4295"/>
      <c r="BY109" s="4295"/>
      <c r="BZ109" s="4295"/>
      <c r="CA109" s="4295"/>
      <c r="CB109" s="4295"/>
      <c r="CC109" s="4295"/>
      <c r="CD109" s="4295"/>
      <c r="CE109" s="4295"/>
      <c r="CF109" s="4295"/>
      <c r="CG109" s="4295"/>
      <c r="CH109" s="4295"/>
      <c r="CI109" s="4295"/>
      <c r="CJ109" s="4295"/>
      <c r="CK109" s="4295"/>
      <c r="CL109" s="4295"/>
      <c r="CM109" s="4295"/>
      <c r="CN109" s="4295"/>
      <c r="CO109" s="4295"/>
      <c r="CP109" s="4295"/>
      <c r="CQ109" s="4295"/>
      <c r="CR109" s="4295"/>
      <c r="CS109" s="4295"/>
      <c r="CT109" s="4295"/>
      <c r="CU109" s="4295"/>
      <c r="CV109" s="4295"/>
      <c r="CW109" s="4295"/>
      <c r="CX109" s="4295"/>
      <c r="CY109" s="4295"/>
      <c r="CZ109" s="4295"/>
      <c r="DA109" s="4295"/>
      <c r="DB109" s="4295"/>
      <c r="DC109" s="4295"/>
      <c r="DD109" s="4295"/>
      <c r="DE109" s="4295"/>
      <c r="DF109" s="4295"/>
      <c r="DG109" s="4295"/>
      <c r="DH109" s="4295"/>
      <c r="DI109" s="4295"/>
      <c r="DJ109" s="4295"/>
      <c r="DK109" s="4295"/>
      <c r="DL109" s="4295"/>
      <c r="DM109" s="4295"/>
      <c r="DN109" s="4295"/>
      <c r="DO109" s="4295"/>
      <c r="DP109" s="4295"/>
      <c r="DQ109" s="4295"/>
      <c r="DR109" s="4295"/>
      <c r="DS109" s="4295"/>
    </row>
    <row r="110" s="4134" customFormat="1" ht="16.5" customHeight="1" spans="1:123">
      <c r="A110" s="4298" t="s">
        <v>4678</v>
      </c>
      <c r="B110" s="4299"/>
      <c r="C110" s="4299"/>
      <c r="D110" s="4299"/>
      <c r="E110" s="4299"/>
      <c r="F110" s="4300"/>
      <c r="G110" s="4300"/>
      <c r="H110" s="4300"/>
      <c r="I110" s="4300"/>
      <c r="J110" s="4300"/>
      <c r="K110" s="4300"/>
      <c r="L110" s="4300"/>
      <c r="M110" s="4301">
        <v>110</v>
      </c>
      <c r="N110" s="4301"/>
      <c r="O110" s="4302" t="s">
        <v>4679</v>
      </c>
      <c r="P110" s="4303"/>
      <c r="Q110" s="4295"/>
      <c r="R110" s="4303"/>
      <c r="S110" s="4303"/>
      <c r="T110" s="4303"/>
      <c r="U110" s="4303"/>
      <c r="V110" s="4303"/>
      <c r="W110" s="4303"/>
      <c r="X110" s="4303"/>
      <c r="Y110" s="4303"/>
      <c r="Z110" s="4303"/>
      <c r="AA110" s="4303"/>
      <c r="AB110" s="4303"/>
      <c r="AC110" s="4292"/>
      <c r="AD110" s="4292"/>
      <c r="AE110" s="4303"/>
      <c r="AF110" s="4303"/>
      <c r="AG110" s="4303"/>
      <c r="AH110" s="4303"/>
      <c r="AI110" s="4303"/>
      <c r="AJ110" s="4303"/>
      <c r="AK110" s="4303"/>
      <c r="AL110" s="4303"/>
      <c r="AM110" s="4303"/>
      <c r="AN110" s="4303"/>
      <c r="AO110" s="4303"/>
      <c r="AP110" s="4303"/>
      <c r="AQ110" s="4303"/>
      <c r="AR110" s="4303"/>
      <c r="AS110" s="4303"/>
      <c r="AT110" s="4303"/>
      <c r="AU110" s="4303"/>
      <c r="AV110" s="4303"/>
      <c r="AW110" s="4303"/>
      <c r="AX110" s="4303"/>
      <c r="AY110" s="4303"/>
      <c r="AZ110" s="4303"/>
      <c r="BA110" s="4303"/>
      <c r="BB110" s="4303"/>
      <c r="BC110" s="4303"/>
      <c r="BD110" s="4303"/>
      <c r="BE110" s="4303"/>
      <c r="BF110" s="4303"/>
      <c r="BG110" s="4303"/>
      <c r="BH110" s="4303"/>
      <c r="BI110" s="4303"/>
      <c r="BJ110" s="4303"/>
      <c r="BK110" s="4303"/>
      <c r="BL110" s="4303"/>
      <c r="BM110" s="4303"/>
      <c r="BN110" s="4303"/>
      <c r="BO110" s="4303"/>
      <c r="BP110" s="4303"/>
      <c r="BQ110" s="4303"/>
      <c r="BR110" s="4303"/>
      <c r="BS110" s="4303"/>
      <c r="BT110" s="4303"/>
      <c r="BU110" s="4303"/>
      <c r="BV110" s="4303"/>
      <c r="BW110" s="4303"/>
      <c r="BX110" s="4303"/>
      <c r="BY110" s="4303"/>
      <c r="BZ110" s="4303"/>
      <c r="CA110" s="4303"/>
      <c r="CB110" s="4303"/>
      <c r="CC110" s="4303"/>
      <c r="CD110" s="4303"/>
      <c r="CE110" s="4303"/>
      <c r="CF110" s="4303"/>
      <c r="CG110" s="4303"/>
      <c r="CH110" s="4303"/>
      <c r="CI110" s="4303"/>
      <c r="CJ110" s="4303"/>
      <c r="CK110" s="4303"/>
      <c r="CL110" s="4303"/>
      <c r="CM110" s="4303"/>
      <c r="CN110" s="4303"/>
      <c r="CO110" s="4303"/>
      <c r="CP110" s="4303"/>
      <c r="CQ110" s="4303"/>
      <c r="CR110" s="4303"/>
      <c r="CS110" s="4303"/>
      <c r="CT110" s="4303"/>
      <c r="CU110" s="4303"/>
      <c r="CV110" s="4303"/>
      <c r="CW110" s="4303"/>
      <c r="CX110" s="4303"/>
      <c r="CY110" s="4303"/>
      <c r="CZ110" s="4303"/>
      <c r="DA110" s="4303"/>
      <c r="DB110" s="4303"/>
      <c r="DC110" s="4303"/>
      <c r="DD110" s="4303"/>
      <c r="DE110" s="4303"/>
      <c r="DF110" s="4303"/>
      <c r="DG110" s="4303"/>
      <c r="DH110" s="4303"/>
      <c r="DI110" s="4303"/>
      <c r="DJ110" s="4303"/>
      <c r="DK110" s="4303"/>
      <c r="DL110" s="4303"/>
      <c r="DM110" s="4303"/>
      <c r="DN110" s="4303"/>
      <c r="DO110" s="4303"/>
      <c r="DP110" s="4303"/>
      <c r="DQ110" s="4303"/>
      <c r="DR110" s="4303"/>
      <c r="DS110" s="4303"/>
    </row>
    <row r="111" s="4134" customFormat="1" ht="16.5" customHeight="1" spans="1:123">
      <c r="A111" s="4298" t="s">
        <v>4680</v>
      </c>
      <c r="B111" s="4299"/>
      <c r="C111" s="4299"/>
      <c r="D111" s="4299"/>
      <c r="E111" s="4299"/>
      <c r="F111" s="4300"/>
      <c r="G111" s="4300"/>
      <c r="H111" s="4300"/>
      <c r="I111" s="4300"/>
      <c r="J111" s="4300"/>
      <c r="K111" s="4300"/>
      <c r="L111" s="4300"/>
      <c r="M111" s="4295"/>
      <c r="N111" s="4295"/>
      <c r="O111" s="4302" t="s">
        <v>4681</v>
      </c>
      <c r="P111" s="4303"/>
      <c r="Q111" s="4295"/>
      <c r="R111" s="4303"/>
      <c r="S111" s="4303"/>
      <c r="T111" s="4303"/>
      <c r="U111" s="4303"/>
      <c r="V111" s="4303"/>
      <c r="W111" s="4303"/>
      <c r="X111" s="4303"/>
      <c r="Y111" s="4303"/>
      <c r="Z111" s="4303"/>
      <c r="AA111" s="4303"/>
      <c r="AB111" s="4303"/>
      <c r="AC111" s="4292"/>
      <c r="AD111" s="4292"/>
      <c r="AE111" s="4303"/>
      <c r="AF111" s="4303"/>
      <c r="AG111" s="4303"/>
      <c r="AH111" s="4303"/>
      <c r="AI111" s="4303"/>
      <c r="AJ111" s="4303"/>
      <c r="AK111" s="4303"/>
      <c r="AL111" s="4303"/>
      <c r="AM111" s="4303"/>
      <c r="AN111" s="4303"/>
      <c r="AO111" s="4303"/>
      <c r="AP111" s="4303"/>
      <c r="AQ111" s="4303"/>
      <c r="AR111" s="4303"/>
      <c r="AS111" s="4303"/>
      <c r="AT111" s="4303"/>
      <c r="AU111" s="4303"/>
      <c r="AV111" s="4303"/>
      <c r="AW111" s="4303"/>
      <c r="AX111" s="4303"/>
      <c r="AY111" s="4303"/>
      <c r="AZ111" s="4303"/>
      <c r="BA111" s="4303"/>
      <c r="BB111" s="4303"/>
      <c r="BC111" s="4303"/>
      <c r="BD111" s="4303"/>
      <c r="BE111" s="4303"/>
      <c r="BF111" s="4303"/>
      <c r="BG111" s="4303"/>
      <c r="BH111" s="4303"/>
      <c r="BI111" s="4303"/>
      <c r="BJ111" s="4303"/>
      <c r="BK111" s="4303"/>
      <c r="BL111" s="4303"/>
      <c r="BM111" s="4303"/>
      <c r="BN111" s="4303"/>
      <c r="BO111" s="4303"/>
      <c r="BP111" s="4303"/>
      <c r="BQ111" s="4303"/>
      <c r="BR111" s="4303"/>
      <c r="BS111" s="4303"/>
      <c r="BT111" s="4303"/>
      <c r="BU111" s="4303"/>
      <c r="BV111" s="4303"/>
      <c r="BW111" s="4303"/>
      <c r="BX111" s="4303"/>
      <c r="BY111" s="4303"/>
      <c r="BZ111" s="4303"/>
      <c r="CA111" s="4303"/>
      <c r="CB111" s="4303"/>
      <c r="CC111" s="4303"/>
      <c r="CD111" s="4303"/>
      <c r="CE111" s="4303"/>
      <c r="CF111" s="4303"/>
      <c r="CG111" s="4303"/>
      <c r="CH111" s="4303"/>
      <c r="CI111" s="4303"/>
      <c r="CJ111" s="4303"/>
      <c r="CK111" s="4303"/>
      <c r="CL111" s="4303"/>
      <c r="CM111" s="4303"/>
      <c r="CN111" s="4303"/>
      <c r="CO111" s="4303"/>
      <c r="CP111" s="4303"/>
      <c r="CQ111" s="4303"/>
      <c r="CR111" s="4303"/>
      <c r="CS111" s="4303"/>
      <c r="CT111" s="4303"/>
      <c r="CU111" s="4303"/>
      <c r="CV111" s="4303"/>
      <c r="CW111" s="4303"/>
      <c r="CX111" s="4303"/>
      <c r="CY111" s="4303"/>
      <c r="CZ111" s="4303"/>
      <c r="DA111" s="4303"/>
      <c r="DB111" s="4303"/>
      <c r="DC111" s="4303"/>
      <c r="DD111" s="4303"/>
      <c r="DE111" s="4303"/>
      <c r="DF111" s="4303"/>
      <c r="DG111" s="4303"/>
      <c r="DH111" s="4303"/>
      <c r="DI111" s="4303"/>
      <c r="DJ111" s="4303"/>
      <c r="DK111" s="4303"/>
      <c r="DL111" s="4303"/>
      <c r="DM111" s="4303"/>
      <c r="DN111" s="4303"/>
      <c r="DO111" s="4303"/>
      <c r="DP111" s="4303"/>
      <c r="DQ111" s="4303"/>
      <c r="DR111" s="4303"/>
      <c r="DS111" s="4303"/>
    </row>
    <row r="112" s="4134" customFormat="1" ht="16.5" customHeight="1" spans="1:123">
      <c r="A112" s="4304" t="s">
        <v>4682</v>
      </c>
      <c r="B112" s="4305"/>
      <c r="C112" s="4305"/>
      <c r="D112" s="4305"/>
      <c r="E112" s="4305"/>
      <c r="F112" s="4306">
        <f>SUM(F110:L111)</f>
        <v>0</v>
      </c>
      <c r="G112" s="4306"/>
      <c r="H112" s="4306"/>
      <c r="I112" s="4306"/>
      <c r="J112" s="4306"/>
      <c r="K112" s="4306"/>
      <c r="L112" s="4306"/>
      <c r="M112" s="4295"/>
      <c r="N112" s="4295"/>
      <c r="O112" s="4307" t="s">
        <v>4683</v>
      </c>
      <c r="P112" s="4303"/>
      <c r="Q112" s="4295"/>
      <c r="R112" s="4303"/>
      <c r="S112" s="4303"/>
      <c r="T112" s="4303"/>
      <c r="U112" s="4303"/>
      <c r="V112" s="4303"/>
      <c r="W112" s="4303"/>
      <c r="X112" s="4303"/>
      <c r="Y112" s="4303"/>
      <c r="Z112" s="4303"/>
      <c r="AA112" s="4303"/>
      <c r="AB112" s="4303"/>
      <c r="AC112" s="4292"/>
      <c r="AD112" s="4292"/>
      <c r="AE112" s="4303"/>
      <c r="AF112" s="4303"/>
      <c r="AG112" s="4303"/>
      <c r="AH112" s="4303"/>
      <c r="AI112" s="4303"/>
      <c r="AJ112" s="4303"/>
      <c r="AK112" s="4303"/>
      <c r="AL112" s="4303"/>
      <c r="AM112" s="4303"/>
      <c r="AN112" s="4303"/>
      <c r="AO112" s="4303"/>
      <c r="AP112" s="4303"/>
      <c r="AQ112" s="4303"/>
      <c r="AR112" s="4303"/>
      <c r="AS112" s="4303"/>
      <c r="AT112" s="4303"/>
      <c r="AU112" s="4303"/>
      <c r="AV112" s="4303"/>
      <c r="AW112" s="4303"/>
      <c r="AX112" s="4303"/>
      <c r="AY112" s="4303"/>
      <c r="AZ112" s="4303"/>
      <c r="BA112" s="4303"/>
      <c r="BB112" s="4303"/>
      <c r="BC112" s="4303"/>
      <c r="BD112" s="4303"/>
      <c r="BE112" s="4303"/>
      <c r="BF112" s="4303"/>
      <c r="BG112" s="4303"/>
      <c r="BH112" s="4303"/>
      <c r="BI112" s="4303"/>
      <c r="BJ112" s="4303"/>
      <c r="BK112" s="4303"/>
      <c r="BL112" s="4303"/>
      <c r="BM112" s="4303"/>
      <c r="BN112" s="4303"/>
      <c r="BO112" s="4303"/>
      <c r="BP112" s="4303"/>
      <c r="BQ112" s="4303"/>
      <c r="BR112" s="4303"/>
      <c r="BS112" s="4303"/>
      <c r="BT112" s="4303"/>
      <c r="BU112" s="4303"/>
      <c r="BV112" s="4303"/>
      <c r="BW112" s="4303"/>
      <c r="BX112" s="4303"/>
      <c r="BY112" s="4303"/>
      <c r="BZ112" s="4303"/>
      <c r="CA112" s="4303"/>
      <c r="CB112" s="4303"/>
      <c r="CC112" s="4303"/>
      <c r="CD112" s="4303"/>
      <c r="CE112" s="4303"/>
      <c r="CF112" s="4303"/>
      <c r="CG112" s="4303"/>
      <c r="CH112" s="4303"/>
      <c r="CI112" s="4303"/>
      <c r="CJ112" s="4303"/>
      <c r="CK112" s="4303"/>
      <c r="CL112" s="4303"/>
      <c r="CM112" s="4303"/>
      <c r="CN112" s="4303"/>
      <c r="CO112" s="4303"/>
      <c r="CP112" s="4303"/>
      <c r="CQ112" s="4303"/>
      <c r="CR112" s="4303"/>
      <c r="CS112" s="4303"/>
      <c r="CT112" s="4303"/>
      <c r="CU112" s="4303"/>
      <c r="CV112" s="4303"/>
      <c r="CW112" s="4303"/>
      <c r="CX112" s="4303"/>
      <c r="CY112" s="4303"/>
      <c r="CZ112" s="4303"/>
      <c r="DA112" s="4303"/>
      <c r="DB112" s="4303"/>
      <c r="DC112" s="4303"/>
      <c r="DD112" s="4303"/>
      <c r="DE112" s="4303"/>
      <c r="DF112" s="4303"/>
      <c r="DG112" s="4303"/>
      <c r="DH112" s="4303"/>
      <c r="DI112" s="4303"/>
      <c r="DJ112" s="4303"/>
      <c r="DK112" s="4303"/>
      <c r="DL112" s="4303"/>
      <c r="DM112" s="4303"/>
      <c r="DN112" s="4303"/>
      <c r="DO112" s="4303"/>
      <c r="DP112" s="4303"/>
      <c r="DQ112" s="4303"/>
      <c r="DR112" s="4303"/>
      <c r="DS112" s="4303"/>
    </row>
    <row r="113" s="4134" customFormat="1" ht="16.5" customHeight="1" spans="1:123">
      <c r="A113" s="4298" t="s">
        <v>4684</v>
      </c>
      <c r="B113" s="4299"/>
      <c r="C113" s="4299"/>
      <c r="D113" s="4299"/>
      <c r="E113" s="4299"/>
      <c r="F113" s="4300"/>
      <c r="G113" s="4300"/>
      <c r="H113" s="4300"/>
      <c r="I113" s="4300"/>
      <c r="J113" s="4300"/>
      <c r="K113" s="4300"/>
      <c r="L113" s="4300"/>
      <c r="M113" s="4295"/>
      <c r="N113" s="4295"/>
      <c r="O113" s="4302" t="s">
        <v>4685</v>
      </c>
      <c r="P113" s="4303"/>
      <c r="Q113" s="4295"/>
      <c r="R113" s="4303"/>
      <c r="S113" s="4303"/>
      <c r="T113" s="4303"/>
      <c r="U113" s="4303"/>
      <c r="V113" s="4303"/>
      <c r="W113" s="4303"/>
      <c r="X113" s="4303"/>
      <c r="Y113" s="4303"/>
      <c r="Z113" s="4303"/>
      <c r="AA113" s="4303"/>
      <c r="AB113" s="4303"/>
      <c r="AC113" s="4292"/>
      <c r="AD113" s="4292"/>
      <c r="AE113" s="4303"/>
      <c r="AF113" s="4303"/>
      <c r="AG113" s="4303"/>
      <c r="AH113" s="4303"/>
      <c r="AI113" s="4303"/>
      <c r="AJ113" s="4303"/>
      <c r="AK113" s="4303"/>
      <c r="AL113" s="4303"/>
      <c r="AM113" s="4303"/>
      <c r="AN113" s="4303"/>
      <c r="AO113" s="4303"/>
      <c r="AP113" s="4303"/>
      <c r="AQ113" s="4303"/>
      <c r="AR113" s="4303"/>
      <c r="AS113" s="4303"/>
      <c r="AT113" s="4303"/>
      <c r="AU113" s="4303"/>
      <c r="AV113" s="4303"/>
      <c r="AW113" s="4303"/>
      <c r="AX113" s="4303"/>
      <c r="AY113" s="4303"/>
      <c r="AZ113" s="4303"/>
      <c r="BA113" s="4303"/>
      <c r="BB113" s="4303"/>
      <c r="BC113" s="4303"/>
      <c r="BD113" s="4303"/>
      <c r="BE113" s="4303"/>
      <c r="BF113" s="4303"/>
      <c r="BG113" s="4303"/>
      <c r="BH113" s="4303"/>
      <c r="BI113" s="4303"/>
      <c r="BJ113" s="4303"/>
      <c r="BK113" s="4303"/>
      <c r="BL113" s="4303"/>
      <c r="BM113" s="4303"/>
      <c r="BN113" s="4303"/>
      <c r="BO113" s="4303"/>
      <c r="BP113" s="4303"/>
      <c r="BQ113" s="4303"/>
      <c r="BR113" s="4303"/>
      <c r="BS113" s="4303"/>
      <c r="BT113" s="4303"/>
      <c r="BU113" s="4303"/>
      <c r="BV113" s="4303"/>
      <c r="BW113" s="4303"/>
      <c r="BX113" s="4303"/>
      <c r="BY113" s="4303"/>
      <c r="BZ113" s="4303"/>
      <c r="CA113" s="4303"/>
      <c r="CB113" s="4303"/>
      <c r="CC113" s="4303"/>
      <c r="CD113" s="4303"/>
      <c r="CE113" s="4303"/>
      <c r="CF113" s="4303"/>
      <c r="CG113" s="4303"/>
      <c r="CH113" s="4303"/>
      <c r="CI113" s="4303"/>
      <c r="CJ113" s="4303"/>
      <c r="CK113" s="4303"/>
      <c r="CL113" s="4303"/>
      <c r="CM113" s="4303"/>
      <c r="CN113" s="4303"/>
      <c r="CO113" s="4303"/>
      <c r="CP113" s="4303"/>
      <c r="CQ113" s="4303"/>
      <c r="CR113" s="4303"/>
      <c r="CS113" s="4303"/>
      <c r="CT113" s="4303"/>
      <c r="CU113" s="4303"/>
      <c r="CV113" s="4303"/>
      <c r="CW113" s="4303"/>
      <c r="CX113" s="4303"/>
      <c r="CY113" s="4303"/>
      <c r="CZ113" s="4303"/>
      <c r="DA113" s="4303"/>
      <c r="DB113" s="4303"/>
      <c r="DC113" s="4303"/>
      <c r="DD113" s="4303"/>
      <c r="DE113" s="4303"/>
      <c r="DF113" s="4303"/>
      <c r="DG113" s="4303"/>
      <c r="DH113" s="4303"/>
      <c r="DI113" s="4303"/>
      <c r="DJ113" s="4303"/>
      <c r="DK113" s="4303"/>
      <c r="DL113" s="4303"/>
      <c r="DM113" s="4303"/>
      <c r="DN113" s="4303"/>
      <c r="DO113" s="4303"/>
      <c r="DP113" s="4303"/>
      <c r="DQ113" s="4303"/>
      <c r="DR113" s="4303"/>
      <c r="DS113" s="4303"/>
    </row>
    <row r="114" s="4134" customFormat="1" ht="16.5" customHeight="1" spans="1:123">
      <c r="A114" s="4298" t="s">
        <v>4686</v>
      </c>
      <c r="B114" s="4299"/>
      <c r="C114" s="4299"/>
      <c r="D114" s="4299"/>
      <c r="E114" s="4299"/>
      <c r="F114" s="4300"/>
      <c r="G114" s="4300"/>
      <c r="H114" s="4300"/>
      <c r="I114" s="4300"/>
      <c r="J114" s="4300"/>
      <c r="K114" s="4300"/>
      <c r="L114" s="4300"/>
      <c r="M114" s="4295"/>
      <c r="N114" s="4295"/>
      <c r="O114" s="4302" t="s">
        <v>4687</v>
      </c>
      <c r="P114" s="4303"/>
      <c r="Q114" s="4295"/>
      <c r="R114" s="4303"/>
      <c r="S114" s="4303"/>
      <c r="T114" s="4303"/>
      <c r="U114" s="4303"/>
      <c r="V114" s="4303"/>
      <c r="W114" s="4303"/>
      <c r="X114" s="4303"/>
      <c r="Y114" s="4303"/>
      <c r="Z114" s="4303"/>
      <c r="AA114" s="4303"/>
      <c r="AB114" s="4303"/>
      <c r="AC114" s="4292"/>
      <c r="AD114" s="4292"/>
      <c r="AE114" s="4303"/>
      <c r="AF114" s="4303"/>
      <c r="AG114" s="4303"/>
      <c r="AH114" s="4303"/>
      <c r="AI114" s="4303"/>
      <c r="AJ114" s="4303"/>
      <c r="AK114" s="4303"/>
      <c r="AL114" s="4303"/>
      <c r="AM114" s="4303"/>
      <c r="AN114" s="4303"/>
      <c r="AO114" s="4303"/>
      <c r="AP114" s="4303"/>
      <c r="AQ114" s="4303"/>
      <c r="AR114" s="4303"/>
      <c r="AS114" s="4303"/>
      <c r="AT114" s="4303"/>
      <c r="AU114" s="4303"/>
      <c r="AV114" s="4303"/>
      <c r="AW114" s="4303"/>
      <c r="AX114" s="4303"/>
      <c r="AY114" s="4303"/>
      <c r="AZ114" s="4303"/>
      <c r="BA114" s="4303"/>
      <c r="BB114" s="4303"/>
      <c r="BC114" s="4303"/>
      <c r="BD114" s="4303"/>
      <c r="BE114" s="4303"/>
      <c r="BF114" s="4303"/>
      <c r="BG114" s="4303"/>
      <c r="BH114" s="4303"/>
      <c r="BI114" s="4303"/>
      <c r="BJ114" s="4303"/>
      <c r="BK114" s="4303"/>
      <c r="BL114" s="4303"/>
      <c r="BM114" s="4303"/>
      <c r="BN114" s="4303"/>
      <c r="BO114" s="4303"/>
      <c r="BP114" s="4303"/>
      <c r="BQ114" s="4303"/>
      <c r="BR114" s="4303"/>
      <c r="BS114" s="4303"/>
      <c r="BT114" s="4303"/>
      <c r="BU114" s="4303"/>
      <c r="BV114" s="4303"/>
      <c r="BW114" s="4303"/>
      <c r="BX114" s="4303"/>
      <c r="BY114" s="4303"/>
      <c r="BZ114" s="4303"/>
      <c r="CA114" s="4303"/>
      <c r="CB114" s="4303"/>
      <c r="CC114" s="4303"/>
      <c r="CD114" s="4303"/>
      <c r="CE114" s="4303"/>
      <c r="CF114" s="4303"/>
      <c r="CG114" s="4303"/>
      <c r="CH114" s="4303"/>
      <c r="CI114" s="4303"/>
      <c r="CJ114" s="4303"/>
      <c r="CK114" s="4303"/>
      <c r="CL114" s="4303"/>
      <c r="CM114" s="4303"/>
      <c r="CN114" s="4303"/>
      <c r="CO114" s="4303"/>
      <c r="CP114" s="4303"/>
      <c r="CQ114" s="4303"/>
      <c r="CR114" s="4303"/>
      <c r="CS114" s="4303"/>
      <c r="CT114" s="4303"/>
      <c r="CU114" s="4303"/>
      <c r="CV114" s="4303"/>
      <c r="CW114" s="4303"/>
      <c r="CX114" s="4303"/>
      <c r="CY114" s="4303"/>
      <c r="CZ114" s="4303"/>
      <c r="DA114" s="4303"/>
      <c r="DB114" s="4303"/>
      <c r="DC114" s="4303"/>
      <c r="DD114" s="4303"/>
      <c r="DE114" s="4303"/>
      <c r="DF114" s="4303"/>
      <c r="DG114" s="4303"/>
      <c r="DH114" s="4303"/>
      <c r="DI114" s="4303"/>
      <c r="DJ114" s="4303"/>
      <c r="DK114" s="4303"/>
      <c r="DL114" s="4303"/>
      <c r="DM114" s="4303"/>
      <c r="DN114" s="4303"/>
      <c r="DO114" s="4303"/>
      <c r="DP114" s="4303"/>
      <c r="DQ114" s="4303"/>
      <c r="DR114" s="4303"/>
      <c r="DS114" s="4303"/>
    </row>
    <row r="115" s="4134" customFormat="1" ht="16.5" customHeight="1" spans="1:123">
      <c r="A115" s="4304" t="s">
        <v>4509</v>
      </c>
      <c r="B115" s="4305"/>
      <c r="C115" s="4305"/>
      <c r="D115" s="4305"/>
      <c r="E115" s="4305"/>
      <c r="F115" s="4306">
        <f>SUM(F113:L114)</f>
        <v>0</v>
      </c>
      <c r="G115" s="4306"/>
      <c r="H115" s="4306"/>
      <c r="I115" s="4306"/>
      <c r="J115" s="4306"/>
      <c r="K115" s="4306"/>
      <c r="L115" s="4306"/>
      <c r="M115" s="4292"/>
      <c r="N115" s="4292"/>
      <c r="O115" s="4307" t="s">
        <v>4688</v>
      </c>
      <c r="P115" s="4303"/>
      <c r="Q115" s="4295"/>
      <c r="R115" s="4303"/>
      <c r="S115" s="4303"/>
      <c r="T115" s="4303"/>
      <c r="U115" s="4303"/>
      <c r="V115" s="4303"/>
      <c r="W115" s="4303"/>
      <c r="X115" s="4303"/>
      <c r="Y115" s="4303"/>
      <c r="Z115" s="4303"/>
      <c r="AA115" s="4303"/>
      <c r="AB115" s="4303"/>
      <c r="AC115" s="4292"/>
      <c r="AD115" s="4292"/>
      <c r="AE115" s="4303"/>
      <c r="AF115" s="4303"/>
      <c r="AG115" s="4303"/>
      <c r="AH115" s="4303"/>
      <c r="AI115" s="4303"/>
      <c r="AJ115" s="4303"/>
      <c r="AK115" s="4303"/>
      <c r="AL115" s="4303"/>
      <c r="AM115" s="4303"/>
      <c r="AN115" s="4303"/>
      <c r="AO115" s="4303"/>
      <c r="AP115" s="4303"/>
      <c r="AQ115" s="4303"/>
      <c r="AR115" s="4303"/>
      <c r="AS115" s="4303"/>
      <c r="AT115" s="4303"/>
      <c r="AU115" s="4303"/>
      <c r="AV115" s="4303"/>
      <c r="AW115" s="4303"/>
      <c r="AX115" s="4303"/>
      <c r="AY115" s="4303"/>
      <c r="AZ115" s="4303"/>
      <c r="BA115" s="4303"/>
      <c r="BB115" s="4303"/>
      <c r="BC115" s="4303"/>
      <c r="BD115" s="4303"/>
      <c r="BE115" s="4303"/>
      <c r="BF115" s="4303"/>
      <c r="BG115" s="4303"/>
      <c r="BH115" s="4303"/>
      <c r="BI115" s="4303"/>
      <c r="BJ115" s="4303"/>
      <c r="BK115" s="4303"/>
      <c r="BL115" s="4303"/>
      <c r="BM115" s="4303"/>
      <c r="BN115" s="4303"/>
      <c r="BO115" s="4303"/>
      <c r="BP115" s="4303"/>
      <c r="BQ115" s="4303"/>
      <c r="BR115" s="4303"/>
      <c r="BS115" s="4303"/>
      <c r="BT115" s="4303"/>
      <c r="BU115" s="4303"/>
      <c r="BV115" s="4303"/>
      <c r="BW115" s="4303"/>
      <c r="BX115" s="4303"/>
      <c r="BY115" s="4303"/>
      <c r="BZ115" s="4303"/>
      <c r="CA115" s="4303"/>
      <c r="CB115" s="4303"/>
      <c r="CC115" s="4303"/>
      <c r="CD115" s="4303"/>
      <c r="CE115" s="4303"/>
      <c r="CF115" s="4303"/>
      <c r="CG115" s="4303"/>
      <c r="CH115" s="4303"/>
      <c r="CI115" s="4303"/>
      <c r="CJ115" s="4303"/>
      <c r="CK115" s="4303"/>
      <c r="CL115" s="4303"/>
      <c r="CM115" s="4303"/>
      <c r="CN115" s="4303"/>
      <c r="CO115" s="4303"/>
      <c r="CP115" s="4303"/>
      <c r="CQ115" s="4303"/>
      <c r="CR115" s="4303"/>
      <c r="CS115" s="4303"/>
      <c r="CT115" s="4303"/>
      <c r="CU115" s="4303"/>
      <c r="CV115" s="4303"/>
      <c r="CW115" s="4303"/>
      <c r="CX115" s="4303"/>
      <c r="CY115" s="4303"/>
      <c r="CZ115" s="4303"/>
      <c r="DA115" s="4303"/>
      <c r="DB115" s="4303"/>
      <c r="DC115" s="4303"/>
      <c r="DD115" s="4303"/>
      <c r="DE115" s="4303"/>
      <c r="DF115" s="4303"/>
      <c r="DG115" s="4303"/>
      <c r="DH115" s="4303"/>
      <c r="DI115" s="4303"/>
      <c r="DJ115" s="4303"/>
      <c r="DK115" s="4303"/>
      <c r="DL115" s="4303"/>
      <c r="DM115" s="4303"/>
      <c r="DN115" s="4303"/>
      <c r="DO115" s="4303"/>
      <c r="DP115" s="4303"/>
      <c r="DQ115" s="4303"/>
      <c r="DR115" s="4303"/>
      <c r="DS115" s="4303"/>
    </row>
    <row r="116" s="4134" customFormat="1" ht="16.5" customHeight="1" spans="1:123">
      <c r="A116" s="4298" t="s">
        <v>4689</v>
      </c>
      <c r="B116" s="4299"/>
      <c r="C116" s="4299"/>
      <c r="D116" s="4299"/>
      <c r="E116" s="4299"/>
      <c r="F116" s="4300"/>
      <c r="G116" s="4300"/>
      <c r="H116" s="4300"/>
      <c r="I116" s="4300"/>
      <c r="J116" s="4300"/>
      <c r="K116" s="4300"/>
      <c r="L116" s="4300"/>
      <c r="M116" s="4292"/>
      <c r="N116" s="4292"/>
      <c r="O116" s="4302" t="s">
        <v>4690</v>
      </c>
      <c r="P116" s="4303"/>
      <c r="Q116" s="4295"/>
      <c r="R116" s="4303"/>
      <c r="S116" s="4303"/>
      <c r="T116" s="4303"/>
      <c r="U116" s="4303"/>
      <c r="V116" s="4303"/>
      <c r="W116" s="4303"/>
      <c r="X116" s="4303"/>
      <c r="Y116" s="4303"/>
      <c r="Z116" s="4303"/>
      <c r="AA116" s="4303"/>
      <c r="AB116" s="4303"/>
      <c r="AC116" s="4292"/>
      <c r="AD116" s="4292"/>
      <c r="AE116" s="4303"/>
      <c r="AF116" s="4303"/>
      <c r="AG116" s="4303"/>
      <c r="AH116" s="4303"/>
      <c r="AI116" s="4303"/>
      <c r="AJ116" s="4303"/>
      <c r="AK116" s="4303"/>
      <c r="AL116" s="4303"/>
      <c r="AM116" s="4303"/>
      <c r="AN116" s="4303"/>
      <c r="AO116" s="4303"/>
      <c r="AP116" s="4303"/>
      <c r="AQ116" s="4303"/>
      <c r="AR116" s="4303"/>
      <c r="AS116" s="4303"/>
      <c r="AT116" s="4303"/>
      <c r="AU116" s="4303"/>
      <c r="AV116" s="4303"/>
      <c r="AW116" s="4303"/>
      <c r="AX116" s="4303"/>
      <c r="AY116" s="4303"/>
      <c r="AZ116" s="4303"/>
      <c r="BA116" s="4303"/>
      <c r="BB116" s="4303"/>
      <c r="BC116" s="4303"/>
      <c r="BD116" s="4303"/>
      <c r="BE116" s="4303"/>
      <c r="BF116" s="4303"/>
      <c r="BG116" s="4303"/>
      <c r="BH116" s="4303"/>
      <c r="BI116" s="4303"/>
      <c r="BJ116" s="4303"/>
      <c r="BK116" s="4303"/>
      <c r="BL116" s="4303"/>
      <c r="BM116" s="4303"/>
      <c r="BN116" s="4303"/>
      <c r="BO116" s="4303"/>
      <c r="BP116" s="4303"/>
      <c r="BQ116" s="4303"/>
      <c r="BR116" s="4303"/>
      <c r="BS116" s="4303"/>
      <c r="BT116" s="4303"/>
      <c r="BU116" s="4303"/>
      <c r="BV116" s="4303"/>
      <c r="BW116" s="4303"/>
      <c r="BX116" s="4303"/>
      <c r="BY116" s="4303"/>
      <c r="BZ116" s="4303"/>
      <c r="CA116" s="4303"/>
      <c r="CB116" s="4303"/>
      <c r="CC116" s="4303"/>
      <c r="CD116" s="4303"/>
      <c r="CE116" s="4303"/>
      <c r="CF116" s="4303"/>
      <c r="CG116" s="4303"/>
      <c r="CH116" s="4303"/>
      <c r="CI116" s="4303"/>
      <c r="CJ116" s="4303"/>
      <c r="CK116" s="4303"/>
      <c r="CL116" s="4303"/>
      <c r="CM116" s="4303"/>
      <c r="CN116" s="4303"/>
      <c r="CO116" s="4303"/>
      <c r="CP116" s="4303"/>
      <c r="CQ116" s="4303"/>
      <c r="CR116" s="4303"/>
      <c r="CS116" s="4303"/>
      <c r="CT116" s="4303"/>
      <c r="CU116" s="4303"/>
      <c r="CV116" s="4303"/>
      <c r="CW116" s="4303"/>
      <c r="CX116" s="4303"/>
      <c r="CY116" s="4303"/>
      <c r="CZ116" s="4303"/>
      <c r="DA116" s="4303"/>
      <c r="DB116" s="4303"/>
      <c r="DC116" s="4303"/>
      <c r="DD116" s="4303"/>
      <c r="DE116" s="4303"/>
      <c r="DF116" s="4303"/>
      <c r="DG116" s="4303"/>
      <c r="DH116" s="4303"/>
      <c r="DI116" s="4303"/>
      <c r="DJ116" s="4303"/>
      <c r="DK116" s="4303"/>
      <c r="DL116" s="4303"/>
      <c r="DM116" s="4303"/>
      <c r="DN116" s="4303"/>
      <c r="DO116" s="4303"/>
      <c r="DP116" s="4303"/>
      <c r="DQ116" s="4303"/>
      <c r="DR116" s="4303"/>
      <c r="DS116" s="4303"/>
    </row>
    <row r="117" s="4134" customFormat="1" ht="16.5" customHeight="1" spans="1:123">
      <c r="A117" s="4298" t="s">
        <v>4691</v>
      </c>
      <c r="B117" s="4299"/>
      <c r="C117" s="4299"/>
      <c r="D117" s="4299"/>
      <c r="E117" s="4299"/>
      <c r="F117" s="4300"/>
      <c r="G117" s="4300"/>
      <c r="H117" s="4300"/>
      <c r="I117" s="4300"/>
      <c r="J117" s="4300"/>
      <c r="K117" s="4300"/>
      <c r="L117" s="4300"/>
      <c r="M117" s="4292"/>
      <c r="N117" s="4292"/>
      <c r="O117" s="4302" t="s">
        <v>4692</v>
      </c>
      <c r="P117" s="4303"/>
      <c r="Q117" s="4295"/>
      <c r="R117" s="4303"/>
      <c r="S117" s="4303"/>
      <c r="T117" s="4303"/>
      <c r="U117" s="4303"/>
      <c r="V117" s="4303"/>
      <c r="W117" s="4303"/>
      <c r="X117" s="4303"/>
      <c r="Y117" s="4303"/>
      <c r="Z117" s="4303"/>
      <c r="AA117" s="4303"/>
      <c r="AB117" s="4303"/>
      <c r="AC117" s="4292"/>
      <c r="AD117" s="4292"/>
      <c r="AE117" s="4303"/>
      <c r="AF117" s="4308"/>
      <c r="AG117" s="4308"/>
      <c r="AH117" s="4303"/>
      <c r="AI117" s="4303"/>
      <c r="AJ117" s="4303"/>
      <c r="AK117" s="4303"/>
      <c r="AL117" s="4303"/>
      <c r="AM117" s="4303"/>
      <c r="AN117" s="4303"/>
      <c r="AO117" s="4303"/>
      <c r="AP117" s="4303"/>
      <c r="AQ117" s="4303"/>
      <c r="AR117" s="4303"/>
      <c r="AS117" s="4303"/>
      <c r="AT117" s="4303"/>
      <c r="AU117" s="4303"/>
      <c r="AV117" s="4303"/>
      <c r="AW117" s="4303"/>
      <c r="AX117" s="4303"/>
      <c r="AY117" s="4303"/>
      <c r="AZ117" s="4303"/>
      <c r="BA117" s="4303"/>
      <c r="BB117" s="4303"/>
      <c r="BC117" s="4303"/>
      <c r="BD117" s="4303"/>
      <c r="BE117" s="4303"/>
      <c r="BF117" s="4303"/>
      <c r="BG117" s="4303"/>
      <c r="BH117" s="4303"/>
      <c r="BI117" s="4303"/>
      <c r="BJ117" s="4303"/>
      <c r="BK117" s="4303"/>
      <c r="BL117" s="4303"/>
      <c r="BM117" s="4303"/>
      <c r="BN117" s="4303"/>
      <c r="BO117" s="4303"/>
      <c r="BP117" s="4303"/>
      <c r="BQ117" s="4303"/>
      <c r="BR117" s="4303"/>
      <c r="BS117" s="4303"/>
      <c r="BT117" s="4303"/>
      <c r="BU117" s="4303"/>
      <c r="BV117" s="4303"/>
      <c r="BW117" s="4303"/>
      <c r="BX117" s="4303"/>
      <c r="BY117" s="4303"/>
      <c r="BZ117" s="4303"/>
      <c r="CA117" s="4303"/>
      <c r="CB117" s="4303"/>
      <c r="CC117" s="4303"/>
      <c r="CD117" s="4303"/>
      <c r="CE117" s="4303"/>
      <c r="CF117" s="4303"/>
      <c r="CG117" s="4303"/>
      <c r="CH117" s="4303"/>
      <c r="CI117" s="4303"/>
      <c r="CJ117" s="4303"/>
      <c r="CK117" s="4303"/>
      <c r="CL117" s="4303"/>
      <c r="CM117" s="4303"/>
      <c r="CN117" s="4303"/>
      <c r="CO117" s="4303"/>
      <c r="CP117" s="4303"/>
      <c r="CQ117" s="4303"/>
      <c r="CR117" s="4303"/>
      <c r="CS117" s="4303"/>
      <c r="CT117" s="4303"/>
      <c r="CU117" s="4303"/>
      <c r="CV117" s="4303"/>
      <c r="CW117" s="4303"/>
      <c r="CX117" s="4303"/>
      <c r="CY117" s="4303"/>
      <c r="CZ117" s="4303"/>
      <c r="DA117" s="4303"/>
      <c r="DB117" s="4303"/>
      <c r="DC117" s="4303"/>
      <c r="DD117" s="4303"/>
      <c r="DE117" s="4303"/>
      <c r="DF117" s="4303"/>
      <c r="DG117" s="4303"/>
      <c r="DH117" s="4303"/>
      <c r="DI117" s="4303"/>
      <c r="DJ117" s="4303"/>
      <c r="DK117" s="4303"/>
      <c r="DL117" s="4303"/>
      <c r="DM117" s="4303"/>
      <c r="DN117" s="4303"/>
      <c r="DO117" s="4303"/>
      <c r="DP117" s="4303"/>
      <c r="DQ117" s="4303"/>
      <c r="DR117" s="4303"/>
      <c r="DS117" s="4303"/>
    </row>
    <row r="118" s="4134" customFormat="1" ht="16.5" customHeight="1" spans="1:123">
      <c r="A118" s="4304" t="s">
        <v>4510</v>
      </c>
      <c r="B118" s="4305"/>
      <c r="C118" s="4305"/>
      <c r="D118" s="4305"/>
      <c r="E118" s="4305"/>
      <c r="F118" s="4306">
        <f>SUM(F116:L117)</f>
        <v>0</v>
      </c>
      <c r="G118" s="4306"/>
      <c r="H118" s="4306"/>
      <c r="I118" s="4306"/>
      <c r="J118" s="4306"/>
      <c r="K118" s="4306"/>
      <c r="L118" s="4306"/>
      <c r="M118" s="4292"/>
      <c r="N118" s="4292"/>
      <c r="O118" s="4307" t="s">
        <v>4693</v>
      </c>
      <c r="P118" s="4303"/>
      <c r="Q118" s="4295"/>
      <c r="R118" s="4303"/>
      <c r="S118" s="4303"/>
      <c r="T118" s="4303"/>
      <c r="U118" s="4303"/>
      <c r="V118" s="4303"/>
      <c r="W118" s="4303"/>
      <c r="X118" s="4303"/>
      <c r="Y118" s="4303"/>
      <c r="Z118" s="4303"/>
      <c r="AA118" s="4303"/>
      <c r="AB118" s="4303"/>
      <c r="AC118" s="4292"/>
      <c r="AD118" s="4292"/>
      <c r="AE118" s="4303"/>
      <c r="AF118" s="4303"/>
      <c r="AG118" s="4303"/>
      <c r="AH118" s="4303"/>
      <c r="AI118" s="4303"/>
      <c r="AJ118" s="4303"/>
      <c r="AK118" s="4303"/>
      <c r="AL118" s="4303"/>
      <c r="AM118" s="4303"/>
      <c r="AN118" s="4303"/>
      <c r="AO118" s="4303"/>
      <c r="AP118" s="4303"/>
      <c r="AQ118" s="4303"/>
      <c r="AR118" s="4303"/>
      <c r="AS118" s="4303"/>
      <c r="AT118" s="4303"/>
      <c r="AU118" s="4303"/>
      <c r="AV118" s="4303"/>
      <c r="AW118" s="4303"/>
      <c r="AX118" s="4303"/>
      <c r="AY118" s="4303"/>
      <c r="AZ118" s="4303"/>
      <c r="BA118" s="4303"/>
      <c r="BB118" s="4303"/>
      <c r="BC118" s="4303"/>
      <c r="BD118" s="4303"/>
      <c r="BE118" s="4303"/>
      <c r="BF118" s="4303"/>
      <c r="BG118" s="4303"/>
      <c r="BH118" s="4303"/>
      <c r="BI118" s="4303"/>
      <c r="BJ118" s="4303"/>
      <c r="BK118" s="4303"/>
      <c r="BL118" s="4303"/>
      <c r="BM118" s="4303"/>
      <c r="BN118" s="4303"/>
      <c r="BO118" s="4303"/>
      <c r="BP118" s="4303"/>
      <c r="BQ118" s="4303"/>
      <c r="BR118" s="4303"/>
      <c r="BS118" s="4303"/>
      <c r="BT118" s="4303"/>
      <c r="BU118" s="4303"/>
      <c r="BV118" s="4303"/>
      <c r="BW118" s="4303"/>
      <c r="BX118" s="4303"/>
      <c r="BY118" s="4303"/>
      <c r="BZ118" s="4303"/>
      <c r="CA118" s="4303"/>
      <c r="CB118" s="4303"/>
      <c r="CC118" s="4303"/>
      <c r="CD118" s="4303"/>
      <c r="CE118" s="4303"/>
      <c r="CF118" s="4303"/>
      <c r="CG118" s="4303"/>
      <c r="CH118" s="4303"/>
      <c r="CI118" s="4303"/>
      <c r="CJ118" s="4303"/>
      <c r="CK118" s="4303"/>
      <c r="CL118" s="4303"/>
      <c r="CM118" s="4303"/>
      <c r="CN118" s="4303"/>
      <c r="CO118" s="4303"/>
      <c r="CP118" s="4303"/>
      <c r="CQ118" s="4303"/>
      <c r="CR118" s="4303"/>
      <c r="CS118" s="4303"/>
      <c r="CT118" s="4303"/>
      <c r="CU118" s="4303"/>
      <c r="CV118" s="4303"/>
      <c r="CW118" s="4303"/>
      <c r="CX118" s="4303"/>
      <c r="CY118" s="4303"/>
      <c r="CZ118" s="4303"/>
      <c r="DA118" s="4303"/>
      <c r="DB118" s="4303"/>
      <c r="DC118" s="4303"/>
      <c r="DD118" s="4303"/>
      <c r="DE118" s="4303"/>
      <c r="DF118" s="4303"/>
      <c r="DG118" s="4303"/>
      <c r="DH118" s="4303"/>
      <c r="DI118" s="4303"/>
      <c r="DJ118" s="4303"/>
      <c r="DK118" s="4303"/>
      <c r="DL118" s="4303"/>
      <c r="DM118" s="4303"/>
      <c r="DN118" s="4303"/>
      <c r="DO118" s="4303"/>
      <c r="DP118" s="4303"/>
      <c r="DQ118" s="4303"/>
      <c r="DR118" s="4303"/>
      <c r="DS118" s="4303"/>
    </row>
    <row r="119" s="4134" customFormat="1" ht="16.5" customHeight="1" spans="1:123">
      <c r="A119" s="4298" t="s">
        <v>4694</v>
      </c>
      <c r="B119" s="4298"/>
      <c r="C119" s="4298"/>
      <c r="D119" s="4298"/>
      <c r="E119" s="4298"/>
      <c r="F119" s="4309"/>
      <c r="G119" s="4309"/>
      <c r="H119" s="4309"/>
      <c r="I119" s="4309"/>
      <c r="J119" s="4309"/>
      <c r="K119" s="4309"/>
      <c r="L119" s="4309"/>
      <c r="M119" s="4292"/>
      <c r="N119" s="4292"/>
      <c r="O119" s="4302" t="s">
        <v>4695</v>
      </c>
      <c r="P119" s="4303"/>
      <c r="Q119" s="4295"/>
      <c r="R119" s="4303"/>
      <c r="S119" s="4303"/>
      <c r="T119" s="4303"/>
      <c r="U119" s="4303"/>
      <c r="V119" s="4303"/>
      <c r="W119" s="4303"/>
      <c r="X119" s="4303"/>
      <c r="Y119" s="4303"/>
      <c r="Z119" s="4303"/>
      <c r="AA119" s="4303"/>
      <c r="AB119" s="4303"/>
      <c r="AC119" s="4292"/>
      <c r="AD119" s="4292"/>
      <c r="AE119" s="4303"/>
      <c r="AF119" s="4303"/>
      <c r="AG119" s="4303"/>
      <c r="AH119" s="4303"/>
      <c r="AI119" s="4303"/>
      <c r="AJ119" s="4303"/>
      <c r="AK119" s="4303"/>
      <c r="AL119" s="4303"/>
      <c r="AM119" s="4303"/>
      <c r="AN119" s="4303"/>
      <c r="AO119" s="4303"/>
      <c r="AP119" s="4303"/>
      <c r="AQ119" s="4303"/>
      <c r="AR119" s="4303"/>
      <c r="AS119" s="4303"/>
      <c r="AT119" s="4303"/>
      <c r="AU119" s="4303"/>
      <c r="AV119" s="4303"/>
      <c r="AW119" s="4303"/>
      <c r="AX119" s="4303"/>
      <c r="AY119" s="4303"/>
      <c r="AZ119" s="4303"/>
      <c r="BA119" s="4303"/>
      <c r="BB119" s="4303"/>
      <c r="BC119" s="4303"/>
      <c r="BD119" s="4303"/>
      <c r="BE119" s="4303"/>
      <c r="BF119" s="4303"/>
      <c r="BG119" s="4303"/>
      <c r="BH119" s="4303"/>
      <c r="BI119" s="4303"/>
      <c r="BJ119" s="4303"/>
      <c r="BK119" s="4303"/>
      <c r="BL119" s="4303"/>
      <c r="BM119" s="4303"/>
      <c r="BN119" s="4303"/>
      <c r="BO119" s="4303"/>
      <c r="BP119" s="4303"/>
      <c r="BQ119" s="4303"/>
      <c r="BR119" s="4303"/>
      <c r="BS119" s="4303"/>
      <c r="BT119" s="4303"/>
      <c r="BU119" s="4303"/>
      <c r="BV119" s="4303"/>
      <c r="BW119" s="4303"/>
      <c r="BX119" s="4303"/>
      <c r="BY119" s="4303"/>
      <c r="BZ119" s="4303"/>
      <c r="CA119" s="4303"/>
      <c r="CB119" s="4303"/>
      <c r="CC119" s="4303"/>
      <c r="CD119" s="4303"/>
      <c r="CE119" s="4303"/>
      <c r="CF119" s="4303"/>
      <c r="CG119" s="4303"/>
      <c r="CH119" s="4303"/>
      <c r="CI119" s="4303"/>
      <c r="CJ119" s="4303"/>
      <c r="CK119" s="4303"/>
      <c r="CL119" s="4303"/>
      <c r="CM119" s="4303"/>
      <c r="CN119" s="4303"/>
      <c r="CO119" s="4303"/>
      <c r="CP119" s="4303"/>
      <c r="CQ119" s="4303"/>
      <c r="CR119" s="4303"/>
      <c r="CS119" s="4303"/>
      <c r="CT119" s="4303"/>
      <c r="CU119" s="4303"/>
      <c r="CV119" s="4303"/>
      <c r="CW119" s="4303"/>
      <c r="CX119" s="4303"/>
      <c r="CY119" s="4303"/>
      <c r="CZ119" s="4303"/>
      <c r="DA119" s="4303"/>
      <c r="DB119" s="4303"/>
      <c r="DC119" s="4303"/>
      <c r="DD119" s="4303"/>
      <c r="DE119" s="4303"/>
      <c r="DF119" s="4303"/>
      <c r="DG119" s="4303"/>
      <c r="DH119" s="4303"/>
      <c r="DI119" s="4303"/>
      <c r="DJ119" s="4303"/>
      <c r="DK119" s="4303"/>
      <c r="DL119" s="4303"/>
      <c r="DM119" s="4303"/>
      <c r="DN119" s="4303"/>
      <c r="DO119" s="4303"/>
      <c r="DP119" s="4303"/>
      <c r="DQ119" s="4303"/>
      <c r="DR119" s="4303"/>
      <c r="DS119" s="4303"/>
    </row>
    <row r="120" s="4134" customFormat="1" ht="16.5" customHeight="1" spans="1:123">
      <c r="A120" s="4298" t="s">
        <v>4696</v>
      </c>
      <c r="B120" s="4298"/>
      <c r="C120" s="4298"/>
      <c r="D120" s="4298"/>
      <c r="E120" s="4298"/>
      <c r="F120" s="4309">
        <v>0</v>
      </c>
      <c r="G120" s="4309"/>
      <c r="H120" s="4309"/>
      <c r="I120" s="4309"/>
      <c r="J120" s="4309"/>
      <c r="K120" s="4309"/>
      <c r="L120" s="4309"/>
      <c r="M120" s="4292"/>
      <c r="N120" s="4292"/>
      <c r="O120" s="4302" t="s">
        <v>4697</v>
      </c>
      <c r="P120" s="4303"/>
      <c r="Q120" s="4295"/>
      <c r="R120" s="4303"/>
      <c r="S120" s="4303"/>
      <c r="T120" s="4303"/>
      <c r="U120" s="4303"/>
      <c r="V120" s="4303"/>
      <c r="W120" s="4303"/>
      <c r="X120" s="4303"/>
      <c r="Y120" s="4303"/>
      <c r="Z120" s="4303"/>
      <c r="AA120" s="4303"/>
      <c r="AB120" s="4303"/>
      <c r="AC120" s="4292"/>
      <c r="AD120" s="4292"/>
      <c r="AE120" s="4303"/>
      <c r="AF120" s="4303"/>
      <c r="AG120" s="4303"/>
      <c r="AH120" s="4303"/>
      <c r="AI120" s="4303"/>
      <c r="AJ120" s="4303"/>
      <c r="AK120" s="4303"/>
      <c r="AL120" s="4303"/>
      <c r="AM120" s="4303"/>
      <c r="AN120" s="4303"/>
      <c r="AO120" s="4303"/>
      <c r="AP120" s="4303"/>
      <c r="AQ120" s="4303"/>
      <c r="AR120" s="4303"/>
      <c r="AS120" s="4303"/>
      <c r="AT120" s="4303"/>
      <c r="AU120" s="4303"/>
      <c r="AV120" s="4303"/>
      <c r="AW120" s="4303"/>
      <c r="AX120" s="4303"/>
      <c r="AY120" s="4303"/>
      <c r="AZ120" s="4303"/>
      <c r="BA120" s="4303"/>
      <c r="BB120" s="4303"/>
      <c r="BC120" s="4303"/>
      <c r="BD120" s="4303"/>
      <c r="BE120" s="4303"/>
      <c r="BF120" s="4303"/>
      <c r="BG120" s="4303"/>
      <c r="BH120" s="4303"/>
      <c r="BI120" s="4303"/>
      <c r="BJ120" s="4303"/>
      <c r="BK120" s="4303"/>
      <c r="BL120" s="4303"/>
      <c r="BM120" s="4303"/>
      <c r="BN120" s="4303"/>
      <c r="BO120" s="4303"/>
      <c r="BP120" s="4303"/>
      <c r="BQ120" s="4303"/>
      <c r="BR120" s="4303"/>
      <c r="BS120" s="4303"/>
      <c r="BT120" s="4303"/>
      <c r="BU120" s="4303"/>
      <c r="BV120" s="4303"/>
      <c r="BW120" s="4303"/>
      <c r="BX120" s="4303"/>
      <c r="BY120" s="4303"/>
      <c r="BZ120" s="4303"/>
      <c r="CA120" s="4303"/>
      <c r="CB120" s="4303"/>
      <c r="CC120" s="4303"/>
      <c r="CD120" s="4303"/>
      <c r="CE120" s="4303"/>
      <c r="CF120" s="4303"/>
      <c r="CG120" s="4303"/>
      <c r="CH120" s="4303"/>
      <c r="CI120" s="4303"/>
      <c r="CJ120" s="4303"/>
      <c r="CK120" s="4303"/>
      <c r="CL120" s="4303"/>
      <c r="CM120" s="4303"/>
      <c r="CN120" s="4303"/>
      <c r="CO120" s="4303"/>
      <c r="CP120" s="4303"/>
      <c r="CQ120" s="4303"/>
      <c r="CR120" s="4303"/>
      <c r="CS120" s="4303"/>
      <c r="CT120" s="4303"/>
      <c r="CU120" s="4303"/>
      <c r="CV120" s="4303"/>
      <c r="CW120" s="4303"/>
      <c r="CX120" s="4303"/>
      <c r="CY120" s="4303"/>
      <c r="CZ120" s="4303"/>
      <c r="DA120" s="4303"/>
      <c r="DB120" s="4303"/>
      <c r="DC120" s="4303"/>
      <c r="DD120" s="4303"/>
      <c r="DE120" s="4303"/>
      <c r="DF120" s="4303"/>
      <c r="DG120" s="4303"/>
      <c r="DH120" s="4303"/>
      <c r="DI120" s="4303"/>
      <c r="DJ120" s="4303"/>
      <c r="DK120" s="4303"/>
      <c r="DL120" s="4303"/>
      <c r="DM120" s="4303"/>
      <c r="DN120" s="4303"/>
      <c r="DO120" s="4303"/>
      <c r="DP120" s="4303"/>
      <c r="DQ120" s="4303"/>
      <c r="DR120" s="4303"/>
      <c r="DS120" s="4303"/>
    </row>
    <row r="121" s="4134" customFormat="1" ht="16.5" customHeight="1" spans="1:123">
      <c r="A121" s="4298" t="s">
        <v>4698</v>
      </c>
      <c r="B121" s="4298"/>
      <c r="C121" s="4298"/>
      <c r="D121" s="4298"/>
      <c r="E121" s="4298"/>
      <c r="F121" s="4309"/>
      <c r="G121" s="4309"/>
      <c r="H121" s="4309"/>
      <c r="I121" s="4309"/>
      <c r="J121" s="4309"/>
      <c r="K121" s="4309"/>
      <c r="L121" s="4309"/>
      <c r="M121" s="4292"/>
      <c r="N121" s="4292"/>
      <c r="O121" s="4302" t="s">
        <v>4699</v>
      </c>
      <c r="P121" s="4303"/>
      <c r="Q121" s="4295"/>
      <c r="R121" s="4303"/>
      <c r="S121" s="4303"/>
      <c r="T121" s="4303"/>
      <c r="U121" s="4303"/>
      <c r="V121" s="4303"/>
      <c r="W121" s="4303"/>
      <c r="X121" s="4303"/>
      <c r="Y121" s="4303"/>
      <c r="Z121" s="4303"/>
      <c r="AA121" s="4303"/>
      <c r="AB121" s="4303"/>
      <c r="AC121" s="4292"/>
      <c r="AD121" s="4292"/>
      <c r="AE121" s="4303"/>
      <c r="AF121" s="4303"/>
      <c r="AG121" s="4303"/>
      <c r="AH121" s="4303"/>
      <c r="AI121" s="4303"/>
      <c r="AJ121" s="4303"/>
      <c r="AK121" s="4303"/>
      <c r="AL121" s="4303"/>
      <c r="AM121" s="4303"/>
      <c r="AN121" s="4303"/>
      <c r="AO121" s="4303"/>
      <c r="AP121" s="4303"/>
      <c r="AQ121" s="4303"/>
      <c r="AR121" s="4303"/>
      <c r="AS121" s="4303"/>
      <c r="AT121" s="4303"/>
      <c r="AU121" s="4303"/>
      <c r="AV121" s="4303"/>
      <c r="AW121" s="4303"/>
      <c r="AX121" s="4303"/>
      <c r="AY121" s="4303"/>
      <c r="AZ121" s="4303"/>
      <c r="BA121" s="4303"/>
      <c r="BB121" s="4303"/>
      <c r="BC121" s="4303"/>
      <c r="BD121" s="4303"/>
      <c r="BE121" s="4303"/>
      <c r="BF121" s="4303"/>
      <c r="BG121" s="4303"/>
      <c r="BH121" s="4303"/>
      <c r="BI121" s="4303"/>
      <c r="BJ121" s="4303"/>
      <c r="BK121" s="4303"/>
      <c r="BL121" s="4303"/>
      <c r="BM121" s="4303"/>
      <c r="BN121" s="4303"/>
      <c r="BO121" s="4303"/>
      <c r="BP121" s="4303"/>
      <c r="BQ121" s="4303"/>
      <c r="BR121" s="4303"/>
      <c r="BS121" s="4303"/>
      <c r="BT121" s="4303"/>
      <c r="BU121" s="4303"/>
      <c r="BV121" s="4303"/>
      <c r="BW121" s="4303"/>
      <c r="BX121" s="4303"/>
      <c r="BY121" s="4303"/>
      <c r="BZ121" s="4303"/>
      <c r="CA121" s="4303"/>
      <c r="CB121" s="4303"/>
      <c r="CC121" s="4303"/>
      <c r="CD121" s="4303"/>
      <c r="CE121" s="4303"/>
      <c r="CF121" s="4303"/>
      <c r="CG121" s="4303"/>
      <c r="CH121" s="4303"/>
      <c r="CI121" s="4303"/>
      <c r="CJ121" s="4303"/>
      <c r="CK121" s="4303"/>
      <c r="CL121" s="4303"/>
      <c r="CM121" s="4303"/>
      <c r="CN121" s="4303"/>
      <c r="CO121" s="4303"/>
      <c r="CP121" s="4303"/>
      <c r="CQ121" s="4303"/>
      <c r="CR121" s="4303"/>
      <c r="CS121" s="4303"/>
      <c r="CT121" s="4303"/>
      <c r="CU121" s="4303"/>
      <c r="CV121" s="4303"/>
      <c r="CW121" s="4303"/>
      <c r="CX121" s="4303"/>
      <c r="CY121" s="4303"/>
      <c r="CZ121" s="4303"/>
      <c r="DA121" s="4303"/>
      <c r="DB121" s="4303"/>
      <c r="DC121" s="4303"/>
      <c r="DD121" s="4303"/>
      <c r="DE121" s="4303"/>
      <c r="DF121" s="4303"/>
      <c r="DG121" s="4303"/>
      <c r="DH121" s="4303"/>
      <c r="DI121" s="4303"/>
      <c r="DJ121" s="4303"/>
      <c r="DK121" s="4303"/>
      <c r="DL121" s="4303"/>
      <c r="DM121" s="4303"/>
      <c r="DN121" s="4303"/>
      <c r="DO121" s="4303"/>
      <c r="DP121" s="4303"/>
      <c r="DQ121" s="4303"/>
      <c r="DR121" s="4303"/>
      <c r="DS121" s="4303"/>
    </row>
    <row r="122" s="4134" customFormat="1" ht="16.5" customHeight="1" spans="1:123">
      <c r="A122" s="4304" t="s">
        <v>4511</v>
      </c>
      <c r="B122" s="4305"/>
      <c r="C122" s="4305"/>
      <c r="D122" s="4305"/>
      <c r="E122" s="4305"/>
      <c r="F122" s="4310">
        <f>SUM(F119:L121)</f>
        <v>0</v>
      </c>
      <c r="G122" s="4310"/>
      <c r="H122" s="4310"/>
      <c r="I122" s="4310"/>
      <c r="J122" s="4310"/>
      <c r="K122" s="4310"/>
      <c r="L122" s="4310"/>
      <c r="M122" s="4292"/>
      <c r="N122" s="4292"/>
      <c r="O122" s="4307" t="s">
        <v>4700</v>
      </c>
      <c r="P122" s="4303"/>
      <c r="Q122" s="4295"/>
      <c r="R122" s="4303"/>
      <c r="S122" s="4303"/>
      <c r="T122" s="4303"/>
      <c r="U122" s="4303"/>
      <c r="V122" s="4303"/>
      <c r="W122" s="4303"/>
      <c r="X122" s="4303"/>
      <c r="Y122" s="4303"/>
      <c r="Z122" s="4303"/>
      <c r="AA122" s="4303"/>
      <c r="AB122" s="4303"/>
      <c r="AC122" s="4292"/>
      <c r="AD122" s="4292"/>
      <c r="AE122" s="4303"/>
      <c r="AF122" s="4311"/>
      <c r="AG122" s="4311"/>
      <c r="AH122" s="4303"/>
      <c r="AI122" s="4303"/>
      <c r="AJ122" s="4303"/>
      <c r="AK122" s="4303"/>
      <c r="AL122" s="4303"/>
      <c r="AM122" s="4303"/>
      <c r="AN122" s="4303"/>
      <c r="AO122" s="4303"/>
      <c r="AP122" s="4303"/>
      <c r="AQ122" s="4303"/>
      <c r="AR122" s="4303"/>
      <c r="AS122" s="4303"/>
      <c r="AT122" s="4303"/>
      <c r="AU122" s="4303"/>
      <c r="AV122" s="4303"/>
      <c r="AW122" s="4303"/>
      <c r="AX122" s="4303"/>
      <c r="AY122" s="4303"/>
      <c r="AZ122" s="4303"/>
      <c r="BA122" s="4303"/>
      <c r="BB122" s="4303"/>
      <c r="BC122" s="4303"/>
      <c r="BD122" s="4303"/>
      <c r="BE122" s="4303"/>
      <c r="BF122" s="4303"/>
      <c r="BG122" s="4303"/>
      <c r="BH122" s="4303"/>
      <c r="BI122" s="4303"/>
      <c r="BJ122" s="4303"/>
      <c r="BK122" s="4303"/>
      <c r="BL122" s="4303"/>
      <c r="BM122" s="4303"/>
      <c r="BN122" s="4303"/>
      <c r="BO122" s="4303"/>
      <c r="BP122" s="4303"/>
      <c r="BQ122" s="4303"/>
      <c r="BR122" s="4303"/>
      <c r="BS122" s="4303"/>
      <c r="BT122" s="4303"/>
      <c r="BU122" s="4303"/>
      <c r="BV122" s="4303"/>
      <c r="BW122" s="4303"/>
      <c r="BX122" s="4303"/>
      <c r="BY122" s="4303"/>
      <c r="BZ122" s="4303"/>
      <c r="CA122" s="4303"/>
      <c r="CB122" s="4303"/>
      <c r="CC122" s="4303"/>
      <c r="CD122" s="4303"/>
      <c r="CE122" s="4303"/>
      <c r="CF122" s="4303"/>
      <c r="CG122" s="4303"/>
      <c r="CH122" s="4303"/>
      <c r="CI122" s="4303"/>
      <c r="CJ122" s="4303"/>
      <c r="CK122" s="4303"/>
      <c r="CL122" s="4303"/>
      <c r="CM122" s="4303"/>
      <c r="CN122" s="4303"/>
      <c r="CO122" s="4303"/>
      <c r="CP122" s="4303"/>
      <c r="CQ122" s="4303"/>
      <c r="CR122" s="4303"/>
      <c r="CS122" s="4303"/>
      <c r="CT122" s="4303"/>
      <c r="CU122" s="4303"/>
      <c r="CV122" s="4303"/>
      <c r="CW122" s="4303"/>
      <c r="CX122" s="4303"/>
      <c r="CY122" s="4303"/>
      <c r="CZ122" s="4303"/>
      <c r="DA122" s="4303"/>
      <c r="DB122" s="4303"/>
      <c r="DC122" s="4303"/>
      <c r="DD122" s="4303"/>
      <c r="DE122" s="4303"/>
      <c r="DF122" s="4303"/>
      <c r="DG122" s="4303"/>
      <c r="DH122" s="4303"/>
      <c r="DI122" s="4303"/>
      <c r="DJ122" s="4303"/>
      <c r="DK122" s="4303"/>
      <c r="DL122" s="4303"/>
      <c r="DM122" s="4303"/>
      <c r="DN122" s="4303"/>
      <c r="DO122" s="4303"/>
      <c r="DP122" s="4303"/>
      <c r="DQ122" s="4303"/>
      <c r="DR122" s="4303"/>
      <c r="DS122" s="4303"/>
    </row>
    <row r="123" s="4134" customFormat="1" ht="16.5" customHeight="1" spans="1:123">
      <c r="A123" s="4312" t="s">
        <v>4701</v>
      </c>
      <c r="B123" s="4313"/>
      <c r="C123" s="4313"/>
      <c r="D123" s="4313"/>
      <c r="E123" s="4313"/>
      <c r="F123" s="4314">
        <f>F112+F115+F118-F122</f>
        <v>0</v>
      </c>
      <c r="G123" s="4314"/>
      <c r="H123" s="4314"/>
      <c r="I123" s="4314"/>
      <c r="J123" s="4314"/>
      <c r="K123" s="4314"/>
      <c r="L123" s="4314"/>
      <c r="M123" s="4292"/>
      <c r="N123" s="4292"/>
      <c r="O123" s="4315" t="s">
        <v>4702</v>
      </c>
      <c r="P123" s="4303"/>
      <c r="Q123" s="4295"/>
      <c r="R123" s="4303"/>
      <c r="S123" s="4303"/>
      <c r="T123" s="4303"/>
      <c r="U123" s="4303"/>
      <c r="V123" s="4303"/>
      <c r="W123" s="4303"/>
      <c r="X123" s="4303"/>
      <c r="Y123" s="4303"/>
      <c r="Z123" s="4303"/>
      <c r="AA123" s="4303"/>
      <c r="AB123" s="4303"/>
      <c r="AC123" s="4292"/>
      <c r="AD123" s="4292"/>
      <c r="AE123" s="4303"/>
      <c r="AF123" s="4311"/>
      <c r="AG123" s="4311"/>
      <c r="AH123" s="4303"/>
      <c r="AI123" s="4303"/>
      <c r="AJ123" s="4303"/>
      <c r="AK123" s="4303"/>
      <c r="AL123" s="4303"/>
      <c r="AM123" s="4303"/>
      <c r="AN123" s="4303"/>
      <c r="AO123" s="4303"/>
      <c r="AP123" s="4303"/>
      <c r="AQ123" s="4303"/>
      <c r="AR123" s="4303"/>
      <c r="AS123" s="4303"/>
      <c r="AT123" s="4303"/>
      <c r="AU123" s="4303"/>
      <c r="AV123" s="4303"/>
      <c r="AW123" s="4303"/>
      <c r="AX123" s="4303"/>
      <c r="AY123" s="4303"/>
      <c r="AZ123" s="4303"/>
      <c r="BA123" s="4303"/>
      <c r="BB123" s="4303"/>
      <c r="BC123" s="4303"/>
      <c r="BD123" s="4303"/>
      <c r="BE123" s="4303"/>
      <c r="BF123" s="4303"/>
      <c r="BG123" s="4303"/>
      <c r="BH123" s="4303"/>
      <c r="BI123" s="4303"/>
      <c r="BJ123" s="4303"/>
      <c r="BK123" s="4303"/>
      <c r="BL123" s="4303"/>
      <c r="BM123" s="4303"/>
      <c r="BN123" s="4303"/>
      <c r="BO123" s="4303"/>
      <c r="BP123" s="4303"/>
      <c r="BQ123" s="4303"/>
      <c r="BR123" s="4303"/>
      <c r="BS123" s="4303"/>
      <c r="BT123" s="4303"/>
      <c r="BU123" s="4303"/>
      <c r="BV123" s="4303"/>
      <c r="BW123" s="4303"/>
      <c r="BX123" s="4303"/>
      <c r="BY123" s="4303"/>
      <c r="BZ123" s="4303"/>
      <c r="CA123" s="4303"/>
      <c r="CB123" s="4303"/>
      <c r="CC123" s="4303"/>
      <c r="CD123" s="4303"/>
      <c r="CE123" s="4303"/>
      <c r="CF123" s="4303"/>
      <c r="CG123" s="4303"/>
      <c r="CH123" s="4303"/>
      <c r="CI123" s="4303"/>
      <c r="CJ123" s="4303"/>
      <c r="CK123" s="4303"/>
      <c r="CL123" s="4303"/>
      <c r="CM123" s="4303"/>
      <c r="CN123" s="4303"/>
      <c r="CO123" s="4303"/>
      <c r="CP123" s="4303"/>
      <c r="CQ123" s="4303"/>
      <c r="CR123" s="4303"/>
      <c r="CS123" s="4303"/>
      <c r="CT123" s="4303"/>
      <c r="CU123" s="4303"/>
      <c r="CV123" s="4303"/>
      <c r="CW123" s="4303"/>
      <c r="CX123" s="4303"/>
      <c r="CY123" s="4303"/>
      <c r="CZ123" s="4303"/>
      <c r="DA123" s="4303"/>
      <c r="DB123" s="4303"/>
      <c r="DC123" s="4303"/>
      <c r="DD123" s="4303"/>
      <c r="DE123" s="4303"/>
      <c r="DF123" s="4303"/>
      <c r="DG123" s="4303"/>
      <c r="DH123" s="4303"/>
      <c r="DI123" s="4303"/>
      <c r="DJ123" s="4303"/>
      <c r="DK123" s="4303"/>
      <c r="DL123" s="4303"/>
      <c r="DM123" s="4303"/>
      <c r="DN123" s="4303"/>
      <c r="DO123" s="4303"/>
      <c r="DP123" s="4303"/>
      <c r="DQ123" s="4303"/>
      <c r="DR123" s="4303"/>
      <c r="DS123" s="4303"/>
    </row>
    <row r="124" s="4134" customFormat="1" ht="16.5" customHeight="1" spans="1:123">
      <c r="A124" s="4298" t="s">
        <v>4703</v>
      </c>
      <c r="B124" s="4299"/>
      <c r="C124" s="4299"/>
      <c r="D124" s="4299"/>
      <c r="E124" s="4299"/>
      <c r="F124" s="4300"/>
      <c r="G124" s="4300"/>
      <c r="H124" s="4300"/>
      <c r="I124" s="4300"/>
      <c r="J124" s="4300"/>
      <c r="K124" s="4300"/>
      <c r="L124" s="4300"/>
      <c r="M124" s="4292"/>
      <c r="N124" s="4295"/>
      <c r="O124" s="4316" t="s">
        <v>4704</v>
      </c>
      <c r="P124" s="4317"/>
      <c r="Q124" s="4295"/>
      <c r="R124" s="4317"/>
      <c r="S124" s="4317"/>
      <c r="T124" s="4317"/>
      <c r="U124" s="4317"/>
      <c r="V124" s="4317"/>
      <c r="W124" s="4317"/>
      <c r="X124" s="4317"/>
      <c r="Y124" s="4317"/>
      <c r="Z124" s="4317"/>
      <c r="AA124" s="4317"/>
      <c r="AB124" s="4317"/>
      <c r="AC124" s="4295"/>
      <c r="AD124" s="4295"/>
      <c r="AE124" s="4317"/>
      <c r="AF124" s="4318"/>
      <c r="AG124" s="4318"/>
      <c r="AH124" s="4317"/>
      <c r="AI124" s="4317"/>
      <c r="AJ124" s="4317"/>
      <c r="AK124" s="4317"/>
      <c r="AL124" s="4317"/>
      <c r="AM124" s="4317"/>
      <c r="AN124" s="4317"/>
      <c r="AO124" s="4317"/>
      <c r="AP124" s="4317"/>
      <c r="AQ124" s="4317"/>
      <c r="AR124" s="4317"/>
      <c r="AS124" s="4317"/>
      <c r="AT124" s="4317"/>
      <c r="AU124" s="4317"/>
      <c r="AV124" s="4317"/>
      <c r="AW124" s="4317"/>
      <c r="AX124" s="4317"/>
      <c r="AY124" s="4317"/>
      <c r="AZ124" s="4317"/>
      <c r="BA124" s="4317"/>
      <c r="BB124" s="4317"/>
      <c r="BC124" s="4317"/>
      <c r="BD124" s="4303"/>
      <c r="BE124" s="4303"/>
      <c r="BF124" s="4303"/>
      <c r="BG124" s="4303"/>
      <c r="BH124" s="4303"/>
      <c r="BI124" s="4303"/>
      <c r="BJ124" s="4303"/>
      <c r="BK124" s="4303"/>
      <c r="BL124" s="4303"/>
      <c r="BM124" s="4303"/>
      <c r="BN124" s="4303"/>
      <c r="BO124" s="4303"/>
      <c r="BP124" s="4303"/>
      <c r="BQ124" s="4303"/>
      <c r="BR124" s="4303"/>
      <c r="BS124" s="4303"/>
      <c r="BT124" s="4303"/>
      <c r="BU124" s="4303"/>
      <c r="BV124" s="4303"/>
      <c r="BW124" s="4303"/>
      <c r="BX124" s="4303"/>
      <c r="BY124" s="4303"/>
      <c r="BZ124" s="4303"/>
      <c r="CA124" s="4303"/>
      <c r="CB124" s="4303"/>
      <c r="CC124" s="4303"/>
      <c r="CD124" s="4303"/>
      <c r="CE124" s="4303"/>
      <c r="CF124" s="4303"/>
      <c r="CG124" s="4303"/>
      <c r="CH124" s="4303"/>
      <c r="CI124" s="4303"/>
      <c r="CJ124" s="4303"/>
      <c r="CK124" s="4303"/>
      <c r="CL124" s="4303"/>
      <c r="CM124" s="4303"/>
      <c r="CN124" s="4303"/>
      <c r="CO124" s="4303"/>
      <c r="CP124" s="4303"/>
      <c r="CQ124" s="4303"/>
      <c r="CR124" s="4303"/>
      <c r="CS124" s="4303"/>
      <c r="CT124" s="4303"/>
      <c r="CU124" s="4303"/>
      <c r="CV124" s="4303"/>
      <c r="CW124" s="4303"/>
      <c r="CX124" s="4303"/>
      <c r="CY124" s="4303"/>
      <c r="CZ124" s="4303"/>
      <c r="DA124" s="4303"/>
      <c r="DB124" s="4303"/>
      <c r="DC124" s="4303"/>
      <c r="DD124" s="4303"/>
      <c r="DE124" s="4303"/>
      <c r="DF124" s="4303"/>
      <c r="DG124" s="4303"/>
      <c r="DH124" s="4303"/>
      <c r="DI124" s="4303"/>
      <c r="DJ124" s="4303"/>
      <c r="DK124" s="4303"/>
      <c r="DL124" s="4303"/>
      <c r="DM124" s="4303"/>
      <c r="DN124" s="4303"/>
      <c r="DO124" s="4303"/>
      <c r="DP124" s="4303"/>
      <c r="DQ124" s="4303"/>
      <c r="DR124" s="4303"/>
      <c r="DS124" s="4303"/>
    </row>
    <row r="125" s="4134" customFormat="1" ht="16.5" customHeight="1" spans="1:123">
      <c r="A125" s="4298" t="s">
        <v>4705</v>
      </c>
      <c r="B125" s="4299"/>
      <c r="C125" s="4299"/>
      <c r="D125" s="4299"/>
      <c r="E125" s="4299"/>
      <c r="F125" s="4300"/>
      <c r="G125" s="4300"/>
      <c r="H125" s="4300"/>
      <c r="I125" s="4300"/>
      <c r="J125" s="4300"/>
      <c r="K125" s="4300"/>
      <c r="L125" s="4300"/>
      <c r="M125" s="4295"/>
      <c r="N125" s="4295"/>
      <c r="O125" s="4316" t="s">
        <v>4681</v>
      </c>
      <c r="P125" s="4317"/>
      <c r="Q125" s="4295"/>
      <c r="R125" s="4317"/>
      <c r="S125" s="4317"/>
      <c r="T125" s="4317"/>
      <c r="U125" s="4317"/>
      <c r="V125" s="4317"/>
      <c r="W125" s="4317"/>
      <c r="X125" s="4317"/>
      <c r="Y125" s="4317"/>
      <c r="Z125" s="4317"/>
      <c r="AA125" s="4317"/>
      <c r="AB125" s="4317"/>
      <c r="AC125" s="4295"/>
      <c r="AD125" s="4295"/>
      <c r="AE125" s="4317"/>
      <c r="AF125" s="4319"/>
      <c r="AG125" s="4319"/>
      <c r="AH125" s="4317"/>
      <c r="AI125" s="4317"/>
      <c r="AJ125" s="4317"/>
      <c r="AK125" s="4317"/>
      <c r="AL125" s="4317"/>
      <c r="AM125" s="4317"/>
      <c r="AN125" s="4317"/>
      <c r="AO125" s="4317"/>
      <c r="AP125" s="4317"/>
      <c r="AQ125" s="4317"/>
      <c r="AR125" s="4317"/>
      <c r="AS125" s="4317"/>
      <c r="AT125" s="4317"/>
      <c r="AU125" s="4317"/>
      <c r="AV125" s="4317"/>
      <c r="AW125" s="4317"/>
      <c r="AX125" s="4317"/>
      <c r="AY125" s="4317"/>
      <c r="AZ125" s="4317"/>
      <c r="BA125" s="4317"/>
      <c r="BB125" s="4317"/>
      <c r="BC125" s="4317"/>
      <c r="BD125" s="4317"/>
      <c r="BE125" s="4317"/>
      <c r="BF125" s="4317"/>
      <c r="BG125" s="4317"/>
      <c r="BH125" s="4317"/>
      <c r="BI125" s="4317"/>
      <c r="BJ125" s="4317"/>
      <c r="BK125" s="4317"/>
      <c r="BL125" s="4317"/>
      <c r="BM125" s="4317"/>
      <c r="BN125" s="4317"/>
      <c r="BO125" s="4317"/>
      <c r="BP125" s="4317"/>
      <c r="BQ125" s="4317"/>
      <c r="BR125" s="4317"/>
      <c r="BS125" s="4317"/>
      <c r="BT125" s="4317"/>
      <c r="BU125" s="4317"/>
      <c r="BV125" s="4317"/>
      <c r="BW125" s="4317"/>
      <c r="BX125" s="4317"/>
      <c r="BY125" s="4317"/>
      <c r="BZ125" s="4317"/>
      <c r="CA125" s="4317"/>
      <c r="CB125" s="4317"/>
      <c r="CC125" s="4317"/>
      <c r="CD125" s="4317"/>
      <c r="CE125" s="4317"/>
      <c r="CF125" s="4317"/>
      <c r="CG125" s="4317"/>
      <c r="CH125" s="4317"/>
      <c r="CI125" s="4317"/>
      <c r="CJ125" s="4317"/>
      <c r="CK125" s="4317"/>
      <c r="CL125" s="4317"/>
      <c r="CM125" s="4317"/>
      <c r="CN125" s="4317"/>
      <c r="CO125" s="4317"/>
      <c r="CP125" s="4317"/>
      <c r="CQ125" s="4317"/>
      <c r="CR125" s="4317"/>
      <c r="CS125" s="4317"/>
      <c r="CT125" s="4317"/>
      <c r="CU125" s="4317"/>
      <c r="CV125" s="4317"/>
      <c r="CW125" s="4317"/>
      <c r="CX125" s="4317"/>
      <c r="CY125" s="4317"/>
      <c r="CZ125" s="4317"/>
      <c r="DA125" s="4317"/>
      <c r="DB125" s="4317"/>
      <c r="DC125" s="4317"/>
      <c r="DD125" s="4317"/>
      <c r="DE125" s="4317"/>
      <c r="DF125" s="4317"/>
      <c r="DG125" s="4317"/>
      <c r="DH125" s="4317"/>
      <c r="DI125" s="4317"/>
      <c r="DJ125" s="4317"/>
      <c r="DK125" s="4317"/>
      <c r="DL125" s="4317"/>
      <c r="DM125" s="4317"/>
      <c r="DN125" s="4317"/>
      <c r="DO125" s="4317"/>
      <c r="DP125" s="4317"/>
      <c r="DQ125" s="4317"/>
      <c r="DR125" s="4317"/>
      <c r="DS125" s="4317"/>
    </row>
    <row r="126" s="4134" customFormat="1" ht="16.5" customHeight="1" spans="1:123">
      <c r="A126" s="4304" t="s">
        <v>4518</v>
      </c>
      <c r="B126" s="4305"/>
      <c r="C126" s="4305"/>
      <c r="D126" s="4305"/>
      <c r="E126" s="4305"/>
      <c r="F126" s="4306">
        <f>SUM(F124:L125)</f>
        <v>0</v>
      </c>
      <c r="G126" s="4306"/>
      <c r="H126" s="4306"/>
      <c r="I126" s="4306"/>
      <c r="J126" s="4306"/>
      <c r="K126" s="4306"/>
      <c r="L126" s="4306"/>
      <c r="M126" s="4295"/>
      <c r="N126" s="4295"/>
      <c r="O126" s="4320" t="s">
        <v>4706</v>
      </c>
      <c r="P126" s="4317"/>
      <c r="Q126" s="4295"/>
      <c r="R126" s="4317"/>
      <c r="S126" s="4317"/>
      <c r="T126" s="4317"/>
      <c r="U126" s="4317"/>
      <c r="V126" s="4317"/>
      <c r="W126" s="4317"/>
      <c r="X126" s="4317"/>
      <c r="Y126" s="4317"/>
      <c r="Z126" s="4317"/>
      <c r="AA126" s="4317"/>
      <c r="AB126" s="4317"/>
      <c r="AC126" s="4295"/>
      <c r="AD126" s="4295"/>
      <c r="AE126" s="4317"/>
      <c r="AF126" s="4318"/>
      <c r="AG126" s="4319"/>
      <c r="AH126" s="4317"/>
      <c r="AI126" s="4317"/>
      <c r="AJ126" s="4317"/>
      <c r="AK126" s="4317"/>
      <c r="AL126" s="4317"/>
      <c r="AM126" s="4317"/>
      <c r="AN126" s="4317"/>
      <c r="AO126" s="4317"/>
      <c r="AP126" s="4317"/>
      <c r="AQ126" s="4317"/>
      <c r="AR126" s="4317"/>
      <c r="AS126" s="4317"/>
      <c r="AT126" s="4317"/>
      <c r="AU126" s="4317"/>
      <c r="AV126" s="4317"/>
      <c r="AW126" s="4317"/>
      <c r="AX126" s="4317"/>
      <c r="AY126" s="4317"/>
      <c r="AZ126" s="4317"/>
      <c r="BA126" s="4317"/>
      <c r="BB126" s="4317"/>
      <c r="BC126" s="4317"/>
      <c r="BD126" s="4317"/>
      <c r="BE126" s="4317"/>
      <c r="BF126" s="4317"/>
      <c r="BG126" s="4317"/>
      <c r="BH126" s="4317"/>
      <c r="BI126" s="4317"/>
      <c r="BJ126" s="4317"/>
      <c r="BK126" s="4317"/>
      <c r="BL126" s="4317"/>
      <c r="BM126" s="4317"/>
      <c r="BN126" s="4317"/>
      <c r="BO126" s="4317"/>
      <c r="BP126" s="4317"/>
      <c r="BQ126" s="4317"/>
      <c r="BR126" s="4317"/>
      <c r="BS126" s="4317"/>
      <c r="BT126" s="4317"/>
      <c r="BU126" s="4317"/>
      <c r="BV126" s="4317"/>
      <c r="BW126" s="4317"/>
      <c r="BX126" s="4317"/>
      <c r="BY126" s="4317"/>
      <c r="BZ126" s="4317"/>
      <c r="CA126" s="4317"/>
      <c r="CB126" s="4317"/>
      <c r="CC126" s="4317"/>
      <c r="CD126" s="4317"/>
      <c r="CE126" s="4317"/>
      <c r="CF126" s="4317"/>
      <c r="CG126" s="4317"/>
      <c r="CH126" s="4317"/>
      <c r="CI126" s="4317"/>
      <c r="CJ126" s="4317"/>
      <c r="CK126" s="4317"/>
      <c r="CL126" s="4317"/>
      <c r="CM126" s="4317"/>
      <c r="CN126" s="4317"/>
      <c r="CO126" s="4317"/>
      <c r="CP126" s="4317"/>
      <c r="CQ126" s="4317"/>
      <c r="CR126" s="4317"/>
      <c r="CS126" s="4317"/>
      <c r="CT126" s="4317"/>
      <c r="CU126" s="4317"/>
      <c r="CV126" s="4317"/>
      <c r="CW126" s="4317"/>
      <c r="CX126" s="4317"/>
      <c r="CY126" s="4317"/>
      <c r="CZ126" s="4317"/>
      <c r="DA126" s="4317"/>
      <c r="DB126" s="4317"/>
      <c r="DC126" s="4317"/>
      <c r="DD126" s="4317"/>
      <c r="DE126" s="4317"/>
      <c r="DF126" s="4317"/>
      <c r="DG126" s="4317"/>
      <c r="DH126" s="4317"/>
      <c r="DI126" s="4317"/>
      <c r="DJ126" s="4317"/>
      <c r="DK126" s="4317"/>
      <c r="DL126" s="4317"/>
      <c r="DM126" s="4317"/>
      <c r="DN126" s="4317"/>
      <c r="DO126" s="4317"/>
      <c r="DP126" s="4317"/>
      <c r="DQ126" s="4317"/>
      <c r="DR126" s="4317"/>
      <c r="DS126" s="4317"/>
    </row>
    <row r="127" s="4134" customFormat="1" ht="16.5" customHeight="1" spans="1:123">
      <c r="A127" s="4298" t="s">
        <v>4707</v>
      </c>
      <c r="B127" s="4299"/>
      <c r="C127" s="4299"/>
      <c r="D127" s="4299"/>
      <c r="E127" s="4299"/>
      <c r="F127" s="4300"/>
      <c r="G127" s="4300"/>
      <c r="H127" s="4300"/>
      <c r="I127" s="4300"/>
      <c r="J127" s="4300"/>
      <c r="K127" s="4300"/>
      <c r="L127" s="4300"/>
      <c r="M127" s="4295"/>
      <c r="N127" s="4295"/>
      <c r="O127" s="4316" t="s">
        <v>4685</v>
      </c>
      <c r="P127" s="4317"/>
      <c r="Q127" s="4295"/>
      <c r="R127" s="4317"/>
      <c r="S127" s="4317"/>
      <c r="T127" s="4317"/>
      <c r="U127" s="4317"/>
      <c r="V127" s="4317"/>
      <c r="W127" s="4317"/>
      <c r="X127" s="4317"/>
      <c r="Y127" s="4317"/>
      <c r="Z127" s="4317"/>
      <c r="AA127" s="4317"/>
      <c r="AB127" s="4317"/>
      <c r="AC127" s="4295"/>
      <c r="AD127" s="4295"/>
      <c r="AE127" s="4317"/>
      <c r="AF127" s="4319"/>
      <c r="AG127" s="4319"/>
      <c r="AH127" s="4317"/>
      <c r="AI127" s="4317"/>
      <c r="AJ127" s="4317"/>
      <c r="AK127" s="4317"/>
      <c r="AL127" s="4317"/>
      <c r="AM127" s="4317"/>
      <c r="AN127" s="4317"/>
      <c r="AO127" s="4317"/>
      <c r="AP127" s="4317"/>
      <c r="AQ127" s="4317"/>
      <c r="AR127" s="4317"/>
      <c r="AS127" s="4317"/>
      <c r="AT127" s="4317"/>
      <c r="AU127" s="4317"/>
      <c r="AV127" s="4317"/>
      <c r="AW127" s="4317"/>
      <c r="AX127" s="4317"/>
      <c r="AY127" s="4317"/>
      <c r="AZ127" s="4317"/>
      <c r="BA127" s="4317"/>
      <c r="BB127" s="4317"/>
      <c r="BC127" s="4317"/>
      <c r="BD127" s="4317"/>
      <c r="BE127" s="4317"/>
      <c r="BF127" s="4317"/>
      <c r="BG127" s="4317"/>
      <c r="BH127" s="4317"/>
      <c r="BI127" s="4317"/>
      <c r="BJ127" s="4317"/>
      <c r="BK127" s="4317"/>
      <c r="BL127" s="4317"/>
      <c r="BM127" s="4317"/>
      <c r="BN127" s="4317"/>
      <c r="BO127" s="4317"/>
      <c r="BP127" s="4317"/>
      <c r="BQ127" s="4317"/>
      <c r="BR127" s="4317"/>
      <c r="BS127" s="4317"/>
      <c r="BT127" s="4317"/>
      <c r="BU127" s="4317"/>
      <c r="BV127" s="4317"/>
      <c r="BW127" s="4317"/>
      <c r="BX127" s="4317"/>
      <c r="BY127" s="4317"/>
      <c r="BZ127" s="4317"/>
      <c r="CA127" s="4317"/>
      <c r="CB127" s="4317"/>
      <c r="CC127" s="4317"/>
      <c r="CD127" s="4317"/>
      <c r="CE127" s="4317"/>
      <c r="CF127" s="4317"/>
      <c r="CG127" s="4317"/>
      <c r="CH127" s="4317"/>
      <c r="CI127" s="4317"/>
      <c r="CJ127" s="4317"/>
      <c r="CK127" s="4317"/>
      <c r="CL127" s="4317"/>
      <c r="CM127" s="4317"/>
      <c r="CN127" s="4317"/>
      <c r="CO127" s="4317"/>
      <c r="CP127" s="4317"/>
      <c r="CQ127" s="4317"/>
      <c r="CR127" s="4317"/>
      <c r="CS127" s="4317"/>
      <c r="CT127" s="4317"/>
      <c r="CU127" s="4317"/>
      <c r="CV127" s="4317"/>
      <c r="CW127" s="4317"/>
      <c r="CX127" s="4317"/>
      <c r="CY127" s="4317"/>
      <c r="CZ127" s="4317"/>
      <c r="DA127" s="4317"/>
      <c r="DB127" s="4317"/>
      <c r="DC127" s="4317"/>
      <c r="DD127" s="4317"/>
      <c r="DE127" s="4317"/>
      <c r="DF127" s="4317"/>
      <c r="DG127" s="4317"/>
      <c r="DH127" s="4317"/>
      <c r="DI127" s="4317"/>
      <c r="DJ127" s="4317"/>
      <c r="DK127" s="4317"/>
      <c r="DL127" s="4317"/>
      <c r="DM127" s="4317"/>
      <c r="DN127" s="4317"/>
      <c r="DO127" s="4317"/>
      <c r="DP127" s="4317"/>
      <c r="DQ127" s="4317"/>
      <c r="DR127" s="4317"/>
      <c r="DS127" s="4317"/>
    </row>
    <row r="128" s="4134" customFormat="1" ht="16.5" customHeight="1" spans="1:123">
      <c r="A128" s="4298" t="s">
        <v>4708</v>
      </c>
      <c r="B128" s="4299"/>
      <c r="C128" s="4299"/>
      <c r="D128" s="4299"/>
      <c r="E128" s="4299"/>
      <c r="F128" s="4300"/>
      <c r="G128" s="4300"/>
      <c r="H128" s="4300"/>
      <c r="I128" s="4300"/>
      <c r="J128" s="4300"/>
      <c r="K128" s="4300"/>
      <c r="L128" s="4300"/>
      <c r="M128" s="4295"/>
      <c r="N128" s="4295"/>
      <c r="O128" s="4316" t="s">
        <v>4687</v>
      </c>
      <c r="P128" s="4317"/>
      <c r="Q128" s="4295"/>
      <c r="R128" s="4317"/>
      <c r="S128" s="4317"/>
      <c r="T128" s="4317"/>
      <c r="U128" s="4317"/>
      <c r="V128" s="4317"/>
      <c r="W128" s="4317"/>
      <c r="X128" s="4317"/>
      <c r="Y128" s="4317"/>
      <c r="Z128" s="4317"/>
      <c r="AA128" s="4317"/>
      <c r="AB128" s="4317"/>
      <c r="AC128" s="4295"/>
      <c r="AD128" s="4295"/>
      <c r="AE128" s="4317"/>
      <c r="AF128" s="4319"/>
      <c r="AG128" s="4319"/>
      <c r="AH128" s="4317"/>
      <c r="AI128" s="4317"/>
      <c r="AJ128" s="4317"/>
      <c r="AK128" s="4317"/>
      <c r="AL128" s="4317"/>
      <c r="AM128" s="4317"/>
      <c r="AN128" s="4317"/>
      <c r="AO128" s="4317"/>
      <c r="AP128" s="4317"/>
      <c r="AQ128" s="4317"/>
      <c r="AR128" s="4317"/>
      <c r="AS128" s="4317"/>
      <c r="AT128" s="4317"/>
      <c r="AU128" s="4317"/>
      <c r="AV128" s="4317"/>
      <c r="AW128" s="4317"/>
      <c r="AX128" s="4317"/>
      <c r="AY128" s="4317"/>
      <c r="AZ128" s="4317"/>
      <c r="BA128" s="4317"/>
      <c r="BB128" s="4317"/>
      <c r="BC128" s="4317"/>
      <c r="BD128" s="4317"/>
      <c r="BE128" s="4317"/>
      <c r="BF128" s="4317"/>
      <c r="BG128" s="4317"/>
      <c r="BH128" s="4317"/>
      <c r="BI128" s="4317"/>
      <c r="BJ128" s="4317"/>
      <c r="BK128" s="4317"/>
      <c r="BL128" s="4317"/>
      <c r="BM128" s="4317"/>
      <c r="BN128" s="4317"/>
      <c r="BO128" s="4317"/>
      <c r="BP128" s="4317"/>
      <c r="BQ128" s="4317"/>
      <c r="BR128" s="4317"/>
      <c r="BS128" s="4317"/>
      <c r="BT128" s="4317"/>
      <c r="BU128" s="4317"/>
      <c r="BV128" s="4317"/>
      <c r="BW128" s="4317"/>
      <c r="BX128" s="4317"/>
      <c r="BY128" s="4317"/>
      <c r="BZ128" s="4317"/>
      <c r="CA128" s="4317"/>
      <c r="CB128" s="4317"/>
      <c r="CC128" s="4317"/>
      <c r="CD128" s="4317"/>
      <c r="CE128" s="4317"/>
      <c r="CF128" s="4317"/>
      <c r="CG128" s="4317"/>
      <c r="CH128" s="4317"/>
      <c r="CI128" s="4317"/>
      <c r="CJ128" s="4317"/>
      <c r="CK128" s="4317"/>
      <c r="CL128" s="4317"/>
      <c r="CM128" s="4317"/>
      <c r="CN128" s="4317"/>
      <c r="CO128" s="4317"/>
      <c r="CP128" s="4317"/>
      <c r="CQ128" s="4317"/>
      <c r="CR128" s="4317"/>
      <c r="CS128" s="4317"/>
      <c r="CT128" s="4317"/>
      <c r="CU128" s="4317"/>
      <c r="CV128" s="4317"/>
      <c r="CW128" s="4317"/>
      <c r="CX128" s="4317"/>
      <c r="CY128" s="4317"/>
      <c r="CZ128" s="4317"/>
      <c r="DA128" s="4317"/>
      <c r="DB128" s="4317"/>
      <c r="DC128" s="4317"/>
      <c r="DD128" s="4317"/>
      <c r="DE128" s="4317"/>
      <c r="DF128" s="4317"/>
      <c r="DG128" s="4317"/>
      <c r="DH128" s="4317"/>
      <c r="DI128" s="4317"/>
      <c r="DJ128" s="4317"/>
      <c r="DK128" s="4317"/>
      <c r="DL128" s="4317"/>
      <c r="DM128" s="4317"/>
      <c r="DN128" s="4317"/>
      <c r="DO128" s="4317"/>
      <c r="DP128" s="4317"/>
      <c r="DQ128" s="4317"/>
      <c r="DR128" s="4317"/>
      <c r="DS128" s="4317"/>
    </row>
    <row r="129" s="4134" customFormat="1" ht="16.5" customHeight="1" spans="1:123">
      <c r="A129" s="4304" t="s">
        <v>4519</v>
      </c>
      <c r="B129" s="4305"/>
      <c r="C129" s="4305"/>
      <c r="D129" s="4305"/>
      <c r="E129" s="4305"/>
      <c r="F129" s="4306">
        <f>SUM(F127:L128)</f>
        <v>0</v>
      </c>
      <c r="G129" s="4306"/>
      <c r="H129" s="4306"/>
      <c r="I129" s="4306"/>
      <c r="J129" s="4306"/>
      <c r="K129" s="4306"/>
      <c r="L129" s="4306"/>
      <c r="M129" s="4295"/>
      <c r="N129" s="4295"/>
      <c r="O129" s="4320" t="s">
        <v>4688</v>
      </c>
      <c r="P129" s="4317"/>
      <c r="Q129" s="4295"/>
      <c r="R129" s="4317"/>
      <c r="S129" s="4317"/>
      <c r="T129" s="4317"/>
      <c r="U129" s="4317"/>
      <c r="V129" s="4317"/>
      <c r="W129" s="4317"/>
      <c r="X129" s="4317"/>
      <c r="Y129" s="4317"/>
      <c r="Z129" s="4317"/>
      <c r="AA129" s="4317"/>
      <c r="AB129" s="4317"/>
      <c r="AC129" s="4295"/>
      <c r="AD129" s="4295"/>
      <c r="AE129" s="4317"/>
      <c r="AF129" s="4319"/>
      <c r="AG129" s="4319"/>
      <c r="AH129" s="4317"/>
      <c r="AI129" s="4317"/>
      <c r="AJ129" s="4317"/>
      <c r="AK129" s="4317"/>
      <c r="AL129" s="4317"/>
      <c r="AM129" s="4317"/>
      <c r="AN129" s="4317"/>
      <c r="AO129" s="4317"/>
      <c r="AP129" s="4317"/>
      <c r="AQ129" s="4317"/>
      <c r="AR129" s="4317"/>
      <c r="AS129" s="4317"/>
      <c r="AT129" s="4317"/>
      <c r="AU129" s="4317"/>
      <c r="AV129" s="4317"/>
      <c r="AW129" s="4317"/>
      <c r="AX129" s="4317"/>
      <c r="AY129" s="4317"/>
      <c r="AZ129" s="4317"/>
      <c r="BA129" s="4317"/>
      <c r="BB129" s="4317"/>
      <c r="BC129" s="4317"/>
      <c r="BD129" s="4317"/>
      <c r="BE129" s="4317"/>
      <c r="BF129" s="4317"/>
      <c r="BG129" s="4317"/>
      <c r="BH129" s="4317"/>
      <c r="BI129" s="4317"/>
      <c r="BJ129" s="4317"/>
      <c r="BK129" s="4317"/>
      <c r="BL129" s="4317"/>
      <c r="BM129" s="4317"/>
      <c r="BN129" s="4317"/>
      <c r="BO129" s="4317"/>
      <c r="BP129" s="4317"/>
      <c r="BQ129" s="4317"/>
      <c r="BR129" s="4317"/>
      <c r="BS129" s="4317"/>
      <c r="BT129" s="4317"/>
      <c r="BU129" s="4317"/>
      <c r="BV129" s="4317"/>
      <c r="BW129" s="4317"/>
      <c r="BX129" s="4317"/>
      <c r="BY129" s="4317"/>
      <c r="BZ129" s="4317"/>
      <c r="CA129" s="4317"/>
      <c r="CB129" s="4317"/>
      <c r="CC129" s="4317"/>
      <c r="CD129" s="4317"/>
      <c r="CE129" s="4317"/>
      <c r="CF129" s="4317"/>
      <c r="CG129" s="4317"/>
      <c r="CH129" s="4317"/>
      <c r="CI129" s="4317"/>
      <c r="CJ129" s="4317"/>
      <c r="CK129" s="4317"/>
      <c r="CL129" s="4317"/>
      <c r="CM129" s="4317"/>
      <c r="CN129" s="4317"/>
      <c r="CO129" s="4317"/>
      <c r="CP129" s="4317"/>
      <c r="CQ129" s="4317"/>
      <c r="CR129" s="4317"/>
      <c r="CS129" s="4317"/>
      <c r="CT129" s="4317"/>
      <c r="CU129" s="4317"/>
      <c r="CV129" s="4317"/>
      <c r="CW129" s="4317"/>
      <c r="CX129" s="4317"/>
      <c r="CY129" s="4317"/>
      <c r="CZ129" s="4317"/>
      <c r="DA129" s="4317"/>
      <c r="DB129" s="4317"/>
      <c r="DC129" s="4317"/>
      <c r="DD129" s="4317"/>
      <c r="DE129" s="4317"/>
      <c r="DF129" s="4317"/>
      <c r="DG129" s="4317"/>
      <c r="DH129" s="4317"/>
      <c r="DI129" s="4317"/>
      <c r="DJ129" s="4317"/>
      <c r="DK129" s="4317"/>
      <c r="DL129" s="4317"/>
      <c r="DM129" s="4317"/>
      <c r="DN129" s="4317"/>
      <c r="DO129" s="4317"/>
      <c r="DP129" s="4317"/>
      <c r="DQ129" s="4317"/>
      <c r="DR129" s="4317"/>
      <c r="DS129" s="4317"/>
    </row>
    <row r="130" s="4134" customFormat="1" ht="16.5" customHeight="1" spans="1:123">
      <c r="A130" s="4298" t="s">
        <v>4709</v>
      </c>
      <c r="B130" s="4299"/>
      <c r="C130" s="4299"/>
      <c r="D130" s="4299"/>
      <c r="E130" s="4299"/>
      <c r="F130" s="4300"/>
      <c r="G130" s="4300"/>
      <c r="H130" s="4300"/>
      <c r="I130" s="4300"/>
      <c r="J130" s="4300"/>
      <c r="K130" s="4300"/>
      <c r="L130" s="4300"/>
      <c r="M130" s="4295"/>
      <c r="N130" s="4295"/>
      <c r="O130" s="4316" t="s">
        <v>4690</v>
      </c>
      <c r="P130" s="4317"/>
      <c r="Q130" s="4295"/>
      <c r="R130" s="4317"/>
      <c r="S130" s="4317"/>
      <c r="T130" s="4317"/>
      <c r="U130" s="4317"/>
      <c r="V130" s="4317"/>
      <c r="W130" s="4317"/>
      <c r="X130" s="4317"/>
      <c r="Y130" s="4317"/>
      <c r="Z130" s="4317"/>
      <c r="AA130" s="4317"/>
      <c r="AB130" s="4317"/>
      <c r="AC130" s="4295"/>
      <c r="AD130" s="4295"/>
      <c r="AE130" s="4317"/>
      <c r="AF130" s="4319"/>
      <c r="AG130" s="4319"/>
      <c r="AH130" s="4317"/>
      <c r="AI130" s="4317"/>
      <c r="AJ130" s="4317"/>
      <c r="AK130" s="4317"/>
      <c r="AL130" s="4317"/>
      <c r="AM130" s="4317"/>
      <c r="AN130" s="4317"/>
      <c r="AO130" s="4317"/>
      <c r="AP130" s="4317"/>
      <c r="AQ130" s="4317"/>
      <c r="AR130" s="4317"/>
      <c r="AS130" s="4317"/>
      <c r="AT130" s="4317"/>
      <c r="AU130" s="4317"/>
      <c r="AV130" s="4317"/>
      <c r="AW130" s="4317"/>
      <c r="AX130" s="4317"/>
      <c r="AY130" s="4317"/>
      <c r="AZ130" s="4317"/>
      <c r="BA130" s="4317"/>
      <c r="BB130" s="4317"/>
      <c r="BC130" s="4317"/>
      <c r="BD130" s="4317"/>
      <c r="BE130" s="4317"/>
      <c r="BF130" s="4317"/>
      <c r="BG130" s="4317"/>
      <c r="BH130" s="4317"/>
      <c r="BI130" s="4317"/>
      <c r="BJ130" s="4317"/>
      <c r="BK130" s="4317"/>
      <c r="BL130" s="4317"/>
      <c r="BM130" s="4317"/>
      <c r="BN130" s="4317"/>
      <c r="BO130" s="4317"/>
      <c r="BP130" s="4317"/>
      <c r="BQ130" s="4317"/>
      <c r="BR130" s="4317"/>
      <c r="BS130" s="4317"/>
      <c r="BT130" s="4317"/>
      <c r="BU130" s="4317"/>
      <c r="BV130" s="4317"/>
      <c r="BW130" s="4317"/>
      <c r="BX130" s="4317"/>
      <c r="BY130" s="4317"/>
      <c r="BZ130" s="4317"/>
      <c r="CA130" s="4317"/>
      <c r="CB130" s="4317"/>
      <c r="CC130" s="4317"/>
      <c r="CD130" s="4317"/>
      <c r="CE130" s="4317"/>
      <c r="CF130" s="4317"/>
      <c r="CG130" s="4317"/>
      <c r="CH130" s="4317"/>
      <c r="CI130" s="4317"/>
      <c r="CJ130" s="4317"/>
      <c r="CK130" s="4317"/>
      <c r="CL130" s="4317"/>
      <c r="CM130" s="4317"/>
      <c r="CN130" s="4317"/>
      <c r="CO130" s="4317"/>
      <c r="CP130" s="4317"/>
      <c r="CQ130" s="4317"/>
      <c r="CR130" s="4317"/>
      <c r="CS130" s="4317"/>
      <c r="CT130" s="4317"/>
      <c r="CU130" s="4317"/>
      <c r="CV130" s="4317"/>
      <c r="CW130" s="4317"/>
      <c r="CX130" s="4317"/>
      <c r="CY130" s="4317"/>
      <c r="CZ130" s="4317"/>
      <c r="DA130" s="4317"/>
      <c r="DB130" s="4317"/>
      <c r="DC130" s="4317"/>
      <c r="DD130" s="4317"/>
      <c r="DE130" s="4317"/>
      <c r="DF130" s="4317"/>
      <c r="DG130" s="4317"/>
      <c r="DH130" s="4317"/>
      <c r="DI130" s="4317"/>
      <c r="DJ130" s="4317"/>
      <c r="DK130" s="4317"/>
      <c r="DL130" s="4317"/>
      <c r="DM130" s="4317"/>
      <c r="DN130" s="4317"/>
      <c r="DO130" s="4317"/>
      <c r="DP130" s="4317"/>
      <c r="DQ130" s="4317"/>
      <c r="DR130" s="4317"/>
      <c r="DS130" s="4317"/>
    </row>
    <row r="131" s="4134" customFormat="1" ht="16.5" customHeight="1" spans="1:123">
      <c r="A131" s="4298" t="s">
        <v>4710</v>
      </c>
      <c r="B131" s="4299"/>
      <c r="C131" s="4299"/>
      <c r="D131" s="4299"/>
      <c r="E131" s="4299"/>
      <c r="F131" s="4300"/>
      <c r="G131" s="4300"/>
      <c r="H131" s="4300"/>
      <c r="I131" s="4300"/>
      <c r="J131" s="4300"/>
      <c r="K131" s="4300"/>
      <c r="L131" s="4300"/>
      <c r="M131" s="4295"/>
      <c r="N131" s="4295"/>
      <c r="O131" s="4321" t="s">
        <v>4692</v>
      </c>
      <c r="P131" s="4317"/>
      <c r="Q131" s="4295"/>
      <c r="R131" s="4317"/>
      <c r="S131" s="4317"/>
      <c r="T131" s="4317"/>
      <c r="U131" s="4317"/>
      <c r="V131" s="4317"/>
      <c r="W131" s="4317"/>
      <c r="X131" s="4317"/>
      <c r="Y131" s="4317"/>
      <c r="Z131" s="4317"/>
      <c r="AA131" s="4317"/>
      <c r="AB131" s="4317"/>
      <c r="AC131" s="4295"/>
      <c r="AD131" s="4295"/>
      <c r="AE131" s="4317"/>
      <c r="AF131" s="4319"/>
      <c r="AG131" s="4319"/>
      <c r="AH131" s="4317"/>
      <c r="AI131" s="4317"/>
      <c r="AJ131" s="4317"/>
      <c r="AK131" s="4317"/>
      <c r="AL131" s="4317"/>
      <c r="AM131" s="4317"/>
      <c r="AN131" s="4317"/>
      <c r="AO131" s="4317"/>
      <c r="AP131" s="4317"/>
      <c r="AQ131" s="4317"/>
      <c r="AR131" s="4317"/>
      <c r="AS131" s="4317"/>
      <c r="AT131" s="4317"/>
      <c r="AU131" s="4317"/>
      <c r="AV131" s="4317"/>
      <c r="AW131" s="4317"/>
      <c r="AX131" s="4317"/>
      <c r="AY131" s="4317"/>
      <c r="AZ131" s="4317"/>
      <c r="BA131" s="4317"/>
      <c r="BB131" s="4317"/>
      <c r="BC131" s="4317"/>
      <c r="BD131" s="4317"/>
      <c r="BE131" s="4317"/>
      <c r="BF131" s="4317"/>
      <c r="BG131" s="4317"/>
      <c r="BH131" s="4317"/>
      <c r="BI131" s="4317"/>
      <c r="BJ131" s="4317"/>
      <c r="BK131" s="4317"/>
      <c r="BL131" s="4317"/>
      <c r="BM131" s="4317"/>
      <c r="BN131" s="4317"/>
      <c r="BO131" s="4317"/>
      <c r="BP131" s="4317"/>
      <c r="BQ131" s="4317"/>
      <c r="BR131" s="4317"/>
      <c r="BS131" s="4317"/>
      <c r="BT131" s="4317"/>
      <c r="BU131" s="4317"/>
      <c r="BV131" s="4317"/>
      <c r="BW131" s="4317"/>
      <c r="BX131" s="4317"/>
      <c r="BY131" s="4317"/>
      <c r="BZ131" s="4317"/>
      <c r="CA131" s="4317"/>
      <c r="CB131" s="4317"/>
      <c r="CC131" s="4317"/>
      <c r="CD131" s="4317"/>
      <c r="CE131" s="4317"/>
      <c r="CF131" s="4317"/>
      <c r="CG131" s="4317"/>
      <c r="CH131" s="4317"/>
      <c r="CI131" s="4317"/>
      <c r="CJ131" s="4317"/>
      <c r="CK131" s="4317"/>
      <c r="CL131" s="4317"/>
      <c r="CM131" s="4317"/>
      <c r="CN131" s="4317"/>
      <c r="CO131" s="4317"/>
      <c r="CP131" s="4317"/>
      <c r="CQ131" s="4317"/>
      <c r="CR131" s="4317"/>
      <c r="CS131" s="4317"/>
      <c r="CT131" s="4317"/>
      <c r="CU131" s="4317"/>
      <c r="CV131" s="4317"/>
      <c r="CW131" s="4317"/>
      <c r="CX131" s="4317"/>
      <c r="CY131" s="4317"/>
      <c r="CZ131" s="4317"/>
      <c r="DA131" s="4317"/>
      <c r="DB131" s="4317"/>
      <c r="DC131" s="4317"/>
      <c r="DD131" s="4317"/>
      <c r="DE131" s="4317"/>
      <c r="DF131" s="4317"/>
      <c r="DG131" s="4317"/>
      <c r="DH131" s="4317"/>
      <c r="DI131" s="4317"/>
      <c r="DJ131" s="4317"/>
      <c r="DK131" s="4317"/>
      <c r="DL131" s="4317"/>
      <c r="DM131" s="4317"/>
      <c r="DN131" s="4317"/>
      <c r="DO131" s="4317"/>
      <c r="DP131" s="4317"/>
      <c r="DQ131" s="4317"/>
      <c r="DR131" s="4317"/>
      <c r="DS131" s="4317"/>
    </row>
    <row r="132" s="4134" customFormat="1" ht="16.5" customHeight="1" spans="1:123">
      <c r="A132" s="4304" t="s">
        <v>4520</v>
      </c>
      <c r="B132" s="4305"/>
      <c r="C132" s="4305"/>
      <c r="D132" s="4305"/>
      <c r="E132" s="4305"/>
      <c r="F132" s="4306">
        <f>SUM(F130:L131)</f>
        <v>0</v>
      </c>
      <c r="G132" s="4306"/>
      <c r="H132" s="4306"/>
      <c r="I132" s="4306"/>
      <c r="J132" s="4306"/>
      <c r="K132" s="4306"/>
      <c r="L132" s="4306"/>
      <c r="M132" s="4295"/>
      <c r="N132" s="4295"/>
      <c r="O132" s="4320" t="s">
        <v>4711</v>
      </c>
      <c r="P132" s="4317"/>
      <c r="Q132" s="4295"/>
      <c r="R132" s="4317"/>
      <c r="S132" s="4317"/>
      <c r="T132" s="4317"/>
      <c r="U132" s="4317"/>
      <c r="V132" s="4317"/>
      <c r="W132" s="4317"/>
      <c r="X132" s="4317"/>
      <c r="Y132" s="4317"/>
      <c r="Z132" s="4317"/>
      <c r="AA132" s="4317"/>
      <c r="AB132" s="4317"/>
      <c r="AC132" s="4295"/>
      <c r="AD132" s="4295"/>
      <c r="AE132" s="4317"/>
      <c r="AF132" s="4319"/>
      <c r="AG132" s="4319"/>
      <c r="AH132" s="4317"/>
      <c r="AI132" s="4317"/>
      <c r="AJ132" s="4317"/>
      <c r="AK132" s="4317"/>
      <c r="AL132" s="4317"/>
      <c r="AM132" s="4317"/>
      <c r="AN132" s="4317"/>
      <c r="AO132" s="4317"/>
      <c r="AP132" s="4317"/>
      <c r="AQ132" s="4317"/>
      <c r="AR132" s="4317"/>
      <c r="AS132" s="4317"/>
      <c r="AT132" s="4317"/>
      <c r="AU132" s="4317"/>
      <c r="AV132" s="4317"/>
      <c r="AW132" s="4317"/>
      <c r="AX132" s="4317"/>
      <c r="AY132" s="4317"/>
      <c r="AZ132" s="4317"/>
      <c r="BA132" s="4317"/>
      <c r="BB132" s="4317"/>
      <c r="BC132" s="4317"/>
      <c r="BD132" s="4317"/>
      <c r="BE132" s="4317"/>
      <c r="BF132" s="4317"/>
      <c r="BG132" s="4317"/>
      <c r="BH132" s="4317"/>
      <c r="BI132" s="4317"/>
      <c r="BJ132" s="4317"/>
      <c r="BK132" s="4317"/>
      <c r="BL132" s="4317"/>
      <c r="BM132" s="4317"/>
      <c r="BN132" s="4317"/>
      <c r="BO132" s="4317"/>
      <c r="BP132" s="4317"/>
      <c r="BQ132" s="4317"/>
      <c r="BR132" s="4317"/>
      <c r="BS132" s="4317"/>
      <c r="BT132" s="4317"/>
      <c r="BU132" s="4317"/>
      <c r="BV132" s="4317"/>
      <c r="BW132" s="4317"/>
      <c r="BX132" s="4317"/>
      <c r="BY132" s="4317"/>
      <c r="BZ132" s="4317"/>
      <c r="CA132" s="4317"/>
      <c r="CB132" s="4317"/>
      <c r="CC132" s="4317"/>
      <c r="CD132" s="4317"/>
      <c r="CE132" s="4317"/>
      <c r="CF132" s="4317"/>
      <c r="CG132" s="4317"/>
      <c r="CH132" s="4317"/>
      <c r="CI132" s="4317"/>
      <c r="CJ132" s="4317"/>
      <c r="CK132" s="4317"/>
      <c r="CL132" s="4317"/>
      <c r="CM132" s="4317"/>
      <c r="CN132" s="4317"/>
      <c r="CO132" s="4317"/>
      <c r="CP132" s="4317"/>
      <c r="CQ132" s="4317"/>
      <c r="CR132" s="4317"/>
      <c r="CS132" s="4317"/>
      <c r="CT132" s="4317"/>
      <c r="CU132" s="4317"/>
      <c r="CV132" s="4317"/>
      <c r="CW132" s="4317"/>
      <c r="CX132" s="4317"/>
      <c r="CY132" s="4317"/>
      <c r="CZ132" s="4317"/>
      <c r="DA132" s="4317"/>
      <c r="DB132" s="4317"/>
      <c r="DC132" s="4317"/>
      <c r="DD132" s="4317"/>
      <c r="DE132" s="4317"/>
      <c r="DF132" s="4317"/>
      <c r="DG132" s="4317"/>
      <c r="DH132" s="4317"/>
      <c r="DI132" s="4317"/>
      <c r="DJ132" s="4317"/>
      <c r="DK132" s="4317"/>
      <c r="DL132" s="4317"/>
      <c r="DM132" s="4317"/>
      <c r="DN132" s="4317"/>
      <c r="DO132" s="4317"/>
      <c r="DP132" s="4317"/>
      <c r="DQ132" s="4317"/>
      <c r="DR132" s="4317"/>
      <c r="DS132" s="4317"/>
    </row>
    <row r="133" s="4134" customFormat="1" ht="16.5" customHeight="1" spans="1:123">
      <c r="A133" s="4298" t="s">
        <v>4712</v>
      </c>
      <c r="B133" s="4298"/>
      <c r="C133" s="4298"/>
      <c r="D133" s="4298"/>
      <c r="E133" s="4298"/>
      <c r="F133" s="4309"/>
      <c r="G133" s="4309"/>
      <c r="H133" s="4309"/>
      <c r="I133" s="4309"/>
      <c r="J133" s="4309"/>
      <c r="K133" s="4309"/>
      <c r="L133" s="4309"/>
      <c r="M133" s="4295"/>
      <c r="N133" s="4295"/>
      <c r="O133" s="4316" t="s">
        <v>4713</v>
      </c>
      <c r="P133" s="4317"/>
      <c r="Q133" s="4295"/>
      <c r="R133" s="4317"/>
      <c r="S133" s="4317"/>
      <c r="T133" s="4317"/>
      <c r="U133" s="4317"/>
      <c r="V133" s="4317"/>
      <c r="W133" s="4317"/>
      <c r="X133" s="4317"/>
      <c r="Y133" s="4317"/>
      <c r="Z133" s="4317"/>
      <c r="AA133" s="4317"/>
      <c r="AB133" s="4317"/>
      <c r="AC133" s="4295"/>
      <c r="AD133" s="4295"/>
      <c r="AE133" s="4317"/>
      <c r="AF133" s="4319"/>
      <c r="AG133" s="4319"/>
      <c r="AH133" s="4317"/>
      <c r="AI133" s="4317"/>
      <c r="AJ133" s="4317"/>
      <c r="AK133" s="4317"/>
      <c r="AL133" s="4317"/>
      <c r="AM133" s="4317"/>
      <c r="AN133" s="4317"/>
      <c r="AO133" s="4317"/>
      <c r="AP133" s="4317"/>
      <c r="AQ133" s="4317"/>
      <c r="AR133" s="4317"/>
      <c r="AS133" s="4317"/>
      <c r="AT133" s="4317"/>
      <c r="AU133" s="4317"/>
      <c r="AV133" s="4317"/>
      <c r="AW133" s="4317"/>
      <c r="AX133" s="4317"/>
      <c r="AY133" s="4317"/>
      <c r="AZ133" s="4317"/>
      <c r="BA133" s="4317"/>
      <c r="BB133" s="4317"/>
      <c r="BC133" s="4317"/>
      <c r="BD133" s="4317"/>
      <c r="BE133" s="4317"/>
      <c r="BF133" s="4317"/>
      <c r="BG133" s="4317"/>
      <c r="BH133" s="4317"/>
      <c r="BI133" s="4317"/>
      <c r="BJ133" s="4317"/>
      <c r="BK133" s="4317"/>
      <c r="BL133" s="4317"/>
      <c r="BM133" s="4317"/>
      <c r="BN133" s="4317"/>
      <c r="BO133" s="4317"/>
      <c r="BP133" s="4317"/>
      <c r="BQ133" s="4317"/>
      <c r="BR133" s="4317"/>
      <c r="BS133" s="4317"/>
      <c r="BT133" s="4317"/>
      <c r="BU133" s="4317"/>
      <c r="BV133" s="4317"/>
      <c r="BW133" s="4317"/>
      <c r="BX133" s="4317"/>
      <c r="BY133" s="4317"/>
      <c r="BZ133" s="4317"/>
      <c r="CA133" s="4317"/>
      <c r="CB133" s="4317"/>
      <c r="CC133" s="4317"/>
      <c r="CD133" s="4317"/>
      <c r="CE133" s="4317"/>
      <c r="CF133" s="4317"/>
      <c r="CG133" s="4317"/>
      <c r="CH133" s="4317"/>
      <c r="CI133" s="4317"/>
      <c r="CJ133" s="4317"/>
      <c r="CK133" s="4317"/>
      <c r="CL133" s="4317"/>
      <c r="CM133" s="4317"/>
      <c r="CN133" s="4317"/>
      <c r="CO133" s="4317"/>
      <c r="CP133" s="4317"/>
      <c r="CQ133" s="4317"/>
      <c r="CR133" s="4317"/>
      <c r="CS133" s="4317"/>
      <c r="CT133" s="4317"/>
      <c r="CU133" s="4317"/>
      <c r="CV133" s="4317"/>
      <c r="CW133" s="4317"/>
      <c r="CX133" s="4317"/>
      <c r="CY133" s="4317"/>
      <c r="CZ133" s="4317"/>
      <c r="DA133" s="4317"/>
      <c r="DB133" s="4317"/>
      <c r="DC133" s="4317"/>
      <c r="DD133" s="4317"/>
      <c r="DE133" s="4317"/>
      <c r="DF133" s="4317"/>
      <c r="DG133" s="4317"/>
      <c r="DH133" s="4317"/>
      <c r="DI133" s="4317"/>
      <c r="DJ133" s="4317"/>
      <c r="DK133" s="4317"/>
      <c r="DL133" s="4317"/>
      <c r="DM133" s="4317"/>
      <c r="DN133" s="4317"/>
      <c r="DO133" s="4317"/>
      <c r="DP133" s="4317"/>
      <c r="DQ133" s="4317"/>
      <c r="DR133" s="4317"/>
      <c r="DS133" s="4317"/>
    </row>
    <row r="134" s="4134" customFormat="1" ht="16.5" customHeight="1" spans="1:123">
      <c r="A134" s="4298" t="s">
        <v>4714</v>
      </c>
      <c r="B134" s="4298"/>
      <c r="C134" s="4298"/>
      <c r="D134" s="4298"/>
      <c r="E134" s="4298"/>
      <c r="F134" s="4309"/>
      <c r="G134" s="4309"/>
      <c r="H134" s="4309"/>
      <c r="I134" s="4309"/>
      <c r="J134" s="4309"/>
      <c r="K134" s="4309"/>
      <c r="L134" s="4309"/>
      <c r="M134" s="4295"/>
      <c r="N134" s="4295"/>
      <c r="O134" s="4316" t="s">
        <v>4697</v>
      </c>
      <c r="P134" s="4317"/>
      <c r="Q134" s="4295"/>
      <c r="R134" s="4317"/>
      <c r="S134" s="4317"/>
      <c r="T134" s="4317"/>
      <c r="U134" s="4317"/>
      <c r="V134" s="4317"/>
      <c r="W134" s="4317"/>
      <c r="X134" s="4317"/>
      <c r="Y134" s="4317"/>
      <c r="Z134" s="4317"/>
      <c r="AA134" s="4317"/>
      <c r="AB134" s="4317"/>
      <c r="AC134" s="4295"/>
      <c r="AD134" s="4295"/>
      <c r="AE134" s="4317"/>
      <c r="AF134" s="4319"/>
      <c r="AG134" s="4319"/>
      <c r="AH134" s="4317"/>
      <c r="AI134" s="4317"/>
      <c r="AJ134" s="4317"/>
      <c r="AK134" s="4317"/>
      <c r="AL134" s="4317"/>
      <c r="AM134" s="4317"/>
      <c r="AN134" s="4317"/>
      <c r="AO134" s="4317"/>
      <c r="AP134" s="4317"/>
      <c r="AQ134" s="4317"/>
      <c r="AR134" s="4317"/>
      <c r="AS134" s="4317"/>
      <c r="AT134" s="4317"/>
      <c r="AU134" s="4317"/>
      <c r="AV134" s="4317"/>
      <c r="AW134" s="4317"/>
      <c r="AX134" s="4317"/>
      <c r="AY134" s="4317"/>
      <c r="AZ134" s="4317"/>
      <c r="BA134" s="4317"/>
      <c r="BB134" s="4317"/>
      <c r="BC134" s="4317"/>
      <c r="BD134" s="4317"/>
      <c r="BE134" s="4317"/>
      <c r="BF134" s="4317"/>
      <c r="BG134" s="4317"/>
      <c r="BH134" s="4317"/>
      <c r="BI134" s="4317"/>
      <c r="BJ134" s="4317"/>
      <c r="BK134" s="4317"/>
      <c r="BL134" s="4317"/>
      <c r="BM134" s="4317"/>
      <c r="BN134" s="4317"/>
      <c r="BO134" s="4317"/>
      <c r="BP134" s="4317"/>
      <c r="BQ134" s="4317"/>
      <c r="BR134" s="4317"/>
      <c r="BS134" s="4317"/>
      <c r="BT134" s="4317"/>
      <c r="BU134" s="4317"/>
      <c r="BV134" s="4317"/>
      <c r="BW134" s="4317"/>
      <c r="BX134" s="4317"/>
      <c r="BY134" s="4317"/>
      <c r="BZ134" s="4317"/>
      <c r="CA134" s="4317"/>
      <c r="CB134" s="4317"/>
      <c r="CC134" s="4317"/>
      <c r="CD134" s="4317"/>
      <c r="CE134" s="4317"/>
      <c r="CF134" s="4317"/>
      <c r="CG134" s="4317"/>
      <c r="CH134" s="4317"/>
      <c r="CI134" s="4317"/>
      <c r="CJ134" s="4317"/>
      <c r="CK134" s="4317"/>
      <c r="CL134" s="4317"/>
      <c r="CM134" s="4317"/>
      <c r="CN134" s="4317"/>
      <c r="CO134" s="4317"/>
      <c r="CP134" s="4317"/>
      <c r="CQ134" s="4317"/>
      <c r="CR134" s="4317"/>
      <c r="CS134" s="4317"/>
      <c r="CT134" s="4317"/>
      <c r="CU134" s="4317"/>
      <c r="CV134" s="4317"/>
      <c r="CW134" s="4317"/>
      <c r="CX134" s="4317"/>
      <c r="CY134" s="4317"/>
      <c r="CZ134" s="4317"/>
      <c r="DA134" s="4317"/>
      <c r="DB134" s="4317"/>
      <c r="DC134" s="4317"/>
      <c r="DD134" s="4317"/>
      <c r="DE134" s="4317"/>
      <c r="DF134" s="4317"/>
      <c r="DG134" s="4317"/>
      <c r="DH134" s="4317"/>
      <c r="DI134" s="4317"/>
      <c r="DJ134" s="4317"/>
      <c r="DK134" s="4317"/>
      <c r="DL134" s="4317"/>
      <c r="DM134" s="4317"/>
      <c r="DN134" s="4317"/>
      <c r="DO134" s="4317"/>
      <c r="DP134" s="4317"/>
      <c r="DQ134" s="4317"/>
      <c r="DR134" s="4317"/>
      <c r="DS134" s="4317"/>
    </row>
    <row r="135" s="4134" customFormat="1" ht="16.5" customHeight="1" spans="1:123">
      <c r="A135" s="4298" t="s">
        <v>4715</v>
      </c>
      <c r="B135" s="4298"/>
      <c r="C135" s="4298"/>
      <c r="D135" s="4298"/>
      <c r="E135" s="4298"/>
      <c r="F135" s="4309"/>
      <c r="G135" s="4309"/>
      <c r="H135" s="4309"/>
      <c r="I135" s="4309"/>
      <c r="J135" s="4309"/>
      <c r="K135" s="4309"/>
      <c r="L135" s="4309"/>
      <c r="M135" s="4295"/>
      <c r="N135" s="4295"/>
      <c r="O135" s="4316" t="s">
        <v>4716</v>
      </c>
      <c r="P135" s="4317"/>
      <c r="Q135" s="4295"/>
      <c r="R135" s="4317"/>
      <c r="S135" s="4317"/>
      <c r="T135" s="4317"/>
      <c r="U135" s="4317"/>
      <c r="V135" s="4317"/>
      <c r="W135" s="4317"/>
      <c r="X135" s="4317"/>
      <c r="Y135" s="4317"/>
      <c r="Z135" s="4317"/>
      <c r="AA135" s="4317"/>
      <c r="AB135" s="4317"/>
      <c r="AC135" s="4295"/>
      <c r="AD135" s="4295"/>
      <c r="AE135" s="4317"/>
      <c r="AF135" s="4319"/>
      <c r="AG135" s="4319"/>
      <c r="AH135" s="4317"/>
      <c r="AI135" s="4317"/>
      <c r="AJ135" s="4317"/>
      <c r="AK135" s="4317"/>
      <c r="AL135" s="4317"/>
      <c r="AM135" s="4317"/>
      <c r="AN135" s="4317"/>
      <c r="AO135" s="4317"/>
      <c r="AP135" s="4317"/>
      <c r="AQ135" s="4317"/>
      <c r="AR135" s="4317"/>
      <c r="AS135" s="4317"/>
      <c r="AT135" s="4317"/>
      <c r="AU135" s="4317"/>
      <c r="AV135" s="4317"/>
      <c r="AW135" s="4317"/>
      <c r="AX135" s="4317"/>
      <c r="AY135" s="4317"/>
      <c r="AZ135" s="4317"/>
      <c r="BA135" s="4317"/>
      <c r="BB135" s="4317"/>
      <c r="BC135" s="4317"/>
      <c r="BD135" s="4317"/>
      <c r="BE135" s="4317"/>
      <c r="BF135" s="4317"/>
      <c r="BG135" s="4317"/>
      <c r="BH135" s="4317"/>
      <c r="BI135" s="4317"/>
      <c r="BJ135" s="4317"/>
      <c r="BK135" s="4317"/>
      <c r="BL135" s="4317"/>
      <c r="BM135" s="4317"/>
      <c r="BN135" s="4317"/>
      <c r="BO135" s="4317"/>
      <c r="BP135" s="4317"/>
      <c r="BQ135" s="4317"/>
      <c r="BR135" s="4317"/>
      <c r="BS135" s="4317"/>
      <c r="BT135" s="4317"/>
      <c r="BU135" s="4317"/>
      <c r="BV135" s="4317"/>
      <c r="BW135" s="4317"/>
      <c r="BX135" s="4317"/>
      <c r="BY135" s="4317"/>
      <c r="BZ135" s="4317"/>
      <c r="CA135" s="4317"/>
      <c r="CB135" s="4317"/>
      <c r="CC135" s="4317"/>
      <c r="CD135" s="4317"/>
      <c r="CE135" s="4317"/>
      <c r="CF135" s="4317"/>
      <c r="CG135" s="4317"/>
      <c r="CH135" s="4317"/>
      <c r="CI135" s="4317"/>
      <c r="CJ135" s="4317"/>
      <c r="CK135" s="4317"/>
      <c r="CL135" s="4317"/>
      <c r="CM135" s="4317"/>
      <c r="CN135" s="4317"/>
      <c r="CO135" s="4317"/>
      <c r="CP135" s="4317"/>
      <c r="CQ135" s="4317"/>
      <c r="CR135" s="4317"/>
      <c r="CS135" s="4317"/>
      <c r="CT135" s="4317"/>
      <c r="CU135" s="4317"/>
      <c r="CV135" s="4317"/>
      <c r="CW135" s="4317"/>
      <c r="CX135" s="4317"/>
      <c r="CY135" s="4317"/>
      <c r="CZ135" s="4317"/>
      <c r="DA135" s="4317"/>
      <c r="DB135" s="4317"/>
      <c r="DC135" s="4317"/>
      <c r="DD135" s="4317"/>
      <c r="DE135" s="4317"/>
      <c r="DF135" s="4317"/>
      <c r="DG135" s="4317"/>
      <c r="DH135" s="4317"/>
      <c r="DI135" s="4317"/>
      <c r="DJ135" s="4317"/>
      <c r="DK135" s="4317"/>
      <c r="DL135" s="4317"/>
      <c r="DM135" s="4317"/>
      <c r="DN135" s="4317"/>
      <c r="DO135" s="4317"/>
      <c r="DP135" s="4317"/>
      <c r="DQ135" s="4317"/>
      <c r="DR135" s="4317"/>
      <c r="DS135" s="4317"/>
    </row>
    <row r="136" s="4134" customFormat="1" ht="16.5" customHeight="1" spans="1:123">
      <c r="A136" s="4304" t="s">
        <v>4521</v>
      </c>
      <c r="B136" s="4305"/>
      <c r="C136" s="4305"/>
      <c r="D136" s="4305"/>
      <c r="E136" s="4305"/>
      <c r="F136" s="4310">
        <f>SUM(F133:L135)</f>
        <v>0</v>
      </c>
      <c r="G136" s="4310"/>
      <c r="H136" s="4310"/>
      <c r="I136" s="4310"/>
      <c r="J136" s="4310"/>
      <c r="K136" s="4310"/>
      <c r="L136" s="4310"/>
      <c r="M136" s="4295"/>
      <c r="N136" s="4295"/>
      <c r="O136" s="4321" t="s">
        <v>4717</v>
      </c>
      <c r="P136" s="4317"/>
      <c r="Q136" s="4295"/>
      <c r="R136" s="4317"/>
      <c r="S136" s="4317"/>
      <c r="T136" s="4317"/>
      <c r="U136" s="4317"/>
      <c r="V136" s="4317"/>
      <c r="W136" s="4317"/>
      <c r="X136" s="4317"/>
      <c r="Y136" s="4317"/>
      <c r="Z136" s="4317"/>
      <c r="AA136" s="4317"/>
      <c r="AB136" s="4317"/>
      <c r="AC136" s="4295"/>
      <c r="AD136" s="4295"/>
      <c r="AE136" s="4317"/>
      <c r="AF136" s="4318"/>
      <c r="AG136" s="4318"/>
      <c r="AH136" s="4317"/>
      <c r="AI136" s="4317"/>
      <c r="AJ136" s="4317"/>
      <c r="AK136" s="4317"/>
      <c r="AL136" s="4317"/>
      <c r="AM136" s="4317"/>
      <c r="AN136" s="4317"/>
      <c r="AO136" s="4317"/>
      <c r="AP136" s="4317"/>
      <c r="AQ136" s="4317"/>
      <c r="AR136" s="4317"/>
      <c r="AS136" s="4317"/>
      <c r="AT136" s="4317"/>
      <c r="AU136" s="4317"/>
      <c r="AV136" s="4317"/>
      <c r="AW136" s="4317"/>
      <c r="AX136" s="4317"/>
      <c r="AY136" s="4317"/>
      <c r="AZ136" s="4317"/>
      <c r="BA136" s="4317"/>
      <c r="BB136" s="4317"/>
      <c r="BC136" s="4317"/>
      <c r="BD136" s="4317"/>
      <c r="BE136" s="4317"/>
      <c r="BF136" s="4317"/>
      <c r="BG136" s="4317"/>
      <c r="BH136" s="4317"/>
      <c r="BI136" s="4317"/>
      <c r="BJ136" s="4317"/>
      <c r="BK136" s="4317"/>
      <c r="BL136" s="4317"/>
      <c r="BM136" s="4317"/>
      <c r="BN136" s="4317"/>
      <c r="BO136" s="4317"/>
      <c r="BP136" s="4317"/>
      <c r="BQ136" s="4317"/>
      <c r="BR136" s="4317"/>
      <c r="BS136" s="4317"/>
      <c r="BT136" s="4317"/>
      <c r="BU136" s="4317"/>
      <c r="BV136" s="4317"/>
      <c r="BW136" s="4317"/>
      <c r="BX136" s="4317"/>
      <c r="BY136" s="4317"/>
      <c r="BZ136" s="4317"/>
      <c r="CA136" s="4317"/>
      <c r="CB136" s="4317"/>
      <c r="CC136" s="4317"/>
      <c r="CD136" s="4317"/>
      <c r="CE136" s="4317"/>
      <c r="CF136" s="4317"/>
      <c r="CG136" s="4317"/>
      <c r="CH136" s="4317"/>
      <c r="CI136" s="4317"/>
      <c r="CJ136" s="4317"/>
      <c r="CK136" s="4317"/>
      <c r="CL136" s="4317"/>
      <c r="CM136" s="4317"/>
      <c r="CN136" s="4317"/>
      <c r="CO136" s="4317"/>
      <c r="CP136" s="4317"/>
      <c r="CQ136" s="4317"/>
      <c r="CR136" s="4317"/>
      <c r="CS136" s="4317"/>
      <c r="CT136" s="4317"/>
      <c r="CU136" s="4317"/>
      <c r="CV136" s="4317"/>
      <c r="CW136" s="4317"/>
      <c r="CX136" s="4317"/>
      <c r="CY136" s="4317"/>
      <c r="CZ136" s="4317"/>
      <c r="DA136" s="4317"/>
      <c r="DB136" s="4317"/>
      <c r="DC136" s="4317"/>
      <c r="DD136" s="4317"/>
      <c r="DE136" s="4317"/>
      <c r="DF136" s="4317"/>
      <c r="DG136" s="4317"/>
      <c r="DH136" s="4317"/>
      <c r="DI136" s="4317"/>
      <c r="DJ136" s="4317"/>
      <c r="DK136" s="4317"/>
      <c r="DL136" s="4317"/>
      <c r="DM136" s="4317"/>
      <c r="DN136" s="4317"/>
      <c r="DO136" s="4317"/>
      <c r="DP136" s="4317"/>
      <c r="DQ136" s="4317"/>
      <c r="DR136" s="4317"/>
      <c r="DS136" s="4317"/>
    </row>
    <row r="137" s="4134" customFormat="1" ht="16.5" customHeight="1" spans="1:123">
      <c r="A137" s="4312" t="s">
        <v>4718</v>
      </c>
      <c r="B137" s="4313"/>
      <c r="C137" s="4313"/>
      <c r="D137" s="4313"/>
      <c r="E137" s="4313"/>
      <c r="F137" s="4314">
        <f>F126+F129+F132-F136</f>
        <v>0</v>
      </c>
      <c r="G137" s="4314"/>
      <c r="H137" s="4314"/>
      <c r="I137" s="4314"/>
      <c r="J137" s="4314"/>
      <c r="K137" s="4314"/>
      <c r="L137" s="4314"/>
      <c r="M137" s="4295"/>
      <c r="N137" s="4295"/>
      <c r="O137" s="4322" t="s">
        <v>2556</v>
      </c>
      <c r="P137" s="4317"/>
      <c r="Q137" s="4295"/>
      <c r="R137" s="4317"/>
      <c r="S137" s="4317"/>
      <c r="T137" s="4317"/>
      <c r="U137" s="4317"/>
      <c r="V137" s="4317"/>
      <c r="W137" s="4317"/>
      <c r="X137" s="4317"/>
      <c r="Y137" s="4317"/>
      <c r="Z137" s="4317"/>
      <c r="AA137" s="4317"/>
      <c r="AB137" s="4317"/>
      <c r="AC137" s="4295"/>
      <c r="AD137" s="4295"/>
      <c r="AE137" s="4317"/>
      <c r="AF137" s="4319"/>
      <c r="AG137" s="4319"/>
      <c r="AH137" s="4317"/>
      <c r="AI137" s="4317"/>
      <c r="AJ137" s="4317"/>
      <c r="AK137" s="4317"/>
      <c r="AL137" s="4317"/>
      <c r="AM137" s="4317"/>
      <c r="AN137" s="4317"/>
      <c r="AO137" s="4317"/>
      <c r="AP137" s="4317"/>
      <c r="AQ137" s="4317"/>
      <c r="AR137" s="4317"/>
      <c r="AS137" s="4317"/>
      <c r="AT137" s="4317"/>
      <c r="AU137" s="4317"/>
      <c r="AV137" s="4317"/>
      <c r="AW137" s="4317"/>
      <c r="AX137" s="4317"/>
      <c r="AY137" s="4317"/>
      <c r="AZ137" s="4317"/>
      <c r="BA137" s="4317"/>
      <c r="BB137" s="4317"/>
      <c r="BC137" s="4317"/>
      <c r="BD137" s="4317"/>
      <c r="BE137" s="4317"/>
      <c r="BF137" s="4317"/>
      <c r="BG137" s="4317"/>
      <c r="BH137" s="4317"/>
      <c r="BI137" s="4317"/>
      <c r="BJ137" s="4317"/>
      <c r="BK137" s="4317"/>
      <c r="BL137" s="4317"/>
      <c r="BM137" s="4317"/>
      <c r="BN137" s="4317"/>
      <c r="BO137" s="4317"/>
      <c r="BP137" s="4317"/>
      <c r="BQ137" s="4317"/>
      <c r="BR137" s="4317"/>
      <c r="BS137" s="4317"/>
      <c r="BT137" s="4317"/>
      <c r="BU137" s="4317"/>
      <c r="BV137" s="4317"/>
      <c r="BW137" s="4317"/>
      <c r="BX137" s="4317"/>
      <c r="BY137" s="4317"/>
      <c r="BZ137" s="4317"/>
      <c r="CA137" s="4317"/>
      <c r="CB137" s="4317"/>
      <c r="CC137" s="4317"/>
      <c r="CD137" s="4317"/>
      <c r="CE137" s="4317"/>
      <c r="CF137" s="4317"/>
      <c r="CG137" s="4317"/>
      <c r="CH137" s="4317"/>
      <c r="CI137" s="4317"/>
      <c r="CJ137" s="4317"/>
      <c r="CK137" s="4317"/>
      <c r="CL137" s="4317"/>
      <c r="CM137" s="4317"/>
      <c r="CN137" s="4317"/>
      <c r="CO137" s="4317"/>
      <c r="CP137" s="4317"/>
      <c r="CQ137" s="4317"/>
      <c r="CR137" s="4317"/>
      <c r="CS137" s="4317"/>
      <c r="CT137" s="4317"/>
      <c r="CU137" s="4317"/>
      <c r="CV137" s="4317"/>
      <c r="CW137" s="4317"/>
      <c r="CX137" s="4317"/>
      <c r="CY137" s="4317"/>
      <c r="CZ137" s="4317"/>
      <c r="DA137" s="4317"/>
      <c r="DB137" s="4317"/>
      <c r="DC137" s="4317"/>
      <c r="DD137" s="4317"/>
      <c r="DE137" s="4317"/>
      <c r="DF137" s="4317"/>
      <c r="DG137" s="4317"/>
      <c r="DH137" s="4317"/>
      <c r="DI137" s="4317"/>
      <c r="DJ137" s="4317"/>
      <c r="DK137" s="4317"/>
      <c r="DL137" s="4317"/>
      <c r="DM137" s="4317"/>
      <c r="DN137" s="4317"/>
      <c r="DO137" s="4317"/>
      <c r="DP137" s="4317"/>
      <c r="DQ137" s="4317"/>
      <c r="DR137" s="4317"/>
      <c r="DS137" s="4317"/>
    </row>
    <row r="138" s="4134" customFormat="1" ht="16.5" customHeight="1" spans="1:123">
      <c r="A138" s="4298" t="s">
        <v>4719</v>
      </c>
      <c r="B138" s="4299"/>
      <c r="C138" s="4299"/>
      <c r="D138" s="4299"/>
      <c r="E138" s="4299"/>
      <c r="F138" s="4300"/>
      <c r="G138" s="4300"/>
      <c r="H138" s="4300"/>
      <c r="I138" s="4300"/>
      <c r="J138" s="4300"/>
      <c r="K138" s="4300"/>
      <c r="L138" s="4300"/>
      <c r="M138" s="4295"/>
      <c r="N138" s="4295"/>
      <c r="O138" s="4316" t="s">
        <v>4720</v>
      </c>
      <c r="P138" s="4317"/>
      <c r="Q138" s="4295"/>
      <c r="R138" s="4317"/>
      <c r="S138" s="4317"/>
      <c r="T138" s="4317"/>
      <c r="U138" s="4317"/>
      <c r="V138" s="4317"/>
      <c r="W138" s="4317"/>
      <c r="X138" s="4317"/>
      <c r="Y138" s="4317"/>
      <c r="Z138" s="4317"/>
      <c r="AA138" s="4317"/>
      <c r="AB138" s="4317"/>
      <c r="AC138" s="4295"/>
      <c r="AD138" s="4295"/>
      <c r="AE138" s="4317"/>
      <c r="AF138" s="4319"/>
      <c r="AG138" s="4319"/>
      <c r="AH138" s="4317"/>
      <c r="AI138" s="4317"/>
      <c r="AJ138" s="4317"/>
      <c r="AK138" s="4317"/>
      <c r="AL138" s="4317"/>
      <c r="AM138" s="4317"/>
      <c r="AN138" s="4317"/>
      <c r="AO138" s="4317"/>
      <c r="AP138" s="4317"/>
      <c r="AQ138" s="4317"/>
      <c r="AR138" s="4317"/>
      <c r="AS138" s="4317"/>
      <c r="AT138" s="4317"/>
      <c r="AU138" s="4317"/>
      <c r="AV138" s="4317"/>
      <c r="AW138" s="4317"/>
      <c r="AX138" s="4317"/>
      <c r="AY138" s="4317"/>
      <c r="AZ138" s="4317"/>
      <c r="BA138" s="4317"/>
      <c r="BB138" s="4317"/>
      <c r="BC138" s="4317"/>
      <c r="BD138" s="4317"/>
      <c r="BE138" s="4317"/>
      <c r="BF138" s="4317"/>
      <c r="BG138" s="4317"/>
      <c r="BH138" s="4317"/>
      <c r="BI138" s="4317"/>
      <c r="BJ138" s="4317"/>
      <c r="BK138" s="4317"/>
      <c r="BL138" s="4317"/>
      <c r="BM138" s="4317"/>
      <c r="BN138" s="4317"/>
      <c r="BO138" s="4317"/>
      <c r="BP138" s="4317"/>
      <c r="BQ138" s="4317"/>
      <c r="BR138" s="4317"/>
      <c r="BS138" s="4317"/>
      <c r="BT138" s="4317"/>
      <c r="BU138" s="4317"/>
      <c r="BV138" s="4317"/>
      <c r="BW138" s="4317"/>
      <c r="BX138" s="4317"/>
      <c r="BY138" s="4317"/>
      <c r="BZ138" s="4317"/>
      <c r="CA138" s="4317"/>
      <c r="CB138" s="4317"/>
      <c r="CC138" s="4317"/>
      <c r="CD138" s="4317"/>
      <c r="CE138" s="4317"/>
      <c r="CF138" s="4317"/>
      <c r="CG138" s="4317"/>
      <c r="CH138" s="4317"/>
      <c r="CI138" s="4317"/>
      <c r="CJ138" s="4317"/>
      <c r="CK138" s="4317"/>
      <c r="CL138" s="4317"/>
      <c r="CM138" s="4317"/>
      <c r="CN138" s="4317"/>
      <c r="CO138" s="4317"/>
      <c r="CP138" s="4317"/>
      <c r="CQ138" s="4317"/>
      <c r="CR138" s="4317"/>
      <c r="CS138" s="4317"/>
      <c r="CT138" s="4317"/>
      <c r="CU138" s="4317"/>
      <c r="CV138" s="4317"/>
      <c r="CW138" s="4317"/>
      <c r="CX138" s="4317"/>
      <c r="CY138" s="4317"/>
      <c r="CZ138" s="4317"/>
      <c r="DA138" s="4317"/>
      <c r="DB138" s="4317"/>
      <c r="DC138" s="4317"/>
      <c r="DD138" s="4317"/>
      <c r="DE138" s="4317"/>
      <c r="DF138" s="4317"/>
      <c r="DG138" s="4317"/>
      <c r="DH138" s="4317"/>
      <c r="DI138" s="4317"/>
      <c r="DJ138" s="4317"/>
      <c r="DK138" s="4317"/>
      <c r="DL138" s="4317"/>
      <c r="DM138" s="4317"/>
      <c r="DN138" s="4317"/>
      <c r="DO138" s="4317"/>
      <c r="DP138" s="4317"/>
      <c r="DQ138" s="4317"/>
      <c r="DR138" s="4317"/>
      <c r="DS138" s="4317"/>
    </row>
    <row r="139" s="4134" customFormat="1" ht="16.5" customHeight="1" spans="1:123">
      <c r="A139" s="4298" t="s">
        <v>4721</v>
      </c>
      <c r="B139" s="4299"/>
      <c r="C139" s="4299"/>
      <c r="D139" s="4299"/>
      <c r="E139" s="4299"/>
      <c r="F139" s="4300"/>
      <c r="G139" s="4300"/>
      <c r="H139" s="4300"/>
      <c r="I139" s="4300"/>
      <c r="J139" s="4300"/>
      <c r="K139" s="4300"/>
      <c r="L139" s="4300"/>
      <c r="M139" s="4295"/>
      <c r="N139" s="4295"/>
      <c r="O139" s="4316" t="s">
        <v>4722</v>
      </c>
      <c r="P139" s="4317"/>
      <c r="Q139" s="4295"/>
      <c r="R139" s="4317"/>
      <c r="S139" s="4317"/>
      <c r="T139" s="4317"/>
      <c r="U139" s="4317"/>
      <c r="V139" s="4317"/>
      <c r="W139" s="4317"/>
      <c r="X139" s="4317"/>
      <c r="Y139" s="4317"/>
      <c r="Z139" s="4317"/>
      <c r="AA139" s="4317"/>
      <c r="AB139" s="4317"/>
      <c r="AC139" s="4295"/>
      <c r="AD139" s="4295"/>
      <c r="AE139" s="4317"/>
      <c r="AF139" s="4319"/>
      <c r="AG139" s="4319"/>
      <c r="AH139" s="4317"/>
      <c r="AI139" s="4317"/>
      <c r="AJ139" s="4317"/>
      <c r="AK139" s="4317"/>
      <c r="AL139" s="4317"/>
      <c r="AM139" s="4317"/>
      <c r="AN139" s="4317"/>
      <c r="AO139" s="4317"/>
      <c r="AP139" s="4317"/>
      <c r="AQ139" s="4317"/>
      <c r="AR139" s="4317"/>
      <c r="AS139" s="4317"/>
      <c r="AT139" s="4317"/>
      <c r="AU139" s="4317"/>
      <c r="AV139" s="4317"/>
      <c r="AW139" s="4317"/>
      <c r="AX139" s="4317"/>
      <c r="AY139" s="4317"/>
      <c r="AZ139" s="4317"/>
      <c r="BA139" s="4317"/>
      <c r="BB139" s="4317"/>
      <c r="BC139" s="4317"/>
      <c r="BD139" s="4317"/>
      <c r="BE139" s="4317"/>
      <c r="BF139" s="4317"/>
      <c r="BG139" s="4317"/>
      <c r="BH139" s="4317"/>
      <c r="BI139" s="4317"/>
      <c r="BJ139" s="4317"/>
      <c r="BK139" s="4317"/>
      <c r="BL139" s="4317"/>
      <c r="BM139" s="4317"/>
      <c r="BN139" s="4317"/>
      <c r="BO139" s="4317"/>
      <c r="BP139" s="4317"/>
      <c r="BQ139" s="4317"/>
      <c r="BR139" s="4317"/>
      <c r="BS139" s="4317"/>
      <c r="BT139" s="4317"/>
      <c r="BU139" s="4317"/>
      <c r="BV139" s="4317"/>
      <c r="BW139" s="4317"/>
      <c r="BX139" s="4317"/>
      <c r="BY139" s="4317"/>
      <c r="BZ139" s="4317"/>
      <c r="CA139" s="4317"/>
      <c r="CB139" s="4317"/>
      <c r="CC139" s="4317"/>
      <c r="CD139" s="4317"/>
      <c r="CE139" s="4317"/>
      <c r="CF139" s="4317"/>
      <c r="CG139" s="4317"/>
      <c r="CH139" s="4317"/>
      <c r="CI139" s="4317"/>
      <c r="CJ139" s="4317"/>
      <c r="CK139" s="4317"/>
      <c r="CL139" s="4317"/>
      <c r="CM139" s="4317"/>
      <c r="CN139" s="4317"/>
      <c r="CO139" s="4317"/>
      <c r="CP139" s="4317"/>
      <c r="CQ139" s="4317"/>
      <c r="CR139" s="4317"/>
      <c r="CS139" s="4317"/>
      <c r="CT139" s="4317"/>
      <c r="CU139" s="4317"/>
      <c r="CV139" s="4317"/>
      <c r="CW139" s="4317"/>
      <c r="CX139" s="4317"/>
      <c r="CY139" s="4317"/>
      <c r="CZ139" s="4317"/>
      <c r="DA139" s="4317"/>
      <c r="DB139" s="4317"/>
      <c r="DC139" s="4317"/>
      <c r="DD139" s="4317"/>
      <c r="DE139" s="4317"/>
      <c r="DF139" s="4317"/>
      <c r="DG139" s="4317"/>
      <c r="DH139" s="4317"/>
      <c r="DI139" s="4317"/>
      <c r="DJ139" s="4317"/>
      <c r="DK139" s="4317"/>
      <c r="DL139" s="4317"/>
      <c r="DM139" s="4317"/>
      <c r="DN139" s="4317"/>
      <c r="DO139" s="4317"/>
      <c r="DP139" s="4317"/>
      <c r="DQ139" s="4317"/>
      <c r="DR139" s="4317"/>
      <c r="DS139" s="4317"/>
    </row>
    <row r="140" s="4134" customFormat="1" ht="16.5" customHeight="1" spans="1:123">
      <c r="A140" s="4304" t="s">
        <v>4528</v>
      </c>
      <c r="B140" s="4305"/>
      <c r="C140" s="4305"/>
      <c r="D140" s="4305"/>
      <c r="E140" s="4305"/>
      <c r="F140" s="4306">
        <f>SUM(F138:L139)</f>
        <v>0</v>
      </c>
      <c r="G140" s="4306"/>
      <c r="H140" s="4306"/>
      <c r="I140" s="4306"/>
      <c r="J140" s="4306"/>
      <c r="K140" s="4306"/>
      <c r="L140" s="4306"/>
      <c r="M140" s="4295"/>
      <c r="N140" s="4295"/>
      <c r="O140" s="4320" t="s">
        <v>4723</v>
      </c>
      <c r="P140" s="4317"/>
      <c r="Q140" s="4295"/>
      <c r="R140" s="4317"/>
      <c r="S140" s="4317"/>
      <c r="T140" s="4317"/>
      <c r="U140" s="4317"/>
      <c r="V140" s="4317"/>
      <c r="W140" s="4317"/>
      <c r="X140" s="4317"/>
      <c r="Y140" s="4317"/>
      <c r="Z140" s="4317"/>
      <c r="AA140" s="4317"/>
      <c r="AB140" s="4317"/>
      <c r="AC140" s="4295"/>
      <c r="AD140" s="4295"/>
      <c r="AE140" s="4317"/>
      <c r="AF140" s="4319"/>
      <c r="AG140" s="4319"/>
      <c r="AH140" s="4317"/>
      <c r="AI140" s="4317"/>
      <c r="AJ140" s="4317"/>
      <c r="AK140" s="4317"/>
      <c r="AL140" s="4317"/>
      <c r="AM140" s="4317"/>
      <c r="AN140" s="4317"/>
      <c r="AO140" s="4317"/>
      <c r="AP140" s="4317"/>
      <c r="AQ140" s="4317"/>
      <c r="AR140" s="4317"/>
      <c r="AS140" s="4317"/>
      <c r="AT140" s="4317"/>
      <c r="AU140" s="4317"/>
      <c r="AV140" s="4317"/>
      <c r="AW140" s="4317"/>
      <c r="AX140" s="4317"/>
      <c r="AY140" s="4317"/>
      <c r="AZ140" s="4317"/>
      <c r="BA140" s="4317"/>
      <c r="BB140" s="4317"/>
      <c r="BC140" s="4317"/>
      <c r="BD140" s="4317"/>
      <c r="BE140" s="4317"/>
      <c r="BF140" s="4317"/>
      <c r="BG140" s="4317"/>
      <c r="BH140" s="4317"/>
      <c r="BI140" s="4317"/>
      <c r="BJ140" s="4317"/>
      <c r="BK140" s="4317"/>
      <c r="BL140" s="4317"/>
      <c r="BM140" s="4317"/>
      <c r="BN140" s="4317"/>
      <c r="BO140" s="4317"/>
      <c r="BP140" s="4317"/>
      <c r="BQ140" s="4317"/>
      <c r="BR140" s="4317"/>
      <c r="BS140" s="4317"/>
      <c r="BT140" s="4317"/>
      <c r="BU140" s="4317"/>
      <c r="BV140" s="4317"/>
      <c r="BW140" s="4317"/>
      <c r="BX140" s="4317"/>
      <c r="BY140" s="4317"/>
      <c r="BZ140" s="4317"/>
      <c r="CA140" s="4317"/>
      <c r="CB140" s="4317"/>
      <c r="CC140" s="4317"/>
      <c r="CD140" s="4317"/>
      <c r="CE140" s="4317"/>
      <c r="CF140" s="4317"/>
      <c r="CG140" s="4317"/>
      <c r="CH140" s="4317"/>
      <c r="CI140" s="4317"/>
      <c r="CJ140" s="4317"/>
      <c r="CK140" s="4317"/>
      <c r="CL140" s="4317"/>
      <c r="CM140" s="4317"/>
      <c r="CN140" s="4317"/>
      <c r="CO140" s="4317"/>
      <c r="CP140" s="4317"/>
      <c r="CQ140" s="4317"/>
      <c r="CR140" s="4317"/>
      <c r="CS140" s="4317"/>
      <c r="CT140" s="4317"/>
      <c r="CU140" s="4317"/>
      <c r="CV140" s="4317"/>
      <c r="CW140" s="4317"/>
      <c r="CX140" s="4317"/>
      <c r="CY140" s="4317"/>
      <c r="CZ140" s="4317"/>
      <c r="DA140" s="4317"/>
      <c r="DB140" s="4317"/>
      <c r="DC140" s="4317"/>
      <c r="DD140" s="4317"/>
      <c r="DE140" s="4317"/>
      <c r="DF140" s="4317"/>
      <c r="DG140" s="4317"/>
      <c r="DH140" s="4317"/>
      <c r="DI140" s="4317"/>
      <c r="DJ140" s="4317"/>
      <c r="DK140" s="4317"/>
      <c r="DL140" s="4317"/>
      <c r="DM140" s="4317"/>
      <c r="DN140" s="4317"/>
      <c r="DO140" s="4317"/>
      <c r="DP140" s="4317"/>
      <c r="DQ140" s="4317"/>
      <c r="DR140" s="4317"/>
      <c r="DS140" s="4317"/>
    </row>
    <row r="141" s="4134" customFormat="1" ht="16.5" customHeight="1" spans="1:123">
      <c r="A141" s="4298" t="s">
        <v>4724</v>
      </c>
      <c r="B141" s="4299"/>
      <c r="C141" s="4299"/>
      <c r="D141" s="4299"/>
      <c r="E141" s="4299"/>
      <c r="F141" s="4300"/>
      <c r="G141" s="4300"/>
      <c r="H141" s="4300"/>
      <c r="I141" s="4300"/>
      <c r="J141" s="4300"/>
      <c r="K141" s="4300"/>
      <c r="L141" s="4300"/>
      <c r="M141" s="4295"/>
      <c r="N141" s="4295"/>
      <c r="O141" s="4316" t="s">
        <v>4725</v>
      </c>
      <c r="P141" s="4317"/>
      <c r="Q141" s="4295"/>
      <c r="R141" s="4317"/>
      <c r="S141" s="4317"/>
      <c r="T141" s="4317"/>
      <c r="U141" s="4317"/>
      <c r="V141" s="4317"/>
      <c r="W141" s="4317"/>
      <c r="X141" s="4317"/>
      <c r="Y141" s="4317"/>
      <c r="Z141" s="4317"/>
      <c r="AA141" s="4317"/>
      <c r="AB141" s="4317"/>
      <c r="AC141" s="4295"/>
      <c r="AD141" s="4295"/>
      <c r="AE141" s="4317"/>
      <c r="AF141" s="4319"/>
      <c r="AG141" s="4319"/>
      <c r="AH141" s="4317"/>
      <c r="AI141" s="4317"/>
      <c r="AJ141" s="4317"/>
      <c r="AK141" s="4317"/>
      <c r="AL141" s="4317"/>
      <c r="AM141" s="4317"/>
      <c r="AN141" s="4317"/>
      <c r="AO141" s="4317"/>
      <c r="AP141" s="4317"/>
      <c r="AQ141" s="4317"/>
      <c r="AR141" s="4317"/>
      <c r="AS141" s="4317"/>
      <c r="AT141" s="4317"/>
      <c r="AU141" s="4317"/>
      <c r="AV141" s="4317"/>
      <c r="AW141" s="4317"/>
      <c r="AX141" s="4317"/>
      <c r="AY141" s="4317"/>
      <c r="AZ141" s="4317"/>
      <c r="BA141" s="4317"/>
      <c r="BB141" s="4317"/>
      <c r="BC141" s="4317"/>
      <c r="BD141" s="4317"/>
      <c r="BE141" s="4317"/>
      <c r="BF141" s="4317"/>
      <c r="BG141" s="4317"/>
      <c r="BH141" s="4317"/>
      <c r="BI141" s="4317"/>
      <c r="BJ141" s="4317"/>
      <c r="BK141" s="4317"/>
      <c r="BL141" s="4317"/>
      <c r="BM141" s="4317"/>
      <c r="BN141" s="4317"/>
      <c r="BO141" s="4317"/>
      <c r="BP141" s="4317"/>
      <c r="BQ141" s="4317"/>
      <c r="BR141" s="4317"/>
      <c r="BS141" s="4317"/>
      <c r="BT141" s="4317"/>
      <c r="BU141" s="4317"/>
      <c r="BV141" s="4317"/>
      <c r="BW141" s="4317"/>
      <c r="BX141" s="4317"/>
      <c r="BY141" s="4317"/>
      <c r="BZ141" s="4317"/>
      <c r="CA141" s="4317"/>
      <c r="CB141" s="4317"/>
      <c r="CC141" s="4317"/>
      <c r="CD141" s="4317"/>
      <c r="CE141" s="4317"/>
      <c r="CF141" s="4317"/>
      <c r="CG141" s="4317"/>
      <c r="CH141" s="4317"/>
      <c r="CI141" s="4317"/>
      <c r="CJ141" s="4317"/>
      <c r="CK141" s="4317"/>
      <c r="CL141" s="4317"/>
      <c r="CM141" s="4317"/>
      <c r="CN141" s="4317"/>
      <c r="CO141" s="4317"/>
      <c r="CP141" s="4317"/>
      <c r="CQ141" s="4317"/>
      <c r="CR141" s="4317"/>
      <c r="CS141" s="4317"/>
      <c r="CT141" s="4317"/>
      <c r="CU141" s="4317"/>
      <c r="CV141" s="4317"/>
      <c r="CW141" s="4317"/>
      <c r="CX141" s="4317"/>
      <c r="CY141" s="4317"/>
      <c r="CZ141" s="4317"/>
      <c r="DA141" s="4317"/>
      <c r="DB141" s="4317"/>
      <c r="DC141" s="4317"/>
      <c r="DD141" s="4317"/>
      <c r="DE141" s="4317"/>
      <c r="DF141" s="4317"/>
      <c r="DG141" s="4317"/>
      <c r="DH141" s="4317"/>
      <c r="DI141" s="4317"/>
      <c r="DJ141" s="4317"/>
      <c r="DK141" s="4317"/>
      <c r="DL141" s="4317"/>
      <c r="DM141" s="4317"/>
      <c r="DN141" s="4317"/>
      <c r="DO141" s="4317"/>
      <c r="DP141" s="4317"/>
      <c r="DQ141" s="4317"/>
      <c r="DR141" s="4317"/>
      <c r="DS141" s="4317"/>
    </row>
    <row r="142" s="4134" customFormat="1" ht="16.5" customHeight="1" spans="1:123">
      <c r="A142" s="4298" t="s">
        <v>4726</v>
      </c>
      <c r="B142" s="4299"/>
      <c r="C142" s="4299"/>
      <c r="D142" s="4299"/>
      <c r="E142" s="4299"/>
      <c r="F142" s="4300">
        <v>245707</v>
      </c>
      <c r="G142" s="4300"/>
      <c r="H142" s="4300"/>
      <c r="I142" s="4300"/>
      <c r="J142" s="4300"/>
      <c r="K142" s="4300"/>
      <c r="L142" s="4300"/>
      <c r="M142" s="4295"/>
      <c r="N142" s="4295"/>
      <c r="O142" s="4316" t="s">
        <v>4727</v>
      </c>
      <c r="P142" s="4317"/>
      <c r="Q142" s="4295"/>
      <c r="R142" s="4317"/>
      <c r="S142" s="4317"/>
      <c r="T142" s="4317"/>
      <c r="U142" s="4317"/>
      <c r="V142" s="4317"/>
      <c r="W142" s="4317"/>
      <c r="X142" s="4317"/>
      <c r="Y142" s="4317"/>
      <c r="Z142" s="4317"/>
      <c r="AA142" s="4317"/>
      <c r="AB142" s="4317"/>
      <c r="AC142" s="4295"/>
      <c r="AD142" s="4295"/>
      <c r="AE142" s="4317"/>
      <c r="AF142" s="4317"/>
      <c r="AG142" s="4317"/>
      <c r="AH142" s="4317"/>
      <c r="AI142" s="4317"/>
      <c r="AJ142" s="4317"/>
      <c r="AK142" s="4317"/>
      <c r="AL142" s="4317"/>
      <c r="AM142" s="4317"/>
      <c r="AN142" s="4317"/>
      <c r="AO142" s="4317"/>
      <c r="AP142" s="4317"/>
      <c r="AQ142" s="4317"/>
      <c r="AR142" s="4317"/>
      <c r="AS142" s="4317"/>
      <c r="AT142" s="4317"/>
      <c r="AU142" s="4317"/>
      <c r="AV142" s="4317"/>
      <c r="AW142" s="4317"/>
      <c r="AX142" s="4317"/>
      <c r="AY142" s="4317"/>
      <c r="AZ142" s="4317"/>
      <c r="BA142" s="4317"/>
      <c r="BB142" s="4317"/>
      <c r="BC142" s="4317"/>
      <c r="BD142" s="4317"/>
      <c r="BE142" s="4317"/>
      <c r="BF142" s="4317"/>
      <c r="BG142" s="4317"/>
      <c r="BH142" s="4317"/>
      <c r="BI142" s="4317"/>
      <c r="BJ142" s="4317"/>
      <c r="BK142" s="4317"/>
      <c r="BL142" s="4317"/>
      <c r="BM142" s="4317"/>
      <c r="BN142" s="4317"/>
      <c r="BO142" s="4317"/>
      <c r="BP142" s="4317"/>
      <c r="BQ142" s="4317"/>
      <c r="BR142" s="4317"/>
      <c r="BS142" s="4317"/>
      <c r="BT142" s="4317"/>
      <c r="BU142" s="4317"/>
      <c r="BV142" s="4317"/>
      <c r="BW142" s="4317"/>
      <c r="BX142" s="4317"/>
      <c r="BY142" s="4317"/>
      <c r="BZ142" s="4317"/>
      <c r="CA142" s="4317"/>
      <c r="CB142" s="4317"/>
      <c r="CC142" s="4317"/>
      <c r="CD142" s="4317"/>
      <c r="CE142" s="4317"/>
      <c r="CF142" s="4317"/>
      <c r="CG142" s="4317"/>
      <c r="CH142" s="4317"/>
      <c r="CI142" s="4317"/>
      <c r="CJ142" s="4317"/>
      <c r="CK142" s="4317"/>
      <c r="CL142" s="4317"/>
      <c r="CM142" s="4317"/>
      <c r="CN142" s="4317"/>
      <c r="CO142" s="4317"/>
      <c r="CP142" s="4317"/>
      <c r="CQ142" s="4317"/>
      <c r="CR142" s="4317"/>
      <c r="CS142" s="4317"/>
      <c r="CT142" s="4317"/>
      <c r="CU142" s="4317"/>
      <c r="CV142" s="4317"/>
      <c r="CW142" s="4317"/>
      <c r="CX142" s="4317"/>
      <c r="CY142" s="4317"/>
      <c r="CZ142" s="4317"/>
      <c r="DA142" s="4317"/>
      <c r="DB142" s="4317"/>
      <c r="DC142" s="4317"/>
      <c r="DD142" s="4317"/>
      <c r="DE142" s="4317"/>
      <c r="DF142" s="4317"/>
      <c r="DG142" s="4317"/>
      <c r="DH142" s="4317"/>
      <c r="DI142" s="4317"/>
      <c r="DJ142" s="4317"/>
      <c r="DK142" s="4317"/>
      <c r="DL142" s="4317"/>
      <c r="DM142" s="4317"/>
      <c r="DN142" s="4317"/>
      <c r="DO142" s="4317"/>
      <c r="DP142" s="4317"/>
      <c r="DQ142" s="4317"/>
      <c r="DR142" s="4317"/>
      <c r="DS142" s="4317"/>
    </row>
    <row r="143" s="4134" customFormat="1" ht="16.5" customHeight="1" spans="1:123">
      <c r="A143" s="4304" t="s">
        <v>4529</v>
      </c>
      <c r="B143" s="4305"/>
      <c r="C143" s="4305"/>
      <c r="D143" s="4305"/>
      <c r="E143" s="4305"/>
      <c r="F143" s="4306">
        <f>SUM(F141:L142)</f>
        <v>245707</v>
      </c>
      <c r="G143" s="4306"/>
      <c r="H143" s="4306"/>
      <c r="I143" s="4306"/>
      <c r="J143" s="4306"/>
      <c r="K143" s="4306"/>
      <c r="L143" s="4306"/>
      <c r="M143" s="4295"/>
      <c r="N143" s="4295"/>
      <c r="O143" s="4320" t="s">
        <v>4728</v>
      </c>
      <c r="P143" s="4317"/>
      <c r="Q143" s="4295"/>
      <c r="R143" s="4317"/>
      <c r="S143" s="4317"/>
      <c r="T143" s="4317"/>
      <c r="U143" s="4317"/>
      <c r="V143" s="4317"/>
      <c r="W143" s="4317"/>
      <c r="X143" s="4317"/>
      <c r="Y143" s="4317"/>
      <c r="Z143" s="4317"/>
      <c r="AA143" s="4317"/>
      <c r="AB143" s="4317"/>
      <c r="AC143" s="4295"/>
      <c r="AD143" s="4295"/>
      <c r="AE143" s="4317"/>
      <c r="AF143" s="4319"/>
      <c r="AG143" s="4319"/>
      <c r="AH143" s="4317"/>
      <c r="AI143" s="4317"/>
      <c r="AJ143" s="4317"/>
      <c r="AK143" s="4317"/>
      <c r="AL143" s="4317"/>
      <c r="AM143" s="4317"/>
      <c r="AN143" s="4317"/>
      <c r="AO143" s="4317"/>
      <c r="AP143" s="4317"/>
      <c r="AQ143" s="4317"/>
      <c r="AR143" s="4317"/>
      <c r="AS143" s="4317"/>
      <c r="AT143" s="4317"/>
      <c r="AU143" s="4317"/>
      <c r="AV143" s="4317"/>
      <c r="AW143" s="4317"/>
      <c r="AX143" s="4317"/>
      <c r="AY143" s="4317"/>
      <c r="AZ143" s="4317"/>
      <c r="BA143" s="4317"/>
      <c r="BB143" s="4317"/>
      <c r="BC143" s="4317"/>
      <c r="BD143" s="4317"/>
      <c r="BE143" s="4317"/>
      <c r="BF143" s="4317"/>
      <c r="BG143" s="4317"/>
      <c r="BH143" s="4317"/>
      <c r="BI143" s="4317"/>
      <c r="BJ143" s="4317"/>
      <c r="BK143" s="4317"/>
      <c r="BL143" s="4317"/>
      <c r="BM143" s="4317"/>
      <c r="BN143" s="4317"/>
      <c r="BO143" s="4317"/>
      <c r="BP143" s="4317"/>
      <c r="BQ143" s="4317"/>
      <c r="BR143" s="4317"/>
      <c r="BS143" s="4317"/>
      <c r="BT143" s="4317"/>
      <c r="BU143" s="4317"/>
      <c r="BV143" s="4317"/>
      <c r="BW143" s="4317"/>
      <c r="BX143" s="4317"/>
      <c r="BY143" s="4317"/>
      <c r="BZ143" s="4317"/>
      <c r="CA143" s="4317"/>
      <c r="CB143" s="4317"/>
      <c r="CC143" s="4317"/>
      <c r="CD143" s="4317"/>
      <c r="CE143" s="4317"/>
      <c r="CF143" s="4317"/>
      <c r="CG143" s="4317"/>
      <c r="CH143" s="4317"/>
      <c r="CI143" s="4317"/>
      <c r="CJ143" s="4317"/>
      <c r="CK143" s="4317"/>
      <c r="CL143" s="4317"/>
      <c r="CM143" s="4317"/>
      <c r="CN143" s="4317"/>
      <c r="CO143" s="4317"/>
      <c r="CP143" s="4317"/>
      <c r="CQ143" s="4317"/>
      <c r="CR143" s="4317"/>
      <c r="CS143" s="4317"/>
      <c r="CT143" s="4317"/>
      <c r="CU143" s="4317"/>
      <c r="CV143" s="4317"/>
      <c r="CW143" s="4317"/>
      <c r="CX143" s="4317"/>
      <c r="CY143" s="4317"/>
      <c r="CZ143" s="4317"/>
      <c r="DA143" s="4317"/>
      <c r="DB143" s="4317"/>
      <c r="DC143" s="4317"/>
      <c r="DD143" s="4317"/>
      <c r="DE143" s="4317"/>
      <c r="DF143" s="4317"/>
      <c r="DG143" s="4317"/>
      <c r="DH143" s="4317"/>
      <c r="DI143" s="4317"/>
      <c r="DJ143" s="4317"/>
      <c r="DK143" s="4317"/>
      <c r="DL143" s="4317"/>
      <c r="DM143" s="4317"/>
      <c r="DN143" s="4317"/>
      <c r="DO143" s="4317"/>
      <c r="DP143" s="4317"/>
      <c r="DQ143" s="4317"/>
      <c r="DR143" s="4317"/>
      <c r="DS143" s="4317"/>
    </row>
    <row r="144" s="4134" customFormat="1" ht="16.5" customHeight="1" spans="1:123">
      <c r="A144" s="4298" t="s">
        <v>4729</v>
      </c>
      <c r="B144" s="4299"/>
      <c r="C144" s="4299"/>
      <c r="D144" s="4299"/>
      <c r="E144" s="4299"/>
      <c r="F144" s="4300"/>
      <c r="G144" s="4300"/>
      <c r="H144" s="4300"/>
      <c r="I144" s="4300"/>
      <c r="J144" s="4300"/>
      <c r="K144" s="4300"/>
      <c r="L144" s="4300"/>
      <c r="M144" s="4295"/>
      <c r="N144" s="4295"/>
      <c r="O144" s="4316" t="s">
        <v>4730</v>
      </c>
      <c r="P144" s="4317"/>
      <c r="Q144" s="4295"/>
      <c r="R144" s="4317"/>
      <c r="S144" s="4317"/>
      <c r="T144" s="4317"/>
      <c r="U144" s="4317"/>
      <c r="V144" s="4317"/>
      <c r="W144" s="4317"/>
      <c r="X144" s="4317"/>
      <c r="Y144" s="4317"/>
      <c r="Z144" s="4317"/>
      <c r="AA144" s="4317"/>
      <c r="AB144" s="4317"/>
      <c r="AC144" s="4295"/>
      <c r="AD144" s="4295"/>
      <c r="AE144" s="4317"/>
      <c r="AF144" s="4317"/>
      <c r="AG144" s="4317"/>
      <c r="AH144" s="4317"/>
      <c r="AI144" s="4317"/>
      <c r="AJ144" s="4317"/>
      <c r="AK144" s="4317"/>
      <c r="AL144" s="4317"/>
      <c r="AM144" s="4317"/>
      <c r="AN144" s="4317"/>
      <c r="AO144" s="4317"/>
      <c r="AP144" s="4317"/>
      <c r="AQ144" s="4317"/>
      <c r="AR144" s="4317"/>
      <c r="AS144" s="4317"/>
      <c r="AT144" s="4317"/>
      <c r="AU144" s="4317"/>
      <c r="AV144" s="4317"/>
      <c r="AW144" s="4317"/>
      <c r="AX144" s="4317"/>
      <c r="AY144" s="4317"/>
      <c r="AZ144" s="4317"/>
      <c r="BA144" s="4317"/>
      <c r="BB144" s="4317"/>
      <c r="BC144" s="4317"/>
      <c r="BD144" s="4317"/>
      <c r="BE144" s="4317"/>
      <c r="BF144" s="4317"/>
      <c r="BG144" s="4317"/>
      <c r="BH144" s="4317"/>
      <c r="BI144" s="4317"/>
      <c r="BJ144" s="4317"/>
      <c r="BK144" s="4317"/>
      <c r="BL144" s="4317"/>
      <c r="BM144" s="4317"/>
      <c r="BN144" s="4317"/>
      <c r="BO144" s="4317"/>
      <c r="BP144" s="4317"/>
      <c r="BQ144" s="4317"/>
      <c r="BR144" s="4317"/>
      <c r="BS144" s="4317"/>
      <c r="BT144" s="4317"/>
      <c r="BU144" s="4317"/>
      <c r="BV144" s="4317"/>
      <c r="BW144" s="4317"/>
      <c r="BX144" s="4317"/>
      <c r="BY144" s="4317"/>
      <c r="BZ144" s="4317"/>
      <c r="CA144" s="4317"/>
      <c r="CB144" s="4317"/>
      <c r="CC144" s="4317"/>
      <c r="CD144" s="4317"/>
      <c r="CE144" s="4317"/>
      <c r="CF144" s="4317"/>
      <c r="CG144" s="4317"/>
      <c r="CH144" s="4317"/>
      <c r="CI144" s="4317"/>
      <c r="CJ144" s="4317"/>
      <c r="CK144" s="4317"/>
      <c r="CL144" s="4317"/>
      <c r="CM144" s="4317"/>
      <c r="CN144" s="4317"/>
      <c r="CO144" s="4317"/>
      <c r="CP144" s="4317"/>
      <c r="CQ144" s="4317"/>
      <c r="CR144" s="4317"/>
      <c r="CS144" s="4317"/>
      <c r="CT144" s="4317"/>
      <c r="CU144" s="4317"/>
      <c r="CV144" s="4317"/>
      <c r="CW144" s="4317"/>
      <c r="CX144" s="4317"/>
      <c r="CY144" s="4317"/>
      <c r="CZ144" s="4317"/>
      <c r="DA144" s="4317"/>
      <c r="DB144" s="4317"/>
      <c r="DC144" s="4317"/>
      <c r="DD144" s="4317"/>
      <c r="DE144" s="4317"/>
      <c r="DF144" s="4317"/>
      <c r="DG144" s="4317"/>
      <c r="DH144" s="4317"/>
      <c r="DI144" s="4317"/>
      <c r="DJ144" s="4317"/>
      <c r="DK144" s="4317"/>
      <c r="DL144" s="4317"/>
      <c r="DM144" s="4317"/>
      <c r="DN144" s="4317"/>
      <c r="DO144" s="4317"/>
      <c r="DP144" s="4317"/>
      <c r="DQ144" s="4317"/>
      <c r="DR144" s="4317"/>
      <c r="DS144" s="4317"/>
    </row>
    <row r="145" s="4134" customFormat="1" ht="16.5" customHeight="1" spans="1:123">
      <c r="A145" s="4298" t="s">
        <v>4731</v>
      </c>
      <c r="B145" s="4299"/>
      <c r="C145" s="4299"/>
      <c r="D145" s="4299"/>
      <c r="E145" s="4299"/>
      <c r="F145" s="4300"/>
      <c r="G145" s="4300"/>
      <c r="H145" s="4300"/>
      <c r="I145" s="4300"/>
      <c r="J145" s="4300"/>
      <c r="K145" s="4300"/>
      <c r="L145" s="4300"/>
      <c r="M145" s="4295"/>
      <c r="N145" s="4295"/>
      <c r="O145" s="4316" t="s">
        <v>4732</v>
      </c>
      <c r="P145" s="4317"/>
      <c r="Q145" s="4295"/>
      <c r="R145" s="4317"/>
      <c r="S145" s="4317"/>
      <c r="T145" s="4317"/>
      <c r="U145" s="4317"/>
      <c r="V145" s="4317"/>
      <c r="W145" s="4317"/>
      <c r="X145" s="4317"/>
      <c r="Y145" s="4317"/>
      <c r="Z145" s="4317"/>
      <c r="AA145" s="4317"/>
      <c r="AB145" s="4317"/>
      <c r="AC145" s="4295"/>
      <c r="AD145" s="4295"/>
      <c r="AE145" s="4317"/>
      <c r="AF145" s="4317"/>
      <c r="AG145" s="4317"/>
      <c r="AH145" s="4317"/>
      <c r="AI145" s="4317"/>
      <c r="AJ145" s="4317"/>
      <c r="AK145" s="4317"/>
      <c r="AL145" s="4317"/>
      <c r="AM145" s="4317"/>
      <c r="AN145" s="4317"/>
      <c r="AO145" s="4317"/>
      <c r="AP145" s="4317"/>
      <c r="AQ145" s="4317"/>
      <c r="AR145" s="4317"/>
      <c r="AS145" s="4317"/>
      <c r="AT145" s="4317"/>
      <c r="AU145" s="4317"/>
      <c r="AV145" s="4317"/>
      <c r="AW145" s="4317"/>
      <c r="AX145" s="4317"/>
      <c r="AY145" s="4317"/>
      <c r="AZ145" s="4317"/>
      <c r="BA145" s="4317"/>
      <c r="BB145" s="4317"/>
      <c r="BC145" s="4317"/>
      <c r="BD145" s="4317"/>
      <c r="BE145" s="4317"/>
      <c r="BF145" s="4317"/>
      <c r="BG145" s="4317"/>
      <c r="BH145" s="4317"/>
      <c r="BI145" s="4317"/>
      <c r="BJ145" s="4317"/>
      <c r="BK145" s="4317"/>
      <c r="BL145" s="4317"/>
      <c r="BM145" s="4317"/>
      <c r="BN145" s="4317"/>
      <c r="BO145" s="4317"/>
      <c r="BP145" s="4317"/>
      <c r="BQ145" s="4317"/>
      <c r="BR145" s="4317"/>
      <c r="BS145" s="4317"/>
      <c r="BT145" s="4317"/>
      <c r="BU145" s="4317"/>
      <c r="BV145" s="4317"/>
      <c r="BW145" s="4317"/>
      <c r="BX145" s="4317"/>
      <c r="BY145" s="4317"/>
      <c r="BZ145" s="4317"/>
      <c r="CA145" s="4317"/>
      <c r="CB145" s="4317"/>
      <c r="CC145" s="4317"/>
      <c r="CD145" s="4317"/>
      <c r="CE145" s="4317"/>
      <c r="CF145" s="4317"/>
      <c r="CG145" s="4317"/>
      <c r="CH145" s="4317"/>
      <c r="CI145" s="4317"/>
      <c r="CJ145" s="4317"/>
      <c r="CK145" s="4317"/>
      <c r="CL145" s="4317"/>
      <c r="CM145" s="4317"/>
      <c r="CN145" s="4317"/>
      <c r="CO145" s="4317"/>
      <c r="CP145" s="4317"/>
      <c r="CQ145" s="4317"/>
      <c r="CR145" s="4317"/>
      <c r="CS145" s="4317"/>
      <c r="CT145" s="4317"/>
      <c r="CU145" s="4317"/>
      <c r="CV145" s="4317"/>
      <c r="CW145" s="4317"/>
      <c r="CX145" s="4317"/>
      <c r="CY145" s="4317"/>
      <c r="CZ145" s="4317"/>
      <c r="DA145" s="4317"/>
      <c r="DB145" s="4317"/>
      <c r="DC145" s="4317"/>
      <c r="DD145" s="4317"/>
      <c r="DE145" s="4317"/>
      <c r="DF145" s="4317"/>
      <c r="DG145" s="4317"/>
      <c r="DH145" s="4317"/>
      <c r="DI145" s="4317"/>
      <c r="DJ145" s="4317"/>
      <c r="DK145" s="4317"/>
      <c r="DL145" s="4317"/>
      <c r="DM145" s="4317"/>
      <c r="DN145" s="4317"/>
      <c r="DO145" s="4317"/>
      <c r="DP145" s="4317"/>
      <c r="DQ145" s="4317"/>
      <c r="DR145" s="4317"/>
      <c r="DS145" s="4317"/>
    </row>
    <row r="146" s="4134" customFormat="1" ht="16.5" customHeight="1" spans="1:123">
      <c r="A146" s="4304" t="s">
        <v>4530</v>
      </c>
      <c r="B146" s="4305"/>
      <c r="C146" s="4305"/>
      <c r="D146" s="4305"/>
      <c r="E146" s="4305"/>
      <c r="F146" s="4306">
        <f>SUM(F144:L145)</f>
        <v>0</v>
      </c>
      <c r="G146" s="4306"/>
      <c r="H146" s="4306"/>
      <c r="I146" s="4306"/>
      <c r="J146" s="4306"/>
      <c r="K146" s="4306"/>
      <c r="L146" s="4306"/>
      <c r="M146" s="4295"/>
      <c r="N146" s="4295"/>
      <c r="O146" s="4320" t="s">
        <v>4733</v>
      </c>
      <c r="P146" s="4317"/>
      <c r="Q146" s="4295"/>
      <c r="R146" s="4317"/>
      <c r="S146" s="4317"/>
      <c r="T146" s="4317"/>
      <c r="U146" s="4317"/>
      <c r="V146" s="4317"/>
      <c r="W146" s="4317"/>
      <c r="X146" s="4317"/>
      <c r="Y146" s="4317"/>
      <c r="Z146" s="4317"/>
      <c r="AA146" s="4317"/>
      <c r="AB146" s="4317"/>
      <c r="AC146" s="4295"/>
      <c r="AD146" s="4295"/>
      <c r="AE146" s="4317"/>
      <c r="AF146" s="4317"/>
      <c r="AG146" s="4317"/>
      <c r="AH146" s="4317"/>
      <c r="AI146" s="4317"/>
      <c r="AJ146" s="4317"/>
      <c r="AK146" s="4317"/>
      <c r="AL146" s="4317"/>
      <c r="AM146" s="4317"/>
      <c r="AN146" s="4317"/>
      <c r="AO146" s="4317"/>
      <c r="AP146" s="4317"/>
      <c r="AQ146" s="4317"/>
      <c r="AR146" s="4317"/>
      <c r="AS146" s="4317"/>
      <c r="AT146" s="4317"/>
      <c r="AU146" s="4317"/>
      <c r="AV146" s="4317"/>
      <c r="AW146" s="4317"/>
      <c r="AX146" s="4317"/>
      <c r="AY146" s="4317"/>
      <c r="AZ146" s="4317"/>
      <c r="BA146" s="4317"/>
      <c r="BB146" s="4317"/>
      <c r="BC146" s="4317"/>
      <c r="BD146" s="4317"/>
      <c r="BE146" s="4317"/>
      <c r="BF146" s="4317"/>
      <c r="BG146" s="4317"/>
      <c r="BH146" s="4317"/>
      <c r="BI146" s="4317"/>
      <c r="BJ146" s="4317"/>
      <c r="BK146" s="4317"/>
      <c r="BL146" s="4317"/>
      <c r="BM146" s="4317"/>
      <c r="BN146" s="4317"/>
      <c r="BO146" s="4317"/>
      <c r="BP146" s="4317"/>
      <c r="BQ146" s="4317"/>
      <c r="BR146" s="4317"/>
      <c r="BS146" s="4317"/>
      <c r="BT146" s="4317"/>
      <c r="BU146" s="4317"/>
      <c r="BV146" s="4317"/>
      <c r="BW146" s="4317"/>
      <c r="BX146" s="4317"/>
      <c r="BY146" s="4317"/>
      <c r="BZ146" s="4317"/>
      <c r="CA146" s="4317"/>
      <c r="CB146" s="4317"/>
      <c r="CC146" s="4317"/>
      <c r="CD146" s="4317"/>
      <c r="CE146" s="4317"/>
      <c r="CF146" s="4317"/>
      <c r="CG146" s="4317"/>
      <c r="CH146" s="4317"/>
      <c r="CI146" s="4317"/>
      <c r="CJ146" s="4317"/>
      <c r="CK146" s="4317"/>
      <c r="CL146" s="4317"/>
      <c r="CM146" s="4317"/>
      <c r="CN146" s="4317"/>
      <c r="CO146" s="4317"/>
      <c r="CP146" s="4317"/>
      <c r="CQ146" s="4317"/>
      <c r="CR146" s="4317"/>
      <c r="CS146" s="4317"/>
      <c r="CT146" s="4317"/>
      <c r="CU146" s="4317"/>
      <c r="CV146" s="4317"/>
      <c r="CW146" s="4317"/>
      <c r="CX146" s="4317"/>
      <c r="CY146" s="4317"/>
      <c r="CZ146" s="4317"/>
      <c r="DA146" s="4317"/>
      <c r="DB146" s="4317"/>
      <c r="DC146" s="4317"/>
      <c r="DD146" s="4317"/>
      <c r="DE146" s="4317"/>
      <c r="DF146" s="4317"/>
      <c r="DG146" s="4317"/>
      <c r="DH146" s="4317"/>
      <c r="DI146" s="4317"/>
      <c r="DJ146" s="4317"/>
      <c r="DK146" s="4317"/>
      <c r="DL146" s="4317"/>
      <c r="DM146" s="4317"/>
      <c r="DN146" s="4317"/>
      <c r="DO146" s="4317"/>
      <c r="DP146" s="4317"/>
      <c r="DQ146" s="4317"/>
      <c r="DR146" s="4317"/>
      <c r="DS146" s="4317"/>
    </row>
    <row r="147" s="4134" customFormat="1" ht="16.5" customHeight="1" spans="1:123">
      <c r="A147" s="4298" t="s">
        <v>4734</v>
      </c>
      <c r="B147" s="4298"/>
      <c r="C147" s="4298"/>
      <c r="D147" s="4298"/>
      <c r="E147" s="4298"/>
      <c r="F147" s="4309"/>
      <c r="G147" s="4309"/>
      <c r="H147" s="4309"/>
      <c r="I147" s="4309"/>
      <c r="J147" s="4309"/>
      <c r="K147" s="4309"/>
      <c r="L147" s="4309"/>
      <c r="M147" s="4295"/>
      <c r="N147" s="4295"/>
      <c r="O147" s="4316" t="s">
        <v>4735</v>
      </c>
      <c r="P147" s="4317"/>
      <c r="Q147" s="4295"/>
      <c r="R147" s="4317"/>
      <c r="S147" s="4317"/>
      <c r="T147" s="4317"/>
      <c r="U147" s="4317"/>
      <c r="V147" s="4317"/>
      <c r="W147" s="4317"/>
      <c r="X147" s="4317"/>
      <c r="Y147" s="4317"/>
      <c r="Z147" s="4317"/>
      <c r="AA147" s="4317"/>
      <c r="AB147" s="4317"/>
      <c r="AC147" s="4295"/>
      <c r="AD147" s="4295"/>
      <c r="AE147" s="4317"/>
      <c r="AF147" s="4319"/>
      <c r="AG147" s="4319"/>
      <c r="AH147" s="4317"/>
      <c r="AI147" s="4317"/>
      <c r="AJ147" s="4317"/>
      <c r="AK147" s="4317"/>
      <c r="AL147" s="4317"/>
      <c r="AM147" s="4317"/>
      <c r="AN147" s="4317"/>
      <c r="AO147" s="4317"/>
      <c r="AP147" s="4317"/>
      <c r="AQ147" s="4317"/>
      <c r="AR147" s="4317"/>
      <c r="AS147" s="4317"/>
      <c r="AT147" s="4317"/>
      <c r="AU147" s="4317"/>
      <c r="AV147" s="4317"/>
      <c r="AW147" s="4317"/>
      <c r="AX147" s="4317"/>
      <c r="AY147" s="4317"/>
      <c r="AZ147" s="4317"/>
      <c r="BA147" s="4317"/>
      <c r="BB147" s="4317"/>
      <c r="BC147" s="4317"/>
      <c r="BD147" s="4317"/>
      <c r="BE147" s="4317"/>
      <c r="BF147" s="4317"/>
      <c r="BG147" s="4317"/>
      <c r="BH147" s="4317"/>
      <c r="BI147" s="4317"/>
      <c r="BJ147" s="4317"/>
      <c r="BK147" s="4317"/>
      <c r="BL147" s="4317"/>
      <c r="BM147" s="4317"/>
      <c r="BN147" s="4317"/>
      <c r="BO147" s="4317"/>
      <c r="BP147" s="4317"/>
      <c r="BQ147" s="4317"/>
      <c r="BR147" s="4317"/>
      <c r="BS147" s="4317"/>
      <c r="BT147" s="4317"/>
      <c r="BU147" s="4317"/>
      <c r="BV147" s="4317"/>
      <c r="BW147" s="4317"/>
      <c r="BX147" s="4317"/>
      <c r="BY147" s="4317"/>
      <c r="BZ147" s="4317"/>
      <c r="CA147" s="4317"/>
      <c r="CB147" s="4317"/>
      <c r="CC147" s="4317"/>
      <c r="CD147" s="4317"/>
      <c r="CE147" s="4317"/>
      <c r="CF147" s="4317"/>
      <c r="CG147" s="4317"/>
      <c r="CH147" s="4317"/>
      <c r="CI147" s="4317"/>
      <c r="CJ147" s="4317"/>
      <c r="CK147" s="4317"/>
      <c r="CL147" s="4317"/>
      <c r="CM147" s="4317"/>
      <c r="CN147" s="4317"/>
      <c r="CO147" s="4317"/>
      <c r="CP147" s="4317"/>
      <c r="CQ147" s="4317"/>
      <c r="CR147" s="4317"/>
      <c r="CS147" s="4317"/>
      <c r="CT147" s="4317"/>
      <c r="CU147" s="4317"/>
      <c r="CV147" s="4317"/>
      <c r="CW147" s="4317"/>
      <c r="CX147" s="4317"/>
      <c r="CY147" s="4317"/>
      <c r="CZ147" s="4317"/>
      <c r="DA147" s="4317"/>
      <c r="DB147" s="4317"/>
      <c r="DC147" s="4317"/>
      <c r="DD147" s="4317"/>
      <c r="DE147" s="4317"/>
      <c r="DF147" s="4317"/>
      <c r="DG147" s="4317"/>
      <c r="DH147" s="4317"/>
      <c r="DI147" s="4317"/>
      <c r="DJ147" s="4317"/>
      <c r="DK147" s="4317"/>
      <c r="DL147" s="4317"/>
      <c r="DM147" s="4317"/>
      <c r="DN147" s="4317"/>
      <c r="DO147" s="4317"/>
      <c r="DP147" s="4317"/>
      <c r="DQ147" s="4317"/>
      <c r="DR147" s="4317"/>
      <c r="DS147" s="4317"/>
    </row>
    <row r="148" s="4134" customFormat="1" ht="16.5" customHeight="1" spans="1:123">
      <c r="A148" s="4298" t="s">
        <v>4736</v>
      </c>
      <c r="B148" s="4298"/>
      <c r="C148" s="4298"/>
      <c r="D148" s="4298"/>
      <c r="E148" s="4298"/>
      <c r="F148" s="4309"/>
      <c r="G148" s="4309"/>
      <c r="H148" s="4309"/>
      <c r="I148" s="4309"/>
      <c r="J148" s="4309"/>
      <c r="K148" s="4309"/>
      <c r="L148" s="4309"/>
      <c r="M148" s="4295"/>
      <c r="N148" s="4295"/>
      <c r="O148" s="4316" t="s">
        <v>4737</v>
      </c>
      <c r="P148" s="4317"/>
      <c r="Q148" s="4295"/>
      <c r="R148" s="4317"/>
      <c r="S148" s="4317"/>
      <c r="T148" s="4317"/>
      <c r="U148" s="4317"/>
      <c r="V148" s="4317"/>
      <c r="W148" s="4317"/>
      <c r="X148" s="4317"/>
      <c r="Y148" s="4317"/>
      <c r="Z148" s="4317"/>
      <c r="AA148" s="4317"/>
      <c r="AB148" s="4317"/>
      <c r="AC148" s="4295"/>
      <c r="AD148" s="4295"/>
      <c r="AE148" s="4317"/>
      <c r="AF148" s="4319"/>
      <c r="AG148" s="4319"/>
      <c r="AH148" s="4317"/>
      <c r="AI148" s="4317"/>
      <c r="AJ148" s="4317"/>
      <c r="AK148" s="4317"/>
      <c r="AL148" s="4317"/>
      <c r="AM148" s="4317"/>
      <c r="AN148" s="4317"/>
      <c r="AO148" s="4317"/>
      <c r="AP148" s="4317"/>
      <c r="AQ148" s="4317"/>
      <c r="AR148" s="4317"/>
      <c r="AS148" s="4317"/>
      <c r="AT148" s="4317"/>
      <c r="AU148" s="4317"/>
      <c r="AV148" s="4317"/>
      <c r="AW148" s="4317"/>
      <c r="AX148" s="4317"/>
      <c r="AY148" s="4317"/>
      <c r="AZ148" s="4317"/>
      <c r="BA148" s="4317"/>
      <c r="BB148" s="4317"/>
      <c r="BC148" s="4317"/>
      <c r="BD148" s="4317"/>
      <c r="BE148" s="4317"/>
      <c r="BF148" s="4317"/>
      <c r="BG148" s="4317"/>
      <c r="BH148" s="4317"/>
      <c r="BI148" s="4317"/>
      <c r="BJ148" s="4317"/>
      <c r="BK148" s="4317"/>
      <c r="BL148" s="4317"/>
      <c r="BM148" s="4317"/>
      <c r="BN148" s="4317"/>
      <c r="BO148" s="4317"/>
      <c r="BP148" s="4317"/>
      <c r="BQ148" s="4317"/>
      <c r="BR148" s="4317"/>
      <c r="BS148" s="4317"/>
      <c r="BT148" s="4317"/>
      <c r="BU148" s="4317"/>
      <c r="BV148" s="4317"/>
      <c r="BW148" s="4317"/>
      <c r="BX148" s="4317"/>
      <c r="BY148" s="4317"/>
      <c r="BZ148" s="4317"/>
      <c r="CA148" s="4317"/>
      <c r="CB148" s="4317"/>
      <c r="CC148" s="4317"/>
      <c r="CD148" s="4317"/>
      <c r="CE148" s="4317"/>
      <c r="CF148" s="4317"/>
      <c r="CG148" s="4317"/>
      <c r="CH148" s="4317"/>
      <c r="CI148" s="4317"/>
      <c r="CJ148" s="4317"/>
      <c r="CK148" s="4317"/>
      <c r="CL148" s="4317"/>
      <c r="CM148" s="4317"/>
      <c r="CN148" s="4317"/>
      <c r="CO148" s="4317"/>
      <c r="CP148" s="4317"/>
      <c r="CQ148" s="4317"/>
      <c r="CR148" s="4317"/>
      <c r="CS148" s="4317"/>
      <c r="CT148" s="4317"/>
      <c r="CU148" s="4317"/>
      <c r="CV148" s="4317"/>
      <c r="CW148" s="4317"/>
      <c r="CX148" s="4317"/>
      <c r="CY148" s="4317"/>
      <c r="CZ148" s="4317"/>
      <c r="DA148" s="4317"/>
      <c r="DB148" s="4317"/>
      <c r="DC148" s="4317"/>
      <c r="DD148" s="4317"/>
      <c r="DE148" s="4317"/>
      <c r="DF148" s="4317"/>
      <c r="DG148" s="4317"/>
      <c r="DH148" s="4317"/>
      <c r="DI148" s="4317"/>
      <c r="DJ148" s="4317"/>
      <c r="DK148" s="4317"/>
      <c r="DL148" s="4317"/>
      <c r="DM148" s="4317"/>
      <c r="DN148" s="4317"/>
      <c r="DO148" s="4317"/>
      <c r="DP148" s="4317"/>
      <c r="DQ148" s="4317"/>
      <c r="DR148" s="4317"/>
      <c r="DS148" s="4317"/>
    </row>
    <row r="149" s="4134" customFormat="1" ht="16.5" customHeight="1" spans="1:123">
      <c r="A149" s="4298" t="s">
        <v>4738</v>
      </c>
      <c r="B149" s="4298"/>
      <c r="C149" s="4298"/>
      <c r="D149" s="4298"/>
      <c r="E149" s="4298"/>
      <c r="F149" s="4309"/>
      <c r="G149" s="4309"/>
      <c r="H149" s="4309"/>
      <c r="I149" s="4309"/>
      <c r="J149" s="4309"/>
      <c r="K149" s="4309"/>
      <c r="L149" s="4309"/>
      <c r="M149" s="4295"/>
      <c r="N149" s="4295"/>
      <c r="O149" s="4316" t="s">
        <v>4739</v>
      </c>
      <c r="P149" s="4317"/>
      <c r="Q149" s="4295"/>
      <c r="R149" s="4317"/>
      <c r="S149" s="4317"/>
      <c r="T149" s="4317"/>
      <c r="U149" s="4317"/>
      <c r="V149" s="4317"/>
      <c r="W149" s="4317"/>
      <c r="X149" s="4317"/>
      <c r="Y149" s="4317"/>
      <c r="Z149" s="4317"/>
      <c r="AA149" s="4317"/>
      <c r="AB149" s="4317"/>
      <c r="AC149" s="4295"/>
      <c r="AD149" s="4295"/>
      <c r="AE149" s="4317"/>
      <c r="AF149" s="4319"/>
      <c r="AG149" s="4319"/>
      <c r="AH149" s="4317"/>
      <c r="AI149" s="4317"/>
      <c r="AJ149" s="4317"/>
      <c r="AK149" s="4317"/>
      <c r="AL149" s="4317"/>
      <c r="AM149" s="4317"/>
      <c r="AN149" s="4317"/>
      <c r="AO149" s="4317"/>
      <c r="AP149" s="4317"/>
      <c r="AQ149" s="4317"/>
      <c r="AR149" s="4317"/>
      <c r="AS149" s="4317"/>
      <c r="AT149" s="4317"/>
      <c r="AU149" s="4317"/>
      <c r="AV149" s="4317"/>
      <c r="AW149" s="4317"/>
      <c r="AX149" s="4317"/>
      <c r="AY149" s="4317"/>
      <c r="AZ149" s="4317"/>
      <c r="BA149" s="4317"/>
      <c r="BB149" s="4317"/>
      <c r="BC149" s="4317"/>
      <c r="BD149" s="4317"/>
      <c r="BE149" s="4317"/>
      <c r="BF149" s="4317"/>
      <c r="BG149" s="4317"/>
      <c r="BH149" s="4317"/>
      <c r="BI149" s="4317"/>
      <c r="BJ149" s="4317"/>
      <c r="BK149" s="4317"/>
      <c r="BL149" s="4317"/>
      <c r="BM149" s="4317"/>
      <c r="BN149" s="4317"/>
      <c r="BO149" s="4317"/>
      <c r="BP149" s="4317"/>
      <c r="BQ149" s="4317"/>
      <c r="BR149" s="4317"/>
      <c r="BS149" s="4317"/>
      <c r="BT149" s="4317"/>
      <c r="BU149" s="4317"/>
      <c r="BV149" s="4317"/>
      <c r="BW149" s="4317"/>
      <c r="BX149" s="4317"/>
      <c r="BY149" s="4317"/>
      <c r="BZ149" s="4317"/>
      <c r="CA149" s="4317"/>
      <c r="CB149" s="4317"/>
      <c r="CC149" s="4317"/>
      <c r="CD149" s="4317"/>
      <c r="CE149" s="4317"/>
      <c r="CF149" s="4317"/>
      <c r="CG149" s="4317"/>
      <c r="CH149" s="4317"/>
      <c r="CI149" s="4317"/>
      <c r="CJ149" s="4317"/>
      <c r="CK149" s="4317"/>
      <c r="CL149" s="4317"/>
      <c r="CM149" s="4317"/>
      <c r="CN149" s="4317"/>
      <c r="CO149" s="4317"/>
      <c r="CP149" s="4317"/>
      <c r="CQ149" s="4317"/>
      <c r="CR149" s="4317"/>
      <c r="CS149" s="4317"/>
      <c r="CT149" s="4317"/>
      <c r="CU149" s="4317"/>
      <c r="CV149" s="4317"/>
      <c r="CW149" s="4317"/>
      <c r="CX149" s="4317"/>
      <c r="CY149" s="4317"/>
      <c r="CZ149" s="4317"/>
      <c r="DA149" s="4317"/>
      <c r="DB149" s="4317"/>
      <c r="DC149" s="4317"/>
      <c r="DD149" s="4317"/>
      <c r="DE149" s="4317"/>
      <c r="DF149" s="4317"/>
      <c r="DG149" s="4317"/>
      <c r="DH149" s="4317"/>
      <c r="DI149" s="4317"/>
      <c r="DJ149" s="4317"/>
      <c r="DK149" s="4317"/>
      <c r="DL149" s="4317"/>
      <c r="DM149" s="4317"/>
      <c r="DN149" s="4317"/>
      <c r="DO149" s="4317"/>
      <c r="DP149" s="4317"/>
      <c r="DQ149" s="4317"/>
      <c r="DR149" s="4317"/>
      <c r="DS149" s="4317"/>
    </row>
    <row r="150" s="4134" customFormat="1" ht="16.5" customHeight="1" spans="1:123">
      <c r="A150" s="4304" t="s">
        <v>4531</v>
      </c>
      <c r="B150" s="4305"/>
      <c r="C150" s="4305"/>
      <c r="D150" s="4305"/>
      <c r="E150" s="4305"/>
      <c r="F150" s="4310">
        <f>SUM(F147:L149)</f>
        <v>0</v>
      </c>
      <c r="G150" s="4310"/>
      <c r="H150" s="4310"/>
      <c r="I150" s="4310"/>
      <c r="J150" s="4310"/>
      <c r="K150" s="4310"/>
      <c r="L150" s="4310"/>
      <c r="M150" s="4295"/>
      <c r="N150" s="4295"/>
      <c r="O150" s="4318" t="s">
        <v>4717</v>
      </c>
      <c r="P150" s="4317"/>
      <c r="Q150" s="4295"/>
      <c r="R150" s="4317"/>
      <c r="S150" s="4317"/>
      <c r="T150" s="4317"/>
      <c r="U150" s="4317"/>
      <c r="V150" s="4317"/>
      <c r="W150" s="4317"/>
      <c r="X150" s="4317"/>
      <c r="Y150" s="4317"/>
      <c r="Z150" s="4317"/>
      <c r="AA150" s="4317"/>
      <c r="AB150" s="4317"/>
      <c r="AC150" s="4295"/>
      <c r="AD150" s="4295"/>
      <c r="AE150" s="4317"/>
      <c r="AF150" s="4317"/>
      <c r="AG150" s="4317"/>
      <c r="AH150" s="4317"/>
      <c r="AI150" s="4317"/>
      <c r="AJ150" s="4317"/>
      <c r="AK150" s="4317"/>
      <c r="AL150" s="4317"/>
      <c r="AM150" s="4317"/>
      <c r="AN150" s="4317"/>
      <c r="AO150" s="4317"/>
      <c r="AP150" s="4317"/>
      <c r="AQ150" s="4317"/>
      <c r="AR150" s="4317"/>
      <c r="AS150" s="4317"/>
      <c r="AT150" s="4317"/>
      <c r="AU150" s="4317"/>
      <c r="AV150" s="4317"/>
      <c r="AW150" s="4317"/>
      <c r="AX150" s="4317"/>
      <c r="AY150" s="4317"/>
      <c r="AZ150" s="4317"/>
      <c r="BA150" s="4317"/>
      <c r="BB150" s="4317"/>
      <c r="BC150" s="4317"/>
      <c r="BD150" s="4317"/>
      <c r="BE150" s="4317"/>
      <c r="BF150" s="4317"/>
      <c r="BG150" s="4317"/>
      <c r="BH150" s="4317"/>
      <c r="BI150" s="4317"/>
      <c r="BJ150" s="4317"/>
      <c r="BK150" s="4317"/>
      <c r="BL150" s="4317"/>
      <c r="BM150" s="4317"/>
      <c r="BN150" s="4317"/>
      <c r="BO150" s="4317"/>
      <c r="BP150" s="4317"/>
      <c r="BQ150" s="4317"/>
      <c r="BR150" s="4317"/>
      <c r="BS150" s="4317"/>
      <c r="BT150" s="4317"/>
      <c r="BU150" s="4317"/>
      <c r="BV150" s="4317"/>
      <c r="BW150" s="4317"/>
      <c r="BX150" s="4317"/>
      <c r="BY150" s="4317"/>
      <c r="BZ150" s="4317"/>
      <c r="CA150" s="4317"/>
      <c r="CB150" s="4317"/>
      <c r="CC150" s="4317"/>
      <c r="CD150" s="4317"/>
      <c r="CE150" s="4317"/>
      <c r="CF150" s="4317"/>
      <c r="CG150" s="4317"/>
      <c r="CH150" s="4317"/>
      <c r="CI150" s="4317"/>
      <c r="CJ150" s="4317"/>
      <c r="CK150" s="4317"/>
      <c r="CL150" s="4317"/>
      <c r="CM150" s="4317"/>
      <c r="CN150" s="4317"/>
      <c r="CO150" s="4317"/>
      <c r="CP150" s="4317"/>
      <c r="CQ150" s="4317"/>
      <c r="CR150" s="4317"/>
      <c r="CS150" s="4317"/>
      <c r="CT150" s="4317"/>
      <c r="CU150" s="4317"/>
      <c r="CV150" s="4317"/>
      <c r="CW150" s="4317"/>
      <c r="CX150" s="4317"/>
      <c r="CY150" s="4317"/>
      <c r="CZ150" s="4317"/>
      <c r="DA150" s="4317"/>
      <c r="DB150" s="4317"/>
      <c r="DC150" s="4317"/>
      <c r="DD150" s="4317"/>
      <c r="DE150" s="4317"/>
      <c r="DF150" s="4317"/>
      <c r="DG150" s="4317"/>
      <c r="DH150" s="4317"/>
      <c r="DI150" s="4317"/>
      <c r="DJ150" s="4317"/>
      <c r="DK150" s="4317"/>
      <c r="DL150" s="4317"/>
      <c r="DM150" s="4317"/>
      <c r="DN150" s="4317"/>
      <c r="DO150" s="4317"/>
      <c r="DP150" s="4317"/>
      <c r="DQ150" s="4317"/>
      <c r="DR150" s="4317"/>
      <c r="DS150" s="4317"/>
    </row>
    <row r="151" s="4134" customFormat="1" ht="16.5" customHeight="1" spans="1:123">
      <c r="A151" s="4312" t="s">
        <v>4740</v>
      </c>
      <c r="B151" s="4313"/>
      <c r="C151" s="4313"/>
      <c r="D151" s="4313"/>
      <c r="E151" s="4313"/>
      <c r="F151" s="4314">
        <f>F140+F143+F146-F150</f>
        <v>245707</v>
      </c>
      <c r="G151" s="4314"/>
      <c r="H151" s="4314"/>
      <c r="I151" s="4314"/>
      <c r="J151" s="4314"/>
      <c r="K151" s="4314"/>
      <c r="L151" s="4314"/>
      <c r="M151" s="4295"/>
      <c r="N151" s="4295"/>
      <c r="O151" s="4323" t="s">
        <v>2558</v>
      </c>
      <c r="P151" s="4317"/>
      <c r="Q151" s="4295"/>
      <c r="R151" s="4317"/>
      <c r="S151" s="4317"/>
      <c r="T151" s="4317"/>
      <c r="U151" s="4317"/>
      <c r="V151" s="4317"/>
      <c r="W151" s="4317"/>
      <c r="X151" s="4317"/>
      <c r="Y151" s="4317"/>
      <c r="Z151" s="4317"/>
      <c r="AA151" s="4317"/>
      <c r="AB151" s="4317"/>
      <c r="AC151" s="4295"/>
      <c r="AD151" s="4295"/>
      <c r="AE151" s="4317"/>
      <c r="AF151" s="4317"/>
      <c r="AG151" s="4317"/>
      <c r="AH151" s="4317"/>
      <c r="AI151" s="4317"/>
      <c r="AJ151" s="4317"/>
      <c r="AK151" s="4317"/>
      <c r="AL151" s="4317"/>
      <c r="AM151" s="4317"/>
      <c r="AN151" s="4317"/>
      <c r="AO151" s="4317"/>
      <c r="AP151" s="4317"/>
      <c r="AQ151" s="4317"/>
      <c r="AR151" s="4317"/>
      <c r="AS151" s="4317"/>
      <c r="AT151" s="4317"/>
      <c r="AU151" s="4317"/>
      <c r="AV151" s="4317"/>
      <c r="AW151" s="4317"/>
      <c r="AX151" s="4317"/>
      <c r="AY151" s="4317"/>
      <c r="AZ151" s="4317"/>
      <c r="BA151" s="4317"/>
      <c r="BB151" s="4317"/>
      <c r="BC151" s="4317"/>
      <c r="BD151" s="4317"/>
      <c r="BE151" s="4317"/>
      <c r="BF151" s="4317"/>
      <c r="BG151" s="4317"/>
      <c r="BH151" s="4317"/>
      <c r="BI151" s="4317"/>
      <c r="BJ151" s="4317"/>
      <c r="BK151" s="4317"/>
      <c r="BL151" s="4317"/>
      <c r="BM151" s="4317"/>
      <c r="BN151" s="4317"/>
      <c r="BO151" s="4317"/>
      <c r="BP151" s="4317"/>
      <c r="BQ151" s="4317"/>
      <c r="BR151" s="4317"/>
      <c r="BS151" s="4317"/>
      <c r="BT151" s="4317"/>
      <c r="BU151" s="4317"/>
      <c r="BV151" s="4317"/>
      <c r="BW151" s="4317"/>
      <c r="BX151" s="4317"/>
      <c r="BY151" s="4317"/>
      <c r="BZ151" s="4317"/>
      <c r="CA151" s="4317"/>
      <c r="CB151" s="4317"/>
      <c r="CC151" s="4317"/>
      <c r="CD151" s="4317"/>
      <c r="CE151" s="4317"/>
      <c r="CF151" s="4317"/>
      <c r="CG151" s="4317"/>
      <c r="CH151" s="4317"/>
      <c r="CI151" s="4317"/>
      <c r="CJ151" s="4317"/>
      <c r="CK151" s="4317"/>
      <c r="CL151" s="4317"/>
      <c r="CM151" s="4317"/>
      <c r="CN151" s="4317"/>
      <c r="CO151" s="4317"/>
      <c r="CP151" s="4317"/>
      <c r="CQ151" s="4317"/>
      <c r="CR151" s="4317"/>
      <c r="CS151" s="4317"/>
      <c r="CT151" s="4317"/>
      <c r="CU151" s="4317"/>
      <c r="CV151" s="4317"/>
      <c r="CW151" s="4317"/>
      <c r="CX151" s="4317"/>
      <c r="CY151" s="4317"/>
      <c r="CZ151" s="4317"/>
      <c r="DA151" s="4317"/>
      <c r="DB151" s="4317"/>
      <c r="DC151" s="4317"/>
      <c r="DD151" s="4317"/>
      <c r="DE151" s="4317"/>
      <c r="DF151" s="4317"/>
      <c r="DG151" s="4317"/>
      <c r="DH151" s="4317"/>
      <c r="DI151" s="4317"/>
      <c r="DJ151" s="4317"/>
      <c r="DK151" s="4317"/>
      <c r="DL151" s="4317"/>
      <c r="DM151" s="4317"/>
      <c r="DN151" s="4317"/>
      <c r="DO151" s="4317"/>
      <c r="DP151" s="4317"/>
      <c r="DQ151" s="4317"/>
      <c r="DR151" s="4317"/>
      <c r="DS151" s="4317"/>
    </row>
    <row r="152" s="4134" customFormat="1" ht="16.5" customHeight="1" spans="1:123">
      <c r="A152" s="4304" t="s">
        <v>4548</v>
      </c>
      <c r="B152" s="4324"/>
      <c r="C152" s="4324"/>
      <c r="D152" s="4324"/>
      <c r="E152" s="4324"/>
      <c r="F152" s="4300"/>
      <c r="G152" s="4300"/>
      <c r="H152" s="4300"/>
      <c r="I152" s="4300"/>
      <c r="J152" s="4300"/>
      <c r="K152" s="4300"/>
      <c r="L152" s="4300"/>
      <c r="M152" s="4295"/>
      <c r="N152" s="4295"/>
      <c r="O152" s="4319" t="s">
        <v>4741</v>
      </c>
      <c r="P152" s="4317"/>
      <c r="Q152" s="4295"/>
      <c r="R152" s="4317"/>
      <c r="S152" s="4317"/>
      <c r="T152" s="4317"/>
      <c r="U152" s="4317"/>
      <c r="V152" s="4317"/>
      <c r="W152" s="4317"/>
      <c r="X152" s="4317"/>
      <c r="Y152" s="4317"/>
      <c r="Z152" s="4317"/>
      <c r="AA152" s="4317"/>
      <c r="AB152" s="4317"/>
      <c r="AC152" s="4295"/>
      <c r="AD152" s="4295"/>
      <c r="AE152" s="4317"/>
      <c r="AF152" s="4317"/>
      <c r="AG152" s="4317"/>
      <c r="AH152" s="4317"/>
      <c r="AI152" s="4317"/>
      <c r="AJ152" s="4317"/>
      <c r="AK152" s="4317"/>
      <c r="AL152" s="4317"/>
      <c r="AM152" s="4317"/>
      <c r="AN152" s="4317"/>
      <c r="AO152" s="4317"/>
      <c r="AP152" s="4317"/>
      <c r="AQ152" s="4317"/>
      <c r="AR152" s="4317"/>
      <c r="AS152" s="4317"/>
      <c r="AT152" s="4317"/>
      <c r="AU152" s="4317"/>
      <c r="AV152" s="4317"/>
      <c r="AW152" s="4317"/>
      <c r="AX152" s="4317"/>
      <c r="AY152" s="4317"/>
      <c r="AZ152" s="4317"/>
      <c r="BA152" s="4317"/>
      <c r="BB152" s="4317"/>
      <c r="BC152" s="4317"/>
      <c r="BD152" s="4317"/>
      <c r="BE152" s="4317"/>
      <c r="BF152" s="4317"/>
      <c r="BG152" s="4317"/>
      <c r="BH152" s="4317"/>
      <c r="BI152" s="4317"/>
      <c r="BJ152" s="4317"/>
      <c r="BK152" s="4317"/>
      <c r="BL152" s="4317"/>
      <c r="BM152" s="4317"/>
      <c r="BN152" s="4317"/>
      <c r="BO152" s="4317"/>
      <c r="BP152" s="4317"/>
      <c r="BQ152" s="4317"/>
      <c r="BR152" s="4317"/>
      <c r="BS152" s="4317"/>
      <c r="BT152" s="4317"/>
      <c r="BU152" s="4317"/>
      <c r="BV152" s="4317"/>
      <c r="BW152" s="4317"/>
      <c r="BX152" s="4317"/>
      <c r="BY152" s="4317"/>
      <c r="BZ152" s="4317"/>
      <c r="CA152" s="4317"/>
      <c r="CB152" s="4317"/>
      <c r="CC152" s="4317"/>
      <c r="CD152" s="4317"/>
      <c r="CE152" s="4317"/>
      <c r="CF152" s="4317"/>
      <c r="CG152" s="4317"/>
      <c r="CH152" s="4317"/>
      <c r="CI152" s="4317"/>
      <c r="CJ152" s="4317"/>
      <c r="CK152" s="4317"/>
      <c r="CL152" s="4317"/>
      <c r="CM152" s="4317"/>
      <c r="CN152" s="4317"/>
      <c r="CO152" s="4317"/>
      <c r="CP152" s="4317"/>
      <c r="CQ152" s="4317"/>
      <c r="CR152" s="4317"/>
      <c r="CS152" s="4317"/>
      <c r="CT152" s="4317"/>
      <c r="CU152" s="4317"/>
      <c r="CV152" s="4317"/>
      <c r="CW152" s="4317"/>
      <c r="CX152" s="4317"/>
      <c r="CY152" s="4317"/>
      <c r="CZ152" s="4317"/>
      <c r="DA152" s="4317"/>
      <c r="DB152" s="4317"/>
      <c r="DC152" s="4317"/>
      <c r="DD152" s="4317"/>
      <c r="DE152" s="4317"/>
      <c r="DF152" s="4317"/>
      <c r="DG152" s="4317"/>
      <c r="DH152" s="4317"/>
      <c r="DI152" s="4317"/>
      <c r="DJ152" s="4317"/>
      <c r="DK152" s="4317"/>
      <c r="DL152" s="4317"/>
      <c r="DM152" s="4317"/>
      <c r="DN152" s="4317"/>
      <c r="DO152" s="4317"/>
      <c r="DP152" s="4317"/>
      <c r="DQ152" s="4317"/>
      <c r="DR152" s="4317"/>
      <c r="DS152" s="4317"/>
    </row>
    <row r="153" s="4134" customFormat="1" ht="16.5" customHeight="1" spans="1:123">
      <c r="A153" s="4304" t="s">
        <v>4549</v>
      </c>
      <c r="B153" s="4324"/>
      <c r="C153" s="4324"/>
      <c r="D153" s="4324"/>
      <c r="E153" s="4324"/>
      <c r="F153" s="4300"/>
      <c r="G153" s="4300"/>
      <c r="H153" s="4300"/>
      <c r="I153" s="4300"/>
      <c r="J153" s="4300"/>
      <c r="K153" s="4300"/>
      <c r="L153" s="4300"/>
      <c r="M153" s="4295"/>
      <c r="N153" s="4295"/>
      <c r="O153" s="4319" t="s">
        <v>4742</v>
      </c>
      <c r="P153" s="4317"/>
      <c r="Q153" s="4295"/>
      <c r="R153" s="4317"/>
      <c r="S153" s="4317"/>
      <c r="T153" s="4317"/>
      <c r="U153" s="4317"/>
      <c r="V153" s="4317"/>
      <c r="W153" s="4317"/>
      <c r="X153" s="4317"/>
      <c r="Y153" s="4317"/>
      <c r="Z153" s="4317"/>
      <c r="AA153" s="4317"/>
      <c r="AB153" s="4317"/>
      <c r="AC153" s="4295"/>
      <c r="AD153" s="4295"/>
      <c r="AE153" s="4317"/>
      <c r="AF153" s="4319"/>
      <c r="AG153" s="4319"/>
      <c r="AH153" s="4317"/>
      <c r="AI153" s="4317"/>
      <c r="AJ153" s="4317"/>
      <c r="AK153" s="4317"/>
      <c r="AL153" s="4317"/>
      <c r="AM153" s="4317"/>
      <c r="AN153" s="4317"/>
      <c r="AO153" s="4317"/>
      <c r="AP153" s="4317"/>
      <c r="AQ153" s="4317"/>
      <c r="AR153" s="4317"/>
      <c r="AS153" s="4317"/>
      <c r="AT153" s="4317"/>
      <c r="AU153" s="4317"/>
      <c r="AV153" s="4317"/>
      <c r="AW153" s="4317"/>
      <c r="AX153" s="4317"/>
      <c r="AY153" s="4317"/>
      <c r="AZ153" s="4317"/>
      <c r="BA153" s="4317"/>
      <c r="BB153" s="4317"/>
      <c r="BC153" s="4317"/>
      <c r="BD153" s="4317"/>
      <c r="BE153" s="4317"/>
      <c r="BF153" s="4317"/>
      <c r="BG153" s="4317"/>
      <c r="BH153" s="4317"/>
      <c r="BI153" s="4317"/>
      <c r="BJ153" s="4317"/>
      <c r="BK153" s="4317"/>
      <c r="BL153" s="4317"/>
      <c r="BM153" s="4317"/>
      <c r="BN153" s="4317"/>
      <c r="BO153" s="4317"/>
      <c r="BP153" s="4317"/>
      <c r="BQ153" s="4317"/>
      <c r="BR153" s="4317"/>
      <c r="BS153" s="4317"/>
      <c r="BT153" s="4317"/>
      <c r="BU153" s="4317"/>
      <c r="BV153" s="4317"/>
      <c r="BW153" s="4317"/>
      <c r="BX153" s="4317"/>
      <c r="BY153" s="4317"/>
      <c r="BZ153" s="4317"/>
      <c r="CA153" s="4317"/>
      <c r="CB153" s="4317"/>
      <c r="CC153" s="4317"/>
      <c r="CD153" s="4317"/>
      <c r="CE153" s="4317"/>
      <c r="CF153" s="4317"/>
      <c r="CG153" s="4317"/>
      <c r="CH153" s="4317"/>
      <c r="CI153" s="4317"/>
      <c r="CJ153" s="4317"/>
      <c r="CK153" s="4317"/>
      <c r="CL153" s="4317"/>
      <c r="CM153" s="4317"/>
      <c r="CN153" s="4317"/>
      <c r="CO153" s="4317"/>
      <c r="CP153" s="4317"/>
      <c r="CQ153" s="4317"/>
      <c r="CR153" s="4317"/>
      <c r="CS153" s="4317"/>
      <c r="CT153" s="4317"/>
      <c r="CU153" s="4317"/>
      <c r="CV153" s="4317"/>
      <c r="CW153" s="4317"/>
      <c r="CX153" s="4317"/>
      <c r="CY153" s="4317"/>
      <c r="CZ153" s="4317"/>
      <c r="DA153" s="4317"/>
      <c r="DB153" s="4317"/>
      <c r="DC153" s="4317"/>
      <c r="DD153" s="4317"/>
      <c r="DE153" s="4317"/>
      <c r="DF153" s="4317"/>
      <c r="DG153" s="4317"/>
      <c r="DH153" s="4317"/>
      <c r="DI153" s="4317"/>
      <c r="DJ153" s="4317"/>
      <c r="DK153" s="4317"/>
      <c r="DL153" s="4317"/>
      <c r="DM153" s="4317"/>
      <c r="DN153" s="4317"/>
      <c r="DO153" s="4317"/>
      <c r="DP153" s="4317"/>
      <c r="DQ153" s="4317"/>
      <c r="DR153" s="4317"/>
      <c r="DS153" s="4317"/>
    </row>
    <row r="154" s="4134" customFormat="1" ht="16.5" customHeight="1" spans="1:123">
      <c r="A154" s="4304" t="s">
        <v>4551</v>
      </c>
      <c r="B154" s="4324"/>
      <c r="C154" s="4324"/>
      <c r="D154" s="4324"/>
      <c r="E154" s="4324"/>
      <c r="F154" s="4309"/>
      <c r="G154" s="4309"/>
      <c r="H154" s="4309"/>
      <c r="I154" s="4309"/>
      <c r="J154" s="4309"/>
      <c r="K154" s="4309"/>
      <c r="L154" s="4309"/>
      <c r="M154" s="4295"/>
      <c r="N154" s="4295"/>
      <c r="O154" s="4319" t="s">
        <v>4743</v>
      </c>
      <c r="P154" s="4317"/>
      <c r="Q154" s="4295"/>
      <c r="R154" s="4317"/>
      <c r="S154" s="4317"/>
      <c r="T154" s="4317"/>
      <c r="U154" s="4317"/>
      <c r="V154" s="4317"/>
      <c r="W154" s="4317"/>
      <c r="X154" s="4317"/>
      <c r="Y154" s="4317"/>
      <c r="Z154" s="4317"/>
      <c r="AA154" s="4317"/>
      <c r="AB154" s="4317"/>
      <c r="AC154" s="4295"/>
      <c r="AD154" s="4295"/>
      <c r="AE154" s="4317"/>
      <c r="AF154" s="4318"/>
      <c r="AG154" s="4318"/>
      <c r="AH154" s="4317"/>
      <c r="AI154" s="4317"/>
      <c r="AJ154" s="4317"/>
      <c r="AK154" s="4317"/>
      <c r="AL154" s="4317"/>
      <c r="AM154" s="4317"/>
      <c r="AN154" s="4317"/>
      <c r="AO154" s="4317"/>
      <c r="AP154" s="4317"/>
      <c r="AQ154" s="4317"/>
      <c r="AR154" s="4317"/>
      <c r="AS154" s="4317"/>
      <c r="AT154" s="4317"/>
      <c r="AU154" s="4317"/>
      <c r="AV154" s="4317"/>
      <c r="AW154" s="4317"/>
      <c r="AX154" s="4317"/>
      <c r="AY154" s="4317"/>
      <c r="AZ154" s="4317"/>
      <c r="BA154" s="4317"/>
      <c r="BB154" s="4317"/>
      <c r="BC154" s="4317"/>
      <c r="BD154" s="4317"/>
      <c r="BE154" s="4317"/>
      <c r="BF154" s="4317"/>
      <c r="BG154" s="4317"/>
      <c r="BH154" s="4317"/>
      <c r="BI154" s="4317"/>
      <c r="BJ154" s="4317"/>
      <c r="BK154" s="4317"/>
      <c r="BL154" s="4317"/>
      <c r="BM154" s="4317"/>
      <c r="BN154" s="4317"/>
      <c r="BO154" s="4317"/>
      <c r="BP154" s="4317"/>
      <c r="BQ154" s="4317"/>
      <c r="BR154" s="4317"/>
      <c r="BS154" s="4317"/>
      <c r="BT154" s="4317"/>
      <c r="BU154" s="4317"/>
      <c r="BV154" s="4317"/>
      <c r="BW154" s="4317"/>
      <c r="BX154" s="4317"/>
      <c r="BY154" s="4317"/>
      <c r="BZ154" s="4317"/>
      <c r="CA154" s="4317"/>
      <c r="CB154" s="4317"/>
      <c r="CC154" s="4317"/>
      <c r="CD154" s="4317"/>
      <c r="CE154" s="4317"/>
      <c r="CF154" s="4317"/>
      <c r="CG154" s="4317"/>
      <c r="CH154" s="4317"/>
      <c r="CI154" s="4317"/>
      <c r="CJ154" s="4317"/>
      <c r="CK154" s="4317"/>
      <c r="CL154" s="4317"/>
      <c r="CM154" s="4317"/>
      <c r="CN154" s="4317"/>
      <c r="CO154" s="4317"/>
      <c r="CP154" s="4317"/>
      <c r="CQ154" s="4317"/>
      <c r="CR154" s="4317"/>
      <c r="CS154" s="4317"/>
      <c r="CT154" s="4317"/>
      <c r="CU154" s="4317"/>
      <c r="CV154" s="4317"/>
      <c r="CW154" s="4317"/>
      <c r="CX154" s="4317"/>
      <c r="CY154" s="4317"/>
      <c r="CZ154" s="4317"/>
      <c r="DA154" s="4317"/>
      <c r="DB154" s="4317"/>
      <c r="DC154" s="4317"/>
      <c r="DD154" s="4317"/>
      <c r="DE154" s="4317"/>
      <c r="DF154" s="4317"/>
      <c r="DG154" s="4317"/>
      <c r="DH154" s="4317"/>
      <c r="DI154" s="4317"/>
      <c r="DJ154" s="4317"/>
      <c r="DK154" s="4317"/>
      <c r="DL154" s="4317"/>
      <c r="DM154" s="4317"/>
      <c r="DN154" s="4317"/>
      <c r="DO154" s="4317"/>
      <c r="DP154" s="4317"/>
      <c r="DQ154" s="4317"/>
      <c r="DR154" s="4317"/>
      <c r="DS154" s="4317"/>
    </row>
    <row r="155" s="4134" customFormat="1" ht="16.5" customHeight="1" spans="1:123">
      <c r="A155" s="4304" t="s">
        <v>4552</v>
      </c>
      <c r="B155" s="4324"/>
      <c r="C155" s="4324"/>
      <c r="D155" s="4324"/>
      <c r="E155" s="4324"/>
      <c r="F155" s="4309"/>
      <c r="G155" s="4309"/>
      <c r="H155" s="4309"/>
      <c r="I155" s="4309"/>
      <c r="J155" s="4309"/>
      <c r="K155" s="4309"/>
      <c r="L155" s="4309"/>
      <c r="M155" s="4295"/>
      <c r="N155" s="4295"/>
      <c r="O155" s="4319" t="s">
        <v>4744</v>
      </c>
      <c r="P155" s="4317"/>
      <c r="Q155" s="4295"/>
      <c r="R155" s="4317"/>
      <c r="S155" s="4317"/>
      <c r="T155" s="4317"/>
      <c r="U155" s="4317"/>
      <c r="V155" s="4317"/>
      <c r="W155" s="4317"/>
      <c r="X155" s="4317"/>
      <c r="Y155" s="4317"/>
      <c r="Z155" s="4317"/>
      <c r="AA155" s="4317"/>
      <c r="AB155" s="4317"/>
      <c r="AC155" s="4295"/>
      <c r="AD155" s="4295"/>
      <c r="AE155" s="4317"/>
      <c r="AF155" s="4319"/>
      <c r="AG155" s="4319"/>
      <c r="AH155" s="4317"/>
      <c r="AI155" s="4317"/>
      <c r="AJ155" s="4317"/>
      <c r="AK155" s="4317"/>
      <c r="AL155" s="4317"/>
      <c r="AM155" s="4317"/>
      <c r="AN155" s="4317"/>
      <c r="AO155" s="4317"/>
      <c r="AP155" s="4317"/>
      <c r="AQ155" s="4317"/>
      <c r="AR155" s="4317"/>
      <c r="AS155" s="4317"/>
      <c r="AT155" s="4317"/>
      <c r="AU155" s="4317"/>
      <c r="AV155" s="4317"/>
      <c r="AW155" s="4317"/>
      <c r="AX155" s="4317"/>
      <c r="AY155" s="4317"/>
      <c r="AZ155" s="4317"/>
      <c r="BA155" s="4317"/>
      <c r="BB155" s="4317"/>
      <c r="BC155" s="4317"/>
      <c r="BD155" s="4317"/>
      <c r="BE155" s="4317"/>
      <c r="BF155" s="4317"/>
      <c r="BG155" s="4317"/>
      <c r="BH155" s="4317"/>
      <c r="BI155" s="4317"/>
      <c r="BJ155" s="4317"/>
      <c r="BK155" s="4317"/>
      <c r="BL155" s="4317"/>
      <c r="BM155" s="4317"/>
      <c r="BN155" s="4317"/>
      <c r="BO155" s="4317"/>
      <c r="BP155" s="4317"/>
      <c r="BQ155" s="4317"/>
      <c r="BR155" s="4317"/>
      <c r="BS155" s="4317"/>
      <c r="BT155" s="4317"/>
      <c r="BU155" s="4317"/>
      <c r="BV155" s="4317"/>
      <c r="BW155" s="4317"/>
      <c r="BX155" s="4317"/>
      <c r="BY155" s="4317"/>
      <c r="BZ155" s="4317"/>
      <c r="CA155" s="4317"/>
      <c r="CB155" s="4317"/>
      <c r="CC155" s="4317"/>
      <c r="CD155" s="4317"/>
      <c r="CE155" s="4317"/>
      <c r="CF155" s="4317"/>
      <c r="CG155" s="4317"/>
      <c r="CH155" s="4317"/>
      <c r="CI155" s="4317"/>
      <c r="CJ155" s="4317"/>
      <c r="CK155" s="4317"/>
      <c r="CL155" s="4317"/>
      <c r="CM155" s="4317"/>
      <c r="CN155" s="4317"/>
      <c r="CO155" s="4317"/>
      <c r="CP155" s="4317"/>
      <c r="CQ155" s="4317"/>
      <c r="CR155" s="4317"/>
      <c r="CS155" s="4317"/>
      <c r="CT155" s="4317"/>
      <c r="CU155" s="4317"/>
      <c r="CV155" s="4317"/>
      <c r="CW155" s="4317"/>
      <c r="CX155" s="4317"/>
      <c r="CY155" s="4317"/>
      <c r="CZ155" s="4317"/>
      <c r="DA155" s="4317"/>
      <c r="DB155" s="4317"/>
      <c r="DC155" s="4317"/>
      <c r="DD155" s="4317"/>
      <c r="DE155" s="4317"/>
      <c r="DF155" s="4317"/>
      <c r="DG155" s="4317"/>
      <c r="DH155" s="4317"/>
      <c r="DI155" s="4317"/>
      <c r="DJ155" s="4317"/>
      <c r="DK155" s="4317"/>
      <c r="DL155" s="4317"/>
      <c r="DM155" s="4317"/>
      <c r="DN155" s="4317"/>
      <c r="DO155" s="4317"/>
      <c r="DP155" s="4317"/>
      <c r="DQ155" s="4317"/>
      <c r="DR155" s="4317"/>
      <c r="DS155" s="4317"/>
    </row>
    <row r="156" s="4134" customFormat="1" ht="16.5" customHeight="1" spans="1:123">
      <c r="A156" s="4312" t="s">
        <v>4745</v>
      </c>
      <c r="B156" s="4313"/>
      <c r="C156" s="4313"/>
      <c r="D156" s="4313"/>
      <c r="E156" s="4313"/>
      <c r="F156" s="4314">
        <f>F152+F153-F154-F155</f>
        <v>0</v>
      </c>
      <c r="G156" s="4314"/>
      <c r="H156" s="4314"/>
      <c r="I156" s="4314"/>
      <c r="J156" s="4314"/>
      <c r="K156" s="4314"/>
      <c r="L156" s="4314"/>
      <c r="M156" s="4295"/>
      <c r="N156" s="4295"/>
      <c r="O156" s="4323" t="s">
        <v>4746</v>
      </c>
      <c r="P156" s="4317"/>
      <c r="Q156" s="4295"/>
      <c r="R156" s="4317"/>
      <c r="S156" s="4317"/>
      <c r="T156" s="4317"/>
      <c r="U156" s="4317"/>
      <c r="V156" s="4317"/>
      <c r="W156" s="4317"/>
      <c r="X156" s="4317"/>
      <c r="Y156" s="4317"/>
      <c r="Z156" s="4317"/>
      <c r="AA156" s="4317"/>
      <c r="AB156" s="4317"/>
      <c r="AC156" s="4295"/>
      <c r="AD156" s="4295"/>
      <c r="AE156" s="4317"/>
      <c r="AF156" s="4319"/>
      <c r="AG156" s="4319"/>
      <c r="AH156" s="4317"/>
      <c r="AI156" s="4317"/>
      <c r="AJ156" s="4317"/>
      <c r="AK156" s="4317"/>
      <c r="AL156" s="4317"/>
      <c r="AM156" s="4317"/>
      <c r="AN156" s="4317"/>
      <c r="AO156" s="4317"/>
      <c r="AP156" s="4317"/>
      <c r="AQ156" s="4317"/>
      <c r="AR156" s="4317"/>
      <c r="AS156" s="4317"/>
      <c r="AT156" s="4317"/>
      <c r="AU156" s="4317"/>
      <c r="AV156" s="4317"/>
      <c r="AW156" s="4317"/>
      <c r="AX156" s="4317"/>
      <c r="AY156" s="4317"/>
      <c r="AZ156" s="4317"/>
      <c r="BA156" s="4317"/>
      <c r="BB156" s="4317"/>
      <c r="BC156" s="4317"/>
      <c r="BD156" s="4317"/>
      <c r="BE156" s="4317"/>
      <c r="BF156" s="4317"/>
      <c r="BG156" s="4317"/>
      <c r="BH156" s="4317"/>
      <c r="BI156" s="4317"/>
      <c r="BJ156" s="4317"/>
      <c r="BK156" s="4317"/>
      <c r="BL156" s="4317"/>
      <c r="BM156" s="4317"/>
      <c r="BN156" s="4317"/>
      <c r="BO156" s="4317"/>
      <c r="BP156" s="4317"/>
      <c r="BQ156" s="4317"/>
      <c r="BR156" s="4317"/>
      <c r="BS156" s="4317"/>
      <c r="BT156" s="4317"/>
      <c r="BU156" s="4317"/>
      <c r="BV156" s="4317"/>
      <c r="BW156" s="4317"/>
      <c r="BX156" s="4317"/>
      <c r="BY156" s="4317"/>
      <c r="BZ156" s="4317"/>
      <c r="CA156" s="4317"/>
      <c r="CB156" s="4317"/>
      <c r="CC156" s="4317"/>
      <c r="CD156" s="4317"/>
      <c r="CE156" s="4317"/>
      <c r="CF156" s="4317"/>
      <c r="CG156" s="4317"/>
      <c r="CH156" s="4317"/>
      <c r="CI156" s="4317"/>
      <c r="CJ156" s="4317"/>
      <c r="CK156" s="4317"/>
      <c r="CL156" s="4317"/>
      <c r="CM156" s="4317"/>
      <c r="CN156" s="4317"/>
      <c r="CO156" s="4317"/>
      <c r="CP156" s="4317"/>
      <c r="CQ156" s="4317"/>
      <c r="CR156" s="4317"/>
      <c r="CS156" s="4317"/>
      <c r="CT156" s="4317"/>
      <c r="CU156" s="4317"/>
      <c r="CV156" s="4317"/>
      <c r="CW156" s="4317"/>
      <c r="CX156" s="4317"/>
      <c r="CY156" s="4317"/>
      <c r="CZ156" s="4317"/>
      <c r="DA156" s="4317"/>
      <c r="DB156" s="4317"/>
      <c r="DC156" s="4317"/>
      <c r="DD156" s="4317"/>
      <c r="DE156" s="4317"/>
      <c r="DF156" s="4317"/>
      <c r="DG156" s="4317"/>
      <c r="DH156" s="4317"/>
      <c r="DI156" s="4317"/>
      <c r="DJ156" s="4317"/>
      <c r="DK156" s="4317"/>
      <c r="DL156" s="4317"/>
      <c r="DM156" s="4317"/>
      <c r="DN156" s="4317"/>
      <c r="DO156" s="4317"/>
      <c r="DP156" s="4317"/>
      <c r="DQ156" s="4317"/>
      <c r="DR156" s="4317"/>
      <c r="DS156" s="4317"/>
    </row>
    <row r="157" s="4134" customFormat="1" ht="16.5" customHeight="1" spans="1:123">
      <c r="A157" s="4304" t="s">
        <v>4558</v>
      </c>
      <c r="B157" s="4324"/>
      <c r="C157" s="4324"/>
      <c r="D157" s="4324"/>
      <c r="E157" s="4324"/>
      <c r="F157" s="4300"/>
      <c r="G157" s="4300"/>
      <c r="H157" s="4300"/>
      <c r="I157" s="4300"/>
      <c r="J157" s="4300"/>
      <c r="K157" s="4300"/>
      <c r="L157" s="4300"/>
      <c r="M157" s="4295"/>
      <c r="N157" s="4295"/>
      <c r="O157" s="4319" t="s">
        <v>4747</v>
      </c>
      <c r="P157" s="4317"/>
      <c r="Q157" s="4295"/>
      <c r="R157" s="4317"/>
      <c r="S157" s="4317"/>
      <c r="T157" s="4317"/>
      <c r="U157" s="4317"/>
      <c r="V157" s="4317"/>
      <c r="W157" s="4317"/>
      <c r="X157" s="4317"/>
      <c r="Y157" s="4317"/>
      <c r="Z157" s="4317"/>
      <c r="AA157" s="4317"/>
      <c r="AB157" s="4317"/>
      <c r="AC157" s="4295"/>
      <c r="AD157" s="4295"/>
      <c r="AE157" s="4317"/>
      <c r="AF157" s="4319"/>
      <c r="AG157" s="4319"/>
      <c r="AH157" s="4317"/>
      <c r="AI157" s="4317"/>
      <c r="AJ157" s="4317"/>
      <c r="AK157" s="4317"/>
      <c r="AL157" s="4317"/>
      <c r="AM157" s="4317"/>
      <c r="AN157" s="4317"/>
      <c r="AO157" s="4317"/>
      <c r="AP157" s="4317"/>
      <c r="AQ157" s="4317"/>
      <c r="AR157" s="4317"/>
      <c r="AS157" s="4317"/>
      <c r="AT157" s="4317"/>
      <c r="AU157" s="4317"/>
      <c r="AV157" s="4317"/>
      <c r="AW157" s="4317"/>
      <c r="AX157" s="4317"/>
      <c r="AY157" s="4317"/>
      <c r="AZ157" s="4317"/>
      <c r="BA157" s="4317"/>
      <c r="BB157" s="4317"/>
      <c r="BC157" s="4317"/>
      <c r="BD157" s="4317"/>
      <c r="BE157" s="4317"/>
      <c r="BF157" s="4317"/>
      <c r="BG157" s="4317"/>
      <c r="BH157" s="4317"/>
      <c r="BI157" s="4317"/>
      <c r="BJ157" s="4317"/>
      <c r="BK157" s="4317"/>
      <c r="BL157" s="4317"/>
      <c r="BM157" s="4317"/>
      <c r="BN157" s="4317"/>
      <c r="BO157" s="4317"/>
      <c r="BP157" s="4317"/>
      <c r="BQ157" s="4317"/>
      <c r="BR157" s="4317"/>
      <c r="BS157" s="4317"/>
      <c r="BT157" s="4317"/>
      <c r="BU157" s="4317"/>
      <c r="BV157" s="4317"/>
      <c r="BW157" s="4317"/>
      <c r="BX157" s="4317"/>
      <c r="BY157" s="4317"/>
      <c r="BZ157" s="4317"/>
      <c r="CA157" s="4317"/>
      <c r="CB157" s="4317"/>
      <c r="CC157" s="4317"/>
      <c r="CD157" s="4317"/>
      <c r="CE157" s="4317"/>
      <c r="CF157" s="4317"/>
      <c r="CG157" s="4317"/>
      <c r="CH157" s="4317"/>
      <c r="CI157" s="4317"/>
      <c r="CJ157" s="4317"/>
      <c r="CK157" s="4317"/>
      <c r="CL157" s="4317"/>
      <c r="CM157" s="4317"/>
      <c r="CN157" s="4317"/>
      <c r="CO157" s="4317"/>
      <c r="CP157" s="4317"/>
      <c r="CQ157" s="4317"/>
      <c r="CR157" s="4317"/>
      <c r="CS157" s="4317"/>
      <c r="CT157" s="4317"/>
      <c r="CU157" s="4317"/>
      <c r="CV157" s="4317"/>
      <c r="CW157" s="4317"/>
      <c r="CX157" s="4317"/>
      <c r="CY157" s="4317"/>
      <c r="CZ157" s="4317"/>
      <c r="DA157" s="4317"/>
      <c r="DB157" s="4317"/>
      <c r="DC157" s="4317"/>
      <c r="DD157" s="4317"/>
      <c r="DE157" s="4317"/>
      <c r="DF157" s="4317"/>
      <c r="DG157" s="4317"/>
      <c r="DH157" s="4317"/>
      <c r="DI157" s="4317"/>
      <c r="DJ157" s="4317"/>
      <c r="DK157" s="4317"/>
      <c r="DL157" s="4317"/>
      <c r="DM157" s="4317"/>
      <c r="DN157" s="4317"/>
      <c r="DO157" s="4317"/>
      <c r="DP157" s="4317"/>
      <c r="DQ157" s="4317"/>
      <c r="DR157" s="4317"/>
      <c r="DS157" s="4317"/>
    </row>
    <row r="158" s="4134" customFormat="1" ht="16.5" customHeight="1" spans="1:123">
      <c r="A158" s="4304" t="s">
        <v>4559</v>
      </c>
      <c r="B158" s="4324"/>
      <c r="C158" s="4324"/>
      <c r="D158" s="4324"/>
      <c r="E158" s="4324"/>
      <c r="F158" s="4300"/>
      <c r="G158" s="4300"/>
      <c r="H158" s="4300"/>
      <c r="I158" s="4300"/>
      <c r="J158" s="4300"/>
      <c r="K158" s="4300"/>
      <c r="L158" s="4300"/>
      <c r="M158" s="4295"/>
      <c r="N158" s="4295"/>
      <c r="O158" s="4319" t="s">
        <v>4748</v>
      </c>
      <c r="P158" s="4317"/>
      <c r="Q158" s="4295"/>
      <c r="R158" s="4317"/>
      <c r="S158" s="4317"/>
      <c r="T158" s="4317"/>
      <c r="U158" s="4317"/>
      <c r="V158" s="4317"/>
      <c r="W158" s="4317"/>
      <c r="X158" s="4317"/>
      <c r="Y158" s="4317"/>
      <c r="Z158" s="4317"/>
      <c r="AA158" s="4317"/>
      <c r="AB158" s="4317"/>
      <c r="AC158" s="4295"/>
      <c r="AD158" s="4295"/>
      <c r="AE158" s="4317"/>
      <c r="AF158" s="4319"/>
      <c r="AG158" s="4319"/>
      <c r="AH158" s="4317"/>
      <c r="AI158" s="4317"/>
      <c r="AJ158" s="4317"/>
      <c r="AK158" s="4317"/>
      <c r="AL158" s="4317"/>
      <c r="AM158" s="4317"/>
      <c r="AN158" s="4317"/>
      <c r="AO158" s="4317"/>
      <c r="AP158" s="4317"/>
      <c r="AQ158" s="4317"/>
      <c r="AR158" s="4317"/>
      <c r="AS158" s="4317"/>
      <c r="AT158" s="4317"/>
      <c r="AU158" s="4317"/>
      <c r="AV158" s="4317"/>
      <c r="AW158" s="4317"/>
      <c r="AX158" s="4317"/>
      <c r="AY158" s="4317"/>
      <c r="AZ158" s="4317"/>
      <c r="BA158" s="4317"/>
      <c r="BB158" s="4317"/>
      <c r="BC158" s="4317"/>
      <c r="BD158" s="4317"/>
      <c r="BE158" s="4317"/>
      <c r="BF158" s="4317"/>
      <c r="BG158" s="4317"/>
      <c r="BH158" s="4317"/>
      <c r="BI158" s="4317"/>
      <c r="BJ158" s="4317"/>
      <c r="BK158" s="4317"/>
      <c r="BL158" s="4317"/>
      <c r="BM158" s="4317"/>
      <c r="BN158" s="4317"/>
      <c r="BO158" s="4317"/>
      <c r="BP158" s="4317"/>
      <c r="BQ158" s="4317"/>
      <c r="BR158" s="4317"/>
      <c r="BS158" s="4317"/>
      <c r="BT158" s="4317"/>
      <c r="BU158" s="4317"/>
      <c r="BV158" s="4317"/>
      <c r="BW158" s="4317"/>
      <c r="BX158" s="4317"/>
      <c r="BY158" s="4317"/>
      <c r="BZ158" s="4317"/>
      <c r="CA158" s="4317"/>
      <c r="CB158" s="4317"/>
      <c r="CC158" s="4317"/>
      <c r="CD158" s="4317"/>
      <c r="CE158" s="4317"/>
      <c r="CF158" s="4317"/>
      <c r="CG158" s="4317"/>
      <c r="CH158" s="4317"/>
      <c r="CI158" s="4317"/>
      <c r="CJ158" s="4317"/>
      <c r="CK158" s="4317"/>
      <c r="CL158" s="4317"/>
      <c r="CM158" s="4317"/>
      <c r="CN158" s="4317"/>
      <c r="CO158" s="4317"/>
      <c r="CP158" s="4317"/>
      <c r="CQ158" s="4317"/>
      <c r="CR158" s="4317"/>
      <c r="CS158" s="4317"/>
      <c r="CT158" s="4317"/>
      <c r="CU158" s="4317"/>
      <c r="CV158" s="4317"/>
      <c r="CW158" s="4317"/>
      <c r="CX158" s="4317"/>
      <c r="CY158" s="4317"/>
      <c r="CZ158" s="4317"/>
      <c r="DA158" s="4317"/>
      <c r="DB158" s="4317"/>
      <c r="DC158" s="4317"/>
      <c r="DD158" s="4317"/>
      <c r="DE158" s="4317"/>
      <c r="DF158" s="4317"/>
      <c r="DG158" s="4317"/>
      <c r="DH158" s="4317"/>
      <c r="DI158" s="4317"/>
      <c r="DJ158" s="4317"/>
      <c r="DK158" s="4317"/>
      <c r="DL158" s="4317"/>
      <c r="DM158" s="4317"/>
      <c r="DN158" s="4317"/>
      <c r="DO158" s="4317"/>
      <c r="DP158" s="4317"/>
      <c r="DQ158" s="4317"/>
      <c r="DR158" s="4317"/>
      <c r="DS158" s="4317"/>
    </row>
    <row r="159" s="4134" customFormat="1" ht="16.5" customHeight="1" spans="1:123">
      <c r="A159" s="4304" t="s">
        <v>4560</v>
      </c>
      <c r="B159" s="4324"/>
      <c r="C159" s="4324"/>
      <c r="D159" s="4324"/>
      <c r="E159" s="4324"/>
      <c r="F159" s="4300"/>
      <c r="G159" s="4300"/>
      <c r="H159" s="4300"/>
      <c r="I159" s="4300"/>
      <c r="J159" s="4300"/>
      <c r="K159" s="4300"/>
      <c r="L159" s="4300"/>
      <c r="M159" s="4295"/>
      <c r="N159" s="4295"/>
      <c r="O159" s="4319" t="s">
        <v>4749</v>
      </c>
      <c r="P159" s="4317"/>
      <c r="Q159" s="4295"/>
      <c r="R159" s="4317"/>
      <c r="S159" s="4317"/>
      <c r="T159" s="4317"/>
      <c r="U159" s="4317"/>
      <c r="V159" s="4317"/>
      <c r="W159" s="4317"/>
      <c r="X159" s="4317"/>
      <c r="Y159" s="4317"/>
      <c r="Z159" s="4317"/>
      <c r="AA159" s="4317"/>
      <c r="AB159" s="4317"/>
      <c r="AC159" s="4295"/>
      <c r="AD159" s="4295"/>
      <c r="AE159" s="4317"/>
      <c r="AF159" s="4319"/>
      <c r="AG159" s="4319"/>
      <c r="AH159" s="4317"/>
      <c r="AI159" s="4317"/>
      <c r="AJ159" s="4317"/>
      <c r="AK159" s="4317"/>
      <c r="AL159" s="4317"/>
      <c r="AM159" s="4317"/>
      <c r="AN159" s="4317"/>
      <c r="AO159" s="4317"/>
      <c r="AP159" s="4317"/>
      <c r="AQ159" s="4317"/>
      <c r="AR159" s="4317"/>
      <c r="AS159" s="4317"/>
      <c r="AT159" s="4317"/>
      <c r="AU159" s="4317"/>
      <c r="AV159" s="4317"/>
      <c r="AW159" s="4317"/>
      <c r="AX159" s="4317"/>
      <c r="AY159" s="4317"/>
      <c r="AZ159" s="4317"/>
      <c r="BA159" s="4317"/>
      <c r="BB159" s="4317"/>
      <c r="BC159" s="4317"/>
      <c r="BD159" s="4317"/>
      <c r="BE159" s="4317"/>
      <c r="BF159" s="4317"/>
      <c r="BG159" s="4317"/>
      <c r="BH159" s="4317"/>
      <c r="BI159" s="4317"/>
      <c r="BJ159" s="4317"/>
      <c r="BK159" s="4317"/>
      <c r="BL159" s="4317"/>
      <c r="BM159" s="4317"/>
      <c r="BN159" s="4317"/>
      <c r="BO159" s="4317"/>
      <c r="BP159" s="4317"/>
      <c r="BQ159" s="4317"/>
      <c r="BR159" s="4317"/>
      <c r="BS159" s="4317"/>
      <c r="BT159" s="4317"/>
      <c r="BU159" s="4317"/>
      <c r="BV159" s="4317"/>
      <c r="BW159" s="4317"/>
      <c r="BX159" s="4317"/>
      <c r="BY159" s="4317"/>
      <c r="BZ159" s="4317"/>
      <c r="CA159" s="4317"/>
      <c r="CB159" s="4317"/>
      <c r="CC159" s="4317"/>
      <c r="CD159" s="4317"/>
      <c r="CE159" s="4317"/>
      <c r="CF159" s="4317"/>
      <c r="CG159" s="4317"/>
      <c r="CH159" s="4317"/>
      <c r="CI159" s="4317"/>
      <c r="CJ159" s="4317"/>
      <c r="CK159" s="4317"/>
      <c r="CL159" s="4317"/>
      <c r="CM159" s="4317"/>
      <c r="CN159" s="4317"/>
      <c r="CO159" s="4317"/>
      <c r="CP159" s="4317"/>
      <c r="CQ159" s="4317"/>
      <c r="CR159" s="4317"/>
      <c r="CS159" s="4317"/>
      <c r="CT159" s="4317"/>
      <c r="CU159" s="4317"/>
      <c r="CV159" s="4317"/>
      <c r="CW159" s="4317"/>
      <c r="CX159" s="4317"/>
      <c r="CY159" s="4317"/>
      <c r="CZ159" s="4317"/>
      <c r="DA159" s="4317"/>
      <c r="DB159" s="4317"/>
      <c r="DC159" s="4317"/>
      <c r="DD159" s="4317"/>
      <c r="DE159" s="4317"/>
      <c r="DF159" s="4317"/>
      <c r="DG159" s="4317"/>
      <c r="DH159" s="4317"/>
      <c r="DI159" s="4317"/>
      <c r="DJ159" s="4317"/>
      <c r="DK159" s="4317"/>
      <c r="DL159" s="4317"/>
      <c r="DM159" s="4317"/>
      <c r="DN159" s="4317"/>
      <c r="DO159" s="4317"/>
      <c r="DP159" s="4317"/>
      <c r="DQ159" s="4317"/>
      <c r="DR159" s="4317"/>
      <c r="DS159" s="4317"/>
    </row>
    <row r="160" s="4134" customFormat="1" ht="16.5" customHeight="1" spans="1:123">
      <c r="A160" s="4304" t="s">
        <v>4561</v>
      </c>
      <c r="B160" s="4324"/>
      <c r="C160" s="4324"/>
      <c r="D160" s="4324"/>
      <c r="E160" s="4324"/>
      <c r="F160" s="4300"/>
      <c r="G160" s="4300"/>
      <c r="H160" s="4300"/>
      <c r="I160" s="4300"/>
      <c r="J160" s="4300"/>
      <c r="K160" s="4300"/>
      <c r="L160" s="4300"/>
      <c r="M160" s="4295"/>
      <c r="N160" s="4295"/>
      <c r="O160" s="4319" t="s">
        <v>4750</v>
      </c>
      <c r="P160" s="4317"/>
      <c r="Q160" s="4295"/>
      <c r="R160" s="4317"/>
      <c r="S160" s="4317"/>
      <c r="T160" s="4317"/>
      <c r="U160" s="4317"/>
      <c r="V160" s="4317"/>
      <c r="W160" s="4317"/>
      <c r="X160" s="4317"/>
      <c r="Y160" s="4317"/>
      <c r="Z160" s="4317"/>
      <c r="AA160" s="4317"/>
      <c r="AB160" s="4317"/>
      <c r="AC160" s="4295"/>
      <c r="AD160" s="4295"/>
      <c r="AE160" s="4317"/>
      <c r="AF160" s="4319"/>
      <c r="AG160" s="4319"/>
      <c r="AH160" s="4317"/>
      <c r="AI160" s="4317"/>
      <c r="AJ160" s="4317"/>
      <c r="AK160" s="4317"/>
      <c r="AL160" s="4317"/>
      <c r="AM160" s="4317"/>
      <c r="AN160" s="4317"/>
      <c r="AO160" s="4317"/>
      <c r="AP160" s="4317"/>
      <c r="AQ160" s="4317"/>
      <c r="AR160" s="4317"/>
      <c r="AS160" s="4317"/>
      <c r="AT160" s="4317"/>
      <c r="AU160" s="4317"/>
      <c r="AV160" s="4317"/>
      <c r="AW160" s="4317"/>
      <c r="AX160" s="4317"/>
      <c r="AY160" s="4317"/>
      <c r="AZ160" s="4317"/>
      <c r="BA160" s="4317"/>
      <c r="BB160" s="4317"/>
      <c r="BC160" s="4317"/>
      <c r="BD160" s="4317"/>
      <c r="BE160" s="4317"/>
      <c r="BF160" s="4317"/>
      <c r="BG160" s="4317"/>
      <c r="BH160" s="4317"/>
      <c r="BI160" s="4317"/>
      <c r="BJ160" s="4317"/>
      <c r="BK160" s="4317"/>
      <c r="BL160" s="4317"/>
      <c r="BM160" s="4317"/>
      <c r="BN160" s="4317"/>
      <c r="BO160" s="4317"/>
      <c r="BP160" s="4317"/>
      <c r="BQ160" s="4317"/>
      <c r="BR160" s="4317"/>
      <c r="BS160" s="4317"/>
      <c r="BT160" s="4317"/>
      <c r="BU160" s="4317"/>
      <c r="BV160" s="4317"/>
      <c r="BW160" s="4317"/>
      <c r="BX160" s="4317"/>
      <c r="BY160" s="4317"/>
      <c r="BZ160" s="4317"/>
      <c r="CA160" s="4317"/>
      <c r="CB160" s="4317"/>
      <c r="CC160" s="4317"/>
      <c r="CD160" s="4317"/>
      <c r="CE160" s="4317"/>
      <c r="CF160" s="4317"/>
      <c r="CG160" s="4317"/>
      <c r="CH160" s="4317"/>
      <c r="CI160" s="4317"/>
      <c r="CJ160" s="4317"/>
      <c r="CK160" s="4317"/>
      <c r="CL160" s="4317"/>
      <c r="CM160" s="4317"/>
      <c r="CN160" s="4317"/>
      <c r="CO160" s="4317"/>
      <c r="CP160" s="4317"/>
      <c r="CQ160" s="4317"/>
      <c r="CR160" s="4317"/>
      <c r="CS160" s="4317"/>
      <c r="CT160" s="4317"/>
      <c r="CU160" s="4317"/>
      <c r="CV160" s="4317"/>
      <c r="CW160" s="4317"/>
      <c r="CX160" s="4317"/>
      <c r="CY160" s="4317"/>
      <c r="CZ160" s="4317"/>
      <c r="DA160" s="4317"/>
      <c r="DB160" s="4317"/>
      <c r="DC160" s="4317"/>
      <c r="DD160" s="4317"/>
      <c r="DE160" s="4317"/>
      <c r="DF160" s="4317"/>
      <c r="DG160" s="4317"/>
      <c r="DH160" s="4317"/>
      <c r="DI160" s="4317"/>
      <c r="DJ160" s="4317"/>
      <c r="DK160" s="4317"/>
      <c r="DL160" s="4317"/>
      <c r="DM160" s="4317"/>
      <c r="DN160" s="4317"/>
      <c r="DO160" s="4317"/>
      <c r="DP160" s="4317"/>
      <c r="DQ160" s="4317"/>
      <c r="DR160" s="4317"/>
      <c r="DS160" s="4317"/>
    </row>
    <row r="161" s="4134" customFormat="1" ht="16.5" customHeight="1" spans="1:123">
      <c r="A161" s="4304" t="s">
        <v>4751</v>
      </c>
      <c r="B161" s="4324"/>
      <c r="C161" s="4324"/>
      <c r="D161" s="4324"/>
      <c r="E161" s="4324"/>
      <c r="F161" s="4300"/>
      <c r="G161" s="4300"/>
      <c r="H161" s="4300"/>
      <c r="I161" s="4300"/>
      <c r="J161" s="4300"/>
      <c r="K161" s="4300"/>
      <c r="L161" s="4300"/>
      <c r="M161" s="4295"/>
      <c r="N161" s="4295"/>
      <c r="O161" s="4319" t="s">
        <v>4752</v>
      </c>
      <c r="P161" s="4317"/>
      <c r="Q161" s="4295"/>
      <c r="R161" s="4317"/>
      <c r="S161" s="4317"/>
      <c r="T161" s="4317"/>
      <c r="U161" s="4317"/>
      <c r="V161" s="4317"/>
      <c r="W161" s="4317"/>
      <c r="X161" s="4317"/>
      <c r="Y161" s="4317"/>
      <c r="Z161" s="4317"/>
      <c r="AA161" s="4317"/>
      <c r="AB161" s="4317"/>
      <c r="AC161" s="4295"/>
      <c r="AD161" s="4295"/>
      <c r="AE161" s="4317"/>
      <c r="AF161" s="4319"/>
      <c r="AG161" s="4319"/>
      <c r="AH161" s="4317"/>
      <c r="AI161" s="4317"/>
      <c r="AJ161" s="4317"/>
      <c r="AK161" s="4317"/>
      <c r="AL161" s="4317"/>
      <c r="AM161" s="4317"/>
      <c r="AN161" s="4317"/>
      <c r="AO161" s="4317"/>
      <c r="AP161" s="4317"/>
      <c r="AQ161" s="4317"/>
      <c r="AR161" s="4317"/>
      <c r="AS161" s="4317"/>
      <c r="AT161" s="4317"/>
      <c r="AU161" s="4317"/>
      <c r="AV161" s="4317"/>
      <c r="AW161" s="4317"/>
      <c r="AX161" s="4317"/>
      <c r="AY161" s="4317"/>
      <c r="AZ161" s="4317"/>
      <c r="BA161" s="4317"/>
      <c r="BB161" s="4317"/>
      <c r="BC161" s="4317"/>
      <c r="BD161" s="4317"/>
      <c r="BE161" s="4317"/>
      <c r="BF161" s="4317"/>
      <c r="BG161" s="4317"/>
      <c r="BH161" s="4317"/>
      <c r="BI161" s="4317"/>
      <c r="BJ161" s="4317"/>
      <c r="BK161" s="4317"/>
      <c r="BL161" s="4317"/>
      <c r="BM161" s="4317"/>
      <c r="BN161" s="4317"/>
      <c r="BO161" s="4317"/>
      <c r="BP161" s="4317"/>
      <c r="BQ161" s="4317"/>
      <c r="BR161" s="4317"/>
      <c r="BS161" s="4317"/>
      <c r="BT161" s="4317"/>
      <c r="BU161" s="4317"/>
      <c r="BV161" s="4317"/>
      <c r="BW161" s="4317"/>
      <c r="BX161" s="4317"/>
      <c r="BY161" s="4317"/>
      <c r="BZ161" s="4317"/>
      <c r="CA161" s="4317"/>
      <c r="CB161" s="4317"/>
      <c r="CC161" s="4317"/>
      <c r="CD161" s="4317"/>
      <c r="CE161" s="4317"/>
      <c r="CF161" s="4317"/>
      <c r="CG161" s="4317"/>
      <c r="CH161" s="4317"/>
      <c r="CI161" s="4317"/>
      <c r="CJ161" s="4317"/>
      <c r="CK161" s="4317"/>
      <c r="CL161" s="4317"/>
      <c r="CM161" s="4317"/>
      <c r="CN161" s="4317"/>
      <c r="CO161" s="4317"/>
      <c r="CP161" s="4317"/>
      <c r="CQ161" s="4317"/>
      <c r="CR161" s="4317"/>
      <c r="CS161" s="4317"/>
      <c r="CT161" s="4317"/>
      <c r="CU161" s="4317"/>
      <c r="CV161" s="4317"/>
      <c r="CW161" s="4317"/>
      <c r="CX161" s="4317"/>
      <c r="CY161" s="4317"/>
      <c r="CZ161" s="4317"/>
      <c r="DA161" s="4317"/>
      <c r="DB161" s="4317"/>
      <c r="DC161" s="4317"/>
      <c r="DD161" s="4317"/>
      <c r="DE161" s="4317"/>
      <c r="DF161" s="4317"/>
      <c r="DG161" s="4317"/>
      <c r="DH161" s="4317"/>
      <c r="DI161" s="4317"/>
      <c r="DJ161" s="4317"/>
      <c r="DK161" s="4317"/>
      <c r="DL161" s="4317"/>
      <c r="DM161" s="4317"/>
      <c r="DN161" s="4317"/>
      <c r="DO161" s="4317"/>
      <c r="DP161" s="4317"/>
      <c r="DQ161" s="4317"/>
      <c r="DR161" s="4317"/>
      <c r="DS161" s="4317"/>
    </row>
    <row r="162" s="4134" customFormat="1" ht="16.5" customHeight="1" spans="1:123">
      <c r="A162" s="4304" t="s">
        <v>4753</v>
      </c>
      <c r="B162" s="4324"/>
      <c r="C162" s="4324"/>
      <c r="D162" s="4324"/>
      <c r="E162" s="4324"/>
      <c r="F162" s="4300"/>
      <c r="G162" s="4300"/>
      <c r="H162" s="4300"/>
      <c r="I162" s="4300"/>
      <c r="J162" s="4300"/>
      <c r="K162" s="4300"/>
      <c r="L162" s="4300"/>
      <c r="M162" s="4295"/>
      <c r="N162" s="4295"/>
      <c r="O162" s="4319" t="s">
        <v>4754</v>
      </c>
      <c r="P162" s="4317"/>
      <c r="Q162" s="4295"/>
      <c r="R162" s="4317"/>
      <c r="S162" s="4317"/>
      <c r="T162" s="4317"/>
      <c r="U162" s="4317"/>
      <c r="V162" s="4317"/>
      <c r="W162" s="4317"/>
      <c r="X162" s="4317"/>
      <c r="Y162" s="4317"/>
      <c r="Z162" s="4317"/>
      <c r="AA162" s="4317"/>
      <c r="AB162" s="4317"/>
      <c r="AC162" s="4295"/>
      <c r="AD162" s="4295"/>
      <c r="AE162" s="4317"/>
      <c r="AF162" s="4319"/>
      <c r="AG162" s="4319"/>
      <c r="AH162" s="4317"/>
      <c r="AI162" s="4317"/>
      <c r="AJ162" s="4317"/>
      <c r="AK162" s="4317"/>
      <c r="AL162" s="4317"/>
      <c r="AM162" s="4317"/>
      <c r="AN162" s="4317"/>
      <c r="AO162" s="4317"/>
      <c r="AP162" s="4317"/>
      <c r="AQ162" s="4317"/>
      <c r="AR162" s="4317"/>
      <c r="AS162" s="4317"/>
      <c r="AT162" s="4317"/>
      <c r="AU162" s="4317"/>
      <c r="AV162" s="4317"/>
      <c r="AW162" s="4317"/>
      <c r="AX162" s="4317"/>
      <c r="AY162" s="4317"/>
      <c r="AZ162" s="4317"/>
      <c r="BA162" s="4317"/>
      <c r="BB162" s="4317"/>
      <c r="BC162" s="4317"/>
      <c r="BD162" s="4317"/>
      <c r="BE162" s="4317"/>
      <c r="BF162" s="4317"/>
      <c r="BG162" s="4317"/>
      <c r="BH162" s="4317"/>
      <c r="BI162" s="4317"/>
      <c r="BJ162" s="4317"/>
      <c r="BK162" s="4317"/>
      <c r="BL162" s="4317"/>
      <c r="BM162" s="4317"/>
      <c r="BN162" s="4317"/>
      <c r="BO162" s="4317"/>
      <c r="BP162" s="4317"/>
      <c r="BQ162" s="4317"/>
      <c r="BR162" s="4317"/>
      <c r="BS162" s="4317"/>
      <c r="BT162" s="4317"/>
      <c r="BU162" s="4317"/>
      <c r="BV162" s="4317"/>
      <c r="BW162" s="4317"/>
      <c r="BX162" s="4317"/>
      <c r="BY162" s="4317"/>
      <c r="BZ162" s="4317"/>
      <c r="CA162" s="4317"/>
      <c r="CB162" s="4317"/>
      <c r="CC162" s="4317"/>
      <c r="CD162" s="4317"/>
      <c r="CE162" s="4317"/>
      <c r="CF162" s="4317"/>
      <c r="CG162" s="4317"/>
      <c r="CH162" s="4317"/>
      <c r="CI162" s="4317"/>
      <c r="CJ162" s="4317"/>
      <c r="CK162" s="4317"/>
      <c r="CL162" s="4317"/>
      <c r="CM162" s="4317"/>
      <c r="CN162" s="4317"/>
      <c r="CO162" s="4317"/>
      <c r="CP162" s="4317"/>
      <c r="CQ162" s="4317"/>
      <c r="CR162" s="4317"/>
      <c r="CS162" s="4317"/>
      <c r="CT162" s="4317"/>
      <c r="CU162" s="4317"/>
      <c r="CV162" s="4317"/>
      <c r="CW162" s="4317"/>
      <c r="CX162" s="4317"/>
      <c r="CY162" s="4317"/>
      <c r="CZ162" s="4317"/>
      <c r="DA162" s="4317"/>
      <c r="DB162" s="4317"/>
      <c r="DC162" s="4317"/>
      <c r="DD162" s="4317"/>
      <c r="DE162" s="4317"/>
      <c r="DF162" s="4317"/>
      <c r="DG162" s="4317"/>
      <c r="DH162" s="4317"/>
      <c r="DI162" s="4317"/>
      <c r="DJ162" s="4317"/>
      <c r="DK162" s="4317"/>
      <c r="DL162" s="4317"/>
      <c r="DM162" s="4317"/>
      <c r="DN162" s="4317"/>
      <c r="DO162" s="4317"/>
      <c r="DP162" s="4317"/>
      <c r="DQ162" s="4317"/>
      <c r="DR162" s="4317"/>
      <c r="DS162" s="4317"/>
    </row>
    <row r="163" s="4134" customFormat="1" ht="16.5" customHeight="1" spans="1:123">
      <c r="A163" s="4304" t="s">
        <v>4755</v>
      </c>
      <c r="B163" s="4324"/>
      <c r="C163" s="4324"/>
      <c r="D163" s="4324"/>
      <c r="E163" s="4324"/>
      <c r="F163" s="4300"/>
      <c r="G163" s="4300"/>
      <c r="H163" s="4300"/>
      <c r="I163" s="4300"/>
      <c r="J163" s="4300"/>
      <c r="K163" s="4300"/>
      <c r="L163" s="4300"/>
      <c r="M163" s="4295"/>
      <c r="N163" s="4295"/>
      <c r="O163" s="4319" t="s">
        <v>2844</v>
      </c>
      <c r="P163" s="4317"/>
      <c r="Q163" s="4295"/>
      <c r="R163" s="4317"/>
      <c r="S163" s="4317"/>
      <c r="T163" s="4317"/>
      <c r="U163" s="4317"/>
      <c r="V163" s="4317"/>
      <c r="W163" s="4317"/>
      <c r="X163" s="4317"/>
      <c r="Y163" s="4317"/>
      <c r="Z163" s="4317"/>
      <c r="AA163" s="4317"/>
      <c r="AB163" s="4317"/>
      <c r="AC163" s="4295"/>
      <c r="AD163" s="4295"/>
      <c r="AE163" s="4317"/>
      <c r="AF163" s="4319"/>
      <c r="AG163" s="4319"/>
      <c r="AH163" s="4317"/>
      <c r="AI163" s="4317"/>
      <c r="AJ163" s="4317"/>
      <c r="AK163" s="4317"/>
      <c r="AL163" s="4317"/>
      <c r="AM163" s="4317"/>
      <c r="AN163" s="4317"/>
      <c r="AO163" s="4317"/>
      <c r="AP163" s="4317"/>
      <c r="AQ163" s="4317"/>
      <c r="AR163" s="4317"/>
      <c r="AS163" s="4317"/>
      <c r="AT163" s="4317"/>
      <c r="AU163" s="4317"/>
      <c r="AV163" s="4317"/>
      <c r="AW163" s="4317"/>
      <c r="AX163" s="4317"/>
      <c r="AY163" s="4317"/>
      <c r="AZ163" s="4317"/>
      <c r="BA163" s="4317"/>
      <c r="BB163" s="4317"/>
      <c r="BC163" s="4317"/>
      <c r="BD163" s="4317"/>
      <c r="BE163" s="4317"/>
      <c r="BF163" s="4317"/>
      <c r="BG163" s="4317"/>
      <c r="BH163" s="4317"/>
      <c r="BI163" s="4317"/>
      <c r="BJ163" s="4317"/>
      <c r="BK163" s="4317"/>
      <c r="BL163" s="4317"/>
      <c r="BM163" s="4317"/>
      <c r="BN163" s="4317"/>
      <c r="BO163" s="4317"/>
      <c r="BP163" s="4317"/>
      <c r="BQ163" s="4317"/>
      <c r="BR163" s="4317"/>
      <c r="BS163" s="4317"/>
      <c r="BT163" s="4317"/>
      <c r="BU163" s="4317"/>
      <c r="BV163" s="4317"/>
      <c r="BW163" s="4317"/>
      <c r="BX163" s="4317"/>
      <c r="BY163" s="4317"/>
      <c r="BZ163" s="4317"/>
      <c r="CA163" s="4317"/>
      <c r="CB163" s="4317"/>
      <c r="CC163" s="4317"/>
      <c r="CD163" s="4317"/>
      <c r="CE163" s="4317"/>
      <c r="CF163" s="4317"/>
      <c r="CG163" s="4317"/>
      <c r="CH163" s="4317"/>
      <c r="CI163" s="4317"/>
      <c r="CJ163" s="4317"/>
      <c r="CK163" s="4317"/>
      <c r="CL163" s="4317"/>
      <c r="CM163" s="4317"/>
      <c r="CN163" s="4317"/>
      <c r="CO163" s="4317"/>
      <c r="CP163" s="4317"/>
      <c r="CQ163" s="4317"/>
      <c r="CR163" s="4317"/>
      <c r="CS163" s="4317"/>
      <c r="CT163" s="4317"/>
      <c r="CU163" s="4317"/>
      <c r="CV163" s="4317"/>
      <c r="CW163" s="4317"/>
      <c r="CX163" s="4317"/>
      <c r="CY163" s="4317"/>
      <c r="CZ163" s="4317"/>
      <c r="DA163" s="4317"/>
      <c r="DB163" s="4317"/>
      <c r="DC163" s="4317"/>
      <c r="DD163" s="4317"/>
      <c r="DE163" s="4317"/>
      <c r="DF163" s="4317"/>
      <c r="DG163" s="4317"/>
      <c r="DH163" s="4317"/>
      <c r="DI163" s="4317"/>
      <c r="DJ163" s="4317"/>
      <c r="DK163" s="4317"/>
      <c r="DL163" s="4317"/>
      <c r="DM163" s="4317"/>
      <c r="DN163" s="4317"/>
      <c r="DO163" s="4317"/>
      <c r="DP163" s="4317"/>
      <c r="DQ163" s="4317"/>
      <c r="DR163" s="4317"/>
      <c r="DS163" s="4317"/>
    </row>
    <row r="164" s="4134" customFormat="1" ht="16.5" customHeight="1" spans="1:123">
      <c r="A164" s="4304" t="s">
        <v>4756</v>
      </c>
      <c r="B164" s="4324"/>
      <c r="C164" s="4324"/>
      <c r="D164" s="4324"/>
      <c r="E164" s="4324"/>
      <c r="F164" s="4300"/>
      <c r="G164" s="4300"/>
      <c r="H164" s="4300"/>
      <c r="I164" s="4300"/>
      <c r="J164" s="4300"/>
      <c r="K164" s="4300"/>
      <c r="L164" s="4300"/>
      <c r="M164" s="4295"/>
      <c r="N164" s="4295"/>
      <c r="O164" s="4319" t="s">
        <v>4757</v>
      </c>
      <c r="P164" s="4317"/>
      <c r="Q164" s="4295"/>
      <c r="R164" s="4317"/>
      <c r="S164" s="4317"/>
      <c r="T164" s="4317"/>
      <c r="U164" s="4317"/>
      <c r="V164" s="4317"/>
      <c r="W164" s="4317"/>
      <c r="X164" s="4317"/>
      <c r="Y164" s="4317"/>
      <c r="Z164" s="4317"/>
      <c r="AA164" s="4317"/>
      <c r="AB164" s="4317"/>
      <c r="AC164" s="4295"/>
      <c r="AD164" s="4295"/>
      <c r="AE164" s="4317"/>
      <c r="AF164" s="4319"/>
      <c r="AG164" s="4319"/>
      <c r="AH164" s="4317"/>
      <c r="AI164" s="4317"/>
      <c r="AJ164" s="4317"/>
      <c r="AK164" s="4317"/>
      <c r="AL164" s="4317"/>
      <c r="AM164" s="4317"/>
      <c r="AN164" s="4317"/>
      <c r="AO164" s="4317"/>
      <c r="AP164" s="4317"/>
      <c r="AQ164" s="4317"/>
      <c r="AR164" s="4317"/>
      <c r="AS164" s="4317"/>
      <c r="AT164" s="4317"/>
      <c r="AU164" s="4317"/>
      <c r="AV164" s="4317"/>
      <c r="AW164" s="4317"/>
      <c r="AX164" s="4317"/>
      <c r="AY164" s="4317"/>
      <c r="AZ164" s="4317"/>
      <c r="BA164" s="4317"/>
      <c r="BB164" s="4317"/>
      <c r="BC164" s="4317"/>
      <c r="BD164" s="4317"/>
      <c r="BE164" s="4317"/>
      <c r="BF164" s="4317"/>
      <c r="BG164" s="4317"/>
      <c r="BH164" s="4317"/>
      <c r="BI164" s="4317"/>
      <c r="BJ164" s="4317"/>
      <c r="BK164" s="4317"/>
      <c r="BL164" s="4317"/>
      <c r="BM164" s="4317"/>
      <c r="BN164" s="4317"/>
      <c r="BO164" s="4317"/>
      <c r="BP164" s="4317"/>
      <c r="BQ164" s="4317"/>
      <c r="BR164" s="4317"/>
      <c r="BS164" s="4317"/>
      <c r="BT164" s="4317"/>
      <c r="BU164" s="4317"/>
      <c r="BV164" s="4317"/>
      <c r="BW164" s="4317"/>
      <c r="BX164" s="4317"/>
      <c r="BY164" s="4317"/>
      <c r="BZ164" s="4317"/>
      <c r="CA164" s="4317"/>
      <c r="CB164" s="4317"/>
      <c r="CC164" s="4317"/>
      <c r="CD164" s="4317"/>
      <c r="CE164" s="4317"/>
      <c r="CF164" s="4317"/>
      <c r="CG164" s="4317"/>
      <c r="CH164" s="4317"/>
      <c r="CI164" s="4317"/>
      <c r="CJ164" s="4317"/>
      <c r="CK164" s="4317"/>
      <c r="CL164" s="4317"/>
      <c r="CM164" s="4317"/>
      <c r="CN164" s="4317"/>
      <c r="CO164" s="4317"/>
      <c r="CP164" s="4317"/>
      <c r="CQ164" s="4317"/>
      <c r="CR164" s="4317"/>
      <c r="CS164" s="4317"/>
      <c r="CT164" s="4317"/>
      <c r="CU164" s="4317"/>
      <c r="CV164" s="4317"/>
      <c r="CW164" s="4317"/>
      <c r="CX164" s="4317"/>
      <c r="CY164" s="4317"/>
      <c r="CZ164" s="4317"/>
      <c r="DA164" s="4317"/>
      <c r="DB164" s="4317"/>
      <c r="DC164" s="4317"/>
      <c r="DD164" s="4317"/>
      <c r="DE164" s="4317"/>
      <c r="DF164" s="4317"/>
      <c r="DG164" s="4317"/>
      <c r="DH164" s="4317"/>
      <c r="DI164" s="4317"/>
      <c r="DJ164" s="4317"/>
      <c r="DK164" s="4317"/>
      <c r="DL164" s="4317"/>
      <c r="DM164" s="4317"/>
      <c r="DN164" s="4317"/>
      <c r="DO164" s="4317"/>
      <c r="DP164" s="4317"/>
      <c r="DQ164" s="4317"/>
      <c r="DR164" s="4317"/>
      <c r="DS164" s="4317"/>
    </row>
    <row r="165" s="4134" customFormat="1" ht="16.5" customHeight="1" spans="1:123">
      <c r="A165" s="4312" t="s">
        <v>4758</v>
      </c>
      <c r="B165" s="4313"/>
      <c r="C165" s="4313"/>
      <c r="D165" s="4313"/>
      <c r="E165" s="4313"/>
      <c r="F165" s="4314">
        <f>SUM(F157:L164)</f>
        <v>0</v>
      </c>
      <c r="G165" s="4314"/>
      <c r="H165" s="4314"/>
      <c r="I165" s="4314"/>
      <c r="J165" s="4314"/>
      <c r="K165" s="4314"/>
      <c r="L165" s="4314"/>
      <c r="M165" s="4295"/>
      <c r="N165" s="4295"/>
      <c r="O165" s="4323" t="s">
        <v>4759</v>
      </c>
      <c r="P165" s="4317"/>
      <c r="Q165" s="4295"/>
      <c r="R165" s="4317"/>
      <c r="S165" s="4317"/>
      <c r="T165" s="4317"/>
      <c r="U165" s="4317"/>
      <c r="V165" s="4317"/>
      <c r="W165" s="4317"/>
      <c r="X165" s="4317"/>
      <c r="Y165" s="4317"/>
      <c r="Z165" s="4317"/>
      <c r="AA165" s="4317"/>
      <c r="AB165" s="4317"/>
      <c r="AC165" s="4295"/>
      <c r="AD165" s="4295"/>
      <c r="AE165" s="4317"/>
      <c r="AF165" s="4318"/>
      <c r="AG165" s="4318"/>
      <c r="AH165" s="4317"/>
      <c r="AI165" s="4317"/>
      <c r="AJ165" s="4317"/>
      <c r="AK165" s="4317"/>
      <c r="AL165" s="4317"/>
      <c r="AM165" s="4317"/>
      <c r="AN165" s="4317"/>
      <c r="AO165" s="4317"/>
      <c r="AP165" s="4317"/>
      <c r="AQ165" s="4317"/>
      <c r="AR165" s="4317"/>
      <c r="AS165" s="4317"/>
      <c r="AT165" s="4317"/>
      <c r="AU165" s="4317"/>
      <c r="AV165" s="4317"/>
      <c r="AW165" s="4317"/>
      <c r="AX165" s="4317"/>
      <c r="AY165" s="4317"/>
      <c r="AZ165" s="4317"/>
      <c r="BA165" s="4317"/>
      <c r="BB165" s="4317"/>
      <c r="BC165" s="4317"/>
      <c r="BD165" s="4317"/>
      <c r="BE165" s="4317"/>
      <c r="BF165" s="4317"/>
      <c r="BG165" s="4317"/>
      <c r="BH165" s="4317"/>
      <c r="BI165" s="4317"/>
      <c r="BJ165" s="4317"/>
      <c r="BK165" s="4317"/>
      <c r="BL165" s="4317"/>
      <c r="BM165" s="4317"/>
      <c r="BN165" s="4317"/>
      <c r="BO165" s="4317"/>
      <c r="BP165" s="4317"/>
      <c r="BQ165" s="4317"/>
      <c r="BR165" s="4317"/>
      <c r="BS165" s="4317"/>
      <c r="BT165" s="4317"/>
      <c r="BU165" s="4317"/>
      <c r="BV165" s="4317"/>
      <c r="BW165" s="4317"/>
      <c r="BX165" s="4317"/>
      <c r="BY165" s="4317"/>
      <c r="BZ165" s="4317"/>
      <c r="CA165" s="4317"/>
      <c r="CB165" s="4317"/>
      <c r="CC165" s="4317"/>
      <c r="CD165" s="4317"/>
      <c r="CE165" s="4317"/>
      <c r="CF165" s="4317"/>
      <c r="CG165" s="4317"/>
      <c r="CH165" s="4317"/>
      <c r="CI165" s="4317"/>
      <c r="CJ165" s="4317"/>
      <c r="CK165" s="4317"/>
      <c r="CL165" s="4317"/>
      <c r="CM165" s="4317"/>
      <c r="CN165" s="4317"/>
      <c r="CO165" s="4317"/>
      <c r="CP165" s="4317"/>
      <c r="CQ165" s="4317"/>
      <c r="CR165" s="4317"/>
      <c r="CS165" s="4317"/>
      <c r="CT165" s="4317"/>
      <c r="CU165" s="4317"/>
      <c r="CV165" s="4317"/>
      <c r="CW165" s="4317"/>
      <c r="CX165" s="4317"/>
      <c r="CY165" s="4317"/>
      <c r="CZ165" s="4317"/>
      <c r="DA165" s="4317"/>
      <c r="DB165" s="4317"/>
      <c r="DC165" s="4317"/>
      <c r="DD165" s="4317"/>
      <c r="DE165" s="4317"/>
      <c r="DF165" s="4317"/>
      <c r="DG165" s="4317"/>
      <c r="DH165" s="4317"/>
      <c r="DI165" s="4317"/>
      <c r="DJ165" s="4317"/>
      <c r="DK165" s="4317"/>
      <c r="DL165" s="4317"/>
      <c r="DM165" s="4317"/>
      <c r="DN165" s="4317"/>
      <c r="DO165" s="4317"/>
      <c r="DP165" s="4317"/>
      <c r="DQ165" s="4317"/>
      <c r="DR165" s="4317"/>
      <c r="DS165" s="4317"/>
    </row>
    <row r="166" s="4134" customFormat="1" ht="16.5" customHeight="1" spans="1:123">
      <c r="A166" s="4304" t="s">
        <v>4760</v>
      </c>
      <c r="B166" s="4324"/>
      <c r="C166" s="4324"/>
      <c r="D166" s="4324"/>
      <c r="E166" s="4324"/>
      <c r="F166" s="4300"/>
      <c r="G166" s="4300"/>
      <c r="H166" s="4300"/>
      <c r="I166" s="4300"/>
      <c r="J166" s="4300"/>
      <c r="K166" s="4300"/>
      <c r="L166" s="4300"/>
      <c r="M166" s="4295"/>
      <c r="N166" s="4295"/>
      <c r="O166" s="4319" t="s">
        <v>4761</v>
      </c>
      <c r="P166" s="4317"/>
      <c r="Q166" s="4295"/>
      <c r="R166" s="4317"/>
      <c r="S166" s="4317"/>
      <c r="T166" s="4317"/>
      <c r="U166" s="4317"/>
      <c r="V166" s="4317"/>
      <c r="W166" s="4317"/>
      <c r="X166" s="4317"/>
      <c r="Y166" s="4317"/>
      <c r="Z166" s="4317"/>
      <c r="AA166" s="4317"/>
      <c r="AB166" s="4317"/>
      <c r="AC166" s="4295"/>
      <c r="AD166" s="4295"/>
      <c r="AE166" s="4317"/>
      <c r="AF166" s="4319"/>
      <c r="AG166" s="4319"/>
      <c r="AH166" s="4317"/>
      <c r="AI166" s="4317"/>
      <c r="AJ166" s="4317"/>
      <c r="AK166" s="4317"/>
      <c r="AL166" s="4317"/>
      <c r="AM166" s="4317"/>
      <c r="AN166" s="4317"/>
      <c r="AO166" s="4317"/>
      <c r="AP166" s="4317"/>
      <c r="AQ166" s="4317"/>
      <c r="AR166" s="4317"/>
      <c r="AS166" s="4317"/>
      <c r="AT166" s="4317"/>
      <c r="AU166" s="4317"/>
      <c r="AV166" s="4317"/>
      <c r="AW166" s="4317"/>
      <c r="AX166" s="4317"/>
      <c r="AY166" s="4317"/>
      <c r="AZ166" s="4317"/>
      <c r="BA166" s="4317"/>
      <c r="BB166" s="4317"/>
      <c r="BC166" s="4317"/>
      <c r="BD166" s="4317"/>
      <c r="BE166" s="4317"/>
      <c r="BF166" s="4317"/>
      <c r="BG166" s="4317"/>
      <c r="BH166" s="4317"/>
      <c r="BI166" s="4317"/>
      <c r="BJ166" s="4317"/>
      <c r="BK166" s="4317"/>
      <c r="BL166" s="4317"/>
      <c r="BM166" s="4317"/>
      <c r="BN166" s="4317"/>
      <c r="BO166" s="4317"/>
      <c r="BP166" s="4317"/>
      <c r="BQ166" s="4317"/>
      <c r="BR166" s="4317"/>
      <c r="BS166" s="4317"/>
      <c r="BT166" s="4317"/>
      <c r="BU166" s="4317"/>
      <c r="BV166" s="4317"/>
      <c r="BW166" s="4317"/>
      <c r="BX166" s="4317"/>
      <c r="BY166" s="4317"/>
      <c r="BZ166" s="4317"/>
      <c r="CA166" s="4317"/>
      <c r="CB166" s="4317"/>
      <c r="CC166" s="4317"/>
      <c r="CD166" s="4317"/>
      <c r="CE166" s="4317"/>
      <c r="CF166" s="4317"/>
      <c r="CG166" s="4317"/>
      <c r="CH166" s="4317"/>
      <c r="CI166" s="4317"/>
      <c r="CJ166" s="4317"/>
      <c r="CK166" s="4317"/>
      <c r="CL166" s="4317"/>
      <c r="CM166" s="4317"/>
      <c r="CN166" s="4317"/>
      <c r="CO166" s="4317"/>
      <c r="CP166" s="4317"/>
      <c r="CQ166" s="4317"/>
      <c r="CR166" s="4317"/>
      <c r="CS166" s="4317"/>
      <c r="CT166" s="4317"/>
      <c r="CU166" s="4317"/>
      <c r="CV166" s="4317"/>
      <c r="CW166" s="4317"/>
      <c r="CX166" s="4317"/>
      <c r="CY166" s="4317"/>
      <c r="CZ166" s="4317"/>
      <c r="DA166" s="4317"/>
      <c r="DB166" s="4317"/>
      <c r="DC166" s="4317"/>
      <c r="DD166" s="4317"/>
      <c r="DE166" s="4317"/>
      <c r="DF166" s="4317"/>
      <c r="DG166" s="4317"/>
      <c r="DH166" s="4317"/>
      <c r="DI166" s="4317"/>
      <c r="DJ166" s="4317"/>
      <c r="DK166" s="4317"/>
      <c r="DL166" s="4317"/>
      <c r="DM166" s="4317"/>
      <c r="DN166" s="4317"/>
      <c r="DO166" s="4317"/>
      <c r="DP166" s="4317"/>
      <c r="DQ166" s="4317"/>
      <c r="DR166" s="4317"/>
      <c r="DS166" s="4317"/>
    </row>
    <row r="167" s="4134" customFormat="1" ht="16.5" customHeight="1" spans="1:123">
      <c r="A167" s="4304" t="s">
        <v>4762</v>
      </c>
      <c r="B167" s="4324"/>
      <c r="C167" s="4324"/>
      <c r="D167" s="4324"/>
      <c r="E167" s="4324"/>
      <c r="F167" s="4300">
        <v>1319</v>
      </c>
      <c r="G167" s="4300"/>
      <c r="H167" s="4300"/>
      <c r="I167" s="4300"/>
      <c r="J167" s="4300"/>
      <c r="K167" s="4300"/>
      <c r="L167" s="4300"/>
      <c r="M167" s="4295"/>
      <c r="N167" s="4295"/>
      <c r="O167" s="4319" t="s">
        <v>4763</v>
      </c>
      <c r="P167" s="4317"/>
      <c r="Q167" s="4295"/>
      <c r="R167" s="4317"/>
      <c r="S167" s="4317"/>
      <c r="T167" s="4317"/>
      <c r="U167" s="4317"/>
      <c r="V167" s="4317"/>
      <c r="W167" s="4317"/>
      <c r="X167" s="4317"/>
      <c r="Y167" s="4317"/>
      <c r="Z167" s="4317"/>
      <c r="AA167" s="4317"/>
      <c r="AB167" s="4317"/>
      <c r="AC167" s="4295"/>
      <c r="AD167" s="4295"/>
      <c r="AE167" s="4317"/>
      <c r="AF167" s="4319"/>
      <c r="AG167" s="4319"/>
      <c r="AH167" s="4317"/>
      <c r="AI167" s="4317"/>
      <c r="AJ167" s="4317"/>
      <c r="AK167" s="4317"/>
      <c r="AL167" s="4317"/>
      <c r="AM167" s="4317"/>
      <c r="AN167" s="4317"/>
      <c r="AO167" s="4317"/>
      <c r="AP167" s="4317"/>
      <c r="AQ167" s="4317"/>
      <c r="AR167" s="4317"/>
      <c r="AS167" s="4317"/>
      <c r="AT167" s="4317"/>
      <c r="AU167" s="4317"/>
      <c r="AV167" s="4317"/>
      <c r="AW167" s="4317"/>
      <c r="AX167" s="4317"/>
      <c r="AY167" s="4317"/>
      <c r="AZ167" s="4317"/>
      <c r="BA167" s="4317"/>
      <c r="BB167" s="4317"/>
      <c r="BC167" s="4317"/>
      <c r="BD167" s="4317"/>
      <c r="BE167" s="4317"/>
      <c r="BF167" s="4317"/>
      <c r="BG167" s="4317"/>
      <c r="BH167" s="4317"/>
      <c r="BI167" s="4317"/>
      <c r="BJ167" s="4317"/>
      <c r="BK167" s="4317"/>
      <c r="BL167" s="4317"/>
      <c r="BM167" s="4317"/>
      <c r="BN167" s="4317"/>
      <c r="BO167" s="4317"/>
      <c r="BP167" s="4317"/>
      <c r="BQ167" s="4317"/>
      <c r="BR167" s="4317"/>
      <c r="BS167" s="4317"/>
      <c r="BT167" s="4317"/>
      <c r="BU167" s="4317"/>
      <c r="BV167" s="4317"/>
      <c r="BW167" s="4317"/>
      <c r="BX167" s="4317"/>
      <c r="BY167" s="4317"/>
      <c r="BZ167" s="4317"/>
      <c r="CA167" s="4317"/>
      <c r="CB167" s="4317"/>
      <c r="CC167" s="4317"/>
      <c r="CD167" s="4317"/>
      <c r="CE167" s="4317"/>
      <c r="CF167" s="4317"/>
      <c r="CG167" s="4317"/>
      <c r="CH167" s="4317"/>
      <c r="CI167" s="4317"/>
      <c r="CJ167" s="4317"/>
      <c r="CK167" s="4317"/>
      <c r="CL167" s="4317"/>
      <c r="CM167" s="4317"/>
      <c r="CN167" s="4317"/>
      <c r="CO167" s="4317"/>
      <c r="CP167" s="4317"/>
      <c r="CQ167" s="4317"/>
      <c r="CR167" s="4317"/>
      <c r="CS167" s="4317"/>
      <c r="CT167" s="4317"/>
      <c r="CU167" s="4317"/>
      <c r="CV167" s="4317"/>
      <c r="CW167" s="4317"/>
      <c r="CX167" s="4317"/>
      <c r="CY167" s="4317"/>
      <c r="CZ167" s="4317"/>
      <c r="DA167" s="4317"/>
      <c r="DB167" s="4317"/>
      <c r="DC167" s="4317"/>
      <c r="DD167" s="4317"/>
      <c r="DE167" s="4317"/>
      <c r="DF167" s="4317"/>
      <c r="DG167" s="4317"/>
      <c r="DH167" s="4317"/>
      <c r="DI167" s="4317"/>
      <c r="DJ167" s="4317"/>
      <c r="DK167" s="4317"/>
      <c r="DL167" s="4317"/>
      <c r="DM167" s="4317"/>
      <c r="DN167" s="4317"/>
      <c r="DO167" s="4317"/>
      <c r="DP167" s="4317"/>
      <c r="DQ167" s="4317"/>
      <c r="DR167" s="4317"/>
      <c r="DS167" s="4317"/>
    </row>
    <row r="168" s="4134" customFormat="1" ht="16.5" customHeight="1" spans="1:123">
      <c r="A168" s="4304" t="s">
        <v>4764</v>
      </c>
      <c r="B168" s="4324"/>
      <c r="C168" s="4324"/>
      <c r="D168" s="4324"/>
      <c r="E168" s="4324"/>
      <c r="F168" s="4300"/>
      <c r="G168" s="4300"/>
      <c r="H168" s="4300"/>
      <c r="I168" s="4300"/>
      <c r="J168" s="4300"/>
      <c r="K168" s="4300"/>
      <c r="L168" s="4300"/>
      <c r="M168" s="4295"/>
      <c r="N168" s="4295"/>
      <c r="O168" s="4319" t="s">
        <v>4765</v>
      </c>
      <c r="P168" s="4317"/>
      <c r="Q168" s="4295"/>
      <c r="R168" s="4317"/>
      <c r="S168" s="4317"/>
      <c r="T168" s="4317"/>
      <c r="U168" s="4317"/>
      <c r="V168" s="4317"/>
      <c r="W168" s="4317"/>
      <c r="X168" s="4317"/>
      <c r="Y168" s="4317"/>
      <c r="Z168" s="4317"/>
      <c r="AA168" s="4317"/>
      <c r="AB168" s="4317"/>
      <c r="AC168" s="4295"/>
      <c r="AD168" s="4295"/>
      <c r="AE168" s="4317"/>
      <c r="AF168" s="4319"/>
      <c r="AG168" s="4319"/>
      <c r="AH168" s="4317"/>
      <c r="AI168" s="4317"/>
      <c r="AJ168" s="4317"/>
      <c r="AK168" s="4317"/>
      <c r="AL168" s="4317"/>
      <c r="AM168" s="4317"/>
      <c r="AN168" s="4317"/>
      <c r="AO168" s="4317"/>
      <c r="AP168" s="4317"/>
      <c r="AQ168" s="4317"/>
      <c r="AR168" s="4317"/>
      <c r="AS168" s="4317"/>
      <c r="AT168" s="4317"/>
      <c r="AU168" s="4317"/>
      <c r="AV168" s="4317"/>
      <c r="AW168" s="4317"/>
      <c r="AX168" s="4317"/>
      <c r="AY168" s="4317"/>
      <c r="AZ168" s="4317"/>
      <c r="BA168" s="4317"/>
      <c r="BB168" s="4317"/>
      <c r="BC168" s="4317"/>
      <c r="BD168" s="4317"/>
      <c r="BE168" s="4317"/>
      <c r="BF168" s="4317"/>
      <c r="BG168" s="4317"/>
      <c r="BH168" s="4317"/>
      <c r="BI168" s="4317"/>
      <c r="BJ168" s="4317"/>
      <c r="BK168" s="4317"/>
      <c r="BL168" s="4317"/>
      <c r="BM168" s="4317"/>
      <c r="BN168" s="4317"/>
      <c r="BO168" s="4317"/>
      <c r="BP168" s="4317"/>
      <c r="BQ168" s="4317"/>
      <c r="BR168" s="4317"/>
      <c r="BS168" s="4317"/>
      <c r="BT168" s="4317"/>
      <c r="BU168" s="4317"/>
      <c r="BV168" s="4317"/>
      <c r="BW168" s="4317"/>
      <c r="BX168" s="4317"/>
      <c r="BY168" s="4317"/>
      <c r="BZ168" s="4317"/>
      <c r="CA168" s="4317"/>
      <c r="CB168" s="4317"/>
      <c r="CC168" s="4317"/>
      <c r="CD168" s="4317"/>
      <c r="CE168" s="4317"/>
      <c r="CF168" s="4317"/>
      <c r="CG168" s="4317"/>
      <c r="CH168" s="4317"/>
      <c r="CI168" s="4317"/>
      <c r="CJ168" s="4317"/>
      <c r="CK168" s="4317"/>
      <c r="CL168" s="4317"/>
      <c r="CM168" s="4317"/>
      <c r="CN168" s="4317"/>
      <c r="CO168" s="4317"/>
      <c r="CP168" s="4317"/>
      <c r="CQ168" s="4317"/>
      <c r="CR168" s="4317"/>
      <c r="CS168" s="4317"/>
      <c r="CT168" s="4317"/>
      <c r="CU168" s="4317"/>
      <c r="CV168" s="4317"/>
      <c r="CW168" s="4317"/>
      <c r="CX168" s="4317"/>
      <c r="CY168" s="4317"/>
      <c r="CZ168" s="4317"/>
      <c r="DA168" s="4317"/>
      <c r="DB168" s="4317"/>
      <c r="DC168" s="4317"/>
      <c r="DD168" s="4317"/>
      <c r="DE168" s="4317"/>
      <c r="DF168" s="4317"/>
      <c r="DG168" s="4317"/>
      <c r="DH168" s="4317"/>
      <c r="DI168" s="4317"/>
      <c r="DJ168" s="4317"/>
      <c r="DK168" s="4317"/>
      <c r="DL168" s="4317"/>
      <c r="DM168" s="4317"/>
      <c r="DN168" s="4317"/>
      <c r="DO168" s="4317"/>
      <c r="DP168" s="4317"/>
      <c r="DQ168" s="4317"/>
      <c r="DR168" s="4317"/>
      <c r="DS168" s="4317"/>
    </row>
    <row r="169" s="4134" customFormat="1" ht="16.5" customHeight="1" spans="1:123">
      <c r="A169" s="4304" t="s">
        <v>4766</v>
      </c>
      <c r="B169" s="4324"/>
      <c r="C169" s="4324"/>
      <c r="D169" s="4324"/>
      <c r="E169" s="4324"/>
      <c r="F169" s="4300"/>
      <c r="G169" s="4300"/>
      <c r="H169" s="4300"/>
      <c r="I169" s="4300"/>
      <c r="J169" s="4300"/>
      <c r="K169" s="4300"/>
      <c r="L169" s="4300"/>
      <c r="M169" s="4295"/>
      <c r="N169" s="4295"/>
      <c r="O169" s="4319" t="s">
        <v>4767</v>
      </c>
      <c r="P169" s="4317"/>
      <c r="Q169" s="4295"/>
      <c r="R169" s="4317"/>
      <c r="S169" s="4317"/>
      <c r="T169" s="4317"/>
      <c r="U169" s="4317"/>
      <c r="V169" s="4317"/>
      <c r="W169" s="4317"/>
      <c r="X169" s="4317"/>
      <c r="Y169" s="4317"/>
      <c r="Z169" s="4317"/>
      <c r="AA169" s="4317"/>
      <c r="AB169" s="4317"/>
      <c r="AC169" s="4295"/>
      <c r="AD169" s="4295"/>
      <c r="AE169" s="4317"/>
      <c r="AF169" s="4319"/>
      <c r="AG169" s="4319"/>
      <c r="AH169" s="4317"/>
      <c r="AI169" s="4317"/>
      <c r="AJ169" s="4317"/>
      <c r="AK169" s="4317"/>
      <c r="AL169" s="4317"/>
      <c r="AM169" s="4317"/>
      <c r="AN169" s="4317"/>
      <c r="AO169" s="4317"/>
      <c r="AP169" s="4317"/>
      <c r="AQ169" s="4317"/>
      <c r="AR169" s="4317"/>
      <c r="AS169" s="4317"/>
      <c r="AT169" s="4317"/>
      <c r="AU169" s="4317"/>
      <c r="AV169" s="4317"/>
      <c r="AW169" s="4317"/>
      <c r="AX169" s="4317"/>
      <c r="AY169" s="4317"/>
      <c r="AZ169" s="4317"/>
      <c r="BA169" s="4317"/>
      <c r="BB169" s="4317"/>
      <c r="BC169" s="4317"/>
      <c r="BD169" s="4317"/>
      <c r="BE169" s="4317"/>
      <c r="BF169" s="4317"/>
      <c r="BG169" s="4317"/>
      <c r="BH169" s="4317"/>
      <c r="BI169" s="4317"/>
      <c r="BJ169" s="4317"/>
      <c r="BK169" s="4317"/>
      <c r="BL169" s="4317"/>
      <c r="BM169" s="4317"/>
      <c r="BN169" s="4317"/>
      <c r="BO169" s="4317"/>
      <c r="BP169" s="4317"/>
      <c r="BQ169" s="4317"/>
      <c r="BR169" s="4317"/>
      <c r="BS169" s="4317"/>
      <c r="BT169" s="4317"/>
      <c r="BU169" s="4317"/>
      <c r="BV169" s="4317"/>
      <c r="BW169" s="4317"/>
      <c r="BX169" s="4317"/>
      <c r="BY169" s="4317"/>
      <c r="BZ169" s="4317"/>
      <c r="CA169" s="4317"/>
      <c r="CB169" s="4317"/>
      <c r="CC169" s="4317"/>
      <c r="CD169" s="4317"/>
      <c r="CE169" s="4317"/>
      <c r="CF169" s="4317"/>
      <c r="CG169" s="4317"/>
      <c r="CH169" s="4317"/>
      <c r="CI169" s="4317"/>
      <c r="CJ169" s="4317"/>
      <c r="CK169" s="4317"/>
      <c r="CL169" s="4317"/>
      <c r="CM169" s="4317"/>
      <c r="CN169" s="4317"/>
      <c r="CO169" s="4317"/>
      <c r="CP169" s="4317"/>
      <c r="CQ169" s="4317"/>
      <c r="CR169" s="4317"/>
      <c r="CS169" s="4317"/>
      <c r="CT169" s="4317"/>
      <c r="CU169" s="4317"/>
      <c r="CV169" s="4317"/>
      <c r="CW169" s="4317"/>
      <c r="CX169" s="4317"/>
      <c r="CY169" s="4317"/>
      <c r="CZ169" s="4317"/>
      <c r="DA169" s="4317"/>
      <c r="DB169" s="4317"/>
      <c r="DC169" s="4317"/>
      <c r="DD169" s="4317"/>
      <c r="DE169" s="4317"/>
      <c r="DF169" s="4317"/>
      <c r="DG169" s="4317"/>
      <c r="DH169" s="4317"/>
      <c r="DI169" s="4317"/>
      <c r="DJ169" s="4317"/>
      <c r="DK169" s="4317"/>
      <c r="DL169" s="4317"/>
      <c r="DM169" s="4317"/>
      <c r="DN169" s="4317"/>
      <c r="DO169" s="4317"/>
      <c r="DP169" s="4317"/>
      <c r="DQ169" s="4317"/>
      <c r="DR169" s="4317"/>
      <c r="DS169" s="4317"/>
    </row>
    <row r="170" s="4134" customFormat="1" ht="16.5" customHeight="1" spans="1:123">
      <c r="A170" s="4304" t="s">
        <v>4768</v>
      </c>
      <c r="B170" s="4324"/>
      <c r="C170" s="4324"/>
      <c r="D170" s="4324"/>
      <c r="E170" s="4324"/>
      <c r="F170" s="4300"/>
      <c r="G170" s="4300"/>
      <c r="H170" s="4300"/>
      <c r="I170" s="4300"/>
      <c r="J170" s="4300"/>
      <c r="K170" s="4300"/>
      <c r="L170" s="4300"/>
      <c r="M170" s="4295"/>
      <c r="N170" s="4295"/>
      <c r="O170" s="4319" t="s">
        <v>4769</v>
      </c>
      <c r="P170" s="4317"/>
      <c r="Q170" s="4295"/>
      <c r="R170" s="4317"/>
      <c r="S170" s="4317"/>
      <c r="T170" s="4317"/>
      <c r="U170" s="4317"/>
      <c r="V170" s="4317"/>
      <c r="W170" s="4317"/>
      <c r="X170" s="4317"/>
      <c r="Y170" s="4317"/>
      <c r="Z170" s="4317"/>
      <c r="AA170" s="4317"/>
      <c r="AB170" s="4317"/>
      <c r="AC170" s="4295"/>
      <c r="AD170" s="4295"/>
      <c r="AE170" s="4317"/>
      <c r="AF170" s="4319"/>
      <c r="AG170" s="4319"/>
      <c r="AH170" s="4317"/>
      <c r="AI170" s="4317"/>
      <c r="AJ170" s="4317"/>
      <c r="AK170" s="4317"/>
      <c r="AL170" s="4317"/>
      <c r="AM170" s="4317"/>
      <c r="AN170" s="4317"/>
      <c r="AO170" s="4317"/>
      <c r="AP170" s="4317"/>
      <c r="AQ170" s="4317"/>
      <c r="AR170" s="4317"/>
      <c r="AS170" s="4317"/>
      <c r="AT170" s="4317"/>
      <c r="AU170" s="4317"/>
      <c r="AV170" s="4317"/>
      <c r="AW170" s="4317"/>
      <c r="AX170" s="4317"/>
      <c r="AY170" s="4317"/>
      <c r="AZ170" s="4317"/>
      <c r="BA170" s="4317"/>
      <c r="BB170" s="4317"/>
      <c r="BC170" s="4317"/>
      <c r="BD170" s="4317"/>
      <c r="BE170" s="4317"/>
      <c r="BF170" s="4317"/>
      <c r="BG170" s="4317"/>
      <c r="BH170" s="4317"/>
      <c r="BI170" s="4317"/>
      <c r="BJ170" s="4317"/>
      <c r="BK170" s="4317"/>
      <c r="BL170" s="4317"/>
      <c r="BM170" s="4317"/>
      <c r="BN170" s="4317"/>
      <c r="BO170" s="4317"/>
      <c r="BP170" s="4317"/>
      <c r="BQ170" s="4317"/>
      <c r="BR170" s="4317"/>
      <c r="BS170" s="4317"/>
      <c r="BT170" s="4317"/>
      <c r="BU170" s="4317"/>
      <c r="BV170" s="4317"/>
      <c r="BW170" s="4317"/>
      <c r="BX170" s="4317"/>
      <c r="BY170" s="4317"/>
      <c r="BZ170" s="4317"/>
      <c r="CA170" s="4317"/>
      <c r="CB170" s="4317"/>
      <c r="CC170" s="4317"/>
      <c r="CD170" s="4317"/>
      <c r="CE170" s="4317"/>
      <c r="CF170" s="4317"/>
      <c r="CG170" s="4317"/>
      <c r="CH170" s="4317"/>
      <c r="CI170" s="4317"/>
      <c r="CJ170" s="4317"/>
      <c r="CK170" s="4317"/>
      <c r="CL170" s="4317"/>
      <c r="CM170" s="4317"/>
      <c r="CN170" s="4317"/>
      <c r="CO170" s="4317"/>
      <c r="CP170" s="4317"/>
      <c r="CQ170" s="4317"/>
      <c r="CR170" s="4317"/>
      <c r="CS170" s="4317"/>
      <c r="CT170" s="4317"/>
      <c r="CU170" s="4317"/>
      <c r="CV170" s="4317"/>
      <c r="CW170" s="4317"/>
      <c r="CX170" s="4317"/>
      <c r="CY170" s="4317"/>
      <c r="CZ170" s="4317"/>
      <c r="DA170" s="4317"/>
      <c r="DB170" s="4317"/>
      <c r="DC170" s="4317"/>
      <c r="DD170" s="4317"/>
      <c r="DE170" s="4317"/>
      <c r="DF170" s="4317"/>
      <c r="DG170" s="4317"/>
      <c r="DH170" s="4317"/>
      <c r="DI170" s="4317"/>
      <c r="DJ170" s="4317"/>
      <c r="DK170" s="4317"/>
      <c r="DL170" s="4317"/>
      <c r="DM170" s="4317"/>
      <c r="DN170" s="4317"/>
      <c r="DO170" s="4317"/>
      <c r="DP170" s="4317"/>
      <c r="DQ170" s="4317"/>
      <c r="DR170" s="4317"/>
      <c r="DS170" s="4317"/>
    </row>
    <row r="171" s="4134" customFormat="1" ht="16.5" customHeight="1" spans="1:123">
      <c r="A171" s="4312" t="s">
        <v>4770</v>
      </c>
      <c r="B171" s="4313"/>
      <c r="C171" s="4313"/>
      <c r="D171" s="4313"/>
      <c r="E171" s="4313"/>
      <c r="F171" s="4314">
        <f>SUM(F166:L170)</f>
        <v>1319</v>
      </c>
      <c r="G171" s="4314"/>
      <c r="H171" s="4314"/>
      <c r="I171" s="4314"/>
      <c r="J171" s="4314"/>
      <c r="K171" s="4314"/>
      <c r="L171" s="4314"/>
      <c r="M171" s="4295"/>
      <c r="N171" s="4295"/>
      <c r="O171" s="4323" t="s">
        <v>4771</v>
      </c>
      <c r="P171" s="4317"/>
      <c r="Q171" s="4295"/>
      <c r="R171" s="4317"/>
      <c r="S171" s="4317"/>
      <c r="T171" s="4317"/>
      <c r="U171" s="4317"/>
      <c r="V171" s="4317"/>
      <c r="W171" s="4317"/>
      <c r="X171" s="4317"/>
      <c r="Y171" s="4317"/>
      <c r="Z171" s="4317"/>
      <c r="AA171" s="4317"/>
      <c r="AB171" s="4317"/>
      <c r="AC171" s="4295"/>
      <c r="AD171" s="4295"/>
      <c r="AE171" s="4317"/>
      <c r="AF171" s="4319"/>
      <c r="AG171" s="4319"/>
      <c r="AH171" s="4317"/>
      <c r="AI171" s="4317"/>
      <c r="AJ171" s="4317"/>
      <c r="AK171" s="4317"/>
      <c r="AL171" s="4317"/>
      <c r="AM171" s="4317"/>
      <c r="AN171" s="4317"/>
      <c r="AO171" s="4317"/>
      <c r="AP171" s="4317"/>
      <c r="AQ171" s="4317"/>
      <c r="AR171" s="4317"/>
      <c r="AS171" s="4317"/>
      <c r="AT171" s="4317"/>
      <c r="AU171" s="4317"/>
      <c r="AV171" s="4317"/>
      <c r="AW171" s="4317"/>
      <c r="AX171" s="4317"/>
      <c r="AY171" s="4317"/>
      <c r="AZ171" s="4317"/>
      <c r="BA171" s="4317"/>
      <c r="BB171" s="4317"/>
      <c r="BC171" s="4317"/>
      <c r="BD171" s="4317"/>
      <c r="BE171" s="4317"/>
      <c r="BF171" s="4317"/>
      <c r="BG171" s="4317"/>
      <c r="BH171" s="4317"/>
      <c r="BI171" s="4317"/>
      <c r="BJ171" s="4317"/>
      <c r="BK171" s="4317"/>
      <c r="BL171" s="4317"/>
      <c r="BM171" s="4317"/>
      <c r="BN171" s="4317"/>
      <c r="BO171" s="4317"/>
      <c r="BP171" s="4317"/>
      <c r="BQ171" s="4317"/>
      <c r="BR171" s="4317"/>
      <c r="BS171" s="4317"/>
      <c r="BT171" s="4317"/>
      <c r="BU171" s="4317"/>
      <c r="BV171" s="4317"/>
      <c r="BW171" s="4317"/>
      <c r="BX171" s="4317"/>
      <c r="BY171" s="4317"/>
      <c r="BZ171" s="4317"/>
      <c r="CA171" s="4317"/>
      <c r="CB171" s="4317"/>
      <c r="CC171" s="4317"/>
      <c r="CD171" s="4317"/>
      <c r="CE171" s="4317"/>
      <c r="CF171" s="4317"/>
      <c r="CG171" s="4317"/>
      <c r="CH171" s="4317"/>
      <c r="CI171" s="4317"/>
      <c r="CJ171" s="4317"/>
      <c r="CK171" s="4317"/>
      <c r="CL171" s="4317"/>
      <c r="CM171" s="4317"/>
      <c r="CN171" s="4317"/>
      <c r="CO171" s="4317"/>
      <c r="CP171" s="4317"/>
      <c r="CQ171" s="4317"/>
      <c r="CR171" s="4317"/>
      <c r="CS171" s="4317"/>
      <c r="CT171" s="4317"/>
      <c r="CU171" s="4317"/>
      <c r="CV171" s="4317"/>
      <c r="CW171" s="4317"/>
      <c r="CX171" s="4317"/>
      <c r="CY171" s="4317"/>
      <c r="CZ171" s="4317"/>
      <c r="DA171" s="4317"/>
      <c r="DB171" s="4317"/>
      <c r="DC171" s="4317"/>
      <c r="DD171" s="4317"/>
      <c r="DE171" s="4317"/>
      <c r="DF171" s="4317"/>
      <c r="DG171" s="4317"/>
      <c r="DH171" s="4317"/>
      <c r="DI171" s="4317"/>
      <c r="DJ171" s="4317"/>
      <c r="DK171" s="4317"/>
      <c r="DL171" s="4317"/>
      <c r="DM171" s="4317"/>
      <c r="DN171" s="4317"/>
      <c r="DO171" s="4317"/>
      <c r="DP171" s="4317"/>
      <c r="DQ171" s="4317"/>
      <c r="DR171" s="4317"/>
      <c r="DS171" s="4317"/>
    </row>
    <row r="172" s="4134" customFormat="1" ht="16.5" customHeight="1" spans="1:123">
      <c r="A172" s="4298" t="s">
        <v>4772</v>
      </c>
      <c r="B172" s="4299"/>
      <c r="C172" s="4299"/>
      <c r="D172" s="4299"/>
      <c r="E172" s="4299"/>
      <c r="F172" s="4300"/>
      <c r="G172" s="4300"/>
      <c r="H172" s="4300"/>
      <c r="I172" s="4300"/>
      <c r="J172" s="4300"/>
      <c r="K172" s="4300"/>
      <c r="L172" s="4300"/>
      <c r="M172" s="4295"/>
      <c r="N172" s="4295"/>
      <c r="O172" s="4319" t="s">
        <v>4773</v>
      </c>
      <c r="P172" s="4317"/>
      <c r="Q172" s="4295"/>
      <c r="R172" s="4317"/>
      <c r="S172" s="4317"/>
      <c r="T172" s="4317"/>
      <c r="U172" s="4317"/>
      <c r="V172" s="4317"/>
      <c r="W172" s="4317"/>
      <c r="X172" s="4317"/>
      <c r="Y172" s="4317"/>
      <c r="Z172" s="4317"/>
      <c r="AA172" s="4317"/>
      <c r="AB172" s="4317"/>
      <c r="AC172" s="4295"/>
      <c r="AD172" s="4295"/>
      <c r="AE172" s="4317"/>
      <c r="AF172" s="4319"/>
      <c r="AG172" s="4319"/>
      <c r="AH172" s="4317"/>
      <c r="AI172" s="4317"/>
      <c r="AJ172" s="4317"/>
      <c r="AK172" s="4317"/>
      <c r="AL172" s="4317"/>
      <c r="AM172" s="4317"/>
      <c r="AN172" s="4317"/>
      <c r="AO172" s="4317"/>
      <c r="AP172" s="4317"/>
      <c r="AQ172" s="4317"/>
      <c r="AR172" s="4317"/>
      <c r="AS172" s="4317"/>
      <c r="AT172" s="4317"/>
      <c r="AU172" s="4317"/>
      <c r="AV172" s="4317"/>
      <c r="AW172" s="4317"/>
      <c r="AX172" s="4317"/>
      <c r="AY172" s="4317"/>
      <c r="AZ172" s="4317"/>
      <c r="BA172" s="4317"/>
      <c r="BB172" s="4317"/>
      <c r="BC172" s="4317"/>
      <c r="BD172" s="4317"/>
      <c r="BE172" s="4317"/>
      <c r="BF172" s="4317"/>
      <c r="BG172" s="4317"/>
      <c r="BH172" s="4317"/>
      <c r="BI172" s="4317"/>
      <c r="BJ172" s="4317"/>
      <c r="BK172" s="4317"/>
      <c r="BL172" s="4317"/>
      <c r="BM172" s="4317"/>
      <c r="BN172" s="4317"/>
      <c r="BO172" s="4317"/>
      <c r="BP172" s="4317"/>
      <c r="BQ172" s="4317"/>
      <c r="BR172" s="4317"/>
      <c r="BS172" s="4317"/>
      <c r="BT172" s="4317"/>
      <c r="BU172" s="4317"/>
      <c r="BV172" s="4317"/>
      <c r="BW172" s="4317"/>
      <c r="BX172" s="4317"/>
      <c r="BY172" s="4317"/>
      <c r="BZ172" s="4317"/>
      <c r="CA172" s="4317"/>
      <c r="CB172" s="4317"/>
      <c r="CC172" s="4317"/>
      <c r="CD172" s="4317"/>
      <c r="CE172" s="4317"/>
      <c r="CF172" s="4317"/>
      <c r="CG172" s="4317"/>
      <c r="CH172" s="4317"/>
      <c r="CI172" s="4317"/>
      <c r="CJ172" s="4317"/>
      <c r="CK172" s="4317"/>
      <c r="CL172" s="4317"/>
      <c r="CM172" s="4317"/>
      <c r="CN172" s="4317"/>
      <c r="CO172" s="4317"/>
      <c r="CP172" s="4317"/>
      <c r="CQ172" s="4317"/>
      <c r="CR172" s="4317"/>
      <c r="CS172" s="4317"/>
      <c r="CT172" s="4317"/>
      <c r="CU172" s="4317"/>
      <c r="CV172" s="4317"/>
      <c r="CW172" s="4317"/>
      <c r="CX172" s="4317"/>
      <c r="CY172" s="4317"/>
      <c r="CZ172" s="4317"/>
      <c r="DA172" s="4317"/>
      <c r="DB172" s="4317"/>
      <c r="DC172" s="4317"/>
      <c r="DD172" s="4317"/>
      <c r="DE172" s="4317"/>
      <c r="DF172" s="4317"/>
      <c r="DG172" s="4317"/>
      <c r="DH172" s="4317"/>
      <c r="DI172" s="4317"/>
      <c r="DJ172" s="4317"/>
      <c r="DK172" s="4317"/>
      <c r="DL172" s="4317"/>
      <c r="DM172" s="4317"/>
      <c r="DN172" s="4317"/>
      <c r="DO172" s="4317"/>
      <c r="DP172" s="4317"/>
      <c r="DQ172" s="4317"/>
      <c r="DR172" s="4317"/>
      <c r="DS172" s="4317"/>
    </row>
    <row r="173" s="4134" customFormat="1" ht="16.5" customHeight="1" spans="1:123">
      <c r="A173" s="4298" t="s">
        <v>4774</v>
      </c>
      <c r="B173" s="4299"/>
      <c r="C173" s="4299"/>
      <c r="D173" s="4299"/>
      <c r="E173" s="4299"/>
      <c r="F173" s="4300"/>
      <c r="G173" s="4300"/>
      <c r="H173" s="4300"/>
      <c r="I173" s="4300"/>
      <c r="J173" s="4300"/>
      <c r="K173" s="4300"/>
      <c r="L173" s="4300"/>
      <c r="M173" s="4295"/>
      <c r="N173" s="4295"/>
      <c r="O173" s="4319" t="s">
        <v>4775</v>
      </c>
      <c r="P173" s="4317"/>
      <c r="Q173" s="4295"/>
      <c r="R173" s="4317"/>
      <c r="S173" s="4317"/>
      <c r="T173" s="4317"/>
      <c r="U173" s="4317"/>
      <c r="V173" s="4317"/>
      <c r="W173" s="4317"/>
      <c r="X173" s="4317"/>
      <c r="Y173" s="4317"/>
      <c r="Z173" s="4317"/>
      <c r="AA173" s="4317"/>
      <c r="AB173" s="4317"/>
      <c r="AC173" s="4295"/>
      <c r="AD173" s="4295"/>
      <c r="AE173" s="4317"/>
      <c r="AF173" s="4319"/>
      <c r="AG173" s="4319"/>
      <c r="AH173" s="4317"/>
      <c r="AI173" s="4317"/>
      <c r="AJ173" s="4317"/>
      <c r="AK173" s="4317"/>
      <c r="AL173" s="4317"/>
      <c r="AM173" s="4317"/>
      <c r="AN173" s="4317"/>
      <c r="AO173" s="4317"/>
      <c r="AP173" s="4317"/>
      <c r="AQ173" s="4317"/>
      <c r="AR173" s="4317"/>
      <c r="AS173" s="4317"/>
      <c r="AT173" s="4317"/>
      <c r="AU173" s="4317"/>
      <c r="AV173" s="4317"/>
      <c r="AW173" s="4317"/>
      <c r="AX173" s="4317"/>
      <c r="AY173" s="4317"/>
      <c r="AZ173" s="4317"/>
      <c r="BA173" s="4317"/>
      <c r="BB173" s="4317"/>
      <c r="BC173" s="4317"/>
      <c r="BD173" s="4317"/>
      <c r="BE173" s="4317"/>
      <c r="BF173" s="4317"/>
      <c r="BG173" s="4317"/>
      <c r="BH173" s="4317"/>
      <c r="BI173" s="4317"/>
      <c r="BJ173" s="4317"/>
      <c r="BK173" s="4317"/>
      <c r="BL173" s="4317"/>
      <c r="BM173" s="4317"/>
      <c r="BN173" s="4317"/>
      <c r="BO173" s="4317"/>
      <c r="BP173" s="4317"/>
      <c r="BQ173" s="4317"/>
      <c r="BR173" s="4317"/>
      <c r="BS173" s="4317"/>
      <c r="BT173" s="4317"/>
      <c r="BU173" s="4317"/>
      <c r="BV173" s="4317"/>
      <c r="BW173" s="4317"/>
      <c r="BX173" s="4317"/>
      <c r="BY173" s="4317"/>
      <c r="BZ173" s="4317"/>
      <c r="CA173" s="4317"/>
      <c r="CB173" s="4317"/>
      <c r="CC173" s="4317"/>
      <c r="CD173" s="4317"/>
      <c r="CE173" s="4317"/>
      <c r="CF173" s="4317"/>
      <c r="CG173" s="4317"/>
      <c r="CH173" s="4317"/>
      <c r="CI173" s="4317"/>
      <c r="CJ173" s="4317"/>
      <c r="CK173" s="4317"/>
      <c r="CL173" s="4317"/>
      <c r="CM173" s="4317"/>
      <c r="CN173" s="4317"/>
      <c r="CO173" s="4317"/>
      <c r="CP173" s="4317"/>
      <c r="CQ173" s="4317"/>
      <c r="CR173" s="4317"/>
      <c r="CS173" s="4317"/>
      <c r="CT173" s="4317"/>
      <c r="CU173" s="4317"/>
      <c r="CV173" s="4317"/>
      <c r="CW173" s="4317"/>
      <c r="CX173" s="4317"/>
      <c r="CY173" s="4317"/>
      <c r="CZ173" s="4317"/>
      <c r="DA173" s="4317"/>
      <c r="DB173" s="4317"/>
      <c r="DC173" s="4317"/>
      <c r="DD173" s="4317"/>
      <c r="DE173" s="4317"/>
      <c r="DF173" s="4317"/>
      <c r="DG173" s="4317"/>
      <c r="DH173" s="4317"/>
      <c r="DI173" s="4317"/>
      <c r="DJ173" s="4317"/>
      <c r="DK173" s="4317"/>
      <c r="DL173" s="4317"/>
      <c r="DM173" s="4317"/>
      <c r="DN173" s="4317"/>
      <c r="DO173" s="4317"/>
      <c r="DP173" s="4317"/>
      <c r="DQ173" s="4317"/>
      <c r="DR173" s="4317"/>
      <c r="DS173" s="4317"/>
    </row>
    <row r="174" s="4134" customFormat="1" ht="16.5" customHeight="1" spans="1:123">
      <c r="A174" s="4304" t="s">
        <v>4776</v>
      </c>
      <c r="B174" s="4324"/>
      <c r="C174" s="4324"/>
      <c r="D174" s="4324"/>
      <c r="E174" s="4324"/>
      <c r="F174" s="4306">
        <f>SUM(F172:L173)</f>
        <v>0</v>
      </c>
      <c r="G174" s="4306"/>
      <c r="H174" s="4306"/>
      <c r="I174" s="4306"/>
      <c r="J174" s="4306"/>
      <c r="K174" s="4306"/>
      <c r="L174" s="4306"/>
      <c r="M174" s="4295"/>
      <c r="N174" s="4295"/>
      <c r="O174" s="4319"/>
      <c r="P174" s="4317"/>
      <c r="Q174" s="4295"/>
      <c r="R174" s="4317"/>
      <c r="S174" s="4317"/>
      <c r="T174" s="4317"/>
      <c r="U174" s="4317"/>
      <c r="V174" s="4317"/>
      <c r="W174" s="4317"/>
      <c r="X174" s="4317"/>
      <c r="Y174" s="4317"/>
      <c r="Z174" s="4317"/>
      <c r="AA174" s="4317"/>
      <c r="AB174" s="4317"/>
      <c r="AC174" s="4295"/>
      <c r="AD174" s="4295"/>
      <c r="AE174" s="4317"/>
      <c r="AF174" s="4319"/>
      <c r="AG174" s="4319"/>
      <c r="AH174" s="4317"/>
      <c r="AI174" s="4317"/>
      <c r="AJ174" s="4317"/>
      <c r="AK174" s="4317"/>
      <c r="AL174" s="4317"/>
      <c r="AM174" s="4317"/>
      <c r="AN174" s="4317"/>
      <c r="AO174" s="4317"/>
      <c r="AP174" s="4317"/>
      <c r="AQ174" s="4317"/>
      <c r="AR174" s="4317"/>
      <c r="AS174" s="4317"/>
      <c r="AT174" s="4317"/>
      <c r="AU174" s="4317"/>
      <c r="AV174" s="4317"/>
      <c r="AW174" s="4317"/>
      <c r="AX174" s="4317"/>
      <c r="AY174" s="4317"/>
      <c r="AZ174" s="4317"/>
      <c r="BA174" s="4317"/>
      <c r="BB174" s="4317"/>
      <c r="BC174" s="4317"/>
      <c r="BD174" s="4317"/>
      <c r="BE174" s="4317"/>
      <c r="BF174" s="4317"/>
      <c r="BG174" s="4317"/>
      <c r="BH174" s="4317"/>
      <c r="BI174" s="4317"/>
      <c r="BJ174" s="4317"/>
      <c r="BK174" s="4317"/>
      <c r="BL174" s="4317"/>
      <c r="BM174" s="4317"/>
      <c r="BN174" s="4317"/>
      <c r="BO174" s="4317"/>
      <c r="BP174" s="4317"/>
      <c r="BQ174" s="4317"/>
      <c r="BR174" s="4317"/>
      <c r="BS174" s="4317"/>
      <c r="BT174" s="4317"/>
      <c r="BU174" s="4317"/>
      <c r="BV174" s="4317"/>
      <c r="BW174" s="4317"/>
      <c r="BX174" s="4317"/>
      <c r="BY174" s="4317"/>
      <c r="BZ174" s="4317"/>
      <c r="CA174" s="4317"/>
      <c r="CB174" s="4317"/>
      <c r="CC174" s="4317"/>
      <c r="CD174" s="4317"/>
      <c r="CE174" s="4317"/>
      <c r="CF174" s="4317"/>
      <c r="CG174" s="4317"/>
      <c r="CH174" s="4317"/>
      <c r="CI174" s="4317"/>
      <c r="CJ174" s="4317"/>
      <c r="CK174" s="4317"/>
      <c r="CL174" s="4317"/>
      <c r="CM174" s="4317"/>
      <c r="CN174" s="4317"/>
      <c r="CO174" s="4317"/>
      <c r="CP174" s="4317"/>
      <c r="CQ174" s="4317"/>
      <c r="CR174" s="4317"/>
      <c r="CS174" s="4317"/>
      <c r="CT174" s="4317"/>
      <c r="CU174" s="4317"/>
      <c r="CV174" s="4317"/>
      <c r="CW174" s="4317"/>
      <c r="CX174" s="4317"/>
      <c r="CY174" s="4317"/>
      <c r="CZ174" s="4317"/>
      <c r="DA174" s="4317"/>
      <c r="DB174" s="4317"/>
      <c r="DC174" s="4317"/>
      <c r="DD174" s="4317"/>
      <c r="DE174" s="4317"/>
      <c r="DF174" s="4317"/>
      <c r="DG174" s="4317"/>
      <c r="DH174" s="4317"/>
      <c r="DI174" s="4317"/>
      <c r="DJ174" s="4317"/>
      <c r="DK174" s="4317"/>
      <c r="DL174" s="4317"/>
      <c r="DM174" s="4317"/>
      <c r="DN174" s="4317"/>
      <c r="DO174" s="4317"/>
      <c r="DP174" s="4317"/>
      <c r="DQ174" s="4317"/>
      <c r="DR174" s="4317"/>
      <c r="DS174" s="4317"/>
    </row>
    <row r="175" s="4134" customFormat="1" ht="16.5" customHeight="1" spans="1:123">
      <c r="A175" s="4304" t="s">
        <v>4777</v>
      </c>
      <c r="B175" s="4324"/>
      <c r="C175" s="4324"/>
      <c r="D175" s="4324"/>
      <c r="E175" s="4324"/>
      <c r="F175" s="4300"/>
      <c r="G175" s="4300"/>
      <c r="H175" s="4300"/>
      <c r="I175" s="4300"/>
      <c r="J175" s="4300"/>
      <c r="K175" s="4300"/>
      <c r="L175" s="4300"/>
      <c r="M175" s="4295"/>
      <c r="N175" s="4295"/>
      <c r="O175" s="4319" t="s">
        <v>4778</v>
      </c>
      <c r="P175" s="4317"/>
      <c r="Q175" s="4295"/>
      <c r="R175" s="4317"/>
      <c r="S175" s="4317"/>
      <c r="T175" s="4317"/>
      <c r="U175" s="4317"/>
      <c r="V175" s="4317"/>
      <c r="W175" s="4317"/>
      <c r="X175" s="4317"/>
      <c r="Y175" s="4317"/>
      <c r="Z175" s="4317"/>
      <c r="AA175" s="4317"/>
      <c r="AB175" s="4317"/>
      <c r="AC175" s="4295"/>
      <c r="AD175" s="4295"/>
      <c r="AE175" s="4317"/>
      <c r="AF175" s="4319"/>
      <c r="AG175" s="4319"/>
      <c r="AH175" s="4317"/>
      <c r="AI175" s="4317"/>
      <c r="AJ175" s="4317"/>
      <c r="AK175" s="4317"/>
      <c r="AL175" s="4317"/>
      <c r="AM175" s="4317"/>
      <c r="AN175" s="4317"/>
      <c r="AO175" s="4317"/>
      <c r="AP175" s="4317"/>
      <c r="AQ175" s="4317"/>
      <c r="AR175" s="4317"/>
      <c r="AS175" s="4317"/>
      <c r="AT175" s="4317"/>
      <c r="AU175" s="4317"/>
      <c r="AV175" s="4317"/>
      <c r="AW175" s="4317"/>
      <c r="AX175" s="4317"/>
      <c r="AY175" s="4317"/>
      <c r="AZ175" s="4317"/>
      <c r="BA175" s="4317"/>
      <c r="BB175" s="4317"/>
      <c r="BC175" s="4317"/>
      <c r="BD175" s="4317"/>
      <c r="BE175" s="4317"/>
      <c r="BF175" s="4317"/>
      <c r="BG175" s="4317"/>
      <c r="BH175" s="4317"/>
      <c r="BI175" s="4317"/>
      <c r="BJ175" s="4317"/>
      <c r="BK175" s="4317"/>
      <c r="BL175" s="4317"/>
      <c r="BM175" s="4317"/>
      <c r="BN175" s="4317"/>
      <c r="BO175" s="4317"/>
      <c r="BP175" s="4317"/>
      <c r="BQ175" s="4317"/>
      <c r="BR175" s="4317"/>
      <c r="BS175" s="4317"/>
      <c r="BT175" s="4317"/>
      <c r="BU175" s="4317"/>
      <c r="BV175" s="4317"/>
      <c r="BW175" s="4317"/>
      <c r="BX175" s="4317"/>
      <c r="BY175" s="4317"/>
      <c r="BZ175" s="4317"/>
      <c r="CA175" s="4317"/>
      <c r="CB175" s="4317"/>
      <c r="CC175" s="4317"/>
      <c r="CD175" s="4317"/>
      <c r="CE175" s="4317"/>
      <c r="CF175" s="4317"/>
      <c r="CG175" s="4317"/>
      <c r="CH175" s="4317"/>
      <c r="CI175" s="4317"/>
      <c r="CJ175" s="4317"/>
      <c r="CK175" s="4317"/>
      <c r="CL175" s="4317"/>
      <c r="CM175" s="4317"/>
      <c r="CN175" s="4317"/>
      <c r="CO175" s="4317"/>
      <c r="CP175" s="4317"/>
      <c r="CQ175" s="4317"/>
      <c r="CR175" s="4317"/>
      <c r="CS175" s="4317"/>
      <c r="CT175" s="4317"/>
      <c r="CU175" s="4317"/>
      <c r="CV175" s="4317"/>
      <c r="CW175" s="4317"/>
      <c r="CX175" s="4317"/>
      <c r="CY175" s="4317"/>
      <c r="CZ175" s="4317"/>
      <c r="DA175" s="4317"/>
      <c r="DB175" s="4317"/>
      <c r="DC175" s="4317"/>
      <c r="DD175" s="4317"/>
      <c r="DE175" s="4317"/>
      <c r="DF175" s="4317"/>
      <c r="DG175" s="4317"/>
      <c r="DH175" s="4317"/>
      <c r="DI175" s="4317"/>
      <c r="DJ175" s="4317"/>
      <c r="DK175" s="4317"/>
      <c r="DL175" s="4317"/>
      <c r="DM175" s="4317"/>
      <c r="DN175" s="4317"/>
      <c r="DO175" s="4317"/>
      <c r="DP175" s="4317"/>
      <c r="DQ175" s="4317"/>
      <c r="DR175" s="4317"/>
      <c r="DS175" s="4317"/>
    </row>
    <row r="176" s="4134" customFormat="1" ht="16.5" customHeight="1" spans="1:123">
      <c r="A176" s="4304" t="s">
        <v>4779</v>
      </c>
      <c r="B176" s="4324"/>
      <c r="C176" s="4324"/>
      <c r="D176" s="4324"/>
      <c r="E176" s="4324"/>
      <c r="F176" s="4300"/>
      <c r="G176" s="4300"/>
      <c r="H176" s="4300"/>
      <c r="I176" s="4300"/>
      <c r="J176" s="4300"/>
      <c r="K176" s="4300"/>
      <c r="L176" s="4300"/>
      <c r="M176" s="4295"/>
      <c r="N176" s="4295"/>
      <c r="O176" s="4319" t="s">
        <v>4780</v>
      </c>
      <c r="P176" s="4317"/>
      <c r="Q176" s="4295"/>
      <c r="R176" s="4317"/>
      <c r="S176" s="4317"/>
      <c r="T176" s="4317"/>
      <c r="U176" s="4317"/>
      <c r="V176" s="4317"/>
      <c r="W176" s="4317"/>
      <c r="X176" s="4317"/>
      <c r="Y176" s="4317"/>
      <c r="Z176" s="4317"/>
      <c r="AA176" s="4317"/>
      <c r="AB176" s="4317"/>
      <c r="AC176" s="4295"/>
      <c r="AD176" s="4295"/>
      <c r="AE176" s="4317"/>
      <c r="AF176" s="4319"/>
      <c r="AG176" s="4319"/>
      <c r="AH176" s="4317"/>
      <c r="AI176" s="4317"/>
      <c r="AJ176" s="4317"/>
      <c r="AK176" s="4317"/>
      <c r="AL176" s="4317"/>
      <c r="AM176" s="4317"/>
      <c r="AN176" s="4317"/>
      <c r="AO176" s="4317"/>
      <c r="AP176" s="4317"/>
      <c r="AQ176" s="4317"/>
      <c r="AR176" s="4317"/>
      <c r="AS176" s="4317"/>
      <c r="AT176" s="4317"/>
      <c r="AU176" s="4317"/>
      <c r="AV176" s="4317"/>
      <c r="AW176" s="4317"/>
      <c r="AX176" s="4317"/>
      <c r="AY176" s="4317"/>
      <c r="AZ176" s="4317"/>
      <c r="BA176" s="4317"/>
      <c r="BB176" s="4317"/>
      <c r="BC176" s="4317"/>
      <c r="BD176" s="4317"/>
      <c r="BE176" s="4317"/>
      <c r="BF176" s="4317"/>
      <c r="BG176" s="4317"/>
      <c r="BH176" s="4317"/>
      <c r="BI176" s="4317"/>
      <c r="BJ176" s="4317"/>
      <c r="BK176" s="4317"/>
      <c r="BL176" s="4317"/>
      <c r="BM176" s="4317"/>
      <c r="BN176" s="4317"/>
      <c r="BO176" s="4317"/>
      <c r="BP176" s="4317"/>
      <c r="BQ176" s="4317"/>
      <c r="BR176" s="4317"/>
      <c r="BS176" s="4317"/>
      <c r="BT176" s="4317"/>
      <c r="BU176" s="4317"/>
      <c r="BV176" s="4317"/>
      <c r="BW176" s="4317"/>
      <c r="BX176" s="4317"/>
      <c r="BY176" s="4317"/>
      <c r="BZ176" s="4317"/>
      <c r="CA176" s="4317"/>
      <c r="CB176" s="4317"/>
      <c r="CC176" s="4317"/>
      <c r="CD176" s="4317"/>
      <c r="CE176" s="4317"/>
      <c r="CF176" s="4317"/>
      <c r="CG176" s="4317"/>
      <c r="CH176" s="4317"/>
      <c r="CI176" s="4317"/>
      <c r="CJ176" s="4317"/>
      <c r="CK176" s="4317"/>
      <c r="CL176" s="4317"/>
      <c r="CM176" s="4317"/>
      <c r="CN176" s="4317"/>
      <c r="CO176" s="4317"/>
      <c r="CP176" s="4317"/>
      <c r="CQ176" s="4317"/>
      <c r="CR176" s="4317"/>
      <c r="CS176" s="4317"/>
      <c r="CT176" s="4317"/>
      <c r="CU176" s="4317"/>
      <c r="CV176" s="4317"/>
      <c r="CW176" s="4317"/>
      <c r="CX176" s="4317"/>
      <c r="CY176" s="4317"/>
      <c r="CZ176" s="4317"/>
      <c r="DA176" s="4317"/>
      <c r="DB176" s="4317"/>
      <c r="DC176" s="4317"/>
      <c r="DD176" s="4317"/>
      <c r="DE176" s="4317"/>
      <c r="DF176" s="4317"/>
      <c r="DG176" s="4317"/>
      <c r="DH176" s="4317"/>
      <c r="DI176" s="4317"/>
      <c r="DJ176" s="4317"/>
      <c r="DK176" s="4317"/>
      <c r="DL176" s="4317"/>
      <c r="DM176" s="4317"/>
      <c r="DN176" s="4317"/>
      <c r="DO176" s="4317"/>
      <c r="DP176" s="4317"/>
      <c r="DQ176" s="4317"/>
      <c r="DR176" s="4317"/>
      <c r="DS176" s="4317"/>
    </row>
    <row r="177" s="4134" customFormat="1" ht="16.5" customHeight="1" spans="1:123">
      <c r="A177" s="4325" t="s">
        <v>4781</v>
      </c>
      <c r="B177" s="4326"/>
      <c r="C177" s="4326"/>
      <c r="D177" s="4326"/>
      <c r="E177" s="4326"/>
      <c r="F177" s="4300"/>
      <c r="G177" s="4300"/>
      <c r="H177" s="4300"/>
      <c r="I177" s="4300"/>
      <c r="J177" s="4300"/>
      <c r="K177" s="4300"/>
      <c r="L177" s="4300"/>
      <c r="M177" s="4295"/>
      <c r="N177" s="4295"/>
      <c r="O177" s="4319" t="s">
        <v>4782</v>
      </c>
      <c r="P177" s="4317"/>
      <c r="Q177" s="4295"/>
      <c r="R177" s="4317"/>
      <c r="S177" s="4317"/>
      <c r="T177" s="4317"/>
      <c r="U177" s="4317"/>
      <c r="V177" s="4317"/>
      <c r="W177" s="4317"/>
      <c r="X177" s="4317"/>
      <c r="Y177" s="4317"/>
      <c r="Z177" s="4317"/>
      <c r="AA177" s="4317"/>
      <c r="AB177" s="4317"/>
      <c r="AC177" s="4295"/>
      <c r="AD177" s="4295"/>
      <c r="AE177" s="4317"/>
      <c r="AF177" s="4319"/>
      <c r="AG177" s="4319"/>
      <c r="AH177" s="4317"/>
      <c r="AI177" s="4317"/>
      <c r="AJ177" s="4317"/>
      <c r="AK177" s="4317"/>
      <c r="AL177" s="4317"/>
      <c r="AM177" s="4317"/>
      <c r="AN177" s="4317"/>
      <c r="AO177" s="4317"/>
      <c r="AP177" s="4317"/>
      <c r="AQ177" s="4317"/>
      <c r="AR177" s="4317"/>
      <c r="AS177" s="4317"/>
      <c r="AT177" s="4317"/>
      <c r="AU177" s="4317"/>
      <c r="AV177" s="4317"/>
      <c r="AW177" s="4317"/>
      <c r="AX177" s="4317"/>
      <c r="AY177" s="4317"/>
      <c r="AZ177" s="4317"/>
      <c r="BA177" s="4317"/>
      <c r="BB177" s="4317"/>
      <c r="BC177" s="4317"/>
      <c r="BD177" s="4317"/>
      <c r="BE177" s="4317"/>
      <c r="BF177" s="4317"/>
      <c r="BG177" s="4317"/>
      <c r="BH177" s="4317"/>
      <c r="BI177" s="4317"/>
      <c r="BJ177" s="4317"/>
      <c r="BK177" s="4317"/>
      <c r="BL177" s="4317"/>
      <c r="BM177" s="4317"/>
      <c r="BN177" s="4317"/>
      <c r="BO177" s="4317"/>
      <c r="BP177" s="4317"/>
      <c r="BQ177" s="4317"/>
      <c r="BR177" s="4317"/>
      <c r="BS177" s="4317"/>
      <c r="BT177" s="4317"/>
      <c r="BU177" s="4317"/>
      <c r="BV177" s="4317"/>
      <c r="BW177" s="4317"/>
      <c r="BX177" s="4317"/>
      <c r="BY177" s="4317"/>
      <c r="BZ177" s="4317"/>
      <c r="CA177" s="4317"/>
      <c r="CB177" s="4317"/>
      <c r="CC177" s="4317"/>
      <c r="CD177" s="4317"/>
      <c r="CE177" s="4317"/>
      <c r="CF177" s="4317"/>
      <c r="CG177" s="4317"/>
      <c r="CH177" s="4317"/>
      <c r="CI177" s="4317"/>
      <c r="CJ177" s="4317"/>
      <c r="CK177" s="4317"/>
      <c r="CL177" s="4317"/>
      <c r="CM177" s="4317"/>
      <c r="CN177" s="4317"/>
      <c r="CO177" s="4317"/>
      <c r="CP177" s="4317"/>
      <c r="CQ177" s="4317"/>
      <c r="CR177" s="4317"/>
      <c r="CS177" s="4317"/>
      <c r="CT177" s="4317"/>
      <c r="CU177" s="4317"/>
      <c r="CV177" s="4317"/>
      <c r="CW177" s="4317"/>
      <c r="CX177" s="4317"/>
      <c r="CY177" s="4317"/>
      <c r="CZ177" s="4317"/>
      <c r="DA177" s="4317"/>
      <c r="DB177" s="4317"/>
      <c r="DC177" s="4317"/>
      <c r="DD177" s="4317"/>
      <c r="DE177" s="4317"/>
      <c r="DF177" s="4317"/>
      <c r="DG177" s="4317"/>
      <c r="DH177" s="4317"/>
      <c r="DI177" s="4317"/>
      <c r="DJ177" s="4317"/>
      <c r="DK177" s="4317"/>
      <c r="DL177" s="4317"/>
      <c r="DM177" s="4317"/>
      <c r="DN177" s="4317"/>
      <c r="DO177" s="4317"/>
      <c r="DP177" s="4317"/>
      <c r="DQ177" s="4317"/>
      <c r="DR177" s="4317"/>
      <c r="DS177" s="4317"/>
    </row>
    <row r="178" s="4134" customFormat="1" ht="16.5" customHeight="1" spans="1:123">
      <c r="A178" s="4325" t="s">
        <v>4783</v>
      </c>
      <c r="B178" s="4326"/>
      <c r="C178" s="4326"/>
      <c r="D178" s="4326"/>
      <c r="E178" s="4326"/>
      <c r="F178" s="4300"/>
      <c r="G178" s="4300"/>
      <c r="H178" s="4300"/>
      <c r="I178" s="4300"/>
      <c r="J178" s="4300"/>
      <c r="K178" s="4300"/>
      <c r="L178" s="4300"/>
      <c r="M178" s="4295"/>
      <c r="N178" s="4295"/>
      <c r="O178" s="4319" t="s">
        <v>4784</v>
      </c>
      <c r="P178" s="4317"/>
      <c r="Q178" s="4295"/>
      <c r="R178" s="4317"/>
      <c r="S178" s="4317"/>
      <c r="T178" s="4317"/>
      <c r="U178" s="4317"/>
      <c r="V178" s="4317"/>
      <c r="W178" s="4317"/>
      <c r="X178" s="4317"/>
      <c r="Y178" s="4317"/>
      <c r="Z178" s="4317"/>
      <c r="AA178" s="4317"/>
      <c r="AB178" s="4317"/>
      <c r="AC178" s="4295"/>
      <c r="AD178" s="4295"/>
      <c r="AE178" s="4317"/>
      <c r="AF178" s="4319"/>
      <c r="AG178" s="4319"/>
      <c r="AH178" s="4317"/>
      <c r="AI178" s="4317"/>
      <c r="AJ178" s="4317"/>
      <c r="AK178" s="4317"/>
      <c r="AL178" s="4317"/>
      <c r="AM178" s="4317"/>
      <c r="AN178" s="4317"/>
      <c r="AO178" s="4317"/>
      <c r="AP178" s="4317"/>
      <c r="AQ178" s="4317"/>
      <c r="AR178" s="4317"/>
      <c r="AS178" s="4317"/>
      <c r="AT178" s="4317"/>
      <c r="AU178" s="4317"/>
      <c r="AV178" s="4317"/>
      <c r="AW178" s="4317"/>
      <c r="AX178" s="4317"/>
      <c r="AY178" s="4317"/>
      <c r="AZ178" s="4317"/>
      <c r="BA178" s="4317"/>
      <c r="BB178" s="4317"/>
      <c r="BC178" s="4317"/>
      <c r="BD178" s="4317"/>
      <c r="BE178" s="4317"/>
      <c r="BF178" s="4317"/>
      <c r="BG178" s="4317"/>
      <c r="BH178" s="4317"/>
      <c r="BI178" s="4317"/>
      <c r="BJ178" s="4317"/>
      <c r="BK178" s="4317"/>
      <c r="BL178" s="4317"/>
      <c r="BM178" s="4317"/>
      <c r="BN178" s="4317"/>
      <c r="BO178" s="4317"/>
      <c r="BP178" s="4317"/>
      <c r="BQ178" s="4317"/>
      <c r="BR178" s="4317"/>
      <c r="BS178" s="4317"/>
      <c r="BT178" s="4317"/>
      <c r="BU178" s="4317"/>
      <c r="BV178" s="4317"/>
      <c r="BW178" s="4317"/>
      <c r="BX178" s="4317"/>
      <c r="BY178" s="4317"/>
      <c r="BZ178" s="4317"/>
      <c r="CA178" s="4317"/>
      <c r="CB178" s="4317"/>
      <c r="CC178" s="4317"/>
      <c r="CD178" s="4317"/>
      <c r="CE178" s="4317"/>
      <c r="CF178" s="4317"/>
      <c r="CG178" s="4317"/>
      <c r="CH178" s="4317"/>
      <c r="CI178" s="4317"/>
      <c r="CJ178" s="4317"/>
      <c r="CK178" s="4317"/>
      <c r="CL178" s="4317"/>
      <c r="CM178" s="4317"/>
      <c r="CN178" s="4317"/>
      <c r="CO178" s="4317"/>
      <c r="CP178" s="4317"/>
      <c r="CQ178" s="4317"/>
      <c r="CR178" s="4317"/>
      <c r="CS178" s="4317"/>
      <c r="CT178" s="4317"/>
      <c r="CU178" s="4317"/>
      <c r="CV178" s="4317"/>
      <c r="CW178" s="4317"/>
      <c r="CX178" s="4317"/>
      <c r="CY178" s="4317"/>
      <c r="CZ178" s="4317"/>
      <c r="DA178" s="4317"/>
      <c r="DB178" s="4317"/>
      <c r="DC178" s="4317"/>
      <c r="DD178" s="4317"/>
      <c r="DE178" s="4317"/>
      <c r="DF178" s="4317"/>
      <c r="DG178" s="4317"/>
      <c r="DH178" s="4317"/>
      <c r="DI178" s="4317"/>
      <c r="DJ178" s="4317"/>
      <c r="DK178" s="4317"/>
      <c r="DL178" s="4317"/>
      <c r="DM178" s="4317"/>
      <c r="DN178" s="4317"/>
      <c r="DO178" s="4317"/>
      <c r="DP178" s="4317"/>
      <c r="DQ178" s="4317"/>
      <c r="DR178" s="4317"/>
      <c r="DS178" s="4317"/>
    </row>
    <row r="179" s="4134" customFormat="1" ht="16.5" customHeight="1" spans="1:123">
      <c r="A179" s="4304" t="s">
        <v>4785</v>
      </c>
      <c r="B179" s="4305"/>
      <c r="C179" s="4305"/>
      <c r="D179" s="4305"/>
      <c r="E179" s="4305"/>
      <c r="F179" s="4306">
        <f>SUM(F177:L178)</f>
        <v>0</v>
      </c>
      <c r="G179" s="4306"/>
      <c r="H179" s="4306"/>
      <c r="I179" s="4306"/>
      <c r="J179" s="4306"/>
      <c r="K179" s="4306"/>
      <c r="L179" s="4306"/>
      <c r="M179" s="4295"/>
      <c r="N179" s="4295"/>
      <c r="O179" s="4319" t="s">
        <v>4786</v>
      </c>
      <c r="P179" s="4317"/>
      <c r="Q179" s="4295"/>
      <c r="R179" s="4317"/>
      <c r="S179" s="4317"/>
      <c r="T179" s="4317"/>
      <c r="U179" s="4317"/>
      <c r="V179" s="4317"/>
      <c r="W179" s="4317"/>
      <c r="X179" s="4317"/>
      <c r="Y179" s="4317"/>
      <c r="Z179" s="4317"/>
      <c r="AA179" s="4317"/>
      <c r="AB179" s="4317"/>
      <c r="AC179" s="4295"/>
      <c r="AD179" s="4295"/>
      <c r="AE179" s="4317"/>
      <c r="AF179" s="4319"/>
      <c r="AG179" s="4319"/>
      <c r="AH179" s="4317"/>
      <c r="AI179" s="4317"/>
      <c r="AJ179" s="4317"/>
      <c r="AK179" s="4317"/>
      <c r="AL179" s="4317"/>
      <c r="AM179" s="4317"/>
      <c r="AN179" s="4317"/>
      <c r="AO179" s="4317"/>
      <c r="AP179" s="4317"/>
      <c r="AQ179" s="4317"/>
      <c r="AR179" s="4317"/>
      <c r="AS179" s="4317"/>
      <c r="AT179" s="4317"/>
      <c r="AU179" s="4317"/>
      <c r="AV179" s="4317"/>
      <c r="AW179" s="4317"/>
      <c r="AX179" s="4317"/>
      <c r="AY179" s="4317"/>
      <c r="AZ179" s="4317"/>
      <c r="BA179" s="4317"/>
      <c r="BB179" s="4317"/>
      <c r="BC179" s="4317"/>
      <c r="BD179" s="4317"/>
      <c r="BE179" s="4317"/>
      <c r="BF179" s="4317"/>
      <c r="BG179" s="4317"/>
      <c r="BH179" s="4317"/>
      <c r="BI179" s="4317"/>
      <c r="BJ179" s="4317"/>
      <c r="BK179" s="4317"/>
      <c r="BL179" s="4317"/>
      <c r="BM179" s="4317"/>
      <c r="BN179" s="4317"/>
      <c r="BO179" s="4317"/>
      <c r="BP179" s="4317"/>
      <c r="BQ179" s="4317"/>
      <c r="BR179" s="4317"/>
      <c r="BS179" s="4317"/>
      <c r="BT179" s="4317"/>
      <c r="BU179" s="4317"/>
      <c r="BV179" s="4317"/>
      <c r="BW179" s="4317"/>
      <c r="BX179" s="4317"/>
      <c r="BY179" s="4317"/>
      <c r="BZ179" s="4317"/>
      <c r="CA179" s="4317"/>
      <c r="CB179" s="4317"/>
      <c r="CC179" s="4317"/>
      <c r="CD179" s="4317"/>
      <c r="CE179" s="4317"/>
      <c r="CF179" s="4317"/>
      <c r="CG179" s="4317"/>
      <c r="CH179" s="4317"/>
      <c r="CI179" s="4317"/>
      <c r="CJ179" s="4317"/>
      <c r="CK179" s="4317"/>
      <c r="CL179" s="4317"/>
      <c r="CM179" s="4317"/>
      <c r="CN179" s="4317"/>
      <c r="CO179" s="4317"/>
      <c r="CP179" s="4317"/>
      <c r="CQ179" s="4317"/>
      <c r="CR179" s="4317"/>
      <c r="CS179" s="4317"/>
      <c r="CT179" s="4317"/>
      <c r="CU179" s="4317"/>
      <c r="CV179" s="4317"/>
      <c r="CW179" s="4317"/>
      <c r="CX179" s="4317"/>
      <c r="CY179" s="4317"/>
      <c r="CZ179" s="4317"/>
      <c r="DA179" s="4317"/>
      <c r="DB179" s="4317"/>
      <c r="DC179" s="4317"/>
      <c r="DD179" s="4317"/>
      <c r="DE179" s="4317"/>
      <c r="DF179" s="4317"/>
      <c r="DG179" s="4317"/>
      <c r="DH179" s="4317"/>
      <c r="DI179" s="4317"/>
      <c r="DJ179" s="4317"/>
      <c r="DK179" s="4317"/>
      <c r="DL179" s="4317"/>
      <c r="DM179" s="4317"/>
      <c r="DN179" s="4317"/>
      <c r="DO179" s="4317"/>
      <c r="DP179" s="4317"/>
      <c r="DQ179" s="4317"/>
      <c r="DR179" s="4317"/>
      <c r="DS179" s="4317"/>
    </row>
    <row r="180" s="4134" customFormat="1" ht="16.5" customHeight="1" spans="1:123">
      <c r="A180" s="4325" t="s">
        <v>4787</v>
      </c>
      <c r="B180" s="4326"/>
      <c r="C180" s="4326"/>
      <c r="D180" s="4326"/>
      <c r="E180" s="4326"/>
      <c r="F180" s="4300"/>
      <c r="G180" s="4300"/>
      <c r="H180" s="4300"/>
      <c r="I180" s="4300"/>
      <c r="J180" s="4300"/>
      <c r="K180" s="4300"/>
      <c r="L180" s="4300"/>
      <c r="M180" s="4295"/>
      <c r="N180" s="4295"/>
      <c r="O180" s="4319" t="s">
        <v>4788</v>
      </c>
      <c r="P180" s="4317"/>
      <c r="Q180" s="4295"/>
      <c r="R180" s="4317"/>
      <c r="S180" s="4317"/>
      <c r="T180" s="4317"/>
      <c r="U180" s="4317"/>
      <c r="V180" s="4317"/>
      <c r="W180" s="4317"/>
      <c r="X180" s="4317"/>
      <c r="Y180" s="4317"/>
      <c r="Z180" s="4317"/>
      <c r="AA180" s="4317"/>
      <c r="AB180" s="4317"/>
      <c r="AC180" s="4295"/>
      <c r="AD180" s="4295"/>
      <c r="AE180" s="4317"/>
      <c r="AF180" s="4319"/>
      <c r="AG180" s="4319"/>
      <c r="AH180" s="4317"/>
      <c r="AI180" s="4317"/>
      <c r="AJ180" s="4317"/>
      <c r="AK180" s="4317"/>
      <c r="AL180" s="4317"/>
      <c r="AM180" s="4317"/>
      <c r="AN180" s="4317"/>
      <c r="AO180" s="4317"/>
      <c r="AP180" s="4317"/>
      <c r="AQ180" s="4317"/>
      <c r="AR180" s="4317"/>
      <c r="AS180" s="4317"/>
      <c r="AT180" s="4317"/>
      <c r="AU180" s="4317"/>
      <c r="AV180" s="4317"/>
      <c r="AW180" s="4317"/>
      <c r="AX180" s="4317"/>
      <c r="AY180" s="4317"/>
      <c r="AZ180" s="4317"/>
      <c r="BA180" s="4317"/>
      <c r="BB180" s="4317"/>
      <c r="BC180" s="4317"/>
      <c r="BD180" s="4317"/>
      <c r="BE180" s="4317"/>
      <c r="BF180" s="4317"/>
      <c r="BG180" s="4317"/>
      <c r="BH180" s="4317"/>
      <c r="BI180" s="4317"/>
      <c r="BJ180" s="4317"/>
      <c r="BK180" s="4317"/>
      <c r="BL180" s="4317"/>
      <c r="BM180" s="4317"/>
      <c r="BN180" s="4317"/>
      <c r="BO180" s="4317"/>
      <c r="BP180" s="4317"/>
      <c r="BQ180" s="4317"/>
      <c r="BR180" s="4317"/>
      <c r="BS180" s="4317"/>
      <c r="BT180" s="4317"/>
      <c r="BU180" s="4317"/>
      <c r="BV180" s="4317"/>
      <c r="BW180" s="4317"/>
      <c r="BX180" s="4317"/>
      <c r="BY180" s="4317"/>
      <c r="BZ180" s="4317"/>
      <c r="CA180" s="4317"/>
      <c r="CB180" s="4317"/>
      <c r="CC180" s="4317"/>
      <c r="CD180" s="4317"/>
      <c r="CE180" s="4317"/>
      <c r="CF180" s="4317"/>
      <c r="CG180" s="4317"/>
      <c r="CH180" s="4317"/>
      <c r="CI180" s="4317"/>
      <c r="CJ180" s="4317"/>
      <c r="CK180" s="4317"/>
      <c r="CL180" s="4317"/>
      <c r="CM180" s="4317"/>
      <c r="CN180" s="4317"/>
      <c r="CO180" s="4317"/>
      <c r="CP180" s="4317"/>
      <c r="CQ180" s="4317"/>
      <c r="CR180" s="4317"/>
      <c r="CS180" s="4317"/>
      <c r="CT180" s="4317"/>
      <c r="CU180" s="4317"/>
      <c r="CV180" s="4317"/>
      <c r="CW180" s="4317"/>
      <c r="CX180" s="4317"/>
      <c r="CY180" s="4317"/>
      <c r="CZ180" s="4317"/>
      <c r="DA180" s="4317"/>
      <c r="DB180" s="4317"/>
      <c r="DC180" s="4317"/>
      <c r="DD180" s="4317"/>
      <c r="DE180" s="4317"/>
      <c r="DF180" s="4317"/>
      <c r="DG180" s="4317"/>
      <c r="DH180" s="4317"/>
      <c r="DI180" s="4317"/>
      <c r="DJ180" s="4317"/>
      <c r="DK180" s="4317"/>
      <c r="DL180" s="4317"/>
      <c r="DM180" s="4317"/>
      <c r="DN180" s="4317"/>
      <c r="DO180" s="4317"/>
      <c r="DP180" s="4317"/>
      <c r="DQ180" s="4317"/>
      <c r="DR180" s="4317"/>
      <c r="DS180" s="4317"/>
    </row>
    <row r="181" s="4134" customFormat="1" ht="16.5" customHeight="1" spans="1:123">
      <c r="A181" s="4325" t="s">
        <v>4789</v>
      </c>
      <c r="B181" s="4326"/>
      <c r="C181" s="4326"/>
      <c r="D181" s="4326"/>
      <c r="E181" s="4326"/>
      <c r="F181" s="4300"/>
      <c r="G181" s="4300"/>
      <c r="H181" s="4300"/>
      <c r="I181" s="4300"/>
      <c r="J181" s="4300"/>
      <c r="K181" s="4300"/>
      <c r="L181" s="4300"/>
      <c r="M181" s="4295"/>
      <c r="N181" s="4295"/>
      <c r="O181" s="4319" t="s">
        <v>4790</v>
      </c>
      <c r="P181" s="4317"/>
      <c r="Q181" s="4295"/>
      <c r="R181" s="4317"/>
      <c r="S181" s="4317"/>
      <c r="T181" s="4317"/>
      <c r="U181" s="4317"/>
      <c r="V181" s="4317"/>
      <c r="W181" s="4317"/>
      <c r="X181" s="4317"/>
      <c r="Y181" s="4317"/>
      <c r="Z181" s="4317"/>
      <c r="AA181" s="4317"/>
      <c r="AB181" s="4317"/>
      <c r="AC181" s="4295"/>
      <c r="AD181" s="4295"/>
      <c r="AE181" s="4317"/>
      <c r="AF181" s="4319"/>
      <c r="AG181" s="4319"/>
      <c r="AH181" s="4317"/>
      <c r="AI181" s="4317"/>
      <c r="AJ181" s="4317"/>
      <c r="AK181" s="4317"/>
      <c r="AL181" s="4317"/>
      <c r="AM181" s="4317"/>
      <c r="AN181" s="4317"/>
      <c r="AO181" s="4317"/>
      <c r="AP181" s="4317"/>
      <c r="AQ181" s="4317"/>
      <c r="AR181" s="4317"/>
      <c r="AS181" s="4317"/>
      <c r="AT181" s="4317"/>
      <c r="AU181" s="4317"/>
      <c r="AV181" s="4317"/>
      <c r="AW181" s="4317"/>
      <c r="AX181" s="4317"/>
      <c r="AY181" s="4317"/>
      <c r="AZ181" s="4317"/>
      <c r="BA181" s="4317"/>
      <c r="BB181" s="4317"/>
      <c r="BC181" s="4317"/>
      <c r="BD181" s="4317"/>
      <c r="BE181" s="4317"/>
      <c r="BF181" s="4317"/>
      <c r="BG181" s="4317"/>
      <c r="BH181" s="4317"/>
      <c r="BI181" s="4317"/>
      <c r="BJ181" s="4317"/>
      <c r="BK181" s="4317"/>
      <c r="BL181" s="4317"/>
      <c r="BM181" s="4317"/>
      <c r="BN181" s="4317"/>
      <c r="BO181" s="4317"/>
      <c r="BP181" s="4317"/>
      <c r="BQ181" s="4317"/>
      <c r="BR181" s="4317"/>
      <c r="BS181" s="4317"/>
      <c r="BT181" s="4317"/>
      <c r="BU181" s="4317"/>
      <c r="BV181" s="4317"/>
      <c r="BW181" s="4317"/>
      <c r="BX181" s="4317"/>
      <c r="BY181" s="4317"/>
      <c r="BZ181" s="4317"/>
      <c r="CA181" s="4317"/>
      <c r="CB181" s="4317"/>
      <c r="CC181" s="4317"/>
      <c r="CD181" s="4317"/>
      <c r="CE181" s="4317"/>
      <c r="CF181" s="4317"/>
      <c r="CG181" s="4317"/>
      <c r="CH181" s="4317"/>
      <c r="CI181" s="4317"/>
      <c r="CJ181" s="4317"/>
      <c r="CK181" s="4317"/>
      <c r="CL181" s="4317"/>
      <c r="CM181" s="4317"/>
      <c r="CN181" s="4317"/>
      <c r="CO181" s="4317"/>
      <c r="CP181" s="4317"/>
      <c r="CQ181" s="4317"/>
      <c r="CR181" s="4317"/>
      <c r="CS181" s="4317"/>
      <c r="CT181" s="4317"/>
      <c r="CU181" s="4317"/>
      <c r="CV181" s="4317"/>
      <c r="CW181" s="4317"/>
      <c r="CX181" s="4317"/>
      <c r="CY181" s="4317"/>
      <c r="CZ181" s="4317"/>
      <c r="DA181" s="4317"/>
      <c r="DB181" s="4317"/>
      <c r="DC181" s="4317"/>
      <c r="DD181" s="4317"/>
      <c r="DE181" s="4317"/>
      <c r="DF181" s="4317"/>
      <c r="DG181" s="4317"/>
      <c r="DH181" s="4317"/>
      <c r="DI181" s="4317"/>
      <c r="DJ181" s="4317"/>
      <c r="DK181" s="4317"/>
      <c r="DL181" s="4317"/>
      <c r="DM181" s="4317"/>
      <c r="DN181" s="4317"/>
      <c r="DO181" s="4317"/>
      <c r="DP181" s="4317"/>
      <c r="DQ181" s="4317"/>
      <c r="DR181" s="4317"/>
      <c r="DS181" s="4317"/>
    </row>
    <row r="182" s="4134" customFormat="1" ht="16.5" customHeight="1" spans="1:123">
      <c r="A182" s="4325" t="s">
        <v>4791</v>
      </c>
      <c r="B182" s="4326"/>
      <c r="C182" s="4326"/>
      <c r="D182" s="4326"/>
      <c r="E182" s="4326"/>
      <c r="F182" s="4300"/>
      <c r="G182" s="4300"/>
      <c r="H182" s="4300"/>
      <c r="I182" s="4300"/>
      <c r="J182" s="4300"/>
      <c r="K182" s="4300"/>
      <c r="L182" s="4300"/>
      <c r="M182" s="4295"/>
      <c r="N182" s="4295"/>
      <c r="O182" s="4319" t="s">
        <v>4792</v>
      </c>
      <c r="P182" s="4317"/>
      <c r="Q182" s="4295"/>
      <c r="R182" s="4317"/>
      <c r="S182" s="4317"/>
      <c r="T182" s="4317"/>
      <c r="U182" s="4317"/>
      <c r="V182" s="4317"/>
      <c r="W182" s="4317"/>
      <c r="X182" s="4317"/>
      <c r="Y182" s="4317"/>
      <c r="Z182" s="4317"/>
      <c r="AA182" s="4317"/>
      <c r="AB182" s="4317"/>
      <c r="AC182" s="4295"/>
      <c r="AD182" s="4295"/>
      <c r="AE182" s="4317"/>
      <c r="AF182" s="4319"/>
      <c r="AG182" s="4319"/>
      <c r="AH182" s="4317"/>
      <c r="AI182" s="4317"/>
      <c r="AJ182" s="4317"/>
      <c r="AK182" s="4317"/>
      <c r="AL182" s="4317"/>
      <c r="AM182" s="4317"/>
      <c r="AN182" s="4317"/>
      <c r="AO182" s="4317"/>
      <c r="AP182" s="4317"/>
      <c r="AQ182" s="4317"/>
      <c r="AR182" s="4317"/>
      <c r="AS182" s="4317"/>
      <c r="AT182" s="4317"/>
      <c r="AU182" s="4317"/>
      <c r="AV182" s="4317"/>
      <c r="AW182" s="4317"/>
      <c r="AX182" s="4317"/>
      <c r="AY182" s="4317"/>
      <c r="AZ182" s="4317"/>
      <c r="BA182" s="4317"/>
      <c r="BB182" s="4317"/>
      <c r="BC182" s="4317"/>
      <c r="BD182" s="4317"/>
      <c r="BE182" s="4317"/>
      <c r="BF182" s="4317"/>
      <c r="BG182" s="4317"/>
      <c r="BH182" s="4317"/>
      <c r="BI182" s="4317"/>
      <c r="BJ182" s="4317"/>
      <c r="BK182" s="4317"/>
      <c r="BL182" s="4317"/>
      <c r="BM182" s="4317"/>
      <c r="BN182" s="4317"/>
      <c r="BO182" s="4317"/>
      <c r="BP182" s="4317"/>
      <c r="BQ182" s="4317"/>
      <c r="BR182" s="4317"/>
      <c r="BS182" s="4317"/>
      <c r="BT182" s="4317"/>
      <c r="BU182" s="4317"/>
      <c r="BV182" s="4317"/>
      <c r="BW182" s="4317"/>
      <c r="BX182" s="4317"/>
      <c r="BY182" s="4317"/>
      <c r="BZ182" s="4317"/>
      <c r="CA182" s="4317"/>
      <c r="CB182" s="4317"/>
      <c r="CC182" s="4317"/>
      <c r="CD182" s="4317"/>
      <c r="CE182" s="4317"/>
      <c r="CF182" s="4317"/>
      <c r="CG182" s="4317"/>
      <c r="CH182" s="4317"/>
      <c r="CI182" s="4317"/>
      <c r="CJ182" s="4317"/>
      <c r="CK182" s="4317"/>
      <c r="CL182" s="4317"/>
      <c r="CM182" s="4317"/>
      <c r="CN182" s="4317"/>
      <c r="CO182" s="4317"/>
      <c r="CP182" s="4317"/>
      <c r="CQ182" s="4317"/>
      <c r="CR182" s="4317"/>
      <c r="CS182" s="4317"/>
      <c r="CT182" s="4317"/>
      <c r="CU182" s="4317"/>
      <c r="CV182" s="4317"/>
      <c r="CW182" s="4317"/>
      <c r="CX182" s="4317"/>
      <c r="CY182" s="4317"/>
      <c r="CZ182" s="4317"/>
      <c r="DA182" s="4317"/>
      <c r="DB182" s="4317"/>
      <c r="DC182" s="4317"/>
      <c r="DD182" s="4317"/>
      <c r="DE182" s="4317"/>
      <c r="DF182" s="4317"/>
      <c r="DG182" s="4317"/>
      <c r="DH182" s="4317"/>
      <c r="DI182" s="4317"/>
      <c r="DJ182" s="4317"/>
      <c r="DK182" s="4317"/>
      <c r="DL182" s="4317"/>
      <c r="DM182" s="4317"/>
      <c r="DN182" s="4317"/>
      <c r="DO182" s="4317"/>
      <c r="DP182" s="4317"/>
      <c r="DQ182" s="4317"/>
      <c r="DR182" s="4317"/>
      <c r="DS182" s="4317"/>
    </row>
    <row r="183" s="4134" customFormat="1" ht="16.5" customHeight="1" spans="1:123">
      <c r="A183" s="4325" t="s">
        <v>4793</v>
      </c>
      <c r="B183" s="4326"/>
      <c r="C183" s="4326"/>
      <c r="D183" s="4326"/>
      <c r="E183" s="4326"/>
      <c r="F183" s="4300"/>
      <c r="G183" s="4300"/>
      <c r="H183" s="4300"/>
      <c r="I183" s="4300"/>
      <c r="J183" s="4300"/>
      <c r="K183" s="4300"/>
      <c r="L183" s="4300"/>
      <c r="M183" s="4295"/>
      <c r="N183" s="4295"/>
      <c r="O183" s="4319" t="s">
        <v>4794</v>
      </c>
      <c r="P183" s="4317"/>
      <c r="Q183" s="4295"/>
      <c r="R183" s="4317"/>
      <c r="S183" s="4317"/>
      <c r="T183" s="4317"/>
      <c r="U183" s="4317"/>
      <c r="V183" s="4317"/>
      <c r="W183" s="4317"/>
      <c r="X183" s="4317"/>
      <c r="Y183" s="4317"/>
      <c r="Z183" s="4317"/>
      <c r="AA183" s="4317"/>
      <c r="AB183" s="4317"/>
      <c r="AC183" s="4295"/>
      <c r="AD183" s="4295"/>
      <c r="AE183" s="4317"/>
      <c r="AF183" s="4319"/>
      <c r="AG183" s="4319"/>
      <c r="AH183" s="4317"/>
      <c r="AI183" s="4317"/>
      <c r="AJ183" s="4317"/>
      <c r="AK183" s="4317"/>
      <c r="AL183" s="4317"/>
      <c r="AM183" s="4317"/>
      <c r="AN183" s="4317"/>
      <c r="AO183" s="4317"/>
      <c r="AP183" s="4317"/>
      <c r="AQ183" s="4317"/>
      <c r="AR183" s="4317"/>
      <c r="AS183" s="4317"/>
      <c r="AT183" s="4317"/>
      <c r="AU183" s="4317"/>
      <c r="AV183" s="4317"/>
      <c r="AW183" s="4317"/>
      <c r="AX183" s="4317"/>
      <c r="AY183" s="4317"/>
      <c r="AZ183" s="4317"/>
      <c r="BA183" s="4317"/>
      <c r="BB183" s="4317"/>
      <c r="BC183" s="4317"/>
      <c r="BD183" s="4317"/>
      <c r="BE183" s="4317"/>
      <c r="BF183" s="4317"/>
      <c r="BG183" s="4317"/>
      <c r="BH183" s="4317"/>
      <c r="BI183" s="4317"/>
      <c r="BJ183" s="4317"/>
      <c r="BK183" s="4317"/>
      <c r="BL183" s="4317"/>
      <c r="BM183" s="4317"/>
      <c r="BN183" s="4317"/>
      <c r="BO183" s="4317"/>
      <c r="BP183" s="4317"/>
      <c r="BQ183" s="4317"/>
      <c r="BR183" s="4317"/>
      <c r="BS183" s="4317"/>
      <c r="BT183" s="4317"/>
      <c r="BU183" s="4317"/>
      <c r="BV183" s="4317"/>
      <c r="BW183" s="4317"/>
      <c r="BX183" s="4317"/>
      <c r="BY183" s="4317"/>
      <c r="BZ183" s="4317"/>
      <c r="CA183" s="4317"/>
      <c r="CB183" s="4317"/>
      <c r="CC183" s="4317"/>
      <c r="CD183" s="4317"/>
      <c r="CE183" s="4317"/>
      <c r="CF183" s="4317"/>
      <c r="CG183" s="4317"/>
      <c r="CH183" s="4317"/>
      <c r="CI183" s="4317"/>
      <c r="CJ183" s="4317"/>
      <c r="CK183" s="4317"/>
      <c r="CL183" s="4317"/>
      <c r="CM183" s="4317"/>
      <c r="CN183" s="4317"/>
      <c r="CO183" s="4317"/>
      <c r="CP183" s="4317"/>
      <c r="CQ183" s="4317"/>
      <c r="CR183" s="4317"/>
      <c r="CS183" s="4317"/>
      <c r="CT183" s="4317"/>
      <c r="CU183" s="4317"/>
      <c r="CV183" s="4317"/>
      <c r="CW183" s="4317"/>
      <c r="CX183" s="4317"/>
      <c r="CY183" s="4317"/>
      <c r="CZ183" s="4317"/>
      <c r="DA183" s="4317"/>
      <c r="DB183" s="4317"/>
      <c r="DC183" s="4317"/>
      <c r="DD183" s="4317"/>
      <c r="DE183" s="4317"/>
      <c r="DF183" s="4317"/>
      <c r="DG183" s="4317"/>
      <c r="DH183" s="4317"/>
      <c r="DI183" s="4317"/>
      <c r="DJ183" s="4317"/>
      <c r="DK183" s="4317"/>
      <c r="DL183" s="4317"/>
      <c r="DM183" s="4317"/>
      <c r="DN183" s="4317"/>
      <c r="DO183" s="4317"/>
      <c r="DP183" s="4317"/>
      <c r="DQ183" s="4317"/>
      <c r="DR183" s="4317"/>
      <c r="DS183" s="4317"/>
    </row>
    <row r="184" s="4134" customFormat="1" ht="16.5" customHeight="1" spans="1:123">
      <c r="A184" s="4325" t="s">
        <v>4795</v>
      </c>
      <c r="B184" s="4326"/>
      <c r="C184" s="4326"/>
      <c r="D184" s="4326"/>
      <c r="E184" s="4326"/>
      <c r="F184" s="4300"/>
      <c r="G184" s="4300"/>
      <c r="H184" s="4300"/>
      <c r="I184" s="4300"/>
      <c r="J184" s="4300"/>
      <c r="K184" s="4300"/>
      <c r="L184" s="4300"/>
      <c r="M184" s="4295"/>
      <c r="N184" s="4295"/>
      <c r="O184" s="4319" t="s">
        <v>4796</v>
      </c>
      <c r="P184" s="4317"/>
      <c r="Q184" s="4295"/>
      <c r="R184" s="4317"/>
      <c r="S184" s="4317"/>
      <c r="T184" s="4317"/>
      <c r="U184" s="4317"/>
      <c r="V184" s="4317"/>
      <c r="W184" s="4317"/>
      <c r="X184" s="4317"/>
      <c r="Y184" s="4317"/>
      <c r="Z184" s="4317"/>
      <c r="AA184" s="4317"/>
      <c r="AB184" s="4317"/>
      <c r="AC184" s="4295"/>
      <c r="AD184" s="4295"/>
      <c r="AE184" s="4317"/>
      <c r="AF184" s="4319"/>
      <c r="AG184" s="4319"/>
      <c r="AH184" s="4317"/>
      <c r="AI184" s="4317"/>
      <c r="AJ184" s="4317"/>
      <c r="AK184" s="4317"/>
      <c r="AL184" s="4317"/>
      <c r="AM184" s="4317"/>
      <c r="AN184" s="4317"/>
      <c r="AO184" s="4317"/>
      <c r="AP184" s="4317"/>
      <c r="AQ184" s="4317"/>
      <c r="AR184" s="4317"/>
      <c r="AS184" s="4317"/>
      <c r="AT184" s="4317"/>
      <c r="AU184" s="4317"/>
      <c r="AV184" s="4317"/>
      <c r="AW184" s="4317"/>
      <c r="AX184" s="4317"/>
      <c r="AY184" s="4317"/>
      <c r="AZ184" s="4317"/>
      <c r="BA184" s="4317"/>
      <c r="BB184" s="4317"/>
      <c r="BC184" s="4317"/>
      <c r="BD184" s="4317"/>
      <c r="BE184" s="4317"/>
      <c r="BF184" s="4317"/>
      <c r="BG184" s="4317"/>
      <c r="BH184" s="4317"/>
      <c r="BI184" s="4317"/>
      <c r="BJ184" s="4317"/>
      <c r="BK184" s="4317"/>
      <c r="BL184" s="4317"/>
      <c r="BM184" s="4317"/>
      <c r="BN184" s="4317"/>
      <c r="BO184" s="4317"/>
      <c r="BP184" s="4317"/>
      <c r="BQ184" s="4317"/>
      <c r="BR184" s="4317"/>
      <c r="BS184" s="4317"/>
      <c r="BT184" s="4317"/>
      <c r="BU184" s="4317"/>
      <c r="BV184" s="4317"/>
      <c r="BW184" s="4317"/>
      <c r="BX184" s="4317"/>
      <c r="BY184" s="4317"/>
      <c r="BZ184" s="4317"/>
      <c r="CA184" s="4317"/>
      <c r="CB184" s="4317"/>
      <c r="CC184" s="4317"/>
      <c r="CD184" s="4317"/>
      <c r="CE184" s="4317"/>
      <c r="CF184" s="4317"/>
      <c r="CG184" s="4317"/>
      <c r="CH184" s="4317"/>
      <c r="CI184" s="4317"/>
      <c r="CJ184" s="4317"/>
      <c r="CK184" s="4317"/>
      <c r="CL184" s="4317"/>
      <c r="CM184" s="4317"/>
      <c r="CN184" s="4317"/>
      <c r="CO184" s="4317"/>
      <c r="CP184" s="4317"/>
      <c r="CQ184" s="4317"/>
      <c r="CR184" s="4317"/>
      <c r="CS184" s="4317"/>
      <c r="CT184" s="4317"/>
      <c r="CU184" s="4317"/>
      <c r="CV184" s="4317"/>
      <c r="CW184" s="4317"/>
      <c r="CX184" s="4317"/>
      <c r="CY184" s="4317"/>
      <c r="CZ184" s="4317"/>
      <c r="DA184" s="4317"/>
      <c r="DB184" s="4317"/>
      <c r="DC184" s="4317"/>
      <c r="DD184" s="4317"/>
      <c r="DE184" s="4317"/>
      <c r="DF184" s="4317"/>
      <c r="DG184" s="4317"/>
      <c r="DH184" s="4317"/>
      <c r="DI184" s="4317"/>
      <c r="DJ184" s="4317"/>
      <c r="DK184" s="4317"/>
      <c r="DL184" s="4317"/>
      <c r="DM184" s="4317"/>
      <c r="DN184" s="4317"/>
      <c r="DO184" s="4317"/>
      <c r="DP184" s="4317"/>
      <c r="DQ184" s="4317"/>
      <c r="DR184" s="4317"/>
      <c r="DS184" s="4317"/>
    </row>
    <row r="185" s="4134" customFormat="1" ht="16.5" customHeight="1" spans="1:123">
      <c r="A185" s="4325" t="s">
        <v>4797</v>
      </c>
      <c r="B185" s="4326"/>
      <c r="C185" s="4326"/>
      <c r="D185" s="4326"/>
      <c r="E185" s="4326"/>
      <c r="F185" s="4300"/>
      <c r="G185" s="4300"/>
      <c r="H185" s="4300"/>
      <c r="I185" s="4300"/>
      <c r="J185" s="4300"/>
      <c r="K185" s="4300"/>
      <c r="L185" s="4300"/>
      <c r="M185" s="4295"/>
      <c r="N185" s="4295"/>
      <c r="O185" s="4319" t="s">
        <v>4798</v>
      </c>
      <c r="P185" s="4317"/>
      <c r="Q185" s="4295"/>
      <c r="R185" s="4317"/>
      <c r="S185" s="4317"/>
      <c r="T185" s="4317"/>
      <c r="U185" s="4317"/>
      <c r="V185" s="4317"/>
      <c r="W185" s="4317"/>
      <c r="X185" s="4317"/>
      <c r="Y185" s="4317"/>
      <c r="Z185" s="4317"/>
      <c r="AA185" s="4317"/>
      <c r="AB185" s="4317"/>
      <c r="AC185" s="4295"/>
      <c r="AD185" s="4295"/>
      <c r="AE185" s="4317"/>
      <c r="AF185" s="4319"/>
      <c r="AG185" s="4319"/>
      <c r="AH185" s="4317"/>
      <c r="AI185" s="4317"/>
      <c r="AJ185" s="4317"/>
      <c r="AK185" s="4317"/>
      <c r="AL185" s="4317"/>
      <c r="AM185" s="4317"/>
      <c r="AN185" s="4317"/>
      <c r="AO185" s="4317"/>
      <c r="AP185" s="4317"/>
      <c r="AQ185" s="4317"/>
      <c r="AR185" s="4317"/>
      <c r="AS185" s="4317"/>
      <c r="AT185" s="4317"/>
      <c r="AU185" s="4317"/>
      <c r="AV185" s="4317"/>
      <c r="AW185" s="4317"/>
      <c r="AX185" s="4317"/>
      <c r="AY185" s="4317"/>
      <c r="AZ185" s="4317"/>
      <c r="BA185" s="4317"/>
      <c r="BB185" s="4317"/>
      <c r="BC185" s="4317"/>
      <c r="BD185" s="4317"/>
      <c r="BE185" s="4317"/>
      <c r="BF185" s="4317"/>
      <c r="BG185" s="4317"/>
      <c r="BH185" s="4317"/>
      <c r="BI185" s="4317"/>
      <c r="BJ185" s="4317"/>
      <c r="BK185" s="4317"/>
      <c r="BL185" s="4317"/>
      <c r="BM185" s="4317"/>
      <c r="BN185" s="4317"/>
      <c r="BO185" s="4317"/>
      <c r="BP185" s="4317"/>
      <c r="BQ185" s="4317"/>
      <c r="BR185" s="4317"/>
      <c r="BS185" s="4317"/>
      <c r="BT185" s="4317"/>
      <c r="BU185" s="4317"/>
      <c r="BV185" s="4317"/>
      <c r="BW185" s="4317"/>
      <c r="BX185" s="4317"/>
      <c r="BY185" s="4317"/>
      <c r="BZ185" s="4317"/>
      <c r="CA185" s="4317"/>
      <c r="CB185" s="4317"/>
      <c r="CC185" s="4317"/>
      <c r="CD185" s="4317"/>
      <c r="CE185" s="4317"/>
      <c r="CF185" s="4317"/>
      <c r="CG185" s="4317"/>
      <c r="CH185" s="4317"/>
      <c r="CI185" s="4317"/>
      <c r="CJ185" s="4317"/>
      <c r="CK185" s="4317"/>
      <c r="CL185" s="4317"/>
      <c r="CM185" s="4317"/>
      <c r="CN185" s="4317"/>
      <c r="CO185" s="4317"/>
      <c r="CP185" s="4317"/>
      <c r="CQ185" s="4317"/>
      <c r="CR185" s="4317"/>
      <c r="CS185" s="4317"/>
      <c r="CT185" s="4317"/>
      <c r="CU185" s="4317"/>
      <c r="CV185" s="4317"/>
      <c r="CW185" s="4317"/>
      <c r="CX185" s="4317"/>
      <c r="CY185" s="4317"/>
      <c r="CZ185" s="4317"/>
      <c r="DA185" s="4317"/>
      <c r="DB185" s="4317"/>
      <c r="DC185" s="4317"/>
      <c r="DD185" s="4317"/>
      <c r="DE185" s="4317"/>
      <c r="DF185" s="4317"/>
      <c r="DG185" s="4317"/>
      <c r="DH185" s="4317"/>
      <c r="DI185" s="4317"/>
      <c r="DJ185" s="4317"/>
      <c r="DK185" s="4317"/>
      <c r="DL185" s="4317"/>
      <c r="DM185" s="4317"/>
      <c r="DN185" s="4317"/>
      <c r="DO185" s="4317"/>
      <c r="DP185" s="4317"/>
      <c r="DQ185" s="4317"/>
      <c r="DR185" s="4317"/>
      <c r="DS185" s="4317"/>
    </row>
    <row r="186" s="4134" customFormat="1" ht="16.5" customHeight="1" spans="1:123">
      <c r="A186" s="4304" t="s">
        <v>4799</v>
      </c>
      <c r="B186" s="4305"/>
      <c r="C186" s="4305"/>
      <c r="D186" s="4305"/>
      <c r="E186" s="4305"/>
      <c r="F186" s="4306">
        <f>SUM(F180:L185)</f>
        <v>0</v>
      </c>
      <c r="G186" s="4306"/>
      <c r="H186" s="4306"/>
      <c r="I186" s="4306"/>
      <c r="J186" s="4306"/>
      <c r="K186" s="4306"/>
      <c r="L186" s="4306"/>
      <c r="M186" s="4295"/>
      <c r="N186" s="4295"/>
      <c r="O186" s="4319" t="s">
        <v>4800</v>
      </c>
      <c r="P186" s="4317"/>
      <c r="Q186" s="4295"/>
      <c r="R186" s="4317"/>
      <c r="S186" s="4317"/>
      <c r="T186" s="4317"/>
      <c r="U186" s="4317"/>
      <c r="V186" s="4317"/>
      <c r="W186" s="4317"/>
      <c r="X186" s="4317"/>
      <c r="Y186" s="4317"/>
      <c r="Z186" s="4317"/>
      <c r="AA186" s="4317"/>
      <c r="AB186" s="4317"/>
      <c r="AC186" s="4295"/>
      <c r="AD186" s="4295"/>
      <c r="AE186" s="4317"/>
      <c r="AF186" s="4319"/>
      <c r="AG186" s="4319"/>
      <c r="AH186" s="4317"/>
      <c r="AI186" s="4317"/>
      <c r="AJ186" s="4317"/>
      <c r="AK186" s="4317"/>
      <c r="AL186" s="4317"/>
      <c r="AM186" s="4317"/>
      <c r="AN186" s="4317"/>
      <c r="AO186" s="4317"/>
      <c r="AP186" s="4317"/>
      <c r="AQ186" s="4317"/>
      <c r="AR186" s="4317"/>
      <c r="AS186" s="4317"/>
      <c r="AT186" s="4317"/>
      <c r="AU186" s="4317"/>
      <c r="AV186" s="4317"/>
      <c r="AW186" s="4317"/>
      <c r="AX186" s="4317"/>
      <c r="AY186" s="4317"/>
      <c r="AZ186" s="4317"/>
      <c r="BA186" s="4317"/>
      <c r="BB186" s="4317"/>
      <c r="BC186" s="4317"/>
      <c r="BD186" s="4317"/>
      <c r="BE186" s="4317"/>
      <c r="BF186" s="4317"/>
      <c r="BG186" s="4317"/>
      <c r="BH186" s="4317"/>
      <c r="BI186" s="4317"/>
      <c r="BJ186" s="4317"/>
      <c r="BK186" s="4317"/>
      <c r="BL186" s="4317"/>
      <c r="BM186" s="4317"/>
      <c r="BN186" s="4317"/>
      <c r="BO186" s="4317"/>
      <c r="BP186" s="4317"/>
      <c r="BQ186" s="4317"/>
      <c r="BR186" s="4317"/>
      <c r="BS186" s="4317"/>
      <c r="BT186" s="4317"/>
      <c r="BU186" s="4317"/>
      <c r="BV186" s="4317"/>
      <c r="BW186" s="4317"/>
      <c r="BX186" s="4317"/>
      <c r="BY186" s="4317"/>
      <c r="BZ186" s="4317"/>
      <c r="CA186" s="4317"/>
      <c r="CB186" s="4317"/>
      <c r="CC186" s="4317"/>
      <c r="CD186" s="4317"/>
      <c r="CE186" s="4317"/>
      <c r="CF186" s="4317"/>
      <c r="CG186" s="4317"/>
      <c r="CH186" s="4317"/>
      <c r="CI186" s="4317"/>
      <c r="CJ186" s="4317"/>
      <c r="CK186" s="4317"/>
      <c r="CL186" s="4317"/>
      <c r="CM186" s="4317"/>
      <c r="CN186" s="4317"/>
      <c r="CO186" s="4317"/>
      <c r="CP186" s="4317"/>
      <c r="CQ186" s="4317"/>
      <c r="CR186" s="4317"/>
      <c r="CS186" s="4317"/>
      <c r="CT186" s="4317"/>
      <c r="CU186" s="4317"/>
      <c r="CV186" s="4317"/>
      <c r="CW186" s="4317"/>
      <c r="CX186" s="4317"/>
      <c r="CY186" s="4317"/>
      <c r="CZ186" s="4317"/>
      <c r="DA186" s="4317"/>
      <c r="DB186" s="4317"/>
      <c r="DC186" s="4317"/>
      <c r="DD186" s="4317"/>
      <c r="DE186" s="4317"/>
      <c r="DF186" s="4317"/>
      <c r="DG186" s="4317"/>
      <c r="DH186" s="4317"/>
      <c r="DI186" s="4317"/>
      <c r="DJ186" s="4317"/>
      <c r="DK186" s="4317"/>
      <c r="DL186" s="4317"/>
      <c r="DM186" s="4317"/>
      <c r="DN186" s="4317"/>
      <c r="DO186" s="4317"/>
      <c r="DP186" s="4317"/>
      <c r="DQ186" s="4317"/>
      <c r="DR186" s="4317"/>
      <c r="DS186" s="4317"/>
    </row>
    <row r="187" s="4134" customFormat="1" ht="16.5" customHeight="1" spans="1:123">
      <c r="A187" s="4304" t="s">
        <v>4801</v>
      </c>
      <c r="B187" s="4324"/>
      <c r="C187" s="4324"/>
      <c r="D187" s="4324"/>
      <c r="E187" s="4324"/>
      <c r="F187" s="4300"/>
      <c r="G187" s="4300"/>
      <c r="H187" s="4300"/>
      <c r="I187" s="4300"/>
      <c r="J187" s="4300"/>
      <c r="K187" s="4300"/>
      <c r="L187" s="4300"/>
      <c r="M187" s="4295"/>
      <c r="N187" s="4295"/>
      <c r="O187" s="4319" t="s">
        <v>4802</v>
      </c>
      <c r="P187" s="4317"/>
      <c r="Q187" s="4295"/>
      <c r="R187" s="4317"/>
      <c r="S187" s="4317"/>
      <c r="T187" s="4317"/>
      <c r="U187" s="4317"/>
      <c r="V187" s="4317"/>
      <c r="W187" s="4317"/>
      <c r="X187" s="4317"/>
      <c r="Y187" s="4317"/>
      <c r="Z187" s="4317"/>
      <c r="AA187" s="4317"/>
      <c r="AB187" s="4317"/>
      <c r="AC187" s="4295"/>
      <c r="AD187" s="4295"/>
      <c r="AE187" s="4317"/>
      <c r="AF187" s="4319"/>
      <c r="AG187" s="4319"/>
      <c r="AH187" s="4317"/>
      <c r="AI187" s="4317"/>
      <c r="AJ187" s="4317"/>
      <c r="AK187" s="4317"/>
      <c r="AL187" s="4317"/>
      <c r="AM187" s="4317"/>
      <c r="AN187" s="4317"/>
      <c r="AO187" s="4317"/>
      <c r="AP187" s="4317"/>
      <c r="AQ187" s="4317"/>
      <c r="AR187" s="4317"/>
      <c r="AS187" s="4317"/>
      <c r="AT187" s="4317"/>
      <c r="AU187" s="4317"/>
      <c r="AV187" s="4317"/>
      <c r="AW187" s="4317"/>
      <c r="AX187" s="4317"/>
      <c r="AY187" s="4317"/>
      <c r="AZ187" s="4317"/>
      <c r="BA187" s="4317"/>
      <c r="BB187" s="4317"/>
      <c r="BC187" s="4317"/>
      <c r="BD187" s="4317"/>
      <c r="BE187" s="4317"/>
      <c r="BF187" s="4317"/>
      <c r="BG187" s="4317"/>
      <c r="BH187" s="4317"/>
      <c r="BI187" s="4317"/>
      <c r="BJ187" s="4317"/>
      <c r="BK187" s="4317"/>
      <c r="BL187" s="4317"/>
      <c r="BM187" s="4317"/>
      <c r="BN187" s="4317"/>
      <c r="BO187" s="4317"/>
      <c r="BP187" s="4317"/>
      <c r="BQ187" s="4317"/>
      <c r="BR187" s="4317"/>
      <c r="BS187" s="4317"/>
      <c r="BT187" s="4317"/>
      <c r="BU187" s="4317"/>
      <c r="BV187" s="4317"/>
      <c r="BW187" s="4317"/>
      <c r="BX187" s="4317"/>
      <c r="BY187" s="4317"/>
      <c r="BZ187" s="4317"/>
      <c r="CA187" s="4317"/>
      <c r="CB187" s="4317"/>
      <c r="CC187" s="4317"/>
      <c r="CD187" s="4317"/>
      <c r="CE187" s="4317"/>
      <c r="CF187" s="4317"/>
      <c r="CG187" s="4317"/>
      <c r="CH187" s="4317"/>
      <c r="CI187" s="4317"/>
      <c r="CJ187" s="4317"/>
      <c r="CK187" s="4317"/>
      <c r="CL187" s="4317"/>
      <c r="CM187" s="4317"/>
      <c r="CN187" s="4317"/>
      <c r="CO187" s="4317"/>
      <c r="CP187" s="4317"/>
      <c r="CQ187" s="4317"/>
      <c r="CR187" s="4317"/>
      <c r="CS187" s="4317"/>
      <c r="CT187" s="4317"/>
      <c r="CU187" s="4317"/>
      <c r="CV187" s="4317"/>
      <c r="CW187" s="4317"/>
      <c r="CX187" s="4317"/>
      <c r="CY187" s="4317"/>
      <c r="CZ187" s="4317"/>
      <c r="DA187" s="4317"/>
      <c r="DB187" s="4317"/>
      <c r="DC187" s="4317"/>
      <c r="DD187" s="4317"/>
      <c r="DE187" s="4317"/>
      <c r="DF187" s="4317"/>
      <c r="DG187" s="4317"/>
      <c r="DH187" s="4317"/>
      <c r="DI187" s="4317"/>
      <c r="DJ187" s="4317"/>
      <c r="DK187" s="4317"/>
      <c r="DL187" s="4317"/>
      <c r="DM187" s="4317"/>
      <c r="DN187" s="4317"/>
      <c r="DO187" s="4317"/>
      <c r="DP187" s="4317"/>
      <c r="DQ187" s="4317"/>
      <c r="DR187" s="4317"/>
      <c r="DS187" s="4317"/>
    </row>
    <row r="188" s="4134" customFormat="1" ht="16.5" customHeight="1" spans="1:123">
      <c r="A188" s="4304" t="s">
        <v>4803</v>
      </c>
      <c r="B188" s="4324"/>
      <c r="C188" s="4324"/>
      <c r="D188" s="4324"/>
      <c r="E188" s="4324"/>
      <c r="F188" s="4300"/>
      <c r="G188" s="4300"/>
      <c r="H188" s="4300"/>
      <c r="I188" s="4300"/>
      <c r="J188" s="4300"/>
      <c r="K188" s="4300"/>
      <c r="L188" s="4300"/>
      <c r="M188" s="4295"/>
      <c r="N188" s="4295"/>
      <c r="O188" s="4319" t="s">
        <v>4804</v>
      </c>
      <c r="P188" s="4317"/>
      <c r="Q188" s="4295"/>
      <c r="R188" s="4317"/>
      <c r="S188" s="4317"/>
      <c r="T188" s="4317"/>
      <c r="U188" s="4317"/>
      <c r="V188" s="4317"/>
      <c r="W188" s="4317"/>
      <c r="X188" s="4317"/>
      <c r="Y188" s="4317"/>
      <c r="Z188" s="4317"/>
      <c r="AA188" s="4317"/>
      <c r="AB188" s="4317"/>
      <c r="AC188" s="4295"/>
      <c r="AD188" s="4295"/>
      <c r="AE188" s="4317"/>
      <c r="AF188" s="4319"/>
      <c r="AG188" s="4319"/>
      <c r="AH188" s="4317"/>
      <c r="AI188" s="4317"/>
      <c r="AJ188" s="4317"/>
      <c r="AK188" s="4317"/>
      <c r="AL188" s="4317"/>
      <c r="AM188" s="4317"/>
      <c r="AN188" s="4317"/>
      <c r="AO188" s="4317"/>
      <c r="AP188" s="4317"/>
      <c r="AQ188" s="4317"/>
      <c r="AR188" s="4317"/>
      <c r="AS188" s="4317"/>
      <c r="AT188" s="4317"/>
      <c r="AU188" s="4317"/>
      <c r="AV188" s="4317"/>
      <c r="AW188" s="4317"/>
      <c r="AX188" s="4317"/>
      <c r="AY188" s="4317"/>
      <c r="AZ188" s="4317"/>
      <c r="BA188" s="4317"/>
      <c r="BB188" s="4317"/>
      <c r="BC188" s="4317"/>
      <c r="BD188" s="4317"/>
      <c r="BE188" s="4317"/>
      <c r="BF188" s="4317"/>
      <c r="BG188" s="4317"/>
      <c r="BH188" s="4317"/>
      <c r="BI188" s="4317"/>
      <c r="BJ188" s="4317"/>
      <c r="BK188" s="4317"/>
      <c r="BL188" s="4317"/>
      <c r="BM188" s="4317"/>
      <c r="BN188" s="4317"/>
      <c r="BO188" s="4317"/>
      <c r="BP188" s="4317"/>
      <c r="BQ188" s="4317"/>
      <c r="BR188" s="4317"/>
      <c r="BS188" s="4317"/>
      <c r="BT188" s="4317"/>
      <c r="BU188" s="4317"/>
      <c r="BV188" s="4317"/>
      <c r="BW188" s="4317"/>
      <c r="BX188" s="4317"/>
      <c r="BY188" s="4317"/>
      <c r="BZ188" s="4317"/>
      <c r="CA188" s="4317"/>
      <c r="CB188" s="4317"/>
      <c r="CC188" s="4317"/>
      <c r="CD188" s="4317"/>
      <c r="CE188" s="4317"/>
      <c r="CF188" s="4317"/>
      <c r="CG188" s="4317"/>
      <c r="CH188" s="4317"/>
      <c r="CI188" s="4317"/>
      <c r="CJ188" s="4317"/>
      <c r="CK188" s="4317"/>
      <c r="CL188" s="4317"/>
      <c r="CM188" s="4317"/>
      <c r="CN188" s="4317"/>
      <c r="CO188" s="4317"/>
      <c r="CP188" s="4317"/>
      <c r="CQ188" s="4317"/>
      <c r="CR188" s="4317"/>
      <c r="CS188" s="4317"/>
      <c r="CT188" s="4317"/>
      <c r="CU188" s="4317"/>
      <c r="CV188" s="4317"/>
      <c r="CW188" s="4317"/>
      <c r="CX188" s="4317"/>
      <c r="CY188" s="4317"/>
      <c r="CZ188" s="4317"/>
      <c r="DA188" s="4317"/>
      <c r="DB188" s="4317"/>
      <c r="DC188" s="4317"/>
      <c r="DD188" s="4317"/>
      <c r="DE188" s="4317"/>
      <c r="DF188" s="4317"/>
      <c r="DG188" s="4317"/>
      <c r="DH188" s="4317"/>
      <c r="DI188" s="4317"/>
      <c r="DJ188" s="4317"/>
      <c r="DK188" s="4317"/>
      <c r="DL188" s="4317"/>
      <c r="DM188" s="4317"/>
      <c r="DN188" s="4317"/>
      <c r="DO188" s="4317"/>
      <c r="DP188" s="4317"/>
      <c r="DQ188" s="4317"/>
      <c r="DR188" s="4317"/>
      <c r="DS188" s="4317"/>
    </row>
    <row r="189" s="4134" customFormat="1" ht="16.5" customHeight="1" spans="1:123">
      <c r="A189" s="4304" t="s">
        <v>4805</v>
      </c>
      <c r="B189" s="4324"/>
      <c r="C189" s="4324"/>
      <c r="D189" s="4324"/>
      <c r="E189" s="4324"/>
      <c r="F189" s="4300"/>
      <c r="G189" s="4300"/>
      <c r="H189" s="4300"/>
      <c r="I189" s="4300"/>
      <c r="J189" s="4300"/>
      <c r="K189" s="4300"/>
      <c r="L189" s="4300"/>
      <c r="M189" s="4295"/>
      <c r="N189" s="4295"/>
      <c r="O189" s="4319" t="s">
        <v>4806</v>
      </c>
      <c r="P189" s="4317"/>
      <c r="Q189" s="4295"/>
      <c r="R189" s="4317"/>
      <c r="S189" s="4317"/>
      <c r="T189" s="4317"/>
      <c r="U189" s="4317"/>
      <c r="V189" s="4317"/>
      <c r="W189" s="4317"/>
      <c r="X189" s="4317"/>
      <c r="Y189" s="4317"/>
      <c r="Z189" s="4317"/>
      <c r="AA189" s="4317"/>
      <c r="AB189" s="4317"/>
      <c r="AC189" s="4295"/>
      <c r="AD189" s="4295"/>
      <c r="AE189" s="4317"/>
      <c r="AF189" s="4319"/>
      <c r="AG189" s="4319"/>
      <c r="AH189" s="4317"/>
      <c r="AI189" s="4317"/>
      <c r="AJ189" s="4317"/>
      <c r="AK189" s="4317"/>
      <c r="AL189" s="4317"/>
      <c r="AM189" s="4317"/>
      <c r="AN189" s="4317"/>
      <c r="AO189" s="4317"/>
      <c r="AP189" s="4317"/>
      <c r="AQ189" s="4317"/>
      <c r="AR189" s="4317"/>
      <c r="AS189" s="4317"/>
      <c r="AT189" s="4317"/>
      <c r="AU189" s="4317"/>
      <c r="AV189" s="4317"/>
      <c r="AW189" s="4317"/>
      <c r="AX189" s="4317"/>
      <c r="AY189" s="4317"/>
      <c r="AZ189" s="4317"/>
      <c r="BA189" s="4317"/>
      <c r="BB189" s="4317"/>
      <c r="BC189" s="4317"/>
      <c r="BD189" s="4317"/>
      <c r="BE189" s="4317"/>
      <c r="BF189" s="4317"/>
      <c r="BG189" s="4317"/>
      <c r="BH189" s="4317"/>
      <c r="BI189" s="4317"/>
      <c r="BJ189" s="4317"/>
      <c r="BK189" s="4317"/>
      <c r="BL189" s="4317"/>
      <c r="BM189" s="4317"/>
      <c r="BN189" s="4317"/>
      <c r="BO189" s="4317"/>
      <c r="BP189" s="4317"/>
      <c r="BQ189" s="4317"/>
      <c r="BR189" s="4317"/>
      <c r="BS189" s="4317"/>
      <c r="BT189" s="4317"/>
      <c r="BU189" s="4317"/>
      <c r="BV189" s="4317"/>
      <c r="BW189" s="4317"/>
      <c r="BX189" s="4317"/>
      <c r="BY189" s="4317"/>
      <c r="BZ189" s="4317"/>
      <c r="CA189" s="4317"/>
      <c r="CB189" s="4317"/>
      <c r="CC189" s="4317"/>
      <c r="CD189" s="4317"/>
      <c r="CE189" s="4317"/>
      <c r="CF189" s="4317"/>
      <c r="CG189" s="4317"/>
      <c r="CH189" s="4317"/>
      <c r="CI189" s="4317"/>
      <c r="CJ189" s="4317"/>
      <c r="CK189" s="4317"/>
      <c r="CL189" s="4317"/>
      <c r="CM189" s="4317"/>
      <c r="CN189" s="4317"/>
      <c r="CO189" s="4317"/>
      <c r="CP189" s="4317"/>
      <c r="CQ189" s="4317"/>
      <c r="CR189" s="4317"/>
      <c r="CS189" s="4317"/>
      <c r="CT189" s="4317"/>
      <c r="CU189" s="4317"/>
      <c r="CV189" s="4317"/>
      <c r="CW189" s="4317"/>
      <c r="CX189" s="4317"/>
      <c r="CY189" s="4317"/>
      <c r="CZ189" s="4317"/>
      <c r="DA189" s="4317"/>
      <c r="DB189" s="4317"/>
      <c r="DC189" s="4317"/>
      <c r="DD189" s="4317"/>
      <c r="DE189" s="4317"/>
      <c r="DF189" s="4317"/>
      <c r="DG189" s="4317"/>
      <c r="DH189" s="4317"/>
      <c r="DI189" s="4317"/>
      <c r="DJ189" s="4317"/>
      <c r="DK189" s="4317"/>
      <c r="DL189" s="4317"/>
      <c r="DM189" s="4317"/>
      <c r="DN189" s="4317"/>
      <c r="DO189" s="4317"/>
      <c r="DP189" s="4317"/>
      <c r="DQ189" s="4317"/>
      <c r="DR189" s="4317"/>
      <c r="DS189" s="4317"/>
    </row>
    <row r="190" s="4134" customFormat="1" ht="16.5" customHeight="1" spans="1:123">
      <c r="A190" s="4304" t="s">
        <v>4807</v>
      </c>
      <c r="B190" s="4324"/>
      <c r="C190" s="4324"/>
      <c r="D190" s="4324"/>
      <c r="E190" s="4324"/>
      <c r="F190" s="4300"/>
      <c r="G190" s="4300"/>
      <c r="H190" s="4300"/>
      <c r="I190" s="4300"/>
      <c r="J190" s="4300"/>
      <c r="K190" s="4300"/>
      <c r="L190" s="4300"/>
      <c r="M190" s="4295"/>
      <c r="N190" s="4295"/>
      <c r="O190" s="4319" t="s">
        <v>4808</v>
      </c>
      <c r="P190" s="4317"/>
      <c r="Q190" s="4295"/>
      <c r="R190" s="4317"/>
      <c r="S190" s="4317"/>
      <c r="T190" s="4317"/>
      <c r="U190" s="4317"/>
      <c r="V190" s="4317"/>
      <c r="W190" s="4317"/>
      <c r="X190" s="4317"/>
      <c r="Y190" s="4317"/>
      <c r="Z190" s="4317"/>
      <c r="AA190" s="4317"/>
      <c r="AB190" s="4317"/>
      <c r="AC190" s="4295"/>
      <c r="AD190" s="4295"/>
      <c r="AE190" s="4317"/>
      <c r="AF190" s="4319"/>
      <c r="AG190" s="4319"/>
      <c r="AH190" s="4317"/>
      <c r="AI190" s="4317"/>
      <c r="AJ190" s="4317"/>
      <c r="AK190" s="4317"/>
      <c r="AL190" s="4317"/>
      <c r="AM190" s="4317"/>
      <c r="AN190" s="4317"/>
      <c r="AO190" s="4317"/>
      <c r="AP190" s="4317"/>
      <c r="AQ190" s="4317"/>
      <c r="AR190" s="4317"/>
      <c r="AS190" s="4317"/>
      <c r="AT190" s="4317"/>
      <c r="AU190" s="4317"/>
      <c r="AV190" s="4317"/>
      <c r="AW190" s="4317"/>
      <c r="AX190" s="4317"/>
      <c r="AY190" s="4317"/>
      <c r="AZ190" s="4317"/>
      <c r="BA190" s="4317"/>
      <c r="BB190" s="4317"/>
      <c r="BC190" s="4317"/>
      <c r="BD190" s="4317"/>
      <c r="BE190" s="4317"/>
      <c r="BF190" s="4317"/>
      <c r="BG190" s="4317"/>
      <c r="BH190" s="4317"/>
      <c r="BI190" s="4317"/>
      <c r="BJ190" s="4317"/>
      <c r="BK190" s="4317"/>
      <c r="BL190" s="4317"/>
      <c r="BM190" s="4317"/>
      <c r="BN190" s="4317"/>
      <c r="BO190" s="4317"/>
      <c r="BP190" s="4317"/>
      <c r="BQ190" s="4317"/>
      <c r="BR190" s="4317"/>
      <c r="BS190" s="4317"/>
      <c r="BT190" s="4317"/>
      <c r="BU190" s="4317"/>
      <c r="BV190" s="4317"/>
      <c r="BW190" s="4317"/>
      <c r="BX190" s="4317"/>
      <c r="BY190" s="4317"/>
      <c r="BZ190" s="4317"/>
      <c r="CA190" s="4317"/>
      <c r="CB190" s="4317"/>
      <c r="CC190" s="4317"/>
      <c r="CD190" s="4317"/>
      <c r="CE190" s="4317"/>
      <c r="CF190" s="4317"/>
      <c r="CG190" s="4317"/>
      <c r="CH190" s="4317"/>
      <c r="CI190" s="4317"/>
      <c r="CJ190" s="4317"/>
      <c r="CK190" s="4317"/>
      <c r="CL190" s="4317"/>
      <c r="CM190" s="4317"/>
      <c r="CN190" s="4317"/>
      <c r="CO190" s="4317"/>
      <c r="CP190" s="4317"/>
      <c r="CQ190" s="4317"/>
      <c r="CR190" s="4317"/>
      <c r="CS190" s="4317"/>
      <c r="CT190" s="4317"/>
      <c r="CU190" s="4317"/>
      <c r="CV190" s="4317"/>
      <c r="CW190" s="4317"/>
      <c r="CX190" s="4317"/>
      <c r="CY190" s="4317"/>
      <c r="CZ190" s="4317"/>
      <c r="DA190" s="4317"/>
      <c r="DB190" s="4317"/>
      <c r="DC190" s="4317"/>
      <c r="DD190" s="4317"/>
      <c r="DE190" s="4317"/>
      <c r="DF190" s="4317"/>
      <c r="DG190" s="4317"/>
      <c r="DH190" s="4317"/>
      <c r="DI190" s="4317"/>
      <c r="DJ190" s="4317"/>
      <c r="DK190" s="4317"/>
      <c r="DL190" s="4317"/>
      <c r="DM190" s="4317"/>
      <c r="DN190" s="4317"/>
      <c r="DO190" s="4317"/>
      <c r="DP190" s="4317"/>
      <c r="DQ190" s="4317"/>
      <c r="DR190" s="4317"/>
      <c r="DS190" s="4317"/>
    </row>
    <row r="191" s="4134" customFormat="1" ht="16.5" customHeight="1" spans="1:123">
      <c r="A191" s="4304" t="s">
        <v>4809</v>
      </c>
      <c r="B191" s="4324"/>
      <c r="C191" s="4324"/>
      <c r="D191" s="4324"/>
      <c r="E191" s="4324"/>
      <c r="F191" s="4327"/>
      <c r="G191" s="4327"/>
      <c r="H191" s="4327"/>
      <c r="I191" s="4327"/>
      <c r="J191" s="4327"/>
      <c r="K191" s="4327"/>
      <c r="L191" s="4327"/>
      <c r="M191" s="4295"/>
      <c r="N191" s="4295"/>
      <c r="O191" s="4319" t="s">
        <v>4810</v>
      </c>
      <c r="P191" s="4317"/>
      <c r="Q191" s="4295"/>
      <c r="R191" s="4317"/>
      <c r="S191" s="4317"/>
      <c r="T191" s="4317"/>
      <c r="U191" s="4317"/>
      <c r="V191" s="4317"/>
      <c r="W191" s="4317"/>
      <c r="X191" s="4317"/>
      <c r="Y191" s="4317"/>
      <c r="Z191" s="4317"/>
      <c r="AA191" s="4317"/>
      <c r="AB191" s="4317"/>
      <c r="AC191" s="4295"/>
      <c r="AD191" s="4295"/>
      <c r="AE191" s="4317"/>
      <c r="AF191" s="4319"/>
      <c r="AG191" s="4319"/>
      <c r="AH191" s="4317"/>
      <c r="AI191" s="4317"/>
      <c r="AJ191" s="4317"/>
      <c r="AK191" s="4317"/>
      <c r="AL191" s="4317"/>
      <c r="AM191" s="4317"/>
      <c r="AN191" s="4317"/>
      <c r="AO191" s="4317"/>
      <c r="AP191" s="4317"/>
      <c r="AQ191" s="4317"/>
      <c r="AR191" s="4317"/>
      <c r="AS191" s="4317"/>
      <c r="AT191" s="4317"/>
      <c r="AU191" s="4317"/>
      <c r="AV191" s="4317"/>
      <c r="AW191" s="4317"/>
      <c r="AX191" s="4317"/>
      <c r="AY191" s="4317"/>
      <c r="AZ191" s="4317"/>
      <c r="BA191" s="4317"/>
      <c r="BB191" s="4317"/>
      <c r="BC191" s="4317"/>
      <c r="BD191" s="4317"/>
      <c r="BE191" s="4317"/>
      <c r="BF191" s="4317"/>
      <c r="BG191" s="4317"/>
      <c r="BH191" s="4317"/>
      <c r="BI191" s="4317"/>
      <c r="BJ191" s="4317"/>
      <c r="BK191" s="4317"/>
      <c r="BL191" s="4317"/>
      <c r="BM191" s="4317"/>
      <c r="BN191" s="4317"/>
      <c r="BO191" s="4317"/>
      <c r="BP191" s="4317"/>
      <c r="BQ191" s="4317"/>
      <c r="BR191" s="4317"/>
      <c r="BS191" s="4317"/>
      <c r="BT191" s="4317"/>
      <c r="BU191" s="4317"/>
      <c r="BV191" s="4317"/>
      <c r="BW191" s="4317"/>
      <c r="BX191" s="4317"/>
      <c r="BY191" s="4317"/>
      <c r="BZ191" s="4317"/>
      <c r="CA191" s="4317"/>
      <c r="CB191" s="4317"/>
      <c r="CC191" s="4317"/>
      <c r="CD191" s="4317"/>
      <c r="CE191" s="4317"/>
      <c r="CF191" s="4317"/>
      <c r="CG191" s="4317"/>
      <c r="CH191" s="4317"/>
      <c r="CI191" s="4317"/>
      <c r="CJ191" s="4317"/>
      <c r="CK191" s="4317"/>
      <c r="CL191" s="4317"/>
      <c r="CM191" s="4317"/>
      <c r="CN191" s="4317"/>
      <c r="CO191" s="4317"/>
      <c r="CP191" s="4317"/>
      <c r="CQ191" s="4317"/>
      <c r="CR191" s="4317"/>
      <c r="CS191" s="4317"/>
      <c r="CT191" s="4317"/>
      <c r="CU191" s="4317"/>
      <c r="CV191" s="4317"/>
      <c r="CW191" s="4317"/>
      <c r="CX191" s="4317"/>
      <c r="CY191" s="4317"/>
      <c r="CZ191" s="4317"/>
      <c r="DA191" s="4317"/>
      <c r="DB191" s="4317"/>
      <c r="DC191" s="4317"/>
      <c r="DD191" s="4317"/>
      <c r="DE191" s="4317"/>
      <c r="DF191" s="4317"/>
      <c r="DG191" s="4317"/>
      <c r="DH191" s="4317"/>
      <c r="DI191" s="4317"/>
      <c r="DJ191" s="4317"/>
      <c r="DK191" s="4317"/>
      <c r="DL191" s="4317"/>
      <c r="DM191" s="4317"/>
      <c r="DN191" s="4317"/>
      <c r="DO191" s="4317"/>
      <c r="DP191" s="4317"/>
      <c r="DQ191" s="4317"/>
      <c r="DR191" s="4317"/>
      <c r="DS191" s="4317"/>
    </row>
    <row r="192" s="4134" customFormat="1" ht="16.5" customHeight="1" spans="1:123">
      <c r="A192" s="4298" t="s">
        <v>4811</v>
      </c>
      <c r="B192" s="4299"/>
      <c r="C192" s="4299"/>
      <c r="D192" s="4299"/>
      <c r="E192" s="4299"/>
      <c r="F192" s="4328"/>
      <c r="G192" s="4328"/>
      <c r="H192" s="4328"/>
      <c r="I192" s="4328"/>
      <c r="J192" s="4328"/>
      <c r="K192" s="4328"/>
      <c r="L192" s="4328"/>
      <c r="M192" s="4295"/>
      <c r="N192" s="4295"/>
      <c r="O192" s="4329" t="s">
        <v>4812</v>
      </c>
      <c r="P192" s="4317"/>
      <c r="Q192" s="4295"/>
      <c r="R192" s="4317"/>
      <c r="S192" s="4317"/>
      <c r="T192" s="4317"/>
      <c r="U192" s="4317"/>
      <c r="V192" s="4317"/>
      <c r="W192" s="4317"/>
      <c r="X192" s="4317"/>
      <c r="Y192" s="4317"/>
      <c r="Z192" s="4317"/>
      <c r="AA192" s="4317"/>
      <c r="AB192" s="4317"/>
      <c r="AC192" s="4295"/>
      <c r="AD192" s="4295"/>
      <c r="AE192" s="4317"/>
      <c r="AF192" s="4319"/>
      <c r="AG192" s="4319"/>
      <c r="AH192" s="4317"/>
      <c r="AI192" s="4317"/>
      <c r="AJ192" s="4317"/>
      <c r="AK192" s="4317"/>
      <c r="AL192" s="4317"/>
      <c r="AM192" s="4317"/>
      <c r="AN192" s="4317"/>
      <c r="AO192" s="4317"/>
      <c r="AP192" s="4317"/>
      <c r="AQ192" s="4317"/>
      <c r="AR192" s="4317"/>
      <c r="AS192" s="4317"/>
      <c r="AT192" s="4317"/>
      <c r="AU192" s="4317"/>
      <c r="AV192" s="4317"/>
      <c r="AW192" s="4317"/>
      <c r="AX192" s="4317"/>
      <c r="AY192" s="4317"/>
      <c r="AZ192" s="4317"/>
      <c r="BA192" s="4317"/>
      <c r="BB192" s="4317"/>
      <c r="BC192" s="4317"/>
      <c r="BD192" s="4317"/>
      <c r="BE192" s="4317"/>
      <c r="BF192" s="4317"/>
      <c r="BG192" s="4317"/>
      <c r="BH192" s="4317"/>
      <c r="BI192" s="4317"/>
      <c r="BJ192" s="4317"/>
      <c r="BK192" s="4317"/>
      <c r="BL192" s="4317"/>
      <c r="BM192" s="4317"/>
      <c r="BN192" s="4317"/>
      <c r="BO192" s="4317"/>
      <c r="BP192" s="4317"/>
      <c r="BQ192" s="4317"/>
      <c r="BR192" s="4317"/>
      <c r="BS192" s="4317"/>
      <c r="BT192" s="4317"/>
      <c r="BU192" s="4317"/>
      <c r="BV192" s="4317"/>
      <c r="BW192" s="4317"/>
      <c r="BX192" s="4317"/>
      <c r="BY192" s="4317"/>
      <c r="BZ192" s="4317"/>
      <c r="CA192" s="4317"/>
      <c r="CB192" s="4317"/>
      <c r="CC192" s="4317"/>
      <c r="CD192" s="4317"/>
      <c r="CE192" s="4317"/>
      <c r="CF192" s="4317"/>
      <c r="CG192" s="4317"/>
      <c r="CH192" s="4317"/>
      <c r="CI192" s="4317"/>
      <c r="CJ192" s="4317"/>
      <c r="CK192" s="4317"/>
      <c r="CL192" s="4317"/>
      <c r="CM192" s="4317"/>
      <c r="CN192" s="4317"/>
      <c r="CO192" s="4317"/>
      <c r="CP192" s="4317"/>
      <c r="CQ192" s="4317"/>
      <c r="CR192" s="4317"/>
      <c r="CS192" s="4317"/>
      <c r="CT192" s="4317"/>
      <c r="CU192" s="4317"/>
      <c r="CV192" s="4317"/>
      <c r="CW192" s="4317"/>
      <c r="CX192" s="4317"/>
      <c r="CY192" s="4317"/>
      <c r="CZ192" s="4317"/>
      <c r="DA192" s="4317"/>
      <c r="DB192" s="4317"/>
      <c r="DC192" s="4317"/>
      <c r="DD192" s="4317"/>
      <c r="DE192" s="4317"/>
      <c r="DF192" s="4317"/>
      <c r="DG192" s="4317"/>
      <c r="DH192" s="4317"/>
      <c r="DI192" s="4317"/>
      <c r="DJ192" s="4317"/>
      <c r="DK192" s="4317"/>
      <c r="DL192" s="4317"/>
      <c r="DM192" s="4317"/>
      <c r="DN192" s="4317"/>
      <c r="DO192" s="4317"/>
      <c r="DP192" s="4317"/>
      <c r="DQ192" s="4317"/>
      <c r="DR192" s="4317"/>
      <c r="DS192" s="4317"/>
    </row>
    <row r="193" s="4134" customFormat="1" ht="16.5" customHeight="1" spans="1:123">
      <c r="A193" s="4312" t="s">
        <v>4813</v>
      </c>
      <c r="B193" s="4313"/>
      <c r="C193" s="4313"/>
      <c r="D193" s="4313"/>
      <c r="E193" s="4313"/>
      <c r="F193" s="4314">
        <f>F174+F175+F176+F179+F186+F187+F188+F189+F190+F191</f>
        <v>0</v>
      </c>
      <c r="G193" s="4314"/>
      <c r="H193" s="4314"/>
      <c r="I193" s="4314"/>
      <c r="J193" s="4314"/>
      <c r="K193" s="4314"/>
      <c r="L193" s="4314"/>
      <c r="M193" s="4295"/>
      <c r="N193" s="4295"/>
      <c r="O193" s="4323" t="s">
        <v>4814</v>
      </c>
      <c r="P193" s="4317"/>
      <c r="Q193" s="4295"/>
      <c r="R193" s="4317"/>
      <c r="S193" s="4317"/>
      <c r="T193" s="4317"/>
      <c r="U193" s="4317"/>
      <c r="V193" s="4317"/>
      <c r="W193" s="4317"/>
      <c r="X193" s="4317"/>
      <c r="Y193" s="4317"/>
      <c r="Z193" s="4317"/>
      <c r="AA193" s="4317"/>
      <c r="AB193" s="4317"/>
      <c r="AC193" s="4295"/>
      <c r="AD193" s="4295"/>
      <c r="AE193" s="4317"/>
      <c r="AF193" s="4319"/>
      <c r="AG193" s="4319"/>
      <c r="AH193" s="4317"/>
      <c r="AI193" s="4317"/>
      <c r="AJ193" s="4317"/>
      <c r="AK193" s="4317"/>
      <c r="AL193" s="4317"/>
      <c r="AM193" s="4317"/>
      <c r="AN193" s="4317"/>
      <c r="AO193" s="4317"/>
      <c r="AP193" s="4317"/>
      <c r="AQ193" s="4317"/>
      <c r="AR193" s="4317"/>
      <c r="AS193" s="4317"/>
      <c r="AT193" s="4317"/>
      <c r="AU193" s="4317"/>
      <c r="AV193" s="4317"/>
      <c r="AW193" s="4317"/>
      <c r="AX193" s="4317"/>
      <c r="AY193" s="4317"/>
      <c r="AZ193" s="4317"/>
      <c r="BA193" s="4317"/>
      <c r="BB193" s="4317"/>
      <c r="BC193" s="4317"/>
      <c r="BD193" s="4317"/>
      <c r="BE193" s="4317"/>
      <c r="BF193" s="4317"/>
      <c r="BG193" s="4317"/>
      <c r="BH193" s="4317"/>
      <c r="BI193" s="4317"/>
      <c r="BJ193" s="4317"/>
      <c r="BK193" s="4317"/>
      <c r="BL193" s="4317"/>
      <c r="BM193" s="4317"/>
      <c r="BN193" s="4317"/>
      <c r="BO193" s="4317"/>
      <c r="BP193" s="4317"/>
      <c r="BQ193" s="4317"/>
      <c r="BR193" s="4317"/>
      <c r="BS193" s="4317"/>
      <c r="BT193" s="4317"/>
      <c r="BU193" s="4317"/>
      <c r="BV193" s="4317"/>
      <c r="BW193" s="4317"/>
      <c r="BX193" s="4317"/>
      <c r="BY193" s="4317"/>
      <c r="BZ193" s="4317"/>
      <c r="CA193" s="4317"/>
      <c r="CB193" s="4317"/>
      <c r="CC193" s="4317"/>
      <c r="CD193" s="4317"/>
      <c r="CE193" s="4317"/>
      <c r="CF193" s="4317"/>
      <c r="CG193" s="4317"/>
      <c r="CH193" s="4317"/>
      <c r="CI193" s="4317"/>
      <c r="CJ193" s="4317"/>
      <c r="CK193" s="4317"/>
      <c r="CL193" s="4317"/>
      <c r="CM193" s="4317"/>
      <c r="CN193" s="4317"/>
      <c r="CO193" s="4317"/>
      <c r="CP193" s="4317"/>
      <c r="CQ193" s="4317"/>
      <c r="CR193" s="4317"/>
      <c r="CS193" s="4317"/>
      <c r="CT193" s="4317"/>
      <c r="CU193" s="4317"/>
      <c r="CV193" s="4317"/>
      <c r="CW193" s="4317"/>
      <c r="CX193" s="4317"/>
      <c r="CY193" s="4317"/>
      <c r="CZ193" s="4317"/>
      <c r="DA193" s="4317"/>
      <c r="DB193" s="4317"/>
      <c r="DC193" s="4317"/>
      <c r="DD193" s="4317"/>
      <c r="DE193" s="4317"/>
      <c r="DF193" s="4317"/>
      <c r="DG193" s="4317"/>
      <c r="DH193" s="4317"/>
      <c r="DI193" s="4317"/>
      <c r="DJ193" s="4317"/>
      <c r="DK193" s="4317"/>
      <c r="DL193" s="4317"/>
      <c r="DM193" s="4317"/>
      <c r="DN193" s="4317"/>
      <c r="DO193" s="4317"/>
      <c r="DP193" s="4317"/>
      <c r="DQ193" s="4317"/>
      <c r="DR193" s="4317"/>
      <c r="DS193" s="4317"/>
    </row>
    <row r="194" s="4134" customFormat="1" ht="16.5" customHeight="1" spans="1:123">
      <c r="A194" s="4304" t="s">
        <v>4815</v>
      </c>
      <c r="B194" s="4324"/>
      <c r="C194" s="4324"/>
      <c r="D194" s="4324"/>
      <c r="E194" s="4324"/>
      <c r="F194" s="4300"/>
      <c r="G194" s="4300"/>
      <c r="H194" s="4300"/>
      <c r="I194" s="4300"/>
      <c r="J194" s="4300"/>
      <c r="K194" s="4300"/>
      <c r="L194" s="4300"/>
      <c r="M194" s="4295"/>
      <c r="N194" s="4295"/>
      <c r="O194" s="4319" t="s">
        <v>4816</v>
      </c>
      <c r="P194" s="4317"/>
      <c r="Q194" s="4295"/>
      <c r="R194" s="4317"/>
      <c r="S194" s="4317"/>
      <c r="T194" s="4317"/>
      <c r="U194" s="4317"/>
      <c r="V194" s="4317"/>
      <c r="W194" s="4317"/>
      <c r="X194" s="4317"/>
      <c r="Y194" s="4317"/>
      <c r="Z194" s="4317"/>
      <c r="AA194" s="4317"/>
      <c r="AB194" s="4317"/>
      <c r="AC194" s="4295"/>
      <c r="AD194" s="4295"/>
      <c r="AE194" s="4317"/>
      <c r="AF194" s="4319"/>
      <c r="AG194" s="4319"/>
      <c r="AH194" s="4317"/>
      <c r="AI194" s="4317"/>
      <c r="AJ194" s="4317"/>
      <c r="AK194" s="4317"/>
      <c r="AL194" s="4317"/>
      <c r="AM194" s="4317"/>
      <c r="AN194" s="4317"/>
      <c r="AO194" s="4317"/>
      <c r="AP194" s="4317"/>
      <c r="AQ194" s="4317"/>
      <c r="AR194" s="4317"/>
      <c r="AS194" s="4317"/>
      <c r="AT194" s="4317"/>
      <c r="AU194" s="4317"/>
      <c r="AV194" s="4317"/>
      <c r="AW194" s="4317"/>
      <c r="AX194" s="4317"/>
      <c r="AY194" s="4317"/>
      <c r="AZ194" s="4317"/>
      <c r="BA194" s="4317"/>
      <c r="BB194" s="4317"/>
      <c r="BC194" s="4317"/>
      <c r="BD194" s="4317"/>
      <c r="BE194" s="4317"/>
      <c r="BF194" s="4317"/>
      <c r="BG194" s="4317"/>
      <c r="BH194" s="4317"/>
      <c r="BI194" s="4317"/>
      <c r="BJ194" s="4317"/>
      <c r="BK194" s="4317"/>
      <c r="BL194" s="4317"/>
      <c r="BM194" s="4317"/>
      <c r="BN194" s="4317"/>
      <c r="BO194" s="4317"/>
      <c r="BP194" s="4317"/>
      <c r="BQ194" s="4317"/>
      <c r="BR194" s="4317"/>
      <c r="BS194" s="4317"/>
      <c r="BT194" s="4317"/>
      <c r="BU194" s="4317"/>
      <c r="BV194" s="4317"/>
      <c r="BW194" s="4317"/>
      <c r="BX194" s="4317"/>
      <c r="BY194" s="4317"/>
      <c r="BZ194" s="4317"/>
      <c r="CA194" s="4317"/>
      <c r="CB194" s="4317"/>
      <c r="CC194" s="4317"/>
      <c r="CD194" s="4317"/>
      <c r="CE194" s="4317"/>
      <c r="CF194" s="4317"/>
      <c r="CG194" s="4317"/>
      <c r="CH194" s="4317"/>
      <c r="CI194" s="4317"/>
      <c r="CJ194" s="4317"/>
      <c r="CK194" s="4317"/>
      <c r="CL194" s="4317"/>
      <c r="CM194" s="4317"/>
      <c r="CN194" s="4317"/>
      <c r="CO194" s="4317"/>
      <c r="CP194" s="4317"/>
      <c r="CQ194" s="4317"/>
      <c r="CR194" s="4317"/>
      <c r="CS194" s="4317"/>
      <c r="CT194" s="4317"/>
      <c r="CU194" s="4317"/>
      <c r="CV194" s="4317"/>
      <c r="CW194" s="4317"/>
      <c r="CX194" s="4317"/>
      <c r="CY194" s="4317"/>
      <c r="CZ194" s="4317"/>
      <c r="DA194" s="4317"/>
      <c r="DB194" s="4317"/>
      <c r="DC194" s="4317"/>
      <c r="DD194" s="4317"/>
      <c r="DE194" s="4317"/>
      <c r="DF194" s="4317"/>
      <c r="DG194" s="4317"/>
      <c r="DH194" s="4317"/>
      <c r="DI194" s="4317"/>
      <c r="DJ194" s="4317"/>
      <c r="DK194" s="4317"/>
      <c r="DL194" s="4317"/>
      <c r="DM194" s="4317"/>
      <c r="DN194" s="4317"/>
      <c r="DO194" s="4317"/>
      <c r="DP194" s="4317"/>
      <c r="DQ194" s="4317"/>
      <c r="DR194" s="4317"/>
      <c r="DS194" s="4317"/>
    </row>
    <row r="195" s="4134" customFormat="1" ht="16.5" customHeight="1" spans="1:123">
      <c r="A195" s="4298" t="s">
        <v>4817</v>
      </c>
      <c r="B195" s="4299"/>
      <c r="C195" s="4299"/>
      <c r="D195" s="4299"/>
      <c r="E195" s="4299"/>
      <c r="F195" s="4300"/>
      <c r="G195" s="4300"/>
      <c r="H195" s="4300"/>
      <c r="I195" s="4300"/>
      <c r="J195" s="4300"/>
      <c r="K195" s="4300"/>
      <c r="L195" s="4300"/>
      <c r="M195" s="4295"/>
      <c r="N195" s="4295"/>
      <c r="O195" s="4319" t="s">
        <v>4818</v>
      </c>
      <c r="P195" s="4317"/>
      <c r="Q195" s="4295"/>
      <c r="R195" s="4317"/>
      <c r="S195" s="4317"/>
      <c r="T195" s="4317"/>
      <c r="U195" s="4317"/>
      <c r="V195" s="4317"/>
      <c r="W195" s="4317"/>
      <c r="X195" s="4317"/>
      <c r="Y195" s="4317"/>
      <c r="Z195" s="4317"/>
      <c r="AA195" s="4317"/>
      <c r="AB195" s="4317"/>
      <c r="AC195" s="4295"/>
      <c r="AD195" s="4295"/>
      <c r="AE195" s="4317"/>
      <c r="AF195" s="4319"/>
      <c r="AG195" s="4319"/>
      <c r="AH195" s="4317"/>
      <c r="AI195" s="4317"/>
      <c r="AJ195" s="4317"/>
      <c r="AK195" s="4317"/>
      <c r="AL195" s="4317"/>
      <c r="AM195" s="4317"/>
      <c r="AN195" s="4317"/>
      <c r="AO195" s="4317"/>
      <c r="AP195" s="4317"/>
      <c r="AQ195" s="4317"/>
      <c r="AR195" s="4317"/>
      <c r="AS195" s="4317"/>
      <c r="AT195" s="4317"/>
      <c r="AU195" s="4317"/>
      <c r="AV195" s="4317"/>
      <c r="AW195" s="4317"/>
      <c r="AX195" s="4317"/>
      <c r="AY195" s="4317"/>
      <c r="AZ195" s="4317"/>
      <c r="BA195" s="4317"/>
      <c r="BB195" s="4317"/>
      <c r="BC195" s="4317"/>
      <c r="BD195" s="4317"/>
      <c r="BE195" s="4317"/>
      <c r="BF195" s="4317"/>
      <c r="BG195" s="4317"/>
      <c r="BH195" s="4317"/>
      <c r="BI195" s="4317"/>
      <c r="BJ195" s="4317"/>
      <c r="BK195" s="4317"/>
      <c r="BL195" s="4317"/>
      <c r="BM195" s="4317"/>
      <c r="BN195" s="4317"/>
      <c r="BO195" s="4317"/>
      <c r="BP195" s="4317"/>
      <c r="BQ195" s="4317"/>
      <c r="BR195" s="4317"/>
      <c r="BS195" s="4317"/>
      <c r="BT195" s="4317"/>
      <c r="BU195" s="4317"/>
      <c r="BV195" s="4317"/>
      <c r="BW195" s="4317"/>
      <c r="BX195" s="4317"/>
      <c r="BY195" s="4317"/>
      <c r="BZ195" s="4317"/>
      <c r="CA195" s="4317"/>
      <c r="CB195" s="4317"/>
      <c r="CC195" s="4317"/>
      <c r="CD195" s="4317"/>
      <c r="CE195" s="4317"/>
      <c r="CF195" s="4317"/>
      <c r="CG195" s="4317"/>
      <c r="CH195" s="4317"/>
      <c r="CI195" s="4317"/>
      <c r="CJ195" s="4317"/>
      <c r="CK195" s="4317"/>
      <c r="CL195" s="4317"/>
      <c r="CM195" s="4317"/>
      <c r="CN195" s="4317"/>
      <c r="CO195" s="4317"/>
      <c r="CP195" s="4317"/>
      <c r="CQ195" s="4317"/>
      <c r="CR195" s="4317"/>
      <c r="CS195" s="4317"/>
      <c r="CT195" s="4317"/>
      <c r="CU195" s="4317"/>
      <c r="CV195" s="4317"/>
      <c r="CW195" s="4317"/>
      <c r="CX195" s="4317"/>
      <c r="CY195" s="4317"/>
      <c r="CZ195" s="4317"/>
      <c r="DA195" s="4317"/>
      <c r="DB195" s="4317"/>
      <c r="DC195" s="4317"/>
      <c r="DD195" s="4317"/>
      <c r="DE195" s="4317"/>
      <c r="DF195" s="4317"/>
      <c r="DG195" s="4317"/>
      <c r="DH195" s="4317"/>
      <c r="DI195" s="4317"/>
      <c r="DJ195" s="4317"/>
      <c r="DK195" s="4317"/>
      <c r="DL195" s="4317"/>
      <c r="DM195" s="4317"/>
      <c r="DN195" s="4317"/>
      <c r="DO195" s="4317"/>
      <c r="DP195" s="4317"/>
      <c r="DQ195" s="4317"/>
      <c r="DR195" s="4317"/>
      <c r="DS195" s="4317"/>
    </row>
    <row r="196" s="4134" customFormat="1" ht="16.5" customHeight="1" spans="1:123">
      <c r="A196" s="4298" t="s">
        <v>4819</v>
      </c>
      <c r="B196" s="4299"/>
      <c r="C196" s="4299"/>
      <c r="D196" s="4299"/>
      <c r="E196" s="4299"/>
      <c r="F196" s="4300"/>
      <c r="G196" s="4300"/>
      <c r="H196" s="4300"/>
      <c r="I196" s="4300"/>
      <c r="J196" s="4300"/>
      <c r="K196" s="4300"/>
      <c r="L196" s="4300"/>
      <c r="M196" s="4295"/>
      <c r="N196" s="4295"/>
      <c r="O196" s="4319" t="s">
        <v>4820</v>
      </c>
      <c r="P196" s="4317"/>
      <c r="Q196" s="4295"/>
      <c r="R196" s="4317"/>
      <c r="S196" s="4317"/>
      <c r="T196" s="4317"/>
      <c r="U196" s="4317"/>
      <c r="V196" s="4317"/>
      <c r="W196" s="4317"/>
      <c r="X196" s="4317"/>
      <c r="Y196" s="4317"/>
      <c r="Z196" s="4317"/>
      <c r="AA196" s="4317"/>
      <c r="AB196" s="4317"/>
      <c r="AC196" s="4295"/>
      <c r="AD196" s="4295"/>
      <c r="AE196" s="4317"/>
      <c r="AF196" s="4319"/>
      <c r="AG196" s="4319"/>
      <c r="AH196" s="4317"/>
      <c r="AI196" s="4317"/>
      <c r="AJ196" s="4317"/>
      <c r="AK196" s="4317"/>
      <c r="AL196" s="4317"/>
      <c r="AM196" s="4317"/>
      <c r="AN196" s="4317"/>
      <c r="AO196" s="4317"/>
      <c r="AP196" s="4317"/>
      <c r="AQ196" s="4317"/>
      <c r="AR196" s="4317"/>
      <c r="AS196" s="4317"/>
      <c r="AT196" s="4317"/>
      <c r="AU196" s="4317"/>
      <c r="AV196" s="4317"/>
      <c r="AW196" s="4317"/>
      <c r="AX196" s="4317"/>
      <c r="AY196" s="4317"/>
      <c r="AZ196" s="4317"/>
      <c r="BA196" s="4317"/>
      <c r="BB196" s="4317"/>
      <c r="BC196" s="4317"/>
      <c r="BD196" s="4317"/>
      <c r="BE196" s="4317"/>
      <c r="BF196" s="4317"/>
      <c r="BG196" s="4317"/>
      <c r="BH196" s="4317"/>
      <c r="BI196" s="4317"/>
      <c r="BJ196" s="4317"/>
      <c r="BK196" s="4317"/>
      <c r="BL196" s="4317"/>
      <c r="BM196" s="4317"/>
      <c r="BN196" s="4317"/>
      <c r="BO196" s="4317"/>
      <c r="BP196" s="4317"/>
      <c r="BQ196" s="4317"/>
      <c r="BR196" s="4317"/>
      <c r="BS196" s="4317"/>
      <c r="BT196" s="4317"/>
      <c r="BU196" s="4317"/>
      <c r="BV196" s="4317"/>
      <c r="BW196" s="4317"/>
      <c r="BX196" s="4317"/>
      <c r="BY196" s="4317"/>
      <c r="BZ196" s="4317"/>
      <c r="CA196" s="4317"/>
      <c r="CB196" s="4317"/>
      <c r="CC196" s="4317"/>
      <c r="CD196" s="4317"/>
      <c r="CE196" s="4317"/>
      <c r="CF196" s="4317"/>
      <c r="CG196" s="4317"/>
      <c r="CH196" s="4317"/>
      <c r="CI196" s="4317"/>
      <c r="CJ196" s="4317"/>
      <c r="CK196" s="4317"/>
      <c r="CL196" s="4317"/>
      <c r="CM196" s="4317"/>
      <c r="CN196" s="4317"/>
      <c r="CO196" s="4317"/>
      <c r="CP196" s="4317"/>
      <c r="CQ196" s="4317"/>
      <c r="CR196" s="4317"/>
      <c r="CS196" s="4317"/>
      <c r="CT196" s="4317"/>
      <c r="CU196" s="4317"/>
      <c r="CV196" s="4317"/>
      <c r="CW196" s="4317"/>
      <c r="CX196" s="4317"/>
      <c r="CY196" s="4317"/>
      <c r="CZ196" s="4317"/>
      <c r="DA196" s="4317"/>
      <c r="DB196" s="4317"/>
      <c r="DC196" s="4317"/>
      <c r="DD196" s="4317"/>
      <c r="DE196" s="4317"/>
      <c r="DF196" s="4317"/>
      <c r="DG196" s="4317"/>
      <c r="DH196" s="4317"/>
      <c r="DI196" s="4317"/>
      <c r="DJ196" s="4317"/>
      <c r="DK196" s="4317"/>
      <c r="DL196" s="4317"/>
      <c r="DM196" s="4317"/>
      <c r="DN196" s="4317"/>
      <c r="DO196" s="4317"/>
      <c r="DP196" s="4317"/>
      <c r="DQ196" s="4317"/>
      <c r="DR196" s="4317"/>
      <c r="DS196" s="4317"/>
    </row>
    <row r="197" s="4134" customFormat="1" ht="16.5" customHeight="1" spans="1:123">
      <c r="A197" s="4304" t="s">
        <v>4821</v>
      </c>
      <c r="B197" s="4305"/>
      <c r="C197" s="4305"/>
      <c r="D197" s="4305"/>
      <c r="E197" s="4305"/>
      <c r="F197" s="4306">
        <f>SUM(F195:L196)</f>
        <v>0</v>
      </c>
      <c r="G197" s="4306"/>
      <c r="H197" s="4306"/>
      <c r="I197" s="4306"/>
      <c r="J197" s="4306"/>
      <c r="K197" s="4306"/>
      <c r="L197" s="4306"/>
      <c r="M197" s="4295"/>
      <c r="N197" s="4295"/>
      <c r="O197" s="4319" t="s">
        <v>4822</v>
      </c>
      <c r="P197" s="4317"/>
      <c r="Q197" s="4295"/>
      <c r="R197" s="4317"/>
      <c r="S197" s="4317"/>
      <c r="T197" s="4317"/>
      <c r="U197" s="4317"/>
      <c r="V197" s="4317"/>
      <c r="W197" s="4317"/>
      <c r="X197" s="4317"/>
      <c r="Y197" s="4317"/>
      <c r="Z197" s="4317"/>
      <c r="AA197" s="4317"/>
      <c r="AB197" s="4317"/>
      <c r="AC197" s="4295"/>
      <c r="AD197" s="4295"/>
      <c r="AE197" s="4317"/>
      <c r="AF197" s="4319"/>
      <c r="AG197" s="4319"/>
      <c r="AH197" s="4317"/>
      <c r="AI197" s="4317"/>
      <c r="AJ197" s="4317"/>
      <c r="AK197" s="4317"/>
      <c r="AL197" s="4317"/>
      <c r="AM197" s="4317"/>
      <c r="AN197" s="4317"/>
      <c r="AO197" s="4317"/>
      <c r="AP197" s="4317"/>
      <c r="AQ197" s="4317"/>
      <c r="AR197" s="4317"/>
      <c r="AS197" s="4317"/>
      <c r="AT197" s="4317"/>
      <c r="AU197" s="4317"/>
      <c r="AV197" s="4317"/>
      <c r="AW197" s="4317"/>
      <c r="AX197" s="4317"/>
      <c r="AY197" s="4317"/>
      <c r="AZ197" s="4317"/>
      <c r="BA197" s="4317"/>
      <c r="BB197" s="4317"/>
      <c r="BC197" s="4317"/>
      <c r="BD197" s="4317"/>
      <c r="BE197" s="4317"/>
      <c r="BF197" s="4317"/>
      <c r="BG197" s="4317"/>
      <c r="BH197" s="4317"/>
      <c r="BI197" s="4317"/>
      <c r="BJ197" s="4317"/>
      <c r="BK197" s="4317"/>
      <c r="BL197" s="4317"/>
      <c r="BM197" s="4317"/>
      <c r="BN197" s="4317"/>
      <c r="BO197" s="4317"/>
      <c r="BP197" s="4317"/>
      <c r="BQ197" s="4317"/>
      <c r="BR197" s="4317"/>
      <c r="BS197" s="4317"/>
      <c r="BT197" s="4317"/>
      <c r="BU197" s="4317"/>
      <c r="BV197" s="4317"/>
      <c r="BW197" s="4317"/>
      <c r="BX197" s="4317"/>
      <c r="BY197" s="4317"/>
      <c r="BZ197" s="4317"/>
      <c r="CA197" s="4317"/>
      <c r="CB197" s="4317"/>
      <c r="CC197" s="4317"/>
      <c r="CD197" s="4317"/>
      <c r="CE197" s="4317"/>
      <c r="CF197" s="4317"/>
      <c r="CG197" s="4317"/>
      <c r="CH197" s="4317"/>
      <c r="CI197" s="4317"/>
      <c r="CJ197" s="4317"/>
      <c r="CK197" s="4317"/>
      <c r="CL197" s="4317"/>
      <c r="CM197" s="4317"/>
      <c r="CN197" s="4317"/>
      <c r="CO197" s="4317"/>
      <c r="CP197" s="4317"/>
      <c r="CQ197" s="4317"/>
      <c r="CR197" s="4317"/>
      <c r="CS197" s="4317"/>
      <c r="CT197" s="4317"/>
      <c r="CU197" s="4317"/>
      <c r="CV197" s="4317"/>
      <c r="CW197" s="4317"/>
      <c r="CX197" s="4317"/>
      <c r="CY197" s="4317"/>
      <c r="CZ197" s="4317"/>
      <c r="DA197" s="4317"/>
      <c r="DB197" s="4317"/>
      <c r="DC197" s="4317"/>
      <c r="DD197" s="4317"/>
      <c r="DE197" s="4317"/>
      <c r="DF197" s="4317"/>
      <c r="DG197" s="4317"/>
      <c r="DH197" s="4317"/>
      <c r="DI197" s="4317"/>
      <c r="DJ197" s="4317"/>
      <c r="DK197" s="4317"/>
      <c r="DL197" s="4317"/>
      <c r="DM197" s="4317"/>
      <c r="DN197" s="4317"/>
      <c r="DO197" s="4317"/>
      <c r="DP197" s="4317"/>
      <c r="DQ197" s="4317"/>
      <c r="DR197" s="4317"/>
      <c r="DS197" s="4317"/>
    </row>
    <row r="198" s="4134" customFormat="1" ht="16.5" customHeight="1" spans="1:123">
      <c r="A198" s="4304" t="s">
        <v>4823</v>
      </c>
      <c r="B198" s="4324"/>
      <c r="C198" s="4324"/>
      <c r="D198" s="4324"/>
      <c r="E198" s="4324"/>
      <c r="F198" s="4300"/>
      <c r="G198" s="4300"/>
      <c r="H198" s="4300"/>
      <c r="I198" s="4300"/>
      <c r="J198" s="4300"/>
      <c r="K198" s="4300"/>
      <c r="L198" s="4300"/>
      <c r="M198" s="4295"/>
      <c r="N198" s="4295"/>
      <c r="O198" s="4319" t="s">
        <v>4824</v>
      </c>
      <c r="P198" s="4317"/>
      <c r="Q198" s="4295"/>
      <c r="R198" s="4317"/>
      <c r="S198" s="4317"/>
      <c r="T198" s="4317"/>
      <c r="U198" s="4317"/>
      <c r="V198" s="4317"/>
      <c r="W198" s="4317"/>
      <c r="X198" s="4317"/>
      <c r="Y198" s="4317"/>
      <c r="Z198" s="4317"/>
      <c r="AA198" s="4317"/>
      <c r="AB198" s="4317"/>
      <c r="AC198" s="4295"/>
      <c r="AD198" s="4295"/>
      <c r="AE198" s="4317"/>
      <c r="AF198" s="4319"/>
      <c r="AG198" s="4319"/>
      <c r="AH198" s="4317"/>
      <c r="AI198" s="4317"/>
      <c r="AJ198" s="4317"/>
      <c r="AK198" s="4317"/>
      <c r="AL198" s="4317"/>
      <c r="AM198" s="4317"/>
      <c r="AN198" s="4317"/>
      <c r="AO198" s="4317"/>
      <c r="AP198" s="4317"/>
      <c r="AQ198" s="4317"/>
      <c r="AR198" s="4317"/>
      <c r="AS198" s="4317"/>
      <c r="AT198" s="4317"/>
      <c r="AU198" s="4317"/>
      <c r="AV198" s="4317"/>
      <c r="AW198" s="4317"/>
      <c r="AX198" s="4317"/>
      <c r="AY198" s="4317"/>
      <c r="AZ198" s="4317"/>
      <c r="BA198" s="4317"/>
      <c r="BB198" s="4317"/>
      <c r="BC198" s="4317"/>
      <c r="BD198" s="4317"/>
      <c r="BE198" s="4317"/>
      <c r="BF198" s="4317"/>
      <c r="BG198" s="4317"/>
      <c r="BH198" s="4317"/>
      <c r="BI198" s="4317"/>
      <c r="BJ198" s="4317"/>
      <c r="BK198" s="4317"/>
      <c r="BL198" s="4317"/>
      <c r="BM198" s="4317"/>
      <c r="BN198" s="4317"/>
      <c r="BO198" s="4317"/>
      <c r="BP198" s="4317"/>
      <c r="BQ198" s="4317"/>
      <c r="BR198" s="4317"/>
      <c r="BS198" s="4317"/>
      <c r="BT198" s="4317"/>
      <c r="BU198" s="4317"/>
      <c r="BV198" s="4317"/>
      <c r="BW198" s="4317"/>
      <c r="BX198" s="4317"/>
      <c r="BY198" s="4317"/>
      <c r="BZ198" s="4317"/>
      <c r="CA198" s="4317"/>
      <c r="CB198" s="4317"/>
      <c r="CC198" s="4317"/>
      <c r="CD198" s="4317"/>
      <c r="CE198" s="4317"/>
      <c r="CF198" s="4317"/>
      <c r="CG198" s="4317"/>
      <c r="CH198" s="4317"/>
      <c r="CI198" s="4317"/>
      <c r="CJ198" s="4317"/>
      <c r="CK198" s="4317"/>
      <c r="CL198" s="4317"/>
      <c r="CM198" s="4317"/>
      <c r="CN198" s="4317"/>
      <c r="CO198" s="4317"/>
      <c r="CP198" s="4317"/>
      <c r="CQ198" s="4317"/>
      <c r="CR198" s="4317"/>
      <c r="CS198" s="4317"/>
      <c r="CT198" s="4317"/>
      <c r="CU198" s="4317"/>
      <c r="CV198" s="4317"/>
      <c r="CW198" s="4317"/>
      <c r="CX198" s="4317"/>
      <c r="CY198" s="4317"/>
      <c r="CZ198" s="4317"/>
      <c r="DA198" s="4317"/>
      <c r="DB198" s="4317"/>
      <c r="DC198" s="4317"/>
      <c r="DD198" s="4317"/>
      <c r="DE198" s="4317"/>
      <c r="DF198" s="4317"/>
      <c r="DG198" s="4317"/>
      <c r="DH198" s="4317"/>
      <c r="DI198" s="4317"/>
      <c r="DJ198" s="4317"/>
      <c r="DK198" s="4317"/>
      <c r="DL198" s="4317"/>
      <c r="DM198" s="4317"/>
      <c r="DN198" s="4317"/>
      <c r="DO198" s="4317"/>
      <c r="DP198" s="4317"/>
      <c r="DQ198" s="4317"/>
      <c r="DR198" s="4317"/>
      <c r="DS198" s="4317"/>
    </row>
    <row r="199" s="4134" customFormat="1" ht="16.5" customHeight="1" spans="1:123">
      <c r="A199" s="4304" t="s">
        <v>4825</v>
      </c>
      <c r="B199" s="4324"/>
      <c r="C199" s="4324"/>
      <c r="D199" s="4324"/>
      <c r="E199" s="4324"/>
      <c r="F199" s="4300"/>
      <c r="G199" s="4300"/>
      <c r="H199" s="4300"/>
      <c r="I199" s="4300"/>
      <c r="J199" s="4300"/>
      <c r="K199" s="4300"/>
      <c r="L199" s="4300"/>
      <c r="M199" s="4295"/>
      <c r="N199" s="4295"/>
      <c r="O199" s="4319" t="s">
        <v>4826</v>
      </c>
      <c r="P199" s="4317"/>
      <c r="Q199" s="4295"/>
      <c r="R199" s="4317"/>
      <c r="S199" s="4317"/>
      <c r="T199" s="4317"/>
      <c r="U199" s="4317"/>
      <c r="V199" s="4317"/>
      <c r="W199" s="4317"/>
      <c r="X199" s="4317"/>
      <c r="Y199" s="4317"/>
      <c r="Z199" s="4317"/>
      <c r="AA199" s="4317"/>
      <c r="AB199" s="4317"/>
      <c r="AC199" s="4295"/>
      <c r="AD199" s="4295"/>
      <c r="AE199" s="4317"/>
      <c r="AF199" s="4319"/>
      <c r="AG199" s="4319"/>
      <c r="AH199" s="4317"/>
      <c r="AI199" s="4317"/>
      <c r="AJ199" s="4317"/>
      <c r="AK199" s="4317"/>
      <c r="AL199" s="4317"/>
      <c r="AM199" s="4317"/>
      <c r="AN199" s="4317"/>
      <c r="AO199" s="4317"/>
      <c r="AP199" s="4317"/>
      <c r="AQ199" s="4317"/>
      <c r="AR199" s="4317"/>
      <c r="AS199" s="4317"/>
      <c r="AT199" s="4317"/>
      <c r="AU199" s="4317"/>
      <c r="AV199" s="4317"/>
      <c r="AW199" s="4317"/>
      <c r="AX199" s="4317"/>
      <c r="AY199" s="4317"/>
      <c r="AZ199" s="4317"/>
      <c r="BA199" s="4317"/>
      <c r="BB199" s="4317"/>
      <c r="BC199" s="4317"/>
      <c r="BD199" s="4317"/>
      <c r="BE199" s="4317"/>
      <c r="BF199" s="4317"/>
      <c r="BG199" s="4317"/>
      <c r="BH199" s="4317"/>
      <c r="BI199" s="4317"/>
      <c r="BJ199" s="4317"/>
      <c r="BK199" s="4317"/>
      <c r="BL199" s="4317"/>
      <c r="BM199" s="4317"/>
      <c r="BN199" s="4317"/>
      <c r="BO199" s="4317"/>
      <c r="BP199" s="4317"/>
      <c r="BQ199" s="4317"/>
      <c r="BR199" s="4317"/>
      <c r="BS199" s="4317"/>
      <c r="BT199" s="4317"/>
      <c r="BU199" s="4317"/>
      <c r="BV199" s="4317"/>
      <c r="BW199" s="4317"/>
      <c r="BX199" s="4317"/>
      <c r="BY199" s="4317"/>
      <c r="BZ199" s="4317"/>
      <c r="CA199" s="4317"/>
      <c r="CB199" s="4317"/>
      <c r="CC199" s="4317"/>
      <c r="CD199" s="4317"/>
      <c r="CE199" s="4317"/>
      <c r="CF199" s="4317"/>
      <c r="CG199" s="4317"/>
      <c r="CH199" s="4317"/>
      <c r="CI199" s="4317"/>
      <c r="CJ199" s="4317"/>
      <c r="CK199" s="4317"/>
      <c r="CL199" s="4317"/>
      <c r="CM199" s="4317"/>
      <c r="CN199" s="4317"/>
      <c r="CO199" s="4317"/>
      <c r="CP199" s="4317"/>
      <c r="CQ199" s="4317"/>
      <c r="CR199" s="4317"/>
      <c r="CS199" s="4317"/>
      <c r="CT199" s="4317"/>
      <c r="CU199" s="4317"/>
      <c r="CV199" s="4317"/>
      <c r="CW199" s="4317"/>
      <c r="CX199" s="4317"/>
      <c r="CY199" s="4317"/>
      <c r="CZ199" s="4317"/>
      <c r="DA199" s="4317"/>
      <c r="DB199" s="4317"/>
      <c r="DC199" s="4317"/>
      <c r="DD199" s="4317"/>
      <c r="DE199" s="4317"/>
      <c r="DF199" s="4317"/>
      <c r="DG199" s="4317"/>
      <c r="DH199" s="4317"/>
      <c r="DI199" s="4317"/>
      <c r="DJ199" s="4317"/>
      <c r="DK199" s="4317"/>
      <c r="DL199" s="4317"/>
      <c r="DM199" s="4317"/>
      <c r="DN199" s="4317"/>
      <c r="DO199" s="4317"/>
      <c r="DP199" s="4317"/>
      <c r="DQ199" s="4317"/>
      <c r="DR199" s="4317"/>
      <c r="DS199" s="4317"/>
    </row>
    <row r="200" s="4134" customFormat="1" ht="16.5" customHeight="1" spans="1:123">
      <c r="A200" s="4298" t="s">
        <v>4827</v>
      </c>
      <c r="B200" s="4299"/>
      <c r="C200" s="4299"/>
      <c r="D200" s="4299"/>
      <c r="E200" s="4299"/>
      <c r="F200" s="4300"/>
      <c r="G200" s="4300"/>
      <c r="H200" s="4300"/>
      <c r="I200" s="4300"/>
      <c r="J200" s="4300"/>
      <c r="K200" s="4300"/>
      <c r="L200" s="4300"/>
      <c r="M200" s="4295"/>
      <c r="N200" s="4295"/>
      <c r="O200" s="4319" t="s">
        <v>4828</v>
      </c>
      <c r="P200" s="4317"/>
      <c r="Q200" s="4295"/>
      <c r="R200" s="4317"/>
      <c r="S200" s="4317"/>
      <c r="T200" s="4317"/>
      <c r="U200" s="4317"/>
      <c r="V200" s="4317"/>
      <c r="W200" s="4317"/>
      <c r="X200" s="4317"/>
      <c r="Y200" s="4317"/>
      <c r="Z200" s="4317"/>
      <c r="AA200" s="4317"/>
      <c r="AB200" s="4317"/>
      <c r="AC200" s="4295"/>
      <c r="AD200" s="4295"/>
      <c r="AE200" s="4317"/>
      <c r="AF200" s="4319"/>
      <c r="AG200" s="4319"/>
      <c r="AH200" s="4317"/>
      <c r="AI200" s="4317"/>
      <c r="AJ200" s="4317"/>
      <c r="AK200" s="4317"/>
      <c r="AL200" s="4317"/>
      <c r="AM200" s="4317"/>
      <c r="AN200" s="4317"/>
      <c r="AO200" s="4317"/>
      <c r="AP200" s="4317"/>
      <c r="AQ200" s="4317"/>
      <c r="AR200" s="4317"/>
      <c r="AS200" s="4317"/>
      <c r="AT200" s="4317"/>
      <c r="AU200" s="4317"/>
      <c r="AV200" s="4317"/>
      <c r="AW200" s="4317"/>
      <c r="AX200" s="4317"/>
      <c r="AY200" s="4317"/>
      <c r="AZ200" s="4317"/>
      <c r="BA200" s="4317"/>
      <c r="BB200" s="4317"/>
      <c r="BC200" s="4317"/>
      <c r="BD200" s="4317"/>
      <c r="BE200" s="4317"/>
      <c r="BF200" s="4317"/>
      <c r="BG200" s="4317"/>
      <c r="BH200" s="4317"/>
      <c r="BI200" s="4317"/>
      <c r="BJ200" s="4317"/>
      <c r="BK200" s="4317"/>
      <c r="BL200" s="4317"/>
      <c r="BM200" s="4317"/>
      <c r="BN200" s="4317"/>
      <c r="BO200" s="4317"/>
      <c r="BP200" s="4317"/>
      <c r="BQ200" s="4317"/>
      <c r="BR200" s="4317"/>
      <c r="BS200" s="4317"/>
      <c r="BT200" s="4317"/>
      <c r="BU200" s="4317"/>
      <c r="BV200" s="4317"/>
      <c r="BW200" s="4317"/>
      <c r="BX200" s="4317"/>
      <c r="BY200" s="4317"/>
      <c r="BZ200" s="4317"/>
      <c r="CA200" s="4317"/>
      <c r="CB200" s="4317"/>
      <c r="CC200" s="4317"/>
      <c r="CD200" s="4317"/>
      <c r="CE200" s="4317"/>
      <c r="CF200" s="4317"/>
      <c r="CG200" s="4317"/>
      <c r="CH200" s="4317"/>
      <c r="CI200" s="4317"/>
      <c r="CJ200" s="4317"/>
      <c r="CK200" s="4317"/>
      <c r="CL200" s="4317"/>
      <c r="CM200" s="4317"/>
      <c r="CN200" s="4317"/>
      <c r="CO200" s="4317"/>
      <c r="CP200" s="4317"/>
      <c r="CQ200" s="4317"/>
      <c r="CR200" s="4317"/>
      <c r="CS200" s="4317"/>
      <c r="CT200" s="4317"/>
      <c r="CU200" s="4317"/>
      <c r="CV200" s="4317"/>
      <c r="CW200" s="4317"/>
      <c r="CX200" s="4317"/>
      <c r="CY200" s="4317"/>
      <c r="CZ200" s="4317"/>
      <c r="DA200" s="4317"/>
      <c r="DB200" s="4317"/>
      <c r="DC200" s="4317"/>
      <c r="DD200" s="4317"/>
      <c r="DE200" s="4317"/>
      <c r="DF200" s="4317"/>
      <c r="DG200" s="4317"/>
      <c r="DH200" s="4317"/>
      <c r="DI200" s="4317"/>
      <c r="DJ200" s="4317"/>
      <c r="DK200" s="4317"/>
      <c r="DL200" s="4317"/>
      <c r="DM200" s="4317"/>
      <c r="DN200" s="4317"/>
      <c r="DO200" s="4317"/>
      <c r="DP200" s="4317"/>
      <c r="DQ200" s="4317"/>
      <c r="DR200" s="4317"/>
      <c r="DS200" s="4317"/>
    </row>
    <row r="201" s="4134" customFormat="1" ht="16.5" customHeight="1" spans="1:123">
      <c r="A201" s="4298" t="s">
        <v>4829</v>
      </c>
      <c r="B201" s="4299"/>
      <c r="C201" s="4299"/>
      <c r="D201" s="4299"/>
      <c r="E201" s="4299"/>
      <c r="F201" s="4300"/>
      <c r="G201" s="4300"/>
      <c r="H201" s="4300"/>
      <c r="I201" s="4300"/>
      <c r="J201" s="4300"/>
      <c r="K201" s="4300"/>
      <c r="L201" s="4300"/>
      <c r="M201" s="4295"/>
      <c r="N201" s="4295"/>
      <c r="O201" s="4319" t="s">
        <v>4830</v>
      </c>
      <c r="P201" s="4317"/>
      <c r="Q201" s="4295"/>
      <c r="R201" s="4317"/>
      <c r="S201" s="4317"/>
      <c r="T201" s="4317"/>
      <c r="U201" s="4317"/>
      <c r="V201" s="4317"/>
      <c r="W201" s="4317"/>
      <c r="X201" s="4317"/>
      <c r="Y201" s="4317"/>
      <c r="Z201" s="4317"/>
      <c r="AA201" s="4317"/>
      <c r="AB201" s="4317"/>
      <c r="AC201" s="4295"/>
      <c r="AD201" s="4295"/>
      <c r="AE201" s="4317"/>
      <c r="AF201" s="4319"/>
      <c r="AG201" s="4319"/>
      <c r="AH201" s="4317"/>
      <c r="AI201" s="4317"/>
      <c r="AJ201" s="4317"/>
      <c r="AK201" s="4317"/>
      <c r="AL201" s="4317"/>
      <c r="AM201" s="4317"/>
      <c r="AN201" s="4317"/>
      <c r="AO201" s="4317"/>
      <c r="AP201" s="4317"/>
      <c r="AQ201" s="4317"/>
      <c r="AR201" s="4317"/>
      <c r="AS201" s="4317"/>
      <c r="AT201" s="4317"/>
      <c r="AU201" s="4317"/>
      <c r="AV201" s="4317"/>
      <c r="AW201" s="4317"/>
      <c r="AX201" s="4317"/>
      <c r="AY201" s="4317"/>
      <c r="AZ201" s="4317"/>
      <c r="BA201" s="4317"/>
      <c r="BB201" s="4317"/>
      <c r="BC201" s="4317"/>
      <c r="BD201" s="4317"/>
      <c r="BE201" s="4317"/>
      <c r="BF201" s="4317"/>
      <c r="BG201" s="4317"/>
      <c r="BH201" s="4317"/>
      <c r="BI201" s="4317"/>
      <c r="BJ201" s="4317"/>
      <c r="BK201" s="4317"/>
      <c r="BL201" s="4317"/>
      <c r="BM201" s="4317"/>
      <c r="BN201" s="4317"/>
      <c r="BO201" s="4317"/>
      <c r="BP201" s="4317"/>
      <c r="BQ201" s="4317"/>
      <c r="BR201" s="4317"/>
      <c r="BS201" s="4317"/>
      <c r="BT201" s="4317"/>
      <c r="BU201" s="4317"/>
      <c r="BV201" s="4317"/>
      <c r="BW201" s="4317"/>
      <c r="BX201" s="4317"/>
      <c r="BY201" s="4317"/>
      <c r="BZ201" s="4317"/>
      <c r="CA201" s="4317"/>
      <c r="CB201" s="4317"/>
      <c r="CC201" s="4317"/>
      <c r="CD201" s="4317"/>
      <c r="CE201" s="4317"/>
      <c r="CF201" s="4317"/>
      <c r="CG201" s="4317"/>
      <c r="CH201" s="4317"/>
      <c r="CI201" s="4317"/>
      <c r="CJ201" s="4317"/>
      <c r="CK201" s="4317"/>
      <c r="CL201" s="4317"/>
      <c r="CM201" s="4317"/>
      <c r="CN201" s="4317"/>
      <c r="CO201" s="4317"/>
      <c r="CP201" s="4317"/>
      <c r="CQ201" s="4317"/>
      <c r="CR201" s="4317"/>
      <c r="CS201" s="4317"/>
      <c r="CT201" s="4317"/>
      <c r="CU201" s="4317"/>
      <c r="CV201" s="4317"/>
      <c r="CW201" s="4317"/>
      <c r="CX201" s="4317"/>
      <c r="CY201" s="4317"/>
      <c r="CZ201" s="4317"/>
      <c r="DA201" s="4317"/>
      <c r="DB201" s="4317"/>
      <c r="DC201" s="4317"/>
      <c r="DD201" s="4317"/>
      <c r="DE201" s="4317"/>
      <c r="DF201" s="4317"/>
      <c r="DG201" s="4317"/>
      <c r="DH201" s="4317"/>
      <c r="DI201" s="4317"/>
      <c r="DJ201" s="4317"/>
      <c r="DK201" s="4317"/>
      <c r="DL201" s="4317"/>
      <c r="DM201" s="4317"/>
      <c r="DN201" s="4317"/>
      <c r="DO201" s="4317"/>
      <c r="DP201" s="4317"/>
      <c r="DQ201" s="4317"/>
      <c r="DR201" s="4317"/>
      <c r="DS201" s="4317"/>
    </row>
    <row r="202" s="4134" customFormat="1" ht="16.5" customHeight="1" spans="1:123">
      <c r="A202" s="4298" t="s">
        <v>4831</v>
      </c>
      <c r="B202" s="4299"/>
      <c r="C202" s="4299"/>
      <c r="D202" s="4299"/>
      <c r="E202" s="4299"/>
      <c r="F202" s="4300"/>
      <c r="G202" s="4300"/>
      <c r="H202" s="4300"/>
      <c r="I202" s="4300"/>
      <c r="J202" s="4300"/>
      <c r="K202" s="4300"/>
      <c r="L202" s="4300"/>
      <c r="M202" s="4295"/>
      <c r="N202" s="4295"/>
      <c r="O202" s="4319" t="s">
        <v>4832</v>
      </c>
      <c r="P202" s="4317"/>
      <c r="Q202" s="4295"/>
      <c r="R202" s="4317"/>
      <c r="S202" s="4317"/>
      <c r="T202" s="4317"/>
      <c r="U202" s="4317"/>
      <c r="V202" s="4317"/>
      <c r="W202" s="4317"/>
      <c r="X202" s="4317"/>
      <c r="Y202" s="4317"/>
      <c r="Z202" s="4317"/>
      <c r="AA202" s="4317"/>
      <c r="AB202" s="4317"/>
      <c r="AC202" s="4295"/>
      <c r="AD202" s="4295"/>
      <c r="AE202" s="4317"/>
      <c r="AF202" s="4319"/>
      <c r="AG202" s="4319"/>
      <c r="AH202" s="4317"/>
      <c r="AI202" s="4317"/>
      <c r="AJ202" s="4317"/>
      <c r="AK202" s="4317"/>
      <c r="AL202" s="4317"/>
      <c r="AM202" s="4317"/>
      <c r="AN202" s="4317"/>
      <c r="AO202" s="4317"/>
      <c r="AP202" s="4317"/>
      <c r="AQ202" s="4317"/>
      <c r="AR202" s="4317"/>
      <c r="AS202" s="4317"/>
      <c r="AT202" s="4317"/>
      <c r="AU202" s="4317"/>
      <c r="AV202" s="4317"/>
      <c r="AW202" s="4317"/>
      <c r="AX202" s="4317"/>
      <c r="AY202" s="4317"/>
      <c r="AZ202" s="4317"/>
      <c r="BA202" s="4317"/>
      <c r="BB202" s="4317"/>
      <c r="BC202" s="4317"/>
      <c r="BD202" s="4317"/>
      <c r="BE202" s="4317"/>
      <c r="BF202" s="4317"/>
      <c r="BG202" s="4317"/>
      <c r="BH202" s="4317"/>
      <c r="BI202" s="4317"/>
      <c r="BJ202" s="4317"/>
      <c r="BK202" s="4317"/>
      <c r="BL202" s="4317"/>
      <c r="BM202" s="4317"/>
      <c r="BN202" s="4317"/>
      <c r="BO202" s="4317"/>
      <c r="BP202" s="4317"/>
      <c r="BQ202" s="4317"/>
      <c r="BR202" s="4317"/>
      <c r="BS202" s="4317"/>
      <c r="BT202" s="4317"/>
      <c r="BU202" s="4317"/>
      <c r="BV202" s="4317"/>
      <c r="BW202" s="4317"/>
      <c r="BX202" s="4317"/>
      <c r="BY202" s="4317"/>
      <c r="BZ202" s="4317"/>
      <c r="CA202" s="4317"/>
      <c r="CB202" s="4317"/>
      <c r="CC202" s="4317"/>
      <c r="CD202" s="4317"/>
      <c r="CE202" s="4317"/>
      <c r="CF202" s="4317"/>
      <c r="CG202" s="4317"/>
      <c r="CH202" s="4317"/>
      <c r="CI202" s="4317"/>
      <c r="CJ202" s="4317"/>
      <c r="CK202" s="4317"/>
      <c r="CL202" s="4317"/>
      <c r="CM202" s="4317"/>
      <c r="CN202" s="4317"/>
      <c r="CO202" s="4317"/>
      <c r="CP202" s="4317"/>
      <c r="CQ202" s="4317"/>
      <c r="CR202" s="4317"/>
      <c r="CS202" s="4317"/>
      <c r="CT202" s="4317"/>
      <c r="CU202" s="4317"/>
      <c r="CV202" s="4317"/>
      <c r="CW202" s="4317"/>
      <c r="CX202" s="4317"/>
      <c r="CY202" s="4317"/>
      <c r="CZ202" s="4317"/>
      <c r="DA202" s="4317"/>
      <c r="DB202" s="4317"/>
      <c r="DC202" s="4317"/>
      <c r="DD202" s="4317"/>
      <c r="DE202" s="4317"/>
      <c r="DF202" s="4317"/>
      <c r="DG202" s="4317"/>
      <c r="DH202" s="4317"/>
      <c r="DI202" s="4317"/>
      <c r="DJ202" s="4317"/>
      <c r="DK202" s="4317"/>
      <c r="DL202" s="4317"/>
      <c r="DM202" s="4317"/>
      <c r="DN202" s="4317"/>
      <c r="DO202" s="4317"/>
      <c r="DP202" s="4317"/>
      <c r="DQ202" s="4317"/>
      <c r="DR202" s="4317"/>
      <c r="DS202" s="4317"/>
    </row>
    <row r="203" s="4134" customFormat="1" ht="16.5" customHeight="1" spans="1:123">
      <c r="A203" s="4298" t="s">
        <v>4833</v>
      </c>
      <c r="B203" s="4299"/>
      <c r="C203" s="4299"/>
      <c r="D203" s="4299"/>
      <c r="E203" s="4299"/>
      <c r="F203" s="4300"/>
      <c r="G203" s="4300"/>
      <c r="H203" s="4300"/>
      <c r="I203" s="4300"/>
      <c r="J203" s="4300"/>
      <c r="K203" s="4300"/>
      <c r="L203" s="4300"/>
      <c r="M203" s="4295"/>
      <c r="N203" s="4295"/>
      <c r="O203" s="4319" t="s">
        <v>4834</v>
      </c>
      <c r="P203" s="4317"/>
      <c r="Q203" s="4295"/>
      <c r="R203" s="4317"/>
      <c r="S203" s="4317"/>
      <c r="T203" s="4317"/>
      <c r="U203" s="4317"/>
      <c r="V203" s="4317"/>
      <c r="W203" s="4317"/>
      <c r="X203" s="4317"/>
      <c r="Y203" s="4317"/>
      <c r="Z203" s="4317"/>
      <c r="AA203" s="4317"/>
      <c r="AB203" s="4317"/>
      <c r="AC203" s="4295"/>
      <c r="AD203" s="4295"/>
      <c r="AE203" s="4317"/>
      <c r="AF203" s="4319"/>
      <c r="AG203" s="4319"/>
      <c r="AH203" s="4317"/>
      <c r="AI203" s="4317"/>
      <c r="AJ203" s="4317"/>
      <c r="AK203" s="4317"/>
      <c r="AL203" s="4317"/>
      <c r="AM203" s="4317"/>
      <c r="AN203" s="4317"/>
      <c r="AO203" s="4317"/>
      <c r="AP203" s="4317"/>
      <c r="AQ203" s="4317"/>
      <c r="AR203" s="4317"/>
      <c r="AS203" s="4317"/>
      <c r="AT203" s="4317"/>
      <c r="AU203" s="4317"/>
      <c r="AV203" s="4317"/>
      <c r="AW203" s="4317"/>
      <c r="AX203" s="4317"/>
      <c r="AY203" s="4317"/>
      <c r="AZ203" s="4317"/>
      <c r="BA203" s="4317"/>
      <c r="BB203" s="4317"/>
      <c r="BC203" s="4317"/>
      <c r="BD203" s="4317"/>
      <c r="BE203" s="4317"/>
      <c r="BF203" s="4317"/>
      <c r="BG203" s="4317"/>
      <c r="BH203" s="4317"/>
      <c r="BI203" s="4317"/>
      <c r="BJ203" s="4317"/>
      <c r="BK203" s="4317"/>
      <c r="BL203" s="4317"/>
      <c r="BM203" s="4317"/>
      <c r="BN203" s="4317"/>
      <c r="BO203" s="4317"/>
      <c r="BP203" s="4317"/>
      <c r="BQ203" s="4317"/>
      <c r="BR203" s="4317"/>
      <c r="BS203" s="4317"/>
      <c r="BT203" s="4317"/>
      <c r="BU203" s="4317"/>
      <c r="BV203" s="4317"/>
      <c r="BW203" s="4317"/>
      <c r="BX203" s="4317"/>
      <c r="BY203" s="4317"/>
      <c r="BZ203" s="4317"/>
      <c r="CA203" s="4317"/>
      <c r="CB203" s="4317"/>
      <c r="CC203" s="4317"/>
      <c r="CD203" s="4317"/>
      <c r="CE203" s="4317"/>
      <c r="CF203" s="4317"/>
      <c r="CG203" s="4317"/>
      <c r="CH203" s="4317"/>
      <c r="CI203" s="4317"/>
      <c r="CJ203" s="4317"/>
      <c r="CK203" s="4317"/>
      <c r="CL203" s="4317"/>
      <c r="CM203" s="4317"/>
      <c r="CN203" s="4317"/>
      <c r="CO203" s="4317"/>
      <c r="CP203" s="4317"/>
      <c r="CQ203" s="4317"/>
      <c r="CR203" s="4317"/>
      <c r="CS203" s="4317"/>
      <c r="CT203" s="4317"/>
      <c r="CU203" s="4317"/>
      <c r="CV203" s="4317"/>
      <c r="CW203" s="4317"/>
      <c r="CX203" s="4317"/>
      <c r="CY203" s="4317"/>
      <c r="CZ203" s="4317"/>
      <c r="DA203" s="4317"/>
      <c r="DB203" s="4317"/>
      <c r="DC203" s="4317"/>
      <c r="DD203" s="4317"/>
      <c r="DE203" s="4317"/>
      <c r="DF203" s="4317"/>
      <c r="DG203" s="4317"/>
      <c r="DH203" s="4317"/>
      <c r="DI203" s="4317"/>
      <c r="DJ203" s="4317"/>
      <c r="DK203" s="4317"/>
      <c r="DL203" s="4317"/>
      <c r="DM203" s="4317"/>
      <c r="DN203" s="4317"/>
      <c r="DO203" s="4317"/>
      <c r="DP203" s="4317"/>
      <c r="DQ203" s="4317"/>
      <c r="DR203" s="4317"/>
      <c r="DS203" s="4317"/>
    </row>
    <row r="204" s="4134" customFormat="1" ht="16.5" customHeight="1" spans="1:123">
      <c r="A204" s="4298" t="s">
        <v>4835</v>
      </c>
      <c r="B204" s="4299"/>
      <c r="C204" s="4299"/>
      <c r="D204" s="4299"/>
      <c r="E204" s="4299"/>
      <c r="F204" s="4300"/>
      <c r="G204" s="4300"/>
      <c r="H204" s="4300"/>
      <c r="I204" s="4300"/>
      <c r="J204" s="4300"/>
      <c r="K204" s="4300"/>
      <c r="L204" s="4300"/>
      <c r="M204" s="4295"/>
      <c r="N204" s="4295"/>
      <c r="O204" s="4319" t="s">
        <v>4836</v>
      </c>
      <c r="P204" s="4317"/>
      <c r="Q204" s="4295"/>
      <c r="R204" s="4317"/>
      <c r="S204" s="4317"/>
      <c r="T204" s="4317"/>
      <c r="U204" s="4317"/>
      <c r="V204" s="4317"/>
      <c r="W204" s="4317"/>
      <c r="X204" s="4317"/>
      <c r="Y204" s="4317"/>
      <c r="Z204" s="4317"/>
      <c r="AA204" s="4317"/>
      <c r="AB204" s="4317"/>
      <c r="AC204" s="4295"/>
      <c r="AD204" s="4295"/>
      <c r="AE204" s="4317"/>
      <c r="AF204" s="4319"/>
      <c r="AG204" s="4319"/>
      <c r="AH204" s="4317"/>
      <c r="AI204" s="4317"/>
      <c r="AJ204" s="4317"/>
      <c r="AK204" s="4317"/>
      <c r="AL204" s="4317"/>
      <c r="AM204" s="4317"/>
      <c r="AN204" s="4317"/>
      <c r="AO204" s="4317"/>
      <c r="AP204" s="4317"/>
      <c r="AQ204" s="4317"/>
      <c r="AR204" s="4317"/>
      <c r="AS204" s="4317"/>
      <c r="AT204" s="4317"/>
      <c r="AU204" s="4317"/>
      <c r="AV204" s="4317"/>
      <c r="AW204" s="4317"/>
      <c r="AX204" s="4317"/>
      <c r="AY204" s="4317"/>
      <c r="AZ204" s="4317"/>
      <c r="BA204" s="4317"/>
      <c r="BB204" s="4317"/>
      <c r="BC204" s="4317"/>
      <c r="BD204" s="4317"/>
      <c r="BE204" s="4317"/>
      <c r="BF204" s="4317"/>
      <c r="BG204" s="4317"/>
      <c r="BH204" s="4317"/>
      <c r="BI204" s="4317"/>
      <c r="BJ204" s="4317"/>
      <c r="BK204" s="4317"/>
      <c r="BL204" s="4317"/>
      <c r="BM204" s="4317"/>
      <c r="BN204" s="4317"/>
      <c r="BO204" s="4317"/>
      <c r="BP204" s="4317"/>
      <c r="BQ204" s="4317"/>
      <c r="BR204" s="4317"/>
      <c r="BS204" s="4317"/>
      <c r="BT204" s="4317"/>
      <c r="BU204" s="4317"/>
      <c r="BV204" s="4317"/>
      <c r="BW204" s="4317"/>
      <c r="BX204" s="4317"/>
      <c r="BY204" s="4317"/>
      <c r="BZ204" s="4317"/>
      <c r="CA204" s="4317"/>
      <c r="CB204" s="4317"/>
      <c r="CC204" s="4317"/>
      <c r="CD204" s="4317"/>
      <c r="CE204" s="4317"/>
      <c r="CF204" s="4317"/>
      <c r="CG204" s="4317"/>
      <c r="CH204" s="4317"/>
      <c r="CI204" s="4317"/>
      <c r="CJ204" s="4317"/>
      <c r="CK204" s="4317"/>
      <c r="CL204" s="4317"/>
      <c r="CM204" s="4317"/>
      <c r="CN204" s="4317"/>
      <c r="CO204" s="4317"/>
      <c r="CP204" s="4317"/>
      <c r="CQ204" s="4317"/>
      <c r="CR204" s="4317"/>
      <c r="CS204" s="4317"/>
      <c r="CT204" s="4317"/>
      <c r="CU204" s="4317"/>
      <c r="CV204" s="4317"/>
      <c r="CW204" s="4317"/>
      <c r="CX204" s="4317"/>
      <c r="CY204" s="4317"/>
      <c r="CZ204" s="4317"/>
      <c r="DA204" s="4317"/>
      <c r="DB204" s="4317"/>
      <c r="DC204" s="4317"/>
      <c r="DD204" s="4317"/>
      <c r="DE204" s="4317"/>
      <c r="DF204" s="4317"/>
      <c r="DG204" s="4317"/>
      <c r="DH204" s="4317"/>
      <c r="DI204" s="4317"/>
      <c r="DJ204" s="4317"/>
      <c r="DK204" s="4317"/>
      <c r="DL204" s="4317"/>
      <c r="DM204" s="4317"/>
      <c r="DN204" s="4317"/>
      <c r="DO204" s="4317"/>
      <c r="DP204" s="4317"/>
      <c r="DQ204" s="4317"/>
      <c r="DR204" s="4317"/>
      <c r="DS204" s="4317"/>
    </row>
    <row r="205" s="4134" customFormat="1" ht="16.5" customHeight="1" spans="1:123">
      <c r="A205" s="4304" t="s">
        <v>4837</v>
      </c>
      <c r="B205" s="4305"/>
      <c r="C205" s="4305"/>
      <c r="D205" s="4305"/>
      <c r="E205" s="4305"/>
      <c r="F205" s="4306">
        <f>SUM(F200:L204)</f>
        <v>0</v>
      </c>
      <c r="G205" s="4306"/>
      <c r="H205" s="4306"/>
      <c r="I205" s="4306"/>
      <c r="J205" s="4306"/>
      <c r="K205" s="4306"/>
      <c r="L205" s="4306"/>
      <c r="M205" s="4295"/>
      <c r="N205" s="4295"/>
      <c r="O205" s="4319" t="s">
        <v>4838</v>
      </c>
      <c r="P205" s="4317"/>
      <c r="Q205" s="4295"/>
      <c r="R205" s="4317"/>
      <c r="S205" s="4317"/>
      <c r="T205" s="4317"/>
      <c r="U205" s="4317"/>
      <c r="V205" s="4317"/>
      <c r="W205" s="4317"/>
      <c r="X205" s="4317"/>
      <c r="Y205" s="4317"/>
      <c r="Z205" s="4317"/>
      <c r="AA205" s="4317"/>
      <c r="AB205" s="4317"/>
      <c r="AC205" s="4295"/>
      <c r="AD205" s="4295"/>
      <c r="AE205" s="4317"/>
      <c r="AF205" s="4319"/>
      <c r="AG205" s="4319"/>
      <c r="AH205" s="4317"/>
      <c r="AI205" s="4317"/>
      <c r="AJ205" s="4317"/>
      <c r="AK205" s="4317"/>
      <c r="AL205" s="4317"/>
      <c r="AM205" s="4317"/>
      <c r="AN205" s="4317"/>
      <c r="AO205" s="4317"/>
      <c r="AP205" s="4317"/>
      <c r="AQ205" s="4317"/>
      <c r="AR205" s="4317"/>
      <c r="AS205" s="4317"/>
      <c r="AT205" s="4317"/>
      <c r="AU205" s="4317"/>
      <c r="AV205" s="4317"/>
      <c r="AW205" s="4317"/>
      <c r="AX205" s="4317"/>
      <c r="AY205" s="4317"/>
      <c r="AZ205" s="4317"/>
      <c r="BA205" s="4317"/>
      <c r="BB205" s="4317"/>
      <c r="BC205" s="4317"/>
      <c r="BD205" s="4317"/>
      <c r="BE205" s="4317"/>
      <c r="BF205" s="4317"/>
      <c r="BG205" s="4317"/>
      <c r="BH205" s="4317"/>
      <c r="BI205" s="4317"/>
      <c r="BJ205" s="4317"/>
      <c r="BK205" s="4317"/>
      <c r="BL205" s="4317"/>
      <c r="BM205" s="4317"/>
      <c r="BN205" s="4317"/>
      <c r="BO205" s="4317"/>
      <c r="BP205" s="4317"/>
      <c r="BQ205" s="4317"/>
      <c r="BR205" s="4317"/>
      <c r="BS205" s="4317"/>
      <c r="BT205" s="4317"/>
      <c r="BU205" s="4317"/>
      <c r="BV205" s="4317"/>
      <c r="BW205" s="4317"/>
      <c r="BX205" s="4317"/>
      <c r="BY205" s="4317"/>
      <c r="BZ205" s="4317"/>
      <c r="CA205" s="4317"/>
      <c r="CB205" s="4317"/>
      <c r="CC205" s="4317"/>
      <c r="CD205" s="4317"/>
      <c r="CE205" s="4317"/>
      <c r="CF205" s="4317"/>
      <c r="CG205" s="4317"/>
      <c r="CH205" s="4317"/>
      <c r="CI205" s="4317"/>
      <c r="CJ205" s="4317"/>
      <c r="CK205" s="4317"/>
      <c r="CL205" s="4317"/>
      <c r="CM205" s="4317"/>
      <c r="CN205" s="4317"/>
      <c r="CO205" s="4317"/>
      <c r="CP205" s="4317"/>
      <c r="CQ205" s="4317"/>
      <c r="CR205" s="4317"/>
      <c r="CS205" s="4317"/>
      <c r="CT205" s="4317"/>
      <c r="CU205" s="4317"/>
      <c r="CV205" s="4317"/>
      <c r="CW205" s="4317"/>
      <c r="CX205" s="4317"/>
      <c r="CY205" s="4317"/>
      <c r="CZ205" s="4317"/>
      <c r="DA205" s="4317"/>
      <c r="DB205" s="4317"/>
      <c r="DC205" s="4317"/>
      <c r="DD205" s="4317"/>
      <c r="DE205" s="4317"/>
      <c r="DF205" s="4317"/>
      <c r="DG205" s="4317"/>
      <c r="DH205" s="4317"/>
      <c r="DI205" s="4317"/>
      <c r="DJ205" s="4317"/>
      <c r="DK205" s="4317"/>
      <c r="DL205" s="4317"/>
      <c r="DM205" s="4317"/>
      <c r="DN205" s="4317"/>
      <c r="DO205" s="4317"/>
      <c r="DP205" s="4317"/>
      <c r="DQ205" s="4317"/>
      <c r="DR205" s="4317"/>
      <c r="DS205" s="4317"/>
    </row>
    <row r="206" s="4134" customFormat="1" ht="16.5" customHeight="1" spans="1:123">
      <c r="A206" s="4304" t="s">
        <v>4839</v>
      </c>
      <c r="B206" s="4305"/>
      <c r="C206" s="4305"/>
      <c r="D206" s="4305"/>
      <c r="E206" s="4305"/>
      <c r="F206" s="4300"/>
      <c r="G206" s="4300"/>
      <c r="H206" s="4300"/>
      <c r="I206" s="4300"/>
      <c r="J206" s="4300"/>
      <c r="K206" s="4300"/>
      <c r="L206" s="4300"/>
      <c r="M206" s="4295"/>
      <c r="N206" s="4295"/>
      <c r="O206" s="4319" t="s">
        <v>3614</v>
      </c>
      <c r="P206" s="4317"/>
      <c r="Q206" s="4295"/>
      <c r="R206" s="4317"/>
      <c r="S206" s="4317"/>
      <c r="T206" s="4317"/>
      <c r="U206" s="4317"/>
      <c r="V206" s="4317"/>
      <c r="W206" s="4317"/>
      <c r="X206" s="4317"/>
      <c r="Y206" s="4317"/>
      <c r="Z206" s="4317"/>
      <c r="AA206" s="4317"/>
      <c r="AB206" s="4317"/>
      <c r="AC206" s="4295"/>
      <c r="AD206" s="4295"/>
      <c r="AE206" s="4317"/>
      <c r="AF206" s="4319"/>
      <c r="AG206" s="4319"/>
      <c r="AH206" s="4317"/>
      <c r="AI206" s="4317"/>
      <c r="AJ206" s="4317"/>
      <c r="AK206" s="4317"/>
      <c r="AL206" s="4317"/>
      <c r="AM206" s="4317"/>
      <c r="AN206" s="4317"/>
      <c r="AO206" s="4317"/>
      <c r="AP206" s="4317"/>
      <c r="AQ206" s="4317"/>
      <c r="AR206" s="4317"/>
      <c r="AS206" s="4317"/>
      <c r="AT206" s="4317"/>
      <c r="AU206" s="4317"/>
      <c r="AV206" s="4317"/>
      <c r="AW206" s="4317"/>
      <c r="AX206" s="4317"/>
      <c r="AY206" s="4317"/>
      <c r="AZ206" s="4317"/>
      <c r="BA206" s="4317"/>
      <c r="BB206" s="4317"/>
      <c r="BC206" s="4317"/>
      <c r="BD206" s="4317"/>
      <c r="BE206" s="4317"/>
      <c r="BF206" s="4317"/>
      <c r="BG206" s="4317"/>
      <c r="BH206" s="4317"/>
      <c r="BI206" s="4317"/>
      <c r="BJ206" s="4317"/>
      <c r="BK206" s="4317"/>
      <c r="BL206" s="4317"/>
      <c r="BM206" s="4317"/>
      <c r="BN206" s="4317"/>
      <c r="BO206" s="4317"/>
      <c r="BP206" s="4317"/>
      <c r="BQ206" s="4317"/>
      <c r="BR206" s="4317"/>
      <c r="BS206" s="4317"/>
      <c r="BT206" s="4317"/>
      <c r="BU206" s="4317"/>
      <c r="BV206" s="4317"/>
      <c r="BW206" s="4317"/>
      <c r="BX206" s="4317"/>
      <c r="BY206" s="4317"/>
      <c r="BZ206" s="4317"/>
      <c r="CA206" s="4317"/>
      <c r="CB206" s="4317"/>
      <c r="CC206" s="4317"/>
      <c r="CD206" s="4317"/>
      <c r="CE206" s="4317"/>
      <c r="CF206" s="4317"/>
      <c r="CG206" s="4317"/>
      <c r="CH206" s="4317"/>
      <c r="CI206" s="4317"/>
      <c r="CJ206" s="4317"/>
      <c r="CK206" s="4317"/>
      <c r="CL206" s="4317"/>
      <c r="CM206" s="4317"/>
      <c r="CN206" s="4317"/>
      <c r="CO206" s="4317"/>
      <c r="CP206" s="4317"/>
      <c r="CQ206" s="4317"/>
      <c r="CR206" s="4317"/>
      <c r="CS206" s="4317"/>
      <c r="CT206" s="4317"/>
      <c r="CU206" s="4317"/>
      <c r="CV206" s="4317"/>
      <c r="CW206" s="4317"/>
      <c r="CX206" s="4317"/>
      <c r="CY206" s="4317"/>
      <c r="CZ206" s="4317"/>
      <c r="DA206" s="4317"/>
      <c r="DB206" s="4317"/>
      <c r="DC206" s="4317"/>
      <c r="DD206" s="4317"/>
      <c r="DE206" s="4317"/>
      <c r="DF206" s="4317"/>
      <c r="DG206" s="4317"/>
      <c r="DH206" s="4317"/>
      <c r="DI206" s="4317"/>
      <c r="DJ206" s="4317"/>
      <c r="DK206" s="4317"/>
      <c r="DL206" s="4317"/>
      <c r="DM206" s="4317"/>
      <c r="DN206" s="4317"/>
      <c r="DO206" s="4317"/>
      <c r="DP206" s="4317"/>
      <c r="DQ206" s="4317"/>
      <c r="DR206" s="4317"/>
      <c r="DS206" s="4317"/>
    </row>
    <row r="207" s="4134" customFormat="1" ht="16.5" customHeight="1" spans="1:123">
      <c r="A207" s="4298" t="s">
        <v>4840</v>
      </c>
      <c r="B207" s="4299"/>
      <c r="C207" s="4299"/>
      <c r="D207" s="4299"/>
      <c r="E207" s="4299"/>
      <c r="F207" s="4300"/>
      <c r="G207" s="4300"/>
      <c r="H207" s="4300"/>
      <c r="I207" s="4300"/>
      <c r="J207" s="4300"/>
      <c r="K207" s="4300"/>
      <c r="L207" s="4300"/>
      <c r="M207" s="4295"/>
      <c r="N207" s="4295"/>
      <c r="O207" s="4319" t="s">
        <v>4841</v>
      </c>
      <c r="P207" s="4317"/>
      <c r="Q207" s="4295"/>
      <c r="R207" s="4317"/>
      <c r="S207" s="4317"/>
      <c r="T207" s="4317"/>
      <c r="U207" s="4317"/>
      <c r="V207" s="4317"/>
      <c r="W207" s="4317"/>
      <c r="X207" s="4317"/>
      <c r="Y207" s="4317"/>
      <c r="Z207" s="4317"/>
      <c r="AA207" s="4317"/>
      <c r="AB207" s="4317"/>
      <c r="AC207" s="4295"/>
      <c r="AD207" s="4295"/>
      <c r="AE207" s="4317"/>
      <c r="AF207" s="4319"/>
      <c r="AG207" s="4319"/>
      <c r="AH207" s="4317"/>
      <c r="AI207" s="4317"/>
      <c r="AJ207" s="4317"/>
      <c r="AK207" s="4317"/>
      <c r="AL207" s="4317"/>
      <c r="AM207" s="4317"/>
      <c r="AN207" s="4317"/>
      <c r="AO207" s="4317"/>
      <c r="AP207" s="4317"/>
      <c r="AQ207" s="4317"/>
      <c r="AR207" s="4317"/>
      <c r="AS207" s="4317"/>
      <c r="AT207" s="4317"/>
      <c r="AU207" s="4317"/>
      <c r="AV207" s="4317"/>
      <c r="AW207" s="4317"/>
      <c r="AX207" s="4317"/>
      <c r="AY207" s="4317"/>
      <c r="AZ207" s="4317"/>
      <c r="BA207" s="4317"/>
      <c r="BB207" s="4317"/>
      <c r="BC207" s="4317"/>
      <c r="BD207" s="4317"/>
      <c r="BE207" s="4317"/>
      <c r="BF207" s="4317"/>
      <c r="BG207" s="4317"/>
      <c r="BH207" s="4317"/>
      <c r="BI207" s="4317"/>
      <c r="BJ207" s="4317"/>
      <c r="BK207" s="4317"/>
      <c r="BL207" s="4317"/>
      <c r="BM207" s="4317"/>
      <c r="BN207" s="4317"/>
      <c r="BO207" s="4317"/>
      <c r="BP207" s="4317"/>
      <c r="BQ207" s="4317"/>
      <c r="BR207" s="4317"/>
      <c r="BS207" s="4317"/>
      <c r="BT207" s="4317"/>
      <c r="BU207" s="4317"/>
      <c r="BV207" s="4317"/>
      <c r="BW207" s="4317"/>
      <c r="BX207" s="4317"/>
      <c r="BY207" s="4317"/>
      <c r="BZ207" s="4317"/>
      <c r="CA207" s="4317"/>
      <c r="CB207" s="4317"/>
      <c r="CC207" s="4317"/>
      <c r="CD207" s="4317"/>
      <c r="CE207" s="4317"/>
      <c r="CF207" s="4317"/>
      <c r="CG207" s="4317"/>
      <c r="CH207" s="4317"/>
      <c r="CI207" s="4317"/>
      <c r="CJ207" s="4317"/>
      <c r="CK207" s="4317"/>
      <c r="CL207" s="4317"/>
      <c r="CM207" s="4317"/>
      <c r="CN207" s="4317"/>
      <c r="CO207" s="4317"/>
      <c r="CP207" s="4317"/>
      <c r="CQ207" s="4317"/>
      <c r="CR207" s="4317"/>
      <c r="CS207" s="4317"/>
      <c r="CT207" s="4317"/>
      <c r="CU207" s="4317"/>
      <c r="CV207" s="4317"/>
      <c r="CW207" s="4317"/>
      <c r="CX207" s="4317"/>
      <c r="CY207" s="4317"/>
      <c r="CZ207" s="4317"/>
      <c r="DA207" s="4317"/>
      <c r="DB207" s="4317"/>
      <c r="DC207" s="4317"/>
      <c r="DD207" s="4317"/>
      <c r="DE207" s="4317"/>
      <c r="DF207" s="4317"/>
      <c r="DG207" s="4317"/>
      <c r="DH207" s="4317"/>
      <c r="DI207" s="4317"/>
      <c r="DJ207" s="4317"/>
      <c r="DK207" s="4317"/>
      <c r="DL207" s="4317"/>
      <c r="DM207" s="4317"/>
      <c r="DN207" s="4317"/>
      <c r="DO207" s="4317"/>
      <c r="DP207" s="4317"/>
      <c r="DQ207" s="4317"/>
      <c r="DR207" s="4317"/>
      <c r="DS207" s="4317"/>
    </row>
    <row r="208" s="4134" customFormat="1" ht="16.5" customHeight="1" spans="1:123">
      <c r="A208" s="4298" t="s">
        <v>4842</v>
      </c>
      <c r="B208" s="4299"/>
      <c r="C208" s="4299"/>
      <c r="D208" s="4299"/>
      <c r="E208" s="4299"/>
      <c r="F208" s="4300"/>
      <c r="G208" s="4300"/>
      <c r="H208" s="4300"/>
      <c r="I208" s="4300"/>
      <c r="J208" s="4300"/>
      <c r="K208" s="4300"/>
      <c r="L208" s="4300"/>
      <c r="M208" s="4295"/>
      <c r="N208" s="4295"/>
      <c r="O208" s="4319" t="s">
        <v>4843</v>
      </c>
      <c r="P208" s="4317"/>
      <c r="Q208" s="4295"/>
      <c r="R208" s="4317"/>
      <c r="S208" s="4317"/>
      <c r="T208" s="4317"/>
      <c r="U208" s="4317"/>
      <c r="V208" s="4317"/>
      <c r="W208" s="4317"/>
      <c r="X208" s="4317"/>
      <c r="Y208" s="4317"/>
      <c r="Z208" s="4317"/>
      <c r="AA208" s="4317"/>
      <c r="AB208" s="4317"/>
      <c r="AC208" s="4295"/>
      <c r="AD208" s="4295"/>
      <c r="AE208" s="4317"/>
      <c r="AF208" s="4319"/>
      <c r="AG208" s="4319"/>
      <c r="AH208" s="4317"/>
      <c r="AI208" s="4317"/>
      <c r="AJ208" s="4317"/>
      <c r="AK208" s="4317"/>
      <c r="AL208" s="4317"/>
      <c r="AM208" s="4317"/>
      <c r="AN208" s="4317"/>
      <c r="AO208" s="4317"/>
      <c r="AP208" s="4317"/>
      <c r="AQ208" s="4317"/>
      <c r="AR208" s="4317"/>
      <c r="AS208" s="4317"/>
      <c r="AT208" s="4317"/>
      <c r="AU208" s="4317"/>
      <c r="AV208" s="4317"/>
      <c r="AW208" s="4317"/>
      <c r="AX208" s="4317"/>
      <c r="AY208" s="4317"/>
      <c r="AZ208" s="4317"/>
      <c r="BA208" s="4317"/>
      <c r="BB208" s="4317"/>
      <c r="BC208" s="4317"/>
      <c r="BD208" s="4317"/>
      <c r="BE208" s="4317"/>
      <c r="BF208" s="4317"/>
      <c r="BG208" s="4317"/>
      <c r="BH208" s="4317"/>
      <c r="BI208" s="4317"/>
      <c r="BJ208" s="4317"/>
      <c r="BK208" s="4317"/>
      <c r="BL208" s="4317"/>
      <c r="BM208" s="4317"/>
      <c r="BN208" s="4317"/>
      <c r="BO208" s="4317"/>
      <c r="BP208" s="4317"/>
      <c r="BQ208" s="4317"/>
      <c r="BR208" s="4317"/>
      <c r="BS208" s="4317"/>
      <c r="BT208" s="4317"/>
      <c r="BU208" s="4317"/>
      <c r="BV208" s="4317"/>
      <c r="BW208" s="4317"/>
      <c r="BX208" s="4317"/>
      <c r="BY208" s="4317"/>
      <c r="BZ208" s="4317"/>
      <c r="CA208" s="4317"/>
      <c r="CB208" s="4317"/>
      <c r="CC208" s="4317"/>
      <c r="CD208" s="4317"/>
      <c r="CE208" s="4317"/>
      <c r="CF208" s="4317"/>
      <c r="CG208" s="4317"/>
      <c r="CH208" s="4317"/>
      <c r="CI208" s="4317"/>
      <c r="CJ208" s="4317"/>
      <c r="CK208" s="4317"/>
      <c r="CL208" s="4317"/>
      <c r="CM208" s="4317"/>
      <c r="CN208" s="4317"/>
      <c r="CO208" s="4317"/>
      <c r="CP208" s="4317"/>
      <c r="CQ208" s="4317"/>
      <c r="CR208" s="4317"/>
      <c r="CS208" s="4317"/>
      <c r="CT208" s="4317"/>
      <c r="CU208" s="4317"/>
      <c r="CV208" s="4317"/>
      <c r="CW208" s="4317"/>
      <c r="CX208" s="4317"/>
      <c r="CY208" s="4317"/>
      <c r="CZ208" s="4317"/>
      <c r="DA208" s="4317"/>
      <c r="DB208" s="4317"/>
      <c r="DC208" s="4317"/>
      <c r="DD208" s="4317"/>
      <c r="DE208" s="4317"/>
      <c r="DF208" s="4317"/>
      <c r="DG208" s="4317"/>
      <c r="DH208" s="4317"/>
      <c r="DI208" s="4317"/>
      <c r="DJ208" s="4317"/>
      <c r="DK208" s="4317"/>
      <c r="DL208" s="4317"/>
      <c r="DM208" s="4317"/>
      <c r="DN208" s="4317"/>
      <c r="DO208" s="4317"/>
      <c r="DP208" s="4317"/>
      <c r="DQ208" s="4317"/>
      <c r="DR208" s="4317"/>
      <c r="DS208" s="4317"/>
    </row>
    <row r="209" s="4134" customFormat="1" ht="16.5" customHeight="1" spans="1:123">
      <c r="A209" s="4298" t="s">
        <v>4844</v>
      </c>
      <c r="B209" s="4299"/>
      <c r="C209" s="4299"/>
      <c r="D209" s="4299"/>
      <c r="E209" s="4299"/>
      <c r="F209" s="4300"/>
      <c r="G209" s="4300"/>
      <c r="H209" s="4300"/>
      <c r="I209" s="4300"/>
      <c r="J209" s="4300"/>
      <c r="K209" s="4300"/>
      <c r="L209" s="4300"/>
      <c r="M209" s="4295"/>
      <c r="N209" s="4295"/>
      <c r="O209" s="4319" t="s">
        <v>4845</v>
      </c>
      <c r="P209" s="4317"/>
      <c r="Q209" s="4295"/>
      <c r="R209" s="4317"/>
      <c r="S209" s="4317"/>
      <c r="T209" s="4317"/>
      <c r="U209" s="4317"/>
      <c r="V209" s="4317"/>
      <c r="W209" s="4317"/>
      <c r="X209" s="4317"/>
      <c r="Y209" s="4317"/>
      <c r="Z209" s="4317"/>
      <c r="AA209" s="4317"/>
      <c r="AB209" s="4317"/>
      <c r="AC209" s="4295"/>
      <c r="AD209" s="4295"/>
      <c r="AE209" s="4317"/>
      <c r="AF209" s="4319"/>
      <c r="AG209" s="4319"/>
      <c r="AH209" s="4317"/>
      <c r="AI209" s="4317"/>
      <c r="AJ209" s="4317"/>
      <c r="AK209" s="4317"/>
      <c r="AL209" s="4317"/>
      <c r="AM209" s="4317"/>
      <c r="AN209" s="4317"/>
      <c r="AO209" s="4317"/>
      <c r="AP209" s="4317"/>
      <c r="AQ209" s="4317"/>
      <c r="AR209" s="4317"/>
      <c r="AS209" s="4317"/>
      <c r="AT209" s="4317"/>
      <c r="AU209" s="4317"/>
      <c r="AV209" s="4317"/>
      <c r="AW209" s="4317"/>
      <c r="AX209" s="4317"/>
      <c r="AY209" s="4317"/>
      <c r="AZ209" s="4317"/>
      <c r="BA209" s="4317"/>
      <c r="BB209" s="4317"/>
      <c r="BC209" s="4317"/>
      <c r="BD209" s="4317"/>
      <c r="BE209" s="4317"/>
      <c r="BF209" s="4317"/>
      <c r="BG209" s="4317"/>
      <c r="BH209" s="4317"/>
      <c r="BI209" s="4317"/>
      <c r="BJ209" s="4317"/>
      <c r="BK209" s="4317"/>
      <c r="BL209" s="4317"/>
      <c r="BM209" s="4317"/>
      <c r="BN209" s="4317"/>
      <c r="BO209" s="4317"/>
      <c r="BP209" s="4317"/>
      <c r="BQ209" s="4317"/>
      <c r="BR209" s="4317"/>
      <c r="BS209" s="4317"/>
      <c r="BT209" s="4317"/>
      <c r="BU209" s="4317"/>
      <c r="BV209" s="4317"/>
      <c r="BW209" s="4317"/>
      <c r="BX209" s="4317"/>
      <c r="BY209" s="4317"/>
      <c r="BZ209" s="4317"/>
      <c r="CA209" s="4317"/>
      <c r="CB209" s="4317"/>
      <c r="CC209" s="4317"/>
      <c r="CD209" s="4317"/>
      <c r="CE209" s="4317"/>
      <c r="CF209" s="4317"/>
      <c r="CG209" s="4317"/>
      <c r="CH209" s="4317"/>
      <c r="CI209" s="4317"/>
      <c r="CJ209" s="4317"/>
      <c r="CK209" s="4317"/>
      <c r="CL209" s="4317"/>
      <c r="CM209" s="4317"/>
      <c r="CN209" s="4317"/>
      <c r="CO209" s="4317"/>
      <c r="CP209" s="4317"/>
      <c r="CQ209" s="4317"/>
      <c r="CR209" s="4317"/>
      <c r="CS209" s="4317"/>
      <c r="CT209" s="4317"/>
      <c r="CU209" s="4317"/>
      <c r="CV209" s="4317"/>
      <c r="CW209" s="4317"/>
      <c r="CX209" s="4317"/>
      <c r="CY209" s="4317"/>
      <c r="CZ209" s="4317"/>
      <c r="DA209" s="4317"/>
      <c r="DB209" s="4317"/>
      <c r="DC209" s="4317"/>
      <c r="DD209" s="4317"/>
      <c r="DE209" s="4317"/>
      <c r="DF209" s="4317"/>
      <c r="DG209" s="4317"/>
      <c r="DH209" s="4317"/>
      <c r="DI209" s="4317"/>
      <c r="DJ209" s="4317"/>
      <c r="DK209" s="4317"/>
      <c r="DL209" s="4317"/>
      <c r="DM209" s="4317"/>
      <c r="DN209" s="4317"/>
      <c r="DO209" s="4317"/>
      <c r="DP209" s="4317"/>
      <c r="DQ209" s="4317"/>
      <c r="DR209" s="4317"/>
      <c r="DS209" s="4317"/>
    </row>
    <row r="210" s="4134" customFormat="1" ht="16.5" customHeight="1" spans="1:123">
      <c r="A210" s="4304" t="s">
        <v>4846</v>
      </c>
      <c r="B210" s="4305"/>
      <c r="C210" s="4305"/>
      <c r="D210" s="4305"/>
      <c r="E210" s="4305"/>
      <c r="F210" s="4306">
        <f>SUM(F207:L209)</f>
        <v>0</v>
      </c>
      <c r="G210" s="4306"/>
      <c r="H210" s="4306"/>
      <c r="I210" s="4306"/>
      <c r="J210" s="4306"/>
      <c r="K210" s="4306"/>
      <c r="L210" s="4306"/>
      <c r="M210" s="4295"/>
      <c r="N210" s="4295"/>
      <c r="O210" s="4319" t="s">
        <v>4847</v>
      </c>
      <c r="P210" s="4317"/>
      <c r="Q210" s="4295"/>
      <c r="R210" s="4317"/>
      <c r="S210" s="4317"/>
      <c r="T210" s="4317"/>
      <c r="U210" s="4317"/>
      <c r="V210" s="4317"/>
      <c r="W210" s="4317"/>
      <c r="X210" s="4317"/>
      <c r="Y210" s="4317"/>
      <c r="Z210" s="4317"/>
      <c r="AA210" s="4317"/>
      <c r="AB210" s="4317"/>
      <c r="AC210" s="4295"/>
      <c r="AD210" s="4295"/>
      <c r="AE210" s="4317"/>
      <c r="AF210" s="4319"/>
      <c r="AG210" s="4319"/>
      <c r="AH210" s="4317"/>
      <c r="AI210" s="4317"/>
      <c r="AJ210" s="4317"/>
      <c r="AK210" s="4317"/>
      <c r="AL210" s="4317"/>
      <c r="AM210" s="4317"/>
      <c r="AN210" s="4317"/>
      <c r="AO210" s="4317"/>
      <c r="AP210" s="4317"/>
      <c r="AQ210" s="4317"/>
      <c r="AR210" s="4317"/>
      <c r="AS210" s="4317"/>
      <c r="AT210" s="4317"/>
      <c r="AU210" s="4317"/>
      <c r="AV210" s="4317"/>
      <c r="AW210" s="4317"/>
      <c r="AX210" s="4317"/>
      <c r="AY210" s="4317"/>
      <c r="AZ210" s="4317"/>
      <c r="BA210" s="4317"/>
      <c r="BB210" s="4317"/>
      <c r="BC210" s="4317"/>
      <c r="BD210" s="4317"/>
      <c r="BE210" s="4317"/>
      <c r="BF210" s="4317"/>
      <c r="BG210" s="4317"/>
      <c r="BH210" s="4317"/>
      <c r="BI210" s="4317"/>
      <c r="BJ210" s="4317"/>
      <c r="BK210" s="4317"/>
      <c r="BL210" s="4317"/>
      <c r="BM210" s="4317"/>
      <c r="BN210" s="4317"/>
      <c r="BO210" s="4317"/>
      <c r="BP210" s="4317"/>
      <c r="BQ210" s="4317"/>
      <c r="BR210" s="4317"/>
      <c r="BS210" s="4317"/>
      <c r="BT210" s="4317"/>
      <c r="BU210" s="4317"/>
      <c r="BV210" s="4317"/>
      <c r="BW210" s="4317"/>
      <c r="BX210" s="4317"/>
      <c r="BY210" s="4317"/>
      <c r="BZ210" s="4317"/>
      <c r="CA210" s="4317"/>
      <c r="CB210" s="4317"/>
      <c r="CC210" s="4317"/>
      <c r="CD210" s="4317"/>
      <c r="CE210" s="4317"/>
      <c r="CF210" s="4317"/>
      <c r="CG210" s="4317"/>
      <c r="CH210" s="4317"/>
      <c r="CI210" s="4317"/>
      <c r="CJ210" s="4317"/>
      <c r="CK210" s="4317"/>
      <c r="CL210" s="4317"/>
      <c r="CM210" s="4317"/>
      <c r="CN210" s="4317"/>
      <c r="CO210" s="4317"/>
      <c r="CP210" s="4317"/>
      <c r="CQ210" s="4317"/>
      <c r="CR210" s="4317"/>
      <c r="CS210" s="4317"/>
      <c r="CT210" s="4317"/>
      <c r="CU210" s="4317"/>
      <c r="CV210" s="4317"/>
      <c r="CW210" s="4317"/>
      <c r="CX210" s="4317"/>
      <c r="CY210" s="4317"/>
      <c r="CZ210" s="4317"/>
      <c r="DA210" s="4317"/>
      <c r="DB210" s="4317"/>
      <c r="DC210" s="4317"/>
      <c r="DD210" s="4317"/>
      <c r="DE210" s="4317"/>
      <c r="DF210" s="4317"/>
      <c r="DG210" s="4317"/>
      <c r="DH210" s="4317"/>
      <c r="DI210" s="4317"/>
      <c r="DJ210" s="4317"/>
      <c r="DK210" s="4317"/>
      <c r="DL210" s="4317"/>
      <c r="DM210" s="4317"/>
      <c r="DN210" s="4317"/>
      <c r="DO210" s="4317"/>
      <c r="DP210" s="4317"/>
      <c r="DQ210" s="4317"/>
      <c r="DR210" s="4317"/>
      <c r="DS210" s="4317"/>
    </row>
    <row r="211" s="4134" customFormat="1" ht="16.5" customHeight="1" spans="1:123">
      <c r="A211" s="4304" t="s">
        <v>4848</v>
      </c>
      <c r="B211" s="4305"/>
      <c r="C211" s="4305"/>
      <c r="D211" s="4305"/>
      <c r="E211" s="4305"/>
      <c r="F211" s="4300"/>
      <c r="G211" s="4300"/>
      <c r="H211" s="4300"/>
      <c r="I211" s="4300"/>
      <c r="J211" s="4300"/>
      <c r="K211" s="4300"/>
      <c r="L211" s="4300"/>
      <c r="M211" s="4295"/>
      <c r="N211" s="4295"/>
      <c r="O211" s="4319" t="s">
        <v>4849</v>
      </c>
      <c r="P211" s="4317"/>
      <c r="Q211" s="4295"/>
      <c r="R211" s="4317"/>
      <c r="S211" s="4317"/>
      <c r="T211" s="4317"/>
      <c r="U211" s="4317"/>
      <c r="V211" s="4317"/>
      <c r="W211" s="4317"/>
      <c r="X211" s="4317"/>
      <c r="Y211" s="4317"/>
      <c r="Z211" s="4317"/>
      <c r="AA211" s="4317"/>
      <c r="AB211" s="4317"/>
      <c r="AC211" s="4295"/>
      <c r="AD211" s="4295"/>
      <c r="AE211" s="4317"/>
      <c r="AF211" s="4319"/>
      <c r="AG211" s="4319"/>
      <c r="AH211" s="4317"/>
      <c r="AI211" s="4317"/>
      <c r="AJ211" s="4317"/>
      <c r="AK211" s="4317"/>
      <c r="AL211" s="4317"/>
      <c r="AM211" s="4317"/>
      <c r="AN211" s="4317"/>
      <c r="AO211" s="4317"/>
      <c r="AP211" s="4317"/>
      <c r="AQ211" s="4317"/>
      <c r="AR211" s="4317"/>
      <c r="AS211" s="4317"/>
      <c r="AT211" s="4317"/>
      <c r="AU211" s="4317"/>
      <c r="AV211" s="4317"/>
      <c r="AW211" s="4317"/>
      <c r="AX211" s="4317"/>
      <c r="AY211" s="4317"/>
      <c r="AZ211" s="4317"/>
      <c r="BA211" s="4317"/>
      <c r="BB211" s="4317"/>
      <c r="BC211" s="4317"/>
      <c r="BD211" s="4317"/>
      <c r="BE211" s="4317"/>
      <c r="BF211" s="4317"/>
      <c r="BG211" s="4317"/>
      <c r="BH211" s="4317"/>
      <c r="BI211" s="4317"/>
      <c r="BJ211" s="4317"/>
      <c r="BK211" s="4317"/>
      <c r="BL211" s="4317"/>
      <c r="BM211" s="4317"/>
      <c r="BN211" s="4317"/>
      <c r="BO211" s="4317"/>
      <c r="BP211" s="4317"/>
      <c r="BQ211" s="4317"/>
      <c r="BR211" s="4317"/>
      <c r="BS211" s="4317"/>
      <c r="BT211" s="4317"/>
      <c r="BU211" s="4317"/>
      <c r="BV211" s="4317"/>
      <c r="BW211" s="4317"/>
      <c r="BX211" s="4317"/>
      <c r="BY211" s="4317"/>
      <c r="BZ211" s="4317"/>
      <c r="CA211" s="4317"/>
      <c r="CB211" s="4317"/>
      <c r="CC211" s="4317"/>
      <c r="CD211" s="4317"/>
      <c r="CE211" s="4317"/>
      <c r="CF211" s="4317"/>
      <c r="CG211" s="4317"/>
      <c r="CH211" s="4317"/>
      <c r="CI211" s="4317"/>
      <c r="CJ211" s="4317"/>
      <c r="CK211" s="4317"/>
      <c r="CL211" s="4317"/>
      <c r="CM211" s="4317"/>
      <c r="CN211" s="4317"/>
      <c r="CO211" s="4317"/>
      <c r="CP211" s="4317"/>
      <c r="CQ211" s="4317"/>
      <c r="CR211" s="4317"/>
      <c r="CS211" s="4317"/>
      <c r="CT211" s="4317"/>
      <c r="CU211" s="4317"/>
      <c r="CV211" s="4317"/>
      <c r="CW211" s="4317"/>
      <c r="CX211" s="4317"/>
      <c r="CY211" s="4317"/>
      <c r="CZ211" s="4317"/>
      <c r="DA211" s="4317"/>
      <c r="DB211" s="4317"/>
      <c r="DC211" s="4317"/>
      <c r="DD211" s="4317"/>
      <c r="DE211" s="4317"/>
      <c r="DF211" s="4317"/>
      <c r="DG211" s="4317"/>
      <c r="DH211" s="4317"/>
      <c r="DI211" s="4317"/>
      <c r="DJ211" s="4317"/>
      <c r="DK211" s="4317"/>
      <c r="DL211" s="4317"/>
      <c r="DM211" s="4317"/>
      <c r="DN211" s="4317"/>
      <c r="DO211" s="4317"/>
      <c r="DP211" s="4317"/>
      <c r="DQ211" s="4317"/>
      <c r="DR211" s="4317"/>
      <c r="DS211" s="4317"/>
    </row>
    <row r="212" s="4134" customFormat="1" ht="16.5" customHeight="1" spans="1:123">
      <c r="A212" s="4298" t="s">
        <v>4850</v>
      </c>
      <c r="B212" s="4299"/>
      <c r="C212" s="4299"/>
      <c r="D212" s="4299"/>
      <c r="E212" s="4299"/>
      <c r="F212" s="4300"/>
      <c r="G212" s="4300"/>
      <c r="H212" s="4300"/>
      <c r="I212" s="4300"/>
      <c r="J212" s="4300"/>
      <c r="K212" s="4300"/>
      <c r="L212" s="4300"/>
      <c r="M212" s="4295"/>
      <c r="N212" s="4295"/>
      <c r="O212" s="4319" t="s">
        <v>4851</v>
      </c>
      <c r="P212" s="4317"/>
      <c r="Q212" s="4295"/>
      <c r="R212" s="4317"/>
      <c r="S212" s="4317"/>
      <c r="T212" s="4317"/>
      <c r="U212" s="4317"/>
      <c r="V212" s="4317"/>
      <c r="W212" s="4317"/>
      <c r="X212" s="4317"/>
      <c r="Y212" s="4317"/>
      <c r="Z212" s="4317"/>
      <c r="AA212" s="4317"/>
      <c r="AB212" s="4317"/>
      <c r="AC212" s="4295"/>
      <c r="AD212" s="4295"/>
      <c r="AE212" s="4317"/>
      <c r="AF212" s="4319"/>
      <c r="AG212" s="4319"/>
      <c r="AH212" s="4317"/>
      <c r="AI212" s="4317"/>
      <c r="AJ212" s="4317"/>
      <c r="AK212" s="4317"/>
      <c r="AL212" s="4317"/>
      <c r="AM212" s="4317"/>
      <c r="AN212" s="4317"/>
      <c r="AO212" s="4317"/>
      <c r="AP212" s="4317"/>
      <c r="AQ212" s="4317"/>
      <c r="AR212" s="4317"/>
      <c r="AS212" s="4317"/>
      <c r="AT212" s="4317"/>
      <c r="AU212" s="4317"/>
      <c r="AV212" s="4317"/>
      <c r="AW212" s="4317"/>
      <c r="AX212" s="4317"/>
      <c r="AY212" s="4317"/>
      <c r="AZ212" s="4317"/>
      <c r="BA212" s="4317"/>
      <c r="BB212" s="4317"/>
      <c r="BC212" s="4317"/>
      <c r="BD212" s="4317"/>
      <c r="BE212" s="4317"/>
      <c r="BF212" s="4317"/>
      <c r="BG212" s="4317"/>
      <c r="BH212" s="4317"/>
      <c r="BI212" s="4317"/>
      <c r="BJ212" s="4317"/>
      <c r="BK212" s="4317"/>
      <c r="BL212" s="4317"/>
      <c r="BM212" s="4317"/>
      <c r="BN212" s="4317"/>
      <c r="BO212" s="4317"/>
      <c r="BP212" s="4317"/>
      <c r="BQ212" s="4317"/>
      <c r="BR212" s="4317"/>
      <c r="BS212" s="4317"/>
      <c r="BT212" s="4317"/>
      <c r="BU212" s="4317"/>
      <c r="BV212" s="4317"/>
      <c r="BW212" s="4317"/>
      <c r="BX212" s="4317"/>
      <c r="BY212" s="4317"/>
      <c r="BZ212" s="4317"/>
      <c r="CA212" s="4317"/>
      <c r="CB212" s="4317"/>
      <c r="CC212" s="4317"/>
      <c r="CD212" s="4317"/>
      <c r="CE212" s="4317"/>
      <c r="CF212" s="4317"/>
      <c r="CG212" s="4317"/>
      <c r="CH212" s="4317"/>
      <c r="CI212" s="4317"/>
      <c r="CJ212" s="4317"/>
      <c r="CK212" s="4317"/>
      <c r="CL212" s="4317"/>
      <c r="CM212" s="4317"/>
      <c r="CN212" s="4317"/>
      <c r="CO212" s="4317"/>
      <c r="CP212" s="4317"/>
      <c r="CQ212" s="4317"/>
      <c r="CR212" s="4317"/>
      <c r="CS212" s="4317"/>
      <c r="CT212" s="4317"/>
      <c r="CU212" s="4317"/>
      <c r="CV212" s="4317"/>
      <c r="CW212" s="4317"/>
      <c r="CX212" s="4317"/>
      <c r="CY212" s="4317"/>
      <c r="CZ212" s="4317"/>
      <c r="DA212" s="4317"/>
      <c r="DB212" s="4317"/>
      <c r="DC212" s="4317"/>
      <c r="DD212" s="4317"/>
      <c r="DE212" s="4317"/>
      <c r="DF212" s="4317"/>
      <c r="DG212" s="4317"/>
      <c r="DH212" s="4317"/>
      <c r="DI212" s="4317"/>
      <c r="DJ212" s="4317"/>
      <c r="DK212" s="4317"/>
      <c r="DL212" s="4317"/>
      <c r="DM212" s="4317"/>
      <c r="DN212" s="4317"/>
      <c r="DO212" s="4317"/>
      <c r="DP212" s="4317"/>
      <c r="DQ212" s="4317"/>
      <c r="DR212" s="4317"/>
      <c r="DS212" s="4317"/>
    </row>
    <row r="213" s="4134" customFormat="1" ht="16.5" customHeight="1" spans="1:123">
      <c r="A213" s="4298" t="s">
        <v>4852</v>
      </c>
      <c r="B213" s="4299"/>
      <c r="C213" s="4299"/>
      <c r="D213" s="4299"/>
      <c r="E213" s="4299"/>
      <c r="F213" s="4300"/>
      <c r="G213" s="4300"/>
      <c r="H213" s="4300"/>
      <c r="I213" s="4300"/>
      <c r="J213" s="4300"/>
      <c r="K213" s="4300"/>
      <c r="L213" s="4300"/>
      <c r="M213" s="4295"/>
      <c r="N213" s="4295"/>
      <c r="O213" s="4319" t="s">
        <v>4853</v>
      </c>
      <c r="P213" s="4317"/>
      <c r="Q213" s="4295"/>
      <c r="R213" s="4317"/>
      <c r="S213" s="4317"/>
      <c r="T213" s="4317"/>
      <c r="U213" s="4317"/>
      <c r="V213" s="4317"/>
      <c r="W213" s="4317"/>
      <c r="X213" s="4317"/>
      <c r="Y213" s="4317"/>
      <c r="Z213" s="4317"/>
      <c r="AA213" s="4317"/>
      <c r="AB213" s="4317"/>
      <c r="AC213" s="4295"/>
      <c r="AD213" s="4295"/>
      <c r="AE213" s="4317"/>
      <c r="AF213" s="4319"/>
      <c r="AG213" s="4319"/>
      <c r="AH213" s="4317"/>
      <c r="AI213" s="4317"/>
      <c r="AJ213" s="4317"/>
      <c r="AK213" s="4317"/>
      <c r="AL213" s="4317"/>
      <c r="AM213" s="4317"/>
      <c r="AN213" s="4317"/>
      <c r="AO213" s="4317"/>
      <c r="AP213" s="4317"/>
      <c r="AQ213" s="4317"/>
      <c r="AR213" s="4317"/>
      <c r="AS213" s="4317"/>
      <c r="AT213" s="4317"/>
      <c r="AU213" s="4317"/>
      <c r="AV213" s="4317"/>
      <c r="AW213" s="4317"/>
      <c r="AX213" s="4317"/>
      <c r="AY213" s="4317"/>
      <c r="AZ213" s="4317"/>
      <c r="BA213" s="4317"/>
      <c r="BB213" s="4317"/>
      <c r="BC213" s="4317"/>
      <c r="BD213" s="4317"/>
      <c r="BE213" s="4317"/>
      <c r="BF213" s="4317"/>
      <c r="BG213" s="4317"/>
      <c r="BH213" s="4317"/>
      <c r="BI213" s="4317"/>
      <c r="BJ213" s="4317"/>
      <c r="BK213" s="4317"/>
      <c r="BL213" s="4317"/>
      <c r="BM213" s="4317"/>
      <c r="BN213" s="4317"/>
      <c r="BO213" s="4317"/>
      <c r="BP213" s="4317"/>
      <c r="BQ213" s="4317"/>
      <c r="BR213" s="4317"/>
      <c r="BS213" s="4317"/>
      <c r="BT213" s="4317"/>
      <c r="BU213" s="4317"/>
      <c r="BV213" s="4317"/>
      <c r="BW213" s="4317"/>
      <c r="BX213" s="4317"/>
      <c r="BY213" s="4317"/>
      <c r="BZ213" s="4317"/>
      <c r="CA213" s="4317"/>
      <c r="CB213" s="4317"/>
      <c r="CC213" s="4317"/>
      <c r="CD213" s="4317"/>
      <c r="CE213" s="4317"/>
      <c r="CF213" s="4317"/>
      <c r="CG213" s="4317"/>
      <c r="CH213" s="4317"/>
      <c r="CI213" s="4317"/>
      <c r="CJ213" s="4317"/>
      <c r="CK213" s="4317"/>
      <c r="CL213" s="4317"/>
      <c r="CM213" s="4317"/>
      <c r="CN213" s="4317"/>
      <c r="CO213" s="4317"/>
      <c r="CP213" s="4317"/>
      <c r="CQ213" s="4317"/>
      <c r="CR213" s="4317"/>
      <c r="CS213" s="4317"/>
      <c r="CT213" s="4317"/>
      <c r="CU213" s="4317"/>
      <c r="CV213" s="4317"/>
      <c r="CW213" s="4317"/>
      <c r="CX213" s="4317"/>
      <c r="CY213" s="4317"/>
      <c r="CZ213" s="4317"/>
      <c r="DA213" s="4317"/>
      <c r="DB213" s="4317"/>
      <c r="DC213" s="4317"/>
      <c r="DD213" s="4317"/>
      <c r="DE213" s="4317"/>
      <c r="DF213" s="4317"/>
      <c r="DG213" s="4317"/>
      <c r="DH213" s="4317"/>
      <c r="DI213" s="4317"/>
      <c r="DJ213" s="4317"/>
      <c r="DK213" s="4317"/>
      <c r="DL213" s="4317"/>
      <c r="DM213" s="4317"/>
      <c r="DN213" s="4317"/>
      <c r="DO213" s="4317"/>
      <c r="DP213" s="4317"/>
      <c r="DQ213" s="4317"/>
      <c r="DR213" s="4317"/>
      <c r="DS213" s="4317"/>
    </row>
    <row r="214" s="4134" customFormat="1" ht="16.5" customHeight="1" spans="1:123">
      <c r="A214" s="4304" t="s">
        <v>4854</v>
      </c>
      <c r="B214" s="4305"/>
      <c r="C214" s="4305"/>
      <c r="D214" s="4305"/>
      <c r="E214" s="4305"/>
      <c r="F214" s="4330">
        <f>SUM(F212:L213)</f>
        <v>0</v>
      </c>
      <c r="G214" s="4330"/>
      <c r="H214" s="4330"/>
      <c r="I214" s="4330"/>
      <c r="J214" s="4330"/>
      <c r="K214" s="4330"/>
      <c r="L214" s="4330"/>
      <c r="M214" s="4295"/>
      <c r="N214" s="4295"/>
      <c r="O214" s="4319" t="s">
        <v>4855</v>
      </c>
      <c r="P214" s="4317"/>
      <c r="Q214" s="4295"/>
      <c r="R214" s="4317"/>
      <c r="S214" s="4317"/>
      <c r="T214" s="4317"/>
      <c r="U214" s="4317"/>
      <c r="V214" s="4317"/>
      <c r="W214" s="4317"/>
      <c r="X214" s="4317"/>
      <c r="Y214" s="4317"/>
      <c r="Z214" s="4317"/>
      <c r="AA214" s="4317"/>
      <c r="AB214" s="4317"/>
      <c r="AC214" s="4295"/>
      <c r="AD214" s="4295"/>
      <c r="AE214" s="4317"/>
      <c r="AF214" s="4319"/>
      <c r="AG214" s="4319"/>
      <c r="AH214" s="4317"/>
      <c r="AI214" s="4317"/>
      <c r="AJ214" s="4317"/>
      <c r="AK214" s="4317"/>
      <c r="AL214" s="4317"/>
      <c r="AM214" s="4317"/>
      <c r="AN214" s="4317"/>
      <c r="AO214" s="4317"/>
      <c r="AP214" s="4317"/>
      <c r="AQ214" s="4317"/>
      <c r="AR214" s="4317"/>
      <c r="AS214" s="4317"/>
      <c r="AT214" s="4317"/>
      <c r="AU214" s="4317"/>
      <c r="AV214" s="4317"/>
      <c r="AW214" s="4317"/>
      <c r="AX214" s="4317"/>
      <c r="AY214" s="4317"/>
      <c r="AZ214" s="4317"/>
      <c r="BA214" s="4317"/>
      <c r="BB214" s="4317"/>
      <c r="BC214" s="4317"/>
      <c r="BD214" s="4317"/>
      <c r="BE214" s="4317"/>
      <c r="BF214" s="4317"/>
      <c r="BG214" s="4317"/>
      <c r="BH214" s="4317"/>
      <c r="BI214" s="4317"/>
      <c r="BJ214" s="4317"/>
      <c r="BK214" s="4317"/>
      <c r="BL214" s="4317"/>
      <c r="BM214" s="4317"/>
      <c r="BN214" s="4317"/>
      <c r="BO214" s="4317"/>
      <c r="BP214" s="4317"/>
      <c r="BQ214" s="4317"/>
      <c r="BR214" s="4317"/>
      <c r="BS214" s="4317"/>
      <c r="BT214" s="4317"/>
      <c r="BU214" s="4317"/>
      <c r="BV214" s="4317"/>
      <c r="BW214" s="4317"/>
      <c r="BX214" s="4317"/>
      <c r="BY214" s="4317"/>
      <c r="BZ214" s="4317"/>
      <c r="CA214" s="4317"/>
      <c r="CB214" s="4317"/>
      <c r="CC214" s="4317"/>
      <c r="CD214" s="4317"/>
      <c r="CE214" s="4317"/>
      <c r="CF214" s="4317"/>
      <c r="CG214" s="4317"/>
      <c r="CH214" s="4317"/>
      <c r="CI214" s="4317"/>
      <c r="CJ214" s="4317"/>
      <c r="CK214" s="4317"/>
      <c r="CL214" s="4317"/>
      <c r="CM214" s="4317"/>
      <c r="CN214" s="4317"/>
      <c r="CO214" s="4317"/>
      <c r="CP214" s="4317"/>
      <c r="CQ214" s="4317"/>
      <c r="CR214" s="4317"/>
      <c r="CS214" s="4317"/>
      <c r="CT214" s="4317"/>
      <c r="CU214" s="4317"/>
      <c r="CV214" s="4317"/>
      <c r="CW214" s="4317"/>
      <c r="CX214" s="4317"/>
      <c r="CY214" s="4317"/>
      <c r="CZ214" s="4317"/>
      <c r="DA214" s="4317"/>
      <c r="DB214" s="4317"/>
      <c r="DC214" s="4317"/>
      <c r="DD214" s="4317"/>
      <c r="DE214" s="4317"/>
      <c r="DF214" s="4317"/>
      <c r="DG214" s="4317"/>
      <c r="DH214" s="4317"/>
      <c r="DI214" s="4317"/>
      <c r="DJ214" s="4317"/>
      <c r="DK214" s="4317"/>
      <c r="DL214" s="4317"/>
      <c r="DM214" s="4317"/>
      <c r="DN214" s="4317"/>
      <c r="DO214" s="4317"/>
      <c r="DP214" s="4317"/>
      <c r="DQ214" s="4317"/>
      <c r="DR214" s="4317"/>
      <c r="DS214" s="4317"/>
    </row>
    <row r="215" s="4134" customFormat="1" ht="16.5" customHeight="1" spans="1:123">
      <c r="A215" s="4298" t="s">
        <v>4856</v>
      </c>
      <c r="B215" s="4299"/>
      <c r="C215" s="4299"/>
      <c r="D215" s="4299"/>
      <c r="E215" s="4299"/>
      <c r="F215" s="4300"/>
      <c r="G215" s="4300"/>
      <c r="H215" s="4300"/>
      <c r="I215" s="4300"/>
      <c r="J215" s="4300"/>
      <c r="K215" s="4300"/>
      <c r="L215" s="4300"/>
      <c r="M215" s="4295"/>
      <c r="N215" s="4295"/>
      <c r="O215" s="4319" t="s">
        <v>4857</v>
      </c>
      <c r="P215" s="4317"/>
      <c r="Q215" s="4295"/>
      <c r="R215" s="4317"/>
      <c r="S215" s="4317"/>
      <c r="T215" s="4317"/>
      <c r="U215" s="4317"/>
      <c r="V215" s="4317"/>
      <c r="W215" s="4317"/>
      <c r="X215" s="4317"/>
      <c r="Y215" s="4317"/>
      <c r="Z215" s="4317"/>
      <c r="AA215" s="4317"/>
      <c r="AB215" s="4317"/>
      <c r="AC215" s="4295"/>
      <c r="AD215" s="4295"/>
      <c r="AE215" s="4317"/>
      <c r="AF215" s="4319"/>
      <c r="AG215" s="4319"/>
      <c r="AH215" s="4317"/>
      <c r="AI215" s="4317"/>
      <c r="AJ215" s="4317"/>
      <c r="AK215" s="4317"/>
      <c r="AL215" s="4317"/>
      <c r="AM215" s="4317"/>
      <c r="AN215" s="4317"/>
      <c r="AO215" s="4317"/>
      <c r="AP215" s="4317"/>
      <c r="AQ215" s="4317"/>
      <c r="AR215" s="4317"/>
      <c r="AS215" s="4317"/>
      <c r="AT215" s="4317"/>
      <c r="AU215" s="4317"/>
      <c r="AV215" s="4317"/>
      <c r="AW215" s="4317"/>
      <c r="AX215" s="4317"/>
      <c r="AY215" s="4317"/>
      <c r="AZ215" s="4317"/>
      <c r="BA215" s="4317"/>
      <c r="BB215" s="4317"/>
      <c r="BC215" s="4317"/>
      <c r="BD215" s="4317"/>
      <c r="BE215" s="4317"/>
      <c r="BF215" s="4317"/>
      <c r="BG215" s="4317"/>
      <c r="BH215" s="4317"/>
      <c r="BI215" s="4317"/>
      <c r="BJ215" s="4317"/>
      <c r="BK215" s="4317"/>
      <c r="BL215" s="4317"/>
      <c r="BM215" s="4317"/>
      <c r="BN215" s="4317"/>
      <c r="BO215" s="4317"/>
      <c r="BP215" s="4317"/>
      <c r="BQ215" s="4317"/>
      <c r="BR215" s="4317"/>
      <c r="BS215" s="4317"/>
      <c r="BT215" s="4317"/>
      <c r="BU215" s="4317"/>
      <c r="BV215" s="4317"/>
      <c r="BW215" s="4317"/>
      <c r="BX215" s="4317"/>
      <c r="BY215" s="4317"/>
      <c r="BZ215" s="4317"/>
      <c r="CA215" s="4317"/>
      <c r="CB215" s="4317"/>
      <c r="CC215" s="4317"/>
      <c r="CD215" s="4317"/>
      <c r="CE215" s="4317"/>
      <c r="CF215" s="4317"/>
      <c r="CG215" s="4317"/>
      <c r="CH215" s="4317"/>
      <c r="CI215" s="4317"/>
      <c r="CJ215" s="4317"/>
      <c r="CK215" s="4317"/>
      <c r="CL215" s="4317"/>
      <c r="CM215" s="4317"/>
      <c r="CN215" s="4317"/>
      <c r="CO215" s="4317"/>
      <c r="CP215" s="4317"/>
      <c r="CQ215" s="4317"/>
      <c r="CR215" s="4317"/>
      <c r="CS215" s="4317"/>
      <c r="CT215" s="4317"/>
      <c r="CU215" s="4317"/>
      <c r="CV215" s="4317"/>
      <c r="CW215" s="4317"/>
      <c r="CX215" s="4317"/>
      <c r="CY215" s="4317"/>
      <c r="CZ215" s="4317"/>
      <c r="DA215" s="4317"/>
      <c r="DB215" s="4317"/>
      <c r="DC215" s="4317"/>
      <c r="DD215" s="4317"/>
      <c r="DE215" s="4317"/>
      <c r="DF215" s="4317"/>
      <c r="DG215" s="4317"/>
      <c r="DH215" s="4317"/>
      <c r="DI215" s="4317"/>
      <c r="DJ215" s="4317"/>
      <c r="DK215" s="4317"/>
      <c r="DL215" s="4317"/>
      <c r="DM215" s="4317"/>
      <c r="DN215" s="4317"/>
      <c r="DO215" s="4317"/>
      <c r="DP215" s="4317"/>
      <c r="DQ215" s="4317"/>
      <c r="DR215" s="4317"/>
      <c r="DS215" s="4317"/>
    </row>
    <row r="216" s="4134" customFormat="1" ht="16.5" customHeight="1" spans="1:123">
      <c r="A216" s="4298" t="s">
        <v>4858</v>
      </c>
      <c r="B216" s="4299"/>
      <c r="C216" s="4299"/>
      <c r="D216" s="4299"/>
      <c r="E216" s="4299"/>
      <c r="F216" s="4300"/>
      <c r="G216" s="4300"/>
      <c r="H216" s="4300"/>
      <c r="I216" s="4300"/>
      <c r="J216" s="4300"/>
      <c r="K216" s="4300"/>
      <c r="L216" s="4300"/>
      <c r="M216" s="4295"/>
      <c r="N216" s="4295"/>
      <c r="O216" s="4319" t="s">
        <v>4859</v>
      </c>
      <c r="P216" s="4317"/>
      <c r="Q216" s="4295"/>
      <c r="R216" s="4317"/>
      <c r="S216" s="4317"/>
      <c r="T216" s="4317"/>
      <c r="U216" s="4317"/>
      <c r="V216" s="4317"/>
      <c r="W216" s="4317"/>
      <c r="X216" s="4317"/>
      <c r="Y216" s="4317"/>
      <c r="Z216" s="4317"/>
      <c r="AA216" s="4317"/>
      <c r="AB216" s="4317"/>
      <c r="AC216" s="4295"/>
      <c r="AD216" s="4295"/>
      <c r="AE216" s="4317"/>
      <c r="AF216" s="4319"/>
      <c r="AG216" s="4319"/>
      <c r="AH216" s="4317"/>
      <c r="AI216" s="4317"/>
      <c r="AJ216" s="4317"/>
      <c r="AK216" s="4317"/>
      <c r="AL216" s="4317"/>
      <c r="AM216" s="4317"/>
      <c r="AN216" s="4317"/>
      <c r="AO216" s="4317"/>
      <c r="AP216" s="4317"/>
      <c r="AQ216" s="4317"/>
      <c r="AR216" s="4317"/>
      <c r="AS216" s="4317"/>
      <c r="AT216" s="4317"/>
      <c r="AU216" s="4317"/>
      <c r="AV216" s="4317"/>
      <c r="AW216" s="4317"/>
      <c r="AX216" s="4317"/>
      <c r="AY216" s="4317"/>
      <c r="AZ216" s="4317"/>
      <c r="BA216" s="4317"/>
      <c r="BB216" s="4317"/>
      <c r="BC216" s="4317"/>
      <c r="BD216" s="4317"/>
      <c r="BE216" s="4317"/>
      <c r="BF216" s="4317"/>
      <c r="BG216" s="4317"/>
      <c r="BH216" s="4317"/>
      <c r="BI216" s="4317"/>
      <c r="BJ216" s="4317"/>
      <c r="BK216" s="4317"/>
      <c r="BL216" s="4317"/>
      <c r="BM216" s="4317"/>
      <c r="BN216" s="4317"/>
      <c r="BO216" s="4317"/>
      <c r="BP216" s="4317"/>
      <c r="BQ216" s="4317"/>
      <c r="BR216" s="4317"/>
      <c r="BS216" s="4317"/>
      <c r="BT216" s="4317"/>
      <c r="BU216" s="4317"/>
      <c r="BV216" s="4317"/>
      <c r="BW216" s="4317"/>
      <c r="BX216" s="4317"/>
      <c r="BY216" s="4317"/>
      <c r="BZ216" s="4317"/>
      <c r="CA216" s="4317"/>
      <c r="CB216" s="4317"/>
      <c r="CC216" s="4317"/>
      <c r="CD216" s="4317"/>
      <c r="CE216" s="4317"/>
      <c r="CF216" s="4317"/>
      <c r="CG216" s="4317"/>
      <c r="CH216" s="4317"/>
      <c r="CI216" s="4317"/>
      <c r="CJ216" s="4317"/>
      <c r="CK216" s="4317"/>
      <c r="CL216" s="4317"/>
      <c r="CM216" s="4317"/>
      <c r="CN216" s="4317"/>
      <c r="CO216" s="4317"/>
      <c r="CP216" s="4317"/>
      <c r="CQ216" s="4317"/>
      <c r="CR216" s="4317"/>
      <c r="CS216" s="4317"/>
      <c r="CT216" s="4317"/>
      <c r="CU216" s="4317"/>
      <c r="CV216" s="4317"/>
      <c r="CW216" s="4317"/>
      <c r="CX216" s="4317"/>
      <c r="CY216" s="4317"/>
      <c r="CZ216" s="4317"/>
      <c r="DA216" s="4317"/>
      <c r="DB216" s="4317"/>
      <c r="DC216" s="4317"/>
      <c r="DD216" s="4317"/>
      <c r="DE216" s="4317"/>
      <c r="DF216" s="4317"/>
      <c r="DG216" s="4317"/>
      <c r="DH216" s="4317"/>
      <c r="DI216" s="4317"/>
      <c r="DJ216" s="4317"/>
      <c r="DK216" s="4317"/>
      <c r="DL216" s="4317"/>
      <c r="DM216" s="4317"/>
      <c r="DN216" s="4317"/>
      <c r="DO216" s="4317"/>
      <c r="DP216" s="4317"/>
      <c r="DQ216" s="4317"/>
      <c r="DR216" s="4317"/>
      <c r="DS216" s="4317"/>
    </row>
    <row r="217" s="4134" customFormat="1" ht="16.5" customHeight="1" spans="1:123">
      <c r="A217" s="4304" t="s">
        <v>4860</v>
      </c>
      <c r="B217" s="4305"/>
      <c r="C217" s="4305"/>
      <c r="D217" s="4305"/>
      <c r="E217" s="4305"/>
      <c r="F217" s="4306">
        <f>SUM(F215:L216)</f>
        <v>0</v>
      </c>
      <c r="G217" s="4306"/>
      <c r="H217" s="4306"/>
      <c r="I217" s="4306"/>
      <c r="J217" s="4306"/>
      <c r="K217" s="4306"/>
      <c r="L217" s="4306"/>
      <c r="M217" s="4295"/>
      <c r="N217" s="4295"/>
      <c r="O217" s="4319" t="s">
        <v>4861</v>
      </c>
      <c r="P217" s="4317"/>
      <c r="Q217" s="4295"/>
      <c r="R217" s="4317"/>
      <c r="S217" s="4317"/>
      <c r="T217" s="4317"/>
      <c r="U217" s="4317"/>
      <c r="V217" s="4317"/>
      <c r="W217" s="4317"/>
      <c r="X217" s="4317"/>
      <c r="Y217" s="4317"/>
      <c r="Z217" s="4317"/>
      <c r="AA217" s="4317"/>
      <c r="AB217" s="4317"/>
      <c r="AC217" s="4295"/>
      <c r="AD217" s="4295"/>
      <c r="AE217" s="4317"/>
      <c r="AF217" s="4319"/>
      <c r="AG217" s="4319"/>
      <c r="AH217" s="4317"/>
      <c r="AI217" s="4317"/>
      <c r="AJ217" s="4317"/>
      <c r="AK217" s="4317"/>
      <c r="AL217" s="4317"/>
      <c r="AM217" s="4317"/>
      <c r="AN217" s="4317"/>
      <c r="AO217" s="4317"/>
      <c r="AP217" s="4317"/>
      <c r="AQ217" s="4317"/>
      <c r="AR217" s="4317"/>
      <c r="AS217" s="4317"/>
      <c r="AT217" s="4317"/>
      <c r="AU217" s="4317"/>
      <c r="AV217" s="4317"/>
      <c r="AW217" s="4317"/>
      <c r="AX217" s="4317"/>
      <c r="AY217" s="4317"/>
      <c r="AZ217" s="4317"/>
      <c r="BA217" s="4317"/>
      <c r="BB217" s="4317"/>
      <c r="BC217" s="4317"/>
      <c r="BD217" s="4317"/>
      <c r="BE217" s="4317"/>
      <c r="BF217" s="4317"/>
      <c r="BG217" s="4317"/>
      <c r="BH217" s="4317"/>
      <c r="BI217" s="4317"/>
      <c r="BJ217" s="4317"/>
      <c r="BK217" s="4317"/>
      <c r="BL217" s="4317"/>
      <c r="BM217" s="4317"/>
      <c r="BN217" s="4317"/>
      <c r="BO217" s="4317"/>
      <c r="BP217" s="4317"/>
      <c r="BQ217" s="4317"/>
      <c r="BR217" s="4317"/>
      <c r="BS217" s="4317"/>
      <c r="BT217" s="4317"/>
      <c r="BU217" s="4317"/>
      <c r="BV217" s="4317"/>
      <c r="BW217" s="4317"/>
      <c r="BX217" s="4317"/>
      <c r="BY217" s="4317"/>
      <c r="BZ217" s="4317"/>
      <c r="CA217" s="4317"/>
      <c r="CB217" s="4317"/>
      <c r="CC217" s="4317"/>
      <c r="CD217" s="4317"/>
      <c r="CE217" s="4317"/>
      <c r="CF217" s="4317"/>
      <c r="CG217" s="4317"/>
      <c r="CH217" s="4317"/>
      <c r="CI217" s="4317"/>
      <c r="CJ217" s="4317"/>
      <c r="CK217" s="4317"/>
      <c r="CL217" s="4317"/>
      <c r="CM217" s="4317"/>
      <c r="CN217" s="4317"/>
      <c r="CO217" s="4317"/>
      <c r="CP217" s="4317"/>
      <c r="CQ217" s="4317"/>
      <c r="CR217" s="4317"/>
      <c r="CS217" s="4317"/>
      <c r="CT217" s="4317"/>
      <c r="CU217" s="4317"/>
      <c r="CV217" s="4317"/>
      <c r="CW217" s="4317"/>
      <c r="CX217" s="4317"/>
      <c r="CY217" s="4317"/>
      <c r="CZ217" s="4317"/>
      <c r="DA217" s="4317"/>
      <c r="DB217" s="4317"/>
      <c r="DC217" s="4317"/>
      <c r="DD217" s="4317"/>
      <c r="DE217" s="4317"/>
      <c r="DF217" s="4317"/>
      <c r="DG217" s="4317"/>
      <c r="DH217" s="4317"/>
      <c r="DI217" s="4317"/>
      <c r="DJ217" s="4317"/>
      <c r="DK217" s="4317"/>
      <c r="DL217" s="4317"/>
      <c r="DM217" s="4317"/>
      <c r="DN217" s="4317"/>
      <c r="DO217" s="4317"/>
      <c r="DP217" s="4317"/>
      <c r="DQ217" s="4317"/>
      <c r="DR217" s="4317"/>
      <c r="DS217" s="4317"/>
    </row>
    <row r="218" s="4134" customFormat="1" ht="16.5" customHeight="1" spans="1:123">
      <c r="A218" s="4312" t="s">
        <v>4862</v>
      </c>
      <c r="B218" s="4313"/>
      <c r="C218" s="4313"/>
      <c r="D218" s="4313"/>
      <c r="E218" s="4313"/>
      <c r="F218" s="4314">
        <f>F194+F197+F198+F199+F205+F206+F210+F211+F214+F217</f>
        <v>0</v>
      </c>
      <c r="G218" s="4314"/>
      <c r="H218" s="4314"/>
      <c r="I218" s="4314"/>
      <c r="J218" s="4314"/>
      <c r="K218" s="4314"/>
      <c r="L218" s="4314"/>
      <c r="M218" s="4295"/>
      <c r="N218" s="4295"/>
      <c r="O218" s="4323" t="s">
        <v>4863</v>
      </c>
      <c r="P218" s="4317"/>
      <c r="Q218" s="4295"/>
      <c r="R218" s="4317"/>
      <c r="S218" s="4317"/>
      <c r="T218" s="4317"/>
      <c r="U218" s="4317"/>
      <c r="V218" s="4317"/>
      <c r="W218" s="4317"/>
      <c r="X218" s="4317"/>
      <c r="Y218" s="4317"/>
      <c r="Z218" s="4317"/>
      <c r="AA218" s="4317"/>
      <c r="AB218" s="4317"/>
      <c r="AC218" s="4295"/>
      <c r="AD218" s="4295"/>
      <c r="AE218" s="4317"/>
      <c r="AF218" s="4319"/>
      <c r="AG218" s="4319"/>
      <c r="AH218" s="4317"/>
      <c r="AI218" s="4317"/>
      <c r="AJ218" s="4317"/>
      <c r="AK218" s="4317"/>
      <c r="AL218" s="4317"/>
      <c r="AM218" s="4317"/>
      <c r="AN218" s="4317"/>
      <c r="AO218" s="4317"/>
      <c r="AP218" s="4317"/>
      <c r="AQ218" s="4317"/>
      <c r="AR218" s="4317"/>
      <c r="AS218" s="4317"/>
      <c r="AT218" s="4317"/>
      <c r="AU218" s="4317"/>
      <c r="AV218" s="4317"/>
      <c r="AW218" s="4317"/>
      <c r="AX218" s="4317"/>
      <c r="AY218" s="4317"/>
      <c r="AZ218" s="4317"/>
      <c r="BA218" s="4317"/>
      <c r="BB218" s="4317"/>
      <c r="BC218" s="4317"/>
      <c r="BD218" s="4317"/>
      <c r="BE218" s="4317"/>
      <c r="BF218" s="4317"/>
      <c r="BG218" s="4317"/>
      <c r="BH218" s="4317"/>
      <c r="BI218" s="4317"/>
      <c r="BJ218" s="4317"/>
      <c r="BK218" s="4317"/>
      <c r="BL218" s="4317"/>
      <c r="BM218" s="4317"/>
      <c r="BN218" s="4317"/>
      <c r="BO218" s="4317"/>
      <c r="BP218" s="4317"/>
      <c r="BQ218" s="4317"/>
      <c r="BR218" s="4317"/>
      <c r="BS218" s="4317"/>
      <c r="BT218" s="4317"/>
      <c r="BU218" s="4317"/>
      <c r="BV218" s="4317"/>
      <c r="BW218" s="4317"/>
      <c r="BX218" s="4317"/>
      <c r="BY218" s="4317"/>
      <c r="BZ218" s="4317"/>
      <c r="CA218" s="4317"/>
      <c r="CB218" s="4317"/>
      <c r="CC218" s="4317"/>
      <c r="CD218" s="4317"/>
      <c r="CE218" s="4317"/>
      <c r="CF218" s="4317"/>
      <c r="CG218" s="4317"/>
      <c r="CH218" s="4317"/>
      <c r="CI218" s="4317"/>
      <c r="CJ218" s="4317"/>
      <c r="CK218" s="4317"/>
      <c r="CL218" s="4317"/>
      <c r="CM218" s="4317"/>
      <c r="CN218" s="4317"/>
      <c r="CO218" s="4317"/>
      <c r="CP218" s="4317"/>
      <c r="CQ218" s="4317"/>
      <c r="CR218" s="4317"/>
      <c r="CS218" s="4317"/>
      <c r="CT218" s="4317"/>
      <c r="CU218" s="4317"/>
      <c r="CV218" s="4317"/>
      <c r="CW218" s="4317"/>
      <c r="CX218" s="4317"/>
      <c r="CY218" s="4317"/>
      <c r="CZ218" s="4317"/>
      <c r="DA218" s="4317"/>
      <c r="DB218" s="4317"/>
      <c r="DC218" s="4317"/>
      <c r="DD218" s="4317"/>
      <c r="DE218" s="4317"/>
      <c r="DF218" s="4317"/>
      <c r="DG218" s="4317"/>
      <c r="DH218" s="4317"/>
      <c r="DI218" s="4317"/>
      <c r="DJ218" s="4317"/>
      <c r="DK218" s="4317"/>
      <c r="DL218" s="4317"/>
      <c r="DM218" s="4317"/>
      <c r="DN218" s="4317"/>
      <c r="DO218" s="4317"/>
      <c r="DP218" s="4317"/>
      <c r="DQ218" s="4317"/>
      <c r="DR218" s="4317"/>
      <c r="DS218" s="4317"/>
    </row>
    <row r="219" s="4134" customFormat="1" ht="16.5" customHeight="1" spans="1:123">
      <c r="A219" s="4304" t="s">
        <v>4864</v>
      </c>
      <c r="B219" s="4305"/>
      <c r="C219" s="4305"/>
      <c r="D219" s="4305"/>
      <c r="E219" s="4305"/>
      <c r="F219" s="4300"/>
      <c r="G219" s="4300"/>
      <c r="H219" s="4300"/>
      <c r="I219" s="4300"/>
      <c r="J219" s="4300"/>
      <c r="K219" s="4300"/>
      <c r="L219" s="4300"/>
      <c r="M219" s="4295"/>
      <c r="N219" s="4295"/>
      <c r="O219" s="4319" t="s">
        <v>4865</v>
      </c>
      <c r="P219" s="4317"/>
      <c r="Q219" s="4295"/>
      <c r="R219" s="4317"/>
      <c r="S219" s="4317"/>
      <c r="T219" s="4317"/>
      <c r="U219" s="4317"/>
      <c r="V219" s="4317"/>
      <c r="W219" s="4317"/>
      <c r="X219" s="4317"/>
      <c r="Y219" s="4317"/>
      <c r="Z219" s="4317"/>
      <c r="AA219" s="4317"/>
      <c r="AB219" s="4317"/>
      <c r="AC219" s="4295"/>
      <c r="AD219" s="4295"/>
      <c r="AE219" s="4317"/>
      <c r="AF219" s="4319"/>
      <c r="AG219" s="4319"/>
      <c r="AH219" s="4317"/>
      <c r="AI219" s="4317"/>
      <c r="AJ219" s="4317"/>
      <c r="AK219" s="4317"/>
      <c r="AL219" s="4317"/>
      <c r="AM219" s="4317"/>
      <c r="AN219" s="4317"/>
      <c r="AO219" s="4317"/>
      <c r="AP219" s="4317"/>
      <c r="AQ219" s="4317"/>
      <c r="AR219" s="4317"/>
      <c r="AS219" s="4317"/>
      <c r="AT219" s="4317"/>
      <c r="AU219" s="4317"/>
      <c r="AV219" s="4317"/>
      <c r="AW219" s="4317"/>
      <c r="AX219" s="4317"/>
      <c r="AY219" s="4317"/>
      <c r="AZ219" s="4317"/>
      <c r="BA219" s="4317"/>
      <c r="BB219" s="4317"/>
      <c r="BC219" s="4317"/>
      <c r="BD219" s="4317"/>
      <c r="BE219" s="4317"/>
      <c r="BF219" s="4317"/>
      <c r="BG219" s="4317"/>
      <c r="BH219" s="4317"/>
      <c r="BI219" s="4317"/>
      <c r="BJ219" s="4317"/>
      <c r="BK219" s="4317"/>
      <c r="BL219" s="4317"/>
      <c r="BM219" s="4317"/>
      <c r="BN219" s="4317"/>
      <c r="BO219" s="4317"/>
      <c r="BP219" s="4317"/>
      <c r="BQ219" s="4317"/>
      <c r="BR219" s="4317"/>
      <c r="BS219" s="4317"/>
      <c r="BT219" s="4317"/>
      <c r="BU219" s="4317"/>
      <c r="BV219" s="4317"/>
      <c r="BW219" s="4317"/>
      <c r="BX219" s="4317"/>
      <c r="BY219" s="4317"/>
      <c r="BZ219" s="4317"/>
      <c r="CA219" s="4317"/>
      <c r="CB219" s="4317"/>
      <c r="CC219" s="4317"/>
      <c r="CD219" s="4317"/>
      <c r="CE219" s="4317"/>
      <c r="CF219" s="4317"/>
      <c r="CG219" s="4317"/>
      <c r="CH219" s="4317"/>
      <c r="CI219" s="4317"/>
      <c r="CJ219" s="4317"/>
      <c r="CK219" s="4317"/>
      <c r="CL219" s="4317"/>
      <c r="CM219" s="4317"/>
      <c r="CN219" s="4317"/>
      <c r="CO219" s="4317"/>
      <c r="CP219" s="4317"/>
      <c r="CQ219" s="4317"/>
      <c r="CR219" s="4317"/>
      <c r="CS219" s="4317"/>
      <c r="CT219" s="4317"/>
      <c r="CU219" s="4317"/>
      <c r="CV219" s="4317"/>
      <c r="CW219" s="4317"/>
      <c r="CX219" s="4317"/>
      <c r="CY219" s="4317"/>
      <c r="CZ219" s="4317"/>
      <c r="DA219" s="4317"/>
      <c r="DB219" s="4317"/>
      <c r="DC219" s="4317"/>
      <c r="DD219" s="4317"/>
      <c r="DE219" s="4317"/>
      <c r="DF219" s="4317"/>
      <c r="DG219" s="4317"/>
      <c r="DH219" s="4317"/>
      <c r="DI219" s="4317"/>
      <c r="DJ219" s="4317"/>
      <c r="DK219" s="4317"/>
      <c r="DL219" s="4317"/>
      <c r="DM219" s="4317"/>
      <c r="DN219" s="4317"/>
      <c r="DO219" s="4317"/>
      <c r="DP219" s="4317"/>
      <c r="DQ219" s="4317"/>
      <c r="DR219" s="4317"/>
      <c r="DS219" s="4317"/>
    </row>
    <row r="220" s="4134" customFormat="1" ht="16.5" customHeight="1" spans="1:123">
      <c r="A220" s="4304" t="s">
        <v>4866</v>
      </c>
      <c r="B220" s="4305"/>
      <c r="C220" s="4305"/>
      <c r="D220" s="4305"/>
      <c r="E220" s="4305"/>
      <c r="F220" s="4300">
        <v>746</v>
      </c>
      <c r="G220" s="4300"/>
      <c r="H220" s="4300"/>
      <c r="I220" s="4300"/>
      <c r="J220" s="4300"/>
      <c r="K220" s="4300"/>
      <c r="L220" s="4300"/>
      <c r="M220" s="4295"/>
      <c r="N220" s="4295"/>
      <c r="O220" s="4319" t="s">
        <v>4867</v>
      </c>
      <c r="P220" s="4317"/>
      <c r="Q220" s="4295"/>
      <c r="R220" s="4317"/>
      <c r="S220" s="4317"/>
      <c r="T220" s="4317"/>
      <c r="U220" s="4317"/>
      <c r="V220" s="4317"/>
      <c r="W220" s="4317"/>
      <c r="X220" s="4317"/>
      <c r="Y220" s="4317"/>
      <c r="Z220" s="4317"/>
      <c r="AA220" s="4317"/>
      <c r="AB220" s="4317"/>
      <c r="AC220" s="4295"/>
      <c r="AD220" s="4295"/>
      <c r="AE220" s="4317"/>
      <c r="AF220" s="4319"/>
      <c r="AG220" s="4319"/>
      <c r="AH220" s="4317"/>
      <c r="AI220" s="4317"/>
      <c r="AJ220" s="4317"/>
      <c r="AK220" s="4317"/>
      <c r="AL220" s="4317"/>
      <c r="AM220" s="4317"/>
      <c r="AN220" s="4317"/>
      <c r="AO220" s="4317"/>
      <c r="AP220" s="4317"/>
      <c r="AQ220" s="4317"/>
      <c r="AR220" s="4317"/>
      <c r="AS220" s="4317"/>
      <c r="AT220" s="4317"/>
      <c r="AU220" s="4317"/>
      <c r="AV220" s="4317"/>
      <c r="AW220" s="4317"/>
      <c r="AX220" s="4317"/>
      <c r="AY220" s="4317"/>
      <c r="AZ220" s="4317"/>
      <c r="BA220" s="4317"/>
      <c r="BB220" s="4317"/>
      <c r="BC220" s="4317"/>
      <c r="BD220" s="4317"/>
      <c r="BE220" s="4317"/>
      <c r="BF220" s="4317"/>
      <c r="BG220" s="4317"/>
      <c r="BH220" s="4317"/>
      <c r="BI220" s="4317"/>
      <c r="BJ220" s="4317"/>
      <c r="BK220" s="4317"/>
      <c r="BL220" s="4317"/>
      <c r="BM220" s="4317"/>
      <c r="BN220" s="4317"/>
      <c r="BO220" s="4317"/>
      <c r="BP220" s="4317"/>
      <c r="BQ220" s="4317"/>
      <c r="BR220" s="4317"/>
      <c r="BS220" s="4317"/>
      <c r="BT220" s="4317"/>
      <c r="BU220" s="4317"/>
      <c r="BV220" s="4317"/>
      <c r="BW220" s="4317"/>
      <c r="BX220" s="4317"/>
      <c r="BY220" s="4317"/>
      <c r="BZ220" s="4317"/>
      <c r="CA220" s="4317"/>
      <c r="CB220" s="4317"/>
      <c r="CC220" s="4317"/>
      <c r="CD220" s="4317"/>
      <c r="CE220" s="4317"/>
      <c r="CF220" s="4317"/>
      <c r="CG220" s="4317"/>
      <c r="CH220" s="4317"/>
      <c r="CI220" s="4317"/>
      <c r="CJ220" s="4317"/>
      <c r="CK220" s="4317"/>
      <c r="CL220" s="4317"/>
      <c r="CM220" s="4317"/>
      <c r="CN220" s="4317"/>
      <c r="CO220" s="4317"/>
      <c r="CP220" s="4317"/>
      <c r="CQ220" s="4317"/>
      <c r="CR220" s="4317"/>
      <c r="CS220" s="4317"/>
      <c r="CT220" s="4317"/>
      <c r="CU220" s="4317"/>
      <c r="CV220" s="4317"/>
      <c r="CW220" s="4317"/>
      <c r="CX220" s="4317"/>
      <c r="CY220" s="4317"/>
      <c r="CZ220" s="4317"/>
      <c r="DA220" s="4317"/>
      <c r="DB220" s="4317"/>
      <c r="DC220" s="4317"/>
      <c r="DD220" s="4317"/>
      <c r="DE220" s="4317"/>
      <c r="DF220" s="4317"/>
      <c r="DG220" s="4317"/>
      <c r="DH220" s="4317"/>
      <c r="DI220" s="4317"/>
      <c r="DJ220" s="4317"/>
      <c r="DK220" s="4317"/>
      <c r="DL220" s="4317"/>
      <c r="DM220" s="4317"/>
      <c r="DN220" s="4317"/>
      <c r="DO220" s="4317"/>
      <c r="DP220" s="4317"/>
      <c r="DQ220" s="4317"/>
      <c r="DR220" s="4317"/>
      <c r="DS220" s="4317"/>
    </row>
    <row r="221" s="4134" customFormat="1" ht="16.5" customHeight="1" spans="1:123">
      <c r="A221" s="4304" t="s">
        <v>4868</v>
      </c>
      <c r="B221" s="4305"/>
      <c r="C221" s="4305"/>
      <c r="D221" s="4305"/>
      <c r="E221" s="4305"/>
      <c r="F221" s="4331"/>
      <c r="G221" s="4331"/>
      <c r="H221" s="4331"/>
      <c r="I221" s="4331"/>
      <c r="J221" s="4331"/>
      <c r="K221" s="4331"/>
      <c r="L221" s="4331"/>
      <c r="M221" s="4317"/>
      <c r="N221" s="4317"/>
      <c r="O221" s="4319" t="s">
        <v>4869</v>
      </c>
      <c r="P221" s="4317"/>
      <c r="Q221" s="4295"/>
      <c r="R221" s="4317"/>
      <c r="S221" s="4317"/>
      <c r="T221" s="4317"/>
      <c r="U221" s="4317"/>
      <c r="V221" s="4317"/>
      <c r="W221" s="4317"/>
      <c r="X221" s="4317"/>
      <c r="Y221" s="4317"/>
      <c r="Z221" s="4317"/>
      <c r="AA221" s="4317"/>
      <c r="AB221" s="4317"/>
      <c r="AC221" s="4295"/>
      <c r="AD221" s="4295"/>
      <c r="AE221" s="4317"/>
      <c r="AF221" s="4319"/>
      <c r="AG221" s="4319"/>
      <c r="AH221" s="4317"/>
      <c r="AI221" s="4317"/>
      <c r="AJ221" s="4317"/>
      <c r="AK221" s="4317"/>
      <c r="AL221" s="4317"/>
      <c r="AM221" s="4317"/>
      <c r="AN221" s="4317"/>
      <c r="AO221" s="4317"/>
      <c r="AP221" s="4317"/>
      <c r="AQ221" s="4317"/>
      <c r="AR221" s="4317"/>
      <c r="AS221" s="4317"/>
      <c r="AT221" s="4317"/>
      <c r="AU221" s="4317"/>
      <c r="AV221" s="4317"/>
      <c r="AW221" s="4317"/>
      <c r="AX221" s="4317"/>
      <c r="AY221" s="4317"/>
      <c r="AZ221" s="4317"/>
      <c r="BA221" s="4317"/>
      <c r="BB221" s="4317"/>
      <c r="BC221" s="4317"/>
      <c r="BD221" s="4317"/>
      <c r="BE221" s="4317"/>
      <c r="BF221" s="4317"/>
      <c r="BG221" s="4317"/>
      <c r="BH221" s="4317"/>
      <c r="BI221" s="4317"/>
      <c r="BJ221" s="4317"/>
      <c r="BK221" s="4317"/>
      <c r="BL221" s="4317"/>
      <c r="BM221" s="4317"/>
      <c r="BN221" s="4317"/>
      <c r="BO221" s="4317"/>
      <c r="BP221" s="4317"/>
      <c r="BQ221" s="4317"/>
      <c r="BR221" s="4317"/>
      <c r="BS221" s="4317"/>
      <c r="BT221" s="4317"/>
      <c r="BU221" s="4317"/>
      <c r="BV221" s="4317"/>
      <c r="BW221" s="4317"/>
      <c r="BX221" s="4317"/>
      <c r="BY221" s="4317"/>
      <c r="BZ221" s="4317"/>
      <c r="CA221" s="4317"/>
      <c r="CB221" s="4317"/>
      <c r="CC221" s="4317"/>
      <c r="CD221" s="4317"/>
      <c r="CE221" s="4317"/>
      <c r="CF221" s="4317"/>
      <c r="CG221" s="4317"/>
      <c r="CH221" s="4317"/>
      <c r="CI221" s="4317"/>
      <c r="CJ221" s="4317"/>
      <c r="CK221" s="4317"/>
      <c r="CL221" s="4317"/>
      <c r="CM221" s="4317"/>
      <c r="CN221" s="4317"/>
      <c r="CO221" s="4317"/>
      <c r="CP221" s="4317"/>
      <c r="CQ221" s="4317"/>
      <c r="CR221" s="4317"/>
      <c r="CS221" s="4317"/>
      <c r="CT221" s="4317"/>
      <c r="CU221" s="4317"/>
      <c r="CV221" s="4317"/>
      <c r="CW221" s="4317"/>
      <c r="CX221" s="4317"/>
      <c r="CY221" s="4317"/>
      <c r="CZ221" s="4317"/>
      <c r="DA221" s="4317"/>
      <c r="DB221" s="4317"/>
      <c r="DC221" s="4317"/>
      <c r="DD221" s="4317"/>
      <c r="DE221" s="4317"/>
      <c r="DF221" s="4317"/>
      <c r="DG221" s="4317"/>
      <c r="DH221" s="4317"/>
      <c r="DI221" s="4317"/>
      <c r="DJ221" s="4317"/>
      <c r="DK221" s="4317"/>
      <c r="DL221" s="4317"/>
      <c r="DM221" s="4317"/>
      <c r="DN221" s="4317"/>
      <c r="DO221" s="4317"/>
      <c r="DP221" s="4317"/>
      <c r="DQ221" s="4317"/>
      <c r="DR221" s="4317"/>
      <c r="DS221" s="4317"/>
    </row>
    <row r="222" s="4134" customFormat="1" ht="16.5" customHeight="1" spans="1:123">
      <c r="A222" s="4332" t="s">
        <v>4870</v>
      </c>
      <c r="B222" s="4332"/>
      <c r="C222" s="4332"/>
      <c r="D222" s="4332"/>
      <c r="E222" s="4332"/>
      <c r="F222" s="4314">
        <f>F219+F220</f>
        <v>746</v>
      </c>
      <c r="G222" s="4314"/>
      <c r="H222" s="4314"/>
      <c r="I222" s="4314"/>
      <c r="J222" s="4314"/>
      <c r="K222" s="4314"/>
      <c r="L222" s="4314"/>
      <c r="M222" s="4317"/>
      <c r="N222" s="4317"/>
      <c r="O222" s="4319" t="s">
        <v>4871</v>
      </c>
      <c r="P222" s="4317"/>
      <c r="Q222" s="4295"/>
      <c r="R222" s="4317"/>
      <c r="S222" s="4317"/>
      <c r="T222" s="4317"/>
      <c r="U222" s="4317"/>
      <c r="V222" s="4317"/>
      <c r="W222" s="4317"/>
      <c r="X222" s="4317"/>
      <c r="Y222" s="4317"/>
      <c r="Z222" s="4317"/>
      <c r="AA222" s="4317"/>
      <c r="AB222" s="4317"/>
      <c r="AC222" s="4295"/>
      <c r="AD222" s="4295"/>
      <c r="AE222" s="4317"/>
      <c r="AF222" s="4319"/>
      <c r="AG222" s="4319"/>
      <c r="AH222" s="4317"/>
      <c r="AI222" s="4317"/>
      <c r="AJ222" s="4317"/>
      <c r="AK222" s="4317"/>
      <c r="AL222" s="4317"/>
      <c r="AM222" s="4317"/>
      <c r="AN222" s="4317"/>
      <c r="AO222" s="4317"/>
      <c r="AP222" s="4317"/>
      <c r="AQ222" s="4317"/>
      <c r="AR222" s="4317"/>
      <c r="AS222" s="4317"/>
      <c r="AT222" s="4317"/>
      <c r="AU222" s="4317"/>
      <c r="AV222" s="4317"/>
      <c r="AW222" s="4317"/>
      <c r="AX222" s="4317"/>
      <c r="AY222" s="4317"/>
      <c r="AZ222" s="4317"/>
      <c r="BA222" s="4317"/>
      <c r="BB222" s="4317"/>
      <c r="BC222" s="4317"/>
      <c r="BD222" s="4317"/>
      <c r="BE222" s="4317"/>
      <c r="BF222" s="4317"/>
      <c r="BG222" s="4317"/>
      <c r="BH222" s="4317"/>
      <c r="BI222" s="4317"/>
      <c r="BJ222" s="4317"/>
      <c r="BK222" s="4317"/>
      <c r="BL222" s="4317"/>
      <c r="BM222" s="4317"/>
      <c r="BN222" s="4317"/>
      <c r="BO222" s="4317"/>
      <c r="BP222" s="4317"/>
      <c r="BQ222" s="4317"/>
      <c r="BR222" s="4317"/>
      <c r="BS222" s="4317"/>
      <c r="BT222" s="4317"/>
      <c r="BU222" s="4317"/>
      <c r="BV222" s="4317"/>
      <c r="BW222" s="4317"/>
      <c r="BX222" s="4317"/>
      <c r="BY222" s="4317"/>
      <c r="BZ222" s="4317"/>
      <c r="CA222" s="4317"/>
      <c r="CB222" s="4317"/>
      <c r="CC222" s="4317"/>
      <c r="CD222" s="4317"/>
      <c r="CE222" s="4317"/>
      <c r="CF222" s="4317"/>
      <c r="CG222" s="4317"/>
      <c r="CH222" s="4317"/>
      <c r="CI222" s="4317"/>
      <c r="CJ222" s="4317"/>
      <c r="CK222" s="4317"/>
      <c r="CL222" s="4317"/>
      <c r="CM222" s="4317"/>
      <c r="CN222" s="4317"/>
      <c r="CO222" s="4317"/>
      <c r="CP222" s="4317"/>
      <c r="CQ222" s="4317"/>
      <c r="CR222" s="4317"/>
      <c r="CS222" s="4317"/>
      <c r="CT222" s="4317"/>
      <c r="CU222" s="4317"/>
      <c r="CV222" s="4317"/>
      <c r="CW222" s="4317"/>
      <c r="CX222" s="4317"/>
      <c r="CY222" s="4317"/>
      <c r="CZ222" s="4317"/>
      <c r="DA222" s="4317"/>
      <c r="DB222" s="4317"/>
      <c r="DC222" s="4317"/>
      <c r="DD222" s="4317"/>
      <c r="DE222" s="4317"/>
      <c r="DF222" s="4317"/>
      <c r="DG222" s="4317"/>
      <c r="DH222" s="4317"/>
      <c r="DI222" s="4317"/>
      <c r="DJ222" s="4317"/>
      <c r="DK222" s="4317"/>
      <c r="DL222" s="4317"/>
      <c r="DM222" s="4317"/>
      <c r="DN222" s="4317"/>
      <c r="DO222" s="4317"/>
      <c r="DP222" s="4317"/>
      <c r="DQ222" s="4317"/>
      <c r="DR222" s="4317"/>
      <c r="DS222" s="4317"/>
    </row>
    <row r="223" s="4134" customFormat="1" ht="16.5" customHeight="1" spans="1:123">
      <c r="A223" s="4317"/>
      <c r="B223" s="4317"/>
      <c r="C223" s="4317"/>
      <c r="D223" s="4317"/>
      <c r="E223" s="4317"/>
      <c r="F223" s="4317"/>
      <c r="G223" s="4317"/>
      <c r="H223" s="4317"/>
      <c r="I223" s="4317"/>
      <c r="J223" s="4317"/>
      <c r="K223" s="4317"/>
      <c r="L223" s="4317"/>
      <c r="M223" s="4317"/>
      <c r="N223" s="4317"/>
      <c r="O223" s="4317"/>
      <c r="P223" s="4317"/>
      <c r="Q223" s="4295"/>
      <c r="R223" s="4317"/>
      <c r="S223" s="4317"/>
      <c r="T223" s="4317"/>
      <c r="U223" s="4317"/>
      <c r="V223" s="4317"/>
      <c r="W223" s="4317"/>
      <c r="X223" s="4317"/>
      <c r="Y223" s="4317"/>
      <c r="Z223" s="4317"/>
      <c r="AA223" s="4317"/>
      <c r="AB223" s="4317"/>
      <c r="AC223" s="4295"/>
      <c r="AD223" s="4295"/>
      <c r="AE223" s="4317"/>
      <c r="AF223" s="4319"/>
      <c r="AG223" s="4319"/>
      <c r="AH223" s="4317"/>
      <c r="AI223" s="4317"/>
      <c r="AJ223" s="4317"/>
      <c r="AK223" s="4317"/>
      <c r="AL223" s="4317"/>
      <c r="AM223" s="4317"/>
      <c r="AN223" s="4317"/>
      <c r="AO223" s="4317"/>
      <c r="AP223" s="4317"/>
      <c r="AQ223" s="4317"/>
      <c r="AR223" s="4317"/>
      <c r="AS223" s="4317"/>
      <c r="AT223" s="4317"/>
      <c r="AU223" s="4317"/>
      <c r="AV223" s="4317"/>
      <c r="AW223" s="4317"/>
      <c r="AX223" s="4317"/>
      <c r="AY223" s="4317"/>
      <c r="AZ223" s="4317"/>
      <c r="BA223" s="4317"/>
      <c r="BB223" s="4317"/>
      <c r="BC223" s="4317"/>
      <c r="BD223" s="4317"/>
      <c r="BE223" s="4317"/>
      <c r="BF223" s="4317"/>
      <c r="BG223" s="4317"/>
      <c r="BH223" s="4317"/>
      <c r="BI223" s="4317"/>
      <c r="BJ223" s="4317"/>
      <c r="BK223" s="4317"/>
      <c r="BL223" s="4317"/>
      <c r="BM223" s="4317"/>
      <c r="BN223" s="4317"/>
      <c r="BO223" s="4317"/>
      <c r="BP223" s="4317"/>
      <c r="BQ223" s="4317"/>
      <c r="BR223" s="4317"/>
      <c r="BS223" s="4317"/>
      <c r="BT223" s="4317"/>
      <c r="BU223" s="4317"/>
      <c r="BV223" s="4317"/>
      <c r="BW223" s="4317"/>
      <c r="BX223" s="4317"/>
      <c r="BY223" s="4317"/>
      <c r="BZ223" s="4317"/>
      <c r="CA223" s="4317"/>
      <c r="CB223" s="4317"/>
      <c r="CC223" s="4317"/>
      <c r="CD223" s="4317"/>
      <c r="CE223" s="4317"/>
      <c r="CF223" s="4317"/>
      <c r="CG223" s="4317"/>
      <c r="CH223" s="4317"/>
      <c r="CI223" s="4317"/>
      <c r="CJ223" s="4317"/>
      <c r="CK223" s="4317"/>
      <c r="CL223" s="4317"/>
      <c r="CM223" s="4317"/>
      <c r="CN223" s="4317"/>
      <c r="CO223" s="4317"/>
      <c r="CP223" s="4317"/>
      <c r="CQ223" s="4317"/>
      <c r="CR223" s="4317"/>
      <c r="CS223" s="4317"/>
      <c r="CT223" s="4317"/>
      <c r="CU223" s="4317"/>
      <c r="CV223" s="4317"/>
      <c r="CW223" s="4317"/>
      <c r="CX223" s="4317"/>
      <c r="CY223" s="4317"/>
      <c r="CZ223" s="4317"/>
      <c r="DA223" s="4317"/>
      <c r="DB223" s="4317"/>
      <c r="DC223" s="4317"/>
      <c r="DD223" s="4317"/>
      <c r="DE223" s="4317"/>
      <c r="DF223" s="4317"/>
      <c r="DG223" s="4317"/>
      <c r="DH223" s="4317"/>
      <c r="DI223" s="4317"/>
      <c r="DJ223" s="4317"/>
      <c r="DK223" s="4317"/>
      <c r="DL223" s="4317"/>
      <c r="DM223" s="4317"/>
      <c r="DN223" s="4317"/>
      <c r="DO223" s="4317"/>
      <c r="DP223" s="4317"/>
      <c r="DQ223" s="4317"/>
      <c r="DR223" s="4317"/>
      <c r="DS223" s="4317"/>
    </row>
    <row r="224" s="4134" customFormat="1" ht="18" customHeight="1" spans="1:123">
      <c r="A224" s="4333" t="s">
        <v>22</v>
      </c>
      <c r="B224" s="4333"/>
      <c r="C224" s="4333"/>
      <c r="D224" s="4333"/>
      <c r="E224" s="4333"/>
      <c r="F224" s="4334">
        <f>F123+F137+F151+F156+F165+F171+F193+F218+F222</f>
        <v>247772</v>
      </c>
      <c r="G224" s="4334"/>
      <c r="H224" s="4334"/>
      <c r="I224" s="4334"/>
      <c r="J224" s="4334"/>
      <c r="K224" s="4334"/>
      <c r="L224" s="4334"/>
      <c r="M224" s="4317"/>
      <c r="N224" s="4317"/>
      <c r="O224" s="4317"/>
      <c r="P224" s="4317"/>
      <c r="Q224" s="4295"/>
      <c r="R224" s="4317"/>
      <c r="S224" s="4317"/>
      <c r="T224" s="4317"/>
      <c r="U224" s="4317"/>
      <c r="V224" s="4317"/>
      <c r="W224" s="4317"/>
      <c r="X224" s="4317"/>
      <c r="Y224" s="4317"/>
      <c r="Z224" s="4317"/>
      <c r="AA224" s="4317"/>
      <c r="AB224" s="4317"/>
      <c r="AC224" s="4295"/>
      <c r="AD224" s="4295"/>
      <c r="AE224" s="4317"/>
      <c r="AF224" s="4317"/>
      <c r="AG224" s="4317"/>
      <c r="AH224" s="4317"/>
      <c r="AI224" s="4317"/>
      <c r="AJ224" s="4317"/>
      <c r="AK224" s="4317"/>
      <c r="AL224" s="4317"/>
      <c r="AM224" s="4317"/>
      <c r="AN224" s="4317"/>
      <c r="AO224" s="4317"/>
      <c r="AP224" s="4317"/>
      <c r="AQ224" s="4317"/>
      <c r="AR224" s="4317"/>
      <c r="AS224" s="4317"/>
      <c r="AT224" s="4317"/>
      <c r="AU224" s="4317"/>
      <c r="AV224" s="4317"/>
      <c r="AW224" s="4317"/>
      <c r="AX224" s="4317"/>
      <c r="AY224" s="4317"/>
      <c r="AZ224" s="4317"/>
      <c r="BA224" s="4317"/>
      <c r="BB224" s="4317"/>
      <c r="BC224" s="4317"/>
      <c r="BD224" s="4317"/>
      <c r="BE224" s="4317"/>
      <c r="BF224" s="4317"/>
      <c r="BG224" s="4317"/>
      <c r="BH224" s="4317"/>
      <c r="BI224" s="4317"/>
      <c r="BJ224" s="4317"/>
      <c r="BK224" s="4317"/>
      <c r="BL224" s="4317"/>
      <c r="BM224" s="4317"/>
      <c r="BN224" s="4317"/>
      <c r="BO224" s="4317"/>
      <c r="BP224" s="4317"/>
      <c r="BQ224" s="4317"/>
      <c r="BR224" s="4317"/>
      <c r="BS224" s="4317"/>
      <c r="BT224" s="4317"/>
      <c r="BU224" s="4317"/>
      <c r="BV224" s="4317"/>
      <c r="BW224" s="4317"/>
      <c r="BX224" s="4317"/>
      <c r="BY224" s="4317"/>
      <c r="BZ224" s="4317"/>
      <c r="CA224" s="4317"/>
      <c r="CB224" s="4317"/>
      <c r="CC224" s="4317"/>
      <c r="CD224" s="4317"/>
      <c r="CE224" s="4317"/>
      <c r="CF224" s="4317"/>
      <c r="CG224" s="4317"/>
      <c r="CH224" s="4317"/>
      <c r="CI224" s="4317"/>
      <c r="CJ224" s="4317"/>
      <c r="CK224" s="4317"/>
      <c r="CL224" s="4317"/>
      <c r="CM224" s="4317"/>
      <c r="CN224" s="4317"/>
      <c r="CO224" s="4317"/>
      <c r="CP224" s="4317"/>
      <c r="CQ224" s="4317"/>
      <c r="CR224" s="4317"/>
      <c r="CS224" s="4317"/>
      <c r="CT224" s="4317"/>
      <c r="CU224" s="4317"/>
      <c r="CV224" s="4317"/>
      <c r="CW224" s="4317"/>
      <c r="CX224" s="4317"/>
      <c r="CY224" s="4317"/>
      <c r="CZ224" s="4317"/>
      <c r="DA224" s="4317"/>
      <c r="DB224" s="4317"/>
      <c r="DC224" s="4317"/>
      <c r="DD224" s="4317"/>
      <c r="DE224" s="4317"/>
      <c r="DF224" s="4317"/>
      <c r="DG224" s="4317"/>
      <c r="DH224" s="4317"/>
      <c r="DI224" s="4317"/>
      <c r="DJ224" s="4317"/>
      <c r="DK224" s="4317"/>
      <c r="DL224" s="4317"/>
      <c r="DM224" s="4317"/>
      <c r="DN224" s="4317"/>
      <c r="DO224" s="4317"/>
      <c r="DP224" s="4317"/>
      <c r="DQ224" s="4317"/>
      <c r="DR224" s="4317"/>
      <c r="DS224" s="4317"/>
    </row>
    <row r="225" s="4133" customFormat="1" ht="16.5" customHeight="1" spans="1:124">
      <c r="A225" s="4295"/>
      <c r="B225" s="4295"/>
      <c r="C225" s="4295"/>
      <c r="D225" s="4295"/>
      <c r="E225" s="4295"/>
      <c r="F225" s="4295"/>
      <c r="G225" s="4295"/>
      <c r="H225" s="4295"/>
      <c r="I225" s="4295"/>
      <c r="J225" s="4295"/>
      <c r="K225" s="4295"/>
      <c r="L225" s="4295"/>
      <c r="M225" s="4295"/>
      <c r="N225" s="4295"/>
      <c r="O225" s="4295"/>
      <c r="P225" s="4295"/>
      <c r="Q225" s="4295"/>
      <c r="R225" s="4295"/>
      <c r="S225" s="4295"/>
      <c r="T225" s="4295"/>
      <c r="U225" s="4317"/>
      <c r="V225" s="4317"/>
      <c r="W225" s="4317"/>
      <c r="X225" s="4317"/>
      <c r="Y225" s="4317"/>
      <c r="Z225" s="4317"/>
      <c r="AA225" s="4317"/>
      <c r="AB225" s="4295"/>
      <c r="AC225" s="4295"/>
      <c r="AD225" s="4295"/>
      <c r="AE225" s="4295"/>
      <c r="AF225" s="4295"/>
      <c r="AG225" s="4295"/>
      <c r="AH225" s="4295"/>
      <c r="AI225" s="4295"/>
      <c r="AJ225" s="4295"/>
      <c r="AK225" s="4295"/>
      <c r="AL225" s="4295"/>
      <c r="AM225" s="4295"/>
      <c r="AN225" s="4295"/>
      <c r="AO225" s="4295"/>
      <c r="AP225" s="4295"/>
      <c r="AQ225" s="4295"/>
      <c r="AR225" s="4295"/>
      <c r="AS225" s="4295"/>
      <c r="AT225" s="4295"/>
      <c r="AU225" s="4295"/>
      <c r="AV225" s="4295"/>
      <c r="AW225" s="4295"/>
      <c r="AX225" s="4295"/>
      <c r="AY225" s="4295"/>
      <c r="AZ225" s="4295"/>
      <c r="BA225" s="4295"/>
      <c r="BB225" s="4295"/>
      <c r="BC225" s="4295"/>
      <c r="BD225" s="4295"/>
      <c r="BE225" s="4295"/>
      <c r="BF225" s="4295"/>
      <c r="BG225" s="4295"/>
      <c r="BH225" s="4295"/>
      <c r="BI225" s="4295"/>
      <c r="BJ225" s="4295"/>
      <c r="BK225" s="4295"/>
      <c r="BL225" s="4295"/>
      <c r="BM225" s="4295"/>
      <c r="BN225" s="4295"/>
      <c r="BO225" s="4295"/>
      <c r="BP225" s="4295"/>
      <c r="BQ225" s="4295"/>
      <c r="BR225" s="4295"/>
      <c r="BS225" s="4295"/>
      <c r="BT225" s="4295"/>
      <c r="BU225" s="4295"/>
      <c r="BV225" s="4295"/>
      <c r="BW225" s="4295"/>
      <c r="BX225" s="4295"/>
      <c r="BY225" s="4295"/>
      <c r="BZ225" s="4295"/>
      <c r="CA225" s="4295"/>
      <c r="CB225" s="4295"/>
      <c r="CC225" s="4295"/>
      <c r="CD225" s="4295"/>
      <c r="CE225" s="4295"/>
      <c r="CF225" s="4295"/>
      <c r="CG225" s="4295"/>
      <c r="CH225" s="4295"/>
      <c r="CI225" s="4295"/>
      <c r="CJ225" s="4295"/>
      <c r="CK225" s="4295"/>
      <c r="CL225" s="4295"/>
      <c r="CM225" s="4295"/>
      <c r="CN225" s="4295"/>
      <c r="CO225" s="4295"/>
      <c r="CP225" s="4295"/>
      <c r="CQ225" s="4295"/>
      <c r="CR225" s="4295"/>
      <c r="CS225" s="4295"/>
      <c r="CT225" s="4295"/>
      <c r="CU225" s="4295"/>
      <c r="CV225" s="4295"/>
      <c r="CW225" s="4295"/>
      <c r="CX225" s="4295"/>
      <c r="CY225" s="4295"/>
      <c r="CZ225" s="4295"/>
      <c r="DA225" s="4295"/>
      <c r="DB225" s="4295"/>
      <c r="DC225" s="4295"/>
      <c r="DD225" s="4295"/>
      <c r="DE225" s="4295"/>
      <c r="DF225" s="4295"/>
      <c r="DG225" s="4295"/>
      <c r="DH225" s="4295"/>
      <c r="DI225" s="4295"/>
      <c r="DJ225" s="4295"/>
      <c r="DK225" s="4295"/>
      <c r="DL225" s="4295"/>
      <c r="DM225" s="4295"/>
      <c r="DN225" s="4295"/>
      <c r="DO225" s="4317"/>
      <c r="DP225" s="4317"/>
      <c r="DQ225" s="4317"/>
      <c r="DR225" s="4317"/>
      <c r="DS225" s="4317"/>
      <c r="DT225" s="4134"/>
    </row>
    <row r="226" s="4133" customFormat="1" ht="15.75" spans="1:124">
      <c r="A226" s="4295"/>
      <c r="B226" s="4295"/>
      <c r="C226" s="4295"/>
      <c r="D226" s="4295"/>
      <c r="E226" s="4295"/>
      <c r="F226" s="4295"/>
      <c r="G226" s="4295"/>
      <c r="H226" s="4295"/>
      <c r="I226" s="4295"/>
      <c r="J226" s="4295"/>
      <c r="K226" s="4295"/>
      <c r="L226" s="4295"/>
      <c r="M226" s="4295"/>
      <c r="N226" s="4295"/>
      <c r="O226" s="4295"/>
      <c r="P226" s="4295"/>
      <c r="Q226" s="4295"/>
      <c r="R226" s="4295"/>
      <c r="S226" s="4295"/>
      <c r="T226" s="4295"/>
      <c r="U226" s="4317"/>
      <c r="V226" s="4317"/>
      <c r="W226" s="4317"/>
      <c r="X226" s="4317"/>
      <c r="Y226" s="4317"/>
      <c r="Z226" s="4317"/>
      <c r="AA226" s="4317"/>
      <c r="AB226" s="4295"/>
      <c r="AC226" s="4295"/>
      <c r="AD226" s="4295"/>
      <c r="AE226" s="4295"/>
      <c r="AF226" s="4295"/>
      <c r="AG226" s="4295"/>
      <c r="AH226" s="4295"/>
      <c r="AI226" s="4295"/>
      <c r="AJ226" s="4295"/>
      <c r="AK226" s="4295"/>
      <c r="AL226" s="4295"/>
      <c r="AM226" s="4295"/>
      <c r="AN226" s="4295"/>
      <c r="AO226" s="4295"/>
      <c r="AP226" s="4295"/>
      <c r="AQ226" s="4295"/>
      <c r="AR226" s="4295"/>
      <c r="AS226" s="4295"/>
      <c r="AT226" s="4295"/>
      <c r="AU226" s="4295"/>
      <c r="AV226" s="4295"/>
      <c r="AW226" s="4295"/>
      <c r="AX226" s="4295"/>
      <c r="AY226" s="4295"/>
      <c r="AZ226" s="4295"/>
      <c r="BA226" s="4295"/>
      <c r="BB226" s="4295"/>
      <c r="BC226" s="4295"/>
      <c r="BD226" s="4295"/>
      <c r="BE226" s="4295"/>
      <c r="BF226" s="4295"/>
      <c r="BG226" s="4295"/>
      <c r="BH226" s="4295"/>
      <c r="BI226" s="4295"/>
      <c r="BJ226" s="4295"/>
      <c r="BK226" s="4295"/>
      <c r="BL226" s="4295"/>
      <c r="BM226" s="4295"/>
      <c r="BN226" s="4295"/>
      <c r="BO226" s="4295"/>
      <c r="BP226" s="4295"/>
      <c r="BQ226" s="4295"/>
      <c r="BR226" s="4295"/>
      <c r="BS226" s="4295"/>
      <c r="BT226" s="4295"/>
      <c r="BU226" s="4295"/>
      <c r="BV226" s="4295"/>
      <c r="BW226" s="4295"/>
      <c r="BX226" s="4295"/>
      <c r="BY226" s="4295"/>
      <c r="BZ226" s="4295"/>
      <c r="CA226" s="4295"/>
      <c r="CB226" s="4295"/>
      <c r="CC226" s="4295"/>
      <c r="CD226" s="4295"/>
      <c r="CE226" s="4295"/>
      <c r="CF226" s="4295"/>
      <c r="CG226" s="4295"/>
      <c r="CH226" s="4295"/>
      <c r="CI226" s="4295"/>
      <c r="CJ226" s="4295"/>
      <c r="CK226" s="4295"/>
      <c r="CL226" s="4295"/>
      <c r="CM226" s="4295"/>
      <c r="CN226" s="4295"/>
      <c r="CO226" s="4295"/>
      <c r="CP226" s="4295"/>
      <c r="CQ226" s="4295"/>
      <c r="CR226" s="4295"/>
      <c r="CS226" s="4295"/>
      <c r="CT226" s="4295"/>
      <c r="CU226" s="4295"/>
      <c r="CV226" s="4295"/>
      <c r="CW226" s="4295"/>
      <c r="CX226" s="4295"/>
      <c r="CY226" s="4295"/>
      <c r="CZ226" s="4295"/>
      <c r="DA226" s="4295"/>
      <c r="DB226" s="4295"/>
      <c r="DC226" s="4295"/>
      <c r="DD226" s="4295"/>
      <c r="DE226" s="4295"/>
      <c r="DF226" s="4295"/>
      <c r="DG226" s="4295"/>
      <c r="DH226" s="4295"/>
      <c r="DI226" s="4295"/>
      <c r="DJ226" s="4295"/>
      <c r="DK226" s="4295"/>
      <c r="DL226" s="4295"/>
      <c r="DM226" s="4295"/>
      <c r="DN226" s="4295"/>
      <c r="DO226" s="4317"/>
      <c r="DP226" s="4317"/>
      <c r="DQ226" s="4317"/>
      <c r="DR226" s="4317"/>
      <c r="DS226" s="4317"/>
      <c r="DT226" s="4134"/>
    </row>
    <row r="227" s="4133" customFormat="1" ht="21" spans="1:124">
      <c r="A227" s="4295"/>
      <c r="B227" s="4295"/>
      <c r="C227" s="4295"/>
      <c r="D227" s="4295"/>
      <c r="E227" s="4295"/>
      <c r="F227" s="4335">
        <f ca="1">PoslGod</f>
        <v>2025</v>
      </c>
      <c r="G227" s="4335"/>
      <c r="H227" s="4335"/>
      <c r="I227" s="4335"/>
      <c r="J227" s="4335"/>
      <c r="K227" s="4335"/>
      <c r="L227" s="4335"/>
      <c r="M227" s="4295"/>
      <c r="N227" s="4295"/>
      <c r="O227" s="4295"/>
      <c r="P227" s="4295"/>
      <c r="Q227" s="4295"/>
      <c r="R227" s="4295"/>
      <c r="S227" s="4295"/>
      <c r="T227" s="4295"/>
      <c r="U227" s="4317"/>
      <c r="V227" s="4317"/>
      <c r="W227" s="4317"/>
      <c r="X227" s="4317"/>
      <c r="Y227" s="4317"/>
      <c r="Z227" s="4317"/>
      <c r="AA227" s="4317"/>
      <c r="AB227" s="4295"/>
      <c r="AC227" s="4295"/>
      <c r="AD227" s="4295"/>
      <c r="AE227" s="4295"/>
      <c r="AF227" s="4319"/>
      <c r="AG227" s="4319"/>
      <c r="AH227" s="4295"/>
      <c r="AI227" s="4295"/>
      <c r="AJ227" s="4295"/>
      <c r="AK227" s="4295"/>
      <c r="AL227" s="4295"/>
      <c r="AM227" s="4295"/>
      <c r="AN227" s="4295"/>
      <c r="AO227" s="4295"/>
      <c r="AP227" s="4295"/>
      <c r="AQ227" s="4295"/>
      <c r="AR227" s="4295"/>
      <c r="AS227" s="4295"/>
      <c r="AT227" s="4295"/>
      <c r="AU227" s="4295"/>
      <c r="AV227" s="4295"/>
      <c r="AW227" s="4295"/>
      <c r="AX227" s="4295"/>
      <c r="AY227" s="4295"/>
      <c r="AZ227" s="4295"/>
      <c r="BA227" s="4295"/>
      <c r="BB227" s="4295"/>
      <c r="BC227" s="4295"/>
      <c r="BD227" s="4295"/>
      <c r="BE227" s="4295"/>
      <c r="BF227" s="4295"/>
      <c r="BG227" s="4295"/>
      <c r="BH227" s="4295"/>
      <c r="BI227" s="4295"/>
      <c r="BJ227" s="4295"/>
      <c r="BK227" s="4295"/>
      <c r="BL227" s="4295"/>
      <c r="BM227" s="4295"/>
      <c r="BN227" s="4295"/>
      <c r="BO227" s="4295"/>
      <c r="BP227" s="4295"/>
      <c r="BQ227" s="4295"/>
      <c r="BR227" s="4295"/>
      <c r="BS227" s="4295"/>
      <c r="BT227" s="4295"/>
      <c r="BU227" s="4295"/>
      <c r="BV227" s="4295"/>
      <c r="BW227" s="4295"/>
      <c r="BX227" s="4295"/>
      <c r="BY227" s="4295"/>
      <c r="BZ227" s="4295"/>
      <c r="CA227" s="4295"/>
      <c r="CB227" s="4295"/>
      <c r="CC227" s="4295"/>
      <c r="CD227" s="4295"/>
      <c r="CE227" s="4295"/>
      <c r="CF227" s="4295"/>
      <c r="CG227" s="4295"/>
      <c r="CH227" s="4295"/>
      <c r="CI227" s="4295"/>
      <c r="CJ227" s="4295"/>
      <c r="CK227" s="4295"/>
      <c r="CL227" s="4295"/>
      <c r="CM227" s="4295"/>
      <c r="CN227" s="4295"/>
      <c r="CO227" s="4295"/>
      <c r="CP227" s="4295"/>
      <c r="CQ227" s="4295"/>
      <c r="CR227" s="4295"/>
      <c r="CS227" s="4295"/>
      <c r="CT227" s="4295"/>
      <c r="CU227" s="4295"/>
      <c r="CV227" s="4295"/>
      <c r="CW227" s="4295"/>
      <c r="CX227" s="4295"/>
      <c r="CY227" s="4295"/>
      <c r="CZ227" s="4295"/>
      <c r="DA227" s="4295"/>
      <c r="DB227" s="4295"/>
      <c r="DC227" s="4295"/>
      <c r="DD227" s="4295"/>
      <c r="DE227" s="4295"/>
      <c r="DF227" s="4295"/>
      <c r="DG227" s="4295"/>
      <c r="DH227" s="4295"/>
      <c r="DI227" s="4295"/>
      <c r="DJ227" s="4295"/>
      <c r="DK227" s="4295"/>
      <c r="DL227" s="4295"/>
      <c r="DM227" s="4295"/>
      <c r="DN227" s="4295"/>
      <c r="DO227" s="4317"/>
      <c r="DP227" s="4317"/>
      <c r="DQ227" s="4317"/>
      <c r="DR227" s="4317"/>
      <c r="DS227" s="4317"/>
      <c r="DT227" s="4134"/>
    </row>
    <row r="228" s="4135" customFormat="1" ht="21.75" customHeight="1" spans="1:124">
      <c r="A228" s="4333" t="s">
        <v>62</v>
      </c>
      <c r="B228" s="4333"/>
      <c r="C228" s="4333"/>
      <c r="D228" s="4333"/>
      <c r="E228" s="4333"/>
      <c r="F228" s="4294" t="str">
        <f ca="1">PeriodOd&amp;"."&amp;" - "&amp;PeriodDo</f>
        <v>01.01.2025. - 31.12.2025</v>
      </c>
      <c r="G228" s="4294"/>
      <c r="H228" s="4294"/>
      <c r="I228" s="4294"/>
      <c r="J228" s="4294"/>
      <c r="K228" s="4294"/>
      <c r="L228" s="4294"/>
      <c r="M228" s="4295"/>
      <c r="N228" s="4295"/>
      <c r="O228" s="4336" t="s">
        <v>62</v>
      </c>
      <c r="P228" s="4337"/>
      <c r="Q228" s="4295"/>
      <c r="R228" s="4337"/>
      <c r="S228" s="4295"/>
      <c r="T228" s="4295"/>
      <c r="U228" s="4317"/>
      <c r="V228" s="4317"/>
      <c r="W228" s="4317"/>
      <c r="X228" s="4317"/>
      <c r="Y228" s="4317"/>
      <c r="Z228" s="4317"/>
      <c r="AA228" s="4317"/>
      <c r="AB228" s="4337"/>
      <c r="AC228" s="4295"/>
      <c r="AD228" s="4337"/>
      <c r="AE228" s="4337"/>
      <c r="AF228" s="4338"/>
      <c r="AG228" s="4338"/>
      <c r="AH228" s="4337"/>
      <c r="AI228" s="4337"/>
      <c r="AJ228" s="4337"/>
      <c r="AK228" s="4337"/>
      <c r="AL228" s="4337"/>
      <c r="AM228" s="4337"/>
      <c r="AN228" s="4337"/>
      <c r="AO228" s="4337"/>
      <c r="AP228" s="4337"/>
      <c r="AQ228" s="4337"/>
      <c r="AR228" s="4337"/>
      <c r="AS228" s="4337"/>
      <c r="AT228" s="4337"/>
      <c r="AU228" s="4295"/>
      <c r="AV228" s="4295"/>
      <c r="AW228" s="4295"/>
      <c r="AX228" s="4295"/>
      <c r="AY228" s="4295"/>
      <c r="AZ228" s="4295"/>
      <c r="BA228" s="4295"/>
      <c r="BB228" s="4295"/>
      <c r="BC228" s="4295"/>
      <c r="BD228" s="4295"/>
      <c r="BE228" s="4295"/>
      <c r="BF228" s="4295"/>
      <c r="BG228" s="4295"/>
      <c r="BH228" s="4295"/>
      <c r="BI228" s="4337"/>
      <c r="BJ228" s="4337"/>
      <c r="BK228" s="4337"/>
      <c r="BL228" s="4337"/>
      <c r="BM228" s="4337"/>
      <c r="BN228" s="4337"/>
      <c r="BO228" s="4337"/>
      <c r="BP228" s="4337"/>
      <c r="BQ228" s="4337"/>
      <c r="BR228" s="4337"/>
      <c r="BS228" s="4337"/>
      <c r="BT228" s="4337"/>
      <c r="BU228" s="4337"/>
      <c r="BV228" s="4337"/>
      <c r="BW228" s="4337"/>
      <c r="BX228" s="4337"/>
      <c r="BY228" s="4337"/>
      <c r="BZ228" s="4337"/>
      <c r="CA228" s="4337"/>
      <c r="CB228" s="4337"/>
      <c r="CC228" s="4337"/>
      <c r="CD228" s="4337"/>
      <c r="CE228" s="4337"/>
      <c r="CF228" s="4337"/>
      <c r="CG228" s="4337"/>
      <c r="CH228" s="4337"/>
      <c r="CI228" s="4337"/>
      <c r="CJ228" s="4337"/>
      <c r="CK228" s="4337"/>
      <c r="CL228" s="4337"/>
      <c r="CM228" s="4337"/>
      <c r="CN228" s="4337"/>
      <c r="CO228" s="4337"/>
      <c r="CP228" s="4337"/>
      <c r="CQ228" s="4337"/>
      <c r="CR228" s="4337"/>
      <c r="CS228" s="4337"/>
      <c r="CT228" s="4337"/>
      <c r="CU228" s="4337"/>
      <c r="CV228" s="4337"/>
      <c r="CW228" s="4337"/>
      <c r="CX228" s="4337"/>
      <c r="CY228" s="4337"/>
      <c r="CZ228" s="4337"/>
      <c r="DA228" s="4337"/>
      <c r="DB228" s="4337"/>
      <c r="DC228" s="4337"/>
      <c r="DD228" s="4337"/>
      <c r="DE228" s="4337"/>
      <c r="DF228" s="4337"/>
      <c r="DG228" s="4337"/>
      <c r="DH228" s="4337"/>
      <c r="DI228" s="4337"/>
      <c r="DJ228" s="4337"/>
      <c r="DK228" s="4337"/>
      <c r="DL228" s="4337"/>
      <c r="DM228" s="4337"/>
      <c r="DN228" s="4337"/>
      <c r="DO228" s="4317"/>
      <c r="DP228" s="4317"/>
      <c r="DQ228" s="4317"/>
      <c r="DR228" s="4317"/>
      <c r="DS228" s="4317"/>
      <c r="DT228" s="4134"/>
    </row>
    <row r="229" s="4134" customFormat="1" ht="19.5" customHeight="1" spans="1:124">
      <c r="A229" s="4304" t="s">
        <v>4872</v>
      </c>
      <c r="B229" s="4324"/>
      <c r="C229" s="4324"/>
      <c r="D229" s="4324"/>
      <c r="E229" s="4324"/>
      <c r="F229" s="4339"/>
      <c r="G229" s="4339"/>
      <c r="H229" s="4339"/>
      <c r="I229" s="4339"/>
      <c r="J229" s="4339"/>
      <c r="K229" s="4339"/>
      <c r="L229" s="4339"/>
      <c r="M229" s="4317"/>
      <c r="N229" s="4317"/>
      <c r="O229" s="4340" t="s">
        <v>4873</v>
      </c>
      <c r="P229" s="4317"/>
      <c r="Q229" s="4295"/>
      <c r="R229" s="4317"/>
      <c r="S229" s="4317"/>
      <c r="T229" s="4317"/>
      <c r="U229" s="4317"/>
      <c r="V229" s="4317"/>
      <c r="W229" s="4317"/>
      <c r="X229" s="4317"/>
      <c r="Y229" s="4317"/>
      <c r="Z229" s="4317"/>
      <c r="AA229" s="4317"/>
      <c r="AB229" s="4317"/>
      <c r="AC229" s="4295"/>
      <c r="AD229" s="4317"/>
      <c r="AE229" s="4317"/>
      <c r="AF229" s="4319"/>
      <c r="AG229" s="4319"/>
      <c r="AH229" s="4317"/>
      <c r="AI229" s="4317"/>
      <c r="AJ229" s="4317"/>
      <c r="AK229" s="4317"/>
      <c r="AL229" s="4317"/>
      <c r="AM229" s="4317"/>
      <c r="AN229" s="4317"/>
      <c r="AO229" s="4317"/>
      <c r="AP229" s="4317"/>
      <c r="AQ229" s="4317"/>
      <c r="AR229" s="4317"/>
      <c r="AS229" s="4317"/>
      <c r="AT229" s="4317"/>
      <c r="AU229" s="4317"/>
      <c r="AV229" s="4317"/>
      <c r="AW229" s="4317"/>
      <c r="AX229" s="4317"/>
      <c r="AY229" s="4317"/>
      <c r="AZ229" s="4317"/>
      <c r="BA229" s="4317"/>
      <c r="BB229" s="4317"/>
      <c r="BC229" s="4317"/>
      <c r="BD229" s="4317"/>
      <c r="BE229" s="4317"/>
      <c r="BF229" s="4317"/>
      <c r="BG229" s="4317"/>
      <c r="BH229" s="4317"/>
      <c r="BI229" s="4317"/>
      <c r="BJ229" s="4317"/>
      <c r="BK229" s="4317"/>
      <c r="BL229" s="4317"/>
      <c r="BM229" s="4317"/>
      <c r="BN229" s="4317"/>
      <c r="BO229" s="4317"/>
      <c r="BP229" s="4317"/>
      <c r="BQ229" s="4317"/>
      <c r="BR229" s="4317"/>
      <c r="BS229" s="4317"/>
      <c r="BT229" s="4317"/>
      <c r="BU229" s="4317"/>
      <c r="BV229" s="4317"/>
      <c r="BW229" s="4317"/>
      <c r="BX229" s="4317"/>
      <c r="BY229" s="4317"/>
      <c r="BZ229" s="4317"/>
      <c r="CA229" s="4317"/>
      <c r="CB229" s="4317"/>
      <c r="CC229" s="4317"/>
      <c r="CD229" s="4317"/>
      <c r="CE229" s="4317"/>
      <c r="CF229" s="4317"/>
      <c r="CG229" s="4317"/>
      <c r="CH229" s="4317"/>
      <c r="CI229" s="4317"/>
      <c r="CJ229" s="4317"/>
      <c r="CK229" s="4317"/>
      <c r="CL229" s="4317"/>
      <c r="CM229" s="4317"/>
      <c r="CN229" s="4317"/>
      <c r="CO229" s="4317"/>
      <c r="CP229" s="4317"/>
      <c r="CQ229" s="4317"/>
      <c r="CR229" s="4317"/>
      <c r="CS229" s="4317"/>
      <c r="CT229" s="4317"/>
      <c r="CU229" s="4317"/>
      <c r="CV229" s="4317"/>
      <c r="CW229" s="4317"/>
      <c r="CX229" s="4317"/>
      <c r="CY229" s="4317"/>
      <c r="CZ229" s="4317"/>
      <c r="DA229" s="4317"/>
      <c r="DB229" s="4317"/>
      <c r="DC229" s="4317"/>
      <c r="DD229" s="4317"/>
      <c r="DE229" s="4317"/>
      <c r="DF229" s="4317"/>
      <c r="DG229" s="4317"/>
      <c r="DH229" s="4317"/>
      <c r="DI229" s="4317"/>
      <c r="DJ229" s="4317"/>
      <c r="DK229" s="4317"/>
      <c r="DL229" s="4317"/>
      <c r="DM229" s="4317"/>
      <c r="DN229" s="4317"/>
      <c r="DO229" s="4317"/>
      <c r="DP229" s="4317"/>
      <c r="DQ229" s="4317"/>
      <c r="DR229" s="4317"/>
      <c r="DS229" s="4317"/>
    </row>
    <row r="230" s="4134" customFormat="1" ht="19.5" customHeight="1" spans="1:124">
      <c r="A230" s="4304" t="s">
        <v>3414</v>
      </c>
      <c r="B230" s="4324"/>
      <c r="C230" s="4324"/>
      <c r="D230" s="4324"/>
      <c r="E230" s="4324"/>
      <c r="F230" s="4300"/>
      <c r="G230" s="4300"/>
      <c r="H230" s="4300"/>
      <c r="I230" s="4300"/>
      <c r="J230" s="4300"/>
      <c r="K230" s="4300"/>
      <c r="L230" s="4300"/>
      <c r="M230" s="4301">
        <v>230</v>
      </c>
      <c r="N230" s="4301"/>
      <c r="O230" s="4340" t="s">
        <v>4874</v>
      </c>
      <c r="P230" s="4317"/>
      <c r="Q230" s="4295"/>
      <c r="R230" s="4317"/>
      <c r="S230" s="4317"/>
      <c r="T230" s="4317"/>
      <c r="U230" s="4317"/>
      <c r="V230" s="4317"/>
      <c r="W230" s="4317"/>
      <c r="X230" s="4317"/>
      <c r="Y230" s="4317"/>
      <c r="Z230" s="4317"/>
      <c r="AA230" s="4317"/>
      <c r="AB230" s="4317"/>
      <c r="AC230" s="4295"/>
      <c r="AD230" s="4317"/>
      <c r="AE230" s="4317"/>
      <c r="AF230" s="4318"/>
      <c r="AG230" s="4318"/>
      <c r="AH230" s="4317"/>
      <c r="AI230" s="4317"/>
      <c r="AJ230" s="4317"/>
      <c r="AK230" s="4317"/>
      <c r="AL230" s="4317"/>
      <c r="AM230" s="4317"/>
      <c r="AN230" s="4317"/>
      <c r="AO230" s="4317"/>
      <c r="AP230" s="4317"/>
      <c r="AQ230" s="4317"/>
      <c r="AR230" s="4317"/>
      <c r="AS230" s="4317"/>
      <c r="AT230" s="4317"/>
      <c r="AU230" s="4317"/>
      <c r="AV230" s="4317"/>
      <c r="AW230" s="4317"/>
      <c r="AX230" s="4317"/>
      <c r="AY230" s="4317"/>
      <c r="AZ230" s="4317"/>
      <c r="BA230" s="4317"/>
      <c r="BB230" s="4317"/>
      <c r="BC230" s="4317"/>
      <c r="BD230" s="4317"/>
      <c r="BE230" s="4317"/>
      <c r="BF230" s="4317"/>
      <c r="BG230" s="4317"/>
      <c r="BH230" s="4317"/>
      <c r="BI230" s="4317"/>
      <c r="BJ230" s="4317"/>
      <c r="BK230" s="4317"/>
      <c r="BL230" s="4317"/>
      <c r="BM230" s="4317"/>
      <c r="BN230" s="4317"/>
      <c r="BO230" s="4317"/>
      <c r="BP230" s="4317"/>
      <c r="BQ230" s="4317"/>
      <c r="BR230" s="4317"/>
      <c r="BS230" s="4317"/>
      <c r="BT230" s="4317"/>
      <c r="BU230" s="4317"/>
      <c r="BV230" s="4317"/>
      <c r="BW230" s="4317"/>
      <c r="BX230" s="4317"/>
      <c r="BY230" s="4317"/>
      <c r="BZ230" s="4317"/>
      <c r="CA230" s="4317"/>
      <c r="CB230" s="4317"/>
      <c r="CC230" s="4317"/>
      <c r="CD230" s="4317"/>
      <c r="CE230" s="4317"/>
      <c r="CF230" s="4317"/>
      <c r="CG230" s="4317"/>
      <c r="CH230" s="4317"/>
      <c r="CI230" s="4317"/>
      <c r="CJ230" s="4317"/>
      <c r="CK230" s="4317"/>
      <c r="CL230" s="4317"/>
      <c r="CM230" s="4317"/>
      <c r="CN230" s="4317"/>
      <c r="CO230" s="4317"/>
      <c r="CP230" s="4317"/>
      <c r="CQ230" s="4317"/>
      <c r="CR230" s="4317"/>
      <c r="CS230" s="4317"/>
      <c r="CT230" s="4317"/>
      <c r="CU230" s="4317"/>
      <c r="CV230" s="4317"/>
      <c r="CW230" s="4317"/>
      <c r="CX230" s="4317"/>
      <c r="CY230" s="4317"/>
      <c r="CZ230" s="4317"/>
      <c r="DA230" s="4317"/>
      <c r="DB230" s="4317"/>
      <c r="DC230" s="4317"/>
      <c r="DD230" s="4317"/>
      <c r="DE230" s="4317"/>
      <c r="DF230" s="4317"/>
      <c r="DG230" s="4317"/>
      <c r="DH230" s="4317"/>
      <c r="DI230" s="4317"/>
      <c r="DJ230" s="4317"/>
      <c r="DK230" s="4317"/>
      <c r="DL230" s="4317"/>
      <c r="DM230" s="4317"/>
      <c r="DN230" s="4317"/>
      <c r="DO230" s="4317"/>
      <c r="DP230" s="4317"/>
      <c r="DQ230" s="4317"/>
      <c r="DR230" s="4317"/>
      <c r="DS230" s="4317"/>
    </row>
    <row r="231" s="4134" customFormat="1" ht="19.5" customHeight="1" spans="1:124">
      <c r="A231" s="4304" t="s">
        <v>3419</v>
      </c>
      <c r="B231" s="4324"/>
      <c r="C231" s="4324"/>
      <c r="D231" s="4324"/>
      <c r="E231" s="4324"/>
      <c r="F231" s="4300"/>
      <c r="G231" s="4300"/>
      <c r="H231" s="4300"/>
      <c r="I231" s="4300"/>
      <c r="J231" s="4300"/>
      <c r="K231" s="4300"/>
      <c r="L231" s="4300"/>
      <c r="M231" s="4317"/>
      <c r="N231" s="4317"/>
      <c r="O231" s="4340" t="s">
        <v>4875</v>
      </c>
      <c r="P231" s="4317"/>
      <c r="Q231" s="4295"/>
      <c r="R231" s="4317"/>
      <c r="S231" s="4317"/>
      <c r="T231" s="4317"/>
      <c r="U231" s="4317"/>
      <c r="V231" s="4317"/>
      <c r="W231" s="4317"/>
      <c r="X231" s="4317"/>
      <c r="Y231" s="4317"/>
      <c r="Z231" s="4317"/>
      <c r="AA231" s="4317"/>
      <c r="AB231" s="4317"/>
      <c r="AC231" s="4295"/>
      <c r="AD231" s="4317"/>
      <c r="AE231" s="4317"/>
      <c r="AF231" s="4319"/>
      <c r="AG231" s="4319"/>
      <c r="AH231" s="4317"/>
      <c r="AI231" s="4317"/>
      <c r="AJ231" s="4317"/>
      <c r="AK231" s="4317"/>
      <c r="AL231" s="4317"/>
      <c r="AM231" s="4317"/>
      <c r="AN231" s="4317"/>
      <c r="AO231" s="4317"/>
      <c r="AP231" s="4317"/>
      <c r="AQ231" s="4317"/>
      <c r="AR231" s="4317"/>
      <c r="AS231" s="4317"/>
      <c r="AT231" s="4317"/>
      <c r="AU231" s="4317"/>
      <c r="AV231" s="4317"/>
      <c r="AW231" s="4317"/>
      <c r="AX231" s="4317"/>
      <c r="AY231" s="4317"/>
      <c r="AZ231" s="4317"/>
      <c r="BA231" s="4317"/>
      <c r="BB231" s="4317"/>
      <c r="BC231" s="4317"/>
      <c r="BD231" s="4317"/>
      <c r="BE231" s="4317"/>
      <c r="BF231" s="4317"/>
      <c r="BG231" s="4317"/>
      <c r="BH231" s="4317"/>
      <c r="BI231" s="4317"/>
      <c r="BJ231" s="4317"/>
      <c r="BK231" s="4317"/>
      <c r="BL231" s="4317"/>
      <c r="BM231" s="4317"/>
      <c r="BN231" s="4317"/>
      <c r="BO231" s="4317"/>
      <c r="BP231" s="4317"/>
      <c r="BQ231" s="4317"/>
      <c r="BR231" s="4317"/>
      <c r="BS231" s="4317"/>
      <c r="BT231" s="4317"/>
      <c r="BU231" s="4317"/>
      <c r="BV231" s="4317"/>
      <c r="BW231" s="4317"/>
      <c r="BX231" s="4317"/>
      <c r="BY231" s="4317"/>
      <c r="BZ231" s="4317"/>
      <c r="CA231" s="4317"/>
      <c r="CB231" s="4317"/>
      <c r="CC231" s="4317"/>
      <c r="CD231" s="4317"/>
      <c r="CE231" s="4317"/>
      <c r="CF231" s="4317"/>
      <c r="CG231" s="4317"/>
      <c r="CH231" s="4317"/>
      <c r="CI231" s="4317"/>
      <c r="CJ231" s="4317"/>
      <c r="CK231" s="4317"/>
      <c r="CL231" s="4317"/>
      <c r="CM231" s="4317"/>
      <c r="CN231" s="4317"/>
      <c r="CO231" s="4317"/>
      <c r="CP231" s="4317"/>
      <c r="CQ231" s="4317"/>
      <c r="CR231" s="4317"/>
      <c r="CS231" s="4317"/>
      <c r="CT231" s="4317"/>
      <c r="CU231" s="4317"/>
      <c r="CV231" s="4317"/>
      <c r="CW231" s="4317"/>
      <c r="CX231" s="4317"/>
      <c r="CY231" s="4317"/>
      <c r="CZ231" s="4317"/>
      <c r="DA231" s="4317"/>
      <c r="DB231" s="4317"/>
      <c r="DC231" s="4317"/>
      <c r="DD231" s="4317"/>
      <c r="DE231" s="4317"/>
      <c r="DF231" s="4317"/>
      <c r="DG231" s="4317"/>
      <c r="DH231" s="4317"/>
      <c r="DI231" s="4317"/>
      <c r="DJ231" s="4317"/>
      <c r="DK231" s="4317"/>
      <c r="DL231" s="4317"/>
      <c r="DM231" s="4317"/>
      <c r="DN231" s="4317"/>
      <c r="DO231" s="4317"/>
      <c r="DP231" s="4317"/>
      <c r="DQ231" s="4317"/>
      <c r="DR231" s="4317"/>
      <c r="DS231" s="4317"/>
    </row>
    <row r="232" s="4134" customFormat="1" ht="19.5" customHeight="1" spans="1:124">
      <c r="A232" s="4312" t="s">
        <v>4876</v>
      </c>
      <c r="B232" s="4313"/>
      <c r="C232" s="4313"/>
      <c r="D232" s="4313"/>
      <c r="E232" s="4313"/>
      <c r="F232" s="4341">
        <f>SUM(F230:L231)</f>
        <v>0</v>
      </c>
      <c r="G232" s="4341"/>
      <c r="H232" s="4341"/>
      <c r="I232" s="4341"/>
      <c r="J232" s="4341"/>
      <c r="K232" s="4341"/>
      <c r="L232" s="4341"/>
      <c r="M232" s="4317"/>
      <c r="N232" s="4317"/>
      <c r="O232" s="4342" t="s">
        <v>4874</v>
      </c>
      <c r="P232" s="4317"/>
      <c r="Q232" s="4295"/>
      <c r="R232" s="4317"/>
      <c r="S232" s="4317"/>
      <c r="T232" s="4317"/>
      <c r="U232" s="4317"/>
      <c r="V232" s="4317"/>
      <c r="W232" s="4317"/>
      <c r="X232" s="4317"/>
      <c r="Y232" s="4317"/>
      <c r="Z232" s="4317"/>
      <c r="AA232" s="4317"/>
      <c r="AB232" s="4317"/>
      <c r="AC232" s="4295"/>
      <c r="AD232" s="4317"/>
      <c r="AE232" s="4317"/>
      <c r="AF232" s="4319"/>
      <c r="AG232" s="4319"/>
      <c r="AH232" s="4317"/>
      <c r="AI232" s="4317"/>
      <c r="AJ232" s="4317"/>
      <c r="AK232" s="4317"/>
      <c r="AL232" s="4317"/>
      <c r="AM232" s="4317"/>
      <c r="AN232" s="4317"/>
      <c r="AO232" s="4317"/>
      <c r="AP232" s="4317"/>
      <c r="AQ232" s="4317"/>
      <c r="AR232" s="4317"/>
      <c r="AS232" s="4317"/>
      <c r="AT232" s="4317"/>
      <c r="AU232" s="4317"/>
      <c r="AV232" s="4317"/>
      <c r="AW232" s="4317"/>
      <c r="AX232" s="4317"/>
      <c r="AY232" s="4317"/>
      <c r="AZ232" s="4317"/>
      <c r="BA232" s="4317"/>
      <c r="BB232" s="4317"/>
      <c r="BC232" s="4317"/>
      <c r="BD232" s="4317"/>
      <c r="BE232" s="4317"/>
      <c r="BF232" s="4317"/>
      <c r="BG232" s="4317"/>
      <c r="BH232" s="4317"/>
      <c r="BI232" s="4317"/>
      <c r="BJ232" s="4317"/>
      <c r="BK232" s="4317"/>
      <c r="BL232" s="4317"/>
      <c r="BM232" s="4317"/>
      <c r="BN232" s="4317"/>
      <c r="BO232" s="4317"/>
      <c r="BP232" s="4317"/>
      <c r="BQ232" s="4317"/>
      <c r="BR232" s="4317"/>
      <c r="BS232" s="4317"/>
      <c r="BT232" s="4317"/>
      <c r="BU232" s="4317"/>
      <c r="BV232" s="4317"/>
      <c r="BW232" s="4317"/>
      <c r="BX232" s="4317"/>
      <c r="BY232" s="4317"/>
      <c r="BZ232" s="4317"/>
      <c r="CA232" s="4317"/>
      <c r="CB232" s="4317"/>
      <c r="CC232" s="4317"/>
      <c r="CD232" s="4317"/>
      <c r="CE232" s="4317"/>
      <c r="CF232" s="4317"/>
      <c r="CG232" s="4317"/>
      <c r="CH232" s="4317"/>
      <c r="CI232" s="4317"/>
      <c r="CJ232" s="4317"/>
      <c r="CK232" s="4317"/>
      <c r="CL232" s="4317"/>
      <c r="CM232" s="4317"/>
      <c r="CN232" s="4317"/>
      <c r="CO232" s="4317"/>
      <c r="CP232" s="4317"/>
      <c r="CQ232" s="4317"/>
      <c r="CR232" s="4317"/>
      <c r="CS232" s="4317"/>
      <c r="CT232" s="4317"/>
      <c r="CU232" s="4317"/>
      <c r="CV232" s="4317"/>
      <c r="CW232" s="4317"/>
      <c r="CX232" s="4317"/>
      <c r="CY232" s="4317"/>
      <c r="CZ232" s="4317"/>
      <c r="DA232" s="4317"/>
      <c r="DB232" s="4317"/>
      <c r="DC232" s="4317"/>
      <c r="DD232" s="4317"/>
      <c r="DE232" s="4317"/>
      <c r="DF232" s="4317"/>
      <c r="DG232" s="4317"/>
      <c r="DH232" s="4317"/>
      <c r="DI232" s="4317"/>
      <c r="DJ232" s="4317"/>
      <c r="DK232" s="4317"/>
      <c r="DL232" s="4317"/>
      <c r="DM232" s="4317"/>
      <c r="DN232" s="4317"/>
      <c r="DO232" s="4317"/>
      <c r="DP232" s="4317"/>
      <c r="DQ232" s="4317"/>
      <c r="DR232" s="4317"/>
      <c r="DS232" s="4317"/>
    </row>
    <row r="233" s="4134" customFormat="1" ht="19.5" customHeight="1" spans="1:124">
      <c r="A233" s="4304" t="s">
        <v>3441</v>
      </c>
      <c r="B233" s="4324"/>
      <c r="C233" s="4324"/>
      <c r="D233" s="4324"/>
      <c r="E233" s="4324"/>
      <c r="F233" s="4343"/>
      <c r="G233" s="4343"/>
      <c r="H233" s="4343"/>
      <c r="I233" s="4343"/>
      <c r="J233" s="4343"/>
      <c r="K233" s="4343"/>
      <c r="L233" s="4343"/>
      <c r="M233" s="4317"/>
      <c r="N233" s="4317"/>
      <c r="O233" s="4340" t="s">
        <v>4877</v>
      </c>
      <c r="P233" s="4317"/>
      <c r="Q233" s="4295"/>
      <c r="R233" s="4317"/>
      <c r="S233" s="4317"/>
      <c r="T233" s="4317"/>
      <c r="U233" s="4317"/>
      <c r="V233" s="4317"/>
      <c r="W233" s="4317"/>
      <c r="X233" s="4317"/>
      <c r="Y233" s="4317"/>
      <c r="Z233" s="4317"/>
      <c r="AA233" s="4317"/>
      <c r="AB233" s="4317"/>
      <c r="AC233" s="4295"/>
      <c r="AD233" s="4317"/>
      <c r="AE233" s="4317"/>
      <c r="AF233" s="4319"/>
      <c r="AG233" s="4319"/>
      <c r="AH233" s="4317"/>
      <c r="AI233" s="4317"/>
      <c r="AJ233" s="4317"/>
      <c r="AK233" s="4317"/>
      <c r="AL233" s="4317"/>
      <c r="AM233" s="4317"/>
      <c r="AN233" s="4317"/>
      <c r="AO233" s="4317"/>
      <c r="AP233" s="4317"/>
      <c r="AQ233" s="4317"/>
      <c r="AR233" s="4317"/>
      <c r="AS233" s="4317"/>
      <c r="AT233" s="4317"/>
      <c r="AU233" s="4317"/>
      <c r="AV233" s="4317"/>
      <c r="AW233" s="4317"/>
      <c r="AX233" s="4317"/>
      <c r="AY233" s="4317"/>
      <c r="AZ233" s="4317"/>
      <c r="BA233" s="4317"/>
      <c r="BB233" s="4317"/>
      <c r="BC233" s="4317"/>
      <c r="BD233" s="4317"/>
      <c r="BE233" s="4317"/>
      <c r="BF233" s="4317"/>
      <c r="BG233" s="4317"/>
      <c r="BH233" s="4317"/>
      <c r="BI233" s="4317"/>
      <c r="BJ233" s="4317"/>
      <c r="BK233" s="4317"/>
      <c r="BL233" s="4317"/>
      <c r="BM233" s="4317"/>
      <c r="BN233" s="4317"/>
      <c r="BO233" s="4317"/>
      <c r="BP233" s="4317"/>
      <c r="BQ233" s="4317"/>
      <c r="BR233" s="4317"/>
      <c r="BS233" s="4317"/>
      <c r="BT233" s="4317"/>
      <c r="BU233" s="4317"/>
      <c r="BV233" s="4317"/>
      <c r="BW233" s="4317"/>
      <c r="BX233" s="4317"/>
      <c r="BY233" s="4317"/>
      <c r="BZ233" s="4317"/>
      <c r="CA233" s="4317"/>
      <c r="CB233" s="4317"/>
      <c r="CC233" s="4317"/>
      <c r="CD233" s="4317"/>
      <c r="CE233" s="4317"/>
      <c r="CF233" s="4317"/>
      <c r="CG233" s="4317"/>
      <c r="CH233" s="4317"/>
      <c r="CI233" s="4317"/>
      <c r="CJ233" s="4317"/>
      <c r="CK233" s="4317"/>
      <c r="CL233" s="4317"/>
      <c r="CM233" s="4317"/>
      <c r="CN233" s="4317"/>
      <c r="CO233" s="4317"/>
      <c r="CP233" s="4317"/>
      <c r="CQ233" s="4317"/>
      <c r="CR233" s="4317"/>
      <c r="CS233" s="4317"/>
      <c r="CT233" s="4317"/>
      <c r="CU233" s="4317"/>
      <c r="CV233" s="4317"/>
      <c r="CW233" s="4317"/>
      <c r="CX233" s="4317"/>
      <c r="CY233" s="4317"/>
      <c r="CZ233" s="4317"/>
      <c r="DA233" s="4317"/>
      <c r="DB233" s="4317"/>
      <c r="DC233" s="4317"/>
      <c r="DD233" s="4317"/>
      <c r="DE233" s="4317"/>
      <c r="DF233" s="4317"/>
      <c r="DG233" s="4317"/>
      <c r="DH233" s="4317"/>
      <c r="DI233" s="4317"/>
      <c r="DJ233" s="4317"/>
      <c r="DK233" s="4317"/>
      <c r="DL233" s="4317"/>
      <c r="DM233" s="4317"/>
      <c r="DN233" s="4317"/>
      <c r="DO233" s="4317"/>
      <c r="DP233" s="4317"/>
      <c r="DQ233" s="4317"/>
      <c r="DR233" s="4317"/>
      <c r="DS233" s="4317"/>
    </row>
    <row r="234" s="4134" customFormat="1" ht="19.5" customHeight="1" spans="1:124">
      <c r="A234" s="4304" t="s">
        <v>3444</v>
      </c>
      <c r="B234" s="4324"/>
      <c r="C234" s="4324"/>
      <c r="D234" s="4324"/>
      <c r="E234" s="4324"/>
      <c r="F234" s="4300">
        <v>804</v>
      </c>
      <c r="G234" s="4300"/>
      <c r="H234" s="4300"/>
      <c r="I234" s="4300"/>
      <c r="J234" s="4300"/>
      <c r="K234" s="4300"/>
      <c r="L234" s="4300"/>
      <c r="M234" s="4317"/>
      <c r="N234" s="4317"/>
      <c r="O234" s="4340" t="s">
        <v>4878</v>
      </c>
      <c r="P234" s="4317"/>
      <c r="Q234" s="4295"/>
      <c r="R234" s="4317"/>
      <c r="S234" s="4317"/>
      <c r="T234" s="4317"/>
      <c r="U234" s="4317"/>
      <c r="V234" s="4317"/>
      <c r="W234" s="4317"/>
      <c r="X234" s="4317"/>
      <c r="Y234" s="4317"/>
      <c r="Z234" s="4317"/>
      <c r="AA234" s="4317"/>
      <c r="AB234" s="4317"/>
      <c r="AC234" s="4295"/>
      <c r="AD234" s="4317"/>
      <c r="AE234" s="4317"/>
      <c r="AF234" s="4319"/>
      <c r="AG234" s="4319"/>
      <c r="AH234" s="4317"/>
      <c r="AI234" s="4317"/>
      <c r="AJ234" s="4317"/>
      <c r="AK234" s="4317"/>
      <c r="AL234" s="4317"/>
      <c r="AM234" s="4317"/>
      <c r="AN234" s="4317"/>
      <c r="AO234" s="4317"/>
      <c r="AP234" s="4317"/>
      <c r="AQ234" s="4317"/>
      <c r="AR234" s="4317"/>
      <c r="AS234" s="4317"/>
      <c r="AT234" s="4317"/>
      <c r="AU234" s="4317"/>
      <c r="AV234" s="4317"/>
      <c r="AW234" s="4317"/>
      <c r="AX234" s="4317"/>
      <c r="AY234" s="4317"/>
      <c r="AZ234" s="4317"/>
      <c r="BA234" s="4317"/>
      <c r="BB234" s="4317"/>
      <c r="BC234" s="4317"/>
      <c r="BD234" s="4317"/>
      <c r="BE234" s="4317"/>
      <c r="BF234" s="4317"/>
      <c r="BG234" s="4317"/>
      <c r="BH234" s="4317"/>
      <c r="BI234" s="4317"/>
      <c r="BJ234" s="4317"/>
      <c r="BK234" s="4317"/>
      <c r="BL234" s="4317"/>
      <c r="BM234" s="4317"/>
      <c r="BN234" s="4317"/>
      <c r="BO234" s="4317"/>
      <c r="BP234" s="4317"/>
      <c r="BQ234" s="4317"/>
      <c r="BR234" s="4317"/>
      <c r="BS234" s="4317"/>
      <c r="BT234" s="4317"/>
      <c r="BU234" s="4317"/>
      <c r="BV234" s="4317"/>
      <c r="BW234" s="4317"/>
      <c r="BX234" s="4317"/>
      <c r="BY234" s="4317"/>
      <c r="BZ234" s="4317"/>
      <c r="CA234" s="4317"/>
      <c r="CB234" s="4317"/>
      <c r="CC234" s="4317"/>
      <c r="CD234" s="4317"/>
      <c r="CE234" s="4317"/>
      <c r="CF234" s="4317"/>
      <c r="CG234" s="4317"/>
      <c r="CH234" s="4317"/>
      <c r="CI234" s="4317"/>
      <c r="CJ234" s="4317"/>
      <c r="CK234" s="4317"/>
      <c r="CL234" s="4317"/>
      <c r="CM234" s="4317"/>
      <c r="CN234" s="4317"/>
      <c r="CO234" s="4317"/>
      <c r="CP234" s="4317"/>
      <c r="CQ234" s="4317"/>
      <c r="CR234" s="4317"/>
      <c r="CS234" s="4317"/>
      <c r="CT234" s="4317"/>
      <c r="CU234" s="4317"/>
      <c r="CV234" s="4317"/>
      <c r="CW234" s="4317"/>
      <c r="CX234" s="4317"/>
      <c r="CY234" s="4317"/>
      <c r="CZ234" s="4317"/>
      <c r="DA234" s="4317"/>
      <c r="DB234" s="4317"/>
      <c r="DC234" s="4317"/>
      <c r="DD234" s="4317"/>
      <c r="DE234" s="4317"/>
      <c r="DF234" s="4317"/>
      <c r="DG234" s="4317"/>
      <c r="DH234" s="4317"/>
      <c r="DI234" s="4317"/>
      <c r="DJ234" s="4317"/>
      <c r="DK234" s="4317"/>
      <c r="DL234" s="4317"/>
      <c r="DM234" s="4317"/>
      <c r="DN234" s="4317"/>
      <c r="DO234" s="4317"/>
      <c r="DP234" s="4317"/>
      <c r="DQ234" s="4317"/>
      <c r="DR234" s="4317"/>
      <c r="DS234" s="4317"/>
    </row>
    <row r="235" s="4134" customFormat="1" ht="19.5" customHeight="1" spans="1:124">
      <c r="A235" s="4304" t="s">
        <v>3447</v>
      </c>
      <c r="B235" s="4324"/>
      <c r="C235" s="4324"/>
      <c r="D235" s="4324"/>
      <c r="E235" s="4324"/>
      <c r="F235" s="4300">
        <v>7591</v>
      </c>
      <c r="G235" s="4300"/>
      <c r="H235" s="4300"/>
      <c r="I235" s="4300"/>
      <c r="J235" s="4300"/>
      <c r="K235" s="4300"/>
      <c r="L235" s="4300"/>
      <c r="M235" s="4317"/>
      <c r="N235" s="4317"/>
      <c r="O235" s="4340" t="s">
        <v>4879</v>
      </c>
      <c r="P235" s="4317"/>
      <c r="Q235" s="4295"/>
      <c r="R235" s="4317"/>
      <c r="S235" s="4317"/>
      <c r="T235" s="4317"/>
      <c r="U235" s="4317"/>
      <c r="V235" s="4317"/>
      <c r="W235" s="4317"/>
      <c r="X235" s="4317"/>
      <c r="Y235" s="4317"/>
      <c r="Z235" s="4317"/>
      <c r="AA235" s="4317"/>
      <c r="AB235" s="4317"/>
      <c r="AC235" s="4295"/>
      <c r="AD235" s="4317"/>
      <c r="AE235" s="4317"/>
      <c r="AF235" s="4319"/>
      <c r="AG235" s="4319"/>
      <c r="AH235" s="4317"/>
      <c r="AI235" s="4317"/>
      <c r="AJ235" s="4317"/>
      <c r="AK235" s="4317"/>
      <c r="AL235" s="4317"/>
      <c r="AM235" s="4317"/>
      <c r="AN235" s="4317"/>
      <c r="AO235" s="4317"/>
      <c r="AP235" s="4317"/>
      <c r="AQ235" s="4317"/>
      <c r="AR235" s="4317"/>
      <c r="AS235" s="4317"/>
      <c r="AT235" s="4317"/>
      <c r="AU235" s="4317"/>
      <c r="AV235" s="4317"/>
      <c r="AW235" s="4317"/>
      <c r="AX235" s="4317"/>
      <c r="AY235" s="4317"/>
      <c r="AZ235" s="4317"/>
      <c r="BA235" s="4317"/>
      <c r="BB235" s="4317"/>
      <c r="BC235" s="4317"/>
      <c r="BD235" s="4317"/>
      <c r="BE235" s="4317"/>
      <c r="BF235" s="4317"/>
      <c r="BG235" s="4317"/>
      <c r="BH235" s="4317"/>
      <c r="BI235" s="4317"/>
      <c r="BJ235" s="4317"/>
      <c r="BK235" s="4317"/>
      <c r="BL235" s="4317"/>
      <c r="BM235" s="4317"/>
      <c r="BN235" s="4317"/>
      <c r="BO235" s="4317"/>
      <c r="BP235" s="4317"/>
      <c r="BQ235" s="4317"/>
      <c r="BR235" s="4317"/>
      <c r="BS235" s="4317"/>
      <c r="BT235" s="4317"/>
      <c r="BU235" s="4317"/>
      <c r="BV235" s="4317"/>
      <c r="BW235" s="4317"/>
      <c r="BX235" s="4317"/>
      <c r="BY235" s="4317"/>
      <c r="BZ235" s="4317"/>
      <c r="CA235" s="4317"/>
      <c r="CB235" s="4317"/>
      <c r="CC235" s="4317"/>
      <c r="CD235" s="4317"/>
      <c r="CE235" s="4317"/>
      <c r="CF235" s="4317"/>
      <c r="CG235" s="4317"/>
      <c r="CH235" s="4317"/>
      <c r="CI235" s="4317"/>
      <c r="CJ235" s="4317"/>
      <c r="CK235" s="4317"/>
      <c r="CL235" s="4317"/>
      <c r="CM235" s="4317"/>
      <c r="CN235" s="4317"/>
      <c r="CO235" s="4317"/>
      <c r="CP235" s="4317"/>
      <c r="CQ235" s="4317"/>
      <c r="CR235" s="4317"/>
      <c r="CS235" s="4317"/>
      <c r="CT235" s="4317"/>
      <c r="CU235" s="4317"/>
      <c r="CV235" s="4317"/>
      <c r="CW235" s="4317"/>
      <c r="CX235" s="4317"/>
      <c r="CY235" s="4317"/>
      <c r="CZ235" s="4317"/>
      <c r="DA235" s="4317"/>
      <c r="DB235" s="4317"/>
      <c r="DC235" s="4317"/>
      <c r="DD235" s="4317"/>
      <c r="DE235" s="4317"/>
      <c r="DF235" s="4317"/>
      <c r="DG235" s="4317"/>
      <c r="DH235" s="4317"/>
      <c r="DI235" s="4317"/>
      <c r="DJ235" s="4317"/>
      <c r="DK235" s="4317"/>
      <c r="DL235" s="4317"/>
      <c r="DM235" s="4317"/>
      <c r="DN235" s="4317"/>
      <c r="DO235" s="4317"/>
      <c r="DP235" s="4317"/>
      <c r="DQ235" s="4317"/>
      <c r="DR235" s="4317"/>
      <c r="DS235" s="4317"/>
    </row>
    <row r="236" s="4134" customFormat="1" ht="19.5" customHeight="1" spans="1:124">
      <c r="A236" s="4304" t="s">
        <v>3451</v>
      </c>
      <c r="B236" s="4324"/>
      <c r="C236" s="4324"/>
      <c r="D236" s="4324"/>
      <c r="E236" s="4324"/>
      <c r="F236" s="4300">
        <v>0</v>
      </c>
      <c r="G236" s="4300"/>
      <c r="H236" s="4300"/>
      <c r="I236" s="4300"/>
      <c r="J236" s="4300"/>
      <c r="K236" s="4300"/>
      <c r="L236" s="4300"/>
      <c r="M236" s="4317"/>
      <c r="N236" s="4317"/>
      <c r="O236" s="4340" t="s">
        <v>4880</v>
      </c>
      <c r="P236" s="4317"/>
      <c r="Q236" s="4295"/>
      <c r="R236" s="4317"/>
      <c r="S236" s="4317"/>
      <c r="T236" s="4317"/>
      <c r="U236" s="4317"/>
      <c r="V236" s="4317"/>
      <c r="W236" s="4317"/>
      <c r="X236" s="4317"/>
      <c r="Y236" s="4317"/>
      <c r="Z236" s="4317"/>
      <c r="AA236" s="4317"/>
      <c r="AB236" s="4317"/>
      <c r="AC236" s="4295"/>
      <c r="AD236" s="4317"/>
      <c r="AE236" s="4317"/>
      <c r="AF236" s="4319"/>
      <c r="AG236" s="4319"/>
      <c r="AH236" s="4317"/>
      <c r="AI236" s="4317"/>
      <c r="AJ236" s="4317"/>
      <c r="AK236" s="4317"/>
      <c r="AL236" s="4317"/>
      <c r="AM236" s="4317"/>
      <c r="AN236" s="4317"/>
      <c r="AO236" s="4317"/>
      <c r="AP236" s="4317"/>
      <c r="AQ236" s="4317"/>
      <c r="AR236" s="4317"/>
      <c r="AS236" s="4317"/>
      <c r="AT236" s="4317"/>
      <c r="AU236" s="4317"/>
      <c r="AV236" s="4317"/>
      <c r="AW236" s="4317"/>
      <c r="AX236" s="4317"/>
      <c r="AY236" s="4317"/>
      <c r="AZ236" s="4317"/>
      <c r="BA236" s="4317"/>
      <c r="BB236" s="4317"/>
      <c r="BC236" s="4317"/>
      <c r="BD236" s="4317"/>
      <c r="BE236" s="4317"/>
      <c r="BF236" s="4317"/>
      <c r="BG236" s="4317"/>
      <c r="BH236" s="4317"/>
      <c r="BI236" s="4317"/>
      <c r="BJ236" s="4317"/>
      <c r="BK236" s="4317"/>
      <c r="BL236" s="4317"/>
      <c r="BM236" s="4317"/>
      <c r="BN236" s="4317"/>
      <c r="BO236" s="4317"/>
      <c r="BP236" s="4317"/>
      <c r="BQ236" s="4317"/>
      <c r="BR236" s="4317"/>
      <c r="BS236" s="4317"/>
      <c r="BT236" s="4317"/>
      <c r="BU236" s="4317"/>
      <c r="BV236" s="4317"/>
      <c r="BW236" s="4317"/>
      <c r="BX236" s="4317"/>
      <c r="BY236" s="4317"/>
      <c r="BZ236" s="4317"/>
      <c r="CA236" s="4317"/>
      <c r="CB236" s="4317"/>
      <c r="CC236" s="4317"/>
      <c r="CD236" s="4317"/>
      <c r="CE236" s="4317"/>
      <c r="CF236" s="4317"/>
      <c r="CG236" s="4317"/>
      <c r="CH236" s="4317"/>
      <c r="CI236" s="4317"/>
      <c r="CJ236" s="4317"/>
      <c r="CK236" s="4317"/>
      <c r="CL236" s="4317"/>
      <c r="CM236" s="4317"/>
      <c r="CN236" s="4317"/>
      <c r="CO236" s="4317"/>
      <c r="CP236" s="4317"/>
      <c r="CQ236" s="4317"/>
      <c r="CR236" s="4317"/>
      <c r="CS236" s="4317"/>
      <c r="CT236" s="4317"/>
      <c r="CU236" s="4317"/>
      <c r="CV236" s="4317"/>
      <c r="CW236" s="4317"/>
      <c r="CX236" s="4317"/>
      <c r="CY236" s="4317"/>
      <c r="CZ236" s="4317"/>
      <c r="DA236" s="4317"/>
      <c r="DB236" s="4317"/>
      <c r="DC236" s="4317"/>
      <c r="DD236" s="4317"/>
      <c r="DE236" s="4317"/>
      <c r="DF236" s="4317"/>
      <c r="DG236" s="4317"/>
      <c r="DH236" s="4317"/>
      <c r="DI236" s="4317"/>
      <c r="DJ236" s="4317"/>
      <c r="DK236" s="4317"/>
      <c r="DL236" s="4317"/>
      <c r="DM236" s="4317"/>
      <c r="DN236" s="4317"/>
      <c r="DO236" s="4317"/>
      <c r="DP236" s="4317"/>
      <c r="DQ236" s="4317"/>
      <c r="DR236" s="4317"/>
      <c r="DS236" s="4317"/>
    </row>
    <row r="237" s="4134" customFormat="1" ht="19.5" customHeight="1" spans="1:124">
      <c r="A237" s="4304" t="s">
        <v>3454</v>
      </c>
      <c r="B237" s="4324"/>
      <c r="C237" s="4324"/>
      <c r="D237" s="4324"/>
      <c r="E237" s="4324"/>
      <c r="F237" s="4300"/>
      <c r="G237" s="4300"/>
      <c r="H237" s="4300"/>
      <c r="I237" s="4300"/>
      <c r="J237" s="4300"/>
      <c r="K237" s="4300"/>
      <c r="L237" s="4300"/>
      <c r="M237" s="4317"/>
      <c r="N237" s="4317"/>
      <c r="O237" s="4340" t="s">
        <v>4881</v>
      </c>
      <c r="P237" s="4317"/>
      <c r="Q237" s="4295"/>
      <c r="R237" s="4317"/>
      <c r="S237" s="4317"/>
      <c r="T237" s="4317"/>
      <c r="U237" s="4317"/>
      <c r="V237" s="4317"/>
      <c r="W237" s="4317"/>
      <c r="X237" s="4317"/>
      <c r="Y237" s="4317"/>
      <c r="Z237" s="4317"/>
      <c r="AA237" s="4317"/>
      <c r="AB237" s="4317"/>
      <c r="AC237" s="4295"/>
      <c r="AD237" s="4317"/>
      <c r="AE237" s="4317"/>
      <c r="AF237" s="4317"/>
      <c r="AG237" s="4317"/>
      <c r="AH237" s="4317"/>
      <c r="AI237" s="4317"/>
      <c r="AJ237" s="4317"/>
      <c r="AK237" s="4317"/>
      <c r="AL237" s="4317"/>
      <c r="AM237" s="4317"/>
      <c r="AN237" s="4317"/>
      <c r="AO237" s="4317"/>
      <c r="AP237" s="4317"/>
      <c r="AQ237" s="4317"/>
      <c r="AR237" s="4317"/>
      <c r="AS237" s="4317"/>
      <c r="AT237" s="4317"/>
      <c r="AU237" s="4317"/>
      <c r="AV237" s="4317"/>
      <c r="AW237" s="4317"/>
      <c r="AX237" s="4317"/>
      <c r="AY237" s="4317"/>
      <c r="AZ237" s="4317"/>
      <c r="BA237" s="4317"/>
      <c r="BB237" s="4317"/>
      <c r="BC237" s="4317"/>
      <c r="BD237" s="4317"/>
      <c r="BE237" s="4317"/>
      <c r="BF237" s="4317"/>
      <c r="BG237" s="4317"/>
      <c r="BH237" s="4317"/>
      <c r="BI237" s="4317"/>
      <c r="BJ237" s="4317"/>
      <c r="BK237" s="4317"/>
      <c r="BL237" s="4317"/>
      <c r="BM237" s="4317"/>
      <c r="BN237" s="4317"/>
      <c r="BO237" s="4317"/>
      <c r="BP237" s="4317"/>
      <c r="BQ237" s="4317"/>
      <c r="BR237" s="4317"/>
      <c r="BS237" s="4317"/>
      <c r="BT237" s="4317"/>
      <c r="BU237" s="4317"/>
      <c r="BV237" s="4317"/>
      <c r="BW237" s="4317"/>
      <c r="BX237" s="4317"/>
      <c r="BY237" s="4317"/>
      <c r="BZ237" s="4317"/>
      <c r="CA237" s="4317"/>
      <c r="CB237" s="4317"/>
      <c r="CC237" s="4317"/>
      <c r="CD237" s="4317"/>
      <c r="CE237" s="4317"/>
      <c r="CF237" s="4317"/>
      <c r="CG237" s="4317"/>
      <c r="CH237" s="4317"/>
      <c r="CI237" s="4317"/>
      <c r="CJ237" s="4317"/>
      <c r="CK237" s="4317"/>
      <c r="CL237" s="4317"/>
      <c r="CM237" s="4317"/>
      <c r="CN237" s="4317"/>
      <c r="CO237" s="4317"/>
      <c r="CP237" s="4317"/>
      <c r="CQ237" s="4317"/>
      <c r="CR237" s="4317"/>
      <c r="CS237" s="4317"/>
      <c r="CT237" s="4317"/>
      <c r="CU237" s="4317"/>
      <c r="CV237" s="4317"/>
      <c r="CW237" s="4317"/>
      <c r="CX237" s="4317"/>
      <c r="CY237" s="4317"/>
      <c r="CZ237" s="4317"/>
      <c r="DA237" s="4317"/>
      <c r="DB237" s="4317"/>
      <c r="DC237" s="4317"/>
      <c r="DD237" s="4317"/>
      <c r="DE237" s="4317"/>
      <c r="DF237" s="4317"/>
      <c r="DG237" s="4317"/>
      <c r="DH237" s="4317"/>
      <c r="DI237" s="4317"/>
      <c r="DJ237" s="4317"/>
      <c r="DK237" s="4317"/>
      <c r="DL237" s="4317"/>
      <c r="DM237" s="4317"/>
      <c r="DN237" s="4317"/>
      <c r="DO237" s="4317"/>
      <c r="DP237" s="4317"/>
      <c r="DQ237" s="4317"/>
      <c r="DR237" s="4317"/>
      <c r="DS237" s="4317"/>
    </row>
    <row r="238" s="4134" customFormat="1" ht="19.5" customHeight="1" spans="1:124">
      <c r="A238" s="4304" t="s">
        <v>3473</v>
      </c>
      <c r="B238" s="4324"/>
      <c r="C238" s="4324"/>
      <c r="D238" s="4324"/>
      <c r="E238" s="4324"/>
      <c r="F238" s="4300"/>
      <c r="G238" s="4300"/>
      <c r="H238" s="4300"/>
      <c r="I238" s="4300"/>
      <c r="J238" s="4300"/>
      <c r="K238" s="4300"/>
      <c r="L238" s="4300"/>
      <c r="M238" s="4317"/>
      <c r="N238" s="4317"/>
      <c r="O238" s="4340" t="s">
        <v>4882</v>
      </c>
      <c r="P238" s="4317"/>
      <c r="Q238" s="4295"/>
      <c r="R238" s="4317"/>
      <c r="S238" s="4317"/>
      <c r="T238" s="4317"/>
      <c r="U238" s="4317"/>
      <c r="V238" s="4317"/>
      <c r="W238" s="4317"/>
      <c r="X238" s="4317"/>
      <c r="Y238" s="4317"/>
      <c r="Z238" s="4317"/>
      <c r="AA238" s="4317"/>
      <c r="AB238" s="4317"/>
      <c r="AC238" s="4295"/>
      <c r="AD238" s="4317"/>
      <c r="AE238" s="4317"/>
      <c r="AF238" s="4317"/>
      <c r="AG238" s="4317"/>
      <c r="AH238" s="4317"/>
      <c r="AI238" s="4317"/>
      <c r="AJ238" s="4317"/>
      <c r="AK238" s="4317"/>
      <c r="AL238" s="4317"/>
      <c r="AM238" s="4317"/>
      <c r="AN238" s="4317"/>
      <c r="AO238" s="4317"/>
      <c r="AP238" s="4317"/>
      <c r="AQ238" s="4317"/>
      <c r="AR238" s="4317"/>
      <c r="AS238" s="4317"/>
      <c r="AT238" s="4317"/>
      <c r="AU238" s="4317"/>
      <c r="AV238" s="4317"/>
      <c r="AW238" s="4317"/>
      <c r="AX238" s="4317"/>
      <c r="AY238" s="4317"/>
      <c r="AZ238" s="4317"/>
      <c r="BA238" s="4317"/>
      <c r="BB238" s="4317"/>
      <c r="BC238" s="4317"/>
      <c r="BD238" s="4317"/>
      <c r="BE238" s="4317"/>
      <c r="BF238" s="4317"/>
      <c r="BG238" s="4317"/>
      <c r="BH238" s="4317"/>
      <c r="BI238" s="4317"/>
      <c r="BJ238" s="4317"/>
      <c r="BK238" s="4317"/>
      <c r="BL238" s="4317"/>
      <c r="BM238" s="4317"/>
      <c r="BN238" s="4317"/>
      <c r="BO238" s="4317"/>
      <c r="BP238" s="4317"/>
      <c r="BQ238" s="4317"/>
      <c r="BR238" s="4317"/>
      <c r="BS238" s="4317"/>
      <c r="BT238" s="4317"/>
      <c r="BU238" s="4317"/>
      <c r="BV238" s="4317"/>
      <c r="BW238" s="4317"/>
      <c r="BX238" s="4317"/>
      <c r="BY238" s="4317"/>
      <c r="BZ238" s="4317"/>
      <c r="CA238" s="4317"/>
      <c r="CB238" s="4317"/>
      <c r="CC238" s="4317"/>
      <c r="CD238" s="4317"/>
      <c r="CE238" s="4317"/>
      <c r="CF238" s="4317"/>
      <c r="CG238" s="4317"/>
      <c r="CH238" s="4317"/>
      <c r="CI238" s="4317"/>
      <c r="CJ238" s="4317"/>
      <c r="CK238" s="4317"/>
      <c r="CL238" s="4317"/>
      <c r="CM238" s="4317"/>
      <c r="CN238" s="4317"/>
      <c r="CO238" s="4317"/>
      <c r="CP238" s="4317"/>
      <c r="CQ238" s="4317"/>
      <c r="CR238" s="4317"/>
      <c r="CS238" s="4317"/>
      <c r="CT238" s="4317"/>
      <c r="CU238" s="4317"/>
      <c r="CV238" s="4317"/>
      <c r="CW238" s="4317"/>
      <c r="CX238" s="4317"/>
      <c r="CY238" s="4317"/>
      <c r="CZ238" s="4317"/>
      <c r="DA238" s="4317"/>
      <c r="DB238" s="4317"/>
      <c r="DC238" s="4317"/>
      <c r="DD238" s="4317"/>
      <c r="DE238" s="4317"/>
      <c r="DF238" s="4317"/>
      <c r="DG238" s="4317"/>
      <c r="DH238" s="4317"/>
      <c r="DI238" s="4317"/>
      <c r="DJ238" s="4317"/>
      <c r="DK238" s="4317"/>
      <c r="DL238" s="4317"/>
      <c r="DM238" s="4317"/>
      <c r="DN238" s="4317"/>
      <c r="DO238" s="4317"/>
      <c r="DP238" s="4317"/>
      <c r="DQ238" s="4317"/>
      <c r="DR238" s="4317"/>
      <c r="DS238" s="4317"/>
    </row>
    <row r="239" s="4134" customFormat="1" ht="19.5" customHeight="1" spans="1:124">
      <c r="A239" s="4344" t="s">
        <v>4883</v>
      </c>
      <c r="B239" s="4345"/>
      <c r="C239" s="4345"/>
      <c r="D239" s="4345"/>
      <c r="E239" s="4345"/>
      <c r="F239" s="4341">
        <f>SUM(F233:L238)</f>
        <v>8395</v>
      </c>
      <c r="G239" s="4341"/>
      <c r="H239" s="4341"/>
      <c r="I239" s="4341"/>
      <c r="J239" s="4341"/>
      <c r="K239" s="4341"/>
      <c r="L239" s="4341"/>
      <c r="M239" s="4317"/>
      <c r="N239" s="4317"/>
      <c r="O239" s="4342" t="s">
        <v>4884</v>
      </c>
      <c r="P239" s="4317"/>
      <c r="Q239" s="4295"/>
      <c r="R239" s="4317"/>
      <c r="S239" s="4317"/>
      <c r="T239" s="4317"/>
      <c r="U239" s="4317"/>
      <c r="V239" s="4317"/>
      <c r="W239" s="4317"/>
      <c r="X239" s="4317"/>
      <c r="Y239" s="4317"/>
      <c r="Z239" s="4317"/>
      <c r="AA239" s="4317"/>
      <c r="AB239" s="4317"/>
      <c r="AC239" s="4295"/>
      <c r="AD239" s="4317"/>
      <c r="AE239" s="4317"/>
      <c r="AF239" s="4317"/>
      <c r="AG239" s="4317"/>
      <c r="AH239" s="4317"/>
      <c r="AI239" s="4317"/>
      <c r="AJ239" s="4317"/>
      <c r="AK239" s="4317"/>
      <c r="AL239" s="4317"/>
      <c r="AM239" s="4317"/>
      <c r="AN239" s="4317"/>
      <c r="AO239" s="4317"/>
      <c r="AP239" s="4317"/>
      <c r="AQ239" s="4317"/>
      <c r="AR239" s="4317"/>
      <c r="AS239" s="4317"/>
      <c r="AT239" s="4317"/>
      <c r="AU239" s="4317"/>
      <c r="AV239" s="4317"/>
      <c r="AW239" s="4317"/>
      <c r="AX239" s="4317"/>
      <c r="AY239" s="4317"/>
      <c r="AZ239" s="4317"/>
      <c r="BA239" s="4317"/>
      <c r="BB239" s="4317"/>
      <c r="BC239" s="4317"/>
      <c r="BD239" s="4317"/>
      <c r="BE239" s="4317"/>
      <c r="BF239" s="4317"/>
      <c r="BG239" s="4317"/>
      <c r="BH239" s="4317"/>
      <c r="BI239" s="4317"/>
      <c r="BJ239" s="4317"/>
      <c r="BK239" s="4317"/>
      <c r="BL239" s="4317"/>
      <c r="BM239" s="4317"/>
      <c r="BN239" s="4317"/>
      <c r="BO239" s="4317"/>
      <c r="BP239" s="4317"/>
      <c r="BQ239" s="4317"/>
      <c r="BR239" s="4317"/>
      <c r="BS239" s="4317"/>
      <c r="BT239" s="4317"/>
      <c r="BU239" s="4317"/>
      <c r="BV239" s="4317"/>
      <c r="BW239" s="4317"/>
      <c r="BX239" s="4317"/>
      <c r="BY239" s="4317"/>
      <c r="BZ239" s="4317"/>
      <c r="CA239" s="4317"/>
      <c r="CB239" s="4317"/>
      <c r="CC239" s="4317"/>
      <c r="CD239" s="4317"/>
      <c r="CE239" s="4317"/>
      <c r="CF239" s="4317"/>
      <c r="CG239" s="4317"/>
      <c r="CH239" s="4317"/>
      <c r="CI239" s="4317"/>
      <c r="CJ239" s="4317"/>
      <c r="CK239" s="4317"/>
      <c r="CL239" s="4317"/>
      <c r="CM239" s="4317"/>
      <c r="CN239" s="4317"/>
      <c r="CO239" s="4317"/>
      <c r="CP239" s="4317"/>
      <c r="CQ239" s="4317"/>
      <c r="CR239" s="4317"/>
      <c r="CS239" s="4317"/>
      <c r="CT239" s="4317"/>
      <c r="CU239" s="4317"/>
      <c r="CV239" s="4317"/>
      <c r="CW239" s="4317"/>
      <c r="CX239" s="4317"/>
      <c r="CY239" s="4317"/>
      <c r="CZ239" s="4317"/>
      <c r="DA239" s="4317"/>
      <c r="DB239" s="4317"/>
      <c r="DC239" s="4317"/>
      <c r="DD239" s="4317"/>
      <c r="DE239" s="4317"/>
      <c r="DF239" s="4317"/>
      <c r="DG239" s="4317"/>
      <c r="DH239" s="4317"/>
      <c r="DI239" s="4317"/>
      <c r="DJ239" s="4317"/>
      <c r="DK239" s="4317"/>
      <c r="DL239" s="4317"/>
      <c r="DM239" s="4317"/>
      <c r="DN239" s="4317"/>
      <c r="DO239" s="4317"/>
      <c r="DP239" s="4317"/>
      <c r="DQ239" s="4317"/>
      <c r="DR239" s="4317"/>
      <c r="DS239" s="4317"/>
    </row>
    <row r="240" s="4134" customFormat="1" ht="19.5" customHeight="1" spans="1:124">
      <c r="A240" s="4346" t="s">
        <v>4885</v>
      </c>
      <c r="B240" s="4346"/>
      <c r="C240" s="4346"/>
      <c r="D240" s="4346"/>
      <c r="E240" s="4346"/>
      <c r="F240" s="4300">
        <v>87679</v>
      </c>
      <c r="G240" s="4300"/>
      <c r="H240" s="4300"/>
      <c r="I240" s="4300"/>
      <c r="J240" s="4300"/>
      <c r="K240" s="4300"/>
      <c r="L240" s="4300"/>
      <c r="M240" s="4317"/>
      <c r="N240" s="4317"/>
      <c r="O240" s="4340"/>
      <c r="P240" s="4317"/>
      <c r="Q240" s="4295"/>
      <c r="R240" s="4317"/>
      <c r="S240" s="4317"/>
      <c r="T240" s="4317"/>
      <c r="U240" s="4317"/>
      <c r="V240" s="4317"/>
      <c r="W240" s="4317"/>
      <c r="X240" s="4317"/>
      <c r="Y240" s="4317"/>
      <c r="Z240" s="4317"/>
      <c r="AA240" s="4317"/>
      <c r="AB240" s="4317"/>
      <c r="AC240" s="4295"/>
      <c r="AD240" s="4317"/>
      <c r="AE240" s="4317"/>
      <c r="AF240" s="4317"/>
      <c r="AG240" s="4317"/>
      <c r="AH240" s="4317"/>
      <c r="AI240" s="4317"/>
      <c r="AJ240" s="4317"/>
      <c r="AK240" s="4317"/>
      <c r="AL240" s="4317"/>
      <c r="AM240" s="4317"/>
      <c r="AN240" s="4317"/>
      <c r="AO240" s="4317"/>
      <c r="AP240" s="4317"/>
      <c r="AQ240" s="4317"/>
      <c r="AR240" s="4317"/>
      <c r="AS240" s="4317"/>
      <c r="AT240" s="4317"/>
      <c r="AU240" s="4317"/>
      <c r="AV240" s="4317"/>
      <c r="AW240" s="4317"/>
      <c r="AX240" s="4317"/>
      <c r="AY240" s="4317"/>
      <c r="AZ240" s="4317"/>
      <c r="BA240" s="4317"/>
      <c r="BB240" s="4317"/>
      <c r="BC240" s="4317"/>
      <c r="BD240" s="4317"/>
      <c r="BE240" s="4317"/>
      <c r="BF240" s="4317"/>
      <c r="BG240" s="4317"/>
      <c r="BH240" s="4317"/>
      <c r="BI240" s="4317"/>
      <c r="BJ240" s="4317"/>
      <c r="BK240" s="4317"/>
      <c r="BL240" s="4317"/>
      <c r="BM240" s="4317"/>
      <c r="BN240" s="4317"/>
      <c r="BO240" s="4317"/>
      <c r="BP240" s="4317"/>
      <c r="BQ240" s="4317"/>
      <c r="BR240" s="4317"/>
      <c r="BS240" s="4317"/>
      <c r="BT240" s="4317"/>
      <c r="BU240" s="4317"/>
      <c r="BV240" s="4317"/>
      <c r="BW240" s="4317"/>
      <c r="BX240" s="4317"/>
      <c r="BY240" s="4317"/>
      <c r="BZ240" s="4317"/>
      <c r="CA240" s="4317"/>
      <c r="CB240" s="4317"/>
      <c r="CC240" s="4317"/>
      <c r="CD240" s="4317"/>
      <c r="CE240" s="4317"/>
      <c r="CF240" s="4317"/>
      <c r="CG240" s="4317"/>
      <c r="CH240" s="4317"/>
      <c r="CI240" s="4317"/>
      <c r="CJ240" s="4317"/>
      <c r="CK240" s="4317"/>
      <c r="CL240" s="4317"/>
      <c r="CM240" s="4317"/>
      <c r="CN240" s="4317"/>
      <c r="CO240" s="4317"/>
      <c r="CP240" s="4317"/>
      <c r="CQ240" s="4317"/>
      <c r="CR240" s="4317"/>
      <c r="CS240" s="4317"/>
      <c r="CT240" s="4317"/>
      <c r="CU240" s="4317"/>
      <c r="CV240" s="4317"/>
      <c r="CW240" s="4317"/>
      <c r="CX240" s="4317"/>
      <c r="CY240" s="4317"/>
      <c r="CZ240" s="4317"/>
      <c r="DA240" s="4317"/>
      <c r="DB240" s="4317"/>
      <c r="DC240" s="4317"/>
      <c r="DD240" s="4317"/>
      <c r="DE240" s="4317"/>
      <c r="DF240" s="4317"/>
      <c r="DG240" s="4317"/>
      <c r="DH240" s="4317"/>
      <c r="DI240" s="4317"/>
      <c r="DJ240" s="4317"/>
      <c r="DK240" s="4317"/>
      <c r="DL240" s="4317"/>
      <c r="DM240" s="4317"/>
      <c r="DN240" s="4317"/>
      <c r="DO240" s="4317"/>
      <c r="DP240" s="4317"/>
      <c r="DQ240" s="4317"/>
      <c r="DR240" s="4317"/>
      <c r="DS240" s="4317"/>
    </row>
    <row r="241" s="4134" customFormat="1" ht="19.5" customHeight="1" spans="1:123">
      <c r="A241" s="4346" t="s">
        <v>4886</v>
      </c>
      <c r="B241" s="4346"/>
      <c r="C241" s="4346"/>
      <c r="D241" s="4346"/>
      <c r="E241" s="4346"/>
      <c r="F241" s="4300">
        <v>6929</v>
      </c>
      <c r="G241" s="4300"/>
      <c r="H241" s="4300"/>
      <c r="I241" s="4300"/>
      <c r="J241" s="4300"/>
      <c r="K241" s="4300"/>
      <c r="L241" s="4300"/>
      <c r="M241" s="4317"/>
      <c r="N241" s="4317"/>
      <c r="O241" s="4340"/>
      <c r="P241" s="4317"/>
      <c r="Q241" s="4295"/>
      <c r="R241" s="4317"/>
      <c r="S241" s="4317"/>
      <c r="T241" s="4317"/>
      <c r="U241" s="4317"/>
      <c r="V241" s="4317"/>
      <c r="W241" s="4317"/>
      <c r="X241" s="4317"/>
      <c r="Y241" s="4317"/>
      <c r="Z241" s="4317"/>
      <c r="AA241" s="4317"/>
      <c r="AB241" s="4317"/>
      <c r="AC241" s="4295"/>
      <c r="AD241" s="4317"/>
      <c r="AE241" s="4317"/>
      <c r="AF241" s="4317"/>
      <c r="AG241" s="4317"/>
      <c r="AH241" s="4317"/>
      <c r="AI241" s="4317"/>
      <c r="AJ241" s="4317"/>
      <c r="AK241" s="4317"/>
      <c r="AL241" s="4317"/>
      <c r="AM241" s="4317"/>
      <c r="AN241" s="4317"/>
      <c r="AO241" s="4317"/>
      <c r="AP241" s="4317"/>
      <c r="AQ241" s="4317"/>
      <c r="AR241" s="4317"/>
      <c r="AS241" s="4317"/>
      <c r="AT241" s="4317"/>
      <c r="AU241" s="4317"/>
      <c r="AV241" s="4317"/>
      <c r="AW241" s="4317"/>
      <c r="AX241" s="4317"/>
      <c r="AY241" s="4317"/>
      <c r="AZ241" s="4317"/>
      <c r="BA241" s="4317"/>
      <c r="BB241" s="4317"/>
      <c r="BC241" s="4317"/>
      <c r="BD241" s="4317"/>
      <c r="BE241" s="4317"/>
      <c r="BF241" s="4317"/>
      <c r="BG241" s="4317"/>
      <c r="BH241" s="4317"/>
      <c r="BI241" s="4317"/>
      <c r="BJ241" s="4317"/>
      <c r="BK241" s="4317"/>
      <c r="BL241" s="4317"/>
      <c r="BM241" s="4317"/>
      <c r="BN241" s="4317"/>
      <c r="BO241" s="4317"/>
      <c r="BP241" s="4317"/>
      <c r="BQ241" s="4317"/>
      <c r="BR241" s="4317"/>
      <c r="BS241" s="4317"/>
      <c r="BT241" s="4317"/>
      <c r="BU241" s="4317"/>
      <c r="BV241" s="4317"/>
      <c r="BW241" s="4317"/>
      <c r="BX241" s="4317"/>
      <c r="BY241" s="4317"/>
      <c r="BZ241" s="4317"/>
      <c r="CA241" s="4317"/>
      <c r="CB241" s="4317"/>
      <c r="CC241" s="4317"/>
      <c r="CD241" s="4317"/>
      <c r="CE241" s="4317"/>
      <c r="CF241" s="4317"/>
      <c r="CG241" s="4317"/>
      <c r="CH241" s="4317"/>
      <c r="CI241" s="4317"/>
      <c r="CJ241" s="4317"/>
      <c r="CK241" s="4317"/>
      <c r="CL241" s="4317"/>
      <c r="CM241" s="4317"/>
      <c r="CN241" s="4317"/>
      <c r="CO241" s="4317"/>
      <c r="CP241" s="4317"/>
      <c r="CQ241" s="4317"/>
      <c r="CR241" s="4317"/>
      <c r="CS241" s="4317"/>
      <c r="CT241" s="4317"/>
      <c r="CU241" s="4317"/>
      <c r="CV241" s="4317"/>
      <c r="CW241" s="4317"/>
      <c r="CX241" s="4317"/>
      <c r="CY241" s="4317"/>
      <c r="CZ241" s="4317"/>
      <c r="DA241" s="4317"/>
      <c r="DB241" s="4317"/>
      <c r="DC241" s="4317"/>
      <c r="DD241" s="4317"/>
      <c r="DE241" s="4317"/>
      <c r="DF241" s="4317"/>
      <c r="DG241" s="4317"/>
      <c r="DH241" s="4317"/>
      <c r="DI241" s="4317"/>
      <c r="DJ241" s="4317"/>
      <c r="DK241" s="4317"/>
      <c r="DL241" s="4317"/>
      <c r="DM241" s="4317"/>
      <c r="DN241" s="4317"/>
      <c r="DO241" s="4317"/>
      <c r="DP241" s="4317"/>
      <c r="DQ241" s="4317"/>
      <c r="DR241" s="4317"/>
      <c r="DS241" s="4317"/>
    </row>
    <row r="242" s="4134" customFormat="1" ht="19.5" customHeight="1" spans="1:123">
      <c r="A242" s="4346" t="s">
        <v>4887</v>
      </c>
      <c r="B242" s="4346"/>
      <c r="C242" s="4346"/>
      <c r="D242" s="4346"/>
      <c r="E242" s="4346"/>
      <c r="F242" s="4300">
        <v>57934</v>
      </c>
      <c r="G242" s="4300"/>
      <c r="H242" s="4300"/>
      <c r="I242" s="4300"/>
      <c r="J242" s="4300"/>
      <c r="K242" s="4300"/>
      <c r="L242" s="4300"/>
      <c r="M242" s="4317"/>
      <c r="N242" s="4317"/>
      <c r="O242" s="4340"/>
      <c r="P242" s="4317"/>
      <c r="Q242" s="4295"/>
      <c r="R242" s="4317"/>
      <c r="S242" s="4317"/>
      <c r="T242" s="4317"/>
      <c r="U242" s="4317"/>
      <c r="V242" s="4317"/>
      <c r="W242" s="4317"/>
      <c r="X242" s="4317"/>
      <c r="Y242" s="4317"/>
      <c r="Z242" s="4317"/>
      <c r="AA242" s="4317"/>
      <c r="AB242" s="4317"/>
      <c r="AC242" s="4295"/>
      <c r="AD242" s="4317"/>
      <c r="AE242" s="4317"/>
      <c r="AF242" s="4317"/>
      <c r="AG242" s="4317"/>
      <c r="AH242" s="4317"/>
      <c r="AI242" s="4317"/>
      <c r="AJ242" s="4317"/>
      <c r="AK242" s="4317"/>
      <c r="AL242" s="4317"/>
      <c r="AM242" s="4317"/>
      <c r="AN242" s="4317"/>
      <c r="AO242" s="4317"/>
      <c r="AP242" s="4317"/>
      <c r="AQ242" s="4317"/>
      <c r="AR242" s="4317"/>
      <c r="AS242" s="4317"/>
      <c r="AT242" s="4317"/>
      <c r="AU242" s="4317"/>
      <c r="AV242" s="4317"/>
      <c r="AW242" s="4317"/>
      <c r="AX242" s="4317"/>
      <c r="AY242" s="4317"/>
      <c r="AZ242" s="4317"/>
      <c r="BA242" s="4317"/>
      <c r="BB242" s="4317"/>
      <c r="BC242" s="4317"/>
      <c r="BD242" s="4317"/>
      <c r="BE242" s="4317"/>
      <c r="BF242" s="4317"/>
      <c r="BG242" s="4317"/>
      <c r="BH242" s="4317"/>
      <c r="BI242" s="4317"/>
      <c r="BJ242" s="4317"/>
      <c r="BK242" s="4317"/>
      <c r="BL242" s="4317"/>
      <c r="BM242" s="4317"/>
      <c r="BN242" s="4317"/>
      <c r="BO242" s="4317"/>
      <c r="BP242" s="4317"/>
      <c r="BQ242" s="4317"/>
      <c r="BR242" s="4317"/>
      <c r="BS242" s="4317"/>
      <c r="BT242" s="4317"/>
      <c r="BU242" s="4317"/>
      <c r="BV242" s="4317"/>
      <c r="BW242" s="4317"/>
      <c r="BX242" s="4317"/>
      <c r="BY242" s="4317"/>
      <c r="BZ242" s="4317"/>
      <c r="CA242" s="4317"/>
      <c r="CB242" s="4317"/>
      <c r="CC242" s="4317"/>
      <c r="CD242" s="4317"/>
      <c r="CE242" s="4317"/>
      <c r="CF242" s="4317"/>
      <c r="CG242" s="4317"/>
      <c r="CH242" s="4317"/>
      <c r="CI242" s="4317"/>
      <c r="CJ242" s="4317"/>
      <c r="CK242" s="4317"/>
      <c r="CL242" s="4317"/>
      <c r="CM242" s="4317"/>
      <c r="CN242" s="4317"/>
      <c r="CO242" s="4317"/>
      <c r="CP242" s="4317"/>
      <c r="CQ242" s="4317"/>
      <c r="CR242" s="4317"/>
      <c r="CS242" s="4317"/>
      <c r="CT242" s="4317"/>
      <c r="CU242" s="4317"/>
      <c r="CV242" s="4317"/>
      <c r="CW242" s="4317"/>
      <c r="CX242" s="4317"/>
      <c r="CY242" s="4317"/>
      <c r="CZ242" s="4317"/>
      <c r="DA242" s="4317"/>
      <c r="DB242" s="4317"/>
      <c r="DC242" s="4317"/>
      <c r="DD242" s="4317"/>
      <c r="DE242" s="4317"/>
      <c r="DF242" s="4317"/>
      <c r="DG242" s="4317"/>
      <c r="DH242" s="4317"/>
      <c r="DI242" s="4317"/>
      <c r="DJ242" s="4317"/>
      <c r="DK242" s="4317"/>
      <c r="DL242" s="4317"/>
      <c r="DM242" s="4317"/>
      <c r="DN242" s="4317"/>
      <c r="DO242" s="4317"/>
      <c r="DP242" s="4317"/>
      <c r="DQ242" s="4317"/>
      <c r="DR242" s="4317"/>
      <c r="DS242" s="4317"/>
    </row>
    <row r="243" s="4134" customFormat="1" ht="19.5" customHeight="1" spans="1:123">
      <c r="A243" s="4346" t="s">
        <v>4888</v>
      </c>
      <c r="B243" s="4346"/>
      <c r="C243" s="4346"/>
      <c r="D243" s="4346"/>
      <c r="E243" s="4346"/>
      <c r="F243" s="4300">
        <v>10605</v>
      </c>
      <c r="G243" s="4300"/>
      <c r="H243" s="4300"/>
      <c r="I243" s="4300"/>
      <c r="J243" s="4300"/>
      <c r="K243" s="4300"/>
      <c r="L243" s="4300"/>
      <c r="M243" s="4317"/>
      <c r="N243" s="4317"/>
      <c r="O243" s="4340"/>
      <c r="P243" s="4317"/>
      <c r="Q243" s="4295"/>
      <c r="R243" s="4317"/>
      <c r="S243" s="4317"/>
      <c r="T243" s="4317"/>
      <c r="U243" s="4317"/>
      <c r="V243" s="4317"/>
      <c r="W243" s="4317"/>
      <c r="X243" s="4317"/>
      <c r="Y243" s="4317"/>
      <c r="Z243" s="4317"/>
      <c r="AA243" s="4317"/>
      <c r="AB243" s="4317"/>
      <c r="AC243" s="4295"/>
      <c r="AD243" s="4317"/>
      <c r="AE243" s="4317"/>
      <c r="AF243" s="4317"/>
      <c r="AG243" s="4317"/>
      <c r="AH243" s="4317"/>
      <c r="AI243" s="4317"/>
      <c r="AJ243" s="4317"/>
      <c r="AK243" s="4317"/>
      <c r="AL243" s="4317"/>
      <c r="AM243" s="4317"/>
      <c r="AN243" s="4317"/>
      <c r="AO243" s="4317"/>
      <c r="AP243" s="4317"/>
      <c r="AQ243" s="4317"/>
      <c r="AR243" s="4317"/>
      <c r="AS243" s="4317"/>
      <c r="AT243" s="4317"/>
      <c r="AU243" s="4317"/>
      <c r="AV243" s="4317"/>
      <c r="AW243" s="4317"/>
      <c r="AX243" s="4317"/>
      <c r="AY243" s="4317"/>
      <c r="AZ243" s="4317"/>
      <c r="BA243" s="4317"/>
      <c r="BB243" s="4317"/>
      <c r="BC243" s="4317"/>
      <c r="BD243" s="4317"/>
      <c r="BE243" s="4317"/>
      <c r="BF243" s="4317"/>
      <c r="BG243" s="4317"/>
      <c r="BH243" s="4317"/>
      <c r="BI243" s="4317"/>
      <c r="BJ243" s="4317"/>
      <c r="BK243" s="4317"/>
      <c r="BL243" s="4317"/>
      <c r="BM243" s="4317"/>
      <c r="BN243" s="4317"/>
      <c r="BO243" s="4317"/>
      <c r="BP243" s="4317"/>
      <c r="BQ243" s="4317"/>
      <c r="BR243" s="4317"/>
      <c r="BS243" s="4317"/>
      <c r="BT243" s="4317"/>
      <c r="BU243" s="4317"/>
      <c r="BV243" s="4317"/>
      <c r="BW243" s="4317"/>
      <c r="BX243" s="4317"/>
      <c r="BY243" s="4317"/>
      <c r="BZ243" s="4317"/>
      <c r="CA243" s="4317"/>
      <c r="CB243" s="4317"/>
      <c r="CC243" s="4317"/>
      <c r="CD243" s="4317"/>
      <c r="CE243" s="4317"/>
      <c r="CF243" s="4317"/>
      <c r="CG243" s="4317"/>
      <c r="CH243" s="4317"/>
      <c r="CI243" s="4317"/>
      <c r="CJ243" s="4317"/>
      <c r="CK243" s="4317"/>
      <c r="CL243" s="4317"/>
      <c r="CM243" s="4317"/>
      <c r="CN243" s="4317"/>
      <c r="CO243" s="4317"/>
      <c r="CP243" s="4317"/>
      <c r="CQ243" s="4317"/>
      <c r="CR243" s="4317"/>
      <c r="CS243" s="4317"/>
      <c r="CT243" s="4317"/>
      <c r="CU243" s="4317"/>
      <c r="CV243" s="4317"/>
      <c r="CW243" s="4317"/>
      <c r="CX243" s="4317"/>
      <c r="CY243" s="4317"/>
      <c r="CZ243" s="4317"/>
      <c r="DA243" s="4317"/>
      <c r="DB243" s="4317"/>
      <c r="DC243" s="4317"/>
      <c r="DD243" s="4317"/>
      <c r="DE243" s="4317"/>
      <c r="DF243" s="4317"/>
      <c r="DG243" s="4317"/>
      <c r="DH243" s="4317"/>
      <c r="DI243" s="4317"/>
      <c r="DJ243" s="4317"/>
      <c r="DK243" s="4317"/>
      <c r="DL243" s="4317"/>
      <c r="DM243" s="4317"/>
      <c r="DN243" s="4317"/>
      <c r="DO243" s="4317"/>
      <c r="DP243" s="4317"/>
      <c r="DQ243" s="4317"/>
      <c r="DR243" s="4317"/>
      <c r="DS243" s="4317"/>
    </row>
    <row r="244" s="4134" customFormat="1" ht="19.5" customHeight="1" spans="1:123">
      <c r="A244" s="4304" t="s">
        <v>3477</v>
      </c>
      <c r="B244" s="4304"/>
      <c r="C244" s="4304"/>
      <c r="D244" s="4304"/>
      <c r="E244" s="4304"/>
      <c r="F244" s="4347">
        <f>SUM(UnosPod!F240:L243)</f>
        <v>163147</v>
      </c>
      <c r="G244" s="4347"/>
      <c r="H244" s="4347"/>
      <c r="I244" s="4347"/>
      <c r="J244" s="4347"/>
      <c r="K244" s="4347"/>
      <c r="L244" s="4347"/>
      <c r="M244" s="4317"/>
      <c r="N244" s="4317"/>
      <c r="O244" s="4340" t="s">
        <v>4889</v>
      </c>
      <c r="P244" s="4317"/>
      <c r="Q244" s="4295"/>
      <c r="R244" s="4317"/>
      <c r="S244" s="4317"/>
      <c r="T244" s="4317"/>
      <c r="U244" s="4317"/>
      <c r="V244" s="4317"/>
      <c r="W244" s="4317"/>
      <c r="X244" s="4317"/>
      <c r="Y244" s="4317"/>
      <c r="Z244" s="4317"/>
      <c r="AA244" s="4317"/>
      <c r="AB244" s="4317"/>
      <c r="AC244" s="4295"/>
      <c r="AD244" s="4317"/>
      <c r="AE244" s="4317"/>
      <c r="AF244" s="4318"/>
      <c r="AG244" s="4318"/>
      <c r="AH244" s="4317"/>
      <c r="AI244" s="4317"/>
      <c r="AJ244" s="4317"/>
      <c r="AK244" s="4317"/>
      <c r="AL244" s="4317"/>
      <c r="AM244" s="4317"/>
      <c r="AN244" s="4317"/>
      <c r="AO244" s="4317"/>
      <c r="AP244" s="4317"/>
      <c r="AQ244" s="4317"/>
      <c r="AR244" s="4317"/>
      <c r="AS244" s="4317"/>
      <c r="AT244" s="4317"/>
      <c r="AU244" s="4317"/>
      <c r="AV244" s="4317"/>
      <c r="AW244" s="4317"/>
      <c r="AX244" s="4317"/>
      <c r="AY244" s="4317"/>
      <c r="AZ244" s="4317"/>
      <c r="BA244" s="4317"/>
      <c r="BB244" s="4317"/>
      <c r="BC244" s="4317"/>
      <c r="BD244" s="4317"/>
      <c r="BE244" s="4317"/>
      <c r="BF244" s="4317"/>
      <c r="BG244" s="4317"/>
      <c r="BH244" s="4317"/>
      <c r="BI244" s="4317"/>
      <c r="BJ244" s="4317"/>
      <c r="BK244" s="4317"/>
      <c r="BL244" s="4317"/>
      <c r="BM244" s="4317"/>
      <c r="BN244" s="4317"/>
      <c r="BO244" s="4317"/>
      <c r="BP244" s="4317"/>
      <c r="BQ244" s="4317"/>
      <c r="BR244" s="4317"/>
      <c r="BS244" s="4317"/>
      <c r="BT244" s="4317"/>
      <c r="BU244" s="4317"/>
      <c r="BV244" s="4317"/>
      <c r="BW244" s="4317"/>
      <c r="BX244" s="4317"/>
      <c r="BY244" s="4317"/>
      <c r="BZ244" s="4317"/>
      <c r="CA244" s="4317"/>
      <c r="CB244" s="4317"/>
      <c r="CC244" s="4317"/>
      <c r="CD244" s="4317"/>
      <c r="CE244" s="4317"/>
      <c r="CF244" s="4317"/>
      <c r="CG244" s="4317"/>
      <c r="CH244" s="4317"/>
      <c r="CI244" s="4317"/>
      <c r="CJ244" s="4317"/>
      <c r="CK244" s="4317"/>
      <c r="CL244" s="4317"/>
      <c r="CM244" s="4317"/>
      <c r="CN244" s="4317"/>
      <c r="CO244" s="4317"/>
      <c r="CP244" s="4317"/>
      <c r="CQ244" s="4317"/>
      <c r="CR244" s="4317"/>
      <c r="CS244" s="4317"/>
      <c r="CT244" s="4317"/>
      <c r="CU244" s="4317"/>
      <c r="CV244" s="4317"/>
      <c r="CW244" s="4317"/>
      <c r="CX244" s="4317"/>
      <c r="CY244" s="4317"/>
      <c r="CZ244" s="4317"/>
      <c r="DA244" s="4317"/>
      <c r="DB244" s="4317"/>
      <c r="DC244" s="4317"/>
      <c r="DD244" s="4317"/>
      <c r="DE244" s="4317"/>
      <c r="DF244" s="4317"/>
      <c r="DG244" s="4317"/>
      <c r="DH244" s="4317"/>
      <c r="DI244" s="4317"/>
      <c r="DJ244" s="4317"/>
      <c r="DK244" s="4317"/>
      <c r="DL244" s="4317"/>
      <c r="DM244" s="4317"/>
      <c r="DN244" s="4317"/>
      <c r="DO244" s="4317"/>
      <c r="DP244" s="4317"/>
      <c r="DQ244" s="4317"/>
      <c r="DR244" s="4317"/>
      <c r="DS244" s="4317"/>
    </row>
    <row r="245" s="4134" customFormat="1" ht="19.5" customHeight="1" spans="1:123">
      <c r="A245" s="4346" t="s">
        <v>4890</v>
      </c>
      <c r="B245" s="4346"/>
      <c r="C245" s="4346"/>
      <c r="D245" s="4346"/>
      <c r="E245" s="4346"/>
      <c r="F245" s="4300"/>
      <c r="G245" s="4300"/>
      <c r="H245" s="4300"/>
      <c r="I245" s="4300"/>
      <c r="J245" s="4300"/>
      <c r="K245" s="4300"/>
      <c r="L245" s="4300"/>
      <c r="M245" s="4317"/>
      <c r="N245" s="4317"/>
      <c r="O245" s="4340"/>
      <c r="P245" s="4317"/>
      <c r="Q245" s="4295"/>
      <c r="R245" s="4317"/>
      <c r="S245" s="4317"/>
      <c r="T245" s="4317"/>
      <c r="U245" s="4317"/>
      <c r="V245" s="4317"/>
      <c r="W245" s="4317"/>
      <c r="X245" s="4317"/>
      <c r="Y245" s="4317"/>
      <c r="Z245" s="4317"/>
      <c r="AA245" s="4317"/>
      <c r="AB245" s="4317"/>
      <c r="AC245" s="4295"/>
      <c r="AD245" s="4317"/>
      <c r="AE245" s="4317"/>
      <c r="AF245" s="4318"/>
      <c r="AG245" s="4318"/>
      <c r="AH245" s="4317"/>
      <c r="AI245" s="4317"/>
      <c r="AJ245" s="4317"/>
      <c r="AK245" s="4317"/>
      <c r="AL245" s="4317"/>
      <c r="AM245" s="4317"/>
      <c r="AN245" s="4317"/>
      <c r="AO245" s="4317"/>
      <c r="AP245" s="4317"/>
      <c r="AQ245" s="4317"/>
      <c r="AR245" s="4317"/>
      <c r="AS245" s="4317"/>
      <c r="AT245" s="4317"/>
      <c r="AU245" s="4317"/>
      <c r="AV245" s="4317"/>
      <c r="AW245" s="4317"/>
      <c r="AX245" s="4317"/>
      <c r="AY245" s="4317"/>
      <c r="AZ245" s="4317"/>
      <c r="BA245" s="4317"/>
      <c r="BB245" s="4317"/>
      <c r="BC245" s="4317"/>
      <c r="BD245" s="4317"/>
      <c r="BE245" s="4317"/>
      <c r="BF245" s="4317"/>
      <c r="BG245" s="4317"/>
      <c r="BH245" s="4317"/>
      <c r="BI245" s="4317"/>
      <c r="BJ245" s="4317"/>
      <c r="BK245" s="4317"/>
      <c r="BL245" s="4317"/>
      <c r="BM245" s="4317"/>
      <c r="BN245" s="4317"/>
      <c r="BO245" s="4317"/>
      <c r="BP245" s="4317"/>
      <c r="BQ245" s="4317"/>
      <c r="BR245" s="4317"/>
      <c r="BS245" s="4317"/>
      <c r="BT245" s="4317"/>
      <c r="BU245" s="4317"/>
      <c r="BV245" s="4317"/>
      <c r="BW245" s="4317"/>
      <c r="BX245" s="4317"/>
      <c r="BY245" s="4317"/>
      <c r="BZ245" s="4317"/>
      <c r="CA245" s="4317"/>
      <c r="CB245" s="4317"/>
      <c r="CC245" s="4317"/>
      <c r="CD245" s="4317"/>
      <c r="CE245" s="4317"/>
      <c r="CF245" s="4317"/>
      <c r="CG245" s="4317"/>
      <c r="CH245" s="4317"/>
      <c r="CI245" s="4317"/>
      <c r="CJ245" s="4317"/>
      <c r="CK245" s="4317"/>
      <c r="CL245" s="4317"/>
      <c r="CM245" s="4317"/>
      <c r="CN245" s="4317"/>
      <c r="CO245" s="4317"/>
      <c r="CP245" s="4317"/>
      <c r="CQ245" s="4317"/>
      <c r="CR245" s="4317"/>
      <c r="CS245" s="4317"/>
      <c r="CT245" s="4317"/>
      <c r="CU245" s="4317"/>
      <c r="CV245" s="4317"/>
      <c r="CW245" s="4317"/>
      <c r="CX245" s="4317"/>
      <c r="CY245" s="4317"/>
      <c r="CZ245" s="4317"/>
      <c r="DA245" s="4317"/>
      <c r="DB245" s="4317"/>
      <c r="DC245" s="4317"/>
      <c r="DD245" s="4317"/>
      <c r="DE245" s="4317"/>
      <c r="DF245" s="4317"/>
      <c r="DG245" s="4317"/>
      <c r="DH245" s="4317"/>
      <c r="DI245" s="4317"/>
      <c r="DJ245" s="4317"/>
      <c r="DK245" s="4317"/>
      <c r="DL245" s="4317"/>
      <c r="DM245" s="4317"/>
      <c r="DN245" s="4317"/>
      <c r="DO245" s="4317"/>
      <c r="DP245" s="4317"/>
      <c r="DQ245" s="4317"/>
      <c r="DR245" s="4317"/>
      <c r="DS245" s="4317"/>
    </row>
    <row r="246" s="4134" customFormat="1" ht="19.5" customHeight="1" spans="1:123">
      <c r="A246" s="4346" t="s">
        <v>4891</v>
      </c>
      <c r="B246" s="4346"/>
      <c r="C246" s="4346"/>
      <c r="D246" s="4346"/>
      <c r="E246" s="4346"/>
      <c r="F246" s="4300"/>
      <c r="G246" s="4300"/>
      <c r="H246" s="4300"/>
      <c r="I246" s="4300"/>
      <c r="J246" s="4300"/>
      <c r="K246" s="4300"/>
      <c r="L246" s="4300"/>
      <c r="M246" s="4317"/>
      <c r="N246" s="4317"/>
      <c r="O246" s="4340"/>
      <c r="P246" s="4317"/>
      <c r="Q246" s="4295"/>
      <c r="R246" s="4317"/>
      <c r="S246" s="4317"/>
      <c r="T246" s="4317"/>
      <c r="U246" s="4317"/>
      <c r="V246" s="4317"/>
      <c r="W246" s="4317"/>
      <c r="X246" s="4317"/>
      <c r="Y246" s="4317"/>
      <c r="Z246" s="4317"/>
      <c r="AA246" s="4317"/>
      <c r="AB246" s="4317"/>
      <c r="AC246" s="4295"/>
      <c r="AD246" s="4317"/>
      <c r="AE246" s="4317"/>
      <c r="AF246" s="4318"/>
      <c r="AG246" s="4318"/>
      <c r="AH246" s="4317"/>
      <c r="AI246" s="4317"/>
      <c r="AJ246" s="4317"/>
      <c r="AK246" s="4317"/>
      <c r="AL246" s="4317"/>
      <c r="AM246" s="4317"/>
      <c r="AN246" s="4317"/>
      <c r="AO246" s="4317"/>
      <c r="AP246" s="4317"/>
      <c r="AQ246" s="4317"/>
      <c r="AR246" s="4317"/>
      <c r="AS246" s="4317"/>
      <c r="AT246" s="4317"/>
      <c r="AU246" s="4317"/>
      <c r="AV246" s="4317"/>
      <c r="AW246" s="4317"/>
      <c r="AX246" s="4317"/>
      <c r="AY246" s="4317"/>
      <c r="AZ246" s="4317"/>
      <c r="BA246" s="4317"/>
      <c r="BB246" s="4317"/>
      <c r="BC246" s="4317"/>
      <c r="BD246" s="4317"/>
      <c r="BE246" s="4317"/>
      <c r="BF246" s="4317"/>
      <c r="BG246" s="4317"/>
      <c r="BH246" s="4317"/>
      <c r="BI246" s="4317"/>
      <c r="BJ246" s="4317"/>
      <c r="BK246" s="4317"/>
      <c r="BL246" s="4317"/>
      <c r="BM246" s="4317"/>
      <c r="BN246" s="4317"/>
      <c r="BO246" s="4317"/>
      <c r="BP246" s="4317"/>
      <c r="BQ246" s="4317"/>
      <c r="BR246" s="4317"/>
      <c r="BS246" s="4317"/>
      <c r="BT246" s="4317"/>
      <c r="BU246" s="4317"/>
      <c r="BV246" s="4317"/>
      <c r="BW246" s="4317"/>
      <c r="BX246" s="4317"/>
      <c r="BY246" s="4317"/>
      <c r="BZ246" s="4317"/>
      <c r="CA246" s="4317"/>
      <c r="CB246" s="4317"/>
      <c r="CC246" s="4317"/>
      <c r="CD246" s="4317"/>
      <c r="CE246" s="4317"/>
      <c r="CF246" s="4317"/>
      <c r="CG246" s="4317"/>
      <c r="CH246" s="4317"/>
      <c r="CI246" s="4317"/>
      <c r="CJ246" s="4317"/>
      <c r="CK246" s="4317"/>
      <c r="CL246" s="4317"/>
      <c r="CM246" s="4317"/>
      <c r="CN246" s="4317"/>
      <c r="CO246" s="4317"/>
      <c r="CP246" s="4317"/>
      <c r="CQ246" s="4317"/>
      <c r="CR246" s="4317"/>
      <c r="CS246" s="4317"/>
      <c r="CT246" s="4317"/>
      <c r="CU246" s="4317"/>
      <c r="CV246" s="4317"/>
      <c r="CW246" s="4317"/>
      <c r="CX246" s="4317"/>
      <c r="CY246" s="4317"/>
      <c r="CZ246" s="4317"/>
      <c r="DA246" s="4317"/>
      <c r="DB246" s="4317"/>
      <c r="DC246" s="4317"/>
      <c r="DD246" s="4317"/>
      <c r="DE246" s="4317"/>
      <c r="DF246" s="4317"/>
      <c r="DG246" s="4317"/>
      <c r="DH246" s="4317"/>
      <c r="DI246" s="4317"/>
      <c r="DJ246" s="4317"/>
      <c r="DK246" s="4317"/>
      <c r="DL246" s="4317"/>
      <c r="DM246" s="4317"/>
      <c r="DN246" s="4317"/>
      <c r="DO246" s="4317"/>
      <c r="DP246" s="4317"/>
      <c r="DQ246" s="4317"/>
      <c r="DR246" s="4317"/>
      <c r="DS246" s="4317"/>
    </row>
    <row r="247" s="4134" customFormat="1" ht="19.5" customHeight="1" spans="1:123">
      <c r="A247" s="4346" t="s">
        <v>4892</v>
      </c>
      <c r="B247" s="4346"/>
      <c r="C247" s="4346"/>
      <c r="D247" s="4346"/>
      <c r="E247" s="4346"/>
      <c r="F247" s="4300"/>
      <c r="G247" s="4300"/>
      <c r="H247" s="4300"/>
      <c r="I247" s="4300"/>
      <c r="J247" s="4300"/>
      <c r="K247" s="4300"/>
      <c r="L247" s="4300"/>
      <c r="M247" s="4317"/>
      <c r="N247" s="4317"/>
      <c r="O247" s="4340"/>
      <c r="P247" s="4317"/>
      <c r="Q247" s="4295"/>
      <c r="R247" s="4317"/>
      <c r="S247" s="4317"/>
      <c r="T247" s="4317"/>
      <c r="U247" s="4317"/>
      <c r="V247" s="4317"/>
      <c r="W247" s="4317"/>
      <c r="X247" s="4317"/>
      <c r="Y247" s="4317"/>
      <c r="Z247" s="4317"/>
      <c r="AA247" s="4317"/>
      <c r="AB247" s="4317"/>
      <c r="AC247" s="4295"/>
      <c r="AD247" s="4317"/>
      <c r="AE247" s="4317"/>
      <c r="AF247" s="4318"/>
      <c r="AG247" s="4318"/>
      <c r="AH247" s="4317"/>
      <c r="AI247" s="4317"/>
      <c r="AJ247" s="4317"/>
      <c r="AK247" s="4317"/>
      <c r="AL247" s="4317"/>
      <c r="AM247" s="4317"/>
      <c r="AN247" s="4317"/>
      <c r="AO247" s="4317"/>
      <c r="AP247" s="4317"/>
      <c r="AQ247" s="4317"/>
      <c r="AR247" s="4317"/>
      <c r="AS247" s="4317"/>
      <c r="AT247" s="4317"/>
      <c r="AU247" s="4317"/>
      <c r="AV247" s="4317"/>
      <c r="AW247" s="4317"/>
      <c r="AX247" s="4317"/>
      <c r="AY247" s="4317"/>
      <c r="AZ247" s="4317"/>
      <c r="BA247" s="4317"/>
      <c r="BB247" s="4317"/>
      <c r="BC247" s="4317"/>
      <c r="BD247" s="4317"/>
      <c r="BE247" s="4317"/>
      <c r="BF247" s="4317"/>
      <c r="BG247" s="4317"/>
      <c r="BH247" s="4317"/>
      <c r="BI247" s="4317"/>
      <c r="BJ247" s="4317"/>
      <c r="BK247" s="4317"/>
      <c r="BL247" s="4317"/>
      <c r="BM247" s="4317"/>
      <c r="BN247" s="4317"/>
      <c r="BO247" s="4317"/>
      <c r="BP247" s="4317"/>
      <c r="BQ247" s="4317"/>
      <c r="BR247" s="4317"/>
      <c r="BS247" s="4317"/>
      <c r="BT247" s="4317"/>
      <c r="BU247" s="4317"/>
      <c r="BV247" s="4317"/>
      <c r="BW247" s="4317"/>
      <c r="BX247" s="4317"/>
      <c r="BY247" s="4317"/>
      <c r="BZ247" s="4317"/>
      <c r="CA247" s="4317"/>
      <c r="CB247" s="4317"/>
      <c r="CC247" s="4317"/>
      <c r="CD247" s="4317"/>
      <c r="CE247" s="4317"/>
      <c r="CF247" s="4317"/>
      <c r="CG247" s="4317"/>
      <c r="CH247" s="4317"/>
      <c r="CI247" s="4317"/>
      <c r="CJ247" s="4317"/>
      <c r="CK247" s="4317"/>
      <c r="CL247" s="4317"/>
      <c r="CM247" s="4317"/>
      <c r="CN247" s="4317"/>
      <c r="CO247" s="4317"/>
      <c r="CP247" s="4317"/>
      <c r="CQ247" s="4317"/>
      <c r="CR247" s="4317"/>
      <c r="CS247" s="4317"/>
      <c r="CT247" s="4317"/>
      <c r="CU247" s="4317"/>
      <c r="CV247" s="4317"/>
      <c r="CW247" s="4317"/>
      <c r="CX247" s="4317"/>
      <c r="CY247" s="4317"/>
      <c r="CZ247" s="4317"/>
      <c r="DA247" s="4317"/>
      <c r="DB247" s="4317"/>
      <c r="DC247" s="4317"/>
      <c r="DD247" s="4317"/>
      <c r="DE247" s="4317"/>
      <c r="DF247" s="4317"/>
      <c r="DG247" s="4317"/>
      <c r="DH247" s="4317"/>
      <c r="DI247" s="4317"/>
      <c r="DJ247" s="4317"/>
      <c r="DK247" s="4317"/>
      <c r="DL247" s="4317"/>
      <c r="DM247" s="4317"/>
      <c r="DN247" s="4317"/>
      <c r="DO247" s="4317"/>
      <c r="DP247" s="4317"/>
      <c r="DQ247" s="4317"/>
      <c r="DR247" s="4317"/>
      <c r="DS247" s="4317"/>
    </row>
    <row r="248" s="4134" customFormat="1" ht="19.5" customHeight="1" spans="1:123">
      <c r="A248" s="4346" t="s">
        <v>4893</v>
      </c>
      <c r="B248" s="4346"/>
      <c r="C248" s="4346"/>
      <c r="D248" s="4346"/>
      <c r="E248" s="4346"/>
      <c r="F248" s="4300"/>
      <c r="G248" s="4300"/>
      <c r="H248" s="4300"/>
      <c r="I248" s="4300"/>
      <c r="J248" s="4300"/>
      <c r="K248" s="4300"/>
      <c r="L248" s="4300"/>
      <c r="M248" s="4317"/>
      <c r="N248" s="4317"/>
      <c r="O248" s="4340"/>
      <c r="P248" s="4317"/>
      <c r="Q248" s="4295"/>
      <c r="R248" s="4317"/>
      <c r="S248" s="4317"/>
      <c r="T248" s="4317"/>
      <c r="U248" s="4317"/>
      <c r="V248" s="4317"/>
      <c r="W248" s="4317"/>
      <c r="X248" s="4317"/>
      <c r="Y248" s="4317"/>
      <c r="Z248" s="4317"/>
      <c r="AA248" s="4317"/>
      <c r="AB248" s="4317"/>
      <c r="AC248" s="4295"/>
      <c r="AD248" s="4317"/>
      <c r="AE248" s="4317"/>
      <c r="AF248" s="4318"/>
      <c r="AG248" s="4318"/>
      <c r="AH248" s="4317"/>
      <c r="AI248" s="4317"/>
      <c r="AJ248" s="4317"/>
      <c r="AK248" s="4317"/>
      <c r="AL248" s="4317"/>
      <c r="AM248" s="4317"/>
      <c r="AN248" s="4317"/>
      <c r="AO248" s="4317"/>
      <c r="AP248" s="4317"/>
      <c r="AQ248" s="4317"/>
      <c r="AR248" s="4317"/>
      <c r="AS248" s="4317"/>
      <c r="AT248" s="4317"/>
      <c r="AU248" s="4317"/>
      <c r="AV248" s="4317"/>
      <c r="AW248" s="4317"/>
      <c r="AX248" s="4317"/>
      <c r="AY248" s="4317"/>
      <c r="AZ248" s="4317"/>
      <c r="BA248" s="4317"/>
      <c r="BB248" s="4317"/>
      <c r="BC248" s="4317"/>
      <c r="BD248" s="4317"/>
      <c r="BE248" s="4317"/>
      <c r="BF248" s="4317"/>
      <c r="BG248" s="4317"/>
      <c r="BH248" s="4317"/>
      <c r="BI248" s="4317"/>
      <c r="BJ248" s="4317"/>
      <c r="BK248" s="4317"/>
      <c r="BL248" s="4317"/>
      <c r="BM248" s="4317"/>
      <c r="BN248" s="4317"/>
      <c r="BO248" s="4317"/>
      <c r="BP248" s="4317"/>
      <c r="BQ248" s="4317"/>
      <c r="BR248" s="4317"/>
      <c r="BS248" s="4317"/>
      <c r="BT248" s="4317"/>
      <c r="BU248" s="4317"/>
      <c r="BV248" s="4317"/>
      <c r="BW248" s="4317"/>
      <c r="BX248" s="4317"/>
      <c r="BY248" s="4317"/>
      <c r="BZ248" s="4317"/>
      <c r="CA248" s="4317"/>
      <c r="CB248" s="4317"/>
      <c r="CC248" s="4317"/>
      <c r="CD248" s="4317"/>
      <c r="CE248" s="4317"/>
      <c r="CF248" s="4317"/>
      <c r="CG248" s="4317"/>
      <c r="CH248" s="4317"/>
      <c r="CI248" s="4317"/>
      <c r="CJ248" s="4317"/>
      <c r="CK248" s="4317"/>
      <c r="CL248" s="4317"/>
      <c r="CM248" s="4317"/>
      <c r="CN248" s="4317"/>
      <c r="CO248" s="4317"/>
      <c r="CP248" s="4317"/>
      <c r="CQ248" s="4317"/>
      <c r="CR248" s="4317"/>
      <c r="CS248" s="4317"/>
      <c r="CT248" s="4317"/>
      <c r="CU248" s="4317"/>
      <c r="CV248" s="4317"/>
      <c r="CW248" s="4317"/>
      <c r="CX248" s="4317"/>
      <c r="CY248" s="4317"/>
      <c r="CZ248" s="4317"/>
      <c r="DA248" s="4317"/>
      <c r="DB248" s="4317"/>
      <c r="DC248" s="4317"/>
      <c r="DD248" s="4317"/>
      <c r="DE248" s="4317"/>
      <c r="DF248" s="4317"/>
      <c r="DG248" s="4317"/>
      <c r="DH248" s="4317"/>
      <c r="DI248" s="4317"/>
      <c r="DJ248" s="4317"/>
      <c r="DK248" s="4317"/>
      <c r="DL248" s="4317"/>
      <c r="DM248" s="4317"/>
      <c r="DN248" s="4317"/>
      <c r="DO248" s="4317"/>
      <c r="DP248" s="4317"/>
      <c r="DQ248" s="4317"/>
      <c r="DR248" s="4317"/>
      <c r="DS248" s="4317"/>
    </row>
    <row r="249" s="4134" customFormat="1" ht="19.5" customHeight="1" spans="1:123">
      <c r="A249" s="4304" t="s">
        <v>3481</v>
      </c>
      <c r="B249" s="4304"/>
      <c r="C249" s="4304"/>
      <c r="D249" s="4304"/>
      <c r="E249" s="4304"/>
      <c r="F249" s="4347">
        <f>SUM(F245:L248)</f>
        <v>0</v>
      </c>
      <c r="G249" s="4347"/>
      <c r="H249" s="4347"/>
      <c r="I249" s="4347"/>
      <c r="J249" s="4347"/>
      <c r="K249" s="4347"/>
      <c r="L249" s="4347"/>
      <c r="M249" s="4317"/>
      <c r="N249" s="4317"/>
      <c r="O249" s="4340" t="s">
        <v>4894</v>
      </c>
      <c r="P249" s="4317"/>
      <c r="Q249" s="4295"/>
      <c r="R249" s="4317"/>
      <c r="S249" s="4317"/>
      <c r="T249" s="4317"/>
      <c r="U249" s="4317"/>
      <c r="V249" s="4317"/>
      <c r="W249" s="4317"/>
      <c r="X249" s="4317"/>
      <c r="Y249" s="4317"/>
      <c r="Z249" s="4317"/>
      <c r="AA249" s="4317"/>
      <c r="AB249" s="4317"/>
      <c r="AC249" s="4295"/>
      <c r="AD249" s="4317"/>
      <c r="AE249" s="4317"/>
      <c r="AF249" s="4319"/>
      <c r="AG249" s="4319"/>
      <c r="AH249" s="4317"/>
      <c r="AI249" s="4317"/>
      <c r="AJ249" s="4317"/>
      <c r="AK249" s="4317"/>
      <c r="AL249" s="4317"/>
      <c r="AM249" s="4317"/>
      <c r="AN249" s="4317"/>
      <c r="AO249" s="4317"/>
      <c r="AP249" s="4317"/>
      <c r="AQ249" s="4317"/>
      <c r="AR249" s="4317"/>
      <c r="AS249" s="4317"/>
      <c r="AT249" s="4317"/>
      <c r="AU249" s="4317"/>
      <c r="AV249" s="4317"/>
      <c r="AW249" s="4317"/>
      <c r="AX249" s="4317"/>
      <c r="AY249" s="4317"/>
      <c r="AZ249" s="4317"/>
      <c r="BA249" s="4317"/>
      <c r="BB249" s="4317"/>
      <c r="BC249" s="4317"/>
      <c r="BD249" s="4317"/>
      <c r="BE249" s="4317"/>
      <c r="BF249" s="4317"/>
      <c r="BG249" s="4317"/>
      <c r="BH249" s="4317"/>
      <c r="BI249" s="4317"/>
      <c r="BJ249" s="4317"/>
      <c r="BK249" s="4317"/>
      <c r="BL249" s="4317"/>
      <c r="BM249" s="4317"/>
      <c r="BN249" s="4317"/>
      <c r="BO249" s="4317"/>
      <c r="BP249" s="4317"/>
      <c r="BQ249" s="4317"/>
      <c r="BR249" s="4317"/>
      <c r="BS249" s="4317"/>
      <c r="BT249" s="4317"/>
      <c r="BU249" s="4317"/>
      <c r="BV249" s="4317"/>
      <c r="BW249" s="4317"/>
      <c r="BX249" s="4317"/>
      <c r="BY249" s="4317"/>
      <c r="BZ249" s="4317"/>
      <c r="CA249" s="4317"/>
      <c r="CB249" s="4317"/>
      <c r="CC249" s="4317"/>
      <c r="CD249" s="4317"/>
      <c r="CE249" s="4317"/>
      <c r="CF249" s="4317"/>
      <c r="CG249" s="4317"/>
      <c r="CH249" s="4317"/>
      <c r="CI249" s="4317"/>
      <c r="CJ249" s="4317"/>
      <c r="CK249" s="4317"/>
      <c r="CL249" s="4317"/>
      <c r="CM249" s="4317"/>
      <c r="CN249" s="4317"/>
      <c r="CO249" s="4317"/>
      <c r="CP249" s="4317"/>
      <c r="CQ249" s="4317"/>
      <c r="CR249" s="4317"/>
      <c r="CS249" s="4317"/>
      <c r="CT249" s="4317"/>
      <c r="CU249" s="4317"/>
      <c r="CV249" s="4317"/>
      <c r="CW249" s="4317"/>
      <c r="CX249" s="4317"/>
      <c r="CY249" s="4317"/>
      <c r="CZ249" s="4317"/>
      <c r="DA249" s="4317"/>
      <c r="DB249" s="4317"/>
      <c r="DC249" s="4317"/>
      <c r="DD249" s="4317"/>
      <c r="DE249" s="4317"/>
      <c r="DF249" s="4317"/>
      <c r="DG249" s="4317"/>
      <c r="DH249" s="4317"/>
      <c r="DI249" s="4317"/>
      <c r="DJ249" s="4317"/>
      <c r="DK249" s="4317"/>
      <c r="DL249" s="4317"/>
      <c r="DM249" s="4317"/>
      <c r="DN249" s="4317"/>
      <c r="DO249" s="4317"/>
      <c r="DP249" s="4317"/>
      <c r="DQ249" s="4317"/>
      <c r="DR249" s="4317"/>
      <c r="DS249" s="4317"/>
    </row>
    <row r="250" s="4134" customFormat="1" ht="19.5" customHeight="1" spans="1:123">
      <c r="A250" s="4304" t="s">
        <v>3486</v>
      </c>
      <c r="B250" s="4324"/>
      <c r="C250" s="4324"/>
      <c r="D250" s="4324"/>
      <c r="E250" s="4324"/>
      <c r="F250" s="4300">
        <v>9263</v>
      </c>
      <c r="G250" s="4300"/>
      <c r="H250" s="4300"/>
      <c r="I250" s="4300"/>
      <c r="J250" s="4300"/>
      <c r="K250" s="4300"/>
      <c r="L250" s="4300"/>
      <c r="M250" s="4317"/>
      <c r="N250" s="4317"/>
      <c r="O250" s="4340" t="s">
        <v>4895</v>
      </c>
      <c r="P250" s="4317"/>
      <c r="Q250" s="4295"/>
      <c r="R250" s="4317"/>
      <c r="S250" s="4317"/>
      <c r="T250" s="4317"/>
      <c r="U250" s="4317"/>
      <c r="V250" s="4317"/>
      <c r="W250" s="4317"/>
      <c r="X250" s="4317"/>
      <c r="Y250" s="4317"/>
      <c r="Z250" s="4317"/>
      <c r="AA250" s="4317"/>
      <c r="AB250" s="4317"/>
      <c r="AC250" s="4295"/>
      <c r="AD250" s="4317"/>
      <c r="AE250" s="4317"/>
      <c r="AF250" s="4319"/>
      <c r="AG250" s="4319"/>
      <c r="AH250" s="4317"/>
      <c r="AI250" s="4317"/>
      <c r="AJ250" s="4317"/>
      <c r="AK250" s="4317"/>
      <c r="AL250" s="4317"/>
      <c r="AM250" s="4317"/>
      <c r="AN250" s="4317"/>
      <c r="AO250" s="4317"/>
      <c r="AP250" s="4317"/>
      <c r="AQ250" s="4317"/>
      <c r="AR250" s="4317"/>
      <c r="AS250" s="4317"/>
      <c r="AT250" s="4317"/>
      <c r="AU250" s="4317"/>
      <c r="AV250" s="4317"/>
      <c r="AW250" s="4317"/>
      <c r="AX250" s="4317"/>
      <c r="AY250" s="4317"/>
      <c r="AZ250" s="4317"/>
      <c r="BA250" s="4317"/>
      <c r="BB250" s="4317"/>
      <c r="BC250" s="4317"/>
      <c r="BD250" s="4317"/>
      <c r="BE250" s="4317"/>
      <c r="BF250" s="4317"/>
      <c r="BG250" s="4317"/>
      <c r="BH250" s="4317"/>
      <c r="BI250" s="4317"/>
      <c r="BJ250" s="4317"/>
      <c r="BK250" s="4317"/>
      <c r="BL250" s="4317"/>
      <c r="BM250" s="4317"/>
      <c r="BN250" s="4317"/>
      <c r="BO250" s="4317"/>
      <c r="BP250" s="4317"/>
      <c r="BQ250" s="4317"/>
      <c r="BR250" s="4317"/>
      <c r="BS250" s="4317"/>
      <c r="BT250" s="4317"/>
      <c r="BU250" s="4317"/>
      <c r="BV250" s="4317"/>
      <c r="BW250" s="4317"/>
      <c r="BX250" s="4317"/>
      <c r="BY250" s="4317"/>
      <c r="BZ250" s="4317"/>
      <c r="CA250" s="4317"/>
      <c r="CB250" s="4317"/>
      <c r="CC250" s="4317"/>
      <c r="CD250" s="4317"/>
      <c r="CE250" s="4317"/>
      <c r="CF250" s="4317"/>
      <c r="CG250" s="4317"/>
      <c r="CH250" s="4317"/>
      <c r="CI250" s="4317"/>
      <c r="CJ250" s="4317"/>
      <c r="CK250" s="4317"/>
      <c r="CL250" s="4317"/>
      <c r="CM250" s="4317"/>
      <c r="CN250" s="4317"/>
      <c r="CO250" s="4317"/>
      <c r="CP250" s="4317"/>
      <c r="CQ250" s="4317"/>
      <c r="CR250" s="4317"/>
      <c r="CS250" s="4317"/>
      <c r="CT250" s="4317"/>
      <c r="CU250" s="4317"/>
      <c r="CV250" s="4317"/>
      <c r="CW250" s="4317"/>
      <c r="CX250" s="4317"/>
      <c r="CY250" s="4317"/>
      <c r="CZ250" s="4317"/>
      <c r="DA250" s="4317"/>
      <c r="DB250" s="4317"/>
      <c r="DC250" s="4317"/>
      <c r="DD250" s="4317"/>
      <c r="DE250" s="4317"/>
      <c r="DF250" s="4317"/>
      <c r="DG250" s="4317"/>
      <c r="DH250" s="4317"/>
      <c r="DI250" s="4317"/>
      <c r="DJ250" s="4317"/>
      <c r="DK250" s="4317"/>
      <c r="DL250" s="4317"/>
      <c r="DM250" s="4317"/>
      <c r="DN250" s="4317"/>
      <c r="DO250" s="4317"/>
      <c r="DP250" s="4317"/>
      <c r="DQ250" s="4317"/>
      <c r="DR250" s="4317"/>
      <c r="DS250" s="4317"/>
    </row>
    <row r="251" s="4134" customFormat="1" ht="19.5" customHeight="1" spans="1:123">
      <c r="A251" s="4304" t="s">
        <v>3490</v>
      </c>
      <c r="B251" s="4324"/>
      <c r="C251" s="4324"/>
      <c r="D251" s="4324"/>
      <c r="E251" s="4324"/>
      <c r="F251" s="4300">
        <v>27191</v>
      </c>
      <c r="G251" s="4300"/>
      <c r="H251" s="4300"/>
      <c r="I251" s="4300"/>
      <c r="J251" s="4300"/>
      <c r="K251" s="4300"/>
      <c r="L251" s="4300"/>
      <c r="M251" s="4317"/>
      <c r="N251" s="4317"/>
      <c r="O251" s="4340" t="s">
        <v>4896</v>
      </c>
      <c r="P251" s="4317"/>
      <c r="Q251" s="4295"/>
      <c r="R251" s="4317"/>
      <c r="S251" s="4317"/>
      <c r="T251" s="4317"/>
      <c r="U251" s="4317"/>
      <c r="V251" s="4317"/>
      <c r="W251" s="4317"/>
      <c r="X251" s="4317"/>
      <c r="Y251" s="4317"/>
      <c r="Z251" s="4317"/>
      <c r="AA251" s="4317"/>
      <c r="AB251" s="4317"/>
      <c r="AC251" s="4295"/>
      <c r="AD251" s="4317"/>
      <c r="AE251" s="4317"/>
      <c r="AF251" s="4319"/>
      <c r="AG251" s="4319"/>
      <c r="AH251" s="4317"/>
      <c r="AI251" s="4317"/>
      <c r="AJ251" s="4317"/>
      <c r="AK251" s="4317"/>
      <c r="AL251" s="4317"/>
      <c r="AM251" s="4317"/>
      <c r="AN251" s="4317"/>
      <c r="AO251" s="4317"/>
      <c r="AP251" s="4317"/>
      <c r="AQ251" s="4317"/>
      <c r="AR251" s="4317"/>
      <c r="AS251" s="4317"/>
      <c r="AT251" s="4317"/>
      <c r="AU251" s="4317"/>
      <c r="AV251" s="4317"/>
      <c r="AW251" s="4317"/>
      <c r="AX251" s="4317"/>
      <c r="AY251" s="4317"/>
      <c r="AZ251" s="4317"/>
      <c r="BA251" s="4317"/>
      <c r="BB251" s="4317"/>
      <c r="BC251" s="4317"/>
      <c r="BD251" s="4317"/>
      <c r="BE251" s="4317"/>
      <c r="BF251" s="4317"/>
      <c r="BG251" s="4317"/>
      <c r="BH251" s="4317"/>
      <c r="BI251" s="4317"/>
      <c r="BJ251" s="4317"/>
      <c r="BK251" s="4317"/>
      <c r="BL251" s="4317"/>
      <c r="BM251" s="4317"/>
      <c r="BN251" s="4317"/>
      <c r="BO251" s="4317"/>
      <c r="BP251" s="4317"/>
      <c r="BQ251" s="4317"/>
      <c r="BR251" s="4317"/>
      <c r="BS251" s="4317"/>
      <c r="BT251" s="4317"/>
      <c r="BU251" s="4317"/>
      <c r="BV251" s="4317"/>
      <c r="BW251" s="4317"/>
      <c r="BX251" s="4317"/>
      <c r="BY251" s="4317"/>
      <c r="BZ251" s="4317"/>
      <c r="CA251" s="4317"/>
      <c r="CB251" s="4317"/>
      <c r="CC251" s="4317"/>
      <c r="CD251" s="4317"/>
      <c r="CE251" s="4317"/>
      <c r="CF251" s="4317"/>
      <c r="CG251" s="4317"/>
      <c r="CH251" s="4317"/>
      <c r="CI251" s="4317"/>
      <c r="CJ251" s="4317"/>
      <c r="CK251" s="4317"/>
      <c r="CL251" s="4317"/>
      <c r="CM251" s="4317"/>
      <c r="CN251" s="4317"/>
      <c r="CO251" s="4317"/>
      <c r="CP251" s="4317"/>
      <c r="CQ251" s="4317"/>
      <c r="CR251" s="4317"/>
      <c r="CS251" s="4317"/>
      <c r="CT251" s="4317"/>
      <c r="CU251" s="4317"/>
      <c r="CV251" s="4317"/>
      <c r="CW251" s="4317"/>
      <c r="CX251" s="4317"/>
      <c r="CY251" s="4317"/>
      <c r="CZ251" s="4317"/>
      <c r="DA251" s="4317"/>
      <c r="DB251" s="4317"/>
      <c r="DC251" s="4317"/>
      <c r="DD251" s="4317"/>
      <c r="DE251" s="4317"/>
      <c r="DF251" s="4317"/>
      <c r="DG251" s="4317"/>
      <c r="DH251" s="4317"/>
      <c r="DI251" s="4317"/>
      <c r="DJ251" s="4317"/>
      <c r="DK251" s="4317"/>
      <c r="DL251" s="4317"/>
      <c r="DM251" s="4317"/>
      <c r="DN251" s="4317"/>
      <c r="DO251" s="4317"/>
      <c r="DP251" s="4317"/>
      <c r="DQ251" s="4317"/>
      <c r="DR251" s="4317"/>
      <c r="DS251" s="4317"/>
    </row>
    <row r="252" s="4134" customFormat="1" ht="19.5" customHeight="1" spans="1:123">
      <c r="A252" s="4304" t="s">
        <v>3503</v>
      </c>
      <c r="B252" s="4324"/>
      <c r="C252" s="4324"/>
      <c r="D252" s="4324"/>
      <c r="E252" s="4324"/>
      <c r="F252" s="4300">
        <v>6766</v>
      </c>
      <c r="G252" s="4300"/>
      <c r="H252" s="4300"/>
      <c r="I252" s="4300"/>
      <c r="J252" s="4300"/>
      <c r="K252" s="4300"/>
      <c r="L252" s="4300"/>
      <c r="M252" s="4317"/>
      <c r="N252" s="4317"/>
      <c r="O252" s="4340" t="s">
        <v>4897</v>
      </c>
      <c r="P252" s="4317"/>
      <c r="Q252" s="4295"/>
      <c r="R252" s="4317"/>
      <c r="S252" s="4317"/>
      <c r="T252" s="4317"/>
      <c r="U252" s="4317"/>
      <c r="V252" s="4317"/>
      <c r="W252" s="4317"/>
      <c r="X252" s="4317"/>
      <c r="Y252" s="4317"/>
      <c r="Z252" s="4317"/>
      <c r="AA252" s="4317"/>
      <c r="AB252" s="4317"/>
      <c r="AC252" s="4295"/>
      <c r="AD252" s="4317"/>
      <c r="AE252" s="4317"/>
      <c r="AF252" s="4319"/>
      <c r="AG252" s="4319"/>
      <c r="AH252" s="4317"/>
      <c r="AI252" s="4317"/>
      <c r="AJ252" s="4317"/>
      <c r="AK252" s="4317"/>
      <c r="AL252" s="4317"/>
      <c r="AM252" s="4317"/>
      <c r="AN252" s="4317"/>
      <c r="AO252" s="4317"/>
      <c r="AP252" s="4317"/>
      <c r="AQ252" s="4317"/>
      <c r="AR252" s="4317"/>
      <c r="AS252" s="4317"/>
      <c r="AT252" s="4317"/>
      <c r="AU252" s="4317"/>
      <c r="AV252" s="4317"/>
      <c r="AW252" s="4317"/>
      <c r="AX252" s="4317"/>
      <c r="AY252" s="4317"/>
      <c r="AZ252" s="4317"/>
      <c r="BA252" s="4317"/>
      <c r="BB252" s="4317"/>
      <c r="BC252" s="4317"/>
      <c r="BD252" s="4317"/>
      <c r="BE252" s="4317"/>
      <c r="BF252" s="4317"/>
      <c r="BG252" s="4317"/>
      <c r="BH252" s="4317"/>
      <c r="BI252" s="4317"/>
      <c r="BJ252" s="4317"/>
      <c r="BK252" s="4317"/>
      <c r="BL252" s="4317"/>
      <c r="BM252" s="4317"/>
      <c r="BN252" s="4317"/>
      <c r="BO252" s="4317"/>
      <c r="BP252" s="4317"/>
      <c r="BQ252" s="4317"/>
      <c r="BR252" s="4317"/>
      <c r="BS252" s="4317"/>
      <c r="BT252" s="4317"/>
      <c r="BU252" s="4317"/>
      <c r="BV252" s="4317"/>
      <c r="BW252" s="4317"/>
      <c r="BX252" s="4317"/>
      <c r="BY252" s="4317"/>
      <c r="BZ252" s="4317"/>
      <c r="CA252" s="4317"/>
      <c r="CB252" s="4317"/>
      <c r="CC252" s="4317"/>
      <c r="CD252" s="4317"/>
      <c r="CE252" s="4317"/>
      <c r="CF252" s="4317"/>
      <c r="CG252" s="4317"/>
      <c r="CH252" s="4317"/>
      <c r="CI252" s="4317"/>
      <c r="CJ252" s="4317"/>
      <c r="CK252" s="4317"/>
      <c r="CL252" s="4317"/>
      <c r="CM252" s="4317"/>
      <c r="CN252" s="4317"/>
      <c r="CO252" s="4317"/>
      <c r="CP252" s="4317"/>
      <c r="CQ252" s="4317"/>
      <c r="CR252" s="4317"/>
      <c r="CS252" s="4317"/>
      <c r="CT252" s="4317"/>
      <c r="CU252" s="4317"/>
      <c r="CV252" s="4317"/>
      <c r="CW252" s="4317"/>
      <c r="CX252" s="4317"/>
      <c r="CY252" s="4317"/>
      <c r="CZ252" s="4317"/>
      <c r="DA252" s="4317"/>
      <c r="DB252" s="4317"/>
      <c r="DC252" s="4317"/>
      <c r="DD252" s="4317"/>
      <c r="DE252" s="4317"/>
      <c r="DF252" s="4317"/>
      <c r="DG252" s="4317"/>
      <c r="DH252" s="4317"/>
      <c r="DI252" s="4317"/>
      <c r="DJ252" s="4317"/>
      <c r="DK252" s="4317"/>
      <c r="DL252" s="4317"/>
      <c r="DM252" s="4317"/>
      <c r="DN252" s="4317"/>
      <c r="DO252" s="4317"/>
      <c r="DP252" s="4317"/>
      <c r="DQ252" s="4317"/>
      <c r="DR252" s="4317"/>
      <c r="DS252" s="4317"/>
    </row>
    <row r="253" s="4134" customFormat="1" ht="19.5" customHeight="1" spans="1:123">
      <c r="A253" s="4304" t="s">
        <v>3509</v>
      </c>
      <c r="B253" s="4324"/>
      <c r="C253" s="4324"/>
      <c r="D253" s="4324"/>
      <c r="E253" s="4324"/>
      <c r="F253" s="4300"/>
      <c r="G253" s="4300"/>
      <c r="H253" s="4300"/>
      <c r="I253" s="4300"/>
      <c r="J253" s="4300"/>
      <c r="K253" s="4300"/>
      <c r="L253" s="4300"/>
      <c r="M253" s="4317"/>
      <c r="N253" s="4317"/>
      <c r="O253" s="4340" t="s">
        <v>4898</v>
      </c>
      <c r="P253" s="4317"/>
      <c r="Q253" s="4295"/>
      <c r="R253" s="4317"/>
      <c r="S253" s="4317"/>
      <c r="T253" s="4317"/>
      <c r="U253" s="4317"/>
      <c r="V253" s="4317"/>
      <c r="W253" s="4317"/>
      <c r="X253" s="4317"/>
      <c r="Y253" s="4317"/>
      <c r="Z253" s="4317"/>
      <c r="AA253" s="4317"/>
      <c r="AB253" s="4317"/>
      <c r="AC253" s="4295"/>
      <c r="AD253" s="4317"/>
      <c r="AE253" s="4317"/>
      <c r="AF253" s="4319"/>
      <c r="AG253" s="4319"/>
      <c r="AH253" s="4317"/>
      <c r="AI253" s="4317"/>
      <c r="AJ253" s="4317"/>
      <c r="AK253" s="4317"/>
      <c r="AL253" s="4317"/>
      <c r="AM253" s="4317"/>
      <c r="AN253" s="4317"/>
      <c r="AO253" s="4317"/>
      <c r="AP253" s="4317"/>
      <c r="AQ253" s="4317"/>
      <c r="AR253" s="4317"/>
      <c r="AS253" s="4317"/>
      <c r="AT253" s="4317"/>
      <c r="AU253" s="4317"/>
      <c r="AV253" s="4317"/>
      <c r="AW253" s="4317"/>
      <c r="AX253" s="4317"/>
      <c r="AY253" s="4317"/>
      <c r="AZ253" s="4317"/>
      <c r="BA253" s="4317"/>
      <c r="BB253" s="4317"/>
      <c r="BC253" s="4317"/>
      <c r="BD253" s="4317"/>
      <c r="BE253" s="4317"/>
      <c r="BF253" s="4317"/>
      <c r="BG253" s="4317"/>
      <c r="BH253" s="4317"/>
      <c r="BI253" s="4317"/>
      <c r="BJ253" s="4317"/>
      <c r="BK253" s="4317"/>
      <c r="BL253" s="4317"/>
      <c r="BM253" s="4317"/>
      <c r="BN253" s="4317"/>
      <c r="BO253" s="4317"/>
      <c r="BP253" s="4317"/>
      <c r="BQ253" s="4317"/>
      <c r="BR253" s="4317"/>
      <c r="BS253" s="4317"/>
      <c r="BT253" s="4317"/>
      <c r="BU253" s="4317"/>
      <c r="BV253" s="4317"/>
      <c r="BW253" s="4317"/>
      <c r="BX253" s="4317"/>
      <c r="BY253" s="4317"/>
      <c r="BZ253" s="4317"/>
      <c r="CA253" s="4317"/>
      <c r="CB253" s="4317"/>
      <c r="CC253" s="4317"/>
      <c r="CD253" s="4317"/>
      <c r="CE253" s="4317"/>
      <c r="CF253" s="4317"/>
      <c r="CG253" s="4317"/>
      <c r="CH253" s="4317"/>
      <c r="CI253" s="4317"/>
      <c r="CJ253" s="4317"/>
      <c r="CK253" s="4317"/>
      <c r="CL253" s="4317"/>
      <c r="CM253" s="4317"/>
      <c r="CN253" s="4317"/>
      <c r="CO253" s="4317"/>
      <c r="CP253" s="4317"/>
      <c r="CQ253" s="4317"/>
      <c r="CR253" s="4317"/>
      <c r="CS253" s="4317"/>
      <c r="CT253" s="4317"/>
      <c r="CU253" s="4317"/>
      <c r="CV253" s="4317"/>
      <c r="CW253" s="4317"/>
      <c r="CX253" s="4317"/>
      <c r="CY253" s="4317"/>
      <c r="CZ253" s="4317"/>
      <c r="DA253" s="4317"/>
      <c r="DB253" s="4317"/>
      <c r="DC253" s="4317"/>
      <c r="DD253" s="4317"/>
      <c r="DE253" s="4317"/>
      <c r="DF253" s="4317"/>
      <c r="DG253" s="4317"/>
      <c r="DH253" s="4317"/>
      <c r="DI253" s="4317"/>
      <c r="DJ253" s="4317"/>
      <c r="DK253" s="4317"/>
      <c r="DL253" s="4317"/>
      <c r="DM253" s="4317"/>
      <c r="DN253" s="4317"/>
      <c r="DO253" s="4317"/>
      <c r="DP253" s="4317"/>
      <c r="DQ253" s="4317"/>
      <c r="DR253" s="4317"/>
      <c r="DS253" s="4317"/>
    </row>
    <row r="254" s="4134" customFormat="1" ht="19.5" customHeight="1" spans="1:123">
      <c r="A254" s="4312" t="s">
        <v>4899</v>
      </c>
      <c r="B254" s="4313"/>
      <c r="C254" s="4313"/>
      <c r="D254" s="4313"/>
      <c r="E254" s="4313"/>
      <c r="F254" s="4341">
        <f>SUM(F249:L253)+F244</f>
        <v>206367</v>
      </c>
      <c r="G254" s="4341"/>
      <c r="H254" s="4341"/>
      <c r="I254" s="4341"/>
      <c r="J254" s="4341"/>
      <c r="K254" s="4341"/>
      <c r="L254" s="4341"/>
      <c r="M254" s="4317"/>
      <c r="N254" s="4317"/>
      <c r="O254" s="4342" t="s">
        <v>4900</v>
      </c>
      <c r="P254" s="4317"/>
      <c r="Q254" s="4295"/>
      <c r="R254" s="4317"/>
      <c r="S254" s="4317"/>
      <c r="T254" s="4317"/>
      <c r="U254" s="4317"/>
      <c r="V254" s="4317"/>
      <c r="W254" s="4317"/>
      <c r="X254" s="4317"/>
      <c r="Y254" s="4317"/>
      <c r="Z254" s="4317"/>
      <c r="AA254" s="4317"/>
      <c r="AB254" s="4317"/>
      <c r="AC254" s="4295"/>
      <c r="AD254" s="4317"/>
      <c r="AE254" s="4317"/>
      <c r="AF254" s="4319"/>
      <c r="AG254" s="4319"/>
      <c r="AH254" s="4317"/>
      <c r="AI254" s="4317"/>
      <c r="AJ254" s="4317"/>
      <c r="AK254" s="4317"/>
      <c r="AL254" s="4317"/>
      <c r="AM254" s="4317"/>
      <c r="AN254" s="4317"/>
      <c r="AO254" s="4317"/>
      <c r="AP254" s="4317"/>
      <c r="AQ254" s="4317"/>
      <c r="AR254" s="4317"/>
      <c r="AS254" s="4317"/>
      <c r="AT254" s="4317"/>
      <c r="AU254" s="4317"/>
      <c r="AV254" s="4317"/>
      <c r="AW254" s="4317"/>
      <c r="AX254" s="4317"/>
      <c r="AY254" s="4317"/>
      <c r="AZ254" s="4317"/>
      <c r="BA254" s="4317"/>
      <c r="BB254" s="4317"/>
      <c r="BC254" s="4317"/>
      <c r="BD254" s="4317"/>
      <c r="BE254" s="4317"/>
      <c r="BF254" s="4317"/>
      <c r="BG254" s="4317"/>
      <c r="BH254" s="4317"/>
      <c r="BI254" s="4317"/>
      <c r="BJ254" s="4317"/>
      <c r="BK254" s="4317"/>
      <c r="BL254" s="4317"/>
      <c r="BM254" s="4317"/>
      <c r="BN254" s="4317"/>
      <c r="BO254" s="4317"/>
      <c r="BP254" s="4317"/>
      <c r="BQ254" s="4317"/>
      <c r="BR254" s="4317"/>
      <c r="BS254" s="4317"/>
      <c r="BT254" s="4317"/>
      <c r="BU254" s="4317"/>
      <c r="BV254" s="4317"/>
      <c r="BW254" s="4317"/>
      <c r="BX254" s="4317"/>
      <c r="BY254" s="4317"/>
      <c r="BZ254" s="4317"/>
      <c r="CA254" s="4317"/>
      <c r="CB254" s="4317"/>
      <c r="CC254" s="4317"/>
      <c r="CD254" s="4317"/>
      <c r="CE254" s="4317"/>
      <c r="CF254" s="4317"/>
      <c r="CG254" s="4317"/>
      <c r="CH254" s="4317"/>
      <c r="CI254" s="4317"/>
      <c r="CJ254" s="4317"/>
      <c r="CK254" s="4317"/>
      <c r="CL254" s="4317"/>
      <c r="CM254" s="4317"/>
      <c r="CN254" s="4317"/>
      <c r="CO254" s="4317"/>
      <c r="CP254" s="4317"/>
      <c r="CQ254" s="4317"/>
      <c r="CR254" s="4317"/>
      <c r="CS254" s="4317"/>
      <c r="CT254" s="4317"/>
      <c r="CU254" s="4317"/>
      <c r="CV254" s="4317"/>
      <c r="CW254" s="4317"/>
      <c r="CX254" s="4317"/>
      <c r="CY254" s="4317"/>
      <c r="CZ254" s="4317"/>
      <c r="DA254" s="4317"/>
      <c r="DB254" s="4317"/>
      <c r="DC254" s="4317"/>
      <c r="DD254" s="4317"/>
      <c r="DE254" s="4317"/>
      <c r="DF254" s="4317"/>
      <c r="DG254" s="4317"/>
      <c r="DH254" s="4317"/>
      <c r="DI254" s="4317"/>
      <c r="DJ254" s="4317"/>
      <c r="DK254" s="4317"/>
      <c r="DL254" s="4317"/>
      <c r="DM254" s="4317"/>
      <c r="DN254" s="4317"/>
      <c r="DO254" s="4317"/>
      <c r="DP254" s="4317"/>
      <c r="DQ254" s="4317"/>
      <c r="DR254" s="4317"/>
      <c r="DS254" s="4317"/>
    </row>
    <row r="255" s="4134" customFormat="1" ht="19.5" customHeight="1" spans="1:123">
      <c r="A255" s="4304" t="s">
        <v>3512</v>
      </c>
      <c r="B255" s="4324"/>
      <c r="C255" s="4324"/>
      <c r="D255" s="4324"/>
      <c r="E255" s="4324"/>
      <c r="F255" s="4300"/>
      <c r="G255" s="4300"/>
      <c r="H255" s="4300"/>
      <c r="I255" s="4300"/>
      <c r="J255" s="4300"/>
      <c r="K255" s="4300"/>
      <c r="L255" s="4300"/>
      <c r="M255" s="4317"/>
      <c r="N255" s="4317"/>
      <c r="O255" s="4340" t="s">
        <v>4901</v>
      </c>
      <c r="P255" s="4317"/>
      <c r="Q255" s="4295"/>
      <c r="R255" s="4317"/>
      <c r="S255" s="4317"/>
      <c r="T255" s="4317"/>
      <c r="U255" s="4317"/>
      <c r="V255" s="4317"/>
      <c r="W255" s="4317"/>
      <c r="X255" s="4317"/>
      <c r="Y255" s="4317"/>
      <c r="Z255" s="4317"/>
      <c r="AA255" s="4317"/>
      <c r="AB255" s="4317"/>
      <c r="AC255" s="4295"/>
      <c r="AD255" s="4317"/>
      <c r="AE255" s="4317"/>
      <c r="AF255" s="4319"/>
      <c r="AG255" s="4319"/>
      <c r="AH255" s="4317"/>
      <c r="AI255" s="4317"/>
      <c r="AJ255" s="4317"/>
      <c r="AK255" s="4317"/>
      <c r="AL255" s="4317"/>
      <c r="AM255" s="4317"/>
      <c r="AN255" s="4317"/>
      <c r="AO255" s="4317"/>
      <c r="AP255" s="4317"/>
      <c r="AQ255" s="4317"/>
      <c r="AR255" s="4317"/>
      <c r="AS255" s="4317"/>
      <c r="AT255" s="4317"/>
      <c r="AU255" s="4317"/>
      <c r="AV255" s="4317"/>
      <c r="AW255" s="4317"/>
      <c r="AX255" s="4317"/>
      <c r="AY255" s="4317"/>
      <c r="AZ255" s="4317"/>
      <c r="BA255" s="4317"/>
      <c r="BB255" s="4317"/>
      <c r="BC255" s="4317"/>
      <c r="BD255" s="4317"/>
      <c r="BE255" s="4317"/>
      <c r="BF255" s="4317"/>
      <c r="BG255" s="4317"/>
      <c r="BH255" s="4317"/>
      <c r="BI255" s="4317"/>
      <c r="BJ255" s="4317"/>
      <c r="BK255" s="4317"/>
      <c r="BL255" s="4317"/>
      <c r="BM255" s="4317"/>
      <c r="BN255" s="4317"/>
      <c r="BO255" s="4317"/>
      <c r="BP255" s="4317"/>
      <c r="BQ255" s="4317"/>
      <c r="BR255" s="4317"/>
      <c r="BS255" s="4317"/>
      <c r="BT255" s="4317"/>
      <c r="BU255" s="4317"/>
      <c r="BV255" s="4317"/>
      <c r="BW255" s="4317"/>
      <c r="BX255" s="4317"/>
      <c r="BY255" s="4317"/>
      <c r="BZ255" s="4317"/>
      <c r="CA255" s="4317"/>
      <c r="CB255" s="4317"/>
      <c r="CC255" s="4317"/>
      <c r="CD255" s="4317"/>
      <c r="CE255" s="4317"/>
      <c r="CF255" s="4317"/>
      <c r="CG255" s="4317"/>
      <c r="CH255" s="4317"/>
      <c r="CI255" s="4317"/>
      <c r="CJ255" s="4317"/>
      <c r="CK255" s="4317"/>
      <c r="CL255" s="4317"/>
      <c r="CM255" s="4317"/>
      <c r="CN255" s="4317"/>
      <c r="CO255" s="4317"/>
      <c r="CP255" s="4317"/>
      <c r="CQ255" s="4317"/>
      <c r="CR255" s="4317"/>
      <c r="CS255" s="4317"/>
      <c r="CT255" s="4317"/>
      <c r="CU255" s="4317"/>
      <c r="CV255" s="4317"/>
      <c r="CW255" s="4317"/>
      <c r="CX255" s="4317"/>
      <c r="CY255" s="4317"/>
      <c r="CZ255" s="4317"/>
      <c r="DA255" s="4317"/>
      <c r="DB255" s="4317"/>
      <c r="DC255" s="4317"/>
      <c r="DD255" s="4317"/>
      <c r="DE255" s="4317"/>
      <c r="DF255" s="4317"/>
      <c r="DG255" s="4317"/>
      <c r="DH255" s="4317"/>
      <c r="DI255" s="4317"/>
      <c r="DJ255" s="4317"/>
      <c r="DK255" s="4317"/>
      <c r="DL255" s="4317"/>
      <c r="DM255" s="4317"/>
      <c r="DN255" s="4317"/>
      <c r="DO255" s="4317"/>
      <c r="DP255" s="4317"/>
      <c r="DQ255" s="4317"/>
      <c r="DR255" s="4317"/>
      <c r="DS255" s="4317"/>
    </row>
    <row r="256" s="4134" customFormat="1" ht="19.5" customHeight="1" spans="1:123">
      <c r="A256" s="4304" t="s">
        <v>3516</v>
      </c>
      <c r="B256" s="4324"/>
      <c r="C256" s="4324"/>
      <c r="D256" s="4324"/>
      <c r="E256" s="4324"/>
      <c r="F256" s="4300"/>
      <c r="G256" s="4300"/>
      <c r="H256" s="4300"/>
      <c r="I256" s="4300"/>
      <c r="J256" s="4300"/>
      <c r="K256" s="4300"/>
      <c r="L256" s="4300"/>
      <c r="M256" s="4317"/>
      <c r="N256" s="4317"/>
      <c r="O256" s="4340" t="s">
        <v>4902</v>
      </c>
      <c r="P256" s="4317"/>
      <c r="Q256" s="4295"/>
      <c r="R256" s="4317"/>
      <c r="S256" s="4317"/>
      <c r="T256" s="4317"/>
      <c r="U256" s="4317"/>
      <c r="V256" s="4317"/>
      <c r="W256" s="4317"/>
      <c r="X256" s="4317"/>
      <c r="Y256" s="4317"/>
      <c r="Z256" s="4317"/>
      <c r="AA256" s="4317"/>
      <c r="AB256" s="4317"/>
      <c r="AC256" s="4295"/>
      <c r="AD256" s="4317"/>
      <c r="AE256" s="4317"/>
      <c r="AF256" s="4318"/>
      <c r="AG256" s="4318"/>
      <c r="AH256" s="4317"/>
      <c r="AI256" s="4317"/>
      <c r="AJ256" s="4317"/>
      <c r="AK256" s="4317"/>
      <c r="AL256" s="4317"/>
      <c r="AM256" s="4317"/>
      <c r="AN256" s="4317"/>
      <c r="AO256" s="4317"/>
      <c r="AP256" s="4317"/>
      <c r="AQ256" s="4317"/>
      <c r="AR256" s="4317"/>
      <c r="AS256" s="4317"/>
      <c r="AT256" s="4317"/>
      <c r="AU256" s="4317"/>
      <c r="AV256" s="4317"/>
      <c r="AW256" s="4317"/>
      <c r="AX256" s="4317"/>
      <c r="AY256" s="4317"/>
      <c r="AZ256" s="4317"/>
      <c r="BA256" s="4317"/>
      <c r="BB256" s="4317"/>
      <c r="BC256" s="4317"/>
      <c r="BD256" s="4317"/>
      <c r="BE256" s="4317"/>
      <c r="BF256" s="4317"/>
      <c r="BG256" s="4317"/>
      <c r="BH256" s="4317"/>
      <c r="BI256" s="4317"/>
      <c r="BJ256" s="4317"/>
      <c r="BK256" s="4317"/>
      <c r="BL256" s="4317"/>
      <c r="BM256" s="4317"/>
      <c r="BN256" s="4317"/>
      <c r="BO256" s="4317"/>
      <c r="BP256" s="4317"/>
      <c r="BQ256" s="4317"/>
      <c r="BR256" s="4317"/>
      <c r="BS256" s="4317"/>
      <c r="BT256" s="4317"/>
      <c r="BU256" s="4317"/>
      <c r="BV256" s="4317"/>
      <c r="BW256" s="4317"/>
      <c r="BX256" s="4317"/>
      <c r="BY256" s="4317"/>
      <c r="BZ256" s="4317"/>
      <c r="CA256" s="4317"/>
      <c r="CB256" s="4317"/>
      <c r="CC256" s="4317"/>
      <c r="CD256" s="4317"/>
      <c r="CE256" s="4317"/>
      <c r="CF256" s="4317"/>
      <c r="CG256" s="4317"/>
      <c r="CH256" s="4317"/>
      <c r="CI256" s="4317"/>
      <c r="CJ256" s="4317"/>
      <c r="CK256" s="4317"/>
      <c r="CL256" s="4317"/>
      <c r="CM256" s="4317"/>
      <c r="CN256" s="4317"/>
      <c r="CO256" s="4317"/>
      <c r="CP256" s="4317"/>
      <c r="CQ256" s="4317"/>
      <c r="CR256" s="4317"/>
      <c r="CS256" s="4317"/>
      <c r="CT256" s="4317"/>
      <c r="CU256" s="4317"/>
      <c r="CV256" s="4317"/>
      <c r="CW256" s="4317"/>
      <c r="CX256" s="4317"/>
      <c r="CY256" s="4317"/>
      <c r="CZ256" s="4317"/>
      <c r="DA256" s="4317"/>
      <c r="DB256" s="4317"/>
      <c r="DC256" s="4317"/>
      <c r="DD256" s="4317"/>
      <c r="DE256" s="4317"/>
      <c r="DF256" s="4317"/>
      <c r="DG256" s="4317"/>
      <c r="DH256" s="4317"/>
      <c r="DI256" s="4317"/>
      <c r="DJ256" s="4317"/>
      <c r="DK256" s="4317"/>
      <c r="DL256" s="4317"/>
      <c r="DM256" s="4317"/>
      <c r="DN256" s="4317"/>
      <c r="DO256" s="4317"/>
      <c r="DP256" s="4317"/>
      <c r="DQ256" s="4317"/>
      <c r="DR256" s="4317"/>
      <c r="DS256" s="4317"/>
    </row>
    <row r="257" s="4134" customFormat="1" ht="19.5" customHeight="1" spans="1:123">
      <c r="A257" s="4304" t="s">
        <v>3520</v>
      </c>
      <c r="B257" s="4324"/>
      <c r="C257" s="4324"/>
      <c r="D257" s="4324"/>
      <c r="E257" s="4324"/>
      <c r="F257" s="4300">
        <v>24172</v>
      </c>
      <c r="G257" s="4300"/>
      <c r="H257" s="4300"/>
      <c r="I257" s="4300"/>
      <c r="J257" s="4300"/>
      <c r="K257" s="4300"/>
      <c r="L257" s="4300"/>
      <c r="M257" s="4317"/>
      <c r="N257" s="4317"/>
      <c r="O257" s="4340" t="s">
        <v>4903</v>
      </c>
      <c r="P257" s="4317"/>
      <c r="Q257" s="4295"/>
      <c r="R257" s="4317"/>
      <c r="S257" s="4317"/>
      <c r="T257" s="4317"/>
      <c r="U257" s="4317"/>
      <c r="V257" s="4317"/>
      <c r="W257" s="4317"/>
      <c r="X257" s="4317"/>
      <c r="Y257" s="4317"/>
      <c r="Z257" s="4317"/>
      <c r="AA257" s="4317"/>
      <c r="AB257" s="4317"/>
      <c r="AC257" s="4295"/>
      <c r="AD257" s="4317"/>
      <c r="AE257" s="4317"/>
      <c r="AF257" s="4319"/>
      <c r="AG257" s="4319"/>
      <c r="AH257" s="4317"/>
      <c r="AI257" s="4317"/>
      <c r="AJ257" s="4317"/>
      <c r="AK257" s="4317"/>
      <c r="AL257" s="4317"/>
      <c r="AM257" s="4317"/>
      <c r="AN257" s="4317"/>
      <c r="AO257" s="4317"/>
      <c r="AP257" s="4317"/>
      <c r="AQ257" s="4317"/>
      <c r="AR257" s="4317"/>
      <c r="AS257" s="4317"/>
      <c r="AT257" s="4317"/>
      <c r="AU257" s="4317"/>
      <c r="AV257" s="4317"/>
      <c r="AW257" s="4317"/>
      <c r="AX257" s="4317"/>
      <c r="AY257" s="4317"/>
      <c r="AZ257" s="4317"/>
      <c r="BA257" s="4317"/>
      <c r="BB257" s="4317"/>
      <c r="BC257" s="4317"/>
      <c r="BD257" s="4317"/>
      <c r="BE257" s="4317"/>
      <c r="BF257" s="4317"/>
      <c r="BG257" s="4317"/>
      <c r="BH257" s="4317"/>
      <c r="BI257" s="4317"/>
      <c r="BJ257" s="4317"/>
      <c r="BK257" s="4317"/>
      <c r="BL257" s="4317"/>
      <c r="BM257" s="4317"/>
      <c r="BN257" s="4317"/>
      <c r="BO257" s="4317"/>
      <c r="BP257" s="4317"/>
      <c r="BQ257" s="4317"/>
      <c r="BR257" s="4317"/>
      <c r="BS257" s="4317"/>
      <c r="BT257" s="4317"/>
      <c r="BU257" s="4317"/>
      <c r="BV257" s="4317"/>
      <c r="BW257" s="4317"/>
      <c r="BX257" s="4317"/>
      <c r="BY257" s="4317"/>
      <c r="BZ257" s="4317"/>
      <c r="CA257" s="4317"/>
      <c r="CB257" s="4317"/>
      <c r="CC257" s="4317"/>
      <c r="CD257" s="4317"/>
      <c r="CE257" s="4317"/>
      <c r="CF257" s="4317"/>
      <c r="CG257" s="4317"/>
      <c r="CH257" s="4317"/>
      <c r="CI257" s="4317"/>
      <c r="CJ257" s="4317"/>
      <c r="CK257" s="4317"/>
      <c r="CL257" s="4317"/>
      <c r="CM257" s="4317"/>
      <c r="CN257" s="4317"/>
      <c r="CO257" s="4317"/>
      <c r="CP257" s="4317"/>
      <c r="CQ257" s="4317"/>
      <c r="CR257" s="4317"/>
      <c r="CS257" s="4317"/>
      <c r="CT257" s="4317"/>
      <c r="CU257" s="4317"/>
      <c r="CV257" s="4317"/>
      <c r="CW257" s="4317"/>
      <c r="CX257" s="4317"/>
      <c r="CY257" s="4317"/>
      <c r="CZ257" s="4317"/>
      <c r="DA257" s="4317"/>
      <c r="DB257" s="4317"/>
      <c r="DC257" s="4317"/>
      <c r="DD257" s="4317"/>
      <c r="DE257" s="4317"/>
      <c r="DF257" s="4317"/>
      <c r="DG257" s="4317"/>
      <c r="DH257" s="4317"/>
      <c r="DI257" s="4317"/>
      <c r="DJ257" s="4317"/>
      <c r="DK257" s="4317"/>
      <c r="DL257" s="4317"/>
      <c r="DM257" s="4317"/>
      <c r="DN257" s="4317"/>
      <c r="DO257" s="4317"/>
      <c r="DP257" s="4317"/>
      <c r="DQ257" s="4317"/>
      <c r="DR257" s="4317"/>
      <c r="DS257" s="4317"/>
    </row>
    <row r="258" s="4134" customFormat="1" ht="19.5" customHeight="1" spans="1:123">
      <c r="A258" s="4304" t="s">
        <v>3524</v>
      </c>
      <c r="B258" s="4324"/>
      <c r="C258" s="4324"/>
      <c r="D258" s="4324"/>
      <c r="E258" s="4324"/>
      <c r="F258" s="4300"/>
      <c r="G258" s="4300"/>
      <c r="H258" s="4300"/>
      <c r="I258" s="4300"/>
      <c r="J258" s="4300"/>
      <c r="K258" s="4300"/>
      <c r="L258" s="4300"/>
      <c r="M258" s="4317"/>
      <c r="N258" s="4317"/>
      <c r="O258" s="4340" t="s">
        <v>3647</v>
      </c>
      <c r="P258" s="4317"/>
      <c r="Q258" s="4295"/>
      <c r="R258" s="4317"/>
      <c r="S258" s="4317"/>
      <c r="T258" s="4317"/>
      <c r="U258" s="4317"/>
      <c r="V258" s="4317"/>
      <c r="W258" s="4317"/>
      <c r="X258" s="4317"/>
      <c r="Y258" s="4317"/>
      <c r="Z258" s="4317"/>
      <c r="AA258" s="4317"/>
      <c r="AB258" s="4317"/>
      <c r="AC258" s="4295"/>
      <c r="AD258" s="4317"/>
      <c r="AE258" s="4317"/>
      <c r="AF258" s="4319"/>
      <c r="AG258" s="4319"/>
      <c r="AH258" s="4317"/>
      <c r="AI258" s="4317"/>
      <c r="AJ258" s="4317"/>
      <c r="AK258" s="4317"/>
      <c r="AL258" s="4317"/>
      <c r="AM258" s="4317"/>
      <c r="AN258" s="4317"/>
      <c r="AO258" s="4317"/>
      <c r="AP258" s="4317"/>
      <c r="AQ258" s="4317"/>
      <c r="AR258" s="4317"/>
      <c r="AS258" s="4317"/>
      <c r="AT258" s="4317"/>
      <c r="AU258" s="4317"/>
      <c r="AV258" s="4317"/>
      <c r="AW258" s="4317"/>
      <c r="AX258" s="4317"/>
      <c r="AY258" s="4317"/>
      <c r="AZ258" s="4317"/>
      <c r="BA258" s="4317"/>
      <c r="BB258" s="4317"/>
      <c r="BC258" s="4317"/>
      <c r="BD258" s="4317"/>
      <c r="BE258" s="4317"/>
      <c r="BF258" s="4317"/>
      <c r="BG258" s="4317"/>
      <c r="BH258" s="4317"/>
      <c r="BI258" s="4317"/>
      <c r="BJ258" s="4317"/>
      <c r="BK258" s="4317"/>
      <c r="BL258" s="4317"/>
      <c r="BM258" s="4317"/>
      <c r="BN258" s="4317"/>
      <c r="BO258" s="4317"/>
      <c r="BP258" s="4317"/>
      <c r="BQ258" s="4317"/>
      <c r="BR258" s="4317"/>
      <c r="BS258" s="4317"/>
      <c r="BT258" s="4317"/>
      <c r="BU258" s="4317"/>
      <c r="BV258" s="4317"/>
      <c r="BW258" s="4317"/>
      <c r="BX258" s="4317"/>
      <c r="BY258" s="4317"/>
      <c r="BZ258" s="4317"/>
      <c r="CA258" s="4317"/>
      <c r="CB258" s="4317"/>
      <c r="CC258" s="4317"/>
      <c r="CD258" s="4317"/>
      <c r="CE258" s="4317"/>
      <c r="CF258" s="4317"/>
      <c r="CG258" s="4317"/>
      <c r="CH258" s="4317"/>
      <c r="CI258" s="4317"/>
      <c r="CJ258" s="4317"/>
      <c r="CK258" s="4317"/>
      <c r="CL258" s="4317"/>
      <c r="CM258" s="4317"/>
      <c r="CN258" s="4317"/>
      <c r="CO258" s="4317"/>
      <c r="CP258" s="4317"/>
      <c r="CQ258" s="4317"/>
      <c r="CR258" s="4317"/>
      <c r="CS258" s="4317"/>
      <c r="CT258" s="4317"/>
      <c r="CU258" s="4317"/>
      <c r="CV258" s="4317"/>
      <c r="CW258" s="4317"/>
      <c r="CX258" s="4317"/>
      <c r="CY258" s="4317"/>
      <c r="CZ258" s="4317"/>
      <c r="DA258" s="4317"/>
      <c r="DB258" s="4317"/>
      <c r="DC258" s="4317"/>
      <c r="DD258" s="4317"/>
      <c r="DE258" s="4317"/>
      <c r="DF258" s="4317"/>
      <c r="DG258" s="4317"/>
      <c r="DH258" s="4317"/>
      <c r="DI258" s="4317"/>
      <c r="DJ258" s="4317"/>
      <c r="DK258" s="4317"/>
      <c r="DL258" s="4317"/>
      <c r="DM258" s="4317"/>
      <c r="DN258" s="4317"/>
      <c r="DO258" s="4317"/>
      <c r="DP258" s="4317"/>
      <c r="DQ258" s="4317"/>
      <c r="DR258" s="4317"/>
      <c r="DS258" s="4317"/>
    </row>
    <row r="259" s="4134" customFormat="1" ht="19.5" customHeight="1" spans="1:123">
      <c r="A259" s="4304" t="s">
        <v>3527</v>
      </c>
      <c r="B259" s="4324"/>
      <c r="C259" s="4324"/>
      <c r="D259" s="4324"/>
      <c r="E259" s="4324"/>
      <c r="F259" s="4300"/>
      <c r="G259" s="4300"/>
      <c r="H259" s="4300"/>
      <c r="I259" s="4300"/>
      <c r="J259" s="4300"/>
      <c r="K259" s="4300"/>
      <c r="L259" s="4300"/>
      <c r="M259" s="4317"/>
      <c r="N259" s="4317"/>
      <c r="O259" s="4340" t="s">
        <v>4904</v>
      </c>
      <c r="P259" s="4317"/>
      <c r="Q259" s="4295"/>
      <c r="R259" s="4317"/>
      <c r="S259" s="4317"/>
      <c r="T259" s="4317"/>
      <c r="U259" s="4317"/>
      <c r="V259" s="4317"/>
      <c r="W259" s="4317"/>
      <c r="X259" s="4317"/>
      <c r="Y259" s="4317"/>
      <c r="Z259" s="4317"/>
      <c r="AA259" s="4317"/>
      <c r="AB259" s="4317"/>
      <c r="AC259" s="4295"/>
      <c r="AD259" s="4317"/>
      <c r="AE259" s="4317"/>
      <c r="AF259" s="4319"/>
      <c r="AG259" s="4319"/>
      <c r="AH259" s="4317"/>
      <c r="AI259" s="4317"/>
      <c r="AJ259" s="4317"/>
      <c r="AK259" s="4317"/>
      <c r="AL259" s="4317"/>
      <c r="AM259" s="4317"/>
      <c r="AN259" s="4317"/>
      <c r="AO259" s="4317"/>
      <c r="AP259" s="4317"/>
      <c r="AQ259" s="4317"/>
      <c r="AR259" s="4317"/>
      <c r="AS259" s="4317"/>
      <c r="AT259" s="4317"/>
      <c r="AU259" s="4317"/>
      <c r="AV259" s="4317"/>
      <c r="AW259" s="4317"/>
      <c r="AX259" s="4317"/>
      <c r="AY259" s="4317"/>
      <c r="AZ259" s="4317"/>
      <c r="BA259" s="4317"/>
      <c r="BB259" s="4317"/>
      <c r="BC259" s="4317"/>
      <c r="BD259" s="4317"/>
      <c r="BE259" s="4317"/>
      <c r="BF259" s="4317"/>
      <c r="BG259" s="4317"/>
      <c r="BH259" s="4317"/>
      <c r="BI259" s="4317"/>
      <c r="BJ259" s="4317"/>
      <c r="BK259" s="4317"/>
      <c r="BL259" s="4317"/>
      <c r="BM259" s="4317"/>
      <c r="BN259" s="4317"/>
      <c r="BO259" s="4317"/>
      <c r="BP259" s="4317"/>
      <c r="BQ259" s="4317"/>
      <c r="BR259" s="4317"/>
      <c r="BS259" s="4317"/>
      <c r="BT259" s="4317"/>
      <c r="BU259" s="4317"/>
      <c r="BV259" s="4317"/>
      <c r="BW259" s="4317"/>
      <c r="BX259" s="4317"/>
      <c r="BY259" s="4317"/>
      <c r="BZ259" s="4317"/>
      <c r="CA259" s="4317"/>
      <c r="CB259" s="4317"/>
      <c r="CC259" s="4317"/>
      <c r="CD259" s="4317"/>
      <c r="CE259" s="4317"/>
      <c r="CF259" s="4317"/>
      <c r="CG259" s="4317"/>
      <c r="CH259" s="4317"/>
      <c r="CI259" s="4317"/>
      <c r="CJ259" s="4317"/>
      <c r="CK259" s="4317"/>
      <c r="CL259" s="4317"/>
      <c r="CM259" s="4317"/>
      <c r="CN259" s="4317"/>
      <c r="CO259" s="4317"/>
      <c r="CP259" s="4317"/>
      <c r="CQ259" s="4317"/>
      <c r="CR259" s="4317"/>
      <c r="CS259" s="4317"/>
      <c r="CT259" s="4317"/>
      <c r="CU259" s="4317"/>
      <c r="CV259" s="4317"/>
      <c r="CW259" s="4317"/>
      <c r="CX259" s="4317"/>
      <c r="CY259" s="4317"/>
      <c r="CZ259" s="4317"/>
      <c r="DA259" s="4317"/>
      <c r="DB259" s="4317"/>
      <c r="DC259" s="4317"/>
      <c r="DD259" s="4317"/>
      <c r="DE259" s="4317"/>
      <c r="DF259" s="4317"/>
      <c r="DG259" s="4317"/>
      <c r="DH259" s="4317"/>
      <c r="DI259" s="4317"/>
      <c r="DJ259" s="4317"/>
      <c r="DK259" s="4317"/>
      <c r="DL259" s="4317"/>
      <c r="DM259" s="4317"/>
      <c r="DN259" s="4317"/>
      <c r="DO259" s="4317"/>
      <c r="DP259" s="4317"/>
      <c r="DQ259" s="4317"/>
      <c r="DR259" s="4317"/>
      <c r="DS259" s="4317"/>
    </row>
    <row r="260" s="4134" customFormat="1" ht="19.5" customHeight="1" spans="1:123">
      <c r="A260" s="4304" t="s">
        <v>3530</v>
      </c>
      <c r="B260" s="4324"/>
      <c r="C260" s="4324"/>
      <c r="D260" s="4324"/>
      <c r="E260" s="4324"/>
      <c r="F260" s="4300"/>
      <c r="G260" s="4300"/>
      <c r="H260" s="4300"/>
      <c r="I260" s="4300"/>
      <c r="J260" s="4300"/>
      <c r="K260" s="4300"/>
      <c r="L260" s="4300"/>
      <c r="M260" s="4317"/>
      <c r="N260" s="4317"/>
      <c r="O260" s="4340" t="s">
        <v>4905</v>
      </c>
      <c r="P260" s="4317"/>
      <c r="Q260" s="4295"/>
      <c r="R260" s="4317"/>
      <c r="S260" s="4317"/>
      <c r="T260" s="4317"/>
      <c r="U260" s="4317"/>
      <c r="V260" s="4317"/>
      <c r="W260" s="4317"/>
      <c r="X260" s="4317"/>
      <c r="Y260" s="4317"/>
      <c r="Z260" s="4317"/>
      <c r="AA260" s="4317"/>
      <c r="AB260" s="4317"/>
      <c r="AC260" s="4295"/>
      <c r="AD260" s="4317"/>
      <c r="AE260" s="4317"/>
      <c r="AF260" s="4319"/>
      <c r="AG260" s="4319"/>
      <c r="AH260" s="4317"/>
      <c r="AI260" s="4317"/>
      <c r="AJ260" s="4317"/>
      <c r="AK260" s="4317"/>
      <c r="AL260" s="4317"/>
      <c r="AM260" s="4317"/>
      <c r="AN260" s="4317"/>
      <c r="AO260" s="4317"/>
      <c r="AP260" s="4317"/>
      <c r="AQ260" s="4317"/>
      <c r="AR260" s="4317"/>
      <c r="AS260" s="4317"/>
      <c r="AT260" s="4317"/>
      <c r="AU260" s="4317"/>
      <c r="AV260" s="4317"/>
      <c r="AW260" s="4317"/>
      <c r="AX260" s="4317"/>
      <c r="AY260" s="4317"/>
      <c r="AZ260" s="4317"/>
      <c r="BA260" s="4317"/>
      <c r="BB260" s="4317"/>
      <c r="BC260" s="4317"/>
      <c r="BD260" s="4317"/>
      <c r="BE260" s="4317"/>
      <c r="BF260" s="4317"/>
      <c r="BG260" s="4317"/>
      <c r="BH260" s="4317"/>
      <c r="BI260" s="4317"/>
      <c r="BJ260" s="4317"/>
      <c r="BK260" s="4317"/>
      <c r="BL260" s="4317"/>
      <c r="BM260" s="4317"/>
      <c r="BN260" s="4317"/>
      <c r="BO260" s="4317"/>
      <c r="BP260" s="4317"/>
      <c r="BQ260" s="4317"/>
      <c r="BR260" s="4317"/>
      <c r="BS260" s="4317"/>
      <c r="BT260" s="4317"/>
      <c r="BU260" s="4317"/>
      <c r="BV260" s="4317"/>
      <c r="BW260" s="4317"/>
      <c r="BX260" s="4317"/>
      <c r="BY260" s="4317"/>
      <c r="BZ260" s="4317"/>
      <c r="CA260" s="4317"/>
      <c r="CB260" s="4317"/>
      <c r="CC260" s="4317"/>
      <c r="CD260" s="4317"/>
      <c r="CE260" s="4317"/>
      <c r="CF260" s="4317"/>
      <c r="CG260" s="4317"/>
      <c r="CH260" s="4317"/>
      <c r="CI260" s="4317"/>
      <c r="CJ260" s="4317"/>
      <c r="CK260" s="4317"/>
      <c r="CL260" s="4317"/>
      <c r="CM260" s="4317"/>
      <c r="CN260" s="4317"/>
      <c r="CO260" s="4317"/>
      <c r="CP260" s="4317"/>
      <c r="CQ260" s="4317"/>
      <c r="CR260" s="4317"/>
      <c r="CS260" s="4317"/>
      <c r="CT260" s="4317"/>
      <c r="CU260" s="4317"/>
      <c r="CV260" s="4317"/>
      <c r="CW260" s="4317"/>
      <c r="CX260" s="4317"/>
      <c r="CY260" s="4317"/>
      <c r="CZ260" s="4317"/>
      <c r="DA260" s="4317"/>
      <c r="DB260" s="4317"/>
      <c r="DC260" s="4317"/>
      <c r="DD260" s="4317"/>
      <c r="DE260" s="4317"/>
      <c r="DF260" s="4317"/>
      <c r="DG260" s="4317"/>
      <c r="DH260" s="4317"/>
      <c r="DI260" s="4317"/>
      <c r="DJ260" s="4317"/>
      <c r="DK260" s="4317"/>
      <c r="DL260" s="4317"/>
      <c r="DM260" s="4317"/>
      <c r="DN260" s="4317"/>
      <c r="DO260" s="4317"/>
      <c r="DP260" s="4317"/>
      <c r="DQ260" s="4317"/>
      <c r="DR260" s="4317"/>
      <c r="DS260" s="4317"/>
    </row>
    <row r="261" s="4134" customFormat="1" ht="19.5" customHeight="1" spans="1:123">
      <c r="A261" s="4304" t="s">
        <v>3531</v>
      </c>
      <c r="B261" s="4324"/>
      <c r="C261" s="4324"/>
      <c r="D261" s="4324"/>
      <c r="E261" s="4324"/>
      <c r="F261" s="4300"/>
      <c r="G261" s="4300"/>
      <c r="H261" s="4300"/>
      <c r="I261" s="4300"/>
      <c r="J261" s="4300"/>
      <c r="K261" s="4300"/>
      <c r="L261" s="4300"/>
      <c r="M261" s="4317"/>
      <c r="N261" s="4317"/>
      <c r="O261" s="4340" t="s">
        <v>4906</v>
      </c>
      <c r="P261" s="4317"/>
      <c r="Q261" s="4295"/>
      <c r="R261" s="4317"/>
      <c r="S261" s="4317"/>
      <c r="T261" s="4317"/>
      <c r="U261" s="4317"/>
      <c r="V261" s="4317"/>
      <c r="W261" s="4317"/>
      <c r="X261" s="4317"/>
      <c r="Y261" s="4317"/>
      <c r="Z261" s="4317"/>
      <c r="AA261" s="4317"/>
      <c r="AB261" s="4317"/>
      <c r="AC261" s="4295"/>
      <c r="AD261" s="4317"/>
      <c r="AE261" s="4317"/>
      <c r="AF261" s="4319"/>
      <c r="AG261" s="4319"/>
      <c r="AH261" s="4317"/>
      <c r="AI261" s="4317"/>
      <c r="AJ261" s="4317"/>
      <c r="AK261" s="4317"/>
      <c r="AL261" s="4317"/>
      <c r="AM261" s="4317"/>
      <c r="AN261" s="4317"/>
      <c r="AO261" s="4317"/>
      <c r="AP261" s="4317"/>
      <c r="AQ261" s="4317"/>
      <c r="AR261" s="4317"/>
      <c r="AS261" s="4317"/>
      <c r="AT261" s="4317"/>
      <c r="AU261" s="4317"/>
      <c r="AV261" s="4317"/>
      <c r="AW261" s="4317"/>
      <c r="AX261" s="4317"/>
      <c r="AY261" s="4317"/>
      <c r="AZ261" s="4317"/>
      <c r="BA261" s="4317"/>
      <c r="BB261" s="4317"/>
      <c r="BC261" s="4317"/>
      <c r="BD261" s="4317"/>
      <c r="BE261" s="4317"/>
      <c r="BF261" s="4317"/>
      <c r="BG261" s="4317"/>
      <c r="BH261" s="4317"/>
      <c r="BI261" s="4317"/>
      <c r="BJ261" s="4317"/>
      <c r="BK261" s="4317"/>
      <c r="BL261" s="4317"/>
      <c r="BM261" s="4317"/>
      <c r="BN261" s="4317"/>
      <c r="BO261" s="4317"/>
      <c r="BP261" s="4317"/>
      <c r="BQ261" s="4317"/>
      <c r="BR261" s="4317"/>
      <c r="BS261" s="4317"/>
      <c r="BT261" s="4317"/>
      <c r="BU261" s="4317"/>
      <c r="BV261" s="4317"/>
      <c r="BW261" s="4317"/>
      <c r="BX261" s="4317"/>
      <c r="BY261" s="4317"/>
      <c r="BZ261" s="4317"/>
      <c r="CA261" s="4317"/>
      <c r="CB261" s="4317"/>
      <c r="CC261" s="4317"/>
      <c r="CD261" s="4317"/>
      <c r="CE261" s="4317"/>
      <c r="CF261" s="4317"/>
      <c r="CG261" s="4317"/>
      <c r="CH261" s="4317"/>
      <c r="CI261" s="4317"/>
      <c r="CJ261" s="4317"/>
      <c r="CK261" s="4317"/>
      <c r="CL261" s="4317"/>
      <c r="CM261" s="4317"/>
      <c r="CN261" s="4317"/>
      <c r="CO261" s="4317"/>
      <c r="CP261" s="4317"/>
      <c r="CQ261" s="4317"/>
      <c r="CR261" s="4317"/>
      <c r="CS261" s="4317"/>
      <c r="CT261" s="4317"/>
      <c r="CU261" s="4317"/>
      <c r="CV261" s="4317"/>
      <c r="CW261" s="4317"/>
      <c r="CX261" s="4317"/>
      <c r="CY261" s="4317"/>
      <c r="CZ261" s="4317"/>
      <c r="DA261" s="4317"/>
      <c r="DB261" s="4317"/>
      <c r="DC261" s="4317"/>
      <c r="DD261" s="4317"/>
      <c r="DE261" s="4317"/>
      <c r="DF261" s="4317"/>
      <c r="DG261" s="4317"/>
      <c r="DH261" s="4317"/>
      <c r="DI261" s="4317"/>
      <c r="DJ261" s="4317"/>
      <c r="DK261" s="4317"/>
      <c r="DL261" s="4317"/>
      <c r="DM261" s="4317"/>
      <c r="DN261" s="4317"/>
      <c r="DO261" s="4317"/>
      <c r="DP261" s="4317"/>
      <c r="DQ261" s="4317"/>
      <c r="DR261" s="4317"/>
      <c r="DS261" s="4317"/>
    </row>
    <row r="262" s="4134" customFormat="1" ht="19.5" customHeight="1" spans="1:123">
      <c r="A262" s="4304" t="s">
        <v>3532</v>
      </c>
      <c r="B262" s="4324"/>
      <c r="C262" s="4324"/>
      <c r="D262" s="4324"/>
      <c r="E262" s="4324"/>
      <c r="F262" s="4300"/>
      <c r="G262" s="4300"/>
      <c r="H262" s="4300"/>
      <c r="I262" s="4300"/>
      <c r="J262" s="4300"/>
      <c r="K262" s="4300"/>
      <c r="L262" s="4300"/>
      <c r="M262" s="4317"/>
      <c r="N262" s="4317"/>
      <c r="O262" s="4340" t="s">
        <v>4907</v>
      </c>
      <c r="P262" s="4317"/>
      <c r="Q262" s="4295"/>
      <c r="R262" s="4317"/>
      <c r="S262" s="4317"/>
      <c r="T262" s="4317"/>
      <c r="U262" s="4317"/>
      <c r="V262" s="4317"/>
      <c r="W262" s="4317"/>
      <c r="X262" s="4317"/>
      <c r="Y262" s="4317"/>
      <c r="Z262" s="4317"/>
      <c r="AA262" s="4317"/>
      <c r="AB262" s="4317"/>
      <c r="AC262" s="4295"/>
      <c r="AD262" s="4317"/>
      <c r="AE262" s="4317"/>
      <c r="AF262" s="4319"/>
      <c r="AG262" s="4319"/>
      <c r="AH262" s="4317"/>
      <c r="AI262" s="4317"/>
      <c r="AJ262" s="4317"/>
      <c r="AK262" s="4317"/>
      <c r="AL262" s="4317"/>
      <c r="AM262" s="4317"/>
      <c r="AN262" s="4317"/>
      <c r="AO262" s="4317"/>
      <c r="AP262" s="4317"/>
      <c r="AQ262" s="4317"/>
      <c r="AR262" s="4317"/>
      <c r="AS262" s="4317"/>
      <c r="AT262" s="4317"/>
      <c r="AU262" s="4317"/>
      <c r="AV262" s="4317"/>
      <c r="AW262" s="4317"/>
      <c r="AX262" s="4317"/>
      <c r="AY262" s="4317"/>
      <c r="AZ262" s="4317"/>
      <c r="BA262" s="4317"/>
      <c r="BB262" s="4317"/>
      <c r="BC262" s="4317"/>
      <c r="BD262" s="4317"/>
      <c r="BE262" s="4317"/>
      <c r="BF262" s="4317"/>
      <c r="BG262" s="4317"/>
      <c r="BH262" s="4317"/>
      <c r="BI262" s="4317"/>
      <c r="BJ262" s="4317"/>
      <c r="BK262" s="4317"/>
      <c r="BL262" s="4317"/>
      <c r="BM262" s="4317"/>
      <c r="BN262" s="4317"/>
      <c r="BO262" s="4317"/>
      <c r="BP262" s="4317"/>
      <c r="BQ262" s="4317"/>
      <c r="BR262" s="4317"/>
      <c r="BS262" s="4317"/>
      <c r="BT262" s="4317"/>
      <c r="BU262" s="4317"/>
      <c r="BV262" s="4317"/>
      <c r="BW262" s="4317"/>
      <c r="BX262" s="4317"/>
      <c r="BY262" s="4317"/>
      <c r="BZ262" s="4317"/>
      <c r="CA262" s="4317"/>
      <c r="CB262" s="4317"/>
      <c r="CC262" s="4317"/>
      <c r="CD262" s="4317"/>
      <c r="CE262" s="4317"/>
      <c r="CF262" s="4317"/>
      <c r="CG262" s="4317"/>
      <c r="CH262" s="4317"/>
      <c r="CI262" s="4317"/>
      <c r="CJ262" s="4317"/>
      <c r="CK262" s="4317"/>
      <c r="CL262" s="4317"/>
      <c r="CM262" s="4317"/>
      <c r="CN262" s="4317"/>
      <c r="CO262" s="4317"/>
      <c r="CP262" s="4317"/>
      <c r="CQ262" s="4317"/>
      <c r="CR262" s="4317"/>
      <c r="CS262" s="4317"/>
      <c r="CT262" s="4317"/>
      <c r="CU262" s="4317"/>
      <c r="CV262" s="4317"/>
      <c r="CW262" s="4317"/>
      <c r="CX262" s="4317"/>
      <c r="CY262" s="4317"/>
      <c r="CZ262" s="4317"/>
      <c r="DA262" s="4317"/>
      <c r="DB262" s="4317"/>
      <c r="DC262" s="4317"/>
      <c r="DD262" s="4317"/>
      <c r="DE262" s="4317"/>
      <c r="DF262" s="4317"/>
      <c r="DG262" s="4317"/>
      <c r="DH262" s="4317"/>
      <c r="DI262" s="4317"/>
      <c r="DJ262" s="4317"/>
      <c r="DK262" s="4317"/>
      <c r="DL262" s="4317"/>
      <c r="DM262" s="4317"/>
      <c r="DN262" s="4317"/>
      <c r="DO262" s="4317"/>
      <c r="DP262" s="4317"/>
      <c r="DQ262" s="4317"/>
      <c r="DR262" s="4317"/>
      <c r="DS262" s="4317"/>
    </row>
    <row r="263" s="4134" customFormat="1" ht="19.5" customHeight="1" spans="1:123">
      <c r="A263" s="4304" t="s">
        <v>3534</v>
      </c>
      <c r="B263" s="4324"/>
      <c r="C263" s="4324"/>
      <c r="D263" s="4324"/>
      <c r="E263" s="4324"/>
      <c r="F263" s="4300"/>
      <c r="G263" s="4300"/>
      <c r="H263" s="4300"/>
      <c r="I263" s="4300"/>
      <c r="J263" s="4300"/>
      <c r="K263" s="4300"/>
      <c r="L263" s="4300"/>
      <c r="M263" s="4317"/>
      <c r="N263" s="4317"/>
      <c r="O263" s="4340" t="s">
        <v>4908</v>
      </c>
      <c r="P263" s="4317"/>
      <c r="Q263" s="4295"/>
      <c r="R263" s="4317"/>
      <c r="S263" s="4317"/>
      <c r="T263" s="4317"/>
      <c r="U263" s="4317"/>
      <c r="V263" s="4317"/>
      <c r="W263" s="4317"/>
      <c r="X263" s="4317"/>
      <c r="Y263" s="4317"/>
      <c r="Z263" s="4317"/>
      <c r="AA263" s="4317"/>
      <c r="AB263" s="4317"/>
      <c r="AC263" s="4295"/>
      <c r="AD263" s="4317"/>
      <c r="AE263" s="4317"/>
      <c r="AF263" s="4319"/>
      <c r="AG263" s="4319"/>
      <c r="AH263" s="4317"/>
      <c r="AI263" s="4317"/>
      <c r="AJ263" s="4317"/>
      <c r="AK263" s="4317"/>
      <c r="AL263" s="4317"/>
      <c r="AM263" s="4317"/>
      <c r="AN263" s="4317"/>
      <c r="AO263" s="4317"/>
      <c r="AP263" s="4317"/>
      <c r="AQ263" s="4317"/>
      <c r="AR263" s="4317"/>
      <c r="AS263" s="4317"/>
      <c r="AT263" s="4317"/>
      <c r="AU263" s="4317"/>
      <c r="AV263" s="4317"/>
      <c r="AW263" s="4317"/>
      <c r="AX263" s="4317"/>
      <c r="AY263" s="4317"/>
      <c r="AZ263" s="4317"/>
      <c r="BA263" s="4317"/>
      <c r="BB263" s="4317"/>
      <c r="BC263" s="4317"/>
      <c r="BD263" s="4317"/>
      <c r="BE263" s="4317"/>
      <c r="BF263" s="4317"/>
      <c r="BG263" s="4317"/>
      <c r="BH263" s="4317"/>
      <c r="BI263" s="4317"/>
      <c r="BJ263" s="4317"/>
      <c r="BK263" s="4317"/>
      <c r="BL263" s="4317"/>
      <c r="BM263" s="4317"/>
      <c r="BN263" s="4317"/>
      <c r="BO263" s="4317"/>
      <c r="BP263" s="4317"/>
      <c r="BQ263" s="4317"/>
      <c r="BR263" s="4317"/>
      <c r="BS263" s="4317"/>
      <c r="BT263" s="4317"/>
      <c r="BU263" s="4317"/>
      <c r="BV263" s="4317"/>
      <c r="BW263" s="4317"/>
      <c r="BX263" s="4317"/>
      <c r="BY263" s="4317"/>
      <c r="BZ263" s="4317"/>
      <c r="CA263" s="4317"/>
      <c r="CB263" s="4317"/>
      <c r="CC263" s="4317"/>
      <c r="CD263" s="4317"/>
      <c r="CE263" s="4317"/>
      <c r="CF263" s="4317"/>
      <c r="CG263" s="4317"/>
      <c r="CH263" s="4317"/>
      <c r="CI263" s="4317"/>
      <c r="CJ263" s="4317"/>
      <c r="CK263" s="4317"/>
      <c r="CL263" s="4317"/>
      <c r="CM263" s="4317"/>
      <c r="CN263" s="4317"/>
      <c r="CO263" s="4317"/>
      <c r="CP263" s="4317"/>
      <c r="CQ263" s="4317"/>
      <c r="CR263" s="4317"/>
      <c r="CS263" s="4317"/>
      <c r="CT263" s="4317"/>
      <c r="CU263" s="4317"/>
      <c r="CV263" s="4317"/>
      <c r="CW263" s="4317"/>
      <c r="CX263" s="4317"/>
      <c r="CY263" s="4317"/>
      <c r="CZ263" s="4317"/>
      <c r="DA263" s="4317"/>
      <c r="DB263" s="4317"/>
      <c r="DC263" s="4317"/>
      <c r="DD263" s="4317"/>
      <c r="DE263" s="4317"/>
      <c r="DF263" s="4317"/>
      <c r="DG263" s="4317"/>
      <c r="DH263" s="4317"/>
      <c r="DI263" s="4317"/>
      <c r="DJ263" s="4317"/>
      <c r="DK263" s="4317"/>
      <c r="DL263" s="4317"/>
      <c r="DM263" s="4317"/>
      <c r="DN263" s="4317"/>
      <c r="DO263" s="4317"/>
      <c r="DP263" s="4317"/>
      <c r="DQ263" s="4317"/>
      <c r="DR263" s="4317"/>
      <c r="DS263" s="4317"/>
    </row>
    <row r="264" s="4134" customFormat="1" ht="19.5" customHeight="1" spans="1:123">
      <c r="A264" s="4312" t="s">
        <v>4909</v>
      </c>
      <c r="B264" s="4313"/>
      <c r="C264" s="4313"/>
      <c r="D264" s="4313"/>
      <c r="E264" s="4313"/>
      <c r="F264" s="4341">
        <f>SUM(F255:L263)</f>
        <v>24172</v>
      </c>
      <c r="G264" s="4341"/>
      <c r="H264" s="4341"/>
      <c r="I264" s="4341"/>
      <c r="J264" s="4341"/>
      <c r="K264" s="4341"/>
      <c r="L264" s="4341"/>
      <c r="M264" s="4317"/>
      <c r="N264" s="4317"/>
      <c r="O264" s="4342" t="s">
        <v>4910</v>
      </c>
      <c r="P264" s="4317"/>
      <c r="Q264" s="4295"/>
      <c r="R264" s="4317"/>
      <c r="S264" s="4317"/>
      <c r="T264" s="4317"/>
      <c r="U264" s="4317"/>
      <c r="V264" s="4317"/>
      <c r="W264" s="4317"/>
      <c r="X264" s="4317"/>
      <c r="Y264" s="4317"/>
      <c r="Z264" s="4317"/>
      <c r="AA264" s="4317"/>
      <c r="AB264" s="4317"/>
      <c r="AC264" s="4295"/>
      <c r="AD264" s="4317"/>
      <c r="AE264" s="4317"/>
      <c r="AF264" s="4319"/>
      <c r="AG264" s="4319"/>
      <c r="AH264" s="4317"/>
      <c r="AI264" s="4317"/>
      <c r="AJ264" s="4317"/>
      <c r="AK264" s="4317"/>
      <c r="AL264" s="4317"/>
      <c r="AM264" s="4317"/>
      <c r="AN264" s="4317"/>
      <c r="AO264" s="4317"/>
      <c r="AP264" s="4317"/>
      <c r="AQ264" s="4317"/>
      <c r="AR264" s="4317"/>
      <c r="AS264" s="4317"/>
      <c r="AT264" s="4317"/>
      <c r="AU264" s="4317"/>
      <c r="AV264" s="4317"/>
      <c r="AW264" s="4317"/>
      <c r="AX264" s="4317"/>
      <c r="AY264" s="4317"/>
      <c r="AZ264" s="4317"/>
      <c r="BA264" s="4317"/>
      <c r="BB264" s="4317"/>
      <c r="BC264" s="4317"/>
      <c r="BD264" s="4317"/>
      <c r="BE264" s="4317"/>
      <c r="BF264" s="4317"/>
      <c r="BG264" s="4317"/>
      <c r="BH264" s="4317"/>
      <c r="BI264" s="4317"/>
      <c r="BJ264" s="4317"/>
      <c r="BK264" s="4317"/>
      <c r="BL264" s="4317"/>
      <c r="BM264" s="4317"/>
      <c r="BN264" s="4317"/>
      <c r="BO264" s="4317"/>
      <c r="BP264" s="4317"/>
      <c r="BQ264" s="4317"/>
      <c r="BR264" s="4317"/>
      <c r="BS264" s="4317"/>
      <c r="BT264" s="4317"/>
      <c r="BU264" s="4317"/>
      <c r="BV264" s="4317"/>
      <c r="BW264" s="4317"/>
      <c r="BX264" s="4317"/>
      <c r="BY264" s="4317"/>
      <c r="BZ264" s="4317"/>
      <c r="CA264" s="4317"/>
      <c r="CB264" s="4317"/>
      <c r="CC264" s="4317"/>
      <c r="CD264" s="4317"/>
      <c r="CE264" s="4317"/>
      <c r="CF264" s="4317"/>
      <c r="CG264" s="4317"/>
      <c r="CH264" s="4317"/>
      <c r="CI264" s="4317"/>
      <c r="CJ264" s="4317"/>
      <c r="CK264" s="4317"/>
      <c r="CL264" s="4317"/>
      <c r="CM264" s="4317"/>
      <c r="CN264" s="4317"/>
      <c r="CO264" s="4317"/>
      <c r="CP264" s="4317"/>
      <c r="CQ264" s="4317"/>
      <c r="CR264" s="4317"/>
      <c r="CS264" s="4317"/>
      <c r="CT264" s="4317"/>
      <c r="CU264" s="4317"/>
      <c r="CV264" s="4317"/>
      <c r="CW264" s="4317"/>
      <c r="CX264" s="4317"/>
      <c r="CY264" s="4317"/>
      <c r="CZ264" s="4317"/>
      <c r="DA264" s="4317"/>
      <c r="DB264" s="4317"/>
      <c r="DC264" s="4317"/>
      <c r="DD264" s="4317"/>
      <c r="DE264" s="4317"/>
      <c r="DF264" s="4317"/>
      <c r="DG264" s="4317"/>
      <c r="DH264" s="4317"/>
      <c r="DI264" s="4317"/>
      <c r="DJ264" s="4317"/>
      <c r="DK264" s="4317"/>
      <c r="DL264" s="4317"/>
      <c r="DM264" s="4317"/>
      <c r="DN264" s="4317"/>
      <c r="DO264" s="4317"/>
      <c r="DP264" s="4317"/>
      <c r="DQ264" s="4317"/>
      <c r="DR264" s="4317"/>
      <c r="DS264" s="4317"/>
    </row>
    <row r="265" s="4134" customFormat="1" ht="19.5" customHeight="1" spans="1:123">
      <c r="A265" s="4298" t="s">
        <v>4911</v>
      </c>
      <c r="B265" s="4299"/>
      <c r="C265" s="4299"/>
      <c r="D265" s="4299"/>
      <c r="E265" s="4299"/>
      <c r="F265" s="4300"/>
      <c r="G265" s="4300"/>
      <c r="H265" s="4300"/>
      <c r="I265" s="4300"/>
      <c r="J265" s="4300"/>
      <c r="K265" s="4300"/>
      <c r="L265" s="4300"/>
      <c r="M265" s="4317"/>
      <c r="N265" s="4317"/>
      <c r="O265" s="4317" t="s">
        <v>4912</v>
      </c>
      <c r="P265" s="4317"/>
      <c r="Q265" s="4295"/>
      <c r="R265" s="4317"/>
      <c r="S265" s="4317"/>
      <c r="T265" s="4317"/>
      <c r="U265" s="4317"/>
      <c r="V265" s="4317"/>
      <c r="W265" s="4317"/>
      <c r="X265" s="4317"/>
      <c r="Y265" s="4317"/>
      <c r="Z265" s="4317"/>
      <c r="AA265" s="4317"/>
      <c r="AB265" s="4317"/>
      <c r="AC265" s="4295"/>
      <c r="AD265" s="4317"/>
      <c r="AE265" s="4317"/>
      <c r="AF265" s="4319"/>
      <c r="AG265" s="4319"/>
      <c r="AH265" s="4317"/>
      <c r="AI265" s="4317"/>
      <c r="AJ265" s="4317"/>
      <c r="AK265" s="4317"/>
      <c r="AL265" s="4317"/>
      <c r="AM265" s="4317"/>
      <c r="AN265" s="4317"/>
      <c r="AO265" s="4317"/>
      <c r="AP265" s="4317"/>
      <c r="AQ265" s="4317"/>
      <c r="AR265" s="4317"/>
      <c r="AS265" s="4317"/>
      <c r="AT265" s="4317"/>
      <c r="AU265" s="4317"/>
      <c r="AV265" s="4317"/>
      <c r="AW265" s="4317"/>
      <c r="AX265" s="4317"/>
      <c r="AY265" s="4317"/>
      <c r="AZ265" s="4317"/>
      <c r="BA265" s="4317"/>
      <c r="BB265" s="4317"/>
      <c r="BC265" s="4317"/>
      <c r="BD265" s="4317"/>
      <c r="BE265" s="4317"/>
      <c r="BF265" s="4317"/>
      <c r="BG265" s="4317"/>
      <c r="BH265" s="4317"/>
      <c r="BI265" s="4317"/>
      <c r="BJ265" s="4317"/>
      <c r="BK265" s="4317"/>
      <c r="BL265" s="4317"/>
      <c r="BM265" s="4317"/>
      <c r="BN265" s="4317"/>
      <c r="BO265" s="4317"/>
      <c r="BP265" s="4317"/>
      <c r="BQ265" s="4317"/>
      <c r="BR265" s="4317"/>
      <c r="BS265" s="4317"/>
      <c r="BT265" s="4317"/>
      <c r="BU265" s="4317"/>
      <c r="BV265" s="4317"/>
      <c r="BW265" s="4317"/>
      <c r="BX265" s="4317"/>
      <c r="BY265" s="4317"/>
      <c r="BZ265" s="4317"/>
      <c r="CA265" s="4317"/>
      <c r="CB265" s="4317"/>
      <c r="CC265" s="4317"/>
      <c r="CD265" s="4317"/>
      <c r="CE265" s="4317"/>
      <c r="CF265" s="4317"/>
      <c r="CG265" s="4317"/>
      <c r="CH265" s="4317"/>
      <c r="CI265" s="4317"/>
      <c r="CJ265" s="4317"/>
      <c r="CK265" s="4317"/>
      <c r="CL265" s="4317"/>
      <c r="CM265" s="4317"/>
      <c r="CN265" s="4317"/>
      <c r="CO265" s="4317"/>
      <c r="CP265" s="4317"/>
      <c r="CQ265" s="4317"/>
      <c r="CR265" s="4317"/>
      <c r="CS265" s="4317"/>
      <c r="CT265" s="4317"/>
      <c r="CU265" s="4317"/>
      <c r="CV265" s="4317"/>
      <c r="CW265" s="4317"/>
      <c r="CX265" s="4317"/>
      <c r="CY265" s="4317"/>
      <c r="CZ265" s="4317"/>
      <c r="DA265" s="4317"/>
      <c r="DB265" s="4317"/>
      <c r="DC265" s="4317"/>
      <c r="DD265" s="4317"/>
      <c r="DE265" s="4317"/>
      <c r="DF265" s="4317"/>
      <c r="DG265" s="4317"/>
      <c r="DH265" s="4317"/>
      <c r="DI265" s="4317"/>
      <c r="DJ265" s="4317"/>
      <c r="DK265" s="4317"/>
      <c r="DL265" s="4317"/>
      <c r="DM265" s="4317"/>
      <c r="DN265" s="4317"/>
      <c r="DO265" s="4317"/>
      <c r="DP265" s="4317"/>
      <c r="DQ265" s="4317"/>
      <c r="DR265" s="4317"/>
      <c r="DS265" s="4317"/>
    </row>
    <row r="266" s="4134" customFormat="1" ht="19.5" customHeight="1" spans="1:123">
      <c r="A266" s="4298" t="s">
        <v>4913</v>
      </c>
      <c r="B266" s="4299"/>
      <c r="C266" s="4299"/>
      <c r="D266" s="4299"/>
      <c r="E266" s="4299"/>
      <c r="F266" s="4300"/>
      <c r="G266" s="4300"/>
      <c r="H266" s="4300"/>
      <c r="I266" s="4300"/>
      <c r="J266" s="4300"/>
      <c r="K266" s="4300"/>
      <c r="L266" s="4300"/>
      <c r="M266" s="4317"/>
      <c r="N266" s="4317"/>
      <c r="O266" s="4348" t="s">
        <v>4914</v>
      </c>
      <c r="P266" s="4317"/>
      <c r="Q266" s="4295"/>
      <c r="R266" s="4317"/>
      <c r="S266" s="4317"/>
      <c r="T266" s="4317"/>
      <c r="U266" s="4317"/>
      <c r="V266" s="4317"/>
      <c r="W266" s="4317"/>
      <c r="X266" s="4317"/>
      <c r="Y266" s="4317"/>
      <c r="Z266" s="4317"/>
      <c r="AA266" s="4317"/>
      <c r="AB266" s="4317"/>
      <c r="AC266" s="4295"/>
      <c r="AD266" s="4317"/>
      <c r="AE266" s="4317"/>
      <c r="AF266" s="4319"/>
      <c r="AG266" s="4319"/>
      <c r="AH266" s="4317"/>
      <c r="AI266" s="4317"/>
      <c r="AJ266" s="4317"/>
      <c r="AK266" s="4317"/>
      <c r="AL266" s="4317"/>
      <c r="AM266" s="4317"/>
      <c r="AN266" s="4317"/>
      <c r="AO266" s="4317"/>
      <c r="AP266" s="4317"/>
      <c r="AQ266" s="4317"/>
      <c r="AR266" s="4317"/>
      <c r="AS266" s="4317"/>
      <c r="AT266" s="4317"/>
      <c r="AU266" s="4317"/>
      <c r="AV266" s="4317"/>
      <c r="AW266" s="4317"/>
      <c r="AX266" s="4317"/>
      <c r="AY266" s="4317"/>
      <c r="AZ266" s="4317"/>
      <c r="BA266" s="4317"/>
      <c r="BB266" s="4317"/>
      <c r="BC266" s="4317"/>
      <c r="BD266" s="4317"/>
      <c r="BE266" s="4317"/>
      <c r="BF266" s="4317"/>
      <c r="BG266" s="4317"/>
      <c r="BH266" s="4317"/>
      <c r="BI266" s="4317"/>
      <c r="BJ266" s="4317"/>
      <c r="BK266" s="4317"/>
      <c r="BL266" s="4317"/>
      <c r="BM266" s="4317"/>
      <c r="BN266" s="4317"/>
      <c r="BO266" s="4317"/>
      <c r="BP266" s="4317"/>
      <c r="BQ266" s="4317"/>
      <c r="BR266" s="4317"/>
      <c r="BS266" s="4317"/>
      <c r="BT266" s="4317"/>
      <c r="BU266" s="4317"/>
      <c r="BV266" s="4317"/>
      <c r="BW266" s="4317"/>
      <c r="BX266" s="4317"/>
      <c r="BY266" s="4317"/>
      <c r="BZ266" s="4317"/>
      <c r="CA266" s="4317"/>
      <c r="CB266" s="4317"/>
      <c r="CC266" s="4317"/>
      <c r="CD266" s="4317"/>
      <c r="CE266" s="4317"/>
      <c r="CF266" s="4317"/>
      <c r="CG266" s="4317"/>
      <c r="CH266" s="4317"/>
      <c r="CI266" s="4317"/>
      <c r="CJ266" s="4317"/>
      <c r="CK266" s="4317"/>
      <c r="CL266" s="4317"/>
      <c r="CM266" s="4317"/>
      <c r="CN266" s="4317"/>
      <c r="CO266" s="4317"/>
      <c r="CP266" s="4317"/>
      <c r="CQ266" s="4317"/>
      <c r="CR266" s="4317"/>
      <c r="CS266" s="4317"/>
      <c r="CT266" s="4317"/>
      <c r="CU266" s="4317"/>
      <c r="CV266" s="4317"/>
      <c r="CW266" s="4317"/>
      <c r="CX266" s="4317"/>
      <c r="CY266" s="4317"/>
      <c r="CZ266" s="4317"/>
      <c r="DA266" s="4317"/>
      <c r="DB266" s="4317"/>
      <c r="DC266" s="4317"/>
      <c r="DD266" s="4317"/>
      <c r="DE266" s="4317"/>
      <c r="DF266" s="4317"/>
      <c r="DG266" s="4317"/>
      <c r="DH266" s="4317"/>
      <c r="DI266" s="4317"/>
      <c r="DJ266" s="4317"/>
      <c r="DK266" s="4317"/>
      <c r="DL266" s="4317"/>
      <c r="DM266" s="4317"/>
      <c r="DN266" s="4317"/>
      <c r="DO266" s="4317"/>
      <c r="DP266" s="4317"/>
      <c r="DQ266" s="4317"/>
      <c r="DR266" s="4317"/>
      <c r="DS266" s="4317"/>
    </row>
    <row r="267" s="4134" customFormat="1" ht="19.5" customHeight="1" spans="1:123">
      <c r="A267" s="4298" t="s">
        <v>4915</v>
      </c>
      <c r="B267" s="4299"/>
      <c r="C267" s="4299"/>
      <c r="D267" s="4299"/>
      <c r="E267" s="4299"/>
      <c r="F267" s="4300"/>
      <c r="G267" s="4300"/>
      <c r="H267" s="4300"/>
      <c r="I267" s="4300"/>
      <c r="J267" s="4300"/>
      <c r="K267" s="4300"/>
      <c r="L267" s="4300"/>
      <c r="M267" s="4317"/>
      <c r="N267" s="4317"/>
      <c r="O267" s="4317" t="s">
        <v>4916</v>
      </c>
      <c r="P267" s="4317"/>
      <c r="Q267" s="4295"/>
      <c r="R267" s="4317"/>
      <c r="S267" s="4317"/>
      <c r="T267" s="4317"/>
      <c r="U267" s="4317"/>
      <c r="V267" s="4317"/>
      <c r="W267" s="4317"/>
      <c r="X267" s="4317"/>
      <c r="Y267" s="4317"/>
      <c r="Z267" s="4317"/>
      <c r="AA267" s="4317"/>
      <c r="AB267" s="4317"/>
      <c r="AC267" s="4295"/>
      <c r="AD267" s="4317"/>
      <c r="AE267" s="4317"/>
      <c r="AF267" s="4319"/>
      <c r="AG267" s="4319"/>
      <c r="AH267" s="4317"/>
      <c r="AI267" s="4317"/>
      <c r="AJ267" s="4317"/>
      <c r="AK267" s="4317"/>
      <c r="AL267" s="4317"/>
      <c r="AM267" s="4317"/>
      <c r="AN267" s="4317"/>
      <c r="AO267" s="4317"/>
      <c r="AP267" s="4317"/>
      <c r="AQ267" s="4317"/>
      <c r="AR267" s="4317"/>
      <c r="AS267" s="4317"/>
      <c r="AT267" s="4317"/>
      <c r="AU267" s="4317"/>
      <c r="AV267" s="4317"/>
      <c r="AW267" s="4317"/>
      <c r="AX267" s="4317"/>
      <c r="AY267" s="4317"/>
      <c r="AZ267" s="4317"/>
      <c r="BA267" s="4317"/>
      <c r="BB267" s="4317"/>
      <c r="BC267" s="4317"/>
      <c r="BD267" s="4317"/>
      <c r="BE267" s="4317"/>
      <c r="BF267" s="4317"/>
      <c r="BG267" s="4317"/>
      <c r="BH267" s="4317"/>
      <c r="BI267" s="4317"/>
      <c r="BJ267" s="4317"/>
      <c r="BK267" s="4317"/>
      <c r="BL267" s="4317"/>
      <c r="BM267" s="4317"/>
      <c r="BN267" s="4317"/>
      <c r="BO267" s="4317"/>
      <c r="BP267" s="4317"/>
      <c r="BQ267" s="4317"/>
      <c r="BR267" s="4317"/>
      <c r="BS267" s="4317"/>
      <c r="BT267" s="4317"/>
      <c r="BU267" s="4317"/>
      <c r="BV267" s="4317"/>
      <c r="BW267" s="4317"/>
      <c r="BX267" s="4317"/>
      <c r="BY267" s="4317"/>
      <c r="BZ267" s="4317"/>
      <c r="CA267" s="4317"/>
      <c r="CB267" s="4317"/>
      <c r="CC267" s="4317"/>
      <c r="CD267" s="4317"/>
      <c r="CE267" s="4317"/>
      <c r="CF267" s="4317"/>
      <c r="CG267" s="4317"/>
      <c r="CH267" s="4317"/>
      <c r="CI267" s="4317"/>
      <c r="CJ267" s="4317"/>
      <c r="CK267" s="4317"/>
      <c r="CL267" s="4317"/>
      <c r="CM267" s="4317"/>
      <c r="CN267" s="4317"/>
      <c r="CO267" s="4317"/>
      <c r="CP267" s="4317"/>
      <c r="CQ267" s="4317"/>
      <c r="CR267" s="4317"/>
      <c r="CS267" s="4317"/>
      <c r="CT267" s="4317"/>
      <c r="CU267" s="4317"/>
      <c r="CV267" s="4317"/>
      <c r="CW267" s="4317"/>
      <c r="CX267" s="4317"/>
      <c r="CY267" s="4317"/>
      <c r="CZ267" s="4317"/>
      <c r="DA267" s="4317"/>
      <c r="DB267" s="4317"/>
      <c r="DC267" s="4317"/>
      <c r="DD267" s="4317"/>
      <c r="DE267" s="4317"/>
      <c r="DF267" s="4317"/>
      <c r="DG267" s="4317"/>
      <c r="DH267" s="4317"/>
      <c r="DI267" s="4317"/>
      <c r="DJ267" s="4317"/>
      <c r="DK267" s="4317"/>
      <c r="DL267" s="4317"/>
      <c r="DM267" s="4317"/>
      <c r="DN267" s="4317"/>
      <c r="DO267" s="4317"/>
      <c r="DP267" s="4317"/>
      <c r="DQ267" s="4317"/>
      <c r="DR267" s="4317"/>
      <c r="DS267" s="4317"/>
    </row>
    <row r="268" s="4134" customFormat="1" ht="19.5" customHeight="1" spans="1:123">
      <c r="A268" s="4298" t="s">
        <v>4917</v>
      </c>
      <c r="B268" s="4299"/>
      <c r="C268" s="4299"/>
      <c r="D268" s="4299"/>
      <c r="E268" s="4299"/>
      <c r="F268" s="4300"/>
      <c r="G268" s="4300"/>
      <c r="H268" s="4300"/>
      <c r="I268" s="4300"/>
      <c r="J268" s="4300"/>
      <c r="K268" s="4300"/>
      <c r="L268" s="4300"/>
      <c r="M268" s="4317"/>
      <c r="N268" s="4317"/>
      <c r="O268" s="4317" t="s">
        <v>4918</v>
      </c>
      <c r="P268" s="4317"/>
      <c r="Q268" s="4295"/>
      <c r="R268" s="4317"/>
      <c r="S268" s="4317"/>
      <c r="T268" s="4317"/>
      <c r="U268" s="4317"/>
      <c r="V268" s="4317"/>
      <c r="W268" s="4317"/>
      <c r="X268" s="4317"/>
      <c r="Y268" s="4317"/>
      <c r="Z268" s="4317"/>
      <c r="AA268" s="4317"/>
      <c r="AB268" s="4317"/>
      <c r="AC268" s="4295"/>
      <c r="AD268" s="4317"/>
      <c r="AE268" s="4317"/>
      <c r="AF268" s="4319"/>
      <c r="AG268" s="4319"/>
      <c r="AH268" s="4317"/>
      <c r="AI268" s="4317"/>
      <c r="AJ268" s="4317"/>
      <c r="AK268" s="4317"/>
      <c r="AL268" s="4317"/>
      <c r="AM268" s="4317"/>
      <c r="AN268" s="4317"/>
      <c r="AO268" s="4317"/>
      <c r="AP268" s="4317"/>
      <c r="AQ268" s="4317"/>
      <c r="AR268" s="4317"/>
      <c r="AS268" s="4317"/>
      <c r="AT268" s="4317"/>
      <c r="AU268" s="4317"/>
      <c r="AV268" s="4317"/>
      <c r="AW268" s="4317"/>
      <c r="AX268" s="4317"/>
      <c r="AY268" s="4317"/>
      <c r="AZ268" s="4317"/>
      <c r="BA268" s="4317"/>
      <c r="BB268" s="4317"/>
      <c r="BC268" s="4317"/>
      <c r="BD268" s="4317"/>
      <c r="BE268" s="4317"/>
      <c r="BF268" s="4317"/>
      <c r="BG268" s="4317"/>
      <c r="BH268" s="4317"/>
      <c r="BI268" s="4317"/>
      <c r="BJ268" s="4317"/>
      <c r="BK268" s="4317"/>
      <c r="BL268" s="4317"/>
      <c r="BM268" s="4317"/>
      <c r="BN268" s="4317"/>
      <c r="BO268" s="4317"/>
      <c r="BP268" s="4317"/>
      <c r="BQ268" s="4317"/>
      <c r="BR268" s="4317"/>
      <c r="BS268" s="4317"/>
      <c r="BT268" s="4317"/>
      <c r="BU268" s="4317"/>
      <c r="BV268" s="4317"/>
      <c r="BW268" s="4317"/>
      <c r="BX268" s="4317"/>
      <c r="BY268" s="4317"/>
      <c r="BZ268" s="4317"/>
      <c r="CA268" s="4317"/>
      <c r="CB268" s="4317"/>
      <c r="CC268" s="4317"/>
      <c r="CD268" s="4317"/>
      <c r="CE268" s="4317"/>
      <c r="CF268" s="4317"/>
      <c r="CG268" s="4317"/>
      <c r="CH268" s="4317"/>
      <c r="CI268" s="4317"/>
      <c r="CJ268" s="4317"/>
      <c r="CK268" s="4317"/>
      <c r="CL268" s="4317"/>
      <c r="CM268" s="4317"/>
      <c r="CN268" s="4317"/>
      <c r="CO268" s="4317"/>
      <c r="CP268" s="4317"/>
      <c r="CQ268" s="4317"/>
      <c r="CR268" s="4317"/>
      <c r="CS268" s="4317"/>
      <c r="CT268" s="4317"/>
      <c r="CU268" s="4317"/>
      <c r="CV268" s="4317"/>
      <c r="CW268" s="4317"/>
      <c r="CX268" s="4317"/>
      <c r="CY268" s="4317"/>
      <c r="CZ268" s="4317"/>
      <c r="DA268" s="4317"/>
      <c r="DB268" s="4317"/>
      <c r="DC268" s="4317"/>
      <c r="DD268" s="4317"/>
      <c r="DE268" s="4317"/>
      <c r="DF268" s="4317"/>
      <c r="DG268" s="4317"/>
      <c r="DH268" s="4317"/>
      <c r="DI268" s="4317"/>
      <c r="DJ268" s="4317"/>
      <c r="DK268" s="4317"/>
      <c r="DL268" s="4317"/>
      <c r="DM268" s="4317"/>
      <c r="DN268" s="4317"/>
      <c r="DO268" s="4317"/>
      <c r="DP268" s="4317"/>
      <c r="DQ268" s="4317"/>
      <c r="DR268" s="4317"/>
      <c r="DS268" s="4317"/>
    </row>
    <row r="269" s="4134" customFormat="1" ht="19.5" customHeight="1" spans="1:123">
      <c r="A269" s="4298" t="s">
        <v>4919</v>
      </c>
      <c r="B269" s="4299"/>
      <c r="C269" s="4299"/>
      <c r="D269" s="4299"/>
      <c r="E269" s="4299"/>
      <c r="F269" s="4300">
        <v>4549</v>
      </c>
      <c r="G269" s="4300"/>
      <c r="H269" s="4300"/>
      <c r="I269" s="4300"/>
      <c r="J269" s="4300"/>
      <c r="K269" s="4300"/>
      <c r="L269" s="4300"/>
      <c r="M269" s="4317"/>
      <c r="N269" s="4317"/>
      <c r="O269" s="4317" t="s">
        <v>4920</v>
      </c>
      <c r="P269" s="4317"/>
      <c r="Q269" s="4295"/>
      <c r="R269" s="4317"/>
      <c r="S269" s="4317"/>
      <c r="T269" s="4317"/>
      <c r="U269" s="4317"/>
      <c r="V269" s="4317"/>
      <c r="W269" s="4317"/>
      <c r="X269" s="4317"/>
      <c r="Y269" s="4317"/>
      <c r="Z269" s="4317"/>
      <c r="AA269" s="4317"/>
      <c r="AB269" s="4317"/>
      <c r="AC269" s="4295"/>
      <c r="AD269" s="4317"/>
      <c r="AE269" s="4317"/>
      <c r="AF269" s="4319"/>
      <c r="AG269" s="4319"/>
      <c r="AH269" s="4317"/>
      <c r="AI269" s="4317"/>
      <c r="AJ269" s="4317"/>
      <c r="AK269" s="4317"/>
      <c r="AL269" s="4317"/>
      <c r="AM269" s="4317"/>
      <c r="AN269" s="4317"/>
      <c r="AO269" s="4317"/>
      <c r="AP269" s="4317"/>
      <c r="AQ269" s="4317"/>
      <c r="AR269" s="4317"/>
      <c r="AS269" s="4317"/>
      <c r="AT269" s="4317"/>
      <c r="AU269" s="4317"/>
      <c r="AV269" s="4317"/>
      <c r="AW269" s="4317"/>
      <c r="AX269" s="4317"/>
      <c r="AY269" s="4317"/>
      <c r="AZ269" s="4317"/>
      <c r="BA269" s="4317"/>
      <c r="BB269" s="4317"/>
      <c r="BC269" s="4317"/>
      <c r="BD269" s="4317"/>
      <c r="BE269" s="4317"/>
      <c r="BF269" s="4317"/>
      <c r="BG269" s="4317"/>
      <c r="BH269" s="4317"/>
      <c r="BI269" s="4317"/>
      <c r="BJ269" s="4317"/>
      <c r="BK269" s="4317"/>
      <c r="BL269" s="4317"/>
      <c r="BM269" s="4317"/>
      <c r="BN269" s="4317"/>
      <c r="BO269" s="4317"/>
      <c r="BP269" s="4317"/>
      <c r="BQ269" s="4317"/>
      <c r="BR269" s="4317"/>
      <c r="BS269" s="4317"/>
      <c r="BT269" s="4317"/>
      <c r="BU269" s="4317"/>
      <c r="BV269" s="4317"/>
      <c r="BW269" s="4317"/>
      <c r="BX269" s="4317"/>
      <c r="BY269" s="4317"/>
      <c r="BZ269" s="4317"/>
      <c r="CA269" s="4317"/>
      <c r="CB269" s="4317"/>
      <c r="CC269" s="4317"/>
      <c r="CD269" s="4317"/>
      <c r="CE269" s="4317"/>
      <c r="CF269" s="4317"/>
      <c r="CG269" s="4317"/>
      <c r="CH269" s="4317"/>
      <c r="CI269" s="4317"/>
      <c r="CJ269" s="4317"/>
      <c r="CK269" s="4317"/>
      <c r="CL269" s="4317"/>
      <c r="CM269" s="4317"/>
      <c r="CN269" s="4317"/>
      <c r="CO269" s="4317"/>
      <c r="CP269" s="4317"/>
      <c r="CQ269" s="4317"/>
      <c r="CR269" s="4317"/>
      <c r="CS269" s="4317"/>
      <c r="CT269" s="4317"/>
      <c r="CU269" s="4317"/>
      <c r="CV269" s="4317"/>
      <c r="CW269" s="4317"/>
      <c r="CX269" s="4317"/>
      <c r="CY269" s="4317"/>
      <c r="CZ269" s="4317"/>
      <c r="DA269" s="4317"/>
      <c r="DB269" s="4317"/>
      <c r="DC269" s="4317"/>
      <c r="DD269" s="4317"/>
      <c r="DE269" s="4317"/>
      <c r="DF269" s="4317"/>
      <c r="DG269" s="4317"/>
      <c r="DH269" s="4317"/>
      <c r="DI269" s="4317"/>
      <c r="DJ269" s="4317"/>
      <c r="DK269" s="4317"/>
      <c r="DL269" s="4317"/>
      <c r="DM269" s="4317"/>
      <c r="DN269" s="4317"/>
      <c r="DO269" s="4317"/>
      <c r="DP269" s="4317"/>
      <c r="DQ269" s="4317"/>
      <c r="DR269" s="4317"/>
      <c r="DS269" s="4317"/>
    </row>
    <row r="270" s="4134" customFormat="1" ht="19.5" customHeight="1" spans="1:123">
      <c r="A270" s="4298" t="s">
        <v>4921</v>
      </c>
      <c r="B270" s="4299"/>
      <c r="C270" s="4299"/>
      <c r="D270" s="4299"/>
      <c r="E270" s="4299"/>
      <c r="F270" s="4300"/>
      <c r="G270" s="4300"/>
      <c r="H270" s="4300"/>
      <c r="I270" s="4300"/>
      <c r="J270" s="4300"/>
      <c r="K270" s="4300"/>
      <c r="L270" s="4300"/>
      <c r="M270" s="4317"/>
      <c r="N270" s="4317"/>
      <c r="O270" s="4317" t="s">
        <v>4922</v>
      </c>
      <c r="P270" s="4317"/>
      <c r="Q270" s="4295"/>
      <c r="R270" s="4317"/>
      <c r="S270" s="4317"/>
      <c r="T270" s="4317"/>
      <c r="U270" s="4317"/>
      <c r="V270" s="4317"/>
      <c r="W270" s="4317"/>
      <c r="X270" s="4317"/>
      <c r="Y270" s="4317"/>
      <c r="Z270" s="4317"/>
      <c r="AA270" s="4317"/>
      <c r="AB270" s="4317"/>
      <c r="AC270" s="4295"/>
      <c r="AD270" s="4317"/>
      <c r="AE270" s="4317"/>
      <c r="AF270" s="4319"/>
      <c r="AG270" s="4319"/>
      <c r="AH270" s="4317"/>
      <c r="AI270" s="4317"/>
      <c r="AJ270" s="4317"/>
      <c r="AK270" s="4317"/>
      <c r="AL270" s="4317"/>
      <c r="AM270" s="4317"/>
      <c r="AN270" s="4317"/>
      <c r="AO270" s="4317"/>
      <c r="AP270" s="4317"/>
      <c r="AQ270" s="4317"/>
      <c r="AR270" s="4317"/>
      <c r="AS270" s="4317"/>
      <c r="AT270" s="4317"/>
      <c r="AU270" s="4317"/>
      <c r="AV270" s="4317"/>
      <c r="AW270" s="4317"/>
      <c r="AX270" s="4317"/>
      <c r="AY270" s="4317"/>
      <c r="AZ270" s="4317"/>
      <c r="BA270" s="4317"/>
      <c r="BB270" s="4317"/>
      <c r="BC270" s="4317"/>
      <c r="BD270" s="4317"/>
      <c r="BE270" s="4317"/>
      <c r="BF270" s="4317"/>
      <c r="BG270" s="4317"/>
      <c r="BH270" s="4317"/>
      <c r="BI270" s="4317"/>
      <c r="BJ270" s="4317"/>
      <c r="BK270" s="4317"/>
      <c r="BL270" s="4317"/>
      <c r="BM270" s="4317"/>
      <c r="BN270" s="4317"/>
      <c r="BO270" s="4317"/>
      <c r="BP270" s="4317"/>
      <c r="BQ270" s="4317"/>
      <c r="BR270" s="4317"/>
      <c r="BS270" s="4317"/>
      <c r="BT270" s="4317"/>
      <c r="BU270" s="4317"/>
      <c r="BV270" s="4317"/>
      <c r="BW270" s="4317"/>
      <c r="BX270" s="4317"/>
      <c r="BY270" s="4317"/>
      <c r="BZ270" s="4317"/>
      <c r="CA270" s="4317"/>
      <c r="CB270" s="4317"/>
      <c r="CC270" s="4317"/>
      <c r="CD270" s="4317"/>
      <c r="CE270" s="4317"/>
      <c r="CF270" s="4317"/>
      <c r="CG270" s="4317"/>
      <c r="CH270" s="4317"/>
      <c r="CI270" s="4317"/>
      <c r="CJ270" s="4317"/>
      <c r="CK270" s="4317"/>
      <c r="CL270" s="4317"/>
      <c r="CM270" s="4317"/>
      <c r="CN270" s="4317"/>
      <c r="CO270" s="4317"/>
      <c r="CP270" s="4317"/>
      <c r="CQ270" s="4317"/>
      <c r="CR270" s="4317"/>
      <c r="CS270" s="4317"/>
      <c r="CT270" s="4317"/>
      <c r="CU270" s="4317"/>
      <c r="CV270" s="4317"/>
      <c r="CW270" s="4317"/>
      <c r="CX270" s="4317"/>
      <c r="CY270" s="4317"/>
      <c r="CZ270" s="4317"/>
      <c r="DA270" s="4317"/>
      <c r="DB270" s="4317"/>
      <c r="DC270" s="4317"/>
      <c r="DD270" s="4317"/>
      <c r="DE270" s="4317"/>
      <c r="DF270" s="4317"/>
      <c r="DG270" s="4317"/>
      <c r="DH270" s="4317"/>
      <c r="DI270" s="4317"/>
      <c r="DJ270" s="4317"/>
      <c r="DK270" s="4317"/>
      <c r="DL270" s="4317"/>
      <c r="DM270" s="4317"/>
      <c r="DN270" s="4317"/>
      <c r="DO270" s="4317"/>
      <c r="DP270" s="4317"/>
      <c r="DQ270" s="4317"/>
      <c r="DR270" s="4317"/>
      <c r="DS270" s="4317"/>
    </row>
    <row r="271" s="4134" customFormat="1" ht="19.5" customHeight="1" spans="1:123">
      <c r="A271" s="4298" t="s">
        <v>4923</v>
      </c>
      <c r="B271" s="4299"/>
      <c r="C271" s="4299"/>
      <c r="D271" s="4299"/>
      <c r="E271" s="4299"/>
      <c r="F271" s="4300"/>
      <c r="G271" s="4300"/>
      <c r="H271" s="4300"/>
      <c r="I271" s="4300"/>
      <c r="J271" s="4300"/>
      <c r="K271" s="4300"/>
      <c r="L271" s="4300"/>
      <c r="M271" s="4317"/>
      <c r="N271" s="4317"/>
      <c r="O271" s="4317" t="s">
        <v>4924</v>
      </c>
      <c r="P271" s="4317"/>
      <c r="Q271" s="4295"/>
      <c r="R271" s="4317"/>
      <c r="S271" s="4317"/>
      <c r="T271" s="4317"/>
      <c r="U271" s="4317"/>
      <c r="V271" s="4317"/>
      <c r="W271" s="4317"/>
      <c r="X271" s="4317"/>
      <c r="Y271" s="4317"/>
      <c r="Z271" s="4317"/>
      <c r="AA271" s="4317"/>
      <c r="AB271" s="4317"/>
      <c r="AC271" s="4295"/>
      <c r="AD271" s="4317"/>
      <c r="AE271" s="4317"/>
      <c r="AF271" s="4319"/>
      <c r="AG271" s="4319"/>
      <c r="AH271" s="4317"/>
      <c r="AI271" s="4317"/>
      <c r="AJ271" s="4317"/>
      <c r="AK271" s="4317"/>
      <c r="AL271" s="4317"/>
      <c r="AM271" s="4317"/>
      <c r="AN271" s="4317"/>
      <c r="AO271" s="4317"/>
      <c r="AP271" s="4317"/>
      <c r="AQ271" s="4317"/>
      <c r="AR271" s="4317"/>
      <c r="AS271" s="4317"/>
      <c r="AT271" s="4317"/>
      <c r="AU271" s="4317"/>
      <c r="AV271" s="4317"/>
      <c r="AW271" s="4317"/>
      <c r="AX271" s="4317"/>
      <c r="AY271" s="4317"/>
      <c r="AZ271" s="4317"/>
      <c r="BA271" s="4317"/>
      <c r="BB271" s="4317"/>
      <c r="BC271" s="4317"/>
      <c r="BD271" s="4317"/>
      <c r="BE271" s="4317"/>
      <c r="BF271" s="4317"/>
      <c r="BG271" s="4317"/>
      <c r="BH271" s="4317"/>
      <c r="BI271" s="4317"/>
      <c r="BJ271" s="4317"/>
      <c r="BK271" s="4317"/>
      <c r="BL271" s="4317"/>
      <c r="BM271" s="4317"/>
      <c r="BN271" s="4317"/>
      <c r="BO271" s="4317"/>
      <c r="BP271" s="4317"/>
      <c r="BQ271" s="4317"/>
      <c r="BR271" s="4317"/>
      <c r="BS271" s="4317"/>
      <c r="BT271" s="4317"/>
      <c r="BU271" s="4317"/>
      <c r="BV271" s="4317"/>
      <c r="BW271" s="4317"/>
      <c r="BX271" s="4317"/>
      <c r="BY271" s="4317"/>
      <c r="BZ271" s="4317"/>
      <c r="CA271" s="4317"/>
      <c r="CB271" s="4317"/>
      <c r="CC271" s="4317"/>
      <c r="CD271" s="4317"/>
      <c r="CE271" s="4317"/>
      <c r="CF271" s="4317"/>
      <c r="CG271" s="4317"/>
      <c r="CH271" s="4317"/>
      <c r="CI271" s="4317"/>
      <c r="CJ271" s="4317"/>
      <c r="CK271" s="4317"/>
      <c r="CL271" s="4317"/>
      <c r="CM271" s="4317"/>
      <c r="CN271" s="4317"/>
      <c r="CO271" s="4317"/>
      <c r="CP271" s="4317"/>
      <c r="CQ271" s="4317"/>
      <c r="CR271" s="4317"/>
      <c r="CS271" s="4317"/>
      <c r="CT271" s="4317"/>
      <c r="CU271" s="4317"/>
      <c r="CV271" s="4317"/>
      <c r="CW271" s="4317"/>
      <c r="CX271" s="4317"/>
      <c r="CY271" s="4317"/>
      <c r="CZ271" s="4317"/>
      <c r="DA271" s="4317"/>
      <c r="DB271" s="4317"/>
      <c r="DC271" s="4317"/>
      <c r="DD271" s="4317"/>
      <c r="DE271" s="4317"/>
      <c r="DF271" s="4317"/>
      <c r="DG271" s="4317"/>
      <c r="DH271" s="4317"/>
      <c r="DI271" s="4317"/>
      <c r="DJ271" s="4317"/>
      <c r="DK271" s="4317"/>
      <c r="DL271" s="4317"/>
      <c r="DM271" s="4317"/>
      <c r="DN271" s="4317"/>
      <c r="DO271" s="4317"/>
      <c r="DP271" s="4317"/>
      <c r="DQ271" s="4317"/>
      <c r="DR271" s="4317"/>
      <c r="DS271" s="4317"/>
    </row>
    <row r="272" s="4134" customFormat="1" ht="19.5" customHeight="1" spans="1:123">
      <c r="A272" s="4304" t="s">
        <v>3537</v>
      </c>
      <c r="B272" s="4324"/>
      <c r="C272" s="4324"/>
      <c r="D272" s="4324"/>
      <c r="E272" s="4324"/>
      <c r="F272" s="4306">
        <f>SUM(F265:L271)</f>
        <v>4549</v>
      </c>
      <c r="G272" s="4306"/>
      <c r="H272" s="4306"/>
      <c r="I272" s="4306"/>
      <c r="J272" s="4306"/>
      <c r="K272" s="4306"/>
      <c r="L272" s="4306"/>
      <c r="M272" s="4317"/>
      <c r="N272" s="4317"/>
      <c r="O272" s="4342" t="s">
        <v>4925</v>
      </c>
      <c r="P272" s="4317"/>
      <c r="Q272" s="4295"/>
      <c r="R272" s="4317"/>
      <c r="S272" s="4317"/>
      <c r="T272" s="4317"/>
      <c r="U272" s="4317"/>
      <c r="V272" s="4317"/>
      <c r="W272" s="4317"/>
      <c r="X272" s="4317"/>
      <c r="Y272" s="4317"/>
      <c r="Z272" s="4317"/>
      <c r="AA272" s="4317"/>
      <c r="AB272" s="4317"/>
      <c r="AC272" s="4295"/>
      <c r="AD272" s="4317"/>
      <c r="AE272" s="4317"/>
      <c r="AF272" s="4319"/>
      <c r="AG272" s="4319"/>
      <c r="AH272" s="4317"/>
      <c r="AI272" s="4317"/>
      <c r="AJ272" s="4317"/>
      <c r="AK272" s="4317"/>
      <c r="AL272" s="4317"/>
      <c r="AM272" s="4317"/>
      <c r="AN272" s="4317"/>
      <c r="AO272" s="4317"/>
      <c r="AP272" s="4317"/>
      <c r="AQ272" s="4317"/>
      <c r="AR272" s="4317"/>
      <c r="AS272" s="4317"/>
      <c r="AT272" s="4317"/>
      <c r="AU272" s="4317"/>
      <c r="AV272" s="4317"/>
      <c r="AW272" s="4317"/>
      <c r="AX272" s="4317"/>
      <c r="AY272" s="4317"/>
      <c r="AZ272" s="4317"/>
      <c r="BA272" s="4317"/>
      <c r="BB272" s="4317"/>
      <c r="BC272" s="4317"/>
      <c r="BD272" s="4317"/>
      <c r="BE272" s="4317"/>
      <c r="BF272" s="4317"/>
      <c r="BG272" s="4317"/>
      <c r="BH272" s="4317"/>
      <c r="BI272" s="4317"/>
      <c r="BJ272" s="4317"/>
      <c r="BK272" s="4317"/>
      <c r="BL272" s="4317"/>
      <c r="BM272" s="4317"/>
      <c r="BN272" s="4317"/>
      <c r="BO272" s="4317"/>
      <c r="BP272" s="4317"/>
      <c r="BQ272" s="4317"/>
      <c r="BR272" s="4317"/>
      <c r="BS272" s="4317"/>
      <c r="BT272" s="4317"/>
      <c r="BU272" s="4317"/>
      <c r="BV272" s="4317"/>
      <c r="BW272" s="4317"/>
      <c r="BX272" s="4317"/>
      <c r="BY272" s="4317"/>
      <c r="BZ272" s="4317"/>
      <c r="CA272" s="4317"/>
      <c r="CB272" s="4317"/>
      <c r="CC272" s="4317"/>
      <c r="CD272" s="4317"/>
      <c r="CE272" s="4317"/>
      <c r="CF272" s="4317"/>
      <c r="CG272" s="4317"/>
      <c r="CH272" s="4317"/>
      <c r="CI272" s="4317"/>
      <c r="CJ272" s="4317"/>
      <c r="CK272" s="4317"/>
      <c r="CL272" s="4317"/>
      <c r="CM272" s="4317"/>
      <c r="CN272" s="4317"/>
      <c r="CO272" s="4317"/>
      <c r="CP272" s="4317"/>
      <c r="CQ272" s="4317"/>
      <c r="CR272" s="4317"/>
      <c r="CS272" s="4317"/>
      <c r="CT272" s="4317"/>
      <c r="CU272" s="4317"/>
      <c r="CV272" s="4317"/>
      <c r="CW272" s="4317"/>
      <c r="CX272" s="4317"/>
      <c r="CY272" s="4317"/>
      <c r="CZ272" s="4317"/>
      <c r="DA272" s="4317"/>
      <c r="DB272" s="4317"/>
      <c r="DC272" s="4317"/>
      <c r="DD272" s="4317"/>
      <c r="DE272" s="4317"/>
      <c r="DF272" s="4317"/>
      <c r="DG272" s="4317"/>
      <c r="DH272" s="4317"/>
      <c r="DI272" s="4317"/>
      <c r="DJ272" s="4317"/>
      <c r="DK272" s="4317"/>
      <c r="DL272" s="4317"/>
      <c r="DM272" s="4317"/>
      <c r="DN272" s="4317"/>
      <c r="DO272" s="4317"/>
      <c r="DP272" s="4317"/>
      <c r="DQ272" s="4317"/>
      <c r="DR272" s="4317"/>
      <c r="DS272" s="4317"/>
    </row>
    <row r="273" s="4134" customFormat="1" ht="19.5" customHeight="1" spans="1:123">
      <c r="A273" s="4298" t="s">
        <v>4926</v>
      </c>
      <c r="B273" s="4299"/>
      <c r="C273" s="4299"/>
      <c r="D273" s="4299"/>
      <c r="E273" s="4299"/>
      <c r="F273" s="4300"/>
      <c r="G273" s="4300"/>
      <c r="H273" s="4300"/>
      <c r="I273" s="4300"/>
      <c r="J273" s="4300"/>
      <c r="K273" s="4300"/>
      <c r="L273" s="4300"/>
      <c r="M273" s="4317"/>
      <c r="N273" s="4317"/>
      <c r="O273" s="4317" t="s">
        <v>4927</v>
      </c>
      <c r="P273" s="4317"/>
      <c r="Q273" s="4295"/>
      <c r="R273" s="4317"/>
      <c r="S273" s="4317"/>
      <c r="T273" s="4317"/>
      <c r="U273" s="4317"/>
      <c r="V273" s="4317"/>
      <c r="W273" s="4317"/>
      <c r="X273" s="4317"/>
      <c r="Y273" s="4317"/>
      <c r="Z273" s="4317"/>
      <c r="AA273" s="4317"/>
      <c r="AB273" s="4317"/>
      <c r="AC273" s="4295"/>
      <c r="AD273" s="4317"/>
      <c r="AE273" s="4317"/>
      <c r="AF273" s="4319"/>
      <c r="AG273" s="4319"/>
      <c r="AH273" s="4317"/>
      <c r="AI273" s="4317"/>
      <c r="AJ273" s="4317"/>
      <c r="AK273" s="4317"/>
      <c r="AL273" s="4317"/>
      <c r="AM273" s="4317"/>
      <c r="AN273" s="4317"/>
      <c r="AO273" s="4317"/>
      <c r="AP273" s="4317"/>
      <c r="AQ273" s="4317"/>
      <c r="AR273" s="4317"/>
      <c r="AS273" s="4317"/>
      <c r="AT273" s="4317"/>
      <c r="AU273" s="4317"/>
      <c r="AV273" s="4317"/>
      <c r="AW273" s="4317"/>
      <c r="AX273" s="4317"/>
      <c r="AY273" s="4317"/>
      <c r="AZ273" s="4317"/>
      <c r="BA273" s="4317"/>
      <c r="BB273" s="4317"/>
      <c r="BC273" s="4317"/>
      <c r="BD273" s="4317"/>
      <c r="BE273" s="4317"/>
      <c r="BF273" s="4317"/>
      <c r="BG273" s="4317"/>
      <c r="BH273" s="4317"/>
      <c r="BI273" s="4317"/>
      <c r="BJ273" s="4317"/>
      <c r="BK273" s="4317"/>
      <c r="BL273" s="4317"/>
      <c r="BM273" s="4317"/>
      <c r="BN273" s="4317"/>
      <c r="BO273" s="4317"/>
      <c r="BP273" s="4317"/>
      <c r="BQ273" s="4317"/>
      <c r="BR273" s="4317"/>
      <c r="BS273" s="4317"/>
      <c r="BT273" s="4317"/>
      <c r="BU273" s="4317"/>
      <c r="BV273" s="4317"/>
      <c r="BW273" s="4317"/>
      <c r="BX273" s="4317"/>
      <c r="BY273" s="4317"/>
      <c r="BZ273" s="4317"/>
      <c r="CA273" s="4317"/>
      <c r="CB273" s="4317"/>
      <c r="CC273" s="4317"/>
      <c r="CD273" s="4317"/>
      <c r="CE273" s="4317"/>
      <c r="CF273" s="4317"/>
      <c r="CG273" s="4317"/>
      <c r="CH273" s="4317"/>
      <c r="CI273" s="4317"/>
      <c r="CJ273" s="4317"/>
      <c r="CK273" s="4317"/>
      <c r="CL273" s="4317"/>
      <c r="CM273" s="4317"/>
      <c r="CN273" s="4317"/>
      <c r="CO273" s="4317"/>
      <c r="CP273" s="4317"/>
      <c r="CQ273" s="4317"/>
      <c r="CR273" s="4317"/>
      <c r="CS273" s="4317"/>
      <c r="CT273" s="4317"/>
      <c r="CU273" s="4317"/>
      <c r="CV273" s="4317"/>
      <c r="CW273" s="4317"/>
      <c r="CX273" s="4317"/>
      <c r="CY273" s="4317"/>
      <c r="CZ273" s="4317"/>
      <c r="DA273" s="4317"/>
      <c r="DB273" s="4317"/>
      <c r="DC273" s="4317"/>
      <c r="DD273" s="4317"/>
      <c r="DE273" s="4317"/>
      <c r="DF273" s="4317"/>
      <c r="DG273" s="4317"/>
      <c r="DH273" s="4317"/>
      <c r="DI273" s="4317"/>
      <c r="DJ273" s="4317"/>
      <c r="DK273" s="4317"/>
      <c r="DL273" s="4317"/>
      <c r="DM273" s="4317"/>
      <c r="DN273" s="4317"/>
      <c r="DO273" s="4317"/>
      <c r="DP273" s="4317"/>
      <c r="DQ273" s="4317"/>
      <c r="DR273" s="4317"/>
      <c r="DS273" s="4317"/>
    </row>
    <row r="274" s="4134" customFormat="1" ht="19.5" customHeight="1" spans="1:123">
      <c r="A274" s="4298" t="s">
        <v>4928</v>
      </c>
      <c r="B274" s="4299"/>
      <c r="C274" s="4299"/>
      <c r="D274" s="4299"/>
      <c r="E274" s="4299"/>
      <c r="F274" s="4300"/>
      <c r="G274" s="4300"/>
      <c r="H274" s="4300"/>
      <c r="I274" s="4300"/>
      <c r="J274" s="4300"/>
      <c r="K274" s="4300"/>
      <c r="L274" s="4300"/>
      <c r="M274" s="4317"/>
      <c r="N274" s="4317"/>
      <c r="O274" s="4348" t="s">
        <v>4929</v>
      </c>
      <c r="P274" s="4317"/>
      <c r="Q274" s="4295"/>
      <c r="R274" s="4317"/>
      <c r="S274" s="4317"/>
      <c r="T274" s="4317"/>
      <c r="U274" s="4317"/>
      <c r="V274" s="4317"/>
      <c r="W274" s="4317"/>
      <c r="X274" s="4317"/>
      <c r="Y274" s="4317"/>
      <c r="Z274" s="4317"/>
      <c r="AA274" s="4317"/>
      <c r="AB274" s="4317"/>
      <c r="AC274" s="4295"/>
      <c r="AD274" s="4317"/>
      <c r="AE274" s="4317"/>
      <c r="AF274" s="4319"/>
      <c r="AG274" s="4319"/>
      <c r="AH274" s="4317"/>
      <c r="AI274" s="4317"/>
      <c r="AJ274" s="4317"/>
      <c r="AK274" s="4317"/>
      <c r="AL274" s="4317"/>
      <c r="AM274" s="4317"/>
      <c r="AN274" s="4317"/>
      <c r="AO274" s="4317"/>
      <c r="AP274" s="4317"/>
      <c r="AQ274" s="4317"/>
      <c r="AR274" s="4317"/>
      <c r="AS274" s="4317"/>
      <c r="AT274" s="4317"/>
      <c r="AU274" s="4317"/>
      <c r="AV274" s="4317"/>
      <c r="AW274" s="4317"/>
      <c r="AX274" s="4317"/>
      <c r="AY274" s="4317"/>
      <c r="AZ274" s="4317"/>
      <c r="BA274" s="4317"/>
      <c r="BB274" s="4317"/>
      <c r="BC274" s="4317"/>
      <c r="BD274" s="4317"/>
      <c r="BE274" s="4317"/>
      <c r="BF274" s="4317"/>
      <c r="BG274" s="4317"/>
      <c r="BH274" s="4317"/>
      <c r="BI274" s="4317"/>
      <c r="BJ274" s="4317"/>
      <c r="BK274" s="4317"/>
      <c r="BL274" s="4317"/>
      <c r="BM274" s="4317"/>
      <c r="BN274" s="4317"/>
      <c r="BO274" s="4317"/>
      <c r="BP274" s="4317"/>
      <c r="BQ274" s="4317"/>
      <c r="BR274" s="4317"/>
      <c r="BS274" s="4317"/>
      <c r="BT274" s="4317"/>
      <c r="BU274" s="4317"/>
      <c r="BV274" s="4317"/>
      <c r="BW274" s="4317"/>
      <c r="BX274" s="4317"/>
      <c r="BY274" s="4317"/>
      <c r="BZ274" s="4317"/>
      <c r="CA274" s="4317"/>
      <c r="CB274" s="4317"/>
      <c r="CC274" s="4317"/>
      <c r="CD274" s="4317"/>
      <c r="CE274" s="4317"/>
      <c r="CF274" s="4317"/>
      <c r="CG274" s="4317"/>
      <c r="CH274" s="4317"/>
      <c r="CI274" s="4317"/>
      <c r="CJ274" s="4317"/>
      <c r="CK274" s="4317"/>
      <c r="CL274" s="4317"/>
      <c r="CM274" s="4317"/>
      <c r="CN274" s="4317"/>
      <c r="CO274" s="4317"/>
      <c r="CP274" s="4317"/>
      <c r="CQ274" s="4317"/>
      <c r="CR274" s="4317"/>
      <c r="CS274" s="4317"/>
      <c r="CT274" s="4317"/>
      <c r="CU274" s="4317"/>
      <c r="CV274" s="4317"/>
      <c r="CW274" s="4317"/>
      <c r="CX274" s="4317"/>
      <c r="CY274" s="4317"/>
      <c r="CZ274" s="4317"/>
      <c r="DA274" s="4317"/>
      <c r="DB274" s="4317"/>
      <c r="DC274" s="4317"/>
      <c r="DD274" s="4317"/>
      <c r="DE274" s="4317"/>
      <c r="DF274" s="4317"/>
      <c r="DG274" s="4317"/>
      <c r="DH274" s="4317"/>
      <c r="DI274" s="4317"/>
      <c r="DJ274" s="4317"/>
      <c r="DK274" s="4317"/>
      <c r="DL274" s="4317"/>
      <c r="DM274" s="4317"/>
      <c r="DN274" s="4317"/>
      <c r="DO274" s="4317"/>
      <c r="DP274" s="4317"/>
      <c r="DQ274" s="4317"/>
      <c r="DR274" s="4317"/>
      <c r="DS274" s="4317"/>
    </row>
    <row r="275" s="4134" customFormat="1" ht="19.5" customHeight="1" spans="1:123">
      <c r="A275" s="4298" t="s">
        <v>4930</v>
      </c>
      <c r="B275" s="4299"/>
      <c r="C275" s="4299"/>
      <c r="D275" s="4299"/>
      <c r="E275" s="4299"/>
      <c r="F275" s="4300"/>
      <c r="G275" s="4300"/>
      <c r="H275" s="4300"/>
      <c r="I275" s="4300"/>
      <c r="J275" s="4300"/>
      <c r="K275" s="4300"/>
      <c r="L275" s="4300"/>
      <c r="M275" s="4317"/>
      <c r="N275" s="4317"/>
      <c r="O275" s="4317" t="s">
        <v>4931</v>
      </c>
      <c r="P275" s="4317"/>
      <c r="Q275" s="4295"/>
      <c r="R275" s="4317"/>
      <c r="S275" s="4317"/>
      <c r="T275" s="4317"/>
      <c r="U275" s="4317"/>
      <c r="V275" s="4317"/>
      <c r="W275" s="4317"/>
      <c r="X275" s="4317"/>
      <c r="Y275" s="4317"/>
      <c r="Z275" s="4317"/>
      <c r="AA275" s="4317"/>
      <c r="AB275" s="4317"/>
      <c r="AC275" s="4295"/>
      <c r="AD275" s="4317"/>
      <c r="AE275" s="4317"/>
      <c r="AF275" s="4319"/>
      <c r="AG275" s="4319"/>
      <c r="AH275" s="4317"/>
      <c r="AI275" s="4317"/>
      <c r="AJ275" s="4317"/>
      <c r="AK275" s="4317"/>
      <c r="AL275" s="4317"/>
      <c r="AM275" s="4317"/>
      <c r="AN275" s="4317"/>
      <c r="AO275" s="4317"/>
      <c r="AP275" s="4317"/>
      <c r="AQ275" s="4317"/>
      <c r="AR275" s="4317"/>
      <c r="AS275" s="4317"/>
      <c r="AT275" s="4317"/>
      <c r="AU275" s="4317"/>
      <c r="AV275" s="4317"/>
      <c r="AW275" s="4317"/>
      <c r="AX275" s="4317"/>
      <c r="AY275" s="4317"/>
      <c r="AZ275" s="4317"/>
      <c r="BA275" s="4317"/>
      <c r="BB275" s="4317"/>
      <c r="BC275" s="4317"/>
      <c r="BD275" s="4317"/>
      <c r="BE275" s="4317"/>
      <c r="BF275" s="4317"/>
      <c r="BG275" s="4317"/>
      <c r="BH275" s="4317"/>
      <c r="BI275" s="4317"/>
      <c r="BJ275" s="4317"/>
      <c r="BK275" s="4317"/>
      <c r="BL275" s="4317"/>
      <c r="BM275" s="4317"/>
      <c r="BN275" s="4317"/>
      <c r="BO275" s="4317"/>
      <c r="BP275" s="4317"/>
      <c r="BQ275" s="4317"/>
      <c r="BR275" s="4317"/>
      <c r="BS275" s="4317"/>
      <c r="BT275" s="4317"/>
      <c r="BU275" s="4317"/>
      <c r="BV275" s="4317"/>
      <c r="BW275" s="4317"/>
      <c r="BX275" s="4317"/>
      <c r="BY275" s="4317"/>
      <c r="BZ275" s="4317"/>
      <c r="CA275" s="4317"/>
      <c r="CB275" s="4317"/>
      <c r="CC275" s="4317"/>
      <c r="CD275" s="4317"/>
      <c r="CE275" s="4317"/>
      <c r="CF275" s="4317"/>
      <c r="CG275" s="4317"/>
      <c r="CH275" s="4317"/>
      <c r="CI275" s="4317"/>
      <c r="CJ275" s="4317"/>
      <c r="CK275" s="4317"/>
      <c r="CL275" s="4317"/>
      <c r="CM275" s="4317"/>
      <c r="CN275" s="4317"/>
      <c r="CO275" s="4317"/>
      <c r="CP275" s="4317"/>
      <c r="CQ275" s="4317"/>
      <c r="CR275" s="4317"/>
      <c r="CS275" s="4317"/>
      <c r="CT275" s="4317"/>
      <c r="CU275" s="4317"/>
      <c r="CV275" s="4317"/>
      <c r="CW275" s="4317"/>
      <c r="CX275" s="4317"/>
      <c r="CY275" s="4317"/>
      <c r="CZ275" s="4317"/>
      <c r="DA275" s="4317"/>
      <c r="DB275" s="4317"/>
      <c r="DC275" s="4317"/>
      <c r="DD275" s="4317"/>
      <c r="DE275" s="4317"/>
      <c r="DF275" s="4317"/>
      <c r="DG275" s="4317"/>
      <c r="DH275" s="4317"/>
      <c r="DI275" s="4317"/>
      <c r="DJ275" s="4317"/>
      <c r="DK275" s="4317"/>
      <c r="DL275" s="4317"/>
      <c r="DM275" s="4317"/>
      <c r="DN275" s="4317"/>
      <c r="DO275" s="4317"/>
      <c r="DP275" s="4317"/>
      <c r="DQ275" s="4317"/>
      <c r="DR275" s="4317"/>
      <c r="DS275" s="4317"/>
    </row>
    <row r="276" s="4134" customFormat="1" ht="19.5" customHeight="1" spans="1:123">
      <c r="A276" s="4349" t="s">
        <v>4932</v>
      </c>
      <c r="B276" s="4350"/>
      <c r="C276" s="4350"/>
      <c r="D276" s="4350"/>
      <c r="E276" s="4351"/>
      <c r="F276" s="4300"/>
      <c r="G276" s="4300"/>
      <c r="H276" s="4300"/>
      <c r="I276" s="4300"/>
      <c r="J276" s="4300"/>
      <c r="K276" s="4300"/>
      <c r="L276" s="4300"/>
      <c r="M276" s="4317"/>
      <c r="N276" s="4317"/>
      <c r="O276" s="4317" t="s">
        <v>4933</v>
      </c>
      <c r="P276" s="4317"/>
      <c r="Q276" s="4295"/>
      <c r="R276" s="4317"/>
      <c r="S276" s="4317"/>
      <c r="T276" s="4317"/>
      <c r="U276" s="4317"/>
      <c r="V276" s="4317"/>
      <c r="W276" s="4317"/>
      <c r="X276" s="4317"/>
      <c r="Y276" s="4317"/>
      <c r="Z276" s="4317"/>
      <c r="AA276" s="4317"/>
      <c r="AB276" s="4317"/>
      <c r="AC276" s="4295"/>
      <c r="AD276" s="4317"/>
      <c r="AE276" s="4317"/>
      <c r="AF276" s="4319"/>
      <c r="AG276" s="4319"/>
      <c r="AH276" s="4317"/>
      <c r="AI276" s="4317"/>
      <c r="AJ276" s="4317"/>
      <c r="AK276" s="4317"/>
      <c r="AL276" s="4317"/>
      <c r="AM276" s="4317"/>
      <c r="AN276" s="4317"/>
      <c r="AO276" s="4317"/>
      <c r="AP276" s="4317"/>
      <c r="AQ276" s="4317"/>
      <c r="AR276" s="4317"/>
      <c r="AS276" s="4317"/>
      <c r="AT276" s="4317"/>
      <c r="AU276" s="4317"/>
      <c r="AV276" s="4317"/>
      <c r="AW276" s="4317"/>
      <c r="AX276" s="4317"/>
      <c r="AY276" s="4317"/>
      <c r="AZ276" s="4317"/>
      <c r="BA276" s="4317"/>
      <c r="BB276" s="4317"/>
      <c r="BC276" s="4317"/>
      <c r="BD276" s="4317"/>
      <c r="BE276" s="4317"/>
      <c r="BF276" s="4317"/>
      <c r="BG276" s="4317"/>
      <c r="BH276" s="4317"/>
      <c r="BI276" s="4317"/>
      <c r="BJ276" s="4317"/>
      <c r="BK276" s="4317"/>
      <c r="BL276" s="4317"/>
      <c r="BM276" s="4317"/>
      <c r="BN276" s="4317"/>
      <c r="BO276" s="4317"/>
      <c r="BP276" s="4317"/>
      <c r="BQ276" s="4317"/>
      <c r="BR276" s="4317"/>
      <c r="BS276" s="4317"/>
      <c r="BT276" s="4317"/>
      <c r="BU276" s="4317"/>
      <c r="BV276" s="4317"/>
      <c r="BW276" s="4317"/>
      <c r="BX276" s="4317"/>
      <c r="BY276" s="4317"/>
      <c r="BZ276" s="4317"/>
      <c r="CA276" s="4317"/>
      <c r="CB276" s="4317"/>
      <c r="CC276" s="4317"/>
      <c r="CD276" s="4317"/>
      <c r="CE276" s="4317"/>
      <c r="CF276" s="4317"/>
      <c r="CG276" s="4317"/>
      <c r="CH276" s="4317"/>
      <c r="CI276" s="4317"/>
      <c r="CJ276" s="4317"/>
      <c r="CK276" s="4317"/>
      <c r="CL276" s="4317"/>
      <c r="CM276" s="4317"/>
      <c r="CN276" s="4317"/>
      <c r="CO276" s="4317"/>
      <c r="CP276" s="4317"/>
      <c r="CQ276" s="4317"/>
      <c r="CR276" s="4317"/>
      <c r="CS276" s="4317"/>
      <c r="CT276" s="4317"/>
      <c r="CU276" s="4317"/>
      <c r="CV276" s="4317"/>
      <c r="CW276" s="4317"/>
      <c r="CX276" s="4317"/>
      <c r="CY276" s="4317"/>
      <c r="CZ276" s="4317"/>
      <c r="DA276" s="4317"/>
      <c r="DB276" s="4317"/>
      <c r="DC276" s="4317"/>
      <c r="DD276" s="4317"/>
      <c r="DE276" s="4317"/>
      <c r="DF276" s="4317"/>
      <c r="DG276" s="4317"/>
      <c r="DH276" s="4317"/>
      <c r="DI276" s="4317"/>
      <c r="DJ276" s="4317"/>
      <c r="DK276" s="4317"/>
      <c r="DL276" s="4317"/>
      <c r="DM276" s="4317"/>
      <c r="DN276" s="4317"/>
      <c r="DO276" s="4317"/>
      <c r="DP276" s="4317"/>
      <c r="DQ276" s="4317"/>
      <c r="DR276" s="4317"/>
      <c r="DS276" s="4317"/>
    </row>
    <row r="277" s="4134" customFormat="1" ht="19.5" customHeight="1" spans="1:123">
      <c r="A277" s="4349" t="s">
        <v>4934</v>
      </c>
      <c r="B277" s="4350"/>
      <c r="C277" s="4350"/>
      <c r="D277" s="4350"/>
      <c r="E277" s="4351"/>
      <c r="F277" s="4300"/>
      <c r="G277" s="4300"/>
      <c r="H277" s="4300"/>
      <c r="I277" s="4300"/>
      <c r="J277" s="4300"/>
      <c r="K277" s="4300"/>
      <c r="L277" s="4300"/>
      <c r="M277" s="4317"/>
      <c r="N277" s="4317"/>
      <c r="O277" s="4317" t="s">
        <v>4935</v>
      </c>
      <c r="P277" s="4317"/>
      <c r="Q277" s="4295"/>
      <c r="R277" s="4317"/>
      <c r="S277" s="4317"/>
      <c r="T277" s="4317"/>
      <c r="U277" s="4317"/>
      <c r="V277" s="4317"/>
      <c r="W277" s="4317"/>
      <c r="X277" s="4317"/>
      <c r="Y277" s="4317"/>
      <c r="Z277" s="4317"/>
      <c r="AA277" s="4317"/>
      <c r="AB277" s="4317"/>
      <c r="AC277" s="4295"/>
      <c r="AD277" s="4317"/>
      <c r="AE277" s="4317"/>
      <c r="AF277" s="4319"/>
      <c r="AG277" s="4319"/>
      <c r="AH277" s="4317"/>
      <c r="AI277" s="4317"/>
      <c r="AJ277" s="4317"/>
      <c r="AK277" s="4317"/>
      <c r="AL277" s="4317"/>
      <c r="AM277" s="4317"/>
      <c r="AN277" s="4317"/>
      <c r="AO277" s="4317"/>
      <c r="AP277" s="4317"/>
      <c r="AQ277" s="4317"/>
      <c r="AR277" s="4317"/>
      <c r="AS277" s="4317"/>
      <c r="AT277" s="4317"/>
      <c r="AU277" s="4317"/>
      <c r="AV277" s="4317"/>
      <c r="AW277" s="4317"/>
      <c r="AX277" s="4317"/>
      <c r="AY277" s="4317"/>
      <c r="AZ277" s="4317"/>
      <c r="BA277" s="4317"/>
      <c r="BB277" s="4317"/>
      <c r="BC277" s="4317"/>
      <c r="BD277" s="4317"/>
      <c r="BE277" s="4317"/>
      <c r="BF277" s="4317"/>
      <c r="BG277" s="4317"/>
      <c r="BH277" s="4317"/>
      <c r="BI277" s="4317"/>
      <c r="BJ277" s="4317"/>
      <c r="BK277" s="4317"/>
      <c r="BL277" s="4317"/>
      <c r="BM277" s="4317"/>
      <c r="BN277" s="4317"/>
      <c r="BO277" s="4317"/>
      <c r="BP277" s="4317"/>
      <c r="BQ277" s="4317"/>
      <c r="BR277" s="4317"/>
      <c r="BS277" s="4317"/>
      <c r="BT277" s="4317"/>
      <c r="BU277" s="4317"/>
      <c r="BV277" s="4317"/>
      <c r="BW277" s="4317"/>
      <c r="BX277" s="4317"/>
      <c r="BY277" s="4317"/>
      <c r="BZ277" s="4317"/>
      <c r="CA277" s="4317"/>
      <c r="CB277" s="4317"/>
      <c r="CC277" s="4317"/>
      <c r="CD277" s="4317"/>
      <c r="CE277" s="4317"/>
      <c r="CF277" s="4317"/>
      <c r="CG277" s="4317"/>
      <c r="CH277" s="4317"/>
      <c r="CI277" s="4317"/>
      <c r="CJ277" s="4317"/>
      <c r="CK277" s="4317"/>
      <c r="CL277" s="4317"/>
      <c r="CM277" s="4317"/>
      <c r="CN277" s="4317"/>
      <c r="CO277" s="4317"/>
      <c r="CP277" s="4317"/>
      <c r="CQ277" s="4317"/>
      <c r="CR277" s="4317"/>
      <c r="CS277" s="4317"/>
      <c r="CT277" s="4317"/>
      <c r="CU277" s="4317"/>
      <c r="CV277" s="4317"/>
      <c r="CW277" s="4317"/>
      <c r="CX277" s="4317"/>
      <c r="CY277" s="4317"/>
      <c r="CZ277" s="4317"/>
      <c r="DA277" s="4317"/>
      <c r="DB277" s="4317"/>
      <c r="DC277" s="4317"/>
      <c r="DD277" s="4317"/>
      <c r="DE277" s="4317"/>
      <c r="DF277" s="4317"/>
      <c r="DG277" s="4317"/>
      <c r="DH277" s="4317"/>
      <c r="DI277" s="4317"/>
      <c r="DJ277" s="4317"/>
      <c r="DK277" s="4317"/>
      <c r="DL277" s="4317"/>
      <c r="DM277" s="4317"/>
      <c r="DN277" s="4317"/>
      <c r="DO277" s="4317"/>
      <c r="DP277" s="4317"/>
      <c r="DQ277" s="4317"/>
      <c r="DR277" s="4317"/>
      <c r="DS277" s="4317"/>
    </row>
    <row r="278" s="4134" customFormat="1" ht="19.5" customHeight="1" spans="1:123">
      <c r="A278" s="4349" t="s">
        <v>4936</v>
      </c>
      <c r="B278" s="4350"/>
      <c r="C278" s="4350"/>
      <c r="D278" s="4350"/>
      <c r="E278" s="4351"/>
      <c r="F278" s="4300"/>
      <c r="G278" s="4300"/>
      <c r="H278" s="4300"/>
      <c r="I278" s="4300"/>
      <c r="J278" s="4300"/>
      <c r="K278" s="4300"/>
      <c r="L278" s="4300"/>
      <c r="M278" s="4317"/>
      <c r="N278" s="4317"/>
      <c r="O278" s="4317" t="s">
        <v>4937</v>
      </c>
      <c r="P278" s="4317"/>
      <c r="Q278" s="4295"/>
      <c r="R278" s="4317"/>
      <c r="S278" s="4317"/>
      <c r="T278" s="4317"/>
      <c r="U278" s="4317"/>
      <c r="V278" s="4317"/>
      <c r="W278" s="4317"/>
      <c r="X278" s="4317"/>
      <c r="Y278" s="4317"/>
      <c r="Z278" s="4317"/>
      <c r="AA278" s="4317"/>
      <c r="AB278" s="4317"/>
      <c r="AC278" s="4295"/>
      <c r="AD278" s="4317"/>
      <c r="AE278" s="4317"/>
      <c r="AF278" s="4319"/>
      <c r="AG278" s="4319"/>
      <c r="AH278" s="4317"/>
      <c r="AI278" s="4317"/>
      <c r="AJ278" s="4317"/>
      <c r="AK278" s="4317"/>
      <c r="AL278" s="4317"/>
      <c r="AM278" s="4317"/>
      <c r="AN278" s="4317"/>
      <c r="AO278" s="4317"/>
      <c r="AP278" s="4317"/>
      <c r="AQ278" s="4317"/>
      <c r="AR278" s="4317"/>
      <c r="AS278" s="4317"/>
      <c r="AT278" s="4317"/>
      <c r="AU278" s="4317"/>
      <c r="AV278" s="4317"/>
      <c r="AW278" s="4317"/>
      <c r="AX278" s="4317"/>
      <c r="AY278" s="4317"/>
      <c r="AZ278" s="4317"/>
      <c r="BA278" s="4317"/>
      <c r="BB278" s="4317"/>
      <c r="BC278" s="4317"/>
      <c r="BD278" s="4317"/>
      <c r="BE278" s="4317"/>
      <c r="BF278" s="4317"/>
      <c r="BG278" s="4317"/>
      <c r="BH278" s="4317"/>
      <c r="BI278" s="4317"/>
      <c r="BJ278" s="4317"/>
      <c r="BK278" s="4317"/>
      <c r="BL278" s="4317"/>
      <c r="BM278" s="4317"/>
      <c r="BN278" s="4317"/>
      <c r="BO278" s="4317"/>
      <c r="BP278" s="4317"/>
      <c r="BQ278" s="4317"/>
      <c r="BR278" s="4317"/>
      <c r="BS278" s="4317"/>
      <c r="BT278" s="4317"/>
      <c r="BU278" s="4317"/>
      <c r="BV278" s="4317"/>
      <c r="BW278" s="4317"/>
      <c r="BX278" s="4317"/>
      <c r="BY278" s="4317"/>
      <c r="BZ278" s="4317"/>
      <c r="CA278" s="4317"/>
      <c r="CB278" s="4317"/>
      <c r="CC278" s="4317"/>
      <c r="CD278" s="4317"/>
      <c r="CE278" s="4317"/>
      <c r="CF278" s="4317"/>
      <c r="CG278" s="4317"/>
      <c r="CH278" s="4317"/>
      <c r="CI278" s="4317"/>
      <c r="CJ278" s="4317"/>
      <c r="CK278" s="4317"/>
      <c r="CL278" s="4317"/>
      <c r="CM278" s="4317"/>
      <c r="CN278" s="4317"/>
      <c r="CO278" s="4317"/>
      <c r="CP278" s="4317"/>
      <c r="CQ278" s="4317"/>
      <c r="CR278" s="4317"/>
      <c r="CS278" s="4317"/>
      <c r="CT278" s="4317"/>
      <c r="CU278" s="4317"/>
      <c r="CV278" s="4317"/>
      <c r="CW278" s="4317"/>
      <c r="CX278" s="4317"/>
      <c r="CY278" s="4317"/>
      <c r="CZ278" s="4317"/>
      <c r="DA278" s="4317"/>
      <c r="DB278" s="4317"/>
      <c r="DC278" s="4317"/>
      <c r="DD278" s="4317"/>
      <c r="DE278" s="4317"/>
      <c r="DF278" s="4317"/>
      <c r="DG278" s="4317"/>
      <c r="DH278" s="4317"/>
      <c r="DI278" s="4317"/>
      <c r="DJ278" s="4317"/>
      <c r="DK278" s="4317"/>
      <c r="DL278" s="4317"/>
      <c r="DM278" s="4317"/>
      <c r="DN278" s="4317"/>
      <c r="DO278" s="4317"/>
      <c r="DP278" s="4317"/>
      <c r="DQ278" s="4317"/>
      <c r="DR278" s="4317"/>
      <c r="DS278" s="4317"/>
    </row>
    <row r="279" s="4134" customFormat="1" ht="19.5" customHeight="1" spans="1:123">
      <c r="A279" s="4349" t="s">
        <v>4938</v>
      </c>
      <c r="B279" s="4350"/>
      <c r="C279" s="4350"/>
      <c r="D279" s="4350"/>
      <c r="E279" s="4351"/>
      <c r="F279" s="4300"/>
      <c r="G279" s="4300"/>
      <c r="H279" s="4300"/>
      <c r="I279" s="4300"/>
      <c r="J279" s="4300"/>
      <c r="K279" s="4300"/>
      <c r="L279" s="4300"/>
      <c r="M279" s="4317"/>
      <c r="N279" s="4317"/>
      <c r="O279" s="4317" t="s">
        <v>4939</v>
      </c>
      <c r="P279" s="4317"/>
      <c r="Q279" s="4295"/>
      <c r="R279" s="4317"/>
      <c r="S279" s="4317"/>
      <c r="T279" s="4317"/>
      <c r="U279" s="4317"/>
      <c r="V279" s="4317"/>
      <c r="W279" s="4317"/>
      <c r="X279" s="4317"/>
      <c r="Y279" s="4317"/>
      <c r="Z279" s="4317"/>
      <c r="AA279" s="4317"/>
      <c r="AB279" s="4317"/>
      <c r="AC279" s="4295"/>
      <c r="AD279" s="4317"/>
      <c r="AE279" s="4317"/>
      <c r="AF279" s="4319"/>
      <c r="AG279" s="4319"/>
      <c r="AH279" s="4317"/>
      <c r="AI279" s="4317"/>
      <c r="AJ279" s="4317"/>
      <c r="AK279" s="4317"/>
      <c r="AL279" s="4317"/>
      <c r="AM279" s="4317"/>
      <c r="AN279" s="4317"/>
      <c r="AO279" s="4317"/>
      <c r="AP279" s="4317"/>
      <c r="AQ279" s="4317"/>
      <c r="AR279" s="4317"/>
      <c r="AS279" s="4317"/>
      <c r="AT279" s="4317"/>
      <c r="AU279" s="4317"/>
      <c r="AV279" s="4317"/>
      <c r="AW279" s="4317"/>
      <c r="AX279" s="4317"/>
      <c r="AY279" s="4317"/>
      <c r="AZ279" s="4317"/>
      <c r="BA279" s="4317"/>
      <c r="BB279" s="4317"/>
      <c r="BC279" s="4317"/>
      <c r="BD279" s="4317"/>
      <c r="BE279" s="4317"/>
      <c r="BF279" s="4317"/>
      <c r="BG279" s="4317"/>
      <c r="BH279" s="4317"/>
      <c r="BI279" s="4317"/>
      <c r="BJ279" s="4317"/>
      <c r="BK279" s="4317"/>
      <c r="BL279" s="4317"/>
      <c r="BM279" s="4317"/>
      <c r="BN279" s="4317"/>
      <c r="BO279" s="4317"/>
      <c r="BP279" s="4317"/>
      <c r="BQ279" s="4317"/>
      <c r="BR279" s="4317"/>
      <c r="BS279" s="4317"/>
      <c r="BT279" s="4317"/>
      <c r="BU279" s="4317"/>
      <c r="BV279" s="4317"/>
      <c r="BW279" s="4317"/>
      <c r="BX279" s="4317"/>
      <c r="BY279" s="4317"/>
      <c r="BZ279" s="4317"/>
      <c r="CA279" s="4317"/>
      <c r="CB279" s="4317"/>
      <c r="CC279" s="4317"/>
      <c r="CD279" s="4317"/>
      <c r="CE279" s="4317"/>
      <c r="CF279" s="4317"/>
      <c r="CG279" s="4317"/>
      <c r="CH279" s="4317"/>
      <c r="CI279" s="4317"/>
      <c r="CJ279" s="4317"/>
      <c r="CK279" s="4317"/>
      <c r="CL279" s="4317"/>
      <c r="CM279" s="4317"/>
      <c r="CN279" s="4317"/>
      <c r="CO279" s="4317"/>
      <c r="CP279" s="4317"/>
      <c r="CQ279" s="4317"/>
      <c r="CR279" s="4317"/>
      <c r="CS279" s="4317"/>
      <c r="CT279" s="4317"/>
      <c r="CU279" s="4317"/>
      <c r="CV279" s="4317"/>
      <c r="CW279" s="4317"/>
      <c r="CX279" s="4317"/>
      <c r="CY279" s="4317"/>
      <c r="CZ279" s="4317"/>
      <c r="DA279" s="4317"/>
      <c r="DB279" s="4317"/>
      <c r="DC279" s="4317"/>
      <c r="DD279" s="4317"/>
      <c r="DE279" s="4317"/>
      <c r="DF279" s="4317"/>
      <c r="DG279" s="4317"/>
      <c r="DH279" s="4317"/>
      <c r="DI279" s="4317"/>
      <c r="DJ279" s="4317"/>
      <c r="DK279" s="4317"/>
      <c r="DL279" s="4317"/>
      <c r="DM279" s="4317"/>
      <c r="DN279" s="4317"/>
      <c r="DO279" s="4317"/>
      <c r="DP279" s="4317"/>
      <c r="DQ279" s="4317"/>
      <c r="DR279" s="4317"/>
      <c r="DS279" s="4317"/>
    </row>
    <row r="280" s="4134" customFormat="1" ht="19.5" customHeight="1" spans="1:123">
      <c r="A280" s="4304" t="s">
        <v>3538</v>
      </c>
      <c r="B280" s="4324"/>
      <c r="C280" s="4324"/>
      <c r="D280" s="4324"/>
      <c r="E280" s="4324"/>
      <c r="F280" s="4306">
        <f>SUM(F273:L279)</f>
        <v>0</v>
      </c>
      <c r="G280" s="4306"/>
      <c r="H280" s="4306"/>
      <c r="I280" s="4306"/>
      <c r="J280" s="4306"/>
      <c r="K280" s="4306"/>
      <c r="L280" s="4306"/>
      <c r="M280" s="4317"/>
      <c r="N280" s="4317"/>
      <c r="O280" s="4342" t="s">
        <v>4940</v>
      </c>
      <c r="P280" s="4317"/>
      <c r="Q280" s="4295"/>
      <c r="R280" s="4317"/>
      <c r="S280" s="4317"/>
      <c r="T280" s="4317"/>
      <c r="U280" s="4317"/>
      <c r="V280" s="4317"/>
      <c r="W280" s="4317"/>
      <c r="X280" s="4317"/>
      <c r="Y280" s="4317"/>
      <c r="Z280" s="4317"/>
      <c r="AA280" s="4317"/>
      <c r="AB280" s="4317"/>
      <c r="AC280" s="4295"/>
      <c r="AD280" s="4317"/>
      <c r="AE280" s="4317"/>
      <c r="AF280" s="4317"/>
      <c r="AG280" s="4317"/>
      <c r="AH280" s="4317"/>
      <c r="AI280" s="4317"/>
      <c r="AJ280" s="4317"/>
      <c r="AK280" s="4317"/>
      <c r="AL280" s="4317"/>
      <c r="AM280" s="4317"/>
      <c r="AN280" s="4317"/>
      <c r="AO280" s="4317"/>
      <c r="AP280" s="4317"/>
      <c r="AQ280" s="4317"/>
      <c r="AR280" s="4317"/>
      <c r="AS280" s="4317"/>
      <c r="AT280" s="4317"/>
      <c r="AU280" s="4317"/>
      <c r="AV280" s="4317"/>
      <c r="AW280" s="4317"/>
      <c r="AX280" s="4317"/>
      <c r="AY280" s="4317"/>
      <c r="AZ280" s="4317"/>
      <c r="BA280" s="4317"/>
      <c r="BB280" s="4317"/>
      <c r="BC280" s="4317"/>
      <c r="BD280" s="4317"/>
      <c r="BE280" s="4317"/>
      <c r="BF280" s="4317"/>
      <c r="BG280" s="4317"/>
      <c r="BH280" s="4317"/>
      <c r="BI280" s="4317"/>
      <c r="BJ280" s="4317"/>
      <c r="BK280" s="4317"/>
      <c r="BL280" s="4317"/>
      <c r="BM280" s="4317"/>
      <c r="BN280" s="4317"/>
      <c r="BO280" s="4317"/>
      <c r="BP280" s="4317"/>
      <c r="BQ280" s="4317"/>
      <c r="BR280" s="4317"/>
      <c r="BS280" s="4317"/>
      <c r="BT280" s="4317"/>
      <c r="BU280" s="4317"/>
      <c r="BV280" s="4317"/>
      <c r="BW280" s="4317"/>
      <c r="BX280" s="4317"/>
      <c r="BY280" s="4317"/>
      <c r="BZ280" s="4317"/>
      <c r="CA280" s="4317"/>
      <c r="CB280" s="4317"/>
      <c r="CC280" s="4317"/>
      <c r="CD280" s="4317"/>
      <c r="CE280" s="4317"/>
      <c r="CF280" s="4317"/>
      <c r="CG280" s="4317"/>
      <c r="CH280" s="4317"/>
      <c r="CI280" s="4317"/>
      <c r="CJ280" s="4317"/>
      <c r="CK280" s="4317"/>
      <c r="CL280" s="4317"/>
      <c r="CM280" s="4317"/>
      <c r="CN280" s="4317"/>
      <c r="CO280" s="4317"/>
      <c r="CP280" s="4317"/>
      <c r="CQ280" s="4317"/>
      <c r="CR280" s="4317"/>
      <c r="CS280" s="4317"/>
      <c r="CT280" s="4317"/>
      <c r="CU280" s="4317"/>
      <c r="CV280" s="4317"/>
      <c r="CW280" s="4317"/>
      <c r="CX280" s="4317"/>
      <c r="CY280" s="4317"/>
      <c r="CZ280" s="4317"/>
      <c r="DA280" s="4317"/>
      <c r="DB280" s="4317"/>
      <c r="DC280" s="4317"/>
      <c r="DD280" s="4317"/>
      <c r="DE280" s="4317"/>
      <c r="DF280" s="4317"/>
      <c r="DG280" s="4317"/>
      <c r="DH280" s="4317"/>
      <c r="DI280" s="4317"/>
      <c r="DJ280" s="4317"/>
      <c r="DK280" s="4317"/>
      <c r="DL280" s="4317"/>
      <c r="DM280" s="4317"/>
      <c r="DN280" s="4317"/>
      <c r="DO280" s="4317"/>
      <c r="DP280" s="4317"/>
      <c r="DQ280" s="4317"/>
      <c r="DR280" s="4317"/>
      <c r="DS280" s="4317"/>
    </row>
    <row r="281" s="4134" customFormat="1" ht="19.5" customHeight="1" spans="1:123">
      <c r="A281" s="4298" t="s">
        <v>4941</v>
      </c>
      <c r="B281" s="4299"/>
      <c r="C281" s="4299"/>
      <c r="D281" s="4299"/>
      <c r="E281" s="4299"/>
      <c r="F281" s="4300"/>
      <c r="G281" s="4300"/>
      <c r="H281" s="4300"/>
      <c r="I281" s="4300"/>
      <c r="J281" s="4300"/>
      <c r="K281" s="4300"/>
      <c r="L281" s="4300"/>
      <c r="M281" s="4317"/>
      <c r="N281" s="4317"/>
      <c r="O281" s="4317" t="s">
        <v>4942</v>
      </c>
      <c r="P281" s="4317"/>
      <c r="Q281" s="4295"/>
      <c r="R281" s="4317"/>
      <c r="S281" s="4317"/>
      <c r="T281" s="4317"/>
      <c r="U281" s="4317"/>
      <c r="V281" s="4317"/>
      <c r="W281" s="4317"/>
      <c r="X281" s="4317"/>
      <c r="Y281" s="4317"/>
      <c r="Z281" s="4317"/>
      <c r="AA281" s="4317"/>
      <c r="AB281" s="4317"/>
      <c r="AC281" s="4295"/>
      <c r="AD281" s="4317"/>
      <c r="AE281" s="4317"/>
      <c r="AF281" s="4319"/>
      <c r="AG281" s="4319"/>
      <c r="AH281" s="4317"/>
      <c r="AI281" s="4317"/>
      <c r="AJ281" s="4317"/>
      <c r="AK281" s="4317"/>
      <c r="AL281" s="4317"/>
      <c r="AM281" s="4317"/>
      <c r="AN281" s="4317"/>
      <c r="AO281" s="4317"/>
      <c r="AP281" s="4317"/>
      <c r="AQ281" s="4317"/>
      <c r="AR281" s="4317"/>
      <c r="AS281" s="4317"/>
      <c r="AT281" s="4317"/>
      <c r="AU281" s="4317"/>
      <c r="AV281" s="4317"/>
      <c r="AW281" s="4317"/>
      <c r="AX281" s="4317"/>
      <c r="AY281" s="4317"/>
      <c r="AZ281" s="4317"/>
      <c r="BA281" s="4317"/>
      <c r="BB281" s="4317"/>
      <c r="BC281" s="4317"/>
      <c r="BD281" s="4317"/>
      <c r="BE281" s="4317"/>
      <c r="BF281" s="4317"/>
      <c r="BG281" s="4317"/>
      <c r="BH281" s="4317"/>
      <c r="BI281" s="4317"/>
      <c r="BJ281" s="4317"/>
      <c r="BK281" s="4317"/>
      <c r="BL281" s="4317"/>
      <c r="BM281" s="4317"/>
      <c r="BN281" s="4317"/>
      <c r="BO281" s="4317"/>
      <c r="BP281" s="4317"/>
      <c r="BQ281" s="4317"/>
      <c r="BR281" s="4317"/>
      <c r="BS281" s="4317"/>
      <c r="BT281" s="4317"/>
      <c r="BU281" s="4317"/>
      <c r="BV281" s="4317"/>
      <c r="BW281" s="4317"/>
      <c r="BX281" s="4317"/>
      <c r="BY281" s="4317"/>
      <c r="BZ281" s="4317"/>
      <c r="CA281" s="4317"/>
      <c r="CB281" s="4317"/>
      <c r="CC281" s="4317"/>
      <c r="CD281" s="4317"/>
      <c r="CE281" s="4317"/>
      <c r="CF281" s="4317"/>
      <c r="CG281" s="4317"/>
      <c r="CH281" s="4317"/>
      <c r="CI281" s="4317"/>
      <c r="CJ281" s="4317"/>
      <c r="CK281" s="4317"/>
      <c r="CL281" s="4317"/>
      <c r="CM281" s="4317"/>
      <c r="CN281" s="4317"/>
      <c r="CO281" s="4317"/>
      <c r="CP281" s="4317"/>
      <c r="CQ281" s="4317"/>
      <c r="CR281" s="4317"/>
      <c r="CS281" s="4317"/>
      <c r="CT281" s="4317"/>
      <c r="CU281" s="4317"/>
      <c r="CV281" s="4317"/>
      <c r="CW281" s="4317"/>
      <c r="CX281" s="4317"/>
      <c r="CY281" s="4317"/>
      <c r="CZ281" s="4317"/>
      <c r="DA281" s="4317"/>
      <c r="DB281" s="4317"/>
      <c r="DC281" s="4317"/>
      <c r="DD281" s="4317"/>
      <c r="DE281" s="4317"/>
      <c r="DF281" s="4317"/>
      <c r="DG281" s="4317"/>
      <c r="DH281" s="4317"/>
      <c r="DI281" s="4317"/>
      <c r="DJ281" s="4317"/>
      <c r="DK281" s="4317"/>
      <c r="DL281" s="4317"/>
      <c r="DM281" s="4317"/>
      <c r="DN281" s="4317"/>
      <c r="DO281" s="4317"/>
      <c r="DP281" s="4317"/>
      <c r="DQ281" s="4317"/>
      <c r="DR281" s="4317"/>
      <c r="DS281" s="4317"/>
    </row>
    <row r="282" s="4134" customFormat="1" ht="19.5" customHeight="1" spans="1:123">
      <c r="A282" s="4298" t="s">
        <v>4943</v>
      </c>
      <c r="B282" s="4299"/>
      <c r="C282" s="4299"/>
      <c r="D282" s="4299"/>
      <c r="E282" s="4299"/>
      <c r="F282" s="4300"/>
      <c r="G282" s="4300"/>
      <c r="H282" s="4300"/>
      <c r="I282" s="4300"/>
      <c r="J282" s="4300"/>
      <c r="K282" s="4300"/>
      <c r="L282" s="4300"/>
      <c r="M282" s="4317"/>
      <c r="N282" s="4317"/>
      <c r="O282" s="4348" t="s">
        <v>4944</v>
      </c>
      <c r="P282" s="4317"/>
      <c r="Q282" s="4295"/>
      <c r="R282" s="4317"/>
      <c r="S282" s="4317"/>
      <c r="T282" s="4317"/>
      <c r="U282" s="4317"/>
      <c r="V282" s="4317"/>
      <c r="W282" s="4317"/>
      <c r="X282" s="4317"/>
      <c r="Y282" s="4317"/>
      <c r="Z282" s="4317"/>
      <c r="AA282" s="4317"/>
      <c r="AB282" s="4317"/>
      <c r="AC282" s="4295"/>
      <c r="AD282" s="4317"/>
      <c r="AE282" s="4317"/>
      <c r="AF282" s="4319"/>
      <c r="AG282" s="4319"/>
      <c r="AH282" s="4317"/>
      <c r="AI282" s="4317"/>
      <c r="AJ282" s="4317"/>
      <c r="AK282" s="4317"/>
      <c r="AL282" s="4317"/>
      <c r="AM282" s="4317"/>
      <c r="AN282" s="4317"/>
      <c r="AO282" s="4317"/>
      <c r="AP282" s="4317"/>
      <c r="AQ282" s="4317"/>
      <c r="AR282" s="4317"/>
      <c r="AS282" s="4317"/>
      <c r="AT282" s="4317"/>
      <c r="AU282" s="4317"/>
      <c r="AV282" s="4317"/>
      <c r="AW282" s="4317"/>
      <c r="AX282" s="4317"/>
      <c r="AY282" s="4317"/>
      <c r="AZ282" s="4317"/>
      <c r="BA282" s="4317"/>
      <c r="BB282" s="4317"/>
      <c r="BC282" s="4317"/>
      <c r="BD282" s="4317"/>
      <c r="BE282" s="4317"/>
      <c r="BF282" s="4317"/>
      <c r="BG282" s="4317"/>
      <c r="BH282" s="4317"/>
      <c r="BI282" s="4317"/>
      <c r="BJ282" s="4317"/>
      <c r="BK282" s="4317"/>
      <c r="BL282" s="4317"/>
      <c r="BM282" s="4317"/>
      <c r="BN282" s="4317"/>
      <c r="BO282" s="4317"/>
      <c r="BP282" s="4317"/>
      <c r="BQ282" s="4317"/>
      <c r="BR282" s="4317"/>
      <c r="BS282" s="4317"/>
      <c r="BT282" s="4317"/>
      <c r="BU282" s="4317"/>
      <c r="BV282" s="4317"/>
      <c r="BW282" s="4317"/>
      <c r="BX282" s="4317"/>
      <c r="BY282" s="4317"/>
      <c r="BZ282" s="4317"/>
      <c r="CA282" s="4317"/>
      <c r="CB282" s="4317"/>
      <c r="CC282" s="4317"/>
      <c r="CD282" s="4317"/>
      <c r="CE282" s="4317"/>
      <c r="CF282" s="4317"/>
      <c r="CG282" s="4317"/>
      <c r="CH282" s="4317"/>
      <c r="CI282" s="4317"/>
      <c r="CJ282" s="4317"/>
      <c r="CK282" s="4317"/>
      <c r="CL282" s="4317"/>
      <c r="CM282" s="4317"/>
      <c r="CN282" s="4317"/>
      <c r="CO282" s="4317"/>
      <c r="CP282" s="4317"/>
      <c r="CQ282" s="4317"/>
      <c r="CR282" s="4317"/>
      <c r="CS282" s="4317"/>
      <c r="CT282" s="4317"/>
      <c r="CU282" s="4317"/>
      <c r="CV282" s="4317"/>
      <c r="CW282" s="4317"/>
      <c r="CX282" s="4317"/>
      <c r="CY282" s="4317"/>
      <c r="CZ282" s="4317"/>
      <c r="DA282" s="4317"/>
      <c r="DB282" s="4317"/>
      <c r="DC282" s="4317"/>
      <c r="DD282" s="4317"/>
      <c r="DE282" s="4317"/>
      <c r="DF282" s="4317"/>
      <c r="DG282" s="4317"/>
      <c r="DH282" s="4317"/>
      <c r="DI282" s="4317"/>
      <c r="DJ282" s="4317"/>
      <c r="DK282" s="4317"/>
      <c r="DL282" s="4317"/>
      <c r="DM282" s="4317"/>
      <c r="DN282" s="4317"/>
      <c r="DO282" s="4317"/>
      <c r="DP282" s="4317"/>
      <c r="DQ282" s="4317"/>
      <c r="DR282" s="4317"/>
      <c r="DS282" s="4317"/>
    </row>
    <row r="283" s="4134" customFormat="1" ht="19.5" customHeight="1" spans="1:123">
      <c r="A283" s="4298" t="s">
        <v>4945</v>
      </c>
      <c r="B283" s="4299"/>
      <c r="C283" s="4299"/>
      <c r="D283" s="4299"/>
      <c r="E283" s="4299"/>
      <c r="F283" s="4300"/>
      <c r="G283" s="4300"/>
      <c r="H283" s="4300"/>
      <c r="I283" s="4300"/>
      <c r="J283" s="4300"/>
      <c r="K283" s="4300"/>
      <c r="L283" s="4300"/>
      <c r="M283" s="4317"/>
      <c r="N283" s="4317"/>
      <c r="O283" s="4317" t="s">
        <v>4946</v>
      </c>
      <c r="P283" s="4317"/>
      <c r="Q283" s="4295"/>
      <c r="R283" s="4317"/>
      <c r="S283" s="4317"/>
      <c r="T283" s="4317"/>
      <c r="U283" s="4317"/>
      <c r="V283" s="4317"/>
      <c r="W283" s="4317"/>
      <c r="X283" s="4317"/>
      <c r="Y283" s="4317"/>
      <c r="Z283" s="4317"/>
      <c r="AA283" s="4317"/>
      <c r="AB283" s="4317"/>
      <c r="AC283" s="4295"/>
      <c r="AD283" s="4317"/>
      <c r="AE283" s="4317"/>
      <c r="AF283" s="4319"/>
      <c r="AG283" s="4319"/>
      <c r="AH283" s="4317"/>
      <c r="AI283" s="4317"/>
      <c r="AJ283" s="4317"/>
      <c r="AK283" s="4317"/>
      <c r="AL283" s="4317"/>
      <c r="AM283" s="4317"/>
      <c r="AN283" s="4317"/>
      <c r="AO283" s="4317"/>
      <c r="AP283" s="4317"/>
      <c r="AQ283" s="4317"/>
      <c r="AR283" s="4317"/>
      <c r="AS283" s="4317"/>
      <c r="AT283" s="4317"/>
      <c r="AU283" s="4317"/>
      <c r="AV283" s="4317"/>
      <c r="AW283" s="4317"/>
      <c r="AX283" s="4317"/>
      <c r="AY283" s="4317"/>
      <c r="AZ283" s="4317"/>
      <c r="BA283" s="4317"/>
      <c r="BB283" s="4317"/>
      <c r="BC283" s="4317"/>
      <c r="BD283" s="4317"/>
      <c r="BE283" s="4317"/>
      <c r="BF283" s="4317"/>
      <c r="BG283" s="4317"/>
      <c r="BH283" s="4317"/>
      <c r="BI283" s="4317"/>
      <c r="BJ283" s="4317"/>
      <c r="BK283" s="4317"/>
      <c r="BL283" s="4317"/>
      <c r="BM283" s="4317"/>
      <c r="BN283" s="4317"/>
      <c r="BO283" s="4317"/>
      <c r="BP283" s="4317"/>
      <c r="BQ283" s="4317"/>
      <c r="BR283" s="4317"/>
      <c r="BS283" s="4317"/>
      <c r="BT283" s="4317"/>
      <c r="BU283" s="4317"/>
      <c r="BV283" s="4317"/>
      <c r="BW283" s="4317"/>
      <c r="BX283" s="4317"/>
      <c r="BY283" s="4317"/>
      <c r="BZ283" s="4317"/>
      <c r="CA283" s="4317"/>
      <c r="CB283" s="4317"/>
      <c r="CC283" s="4317"/>
      <c r="CD283" s="4317"/>
      <c r="CE283" s="4317"/>
      <c r="CF283" s="4317"/>
      <c r="CG283" s="4317"/>
      <c r="CH283" s="4317"/>
      <c r="CI283" s="4317"/>
      <c r="CJ283" s="4317"/>
      <c r="CK283" s="4317"/>
      <c r="CL283" s="4317"/>
      <c r="CM283" s="4317"/>
      <c r="CN283" s="4317"/>
      <c r="CO283" s="4317"/>
      <c r="CP283" s="4317"/>
      <c r="CQ283" s="4317"/>
      <c r="CR283" s="4317"/>
      <c r="CS283" s="4317"/>
      <c r="CT283" s="4317"/>
      <c r="CU283" s="4317"/>
      <c r="CV283" s="4317"/>
      <c r="CW283" s="4317"/>
      <c r="CX283" s="4317"/>
      <c r="CY283" s="4317"/>
      <c r="CZ283" s="4317"/>
      <c r="DA283" s="4317"/>
      <c r="DB283" s="4317"/>
      <c r="DC283" s="4317"/>
      <c r="DD283" s="4317"/>
      <c r="DE283" s="4317"/>
      <c r="DF283" s="4317"/>
      <c r="DG283" s="4317"/>
      <c r="DH283" s="4317"/>
      <c r="DI283" s="4317"/>
      <c r="DJ283" s="4317"/>
      <c r="DK283" s="4317"/>
      <c r="DL283" s="4317"/>
      <c r="DM283" s="4317"/>
      <c r="DN283" s="4317"/>
      <c r="DO283" s="4317"/>
      <c r="DP283" s="4317"/>
      <c r="DQ283" s="4317"/>
      <c r="DR283" s="4317"/>
      <c r="DS283" s="4317"/>
    </row>
    <row r="284" s="4134" customFormat="1" ht="19.5" customHeight="1" spans="1:123">
      <c r="A284" s="4298" t="s">
        <v>4947</v>
      </c>
      <c r="B284" s="4299"/>
      <c r="C284" s="4299"/>
      <c r="D284" s="4299"/>
      <c r="E284" s="4299"/>
      <c r="F284" s="4300"/>
      <c r="G284" s="4300"/>
      <c r="H284" s="4300"/>
      <c r="I284" s="4300"/>
      <c r="J284" s="4300"/>
      <c r="K284" s="4300"/>
      <c r="L284" s="4300"/>
      <c r="M284" s="4317"/>
      <c r="N284" s="4317"/>
      <c r="O284" s="4317" t="s">
        <v>4948</v>
      </c>
      <c r="P284" s="4317"/>
      <c r="Q284" s="4295"/>
      <c r="R284" s="4317"/>
      <c r="S284" s="4317"/>
      <c r="T284" s="4317"/>
      <c r="U284" s="4317"/>
      <c r="V284" s="4317"/>
      <c r="W284" s="4317"/>
      <c r="X284" s="4317"/>
      <c r="Y284" s="4317"/>
      <c r="Z284" s="4317"/>
      <c r="AA284" s="4317"/>
      <c r="AB284" s="4317"/>
      <c r="AC284" s="4295"/>
      <c r="AD284" s="4317"/>
      <c r="AE284" s="4317"/>
      <c r="AF284" s="4319"/>
      <c r="AG284" s="4319"/>
      <c r="AH284" s="4317"/>
      <c r="AI284" s="4317"/>
      <c r="AJ284" s="4317"/>
      <c r="AK284" s="4317"/>
      <c r="AL284" s="4317"/>
      <c r="AM284" s="4317"/>
      <c r="AN284" s="4317"/>
      <c r="AO284" s="4317"/>
      <c r="AP284" s="4317"/>
      <c r="AQ284" s="4317"/>
      <c r="AR284" s="4317"/>
      <c r="AS284" s="4317"/>
      <c r="AT284" s="4317"/>
      <c r="AU284" s="4317"/>
      <c r="AV284" s="4317"/>
      <c r="AW284" s="4317"/>
      <c r="AX284" s="4317"/>
      <c r="AY284" s="4317"/>
      <c r="AZ284" s="4317"/>
      <c r="BA284" s="4317"/>
      <c r="BB284" s="4317"/>
      <c r="BC284" s="4317"/>
      <c r="BD284" s="4317"/>
      <c r="BE284" s="4317"/>
      <c r="BF284" s="4317"/>
      <c r="BG284" s="4317"/>
      <c r="BH284" s="4317"/>
      <c r="BI284" s="4317"/>
      <c r="BJ284" s="4317"/>
      <c r="BK284" s="4317"/>
      <c r="BL284" s="4317"/>
      <c r="BM284" s="4317"/>
      <c r="BN284" s="4317"/>
      <c r="BO284" s="4317"/>
      <c r="BP284" s="4317"/>
      <c r="BQ284" s="4317"/>
      <c r="BR284" s="4317"/>
      <c r="BS284" s="4317"/>
      <c r="BT284" s="4317"/>
      <c r="BU284" s="4317"/>
      <c r="BV284" s="4317"/>
      <c r="BW284" s="4317"/>
      <c r="BX284" s="4317"/>
      <c r="BY284" s="4317"/>
      <c r="BZ284" s="4317"/>
      <c r="CA284" s="4317"/>
      <c r="CB284" s="4317"/>
      <c r="CC284" s="4317"/>
      <c r="CD284" s="4317"/>
      <c r="CE284" s="4317"/>
      <c r="CF284" s="4317"/>
      <c r="CG284" s="4317"/>
      <c r="CH284" s="4317"/>
      <c r="CI284" s="4317"/>
      <c r="CJ284" s="4317"/>
      <c r="CK284" s="4317"/>
      <c r="CL284" s="4317"/>
      <c r="CM284" s="4317"/>
      <c r="CN284" s="4317"/>
      <c r="CO284" s="4317"/>
      <c r="CP284" s="4317"/>
      <c r="CQ284" s="4317"/>
      <c r="CR284" s="4317"/>
      <c r="CS284" s="4317"/>
      <c r="CT284" s="4317"/>
      <c r="CU284" s="4317"/>
      <c r="CV284" s="4317"/>
      <c r="CW284" s="4317"/>
      <c r="CX284" s="4317"/>
      <c r="CY284" s="4317"/>
      <c r="CZ284" s="4317"/>
      <c r="DA284" s="4317"/>
      <c r="DB284" s="4317"/>
      <c r="DC284" s="4317"/>
      <c r="DD284" s="4317"/>
      <c r="DE284" s="4317"/>
      <c r="DF284" s="4317"/>
      <c r="DG284" s="4317"/>
      <c r="DH284" s="4317"/>
      <c r="DI284" s="4317"/>
      <c r="DJ284" s="4317"/>
      <c r="DK284" s="4317"/>
      <c r="DL284" s="4317"/>
      <c r="DM284" s="4317"/>
      <c r="DN284" s="4317"/>
      <c r="DO284" s="4317"/>
      <c r="DP284" s="4317"/>
      <c r="DQ284" s="4317"/>
      <c r="DR284" s="4317"/>
      <c r="DS284" s="4317"/>
    </row>
    <row r="285" s="4134" customFormat="1" ht="19.5" customHeight="1" spans="1:123">
      <c r="A285" s="4298" t="s">
        <v>4949</v>
      </c>
      <c r="B285" s="4299"/>
      <c r="C285" s="4299"/>
      <c r="D285" s="4299"/>
      <c r="E285" s="4299"/>
      <c r="F285" s="4300"/>
      <c r="G285" s="4300"/>
      <c r="H285" s="4300"/>
      <c r="I285" s="4300"/>
      <c r="J285" s="4300"/>
      <c r="K285" s="4300"/>
      <c r="L285" s="4300"/>
      <c r="M285" s="4317"/>
      <c r="N285" s="4317"/>
      <c r="O285" s="4317" t="s">
        <v>4950</v>
      </c>
      <c r="P285" s="4317"/>
      <c r="Q285" s="4295"/>
      <c r="R285" s="4317"/>
      <c r="S285" s="4317"/>
      <c r="T285" s="4317"/>
      <c r="U285" s="4317"/>
      <c r="V285" s="4317"/>
      <c r="W285" s="4317"/>
      <c r="X285" s="4317"/>
      <c r="Y285" s="4317"/>
      <c r="Z285" s="4317"/>
      <c r="AA285" s="4317"/>
      <c r="AB285" s="4317"/>
      <c r="AC285" s="4295"/>
      <c r="AD285" s="4317"/>
      <c r="AE285" s="4317"/>
      <c r="AF285" s="4319"/>
      <c r="AG285" s="4319"/>
      <c r="AH285" s="4317"/>
      <c r="AI285" s="4317"/>
      <c r="AJ285" s="4317"/>
      <c r="AK285" s="4317"/>
      <c r="AL285" s="4317"/>
      <c r="AM285" s="4317"/>
      <c r="AN285" s="4317"/>
      <c r="AO285" s="4317"/>
      <c r="AP285" s="4317"/>
      <c r="AQ285" s="4317"/>
      <c r="AR285" s="4317"/>
      <c r="AS285" s="4317"/>
      <c r="AT285" s="4317"/>
      <c r="AU285" s="4317"/>
      <c r="AV285" s="4317"/>
      <c r="AW285" s="4317"/>
      <c r="AX285" s="4317"/>
      <c r="AY285" s="4317"/>
      <c r="AZ285" s="4317"/>
      <c r="BA285" s="4317"/>
      <c r="BB285" s="4317"/>
      <c r="BC285" s="4317"/>
      <c r="BD285" s="4317"/>
      <c r="BE285" s="4317"/>
      <c r="BF285" s="4317"/>
      <c r="BG285" s="4317"/>
      <c r="BH285" s="4317"/>
      <c r="BI285" s="4317"/>
      <c r="BJ285" s="4317"/>
      <c r="BK285" s="4317"/>
      <c r="BL285" s="4317"/>
      <c r="BM285" s="4317"/>
      <c r="BN285" s="4317"/>
      <c r="BO285" s="4317"/>
      <c r="BP285" s="4317"/>
      <c r="BQ285" s="4317"/>
      <c r="BR285" s="4317"/>
      <c r="BS285" s="4317"/>
      <c r="BT285" s="4317"/>
      <c r="BU285" s="4317"/>
      <c r="BV285" s="4317"/>
      <c r="BW285" s="4317"/>
      <c r="BX285" s="4317"/>
      <c r="BY285" s="4317"/>
      <c r="BZ285" s="4317"/>
      <c r="CA285" s="4317"/>
      <c r="CB285" s="4317"/>
      <c r="CC285" s="4317"/>
      <c r="CD285" s="4317"/>
      <c r="CE285" s="4317"/>
      <c r="CF285" s="4317"/>
      <c r="CG285" s="4317"/>
      <c r="CH285" s="4317"/>
      <c r="CI285" s="4317"/>
      <c r="CJ285" s="4317"/>
      <c r="CK285" s="4317"/>
      <c r="CL285" s="4317"/>
      <c r="CM285" s="4317"/>
      <c r="CN285" s="4317"/>
      <c r="CO285" s="4317"/>
      <c r="CP285" s="4317"/>
      <c r="CQ285" s="4317"/>
      <c r="CR285" s="4317"/>
      <c r="CS285" s="4317"/>
      <c r="CT285" s="4317"/>
      <c r="CU285" s="4317"/>
      <c r="CV285" s="4317"/>
      <c r="CW285" s="4317"/>
      <c r="CX285" s="4317"/>
      <c r="CY285" s="4317"/>
      <c r="CZ285" s="4317"/>
      <c r="DA285" s="4317"/>
      <c r="DB285" s="4317"/>
      <c r="DC285" s="4317"/>
      <c r="DD285" s="4317"/>
      <c r="DE285" s="4317"/>
      <c r="DF285" s="4317"/>
      <c r="DG285" s="4317"/>
      <c r="DH285" s="4317"/>
      <c r="DI285" s="4317"/>
      <c r="DJ285" s="4317"/>
      <c r="DK285" s="4317"/>
      <c r="DL285" s="4317"/>
      <c r="DM285" s="4317"/>
      <c r="DN285" s="4317"/>
      <c r="DO285" s="4317"/>
      <c r="DP285" s="4317"/>
      <c r="DQ285" s="4317"/>
      <c r="DR285" s="4317"/>
      <c r="DS285" s="4317"/>
    </row>
    <row r="286" s="4134" customFormat="1" ht="19.5" customHeight="1" spans="1:123">
      <c r="A286" s="4298" t="s">
        <v>4951</v>
      </c>
      <c r="B286" s="4299"/>
      <c r="C286" s="4299"/>
      <c r="D286" s="4299"/>
      <c r="E286" s="4299"/>
      <c r="F286" s="4300"/>
      <c r="G286" s="4300"/>
      <c r="H286" s="4300"/>
      <c r="I286" s="4300"/>
      <c r="J286" s="4300"/>
      <c r="K286" s="4300"/>
      <c r="L286" s="4300"/>
      <c r="M286" s="4317"/>
      <c r="N286" s="4317"/>
      <c r="O286" s="4317" t="s">
        <v>4952</v>
      </c>
      <c r="P286" s="4317"/>
      <c r="Q286" s="4295"/>
      <c r="R286" s="4317"/>
      <c r="S286" s="4317"/>
      <c r="T286" s="4317"/>
      <c r="U286" s="4317"/>
      <c r="V286" s="4317"/>
      <c r="W286" s="4317"/>
      <c r="X286" s="4317"/>
      <c r="Y286" s="4317"/>
      <c r="Z286" s="4317"/>
      <c r="AA286" s="4317"/>
      <c r="AB286" s="4317"/>
      <c r="AC286" s="4295"/>
      <c r="AD286" s="4317"/>
      <c r="AE286" s="4317"/>
      <c r="AF286" s="4319"/>
      <c r="AG286" s="4319"/>
      <c r="AH286" s="4317"/>
      <c r="AI286" s="4317"/>
      <c r="AJ286" s="4317"/>
      <c r="AK286" s="4317"/>
      <c r="AL286" s="4317"/>
      <c r="AM286" s="4317"/>
      <c r="AN286" s="4317"/>
      <c r="AO286" s="4317"/>
      <c r="AP286" s="4317"/>
      <c r="AQ286" s="4317"/>
      <c r="AR286" s="4317"/>
      <c r="AS286" s="4317"/>
      <c r="AT286" s="4317"/>
      <c r="AU286" s="4317"/>
      <c r="AV286" s="4317"/>
      <c r="AW286" s="4317"/>
      <c r="AX286" s="4317"/>
      <c r="AY286" s="4317"/>
      <c r="AZ286" s="4317"/>
      <c r="BA286" s="4317"/>
      <c r="BB286" s="4317"/>
      <c r="BC286" s="4317"/>
      <c r="BD286" s="4317"/>
      <c r="BE286" s="4317"/>
      <c r="BF286" s="4317"/>
      <c r="BG286" s="4317"/>
      <c r="BH286" s="4317"/>
      <c r="BI286" s="4317"/>
      <c r="BJ286" s="4317"/>
      <c r="BK286" s="4317"/>
      <c r="BL286" s="4317"/>
      <c r="BM286" s="4317"/>
      <c r="BN286" s="4317"/>
      <c r="BO286" s="4317"/>
      <c r="BP286" s="4317"/>
      <c r="BQ286" s="4317"/>
      <c r="BR286" s="4317"/>
      <c r="BS286" s="4317"/>
      <c r="BT286" s="4317"/>
      <c r="BU286" s="4317"/>
      <c r="BV286" s="4317"/>
      <c r="BW286" s="4317"/>
      <c r="BX286" s="4317"/>
      <c r="BY286" s="4317"/>
      <c r="BZ286" s="4317"/>
      <c r="CA286" s="4317"/>
      <c r="CB286" s="4317"/>
      <c r="CC286" s="4317"/>
      <c r="CD286" s="4317"/>
      <c r="CE286" s="4317"/>
      <c r="CF286" s="4317"/>
      <c r="CG286" s="4317"/>
      <c r="CH286" s="4317"/>
      <c r="CI286" s="4317"/>
      <c r="CJ286" s="4317"/>
      <c r="CK286" s="4317"/>
      <c r="CL286" s="4317"/>
      <c r="CM286" s="4317"/>
      <c r="CN286" s="4317"/>
      <c r="CO286" s="4317"/>
      <c r="CP286" s="4317"/>
      <c r="CQ286" s="4317"/>
      <c r="CR286" s="4317"/>
      <c r="CS286" s="4317"/>
      <c r="CT286" s="4317"/>
      <c r="CU286" s="4317"/>
      <c r="CV286" s="4317"/>
      <c r="CW286" s="4317"/>
      <c r="CX286" s="4317"/>
      <c r="CY286" s="4317"/>
      <c r="CZ286" s="4317"/>
      <c r="DA286" s="4317"/>
      <c r="DB286" s="4317"/>
      <c r="DC286" s="4317"/>
      <c r="DD286" s="4317"/>
      <c r="DE286" s="4317"/>
      <c r="DF286" s="4317"/>
      <c r="DG286" s="4317"/>
      <c r="DH286" s="4317"/>
      <c r="DI286" s="4317"/>
      <c r="DJ286" s="4317"/>
      <c r="DK286" s="4317"/>
      <c r="DL286" s="4317"/>
      <c r="DM286" s="4317"/>
      <c r="DN286" s="4317"/>
      <c r="DO286" s="4317"/>
      <c r="DP286" s="4317"/>
      <c r="DQ286" s="4317"/>
      <c r="DR286" s="4317"/>
      <c r="DS286" s="4317"/>
    </row>
    <row r="287" s="4134" customFormat="1" ht="19.5" customHeight="1" spans="1:123">
      <c r="A287" s="4298" t="s">
        <v>4953</v>
      </c>
      <c r="B287" s="4299"/>
      <c r="C287" s="4299"/>
      <c r="D287" s="4299"/>
      <c r="E287" s="4299"/>
      <c r="F287" s="4300"/>
      <c r="G287" s="4300"/>
      <c r="H287" s="4300"/>
      <c r="I287" s="4300"/>
      <c r="J287" s="4300"/>
      <c r="K287" s="4300"/>
      <c r="L287" s="4300"/>
      <c r="M287" s="4317"/>
      <c r="N287" s="4317"/>
      <c r="O287" s="4317" t="s">
        <v>4954</v>
      </c>
      <c r="P287" s="4317"/>
      <c r="Q287" s="4295"/>
      <c r="R287" s="4317"/>
      <c r="S287" s="4317"/>
      <c r="T287" s="4317"/>
      <c r="U287" s="4317"/>
      <c r="V287" s="4317"/>
      <c r="W287" s="4317"/>
      <c r="X287" s="4317"/>
      <c r="Y287" s="4317"/>
      <c r="Z287" s="4317"/>
      <c r="AA287" s="4317"/>
      <c r="AB287" s="4317"/>
      <c r="AC287" s="4295"/>
      <c r="AD287" s="4317"/>
      <c r="AE287" s="4317"/>
      <c r="AF287" s="4319"/>
      <c r="AG287" s="4319"/>
      <c r="AH287" s="4317"/>
      <c r="AI287" s="4317"/>
      <c r="AJ287" s="4317"/>
      <c r="AK287" s="4317"/>
      <c r="AL287" s="4317"/>
      <c r="AM287" s="4317"/>
      <c r="AN287" s="4317"/>
      <c r="AO287" s="4317"/>
      <c r="AP287" s="4317"/>
      <c r="AQ287" s="4317"/>
      <c r="AR287" s="4317"/>
      <c r="AS287" s="4317"/>
      <c r="AT287" s="4317"/>
      <c r="AU287" s="4317"/>
      <c r="AV287" s="4317"/>
      <c r="AW287" s="4317"/>
      <c r="AX287" s="4317"/>
      <c r="AY287" s="4317"/>
      <c r="AZ287" s="4317"/>
      <c r="BA287" s="4317"/>
      <c r="BB287" s="4317"/>
      <c r="BC287" s="4317"/>
      <c r="BD287" s="4317"/>
      <c r="BE287" s="4317"/>
      <c r="BF287" s="4317"/>
      <c r="BG287" s="4317"/>
      <c r="BH287" s="4317"/>
      <c r="BI287" s="4317"/>
      <c r="BJ287" s="4317"/>
      <c r="BK287" s="4317"/>
      <c r="BL287" s="4317"/>
      <c r="BM287" s="4317"/>
      <c r="BN287" s="4317"/>
      <c r="BO287" s="4317"/>
      <c r="BP287" s="4317"/>
      <c r="BQ287" s="4317"/>
      <c r="BR287" s="4317"/>
      <c r="BS287" s="4317"/>
      <c r="BT287" s="4317"/>
      <c r="BU287" s="4317"/>
      <c r="BV287" s="4317"/>
      <c r="BW287" s="4317"/>
      <c r="BX287" s="4317"/>
      <c r="BY287" s="4317"/>
      <c r="BZ287" s="4317"/>
      <c r="CA287" s="4317"/>
      <c r="CB287" s="4317"/>
      <c r="CC287" s="4317"/>
      <c r="CD287" s="4317"/>
      <c r="CE287" s="4317"/>
      <c r="CF287" s="4317"/>
      <c r="CG287" s="4317"/>
      <c r="CH287" s="4317"/>
      <c r="CI287" s="4317"/>
      <c r="CJ287" s="4317"/>
      <c r="CK287" s="4317"/>
      <c r="CL287" s="4317"/>
      <c r="CM287" s="4317"/>
      <c r="CN287" s="4317"/>
      <c r="CO287" s="4317"/>
      <c r="CP287" s="4317"/>
      <c r="CQ287" s="4317"/>
      <c r="CR287" s="4317"/>
      <c r="CS287" s="4317"/>
      <c r="CT287" s="4317"/>
      <c r="CU287" s="4317"/>
      <c r="CV287" s="4317"/>
      <c r="CW287" s="4317"/>
      <c r="CX287" s="4317"/>
      <c r="CY287" s="4317"/>
      <c r="CZ287" s="4317"/>
      <c r="DA287" s="4317"/>
      <c r="DB287" s="4317"/>
      <c r="DC287" s="4317"/>
      <c r="DD287" s="4317"/>
      <c r="DE287" s="4317"/>
      <c r="DF287" s="4317"/>
      <c r="DG287" s="4317"/>
      <c r="DH287" s="4317"/>
      <c r="DI287" s="4317"/>
      <c r="DJ287" s="4317"/>
      <c r="DK287" s="4317"/>
      <c r="DL287" s="4317"/>
      <c r="DM287" s="4317"/>
      <c r="DN287" s="4317"/>
      <c r="DO287" s="4317"/>
      <c r="DP287" s="4317"/>
      <c r="DQ287" s="4317"/>
      <c r="DR287" s="4317"/>
      <c r="DS287" s="4317"/>
    </row>
    <row r="288" s="4134" customFormat="1" ht="19.5" customHeight="1" spans="1:123">
      <c r="A288" s="4304" t="s">
        <v>3539</v>
      </c>
      <c r="B288" s="4324"/>
      <c r="C288" s="4324"/>
      <c r="D288" s="4324"/>
      <c r="E288" s="4324"/>
      <c r="F288" s="4306">
        <f>SUM(F281:L287)</f>
        <v>0</v>
      </c>
      <c r="G288" s="4306"/>
      <c r="H288" s="4306"/>
      <c r="I288" s="4306"/>
      <c r="J288" s="4306"/>
      <c r="K288" s="4306"/>
      <c r="L288" s="4306"/>
      <c r="M288" s="4317"/>
      <c r="N288" s="4317"/>
      <c r="O288" s="4342" t="s">
        <v>4955</v>
      </c>
      <c r="P288" s="4317"/>
      <c r="Q288" s="4295"/>
      <c r="R288" s="4317"/>
      <c r="S288" s="4317"/>
      <c r="T288" s="4317"/>
      <c r="U288" s="4317"/>
      <c r="V288" s="4317"/>
      <c r="W288" s="4317"/>
      <c r="X288" s="4317"/>
      <c r="Y288" s="4317"/>
      <c r="Z288" s="4317"/>
      <c r="AA288" s="4317"/>
      <c r="AB288" s="4317"/>
      <c r="AC288" s="4295"/>
      <c r="AD288" s="4317"/>
      <c r="AE288" s="4317"/>
      <c r="AF288" s="4317"/>
      <c r="AG288" s="4317"/>
      <c r="AH288" s="4317"/>
      <c r="AI288" s="4317"/>
      <c r="AJ288" s="4317"/>
      <c r="AK288" s="4317"/>
      <c r="AL288" s="4317"/>
      <c r="AM288" s="4317"/>
      <c r="AN288" s="4317"/>
      <c r="AO288" s="4317"/>
      <c r="AP288" s="4317"/>
      <c r="AQ288" s="4317"/>
      <c r="AR288" s="4317"/>
      <c r="AS288" s="4317"/>
      <c r="AT288" s="4317"/>
      <c r="AU288" s="4317"/>
      <c r="AV288" s="4317"/>
      <c r="AW288" s="4317"/>
      <c r="AX288" s="4317"/>
      <c r="AY288" s="4317"/>
      <c r="AZ288" s="4317"/>
      <c r="BA288" s="4317"/>
      <c r="BB288" s="4317"/>
      <c r="BC288" s="4317"/>
      <c r="BD288" s="4317"/>
      <c r="BE288" s="4317"/>
      <c r="BF288" s="4317"/>
      <c r="BG288" s="4317"/>
      <c r="BH288" s="4317"/>
      <c r="BI288" s="4317"/>
      <c r="BJ288" s="4317"/>
      <c r="BK288" s="4317"/>
      <c r="BL288" s="4317"/>
      <c r="BM288" s="4317"/>
      <c r="BN288" s="4317"/>
      <c r="BO288" s="4317"/>
      <c r="BP288" s="4317"/>
      <c r="BQ288" s="4317"/>
      <c r="BR288" s="4317"/>
      <c r="BS288" s="4317"/>
      <c r="BT288" s="4317"/>
      <c r="BU288" s="4317"/>
      <c r="BV288" s="4317"/>
      <c r="BW288" s="4317"/>
      <c r="BX288" s="4317"/>
      <c r="BY288" s="4317"/>
      <c r="BZ288" s="4317"/>
      <c r="CA288" s="4317"/>
      <c r="CB288" s="4317"/>
      <c r="CC288" s="4317"/>
      <c r="CD288" s="4317"/>
      <c r="CE288" s="4317"/>
      <c r="CF288" s="4317"/>
      <c r="CG288" s="4317"/>
      <c r="CH288" s="4317"/>
      <c r="CI288" s="4317"/>
      <c r="CJ288" s="4317"/>
      <c r="CK288" s="4317"/>
      <c r="CL288" s="4317"/>
      <c r="CM288" s="4317"/>
      <c r="CN288" s="4317"/>
      <c r="CO288" s="4317"/>
      <c r="CP288" s="4317"/>
      <c r="CQ288" s="4317"/>
      <c r="CR288" s="4317"/>
      <c r="CS288" s="4317"/>
      <c r="CT288" s="4317"/>
      <c r="CU288" s="4317"/>
      <c r="CV288" s="4317"/>
      <c r="CW288" s="4317"/>
      <c r="CX288" s="4317"/>
      <c r="CY288" s="4317"/>
      <c r="CZ288" s="4317"/>
      <c r="DA288" s="4317"/>
      <c r="DB288" s="4317"/>
      <c r="DC288" s="4317"/>
      <c r="DD288" s="4317"/>
      <c r="DE288" s="4317"/>
      <c r="DF288" s="4317"/>
      <c r="DG288" s="4317"/>
      <c r="DH288" s="4317"/>
      <c r="DI288" s="4317"/>
      <c r="DJ288" s="4317"/>
      <c r="DK288" s="4317"/>
      <c r="DL288" s="4317"/>
      <c r="DM288" s="4317"/>
      <c r="DN288" s="4317"/>
      <c r="DO288" s="4317"/>
      <c r="DP288" s="4317"/>
      <c r="DQ288" s="4317"/>
      <c r="DR288" s="4317"/>
      <c r="DS288" s="4317"/>
    </row>
    <row r="289" s="4134" customFormat="1" ht="19.5" customHeight="1" spans="1:123">
      <c r="A289" s="4304" t="s">
        <v>3540</v>
      </c>
      <c r="B289" s="4324"/>
      <c r="C289" s="4324"/>
      <c r="D289" s="4324"/>
      <c r="E289" s="4324"/>
      <c r="F289" s="4300"/>
      <c r="G289" s="4300"/>
      <c r="H289" s="4300"/>
      <c r="I289" s="4300"/>
      <c r="J289" s="4300"/>
      <c r="K289" s="4300"/>
      <c r="L289" s="4300"/>
      <c r="M289" s="4317"/>
      <c r="N289" s="4317"/>
      <c r="O289" s="4340" t="s">
        <v>4956</v>
      </c>
      <c r="P289" s="4317"/>
      <c r="Q289" s="4295"/>
      <c r="R289" s="4317"/>
      <c r="S289" s="4317"/>
      <c r="T289" s="4317"/>
      <c r="U289" s="4317"/>
      <c r="V289" s="4317"/>
      <c r="W289" s="4317"/>
      <c r="X289" s="4317"/>
      <c r="Y289" s="4317"/>
      <c r="Z289" s="4317"/>
      <c r="AA289" s="4317"/>
      <c r="AB289" s="4317"/>
      <c r="AC289" s="4295"/>
      <c r="AD289" s="4317"/>
      <c r="AE289" s="4317"/>
      <c r="AF289" s="4317"/>
      <c r="AG289" s="4317"/>
      <c r="AH289" s="4317"/>
      <c r="AI289" s="4317"/>
      <c r="AJ289" s="4317"/>
      <c r="AK289" s="4317"/>
      <c r="AL289" s="4317"/>
      <c r="AM289" s="4317"/>
      <c r="AN289" s="4317"/>
      <c r="AO289" s="4317"/>
      <c r="AP289" s="4317"/>
      <c r="AQ289" s="4317"/>
      <c r="AR289" s="4317"/>
      <c r="AS289" s="4317"/>
      <c r="AT289" s="4317"/>
      <c r="AU289" s="4317"/>
      <c r="AV289" s="4317"/>
      <c r="AW289" s="4317"/>
      <c r="AX289" s="4317"/>
      <c r="AY289" s="4317"/>
      <c r="AZ289" s="4317"/>
      <c r="BA289" s="4317"/>
      <c r="BB289" s="4317"/>
      <c r="BC289" s="4317"/>
      <c r="BD289" s="4317"/>
      <c r="BE289" s="4317"/>
      <c r="BF289" s="4317"/>
      <c r="BG289" s="4317"/>
      <c r="BH289" s="4317"/>
      <c r="BI289" s="4317"/>
      <c r="BJ289" s="4317"/>
      <c r="BK289" s="4317"/>
      <c r="BL289" s="4317"/>
      <c r="BM289" s="4317"/>
      <c r="BN289" s="4317"/>
      <c r="BO289" s="4317"/>
      <c r="BP289" s="4317"/>
      <c r="BQ289" s="4317"/>
      <c r="BR289" s="4317"/>
      <c r="BS289" s="4317"/>
      <c r="BT289" s="4317"/>
      <c r="BU289" s="4317"/>
      <c r="BV289" s="4317"/>
      <c r="BW289" s="4317"/>
      <c r="BX289" s="4317"/>
      <c r="BY289" s="4317"/>
      <c r="BZ289" s="4317"/>
      <c r="CA289" s="4317"/>
      <c r="CB289" s="4317"/>
      <c r="CC289" s="4317"/>
      <c r="CD289" s="4317"/>
      <c r="CE289" s="4317"/>
      <c r="CF289" s="4317"/>
      <c r="CG289" s="4317"/>
      <c r="CH289" s="4317"/>
      <c r="CI289" s="4317"/>
      <c r="CJ289" s="4317"/>
      <c r="CK289" s="4317"/>
      <c r="CL289" s="4317"/>
      <c r="CM289" s="4317"/>
      <c r="CN289" s="4317"/>
      <c r="CO289" s="4317"/>
      <c r="CP289" s="4317"/>
      <c r="CQ289" s="4317"/>
      <c r="CR289" s="4317"/>
      <c r="CS289" s="4317"/>
      <c r="CT289" s="4317"/>
      <c r="CU289" s="4317"/>
      <c r="CV289" s="4317"/>
      <c r="CW289" s="4317"/>
      <c r="CX289" s="4317"/>
      <c r="CY289" s="4317"/>
      <c r="CZ289" s="4317"/>
      <c r="DA289" s="4317"/>
      <c r="DB289" s="4317"/>
      <c r="DC289" s="4317"/>
      <c r="DD289" s="4317"/>
      <c r="DE289" s="4317"/>
      <c r="DF289" s="4317"/>
      <c r="DG289" s="4317"/>
      <c r="DH289" s="4317"/>
      <c r="DI289" s="4317"/>
      <c r="DJ289" s="4317"/>
      <c r="DK289" s="4317"/>
      <c r="DL289" s="4317"/>
      <c r="DM289" s="4317"/>
      <c r="DN289" s="4317"/>
      <c r="DO289" s="4317"/>
      <c r="DP289" s="4317"/>
      <c r="DQ289" s="4317"/>
      <c r="DR289" s="4317"/>
      <c r="DS289" s="4317"/>
    </row>
    <row r="290" s="4134" customFormat="1" ht="19.5" customHeight="1" spans="1:123">
      <c r="A290" s="4304" t="s">
        <v>3541</v>
      </c>
      <c r="B290" s="4324"/>
      <c r="C290" s="4324"/>
      <c r="D290" s="4324"/>
      <c r="E290" s="4324"/>
      <c r="F290" s="4300"/>
      <c r="G290" s="4300"/>
      <c r="H290" s="4300"/>
      <c r="I290" s="4300"/>
      <c r="J290" s="4300"/>
      <c r="K290" s="4300"/>
      <c r="L290" s="4300"/>
      <c r="M290" s="4317"/>
      <c r="N290" s="4317"/>
      <c r="O290" s="4340" t="s">
        <v>4957</v>
      </c>
      <c r="P290" s="4317"/>
      <c r="Q290" s="4295"/>
      <c r="R290" s="4317"/>
      <c r="S290" s="4317"/>
      <c r="T290" s="4317"/>
      <c r="U290" s="4317"/>
      <c r="V290" s="4317"/>
      <c r="W290" s="4317"/>
      <c r="X290" s="4317"/>
      <c r="Y290" s="4317"/>
      <c r="Z290" s="4317"/>
      <c r="AA290" s="4317"/>
      <c r="AB290" s="4317"/>
      <c r="AC290" s="4295"/>
      <c r="AD290" s="4317"/>
      <c r="AE290" s="4317"/>
      <c r="AF290" s="4317"/>
      <c r="AG290" s="4317"/>
      <c r="AH290" s="4317"/>
      <c r="AI290" s="4317"/>
      <c r="AJ290" s="4317"/>
      <c r="AK290" s="4317"/>
      <c r="AL290" s="4317"/>
      <c r="AM290" s="4317"/>
      <c r="AN290" s="4317"/>
      <c r="AO290" s="4317"/>
      <c r="AP290" s="4317"/>
      <c r="AQ290" s="4317"/>
      <c r="AR290" s="4317"/>
      <c r="AS290" s="4317"/>
      <c r="AT290" s="4317"/>
      <c r="AU290" s="4317"/>
      <c r="AV290" s="4317"/>
      <c r="AW290" s="4317"/>
      <c r="AX290" s="4317"/>
      <c r="AY290" s="4317"/>
      <c r="AZ290" s="4317"/>
      <c r="BA290" s="4317"/>
      <c r="BB290" s="4317"/>
      <c r="BC290" s="4317"/>
      <c r="BD290" s="4317"/>
      <c r="BE290" s="4317"/>
      <c r="BF290" s="4317"/>
      <c r="BG290" s="4317"/>
      <c r="BH290" s="4317"/>
      <c r="BI290" s="4317"/>
      <c r="BJ290" s="4317"/>
      <c r="BK290" s="4317"/>
      <c r="BL290" s="4317"/>
      <c r="BM290" s="4317"/>
      <c r="BN290" s="4317"/>
      <c r="BO290" s="4317"/>
      <c r="BP290" s="4317"/>
      <c r="BQ290" s="4317"/>
      <c r="BR290" s="4317"/>
      <c r="BS290" s="4317"/>
      <c r="BT290" s="4317"/>
      <c r="BU290" s="4317"/>
      <c r="BV290" s="4317"/>
      <c r="BW290" s="4317"/>
      <c r="BX290" s="4317"/>
      <c r="BY290" s="4317"/>
      <c r="BZ290" s="4317"/>
      <c r="CA290" s="4317"/>
      <c r="CB290" s="4317"/>
      <c r="CC290" s="4317"/>
      <c r="CD290" s="4317"/>
      <c r="CE290" s="4317"/>
      <c r="CF290" s="4317"/>
      <c r="CG290" s="4317"/>
      <c r="CH290" s="4317"/>
      <c r="CI290" s="4317"/>
      <c r="CJ290" s="4317"/>
      <c r="CK290" s="4317"/>
      <c r="CL290" s="4317"/>
      <c r="CM290" s="4317"/>
      <c r="CN290" s="4317"/>
      <c r="CO290" s="4317"/>
      <c r="CP290" s="4317"/>
      <c r="CQ290" s="4317"/>
      <c r="CR290" s="4317"/>
      <c r="CS290" s="4317"/>
      <c r="CT290" s="4317"/>
      <c r="CU290" s="4317"/>
      <c r="CV290" s="4317"/>
      <c r="CW290" s="4317"/>
      <c r="CX290" s="4317"/>
      <c r="CY290" s="4317"/>
      <c r="CZ290" s="4317"/>
      <c r="DA290" s="4317"/>
      <c r="DB290" s="4317"/>
      <c r="DC290" s="4317"/>
      <c r="DD290" s="4317"/>
      <c r="DE290" s="4317"/>
      <c r="DF290" s="4317"/>
      <c r="DG290" s="4317"/>
      <c r="DH290" s="4317"/>
      <c r="DI290" s="4317"/>
      <c r="DJ290" s="4317"/>
      <c r="DK290" s="4317"/>
      <c r="DL290" s="4317"/>
      <c r="DM290" s="4317"/>
      <c r="DN290" s="4317"/>
      <c r="DO290" s="4317"/>
      <c r="DP290" s="4317"/>
      <c r="DQ290" s="4317"/>
      <c r="DR290" s="4317"/>
      <c r="DS290" s="4317"/>
    </row>
    <row r="291" s="4134" customFormat="1" ht="19.5" customHeight="1" spans="1:123">
      <c r="A291" s="4304" t="s">
        <v>3542</v>
      </c>
      <c r="B291" s="4324"/>
      <c r="C291" s="4324"/>
      <c r="D291" s="4324"/>
      <c r="E291" s="4324"/>
      <c r="F291" s="4300"/>
      <c r="G291" s="4300"/>
      <c r="H291" s="4300"/>
      <c r="I291" s="4300"/>
      <c r="J291" s="4300"/>
      <c r="K291" s="4300"/>
      <c r="L291" s="4300"/>
      <c r="M291" s="4317"/>
      <c r="N291" s="4317"/>
      <c r="O291" s="4340" t="s">
        <v>4958</v>
      </c>
      <c r="P291" s="4317"/>
      <c r="Q291" s="4295"/>
      <c r="R291" s="4317"/>
      <c r="S291" s="4317"/>
      <c r="T291" s="4317"/>
      <c r="U291" s="4317"/>
      <c r="V291" s="4317"/>
      <c r="W291" s="4317"/>
      <c r="X291" s="4317"/>
      <c r="Y291" s="4317"/>
      <c r="Z291" s="4317"/>
      <c r="AA291" s="4317"/>
      <c r="AB291" s="4317"/>
      <c r="AC291" s="4295"/>
      <c r="AD291" s="4317"/>
      <c r="AE291" s="4317"/>
      <c r="AF291" s="4317"/>
      <c r="AG291" s="4317"/>
      <c r="AH291" s="4317"/>
      <c r="AI291" s="4317"/>
      <c r="AJ291" s="4317"/>
      <c r="AK291" s="4317"/>
      <c r="AL291" s="4317"/>
      <c r="AM291" s="4317"/>
      <c r="AN291" s="4317"/>
      <c r="AO291" s="4317"/>
      <c r="AP291" s="4317"/>
      <c r="AQ291" s="4317"/>
      <c r="AR291" s="4317"/>
      <c r="AS291" s="4317"/>
      <c r="AT291" s="4317"/>
      <c r="AU291" s="4317"/>
      <c r="AV291" s="4317"/>
      <c r="AW291" s="4317"/>
      <c r="AX291" s="4317"/>
      <c r="AY291" s="4317"/>
      <c r="AZ291" s="4317"/>
      <c r="BA291" s="4317"/>
      <c r="BB291" s="4317"/>
      <c r="BC291" s="4317"/>
      <c r="BD291" s="4317"/>
      <c r="BE291" s="4317"/>
      <c r="BF291" s="4317"/>
      <c r="BG291" s="4317"/>
      <c r="BH291" s="4317"/>
      <c r="BI291" s="4317"/>
      <c r="BJ291" s="4317"/>
      <c r="BK291" s="4317"/>
      <c r="BL291" s="4317"/>
      <c r="BM291" s="4317"/>
      <c r="BN291" s="4317"/>
      <c r="BO291" s="4317"/>
      <c r="BP291" s="4317"/>
      <c r="BQ291" s="4317"/>
      <c r="BR291" s="4317"/>
      <c r="BS291" s="4317"/>
      <c r="BT291" s="4317"/>
      <c r="BU291" s="4317"/>
      <c r="BV291" s="4317"/>
      <c r="BW291" s="4317"/>
      <c r="BX291" s="4317"/>
      <c r="BY291" s="4317"/>
      <c r="BZ291" s="4317"/>
      <c r="CA291" s="4317"/>
      <c r="CB291" s="4317"/>
      <c r="CC291" s="4317"/>
      <c r="CD291" s="4317"/>
      <c r="CE291" s="4317"/>
      <c r="CF291" s="4317"/>
      <c r="CG291" s="4317"/>
      <c r="CH291" s="4317"/>
      <c r="CI291" s="4317"/>
      <c r="CJ291" s="4317"/>
      <c r="CK291" s="4317"/>
      <c r="CL291" s="4317"/>
      <c r="CM291" s="4317"/>
      <c r="CN291" s="4317"/>
      <c r="CO291" s="4317"/>
      <c r="CP291" s="4317"/>
      <c r="CQ291" s="4317"/>
      <c r="CR291" s="4317"/>
      <c r="CS291" s="4317"/>
      <c r="CT291" s="4317"/>
      <c r="CU291" s="4317"/>
      <c r="CV291" s="4317"/>
      <c r="CW291" s="4317"/>
      <c r="CX291" s="4317"/>
      <c r="CY291" s="4317"/>
      <c r="CZ291" s="4317"/>
      <c r="DA291" s="4317"/>
      <c r="DB291" s="4317"/>
      <c r="DC291" s="4317"/>
      <c r="DD291" s="4317"/>
      <c r="DE291" s="4317"/>
      <c r="DF291" s="4317"/>
      <c r="DG291" s="4317"/>
      <c r="DH291" s="4317"/>
      <c r="DI291" s="4317"/>
      <c r="DJ291" s="4317"/>
      <c r="DK291" s="4317"/>
      <c r="DL291" s="4317"/>
      <c r="DM291" s="4317"/>
      <c r="DN291" s="4317"/>
      <c r="DO291" s="4317"/>
      <c r="DP291" s="4317"/>
      <c r="DQ291" s="4317"/>
      <c r="DR291" s="4317"/>
      <c r="DS291" s="4317"/>
    </row>
    <row r="292" s="4134" customFormat="1" ht="19.5" customHeight="1" spans="1:123">
      <c r="A292" s="4304" t="s">
        <v>3543</v>
      </c>
      <c r="B292" s="4324"/>
      <c r="C292" s="4324"/>
      <c r="D292" s="4324"/>
      <c r="E292" s="4324"/>
      <c r="F292" s="4300"/>
      <c r="G292" s="4300"/>
      <c r="H292" s="4300"/>
      <c r="I292" s="4300"/>
      <c r="J292" s="4300"/>
      <c r="K292" s="4300"/>
      <c r="L292" s="4300"/>
      <c r="M292" s="4317"/>
      <c r="N292" s="4317"/>
      <c r="O292" s="4340" t="s">
        <v>4959</v>
      </c>
      <c r="P292" s="4317"/>
      <c r="Q292" s="4295"/>
      <c r="R292" s="4317"/>
      <c r="S292" s="4317"/>
      <c r="T292" s="4317"/>
      <c r="U292" s="4317"/>
      <c r="V292" s="4317"/>
      <c r="W292" s="4317"/>
      <c r="X292" s="4317"/>
      <c r="Y292" s="4317"/>
      <c r="Z292" s="4317"/>
      <c r="AA292" s="4317"/>
      <c r="AB292" s="4317"/>
      <c r="AC292" s="4295"/>
      <c r="AD292" s="4317"/>
      <c r="AE292" s="4317"/>
      <c r="AF292" s="4317"/>
      <c r="AG292" s="4317"/>
      <c r="AH292" s="4317"/>
      <c r="AI292" s="4317"/>
      <c r="AJ292" s="4317"/>
      <c r="AK292" s="4317"/>
      <c r="AL292" s="4317"/>
      <c r="AM292" s="4317"/>
      <c r="AN292" s="4317"/>
      <c r="AO292" s="4317"/>
      <c r="AP292" s="4317"/>
      <c r="AQ292" s="4317"/>
      <c r="AR292" s="4317"/>
      <c r="AS292" s="4317"/>
      <c r="AT292" s="4317"/>
      <c r="AU292" s="4317"/>
      <c r="AV292" s="4317"/>
      <c r="AW292" s="4317"/>
      <c r="AX292" s="4317"/>
      <c r="AY292" s="4317"/>
      <c r="AZ292" s="4317"/>
      <c r="BA292" s="4317"/>
      <c r="BB292" s="4317"/>
      <c r="BC292" s="4317"/>
      <c r="BD292" s="4317"/>
      <c r="BE292" s="4317"/>
      <c r="BF292" s="4317"/>
      <c r="BG292" s="4317"/>
      <c r="BH292" s="4317"/>
      <c r="BI292" s="4317"/>
      <c r="BJ292" s="4317"/>
      <c r="BK292" s="4317"/>
      <c r="BL292" s="4317"/>
      <c r="BM292" s="4317"/>
      <c r="BN292" s="4317"/>
      <c r="BO292" s="4317"/>
      <c r="BP292" s="4317"/>
      <c r="BQ292" s="4317"/>
      <c r="BR292" s="4317"/>
      <c r="BS292" s="4317"/>
      <c r="BT292" s="4317"/>
      <c r="BU292" s="4317"/>
      <c r="BV292" s="4317"/>
      <c r="BW292" s="4317"/>
      <c r="BX292" s="4317"/>
      <c r="BY292" s="4317"/>
      <c r="BZ292" s="4317"/>
      <c r="CA292" s="4317"/>
      <c r="CB292" s="4317"/>
      <c r="CC292" s="4317"/>
      <c r="CD292" s="4317"/>
      <c r="CE292" s="4317"/>
      <c r="CF292" s="4317"/>
      <c r="CG292" s="4317"/>
      <c r="CH292" s="4317"/>
      <c r="CI292" s="4317"/>
      <c r="CJ292" s="4317"/>
      <c r="CK292" s="4317"/>
      <c r="CL292" s="4317"/>
      <c r="CM292" s="4317"/>
      <c r="CN292" s="4317"/>
      <c r="CO292" s="4317"/>
      <c r="CP292" s="4317"/>
      <c r="CQ292" s="4317"/>
      <c r="CR292" s="4317"/>
      <c r="CS292" s="4317"/>
      <c r="CT292" s="4317"/>
      <c r="CU292" s="4317"/>
      <c r="CV292" s="4317"/>
      <c r="CW292" s="4317"/>
      <c r="CX292" s="4317"/>
      <c r="CY292" s="4317"/>
      <c r="CZ292" s="4317"/>
      <c r="DA292" s="4317"/>
      <c r="DB292" s="4317"/>
      <c r="DC292" s="4317"/>
      <c r="DD292" s="4317"/>
      <c r="DE292" s="4317"/>
      <c r="DF292" s="4317"/>
      <c r="DG292" s="4317"/>
      <c r="DH292" s="4317"/>
      <c r="DI292" s="4317"/>
      <c r="DJ292" s="4317"/>
      <c r="DK292" s="4317"/>
      <c r="DL292" s="4317"/>
      <c r="DM292" s="4317"/>
      <c r="DN292" s="4317"/>
      <c r="DO292" s="4317"/>
      <c r="DP292" s="4317"/>
      <c r="DQ292" s="4317"/>
      <c r="DR292" s="4317"/>
      <c r="DS292" s="4317"/>
    </row>
    <row r="293" s="4134" customFormat="1" ht="19.5" customHeight="1" spans="1:123">
      <c r="A293" s="4304" t="s">
        <v>3545</v>
      </c>
      <c r="B293" s="4324"/>
      <c r="C293" s="4324"/>
      <c r="D293" s="4324"/>
      <c r="E293" s="4324"/>
      <c r="F293" s="4300"/>
      <c r="G293" s="4300"/>
      <c r="H293" s="4300"/>
      <c r="I293" s="4300"/>
      <c r="J293" s="4300"/>
      <c r="K293" s="4300"/>
      <c r="L293" s="4300"/>
      <c r="M293" s="4317"/>
      <c r="N293" s="4317"/>
      <c r="O293" s="4340" t="s">
        <v>4960</v>
      </c>
      <c r="P293" s="4317"/>
      <c r="Q293" s="4295"/>
      <c r="R293" s="4317"/>
      <c r="S293" s="4317"/>
      <c r="T293" s="4317"/>
      <c r="U293" s="4317"/>
      <c r="V293" s="4317"/>
      <c r="W293" s="4317"/>
      <c r="X293" s="4317"/>
      <c r="Y293" s="4317"/>
      <c r="Z293" s="4317"/>
      <c r="AA293" s="4317"/>
      <c r="AB293" s="4317"/>
      <c r="AC293" s="4295"/>
      <c r="AD293" s="4317"/>
      <c r="AE293" s="4317"/>
      <c r="AF293" s="4317"/>
      <c r="AG293" s="4317"/>
      <c r="AH293" s="4317"/>
      <c r="AI293" s="4317"/>
      <c r="AJ293" s="4317"/>
      <c r="AK293" s="4317"/>
      <c r="AL293" s="4317"/>
      <c r="AM293" s="4317"/>
      <c r="AN293" s="4317"/>
      <c r="AO293" s="4317"/>
      <c r="AP293" s="4317"/>
      <c r="AQ293" s="4317"/>
      <c r="AR293" s="4317"/>
      <c r="AS293" s="4317"/>
      <c r="AT293" s="4317"/>
      <c r="AU293" s="4317"/>
      <c r="AV293" s="4317"/>
      <c r="AW293" s="4317"/>
      <c r="AX293" s="4317"/>
      <c r="AY293" s="4317"/>
      <c r="AZ293" s="4317"/>
      <c r="BA293" s="4317"/>
      <c r="BB293" s="4317"/>
      <c r="BC293" s="4317"/>
      <c r="BD293" s="4317"/>
      <c r="BE293" s="4317"/>
      <c r="BF293" s="4317"/>
      <c r="BG293" s="4317"/>
      <c r="BH293" s="4317"/>
      <c r="BI293" s="4317"/>
      <c r="BJ293" s="4317"/>
      <c r="BK293" s="4317"/>
      <c r="BL293" s="4317"/>
      <c r="BM293" s="4317"/>
      <c r="BN293" s="4317"/>
      <c r="BO293" s="4317"/>
      <c r="BP293" s="4317"/>
      <c r="BQ293" s="4317"/>
      <c r="BR293" s="4317"/>
      <c r="BS293" s="4317"/>
      <c r="BT293" s="4317"/>
      <c r="BU293" s="4317"/>
      <c r="BV293" s="4317"/>
      <c r="BW293" s="4317"/>
      <c r="BX293" s="4317"/>
      <c r="BY293" s="4317"/>
      <c r="BZ293" s="4317"/>
      <c r="CA293" s="4317"/>
      <c r="CB293" s="4317"/>
      <c r="CC293" s="4317"/>
      <c r="CD293" s="4317"/>
      <c r="CE293" s="4317"/>
      <c r="CF293" s="4317"/>
      <c r="CG293" s="4317"/>
      <c r="CH293" s="4317"/>
      <c r="CI293" s="4317"/>
      <c r="CJ293" s="4317"/>
      <c r="CK293" s="4317"/>
      <c r="CL293" s="4317"/>
      <c r="CM293" s="4317"/>
      <c r="CN293" s="4317"/>
      <c r="CO293" s="4317"/>
      <c r="CP293" s="4317"/>
      <c r="CQ293" s="4317"/>
      <c r="CR293" s="4317"/>
      <c r="CS293" s="4317"/>
      <c r="CT293" s="4317"/>
      <c r="CU293" s="4317"/>
      <c r="CV293" s="4317"/>
      <c r="CW293" s="4317"/>
      <c r="CX293" s="4317"/>
      <c r="CY293" s="4317"/>
      <c r="CZ293" s="4317"/>
      <c r="DA293" s="4317"/>
      <c r="DB293" s="4317"/>
      <c r="DC293" s="4317"/>
      <c r="DD293" s="4317"/>
      <c r="DE293" s="4317"/>
      <c r="DF293" s="4317"/>
      <c r="DG293" s="4317"/>
      <c r="DH293" s="4317"/>
      <c r="DI293" s="4317"/>
      <c r="DJ293" s="4317"/>
      <c r="DK293" s="4317"/>
      <c r="DL293" s="4317"/>
      <c r="DM293" s="4317"/>
      <c r="DN293" s="4317"/>
      <c r="DO293" s="4317"/>
      <c r="DP293" s="4317"/>
      <c r="DQ293" s="4317"/>
      <c r="DR293" s="4317"/>
      <c r="DS293" s="4317"/>
    </row>
    <row r="294" s="4134" customFormat="1" ht="19.5" customHeight="1" spans="1:123">
      <c r="A294" s="4304" t="s">
        <v>3547</v>
      </c>
      <c r="B294" s="4324"/>
      <c r="C294" s="4324"/>
      <c r="D294" s="4324"/>
      <c r="E294" s="4324"/>
      <c r="F294" s="4300"/>
      <c r="G294" s="4300"/>
      <c r="H294" s="4300"/>
      <c r="I294" s="4300"/>
      <c r="J294" s="4300"/>
      <c r="K294" s="4300"/>
      <c r="L294" s="4300"/>
      <c r="M294" s="4317"/>
      <c r="N294" s="4317"/>
      <c r="O294" s="4340" t="s">
        <v>4961</v>
      </c>
      <c r="P294" s="4317"/>
      <c r="Q294" s="4295"/>
      <c r="R294" s="4317"/>
      <c r="S294" s="4317"/>
      <c r="T294" s="4317"/>
      <c r="U294" s="4317"/>
      <c r="V294" s="4317"/>
      <c r="W294" s="4317"/>
      <c r="X294" s="4317"/>
      <c r="Y294" s="4317"/>
      <c r="Z294" s="4317"/>
      <c r="AA294" s="4317"/>
      <c r="AB294" s="4317"/>
      <c r="AC294" s="4295"/>
      <c r="AD294" s="4317"/>
      <c r="AE294" s="4317"/>
      <c r="AF294" s="4317"/>
      <c r="AG294" s="4317"/>
      <c r="AH294" s="4317"/>
      <c r="AI294" s="4317"/>
      <c r="AJ294" s="4317"/>
      <c r="AK294" s="4317"/>
      <c r="AL294" s="4317"/>
      <c r="AM294" s="4317"/>
      <c r="AN294" s="4317"/>
      <c r="AO294" s="4317"/>
      <c r="AP294" s="4317"/>
      <c r="AQ294" s="4317"/>
      <c r="AR294" s="4317"/>
      <c r="AS294" s="4317"/>
      <c r="AT294" s="4317"/>
      <c r="AU294" s="4317"/>
      <c r="AV294" s="4317"/>
      <c r="AW294" s="4317"/>
      <c r="AX294" s="4317"/>
      <c r="AY294" s="4317"/>
      <c r="AZ294" s="4317"/>
      <c r="BA294" s="4317"/>
      <c r="BB294" s="4317"/>
      <c r="BC294" s="4317"/>
      <c r="BD294" s="4317"/>
      <c r="BE294" s="4317"/>
      <c r="BF294" s="4317"/>
      <c r="BG294" s="4317"/>
      <c r="BH294" s="4317"/>
      <c r="BI294" s="4317"/>
      <c r="BJ294" s="4317"/>
      <c r="BK294" s="4317"/>
      <c r="BL294" s="4317"/>
      <c r="BM294" s="4317"/>
      <c r="BN294" s="4317"/>
      <c r="BO294" s="4317"/>
      <c r="BP294" s="4317"/>
      <c r="BQ294" s="4317"/>
      <c r="BR294" s="4317"/>
      <c r="BS294" s="4317"/>
      <c r="BT294" s="4317"/>
      <c r="BU294" s="4317"/>
      <c r="BV294" s="4317"/>
      <c r="BW294" s="4317"/>
      <c r="BX294" s="4317"/>
      <c r="BY294" s="4317"/>
      <c r="BZ294" s="4317"/>
      <c r="CA294" s="4317"/>
      <c r="CB294" s="4317"/>
      <c r="CC294" s="4317"/>
      <c r="CD294" s="4317"/>
      <c r="CE294" s="4317"/>
      <c r="CF294" s="4317"/>
      <c r="CG294" s="4317"/>
      <c r="CH294" s="4317"/>
      <c r="CI294" s="4317"/>
      <c r="CJ294" s="4317"/>
      <c r="CK294" s="4317"/>
      <c r="CL294" s="4317"/>
      <c r="CM294" s="4317"/>
      <c r="CN294" s="4317"/>
      <c r="CO294" s="4317"/>
      <c r="CP294" s="4317"/>
      <c r="CQ294" s="4317"/>
      <c r="CR294" s="4317"/>
      <c r="CS294" s="4317"/>
      <c r="CT294" s="4317"/>
      <c r="CU294" s="4317"/>
      <c r="CV294" s="4317"/>
      <c r="CW294" s="4317"/>
      <c r="CX294" s="4317"/>
      <c r="CY294" s="4317"/>
      <c r="CZ294" s="4317"/>
      <c r="DA294" s="4317"/>
      <c r="DB294" s="4317"/>
      <c r="DC294" s="4317"/>
      <c r="DD294" s="4317"/>
      <c r="DE294" s="4317"/>
      <c r="DF294" s="4317"/>
      <c r="DG294" s="4317"/>
      <c r="DH294" s="4317"/>
      <c r="DI294" s="4317"/>
      <c r="DJ294" s="4317"/>
      <c r="DK294" s="4317"/>
      <c r="DL294" s="4317"/>
      <c r="DM294" s="4317"/>
      <c r="DN294" s="4317"/>
      <c r="DO294" s="4317"/>
      <c r="DP294" s="4317"/>
      <c r="DQ294" s="4317"/>
      <c r="DR294" s="4317"/>
      <c r="DS294" s="4317"/>
    </row>
    <row r="295" s="4134" customFormat="1" ht="19.5" customHeight="1" spans="1:123">
      <c r="A295" s="4304" t="s">
        <v>3548</v>
      </c>
      <c r="B295" s="4324"/>
      <c r="C295" s="4324"/>
      <c r="D295" s="4324"/>
      <c r="E295" s="4324"/>
      <c r="F295" s="4300"/>
      <c r="G295" s="4300"/>
      <c r="H295" s="4300"/>
      <c r="I295" s="4300"/>
      <c r="J295" s="4300"/>
      <c r="K295" s="4300"/>
      <c r="L295" s="4300"/>
      <c r="M295" s="4317"/>
      <c r="N295" s="4317"/>
      <c r="O295" s="4340" t="s">
        <v>4962</v>
      </c>
      <c r="P295" s="4317"/>
      <c r="Q295" s="4295"/>
      <c r="R295" s="4317"/>
      <c r="S295" s="4317"/>
      <c r="T295" s="4317"/>
      <c r="U295" s="4317"/>
      <c r="V295" s="4317"/>
      <c r="W295" s="4317"/>
      <c r="X295" s="4317"/>
      <c r="Y295" s="4317"/>
      <c r="Z295" s="4317"/>
      <c r="AA295" s="4317"/>
      <c r="AB295" s="4317"/>
      <c r="AC295" s="4295"/>
      <c r="AD295" s="4317"/>
      <c r="AE295" s="4317"/>
      <c r="AF295" s="4318"/>
      <c r="AG295" s="4318"/>
      <c r="AH295" s="4317"/>
      <c r="AI295" s="4317"/>
      <c r="AJ295" s="4317"/>
      <c r="AK295" s="4317"/>
      <c r="AL295" s="4317"/>
      <c r="AM295" s="4317"/>
      <c r="AN295" s="4317"/>
      <c r="AO295" s="4317"/>
      <c r="AP295" s="4317"/>
      <c r="AQ295" s="4317"/>
      <c r="AR295" s="4317"/>
      <c r="AS295" s="4317"/>
      <c r="AT295" s="4317"/>
      <c r="AU295" s="4317"/>
      <c r="AV295" s="4317"/>
      <c r="AW295" s="4317"/>
      <c r="AX295" s="4317"/>
      <c r="AY295" s="4317"/>
      <c r="AZ295" s="4317"/>
      <c r="BA295" s="4317"/>
      <c r="BB295" s="4317"/>
      <c r="BC295" s="4317"/>
      <c r="BD295" s="4317"/>
      <c r="BE295" s="4317"/>
      <c r="BF295" s="4317"/>
      <c r="BG295" s="4317"/>
      <c r="BH295" s="4317"/>
      <c r="BI295" s="4317"/>
      <c r="BJ295" s="4317"/>
      <c r="BK295" s="4317"/>
      <c r="BL295" s="4317"/>
      <c r="BM295" s="4317"/>
      <c r="BN295" s="4317"/>
      <c r="BO295" s="4317"/>
      <c r="BP295" s="4317"/>
      <c r="BQ295" s="4317"/>
      <c r="BR295" s="4317"/>
      <c r="BS295" s="4317"/>
      <c r="BT295" s="4317"/>
      <c r="BU295" s="4317"/>
      <c r="BV295" s="4317"/>
      <c r="BW295" s="4317"/>
      <c r="BX295" s="4317"/>
      <c r="BY295" s="4317"/>
      <c r="BZ295" s="4317"/>
      <c r="CA295" s="4317"/>
      <c r="CB295" s="4317"/>
      <c r="CC295" s="4317"/>
      <c r="CD295" s="4317"/>
      <c r="CE295" s="4317"/>
      <c r="CF295" s="4317"/>
      <c r="CG295" s="4317"/>
      <c r="CH295" s="4317"/>
      <c r="CI295" s="4317"/>
      <c r="CJ295" s="4317"/>
      <c r="CK295" s="4317"/>
      <c r="CL295" s="4317"/>
      <c r="CM295" s="4317"/>
      <c r="CN295" s="4317"/>
      <c r="CO295" s="4317"/>
      <c r="CP295" s="4317"/>
      <c r="CQ295" s="4317"/>
      <c r="CR295" s="4317"/>
      <c r="CS295" s="4317"/>
      <c r="CT295" s="4317"/>
      <c r="CU295" s="4317"/>
      <c r="CV295" s="4317"/>
      <c r="CW295" s="4317"/>
      <c r="CX295" s="4317"/>
      <c r="CY295" s="4317"/>
      <c r="CZ295" s="4317"/>
      <c r="DA295" s="4317"/>
      <c r="DB295" s="4317"/>
      <c r="DC295" s="4317"/>
      <c r="DD295" s="4317"/>
      <c r="DE295" s="4317"/>
      <c r="DF295" s="4317"/>
      <c r="DG295" s="4317"/>
      <c r="DH295" s="4317"/>
      <c r="DI295" s="4317"/>
      <c r="DJ295" s="4317"/>
      <c r="DK295" s="4317"/>
      <c r="DL295" s="4317"/>
      <c r="DM295" s="4317"/>
      <c r="DN295" s="4317"/>
      <c r="DO295" s="4317"/>
      <c r="DP295" s="4317"/>
      <c r="DQ295" s="4317"/>
      <c r="DR295" s="4317"/>
      <c r="DS295" s="4317"/>
    </row>
    <row r="296" s="4134" customFormat="1" ht="19.5" customHeight="1" spans="1:123">
      <c r="A296" s="4312" t="s">
        <v>4963</v>
      </c>
      <c r="B296" s="4313"/>
      <c r="C296" s="4313"/>
      <c r="D296" s="4313"/>
      <c r="E296" s="4313"/>
      <c r="F296" s="4352">
        <f>SUM(F289:L295)+F272+F280+F288</f>
        <v>4549</v>
      </c>
      <c r="G296" s="4352"/>
      <c r="H296" s="4352"/>
      <c r="I296" s="4352"/>
      <c r="J296" s="4352"/>
      <c r="K296" s="4352"/>
      <c r="L296" s="4352"/>
      <c r="M296" s="4317"/>
      <c r="N296" s="4317"/>
      <c r="O296" s="4342" t="s">
        <v>4964</v>
      </c>
      <c r="P296" s="4317"/>
      <c r="Q296" s="4295"/>
      <c r="R296" s="4317"/>
      <c r="S296" s="4317"/>
      <c r="T296" s="4317"/>
      <c r="U296" s="4317"/>
      <c r="V296" s="4317"/>
      <c r="W296" s="4317"/>
      <c r="X296" s="4317"/>
      <c r="Y296" s="4317"/>
      <c r="Z296" s="4317"/>
      <c r="AA296" s="4317"/>
      <c r="AB296" s="4317"/>
      <c r="AC296" s="4295"/>
      <c r="AD296" s="4317"/>
      <c r="AE296" s="4317"/>
      <c r="AF296" s="4319"/>
      <c r="AG296" s="4319"/>
      <c r="AH296" s="4317"/>
      <c r="AI296" s="4317"/>
      <c r="AJ296" s="4317"/>
      <c r="AK296" s="4317"/>
      <c r="AL296" s="4317"/>
      <c r="AM296" s="4317"/>
      <c r="AN296" s="4317"/>
      <c r="AO296" s="4317"/>
      <c r="AP296" s="4317"/>
      <c r="AQ296" s="4317"/>
      <c r="AR296" s="4317"/>
      <c r="AS296" s="4317"/>
      <c r="AT296" s="4317"/>
      <c r="AU296" s="4317"/>
      <c r="AV296" s="4317"/>
      <c r="AW296" s="4317"/>
      <c r="AX296" s="4317"/>
      <c r="AY296" s="4317"/>
      <c r="AZ296" s="4317"/>
      <c r="BA296" s="4317"/>
      <c r="BB296" s="4317"/>
      <c r="BC296" s="4317"/>
      <c r="BD296" s="4317"/>
      <c r="BE296" s="4317"/>
      <c r="BF296" s="4317"/>
      <c r="BG296" s="4317"/>
      <c r="BH296" s="4317"/>
      <c r="BI296" s="4317"/>
      <c r="BJ296" s="4317"/>
      <c r="BK296" s="4317"/>
      <c r="BL296" s="4317"/>
      <c r="BM296" s="4317"/>
      <c r="BN296" s="4317"/>
      <c r="BO296" s="4317"/>
      <c r="BP296" s="4317"/>
      <c r="BQ296" s="4317"/>
      <c r="BR296" s="4317"/>
      <c r="BS296" s="4317"/>
      <c r="BT296" s="4317"/>
      <c r="BU296" s="4317"/>
      <c r="BV296" s="4317"/>
      <c r="BW296" s="4317"/>
      <c r="BX296" s="4317"/>
      <c r="BY296" s="4317"/>
      <c r="BZ296" s="4317"/>
      <c r="CA296" s="4317"/>
      <c r="CB296" s="4317"/>
      <c r="CC296" s="4317"/>
      <c r="CD296" s="4317"/>
      <c r="CE296" s="4317"/>
      <c r="CF296" s="4317"/>
      <c r="CG296" s="4317"/>
      <c r="CH296" s="4317"/>
      <c r="CI296" s="4317"/>
      <c r="CJ296" s="4317"/>
      <c r="CK296" s="4317"/>
      <c r="CL296" s="4317"/>
      <c r="CM296" s="4317"/>
      <c r="CN296" s="4317"/>
      <c r="CO296" s="4317"/>
      <c r="CP296" s="4317"/>
      <c r="CQ296" s="4317"/>
      <c r="CR296" s="4317"/>
      <c r="CS296" s="4317"/>
      <c r="CT296" s="4317"/>
      <c r="CU296" s="4317"/>
      <c r="CV296" s="4317"/>
      <c r="CW296" s="4317"/>
      <c r="CX296" s="4317"/>
      <c r="CY296" s="4317"/>
      <c r="CZ296" s="4317"/>
      <c r="DA296" s="4317"/>
      <c r="DB296" s="4317"/>
      <c r="DC296" s="4317"/>
      <c r="DD296" s="4317"/>
      <c r="DE296" s="4317"/>
      <c r="DF296" s="4317"/>
      <c r="DG296" s="4317"/>
      <c r="DH296" s="4317"/>
      <c r="DI296" s="4317"/>
      <c r="DJ296" s="4317"/>
      <c r="DK296" s="4317"/>
      <c r="DL296" s="4317"/>
      <c r="DM296" s="4317"/>
      <c r="DN296" s="4317"/>
      <c r="DO296" s="4317"/>
      <c r="DP296" s="4317"/>
      <c r="DQ296" s="4317"/>
      <c r="DR296" s="4317"/>
      <c r="DS296" s="4317"/>
    </row>
    <row r="297" s="4134" customFormat="1" ht="19.5" customHeight="1" spans="1:123">
      <c r="A297" s="4304" t="s">
        <v>3549</v>
      </c>
      <c r="B297" s="4324"/>
      <c r="C297" s="4324"/>
      <c r="D297" s="4324"/>
      <c r="E297" s="4324"/>
      <c r="F297" s="4300">
        <v>7255</v>
      </c>
      <c r="G297" s="4300"/>
      <c r="H297" s="4300"/>
      <c r="I297" s="4300"/>
      <c r="J297" s="4300"/>
      <c r="K297" s="4300"/>
      <c r="L297" s="4300"/>
      <c r="M297" s="4317"/>
      <c r="N297" s="4317"/>
      <c r="O297" s="4340" t="s">
        <v>4908</v>
      </c>
      <c r="P297" s="4317"/>
      <c r="Q297" s="4295"/>
      <c r="R297" s="4317"/>
      <c r="S297" s="4317"/>
      <c r="T297" s="4317"/>
      <c r="U297" s="4317"/>
      <c r="V297" s="4317"/>
      <c r="W297" s="4317"/>
      <c r="X297" s="4317"/>
      <c r="Y297" s="4317"/>
      <c r="Z297" s="4317"/>
      <c r="AA297" s="4317"/>
      <c r="AB297" s="4317"/>
      <c r="AC297" s="4295"/>
      <c r="AD297" s="4317"/>
      <c r="AE297" s="4317"/>
      <c r="AF297" s="4319"/>
      <c r="AG297" s="4319"/>
      <c r="AH297" s="4317"/>
      <c r="AI297" s="4317"/>
      <c r="AJ297" s="4317"/>
      <c r="AK297" s="4317"/>
      <c r="AL297" s="4317"/>
      <c r="AM297" s="4317"/>
      <c r="AN297" s="4317"/>
      <c r="AO297" s="4317"/>
      <c r="AP297" s="4317"/>
      <c r="AQ297" s="4317"/>
      <c r="AR297" s="4317"/>
      <c r="AS297" s="4317"/>
      <c r="AT297" s="4317"/>
      <c r="AU297" s="4317"/>
      <c r="AV297" s="4317"/>
      <c r="AW297" s="4317"/>
      <c r="AX297" s="4317"/>
      <c r="AY297" s="4317"/>
      <c r="AZ297" s="4317"/>
      <c r="BA297" s="4317"/>
      <c r="BB297" s="4317"/>
      <c r="BC297" s="4317"/>
      <c r="BD297" s="4317"/>
      <c r="BE297" s="4317"/>
      <c r="BF297" s="4317"/>
      <c r="BG297" s="4317"/>
      <c r="BH297" s="4317"/>
      <c r="BI297" s="4317"/>
      <c r="BJ297" s="4317"/>
      <c r="BK297" s="4317"/>
      <c r="BL297" s="4317"/>
      <c r="BM297" s="4317"/>
      <c r="BN297" s="4317"/>
      <c r="BO297" s="4317"/>
      <c r="BP297" s="4317"/>
      <c r="BQ297" s="4317"/>
      <c r="BR297" s="4317"/>
      <c r="BS297" s="4317"/>
      <c r="BT297" s="4317"/>
      <c r="BU297" s="4317"/>
      <c r="BV297" s="4317"/>
      <c r="BW297" s="4317"/>
      <c r="BX297" s="4317"/>
      <c r="BY297" s="4317"/>
      <c r="BZ297" s="4317"/>
      <c r="CA297" s="4317"/>
      <c r="CB297" s="4317"/>
      <c r="CC297" s="4317"/>
      <c r="CD297" s="4317"/>
      <c r="CE297" s="4317"/>
      <c r="CF297" s="4317"/>
      <c r="CG297" s="4317"/>
      <c r="CH297" s="4317"/>
      <c r="CI297" s="4317"/>
      <c r="CJ297" s="4317"/>
      <c r="CK297" s="4317"/>
      <c r="CL297" s="4317"/>
      <c r="CM297" s="4317"/>
      <c r="CN297" s="4317"/>
      <c r="CO297" s="4317"/>
      <c r="CP297" s="4317"/>
      <c r="CQ297" s="4317"/>
      <c r="CR297" s="4317"/>
      <c r="CS297" s="4317"/>
      <c r="CT297" s="4317"/>
      <c r="CU297" s="4317"/>
      <c r="CV297" s="4317"/>
      <c r="CW297" s="4317"/>
      <c r="CX297" s="4317"/>
      <c r="CY297" s="4317"/>
      <c r="CZ297" s="4317"/>
      <c r="DA297" s="4317"/>
      <c r="DB297" s="4317"/>
      <c r="DC297" s="4317"/>
      <c r="DD297" s="4317"/>
      <c r="DE297" s="4317"/>
      <c r="DF297" s="4317"/>
      <c r="DG297" s="4317"/>
      <c r="DH297" s="4317"/>
      <c r="DI297" s="4317"/>
      <c r="DJ297" s="4317"/>
      <c r="DK297" s="4317"/>
      <c r="DL297" s="4317"/>
      <c r="DM297" s="4317"/>
      <c r="DN297" s="4317"/>
      <c r="DO297" s="4317"/>
      <c r="DP297" s="4317"/>
      <c r="DQ297" s="4317"/>
      <c r="DR297" s="4317"/>
      <c r="DS297" s="4317"/>
    </row>
    <row r="298" s="4134" customFormat="1" ht="19.5" customHeight="1" spans="1:123">
      <c r="A298" s="4304" t="s">
        <v>3550</v>
      </c>
      <c r="B298" s="4324"/>
      <c r="C298" s="4324"/>
      <c r="D298" s="4324"/>
      <c r="E298" s="4324"/>
      <c r="F298" s="4300">
        <v>775</v>
      </c>
      <c r="G298" s="4300"/>
      <c r="H298" s="4300"/>
      <c r="I298" s="4300"/>
      <c r="J298" s="4300"/>
      <c r="K298" s="4300"/>
      <c r="L298" s="4300"/>
      <c r="M298" s="4317"/>
      <c r="N298" s="4317"/>
      <c r="O298" s="4340" t="s">
        <v>4965</v>
      </c>
      <c r="P298" s="4317"/>
      <c r="Q298" s="4295"/>
      <c r="R298" s="4317"/>
      <c r="S298" s="4317"/>
      <c r="T298" s="4317"/>
      <c r="U298" s="4317"/>
      <c r="V298" s="4317"/>
      <c r="W298" s="4317"/>
      <c r="X298" s="4317"/>
      <c r="Y298" s="4317"/>
      <c r="Z298" s="4317"/>
      <c r="AA298" s="4317"/>
      <c r="AB298" s="4317"/>
      <c r="AC298" s="4295"/>
      <c r="AD298" s="4317"/>
      <c r="AE298" s="4317"/>
      <c r="AF298" s="4319"/>
      <c r="AG298" s="4319"/>
      <c r="AH298" s="4317"/>
      <c r="AI298" s="4317"/>
      <c r="AJ298" s="4317"/>
      <c r="AK298" s="4317"/>
      <c r="AL298" s="4317"/>
      <c r="AM298" s="4317"/>
      <c r="AN298" s="4317"/>
      <c r="AO298" s="4317"/>
      <c r="AP298" s="4317"/>
      <c r="AQ298" s="4317"/>
      <c r="AR298" s="4317"/>
      <c r="AS298" s="4317"/>
      <c r="AT298" s="4317"/>
      <c r="AU298" s="4317"/>
      <c r="AV298" s="4317"/>
      <c r="AW298" s="4317"/>
      <c r="AX298" s="4317"/>
      <c r="AY298" s="4317"/>
      <c r="AZ298" s="4317"/>
      <c r="BA298" s="4317"/>
      <c r="BB298" s="4317"/>
      <c r="BC298" s="4317"/>
      <c r="BD298" s="4317"/>
      <c r="BE298" s="4317"/>
      <c r="BF298" s="4317"/>
      <c r="BG298" s="4317"/>
      <c r="BH298" s="4317"/>
      <c r="BI298" s="4317"/>
      <c r="BJ298" s="4317"/>
      <c r="BK298" s="4317"/>
      <c r="BL298" s="4317"/>
      <c r="BM298" s="4317"/>
      <c r="BN298" s="4317"/>
      <c r="BO298" s="4317"/>
      <c r="BP298" s="4317"/>
      <c r="BQ298" s="4317"/>
      <c r="BR298" s="4317"/>
      <c r="BS298" s="4317"/>
      <c r="BT298" s="4317"/>
      <c r="BU298" s="4317"/>
      <c r="BV298" s="4317"/>
      <c r="BW298" s="4317"/>
      <c r="BX298" s="4317"/>
      <c r="BY298" s="4317"/>
      <c r="BZ298" s="4317"/>
      <c r="CA298" s="4317"/>
      <c r="CB298" s="4317"/>
      <c r="CC298" s="4317"/>
      <c r="CD298" s="4317"/>
      <c r="CE298" s="4317"/>
      <c r="CF298" s="4317"/>
      <c r="CG298" s="4317"/>
      <c r="CH298" s="4317"/>
      <c r="CI298" s="4317"/>
      <c r="CJ298" s="4317"/>
      <c r="CK298" s="4317"/>
      <c r="CL298" s="4317"/>
      <c r="CM298" s="4317"/>
      <c r="CN298" s="4317"/>
      <c r="CO298" s="4317"/>
      <c r="CP298" s="4317"/>
      <c r="CQ298" s="4317"/>
      <c r="CR298" s="4317"/>
      <c r="CS298" s="4317"/>
      <c r="CT298" s="4317"/>
      <c r="CU298" s="4317"/>
      <c r="CV298" s="4317"/>
      <c r="CW298" s="4317"/>
      <c r="CX298" s="4317"/>
      <c r="CY298" s="4317"/>
      <c r="CZ298" s="4317"/>
      <c r="DA298" s="4317"/>
      <c r="DB298" s="4317"/>
      <c r="DC298" s="4317"/>
      <c r="DD298" s="4317"/>
      <c r="DE298" s="4317"/>
      <c r="DF298" s="4317"/>
      <c r="DG298" s="4317"/>
      <c r="DH298" s="4317"/>
      <c r="DI298" s="4317"/>
      <c r="DJ298" s="4317"/>
      <c r="DK298" s="4317"/>
      <c r="DL298" s="4317"/>
      <c r="DM298" s="4317"/>
      <c r="DN298" s="4317"/>
      <c r="DO298" s="4317"/>
      <c r="DP298" s="4317"/>
      <c r="DQ298" s="4317"/>
      <c r="DR298" s="4317"/>
      <c r="DS298" s="4317"/>
    </row>
    <row r="299" s="4134" customFormat="1" ht="19.5" customHeight="1" spans="1:123">
      <c r="A299" s="4304" t="s">
        <v>3553</v>
      </c>
      <c r="B299" s="4324"/>
      <c r="C299" s="4324"/>
      <c r="D299" s="4324"/>
      <c r="E299" s="4324"/>
      <c r="F299" s="4300"/>
      <c r="G299" s="4300"/>
      <c r="H299" s="4300"/>
      <c r="I299" s="4300"/>
      <c r="J299" s="4300"/>
      <c r="K299" s="4300"/>
      <c r="L299" s="4300"/>
      <c r="M299" s="4317"/>
      <c r="N299" s="4317"/>
      <c r="O299" s="4340" t="s">
        <v>4966</v>
      </c>
      <c r="P299" s="4317"/>
      <c r="Q299" s="4295"/>
      <c r="R299" s="4317"/>
      <c r="S299" s="4317"/>
      <c r="T299" s="4317"/>
      <c r="U299" s="4317"/>
      <c r="V299" s="4317"/>
      <c r="W299" s="4317"/>
      <c r="X299" s="4317"/>
      <c r="Y299" s="4317"/>
      <c r="Z299" s="4317"/>
      <c r="AA299" s="4317"/>
      <c r="AB299" s="4317"/>
      <c r="AC299" s="4295"/>
      <c r="AD299" s="4317"/>
      <c r="AE299" s="4317"/>
      <c r="AF299" s="4319"/>
      <c r="AG299" s="4319"/>
      <c r="AH299" s="4317"/>
      <c r="AI299" s="4317"/>
      <c r="AJ299" s="4317"/>
      <c r="AK299" s="4317"/>
      <c r="AL299" s="4317"/>
      <c r="AM299" s="4317"/>
      <c r="AN299" s="4317"/>
      <c r="AO299" s="4317"/>
      <c r="AP299" s="4317"/>
      <c r="AQ299" s="4317"/>
      <c r="AR299" s="4317"/>
      <c r="AS299" s="4317"/>
      <c r="AT299" s="4317"/>
      <c r="AU299" s="4317"/>
      <c r="AV299" s="4317"/>
      <c r="AW299" s="4317"/>
      <c r="AX299" s="4317"/>
      <c r="AY299" s="4317"/>
      <c r="AZ299" s="4317"/>
      <c r="BA299" s="4317"/>
      <c r="BB299" s="4317"/>
      <c r="BC299" s="4317"/>
      <c r="BD299" s="4317"/>
      <c r="BE299" s="4317"/>
      <c r="BF299" s="4317"/>
      <c r="BG299" s="4317"/>
      <c r="BH299" s="4317"/>
      <c r="BI299" s="4317"/>
      <c r="BJ299" s="4317"/>
      <c r="BK299" s="4317"/>
      <c r="BL299" s="4317"/>
      <c r="BM299" s="4317"/>
      <c r="BN299" s="4317"/>
      <c r="BO299" s="4317"/>
      <c r="BP299" s="4317"/>
      <c r="BQ299" s="4317"/>
      <c r="BR299" s="4317"/>
      <c r="BS299" s="4317"/>
      <c r="BT299" s="4317"/>
      <c r="BU299" s="4317"/>
      <c r="BV299" s="4317"/>
      <c r="BW299" s="4317"/>
      <c r="BX299" s="4317"/>
      <c r="BY299" s="4317"/>
      <c r="BZ299" s="4317"/>
      <c r="CA299" s="4317"/>
      <c r="CB299" s="4317"/>
      <c r="CC299" s="4317"/>
      <c r="CD299" s="4317"/>
      <c r="CE299" s="4317"/>
      <c r="CF299" s="4317"/>
      <c r="CG299" s="4317"/>
      <c r="CH299" s="4317"/>
      <c r="CI299" s="4317"/>
      <c r="CJ299" s="4317"/>
      <c r="CK299" s="4317"/>
      <c r="CL299" s="4317"/>
      <c r="CM299" s="4317"/>
      <c r="CN299" s="4317"/>
      <c r="CO299" s="4317"/>
      <c r="CP299" s="4317"/>
      <c r="CQ299" s="4317"/>
      <c r="CR299" s="4317"/>
      <c r="CS299" s="4317"/>
      <c r="CT299" s="4317"/>
      <c r="CU299" s="4317"/>
      <c r="CV299" s="4317"/>
      <c r="CW299" s="4317"/>
      <c r="CX299" s="4317"/>
      <c r="CY299" s="4317"/>
      <c r="CZ299" s="4317"/>
      <c r="DA299" s="4317"/>
      <c r="DB299" s="4317"/>
      <c r="DC299" s="4317"/>
      <c r="DD299" s="4317"/>
      <c r="DE299" s="4317"/>
      <c r="DF299" s="4317"/>
      <c r="DG299" s="4317"/>
      <c r="DH299" s="4317"/>
      <c r="DI299" s="4317"/>
      <c r="DJ299" s="4317"/>
      <c r="DK299" s="4317"/>
      <c r="DL299" s="4317"/>
      <c r="DM299" s="4317"/>
      <c r="DN299" s="4317"/>
      <c r="DO299" s="4317"/>
      <c r="DP299" s="4317"/>
      <c r="DQ299" s="4317"/>
      <c r="DR299" s="4317"/>
      <c r="DS299" s="4317"/>
    </row>
    <row r="300" s="4134" customFormat="1" ht="19.5" customHeight="1" spans="1:123">
      <c r="A300" s="4304" t="s">
        <v>3554</v>
      </c>
      <c r="B300" s="4324"/>
      <c r="C300" s="4324"/>
      <c r="D300" s="4324"/>
      <c r="E300" s="4324"/>
      <c r="F300" s="4300">
        <v>1127</v>
      </c>
      <c r="G300" s="4300"/>
      <c r="H300" s="4300"/>
      <c r="I300" s="4300"/>
      <c r="J300" s="4300"/>
      <c r="K300" s="4300"/>
      <c r="L300" s="4300"/>
      <c r="M300" s="4317"/>
      <c r="N300" s="4317"/>
      <c r="O300" s="4340" t="s">
        <v>4967</v>
      </c>
      <c r="P300" s="4317"/>
      <c r="Q300" s="4295"/>
      <c r="R300" s="4317"/>
      <c r="S300" s="4317"/>
      <c r="T300" s="4317"/>
      <c r="U300" s="4317"/>
      <c r="V300" s="4317"/>
      <c r="W300" s="4317"/>
      <c r="X300" s="4317"/>
      <c r="Y300" s="4317"/>
      <c r="Z300" s="4317"/>
      <c r="AA300" s="4317"/>
      <c r="AB300" s="4317"/>
      <c r="AC300" s="4295"/>
      <c r="AD300" s="4317"/>
      <c r="AE300" s="4317"/>
      <c r="AF300" s="4319"/>
      <c r="AG300" s="4319"/>
      <c r="AH300" s="4317"/>
      <c r="AI300" s="4317"/>
      <c r="AJ300" s="4317"/>
      <c r="AK300" s="4317"/>
      <c r="AL300" s="4317"/>
      <c r="AM300" s="4317"/>
      <c r="AN300" s="4317"/>
      <c r="AO300" s="4317"/>
      <c r="AP300" s="4317"/>
      <c r="AQ300" s="4317"/>
      <c r="AR300" s="4317"/>
      <c r="AS300" s="4317"/>
      <c r="AT300" s="4317"/>
      <c r="AU300" s="4317"/>
      <c r="AV300" s="4317"/>
      <c r="AW300" s="4317"/>
      <c r="AX300" s="4317"/>
      <c r="AY300" s="4317"/>
      <c r="AZ300" s="4317"/>
      <c r="BA300" s="4317"/>
      <c r="BB300" s="4317"/>
      <c r="BC300" s="4317"/>
      <c r="BD300" s="4317"/>
      <c r="BE300" s="4317"/>
      <c r="BF300" s="4317"/>
      <c r="BG300" s="4317"/>
      <c r="BH300" s="4317"/>
      <c r="BI300" s="4317"/>
      <c r="BJ300" s="4317"/>
      <c r="BK300" s="4317"/>
      <c r="BL300" s="4317"/>
      <c r="BM300" s="4317"/>
      <c r="BN300" s="4317"/>
      <c r="BO300" s="4317"/>
      <c r="BP300" s="4317"/>
      <c r="BQ300" s="4317"/>
      <c r="BR300" s="4317"/>
      <c r="BS300" s="4317"/>
      <c r="BT300" s="4317"/>
      <c r="BU300" s="4317"/>
      <c r="BV300" s="4317"/>
      <c r="BW300" s="4317"/>
      <c r="BX300" s="4317"/>
      <c r="BY300" s="4317"/>
      <c r="BZ300" s="4317"/>
      <c r="CA300" s="4317"/>
      <c r="CB300" s="4317"/>
      <c r="CC300" s="4317"/>
      <c r="CD300" s="4317"/>
      <c r="CE300" s="4317"/>
      <c r="CF300" s="4317"/>
      <c r="CG300" s="4317"/>
      <c r="CH300" s="4317"/>
      <c r="CI300" s="4317"/>
      <c r="CJ300" s="4317"/>
      <c r="CK300" s="4317"/>
      <c r="CL300" s="4317"/>
      <c r="CM300" s="4317"/>
      <c r="CN300" s="4317"/>
      <c r="CO300" s="4317"/>
      <c r="CP300" s="4317"/>
      <c r="CQ300" s="4317"/>
      <c r="CR300" s="4317"/>
      <c r="CS300" s="4317"/>
      <c r="CT300" s="4317"/>
      <c r="CU300" s="4317"/>
      <c r="CV300" s="4317"/>
      <c r="CW300" s="4317"/>
      <c r="CX300" s="4317"/>
      <c r="CY300" s="4317"/>
      <c r="CZ300" s="4317"/>
      <c r="DA300" s="4317"/>
      <c r="DB300" s="4317"/>
      <c r="DC300" s="4317"/>
      <c r="DD300" s="4317"/>
      <c r="DE300" s="4317"/>
      <c r="DF300" s="4317"/>
      <c r="DG300" s="4317"/>
      <c r="DH300" s="4317"/>
      <c r="DI300" s="4317"/>
      <c r="DJ300" s="4317"/>
      <c r="DK300" s="4317"/>
      <c r="DL300" s="4317"/>
      <c r="DM300" s="4317"/>
      <c r="DN300" s="4317"/>
      <c r="DO300" s="4317"/>
      <c r="DP300" s="4317"/>
      <c r="DQ300" s="4317"/>
      <c r="DR300" s="4317"/>
      <c r="DS300" s="4317"/>
    </row>
    <row r="301" s="4134" customFormat="1" ht="19.5" customHeight="1" spans="1:123">
      <c r="A301" s="4304" t="s">
        <v>3555</v>
      </c>
      <c r="B301" s="4324"/>
      <c r="C301" s="4324"/>
      <c r="D301" s="4324"/>
      <c r="E301" s="4324"/>
      <c r="F301" s="4300">
        <v>11889</v>
      </c>
      <c r="G301" s="4300"/>
      <c r="H301" s="4300"/>
      <c r="I301" s="4300"/>
      <c r="J301" s="4300"/>
      <c r="K301" s="4300"/>
      <c r="L301" s="4300"/>
      <c r="M301" s="4317"/>
      <c r="N301" s="4317"/>
      <c r="O301" s="4340" t="s">
        <v>4968</v>
      </c>
      <c r="P301" s="4317"/>
      <c r="Q301" s="4295"/>
      <c r="R301" s="4317"/>
      <c r="S301" s="4317"/>
      <c r="T301" s="4317"/>
      <c r="U301" s="4317"/>
      <c r="V301" s="4317"/>
      <c r="W301" s="4317"/>
      <c r="X301" s="4317"/>
      <c r="Y301" s="4317"/>
      <c r="Z301" s="4317"/>
      <c r="AA301" s="4317"/>
      <c r="AB301" s="4317"/>
      <c r="AC301" s="4295"/>
      <c r="AD301" s="4317"/>
      <c r="AE301" s="4317"/>
      <c r="AF301" s="4319"/>
      <c r="AG301" s="4319"/>
      <c r="AH301" s="4317"/>
      <c r="AI301" s="4317"/>
      <c r="AJ301" s="4317"/>
      <c r="AK301" s="4317"/>
      <c r="AL301" s="4317"/>
      <c r="AM301" s="4317"/>
      <c r="AN301" s="4317"/>
      <c r="AO301" s="4317"/>
      <c r="AP301" s="4317"/>
      <c r="AQ301" s="4317"/>
      <c r="AR301" s="4317"/>
      <c r="AS301" s="4317"/>
      <c r="AT301" s="4317"/>
      <c r="AU301" s="4317"/>
      <c r="AV301" s="4317"/>
      <c r="AW301" s="4317"/>
      <c r="AX301" s="4317"/>
      <c r="AY301" s="4317"/>
      <c r="AZ301" s="4317"/>
      <c r="BA301" s="4317"/>
      <c r="BB301" s="4317"/>
      <c r="BC301" s="4317"/>
      <c r="BD301" s="4317"/>
      <c r="BE301" s="4317"/>
      <c r="BF301" s="4317"/>
      <c r="BG301" s="4317"/>
      <c r="BH301" s="4317"/>
      <c r="BI301" s="4317"/>
      <c r="BJ301" s="4317"/>
      <c r="BK301" s="4317"/>
      <c r="BL301" s="4317"/>
      <c r="BM301" s="4317"/>
      <c r="BN301" s="4317"/>
      <c r="BO301" s="4317"/>
      <c r="BP301" s="4317"/>
      <c r="BQ301" s="4317"/>
      <c r="BR301" s="4317"/>
      <c r="BS301" s="4317"/>
      <c r="BT301" s="4317"/>
      <c r="BU301" s="4317"/>
      <c r="BV301" s="4317"/>
      <c r="BW301" s="4317"/>
      <c r="BX301" s="4317"/>
      <c r="BY301" s="4317"/>
      <c r="BZ301" s="4317"/>
      <c r="CA301" s="4317"/>
      <c r="CB301" s="4317"/>
      <c r="CC301" s="4317"/>
      <c r="CD301" s="4317"/>
      <c r="CE301" s="4317"/>
      <c r="CF301" s="4317"/>
      <c r="CG301" s="4317"/>
      <c r="CH301" s="4317"/>
      <c r="CI301" s="4317"/>
      <c r="CJ301" s="4317"/>
      <c r="CK301" s="4317"/>
      <c r="CL301" s="4317"/>
      <c r="CM301" s="4317"/>
      <c r="CN301" s="4317"/>
      <c r="CO301" s="4317"/>
      <c r="CP301" s="4317"/>
      <c r="CQ301" s="4317"/>
      <c r="CR301" s="4317"/>
      <c r="CS301" s="4317"/>
      <c r="CT301" s="4317"/>
      <c r="CU301" s="4317"/>
      <c r="CV301" s="4317"/>
      <c r="CW301" s="4317"/>
      <c r="CX301" s="4317"/>
      <c r="CY301" s="4317"/>
      <c r="CZ301" s="4317"/>
      <c r="DA301" s="4317"/>
      <c r="DB301" s="4317"/>
      <c r="DC301" s="4317"/>
      <c r="DD301" s="4317"/>
      <c r="DE301" s="4317"/>
      <c r="DF301" s="4317"/>
      <c r="DG301" s="4317"/>
      <c r="DH301" s="4317"/>
      <c r="DI301" s="4317"/>
      <c r="DJ301" s="4317"/>
      <c r="DK301" s="4317"/>
      <c r="DL301" s="4317"/>
      <c r="DM301" s="4317"/>
      <c r="DN301" s="4317"/>
      <c r="DO301" s="4317"/>
      <c r="DP301" s="4317"/>
      <c r="DQ301" s="4317"/>
      <c r="DR301" s="4317"/>
      <c r="DS301" s="4317"/>
    </row>
    <row r="302" s="4134" customFormat="1" ht="19.5" customHeight="1" spans="1:123">
      <c r="A302" s="4304" t="s">
        <v>597</v>
      </c>
      <c r="B302" s="4324"/>
      <c r="C302" s="4324"/>
      <c r="D302" s="4324"/>
      <c r="E302" s="4324"/>
      <c r="F302" s="4300">
        <v>27285</v>
      </c>
      <c r="G302" s="4300"/>
      <c r="H302" s="4300"/>
      <c r="I302" s="4300"/>
      <c r="J302" s="4300"/>
      <c r="K302" s="4300"/>
      <c r="L302" s="4300"/>
      <c r="M302" s="4317"/>
      <c r="N302" s="4317"/>
      <c r="O302" s="4340" t="s">
        <v>4969</v>
      </c>
      <c r="P302" s="4317"/>
      <c r="Q302" s="4295"/>
      <c r="R302" s="4317"/>
      <c r="S302" s="4317"/>
      <c r="T302" s="4317"/>
      <c r="U302" s="4317"/>
      <c r="V302" s="4317"/>
      <c r="W302" s="4317"/>
      <c r="X302" s="4317"/>
      <c r="Y302" s="4317"/>
      <c r="Z302" s="4317"/>
      <c r="AA302" s="4317"/>
      <c r="AB302" s="4317"/>
      <c r="AC302" s="4295"/>
      <c r="AD302" s="4317"/>
      <c r="AE302" s="4317"/>
      <c r="AF302" s="4319"/>
      <c r="AG302" s="4319"/>
      <c r="AH302" s="4317"/>
      <c r="AI302" s="4317"/>
      <c r="AJ302" s="4317"/>
      <c r="AK302" s="4317"/>
      <c r="AL302" s="4317"/>
      <c r="AM302" s="4317"/>
      <c r="AN302" s="4317"/>
      <c r="AO302" s="4317"/>
      <c r="AP302" s="4317"/>
      <c r="AQ302" s="4317"/>
      <c r="AR302" s="4317"/>
      <c r="AS302" s="4317"/>
      <c r="AT302" s="4317"/>
      <c r="AU302" s="4317"/>
      <c r="AV302" s="4317"/>
      <c r="AW302" s="4317"/>
      <c r="AX302" s="4317"/>
      <c r="AY302" s="4317"/>
      <c r="AZ302" s="4317"/>
      <c r="BA302" s="4317"/>
      <c r="BB302" s="4317"/>
      <c r="BC302" s="4317"/>
      <c r="BD302" s="4317"/>
      <c r="BE302" s="4317"/>
      <c r="BF302" s="4317"/>
      <c r="BG302" s="4317"/>
      <c r="BH302" s="4317"/>
      <c r="BI302" s="4317"/>
      <c r="BJ302" s="4317"/>
      <c r="BK302" s="4317"/>
      <c r="BL302" s="4317"/>
      <c r="BM302" s="4317"/>
      <c r="BN302" s="4317"/>
      <c r="BO302" s="4317"/>
      <c r="BP302" s="4317"/>
      <c r="BQ302" s="4317"/>
      <c r="BR302" s="4317"/>
      <c r="BS302" s="4317"/>
      <c r="BT302" s="4317"/>
      <c r="BU302" s="4317"/>
      <c r="BV302" s="4317"/>
      <c r="BW302" s="4317"/>
      <c r="BX302" s="4317"/>
      <c r="BY302" s="4317"/>
      <c r="BZ302" s="4317"/>
      <c r="CA302" s="4317"/>
      <c r="CB302" s="4317"/>
      <c r="CC302" s="4317"/>
      <c r="CD302" s="4317"/>
      <c r="CE302" s="4317"/>
      <c r="CF302" s="4317"/>
      <c r="CG302" s="4317"/>
      <c r="CH302" s="4317"/>
      <c r="CI302" s="4317"/>
      <c r="CJ302" s="4317"/>
      <c r="CK302" s="4317"/>
      <c r="CL302" s="4317"/>
      <c r="CM302" s="4317"/>
      <c r="CN302" s="4317"/>
      <c r="CO302" s="4317"/>
      <c r="CP302" s="4317"/>
      <c r="CQ302" s="4317"/>
      <c r="CR302" s="4317"/>
      <c r="CS302" s="4317"/>
      <c r="CT302" s="4317"/>
      <c r="CU302" s="4317"/>
      <c r="CV302" s="4317"/>
      <c r="CW302" s="4317"/>
      <c r="CX302" s="4317"/>
      <c r="CY302" s="4317"/>
      <c r="CZ302" s="4317"/>
      <c r="DA302" s="4317"/>
      <c r="DB302" s="4317"/>
      <c r="DC302" s="4317"/>
      <c r="DD302" s="4317"/>
      <c r="DE302" s="4317"/>
      <c r="DF302" s="4317"/>
      <c r="DG302" s="4317"/>
      <c r="DH302" s="4317"/>
      <c r="DI302" s="4317"/>
      <c r="DJ302" s="4317"/>
      <c r="DK302" s="4317"/>
      <c r="DL302" s="4317"/>
      <c r="DM302" s="4317"/>
      <c r="DN302" s="4317"/>
      <c r="DO302" s="4317"/>
      <c r="DP302" s="4317"/>
      <c r="DQ302" s="4317"/>
      <c r="DR302" s="4317"/>
      <c r="DS302" s="4317"/>
    </row>
    <row r="303" s="4134" customFormat="1" ht="19.5" customHeight="1" spans="1:123">
      <c r="A303" s="4304" t="s">
        <v>3556</v>
      </c>
      <c r="B303" s="4324"/>
      <c r="C303" s="4324"/>
      <c r="D303" s="4324"/>
      <c r="E303" s="4324"/>
      <c r="F303" s="4300"/>
      <c r="G303" s="4300"/>
      <c r="H303" s="4300"/>
      <c r="I303" s="4300"/>
      <c r="J303" s="4300"/>
      <c r="K303" s="4300"/>
      <c r="L303" s="4300"/>
      <c r="M303" s="4317"/>
      <c r="N303" s="4317"/>
      <c r="O303" s="4340" t="s">
        <v>4970</v>
      </c>
      <c r="P303" s="4317"/>
      <c r="Q303" s="4295"/>
      <c r="R303" s="4317"/>
      <c r="S303" s="4317"/>
      <c r="T303" s="4317"/>
      <c r="U303" s="4317"/>
      <c r="V303" s="4317"/>
      <c r="W303" s="4317"/>
      <c r="X303" s="4317"/>
      <c r="Y303" s="4317"/>
      <c r="Z303" s="4317"/>
      <c r="AA303" s="4317"/>
      <c r="AB303" s="4317"/>
      <c r="AC303" s="4295"/>
      <c r="AD303" s="4317"/>
      <c r="AE303" s="4317"/>
      <c r="AF303" s="4319"/>
      <c r="AG303" s="4319"/>
      <c r="AH303" s="4317"/>
      <c r="AI303" s="4317"/>
      <c r="AJ303" s="4317"/>
      <c r="AK303" s="4317"/>
      <c r="AL303" s="4317"/>
      <c r="AM303" s="4317"/>
      <c r="AN303" s="4317"/>
      <c r="AO303" s="4317"/>
      <c r="AP303" s="4317"/>
      <c r="AQ303" s="4317"/>
      <c r="AR303" s="4317"/>
      <c r="AS303" s="4317"/>
      <c r="AT303" s="4317"/>
      <c r="AU303" s="4317"/>
      <c r="AV303" s="4317"/>
      <c r="AW303" s="4317"/>
      <c r="AX303" s="4317"/>
      <c r="AY303" s="4317"/>
      <c r="AZ303" s="4317"/>
      <c r="BA303" s="4317"/>
      <c r="BB303" s="4317"/>
      <c r="BC303" s="4317"/>
      <c r="BD303" s="4317"/>
      <c r="BE303" s="4317"/>
      <c r="BF303" s="4317"/>
      <c r="BG303" s="4317"/>
      <c r="BH303" s="4317"/>
      <c r="BI303" s="4317"/>
      <c r="BJ303" s="4317"/>
      <c r="BK303" s="4317"/>
      <c r="BL303" s="4317"/>
      <c r="BM303" s="4317"/>
      <c r="BN303" s="4317"/>
      <c r="BO303" s="4317"/>
      <c r="BP303" s="4317"/>
      <c r="BQ303" s="4317"/>
      <c r="BR303" s="4317"/>
      <c r="BS303" s="4317"/>
      <c r="BT303" s="4317"/>
      <c r="BU303" s="4317"/>
      <c r="BV303" s="4317"/>
      <c r="BW303" s="4317"/>
      <c r="BX303" s="4317"/>
      <c r="BY303" s="4317"/>
      <c r="BZ303" s="4317"/>
      <c r="CA303" s="4317"/>
      <c r="CB303" s="4317"/>
      <c r="CC303" s="4317"/>
      <c r="CD303" s="4317"/>
      <c r="CE303" s="4317"/>
      <c r="CF303" s="4317"/>
      <c r="CG303" s="4317"/>
      <c r="CH303" s="4317"/>
      <c r="CI303" s="4317"/>
      <c r="CJ303" s="4317"/>
      <c r="CK303" s="4317"/>
      <c r="CL303" s="4317"/>
      <c r="CM303" s="4317"/>
      <c r="CN303" s="4317"/>
      <c r="CO303" s="4317"/>
      <c r="CP303" s="4317"/>
      <c r="CQ303" s="4317"/>
      <c r="CR303" s="4317"/>
      <c r="CS303" s="4317"/>
      <c r="CT303" s="4317"/>
      <c r="CU303" s="4317"/>
      <c r="CV303" s="4317"/>
      <c r="CW303" s="4317"/>
      <c r="CX303" s="4317"/>
      <c r="CY303" s="4317"/>
      <c r="CZ303" s="4317"/>
      <c r="DA303" s="4317"/>
      <c r="DB303" s="4317"/>
      <c r="DC303" s="4317"/>
      <c r="DD303" s="4317"/>
      <c r="DE303" s="4317"/>
      <c r="DF303" s="4317"/>
      <c r="DG303" s="4317"/>
      <c r="DH303" s="4317"/>
      <c r="DI303" s="4317"/>
      <c r="DJ303" s="4317"/>
      <c r="DK303" s="4317"/>
      <c r="DL303" s="4317"/>
      <c r="DM303" s="4317"/>
      <c r="DN303" s="4317"/>
      <c r="DO303" s="4317"/>
      <c r="DP303" s="4317"/>
      <c r="DQ303" s="4317"/>
      <c r="DR303" s="4317"/>
      <c r="DS303" s="4317"/>
    </row>
    <row r="304" s="4134" customFormat="1" ht="19.5" customHeight="1" spans="1:123">
      <c r="A304" s="4304" t="s">
        <v>3559</v>
      </c>
      <c r="B304" s="4324"/>
      <c r="C304" s="4324"/>
      <c r="D304" s="4324"/>
      <c r="E304" s="4324"/>
      <c r="F304" s="4300">
        <v>357</v>
      </c>
      <c r="G304" s="4300"/>
      <c r="H304" s="4300"/>
      <c r="I304" s="4300"/>
      <c r="J304" s="4300"/>
      <c r="K304" s="4300"/>
      <c r="L304" s="4300"/>
      <c r="M304" s="4317"/>
      <c r="N304" s="4317"/>
      <c r="O304" s="4340" t="s">
        <v>4971</v>
      </c>
      <c r="P304" s="4317"/>
      <c r="Q304" s="4295"/>
      <c r="R304" s="4317"/>
      <c r="S304" s="4317"/>
      <c r="T304" s="4317"/>
      <c r="U304" s="4317"/>
      <c r="V304" s="4317"/>
      <c r="W304" s="4317"/>
      <c r="X304" s="4317"/>
      <c r="Y304" s="4317"/>
      <c r="Z304" s="4317"/>
      <c r="AA304" s="4317"/>
      <c r="AB304" s="4317"/>
      <c r="AC304" s="4295"/>
      <c r="AD304" s="4317"/>
      <c r="AE304" s="4317"/>
      <c r="AF304" s="4319"/>
      <c r="AG304" s="4319"/>
      <c r="AH304" s="4317"/>
      <c r="AI304" s="4317"/>
      <c r="AJ304" s="4317"/>
      <c r="AK304" s="4317"/>
      <c r="AL304" s="4317"/>
      <c r="AM304" s="4317"/>
      <c r="AN304" s="4317"/>
      <c r="AO304" s="4317"/>
      <c r="AP304" s="4317"/>
      <c r="AQ304" s="4317"/>
      <c r="AR304" s="4317"/>
      <c r="AS304" s="4317"/>
      <c r="AT304" s="4317"/>
      <c r="AU304" s="4317"/>
      <c r="AV304" s="4317"/>
      <c r="AW304" s="4317"/>
      <c r="AX304" s="4317"/>
      <c r="AY304" s="4317"/>
      <c r="AZ304" s="4317"/>
      <c r="BA304" s="4317"/>
      <c r="BB304" s="4317"/>
      <c r="BC304" s="4317"/>
      <c r="BD304" s="4317"/>
      <c r="BE304" s="4317"/>
      <c r="BF304" s="4317"/>
      <c r="BG304" s="4317"/>
      <c r="BH304" s="4317"/>
      <c r="BI304" s="4317"/>
      <c r="BJ304" s="4317"/>
      <c r="BK304" s="4317"/>
      <c r="BL304" s="4317"/>
      <c r="BM304" s="4317"/>
      <c r="BN304" s="4317"/>
      <c r="BO304" s="4317"/>
      <c r="BP304" s="4317"/>
      <c r="BQ304" s="4317"/>
      <c r="BR304" s="4317"/>
      <c r="BS304" s="4317"/>
      <c r="BT304" s="4317"/>
      <c r="BU304" s="4317"/>
      <c r="BV304" s="4317"/>
      <c r="BW304" s="4317"/>
      <c r="BX304" s="4317"/>
      <c r="BY304" s="4317"/>
      <c r="BZ304" s="4317"/>
      <c r="CA304" s="4317"/>
      <c r="CB304" s="4317"/>
      <c r="CC304" s="4317"/>
      <c r="CD304" s="4317"/>
      <c r="CE304" s="4317"/>
      <c r="CF304" s="4317"/>
      <c r="CG304" s="4317"/>
      <c r="CH304" s="4317"/>
      <c r="CI304" s="4317"/>
      <c r="CJ304" s="4317"/>
      <c r="CK304" s="4317"/>
      <c r="CL304" s="4317"/>
      <c r="CM304" s="4317"/>
      <c r="CN304" s="4317"/>
      <c r="CO304" s="4317"/>
      <c r="CP304" s="4317"/>
      <c r="CQ304" s="4317"/>
      <c r="CR304" s="4317"/>
      <c r="CS304" s="4317"/>
      <c r="CT304" s="4317"/>
      <c r="CU304" s="4317"/>
      <c r="CV304" s="4317"/>
      <c r="CW304" s="4317"/>
      <c r="CX304" s="4317"/>
      <c r="CY304" s="4317"/>
      <c r="CZ304" s="4317"/>
      <c r="DA304" s="4317"/>
      <c r="DB304" s="4317"/>
      <c r="DC304" s="4317"/>
      <c r="DD304" s="4317"/>
      <c r="DE304" s="4317"/>
      <c r="DF304" s="4317"/>
      <c r="DG304" s="4317"/>
      <c r="DH304" s="4317"/>
      <c r="DI304" s="4317"/>
      <c r="DJ304" s="4317"/>
      <c r="DK304" s="4317"/>
      <c r="DL304" s="4317"/>
      <c r="DM304" s="4317"/>
      <c r="DN304" s="4317"/>
      <c r="DO304" s="4317"/>
      <c r="DP304" s="4317"/>
      <c r="DQ304" s="4317"/>
      <c r="DR304" s="4317"/>
      <c r="DS304" s="4317"/>
    </row>
    <row r="305" s="4134" customFormat="1" ht="19.5" customHeight="1" spans="1:123">
      <c r="A305" s="4312" t="s">
        <v>4972</v>
      </c>
      <c r="B305" s="4313"/>
      <c r="C305" s="4313"/>
      <c r="D305" s="4313"/>
      <c r="E305" s="4313"/>
      <c r="F305" s="4341">
        <f>SUM(F297:L304)</f>
        <v>48688</v>
      </c>
      <c r="G305" s="4341"/>
      <c r="H305" s="4341"/>
      <c r="I305" s="4341"/>
      <c r="J305" s="4341"/>
      <c r="K305" s="4341"/>
      <c r="L305" s="4341"/>
      <c r="M305" s="4317"/>
      <c r="N305" s="4317"/>
      <c r="O305" s="4342" t="s">
        <v>4973</v>
      </c>
      <c r="P305" s="4317"/>
      <c r="Q305" s="4295"/>
      <c r="R305" s="4317"/>
      <c r="S305" s="4317"/>
      <c r="T305" s="4317"/>
      <c r="U305" s="4317"/>
      <c r="V305" s="4317"/>
      <c r="W305" s="4317"/>
      <c r="X305" s="4317"/>
      <c r="Y305" s="4317"/>
      <c r="Z305" s="4317"/>
      <c r="AA305" s="4317"/>
      <c r="AB305" s="4317"/>
      <c r="AC305" s="4295"/>
      <c r="AD305" s="4317"/>
      <c r="AE305" s="4317"/>
      <c r="AF305" s="4319"/>
      <c r="AG305" s="4319"/>
      <c r="AH305" s="4317"/>
      <c r="AI305" s="4317"/>
      <c r="AJ305" s="4317"/>
      <c r="AK305" s="4317"/>
      <c r="AL305" s="4317"/>
      <c r="AM305" s="4317"/>
      <c r="AN305" s="4317"/>
      <c r="AO305" s="4317"/>
      <c r="AP305" s="4317"/>
      <c r="AQ305" s="4317"/>
      <c r="AR305" s="4317"/>
      <c r="AS305" s="4317"/>
      <c r="AT305" s="4317"/>
      <c r="AU305" s="4317"/>
      <c r="AV305" s="4317"/>
      <c r="AW305" s="4317"/>
      <c r="AX305" s="4317"/>
      <c r="AY305" s="4317"/>
      <c r="AZ305" s="4317"/>
      <c r="BA305" s="4317"/>
      <c r="BB305" s="4317"/>
      <c r="BC305" s="4317"/>
      <c r="BD305" s="4317"/>
      <c r="BE305" s="4317"/>
      <c r="BF305" s="4317"/>
      <c r="BG305" s="4317"/>
      <c r="BH305" s="4317"/>
      <c r="BI305" s="4317"/>
      <c r="BJ305" s="4317"/>
      <c r="BK305" s="4317"/>
      <c r="BL305" s="4317"/>
      <c r="BM305" s="4317"/>
      <c r="BN305" s="4317"/>
      <c r="BO305" s="4317"/>
      <c r="BP305" s="4317"/>
      <c r="BQ305" s="4317"/>
      <c r="BR305" s="4317"/>
      <c r="BS305" s="4317"/>
      <c r="BT305" s="4317"/>
      <c r="BU305" s="4317"/>
      <c r="BV305" s="4317"/>
      <c r="BW305" s="4317"/>
      <c r="BX305" s="4317"/>
      <c r="BY305" s="4317"/>
      <c r="BZ305" s="4317"/>
      <c r="CA305" s="4317"/>
      <c r="CB305" s="4317"/>
      <c r="CC305" s="4317"/>
      <c r="CD305" s="4317"/>
      <c r="CE305" s="4317"/>
      <c r="CF305" s="4317"/>
      <c r="CG305" s="4317"/>
      <c r="CH305" s="4317"/>
      <c r="CI305" s="4317"/>
      <c r="CJ305" s="4317"/>
      <c r="CK305" s="4317"/>
      <c r="CL305" s="4317"/>
      <c r="CM305" s="4317"/>
      <c r="CN305" s="4317"/>
      <c r="CO305" s="4317"/>
      <c r="CP305" s="4317"/>
      <c r="CQ305" s="4317"/>
      <c r="CR305" s="4317"/>
      <c r="CS305" s="4317"/>
      <c r="CT305" s="4317"/>
      <c r="CU305" s="4317"/>
      <c r="CV305" s="4317"/>
      <c r="CW305" s="4317"/>
      <c r="CX305" s="4317"/>
      <c r="CY305" s="4317"/>
      <c r="CZ305" s="4317"/>
      <c r="DA305" s="4317"/>
      <c r="DB305" s="4317"/>
      <c r="DC305" s="4317"/>
      <c r="DD305" s="4317"/>
      <c r="DE305" s="4317"/>
      <c r="DF305" s="4317"/>
      <c r="DG305" s="4317"/>
      <c r="DH305" s="4317"/>
      <c r="DI305" s="4317"/>
      <c r="DJ305" s="4317"/>
      <c r="DK305" s="4317"/>
      <c r="DL305" s="4317"/>
      <c r="DM305" s="4317"/>
      <c r="DN305" s="4317"/>
      <c r="DO305" s="4317"/>
      <c r="DP305" s="4317"/>
      <c r="DQ305" s="4317"/>
      <c r="DR305" s="4317"/>
      <c r="DS305" s="4317"/>
    </row>
    <row r="306" s="4134" customFormat="1" ht="19.5" customHeight="1" spans="1:123">
      <c r="A306" s="4304" t="s">
        <v>3560</v>
      </c>
      <c r="B306" s="4324"/>
      <c r="C306" s="4324"/>
      <c r="D306" s="4324"/>
      <c r="E306" s="4324"/>
      <c r="F306" s="4300"/>
      <c r="G306" s="4300"/>
      <c r="H306" s="4300"/>
      <c r="I306" s="4300"/>
      <c r="J306" s="4300"/>
      <c r="K306" s="4300"/>
      <c r="L306" s="4300"/>
      <c r="M306" s="4317"/>
      <c r="N306" s="4317"/>
      <c r="O306" s="4340" t="s">
        <v>4974</v>
      </c>
      <c r="P306" s="4317"/>
      <c r="Q306" s="4295"/>
      <c r="R306" s="4317"/>
      <c r="S306" s="4317"/>
      <c r="T306" s="4317"/>
      <c r="U306" s="4317"/>
      <c r="V306" s="4317"/>
      <c r="W306" s="4317"/>
      <c r="X306" s="4317"/>
      <c r="Y306" s="4317"/>
      <c r="Z306" s="4317"/>
      <c r="AA306" s="4317"/>
      <c r="AB306" s="4317"/>
      <c r="AC306" s="4295"/>
      <c r="AD306" s="4317"/>
      <c r="AE306" s="4317"/>
      <c r="AF306" s="4319"/>
      <c r="AG306" s="4319"/>
      <c r="AH306" s="4317"/>
      <c r="AI306" s="4317"/>
      <c r="AJ306" s="4317"/>
      <c r="AK306" s="4317"/>
      <c r="AL306" s="4317"/>
      <c r="AM306" s="4317"/>
      <c r="AN306" s="4317"/>
      <c r="AO306" s="4317"/>
      <c r="AP306" s="4317"/>
      <c r="AQ306" s="4317"/>
      <c r="AR306" s="4317"/>
      <c r="AS306" s="4317"/>
      <c r="AT306" s="4317"/>
      <c r="AU306" s="4317"/>
      <c r="AV306" s="4317"/>
      <c r="AW306" s="4317"/>
      <c r="AX306" s="4317"/>
      <c r="AY306" s="4317"/>
      <c r="AZ306" s="4317"/>
      <c r="BA306" s="4317"/>
      <c r="BB306" s="4317"/>
      <c r="BC306" s="4317"/>
      <c r="BD306" s="4317"/>
      <c r="BE306" s="4317"/>
      <c r="BF306" s="4317"/>
      <c r="BG306" s="4317"/>
      <c r="BH306" s="4317"/>
      <c r="BI306" s="4317"/>
      <c r="BJ306" s="4317"/>
      <c r="BK306" s="4317"/>
      <c r="BL306" s="4317"/>
      <c r="BM306" s="4317"/>
      <c r="BN306" s="4317"/>
      <c r="BO306" s="4317"/>
      <c r="BP306" s="4317"/>
      <c r="BQ306" s="4317"/>
      <c r="BR306" s="4317"/>
      <c r="BS306" s="4317"/>
      <c r="BT306" s="4317"/>
      <c r="BU306" s="4317"/>
      <c r="BV306" s="4317"/>
      <c r="BW306" s="4317"/>
      <c r="BX306" s="4317"/>
      <c r="BY306" s="4317"/>
      <c r="BZ306" s="4317"/>
      <c r="CA306" s="4317"/>
      <c r="CB306" s="4317"/>
      <c r="CC306" s="4317"/>
      <c r="CD306" s="4317"/>
      <c r="CE306" s="4317"/>
      <c r="CF306" s="4317"/>
      <c r="CG306" s="4317"/>
      <c r="CH306" s="4317"/>
      <c r="CI306" s="4317"/>
      <c r="CJ306" s="4317"/>
      <c r="CK306" s="4317"/>
      <c r="CL306" s="4317"/>
      <c r="CM306" s="4317"/>
      <c r="CN306" s="4317"/>
      <c r="CO306" s="4317"/>
      <c r="CP306" s="4317"/>
      <c r="CQ306" s="4317"/>
      <c r="CR306" s="4317"/>
      <c r="CS306" s="4317"/>
      <c r="CT306" s="4317"/>
      <c r="CU306" s="4317"/>
      <c r="CV306" s="4317"/>
      <c r="CW306" s="4317"/>
      <c r="CX306" s="4317"/>
      <c r="CY306" s="4317"/>
      <c r="CZ306" s="4317"/>
      <c r="DA306" s="4317"/>
      <c r="DB306" s="4317"/>
      <c r="DC306" s="4317"/>
      <c r="DD306" s="4317"/>
      <c r="DE306" s="4317"/>
      <c r="DF306" s="4317"/>
      <c r="DG306" s="4317"/>
      <c r="DH306" s="4317"/>
      <c r="DI306" s="4317"/>
      <c r="DJ306" s="4317"/>
      <c r="DK306" s="4317"/>
      <c r="DL306" s="4317"/>
      <c r="DM306" s="4317"/>
      <c r="DN306" s="4317"/>
      <c r="DO306" s="4317"/>
      <c r="DP306" s="4317"/>
      <c r="DQ306" s="4317"/>
      <c r="DR306" s="4317"/>
      <c r="DS306" s="4317"/>
    </row>
    <row r="307" s="4134" customFormat="1" ht="19.5" customHeight="1" spans="1:123">
      <c r="A307" s="4304" t="s">
        <v>3561</v>
      </c>
      <c r="B307" s="4324"/>
      <c r="C307" s="4324"/>
      <c r="D307" s="4324"/>
      <c r="E307" s="4324"/>
      <c r="F307" s="4300"/>
      <c r="G307" s="4300"/>
      <c r="H307" s="4300"/>
      <c r="I307" s="4300"/>
      <c r="J307" s="4300"/>
      <c r="K307" s="4300"/>
      <c r="L307" s="4300"/>
      <c r="M307" s="4317"/>
      <c r="N307" s="4317"/>
      <c r="O307" s="4340" t="s">
        <v>4975</v>
      </c>
      <c r="P307" s="4317"/>
      <c r="Q307" s="4295"/>
      <c r="R307" s="4317"/>
      <c r="S307" s="4317"/>
      <c r="T307" s="4317"/>
      <c r="U307" s="4317"/>
      <c r="V307" s="4317"/>
      <c r="W307" s="4317"/>
      <c r="X307" s="4317"/>
      <c r="Y307" s="4317"/>
      <c r="Z307" s="4317"/>
      <c r="AA307" s="4317"/>
      <c r="AB307" s="4317"/>
      <c r="AC307" s="4295"/>
      <c r="AD307" s="4317"/>
      <c r="AE307" s="4317"/>
      <c r="AF307" s="4318"/>
      <c r="AG307" s="4318"/>
      <c r="AH307" s="4317"/>
      <c r="AI307" s="4317"/>
      <c r="AJ307" s="4317"/>
      <c r="AK307" s="4317"/>
      <c r="AL307" s="4317"/>
      <c r="AM307" s="4317"/>
      <c r="AN307" s="4317"/>
      <c r="AO307" s="4317"/>
      <c r="AP307" s="4317"/>
      <c r="AQ307" s="4317"/>
      <c r="AR307" s="4317"/>
      <c r="AS307" s="4317"/>
      <c r="AT307" s="4317"/>
      <c r="AU307" s="4317"/>
      <c r="AV307" s="4317"/>
      <c r="AW307" s="4317"/>
      <c r="AX307" s="4317"/>
      <c r="AY307" s="4317"/>
      <c r="AZ307" s="4317"/>
      <c r="BA307" s="4317"/>
      <c r="BB307" s="4317"/>
      <c r="BC307" s="4317"/>
      <c r="BD307" s="4317"/>
      <c r="BE307" s="4317"/>
      <c r="BF307" s="4317"/>
      <c r="BG307" s="4317"/>
      <c r="BH307" s="4317"/>
      <c r="BI307" s="4317"/>
      <c r="BJ307" s="4317"/>
      <c r="BK307" s="4317"/>
      <c r="BL307" s="4317"/>
      <c r="BM307" s="4317"/>
      <c r="BN307" s="4317"/>
      <c r="BO307" s="4317"/>
      <c r="BP307" s="4317"/>
      <c r="BQ307" s="4317"/>
      <c r="BR307" s="4317"/>
      <c r="BS307" s="4317"/>
      <c r="BT307" s="4317"/>
      <c r="BU307" s="4317"/>
      <c r="BV307" s="4317"/>
      <c r="BW307" s="4317"/>
      <c r="BX307" s="4317"/>
      <c r="BY307" s="4317"/>
      <c r="BZ307" s="4317"/>
      <c r="CA307" s="4317"/>
      <c r="CB307" s="4317"/>
      <c r="CC307" s="4317"/>
      <c r="CD307" s="4317"/>
      <c r="CE307" s="4317"/>
      <c r="CF307" s="4317"/>
      <c r="CG307" s="4317"/>
      <c r="CH307" s="4317"/>
      <c r="CI307" s="4317"/>
      <c r="CJ307" s="4317"/>
      <c r="CK307" s="4317"/>
      <c r="CL307" s="4317"/>
      <c r="CM307" s="4317"/>
      <c r="CN307" s="4317"/>
      <c r="CO307" s="4317"/>
      <c r="CP307" s="4317"/>
      <c r="CQ307" s="4317"/>
      <c r="CR307" s="4317"/>
      <c r="CS307" s="4317"/>
      <c r="CT307" s="4317"/>
      <c r="CU307" s="4317"/>
      <c r="CV307" s="4317"/>
      <c r="CW307" s="4317"/>
      <c r="CX307" s="4317"/>
      <c r="CY307" s="4317"/>
      <c r="CZ307" s="4317"/>
      <c r="DA307" s="4317"/>
      <c r="DB307" s="4317"/>
      <c r="DC307" s="4317"/>
      <c r="DD307" s="4317"/>
      <c r="DE307" s="4317"/>
      <c r="DF307" s="4317"/>
      <c r="DG307" s="4317"/>
      <c r="DH307" s="4317"/>
      <c r="DI307" s="4317"/>
      <c r="DJ307" s="4317"/>
      <c r="DK307" s="4317"/>
      <c r="DL307" s="4317"/>
      <c r="DM307" s="4317"/>
      <c r="DN307" s="4317"/>
      <c r="DO307" s="4317"/>
      <c r="DP307" s="4317"/>
      <c r="DQ307" s="4317"/>
      <c r="DR307" s="4317"/>
      <c r="DS307" s="4317"/>
    </row>
    <row r="308" s="4134" customFormat="1" ht="19.5" customHeight="1" spans="1:123">
      <c r="A308" s="4304" t="s">
        <v>3562</v>
      </c>
      <c r="B308" s="4324"/>
      <c r="C308" s="4324"/>
      <c r="D308" s="4324"/>
      <c r="E308" s="4324"/>
      <c r="F308" s="4300"/>
      <c r="G308" s="4300"/>
      <c r="H308" s="4300"/>
      <c r="I308" s="4300"/>
      <c r="J308" s="4300"/>
      <c r="K308" s="4300"/>
      <c r="L308" s="4300"/>
      <c r="M308" s="4317"/>
      <c r="N308" s="4317"/>
      <c r="O308" s="4340" t="s">
        <v>4976</v>
      </c>
      <c r="P308" s="4317"/>
      <c r="Q308" s="4295"/>
      <c r="R308" s="4317"/>
      <c r="S308" s="4317"/>
      <c r="T308" s="4317"/>
      <c r="U308" s="4317"/>
      <c r="V308" s="4317"/>
      <c r="W308" s="4317"/>
      <c r="X308" s="4317"/>
      <c r="Y308" s="4317"/>
      <c r="Z308" s="4317"/>
      <c r="AA308" s="4317"/>
      <c r="AB308" s="4317"/>
      <c r="AC308" s="4295"/>
      <c r="AD308" s="4317"/>
      <c r="AE308" s="4317"/>
      <c r="AF308" s="4319"/>
      <c r="AG308" s="4319"/>
      <c r="AH308" s="4317"/>
      <c r="AI308" s="4317"/>
      <c r="AJ308" s="4317"/>
      <c r="AK308" s="4317"/>
      <c r="AL308" s="4317"/>
      <c r="AM308" s="4317"/>
      <c r="AN308" s="4317"/>
      <c r="AO308" s="4317"/>
      <c r="AP308" s="4317"/>
      <c r="AQ308" s="4317"/>
      <c r="AR308" s="4317"/>
      <c r="AS308" s="4317"/>
      <c r="AT308" s="4317"/>
      <c r="AU308" s="4317"/>
      <c r="AV308" s="4317"/>
      <c r="AW308" s="4317"/>
      <c r="AX308" s="4317"/>
      <c r="AY308" s="4317"/>
      <c r="AZ308" s="4317"/>
      <c r="BA308" s="4317"/>
      <c r="BB308" s="4317"/>
      <c r="BC308" s="4317"/>
      <c r="BD308" s="4317"/>
      <c r="BE308" s="4317"/>
      <c r="BF308" s="4317"/>
      <c r="BG308" s="4317"/>
      <c r="BH308" s="4317"/>
      <c r="BI308" s="4317"/>
      <c r="BJ308" s="4317"/>
      <c r="BK308" s="4317"/>
      <c r="BL308" s="4317"/>
      <c r="BM308" s="4317"/>
      <c r="BN308" s="4317"/>
      <c r="BO308" s="4317"/>
      <c r="BP308" s="4317"/>
      <c r="BQ308" s="4317"/>
      <c r="BR308" s="4317"/>
      <c r="BS308" s="4317"/>
      <c r="BT308" s="4317"/>
      <c r="BU308" s="4317"/>
      <c r="BV308" s="4317"/>
      <c r="BW308" s="4317"/>
      <c r="BX308" s="4317"/>
      <c r="BY308" s="4317"/>
      <c r="BZ308" s="4317"/>
      <c r="CA308" s="4317"/>
      <c r="CB308" s="4317"/>
      <c r="CC308" s="4317"/>
      <c r="CD308" s="4317"/>
      <c r="CE308" s="4317"/>
      <c r="CF308" s="4317"/>
      <c r="CG308" s="4317"/>
      <c r="CH308" s="4317"/>
      <c r="CI308" s="4317"/>
      <c r="CJ308" s="4317"/>
      <c r="CK308" s="4317"/>
      <c r="CL308" s="4317"/>
      <c r="CM308" s="4317"/>
      <c r="CN308" s="4317"/>
      <c r="CO308" s="4317"/>
      <c r="CP308" s="4317"/>
      <c r="CQ308" s="4317"/>
      <c r="CR308" s="4317"/>
      <c r="CS308" s="4317"/>
      <c r="CT308" s="4317"/>
      <c r="CU308" s="4317"/>
      <c r="CV308" s="4317"/>
      <c r="CW308" s="4317"/>
      <c r="CX308" s="4317"/>
      <c r="CY308" s="4317"/>
      <c r="CZ308" s="4317"/>
      <c r="DA308" s="4317"/>
      <c r="DB308" s="4317"/>
      <c r="DC308" s="4317"/>
      <c r="DD308" s="4317"/>
      <c r="DE308" s="4317"/>
      <c r="DF308" s="4317"/>
      <c r="DG308" s="4317"/>
      <c r="DH308" s="4317"/>
      <c r="DI308" s="4317"/>
      <c r="DJ308" s="4317"/>
      <c r="DK308" s="4317"/>
      <c r="DL308" s="4317"/>
      <c r="DM308" s="4317"/>
      <c r="DN308" s="4317"/>
      <c r="DO308" s="4317"/>
      <c r="DP308" s="4317"/>
      <c r="DQ308" s="4317"/>
      <c r="DR308" s="4317"/>
      <c r="DS308" s="4317"/>
    </row>
    <row r="309" s="4134" customFormat="1" ht="19.5" customHeight="1" spans="1:123">
      <c r="A309" s="4304" t="s">
        <v>3563</v>
      </c>
      <c r="B309" s="4324"/>
      <c r="C309" s="4324"/>
      <c r="D309" s="4324"/>
      <c r="E309" s="4324"/>
      <c r="F309" s="4300"/>
      <c r="G309" s="4300"/>
      <c r="H309" s="4300"/>
      <c r="I309" s="4300"/>
      <c r="J309" s="4300"/>
      <c r="K309" s="4300"/>
      <c r="L309" s="4300"/>
      <c r="M309" s="4317"/>
      <c r="N309" s="4317"/>
      <c r="O309" s="4340" t="s">
        <v>4977</v>
      </c>
      <c r="P309" s="4317"/>
      <c r="Q309" s="4295"/>
      <c r="R309" s="4317"/>
      <c r="S309" s="4317"/>
      <c r="T309" s="4317"/>
      <c r="U309" s="4317"/>
      <c r="V309" s="4317"/>
      <c r="W309" s="4317"/>
      <c r="X309" s="4317"/>
      <c r="Y309" s="4317"/>
      <c r="Z309" s="4317"/>
      <c r="AA309" s="4317"/>
      <c r="AB309" s="4317"/>
      <c r="AC309" s="4295"/>
      <c r="AD309" s="4317"/>
      <c r="AE309" s="4317"/>
      <c r="AF309" s="4319"/>
      <c r="AG309" s="4319"/>
      <c r="AH309" s="4317"/>
      <c r="AI309" s="4317"/>
      <c r="AJ309" s="4317"/>
      <c r="AK309" s="4317"/>
      <c r="AL309" s="4317"/>
      <c r="AM309" s="4317"/>
      <c r="AN309" s="4317"/>
      <c r="AO309" s="4317"/>
      <c r="AP309" s="4317"/>
      <c r="AQ309" s="4317"/>
      <c r="AR309" s="4317"/>
      <c r="AS309" s="4317"/>
      <c r="AT309" s="4317"/>
      <c r="AU309" s="4317"/>
      <c r="AV309" s="4317"/>
      <c r="AW309" s="4317"/>
      <c r="AX309" s="4317"/>
      <c r="AY309" s="4317"/>
      <c r="AZ309" s="4317"/>
      <c r="BA309" s="4317"/>
      <c r="BB309" s="4317"/>
      <c r="BC309" s="4317"/>
      <c r="BD309" s="4317"/>
      <c r="BE309" s="4317"/>
      <c r="BF309" s="4317"/>
      <c r="BG309" s="4317"/>
      <c r="BH309" s="4317"/>
      <c r="BI309" s="4317"/>
      <c r="BJ309" s="4317"/>
      <c r="BK309" s="4317"/>
      <c r="BL309" s="4317"/>
      <c r="BM309" s="4317"/>
      <c r="BN309" s="4317"/>
      <c r="BO309" s="4317"/>
      <c r="BP309" s="4317"/>
      <c r="BQ309" s="4317"/>
      <c r="BR309" s="4317"/>
      <c r="BS309" s="4317"/>
      <c r="BT309" s="4317"/>
      <c r="BU309" s="4317"/>
      <c r="BV309" s="4317"/>
      <c r="BW309" s="4317"/>
      <c r="BX309" s="4317"/>
      <c r="BY309" s="4317"/>
      <c r="BZ309" s="4317"/>
      <c r="CA309" s="4317"/>
      <c r="CB309" s="4317"/>
      <c r="CC309" s="4317"/>
      <c r="CD309" s="4317"/>
      <c r="CE309" s="4317"/>
      <c r="CF309" s="4317"/>
      <c r="CG309" s="4317"/>
      <c r="CH309" s="4317"/>
      <c r="CI309" s="4317"/>
      <c r="CJ309" s="4317"/>
      <c r="CK309" s="4317"/>
      <c r="CL309" s="4317"/>
      <c r="CM309" s="4317"/>
      <c r="CN309" s="4317"/>
      <c r="CO309" s="4317"/>
      <c r="CP309" s="4317"/>
      <c r="CQ309" s="4317"/>
      <c r="CR309" s="4317"/>
      <c r="CS309" s="4317"/>
      <c r="CT309" s="4317"/>
      <c r="CU309" s="4317"/>
      <c r="CV309" s="4317"/>
      <c r="CW309" s="4317"/>
      <c r="CX309" s="4317"/>
      <c r="CY309" s="4317"/>
      <c r="CZ309" s="4317"/>
      <c r="DA309" s="4317"/>
      <c r="DB309" s="4317"/>
      <c r="DC309" s="4317"/>
      <c r="DD309" s="4317"/>
      <c r="DE309" s="4317"/>
      <c r="DF309" s="4317"/>
      <c r="DG309" s="4317"/>
      <c r="DH309" s="4317"/>
      <c r="DI309" s="4317"/>
      <c r="DJ309" s="4317"/>
      <c r="DK309" s="4317"/>
      <c r="DL309" s="4317"/>
      <c r="DM309" s="4317"/>
      <c r="DN309" s="4317"/>
      <c r="DO309" s="4317"/>
      <c r="DP309" s="4317"/>
      <c r="DQ309" s="4317"/>
      <c r="DR309" s="4317"/>
      <c r="DS309" s="4317"/>
    </row>
    <row r="310" s="4134" customFormat="1" ht="19.5" customHeight="1" spans="1:123">
      <c r="A310" s="4304" t="s">
        <v>3571</v>
      </c>
      <c r="B310" s="4324"/>
      <c r="C310" s="4324"/>
      <c r="D310" s="4324"/>
      <c r="E310" s="4324"/>
      <c r="F310" s="4300">
        <v>0</v>
      </c>
      <c r="G310" s="4300"/>
      <c r="H310" s="4300"/>
      <c r="I310" s="4300"/>
      <c r="J310" s="4300"/>
      <c r="K310" s="4300"/>
      <c r="L310" s="4300"/>
      <c r="M310" s="4317"/>
      <c r="N310" s="4317"/>
      <c r="O310" s="4340" t="s">
        <v>4978</v>
      </c>
      <c r="P310" s="4317"/>
      <c r="Q310" s="4295"/>
      <c r="R310" s="4317"/>
      <c r="S310" s="4317"/>
      <c r="T310" s="4317"/>
      <c r="U310" s="4317"/>
      <c r="V310" s="4317"/>
      <c r="W310" s="4317"/>
      <c r="X310" s="4317"/>
      <c r="Y310" s="4317"/>
      <c r="Z310" s="4317"/>
      <c r="AA310" s="4317"/>
      <c r="AB310" s="4317"/>
      <c r="AC310" s="4295"/>
      <c r="AD310" s="4317"/>
      <c r="AE310" s="4317"/>
      <c r="AF310" s="4319"/>
      <c r="AG310" s="4319"/>
      <c r="AH310" s="4317"/>
      <c r="AI310" s="4317"/>
      <c r="AJ310" s="4317"/>
      <c r="AK310" s="4317"/>
      <c r="AL310" s="4317"/>
      <c r="AM310" s="4317"/>
      <c r="AN310" s="4317"/>
      <c r="AO310" s="4317"/>
      <c r="AP310" s="4317"/>
      <c r="AQ310" s="4317"/>
      <c r="AR310" s="4317"/>
      <c r="AS310" s="4317"/>
      <c r="AT310" s="4317"/>
      <c r="AU310" s="4317"/>
      <c r="AV310" s="4317"/>
      <c r="AW310" s="4317"/>
      <c r="AX310" s="4317"/>
      <c r="AY310" s="4317"/>
      <c r="AZ310" s="4317"/>
      <c r="BA310" s="4317"/>
      <c r="BB310" s="4317"/>
      <c r="BC310" s="4317"/>
      <c r="BD310" s="4317"/>
      <c r="BE310" s="4317"/>
      <c r="BF310" s="4317"/>
      <c r="BG310" s="4317"/>
      <c r="BH310" s="4317"/>
      <c r="BI310" s="4317"/>
      <c r="BJ310" s="4317"/>
      <c r="BK310" s="4317"/>
      <c r="BL310" s="4317"/>
      <c r="BM310" s="4317"/>
      <c r="BN310" s="4317"/>
      <c r="BO310" s="4317"/>
      <c r="BP310" s="4317"/>
      <c r="BQ310" s="4317"/>
      <c r="BR310" s="4317"/>
      <c r="BS310" s="4317"/>
      <c r="BT310" s="4317"/>
      <c r="BU310" s="4317"/>
      <c r="BV310" s="4317"/>
      <c r="BW310" s="4317"/>
      <c r="BX310" s="4317"/>
      <c r="BY310" s="4317"/>
      <c r="BZ310" s="4317"/>
      <c r="CA310" s="4317"/>
      <c r="CB310" s="4317"/>
      <c r="CC310" s="4317"/>
      <c r="CD310" s="4317"/>
      <c r="CE310" s="4317"/>
      <c r="CF310" s="4317"/>
      <c r="CG310" s="4317"/>
      <c r="CH310" s="4317"/>
      <c r="CI310" s="4317"/>
      <c r="CJ310" s="4317"/>
      <c r="CK310" s="4317"/>
      <c r="CL310" s="4317"/>
      <c r="CM310" s="4317"/>
      <c r="CN310" s="4317"/>
      <c r="CO310" s="4317"/>
      <c r="CP310" s="4317"/>
      <c r="CQ310" s="4317"/>
      <c r="CR310" s="4317"/>
      <c r="CS310" s="4317"/>
      <c r="CT310" s="4317"/>
      <c r="CU310" s="4317"/>
      <c r="CV310" s="4317"/>
      <c r="CW310" s="4317"/>
      <c r="CX310" s="4317"/>
      <c r="CY310" s="4317"/>
      <c r="CZ310" s="4317"/>
      <c r="DA310" s="4317"/>
      <c r="DB310" s="4317"/>
      <c r="DC310" s="4317"/>
      <c r="DD310" s="4317"/>
      <c r="DE310" s="4317"/>
      <c r="DF310" s="4317"/>
      <c r="DG310" s="4317"/>
      <c r="DH310" s="4317"/>
      <c r="DI310" s="4317"/>
      <c r="DJ310" s="4317"/>
      <c r="DK310" s="4317"/>
      <c r="DL310" s="4317"/>
      <c r="DM310" s="4317"/>
      <c r="DN310" s="4317"/>
      <c r="DO310" s="4317"/>
      <c r="DP310" s="4317"/>
      <c r="DQ310" s="4317"/>
      <c r="DR310" s="4317"/>
      <c r="DS310" s="4317"/>
    </row>
    <row r="311" s="4134" customFormat="1" ht="19.5" customHeight="1" spans="1:123">
      <c r="A311" s="4312" t="s">
        <v>4979</v>
      </c>
      <c r="B311" s="4313"/>
      <c r="C311" s="4313"/>
      <c r="D311" s="4313"/>
      <c r="E311" s="4313"/>
      <c r="F311" s="4314">
        <f>SUM(F306:L310)</f>
        <v>0</v>
      </c>
      <c r="G311" s="4314"/>
      <c r="H311" s="4314"/>
      <c r="I311" s="4314"/>
      <c r="J311" s="4314"/>
      <c r="K311" s="4314"/>
      <c r="L311" s="4314"/>
      <c r="M311" s="4317"/>
      <c r="N311" s="4317"/>
      <c r="O311" s="4342" t="s">
        <v>4980</v>
      </c>
      <c r="P311" s="4317"/>
      <c r="Q311" s="4295"/>
      <c r="R311" s="4317"/>
      <c r="S311" s="4317"/>
      <c r="T311" s="4317"/>
      <c r="U311" s="4317"/>
      <c r="V311" s="4317"/>
      <c r="W311" s="4317"/>
      <c r="X311" s="4317"/>
      <c r="Y311" s="4317"/>
      <c r="Z311" s="4317"/>
      <c r="AA311" s="4317"/>
      <c r="AB311" s="4317"/>
      <c r="AC311" s="4295"/>
      <c r="AD311" s="4317"/>
      <c r="AE311" s="4317"/>
      <c r="AF311" s="4319"/>
      <c r="AG311" s="4319"/>
      <c r="AH311" s="4317"/>
      <c r="AI311" s="4317"/>
      <c r="AJ311" s="4317"/>
      <c r="AK311" s="4317"/>
      <c r="AL311" s="4317"/>
      <c r="AM311" s="4317"/>
      <c r="AN311" s="4317"/>
      <c r="AO311" s="4317"/>
      <c r="AP311" s="4317"/>
      <c r="AQ311" s="4317"/>
      <c r="AR311" s="4317"/>
      <c r="AS311" s="4317"/>
      <c r="AT311" s="4317"/>
      <c r="AU311" s="4317"/>
      <c r="AV311" s="4317"/>
      <c r="AW311" s="4317"/>
      <c r="AX311" s="4317"/>
      <c r="AY311" s="4317"/>
      <c r="AZ311" s="4317"/>
      <c r="BA311" s="4317"/>
      <c r="BB311" s="4317"/>
      <c r="BC311" s="4317"/>
      <c r="BD311" s="4317"/>
      <c r="BE311" s="4317"/>
      <c r="BF311" s="4317"/>
      <c r="BG311" s="4317"/>
      <c r="BH311" s="4317"/>
      <c r="BI311" s="4317"/>
      <c r="BJ311" s="4317"/>
      <c r="BK311" s="4317"/>
      <c r="BL311" s="4317"/>
      <c r="BM311" s="4317"/>
      <c r="BN311" s="4317"/>
      <c r="BO311" s="4317"/>
      <c r="BP311" s="4317"/>
      <c r="BQ311" s="4317"/>
      <c r="BR311" s="4317"/>
      <c r="BS311" s="4317"/>
      <c r="BT311" s="4317"/>
      <c r="BU311" s="4317"/>
      <c r="BV311" s="4317"/>
      <c r="BW311" s="4317"/>
      <c r="BX311" s="4317"/>
      <c r="BY311" s="4317"/>
      <c r="BZ311" s="4317"/>
      <c r="CA311" s="4317"/>
      <c r="CB311" s="4317"/>
      <c r="CC311" s="4317"/>
      <c r="CD311" s="4317"/>
      <c r="CE311" s="4317"/>
      <c r="CF311" s="4317"/>
      <c r="CG311" s="4317"/>
      <c r="CH311" s="4317"/>
      <c r="CI311" s="4317"/>
      <c r="CJ311" s="4317"/>
      <c r="CK311" s="4317"/>
      <c r="CL311" s="4317"/>
      <c r="CM311" s="4317"/>
      <c r="CN311" s="4317"/>
      <c r="CO311" s="4317"/>
      <c r="CP311" s="4317"/>
      <c r="CQ311" s="4317"/>
      <c r="CR311" s="4317"/>
      <c r="CS311" s="4317"/>
      <c r="CT311" s="4317"/>
      <c r="CU311" s="4317"/>
      <c r="CV311" s="4317"/>
      <c r="CW311" s="4317"/>
      <c r="CX311" s="4317"/>
      <c r="CY311" s="4317"/>
      <c r="CZ311" s="4317"/>
      <c r="DA311" s="4317"/>
      <c r="DB311" s="4317"/>
      <c r="DC311" s="4317"/>
      <c r="DD311" s="4317"/>
      <c r="DE311" s="4317"/>
      <c r="DF311" s="4317"/>
      <c r="DG311" s="4317"/>
      <c r="DH311" s="4317"/>
      <c r="DI311" s="4317"/>
      <c r="DJ311" s="4317"/>
      <c r="DK311" s="4317"/>
      <c r="DL311" s="4317"/>
      <c r="DM311" s="4317"/>
      <c r="DN311" s="4317"/>
      <c r="DO311" s="4317"/>
      <c r="DP311" s="4317"/>
      <c r="DQ311" s="4317"/>
      <c r="DR311" s="4317"/>
      <c r="DS311" s="4317"/>
    </row>
    <row r="312" s="4134" customFormat="1" ht="19.5" customHeight="1" spans="1:123">
      <c r="A312" s="4298" t="s">
        <v>4981</v>
      </c>
      <c r="B312" s="4299"/>
      <c r="C312" s="4299"/>
      <c r="D312" s="4299"/>
      <c r="E312" s="4299"/>
      <c r="F312" s="4300"/>
      <c r="G312" s="4300"/>
      <c r="H312" s="4300"/>
      <c r="I312" s="4300"/>
      <c r="J312" s="4300"/>
      <c r="K312" s="4300"/>
      <c r="L312" s="4300"/>
      <c r="M312" s="4317"/>
      <c r="N312" s="4317"/>
      <c r="O312" s="4340" t="s">
        <v>4982</v>
      </c>
      <c r="P312" s="4317"/>
      <c r="Q312" s="4295"/>
      <c r="R312" s="4317"/>
      <c r="S312" s="4317"/>
      <c r="T312" s="4317"/>
      <c r="U312" s="4317"/>
      <c r="V312" s="4317"/>
      <c r="W312" s="4317"/>
      <c r="X312" s="4317"/>
      <c r="Y312" s="4317"/>
      <c r="Z312" s="4317"/>
      <c r="AA312" s="4317"/>
      <c r="AB312" s="4317"/>
      <c r="AC312" s="4295"/>
      <c r="AD312" s="4317"/>
      <c r="AE312" s="4317"/>
      <c r="AF312" s="4319"/>
      <c r="AG312" s="4319"/>
      <c r="AH312" s="4317"/>
      <c r="AI312" s="4317"/>
      <c r="AJ312" s="4317"/>
      <c r="AK312" s="4317"/>
      <c r="AL312" s="4317"/>
      <c r="AM312" s="4317"/>
      <c r="AN312" s="4317"/>
      <c r="AO312" s="4317"/>
      <c r="AP312" s="4317"/>
      <c r="AQ312" s="4317"/>
      <c r="AR312" s="4317"/>
      <c r="AS312" s="4317"/>
      <c r="AT312" s="4317"/>
      <c r="AU312" s="4317"/>
      <c r="AV312" s="4317"/>
      <c r="AW312" s="4317"/>
      <c r="AX312" s="4317"/>
      <c r="AY312" s="4317"/>
      <c r="AZ312" s="4317"/>
      <c r="BA312" s="4317"/>
      <c r="BB312" s="4317"/>
      <c r="BC312" s="4317"/>
      <c r="BD312" s="4317"/>
      <c r="BE312" s="4317"/>
      <c r="BF312" s="4317"/>
      <c r="BG312" s="4317"/>
      <c r="BH312" s="4317"/>
      <c r="BI312" s="4317"/>
      <c r="BJ312" s="4317"/>
      <c r="BK312" s="4317"/>
      <c r="BL312" s="4317"/>
      <c r="BM312" s="4317"/>
      <c r="BN312" s="4317"/>
      <c r="BO312" s="4317"/>
      <c r="BP312" s="4317"/>
      <c r="BQ312" s="4317"/>
      <c r="BR312" s="4317"/>
      <c r="BS312" s="4317"/>
      <c r="BT312" s="4317"/>
      <c r="BU312" s="4317"/>
      <c r="BV312" s="4317"/>
      <c r="BW312" s="4317"/>
      <c r="BX312" s="4317"/>
      <c r="BY312" s="4317"/>
      <c r="BZ312" s="4317"/>
      <c r="CA312" s="4317"/>
      <c r="CB312" s="4317"/>
      <c r="CC312" s="4317"/>
      <c r="CD312" s="4317"/>
      <c r="CE312" s="4317"/>
      <c r="CF312" s="4317"/>
      <c r="CG312" s="4317"/>
      <c r="CH312" s="4317"/>
      <c r="CI312" s="4317"/>
      <c r="CJ312" s="4317"/>
      <c r="CK312" s="4317"/>
      <c r="CL312" s="4317"/>
      <c r="CM312" s="4317"/>
      <c r="CN312" s="4317"/>
      <c r="CO312" s="4317"/>
      <c r="CP312" s="4317"/>
      <c r="CQ312" s="4317"/>
      <c r="CR312" s="4317"/>
      <c r="CS312" s="4317"/>
      <c r="CT312" s="4317"/>
      <c r="CU312" s="4317"/>
      <c r="CV312" s="4317"/>
      <c r="CW312" s="4317"/>
      <c r="CX312" s="4317"/>
      <c r="CY312" s="4317"/>
      <c r="CZ312" s="4317"/>
      <c r="DA312" s="4317"/>
      <c r="DB312" s="4317"/>
      <c r="DC312" s="4317"/>
      <c r="DD312" s="4317"/>
      <c r="DE312" s="4317"/>
      <c r="DF312" s="4317"/>
      <c r="DG312" s="4317"/>
      <c r="DH312" s="4317"/>
      <c r="DI312" s="4317"/>
      <c r="DJ312" s="4317"/>
      <c r="DK312" s="4317"/>
      <c r="DL312" s="4317"/>
      <c r="DM312" s="4317"/>
      <c r="DN312" s="4317"/>
      <c r="DO312" s="4317"/>
      <c r="DP312" s="4317"/>
      <c r="DQ312" s="4317"/>
      <c r="DR312" s="4317"/>
      <c r="DS312" s="4317"/>
    </row>
    <row r="313" s="4134" customFormat="1" ht="19.5" customHeight="1" spans="1:123">
      <c r="A313" s="4298" t="s">
        <v>4983</v>
      </c>
      <c r="B313" s="4299"/>
      <c r="C313" s="4299"/>
      <c r="D313" s="4299"/>
      <c r="E313" s="4299"/>
      <c r="F313" s="4300"/>
      <c r="G313" s="4300"/>
      <c r="H313" s="4300"/>
      <c r="I313" s="4300"/>
      <c r="J313" s="4300"/>
      <c r="K313" s="4300"/>
      <c r="L313" s="4300"/>
      <c r="M313" s="4317"/>
      <c r="N313" s="4317"/>
      <c r="O313" s="4340" t="s">
        <v>4984</v>
      </c>
      <c r="P313" s="4317"/>
      <c r="Q313" s="4295"/>
      <c r="R313" s="4317"/>
      <c r="S313" s="4317"/>
      <c r="T313" s="4317"/>
      <c r="U313" s="4317"/>
      <c r="V313" s="4317"/>
      <c r="W313" s="4317"/>
      <c r="X313" s="4317"/>
      <c r="Y313" s="4317"/>
      <c r="Z313" s="4317"/>
      <c r="AA313" s="4317"/>
      <c r="AB313" s="4317"/>
      <c r="AC313" s="4295"/>
      <c r="AD313" s="4317"/>
      <c r="AE313" s="4317"/>
      <c r="AF313" s="4319"/>
      <c r="AG313" s="4319"/>
      <c r="AH313" s="4317"/>
      <c r="AI313" s="4317"/>
      <c r="AJ313" s="4317"/>
      <c r="AK313" s="4317"/>
      <c r="AL313" s="4317"/>
      <c r="AM313" s="4317"/>
      <c r="AN313" s="4317"/>
      <c r="AO313" s="4317"/>
      <c r="AP313" s="4317"/>
      <c r="AQ313" s="4317"/>
      <c r="AR313" s="4317"/>
      <c r="AS313" s="4317"/>
      <c r="AT313" s="4317"/>
      <c r="AU313" s="4317"/>
      <c r="AV313" s="4317"/>
      <c r="AW313" s="4317"/>
      <c r="AX313" s="4317"/>
      <c r="AY313" s="4317"/>
      <c r="AZ313" s="4317"/>
      <c r="BA313" s="4317"/>
      <c r="BB313" s="4317"/>
      <c r="BC313" s="4317"/>
      <c r="BD313" s="4317"/>
      <c r="BE313" s="4317"/>
      <c r="BF313" s="4317"/>
      <c r="BG313" s="4317"/>
      <c r="BH313" s="4317"/>
      <c r="BI313" s="4317"/>
      <c r="BJ313" s="4317"/>
      <c r="BK313" s="4317"/>
      <c r="BL313" s="4317"/>
      <c r="BM313" s="4317"/>
      <c r="BN313" s="4317"/>
      <c r="BO313" s="4317"/>
      <c r="BP313" s="4317"/>
      <c r="BQ313" s="4317"/>
      <c r="BR313" s="4317"/>
      <c r="BS313" s="4317"/>
      <c r="BT313" s="4317"/>
      <c r="BU313" s="4317"/>
      <c r="BV313" s="4317"/>
      <c r="BW313" s="4317"/>
      <c r="BX313" s="4317"/>
      <c r="BY313" s="4317"/>
      <c r="BZ313" s="4317"/>
      <c r="CA313" s="4317"/>
      <c r="CB313" s="4317"/>
      <c r="CC313" s="4317"/>
      <c r="CD313" s="4317"/>
      <c r="CE313" s="4317"/>
      <c r="CF313" s="4317"/>
      <c r="CG313" s="4317"/>
      <c r="CH313" s="4317"/>
      <c r="CI313" s="4317"/>
      <c r="CJ313" s="4317"/>
      <c r="CK313" s="4317"/>
      <c r="CL313" s="4317"/>
      <c r="CM313" s="4317"/>
      <c r="CN313" s="4317"/>
      <c r="CO313" s="4317"/>
      <c r="CP313" s="4317"/>
      <c r="CQ313" s="4317"/>
      <c r="CR313" s="4317"/>
      <c r="CS313" s="4317"/>
      <c r="CT313" s="4317"/>
      <c r="CU313" s="4317"/>
      <c r="CV313" s="4317"/>
      <c r="CW313" s="4317"/>
      <c r="CX313" s="4317"/>
      <c r="CY313" s="4317"/>
      <c r="CZ313" s="4317"/>
      <c r="DA313" s="4317"/>
      <c r="DB313" s="4317"/>
      <c r="DC313" s="4317"/>
      <c r="DD313" s="4317"/>
      <c r="DE313" s="4317"/>
      <c r="DF313" s="4317"/>
      <c r="DG313" s="4317"/>
      <c r="DH313" s="4317"/>
      <c r="DI313" s="4317"/>
      <c r="DJ313" s="4317"/>
      <c r="DK313" s="4317"/>
      <c r="DL313" s="4317"/>
      <c r="DM313" s="4317"/>
      <c r="DN313" s="4317"/>
      <c r="DO313" s="4317"/>
      <c r="DP313" s="4317"/>
      <c r="DQ313" s="4317"/>
      <c r="DR313" s="4317"/>
      <c r="DS313" s="4317"/>
    </row>
    <row r="314" s="4134" customFormat="1" ht="19.5" customHeight="1" spans="1:123">
      <c r="A314" s="4304" t="s">
        <v>3572</v>
      </c>
      <c r="B314" s="4324"/>
      <c r="C314" s="4324"/>
      <c r="D314" s="4324"/>
      <c r="E314" s="4324"/>
      <c r="F314" s="4306">
        <f>SUM(F312:L313)</f>
        <v>0</v>
      </c>
      <c r="G314" s="4306"/>
      <c r="H314" s="4306"/>
      <c r="I314" s="4306"/>
      <c r="J314" s="4306"/>
      <c r="K314" s="4306"/>
      <c r="L314" s="4306"/>
      <c r="M314" s="4317"/>
      <c r="N314" s="4317"/>
      <c r="O314" s="4340" t="s">
        <v>4985</v>
      </c>
      <c r="P314" s="4317"/>
      <c r="Q314" s="4295"/>
      <c r="R314" s="4317"/>
      <c r="S314" s="4317"/>
      <c r="T314" s="4317"/>
      <c r="U314" s="4317"/>
      <c r="V314" s="4317"/>
      <c r="W314" s="4317"/>
      <c r="X314" s="4317"/>
      <c r="Y314" s="4317"/>
      <c r="Z314" s="4317"/>
      <c r="AA314" s="4317"/>
      <c r="AB314" s="4317"/>
      <c r="AC314" s="4295"/>
      <c r="AD314" s="4317"/>
      <c r="AE314" s="4317"/>
      <c r="AF314" s="4319"/>
      <c r="AG314" s="4319"/>
      <c r="AH314" s="4317"/>
      <c r="AI314" s="4317"/>
      <c r="AJ314" s="4317"/>
      <c r="AK314" s="4317"/>
      <c r="AL314" s="4317"/>
      <c r="AM314" s="4317"/>
      <c r="AN314" s="4317"/>
      <c r="AO314" s="4317"/>
      <c r="AP314" s="4317"/>
      <c r="AQ314" s="4317"/>
      <c r="AR314" s="4317"/>
      <c r="AS314" s="4317"/>
      <c r="AT314" s="4317"/>
      <c r="AU314" s="4317"/>
      <c r="AV314" s="4317"/>
      <c r="AW314" s="4317"/>
      <c r="AX314" s="4317"/>
      <c r="AY314" s="4317"/>
      <c r="AZ314" s="4317"/>
      <c r="BA314" s="4317"/>
      <c r="BB314" s="4317"/>
      <c r="BC314" s="4317"/>
      <c r="BD314" s="4317"/>
      <c r="BE314" s="4317"/>
      <c r="BF314" s="4317"/>
      <c r="BG314" s="4317"/>
      <c r="BH314" s="4317"/>
      <c r="BI314" s="4317"/>
      <c r="BJ314" s="4317"/>
      <c r="BK314" s="4317"/>
      <c r="BL314" s="4317"/>
      <c r="BM314" s="4317"/>
      <c r="BN314" s="4317"/>
      <c r="BO314" s="4317"/>
      <c r="BP314" s="4317"/>
      <c r="BQ314" s="4317"/>
      <c r="BR314" s="4317"/>
      <c r="BS314" s="4317"/>
      <c r="BT314" s="4317"/>
      <c r="BU314" s="4317"/>
      <c r="BV314" s="4317"/>
      <c r="BW314" s="4317"/>
      <c r="BX314" s="4317"/>
      <c r="BY314" s="4317"/>
      <c r="BZ314" s="4317"/>
      <c r="CA314" s="4317"/>
      <c r="CB314" s="4317"/>
      <c r="CC314" s="4317"/>
      <c r="CD314" s="4317"/>
      <c r="CE314" s="4317"/>
      <c r="CF314" s="4317"/>
      <c r="CG314" s="4317"/>
      <c r="CH314" s="4317"/>
      <c r="CI314" s="4317"/>
      <c r="CJ314" s="4317"/>
      <c r="CK314" s="4317"/>
      <c r="CL314" s="4317"/>
      <c r="CM314" s="4317"/>
      <c r="CN314" s="4317"/>
      <c r="CO314" s="4317"/>
      <c r="CP314" s="4317"/>
      <c r="CQ314" s="4317"/>
      <c r="CR314" s="4317"/>
      <c r="CS314" s="4317"/>
      <c r="CT314" s="4317"/>
      <c r="CU314" s="4317"/>
      <c r="CV314" s="4317"/>
      <c r="CW314" s="4317"/>
      <c r="CX314" s="4317"/>
      <c r="CY314" s="4317"/>
      <c r="CZ314" s="4317"/>
      <c r="DA314" s="4317"/>
      <c r="DB314" s="4317"/>
      <c r="DC314" s="4317"/>
      <c r="DD314" s="4317"/>
      <c r="DE314" s="4317"/>
      <c r="DF314" s="4317"/>
      <c r="DG314" s="4317"/>
      <c r="DH314" s="4317"/>
      <c r="DI314" s="4317"/>
      <c r="DJ314" s="4317"/>
      <c r="DK314" s="4317"/>
      <c r="DL314" s="4317"/>
      <c r="DM314" s="4317"/>
      <c r="DN314" s="4317"/>
      <c r="DO314" s="4317"/>
      <c r="DP314" s="4317"/>
      <c r="DQ314" s="4317"/>
      <c r="DR314" s="4317"/>
      <c r="DS314" s="4317"/>
    </row>
    <row r="315" s="4134" customFormat="1" ht="19.5" customHeight="1" spans="1:123">
      <c r="A315" s="4304" t="s">
        <v>608</v>
      </c>
      <c r="B315" s="4324"/>
      <c r="C315" s="4324"/>
      <c r="D315" s="4324"/>
      <c r="E315" s="4324"/>
      <c r="F315" s="4300"/>
      <c r="G315" s="4300"/>
      <c r="H315" s="4300"/>
      <c r="I315" s="4300"/>
      <c r="J315" s="4300"/>
      <c r="K315" s="4300"/>
      <c r="L315" s="4300"/>
      <c r="M315" s="4317"/>
      <c r="N315" s="4317"/>
      <c r="O315" s="4340" t="s">
        <v>4986</v>
      </c>
      <c r="P315" s="4317"/>
      <c r="Q315" s="4295"/>
      <c r="R315" s="4317"/>
      <c r="S315" s="4317"/>
      <c r="T315" s="4317"/>
      <c r="U315" s="4317"/>
      <c r="V315" s="4317"/>
      <c r="W315" s="4317"/>
      <c r="X315" s="4317"/>
      <c r="Y315" s="4317"/>
      <c r="Z315" s="4317"/>
      <c r="AA315" s="4317"/>
      <c r="AB315" s="4317"/>
      <c r="AC315" s="4295"/>
      <c r="AD315" s="4317"/>
      <c r="AE315" s="4317"/>
      <c r="AF315" s="4319"/>
      <c r="AG315" s="4319"/>
      <c r="AH315" s="4317"/>
      <c r="AI315" s="4317"/>
      <c r="AJ315" s="4317"/>
      <c r="AK315" s="4317"/>
      <c r="AL315" s="4317"/>
      <c r="AM315" s="4317"/>
      <c r="AN315" s="4317"/>
      <c r="AO315" s="4317"/>
      <c r="AP315" s="4317"/>
      <c r="AQ315" s="4317"/>
      <c r="AR315" s="4317"/>
      <c r="AS315" s="4317"/>
      <c r="AT315" s="4317"/>
      <c r="AU315" s="4317"/>
      <c r="AV315" s="4317"/>
      <c r="AW315" s="4317"/>
      <c r="AX315" s="4317"/>
      <c r="AY315" s="4317"/>
      <c r="AZ315" s="4317"/>
      <c r="BA315" s="4317"/>
      <c r="BB315" s="4317"/>
      <c r="BC315" s="4317"/>
      <c r="BD315" s="4317"/>
      <c r="BE315" s="4317"/>
      <c r="BF315" s="4317"/>
      <c r="BG315" s="4317"/>
      <c r="BH315" s="4317"/>
      <c r="BI315" s="4317"/>
      <c r="BJ315" s="4317"/>
      <c r="BK315" s="4317"/>
      <c r="BL315" s="4317"/>
      <c r="BM315" s="4317"/>
      <c r="BN315" s="4317"/>
      <c r="BO315" s="4317"/>
      <c r="BP315" s="4317"/>
      <c r="BQ315" s="4317"/>
      <c r="BR315" s="4317"/>
      <c r="BS315" s="4317"/>
      <c r="BT315" s="4317"/>
      <c r="BU315" s="4317"/>
      <c r="BV315" s="4317"/>
      <c r="BW315" s="4317"/>
      <c r="BX315" s="4317"/>
      <c r="BY315" s="4317"/>
      <c r="BZ315" s="4317"/>
      <c r="CA315" s="4317"/>
      <c r="CB315" s="4317"/>
      <c r="CC315" s="4317"/>
      <c r="CD315" s="4317"/>
      <c r="CE315" s="4317"/>
      <c r="CF315" s="4317"/>
      <c r="CG315" s="4317"/>
      <c r="CH315" s="4317"/>
      <c r="CI315" s="4317"/>
      <c r="CJ315" s="4317"/>
      <c r="CK315" s="4317"/>
      <c r="CL315" s="4317"/>
      <c r="CM315" s="4317"/>
      <c r="CN315" s="4317"/>
      <c r="CO315" s="4317"/>
      <c r="CP315" s="4317"/>
      <c r="CQ315" s="4317"/>
      <c r="CR315" s="4317"/>
      <c r="CS315" s="4317"/>
      <c r="CT315" s="4317"/>
      <c r="CU315" s="4317"/>
      <c r="CV315" s="4317"/>
      <c r="CW315" s="4317"/>
      <c r="CX315" s="4317"/>
      <c r="CY315" s="4317"/>
      <c r="CZ315" s="4317"/>
      <c r="DA315" s="4317"/>
      <c r="DB315" s="4317"/>
      <c r="DC315" s="4317"/>
      <c r="DD315" s="4317"/>
      <c r="DE315" s="4317"/>
      <c r="DF315" s="4317"/>
      <c r="DG315" s="4317"/>
      <c r="DH315" s="4317"/>
      <c r="DI315" s="4317"/>
      <c r="DJ315" s="4317"/>
      <c r="DK315" s="4317"/>
      <c r="DL315" s="4317"/>
      <c r="DM315" s="4317"/>
      <c r="DN315" s="4317"/>
      <c r="DO315" s="4317"/>
      <c r="DP315" s="4317"/>
      <c r="DQ315" s="4317"/>
      <c r="DR315" s="4317"/>
      <c r="DS315" s="4317"/>
    </row>
    <row r="316" s="4134" customFormat="1" ht="19.5" customHeight="1" spans="1:123">
      <c r="A316" s="4304" t="s">
        <v>620</v>
      </c>
      <c r="B316" s="4324"/>
      <c r="C316" s="4324"/>
      <c r="D316" s="4324"/>
      <c r="E316" s="4324"/>
      <c r="F316" s="4300"/>
      <c r="G316" s="4300"/>
      <c r="H316" s="4300"/>
      <c r="I316" s="4300"/>
      <c r="J316" s="4300"/>
      <c r="K316" s="4300"/>
      <c r="L316" s="4300"/>
      <c r="M316" s="4317"/>
      <c r="N316" s="4317"/>
      <c r="O316" s="4340" t="s">
        <v>4987</v>
      </c>
      <c r="P316" s="4317"/>
      <c r="Q316" s="4295"/>
      <c r="R316" s="4317"/>
      <c r="S316" s="4317"/>
      <c r="T316" s="4317"/>
      <c r="U316" s="4317"/>
      <c r="V316" s="4317"/>
      <c r="W316" s="4317"/>
      <c r="X316" s="4317"/>
      <c r="Y316" s="4317"/>
      <c r="Z316" s="4317"/>
      <c r="AA316" s="4317"/>
      <c r="AB316" s="4317"/>
      <c r="AC316" s="4295"/>
      <c r="AD316" s="4317"/>
      <c r="AE316" s="4317"/>
      <c r="AF316" s="4319"/>
      <c r="AG316" s="4319"/>
      <c r="AH316" s="4317"/>
      <c r="AI316" s="4317"/>
      <c r="AJ316" s="4317"/>
      <c r="AK316" s="4317"/>
      <c r="AL316" s="4317"/>
      <c r="AM316" s="4317"/>
      <c r="AN316" s="4317"/>
      <c r="AO316" s="4317"/>
      <c r="AP316" s="4317"/>
      <c r="AQ316" s="4317"/>
      <c r="AR316" s="4317"/>
      <c r="AS316" s="4317"/>
      <c r="AT316" s="4317"/>
      <c r="AU316" s="4317"/>
      <c r="AV316" s="4317"/>
      <c r="AW316" s="4317"/>
      <c r="AX316" s="4317"/>
      <c r="AY316" s="4317"/>
      <c r="AZ316" s="4317"/>
      <c r="BA316" s="4317"/>
      <c r="BB316" s="4317"/>
      <c r="BC316" s="4317"/>
      <c r="BD316" s="4317"/>
      <c r="BE316" s="4317"/>
      <c r="BF316" s="4317"/>
      <c r="BG316" s="4317"/>
      <c r="BH316" s="4317"/>
      <c r="BI316" s="4317"/>
      <c r="BJ316" s="4317"/>
      <c r="BK316" s="4317"/>
      <c r="BL316" s="4317"/>
      <c r="BM316" s="4317"/>
      <c r="BN316" s="4317"/>
      <c r="BO316" s="4317"/>
      <c r="BP316" s="4317"/>
      <c r="BQ316" s="4317"/>
      <c r="BR316" s="4317"/>
      <c r="BS316" s="4317"/>
      <c r="BT316" s="4317"/>
      <c r="BU316" s="4317"/>
      <c r="BV316" s="4317"/>
      <c r="BW316" s="4317"/>
      <c r="BX316" s="4317"/>
      <c r="BY316" s="4317"/>
      <c r="BZ316" s="4317"/>
      <c r="CA316" s="4317"/>
      <c r="CB316" s="4317"/>
      <c r="CC316" s="4317"/>
      <c r="CD316" s="4317"/>
      <c r="CE316" s="4317"/>
      <c r="CF316" s="4317"/>
      <c r="CG316" s="4317"/>
      <c r="CH316" s="4317"/>
      <c r="CI316" s="4317"/>
      <c r="CJ316" s="4317"/>
      <c r="CK316" s="4317"/>
      <c r="CL316" s="4317"/>
      <c r="CM316" s="4317"/>
      <c r="CN316" s="4317"/>
      <c r="CO316" s="4317"/>
      <c r="CP316" s="4317"/>
      <c r="CQ316" s="4317"/>
      <c r="CR316" s="4317"/>
      <c r="CS316" s="4317"/>
      <c r="CT316" s="4317"/>
      <c r="CU316" s="4317"/>
      <c r="CV316" s="4317"/>
      <c r="CW316" s="4317"/>
      <c r="CX316" s="4317"/>
      <c r="CY316" s="4317"/>
      <c r="CZ316" s="4317"/>
      <c r="DA316" s="4317"/>
      <c r="DB316" s="4317"/>
      <c r="DC316" s="4317"/>
      <c r="DD316" s="4317"/>
      <c r="DE316" s="4317"/>
      <c r="DF316" s="4317"/>
      <c r="DG316" s="4317"/>
      <c r="DH316" s="4317"/>
      <c r="DI316" s="4317"/>
      <c r="DJ316" s="4317"/>
      <c r="DK316" s="4317"/>
      <c r="DL316" s="4317"/>
      <c r="DM316" s="4317"/>
      <c r="DN316" s="4317"/>
      <c r="DO316" s="4317"/>
      <c r="DP316" s="4317"/>
      <c r="DQ316" s="4317"/>
      <c r="DR316" s="4317"/>
      <c r="DS316" s="4317"/>
    </row>
    <row r="317" s="4134" customFormat="1" ht="19.5" customHeight="1" spans="1:123">
      <c r="A317" s="4298" t="s">
        <v>4988</v>
      </c>
      <c r="B317" s="4299"/>
      <c r="C317" s="4299"/>
      <c r="D317" s="4299"/>
      <c r="E317" s="4299"/>
      <c r="F317" s="4300"/>
      <c r="G317" s="4300"/>
      <c r="H317" s="4300"/>
      <c r="I317" s="4300"/>
      <c r="J317" s="4300"/>
      <c r="K317" s="4300"/>
      <c r="L317" s="4300"/>
      <c r="M317" s="4317"/>
      <c r="N317" s="4317"/>
      <c r="O317" s="4340" t="s">
        <v>4989</v>
      </c>
      <c r="P317" s="4317"/>
      <c r="Q317" s="4295"/>
      <c r="R317" s="4317"/>
      <c r="S317" s="4317"/>
      <c r="T317" s="4317"/>
      <c r="U317" s="4317"/>
      <c r="V317" s="4317"/>
      <c r="W317" s="4317"/>
      <c r="X317" s="4317"/>
      <c r="Y317" s="4317"/>
      <c r="Z317" s="4317"/>
      <c r="AA317" s="4317"/>
      <c r="AB317" s="4317"/>
      <c r="AC317" s="4295"/>
      <c r="AD317" s="4317"/>
      <c r="AE317" s="4317"/>
      <c r="AF317" s="4318"/>
      <c r="AG317" s="4318"/>
      <c r="AH317" s="4317"/>
      <c r="AI317" s="4317"/>
      <c r="AJ317" s="4317"/>
      <c r="AK317" s="4317"/>
      <c r="AL317" s="4317"/>
      <c r="AM317" s="4317"/>
      <c r="AN317" s="4317"/>
      <c r="AO317" s="4317"/>
      <c r="AP317" s="4317"/>
      <c r="AQ317" s="4317"/>
      <c r="AR317" s="4317"/>
      <c r="AS317" s="4317"/>
      <c r="AT317" s="4317"/>
      <c r="AU317" s="4317"/>
      <c r="AV317" s="4317"/>
      <c r="AW317" s="4317"/>
      <c r="AX317" s="4317"/>
      <c r="AY317" s="4317"/>
      <c r="AZ317" s="4317"/>
      <c r="BA317" s="4317"/>
      <c r="BB317" s="4317"/>
      <c r="BC317" s="4317"/>
      <c r="BD317" s="4317"/>
      <c r="BE317" s="4317"/>
      <c r="BF317" s="4317"/>
      <c r="BG317" s="4317"/>
      <c r="BH317" s="4317"/>
      <c r="BI317" s="4317"/>
      <c r="BJ317" s="4317"/>
      <c r="BK317" s="4317"/>
      <c r="BL317" s="4317"/>
      <c r="BM317" s="4317"/>
      <c r="BN317" s="4317"/>
      <c r="BO317" s="4317"/>
      <c r="BP317" s="4317"/>
      <c r="BQ317" s="4317"/>
      <c r="BR317" s="4317"/>
      <c r="BS317" s="4317"/>
      <c r="BT317" s="4317"/>
      <c r="BU317" s="4317"/>
      <c r="BV317" s="4317"/>
      <c r="BW317" s="4317"/>
      <c r="BX317" s="4317"/>
      <c r="BY317" s="4317"/>
      <c r="BZ317" s="4317"/>
      <c r="CA317" s="4317"/>
      <c r="CB317" s="4317"/>
      <c r="CC317" s="4317"/>
      <c r="CD317" s="4317"/>
      <c r="CE317" s="4317"/>
      <c r="CF317" s="4317"/>
      <c r="CG317" s="4317"/>
      <c r="CH317" s="4317"/>
      <c r="CI317" s="4317"/>
      <c r="CJ317" s="4317"/>
      <c r="CK317" s="4317"/>
      <c r="CL317" s="4317"/>
      <c r="CM317" s="4317"/>
      <c r="CN317" s="4317"/>
      <c r="CO317" s="4317"/>
      <c r="CP317" s="4317"/>
      <c r="CQ317" s="4317"/>
      <c r="CR317" s="4317"/>
      <c r="CS317" s="4317"/>
      <c r="CT317" s="4317"/>
      <c r="CU317" s="4317"/>
      <c r="CV317" s="4317"/>
      <c r="CW317" s="4317"/>
      <c r="CX317" s="4317"/>
      <c r="CY317" s="4317"/>
      <c r="CZ317" s="4317"/>
      <c r="DA317" s="4317"/>
      <c r="DB317" s="4317"/>
      <c r="DC317" s="4317"/>
      <c r="DD317" s="4317"/>
      <c r="DE317" s="4317"/>
      <c r="DF317" s="4317"/>
      <c r="DG317" s="4317"/>
      <c r="DH317" s="4317"/>
      <c r="DI317" s="4317"/>
      <c r="DJ317" s="4317"/>
      <c r="DK317" s="4317"/>
      <c r="DL317" s="4317"/>
      <c r="DM317" s="4317"/>
      <c r="DN317" s="4317"/>
      <c r="DO317" s="4317"/>
      <c r="DP317" s="4317"/>
      <c r="DQ317" s="4317"/>
      <c r="DR317" s="4317"/>
      <c r="DS317" s="4317"/>
    </row>
    <row r="318" s="4134" customFormat="1" ht="19.5" customHeight="1" spans="1:123">
      <c r="A318" s="4298" t="s">
        <v>4990</v>
      </c>
      <c r="B318" s="4299"/>
      <c r="C318" s="4299"/>
      <c r="D318" s="4299"/>
      <c r="E318" s="4299"/>
      <c r="F318" s="4300"/>
      <c r="G318" s="4300"/>
      <c r="H318" s="4300"/>
      <c r="I318" s="4300"/>
      <c r="J318" s="4300"/>
      <c r="K318" s="4300"/>
      <c r="L318" s="4300"/>
      <c r="M318" s="4317"/>
      <c r="N318" s="4317"/>
      <c r="O318" s="4340" t="s">
        <v>4991</v>
      </c>
      <c r="P318" s="4317"/>
      <c r="Q318" s="4295"/>
      <c r="R318" s="4317"/>
      <c r="S318" s="4317"/>
      <c r="T318" s="4317"/>
      <c r="U318" s="4317"/>
      <c r="V318" s="4317"/>
      <c r="W318" s="4317"/>
      <c r="X318" s="4317"/>
      <c r="Y318" s="4317"/>
      <c r="Z318" s="4317"/>
      <c r="AA318" s="4317"/>
      <c r="AB318" s="4317"/>
      <c r="AC318" s="4295"/>
      <c r="AD318" s="4317"/>
      <c r="AE318" s="4317"/>
      <c r="AF318" s="4319"/>
      <c r="AG318" s="4319"/>
      <c r="AH318" s="4317"/>
      <c r="AI318" s="4317"/>
      <c r="AJ318" s="4317"/>
      <c r="AK318" s="4317"/>
      <c r="AL318" s="4317"/>
      <c r="AM318" s="4317"/>
      <c r="AN318" s="4317"/>
      <c r="AO318" s="4317"/>
      <c r="AP318" s="4317"/>
      <c r="AQ318" s="4317"/>
      <c r="AR318" s="4317"/>
      <c r="AS318" s="4317"/>
      <c r="AT318" s="4317"/>
      <c r="AU318" s="4317"/>
      <c r="AV318" s="4317"/>
      <c r="AW318" s="4317"/>
      <c r="AX318" s="4317"/>
      <c r="AY318" s="4317"/>
      <c r="AZ318" s="4317"/>
      <c r="BA318" s="4317"/>
      <c r="BB318" s="4317"/>
      <c r="BC318" s="4317"/>
      <c r="BD318" s="4317"/>
      <c r="BE318" s="4317"/>
      <c r="BF318" s="4317"/>
      <c r="BG318" s="4317"/>
      <c r="BH318" s="4317"/>
      <c r="BI318" s="4317"/>
      <c r="BJ318" s="4317"/>
      <c r="BK318" s="4317"/>
      <c r="BL318" s="4317"/>
      <c r="BM318" s="4317"/>
      <c r="BN318" s="4317"/>
      <c r="BO318" s="4317"/>
      <c r="BP318" s="4317"/>
      <c r="BQ318" s="4317"/>
      <c r="BR318" s="4317"/>
      <c r="BS318" s="4317"/>
      <c r="BT318" s="4317"/>
      <c r="BU318" s="4317"/>
      <c r="BV318" s="4317"/>
      <c r="BW318" s="4317"/>
      <c r="BX318" s="4317"/>
      <c r="BY318" s="4317"/>
      <c r="BZ318" s="4317"/>
      <c r="CA318" s="4317"/>
      <c r="CB318" s="4317"/>
      <c r="CC318" s="4317"/>
      <c r="CD318" s="4317"/>
      <c r="CE318" s="4317"/>
      <c r="CF318" s="4317"/>
      <c r="CG318" s="4317"/>
      <c r="CH318" s="4317"/>
      <c r="CI318" s="4317"/>
      <c r="CJ318" s="4317"/>
      <c r="CK318" s="4317"/>
      <c r="CL318" s="4317"/>
      <c r="CM318" s="4317"/>
      <c r="CN318" s="4317"/>
      <c r="CO318" s="4317"/>
      <c r="CP318" s="4317"/>
      <c r="CQ318" s="4317"/>
      <c r="CR318" s="4317"/>
      <c r="CS318" s="4317"/>
      <c r="CT318" s="4317"/>
      <c r="CU318" s="4317"/>
      <c r="CV318" s="4317"/>
      <c r="CW318" s="4317"/>
      <c r="CX318" s="4317"/>
      <c r="CY318" s="4317"/>
      <c r="CZ318" s="4317"/>
      <c r="DA318" s="4317"/>
      <c r="DB318" s="4317"/>
      <c r="DC318" s="4317"/>
      <c r="DD318" s="4317"/>
      <c r="DE318" s="4317"/>
      <c r="DF318" s="4317"/>
      <c r="DG318" s="4317"/>
      <c r="DH318" s="4317"/>
      <c r="DI318" s="4317"/>
      <c r="DJ318" s="4317"/>
      <c r="DK318" s="4317"/>
      <c r="DL318" s="4317"/>
      <c r="DM318" s="4317"/>
      <c r="DN318" s="4317"/>
      <c r="DO318" s="4317"/>
      <c r="DP318" s="4317"/>
      <c r="DQ318" s="4317"/>
      <c r="DR318" s="4317"/>
      <c r="DS318" s="4317"/>
    </row>
    <row r="319" s="4134" customFormat="1" ht="19.5" customHeight="1" spans="1:123">
      <c r="A319" s="4304" t="s">
        <v>3573</v>
      </c>
      <c r="B319" s="4324"/>
      <c r="C319" s="4324"/>
      <c r="D319" s="4324"/>
      <c r="E319" s="4324"/>
      <c r="F319" s="4306">
        <f>SUM(F317:L318)</f>
        <v>0</v>
      </c>
      <c r="G319" s="4306"/>
      <c r="H319" s="4306"/>
      <c r="I319" s="4306"/>
      <c r="J319" s="4306"/>
      <c r="K319" s="4306"/>
      <c r="L319" s="4306"/>
      <c r="M319" s="4317"/>
      <c r="N319" s="4317"/>
      <c r="O319" s="4340" t="s">
        <v>4992</v>
      </c>
      <c r="P319" s="4317"/>
      <c r="Q319" s="4295"/>
      <c r="R319" s="4317"/>
      <c r="S319" s="4317"/>
      <c r="T319" s="4317"/>
      <c r="U319" s="4317"/>
      <c r="V319" s="4317"/>
      <c r="W319" s="4317"/>
      <c r="X319" s="4317"/>
      <c r="Y319" s="4317"/>
      <c r="Z319" s="4317"/>
      <c r="AA319" s="4317"/>
      <c r="AB319" s="4317"/>
      <c r="AC319" s="4295"/>
      <c r="AD319" s="4317"/>
      <c r="AE319" s="4317"/>
      <c r="AF319" s="4319"/>
      <c r="AG319" s="4319"/>
      <c r="AH319" s="4317"/>
      <c r="AI319" s="4317"/>
      <c r="AJ319" s="4317"/>
      <c r="AK319" s="4317"/>
      <c r="AL319" s="4317"/>
      <c r="AM319" s="4317"/>
      <c r="AN319" s="4317"/>
      <c r="AO319" s="4317"/>
      <c r="AP319" s="4317"/>
      <c r="AQ319" s="4317"/>
      <c r="AR319" s="4317"/>
      <c r="AS319" s="4317"/>
      <c r="AT319" s="4317"/>
      <c r="AU319" s="4317"/>
      <c r="AV319" s="4317"/>
      <c r="AW319" s="4317"/>
      <c r="AX319" s="4317"/>
      <c r="AY319" s="4317"/>
      <c r="AZ319" s="4317"/>
      <c r="BA319" s="4317"/>
      <c r="BB319" s="4317"/>
      <c r="BC319" s="4317"/>
      <c r="BD319" s="4317"/>
      <c r="BE319" s="4317"/>
      <c r="BF319" s="4317"/>
      <c r="BG319" s="4317"/>
      <c r="BH319" s="4317"/>
      <c r="BI319" s="4317"/>
      <c r="BJ319" s="4317"/>
      <c r="BK319" s="4317"/>
      <c r="BL319" s="4317"/>
      <c r="BM319" s="4317"/>
      <c r="BN319" s="4317"/>
      <c r="BO319" s="4317"/>
      <c r="BP319" s="4317"/>
      <c r="BQ319" s="4317"/>
      <c r="BR319" s="4317"/>
      <c r="BS319" s="4317"/>
      <c r="BT319" s="4317"/>
      <c r="BU319" s="4317"/>
      <c r="BV319" s="4317"/>
      <c r="BW319" s="4317"/>
      <c r="BX319" s="4317"/>
      <c r="BY319" s="4317"/>
      <c r="BZ319" s="4317"/>
      <c r="CA319" s="4317"/>
      <c r="CB319" s="4317"/>
      <c r="CC319" s="4317"/>
      <c r="CD319" s="4317"/>
      <c r="CE319" s="4317"/>
      <c r="CF319" s="4317"/>
      <c r="CG319" s="4317"/>
      <c r="CH319" s="4317"/>
      <c r="CI319" s="4317"/>
      <c r="CJ319" s="4317"/>
      <c r="CK319" s="4317"/>
      <c r="CL319" s="4317"/>
      <c r="CM319" s="4317"/>
      <c r="CN319" s="4317"/>
      <c r="CO319" s="4317"/>
      <c r="CP319" s="4317"/>
      <c r="CQ319" s="4317"/>
      <c r="CR319" s="4317"/>
      <c r="CS319" s="4317"/>
      <c r="CT319" s="4317"/>
      <c r="CU319" s="4317"/>
      <c r="CV319" s="4317"/>
      <c r="CW319" s="4317"/>
      <c r="CX319" s="4317"/>
      <c r="CY319" s="4317"/>
      <c r="CZ319" s="4317"/>
      <c r="DA319" s="4317"/>
      <c r="DB319" s="4317"/>
      <c r="DC319" s="4317"/>
      <c r="DD319" s="4317"/>
      <c r="DE319" s="4317"/>
      <c r="DF319" s="4317"/>
      <c r="DG319" s="4317"/>
      <c r="DH319" s="4317"/>
      <c r="DI319" s="4317"/>
      <c r="DJ319" s="4317"/>
      <c r="DK319" s="4317"/>
      <c r="DL319" s="4317"/>
      <c r="DM319" s="4317"/>
      <c r="DN319" s="4317"/>
      <c r="DO319" s="4317"/>
      <c r="DP319" s="4317"/>
      <c r="DQ319" s="4317"/>
      <c r="DR319" s="4317"/>
      <c r="DS319" s="4317"/>
    </row>
    <row r="320" s="4134" customFormat="1" ht="19.5" customHeight="1" spans="1:123">
      <c r="A320" s="4298" t="s">
        <v>4993</v>
      </c>
      <c r="B320" s="4299"/>
      <c r="C320" s="4299"/>
      <c r="D320" s="4299"/>
      <c r="E320" s="4299"/>
      <c r="F320" s="4300"/>
      <c r="G320" s="4300"/>
      <c r="H320" s="4300"/>
      <c r="I320" s="4300"/>
      <c r="J320" s="4300"/>
      <c r="K320" s="4300"/>
      <c r="L320" s="4300"/>
      <c r="M320" s="4317"/>
      <c r="N320" s="4317"/>
      <c r="O320" s="4340" t="s">
        <v>4994</v>
      </c>
      <c r="P320" s="4317"/>
      <c r="Q320" s="4295"/>
      <c r="R320" s="4317"/>
      <c r="S320" s="4317"/>
      <c r="T320" s="4317"/>
      <c r="U320" s="4317"/>
      <c r="V320" s="4317"/>
      <c r="W320" s="4317"/>
      <c r="X320" s="4317"/>
      <c r="Y320" s="4317"/>
      <c r="Z320" s="4317"/>
      <c r="AA320" s="4317"/>
      <c r="AB320" s="4317"/>
      <c r="AC320" s="4295"/>
      <c r="AD320" s="4317"/>
      <c r="AE320" s="4317"/>
      <c r="AF320" s="4319"/>
      <c r="AG320" s="4319"/>
      <c r="AH320" s="4317"/>
      <c r="AI320" s="4317"/>
      <c r="AJ320" s="4317"/>
      <c r="AK320" s="4317"/>
      <c r="AL320" s="4317"/>
      <c r="AM320" s="4317"/>
      <c r="AN320" s="4317"/>
      <c r="AO320" s="4317"/>
      <c r="AP320" s="4317"/>
      <c r="AQ320" s="4317"/>
      <c r="AR320" s="4317"/>
      <c r="AS320" s="4317"/>
      <c r="AT320" s="4317"/>
      <c r="AU320" s="4317"/>
      <c r="AV320" s="4317"/>
      <c r="AW320" s="4317"/>
      <c r="AX320" s="4317"/>
      <c r="AY320" s="4317"/>
      <c r="AZ320" s="4317"/>
      <c r="BA320" s="4317"/>
      <c r="BB320" s="4317"/>
      <c r="BC320" s="4317"/>
      <c r="BD320" s="4317"/>
      <c r="BE320" s="4317"/>
      <c r="BF320" s="4317"/>
      <c r="BG320" s="4317"/>
      <c r="BH320" s="4317"/>
      <c r="BI320" s="4317"/>
      <c r="BJ320" s="4317"/>
      <c r="BK320" s="4317"/>
      <c r="BL320" s="4317"/>
      <c r="BM320" s="4317"/>
      <c r="BN320" s="4317"/>
      <c r="BO320" s="4317"/>
      <c r="BP320" s="4317"/>
      <c r="BQ320" s="4317"/>
      <c r="BR320" s="4317"/>
      <c r="BS320" s="4317"/>
      <c r="BT320" s="4317"/>
      <c r="BU320" s="4317"/>
      <c r="BV320" s="4317"/>
      <c r="BW320" s="4317"/>
      <c r="BX320" s="4317"/>
      <c r="BY320" s="4317"/>
      <c r="BZ320" s="4317"/>
      <c r="CA320" s="4317"/>
      <c r="CB320" s="4317"/>
      <c r="CC320" s="4317"/>
      <c r="CD320" s="4317"/>
      <c r="CE320" s="4317"/>
      <c r="CF320" s="4317"/>
      <c r="CG320" s="4317"/>
      <c r="CH320" s="4317"/>
      <c r="CI320" s="4317"/>
      <c r="CJ320" s="4317"/>
      <c r="CK320" s="4317"/>
      <c r="CL320" s="4317"/>
      <c r="CM320" s="4317"/>
      <c r="CN320" s="4317"/>
      <c r="CO320" s="4317"/>
      <c r="CP320" s="4317"/>
      <c r="CQ320" s="4317"/>
      <c r="CR320" s="4317"/>
      <c r="CS320" s="4317"/>
      <c r="CT320" s="4317"/>
      <c r="CU320" s="4317"/>
      <c r="CV320" s="4317"/>
      <c r="CW320" s="4317"/>
      <c r="CX320" s="4317"/>
      <c r="CY320" s="4317"/>
      <c r="CZ320" s="4317"/>
      <c r="DA320" s="4317"/>
      <c r="DB320" s="4317"/>
      <c r="DC320" s="4317"/>
      <c r="DD320" s="4317"/>
      <c r="DE320" s="4317"/>
      <c r="DF320" s="4317"/>
      <c r="DG320" s="4317"/>
      <c r="DH320" s="4317"/>
      <c r="DI320" s="4317"/>
      <c r="DJ320" s="4317"/>
      <c r="DK320" s="4317"/>
      <c r="DL320" s="4317"/>
      <c r="DM320" s="4317"/>
      <c r="DN320" s="4317"/>
      <c r="DO320" s="4317"/>
      <c r="DP320" s="4317"/>
      <c r="DQ320" s="4317"/>
      <c r="DR320" s="4317"/>
      <c r="DS320" s="4317"/>
    </row>
    <row r="321" s="4134" customFormat="1" ht="19.5" customHeight="1" spans="1:123">
      <c r="A321" s="4298" t="s">
        <v>4995</v>
      </c>
      <c r="B321" s="4299"/>
      <c r="C321" s="4299"/>
      <c r="D321" s="4299"/>
      <c r="E321" s="4299"/>
      <c r="F321" s="4300"/>
      <c r="G321" s="4300"/>
      <c r="H321" s="4300"/>
      <c r="I321" s="4300"/>
      <c r="J321" s="4300"/>
      <c r="K321" s="4300"/>
      <c r="L321" s="4300"/>
      <c r="M321" s="4317"/>
      <c r="N321" s="4317"/>
      <c r="O321" s="4340" t="s">
        <v>4996</v>
      </c>
      <c r="P321" s="4317"/>
      <c r="Q321" s="4295"/>
      <c r="R321" s="4317"/>
      <c r="S321" s="4317"/>
      <c r="T321" s="4317"/>
      <c r="U321" s="4317"/>
      <c r="V321" s="4317"/>
      <c r="W321" s="4317"/>
      <c r="X321" s="4317"/>
      <c r="Y321" s="4317"/>
      <c r="Z321" s="4317"/>
      <c r="AA321" s="4317"/>
      <c r="AB321" s="4317"/>
      <c r="AC321" s="4295"/>
      <c r="AD321" s="4317"/>
      <c r="AE321" s="4317"/>
      <c r="AF321" s="4319"/>
      <c r="AG321" s="4319"/>
      <c r="AH321" s="4317"/>
      <c r="AI321" s="4317"/>
      <c r="AJ321" s="4317"/>
      <c r="AK321" s="4317"/>
      <c r="AL321" s="4317"/>
      <c r="AM321" s="4317"/>
      <c r="AN321" s="4317"/>
      <c r="AO321" s="4317"/>
      <c r="AP321" s="4317"/>
      <c r="AQ321" s="4317"/>
      <c r="AR321" s="4317"/>
      <c r="AS321" s="4317"/>
      <c r="AT321" s="4317"/>
      <c r="AU321" s="4317"/>
      <c r="AV321" s="4317"/>
      <c r="AW321" s="4317"/>
      <c r="AX321" s="4317"/>
      <c r="AY321" s="4317"/>
      <c r="AZ321" s="4317"/>
      <c r="BA321" s="4317"/>
      <c r="BB321" s="4317"/>
      <c r="BC321" s="4317"/>
      <c r="BD321" s="4317"/>
      <c r="BE321" s="4317"/>
      <c r="BF321" s="4317"/>
      <c r="BG321" s="4317"/>
      <c r="BH321" s="4317"/>
      <c r="BI321" s="4317"/>
      <c r="BJ321" s="4317"/>
      <c r="BK321" s="4317"/>
      <c r="BL321" s="4317"/>
      <c r="BM321" s="4317"/>
      <c r="BN321" s="4317"/>
      <c r="BO321" s="4317"/>
      <c r="BP321" s="4317"/>
      <c r="BQ321" s="4317"/>
      <c r="BR321" s="4317"/>
      <c r="BS321" s="4317"/>
      <c r="BT321" s="4317"/>
      <c r="BU321" s="4317"/>
      <c r="BV321" s="4317"/>
      <c r="BW321" s="4317"/>
      <c r="BX321" s="4317"/>
      <c r="BY321" s="4317"/>
      <c r="BZ321" s="4317"/>
      <c r="CA321" s="4317"/>
      <c r="CB321" s="4317"/>
      <c r="CC321" s="4317"/>
      <c r="CD321" s="4317"/>
      <c r="CE321" s="4317"/>
      <c r="CF321" s="4317"/>
      <c r="CG321" s="4317"/>
      <c r="CH321" s="4317"/>
      <c r="CI321" s="4317"/>
      <c r="CJ321" s="4317"/>
      <c r="CK321" s="4317"/>
      <c r="CL321" s="4317"/>
      <c r="CM321" s="4317"/>
      <c r="CN321" s="4317"/>
      <c r="CO321" s="4317"/>
      <c r="CP321" s="4317"/>
      <c r="CQ321" s="4317"/>
      <c r="CR321" s="4317"/>
      <c r="CS321" s="4317"/>
      <c r="CT321" s="4317"/>
      <c r="CU321" s="4317"/>
      <c r="CV321" s="4317"/>
      <c r="CW321" s="4317"/>
      <c r="CX321" s="4317"/>
      <c r="CY321" s="4317"/>
      <c r="CZ321" s="4317"/>
      <c r="DA321" s="4317"/>
      <c r="DB321" s="4317"/>
      <c r="DC321" s="4317"/>
      <c r="DD321" s="4317"/>
      <c r="DE321" s="4317"/>
      <c r="DF321" s="4317"/>
      <c r="DG321" s="4317"/>
      <c r="DH321" s="4317"/>
      <c r="DI321" s="4317"/>
      <c r="DJ321" s="4317"/>
      <c r="DK321" s="4317"/>
      <c r="DL321" s="4317"/>
      <c r="DM321" s="4317"/>
      <c r="DN321" s="4317"/>
      <c r="DO321" s="4317"/>
      <c r="DP321" s="4317"/>
      <c r="DQ321" s="4317"/>
      <c r="DR321" s="4317"/>
      <c r="DS321" s="4317"/>
    </row>
    <row r="322" s="4134" customFormat="1" ht="19.5" customHeight="1" spans="1:123">
      <c r="A322" s="4298" t="s">
        <v>4997</v>
      </c>
      <c r="B322" s="4299"/>
      <c r="C322" s="4299"/>
      <c r="D322" s="4299"/>
      <c r="E322" s="4299"/>
      <c r="F322" s="4300"/>
      <c r="G322" s="4300"/>
      <c r="H322" s="4300"/>
      <c r="I322" s="4300"/>
      <c r="J322" s="4300"/>
      <c r="K322" s="4300"/>
      <c r="L322" s="4300"/>
      <c r="M322" s="4317"/>
      <c r="N322" s="4317"/>
      <c r="O322" s="4340" t="s">
        <v>4998</v>
      </c>
      <c r="P322" s="4317"/>
      <c r="Q322" s="4295"/>
      <c r="R322" s="4317"/>
      <c r="S322" s="4317"/>
      <c r="T322" s="4317"/>
      <c r="U322" s="4317"/>
      <c r="V322" s="4317"/>
      <c r="W322" s="4317"/>
      <c r="X322" s="4317"/>
      <c r="Y322" s="4317"/>
      <c r="Z322" s="4317"/>
      <c r="AA322" s="4317"/>
      <c r="AB322" s="4317"/>
      <c r="AC322" s="4295"/>
      <c r="AD322" s="4317"/>
      <c r="AE322" s="4317"/>
      <c r="AF322" s="4319"/>
      <c r="AG322" s="4319"/>
      <c r="AH322" s="4317"/>
      <c r="AI322" s="4317"/>
      <c r="AJ322" s="4317"/>
      <c r="AK322" s="4317"/>
      <c r="AL322" s="4317"/>
      <c r="AM322" s="4317"/>
      <c r="AN322" s="4317"/>
      <c r="AO322" s="4317"/>
      <c r="AP322" s="4317"/>
      <c r="AQ322" s="4317"/>
      <c r="AR322" s="4317"/>
      <c r="AS322" s="4317"/>
      <c r="AT322" s="4317"/>
      <c r="AU322" s="4317"/>
      <c r="AV322" s="4317"/>
      <c r="AW322" s="4317"/>
      <c r="AX322" s="4317"/>
      <c r="AY322" s="4317"/>
      <c r="AZ322" s="4317"/>
      <c r="BA322" s="4317"/>
      <c r="BB322" s="4317"/>
      <c r="BC322" s="4317"/>
      <c r="BD322" s="4317"/>
      <c r="BE322" s="4317"/>
      <c r="BF322" s="4317"/>
      <c r="BG322" s="4317"/>
      <c r="BH322" s="4317"/>
      <c r="BI322" s="4317"/>
      <c r="BJ322" s="4317"/>
      <c r="BK322" s="4317"/>
      <c r="BL322" s="4317"/>
      <c r="BM322" s="4317"/>
      <c r="BN322" s="4317"/>
      <c r="BO322" s="4317"/>
      <c r="BP322" s="4317"/>
      <c r="BQ322" s="4317"/>
      <c r="BR322" s="4317"/>
      <c r="BS322" s="4317"/>
      <c r="BT322" s="4317"/>
      <c r="BU322" s="4317"/>
      <c r="BV322" s="4317"/>
      <c r="BW322" s="4317"/>
      <c r="BX322" s="4317"/>
      <c r="BY322" s="4317"/>
      <c r="BZ322" s="4317"/>
      <c r="CA322" s="4317"/>
      <c r="CB322" s="4317"/>
      <c r="CC322" s="4317"/>
      <c r="CD322" s="4317"/>
      <c r="CE322" s="4317"/>
      <c r="CF322" s="4317"/>
      <c r="CG322" s="4317"/>
      <c r="CH322" s="4317"/>
      <c r="CI322" s="4317"/>
      <c r="CJ322" s="4317"/>
      <c r="CK322" s="4317"/>
      <c r="CL322" s="4317"/>
      <c r="CM322" s="4317"/>
      <c r="CN322" s="4317"/>
      <c r="CO322" s="4317"/>
      <c r="CP322" s="4317"/>
      <c r="CQ322" s="4317"/>
      <c r="CR322" s="4317"/>
      <c r="CS322" s="4317"/>
      <c r="CT322" s="4317"/>
      <c r="CU322" s="4317"/>
      <c r="CV322" s="4317"/>
      <c r="CW322" s="4317"/>
      <c r="CX322" s="4317"/>
      <c r="CY322" s="4317"/>
      <c r="CZ322" s="4317"/>
      <c r="DA322" s="4317"/>
      <c r="DB322" s="4317"/>
      <c r="DC322" s="4317"/>
      <c r="DD322" s="4317"/>
      <c r="DE322" s="4317"/>
      <c r="DF322" s="4317"/>
      <c r="DG322" s="4317"/>
      <c r="DH322" s="4317"/>
      <c r="DI322" s="4317"/>
      <c r="DJ322" s="4317"/>
      <c r="DK322" s="4317"/>
      <c r="DL322" s="4317"/>
      <c r="DM322" s="4317"/>
      <c r="DN322" s="4317"/>
      <c r="DO322" s="4317"/>
      <c r="DP322" s="4317"/>
      <c r="DQ322" s="4317"/>
      <c r="DR322" s="4317"/>
      <c r="DS322" s="4317"/>
    </row>
    <row r="323" s="4134" customFormat="1" ht="19.5" customHeight="1" spans="1:123">
      <c r="A323" s="4298" t="s">
        <v>4999</v>
      </c>
      <c r="B323" s="4299"/>
      <c r="C323" s="4299"/>
      <c r="D323" s="4299"/>
      <c r="E323" s="4299"/>
      <c r="F323" s="4300"/>
      <c r="G323" s="4300"/>
      <c r="H323" s="4300"/>
      <c r="I323" s="4300"/>
      <c r="J323" s="4300"/>
      <c r="K323" s="4300"/>
      <c r="L323" s="4300"/>
      <c r="M323" s="4317"/>
      <c r="N323" s="4317"/>
      <c r="O323" s="4340" t="s">
        <v>5000</v>
      </c>
      <c r="P323" s="4317"/>
      <c r="Q323" s="4295"/>
      <c r="R323" s="4317"/>
      <c r="S323" s="4317"/>
      <c r="T323" s="4317"/>
      <c r="U323" s="4317"/>
      <c r="V323" s="4317"/>
      <c r="W323" s="4317"/>
      <c r="X323" s="4317"/>
      <c r="Y323" s="4317"/>
      <c r="Z323" s="4317"/>
      <c r="AA323" s="4317"/>
      <c r="AB323" s="4317"/>
      <c r="AC323" s="4295"/>
      <c r="AD323" s="4317"/>
      <c r="AE323" s="4317"/>
      <c r="AF323" s="4319"/>
      <c r="AG323" s="4319"/>
      <c r="AH323" s="4317"/>
      <c r="AI323" s="4317"/>
      <c r="AJ323" s="4317"/>
      <c r="AK323" s="4317"/>
      <c r="AL323" s="4317"/>
      <c r="AM323" s="4317"/>
      <c r="AN323" s="4317"/>
      <c r="AO323" s="4317"/>
      <c r="AP323" s="4317"/>
      <c r="AQ323" s="4317"/>
      <c r="AR323" s="4317"/>
      <c r="AS323" s="4317"/>
      <c r="AT323" s="4317"/>
      <c r="AU323" s="4317"/>
      <c r="AV323" s="4317"/>
      <c r="AW323" s="4317"/>
      <c r="AX323" s="4317"/>
      <c r="AY323" s="4317"/>
      <c r="AZ323" s="4317"/>
      <c r="BA323" s="4317"/>
      <c r="BB323" s="4317"/>
      <c r="BC323" s="4317"/>
      <c r="BD323" s="4317"/>
      <c r="BE323" s="4317"/>
      <c r="BF323" s="4317"/>
      <c r="BG323" s="4317"/>
      <c r="BH323" s="4317"/>
      <c r="BI323" s="4317"/>
      <c r="BJ323" s="4317"/>
      <c r="BK323" s="4317"/>
      <c r="BL323" s="4317"/>
      <c r="BM323" s="4317"/>
      <c r="BN323" s="4317"/>
      <c r="BO323" s="4317"/>
      <c r="BP323" s="4317"/>
      <c r="BQ323" s="4317"/>
      <c r="BR323" s="4317"/>
      <c r="BS323" s="4317"/>
      <c r="BT323" s="4317"/>
      <c r="BU323" s="4317"/>
      <c r="BV323" s="4317"/>
      <c r="BW323" s="4317"/>
      <c r="BX323" s="4317"/>
      <c r="BY323" s="4317"/>
      <c r="BZ323" s="4317"/>
      <c r="CA323" s="4317"/>
      <c r="CB323" s="4317"/>
      <c r="CC323" s="4317"/>
      <c r="CD323" s="4317"/>
      <c r="CE323" s="4317"/>
      <c r="CF323" s="4317"/>
      <c r="CG323" s="4317"/>
      <c r="CH323" s="4317"/>
      <c r="CI323" s="4317"/>
      <c r="CJ323" s="4317"/>
      <c r="CK323" s="4317"/>
      <c r="CL323" s="4317"/>
      <c r="CM323" s="4317"/>
      <c r="CN323" s="4317"/>
      <c r="CO323" s="4317"/>
      <c r="CP323" s="4317"/>
      <c r="CQ323" s="4317"/>
      <c r="CR323" s="4317"/>
      <c r="CS323" s="4317"/>
      <c r="CT323" s="4317"/>
      <c r="CU323" s="4317"/>
      <c r="CV323" s="4317"/>
      <c r="CW323" s="4317"/>
      <c r="CX323" s="4317"/>
      <c r="CY323" s="4317"/>
      <c r="CZ323" s="4317"/>
      <c r="DA323" s="4317"/>
      <c r="DB323" s="4317"/>
      <c r="DC323" s="4317"/>
      <c r="DD323" s="4317"/>
      <c r="DE323" s="4317"/>
      <c r="DF323" s="4317"/>
      <c r="DG323" s="4317"/>
      <c r="DH323" s="4317"/>
      <c r="DI323" s="4317"/>
      <c r="DJ323" s="4317"/>
      <c r="DK323" s="4317"/>
      <c r="DL323" s="4317"/>
      <c r="DM323" s="4317"/>
      <c r="DN323" s="4317"/>
      <c r="DO323" s="4317"/>
      <c r="DP323" s="4317"/>
      <c r="DQ323" s="4317"/>
      <c r="DR323" s="4317"/>
      <c r="DS323" s="4317"/>
    </row>
    <row r="324" s="4134" customFormat="1" ht="19.5" customHeight="1" spans="1:123">
      <c r="A324" s="4298" t="s">
        <v>5001</v>
      </c>
      <c r="B324" s="4299"/>
      <c r="C324" s="4299"/>
      <c r="D324" s="4299"/>
      <c r="E324" s="4299"/>
      <c r="F324" s="4300"/>
      <c r="G324" s="4300"/>
      <c r="H324" s="4300"/>
      <c r="I324" s="4300"/>
      <c r="J324" s="4300"/>
      <c r="K324" s="4300"/>
      <c r="L324" s="4300"/>
      <c r="M324" s="4317"/>
      <c r="N324" s="4317"/>
      <c r="O324" s="4340" t="s">
        <v>5002</v>
      </c>
      <c r="P324" s="4317"/>
      <c r="Q324" s="4295"/>
      <c r="R324" s="4317"/>
      <c r="S324" s="4317"/>
      <c r="T324" s="4317"/>
      <c r="U324" s="4317"/>
      <c r="V324" s="4317"/>
      <c r="W324" s="4317"/>
      <c r="X324" s="4317"/>
      <c r="Y324" s="4317"/>
      <c r="Z324" s="4317"/>
      <c r="AA324" s="4317"/>
      <c r="AB324" s="4317"/>
      <c r="AC324" s="4295"/>
      <c r="AD324" s="4317"/>
      <c r="AE324" s="4317"/>
      <c r="AF324" s="4318"/>
      <c r="AG324" s="4318"/>
      <c r="AH324" s="4317"/>
      <c r="AI324" s="4317"/>
      <c r="AJ324" s="4317"/>
      <c r="AK324" s="4317"/>
      <c r="AL324" s="4317"/>
      <c r="AM324" s="4317"/>
      <c r="AN324" s="4317"/>
      <c r="AO324" s="4317"/>
      <c r="AP324" s="4317"/>
      <c r="AQ324" s="4317"/>
      <c r="AR324" s="4317"/>
      <c r="AS324" s="4317"/>
      <c r="AT324" s="4317"/>
      <c r="AU324" s="4317"/>
      <c r="AV324" s="4317"/>
      <c r="AW324" s="4317"/>
      <c r="AX324" s="4317"/>
      <c r="AY324" s="4317"/>
      <c r="AZ324" s="4317"/>
      <c r="BA324" s="4317"/>
      <c r="BB324" s="4317"/>
      <c r="BC324" s="4317"/>
      <c r="BD324" s="4317"/>
      <c r="BE324" s="4317"/>
      <c r="BF324" s="4317"/>
      <c r="BG324" s="4317"/>
      <c r="BH324" s="4317"/>
      <c r="BI324" s="4317"/>
      <c r="BJ324" s="4317"/>
      <c r="BK324" s="4317"/>
      <c r="BL324" s="4317"/>
      <c r="BM324" s="4317"/>
      <c r="BN324" s="4317"/>
      <c r="BO324" s="4317"/>
      <c r="BP324" s="4317"/>
      <c r="BQ324" s="4317"/>
      <c r="BR324" s="4317"/>
      <c r="BS324" s="4317"/>
      <c r="BT324" s="4317"/>
      <c r="BU324" s="4317"/>
      <c r="BV324" s="4317"/>
      <c r="BW324" s="4317"/>
      <c r="BX324" s="4317"/>
      <c r="BY324" s="4317"/>
      <c r="BZ324" s="4317"/>
      <c r="CA324" s="4317"/>
      <c r="CB324" s="4317"/>
      <c r="CC324" s="4317"/>
      <c r="CD324" s="4317"/>
      <c r="CE324" s="4317"/>
      <c r="CF324" s="4317"/>
      <c r="CG324" s="4317"/>
      <c r="CH324" s="4317"/>
      <c r="CI324" s="4317"/>
      <c r="CJ324" s="4317"/>
      <c r="CK324" s="4317"/>
      <c r="CL324" s="4317"/>
      <c r="CM324" s="4317"/>
      <c r="CN324" s="4317"/>
      <c r="CO324" s="4317"/>
      <c r="CP324" s="4317"/>
      <c r="CQ324" s="4317"/>
      <c r="CR324" s="4317"/>
      <c r="CS324" s="4317"/>
      <c r="CT324" s="4317"/>
      <c r="CU324" s="4317"/>
      <c r="CV324" s="4317"/>
      <c r="CW324" s="4317"/>
      <c r="CX324" s="4317"/>
      <c r="CY324" s="4317"/>
      <c r="CZ324" s="4317"/>
      <c r="DA324" s="4317"/>
      <c r="DB324" s="4317"/>
      <c r="DC324" s="4317"/>
      <c r="DD324" s="4317"/>
      <c r="DE324" s="4317"/>
      <c r="DF324" s="4317"/>
      <c r="DG324" s="4317"/>
      <c r="DH324" s="4317"/>
      <c r="DI324" s="4317"/>
      <c r="DJ324" s="4317"/>
      <c r="DK324" s="4317"/>
      <c r="DL324" s="4317"/>
      <c r="DM324" s="4317"/>
      <c r="DN324" s="4317"/>
      <c r="DO324" s="4317"/>
      <c r="DP324" s="4317"/>
      <c r="DQ324" s="4317"/>
      <c r="DR324" s="4317"/>
      <c r="DS324" s="4317"/>
    </row>
    <row r="325" s="4134" customFormat="1" ht="19.5" customHeight="1" spans="1:123">
      <c r="A325" s="4298" t="s">
        <v>5003</v>
      </c>
      <c r="B325" s="4299"/>
      <c r="C325" s="4299"/>
      <c r="D325" s="4299"/>
      <c r="E325" s="4299"/>
      <c r="F325" s="4300"/>
      <c r="G325" s="4300"/>
      <c r="H325" s="4300"/>
      <c r="I325" s="4300"/>
      <c r="J325" s="4300"/>
      <c r="K325" s="4300"/>
      <c r="L325" s="4300"/>
      <c r="M325" s="4317"/>
      <c r="N325" s="4317"/>
      <c r="O325" s="4340" t="s">
        <v>5004</v>
      </c>
      <c r="P325" s="4317"/>
      <c r="Q325" s="4295"/>
      <c r="R325" s="4317"/>
      <c r="S325" s="4317"/>
      <c r="T325" s="4317"/>
      <c r="U325" s="4317"/>
      <c r="V325" s="4317"/>
      <c r="W325" s="4317"/>
      <c r="X325" s="4317"/>
      <c r="Y325" s="4317"/>
      <c r="Z325" s="4317"/>
      <c r="AA325" s="4317"/>
      <c r="AB325" s="4317"/>
      <c r="AC325" s="4295"/>
      <c r="AD325" s="4317"/>
      <c r="AE325" s="4317"/>
      <c r="AF325" s="4319"/>
      <c r="AG325" s="4319"/>
      <c r="AH325" s="4317"/>
      <c r="AI325" s="4317"/>
      <c r="AJ325" s="4317"/>
      <c r="AK325" s="4317"/>
      <c r="AL325" s="4317"/>
      <c r="AM325" s="4317"/>
      <c r="AN325" s="4317"/>
      <c r="AO325" s="4317"/>
      <c r="AP325" s="4317"/>
      <c r="AQ325" s="4317"/>
      <c r="AR325" s="4317"/>
      <c r="AS325" s="4317"/>
      <c r="AT325" s="4317"/>
      <c r="AU325" s="4317"/>
      <c r="AV325" s="4317"/>
      <c r="AW325" s="4317"/>
      <c r="AX325" s="4317"/>
      <c r="AY325" s="4317"/>
      <c r="AZ325" s="4317"/>
      <c r="BA325" s="4317"/>
      <c r="BB325" s="4317"/>
      <c r="BC325" s="4317"/>
      <c r="BD325" s="4317"/>
      <c r="BE325" s="4317"/>
      <c r="BF325" s="4317"/>
      <c r="BG325" s="4317"/>
      <c r="BH325" s="4317"/>
      <c r="BI325" s="4317"/>
      <c r="BJ325" s="4317"/>
      <c r="BK325" s="4317"/>
      <c r="BL325" s="4317"/>
      <c r="BM325" s="4317"/>
      <c r="BN325" s="4317"/>
      <c r="BO325" s="4317"/>
      <c r="BP325" s="4317"/>
      <c r="BQ325" s="4317"/>
      <c r="BR325" s="4317"/>
      <c r="BS325" s="4317"/>
      <c r="BT325" s="4317"/>
      <c r="BU325" s="4317"/>
      <c r="BV325" s="4317"/>
      <c r="BW325" s="4317"/>
      <c r="BX325" s="4317"/>
      <c r="BY325" s="4317"/>
      <c r="BZ325" s="4317"/>
      <c r="CA325" s="4317"/>
      <c r="CB325" s="4317"/>
      <c r="CC325" s="4317"/>
      <c r="CD325" s="4317"/>
      <c r="CE325" s="4317"/>
      <c r="CF325" s="4317"/>
      <c r="CG325" s="4317"/>
      <c r="CH325" s="4317"/>
      <c r="CI325" s="4317"/>
      <c r="CJ325" s="4317"/>
      <c r="CK325" s="4317"/>
      <c r="CL325" s="4317"/>
      <c r="CM325" s="4317"/>
      <c r="CN325" s="4317"/>
      <c r="CO325" s="4317"/>
      <c r="CP325" s="4317"/>
      <c r="CQ325" s="4317"/>
      <c r="CR325" s="4317"/>
      <c r="CS325" s="4317"/>
      <c r="CT325" s="4317"/>
      <c r="CU325" s="4317"/>
      <c r="CV325" s="4317"/>
      <c r="CW325" s="4317"/>
      <c r="CX325" s="4317"/>
      <c r="CY325" s="4317"/>
      <c r="CZ325" s="4317"/>
      <c r="DA325" s="4317"/>
      <c r="DB325" s="4317"/>
      <c r="DC325" s="4317"/>
      <c r="DD325" s="4317"/>
      <c r="DE325" s="4317"/>
      <c r="DF325" s="4317"/>
      <c r="DG325" s="4317"/>
      <c r="DH325" s="4317"/>
      <c r="DI325" s="4317"/>
      <c r="DJ325" s="4317"/>
      <c r="DK325" s="4317"/>
      <c r="DL325" s="4317"/>
      <c r="DM325" s="4317"/>
      <c r="DN325" s="4317"/>
      <c r="DO325" s="4317"/>
      <c r="DP325" s="4317"/>
      <c r="DQ325" s="4317"/>
      <c r="DR325" s="4317"/>
      <c r="DS325" s="4317"/>
    </row>
    <row r="326" s="4134" customFormat="1" ht="19.5" customHeight="1" spans="1:123">
      <c r="A326" s="4304" t="s">
        <v>3574</v>
      </c>
      <c r="B326" s="4324"/>
      <c r="C326" s="4324"/>
      <c r="D326" s="4324"/>
      <c r="E326" s="4324"/>
      <c r="F326" s="4306">
        <f>SUM(F320:L325)</f>
        <v>0</v>
      </c>
      <c r="G326" s="4306"/>
      <c r="H326" s="4306"/>
      <c r="I326" s="4306"/>
      <c r="J326" s="4306"/>
      <c r="K326" s="4306"/>
      <c r="L326" s="4306"/>
      <c r="M326" s="4317"/>
      <c r="N326" s="4317"/>
      <c r="O326" s="4340" t="s">
        <v>5005</v>
      </c>
      <c r="P326" s="4317"/>
      <c r="Q326" s="4295"/>
      <c r="R326" s="4317"/>
      <c r="S326" s="4317"/>
      <c r="T326" s="4317"/>
      <c r="U326" s="4317"/>
      <c r="V326" s="4317"/>
      <c r="W326" s="4317"/>
      <c r="X326" s="4317"/>
      <c r="Y326" s="4317"/>
      <c r="Z326" s="4317"/>
      <c r="AA326" s="4317"/>
      <c r="AB326" s="4317"/>
      <c r="AC326" s="4295"/>
      <c r="AD326" s="4317"/>
      <c r="AE326" s="4317"/>
      <c r="AF326" s="4319"/>
      <c r="AG326" s="4319"/>
      <c r="AH326" s="4317"/>
      <c r="AI326" s="4317"/>
      <c r="AJ326" s="4317"/>
      <c r="AK326" s="4317"/>
      <c r="AL326" s="4317"/>
      <c r="AM326" s="4317"/>
      <c r="AN326" s="4317"/>
      <c r="AO326" s="4317"/>
      <c r="AP326" s="4317"/>
      <c r="AQ326" s="4317"/>
      <c r="AR326" s="4317"/>
      <c r="AS326" s="4317"/>
      <c r="AT326" s="4317"/>
      <c r="AU326" s="4317"/>
      <c r="AV326" s="4317"/>
      <c r="AW326" s="4317"/>
      <c r="AX326" s="4317"/>
      <c r="AY326" s="4317"/>
      <c r="AZ326" s="4317"/>
      <c r="BA326" s="4317"/>
      <c r="BB326" s="4317"/>
      <c r="BC326" s="4317"/>
      <c r="BD326" s="4317"/>
      <c r="BE326" s="4317"/>
      <c r="BF326" s="4317"/>
      <c r="BG326" s="4317"/>
      <c r="BH326" s="4317"/>
      <c r="BI326" s="4317"/>
      <c r="BJ326" s="4317"/>
      <c r="BK326" s="4317"/>
      <c r="BL326" s="4317"/>
      <c r="BM326" s="4317"/>
      <c r="BN326" s="4317"/>
      <c r="BO326" s="4317"/>
      <c r="BP326" s="4317"/>
      <c r="BQ326" s="4317"/>
      <c r="BR326" s="4317"/>
      <c r="BS326" s="4317"/>
      <c r="BT326" s="4317"/>
      <c r="BU326" s="4317"/>
      <c r="BV326" s="4317"/>
      <c r="BW326" s="4317"/>
      <c r="BX326" s="4317"/>
      <c r="BY326" s="4317"/>
      <c r="BZ326" s="4317"/>
      <c r="CA326" s="4317"/>
      <c r="CB326" s="4317"/>
      <c r="CC326" s="4317"/>
      <c r="CD326" s="4317"/>
      <c r="CE326" s="4317"/>
      <c r="CF326" s="4317"/>
      <c r="CG326" s="4317"/>
      <c r="CH326" s="4317"/>
      <c r="CI326" s="4317"/>
      <c r="CJ326" s="4317"/>
      <c r="CK326" s="4317"/>
      <c r="CL326" s="4317"/>
      <c r="CM326" s="4317"/>
      <c r="CN326" s="4317"/>
      <c r="CO326" s="4317"/>
      <c r="CP326" s="4317"/>
      <c r="CQ326" s="4317"/>
      <c r="CR326" s="4317"/>
      <c r="CS326" s="4317"/>
      <c r="CT326" s="4317"/>
      <c r="CU326" s="4317"/>
      <c r="CV326" s="4317"/>
      <c r="CW326" s="4317"/>
      <c r="CX326" s="4317"/>
      <c r="CY326" s="4317"/>
      <c r="CZ326" s="4317"/>
      <c r="DA326" s="4317"/>
      <c r="DB326" s="4317"/>
      <c r="DC326" s="4317"/>
      <c r="DD326" s="4317"/>
      <c r="DE326" s="4317"/>
      <c r="DF326" s="4317"/>
      <c r="DG326" s="4317"/>
      <c r="DH326" s="4317"/>
      <c r="DI326" s="4317"/>
      <c r="DJ326" s="4317"/>
      <c r="DK326" s="4317"/>
      <c r="DL326" s="4317"/>
      <c r="DM326" s="4317"/>
      <c r="DN326" s="4317"/>
      <c r="DO326" s="4317"/>
      <c r="DP326" s="4317"/>
      <c r="DQ326" s="4317"/>
      <c r="DR326" s="4317"/>
      <c r="DS326" s="4317"/>
    </row>
    <row r="327" s="4134" customFormat="1" ht="19.5" customHeight="1" spans="1:123">
      <c r="A327" s="4304" t="s">
        <v>3575</v>
      </c>
      <c r="B327" s="4324"/>
      <c r="C327" s="4324"/>
      <c r="D327" s="4324"/>
      <c r="E327" s="4324"/>
      <c r="F327" s="4300"/>
      <c r="G327" s="4300"/>
      <c r="H327" s="4300"/>
      <c r="I327" s="4300"/>
      <c r="J327" s="4300"/>
      <c r="K327" s="4300"/>
      <c r="L327" s="4300"/>
      <c r="M327" s="4317"/>
      <c r="N327" s="4317"/>
      <c r="O327" s="4340" t="s">
        <v>5006</v>
      </c>
      <c r="P327" s="4317"/>
      <c r="Q327" s="4295"/>
      <c r="R327" s="4317"/>
      <c r="S327" s="4317"/>
      <c r="T327" s="4317"/>
      <c r="U327" s="4317"/>
      <c r="V327" s="4317"/>
      <c r="W327" s="4317"/>
      <c r="X327" s="4317"/>
      <c r="Y327" s="4317"/>
      <c r="Z327" s="4317"/>
      <c r="AA327" s="4317"/>
      <c r="AB327" s="4317"/>
      <c r="AC327" s="4295"/>
      <c r="AD327" s="4317"/>
      <c r="AE327" s="4317"/>
      <c r="AF327" s="4319"/>
      <c r="AG327" s="4319"/>
      <c r="AH327" s="4317"/>
      <c r="AI327" s="4317"/>
      <c r="AJ327" s="4317"/>
      <c r="AK327" s="4317"/>
      <c r="AL327" s="4317"/>
      <c r="AM327" s="4317"/>
      <c r="AN327" s="4317"/>
      <c r="AO327" s="4317"/>
      <c r="AP327" s="4317"/>
      <c r="AQ327" s="4317"/>
      <c r="AR327" s="4317"/>
      <c r="AS327" s="4317"/>
      <c r="AT327" s="4317"/>
      <c r="AU327" s="4317"/>
      <c r="AV327" s="4317"/>
      <c r="AW327" s="4317"/>
      <c r="AX327" s="4317"/>
      <c r="AY327" s="4317"/>
      <c r="AZ327" s="4317"/>
      <c r="BA327" s="4317"/>
      <c r="BB327" s="4317"/>
      <c r="BC327" s="4317"/>
      <c r="BD327" s="4317"/>
      <c r="BE327" s="4317"/>
      <c r="BF327" s="4317"/>
      <c r="BG327" s="4317"/>
      <c r="BH327" s="4317"/>
      <c r="BI327" s="4317"/>
      <c r="BJ327" s="4317"/>
      <c r="BK327" s="4317"/>
      <c r="BL327" s="4317"/>
      <c r="BM327" s="4317"/>
      <c r="BN327" s="4317"/>
      <c r="BO327" s="4317"/>
      <c r="BP327" s="4317"/>
      <c r="BQ327" s="4317"/>
      <c r="BR327" s="4317"/>
      <c r="BS327" s="4317"/>
      <c r="BT327" s="4317"/>
      <c r="BU327" s="4317"/>
      <c r="BV327" s="4317"/>
      <c r="BW327" s="4317"/>
      <c r="BX327" s="4317"/>
      <c r="BY327" s="4317"/>
      <c r="BZ327" s="4317"/>
      <c r="CA327" s="4317"/>
      <c r="CB327" s="4317"/>
      <c r="CC327" s="4317"/>
      <c r="CD327" s="4317"/>
      <c r="CE327" s="4317"/>
      <c r="CF327" s="4317"/>
      <c r="CG327" s="4317"/>
      <c r="CH327" s="4317"/>
      <c r="CI327" s="4317"/>
      <c r="CJ327" s="4317"/>
      <c r="CK327" s="4317"/>
      <c r="CL327" s="4317"/>
      <c r="CM327" s="4317"/>
      <c r="CN327" s="4317"/>
      <c r="CO327" s="4317"/>
      <c r="CP327" s="4317"/>
      <c r="CQ327" s="4317"/>
      <c r="CR327" s="4317"/>
      <c r="CS327" s="4317"/>
      <c r="CT327" s="4317"/>
      <c r="CU327" s="4317"/>
      <c r="CV327" s="4317"/>
      <c r="CW327" s="4317"/>
      <c r="CX327" s="4317"/>
      <c r="CY327" s="4317"/>
      <c r="CZ327" s="4317"/>
      <c r="DA327" s="4317"/>
      <c r="DB327" s="4317"/>
      <c r="DC327" s="4317"/>
      <c r="DD327" s="4317"/>
      <c r="DE327" s="4317"/>
      <c r="DF327" s="4317"/>
      <c r="DG327" s="4317"/>
      <c r="DH327" s="4317"/>
      <c r="DI327" s="4317"/>
      <c r="DJ327" s="4317"/>
      <c r="DK327" s="4317"/>
      <c r="DL327" s="4317"/>
      <c r="DM327" s="4317"/>
      <c r="DN327" s="4317"/>
      <c r="DO327" s="4317"/>
      <c r="DP327" s="4317"/>
      <c r="DQ327" s="4317"/>
      <c r="DR327" s="4317"/>
      <c r="DS327" s="4317"/>
    </row>
    <row r="328" s="4134" customFormat="1" ht="19.5" customHeight="1" spans="1:123">
      <c r="A328" s="4304" t="s">
        <v>3576</v>
      </c>
      <c r="B328" s="4324"/>
      <c r="C328" s="4324"/>
      <c r="D328" s="4324"/>
      <c r="E328" s="4324"/>
      <c r="F328" s="4300"/>
      <c r="G328" s="4300"/>
      <c r="H328" s="4300"/>
      <c r="I328" s="4300"/>
      <c r="J328" s="4300"/>
      <c r="K328" s="4300"/>
      <c r="L328" s="4300"/>
      <c r="M328" s="4317"/>
      <c r="N328" s="4317"/>
      <c r="O328" s="4340" t="s">
        <v>5007</v>
      </c>
      <c r="P328" s="4317"/>
      <c r="Q328" s="4295"/>
      <c r="R328" s="4317"/>
      <c r="S328" s="4317"/>
      <c r="T328" s="4317"/>
      <c r="U328" s="4317"/>
      <c r="V328" s="4317"/>
      <c r="W328" s="4317"/>
      <c r="X328" s="4317"/>
      <c r="Y328" s="4317"/>
      <c r="Z328" s="4317"/>
      <c r="AA328" s="4317"/>
      <c r="AB328" s="4317"/>
      <c r="AC328" s="4295"/>
      <c r="AD328" s="4317"/>
      <c r="AE328" s="4317"/>
      <c r="AF328" s="4319"/>
      <c r="AG328" s="4319"/>
      <c r="AH328" s="4317"/>
      <c r="AI328" s="4317"/>
      <c r="AJ328" s="4317"/>
      <c r="AK328" s="4317"/>
      <c r="AL328" s="4317"/>
      <c r="AM328" s="4317"/>
      <c r="AN328" s="4317"/>
      <c r="AO328" s="4317"/>
      <c r="AP328" s="4317"/>
      <c r="AQ328" s="4317"/>
      <c r="AR328" s="4317"/>
      <c r="AS328" s="4317"/>
      <c r="AT328" s="4317"/>
      <c r="AU328" s="4317"/>
      <c r="AV328" s="4317"/>
      <c r="AW328" s="4317"/>
      <c r="AX328" s="4317"/>
      <c r="AY328" s="4317"/>
      <c r="AZ328" s="4317"/>
      <c r="BA328" s="4317"/>
      <c r="BB328" s="4317"/>
      <c r="BC328" s="4317"/>
      <c r="BD328" s="4317"/>
      <c r="BE328" s="4317"/>
      <c r="BF328" s="4317"/>
      <c r="BG328" s="4317"/>
      <c r="BH328" s="4317"/>
      <c r="BI328" s="4317"/>
      <c r="BJ328" s="4317"/>
      <c r="BK328" s="4317"/>
      <c r="BL328" s="4317"/>
      <c r="BM328" s="4317"/>
      <c r="BN328" s="4317"/>
      <c r="BO328" s="4317"/>
      <c r="BP328" s="4317"/>
      <c r="BQ328" s="4317"/>
      <c r="BR328" s="4317"/>
      <c r="BS328" s="4317"/>
      <c r="BT328" s="4317"/>
      <c r="BU328" s="4317"/>
      <c r="BV328" s="4317"/>
      <c r="BW328" s="4317"/>
      <c r="BX328" s="4317"/>
      <c r="BY328" s="4317"/>
      <c r="BZ328" s="4317"/>
      <c r="CA328" s="4317"/>
      <c r="CB328" s="4317"/>
      <c r="CC328" s="4317"/>
      <c r="CD328" s="4317"/>
      <c r="CE328" s="4317"/>
      <c r="CF328" s="4317"/>
      <c r="CG328" s="4317"/>
      <c r="CH328" s="4317"/>
      <c r="CI328" s="4317"/>
      <c r="CJ328" s="4317"/>
      <c r="CK328" s="4317"/>
      <c r="CL328" s="4317"/>
      <c r="CM328" s="4317"/>
      <c r="CN328" s="4317"/>
      <c r="CO328" s="4317"/>
      <c r="CP328" s="4317"/>
      <c r="CQ328" s="4317"/>
      <c r="CR328" s="4317"/>
      <c r="CS328" s="4317"/>
      <c r="CT328" s="4317"/>
      <c r="CU328" s="4317"/>
      <c r="CV328" s="4317"/>
      <c r="CW328" s="4317"/>
      <c r="CX328" s="4317"/>
      <c r="CY328" s="4317"/>
      <c r="CZ328" s="4317"/>
      <c r="DA328" s="4317"/>
      <c r="DB328" s="4317"/>
      <c r="DC328" s="4317"/>
      <c r="DD328" s="4317"/>
      <c r="DE328" s="4317"/>
      <c r="DF328" s="4317"/>
      <c r="DG328" s="4317"/>
      <c r="DH328" s="4317"/>
      <c r="DI328" s="4317"/>
      <c r="DJ328" s="4317"/>
      <c r="DK328" s="4317"/>
      <c r="DL328" s="4317"/>
      <c r="DM328" s="4317"/>
      <c r="DN328" s="4317"/>
      <c r="DO328" s="4317"/>
      <c r="DP328" s="4317"/>
      <c r="DQ328" s="4317"/>
      <c r="DR328" s="4317"/>
      <c r="DS328" s="4317"/>
    </row>
    <row r="329" s="4134" customFormat="1" ht="19.5" customHeight="1" spans="1:123">
      <c r="A329" s="4304" t="s">
        <v>3577</v>
      </c>
      <c r="B329" s="4324"/>
      <c r="C329" s="4324"/>
      <c r="D329" s="4324"/>
      <c r="E329" s="4324"/>
      <c r="F329" s="4300"/>
      <c r="G329" s="4300"/>
      <c r="H329" s="4300"/>
      <c r="I329" s="4300"/>
      <c r="J329" s="4300"/>
      <c r="K329" s="4300"/>
      <c r="L329" s="4300"/>
      <c r="M329" s="4317"/>
      <c r="N329" s="4317"/>
      <c r="O329" s="4340" t="s">
        <v>5008</v>
      </c>
      <c r="P329" s="4317"/>
      <c r="Q329" s="4295"/>
      <c r="R329" s="4317"/>
      <c r="S329" s="4317"/>
      <c r="T329" s="4317"/>
      <c r="U329" s="4317"/>
      <c r="V329" s="4317"/>
      <c r="W329" s="4317"/>
      <c r="X329" s="4317"/>
      <c r="Y329" s="4317"/>
      <c r="Z329" s="4317"/>
      <c r="AA329" s="4317"/>
      <c r="AB329" s="4317"/>
      <c r="AC329" s="4295"/>
      <c r="AD329" s="4317"/>
      <c r="AE329" s="4317"/>
      <c r="AF329" s="4319"/>
      <c r="AG329" s="4319"/>
      <c r="AH329" s="4317"/>
      <c r="AI329" s="4317"/>
      <c r="AJ329" s="4317"/>
      <c r="AK329" s="4317"/>
      <c r="AL329" s="4317"/>
      <c r="AM329" s="4317"/>
      <c r="AN329" s="4317"/>
      <c r="AO329" s="4317"/>
      <c r="AP329" s="4317"/>
      <c r="AQ329" s="4317"/>
      <c r="AR329" s="4317"/>
      <c r="AS329" s="4317"/>
      <c r="AT329" s="4317"/>
      <c r="AU329" s="4317"/>
      <c r="AV329" s="4317"/>
      <c r="AW329" s="4317"/>
      <c r="AX329" s="4317"/>
      <c r="AY329" s="4317"/>
      <c r="AZ329" s="4317"/>
      <c r="BA329" s="4317"/>
      <c r="BB329" s="4317"/>
      <c r="BC329" s="4317"/>
      <c r="BD329" s="4317"/>
      <c r="BE329" s="4317"/>
      <c r="BF329" s="4317"/>
      <c r="BG329" s="4317"/>
      <c r="BH329" s="4317"/>
      <c r="BI329" s="4317"/>
      <c r="BJ329" s="4317"/>
      <c r="BK329" s="4317"/>
      <c r="BL329" s="4317"/>
      <c r="BM329" s="4317"/>
      <c r="BN329" s="4317"/>
      <c r="BO329" s="4317"/>
      <c r="BP329" s="4317"/>
      <c r="BQ329" s="4317"/>
      <c r="BR329" s="4317"/>
      <c r="BS329" s="4317"/>
      <c r="BT329" s="4317"/>
      <c r="BU329" s="4317"/>
      <c r="BV329" s="4317"/>
      <c r="BW329" s="4317"/>
      <c r="BX329" s="4317"/>
      <c r="BY329" s="4317"/>
      <c r="BZ329" s="4317"/>
      <c r="CA329" s="4317"/>
      <c r="CB329" s="4317"/>
      <c r="CC329" s="4317"/>
      <c r="CD329" s="4317"/>
      <c r="CE329" s="4317"/>
      <c r="CF329" s="4317"/>
      <c r="CG329" s="4317"/>
      <c r="CH329" s="4317"/>
      <c r="CI329" s="4317"/>
      <c r="CJ329" s="4317"/>
      <c r="CK329" s="4317"/>
      <c r="CL329" s="4317"/>
      <c r="CM329" s="4317"/>
      <c r="CN329" s="4317"/>
      <c r="CO329" s="4317"/>
      <c r="CP329" s="4317"/>
      <c r="CQ329" s="4317"/>
      <c r="CR329" s="4317"/>
      <c r="CS329" s="4317"/>
      <c r="CT329" s="4317"/>
      <c r="CU329" s="4317"/>
      <c r="CV329" s="4317"/>
      <c r="CW329" s="4317"/>
      <c r="CX329" s="4317"/>
      <c r="CY329" s="4317"/>
      <c r="CZ329" s="4317"/>
      <c r="DA329" s="4317"/>
      <c r="DB329" s="4317"/>
      <c r="DC329" s="4317"/>
      <c r="DD329" s="4317"/>
      <c r="DE329" s="4317"/>
      <c r="DF329" s="4317"/>
      <c r="DG329" s="4317"/>
      <c r="DH329" s="4317"/>
      <c r="DI329" s="4317"/>
      <c r="DJ329" s="4317"/>
      <c r="DK329" s="4317"/>
      <c r="DL329" s="4317"/>
      <c r="DM329" s="4317"/>
      <c r="DN329" s="4317"/>
      <c r="DO329" s="4317"/>
      <c r="DP329" s="4317"/>
      <c r="DQ329" s="4317"/>
      <c r="DR329" s="4317"/>
      <c r="DS329" s="4317"/>
    </row>
    <row r="330" s="4134" customFormat="1" ht="19.5" customHeight="1" spans="1:123">
      <c r="A330" s="4298" t="s">
        <v>5009</v>
      </c>
      <c r="B330" s="4299"/>
      <c r="C330" s="4299"/>
      <c r="D330" s="4299"/>
      <c r="E330" s="4299"/>
      <c r="F330" s="4300"/>
      <c r="G330" s="4300"/>
      <c r="H330" s="4300"/>
      <c r="I330" s="4300"/>
      <c r="J330" s="4300"/>
      <c r="K330" s="4300"/>
      <c r="L330" s="4300"/>
      <c r="M330" s="4317"/>
      <c r="N330" s="4317"/>
      <c r="O330" s="4340" t="s">
        <v>5010</v>
      </c>
      <c r="P330" s="4317"/>
      <c r="Q330" s="4295"/>
      <c r="R330" s="4317"/>
      <c r="S330" s="4317"/>
      <c r="T330" s="4317"/>
      <c r="U330" s="4317"/>
      <c r="V330" s="4317"/>
      <c r="W330" s="4317"/>
      <c r="X330" s="4317"/>
      <c r="Y330" s="4317"/>
      <c r="Z330" s="4317"/>
      <c r="AA330" s="4317"/>
      <c r="AB330" s="4317"/>
      <c r="AC330" s="4295"/>
      <c r="AD330" s="4317"/>
      <c r="AE330" s="4317"/>
      <c r="AF330" s="4319"/>
      <c r="AG330" s="4319"/>
      <c r="AH330" s="4317"/>
      <c r="AI330" s="4317"/>
      <c r="AJ330" s="4317"/>
      <c r="AK330" s="4317"/>
      <c r="AL330" s="4317"/>
      <c r="AM330" s="4317"/>
      <c r="AN330" s="4317"/>
      <c r="AO330" s="4317"/>
      <c r="AP330" s="4317"/>
      <c r="AQ330" s="4317"/>
      <c r="AR330" s="4317"/>
      <c r="AS330" s="4317"/>
      <c r="AT330" s="4317"/>
      <c r="AU330" s="4317"/>
      <c r="AV330" s="4317"/>
      <c r="AW330" s="4317"/>
      <c r="AX330" s="4317"/>
      <c r="AY330" s="4317"/>
      <c r="AZ330" s="4317"/>
      <c r="BA330" s="4317"/>
      <c r="BB330" s="4317"/>
      <c r="BC330" s="4317"/>
      <c r="BD330" s="4317"/>
      <c r="BE330" s="4317"/>
      <c r="BF330" s="4317"/>
      <c r="BG330" s="4317"/>
      <c r="BH330" s="4317"/>
      <c r="BI330" s="4317"/>
      <c r="BJ330" s="4317"/>
      <c r="BK330" s="4317"/>
      <c r="BL330" s="4317"/>
      <c r="BM330" s="4317"/>
      <c r="BN330" s="4317"/>
      <c r="BO330" s="4317"/>
      <c r="BP330" s="4317"/>
      <c r="BQ330" s="4317"/>
      <c r="BR330" s="4317"/>
      <c r="BS330" s="4317"/>
      <c r="BT330" s="4317"/>
      <c r="BU330" s="4317"/>
      <c r="BV330" s="4317"/>
      <c r="BW330" s="4317"/>
      <c r="BX330" s="4317"/>
      <c r="BY330" s="4317"/>
      <c r="BZ330" s="4317"/>
      <c r="CA330" s="4317"/>
      <c r="CB330" s="4317"/>
      <c r="CC330" s="4317"/>
      <c r="CD330" s="4317"/>
      <c r="CE330" s="4317"/>
      <c r="CF330" s="4317"/>
      <c r="CG330" s="4317"/>
      <c r="CH330" s="4317"/>
      <c r="CI330" s="4317"/>
      <c r="CJ330" s="4317"/>
      <c r="CK330" s="4317"/>
      <c r="CL330" s="4317"/>
      <c r="CM330" s="4317"/>
      <c r="CN330" s="4317"/>
      <c r="CO330" s="4317"/>
      <c r="CP330" s="4317"/>
      <c r="CQ330" s="4317"/>
      <c r="CR330" s="4317"/>
      <c r="CS330" s="4317"/>
      <c r="CT330" s="4317"/>
      <c r="CU330" s="4317"/>
      <c r="CV330" s="4317"/>
      <c r="CW330" s="4317"/>
      <c r="CX330" s="4317"/>
      <c r="CY330" s="4317"/>
      <c r="CZ330" s="4317"/>
      <c r="DA330" s="4317"/>
      <c r="DB330" s="4317"/>
      <c r="DC330" s="4317"/>
      <c r="DD330" s="4317"/>
      <c r="DE330" s="4317"/>
      <c r="DF330" s="4317"/>
      <c r="DG330" s="4317"/>
      <c r="DH330" s="4317"/>
      <c r="DI330" s="4317"/>
      <c r="DJ330" s="4317"/>
      <c r="DK330" s="4317"/>
      <c r="DL330" s="4317"/>
      <c r="DM330" s="4317"/>
      <c r="DN330" s="4317"/>
      <c r="DO330" s="4317"/>
      <c r="DP330" s="4317"/>
      <c r="DQ330" s="4317"/>
      <c r="DR330" s="4317"/>
      <c r="DS330" s="4317"/>
    </row>
    <row r="331" s="4134" customFormat="1" ht="19.5" customHeight="1" spans="1:123">
      <c r="A331" s="4298" t="s">
        <v>5011</v>
      </c>
      <c r="B331" s="4299"/>
      <c r="C331" s="4299"/>
      <c r="D331" s="4299"/>
      <c r="E331" s="4299"/>
      <c r="F331" s="4300"/>
      <c r="G331" s="4300"/>
      <c r="H331" s="4300"/>
      <c r="I331" s="4300"/>
      <c r="J331" s="4300"/>
      <c r="K331" s="4300"/>
      <c r="L331" s="4300"/>
      <c r="M331" s="4317"/>
      <c r="N331" s="4317"/>
      <c r="O331" s="4340" t="s">
        <v>5012</v>
      </c>
      <c r="P331" s="4317"/>
      <c r="Q331" s="4295"/>
      <c r="R331" s="4317"/>
      <c r="S331" s="4317"/>
      <c r="T331" s="4317"/>
      <c r="U331" s="4317"/>
      <c r="V331" s="4317"/>
      <c r="W331" s="4317"/>
      <c r="X331" s="4317"/>
      <c r="Y331" s="4317"/>
      <c r="Z331" s="4317"/>
      <c r="AA331" s="4317"/>
      <c r="AB331" s="4317"/>
      <c r="AC331" s="4295"/>
      <c r="AD331" s="4317"/>
      <c r="AE331" s="4317"/>
      <c r="AF331" s="4319"/>
      <c r="AG331" s="4319"/>
      <c r="AH331" s="4317"/>
      <c r="AI331" s="4317"/>
      <c r="AJ331" s="4317"/>
      <c r="AK331" s="4317"/>
      <c r="AL331" s="4317"/>
      <c r="AM331" s="4317"/>
      <c r="AN331" s="4317"/>
      <c r="AO331" s="4317"/>
      <c r="AP331" s="4317"/>
      <c r="AQ331" s="4317"/>
      <c r="AR331" s="4317"/>
      <c r="AS331" s="4317"/>
      <c r="AT331" s="4317"/>
      <c r="AU331" s="4317"/>
      <c r="AV331" s="4317"/>
      <c r="AW331" s="4317"/>
      <c r="AX331" s="4317"/>
      <c r="AY331" s="4317"/>
      <c r="AZ331" s="4317"/>
      <c r="BA331" s="4317"/>
      <c r="BB331" s="4317"/>
      <c r="BC331" s="4317"/>
      <c r="BD331" s="4317"/>
      <c r="BE331" s="4317"/>
      <c r="BF331" s="4317"/>
      <c r="BG331" s="4317"/>
      <c r="BH331" s="4317"/>
      <c r="BI331" s="4317"/>
      <c r="BJ331" s="4317"/>
      <c r="BK331" s="4317"/>
      <c r="BL331" s="4317"/>
      <c r="BM331" s="4317"/>
      <c r="BN331" s="4317"/>
      <c r="BO331" s="4317"/>
      <c r="BP331" s="4317"/>
      <c r="BQ331" s="4317"/>
      <c r="BR331" s="4317"/>
      <c r="BS331" s="4317"/>
      <c r="BT331" s="4317"/>
      <c r="BU331" s="4317"/>
      <c r="BV331" s="4317"/>
      <c r="BW331" s="4317"/>
      <c r="BX331" s="4317"/>
      <c r="BY331" s="4317"/>
      <c r="BZ331" s="4317"/>
      <c r="CA331" s="4317"/>
      <c r="CB331" s="4317"/>
      <c r="CC331" s="4317"/>
      <c r="CD331" s="4317"/>
      <c r="CE331" s="4317"/>
      <c r="CF331" s="4317"/>
      <c r="CG331" s="4317"/>
      <c r="CH331" s="4317"/>
      <c r="CI331" s="4317"/>
      <c r="CJ331" s="4317"/>
      <c r="CK331" s="4317"/>
      <c r="CL331" s="4317"/>
      <c r="CM331" s="4317"/>
      <c r="CN331" s="4317"/>
      <c r="CO331" s="4317"/>
      <c r="CP331" s="4317"/>
      <c r="CQ331" s="4317"/>
      <c r="CR331" s="4317"/>
      <c r="CS331" s="4317"/>
      <c r="CT331" s="4317"/>
      <c r="CU331" s="4317"/>
      <c r="CV331" s="4317"/>
      <c r="CW331" s="4317"/>
      <c r="CX331" s="4317"/>
      <c r="CY331" s="4317"/>
      <c r="CZ331" s="4317"/>
      <c r="DA331" s="4317"/>
      <c r="DB331" s="4317"/>
      <c r="DC331" s="4317"/>
      <c r="DD331" s="4317"/>
      <c r="DE331" s="4317"/>
      <c r="DF331" s="4317"/>
      <c r="DG331" s="4317"/>
      <c r="DH331" s="4317"/>
      <c r="DI331" s="4317"/>
      <c r="DJ331" s="4317"/>
      <c r="DK331" s="4317"/>
      <c r="DL331" s="4317"/>
      <c r="DM331" s="4317"/>
      <c r="DN331" s="4317"/>
      <c r="DO331" s="4317"/>
      <c r="DP331" s="4317"/>
      <c r="DQ331" s="4317"/>
      <c r="DR331" s="4317"/>
      <c r="DS331" s="4317"/>
    </row>
    <row r="332" s="4134" customFormat="1" ht="19.5" customHeight="1" spans="1:123">
      <c r="A332" s="4304" t="s">
        <v>3578</v>
      </c>
      <c r="B332" s="4324"/>
      <c r="C332" s="4324"/>
      <c r="D332" s="4324"/>
      <c r="E332" s="4324"/>
      <c r="F332" s="4306">
        <f>SUM(F330:L331)</f>
        <v>0</v>
      </c>
      <c r="G332" s="4306"/>
      <c r="H332" s="4306"/>
      <c r="I332" s="4306"/>
      <c r="J332" s="4306"/>
      <c r="K332" s="4306"/>
      <c r="L332" s="4306"/>
      <c r="M332" s="4317"/>
      <c r="N332" s="4317"/>
      <c r="O332" s="4340" t="s">
        <v>5013</v>
      </c>
      <c r="P332" s="4317"/>
      <c r="Q332" s="4295"/>
      <c r="R332" s="4317"/>
      <c r="S332" s="4317"/>
      <c r="T332" s="4317"/>
      <c r="U332" s="4317"/>
      <c r="V332" s="4317"/>
      <c r="W332" s="4317"/>
      <c r="X332" s="4317"/>
      <c r="Y332" s="4317"/>
      <c r="Z332" s="4317"/>
      <c r="AA332" s="4317"/>
      <c r="AB332" s="4317"/>
      <c r="AC332" s="4295"/>
      <c r="AD332" s="4317"/>
      <c r="AE332" s="4317"/>
      <c r="AF332" s="4319"/>
      <c r="AG332" s="4319"/>
      <c r="AH332" s="4317"/>
      <c r="AI332" s="4317"/>
      <c r="AJ332" s="4317"/>
      <c r="AK332" s="4317"/>
      <c r="AL332" s="4317"/>
      <c r="AM332" s="4317"/>
      <c r="AN332" s="4317"/>
      <c r="AO332" s="4317"/>
      <c r="AP332" s="4317"/>
      <c r="AQ332" s="4317"/>
      <c r="AR332" s="4317"/>
      <c r="AS332" s="4317"/>
      <c r="AT332" s="4317"/>
      <c r="AU332" s="4317"/>
      <c r="AV332" s="4317"/>
      <c r="AW332" s="4317"/>
      <c r="AX332" s="4317"/>
      <c r="AY332" s="4317"/>
      <c r="AZ332" s="4317"/>
      <c r="BA332" s="4317"/>
      <c r="BB332" s="4317"/>
      <c r="BC332" s="4317"/>
      <c r="BD332" s="4317"/>
      <c r="BE332" s="4317"/>
      <c r="BF332" s="4317"/>
      <c r="BG332" s="4317"/>
      <c r="BH332" s="4317"/>
      <c r="BI332" s="4317"/>
      <c r="BJ332" s="4317"/>
      <c r="BK332" s="4317"/>
      <c r="BL332" s="4317"/>
      <c r="BM332" s="4317"/>
      <c r="BN332" s="4317"/>
      <c r="BO332" s="4317"/>
      <c r="BP332" s="4317"/>
      <c r="BQ332" s="4317"/>
      <c r="BR332" s="4317"/>
      <c r="BS332" s="4317"/>
      <c r="BT332" s="4317"/>
      <c r="BU332" s="4317"/>
      <c r="BV332" s="4317"/>
      <c r="BW332" s="4317"/>
      <c r="BX332" s="4317"/>
      <c r="BY332" s="4317"/>
      <c r="BZ332" s="4317"/>
      <c r="CA332" s="4317"/>
      <c r="CB332" s="4317"/>
      <c r="CC332" s="4317"/>
      <c r="CD332" s="4317"/>
      <c r="CE332" s="4317"/>
      <c r="CF332" s="4317"/>
      <c r="CG332" s="4317"/>
      <c r="CH332" s="4317"/>
      <c r="CI332" s="4317"/>
      <c r="CJ332" s="4317"/>
      <c r="CK332" s="4317"/>
      <c r="CL332" s="4317"/>
      <c r="CM332" s="4317"/>
      <c r="CN332" s="4317"/>
      <c r="CO332" s="4317"/>
      <c r="CP332" s="4317"/>
      <c r="CQ332" s="4317"/>
      <c r="CR332" s="4317"/>
      <c r="CS332" s="4317"/>
      <c r="CT332" s="4317"/>
      <c r="CU332" s="4317"/>
      <c r="CV332" s="4317"/>
      <c r="CW332" s="4317"/>
      <c r="CX332" s="4317"/>
      <c r="CY332" s="4317"/>
      <c r="CZ332" s="4317"/>
      <c r="DA332" s="4317"/>
      <c r="DB332" s="4317"/>
      <c r="DC332" s="4317"/>
      <c r="DD332" s="4317"/>
      <c r="DE332" s="4317"/>
      <c r="DF332" s="4317"/>
      <c r="DG332" s="4317"/>
      <c r="DH332" s="4317"/>
      <c r="DI332" s="4317"/>
      <c r="DJ332" s="4317"/>
      <c r="DK332" s="4317"/>
      <c r="DL332" s="4317"/>
      <c r="DM332" s="4317"/>
      <c r="DN332" s="4317"/>
      <c r="DO332" s="4317"/>
      <c r="DP332" s="4317"/>
      <c r="DQ332" s="4317"/>
      <c r="DR332" s="4317"/>
      <c r="DS332" s="4317"/>
    </row>
    <row r="333" s="4134" customFormat="1" ht="19.5" customHeight="1" spans="1:123">
      <c r="A333" s="4298" t="s">
        <v>5014</v>
      </c>
      <c r="B333" s="4299"/>
      <c r="C333" s="4299"/>
      <c r="D333" s="4299"/>
      <c r="E333" s="4299"/>
      <c r="F333" s="4300"/>
      <c r="G333" s="4300"/>
      <c r="H333" s="4300"/>
      <c r="I333" s="4300"/>
      <c r="J333" s="4300"/>
      <c r="K333" s="4300"/>
      <c r="L333" s="4300"/>
      <c r="M333" s="4317"/>
      <c r="N333" s="4317"/>
      <c r="O333" s="4340" t="s">
        <v>5015</v>
      </c>
      <c r="P333" s="4317"/>
      <c r="Q333" s="4295"/>
      <c r="R333" s="4317"/>
      <c r="S333" s="4317"/>
      <c r="T333" s="4317"/>
      <c r="U333" s="4317"/>
      <c r="V333" s="4317"/>
      <c r="W333" s="4317"/>
      <c r="X333" s="4317"/>
      <c r="Y333" s="4317"/>
      <c r="Z333" s="4317"/>
      <c r="AA333" s="4317"/>
      <c r="AB333" s="4317"/>
      <c r="AC333" s="4295"/>
      <c r="AD333" s="4317"/>
      <c r="AE333" s="4317"/>
      <c r="AF333" s="4319"/>
      <c r="AG333" s="4319"/>
      <c r="AH333" s="4317"/>
      <c r="AI333" s="4317"/>
      <c r="AJ333" s="4317"/>
      <c r="AK333" s="4317"/>
      <c r="AL333" s="4317"/>
      <c r="AM333" s="4317"/>
      <c r="AN333" s="4317"/>
      <c r="AO333" s="4317"/>
      <c r="AP333" s="4317"/>
      <c r="AQ333" s="4317"/>
      <c r="AR333" s="4317"/>
      <c r="AS333" s="4317"/>
      <c r="AT333" s="4317"/>
      <c r="AU333" s="4317"/>
      <c r="AV333" s="4317"/>
      <c r="AW333" s="4317"/>
      <c r="AX333" s="4317"/>
      <c r="AY333" s="4317"/>
      <c r="AZ333" s="4317"/>
      <c r="BA333" s="4317"/>
      <c r="BB333" s="4317"/>
      <c r="BC333" s="4317"/>
      <c r="BD333" s="4317"/>
      <c r="BE333" s="4317"/>
      <c r="BF333" s="4317"/>
      <c r="BG333" s="4317"/>
      <c r="BH333" s="4317"/>
      <c r="BI333" s="4317"/>
      <c r="BJ333" s="4317"/>
      <c r="BK333" s="4317"/>
      <c r="BL333" s="4317"/>
      <c r="BM333" s="4317"/>
      <c r="BN333" s="4317"/>
      <c r="BO333" s="4317"/>
      <c r="BP333" s="4317"/>
      <c r="BQ333" s="4317"/>
      <c r="BR333" s="4317"/>
      <c r="BS333" s="4317"/>
      <c r="BT333" s="4317"/>
      <c r="BU333" s="4317"/>
      <c r="BV333" s="4317"/>
      <c r="BW333" s="4317"/>
      <c r="BX333" s="4317"/>
      <c r="BY333" s="4317"/>
      <c r="BZ333" s="4317"/>
      <c r="CA333" s="4317"/>
      <c r="CB333" s="4317"/>
      <c r="CC333" s="4317"/>
      <c r="CD333" s="4317"/>
      <c r="CE333" s="4317"/>
      <c r="CF333" s="4317"/>
      <c r="CG333" s="4317"/>
      <c r="CH333" s="4317"/>
      <c r="CI333" s="4317"/>
      <c r="CJ333" s="4317"/>
      <c r="CK333" s="4317"/>
      <c r="CL333" s="4317"/>
      <c r="CM333" s="4317"/>
      <c r="CN333" s="4317"/>
      <c r="CO333" s="4317"/>
      <c r="CP333" s="4317"/>
      <c r="CQ333" s="4317"/>
      <c r="CR333" s="4317"/>
      <c r="CS333" s="4317"/>
      <c r="CT333" s="4317"/>
      <c r="CU333" s="4317"/>
      <c r="CV333" s="4317"/>
      <c r="CW333" s="4317"/>
      <c r="CX333" s="4317"/>
      <c r="CY333" s="4317"/>
      <c r="CZ333" s="4317"/>
      <c r="DA333" s="4317"/>
      <c r="DB333" s="4317"/>
      <c r="DC333" s="4317"/>
      <c r="DD333" s="4317"/>
      <c r="DE333" s="4317"/>
      <c r="DF333" s="4317"/>
      <c r="DG333" s="4317"/>
      <c r="DH333" s="4317"/>
      <c r="DI333" s="4317"/>
      <c r="DJ333" s="4317"/>
      <c r="DK333" s="4317"/>
      <c r="DL333" s="4317"/>
      <c r="DM333" s="4317"/>
      <c r="DN333" s="4317"/>
      <c r="DO333" s="4317"/>
      <c r="DP333" s="4317"/>
      <c r="DQ333" s="4317"/>
      <c r="DR333" s="4317"/>
      <c r="DS333" s="4317"/>
    </row>
    <row r="334" s="4134" customFormat="1" ht="19.5" customHeight="1" spans="1:123">
      <c r="A334" s="4298" t="s">
        <v>5014</v>
      </c>
      <c r="B334" s="4299"/>
      <c r="C334" s="4299"/>
      <c r="D334" s="4299"/>
      <c r="E334" s="4299"/>
      <c r="F334" s="4300"/>
      <c r="G334" s="4300"/>
      <c r="H334" s="4300"/>
      <c r="I334" s="4300"/>
      <c r="J334" s="4300"/>
      <c r="K334" s="4300"/>
      <c r="L334" s="4300"/>
      <c r="M334" s="4317"/>
      <c r="N334" s="4317"/>
      <c r="O334" s="4340" t="s">
        <v>2964</v>
      </c>
      <c r="P334" s="4317"/>
      <c r="Q334" s="4295"/>
      <c r="R334" s="4317"/>
      <c r="S334" s="4317"/>
      <c r="T334" s="4317"/>
      <c r="U334" s="4317"/>
      <c r="V334" s="4317"/>
      <c r="W334" s="4317"/>
      <c r="X334" s="4317"/>
      <c r="Y334" s="4317"/>
      <c r="Z334" s="4317"/>
      <c r="AA334" s="4317"/>
      <c r="AB334" s="4317"/>
      <c r="AC334" s="4295"/>
      <c r="AD334" s="4317"/>
      <c r="AE334" s="4317"/>
      <c r="AF334" s="4319"/>
      <c r="AG334" s="4319"/>
      <c r="AH334" s="4317"/>
      <c r="AI334" s="4317"/>
      <c r="AJ334" s="4317"/>
      <c r="AK334" s="4317"/>
      <c r="AL334" s="4317"/>
      <c r="AM334" s="4317"/>
      <c r="AN334" s="4317"/>
      <c r="AO334" s="4317"/>
      <c r="AP334" s="4317"/>
      <c r="AQ334" s="4317"/>
      <c r="AR334" s="4317"/>
      <c r="AS334" s="4317"/>
      <c r="AT334" s="4317"/>
      <c r="AU334" s="4317"/>
      <c r="AV334" s="4317"/>
      <c r="AW334" s="4317"/>
      <c r="AX334" s="4317"/>
      <c r="AY334" s="4317"/>
      <c r="AZ334" s="4317"/>
      <c r="BA334" s="4317"/>
      <c r="BB334" s="4317"/>
      <c r="BC334" s="4317"/>
      <c r="BD334" s="4317"/>
      <c r="BE334" s="4317"/>
      <c r="BF334" s="4317"/>
      <c r="BG334" s="4317"/>
      <c r="BH334" s="4317"/>
      <c r="BI334" s="4317"/>
      <c r="BJ334" s="4317"/>
      <c r="BK334" s="4317"/>
      <c r="BL334" s="4317"/>
      <c r="BM334" s="4317"/>
      <c r="BN334" s="4317"/>
      <c r="BO334" s="4317"/>
      <c r="BP334" s="4317"/>
      <c r="BQ334" s="4317"/>
      <c r="BR334" s="4317"/>
      <c r="BS334" s="4317"/>
      <c r="BT334" s="4317"/>
      <c r="BU334" s="4317"/>
      <c r="BV334" s="4317"/>
      <c r="BW334" s="4317"/>
      <c r="BX334" s="4317"/>
      <c r="BY334" s="4317"/>
      <c r="BZ334" s="4317"/>
      <c r="CA334" s="4317"/>
      <c r="CB334" s="4317"/>
      <c r="CC334" s="4317"/>
      <c r="CD334" s="4317"/>
      <c r="CE334" s="4317"/>
      <c r="CF334" s="4317"/>
      <c r="CG334" s="4317"/>
      <c r="CH334" s="4317"/>
      <c r="CI334" s="4317"/>
      <c r="CJ334" s="4317"/>
      <c r="CK334" s="4317"/>
      <c r="CL334" s="4317"/>
      <c r="CM334" s="4317"/>
      <c r="CN334" s="4317"/>
      <c r="CO334" s="4317"/>
      <c r="CP334" s="4317"/>
      <c r="CQ334" s="4317"/>
      <c r="CR334" s="4317"/>
      <c r="CS334" s="4317"/>
      <c r="CT334" s="4317"/>
      <c r="CU334" s="4317"/>
      <c r="CV334" s="4317"/>
      <c r="CW334" s="4317"/>
      <c r="CX334" s="4317"/>
      <c r="CY334" s="4317"/>
      <c r="CZ334" s="4317"/>
      <c r="DA334" s="4317"/>
      <c r="DB334" s="4317"/>
      <c r="DC334" s="4317"/>
      <c r="DD334" s="4317"/>
      <c r="DE334" s="4317"/>
      <c r="DF334" s="4317"/>
      <c r="DG334" s="4317"/>
      <c r="DH334" s="4317"/>
      <c r="DI334" s="4317"/>
      <c r="DJ334" s="4317"/>
      <c r="DK334" s="4317"/>
      <c r="DL334" s="4317"/>
      <c r="DM334" s="4317"/>
      <c r="DN334" s="4317"/>
      <c r="DO334" s="4317"/>
      <c r="DP334" s="4317"/>
      <c r="DQ334" s="4317"/>
      <c r="DR334" s="4317"/>
      <c r="DS334" s="4317"/>
    </row>
    <row r="335" s="4134" customFormat="1" ht="19.5" customHeight="1" spans="1:123">
      <c r="A335" s="4298" t="s">
        <v>5014</v>
      </c>
      <c r="B335" s="4299"/>
      <c r="C335" s="4299"/>
      <c r="D335" s="4299"/>
      <c r="E335" s="4299"/>
      <c r="F335" s="4300">
        <v>14739</v>
      </c>
      <c r="G335" s="4300"/>
      <c r="H335" s="4300"/>
      <c r="I335" s="4300"/>
      <c r="J335" s="4300"/>
      <c r="K335" s="4300"/>
      <c r="L335" s="4300"/>
      <c r="M335" s="4317"/>
      <c r="N335" s="4317"/>
      <c r="O335" s="4340" t="s">
        <v>2310</v>
      </c>
      <c r="P335" s="4317"/>
      <c r="Q335" s="4295"/>
      <c r="R335" s="4317"/>
      <c r="S335" s="4317"/>
      <c r="T335" s="4317"/>
      <c r="U335" s="4317"/>
      <c r="V335" s="4317"/>
      <c r="W335" s="4317"/>
      <c r="X335" s="4317"/>
      <c r="Y335" s="4317"/>
      <c r="Z335" s="4317"/>
      <c r="AA335" s="4317"/>
      <c r="AB335" s="4317"/>
      <c r="AC335" s="4295"/>
      <c r="AD335" s="4317"/>
      <c r="AE335" s="4317"/>
      <c r="AF335" s="4319"/>
      <c r="AG335" s="4319"/>
      <c r="AH335" s="4317"/>
      <c r="AI335" s="4317"/>
      <c r="AJ335" s="4317"/>
      <c r="AK335" s="4317"/>
      <c r="AL335" s="4317"/>
      <c r="AM335" s="4317"/>
      <c r="AN335" s="4317"/>
      <c r="AO335" s="4317"/>
      <c r="AP335" s="4317"/>
      <c r="AQ335" s="4317"/>
      <c r="AR335" s="4317"/>
      <c r="AS335" s="4317"/>
      <c r="AT335" s="4317"/>
      <c r="AU335" s="4317"/>
      <c r="AV335" s="4317"/>
      <c r="AW335" s="4317"/>
      <c r="AX335" s="4317"/>
      <c r="AY335" s="4317"/>
      <c r="AZ335" s="4317"/>
      <c r="BA335" s="4317"/>
      <c r="BB335" s="4317"/>
      <c r="BC335" s="4317"/>
      <c r="BD335" s="4317"/>
      <c r="BE335" s="4317"/>
      <c r="BF335" s="4317"/>
      <c r="BG335" s="4317"/>
      <c r="BH335" s="4317"/>
      <c r="BI335" s="4317"/>
      <c r="BJ335" s="4317"/>
      <c r="BK335" s="4317"/>
      <c r="BL335" s="4317"/>
      <c r="BM335" s="4317"/>
      <c r="BN335" s="4317"/>
      <c r="BO335" s="4317"/>
      <c r="BP335" s="4317"/>
      <c r="BQ335" s="4317"/>
      <c r="BR335" s="4317"/>
      <c r="BS335" s="4317"/>
      <c r="BT335" s="4317"/>
      <c r="BU335" s="4317"/>
      <c r="BV335" s="4317"/>
      <c r="BW335" s="4317"/>
      <c r="BX335" s="4317"/>
      <c r="BY335" s="4317"/>
      <c r="BZ335" s="4317"/>
      <c r="CA335" s="4317"/>
      <c r="CB335" s="4317"/>
      <c r="CC335" s="4317"/>
      <c r="CD335" s="4317"/>
      <c r="CE335" s="4317"/>
      <c r="CF335" s="4317"/>
      <c r="CG335" s="4317"/>
      <c r="CH335" s="4317"/>
      <c r="CI335" s="4317"/>
      <c r="CJ335" s="4317"/>
      <c r="CK335" s="4317"/>
      <c r="CL335" s="4317"/>
      <c r="CM335" s="4317"/>
      <c r="CN335" s="4317"/>
      <c r="CO335" s="4317"/>
      <c r="CP335" s="4317"/>
      <c r="CQ335" s="4317"/>
      <c r="CR335" s="4317"/>
      <c r="CS335" s="4317"/>
      <c r="CT335" s="4317"/>
      <c r="CU335" s="4317"/>
      <c r="CV335" s="4317"/>
      <c r="CW335" s="4317"/>
      <c r="CX335" s="4317"/>
      <c r="CY335" s="4317"/>
      <c r="CZ335" s="4317"/>
      <c r="DA335" s="4317"/>
      <c r="DB335" s="4317"/>
      <c r="DC335" s="4317"/>
      <c r="DD335" s="4317"/>
      <c r="DE335" s="4317"/>
      <c r="DF335" s="4317"/>
      <c r="DG335" s="4317"/>
      <c r="DH335" s="4317"/>
      <c r="DI335" s="4317"/>
      <c r="DJ335" s="4317"/>
      <c r="DK335" s="4317"/>
      <c r="DL335" s="4317"/>
      <c r="DM335" s="4317"/>
      <c r="DN335" s="4317"/>
      <c r="DO335" s="4317"/>
      <c r="DP335" s="4317"/>
      <c r="DQ335" s="4317"/>
      <c r="DR335" s="4317"/>
      <c r="DS335" s="4317"/>
    </row>
    <row r="336" s="4134" customFormat="1" ht="19.5" customHeight="1" spans="1:123">
      <c r="A336" s="4304" t="s">
        <v>3582</v>
      </c>
      <c r="B336" s="4324"/>
      <c r="C336" s="4324"/>
      <c r="D336" s="4324"/>
      <c r="E336" s="4324"/>
      <c r="F336" s="4306">
        <f>SUM(F333:L335)</f>
        <v>14739</v>
      </c>
      <c r="G336" s="4306"/>
      <c r="H336" s="4306"/>
      <c r="I336" s="4306"/>
      <c r="J336" s="4306"/>
      <c r="K336" s="4306"/>
      <c r="L336" s="4306"/>
      <c r="M336" s="4317"/>
      <c r="N336" s="4317"/>
      <c r="O336" s="4340" t="s">
        <v>5016</v>
      </c>
      <c r="P336" s="4317"/>
      <c r="Q336" s="4295"/>
      <c r="R336" s="4317"/>
      <c r="S336" s="4317"/>
      <c r="T336" s="4317"/>
      <c r="U336" s="4317"/>
      <c r="V336" s="4317"/>
      <c r="W336" s="4317"/>
      <c r="X336" s="4317"/>
      <c r="Y336" s="4317"/>
      <c r="Z336" s="4317"/>
      <c r="AA336" s="4317"/>
      <c r="AB336" s="4317"/>
      <c r="AC336" s="4295"/>
      <c r="AD336" s="4317"/>
      <c r="AE336" s="4317"/>
      <c r="AF336" s="4319"/>
      <c r="AG336" s="4319"/>
      <c r="AH336" s="4317"/>
      <c r="AI336" s="4317"/>
      <c r="AJ336" s="4317"/>
      <c r="AK336" s="4317"/>
      <c r="AL336" s="4317"/>
      <c r="AM336" s="4317"/>
      <c r="AN336" s="4317"/>
      <c r="AO336" s="4317"/>
      <c r="AP336" s="4317"/>
      <c r="AQ336" s="4317"/>
      <c r="AR336" s="4317"/>
      <c r="AS336" s="4317"/>
      <c r="AT336" s="4317"/>
      <c r="AU336" s="4317"/>
      <c r="AV336" s="4317"/>
      <c r="AW336" s="4317"/>
      <c r="AX336" s="4317"/>
      <c r="AY336" s="4317"/>
      <c r="AZ336" s="4317"/>
      <c r="BA336" s="4317"/>
      <c r="BB336" s="4317"/>
      <c r="BC336" s="4317"/>
      <c r="BD336" s="4317"/>
      <c r="BE336" s="4317"/>
      <c r="BF336" s="4317"/>
      <c r="BG336" s="4317"/>
      <c r="BH336" s="4317"/>
      <c r="BI336" s="4317"/>
      <c r="BJ336" s="4317"/>
      <c r="BK336" s="4317"/>
      <c r="BL336" s="4317"/>
      <c r="BM336" s="4317"/>
      <c r="BN336" s="4317"/>
      <c r="BO336" s="4317"/>
      <c r="BP336" s="4317"/>
      <c r="BQ336" s="4317"/>
      <c r="BR336" s="4317"/>
      <c r="BS336" s="4317"/>
      <c r="BT336" s="4317"/>
      <c r="BU336" s="4317"/>
      <c r="BV336" s="4317"/>
      <c r="BW336" s="4317"/>
      <c r="BX336" s="4317"/>
      <c r="BY336" s="4317"/>
      <c r="BZ336" s="4317"/>
      <c r="CA336" s="4317"/>
      <c r="CB336" s="4317"/>
      <c r="CC336" s="4317"/>
      <c r="CD336" s="4317"/>
      <c r="CE336" s="4317"/>
      <c r="CF336" s="4317"/>
      <c r="CG336" s="4317"/>
      <c r="CH336" s="4317"/>
      <c r="CI336" s="4317"/>
      <c r="CJ336" s="4317"/>
      <c r="CK336" s="4317"/>
      <c r="CL336" s="4317"/>
      <c r="CM336" s="4317"/>
      <c r="CN336" s="4317"/>
      <c r="CO336" s="4317"/>
      <c r="CP336" s="4317"/>
      <c r="CQ336" s="4317"/>
      <c r="CR336" s="4317"/>
      <c r="CS336" s="4317"/>
      <c r="CT336" s="4317"/>
      <c r="CU336" s="4317"/>
      <c r="CV336" s="4317"/>
      <c r="CW336" s="4317"/>
      <c r="CX336" s="4317"/>
      <c r="CY336" s="4317"/>
      <c r="CZ336" s="4317"/>
      <c r="DA336" s="4317"/>
      <c r="DB336" s="4317"/>
      <c r="DC336" s="4317"/>
      <c r="DD336" s="4317"/>
      <c r="DE336" s="4317"/>
      <c r="DF336" s="4317"/>
      <c r="DG336" s="4317"/>
      <c r="DH336" s="4317"/>
      <c r="DI336" s="4317"/>
      <c r="DJ336" s="4317"/>
      <c r="DK336" s="4317"/>
      <c r="DL336" s="4317"/>
      <c r="DM336" s="4317"/>
      <c r="DN336" s="4317"/>
      <c r="DO336" s="4317"/>
      <c r="DP336" s="4317"/>
      <c r="DQ336" s="4317"/>
      <c r="DR336" s="4317"/>
      <c r="DS336" s="4317"/>
    </row>
    <row r="337" s="4134" customFormat="1" ht="19.5" customHeight="1" spans="1:123">
      <c r="A337" s="4312" t="s">
        <v>5017</v>
      </c>
      <c r="B337" s="4313"/>
      <c r="C337" s="4313"/>
      <c r="D337" s="4313"/>
      <c r="E337" s="4313"/>
      <c r="F337" s="4314">
        <f>F314+F315+F316+F319+F326+F327+F328+F329++F332+F336</f>
        <v>14739</v>
      </c>
      <c r="G337" s="4314"/>
      <c r="H337" s="4314"/>
      <c r="I337" s="4314"/>
      <c r="J337" s="4314"/>
      <c r="K337" s="4314"/>
      <c r="L337" s="4314"/>
      <c r="M337" s="4317"/>
      <c r="N337" s="4317"/>
      <c r="O337" s="4342" t="s">
        <v>5018</v>
      </c>
      <c r="P337" s="4317"/>
      <c r="Q337" s="4295"/>
      <c r="R337" s="4317"/>
      <c r="S337" s="4317"/>
      <c r="T337" s="4317"/>
      <c r="U337" s="4317"/>
      <c r="V337" s="4317"/>
      <c r="W337" s="4317"/>
      <c r="X337" s="4317"/>
      <c r="Y337" s="4317"/>
      <c r="Z337" s="4317"/>
      <c r="AA337" s="4317"/>
      <c r="AB337" s="4317"/>
      <c r="AC337" s="4295"/>
      <c r="AD337" s="4317"/>
      <c r="AE337" s="4317"/>
      <c r="AF337" s="4319"/>
      <c r="AG337" s="4319"/>
      <c r="AH337" s="4317"/>
      <c r="AI337" s="4317"/>
      <c r="AJ337" s="4317"/>
      <c r="AK337" s="4317"/>
      <c r="AL337" s="4317"/>
      <c r="AM337" s="4317"/>
      <c r="AN337" s="4317"/>
      <c r="AO337" s="4317"/>
      <c r="AP337" s="4317"/>
      <c r="AQ337" s="4317"/>
      <c r="AR337" s="4317"/>
      <c r="AS337" s="4317"/>
      <c r="AT337" s="4317"/>
      <c r="AU337" s="4317"/>
      <c r="AV337" s="4317"/>
      <c r="AW337" s="4317"/>
      <c r="AX337" s="4317"/>
      <c r="AY337" s="4317"/>
      <c r="AZ337" s="4317"/>
      <c r="BA337" s="4317"/>
      <c r="BB337" s="4317"/>
      <c r="BC337" s="4317"/>
      <c r="BD337" s="4317"/>
      <c r="BE337" s="4317"/>
      <c r="BF337" s="4317"/>
      <c r="BG337" s="4317"/>
      <c r="BH337" s="4317"/>
      <c r="BI337" s="4317"/>
      <c r="BJ337" s="4317"/>
      <c r="BK337" s="4317"/>
      <c r="BL337" s="4317"/>
      <c r="BM337" s="4317"/>
      <c r="BN337" s="4317"/>
      <c r="BO337" s="4317"/>
      <c r="BP337" s="4317"/>
      <c r="BQ337" s="4317"/>
      <c r="BR337" s="4317"/>
      <c r="BS337" s="4317"/>
      <c r="BT337" s="4317"/>
      <c r="BU337" s="4317"/>
      <c r="BV337" s="4317"/>
      <c r="BW337" s="4317"/>
      <c r="BX337" s="4317"/>
      <c r="BY337" s="4317"/>
      <c r="BZ337" s="4317"/>
      <c r="CA337" s="4317"/>
      <c r="CB337" s="4317"/>
      <c r="CC337" s="4317"/>
      <c r="CD337" s="4317"/>
      <c r="CE337" s="4317"/>
      <c r="CF337" s="4317"/>
      <c r="CG337" s="4317"/>
      <c r="CH337" s="4317"/>
      <c r="CI337" s="4317"/>
      <c r="CJ337" s="4317"/>
      <c r="CK337" s="4317"/>
      <c r="CL337" s="4317"/>
      <c r="CM337" s="4317"/>
      <c r="CN337" s="4317"/>
      <c r="CO337" s="4317"/>
      <c r="CP337" s="4317"/>
      <c r="CQ337" s="4317"/>
      <c r="CR337" s="4317"/>
      <c r="CS337" s="4317"/>
      <c r="CT337" s="4317"/>
      <c r="CU337" s="4317"/>
      <c r="CV337" s="4317"/>
      <c r="CW337" s="4317"/>
      <c r="CX337" s="4317"/>
      <c r="CY337" s="4317"/>
      <c r="CZ337" s="4317"/>
      <c r="DA337" s="4317"/>
      <c r="DB337" s="4317"/>
      <c r="DC337" s="4317"/>
      <c r="DD337" s="4317"/>
      <c r="DE337" s="4317"/>
      <c r="DF337" s="4317"/>
      <c r="DG337" s="4317"/>
      <c r="DH337" s="4317"/>
      <c r="DI337" s="4317"/>
      <c r="DJ337" s="4317"/>
      <c r="DK337" s="4317"/>
      <c r="DL337" s="4317"/>
      <c r="DM337" s="4317"/>
      <c r="DN337" s="4317"/>
      <c r="DO337" s="4317"/>
      <c r="DP337" s="4317"/>
      <c r="DQ337" s="4317"/>
      <c r="DR337" s="4317"/>
      <c r="DS337" s="4317"/>
    </row>
    <row r="338" s="4134" customFormat="1" ht="19.5" customHeight="1" spans="1:123">
      <c r="A338" s="4304" t="s">
        <v>3583</v>
      </c>
      <c r="B338" s="4324"/>
      <c r="C338" s="4324"/>
      <c r="D338" s="4324"/>
      <c r="E338" s="4324"/>
      <c r="F338" s="4300"/>
      <c r="G338" s="4300"/>
      <c r="H338" s="4300"/>
      <c r="I338" s="4300"/>
      <c r="J338" s="4300"/>
      <c r="K338" s="4300"/>
      <c r="L338" s="4300"/>
      <c r="M338" s="4317"/>
      <c r="N338" s="4317"/>
      <c r="O338" s="4340" t="s">
        <v>3439</v>
      </c>
      <c r="P338" s="4317"/>
      <c r="Q338" s="4295"/>
      <c r="R338" s="4317"/>
      <c r="S338" s="4317"/>
      <c r="T338" s="4317"/>
      <c r="U338" s="4317"/>
      <c r="V338" s="4317"/>
      <c r="W338" s="4317"/>
      <c r="X338" s="4317"/>
      <c r="Y338" s="4317"/>
      <c r="Z338" s="4317"/>
      <c r="AA338" s="4317"/>
      <c r="AB338" s="4317"/>
      <c r="AC338" s="4295"/>
      <c r="AD338" s="4317"/>
      <c r="AE338" s="4317"/>
      <c r="AF338" s="4319"/>
      <c r="AG338" s="4319"/>
      <c r="AH338" s="4317"/>
      <c r="AI338" s="4317"/>
      <c r="AJ338" s="4317"/>
      <c r="AK338" s="4317"/>
      <c r="AL338" s="4317"/>
      <c r="AM338" s="4317"/>
      <c r="AN338" s="4317"/>
      <c r="AO338" s="4317"/>
      <c r="AP338" s="4317"/>
      <c r="AQ338" s="4317"/>
      <c r="AR338" s="4317"/>
      <c r="AS338" s="4317"/>
      <c r="AT338" s="4317"/>
      <c r="AU338" s="4317"/>
      <c r="AV338" s="4317"/>
      <c r="AW338" s="4317"/>
      <c r="AX338" s="4317"/>
      <c r="AY338" s="4317"/>
      <c r="AZ338" s="4317"/>
      <c r="BA338" s="4317"/>
      <c r="BB338" s="4317"/>
      <c r="BC338" s="4317"/>
      <c r="BD338" s="4317"/>
      <c r="BE338" s="4317"/>
      <c r="BF338" s="4317"/>
      <c r="BG338" s="4317"/>
      <c r="BH338" s="4317"/>
      <c r="BI338" s="4317"/>
      <c r="BJ338" s="4317"/>
      <c r="BK338" s="4317"/>
      <c r="BL338" s="4317"/>
      <c r="BM338" s="4317"/>
      <c r="BN338" s="4317"/>
      <c r="BO338" s="4317"/>
      <c r="BP338" s="4317"/>
      <c r="BQ338" s="4317"/>
      <c r="BR338" s="4317"/>
      <c r="BS338" s="4317"/>
      <c r="BT338" s="4317"/>
      <c r="BU338" s="4317"/>
      <c r="BV338" s="4317"/>
      <c r="BW338" s="4317"/>
      <c r="BX338" s="4317"/>
      <c r="BY338" s="4317"/>
      <c r="BZ338" s="4317"/>
      <c r="CA338" s="4317"/>
      <c r="CB338" s="4317"/>
      <c r="CC338" s="4317"/>
      <c r="CD338" s="4317"/>
      <c r="CE338" s="4317"/>
      <c r="CF338" s="4317"/>
      <c r="CG338" s="4317"/>
      <c r="CH338" s="4317"/>
      <c r="CI338" s="4317"/>
      <c r="CJ338" s="4317"/>
      <c r="CK338" s="4317"/>
      <c r="CL338" s="4317"/>
      <c r="CM338" s="4317"/>
      <c r="CN338" s="4317"/>
      <c r="CO338" s="4317"/>
      <c r="CP338" s="4317"/>
      <c r="CQ338" s="4317"/>
      <c r="CR338" s="4317"/>
      <c r="CS338" s="4317"/>
      <c r="CT338" s="4317"/>
      <c r="CU338" s="4317"/>
      <c r="CV338" s="4317"/>
      <c r="CW338" s="4317"/>
      <c r="CX338" s="4317"/>
      <c r="CY338" s="4317"/>
      <c r="CZ338" s="4317"/>
      <c r="DA338" s="4317"/>
      <c r="DB338" s="4317"/>
      <c r="DC338" s="4317"/>
      <c r="DD338" s="4317"/>
      <c r="DE338" s="4317"/>
      <c r="DF338" s="4317"/>
      <c r="DG338" s="4317"/>
      <c r="DH338" s="4317"/>
      <c r="DI338" s="4317"/>
      <c r="DJ338" s="4317"/>
      <c r="DK338" s="4317"/>
      <c r="DL338" s="4317"/>
      <c r="DM338" s="4317"/>
      <c r="DN338" s="4317"/>
      <c r="DO338" s="4317"/>
      <c r="DP338" s="4317"/>
      <c r="DQ338" s="4317"/>
      <c r="DR338" s="4317"/>
      <c r="DS338" s="4317"/>
    </row>
    <row r="339" s="4134" customFormat="1" ht="19.5" customHeight="1" spans="1:123">
      <c r="A339" s="4298" t="s">
        <v>5019</v>
      </c>
      <c r="B339" s="4299"/>
      <c r="C339" s="4299"/>
      <c r="D339" s="4299"/>
      <c r="E339" s="4299"/>
      <c r="F339" s="4300"/>
      <c r="G339" s="4300"/>
      <c r="H339" s="4300"/>
      <c r="I339" s="4300"/>
      <c r="J339" s="4300"/>
      <c r="K339" s="4300"/>
      <c r="L339" s="4300"/>
      <c r="M339" s="4317"/>
      <c r="N339" s="4317"/>
      <c r="O339" s="4340" t="s">
        <v>5020</v>
      </c>
      <c r="P339" s="4317"/>
      <c r="Q339" s="4295"/>
      <c r="R339" s="4317"/>
      <c r="S339" s="4317"/>
      <c r="T339" s="4317"/>
      <c r="U339" s="4317"/>
      <c r="V339" s="4317"/>
      <c r="W339" s="4317"/>
      <c r="X339" s="4317"/>
      <c r="Y339" s="4317"/>
      <c r="Z339" s="4317"/>
      <c r="AA339" s="4317"/>
      <c r="AB339" s="4317"/>
      <c r="AC339" s="4295"/>
      <c r="AD339" s="4317"/>
      <c r="AE339" s="4317"/>
      <c r="AF339" s="4319"/>
      <c r="AG339" s="4319"/>
      <c r="AH339" s="4317"/>
      <c r="AI339" s="4317"/>
      <c r="AJ339" s="4317"/>
      <c r="AK339" s="4317"/>
      <c r="AL339" s="4317"/>
      <c r="AM339" s="4317"/>
      <c r="AN339" s="4317"/>
      <c r="AO339" s="4317"/>
      <c r="AP339" s="4317"/>
      <c r="AQ339" s="4317"/>
      <c r="AR339" s="4317"/>
      <c r="AS339" s="4317"/>
      <c r="AT339" s="4317"/>
      <c r="AU339" s="4317"/>
      <c r="AV339" s="4317"/>
      <c r="AW339" s="4317"/>
      <c r="AX339" s="4317"/>
      <c r="AY339" s="4317"/>
      <c r="AZ339" s="4317"/>
      <c r="BA339" s="4317"/>
      <c r="BB339" s="4317"/>
      <c r="BC339" s="4317"/>
      <c r="BD339" s="4317"/>
      <c r="BE339" s="4317"/>
      <c r="BF339" s="4317"/>
      <c r="BG339" s="4317"/>
      <c r="BH339" s="4317"/>
      <c r="BI339" s="4317"/>
      <c r="BJ339" s="4317"/>
      <c r="BK339" s="4317"/>
      <c r="BL339" s="4317"/>
      <c r="BM339" s="4317"/>
      <c r="BN339" s="4317"/>
      <c r="BO339" s="4317"/>
      <c r="BP339" s="4317"/>
      <c r="BQ339" s="4317"/>
      <c r="BR339" s="4317"/>
      <c r="BS339" s="4317"/>
      <c r="BT339" s="4317"/>
      <c r="BU339" s="4317"/>
      <c r="BV339" s="4317"/>
      <c r="BW339" s="4317"/>
      <c r="BX339" s="4317"/>
      <c r="BY339" s="4317"/>
      <c r="BZ339" s="4317"/>
      <c r="CA339" s="4317"/>
      <c r="CB339" s="4317"/>
      <c r="CC339" s="4317"/>
      <c r="CD339" s="4317"/>
      <c r="CE339" s="4317"/>
      <c r="CF339" s="4317"/>
      <c r="CG339" s="4317"/>
      <c r="CH339" s="4317"/>
      <c r="CI339" s="4317"/>
      <c r="CJ339" s="4317"/>
      <c r="CK339" s="4317"/>
      <c r="CL339" s="4317"/>
      <c r="CM339" s="4317"/>
      <c r="CN339" s="4317"/>
      <c r="CO339" s="4317"/>
      <c r="CP339" s="4317"/>
      <c r="CQ339" s="4317"/>
      <c r="CR339" s="4317"/>
      <c r="CS339" s="4317"/>
      <c r="CT339" s="4317"/>
      <c r="CU339" s="4317"/>
      <c r="CV339" s="4317"/>
      <c r="CW339" s="4317"/>
      <c r="CX339" s="4317"/>
      <c r="CY339" s="4317"/>
      <c r="CZ339" s="4317"/>
      <c r="DA339" s="4317"/>
      <c r="DB339" s="4317"/>
      <c r="DC339" s="4317"/>
      <c r="DD339" s="4317"/>
      <c r="DE339" s="4317"/>
      <c r="DF339" s="4317"/>
      <c r="DG339" s="4317"/>
      <c r="DH339" s="4317"/>
      <c r="DI339" s="4317"/>
      <c r="DJ339" s="4317"/>
      <c r="DK339" s="4317"/>
      <c r="DL339" s="4317"/>
      <c r="DM339" s="4317"/>
      <c r="DN339" s="4317"/>
      <c r="DO339" s="4317"/>
      <c r="DP339" s="4317"/>
      <c r="DQ339" s="4317"/>
      <c r="DR339" s="4317"/>
      <c r="DS339" s="4317"/>
    </row>
    <row r="340" s="4134" customFormat="1" ht="19.5" customHeight="1" spans="1:123">
      <c r="A340" s="4298" t="s">
        <v>5021</v>
      </c>
      <c r="B340" s="4299"/>
      <c r="C340" s="4299"/>
      <c r="D340" s="4299"/>
      <c r="E340" s="4299"/>
      <c r="F340" s="4300"/>
      <c r="G340" s="4300"/>
      <c r="H340" s="4300"/>
      <c r="I340" s="4300"/>
      <c r="J340" s="4300"/>
      <c r="K340" s="4300"/>
      <c r="L340" s="4300"/>
      <c r="M340" s="4317"/>
      <c r="N340" s="4317"/>
      <c r="O340" s="4340" t="s">
        <v>5022</v>
      </c>
      <c r="P340" s="4317"/>
      <c r="Q340" s="4295"/>
      <c r="R340" s="4317"/>
      <c r="S340" s="4317"/>
      <c r="T340" s="4317"/>
      <c r="U340" s="4317"/>
      <c r="V340" s="4317"/>
      <c r="W340" s="4317"/>
      <c r="X340" s="4317"/>
      <c r="Y340" s="4317"/>
      <c r="Z340" s="4317"/>
      <c r="AA340" s="4317"/>
      <c r="AB340" s="4317"/>
      <c r="AC340" s="4295"/>
      <c r="AD340" s="4317"/>
      <c r="AE340" s="4317"/>
      <c r="AF340" s="4319"/>
      <c r="AG340" s="4319"/>
      <c r="AH340" s="4317"/>
      <c r="AI340" s="4317"/>
      <c r="AJ340" s="4317"/>
      <c r="AK340" s="4317"/>
      <c r="AL340" s="4317"/>
      <c r="AM340" s="4317"/>
      <c r="AN340" s="4317"/>
      <c r="AO340" s="4317"/>
      <c r="AP340" s="4317"/>
      <c r="AQ340" s="4317"/>
      <c r="AR340" s="4317"/>
      <c r="AS340" s="4317"/>
      <c r="AT340" s="4317"/>
      <c r="AU340" s="4317"/>
      <c r="AV340" s="4317"/>
      <c r="AW340" s="4317"/>
      <c r="AX340" s="4317"/>
      <c r="AY340" s="4317"/>
      <c r="AZ340" s="4317"/>
      <c r="BA340" s="4317"/>
      <c r="BB340" s="4317"/>
      <c r="BC340" s="4317"/>
      <c r="BD340" s="4317"/>
      <c r="BE340" s="4317"/>
      <c r="BF340" s="4317"/>
      <c r="BG340" s="4317"/>
      <c r="BH340" s="4317"/>
      <c r="BI340" s="4317"/>
      <c r="BJ340" s="4317"/>
      <c r="BK340" s="4317"/>
      <c r="BL340" s="4317"/>
      <c r="BM340" s="4317"/>
      <c r="BN340" s="4317"/>
      <c r="BO340" s="4317"/>
      <c r="BP340" s="4317"/>
      <c r="BQ340" s="4317"/>
      <c r="BR340" s="4317"/>
      <c r="BS340" s="4317"/>
      <c r="BT340" s="4317"/>
      <c r="BU340" s="4317"/>
      <c r="BV340" s="4317"/>
      <c r="BW340" s="4317"/>
      <c r="BX340" s="4317"/>
      <c r="BY340" s="4317"/>
      <c r="BZ340" s="4317"/>
      <c r="CA340" s="4317"/>
      <c r="CB340" s="4317"/>
      <c r="CC340" s="4317"/>
      <c r="CD340" s="4317"/>
      <c r="CE340" s="4317"/>
      <c r="CF340" s="4317"/>
      <c r="CG340" s="4317"/>
      <c r="CH340" s="4317"/>
      <c r="CI340" s="4317"/>
      <c r="CJ340" s="4317"/>
      <c r="CK340" s="4317"/>
      <c r="CL340" s="4317"/>
      <c r="CM340" s="4317"/>
      <c r="CN340" s="4317"/>
      <c r="CO340" s="4317"/>
      <c r="CP340" s="4317"/>
      <c r="CQ340" s="4317"/>
      <c r="CR340" s="4317"/>
      <c r="CS340" s="4317"/>
      <c r="CT340" s="4317"/>
      <c r="CU340" s="4317"/>
      <c r="CV340" s="4317"/>
      <c r="CW340" s="4317"/>
      <c r="CX340" s="4317"/>
      <c r="CY340" s="4317"/>
      <c r="CZ340" s="4317"/>
      <c r="DA340" s="4317"/>
      <c r="DB340" s="4317"/>
      <c r="DC340" s="4317"/>
      <c r="DD340" s="4317"/>
      <c r="DE340" s="4317"/>
      <c r="DF340" s="4317"/>
      <c r="DG340" s="4317"/>
      <c r="DH340" s="4317"/>
      <c r="DI340" s="4317"/>
      <c r="DJ340" s="4317"/>
      <c r="DK340" s="4317"/>
      <c r="DL340" s="4317"/>
      <c r="DM340" s="4317"/>
      <c r="DN340" s="4317"/>
      <c r="DO340" s="4317"/>
      <c r="DP340" s="4317"/>
      <c r="DQ340" s="4317"/>
      <c r="DR340" s="4317"/>
      <c r="DS340" s="4317"/>
    </row>
    <row r="341" s="4134" customFormat="1" ht="19.5" customHeight="1" spans="1:123">
      <c r="A341" s="4304" t="s">
        <v>3584</v>
      </c>
      <c r="B341" s="4324"/>
      <c r="C341" s="4324"/>
      <c r="D341" s="4324"/>
      <c r="E341" s="4324"/>
      <c r="F341" s="4306">
        <f>SUM(F339:L340)</f>
        <v>0</v>
      </c>
      <c r="G341" s="4306"/>
      <c r="H341" s="4306"/>
      <c r="I341" s="4306"/>
      <c r="J341" s="4306"/>
      <c r="K341" s="4306"/>
      <c r="L341" s="4306"/>
      <c r="M341" s="4317"/>
      <c r="N341" s="4317"/>
      <c r="O341" s="4340" t="s">
        <v>3433</v>
      </c>
      <c r="P341" s="4317"/>
      <c r="Q341" s="4295"/>
      <c r="R341" s="4317"/>
      <c r="S341" s="4317"/>
      <c r="T341" s="4317"/>
      <c r="U341" s="4317"/>
      <c r="V341" s="4317"/>
      <c r="W341" s="4317"/>
      <c r="X341" s="4317"/>
      <c r="Y341" s="4317"/>
      <c r="Z341" s="4317"/>
      <c r="AA341" s="4317"/>
      <c r="AB341" s="4317"/>
      <c r="AC341" s="4295"/>
      <c r="AD341" s="4317"/>
      <c r="AE341" s="4317"/>
      <c r="AF341" s="4318"/>
      <c r="AG341" s="4318"/>
      <c r="AH341" s="4317"/>
      <c r="AI341" s="4317"/>
      <c r="AJ341" s="4317"/>
      <c r="AK341" s="4317"/>
      <c r="AL341" s="4317"/>
      <c r="AM341" s="4317"/>
      <c r="AN341" s="4317"/>
      <c r="AO341" s="4317"/>
      <c r="AP341" s="4317"/>
      <c r="AQ341" s="4317"/>
      <c r="AR341" s="4317"/>
      <c r="AS341" s="4317"/>
      <c r="AT341" s="4317"/>
      <c r="AU341" s="4317"/>
      <c r="AV341" s="4317"/>
      <c r="AW341" s="4317"/>
      <c r="AX341" s="4317"/>
      <c r="AY341" s="4317"/>
      <c r="AZ341" s="4317"/>
      <c r="BA341" s="4317"/>
      <c r="BB341" s="4317"/>
      <c r="BC341" s="4317"/>
      <c r="BD341" s="4317"/>
      <c r="BE341" s="4317"/>
      <c r="BF341" s="4317"/>
      <c r="BG341" s="4317"/>
      <c r="BH341" s="4317"/>
      <c r="BI341" s="4317"/>
      <c r="BJ341" s="4317"/>
      <c r="BK341" s="4317"/>
      <c r="BL341" s="4317"/>
      <c r="BM341" s="4317"/>
      <c r="BN341" s="4317"/>
      <c r="BO341" s="4317"/>
      <c r="BP341" s="4317"/>
      <c r="BQ341" s="4317"/>
      <c r="BR341" s="4317"/>
      <c r="BS341" s="4317"/>
      <c r="BT341" s="4317"/>
      <c r="BU341" s="4317"/>
      <c r="BV341" s="4317"/>
      <c r="BW341" s="4317"/>
      <c r="BX341" s="4317"/>
      <c r="BY341" s="4317"/>
      <c r="BZ341" s="4317"/>
      <c r="CA341" s="4317"/>
      <c r="CB341" s="4317"/>
      <c r="CC341" s="4317"/>
      <c r="CD341" s="4317"/>
      <c r="CE341" s="4317"/>
      <c r="CF341" s="4317"/>
      <c r="CG341" s="4317"/>
      <c r="CH341" s="4317"/>
      <c r="CI341" s="4317"/>
      <c r="CJ341" s="4317"/>
      <c r="CK341" s="4317"/>
      <c r="CL341" s="4317"/>
      <c r="CM341" s="4317"/>
      <c r="CN341" s="4317"/>
      <c r="CO341" s="4317"/>
      <c r="CP341" s="4317"/>
      <c r="CQ341" s="4317"/>
      <c r="CR341" s="4317"/>
      <c r="CS341" s="4317"/>
      <c r="CT341" s="4317"/>
      <c r="CU341" s="4317"/>
      <c r="CV341" s="4317"/>
      <c r="CW341" s="4317"/>
      <c r="CX341" s="4317"/>
      <c r="CY341" s="4317"/>
      <c r="CZ341" s="4317"/>
      <c r="DA341" s="4317"/>
      <c r="DB341" s="4317"/>
      <c r="DC341" s="4317"/>
      <c r="DD341" s="4317"/>
      <c r="DE341" s="4317"/>
      <c r="DF341" s="4317"/>
      <c r="DG341" s="4317"/>
      <c r="DH341" s="4317"/>
      <c r="DI341" s="4317"/>
      <c r="DJ341" s="4317"/>
      <c r="DK341" s="4317"/>
      <c r="DL341" s="4317"/>
      <c r="DM341" s="4317"/>
      <c r="DN341" s="4317"/>
      <c r="DO341" s="4317"/>
      <c r="DP341" s="4317"/>
      <c r="DQ341" s="4317"/>
      <c r="DR341" s="4317"/>
      <c r="DS341" s="4317"/>
    </row>
    <row r="342" s="4134" customFormat="1" ht="19.5" customHeight="1" spans="1:123">
      <c r="A342" s="4304" t="s">
        <v>3585</v>
      </c>
      <c r="B342" s="4324"/>
      <c r="C342" s="4324"/>
      <c r="D342" s="4324"/>
      <c r="E342" s="4324"/>
      <c r="F342" s="4300"/>
      <c r="G342" s="4300"/>
      <c r="H342" s="4300"/>
      <c r="I342" s="4300"/>
      <c r="J342" s="4300"/>
      <c r="K342" s="4300"/>
      <c r="L342" s="4300"/>
      <c r="M342" s="4317"/>
      <c r="N342" s="4317"/>
      <c r="O342" s="4340" t="s">
        <v>5023</v>
      </c>
      <c r="P342" s="4317"/>
      <c r="Q342" s="4295"/>
      <c r="R342" s="4317"/>
      <c r="S342" s="4317"/>
      <c r="T342" s="4317"/>
      <c r="U342" s="4317"/>
      <c r="V342" s="4317"/>
      <c r="W342" s="4317"/>
      <c r="X342" s="4317"/>
      <c r="Y342" s="4317"/>
      <c r="Z342" s="4317"/>
      <c r="AA342" s="4317"/>
      <c r="AB342" s="4317"/>
      <c r="AC342" s="4295"/>
      <c r="AD342" s="4317"/>
      <c r="AE342" s="4317"/>
      <c r="AF342" s="4319"/>
      <c r="AG342" s="4319"/>
      <c r="AH342" s="4317"/>
      <c r="AI342" s="4317"/>
      <c r="AJ342" s="4317"/>
      <c r="AK342" s="4317"/>
      <c r="AL342" s="4317"/>
      <c r="AM342" s="4317"/>
      <c r="AN342" s="4317"/>
      <c r="AO342" s="4317"/>
      <c r="AP342" s="4317"/>
      <c r="AQ342" s="4317"/>
      <c r="AR342" s="4317"/>
      <c r="AS342" s="4317"/>
      <c r="AT342" s="4317"/>
      <c r="AU342" s="4317"/>
      <c r="AV342" s="4317"/>
      <c r="AW342" s="4317"/>
      <c r="AX342" s="4317"/>
      <c r="AY342" s="4317"/>
      <c r="AZ342" s="4317"/>
      <c r="BA342" s="4317"/>
      <c r="BB342" s="4317"/>
      <c r="BC342" s="4317"/>
      <c r="BD342" s="4317"/>
      <c r="BE342" s="4317"/>
      <c r="BF342" s="4317"/>
      <c r="BG342" s="4317"/>
      <c r="BH342" s="4317"/>
      <c r="BI342" s="4317"/>
      <c r="BJ342" s="4317"/>
      <c r="BK342" s="4317"/>
      <c r="BL342" s="4317"/>
      <c r="BM342" s="4317"/>
      <c r="BN342" s="4317"/>
      <c r="BO342" s="4317"/>
      <c r="BP342" s="4317"/>
      <c r="BQ342" s="4317"/>
      <c r="BR342" s="4317"/>
      <c r="BS342" s="4317"/>
      <c r="BT342" s="4317"/>
      <c r="BU342" s="4317"/>
      <c r="BV342" s="4317"/>
      <c r="BW342" s="4317"/>
      <c r="BX342" s="4317"/>
      <c r="BY342" s="4317"/>
      <c r="BZ342" s="4317"/>
      <c r="CA342" s="4317"/>
      <c r="CB342" s="4317"/>
      <c r="CC342" s="4317"/>
      <c r="CD342" s="4317"/>
      <c r="CE342" s="4317"/>
      <c r="CF342" s="4317"/>
      <c r="CG342" s="4317"/>
      <c r="CH342" s="4317"/>
      <c r="CI342" s="4317"/>
      <c r="CJ342" s="4317"/>
      <c r="CK342" s="4317"/>
      <c r="CL342" s="4317"/>
      <c r="CM342" s="4317"/>
      <c r="CN342" s="4317"/>
      <c r="CO342" s="4317"/>
      <c r="CP342" s="4317"/>
      <c r="CQ342" s="4317"/>
      <c r="CR342" s="4317"/>
      <c r="CS342" s="4317"/>
      <c r="CT342" s="4317"/>
      <c r="CU342" s="4317"/>
      <c r="CV342" s="4317"/>
      <c r="CW342" s="4317"/>
      <c r="CX342" s="4317"/>
      <c r="CY342" s="4317"/>
      <c r="CZ342" s="4317"/>
      <c r="DA342" s="4317"/>
      <c r="DB342" s="4317"/>
      <c r="DC342" s="4317"/>
      <c r="DD342" s="4317"/>
      <c r="DE342" s="4317"/>
      <c r="DF342" s="4317"/>
      <c r="DG342" s="4317"/>
      <c r="DH342" s="4317"/>
      <c r="DI342" s="4317"/>
      <c r="DJ342" s="4317"/>
      <c r="DK342" s="4317"/>
      <c r="DL342" s="4317"/>
      <c r="DM342" s="4317"/>
      <c r="DN342" s="4317"/>
      <c r="DO342" s="4317"/>
      <c r="DP342" s="4317"/>
      <c r="DQ342" s="4317"/>
      <c r="DR342" s="4317"/>
      <c r="DS342" s="4317"/>
    </row>
    <row r="343" s="4134" customFormat="1" ht="19.5" customHeight="1" spans="1:123">
      <c r="A343" s="4304" t="s">
        <v>5024</v>
      </c>
      <c r="B343" s="4324"/>
      <c r="C343" s="4324"/>
      <c r="D343" s="4324"/>
      <c r="E343" s="4324"/>
      <c r="F343" s="4300"/>
      <c r="G343" s="4300"/>
      <c r="H343" s="4300"/>
      <c r="I343" s="4300"/>
      <c r="J343" s="4300"/>
      <c r="K343" s="4300"/>
      <c r="L343" s="4300"/>
      <c r="M343" s="4317"/>
      <c r="N343" s="4317"/>
      <c r="O343" s="4340" t="s">
        <v>5025</v>
      </c>
      <c r="P343" s="4317"/>
      <c r="Q343" s="4295"/>
      <c r="R343" s="4317"/>
      <c r="S343" s="4317"/>
      <c r="T343" s="4317"/>
      <c r="U343" s="4317"/>
      <c r="V343" s="4317"/>
      <c r="W343" s="4317"/>
      <c r="X343" s="4317"/>
      <c r="Y343" s="4317"/>
      <c r="Z343" s="4317"/>
      <c r="AA343" s="4317"/>
      <c r="AB343" s="4317"/>
      <c r="AC343" s="4295"/>
      <c r="AD343" s="4317"/>
      <c r="AE343" s="4317"/>
      <c r="AF343" s="4319"/>
      <c r="AG343" s="4319"/>
      <c r="AH343" s="4317"/>
      <c r="AI343" s="4317"/>
      <c r="AJ343" s="4317"/>
      <c r="AK343" s="4317"/>
      <c r="AL343" s="4317"/>
      <c r="AM343" s="4317"/>
      <c r="AN343" s="4317"/>
      <c r="AO343" s="4317"/>
      <c r="AP343" s="4317"/>
      <c r="AQ343" s="4317"/>
      <c r="AR343" s="4317"/>
      <c r="AS343" s="4317"/>
      <c r="AT343" s="4317"/>
      <c r="AU343" s="4317"/>
      <c r="AV343" s="4317"/>
      <c r="AW343" s="4317"/>
      <c r="AX343" s="4317"/>
      <c r="AY343" s="4317"/>
      <c r="AZ343" s="4317"/>
      <c r="BA343" s="4317"/>
      <c r="BB343" s="4317"/>
      <c r="BC343" s="4317"/>
      <c r="BD343" s="4317"/>
      <c r="BE343" s="4317"/>
      <c r="BF343" s="4317"/>
      <c r="BG343" s="4317"/>
      <c r="BH343" s="4317"/>
      <c r="BI343" s="4317"/>
      <c r="BJ343" s="4317"/>
      <c r="BK343" s="4317"/>
      <c r="BL343" s="4317"/>
      <c r="BM343" s="4317"/>
      <c r="BN343" s="4317"/>
      <c r="BO343" s="4317"/>
      <c r="BP343" s="4317"/>
      <c r="BQ343" s="4317"/>
      <c r="BR343" s="4317"/>
      <c r="BS343" s="4317"/>
      <c r="BT343" s="4317"/>
      <c r="BU343" s="4317"/>
      <c r="BV343" s="4317"/>
      <c r="BW343" s="4317"/>
      <c r="BX343" s="4317"/>
      <c r="BY343" s="4317"/>
      <c r="BZ343" s="4317"/>
      <c r="CA343" s="4317"/>
      <c r="CB343" s="4317"/>
      <c r="CC343" s="4317"/>
      <c r="CD343" s="4317"/>
      <c r="CE343" s="4317"/>
      <c r="CF343" s="4317"/>
      <c r="CG343" s="4317"/>
      <c r="CH343" s="4317"/>
      <c r="CI343" s="4317"/>
      <c r="CJ343" s="4317"/>
      <c r="CK343" s="4317"/>
      <c r="CL343" s="4317"/>
      <c r="CM343" s="4317"/>
      <c r="CN343" s="4317"/>
      <c r="CO343" s="4317"/>
      <c r="CP343" s="4317"/>
      <c r="CQ343" s="4317"/>
      <c r="CR343" s="4317"/>
      <c r="CS343" s="4317"/>
      <c r="CT343" s="4317"/>
      <c r="CU343" s="4317"/>
      <c r="CV343" s="4317"/>
      <c r="CW343" s="4317"/>
      <c r="CX343" s="4317"/>
      <c r="CY343" s="4317"/>
      <c r="CZ343" s="4317"/>
      <c r="DA343" s="4317"/>
      <c r="DB343" s="4317"/>
      <c r="DC343" s="4317"/>
      <c r="DD343" s="4317"/>
      <c r="DE343" s="4317"/>
      <c r="DF343" s="4317"/>
      <c r="DG343" s="4317"/>
      <c r="DH343" s="4317"/>
      <c r="DI343" s="4317"/>
      <c r="DJ343" s="4317"/>
      <c r="DK343" s="4317"/>
      <c r="DL343" s="4317"/>
      <c r="DM343" s="4317"/>
      <c r="DN343" s="4317"/>
      <c r="DO343" s="4317"/>
      <c r="DP343" s="4317"/>
      <c r="DQ343" s="4317"/>
      <c r="DR343" s="4317"/>
      <c r="DS343" s="4317"/>
    </row>
    <row r="344" s="4134" customFormat="1" ht="19.5" customHeight="1" spans="1:123">
      <c r="A344" s="4298" t="s">
        <v>5026</v>
      </c>
      <c r="B344" s="4299"/>
      <c r="C344" s="4299"/>
      <c r="D344" s="4299"/>
      <c r="E344" s="4299"/>
      <c r="F344" s="4300"/>
      <c r="G344" s="4300"/>
      <c r="H344" s="4300"/>
      <c r="I344" s="4300"/>
      <c r="J344" s="4300"/>
      <c r="K344" s="4300"/>
      <c r="L344" s="4300"/>
      <c r="M344" s="4317"/>
      <c r="N344" s="4317"/>
      <c r="O344" s="4340" t="s">
        <v>5027</v>
      </c>
      <c r="P344" s="4317"/>
      <c r="Q344" s="4295"/>
      <c r="R344" s="4317"/>
      <c r="S344" s="4317"/>
      <c r="T344" s="4317"/>
      <c r="U344" s="4317"/>
      <c r="V344" s="4317"/>
      <c r="W344" s="4317"/>
      <c r="X344" s="4317"/>
      <c r="Y344" s="4317"/>
      <c r="Z344" s="4317"/>
      <c r="AA344" s="4317"/>
      <c r="AB344" s="4317"/>
      <c r="AC344" s="4295"/>
      <c r="AD344" s="4317"/>
      <c r="AE344" s="4317"/>
      <c r="AF344" s="4319"/>
      <c r="AG344" s="4319"/>
      <c r="AH344" s="4317"/>
      <c r="AI344" s="4317"/>
      <c r="AJ344" s="4317"/>
      <c r="AK344" s="4317"/>
      <c r="AL344" s="4317"/>
      <c r="AM344" s="4317"/>
      <c r="AN344" s="4317"/>
      <c r="AO344" s="4317"/>
      <c r="AP344" s="4317"/>
      <c r="AQ344" s="4317"/>
      <c r="AR344" s="4317"/>
      <c r="AS344" s="4317"/>
      <c r="AT344" s="4317"/>
      <c r="AU344" s="4317"/>
      <c r="AV344" s="4317"/>
      <c r="AW344" s="4317"/>
      <c r="AX344" s="4317"/>
      <c r="AY344" s="4317"/>
      <c r="AZ344" s="4317"/>
      <c r="BA344" s="4317"/>
      <c r="BB344" s="4317"/>
      <c r="BC344" s="4317"/>
      <c r="BD344" s="4317"/>
      <c r="BE344" s="4317"/>
      <c r="BF344" s="4317"/>
      <c r="BG344" s="4317"/>
      <c r="BH344" s="4317"/>
      <c r="BI344" s="4317"/>
      <c r="BJ344" s="4317"/>
      <c r="BK344" s="4317"/>
      <c r="BL344" s="4317"/>
      <c r="BM344" s="4317"/>
      <c r="BN344" s="4317"/>
      <c r="BO344" s="4317"/>
      <c r="BP344" s="4317"/>
      <c r="BQ344" s="4317"/>
      <c r="BR344" s="4317"/>
      <c r="BS344" s="4317"/>
      <c r="BT344" s="4317"/>
      <c r="BU344" s="4317"/>
      <c r="BV344" s="4317"/>
      <c r="BW344" s="4317"/>
      <c r="BX344" s="4317"/>
      <c r="BY344" s="4317"/>
      <c r="BZ344" s="4317"/>
      <c r="CA344" s="4317"/>
      <c r="CB344" s="4317"/>
      <c r="CC344" s="4317"/>
      <c r="CD344" s="4317"/>
      <c r="CE344" s="4317"/>
      <c r="CF344" s="4317"/>
      <c r="CG344" s="4317"/>
      <c r="CH344" s="4317"/>
      <c r="CI344" s="4317"/>
      <c r="CJ344" s="4317"/>
      <c r="CK344" s="4317"/>
      <c r="CL344" s="4317"/>
      <c r="CM344" s="4317"/>
      <c r="CN344" s="4317"/>
      <c r="CO344" s="4317"/>
      <c r="CP344" s="4317"/>
      <c r="CQ344" s="4317"/>
      <c r="CR344" s="4317"/>
      <c r="CS344" s="4317"/>
      <c r="CT344" s="4317"/>
      <c r="CU344" s="4317"/>
      <c r="CV344" s="4317"/>
      <c r="CW344" s="4317"/>
      <c r="CX344" s="4317"/>
      <c r="CY344" s="4317"/>
      <c r="CZ344" s="4317"/>
      <c r="DA344" s="4317"/>
      <c r="DB344" s="4317"/>
      <c r="DC344" s="4317"/>
      <c r="DD344" s="4317"/>
      <c r="DE344" s="4317"/>
      <c r="DF344" s="4317"/>
      <c r="DG344" s="4317"/>
      <c r="DH344" s="4317"/>
      <c r="DI344" s="4317"/>
      <c r="DJ344" s="4317"/>
      <c r="DK344" s="4317"/>
      <c r="DL344" s="4317"/>
      <c r="DM344" s="4317"/>
      <c r="DN344" s="4317"/>
      <c r="DO344" s="4317"/>
      <c r="DP344" s="4317"/>
      <c r="DQ344" s="4317"/>
      <c r="DR344" s="4317"/>
      <c r="DS344" s="4317"/>
    </row>
    <row r="345" s="4134" customFormat="1" ht="19.5" customHeight="1" spans="1:123">
      <c r="A345" s="4298" t="s">
        <v>5028</v>
      </c>
      <c r="B345" s="4299"/>
      <c r="C345" s="4299"/>
      <c r="D345" s="4299"/>
      <c r="E345" s="4299"/>
      <c r="F345" s="4300"/>
      <c r="G345" s="4300"/>
      <c r="H345" s="4300"/>
      <c r="I345" s="4300"/>
      <c r="J345" s="4300"/>
      <c r="K345" s="4300"/>
      <c r="L345" s="4300"/>
      <c r="M345" s="4317"/>
      <c r="N345" s="4317"/>
      <c r="O345" s="4340" t="s">
        <v>5029</v>
      </c>
      <c r="P345" s="4317"/>
      <c r="Q345" s="4295"/>
      <c r="R345" s="4317"/>
      <c r="S345" s="4317"/>
      <c r="T345" s="4317"/>
      <c r="U345" s="4317"/>
      <c r="V345" s="4317"/>
      <c r="W345" s="4317"/>
      <c r="X345" s="4317"/>
      <c r="Y345" s="4317"/>
      <c r="Z345" s="4317"/>
      <c r="AA345" s="4317"/>
      <c r="AB345" s="4317"/>
      <c r="AC345" s="4295"/>
      <c r="AD345" s="4317"/>
      <c r="AE345" s="4317"/>
      <c r="AF345" s="4319"/>
      <c r="AG345" s="4319"/>
      <c r="AH345" s="4317"/>
      <c r="AI345" s="4317"/>
      <c r="AJ345" s="4317"/>
      <c r="AK345" s="4317"/>
      <c r="AL345" s="4317"/>
      <c r="AM345" s="4317"/>
      <c r="AN345" s="4317"/>
      <c r="AO345" s="4317"/>
      <c r="AP345" s="4317"/>
      <c r="AQ345" s="4317"/>
      <c r="AR345" s="4317"/>
      <c r="AS345" s="4317"/>
      <c r="AT345" s="4317"/>
      <c r="AU345" s="4317"/>
      <c r="AV345" s="4317"/>
      <c r="AW345" s="4317"/>
      <c r="AX345" s="4317"/>
      <c r="AY345" s="4317"/>
      <c r="AZ345" s="4317"/>
      <c r="BA345" s="4317"/>
      <c r="BB345" s="4317"/>
      <c r="BC345" s="4317"/>
      <c r="BD345" s="4317"/>
      <c r="BE345" s="4317"/>
      <c r="BF345" s="4317"/>
      <c r="BG345" s="4317"/>
      <c r="BH345" s="4317"/>
      <c r="BI345" s="4317"/>
      <c r="BJ345" s="4317"/>
      <c r="BK345" s="4317"/>
      <c r="BL345" s="4317"/>
      <c r="BM345" s="4317"/>
      <c r="BN345" s="4317"/>
      <c r="BO345" s="4317"/>
      <c r="BP345" s="4317"/>
      <c r="BQ345" s="4317"/>
      <c r="BR345" s="4317"/>
      <c r="BS345" s="4317"/>
      <c r="BT345" s="4317"/>
      <c r="BU345" s="4317"/>
      <c r="BV345" s="4317"/>
      <c r="BW345" s="4317"/>
      <c r="BX345" s="4317"/>
      <c r="BY345" s="4317"/>
      <c r="BZ345" s="4317"/>
      <c r="CA345" s="4317"/>
      <c r="CB345" s="4317"/>
      <c r="CC345" s="4317"/>
      <c r="CD345" s="4317"/>
      <c r="CE345" s="4317"/>
      <c r="CF345" s="4317"/>
      <c r="CG345" s="4317"/>
      <c r="CH345" s="4317"/>
      <c r="CI345" s="4317"/>
      <c r="CJ345" s="4317"/>
      <c r="CK345" s="4317"/>
      <c r="CL345" s="4317"/>
      <c r="CM345" s="4317"/>
      <c r="CN345" s="4317"/>
      <c r="CO345" s="4317"/>
      <c r="CP345" s="4317"/>
      <c r="CQ345" s="4317"/>
      <c r="CR345" s="4317"/>
      <c r="CS345" s="4317"/>
      <c r="CT345" s="4317"/>
      <c r="CU345" s="4317"/>
      <c r="CV345" s="4317"/>
      <c r="CW345" s="4317"/>
      <c r="CX345" s="4317"/>
      <c r="CY345" s="4317"/>
      <c r="CZ345" s="4317"/>
      <c r="DA345" s="4317"/>
      <c r="DB345" s="4317"/>
      <c r="DC345" s="4317"/>
      <c r="DD345" s="4317"/>
      <c r="DE345" s="4317"/>
      <c r="DF345" s="4317"/>
      <c r="DG345" s="4317"/>
      <c r="DH345" s="4317"/>
      <c r="DI345" s="4317"/>
      <c r="DJ345" s="4317"/>
      <c r="DK345" s="4317"/>
      <c r="DL345" s="4317"/>
      <c r="DM345" s="4317"/>
      <c r="DN345" s="4317"/>
      <c r="DO345" s="4317"/>
      <c r="DP345" s="4317"/>
      <c r="DQ345" s="4317"/>
      <c r="DR345" s="4317"/>
      <c r="DS345" s="4317"/>
    </row>
    <row r="346" s="4134" customFormat="1" ht="19.5" customHeight="1" spans="1:123">
      <c r="A346" s="4298" t="s">
        <v>5030</v>
      </c>
      <c r="B346" s="4299"/>
      <c r="C346" s="4299"/>
      <c r="D346" s="4299"/>
      <c r="E346" s="4299"/>
      <c r="F346" s="4300"/>
      <c r="G346" s="4300"/>
      <c r="H346" s="4300"/>
      <c r="I346" s="4300"/>
      <c r="J346" s="4300"/>
      <c r="K346" s="4300"/>
      <c r="L346" s="4300"/>
      <c r="M346" s="4317"/>
      <c r="N346" s="4317"/>
      <c r="O346" s="4340" t="s">
        <v>5031</v>
      </c>
      <c r="P346" s="4317"/>
      <c r="Q346" s="4295"/>
      <c r="R346" s="4317"/>
      <c r="S346" s="4317"/>
      <c r="T346" s="4317"/>
      <c r="U346" s="4317"/>
      <c r="V346" s="4317"/>
      <c r="W346" s="4317"/>
      <c r="X346" s="4317"/>
      <c r="Y346" s="4317"/>
      <c r="Z346" s="4317"/>
      <c r="AA346" s="4317"/>
      <c r="AB346" s="4317"/>
      <c r="AC346" s="4295"/>
      <c r="AD346" s="4317"/>
      <c r="AE346" s="4317"/>
      <c r="AF346" s="4319"/>
      <c r="AG346" s="4319"/>
      <c r="AH346" s="4317"/>
      <c r="AI346" s="4317"/>
      <c r="AJ346" s="4317"/>
      <c r="AK346" s="4317"/>
      <c r="AL346" s="4317"/>
      <c r="AM346" s="4317"/>
      <c r="AN346" s="4317"/>
      <c r="AO346" s="4317"/>
      <c r="AP346" s="4317"/>
      <c r="AQ346" s="4317"/>
      <c r="AR346" s="4317"/>
      <c r="AS346" s="4317"/>
      <c r="AT346" s="4317"/>
      <c r="AU346" s="4317"/>
      <c r="AV346" s="4317"/>
      <c r="AW346" s="4317"/>
      <c r="AX346" s="4317"/>
      <c r="AY346" s="4317"/>
      <c r="AZ346" s="4317"/>
      <c r="BA346" s="4317"/>
      <c r="BB346" s="4317"/>
      <c r="BC346" s="4317"/>
      <c r="BD346" s="4317"/>
      <c r="BE346" s="4317"/>
      <c r="BF346" s="4317"/>
      <c r="BG346" s="4317"/>
      <c r="BH346" s="4317"/>
      <c r="BI346" s="4317"/>
      <c r="BJ346" s="4317"/>
      <c r="BK346" s="4317"/>
      <c r="BL346" s="4317"/>
      <c r="BM346" s="4317"/>
      <c r="BN346" s="4317"/>
      <c r="BO346" s="4317"/>
      <c r="BP346" s="4317"/>
      <c r="BQ346" s="4317"/>
      <c r="BR346" s="4317"/>
      <c r="BS346" s="4317"/>
      <c r="BT346" s="4317"/>
      <c r="BU346" s="4317"/>
      <c r="BV346" s="4317"/>
      <c r="BW346" s="4317"/>
      <c r="BX346" s="4317"/>
      <c r="BY346" s="4317"/>
      <c r="BZ346" s="4317"/>
      <c r="CA346" s="4317"/>
      <c r="CB346" s="4317"/>
      <c r="CC346" s="4317"/>
      <c r="CD346" s="4317"/>
      <c r="CE346" s="4317"/>
      <c r="CF346" s="4317"/>
      <c r="CG346" s="4317"/>
      <c r="CH346" s="4317"/>
      <c r="CI346" s="4317"/>
      <c r="CJ346" s="4317"/>
      <c r="CK346" s="4317"/>
      <c r="CL346" s="4317"/>
      <c r="CM346" s="4317"/>
      <c r="CN346" s="4317"/>
      <c r="CO346" s="4317"/>
      <c r="CP346" s="4317"/>
      <c r="CQ346" s="4317"/>
      <c r="CR346" s="4317"/>
      <c r="CS346" s="4317"/>
      <c r="CT346" s="4317"/>
      <c r="CU346" s="4317"/>
      <c r="CV346" s="4317"/>
      <c r="CW346" s="4317"/>
      <c r="CX346" s="4317"/>
      <c r="CY346" s="4317"/>
      <c r="CZ346" s="4317"/>
      <c r="DA346" s="4317"/>
      <c r="DB346" s="4317"/>
      <c r="DC346" s="4317"/>
      <c r="DD346" s="4317"/>
      <c r="DE346" s="4317"/>
      <c r="DF346" s="4317"/>
      <c r="DG346" s="4317"/>
      <c r="DH346" s="4317"/>
      <c r="DI346" s="4317"/>
      <c r="DJ346" s="4317"/>
      <c r="DK346" s="4317"/>
      <c r="DL346" s="4317"/>
      <c r="DM346" s="4317"/>
      <c r="DN346" s="4317"/>
      <c r="DO346" s="4317"/>
      <c r="DP346" s="4317"/>
      <c r="DQ346" s="4317"/>
      <c r="DR346" s="4317"/>
      <c r="DS346" s="4317"/>
    </row>
    <row r="347" s="4134" customFormat="1" ht="19.5" customHeight="1" spans="1:123">
      <c r="A347" s="4298" t="s">
        <v>5032</v>
      </c>
      <c r="B347" s="4299"/>
      <c r="C347" s="4299"/>
      <c r="D347" s="4299"/>
      <c r="E347" s="4299"/>
      <c r="F347" s="4300"/>
      <c r="G347" s="4300"/>
      <c r="H347" s="4300"/>
      <c r="I347" s="4300"/>
      <c r="J347" s="4300"/>
      <c r="K347" s="4300"/>
      <c r="L347" s="4300"/>
      <c r="M347" s="4317"/>
      <c r="N347" s="4317"/>
      <c r="O347" s="4340" t="s">
        <v>5033</v>
      </c>
      <c r="P347" s="4317"/>
      <c r="Q347" s="4295"/>
      <c r="R347" s="4317"/>
      <c r="S347" s="4317"/>
      <c r="T347" s="4317"/>
      <c r="U347" s="4317"/>
      <c r="V347" s="4317"/>
      <c r="W347" s="4317"/>
      <c r="X347" s="4317"/>
      <c r="Y347" s="4317"/>
      <c r="Z347" s="4317"/>
      <c r="AA347" s="4317"/>
      <c r="AB347" s="4317"/>
      <c r="AC347" s="4295"/>
      <c r="AD347" s="4317"/>
      <c r="AE347" s="4317"/>
      <c r="AF347" s="4319"/>
      <c r="AG347" s="4319"/>
      <c r="AH347" s="4317"/>
      <c r="AI347" s="4317"/>
      <c r="AJ347" s="4317"/>
      <c r="AK347" s="4317"/>
      <c r="AL347" s="4317"/>
      <c r="AM347" s="4317"/>
      <c r="AN347" s="4317"/>
      <c r="AO347" s="4317"/>
      <c r="AP347" s="4317"/>
      <c r="AQ347" s="4317"/>
      <c r="AR347" s="4317"/>
      <c r="AS347" s="4317"/>
      <c r="AT347" s="4317"/>
      <c r="AU347" s="4317"/>
      <c r="AV347" s="4317"/>
      <c r="AW347" s="4317"/>
      <c r="AX347" s="4317"/>
      <c r="AY347" s="4317"/>
      <c r="AZ347" s="4317"/>
      <c r="BA347" s="4317"/>
      <c r="BB347" s="4317"/>
      <c r="BC347" s="4317"/>
      <c r="BD347" s="4317"/>
      <c r="BE347" s="4317"/>
      <c r="BF347" s="4317"/>
      <c r="BG347" s="4317"/>
      <c r="BH347" s="4317"/>
      <c r="BI347" s="4317"/>
      <c r="BJ347" s="4317"/>
      <c r="BK347" s="4317"/>
      <c r="BL347" s="4317"/>
      <c r="BM347" s="4317"/>
      <c r="BN347" s="4317"/>
      <c r="BO347" s="4317"/>
      <c r="BP347" s="4317"/>
      <c r="BQ347" s="4317"/>
      <c r="BR347" s="4317"/>
      <c r="BS347" s="4317"/>
      <c r="BT347" s="4317"/>
      <c r="BU347" s="4317"/>
      <c r="BV347" s="4317"/>
      <c r="BW347" s="4317"/>
      <c r="BX347" s="4317"/>
      <c r="BY347" s="4317"/>
      <c r="BZ347" s="4317"/>
      <c r="CA347" s="4317"/>
      <c r="CB347" s="4317"/>
      <c r="CC347" s="4317"/>
      <c r="CD347" s="4317"/>
      <c r="CE347" s="4317"/>
      <c r="CF347" s="4317"/>
      <c r="CG347" s="4317"/>
      <c r="CH347" s="4317"/>
      <c r="CI347" s="4317"/>
      <c r="CJ347" s="4317"/>
      <c r="CK347" s="4317"/>
      <c r="CL347" s="4317"/>
      <c r="CM347" s="4317"/>
      <c r="CN347" s="4317"/>
      <c r="CO347" s="4317"/>
      <c r="CP347" s="4317"/>
      <c r="CQ347" s="4317"/>
      <c r="CR347" s="4317"/>
      <c r="CS347" s="4317"/>
      <c r="CT347" s="4317"/>
      <c r="CU347" s="4317"/>
      <c r="CV347" s="4317"/>
      <c r="CW347" s="4317"/>
      <c r="CX347" s="4317"/>
      <c r="CY347" s="4317"/>
      <c r="CZ347" s="4317"/>
      <c r="DA347" s="4317"/>
      <c r="DB347" s="4317"/>
      <c r="DC347" s="4317"/>
      <c r="DD347" s="4317"/>
      <c r="DE347" s="4317"/>
      <c r="DF347" s="4317"/>
      <c r="DG347" s="4317"/>
      <c r="DH347" s="4317"/>
      <c r="DI347" s="4317"/>
      <c r="DJ347" s="4317"/>
      <c r="DK347" s="4317"/>
      <c r="DL347" s="4317"/>
      <c r="DM347" s="4317"/>
      <c r="DN347" s="4317"/>
      <c r="DO347" s="4317"/>
      <c r="DP347" s="4317"/>
      <c r="DQ347" s="4317"/>
      <c r="DR347" s="4317"/>
      <c r="DS347" s="4317"/>
    </row>
    <row r="348" s="4134" customFormat="1" ht="19.5" customHeight="1" spans="1:123">
      <c r="A348" s="4298" t="s">
        <v>5034</v>
      </c>
      <c r="B348" s="4299"/>
      <c r="C348" s="4299"/>
      <c r="D348" s="4299"/>
      <c r="E348" s="4299"/>
      <c r="F348" s="4300"/>
      <c r="G348" s="4300"/>
      <c r="H348" s="4300"/>
      <c r="I348" s="4300"/>
      <c r="J348" s="4300"/>
      <c r="K348" s="4300"/>
      <c r="L348" s="4300"/>
      <c r="M348" s="4317"/>
      <c r="N348" s="4317"/>
      <c r="O348" s="4340" t="s">
        <v>5035</v>
      </c>
      <c r="P348" s="4317"/>
      <c r="Q348" s="4295"/>
      <c r="R348" s="4317"/>
      <c r="S348" s="4317"/>
      <c r="T348" s="4317"/>
      <c r="U348" s="4317"/>
      <c r="V348" s="4317"/>
      <c r="W348" s="4317"/>
      <c r="X348" s="4317"/>
      <c r="Y348" s="4317"/>
      <c r="Z348" s="4317"/>
      <c r="AA348" s="4317"/>
      <c r="AB348" s="4317"/>
      <c r="AC348" s="4295"/>
      <c r="AD348" s="4317"/>
      <c r="AE348" s="4317"/>
      <c r="AF348" s="4319"/>
      <c r="AG348" s="4319"/>
      <c r="AH348" s="4317"/>
      <c r="AI348" s="4317"/>
      <c r="AJ348" s="4317"/>
      <c r="AK348" s="4317"/>
      <c r="AL348" s="4317"/>
      <c r="AM348" s="4317"/>
      <c r="AN348" s="4317"/>
      <c r="AO348" s="4317"/>
      <c r="AP348" s="4317"/>
      <c r="AQ348" s="4317"/>
      <c r="AR348" s="4317"/>
      <c r="AS348" s="4317"/>
      <c r="AT348" s="4317"/>
      <c r="AU348" s="4317"/>
      <c r="AV348" s="4317"/>
      <c r="AW348" s="4317"/>
      <c r="AX348" s="4317"/>
      <c r="AY348" s="4317"/>
      <c r="AZ348" s="4317"/>
      <c r="BA348" s="4317"/>
      <c r="BB348" s="4317"/>
      <c r="BC348" s="4317"/>
      <c r="BD348" s="4317"/>
      <c r="BE348" s="4317"/>
      <c r="BF348" s="4317"/>
      <c r="BG348" s="4317"/>
      <c r="BH348" s="4317"/>
      <c r="BI348" s="4317"/>
      <c r="BJ348" s="4317"/>
      <c r="BK348" s="4317"/>
      <c r="BL348" s="4317"/>
      <c r="BM348" s="4317"/>
      <c r="BN348" s="4317"/>
      <c r="BO348" s="4317"/>
      <c r="BP348" s="4317"/>
      <c r="BQ348" s="4317"/>
      <c r="BR348" s="4317"/>
      <c r="BS348" s="4317"/>
      <c r="BT348" s="4317"/>
      <c r="BU348" s="4317"/>
      <c r="BV348" s="4317"/>
      <c r="BW348" s="4317"/>
      <c r="BX348" s="4317"/>
      <c r="BY348" s="4317"/>
      <c r="BZ348" s="4317"/>
      <c r="CA348" s="4317"/>
      <c r="CB348" s="4317"/>
      <c r="CC348" s="4317"/>
      <c r="CD348" s="4317"/>
      <c r="CE348" s="4317"/>
      <c r="CF348" s="4317"/>
      <c r="CG348" s="4317"/>
      <c r="CH348" s="4317"/>
      <c r="CI348" s="4317"/>
      <c r="CJ348" s="4317"/>
      <c r="CK348" s="4317"/>
      <c r="CL348" s="4317"/>
      <c r="CM348" s="4317"/>
      <c r="CN348" s="4317"/>
      <c r="CO348" s="4317"/>
      <c r="CP348" s="4317"/>
      <c r="CQ348" s="4317"/>
      <c r="CR348" s="4317"/>
      <c r="CS348" s="4317"/>
      <c r="CT348" s="4317"/>
      <c r="CU348" s="4317"/>
      <c r="CV348" s="4317"/>
      <c r="CW348" s="4317"/>
      <c r="CX348" s="4317"/>
      <c r="CY348" s="4317"/>
      <c r="CZ348" s="4317"/>
      <c r="DA348" s="4317"/>
      <c r="DB348" s="4317"/>
      <c r="DC348" s="4317"/>
      <c r="DD348" s="4317"/>
      <c r="DE348" s="4317"/>
      <c r="DF348" s="4317"/>
      <c r="DG348" s="4317"/>
      <c r="DH348" s="4317"/>
      <c r="DI348" s="4317"/>
      <c r="DJ348" s="4317"/>
      <c r="DK348" s="4317"/>
      <c r="DL348" s="4317"/>
      <c r="DM348" s="4317"/>
      <c r="DN348" s="4317"/>
      <c r="DO348" s="4317"/>
      <c r="DP348" s="4317"/>
      <c r="DQ348" s="4317"/>
      <c r="DR348" s="4317"/>
      <c r="DS348" s="4317"/>
    </row>
    <row r="349" s="4134" customFormat="1" ht="19.5" customHeight="1" spans="1:123">
      <c r="A349" s="4304" t="s">
        <v>5036</v>
      </c>
      <c r="B349" s="4324"/>
      <c r="C349" s="4324"/>
      <c r="D349" s="4324"/>
      <c r="E349" s="4324"/>
      <c r="F349" s="4306">
        <f>SUM(F344:L348)</f>
        <v>0</v>
      </c>
      <c r="G349" s="4306"/>
      <c r="H349" s="4306"/>
      <c r="I349" s="4306"/>
      <c r="J349" s="4306"/>
      <c r="K349" s="4306"/>
      <c r="L349" s="4306"/>
      <c r="M349" s="4317"/>
      <c r="N349" s="4317"/>
      <c r="O349" s="4340" t="s">
        <v>5037</v>
      </c>
      <c r="P349" s="4317"/>
      <c r="Q349" s="4295"/>
      <c r="R349" s="4317"/>
      <c r="S349" s="4317"/>
      <c r="T349" s="4317"/>
      <c r="U349" s="4317"/>
      <c r="V349" s="4317"/>
      <c r="W349" s="4317"/>
      <c r="X349" s="4317"/>
      <c r="Y349" s="4317"/>
      <c r="Z349" s="4317"/>
      <c r="AA349" s="4317"/>
      <c r="AB349" s="4317"/>
      <c r="AC349" s="4295"/>
      <c r="AD349" s="4317"/>
      <c r="AE349" s="4317"/>
      <c r="AF349" s="4319"/>
      <c r="AG349" s="4319"/>
      <c r="AH349" s="4317"/>
      <c r="AI349" s="4317"/>
      <c r="AJ349" s="4317"/>
      <c r="AK349" s="4317"/>
      <c r="AL349" s="4317"/>
      <c r="AM349" s="4317"/>
      <c r="AN349" s="4317"/>
      <c r="AO349" s="4317"/>
      <c r="AP349" s="4317"/>
      <c r="AQ349" s="4317"/>
      <c r="AR349" s="4317"/>
      <c r="AS349" s="4317"/>
      <c r="AT349" s="4317"/>
      <c r="AU349" s="4317"/>
      <c r="AV349" s="4317"/>
      <c r="AW349" s="4317"/>
      <c r="AX349" s="4317"/>
      <c r="AY349" s="4317"/>
      <c r="AZ349" s="4317"/>
      <c r="BA349" s="4317"/>
      <c r="BB349" s="4317"/>
      <c r="BC349" s="4317"/>
      <c r="BD349" s="4317"/>
      <c r="BE349" s="4317"/>
      <c r="BF349" s="4317"/>
      <c r="BG349" s="4317"/>
      <c r="BH349" s="4317"/>
      <c r="BI349" s="4317"/>
      <c r="BJ349" s="4317"/>
      <c r="BK349" s="4317"/>
      <c r="BL349" s="4317"/>
      <c r="BM349" s="4317"/>
      <c r="BN349" s="4317"/>
      <c r="BO349" s="4317"/>
      <c r="BP349" s="4317"/>
      <c r="BQ349" s="4317"/>
      <c r="BR349" s="4317"/>
      <c r="BS349" s="4317"/>
      <c r="BT349" s="4317"/>
      <c r="BU349" s="4317"/>
      <c r="BV349" s="4317"/>
      <c r="BW349" s="4317"/>
      <c r="BX349" s="4317"/>
      <c r="BY349" s="4317"/>
      <c r="BZ349" s="4317"/>
      <c r="CA349" s="4317"/>
      <c r="CB349" s="4317"/>
      <c r="CC349" s="4317"/>
      <c r="CD349" s="4317"/>
      <c r="CE349" s="4317"/>
      <c r="CF349" s="4317"/>
      <c r="CG349" s="4317"/>
      <c r="CH349" s="4317"/>
      <c r="CI349" s="4317"/>
      <c r="CJ349" s="4317"/>
      <c r="CK349" s="4317"/>
      <c r="CL349" s="4317"/>
      <c r="CM349" s="4317"/>
      <c r="CN349" s="4317"/>
      <c r="CO349" s="4317"/>
      <c r="CP349" s="4317"/>
      <c r="CQ349" s="4317"/>
      <c r="CR349" s="4317"/>
      <c r="CS349" s="4317"/>
      <c r="CT349" s="4317"/>
      <c r="CU349" s="4317"/>
      <c r="CV349" s="4317"/>
      <c r="CW349" s="4317"/>
      <c r="CX349" s="4317"/>
      <c r="CY349" s="4317"/>
      <c r="CZ349" s="4317"/>
      <c r="DA349" s="4317"/>
      <c r="DB349" s="4317"/>
      <c r="DC349" s="4317"/>
      <c r="DD349" s="4317"/>
      <c r="DE349" s="4317"/>
      <c r="DF349" s="4317"/>
      <c r="DG349" s="4317"/>
      <c r="DH349" s="4317"/>
      <c r="DI349" s="4317"/>
      <c r="DJ349" s="4317"/>
      <c r="DK349" s="4317"/>
      <c r="DL349" s="4317"/>
      <c r="DM349" s="4317"/>
      <c r="DN349" s="4317"/>
      <c r="DO349" s="4317"/>
      <c r="DP349" s="4317"/>
      <c r="DQ349" s="4317"/>
      <c r="DR349" s="4317"/>
      <c r="DS349" s="4317"/>
    </row>
    <row r="350" s="4134" customFormat="1" ht="19.5" customHeight="1" spans="1:123">
      <c r="A350" s="4304" t="s">
        <v>5038</v>
      </c>
      <c r="B350" s="4324"/>
      <c r="C350" s="4324"/>
      <c r="D350" s="4324"/>
      <c r="E350" s="4324"/>
      <c r="F350" s="4300"/>
      <c r="G350" s="4300"/>
      <c r="H350" s="4300"/>
      <c r="I350" s="4300"/>
      <c r="J350" s="4300"/>
      <c r="K350" s="4300"/>
      <c r="L350" s="4300"/>
      <c r="M350" s="4317"/>
      <c r="N350" s="4317"/>
      <c r="O350" s="4340" t="s">
        <v>3687</v>
      </c>
      <c r="P350" s="4317"/>
      <c r="Q350" s="4295"/>
      <c r="R350" s="4317"/>
      <c r="S350" s="4317"/>
      <c r="T350" s="4317"/>
      <c r="U350" s="4317"/>
      <c r="V350" s="4317"/>
      <c r="W350" s="4317"/>
      <c r="X350" s="4317"/>
      <c r="Y350" s="4317"/>
      <c r="Z350" s="4317"/>
      <c r="AA350" s="4317"/>
      <c r="AB350" s="4317"/>
      <c r="AC350" s="4295"/>
      <c r="AD350" s="4317"/>
      <c r="AE350" s="4317"/>
      <c r="AF350" s="4319"/>
      <c r="AG350" s="4319"/>
      <c r="AH350" s="4317"/>
      <c r="AI350" s="4317"/>
      <c r="AJ350" s="4317"/>
      <c r="AK350" s="4317"/>
      <c r="AL350" s="4317"/>
      <c r="AM350" s="4317"/>
      <c r="AN350" s="4317"/>
      <c r="AO350" s="4317"/>
      <c r="AP350" s="4317"/>
      <c r="AQ350" s="4317"/>
      <c r="AR350" s="4317"/>
      <c r="AS350" s="4317"/>
      <c r="AT350" s="4317"/>
      <c r="AU350" s="4317"/>
      <c r="AV350" s="4317"/>
      <c r="AW350" s="4317"/>
      <c r="AX350" s="4317"/>
      <c r="AY350" s="4317"/>
      <c r="AZ350" s="4317"/>
      <c r="BA350" s="4317"/>
      <c r="BB350" s="4317"/>
      <c r="BC350" s="4317"/>
      <c r="BD350" s="4317"/>
      <c r="BE350" s="4317"/>
      <c r="BF350" s="4317"/>
      <c r="BG350" s="4317"/>
      <c r="BH350" s="4317"/>
      <c r="BI350" s="4317"/>
      <c r="BJ350" s="4317"/>
      <c r="BK350" s="4317"/>
      <c r="BL350" s="4317"/>
      <c r="BM350" s="4317"/>
      <c r="BN350" s="4317"/>
      <c r="BO350" s="4317"/>
      <c r="BP350" s="4317"/>
      <c r="BQ350" s="4317"/>
      <c r="BR350" s="4317"/>
      <c r="BS350" s="4317"/>
      <c r="BT350" s="4317"/>
      <c r="BU350" s="4317"/>
      <c r="BV350" s="4317"/>
      <c r="BW350" s="4317"/>
      <c r="BX350" s="4317"/>
      <c r="BY350" s="4317"/>
      <c r="BZ350" s="4317"/>
      <c r="CA350" s="4317"/>
      <c r="CB350" s="4317"/>
      <c r="CC350" s="4317"/>
      <c r="CD350" s="4317"/>
      <c r="CE350" s="4317"/>
      <c r="CF350" s="4317"/>
      <c r="CG350" s="4317"/>
      <c r="CH350" s="4317"/>
      <c r="CI350" s="4317"/>
      <c r="CJ350" s="4317"/>
      <c r="CK350" s="4317"/>
      <c r="CL350" s="4317"/>
      <c r="CM350" s="4317"/>
      <c r="CN350" s="4317"/>
      <c r="CO350" s="4317"/>
      <c r="CP350" s="4317"/>
      <c r="CQ350" s="4317"/>
      <c r="CR350" s="4317"/>
      <c r="CS350" s="4317"/>
      <c r="CT350" s="4317"/>
      <c r="CU350" s="4317"/>
      <c r="CV350" s="4317"/>
      <c r="CW350" s="4317"/>
      <c r="CX350" s="4317"/>
      <c r="CY350" s="4317"/>
      <c r="CZ350" s="4317"/>
      <c r="DA350" s="4317"/>
      <c r="DB350" s="4317"/>
      <c r="DC350" s="4317"/>
      <c r="DD350" s="4317"/>
      <c r="DE350" s="4317"/>
      <c r="DF350" s="4317"/>
      <c r="DG350" s="4317"/>
      <c r="DH350" s="4317"/>
      <c r="DI350" s="4317"/>
      <c r="DJ350" s="4317"/>
      <c r="DK350" s="4317"/>
      <c r="DL350" s="4317"/>
      <c r="DM350" s="4317"/>
      <c r="DN350" s="4317"/>
      <c r="DO350" s="4317"/>
      <c r="DP350" s="4317"/>
      <c r="DQ350" s="4317"/>
      <c r="DR350" s="4317"/>
      <c r="DS350" s="4317"/>
    </row>
    <row r="351" s="4134" customFormat="1" ht="19.5" customHeight="1" spans="1:123">
      <c r="A351" s="4298" t="s">
        <v>5039</v>
      </c>
      <c r="B351" s="4299"/>
      <c r="C351" s="4299"/>
      <c r="D351" s="4299"/>
      <c r="E351" s="4299"/>
      <c r="F351" s="4300"/>
      <c r="G351" s="4300"/>
      <c r="H351" s="4300"/>
      <c r="I351" s="4300"/>
      <c r="J351" s="4300"/>
      <c r="K351" s="4300"/>
      <c r="L351" s="4300"/>
      <c r="M351" s="4317"/>
      <c r="N351" s="4317"/>
      <c r="O351" s="4340" t="s">
        <v>5040</v>
      </c>
      <c r="P351" s="4317"/>
      <c r="Q351" s="4295"/>
      <c r="R351" s="4317"/>
      <c r="S351" s="4317"/>
      <c r="T351" s="4317"/>
      <c r="U351" s="4317"/>
      <c r="V351" s="4317"/>
      <c r="W351" s="4317"/>
      <c r="X351" s="4317"/>
      <c r="Y351" s="4317"/>
      <c r="Z351" s="4317"/>
      <c r="AA351" s="4317"/>
      <c r="AB351" s="4317"/>
      <c r="AC351" s="4295"/>
      <c r="AD351" s="4317"/>
      <c r="AE351" s="4317"/>
      <c r="AF351" s="4319"/>
      <c r="AG351" s="4319"/>
      <c r="AH351" s="4317"/>
      <c r="AI351" s="4317"/>
      <c r="AJ351" s="4317"/>
      <c r="AK351" s="4317"/>
      <c r="AL351" s="4317"/>
      <c r="AM351" s="4317"/>
      <c r="AN351" s="4317"/>
      <c r="AO351" s="4317"/>
      <c r="AP351" s="4317"/>
      <c r="AQ351" s="4317"/>
      <c r="AR351" s="4317"/>
      <c r="AS351" s="4317"/>
      <c r="AT351" s="4317"/>
      <c r="AU351" s="4317"/>
      <c r="AV351" s="4317"/>
      <c r="AW351" s="4317"/>
      <c r="AX351" s="4317"/>
      <c r="AY351" s="4317"/>
      <c r="AZ351" s="4317"/>
      <c r="BA351" s="4317"/>
      <c r="BB351" s="4317"/>
      <c r="BC351" s="4317"/>
      <c r="BD351" s="4317"/>
      <c r="BE351" s="4317"/>
      <c r="BF351" s="4317"/>
      <c r="BG351" s="4317"/>
      <c r="BH351" s="4317"/>
      <c r="BI351" s="4317"/>
      <c r="BJ351" s="4317"/>
      <c r="BK351" s="4317"/>
      <c r="BL351" s="4317"/>
      <c r="BM351" s="4317"/>
      <c r="BN351" s="4317"/>
      <c r="BO351" s="4317"/>
      <c r="BP351" s="4317"/>
      <c r="BQ351" s="4317"/>
      <c r="BR351" s="4317"/>
      <c r="BS351" s="4317"/>
      <c r="BT351" s="4317"/>
      <c r="BU351" s="4317"/>
      <c r="BV351" s="4317"/>
      <c r="BW351" s="4317"/>
      <c r="BX351" s="4317"/>
      <c r="BY351" s="4317"/>
      <c r="BZ351" s="4317"/>
      <c r="CA351" s="4317"/>
      <c r="CB351" s="4317"/>
      <c r="CC351" s="4317"/>
      <c r="CD351" s="4317"/>
      <c r="CE351" s="4317"/>
      <c r="CF351" s="4317"/>
      <c r="CG351" s="4317"/>
      <c r="CH351" s="4317"/>
      <c r="CI351" s="4317"/>
      <c r="CJ351" s="4317"/>
      <c r="CK351" s="4317"/>
      <c r="CL351" s="4317"/>
      <c r="CM351" s="4317"/>
      <c r="CN351" s="4317"/>
      <c r="CO351" s="4317"/>
      <c r="CP351" s="4317"/>
      <c r="CQ351" s="4317"/>
      <c r="CR351" s="4317"/>
      <c r="CS351" s="4317"/>
      <c r="CT351" s="4317"/>
      <c r="CU351" s="4317"/>
      <c r="CV351" s="4317"/>
      <c r="CW351" s="4317"/>
      <c r="CX351" s="4317"/>
      <c r="CY351" s="4317"/>
      <c r="CZ351" s="4317"/>
      <c r="DA351" s="4317"/>
      <c r="DB351" s="4317"/>
      <c r="DC351" s="4317"/>
      <c r="DD351" s="4317"/>
      <c r="DE351" s="4317"/>
      <c r="DF351" s="4317"/>
      <c r="DG351" s="4317"/>
      <c r="DH351" s="4317"/>
      <c r="DI351" s="4317"/>
      <c r="DJ351" s="4317"/>
      <c r="DK351" s="4317"/>
      <c r="DL351" s="4317"/>
      <c r="DM351" s="4317"/>
      <c r="DN351" s="4317"/>
      <c r="DO351" s="4317"/>
      <c r="DP351" s="4317"/>
      <c r="DQ351" s="4317"/>
      <c r="DR351" s="4317"/>
      <c r="DS351" s="4317"/>
    </row>
    <row r="352" s="4134" customFormat="1" ht="19.5" customHeight="1" spans="1:123">
      <c r="A352" s="4298" t="s">
        <v>5041</v>
      </c>
      <c r="B352" s="4299"/>
      <c r="C352" s="4299"/>
      <c r="D352" s="4299"/>
      <c r="E352" s="4299"/>
      <c r="F352" s="4300"/>
      <c r="G352" s="4300"/>
      <c r="H352" s="4300"/>
      <c r="I352" s="4300"/>
      <c r="J352" s="4300"/>
      <c r="K352" s="4300"/>
      <c r="L352" s="4300"/>
      <c r="M352" s="4317"/>
      <c r="N352" s="4317"/>
      <c r="O352" s="4340" t="s">
        <v>5042</v>
      </c>
      <c r="P352" s="4317"/>
      <c r="Q352" s="4295"/>
      <c r="R352" s="4317"/>
      <c r="S352" s="4317"/>
      <c r="T352" s="4317"/>
      <c r="U352" s="4317"/>
      <c r="V352" s="4317"/>
      <c r="W352" s="4317"/>
      <c r="X352" s="4317"/>
      <c r="Y352" s="4317"/>
      <c r="Z352" s="4317"/>
      <c r="AA352" s="4317"/>
      <c r="AB352" s="4317"/>
      <c r="AC352" s="4295"/>
      <c r="AD352" s="4317"/>
      <c r="AE352" s="4317"/>
      <c r="AF352" s="4319"/>
      <c r="AG352" s="4319"/>
      <c r="AH352" s="4317"/>
      <c r="AI352" s="4317"/>
      <c r="AJ352" s="4317"/>
      <c r="AK352" s="4317"/>
      <c r="AL352" s="4317"/>
      <c r="AM352" s="4317"/>
      <c r="AN352" s="4317"/>
      <c r="AO352" s="4317"/>
      <c r="AP352" s="4317"/>
      <c r="AQ352" s="4317"/>
      <c r="AR352" s="4317"/>
      <c r="AS352" s="4317"/>
      <c r="AT352" s="4317"/>
      <c r="AU352" s="4317"/>
      <c r="AV352" s="4317"/>
      <c r="AW352" s="4317"/>
      <c r="AX352" s="4317"/>
      <c r="AY352" s="4317"/>
      <c r="AZ352" s="4317"/>
      <c r="BA352" s="4317"/>
      <c r="BB352" s="4317"/>
      <c r="BC352" s="4317"/>
      <c r="BD352" s="4317"/>
      <c r="BE352" s="4317"/>
      <c r="BF352" s="4317"/>
      <c r="BG352" s="4317"/>
      <c r="BH352" s="4317"/>
      <c r="BI352" s="4317"/>
      <c r="BJ352" s="4317"/>
      <c r="BK352" s="4317"/>
      <c r="BL352" s="4317"/>
      <c r="BM352" s="4317"/>
      <c r="BN352" s="4317"/>
      <c r="BO352" s="4317"/>
      <c r="BP352" s="4317"/>
      <c r="BQ352" s="4317"/>
      <c r="BR352" s="4317"/>
      <c r="BS352" s="4317"/>
      <c r="BT352" s="4317"/>
      <c r="BU352" s="4317"/>
      <c r="BV352" s="4317"/>
      <c r="BW352" s="4317"/>
      <c r="BX352" s="4317"/>
      <c r="BY352" s="4317"/>
      <c r="BZ352" s="4317"/>
      <c r="CA352" s="4317"/>
      <c r="CB352" s="4317"/>
      <c r="CC352" s="4317"/>
      <c r="CD352" s="4317"/>
      <c r="CE352" s="4317"/>
      <c r="CF352" s="4317"/>
      <c r="CG352" s="4317"/>
      <c r="CH352" s="4317"/>
      <c r="CI352" s="4317"/>
      <c r="CJ352" s="4317"/>
      <c r="CK352" s="4317"/>
      <c r="CL352" s="4317"/>
      <c r="CM352" s="4317"/>
      <c r="CN352" s="4317"/>
      <c r="CO352" s="4317"/>
      <c r="CP352" s="4317"/>
      <c r="CQ352" s="4317"/>
      <c r="CR352" s="4317"/>
      <c r="CS352" s="4317"/>
      <c r="CT352" s="4317"/>
      <c r="CU352" s="4317"/>
      <c r="CV352" s="4317"/>
      <c r="CW352" s="4317"/>
      <c r="CX352" s="4317"/>
      <c r="CY352" s="4317"/>
      <c r="CZ352" s="4317"/>
      <c r="DA352" s="4317"/>
      <c r="DB352" s="4317"/>
      <c r="DC352" s="4317"/>
      <c r="DD352" s="4317"/>
      <c r="DE352" s="4317"/>
      <c r="DF352" s="4317"/>
      <c r="DG352" s="4317"/>
      <c r="DH352" s="4317"/>
      <c r="DI352" s="4317"/>
      <c r="DJ352" s="4317"/>
      <c r="DK352" s="4317"/>
      <c r="DL352" s="4317"/>
      <c r="DM352" s="4317"/>
      <c r="DN352" s="4317"/>
      <c r="DO352" s="4317"/>
      <c r="DP352" s="4317"/>
      <c r="DQ352" s="4317"/>
      <c r="DR352" s="4317"/>
      <c r="DS352" s="4317"/>
    </row>
    <row r="353" s="4134" customFormat="1" ht="19.5" customHeight="1" spans="1:123">
      <c r="A353" s="4298" t="s">
        <v>5043</v>
      </c>
      <c r="B353" s="4299"/>
      <c r="C353" s="4299"/>
      <c r="D353" s="4299"/>
      <c r="E353" s="4299"/>
      <c r="F353" s="4300"/>
      <c r="G353" s="4300"/>
      <c r="H353" s="4300"/>
      <c r="I353" s="4300"/>
      <c r="J353" s="4300"/>
      <c r="K353" s="4300"/>
      <c r="L353" s="4300"/>
      <c r="M353" s="4317"/>
      <c r="N353" s="4317"/>
      <c r="O353" s="4340" t="s">
        <v>5044</v>
      </c>
      <c r="P353" s="4317"/>
      <c r="Q353" s="4295"/>
      <c r="R353" s="4317"/>
      <c r="S353" s="4317"/>
      <c r="T353" s="4317"/>
      <c r="U353" s="4317"/>
      <c r="V353" s="4317"/>
      <c r="W353" s="4317"/>
      <c r="X353" s="4317"/>
      <c r="Y353" s="4317"/>
      <c r="Z353" s="4317"/>
      <c r="AA353" s="4317"/>
      <c r="AB353" s="4317"/>
      <c r="AC353" s="4295"/>
      <c r="AD353" s="4317"/>
      <c r="AE353" s="4317"/>
      <c r="AF353" s="4319"/>
      <c r="AG353" s="4319"/>
      <c r="AH353" s="4317"/>
      <c r="AI353" s="4317"/>
      <c r="AJ353" s="4317"/>
      <c r="AK353" s="4317"/>
      <c r="AL353" s="4317"/>
      <c r="AM353" s="4317"/>
      <c r="AN353" s="4317"/>
      <c r="AO353" s="4317"/>
      <c r="AP353" s="4317"/>
      <c r="AQ353" s="4317"/>
      <c r="AR353" s="4317"/>
      <c r="AS353" s="4317"/>
      <c r="AT353" s="4317"/>
      <c r="AU353" s="4317"/>
      <c r="AV353" s="4317"/>
      <c r="AW353" s="4317"/>
      <c r="AX353" s="4317"/>
      <c r="AY353" s="4317"/>
      <c r="AZ353" s="4317"/>
      <c r="BA353" s="4317"/>
      <c r="BB353" s="4317"/>
      <c r="BC353" s="4317"/>
      <c r="BD353" s="4317"/>
      <c r="BE353" s="4317"/>
      <c r="BF353" s="4317"/>
      <c r="BG353" s="4317"/>
      <c r="BH353" s="4317"/>
      <c r="BI353" s="4317"/>
      <c r="BJ353" s="4317"/>
      <c r="BK353" s="4317"/>
      <c r="BL353" s="4317"/>
      <c r="BM353" s="4317"/>
      <c r="BN353" s="4317"/>
      <c r="BO353" s="4317"/>
      <c r="BP353" s="4317"/>
      <c r="BQ353" s="4317"/>
      <c r="BR353" s="4317"/>
      <c r="BS353" s="4317"/>
      <c r="BT353" s="4317"/>
      <c r="BU353" s="4317"/>
      <c r="BV353" s="4317"/>
      <c r="BW353" s="4317"/>
      <c r="BX353" s="4317"/>
      <c r="BY353" s="4317"/>
      <c r="BZ353" s="4317"/>
      <c r="CA353" s="4317"/>
      <c r="CB353" s="4317"/>
      <c r="CC353" s="4317"/>
      <c r="CD353" s="4317"/>
      <c r="CE353" s="4317"/>
      <c r="CF353" s="4317"/>
      <c r="CG353" s="4317"/>
      <c r="CH353" s="4317"/>
      <c r="CI353" s="4317"/>
      <c r="CJ353" s="4317"/>
      <c r="CK353" s="4317"/>
      <c r="CL353" s="4317"/>
      <c r="CM353" s="4317"/>
      <c r="CN353" s="4317"/>
      <c r="CO353" s="4317"/>
      <c r="CP353" s="4317"/>
      <c r="CQ353" s="4317"/>
      <c r="CR353" s="4317"/>
      <c r="CS353" s="4317"/>
      <c r="CT353" s="4317"/>
      <c r="CU353" s="4317"/>
      <c r="CV353" s="4317"/>
      <c r="CW353" s="4317"/>
      <c r="CX353" s="4317"/>
      <c r="CY353" s="4317"/>
      <c r="CZ353" s="4317"/>
      <c r="DA353" s="4317"/>
      <c r="DB353" s="4317"/>
      <c r="DC353" s="4317"/>
      <c r="DD353" s="4317"/>
      <c r="DE353" s="4317"/>
      <c r="DF353" s="4317"/>
      <c r="DG353" s="4317"/>
      <c r="DH353" s="4317"/>
      <c r="DI353" s="4317"/>
      <c r="DJ353" s="4317"/>
      <c r="DK353" s="4317"/>
      <c r="DL353" s="4317"/>
      <c r="DM353" s="4317"/>
      <c r="DN353" s="4317"/>
      <c r="DO353" s="4317"/>
      <c r="DP353" s="4317"/>
      <c r="DQ353" s="4317"/>
      <c r="DR353" s="4317"/>
      <c r="DS353" s="4317"/>
    </row>
    <row r="354" s="4134" customFormat="1" ht="19.5" customHeight="1" spans="1:123">
      <c r="A354" s="4304" t="s">
        <v>5045</v>
      </c>
      <c r="B354" s="4324"/>
      <c r="C354" s="4324"/>
      <c r="D354" s="4324"/>
      <c r="E354" s="4324"/>
      <c r="F354" s="4306">
        <f>SUM(F351:L353)</f>
        <v>0</v>
      </c>
      <c r="G354" s="4306"/>
      <c r="H354" s="4306"/>
      <c r="I354" s="4306"/>
      <c r="J354" s="4306"/>
      <c r="K354" s="4306"/>
      <c r="L354" s="4306"/>
      <c r="M354" s="4317"/>
      <c r="N354" s="4317"/>
      <c r="O354" s="4340" t="s">
        <v>5046</v>
      </c>
      <c r="P354" s="4317"/>
      <c r="Q354" s="4295"/>
      <c r="R354" s="4317"/>
      <c r="S354" s="4317"/>
      <c r="T354" s="4317"/>
      <c r="U354" s="4317"/>
      <c r="V354" s="4317"/>
      <c r="W354" s="4317"/>
      <c r="X354" s="4317"/>
      <c r="Y354" s="4317"/>
      <c r="Z354" s="4317"/>
      <c r="AA354" s="4317"/>
      <c r="AB354" s="4317"/>
      <c r="AC354" s="4295"/>
      <c r="AD354" s="4317"/>
      <c r="AE354" s="4317"/>
      <c r="AF354" s="4319"/>
      <c r="AG354" s="4319"/>
      <c r="AH354" s="4317"/>
      <c r="AI354" s="4317"/>
      <c r="AJ354" s="4317"/>
      <c r="AK354" s="4317"/>
      <c r="AL354" s="4317"/>
      <c r="AM354" s="4317"/>
      <c r="AN354" s="4317"/>
      <c r="AO354" s="4317"/>
      <c r="AP354" s="4317"/>
      <c r="AQ354" s="4317"/>
      <c r="AR354" s="4317"/>
      <c r="AS354" s="4317"/>
      <c r="AT354" s="4317"/>
      <c r="AU354" s="4317"/>
      <c r="AV354" s="4317"/>
      <c r="AW354" s="4317"/>
      <c r="AX354" s="4317"/>
      <c r="AY354" s="4317"/>
      <c r="AZ354" s="4317"/>
      <c r="BA354" s="4317"/>
      <c r="BB354" s="4317"/>
      <c r="BC354" s="4317"/>
      <c r="BD354" s="4317"/>
      <c r="BE354" s="4317"/>
      <c r="BF354" s="4317"/>
      <c r="BG354" s="4317"/>
      <c r="BH354" s="4317"/>
      <c r="BI354" s="4317"/>
      <c r="BJ354" s="4317"/>
      <c r="BK354" s="4317"/>
      <c r="BL354" s="4317"/>
      <c r="BM354" s="4317"/>
      <c r="BN354" s="4317"/>
      <c r="BO354" s="4317"/>
      <c r="BP354" s="4317"/>
      <c r="BQ354" s="4317"/>
      <c r="BR354" s="4317"/>
      <c r="BS354" s="4317"/>
      <c r="BT354" s="4317"/>
      <c r="BU354" s="4317"/>
      <c r="BV354" s="4317"/>
      <c r="BW354" s="4317"/>
      <c r="BX354" s="4317"/>
      <c r="BY354" s="4317"/>
      <c r="BZ354" s="4317"/>
      <c r="CA354" s="4317"/>
      <c r="CB354" s="4317"/>
      <c r="CC354" s="4317"/>
      <c r="CD354" s="4317"/>
      <c r="CE354" s="4317"/>
      <c r="CF354" s="4317"/>
      <c r="CG354" s="4317"/>
      <c r="CH354" s="4317"/>
      <c r="CI354" s="4317"/>
      <c r="CJ354" s="4317"/>
      <c r="CK354" s="4317"/>
      <c r="CL354" s="4317"/>
      <c r="CM354" s="4317"/>
      <c r="CN354" s="4317"/>
      <c r="CO354" s="4317"/>
      <c r="CP354" s="4317"/>
      <c r="CQ354" s="4317"/>
      <c r="CR354" s="4317"/>
      <c r="CS354" s="4317"/>
      <c r="CT354" s="4317"/>
      <c r="CU354" s="4317"/>
      <c r="CV354" s="4317"/>
      <c r="CW354" s="4317"/>
      <c r="CX354" s="4317"/>
      <c r="CY354" s="4317"/>
      <c r="CZ354" s="4317"/>
      <c r="DA354" s="4317"/>
      <c r="DB354" s="4317"/>
      <c r="DC354" s="4317"/>
      <c r="DD354" s="4317"/>
      <c r="DE354" s="4317"/>
      <c r="DF354" s="4317"/>
      <c r="DG354" s="4317"/>
      <c r="DH354" s="4317"/>
      <c r="DI354" s="4317"/>
      <c r="DJ354" s="4317"/>
      <c r="DK354" s="4317"/>
      <c r="DL354" s="4317"/>
      <c r="DM354" s="4317"/>
      <c r="DN354" s="4317"/>
      <c r="DO354" s="4317"/>
      <c r="DP354" s="4317"/>
      <c r="DQ354" s="4317"/>
      <c r="DR354" s="4317"/>
      <c r="DS354" s="4317"/>
    </row>
    <row r="355" s="4134" customFormat="1" ht="19.5" customHeight="1" spans="1:123">
      <c r="A355" s="4304" t="s">
        <v>5047</v>
      </c>
      <c r="B355" s="4324"/>
      <c r="C355" s="4324"/>
      <c r="D355" s="4324"/>
      <c r="E355" s="4324"/>
      <c r="F355" s="4300"/>
      <c r="G355" s="4300"/>
      <c r="H355" s="4300"/>
      <c r="I355" s="4300"/>
      <c r="J355" s="4300"/>
      <c r="K355" s="4300"/>
      <c r="L355" s="4300"/>
      <c r="M355" s="4317"/>
      <c r="N355" s="4317"/>
      <c r="O355" s="4340" t="s">
        <v>5048</v>
      </c>
      <c r="P355" s="4317"/>
      <c r="Q355" s="4295"/>
      <c r="R355" s="4317"/>
      <c r="S355" s="4317"/>
      <c r="T355" s="4317"/>
      <c r="U355" s="4317"/>
      <c r="V355" s="4317"/>
      <c r="W355" s="4317"/>
      <c r="X355" s="4317"/>
      <c r="Y355" s="4317"/>
      <c r="Z355" s="4317"/>
      <c r="AA355" s="4317"/>
      <c r="AB355" s="4317"/>
      <c r="AC355" s="4295"/>
      <c r="AD355" s="4317"/>
      <c r="AE355" s="4317"/>
      <c r="AF355" s="4319"/>
      <c r="AG355" s="4319"/>
      <c r="AH355" s="4317"/>
      <c r="AI355" s="4317"/>
      <c r="AJ355" s="4317"/>
      <c r="AK355" s="4317"/>
      <c r="AL355" s="4317"/>
      <c r="AM355" s="4317"/>
      <c r="AN355" s="4317"/>
      <c r="AO355" s="4317"/>
      <c r="AP355" s="4317"/>
      <c r="AQ355" s="4317"/>
      <c r="AR355" s="4317"/>
      <c r="AS355" s="4317"/>
      <c r="AT355" s="4317"/>
      <c r="AU355" s="4317"/>
      <c r="AV355" s="4317"/>
      <c r="AW355" s="4317"/>
      <c r="AX355" s="4317"/>
      <c r="AY355" s="4317"/>
      <c r="AZ355" s="4317"/>
      <c r="BA355" s="4317"/>
      <c r="BB355" s="4317"/>
      <c r="BC355" s="4317"/>
      <c r="BD355" s="4317"/>
      <c r="BE355" s="4317"/>
      <c r="BF355" s="4317"/>
      <c r="BG355" s="4317"/>
      <c r="BH355" s="4317"/>
      <c r="BI355" s="4317"/>
      <c r="BJ355" s="4317"/>
      <c r="BK355" s="4317"/>
      <c r="BL355" s="4317"/>
      <c r="BM355" s="4317"/>
      <c r="BN355" s="4317"/>
      <c r="BO355" s="4317"/>
      <c r="BP355" s="4317"/>
      <c r="BQ355" s="4317"/>
      <c r="BR355" s="4317"/>
      <c r="BS355" s="4317"/>
      <c r="BT355" s="4317"/>
      <c r="BU355" s="4317"/>
      <c r="BV355" s="4317"/>
      <c r="BW355" s="4317"/>
      <c r="BX355" s="4317"/>
      <c r="BY355" s="4317"/>
      <c r="BZ355" s="4317"/>
      <c r="CA355" s="4317"/>
      <c r="CB355" s="4317"/>
      <c r="CC355" s="4317"/>
      <c r="CD355" s="4317"/>
      <c r="CE355" s="4317"/>
      <c r="CF355" s="4317"/>
      <c r="CG355" s="4317"/>
      <c r="CH355" s="4317"/>
      <c r="CI355" s="4317"/>
      <c r="CJ355" s="4317"/>
      <c r="CK355" s="4317"/>
      <c r="CL355" s="4317"/>
      <c r="CM355" s="4317"/>
      <c r="CN355" s="4317"/>
      <c r="CO355" s="4317"/>
      <c r="CP355" s="4317"/>
      <c r="CQ355" s="4317"/>
      <c r="CR355" s="4317"/>
      <c r="CS355" s="4317"/>
      <c r="CT355" s="4317"/>
      <c r="CU355" s="4317"/>
      <c r="CV355" s="4317"/>
      <c r="CW355" s="4317"/>
      <c r="CX355" s="4317"/>
      <c r="CY355" s="4317"/>
      <c r="CZ355" s="4317"/>
      <c r="DA355" s="4317"/>
      <c r="DB355" s="4317"/>
      <c r="DC355" s="4317"/>
      <c r="DD355" s="4317"/>
      <c r="DE355" s="4317"/>
      <c r="DF355" s="4317"/>
      <c r="DG355" s="4317"/>
      <c r="DH355" s="4317"/>
      <c r="DI355" s="4317"/>
      <c r="DJ355" s="4317"/>
      <c r="DK355" s="4317"/>
      <c r="DL355" s="4317"/>
      <c r="DM355" s="4317"/>
      <c r="DN355" s="4317"/>
      <c r="DO355" s="4317"/>
      <c r="DP355" s="4317"/>
      <c r="DQ355" s="4317"/>
      <c r="DR355" s="4317"/>
      <c r="DS355" s="4317"/>
    </row>
    <row r="356" s="4134" customFormat="1" ht="19.5" customHeight="1" spans="1:123">
      <c r="A356" s="4298" t="s">
        <v>5049</v>
      </c>
      <c r="B356" s="4299"/>
      <c r="C356" s="4299"/>
      <c r="D356" s="4299"/>
      <c r="E356" s="4299"/>
      <c r="F356" s="4300"/>
      <c r="G356" s="4300"/>
      <c r="H356" s="4300"/>
      <c r="I356" s="4300"/>
      <c r="J356" s="4300"/>
      <c r="K356" s="4300"/>
      <c r="L356" s="4300"/>
      <c r="M356" s="4317"/>
      <c r="N356" s="4317"/>
      <c r="O356" s="4340" t="s">
        <v>5050</v>
      </c>
      <c r="P356" s="4317"/>
      <c r="Q356" s="4295"/>
      <c r="R356" s="4317"/>
      <c r="S356" s="4317"/>
      <c r="T356" s="4317"/>
      <c r="U356" s="4317"/>
      <c r="V356" s="4317"/>
      <c r="W356" s="4317"/>
      <c r="X356" s="4317"/>
      <c r="Y356" s="4317"/>
      <c r="Z356" s="4317"/>
      <c r="AA356" s="4317"/>
      <c r="AB356" s="4317"/>
      <c r="AC356" s="4295"/>
      <c r="AD356" s="4317"/>
      <c r="AE356" s="4317"/>
      <c r="AF356" s="4319"/>
      <c r="AG356" s="4319"/>
      <c r="AH356" s="4317"/>
      <c r="AI356" s="4317"/>
      <c r="AJ356" s="4317"/>
      <c r="AK356" s="4317"/>
      <c r="AL356" s="4317"/>
      <c r="AM356" s="4317"/>
      <c r="AN356" s="4317"/>
      <c r="AO356" s="4317"/>
      <c r="AP356" s="4317"/>
      <c r="AQ356" s="4317"/>
      <c r="AR356" s="4317"/>
      <c r="AS356" s="4317"/>
      <c r="AT356" s="4317"/>
      <c r="AU356" s="4317"/>
      <c r="AV356" s="4317"/>
      <c r="AW356" s="4317"/>
      <c r="AX356" s="4317"/>
      <c r="AY356" s="4317"/>
      <c r="AZ356" s="4317"/>
      <c r="BA356" s="4317"/>
      <c r="BB356" s="4317"/>
      <c r="BC356" s="4317"/>
      <c r="BD356" s="4317"/>
      <c r="BE356" s="4317"/>
      <c r="BF356" s="4317"/>
      <c r="BG356" s="4317"/>
      <c r="BH356" s="4317"/>
      <c r="BI356" s="4317"/>
      <c r="BJ356" s="4317"/>
      <c r="BK356" s="4317"/>
      <c r="BL356" s="4317"/>
      <c r="BM356" s="4317"/>
      <c r="BN356" s="4317"/>
      <c r="BO356" s="4317"/>
      <c r="BP356" s="4317"/>
      <c r="BQ356" s="4317"/>
      <c r="BR356" s="4317"/>
      <c r="BS356" s="4317"/>
      <c r="BT356" s="4317"/>
      <c r="BU356" s="4317"/>
      <c r="BV356" s="4317"/>
      <c r="BW356" s="4317"/>
      <c r="BX356" s="4317"/>
      <c r="BY356" s="4317"/>
      <c r="BZ356" s="4317"/>
      <c r="CA356" s="4317"/>
      <c r="CB356" s="4317"/>
      <c r="CC356" s="4317"/>
      <c r="CD356" s="4317"/>
      <c r="CE356" s="4317"/>
      <c r="CF356" s="4317"/>
      <c r="CG356" s="4317"/>
      <c r="CH356" s="4317"/>
      <c r="CI356" s="4317"/>
      <c r="CJ356" s="4317"/>
      <c r="CK356" s="4317"/>
      <c r="CL356" s="4317"/>
      <c r="CM356" s="4317"/>
      <c r="CN356" s="4317"/>
      <c r="CO356" s="4317"/>
      <c r="CP356" s="4317"/>
      <c r="CQ356" s="4317"/>
      <c r="CR356" s="4317"/>
      <c r="CS356" s="4317"/>
      <c r="CT356" s="4317"/>
      <c r="CU356" s="4317"/>
      <c r="CV356" s="4317"/>
      <c r="CW356" s="4317"/>
      <c r="CX356" s="4317"/>
      <c r="CY356" s="4317"/>
      <c r="CZ356" s="4317"/>
      <c r="DA356" s="4317"/>
      <c r="DB356" s="4317"/>
      <c r="DC356" s="4317"/>
      <c r="DD356" s="4317"/>
      <c r="DE356" s="4317"/>
      <c r="DF356" s="4317"/>
      <c r="DG356" s="4317"/>
      <c r="DH356" s="4317"/>
      <c r="DI356" s="4317"/>
      <c r="DJ356" s="4317"/>
      <c r="DK356" s="4317"/>
      <c r="DL356" s="4317"/>
      <c r="DM356" s="4317"/>
      <c r="DN356" s="4317"/>
      <c r="DO356" s="4317"/>
      <c r="DP356" s="4317"/>
      <c r="DQ356" s="4317"/>
      <c r="DR356" s="4317"/>
      <c r="DS356" s="4317"/>
    </row>
    <row r="357" s="4134" customFormat="1" ht="19.5" customHeight="1" spans="1:123">
      <c r="A357" s="4298" t="s">
        <v>5051</v>
      </c>
      <c r="B357" s="4299"/>
      <c r="C357" s="4299"/>
      <c r="D357" s="4299"/>
      <c r="E357" s="4299"/>
      <c r="F357" s="4300"/>
      <c r="G357" s="4300"/>
      <c r="H357" s="4300"/>
      <c r="I357" s="4300"/>
      <c r="J357" s="4300"/>
      <c r="K357" s="4300"/>
      <c r="L357" s="4300"/>
      <c r="M357" s="4317"/>
      <c r="N357" s="4317"/>
      <c r="O357" s="4340" t="s">
        <v>5052</v>
      </c>
      <c r="P357" s="4317"/>
      <c r="Q357" s="4295"/>
      <c r="R357" s="4317"/>
      <c r="S357" s="4317"/>
      <c r="T357" s="4317"/>
      <c r="U357" s="4317"/>
      <c r="V357" s="4317"/>
      <c r="W357" s="4317"/>
      <c r="X357" s="4317"/>
      <c r="Y357" s="4317"/>
      <c r="Z357" s="4317"/>
      <c r="AA357" s="4317"/>
      <c r="AB357" s="4317"/>
      <c r="AC357" s="4295"/>
      <c r="AD357" s="4317"/>
      <c r="AE357" s="4317"/>
      <c r="AF357" s="4319"/>
      <c r="AG357" s="4319"/>
      <c r="AH357" s="4317"/>
      <c r="AI357" s="4317"/>
      <c r="AJ357" s="4317"/>
      <c r="AK357" s="4317"/>
      <c r="AL357" s="4317"/>
      <c r="AM357" s="4317"/>
      <c r="AN357" s="4317"/>
      <c r="AO357" s="4317"/>
      <c r="AP357" s="4317"/>
      <c r="AQ357" s="4317"/>
      <c r="AR357" s="4317"/>
      <c r="AS357" s="4317"/>
      <c r="AT357" s="4317"/>
      <c r="AU357" s="4317"/>
      <c r="AV357" s="4317"/>
      <c r="AW357" s="4317"/>
      <c r="AX357" s="4317"/>
      <c r="AY357" s="4317"/>
      <c r="AZ357" s="4317"/>
      <c r="BA357" s="4317"/>
      <c r="BB357" s="4317"/>
      <c r="BC357" s="4317"/>
      <c r="BD357" s="4317"/>
      <c r="BE357" s="4317"/>
      <c r="BF357" s="4317"/>
      <c r="BG357" s="4317"/>
      <c r="BH357" s="4317"/>
      <c r="BI357" s="4317"/>
      <c r="BJ357" s="4317"/>
      <c r="BK357" s="4317"/>
      <c r="BL357" s="4317"/>
      <c r="BM357" s="4317"/>
      <c r="BN357" s="4317"/>
      <c r="BO357" s="4317"/>
      <c r="BP357" s="4317"/>
      <c r="BQ357" s="4317"/>
      <c r="BR357" s="4317"/>
      <c r="BS357" s="4317"/>
      <c r="BT357" s="4317"/>
      <c r="BU357" s="4317"/>
      <c r="BV357" s="4317"/>
      <c r="BW357" s="4317"/>
      <c r="BX357" s="4317"/>
      <c r="BY357" s="4317"/>
      <c r="BZ357" s="4317"/>
      <c r="CA357" s="4317"/>
      <c r="CB357" s="4317"/>
      <c r="CC357" s="4317"/>
      <c r="CD357" s="4317"/>
      <c r="CE357" s="4317"/>
      <c r="CF357" s="4317"/>
      <c r="CG357" s="4317"/>
      <c r="CH357" s="4317"/>
      <c r="CI357" s="4317"/>
      <c r="CJ357" s="4317"/>
      <c r="CK357" s="4317"/>
      <c r="CL357" s="4317"/>
      <c r="CM357" s="4317"/>
      <c r="CN357" s="4317"/>
      <c r="CO357" s="4317"/>
      <c r="CP357" s="4317"/>
      <c r="CQ357" s="4317"/>
      <c r="CR357" s="4317"/>
      <c r="CS357" s="4317"/>
      <c r="CT357" s="4317"/>
      <c r="CU357" s="4317"/>
      <c r="CV357" s="4317"/>
      <c r="CW357" s="4317"/>
      <c r="CX357" s="4317"/>
      <c r="CY357" s="4317"/>
      <c r="CZ357" s="4317"/>
      <c r="DA357" s="4317"/>
      <c r="DB357" s="4317"/>
      <c r="DC357" s="4317"/>
      <c r="DD357" s="4317"/>
      <c r="DE357" s="4317"/>
      <c r="DF357" s="4317"/>
      <c r="DG357" s="4317"/>
      <c r="DH357" s="4317"/>
      <c r="DI357" s="4317"/>
      <c r="DJ357" s="4317"/>
      <c r="DK357" s="4317"/>
      <c r="DL357" s="4317"/>
      <c r="DM357" s="4317"/>
      <c r="DN357" s="4317"/>
      <c r="DO357" s="4317"/>
      <c r="DP357" s="4317"/>
      <c r="DQ357" s="4317"/>
      <c r="DR357" s="4317"/>
      <c r="DS357" s="4317"/>
    </row>
    <row r="358" s="4134" customFormat="1" ht="19.5" customHeight="1" spans="1:123">
      <c r="A358" s="4304" t="s">
        <v>5053</v>
      </c>
      <c r="B358" s="4324"/>
      <c r="C358" s="4324"/>
      <c r="D358" s="4324"/>
      <c r="E358" s="4324"/>
      <c r="F358" s="4306">
        <f>SUM(F356:L357)</f>
        <v>0</v>
      </c>
      <c r="G358" s="4306"/>
      <c r="H358" s="4306"/>
      <c r="I358" s="4306"/>
      <c r="J358" s="4306"/>
      <c r="K358" s="4306"/>
      <c r="L358" s="4306"/>
      <c r="M358" s="4317"/>
      <c r="N358" s="4317"/>
      <c r="O358" s="4340" t="s">
        <v>5054</v>
      </c>
      <c r="P358" s="4317"/>
      <c r="Q358" s="4295"/>
      <c r="R358" s="4317"/>
      <c r="S358" s="4317"/>
      <c r="T358" s="4317"/>
      <c r="U358" s="4317"/>
      <c r="V358" s="4317"/>
      <c r="W358" s="4317"/>
      <c r="X358" s="4317"/>
      <c r="Y358" s="4317"/>
      <c r="Z358" s="4317"/>
      <c r="AA358" s="4317"/>
      <c r="AB358" s="4317"/>
      <c r="AC358" s="4295"/>
      <c r="AD358" s="4317"/>
      <c r="AE358" s="4317"/>
      <c r="AF358" s="4319"/>
      <c r="AG358" s="4319"/>
      <c r="AH358" s="4317"/>
      <c r="AI358" s="4317"/>
      <c r="AJ358" s="4317"/>
      <c r="AK358" s="4317"/>
      <c r="AL358" s="4317"/>
      <c r="AM358" s="4317"/>
      <c r="AN358" s="4317"/>
      <c r="AO358" s="4317"/>
      <c r="AP358" s="4317"/>
      <c r="AQ358" s="4317"/>
      <c r="AR358" s="4317"/>
      <c r="AS358" s="4317"/>
      <c r="AT358" s="4317"/>
      <c r="AU358" s="4317"/>
      <c r="AV358" s="4317"/>
      <c r="AW358" s="4317"/>
      <c r="AX358" s="4317"/>
      <c r="AY358" s="4317"/>
      <c r="AZ358" s="4317"/>
      <c r="BA358" s="4317"/>
      <c r="BB358" s="4317"/>
      <c r="BC358" s="4317"/>
      <c r="BD358" s="4317"/>
      <c r="BE358" s="4317"/>
      <c r="BF358" s="4317"/>
      <c r="BG358" s="4317"/>
      <c r="BH358" s="4317"/>
      <c r="BI358" s="4317"/>
      <c r="BJ358" s="4317"/>
      <c r="BK358" s="4317"/>
      <c r="BL358" s="4317"/>
      <c r="BM358" s="4317"/>
      <c r="BN358" s="4317"/>
      <c r="BO358" s="4317"/>
      <c r="BP358" s="4317"/>
      <c r="BQ358" s="4317"/>
      <c r="BR358" s="4317"/>
      <c r="BS358" s="4317"/>
      <c r="BT358" s="4317"/>
      <c r="BU358" s="4317"/>
      <c r="BV358" s="4317"/>
      <c r="BW358" s="4317"/>
      <c r="BX358" s="4317"/>
      <c r="BY358" s="4317"/>
      <c r="BZ358" s="4317"/>
      <c r="CA358" s="4317"/>
      <c r="CB358" s="4317"/>
      <c r="CC358" s="4317"/>
      <c r="CD358" s="4317"/>
      <c r="CE358" s="4317"/>
      <c r="CF358" s="4317"/>
      <c r="CG358" s="4317"/>
      <c r="CH358" s="4317"/>
      <c r="CI358" s="4317"/>
      <c r="CJ358" s="4317"/>
      <c r="CK358" s="4317"/>
      <c r="CL358" s="4317"/>
      <c r="CM358" s="4317"/>
      <c r="CN358" s="4317"/>
      <c r="CO358" s="4317"/>
      <c r="CP358" s="4317"/>
      <c r="CQ358" s="4317"/>
      <c r="CR358" s="4317"/>
      <c r="CS358" s="4317"/>
      <c r="CT358" s="4317"/>
      <c r="CU358" s="4317"/>
      <c r="CV358" s="4317"/>
      <c r="CW358" s="4317"/>
      <c r="CX358" s="4317"/>
      <c r="CY358" s="4317"/>
      <c r="CZ358" s="4317"/>
      <c r="DA358" s="4317"/>
      <c r="DB358" s="4317"/>
      <c r="DC358" s="4317"/>
      <c r="DD358" s="4317"/>
      <c r="DE358" s="4317"/>
      <c r="DF358" s="4317"/>
      <c r="DG358" s="4317"/>
      <c r="DH358" s="4317"/>
      <c r="DI358" s="4317"/>
      <c r="DJ358" s="4317"/>
      <c r="DK358" s="4317"/>
      <c r="DL358" s="4317"/>
      <c r="DM358" s="4317"/>
      <c r="DN358" s="4317"/>
      <c r="DO358" s="4317"/>
      <c r="DP358" s="4317"/>
      <c r="DQ358" s="4317"/>
      <c r="DR358" s="4317"/>
      <c r="DS358" s="4317"/>
    </row>
    <row r="359" s="4134" customFormat="1" ht="19.5" customHeight="1" spans="1:123">
      <c r="A359" s="4298" t="s">
        <v>5055</v>
      </c>
      <c r="B359" s="4299"/>
      <c r="C359" s="4299"/>
      <c r="D359" s="4299"/>
      <c r="E359" s="4299"/>
      <c r="F359" s="4300"/>
      <c r="G359" s="4300"/>
      <c r="H359" s="4300"/>
      <c r="I359" s="4300"/>
      <c r="J359" s="4300"/>
      <c r="K359" s="4300"/>
      <c r="L359" s="4300"/>
      <c r="M359" s="4317"/>
      <c r="N359" s="4317"/>
      <c r="O359" s="4340" t="s">
        <v>5056</v>
      </c>
      <c r="P359" s="4317"/>
      <c r="Q359" s="4295"/>
      <c r="R359" s="4317"/>
      <c r="S359" s="4317"/>
      <c r="T359" s="4317"/>
      <c r="U359" s="4317"/>
      <c r="V359" s="4317"/>
      <c r="W359" s="4317"/>
      <c r="X359" s="4317"/>
      <c r="Y359" s="4317"/>
      <c r="Z359" s="4317"/>
      <c r="AA359" s="4317"/>
      <c r="AB359" s="4317"/>
      <c r="AC359" s="4295"/>
      <c r="AD359" s="4317"/>
      <c r="AE359" s="4317"/>
      <c r="AF359" s="4319"/>
      <c r="AG359" s="4319"/>
      <c r="AH359" s="4317"/>
      <c r="AI359" s="4317"/>
      <c r="AJ359" s="4317"/>
      <c r="AK359" s="4317"/>
      <c r="AL359" s="4317"/>
      <c r="AM359" s="4317"/>
      <c r="AN359" s="4317"/>
      <c r="AO359" s="4317"/>
      <c r="AP359" s="4317"/>
      <c r="AQ359" s="4317"/>
      <c r="AR359" s="4317"/>
      <c r="AS359" s="4317"/>
      <c r="AT359" s="4317"/>
      <c r="AU359" s="4317"/>
      <c r="AV359" s="4317"/>
      <c r="AW359" s="4317"/>
      <c r="AX359" s="4317"/>
      <c r="AY359" s="4317"/>
      <c r="AZ359" s="4317"/>
      <c r="BA359" s="4317"/>
      <c r="BB359" s="4317"/>
      <c r="BC359" s="4317"/>
      <c r="BD359" s="4317"/>
      <c r="BE359" s="4317"/>
      <c r="BF359" s="4317"/>
      <c r="BG359" s="4317"/>
      <c r="BH359" s="4317"/>
      <c r="BI359" s="4317"/>
      <c r="BJ359" s="4317"/>
      <c r="BK359" s="4317"/>
      <c r="BL359" s="4317"/>
      <c r="BM359" s="4317"/>
      <c r="BN359" s="4317"/>
      <c r="BO359" s="4317"/>
      <c r="BP359" s="4317"/>
      <c r="BQ359" s="4317"/>
      <c r="BR359" s="4317"/>
      <c r="BS359" s="4317"/>
      <c r="BT359" s="4317"/>
      <c r="BU359" s="4317"/>
      <c r="BV359" s="4317"/>
      <c r="BW359" s="4317"/>
      <c r="BX359" s="4317"/>
      <c r="BY359" s="4317"/>
      <c r="BZ359" s="4317"/>
      <c r="CA359" s="4317"/>
      <c r="CB359" s="4317"/>
      <c r="CC359" s="4317"/>
      <c r="CD359" s="4317"/>
      <c r="CE359" s="4317"/>
      <c r="CF359" s="4317"/>
      <c r="CG359" s="4317"/>
      <c r="CH359" s="4317"/>
      <c r="CI359" s="4317"/>
      <c r="CJ359" s="4317"/>
      <c r="CK359" s="4317"/>
      <c r="CL359" s="4317"/>
      <c r="CM359" s="4317"/>
      <c r="CN359" s="4317"/>
      <c r="CO359" s="4317"/>
      <c r="CP359" s="4317"/>
      <c r="CQ359" s="4317"/>
      <c r="CR359" s="4317"/>
      <c r="CS359" s="4317"/>
      <c r="CT359" s="4317"/>
      <c r="CU359" s="4317"/>
      <c r="CV359" s="4317"/>
      <c r="CW359" s="4317"/>
      <c r="CX359" s="4317"/>
      <c r="CY359" s="4317"/>
      <c r="CZ359" s="4317"/>
      <c r="DA359" s="4317"/>
      <c r="DB359" s="4317"/>
      <c r="DC359" s="4317"/>
      <c r="DD359" s="4317"/>
      <c r="DE359" s="4317"/>
      <c r="DF359" s="4317"/>
      <c r="DG359" s="4317"/>
      <c r="DH359" s="4317"/>
      <c r="DI359" s="4317"/>
      <c r="DJ359" s="4317"/>
      <c r="DK359" s="4317"/>
      <c r="DL359" s="4317"/>
      <c r="DM359" s="4317"/>
      <c r="DN359" s="4317"/>
      <c r="DO359" s="4317"/>
      <c r="DP359" s="4317"/>
      <c r="DQ359" s="4317"/>
      <c r="DR359" s="4317"/>
      <c r="DS359" s="4317"/>
    </row>
    <row r="360" s="4134" customFormat="1" ht="19.5" customHeight="1" spans="1:123">
      <c r="A360" s="4298" t="s">
        <v>5057</v>
      </c>
      <c r="B360" s="4299"/>
      <c r="C360" s="4299"/>
      <c r="D360" s="4299"/>
      <c r="E360" s="4299"/>
      <c r="F360" s="4300"/>
      <c r="G360" s="4300"/>
      <c r="H360" s="4300"/>
      <c r="I360" s="4300"/>
      <c r="J360" s="4300"/>
      <c r="K360" s="4300"/>
      <c r="L360" s="4300"/>
      <c r="M360" s="4317"/>
      <c r="N360" s="4317"/>
      <c r="O360" s="4340" t="s">
        <v>5058</v>
      </c>
      <c r="P360" s="4317"/>
      <c r="Q360" s="4295"/>
      <c r="R360" s="4317"/>
      <c r="S360" s="4317"/>
      <c r="T360" s="4317"/>
      <c r="U360" s="4317"/>
      <c r="V360" s="4317"/>
      <c r="W360" s="4317"/>
      <c r="X360" s="4317"/>
      <c r="Y360" s="4317"/>
      <c r="Z360" s="4317"/>
      <c r="AA360" s="4317"/>
      <c r="AB360" s="4317"/>
      <c r="AC360" s="4295"/>
      <c r="AD360" s="4317"/>
      <c r="AE360" s="4317"/>
      <c r="AF360" s="4319"/>
      <c r="AG360" s="4319"/>
      <c r="AH360" s="4317"/>
      <c r="AI360" s="4317"/>
      <c r="AJ360" s="4317"/>
      <c r="AK360" s="4317"/>
      <c r="AL360" s="4317"/>
      <c r="AM360" s="4317"/>
      <c r="AN360" s="4317"/>
      <c r="AO360" s="4317"/>
      <c r="AP360" s="4317"/>
      <c r="AQ360" s="4317"/>
      <c r="AR360" s="4317"/>
      <c r="AS360" s="4317"/>
      <c r="AT360" s="4317"/>
      <c r="AU360" s="4317"/>
      <c r="AV360" s="4317"/>
      <c r="AW360" s="4317"/>
      <c r="AX360" s="4317"/>
      <c r="AY360" s="4317"/>
      <c r="AZ360" s="4317"/>
      <c r="BA360" s="4317"/>
      <c r="BB360" s="4317"/>
      <c r="BC360" s="4317"/>
      <c r="BD360" s="4317"/>
      <c r="BE360" s="4317"/>
      <c r="BF360" s="4317"/>
      <c r="BG360" s="4317"/>
      <c r="BH360" s="4317"/>
      <c r="BI360" s="4317"/>
      <c r="BJ360" s="4317"/>
      <c r="BK360" s="4317"/>
      <c r="BL360" s="4317"/>
      <c r="BM360" s="4317"/>
      <c r="BN360" s="4317"/>
      <c r="BO360" s="4317"/>
      <c r="BP360" s="4317"/>
      <c r="BQ360" s="4317"/>
      <c r="BR360" s="4317"/>
      <c r="BS360" s="4317"/>
      <c r="BT360" s="4317"/>
      <c r="BU360" s="4317"/>
      <c r="BV360" s="4317"/>
      <c r="BW360" s="4317"/>
      <c r="BX360" s="4317"/>
      <c r="BY360" s="4317"/>
      <c r="BZ360" s="4317"/>
      <c r="CA360" s="4317"/>
      <c r="CB360" s="4317"/>
      <c r="CC360" s="4317"/>
      <c r="CD360" s="4317"/>
      <c r="CE360" s="4317"/>
      <c r="CF360" s="4317"/>
      <c r="CG360" s="4317"/>
      <c r="CH360" s="4317"/>
      <c r="CI360" s="4317"/>
      <c r="CJ360" s="4317"/>
      <c r="CK360" s="4317"/>
      <c r="CL360" s="4317"/>
      <c r="CM360" s="4317"/>
      <c r="CN360" s="4317"/>
      <c r="CO360" s="4317"/>
      <c r="CP360" s="4317"/>
      <c r="CQ360" s="4317"/>
      <c r="CR360" s="4317"/>
      <c r="CS360" s="4317"/>
      <c r="CT360" s="4317"/>
      <c r="CU360" s="4317"/>
      <c r="CV360" s="4317"/>
      <c r="CW360" s="4317"/>
      <c r="CX360" s="4317"/>
      <c r="CY360" s="4317"/>
      <c r="CZ360" s="4317"/>
      <c r="DA360" s="4317"/>
      <c r="DB360" s="4317"/>
      <c r="DC360" s="4317"/>
      <c r="DD360" s="4317"/>
      <c r="DE360" s="4317"/>
      <c r="DF360" s="4317"/>
      <c r="DG360" s="4317"/>
      <c r="DH360" s="4317"/>
      <c r="DI360" s="4317"/>
      <c r="DJ360" s="4317"/>
      <c r="DK360" s="4317"/>
      <c r="DL360" s="4317"/>
      <c r="DM360" s="4317"/>
      <c r="DN360" s="4317"/>
      <c r="DO360" s="4317"/>
      <c r="DP360" s="4317"/>
      <c r="DQ360" s="4317"/>
      <c r="DR360" s="4317"/>
      <c r="DS360" s="4317"/>
    </row>
    <row r="361" s="4134" customFormat="1" ht="19.5" customHeight="1" spans="1:123">
      <c r="A361" s="4304" t="s">
        <v>5059</v>
      </c>
      <c r="B361" s="4324"/>
      <c r="C361" s="4324"/>
      <c r="D361" s="4324"/>
      <c r="E361" s="4324"/>
      <c r="F361" s="4306">
        <f>SUM(F359:L360)</f>
        <v>0</v>
      </c>
      <c r="G361" s="4306"/>
      <c r="H361" s="4306"/>
      <c r="I361" s="4306"/>
      <c r="J361" s="4306"/>
      <c r="K361" s="4306"/>
      <c r="L361" s="4306"/>
      <c r="M361" s="4317"/>
      <c r="N361" s="4317"/>
      <c r="O361" s="4340" t="s">
        <v>5060</v>
      </c>
      <c r="P361" s="4317"/>
      <c r="Q361" s="4295"/>
      <c r="R361" s="4317"/>
      <c r="S361" s="4317"/>
      <c r="T361" s="4317"/>
      <c r="U361" s="4317"/>
      <c r="V361" s="4317"/>
      <c r="W361" s="4317"/>
      <c r="X361" s="4317"/>
      <c r="Y361" s="4317"/>
      <c r="Z361" s="4317"/>
      <c r="AA361" s="4317"/>
      <c r="AB361" s="4317"/>
      <c r="AC361" s="4295"/>
      <c r="AD361" s="4317"/>
      <c r="AE361" s="4317"/>
      <c r="AF361" s="4319"/>
      <c r="AG361" s="4319"/>
      <c r="AH361" s="4317"/>
      <c r="AI361" s="4317"/>
      <c r="AJ361" s="4317"/>
      <c r="AK361" s="4317"/>
      <c r="AL361" s="4317"/>
      <c r="AM361" s="4317"/>
      <c r="AN361" s="4317"/>
      <c r="AO361" s="4317"/>
      <c r="AP361" s="4317"/>
      <c r="AQ361" s="4317"/>
      <c r="AR361" s="4317"/>
      <c r="AS361" s="4317"/>
      <c r="AT361" s="4317"/>
      <c r="AU361" s="4317"/>
      <c r="AV361" s="4317"/>
      <c r="AW361" s="4317"/>
      <c r="AX361" s="4317"/>
      <c r="AY361" s="4317"/>
      <c r="AZ361" s="4317"/>
      <c r="BA361" s="4317"/>
      <c r="BB361" s="4317"/>
      <c r="BC361" s="4317"/>
      <c r="BD361" s="4317"/>
      <c r="BE361" s="4317"/>
      <c r="BF361" s="4317"/>
      <c r="BG361" s="4317"/>
      <c r="BH361" s="4317"/>
      <c r="BI361" s="4317"/>
      <c r="BJ361" s="4317"/>
      <c r="BK361" s="4317"/>
      <c r="BL361" s="4317"/>
      <c r="BM361" s="4317"/>
      <c r="BN361" s="4317"/>
      <c r="BO361" s="4317"/>
      <c r="BP361" s="4317"/>
      <c r="BQ361" s="4317"/>
      <c r="BR361" s="4317"/>
      <c r="BS361" s="4317"/>
      <c r="BT361" s="4317"/>
      <c r="BU361" s="4317"/>
      <c r="BV361" s="4317"/>
      <c r="BW361" s="4317"/>
      <c r="BX361" s="4317"/>
      <c r="BY361" s="4317"/>
      <c r="BZ361" s="4317"/>
      <c r="CA361" s="4317"/>
      <c r="CB361" s="4317"/>
      <c r="CC361" s="4317"/>
      <c r="CD361" s="4317"/>
      <c r="CE361" s="4317"/>
      <c r="CF361" s="4317"/>
      <c r="CG361" s="4317"/>
      <c r="CH361" s="4317"/>
      <c r="CI361" s="4317"/>
      <c r="CJ361" s="4317"/>
      <c r="CK361" s="4317"/>
      <c r="CL361" s="4317"/>
      <c r="CM361" s="4317"/>
      <c r="CN361" s="4317"/>
      <c r="CO361" s="4317"/>
      <c r="CP361" s="4317"/>
      <c r="CQ361" s="4317"/>
      <c r="CR361" s="4317"/>
      <c r="CS361" s="4317"/>
      <c r="CT361" s="4317"/>
      <c r="CU361" s="4317"/>
      <c r="CV361" s="4317"/>
      <c r="CW361" s="4317"/>
      <c r="CX361" s="4317"/>
      <c r="CY361" s="4317"/>
      <c r="CZ361" s="4317"/>
      <c r="DA361" s="4317"/>
      <c r="DB361" s="4317"/>
      <c r="DC361" s="4317"/>
      <c r="DD361" s="4317"/>
      <c r="DE361" s="4317"/>
      <c r="DF361" s="4317"/>
      <c r="DG361" s="4317"/>
      <c r="DH361" s="4317"/>
      <c r="DI361" s="4317"/>
      <c r="DJ361" s="4317"/>
      <c r="DK361" s="4317"/>
      <c r="DL361" s="4317"/>
      <c r="DM361" s="4317"/>
      <c r="DN361" s="4317"/>
      <c r="DO361" s="4317"/>
      <c r="DP361" s="4317"/>
      <c r="DQ361" s="4317"/>
      <c r="DR361" s="4317"/>
      <c r="DS361" s="4317"/>
    </row>
    <row r="362" s="4134" customFormat="1" ht="19.5" customHeight="1" spans="1:123">
      <c r="A362" s="4312" t="s">
        <v>5061</v>
      </c>
      <c r="B362" s="4313"/>
      <c r="C362" s="4313"/>
      <c r="D362" s="4313"/>
      <c r="E362" s="4313"/>
      <c r="F362" s="4314">
        <f>F338+F341+F342+F343+F349+F350+F354+F355+F358+F361</f>
        <v>0</v>
      </c>
      <c r="G362" s="4314"/>
      <c r="H362" s="4314"/>
      <c r="I362" s="4314"/>
      <c r="J362" s="4314"/>
      <c r="K362" s="4314"/>
      <c r="L362" s="4314"/>
      <c r="M362" s="4317"/>
      <c r="N362" s="4317"/>
      <c r="O362" s="4342" t="s">
        <v>5062</v>
      </c>
      <c r="P362" s="4317"/>
      <c r="Q362" s="4295"/>
      <c r="R362" s="4317"/>
      <c r="S362" s="4317"/>
      <c r="T362" s="4317"/>
      <c r="U362" s="4317"/>
      <c r="V362" s="4317"/>
      <c r="W362" s="4317"/>
      <c r="X362" s="4317"/>
      <c r="Y362" s="4317"/>
      <c r="Z362" s="4317"/>
      <c r="AA362" s="4317"/>
      <c r="AB362" s="4317"/>
      <c r="AC362" s="4295"/>
      <c r="AD362" s="4317"/>
      <c r="AE362" s="4317"/>
      <c r="AF362" s="4319"/>
      <c r="AG362" s="4319"/>
      <c r="AH362" s="4317"/>
      <c r="AI362" s="4317"/>
      <c r="AJ362" s="4317"/>
      <c r="AK362" s="4317"/>
      <c r="AL362" s="4317"/>
      <c r="AM362" s="4317"/>
      <c r="AN362" s="4317"/>
      <c r="AO362" s="4317"/>
      <c r="AP362" s="4317"/>
      <c r="AQ362" s="4317"/>
      <c r="AR362" s="4317"/>
      <c r="AS362" s="4317"/>
      <c r="AT362" s="4317"/>
      <c r="AU362" s="4317"/>
      <c r="AV362" s="4317"/>
      <c r="AW362" s="4317"/>
      <c r="AX362" s="4317"/>
      <c r="AY362" s="4317"/>
      <c r="AZ362" s="4317"/>
      <c r="BA362" s="4317"/>
      <c r="BB362" s="4317"/>
      <c r="BC362" s="4317"/>
      <c r="BD362" s="4317"/>
      <c r="BE362" s="4317"/>
      <c r="BF362" s="4317"/>
      <c r="BG362" s="4317"/>
      <c r="BH362" s="4317"/>
      <c r="BI362" s="4317"/>
      <c r="BJ362" s="4317"/>
      <c r="BK362" s="4317"/>
      <c r="BL362" s="4317"/>
      <c r="BM362" s="4317"/>
      <c r="BN362" s="4317"/>
      <c r="BO362" s="4317"/>
      <c r="BP362" s="4317"/>
      <c r="BQ362" s="4317"/>
      <c r="BR362" s="4317"/>
      <c r="BS362" s="4317"/>
      <c r="BT362" s="4317"/>
      <c r="BU362" s="4317"/>
      <c r="BV362" s="4317"/>
      <c r="BW362" s="4317"/>
      <c r="BX362" s="4317"/>
      <c r="BY362" s="4317"/>
      <c r="BZ362" s="4317"/>
      <c r="CA362" s="4317"/>
      <c r="CB362" s="4317"/>
      <c r="CC362" s="4317"/>
      <c r="CD362" s="4317"/>
      <c r="CE362" s="4317"/>
      <c r="CF362" s="4317"/>
      <c r="CG362" s="4317"/>
      <c r="CH362" s="4317"/>
      <c r="CI362" s="4317"/>
      <c r="CJ362" s="4317"/>
      <c r="CK362" s="4317"/>
      <c r="CL362" s="4317"/>
      <c r="CM362" s="4317"/>
      <c r="CN362" s="4317"/>
      <c r="CO362" s="4317"/>
      <c r="CP362" s="4317"/>
      <c r="CQ362" s="4317"/>
      <c r="CR362" s="4317"/>
      <c r="CS362" s="4317"/>
      <c r="CT362" s="4317"/>
      <c r="CU362" s="4317"/>
      <c r="CV362" s="4317"/>
      <c r="CW362" s="4317"/>
      <c r="CX362" s="4317"/>
      <c r="CY362" s="4317"/>
      <c r="CZ362" s="4317"/>
      <c r="DA362" s="4317"/>
      <c r="DB362" s="4317"/>
      <c r="DC362" s="4317"/>
      <c r="DD362" s="4317"/>
      <c r="DE362" s="4317"/>
      <c r="DF362" s="4317"/>
      <c r="DG362" s="4317"/>
      <c r="DH362" s="4317"/>
      <c r="DI362" s="4317"/>
      <c r="DJ362" s="4317"/>
      <c r="DK362" s="4317"/>
      <c r="DL362" s="4317"/>
      <c r="DM362" s="4317"/>
      <c r="DN362" s="4317"/>
      <c r="DO362" s="4317"/>
      <c r="DP362" s="4317"/>
      <c r="DQ362" s="4317"/>
      <c r="DR362" s="4317"/>
      <c r="DS362" s="4317"/>
    </row>
    <row r="363" s="4134" customFormat="1" ht="19.5" customHeight="1" spans="1:123">
      <c r="A363" s="4304" t="s">
        <v>5063</v>
      </c>
      <c r="B363" s="4324"/>
      <c r="C363" s="4324"/>
      <c r="D363" s="4324"/>
      <c r="E363" s="4324"/>
      <c r="F363" s="4300"/>
      <c r="G363" s="4300"/>
      <c r="H363" s="4300"/>
      <c r="I363" s="4300"/>
      <c r="J363" s="4300"/>
      <c r="K363" s="4300"/>
      <c r="L363" s="4300"/>
      <c r="M363" s="4317"/>
      <c r="N363" s="4317"/>
      <c r="O363" s="4340" t="s">
        <v>5064</v>
      </c>
      <c r="P363" s="4317"/>
      <c r="Q363" s="4295"/>
      <c r="R363" s="4317"/>
      <c r="S363" s="4317"/>
      <c r="T363" s="4317"/>
      <c r="U363" s="4317"/>
      <c r="V363" s="4317"/>
      <c r="W363" s="4317"/>
      <c r="X363" s="4317"/>
      <c r="Y363" s="4317"/>
      <c r="Z363" s="4317"/>
      <c r="AA363" s="4317"/>
      <c r="AB363" s="4317"/>
      <c r="AC363" s="4295"/>
      <c r="AD363" s="4317"/>
      <c r="AE363" s="4317"/>
      <c r="AF363" s="4319"/>
      <c r="AG363" s="4319"/>
      <c r="AH363" s="4317"/>
      <c r="AI363" s="4317"/>
      <c r="AJ363" s="4317"/>
      <c r="AK363" s="4317"/>
      <c r="AL363" s="4317"/>
      <c r="AM363" s="4317"/>
      <c r="AN363" s="4317"/>
      <c r="AO363" s="4317"/>
      <c r="AP363" s="4317"/>
      <c r="AQ363" s="4317"/>
      <c r="AR363" s="4317"/>
      <c r="AS363" s="4317"/>
      <c r="AT363" s="4317"/>
      <c r="AU363" s="4317"/>
      <c r="AV363" s="4317"/>
      <c r="AW363" s="4317"/>
      <c r="AX363" s="4317"/>
      <c r="AY363" s="4317"/>
      <c r="AZ363" s="4317"/>
      <c r="BA363" s="4317"/>
      <c r="BB363" s="4317"/>
      <c r="BC363" s="4317"/>
      <c r="BD363" s="4317"/>
      <c r="BE363" s="4317"/>
      <c r="BF363" s="4317"/>
      <c r="BG363" s="4317"/>
      <c r="BH363" s="4317"/>
      <c r="BI363" s="4317"/>
      <c r="BJ363" s="4317"/>
      <c r="BK363" s="4317"/>
      <c r="BL363" s="4317"/>
      <c r="BM363" s="4317"/>
      <c r="BN363" s="4317"/>
      <c r="BO363" s="4317"/>
      <c r="BP363" s="4317"/>
      <c r="BQ363" s="4317"/>
      <c r="BR363" s="4317"/>
      <c r="BS363" s="4317"/>
      <c r="BT363" s="4317"/>
      <c r="BU363" s="4317"/>
      <c r="BV363" s="4317"/>
      <c r="BW363" s="4317"/>
      <c r="BX363" s="4317"/>
      <c r="BY363" s="4317"/>
      <c r="BZ363" s="4317"/>
      <c r="CA363" s="4317"/>
      <c r="CB363" s="4317"/>
      <c r="CC363" s="4317"/>
      <c r="CD363" s="4317"/>
      <c r="CE363" s="4317"/>
      <c r="CF363" s="4317"/>
      <c r="CG363" s="4317"/>
      <c r="CH363" s="4317"/>
      <c r="CI363" s="4317"/>
      <c r="CJ363" s="4317"/>
      <c r="CK363" s="4317"/>
      <c r="CL363" s="4317"/>
      <c r="CM363" s="4317"/>
      <c r="CN363" s="4317"/>
      <c r="CO363" s="4317"/>
      <c r="CP363" s="4317"/>
      <c r="CQ363" s="4317"/>
      <c r="CR363" s="4317"/>
      <c r="CS363" s="4317"/>
      <c r="CT363" s="4317"/>
      <c r="CU363" s="4317"/>
      <c r="CV363" s="4317"/>
      <c r="CW363" s="4317"/>
      <c r="CX363" s="4317"/>
      <c r="CY363" s="4317"/>
      <c r="CZ363" s="4317"/>
      <c r="DA363" s="4317"/>
      <c r="DB363" s="4317"/>
      <c r="DC363" s="4317"/>
      <c r="DD363" s="4317"/>
      <c r="DE363" s="4317"/>
      <c r="DF363" s="4317"/>
      <c r="DG363" s="4317"/>
      <c r="DH363" s="4317"/>
      <c r="DI363" s="4317"/>
      <c r="DJ363" s="4317"/>
      <c r="DK363" s="4317"/>
      <c r="DL363" s="4317"/>
      <c r="DM363" s="4317"/>
      <c r="DN363" s="4317"/>
      <c r="DO363" s="4317"/>
      <c r="DP363" s="4317"/>
      <c r="DQ363" s="4317"/>
      <c r="DR363" s="4317"/>
      <c r="DS363" s="4317"/>
    </row>
    <row r="364" s="4134" customFormat="1" ht="19.5" customHeight="1" spans="1:123">
      <c r="A364" s="4304" t="s">
        <v>5065</v>
      </c>
      <c r="B364" s="4324"/>
      <c r="C364" s="4324"/>
      <c r="D364" s="4324"/>
      <c r="E364" s="4324"/>
      <c r="F364" s="4300">
        <v>59</v>
      </c>
      <c r="G364" s="4300"/>
      <c r="H364" s="4300"/>
      <c r="I364" s="4300"/>
      <c r="J364" s="4300"/>
      <c r="K364" s="4300"/>
      <c r="L364" s="4300"/>
      <c r="M364" s="4317"/>
      <c r="N364" s="4317"/>
      <c r="O364" s="4340" t="s">
        <v>5066</v>
      </c>
      <c r="P364" s="4317"/>
      <c r="Q364" s="4295"/>
      <c r="R364" s="4317"/>
      <c r="S364" s="4317"/>
      <c r="T364" s="4317"/>
      <c r="U364" s="4317"/>
      <c r="V364" s="4317"/>
      <c r="W364" s="4317"/>
      <c r="X364" s="4317"/>
      <c r="Y364" s="4317"/>
      <c r="Z364" s="4317"/>
      <c r="AA364" s="4317"/>
      <c r="AB364" s="4317"/>
      <c r="AC364" s="4295"/>
      <c r="AD364" s="4317"/>
      <c r="AE364" s="4317"/>
      <c r="AF364" s="4319"/>
      <c r="AG364" s="4319"/>
      <c r="AH364" s="4317"/>
      <c r="AI364" s="4317"/>
      <c r="AJ364" s="4317"/>
      <c r="AK364" s="4317"/>
      <c r="AL364" s="4317"/>
      <c r="AM364" s="4317"/>
      <c r="AN364" s="4317"/>
      <c r="AO364" s="4317"/>
      <c r="AP364" s="4317"/>
      <c r="AQ364" s="4317"/>
      <c r="AR364" s="4317"/>
      <c r="AS364" s="4317"/>
      <c r="AT364" s="4317"/>
      <c r="AU364" s="4317"/>
      <c r="AV364" s="4317"/>
      <c r="AW364" s="4317"/>
      <c r="AX364" s="4317"/>
      <c r="AY364" s="4317"/>
      <c r="AZ364" s="4317"/>
      <c r="BA364" s="4317"/>
      <c r="BB364" s="4317"/>
      <c r="BC364" s="4317"/>
      <c r="BD364" s="4317"/>
      <c r="BE364" s="4317"/>
      <c r="BF364" s="4317"/>
      <c r="BG364" s="4317"/>
      <c r="BH364" s="4317"/>
      <c r="BI364" s="4317"/>
      <c r="BJ364" s="4317"/>
      <c r="BK364" s="4317"/>
      <c r="BL364" s="4317"/>
      <c r="BM364" s="4317"/>
      <c r="BN364" s="4317"/>
      <c r="BO364" s="4317"/>
      <c r="BP364" s="4317"/>
      <c r="BQ364" s="4317"/>
      <c r="BR364" s="4317"/>
      <c r="BS364" s="4317"/>
      <c r="BT364" s="4317"/>
      <c r="BU364" s="4317"/>
      <c r="BV364" s="4317"/>
      <c r="BW364" s="4317"/>
      <c r="BX364" s="4317"/>
      <c r="BY364" s="4317"/>
      <c r="BZ364" s="4317"/>
      <c r="CA364" s="4317"/>
      <c r="CB364" s="4317"/>
      <c r="CC364" s="4317"/>
      <c r="CD364" s="4317"/>
      <c r="CE364" s="4317"/>
      <c r="CF364" s="4317"/>
      <c r="CG364" s="4317"/>
      <c r="CH364" s="4317"/>
      <c r="CI364" s="4317"/>
      <c r="CJ364" s="4317"/>
      <c r="CK364" s="4317"/>
      <c r="CL364" s="4317"/>
      <c r="CM364" s="4317"/>
      <c r="CN364" s="4317"/>
      <c r="CO364" s="4317"/>
      <c r="CP364" s="4317"/>
      <c r="CQ364" s="4317"/>
      <c r="CR364" s="4317"/>
      <c r="CS364" s="4317"/>
      <c r="CT364" s="4317"/>
      <c r="CU364" s="4317"/>
      <c r="CV364" s="4317"/>
      <c r="CW364" s="4317"/>
      <c r="CX364" s="4317"/>
      <c r="CY364" s="4317"/>
      <c r="CZ364" s="4317"/>
      <c r="DA364" s="4317"/>
      <c r="DB364" s="4317"/>
      <c r="DC364" s="4317"/>
      <c r="DD364" s="4317"/>
      <c r="DE364" s="4317"/>
      <c r="DF364" s="4317"/>
      <c r="DG364" s="4317"/>
      <c r="DH364" s="4317"/>
      <c r="DI364" s="4317"/>
      <c r="DJ364" s="4317"/>
      <c r="DK364" s="4317"/>
      <c r="DL364" s="4317"/>
      <c r="DM364" s="4317"/>
      <c r="DN364" s="4317"/>
      <c r="DO364" s="4317"/>
      <c r="DP364" s="4317"/>
      <c r="DQ364" s="4317"/>
      <c r="DR364" s="4317"/>
      <c r="DS364" s="4317"/>
    </row>
    <row r="365" s="4134" customFormat="1" ht="19.5" customHeight="1" spans="1:123">
      <c r="A365" s="4317"/>
      <c r="B365" s="4317"/>
      <c r="C365" s="4317"/>
      <c r="D365" s="4317"/>
      <c r="E365" s="4317"/>
      <c r="F365" s="4317"/>
      <c r="G365" s="4317"/>
      <c r="H365" s="4317"/>
      <c r="I365" s="4317"/>
      <c r="J365" s="4317"/>
      <c r="K365" s="4317"/>
      <c r="L365" s="4317"/>
      <c r="M365" s="4317"/>
      <c r="N365" s="4317"/>
      <c r="O365" s="4317"/>
      <c r="P365" s="4353"/>
      <c r="Q365" s="4295"/>
      <c r="R365" s="4353"/>
      <c r="S365" s="4317"/>
      <c r="T365" s="4317"/>
      <c r="U365" s="4317"/>
      <c r="V365" s="4317"/>
      <c r="W365" s="4317"/>
      <c r="X365" s="4317"/>
      <c r="Y365" s="4317"/>
      <c r="Z365" s="4317"/>
      <c r="AA365" s="4317"/>
      <c r="AB365" s="4317"/>
      <c r="AC365" s="4295"/>
      <c r="AD365" s="4353"/>
      <c r="AE365" s="4353"/>
      <c r="AF365" s="4317"/>
      <c r="AG365" s="4317"/>
      <c r="AH365" s="4317"/>
      <c r="AI365" s="4317"/>
      <c r="AJ365" s="4317"/>
      <c r="AK365" s="4317"/>
      <c r="AL365" s="4317"/>
      <c r="AM365" s="4317"/>
      <c r="AN365" s="4317"/>
      <c r="AO365" s="4317"/>
      <c r="AP365" s="4317"/>
      <c r="AQ365" s="4317"/>
      <c r="AR365" s="4317"/>
      <c r="AS365" s="4317"/>
      <c r="AT365" s="4317"/>
      <c r="AU365" s="4317"/>
      <c r="AV365" s="4317"/>
      <c r="AW365" s="4317"/>
      <c r="AX365" s="4317"/>
      <c r="AY365" s="4317"/>
      <c r="AZ365" s="4317"/>
      <c r="BA365" s="4317"/>
      <c r="BB365" s="4317"/>
      <c r="BC365" s="4317"/>
      <c r="BD365" s="4317"/>
      <c r="BE365" s="4317"/>
      <c r="BF365" s="4317"/>
      <c r="BG365" s="4317"/>
      <c r="BH365" s="4317"/>
      <c r="BI365" s="4317"/>
      <c r="BJ365" s="4317"/>
      <c r="BK365" s="4317"/>
      <c r="BL365" s="4317"/>
      <c r="BM365" s="4317"/>
      <c r="BN365" s="4317"/>
      <c r="BO365" s="4317"/>
      <c r="BP365" s="4317"/>
      <c r="BQ365" s="4317"/>
      <c r="BR365" s="4317"/>
      <c r="BS365" s="4317"/>
      <c r="BT365" s="4317"/>
      <c r="BU365" s="4317"/>
      <c r="BV365" s="4317"/>
      <c r="BW365" s="4317"/>
      <c r="BX365" s="4317"/>
      <c r="BY365" s="4317"/>
      <c r="BZ365" s="4317"/>
      <c r="CA365" s="4317"/>
      <c r="CB365" s="4317"/>
      <c r="CC365" s="4317"/>
      <c r="CD365" s="4317"/>
      <c r="CE365" s="4317"/>
      <c r="CF365" s="4317"/>
      <c r="CG365" s="4317"/>
      <c r="CH365" s="4317"/>
      <c r="CI365" s="4317"/>
      <c r="CJ365" s="4317"/>
      <c r="CK365" s="4317"/>
      <c r="CL365" s="4317"/>
      <c r="CM365" s="4317"/>
      <c r="CN365" s="4317"/>
      <c r="CO365" s="4317"/>
      <c r="CP365" s="4317"/>
      <c r="CQ365" s="4317"/>
      <c r="CR365" s="4317"/>
      <c r="CS365" s="4317"/>
      <c r="CT365" s="4317"/>
      <c r="CU365" s="4317"/>
      <c r="CV365" s="4317"/>
      <c r="CW365" s="4317"/>
      <c r="CX365" s="4317"/>
      <c r="CY365" s="4317"/>
      <c r="CZ365" s="4317"/>
      <c r="DA365" s="4317"/>
      <c r="DB365" s="4317"/>
      <c r="DC365" s="4317"/>
      <c r="DD365" s="4317"/>
      <c r="DE365" s="4317"/>
      <c r="DF365" s="4317"/>
      <c r="DG365" s="4317"/>
      <c r="DH365" s="4317"/>
      <c r="DI365" s="4317"/>
      <c r="DJ365" s="4317"/>
      <c r="DK365" s="4317"/>
      <c r="DL365" s="4317"/>
      <c r="DM365" s="4317"/>
      <c r="DN365" s="4317"/>
      <c r="DO365" s="4317"/>
      <c r="DP365" s="4317"/>
      <c r="DQ365" s="4317"/>
      <c r="DR365" s="4317"/>
      <c r="DS365" s="4317"/>
    </row>
    <row r="366" s="4134" customFormat="1" ht="19.5" customHeight="1" spans="1:123">
      <c r="A366" s="4324" t="str">
        <f>"zalihe "&amp;PeriodOd</f>
        <v>zalihe 01.01.2025</v>
      </c>
      <c r="B366" s="4324"/>
      <c r="C366" s="4324"/>
      <c r="D366" s="4324"/>
      <c r="E366" s="4324"/>
      <c r="F366" s="4300"/>
      <c r="G366" s="4300"/>
      <c r="H366" s="4300"/>
      <c r="I366" s="4300"/>
      <c r="J366" s="4300"/>
      <c r="K366" s="4300"/>
      <c r="L366" s="4300"/>
      <c r="M366" s="4317"/>
      <c r="N366" s="4317"/>
      <c r="O366" s="4181" t="s">
        <v>5067</v>
      </c>
      <c r="P366" s="4181"/>
      <c r="Q366" s="4295"/>
      <c r="R366" s="4353"/>
      <c r="S366" s="4317"/>
      <c r="T366" s="4317"/>
      <c r="U366" s="4317"/>
      <c r="V366" s="4317"/>
      <c r="W366" s="4317"/>
      <c r="X366" s="4317"/>
      <c r="Y366" s="4317"/>
      <c r="Z366" s="4317"/>
      <c r="AA366" s="4317"/>
      <c r="AB366" s="4353"/>
      <c r="AC366" s="4295"/>
      <c r="AD366" s="4181"/>
      <c r="AE366" s="4353"/>
      <c r="AF366" s="4317"/>
      <c r="AG366" s="4317"/>
      <c r="AH366" s="4317"/>
      <c r="AI366" s="4317"/>
      <c r="AJ366" s="4317"/>
      <c r="AK366" s="4317"/>
      <c r="AL366" s="4317"/>
      <c r="AM366" s="4317"/>
      <c r="AN366" s="4317"/>
      <c r="AO366" s="4317"/>
      <c r="AP366" s="4317"/>
      <c r="AQ366" s="4317"/>
      <c r="AR366" s="4317"/>
      <c r="AS366" s="4317"/>
      <c r="AT366" s="4317"/>
      <c r="AU366" s="4317"/>
      <c r="AV366" s="4317"/>
      <c r="AW366" s="4317"/>
      <c r="AX366" s="4317"/>
      <c r="AY366" s="4317"/>
      <c r="AZ366" s="4317"/>
      <c r="BA366" s="4317"/>
      <c r="BB366" s="4317"/>
      <c r="BC366" s="4317"/>
      <c r="BD366" s="4317"/>
      <c r="BE366" s="4317"/>
      <c r="BF366" s="4317"/>
      <c r="BG366" s="4317"/>
      <c r="BH366" s="4317"/>
      <c r="BI366" s="4317"/>
      <c r="BJ366" s="4317"/>
      <c r="BK366" s="4317"/>
      <c r="BL366" s="4317"/>
      <c r="BM366" s="4317"/>
      <c r="BN366" s="4317"/>
      <c r="BO366" s="4317"/>
      <c r="BP366" s="4317"/>
      <c r="BQ366" s="4317"/>
      <c r="BR366" s="4317"/>
      <c r="BS366" s="4317"/>
      <c r="BT366" s="4317"/>
      <c r="BU366" s="4317"/>
      <c r="BV366" s="4317"/>
      <c r="BW366" s="4317"/>
      <c r="BX366" s="4317"/>
      <c r="BY366" s="4317"/>
      <c r="BZ366" s="4317"/>
      <c r="CA366" s="4317"/>
      <c r="CB366" s="4317"/>
      <c r="CC366" s="4317"/>
      <c r="CD366" s="4317"/>
      <c r="CE366" s="4317"/>
      <c r="CF366" s="4317"/>
      <c r="CG366" s="4317"/>
      <c r="CH366" s="4317"/>
      <c r="CI366" s="4317"/>
      <c r="CJ366" s="4317"/>
      <c r="CK366" s="4317"/>
      <c r="CL366" s="4317"/>
      <c r="CM366" s="4317"/>
      <c r="CN366" s="4317"/>
      <c r="CO366" s="4317"/>
      <c r="CP366" s="4317"/>
      <c r="CQ366" s="4317"/>
      <c r="CR366" s="4317"/>
      <c r="CS366" s="4317"/>
      <c r="CT366" s="4317"/>
      <c r="CU366" s="4317"/>
      <c r="CV366" s="4317"/>
      <c r="CW366" s="4317"/>
      <c r="CX366" s="4317"/>
      <c r="CY366" s="4317"/>
      <c r="CZ366" s="4317"/>
      <c r="DA366" s="4317"/>
      <c r="DB366" s="4317"/>
      <c r="DC366" s="4317"/>
      <c r="DD366" s="4317"/>
      <c r="DE366" s="4317"/>
      <c r="DF366" s="4317"/>
      <c r="DG366" s="4317"/>
      <c r="DH366" s="4317"/>
      <c r="DI366" s="4317"/>
      <c r="DJ366" s="4317"/>
      <c r="DK366" s="4317"/>
      <c r="DL366" s="4317"/>
      <c r="DM366" s="4317"/>
      <c r="DN366" s="4317"/>
      <c r="DO366" s="4317"/>
      <c r="DP366" s="4317"/>
      <c r="DQ366" s="4317"/>
      <c r="DR366" s="4317"/>
      <c r="DS366" s="4317"/>
    </row>
    <row r="367" s="4134" customFormat="1" ht="19.5" customHeight="1" spans="1:123">
      <c r="A367" s="4324" t="str">
        <f ca="1">"zalihe "&amp;PeriodDo</f>
        <v>zalihe 31.12.2025</v>
      </c>
      <c r="B367" s="4324"/>
      <c r="C367" s="4324"/>
      <c r="D367" s="4324"/>
      <c r="E367" s="4324"/>
      <c r="F367" s="4300"/>
      <c r="G367" s="4300"/>
      <c r="H367" s="4300"/>
      <c r="I367" s="4300"/>
      <c r="J367" s="4300"/>
      <c r="K367" s="4300"/>
      <c r="L367" s="4300"/>
      <c r="M367" s="4317"/>
      <c r="N367" s="4317"/>
      <c r="O367" s="4181" t="s">
        <v>5068</v>
      </c>
      <c r="P367" s="4181"/>
      <c r="Q367" s="4295"/>
      <c r="R367" s="4353"/>
      <c r="S367" s="4317"/>
      <c r="T367" s="4317"/>
      <c r="U367" s="4317"/>
      <c r="V367" s="4317"/>
      <c r="W367" s="4317"/>
      <c r="X367" s="4317"/>
      <c r="Y367" s="4317"/>
      <c r="Z367" s="4317"/>
      <c r="AA367" s="4317"/>
      <c r="AB367" s="4353"/>
      <c r="AC367" s="4295"/>
      <c r="AD367" s="4181"/>
      <c r="AE367" s="4353"/>
      <c r="AF367" s="4317"/>
      <c r="AG367" s="4317"/>
      <c r="AH367" s="4317"/>
      <c r="AI367" s="4317"/>
      <c r="AJ367" s="4317"/>
      <c r="AK367" s="4317"/>
      <c r="AL367" s="4317"/>
      <c r="AM367" s="4317"/>
      <c r="AN367" s="4317"/>
      <c r="AO367" s="4317"/>
      <c r="AP367" s="4317"/>
      <c r="AQ367" s="4317"/>
      <c r="AR367" s="4317"/>
      <c r="AS367" s="4317"/>
      <c r="AT367" s="4317"/>
      <c r="AU367" s="4317"/>
      <c r="AV367" s="4317"/>
      <c r="AW367" s="4317"/>
      <c r="AX367" s="4317"/>
      <c r="AY367" s="4317"/>
      <c r="AZ367" s="4317"/>
      <c r="BA367" s="4317"/>
      <c r="BB367" s="4317"/>
      <c r="BC367" s="4317"/>
      <c r="BD367" s="4317"/>
      <c r="BE367" s="4317"/>
      <c r="BF367" s="4317"/>
      <c r="BG367" s="4317"/>
      <c r="BH367" s="4317"/>
      <c r="BI367" s="4317"/>
      <c r="BJ367" s="4317"/>
      <c r="BK367" s="4317"/>
      <c r="BL367" s="4317"/>
      <c r="BM367" s="4317"/>
      <c r="BN367" s="4317"/>
      <c r="BO367" s="4317"/>
      <c r="BP367" s="4317"/>
      <c r="BQ367" s="4317"/>
      <c r="BR367" s="4317"/>
      <c r="BS367" s="4317"/>
      <c r="BT367" s="4317"/>
      <c r="BU367" s="4317"/>
      <c r="BV367" s="4317"/>
      <c r="BW367" s="4317"/>
      <c r="BX367" s="4317"/>
      <c r="BY367" s="4317"/>
      <c r="BZ367" s="4317"/>
      <c r="CA367" s="4317"/>
      <c r="CB367" s="4317"/>
      <c r="CC367" s="4317"/>
      <c r="CD367" s="4317"/>
      <c r="CE367" s="4317"/>
      <c r="CF367" s="4317"/>
      <c r="CG367" s="4317"/>
      <c r="CH367" s="4317"/>
      <c r="CI367" s="4317"/>
      <c r="CJ367" s="4317"/>
      <c r="CK367" s="4317"/>
      <c r="CL367" s="4317"/>
      <c r="CM367" s="4317"/>
      <c r="CN367" s="4317"/>
      <c r="CO367" s="4317"/>
      <c r="CP367" s="4317"/>
      <c r="CQ367" s="4317"/>
      <c r="CR367" s="4317"/>
      <c r="CS367" s="4317"/>
      <c r="CT367" s="4317"/>
      <c r="CU367" s="4317"/>
      <c r="CV367" s="4317"/>
      <c r="CW367" s="4317"/>
      <c r="CX367" s="4317"/>
      <c r="CY367" s="4317"/>
      <c r="CZ367" s="4317"/>
      <c r="DA367" s="4317"/>
      <c r="DB367" s="4317"/>
      <c r="DC367" s="4317"/>
      <c r="DD367" s="4317"/>
      <c r="DE367" s="4317"/>
      <c r="DF367" s="4317"/>
      <c r="DG367" s="4317"/>
      <c r="DH367" s="4317"/>
      <c r="DI367" s="4317"/>
      <c r="DJ367" s="4317"/>
      <c r="DK367" s="4317"/>
      <c r="DL367" s="4317"/>
      <c r="DM367" s="4317"/>
      <c r="DN367" s="4317"/>
      <c r="DO367" s="4317"/>
      <c r="DP367" s="4317"/>
      <c r="DQ367" s="4317"/>
      <c r="DR367" s="4317"/>
      <c r="DS367" s="4317"/>
    </row>
    <row r="368" s="4134" customFormat="1" ht="19.5" customHeight="1" spans="1:123">
      <c r="A368" s="4332" t="s">
        <v>5069</v>
      </c>
      <c r="B368" s="4332"/>
      <c r="C368" s="4332"/>
      <c r="D368" s="4332"/>
      <c r="E368" s="4332"/>
      <c r="F368" s="4314">
        <f>F367-F366</f>
        <v>0</v>
      </c>
      <c r="G368" s="4314"/>
      <c r="H368" s="4314"/>
      <c r="I368" s="4314"/>
      <c r="J368" s="4314"/>
      <c r="K368" s="4314"/>
      <c r="L368" s="4314"/>
      <c r="M368" s="4317"/>
      <c r="N368" s="4317"/>
      <c r="O368" s="4354" t="s">
        <v>5070</v>
      </c>
      <c r="P368" s="4355"/>
      <c r="Q368" s="4295"/>
      <c r="R368" s="4353"/>
      <c r="S368" s="4317"/>
      <c r="T368" s="4317"/>
      <c r="U368" s="4317"/>
      <c r="V368" s="4317"/>
      <c r="W368" s="4317"/>
      <c r="X368" s="4317"/>
      <c r="Y368" s="4317"/>
      <c r="Z368" s="4317"/>
      <c r="AA368" s="4317"/>
      <c r="AB368" s="4353"/>
      <c r="AC368" s="4295"/>
      <c r="AD368" s="4355"/>
      <c r="AE368" s="4353"/>
      <c r="AF368" s="4317"/>
      <c r="AG368" s="4317"/>
      <c r="AH368" s="4317"/>
      <c r="AI368" s="4317"/>
      <c r="AJ368" s="4317"/>
      <c r="AK368" s="4317"/>
      <c r="AL368" s="4317"/>
      <c r="AM368" s="4317"/>
      <c r="AN368" s="4317"/>
      <c r="AO368" s="4317"/>
      <c r="AP368" s="4317"/>
      <c r="AQ368" s="4317"/>
      <c r="AR368" s="4317"/>
      <c r="AS368" s="4317"/>
      <c r="AT368" s="4317"/>
      <c r="AU368" s="4317"/>
      <c r="AV368" s="4317"/>
      <c r="AW368" s="4317"/>
      <c r="AX368" s="4317"/>
      <c r="AY368" s="4317"/>
      <c r="AZ368" s="4317"/>
      <c r="BA368" s="4317"/>
      <c r="BB368" s="4317"/>
      <c r="BC368" s="4317"/>
      <c r="BD368" s="4317"/>
      <c r="BE368" s="4317"/>
      <c r="BF368" s="4317"/>
      <c r="BG368" s="4317"/>
      <c r="BH368" s="4317"/>
      <c r="BI368" s="4317"/>
      <c r="BJ368" s="4317"/>
      <c r="BK368" s="4317"/>
      <c r="BL368" s="4317"/>
      <c r="BM368" s="4317"/>
      <c r="BN368" s="4317"/>
      <c r="BO368" s="4317"/>
      <c r="BP368" s="4317"/>
      <c r="BQ368" s="4317"/>
      <c r="BR368" s="4317"/>
      <c r="BS368" s="4317"/>
      <c r="BT368" s="4317"/>
      <c r="BU368" s="4317"/>
      <c r="BV368" s="4317"/>
      <c r="BW368" s="4317"/>
      <c r="BX368" s="4317"/>
      <c r="BY368" s="4317"/>
      <c r="BZ368" s="4317"/>
      <c r="CA368" s="4317"/>
      <c r="CB368" s="4317"/>
      <c r="CC368" s="4317"/>
      <c r="CD368" s="4317"/>
      <c r="CE368" s="4317"/>
      <c r="CF368" s="4317"/>
      <c r="CG368" s="4317"/>
      <c r="CH368" s="4317"/>
      <c r="CI368" s="4317"/>
      <c r="CJ368" s="4317"/>
      <c r="CK368" s="4317"/>
      <c r="CL368" s="4317"/>
      <c r="CM368" s="4317"/>
      <c r="CN368" s="4317"/>
      <c r="CO368" s="4317"/>
      <c r="CP368" s="4317"/>
      <c r="CQ368" s="4317"/>
      <c r="CR368" s="4317"/>
      <c r="CS368" s="4317"/>
      <c r="CT368" s="4317"/>
      <c r="CU368" s="4317"/>
      <c r="CV368" s="4317"/>
      <c r="CW368" s="4317"/>
      <c r="CX368" s="4317"/>
      <c r="CY368" s="4317"/>
      <c r="CZ368" s="4317"/>
      <c r="DA368" s="4317"/>
      <c r="DB368" s="4317"/>
      <c r="DC368" s="4317"/>
      <c r="DD368" s="4317"/>
      <c r="DE368" s="4317"/>
      <c r="DF368" s="4317"/>
      <c r="DG368" s="4317"/>
      <c r="DH368" s="4317"/>
      <c r="DI368" s="4317"/>
      <c r="DJ368" s="4317"/>
      <c r="DK368" s="4317"/>
      <c r="DL368" s="4317"/>
      <c r="DM368" s="4317"/>
      <c r="DN368" s="4317"/>
      <c r="DO368" s="4317"/>
      <c r="DP368" s="4317"/>
      <c r="DQ368" s="4317"/>
      <c r="DR368" s="4317"/>
      <c r="DS368" s="4317"/>
    </row>
    <row r="369" s="4134" customFormat="1" ht="19.5" customHeight="1" spans="1:123">
      <c r="A369" s="4356"/>
      <c r="B369" s="4357"/>
      <c r="C369" s="4357"/>
      <c r="D369" s="4357"/>
      <c r="E369" s="4357"/>
      <c r="F369" s="4358"/>
      <c r="G369" s="4358"/>
      <c r="H369" s="4358"/>
      <c r="I369" s="4358"/>
      <c r="J369" s="4358"/>
      <c r="K369" s="4358"/>
      <c r="L369" s="4358"/>
      <c r="M369" s="4317"/>
      <c r="N369" s="4317"/>
      <c r="O369" s="4317"/>
      <c r="P369" s="4317"/>
      <c r="Q369" s="4295"/>
      <c r="R369" s="4353"/>
      <c r="S369" s="4317"/>
      <c r="T369" s="4317"/>
      <c r="U369" s="4317"/>
      <c r="V369" s="4317"/>
      <c r="W369" s="4317"/>
      <c r="X369" s="4317"/>
      <c r="Y369" s="4317"/>
      <c r="Z369" s="4317"/>
      <c r="AA369" s="4317"/>
      <c r="AB369" s="4353"/>
      <c r="AC369" s="4295"/>
      <c r="AD369" s="4317"/>
      <c r="AE369" s="4353"/>
      <c r="AF369" s="4317"/>
      <c r="AG369" s="4317"/>
      <c r="AH369" s="4317"/>
      <c r="AI369" s="4317"/>
      <c r="AJ369" s="4317"/>
      <c r="AK369" s="4317"/>
      <c r="AL369" s="4317"/>
      <c r="AM369" s="4317"/>
      <c r="AN369" s="4317"/>
      <c r="AO369" s="4317"/>
      <c r="AP369" s="4317"/>
      <c r="AQ369" s="4317"/>
      <c r="AR369" s="4317"/>
      <c r="AS369" s="4317"/>
      <c r="AT369" s="4317"/>
      <c r="AU369" s="4317"/>
      <c r="AV369" s="4317"/>
      <c r="AW369" s="4317"/>
      <c r="AX369" s="4317"/>
      <c r="AY369" s="4317"/>
      <c r="AZ369" s="4317"/>
      <c r="BA369" s="4317"/>
      <c r="BB369" s="4317"/>
      <c r="BC369" s="4317"/>
      <c r="BD369" s="4317"/>
      <c r="BE369" s="4317"/>
      <c r="BF369" s="4317"/>
      <c r="BG369" s="4317"/>
      <c r="BH369" s="4317"/>
      <c r="BI369" s="4317"/>
      <c r="BJ369" s="4317"/>
      <c r="BK369" s="4317"/>
      <c r="BL369" s="4317"/>
      <c r="BM369" s="4317"/>
      <c r="BN369" s="4317"/>
      <c r="BO369" s="4317"/>
      <c r="BP369" s="4317"/>
      <c r="BQ369" s="4317"/>
      <c r="BR369" s="4317"/>
      <c r="BS369" s="4317"/>
      <c r="BT369" s="4317"/>
      <c r="BU369" s="4317"/>
      <c r="BV369" s="4317"/>
      <c r="BW369" s="4317"/>
      <c r="BX369" s="4317"/>
      <c r="BY369" s="4317"/>
      <c r="BZ369" s="4317"/>
      <c r="CA369" s="4317"/>
      <c r="CB369" s="4317"/>
      <c r="CC369" s="4317"/>
      <c r="CD369" s="4317"/>
      <c r="CE369" s="4317"/>
      <c r="CF369" s="4317"/>
      <c r="CG369" s="4317"/>
      <c r="CH369" s="4317"/>
      <c r="CI369" s="4317"/>
      <c r="CJ369" s="4317"/>
      <c r="CK369" s="4317"/>
      <c r="CL369" s="4317"/>
      <c r="CM369" s="4317"/>
      <c r="CN369" s="4317"/>
      <c r="CO369" s="4317"/>
      <c r="CP369" s="4317"/>
      <c r="CQ369" s="4317"/>
      <c r="CR369" s="4317"/>
      <c r="CS369" s="4317"/>
      <c r="CT369" s="4317"/>
      <c r="CU369" s="4317"/>
      <c r="CV369" s="4317"/>
      <c r="CW369" s="4317"/>
      <c r="CX369" s="4317"/>
      <c r="CY369" s="4317"/>
      <c r="CZ369" s="4317"/>
      <c r="DA369" s="4317"/>
      <c r="DB369" s="4317"/>
      <c r="DC369" s="4317"/>
      <c r="DD369" s="4317"/>
      <c r="DE369" s="4317"/>
      <c r="DF369" s="4317"/>
      <c r="DG369" s="4317"/>
      <c r="DH369" s="4317"/>
      <c r="DI369" s="4317"/>
      <c r="DJ369" s="4317"/>
      <c r="DK369" s="4317"/>
      <c r="DL369" s="4317"/>
      <c r="DM369" s="4317"/>
      <c r="DN369" s="4317"/>
      <c r="DO369" s="4317"/>
      <c r="DP369" s="4317"/>
      <c r="DQ369" s="4317"/>
      <c r="DR369" s="4317"/>
      <c r="DS369" s="4317"/>
    </row>
    <row r="370" s="4134" customFormat="1" ht="19.5" customHeight="1" spans="1:123">
      <c r="A370" s="4304" t="s">
        <v>5071</v>
      </c>
      <c r="B370" s="4324"/>
      <c r="C370" s="4324"/>
      <c r="D370" s="4324"/>
      <c r="E370" s="4324"/>
      <c r="F370" s="4300"/>
      <c r="G370" s="4300"/>
      <c r="H370" s="4300"/>
      <c r="I370" s="4300"/>
      <c r="J370" s="4300"/>
      <c r="K370" s="4300"/>
      <c r="L370" s="4300"/>
      <c r="M370" s="4317"/>
      <c r="N370" s="4317"/>
      <c r="O370" s="4340" t="s">
        <v>5072</v>
      </c>
      <c r="P370" s="4340"/>
      <c r="Q370" s="4295"/>
      <c r="R370" s="4317"/>
      <c r="S370" s="4317"/>
      <c r="T370" s="4317"/>
      <c r="U370" s="4317"/>
      <c r="V370" s="4317"/>
      <c r="W370" s="4317"/>
      <c r="X370" s="4317"/>
      <c r="Y370" s="4317"/>
      <c r="Z370" s="4317"/>
      <c r="AA370" s="4317"/>
      <c r="AB370" s="4317"/>
      <c r="AC370" s="4295"/>
      <c r="AD370" s="4340"/>
      <c r="AE370" s="4317"/>
      <c r="AF370" s="4319"/>
      <c r="AG370" s="4319"/>
      <c r="AH370" s="4317"/>
      <c r="AI370" s="4317"/>
      <c r="AJ370" s="4317"/>
      <c r="AK370" s="4317"/>
      <c r="AL370" s="4317"/>
      <c r="AM370" s="4317"/>
      <c r="AN370" s="4317"/>
      <c r="AO370" s="4317"/>
      <c r="AP370" s="4317"/>
      <c r="AQ370" s="4317"/>
      <c r="AR370" s="4317"/>
      <c r="AS370" s="4317"/>
      <c r="AT370" s="4317"/>
      <c r="AU370" s="4317"/>
      <c r="AV370" s="4317"/>
      <c r="AW370" s="4317"/>
      <c r="AX370" s="4317"/>
      <c r="AY370" s="4317"/>
      <c r="AZ370" s="4317"/>
      <c r="BA370" s="4317"/>
      <c r="BB370" s="4317"/>
      <c r="BC370" s="4317"/>
      <c r="BD370" s="4317"/>
      <c r="BE370" s="4317"/>
      <c r="BF370" s="4317"/>
      <c r="BG370" s="4317"/>
      <c r="BH370" s="4317"/>
      <c r="BI370" s="4317"/>
      <c r="BJ370" s="4317"/>
      <c r="BK370" s="4317"/>
      <c r="BL370" s="4317"/>
      <c r="BM370" s="4317"/>
      <c r="BN370" s="4317"/>
      <c r="BO370" s="4317"/>
      <c r="BP370" s="4317"/>
      <c r="BQ370" s="4317"/>
      <c r="BR370" s="4317"/>
      <c r="BS370" s="4317"/>
      <c r="BT370" s="4317"/>
      <c r="BU370" s="4317"/>
      <c r="BV370" s="4317"/>
      <c r="BW370" s="4317"/>
      <c r="BX370" s="4317"/>
      <c r="BY370" s="4317"/>
      <c r="BZ370" s="4317"/>
      <c r="CA370" s="4317"/>
      <c r="CB370" s="4317"/>
      <c r="CC370" s="4317"/>
      <c r="CD370" s="4317"/>
      <c r="CE370" s="4317"/>
      <c r="CF370" s="4317"/>
      <c r="CG370" s="4317"/>
      <c r="CH370" s="4317"/>
      <c r="CI370" s="4317"/>
      <c r="CJ370" s="4317"/>
      <c r="CK370" s="4317"/>
      <c r="CL370" s="4317"/>
      <c r="CM370" s="4317"/>
      <c r="CN370" s="4317"/>
      <c r="CO370" s="4317"/>
      <c r="CP370" s="4317"/>
      <c r="CQ370" s="4317"/>
      <c r="CR370" s="4317"/>
      <c r="CS370" s="4317"/>
      <c r="CT370" s="4317"/>
      <c r="CU370" s="4317"/>
      <c r="CV370" s="4317"/>
      <c r="CW370" s="4317"/>
      <c r="CX370" s="4317"/>
      <c r="CY370" s="4317"/>
      <c r="CZ370" s="4317"/>
      <c r="DA370" s="4317"/>
      <c r="DB370" s="4317"/>
      <c r="DC370" s="4317"/>
      <c r="DD370" s="4317"/>
      <c r="DE370" s="4317"/>
      <c r="DF370" s="4317"/>
      <c r="DG370" s="4317"/>
      <c r="DH370" s="4317"/>
      <c r="DI370" s="4317"/>
      <c r="DJ370" s="4317"/>
      <c r="DK370" s="4317"/>
      <c r="DL370" s="4317"/>
      <c r="DM370" s="4317"/>
      <c r="DN370" s="4317"/>
      <c r="DO370" s="4317"/>
      <c r="DP370" s="4317"/>
      <c r="DQ370" s="4317"/>
      <c r="DR370" s="4317"/>
      <c r="DS370" s="4317"/>
    </row>
    <row r="371" s="4134" customFormat="1" ht="19.5" customHeight="1" spans="1:123">
      <c r="A371" s="4304" t="s">
        <v>5073</v>
      </c>
      <c r="B371" s="4324"/>
      <c r="C371" s="4324"/>
      <c r="D371" s="4324"/>
      <c r="E371" s="4324"/>
      <c r="F371" s="4300"/>
      <c r="G371" s="4300"/>
      <c r="H371" s="4300"/>
      <c r="I371" s="4300"/>
      <c r="J371" s="4300"/>
      <c r="K371" s="4300"/>
      <c r="L371" s="4300"/>
      <c r="M371" s="4317"/>
      <c r="N371" s="4317"/>
      <c r="O371" s="4340" t="s">
        <v>5074</v>
      </c>
      <c r="P371" s="4340"/>
      <c r="Q371" s="4295"/>
      <c r="R371" s="4317"/>
      <c r="S371" s="4317"/>
      <c r="T371" s="4317"/>
      <c r="U371" s="4317"/>
      <c r="V371" s="4317"/>
      <c r="W371" s="4317"/>
      <c r="X371" s="4317"/>
      <c r="Y371" s="4317"/>
      <c r="Z371" s="4317"/>
      <c r="AA371" s="4317"/>
      <c r="AB371" s="4317"/>
      <c r="AC371" s="4295"/>
      <c r="AD371" s="4340"/>
      <c r="AE371" s="4317"/>
      <c r="AF371" s="4319"/>
      <c r="AG371" s="4319"/>
      <c r="AH371" s="4317"/>
      <c r="AI371" s="4317"/>
      <c r="AJ371" s="4317"/>
      <c r="AK371" s="4317"/>
      <c r="AL371" s="4317"/>
      <c r="AM371" s="4317"/>
      <c r="AN371" s="4317"/>
      <c r="AO371" s="4317"/>
      <c r="AP371" s="4317"/>
      <c r="AQ371" s="4317"/>
      <c r="AR371" s="4317"/>
      <c r="AS371" s="4317"/>
      <c r="AT371" s="4317"/>
      <c r="AU371" s="4317"/>
      <c r="AV371" s="4317"/>
      <c r="AW371" s="4317"/>
      <c r="AX371" s="4317"/>
      <c r="AY371" s="4317"/>
      <c r="AZ371" s="4317"/>
      <c r="BA371" s="4317"/>
      <c r="BB371" s="4317"/>
      <c r="BC371" s="4317"/>
      <c r="BD371" s="4317"/>
      <c r="BE371" s="4317"/>
      <c r="BF371" s="4317"/>
      <c r="BG371" s="4317"/>
      <c r="BH371" s="4317"/>
      <c r="BI371" s="4317"/>
      <c r="BJ371" s="4317"/>
      <c r="BK371" s="4317"/>
      <c r="BL371" s="4317"/>
      <c r="BM371" s="4317"/>
      <c r="BN371" s="4317"/>
      <c r="BO371" s="4317"/>
      <c r="BP371" s="4317"/>
      <c r="BQ371" s="4317"/>
      <c r="BR371" s="4317"/>
      <c r="BS371" s="4317"/>
      <c r="BT371" s="4317"/>
      <c r="BU371" s="4317"/>
      <c r="BV371" s="4317"/>
      <c r="BW371" s="4317"/>
      <c r="BX371" s="4317"/>
      <c r="BY371" s="4317"/>
      <c r="BZ371" s="4317"/>
      <c r="CA371" s="4317"/>
      <c r="CB371" s="4317"/>
      <c r="CC371" s="4317"/>
      <c r="CD371" s="4317"/>
      <c r="CE371" s="4317"/>
      <c r="CF371" s="4317"/>
      <c r="CG371" s="4317"/>
      <c r="CH371" s="4317"/>
      <c r="CI371" s="4317"/>
      <c r="CJ371" s="4317"/>
      <c r="CK371" s="4317"/>
      <c r="CL371" s="4317"/>
      <c r="CM371" s="4317"/>
      <c r="CN371" s="4317"/>
      <c r="CO371" s="4317"/>
      <c r="CP371" s="4317"/>
      <c r="CQ371" s="4317"/>
      <c r="CR371" s="4317"/>
      <c r="CS371" s="4317"/>
      <c r="CT371" s="4317"/>
      <c r="CU371" s="4317"/>
      <c r="CV371" s="4317"/>
      <c r="CW371" s="4317"/>
      <c r="CX371" s="4317"/>
      <c r="CY371" s="4317"/>
      <c r="CZ371" s="4317"/>
      <c r="DA371" s="4317"/>
      <c r="DB371" s="4317"/>
      <c r="DC371" s="4317"/>
      <c r="DD371" s="4317"/>
      <c r="DE371" s="4317"/>
      <c r="DF371" s="4317"/>
      <c r="DG371" s="4317"/>
      <c r="DH371" s="4317"/>
      <c r="DI371" s="4317"/>
      <c r="DJ371" s="4317"/>
      <c r="DK371" s="4317"/>
      <c r="DL371" s="4317"/>
      <c r="DM371" s="4317"/>
      <c r="DN371" s="4317"/>
      <c r="DO371" s="4317"/>
      <c r="DP371" s="4317"/>
      <c r="DQ371" s="4317"/>
      <c r="DR371" s="4317"/>
      <c r="DS371" s="4317"/>
    </row>
    <row r="372" s="4134" customFormat="1" ht="19.5" customHeight="1" spans="1:123">
      <c r="A372" s="4304" t="s">
        <v>5075</v>
      </c>
      <c r="B372" s="4304"/>
      <c r="C372" s="4304"/>
      <c r="D372" s="4304"/>
      <c r="E372" s="4304"/>
      <c r="F372" s="4359">
        <f>F371-F370</f>
        <v>0</v>
      </c>
      <c r="G372" s="4359"/>
      <c r="H372" s="4359"/>
      <c r="I372" s="4359"/>
      <c r="J372" s="4359"/>
      <c r="K372" s="4359"/>
      <c r="L372" s="4359"/>
      <c r="M372" s="4317"/>
      <c r="N372" s="4317"/>
      <c r="O372" s="4340"/>
      <c r="P372" s="4340"/>
      <c r="Q372" s="4295"/>
      <c r="R372" s="4317"/>
      <c r="S372" s="4317"/>
      <c r="T372" s="4317"/>
      <c r="U372" s="4317"/>
      <c r="V372" s="4317"/>
      <c r="W372" s="4317"/>
      <c r="X372" s="4317"/>
      <c r="Y372" s="4317"/>
      <c r="Z372" s="4317"/>
      <c r="AA372" s="4317"/>
      <c r="AB372" s="4340"/>
      <c r="AC372" s="4295"/>
      <c r="AD372" s="4340"/>
      <c r="AE372" s="4317"/>
      <c r="AF372" s="4317"/>
      <c r="AG372" s="4317"/>
      <c r="AH372" s="4317"/>
      <c r="AI372" s="4317"/>
      <c r="AJ372" s="4317"/>
      <c r="AK372" s="4317"/>
      <c r="AL372" s="4317"/>
      <c r="AM372" s="4317"/>
      <c r="AN372" s="4317"/>
      <c r="AO372" s="4317"/>
      <c r="AP372" s="4317"/>
      <c r="AQ372" s="4317"/>
      <c r="AR372" s="4317"/>
      <c r="AS372" s="4317"/>
      <c r="AT372" s="4317"/>
      <c r="AU372" s="4317"/>
      <c r="AV372" s="4317"/>
      <c r="AW372" s="4317"/>
      <c r="AX372" s="4317"/>
      <c r="AY372" s="4317"/>
      <c r="AZ372" s="4317"/>
      <c r="BA372" s="4317"/>
      <c r="BB372" s="4317"/>
      <c r="BC372" s="4317"/>
      <c r="BD372" s="4317"/>
      <c r="BE372" s="4317"/>
      <c r="BF372" s="4317"/>
      <c r="BG372" s="4317"/>
      <c r="BH372" s="4317"/>
      <c r="BI372" s="4317"/>
      <c r="BJ372" s="4317"/>
      <c r="BK372" s="4317"/>
      <c r="BL372" s="4317"/>
      <c r="BM372" s="4317"/>
      <c r="BN372" s="4317"/>
      <c r="BO372" s="4317"/>
      <c r="BP372" s="4317"/>
      <c r="BQ372" s="4317"/>
      <c r="BR372" s="4317"/>
      <c r="BS372" s="4317"/>
      <c r="BT372" s="4317"/>
      <c r="BU372" s="4317"/>
      <c r="BV372" s="4317"/>
      <c r="BW372" s="4317"/>
      <c r="BX372" s="4317"/>
      <c r="BY372" s="4317"/>
      <c r="BZ372" s="4317"/>
      <c r="CA372" s="4317"/>
      <c r="CB372" s="4317"/>
      <c r="CC372" s="4317"/>
      <c r="CD372" s="4317"/>
      <c r="CE372" s="4317"/>
      <c r="CF372" s="4317"/>
      <c r="CG372" s="4317"/>
      <c r="CH372" s="4317"/>
      <c r="CI372" s="4317"/>
      <c r="CJ372" s="4317"/>
      <c r="CK372" s="4317"/>
      <c r="CL372" s="4317"/>
      <c r="CM372" s="4317"/>
      <c r="CN372" s="4317"/>
      <c r="CO372" s="4317"/>
      <c r="CP372" s="4317"/>
      <c r="CQ372" s="4317"/>
      <c r="CR372" s="4317"/>
      <c r="CS372" s="4317"/>
      <c r="CT372" s="4317"/>
      <c r="CU372" s="4317"/>
      <c r="CV372" s="4317"/>
      <c r="CW372" s="4317"/>
      <c r="CX372" s="4317"/>
      <c r="CY372" s="4317"/>
      <c r="CZ372" s="4317"/>
      <c r="DA372" s="4317"/>
      <c r="DB372" s="4317"/>
      <c r="DC372" s="4317"/>
      <c r="DD372" s="4317"/>
      <c r="DE372" s="4317"/>
      <c r="DF372" s="4317"/>
      <c r="DG372" s="4317"/>
      <c r="DH372" s="4317"/>
      <c r="DI372" s="4317"/>
      <c r="DJ372" s="4317"/>
      <c r="DK372" s="4317"/>
      <c r="DL372" s="4317"/>
      <c r="DM372" s="4317"/>
      <c r="DN372" s="4317"/>
      <c r="DO372" s="4317"/>
      <c r="DP372" s="4317"/>
      <c r="DQ372" s="4317"/>
      <c r="DR372" s="4317"/>
      <c r="DS372" s="4317"/>
    </row>
    <row r="373" s="4134" customFormat="1" ht="19.5" customHeight="1" spans="1:123">
      <c r="A373" s="4304" t="s">
        <v>5076</v>
      </c>
      <c r="B373" s="4304"/>
      <c r="C373" s="4304"/>
      <c r="D373" s="4304"/>
      <c r="E373" s="4304"/>
      <c r="F373" s="4360"/>
      <c r="G373" s="4361"/>
      <c r="H373" s="4361"/>
      <c r="I373" s="4361"/>
      <c r="J373" s="4361"/>
      <c r="K373" s="4361"/>
      <c r="L373" s="4361"/>
      <c r="M373" s="4317"/>
      <c r="N373" s="4317"/>
      <c r="O373" s="4317"/>
      <c r="P373" s="4340"/>
      <c r="Q373" s="4295"/>
      <c r="R373" s="4317"/>
      <c r="S373" s="4317"/>
      <c r="T373" s="4317"/>
      <c r="U373" s="4317"/>
      <c r="V373" s="4317"/>
      <c r="W373" s="4317"/>
      <c r="X373" s="4317"/>
      <c r="Y373" s="4317"/>
      <c r="Z373" s="4317"/>
      <c r="AA373" s="4317"/>
      <c r="AB373" s="4317"/>
      <c r="AC373" s="4295"/>
      <c r="AD373" s="4340"/>
      <c r="AE373" s="4317"/>
      <c r="AF373" s="4317"/>
      <c r="AG373" s="4317"/>
      <c r="AH373" s="4317"/>
      <c r="AI373" s="4317"/>
      <c r="AJ373" s="4317"/>
      <c r="AK373" s="4317"/>
      <c r="AL373" s="4317"/>
      <c r="AM373" s="4317"/>
      <c r="AN373" s="4317"/>
      <c r="AO373" s="4317"/>
      <c r="AP373" s="4317"/>
      <c r="AQ373" s="4317"/>
      <c r="AR373" s="4317"/>
      <c r="AS373" s="4317"/>
      <c r="AT373" s="4317"/>
      <c r="AU373" s="4317"/>
      <c r="AV373" s="4317"/>
      <c r="AW373" s="4317"/>
      <c r="AX373" s="4317"/>
      <c r="AY373" s="4317"/>
      <c r="AZ373" s="4317"/>
      <c r="BA373" s="4317"/>
      <c r="BB373" s="4317"/>
      <c r="BC373" s="4317"/>
      <c r="BD373" s="4317"/>
      <c r="BE373" s="4317"/>
      <c r="BF373" s="4317"/>
      <c r="BG373" s="4317"/>
      <c r="BH373" s="4317"/>
      <c r="BI373" s="4317"/>
      <c r="BJ373" s="4317"/>
      <c r="BK373" s="4317"/>
      <c r="BL373" s="4317"/>
      <c r="BM373" s="4317"/>
      <c r="BN373" s="4317"/>
      <c r="BO373" s="4317"/>
      <c r="BP373" s="4317"/>
      <c r="BQ373" s="4317"/>
      <c r="BR373" s="4317"/>
      <c r="BS373" s="4317"/>
      <c r="BT373" s="4317"/>
      <c r="BU373" s="4317"/>
      <c r="BV373" s="4317"/>
      <c r="BW373" s="4317"/>
      <c r="BX373" s="4317"/>
      <c r="BY373" s="4317"/>
      <c r="BZ373" s="4317"/>
      <c r="CA373" s="4317"/>
      <c r="CB373" s="4317"/>
      <c r="CC373" s="4317"/>
      <c r="CD373" s="4317"/>
      <c r="CE373" s="4317"/>
      <c r="CF373" s="4317"/>
      <c r="CG373" s="4317"/>
      <c r="CH373" s="4317"/>
      <c r="CI373" s="4317"/>
      <c r="CJ373" s="4317"/>
      <c r="CK373" s="4317"/>
      <c r="CL373" s="4317"/>
      <c r="CM373" s="4317"/>
      <c r="CN373" s="4317"/>
      <c r="CO373" s="4317"/>
      <c r="CP373" s="4317"/>
      <c r="CQ373" s="4317"/>
      <c r="CR373" s="4317"/>
      <c r="CS373" s="4317"/>
      <c r="CT373" s="4317"/>
      <c r="CU373" s="4317"/>
      <c r="CV373" s="4317"/>
      <c r="CW373" s="4317"/>
      <c r="CX373" s="4317"/>
      <c r="CY373" s="4317"/>
      <c r="CZ373" s="4317"/>
      <c r="DA373" s="4317"/>
      <c r="DB373" s="4317"/>
      <c r="DC373" s="4317"/>
      <c r="DD373" s="4317"/>
      <c r="DE373" s="4317"/>
      <c r="DF373" s="4317"/>
      <c r="DG373" s="4317"/>
      <c r="DH373" s="4317"/>
      <c r="DI373" s="4317"/>
      <c r="DJ373" s="4317"/>
      <c r="DK373" s="4317"/>
      <c r="DL373" s="4317"/>
      <c r="DM373" s="4317"/>
      <c r="DN373" s="4317"/>
      <c r="DO373" s="4317"/>
      <c r="DP373" s="4317"/>
      <c r="DQ373" s="4317"/>
      <c r="DR373" s="4317"/>
      <c r="DS373" s="4317"/>
    </row>
    <row r="374" s="4134" customFormat="1" ht="19.5" customHeight="1" spans="1:123">
      <c r="A374" s="4332" t="s">
        <v>5077</v>
      </c>
      <c r="B374" s="4332"/>
      <c r="C374" s="4332"/>
      <c r="D374" s="4332"/>
      <c r="E374" s="4332"/>
      <c r="F374" s="4314">
        <f>F363+F364+F372</f>
        <v>59</v>
      </c>
      <c r="G374" s="4314"/>
      <c r="H374" s="4314"/>
      <c r="I374" s="4314"/>
      <c r="J374" s="4314"/>
      <c r="K374" s="4314"/>
      <c r="L374" s="4314"/>
      <c r="M374" s="4317"/>
      <c r="N374" s="4317"/>
      <c r="O374" s="4340"/>
      <c r="P374" s="4340"/>
      <c r="Q374" s="4295"/>
      <c r="R374" s="4317"/>
      <c r="S374" s="4317"/>
      <c r="T374" s="4317"/>
      <c r="U374" s="4317"/>
      <c r="V374" s="4317"/>
      <c r="W374" s="4317"/>
      <c r="X374" s="4317"/>
      <c r="Y374" s="4317"/>
      <c r="Z374" s="4317"/>
      <c r="AA374" s="4317"/>
      <c r="AB374" s="4317"/>
      <c r="AC374" s="4340"/>
      <c r="AD374" s="4340"/>
      <c r="AE374" s="4317"/>
      <c r="AF374" s="4317"/>
      <c r="AG374" s="4317"/>
      <c r="AH374" s="4317"/>
      <c r="AI374" s="4317"/>
      <c r="AJ374" s="4317"/>
      <c r="AK374" s="4317"/>
      <c r="AL374" s="4317"/>
      <c r="AM374" s="4317"/>
      <c r="AN374" s="4317"/>
      <c r="AO374" s="4317"/>
      <c r="AP374" s="4317"/>
      <c r="AQ374" s="4317"/>
      <c r="AR374" s="4317"/>
      <c r="AS374" s="4317"/>
      <c r="AT374" s="4317"/>
      <c r="AU374" s="4317"/>
      <c r="AV374" s="4317"/>
      <c r="AW374" s="4317"/>
      <c r="AX374" s="4317"/>
      <c r="AY374" s="4317"/>
      <c r="AZ374" s="4317"/>
      <c r="BA374" s="4317"/>
      <c r="BB374" s="4317"/>
      <c r="BC374" s="4317"/>
      <c r="BD374" s="4317"/>
      <c r="BE374" s="4317"/>
      <c r="BF374" s="4317"/>
      <c r="BG374" s="4317"/>
      <c r="BH374" s="4317"/>
      <c r="BI374" s="4317"/>
      <c r="BJ374" s="4317"/>
      <c r="BK374" s="4317"/>
      <c r="BL374" s="4317"/>
      <c r="BM374" s="4317"/>
      <c r="BN374" s="4317"/>
      <c r="BO374" s="4317"/>
      <c r="BP374" s="4317"/>
      <c r="BQ374" s="4317"/>
      <c r="BR374" s="4317"/>
      <c r="BS374" s="4317"/>
      <c r="BT374" s="4317"/>
      <c r="BU374" s="4317"/>
      <c r="BV374" s="4317"/>
      <c r="BW374" s="4317"/>
      <c r="BX374" s="4317"/>
      <c r="BY374" s="4317"/>
      <c r="BZ374" s="4317"/>
      <c r="CA374" s="4317"/>
      <c r="CB374" s="4317"/>
      <c r="CC374" s="4317"/>
      <c r="CD374" s="4317"/>
      <c r="CE374" s="4317"/>
      <c r="CF374" s="4317"/>
      <c r="CG374" s="4317"/>
      <c r="CH374" s="4317"/>
      <c r="CI374" s="4317"/>
      <c r="CJ374" s="4317"/>
      <c r="CK374" s="4317"/>
      <c r="CL374" s="4317"/>
      <c r="CM374" s="4317"/>
      <c r="CN374" s="4317"/>
      <c r="CO374" s="4317"/>
      <c r="CP374" s="4317"/>
      <c r="CQ374" s="4317"/>
      <c r="CR374" s="4317"/>
      <c r="CS374" s="4317"/>
      <c r="CT374" s="4317"/>
      <c r="CU374" s="4317"/>
      <c r="CV374" s="4317"/>
      <c r="CW374" s="4317"/>
      <c r="CX374" s="4317"/>
      <c r="CY374" s="4317"/>
      <c r="CZ374" s="4317"/>
      <c r="DA374" s="4317"/>
      <c r="DB374" s="4317"/>
      <c r="DC374" s="4317"/>
      <c r="DD374" s="4317"/>
      <c r="DE374" s="4317"/>
      <c r="DF374" s="4317"/>
      <c r="DG374" s="4317"/>
      <c r="DH374" s="4317"/>
      <c r="DI374" s="4317"/>
      <c r="DJ374" s="4317"/>
      <c r="DK374" s="4317"/>
      <c r="DL374" s="4317"/>
      <c r="DM374" s="4317"/>
      <c r="DN374" s="4317"/>
      <c r="DO374" s="4317"/>
      <c r="DP374" s="4317"/>
      <c r="DQ374" s="4317"/>
      <c r="DR374" s="4317"/>
      <c r="DS374" s="4317"/>
    </row>
    <row r="375" s="4134" customFormat="1" ht="19.5" customHeight="1" spans="1:123">
      <c r="A375" s="4362" t="s">
        <v>5078</v>
      </c>
      <c r="B375" s="4362"/>
      <c r="C375" s="4362"/>
      <c r="D375" s="4362"/>
      <c r="E375" s="4362"/>
      <c r="F375" s="4339">
        <f>F232+F239+F254+F264+F296+F305+F311+F337+F362+F374</f>
        <v>306969</v>
      </c>
      <c r="G375" s="4339"/>
      <c r="H375" s="4339"/>
      <c r="I375" s="4339"/>
      <c r="J375" s="4339"/>
      <c r="K375" s="4339"/>
      <c r="L375" s="4339"/>
      <c r="M375" s="4317"/>
      <c r="N375" s="4317"/>
      <c r="O375" s="4317"/>
      <c r="P375" s="4317"/>
      <c r="Q375" s="4295"/>
      <c r="R375" s="4317"/>
      <c r="S375" s="4317"/>
      <c r="T375" s="4317"/>
      <c r="U375" s="4317"/>
      <c r="V375" s="4317"/>
      <c r="W375" s="4317"/>
      <c r="X375" s="4317"/>
      <c r="Y375" s="4317"/>
      <c r="Z375" s="4317"/>
      <c r="AA375" s="4317"/>
      <c r="AB375" s="4317"/>
      <c r="AC375" s="4317"/>
      <c r="AD375" s="4353"/>
      <c r="AE375" s="4317"/>
      <c r="AF375" s="4317"/>
      <c r="AG375" s="4317"/>
      <c r="AH375" s="4317"/>
      <c r="AI375" s="4317"/>
      <c r="AJ375" s="4317"/>
      <c r="AK375" s="4317"/>
      <c r="AL375" s="4317"/>
      <c r="AM375" s="4317"/>
      <c r="AN375" s="4317"/>
      <c r="AO375" s="4317"/>
      <c r="AP375" s="4317"/>
      <c r="AQ375" s="4317"/>
      <c r="AR375" s="4317"/>
      <c r="AS375" s="4317"/>
      <c r="AT375" s="4317"/>
      <c r="AU375" s="4317"/>
      <c r="AV375" s="4317"/>
      <c r="AW375" s="4317"/>
      <c r="AX375" s="4317"/>
      <c r="AY375" s="4317"/>
      <c r="AZ375" s="4317"/>
      <c r="BA375" s="4317"/>
      <c r="BB375" s="4317"/>
      <c r="BC375" s="4317"/>
      <c r="BD375" s="4317"/>
      <c r="BE375" s="4317"/>
      <c r="BF375" s="4317"/>
      <c r="BG375" s="4317"/>
      <c r="BH375" s="4317"/>
      <c r="BI375" s="4317"/>
      <c r="BJ375" s="4317"/>
      <c r="BK375" s="4317"/>
      <c r="BL375" s="4317"/>
      <c r="BM375" s="4317"/>
      <c r="BN375" s="4317"/>
      <c r="BO375" s="4317"/>
      <c r="BP375" s="4317"/>
      <c r="BQ375" s="4317"/>
      <c r="BR375" s="4317"/>
      <c r="BS375" s="4317"/>
      <c r="BT375" s="4317"/>
      <c r="BU375" s="4317"/>
      <c r="BV375" s="4317"/>
      <c r="BW375" s="4317"/>
      <c r="BX375" s="4317"/>
      <c r="BY375" s="4317"/>
      <c r="BZ375" s="4317"/>
      <c r="CA375" s="4317"/>
      <c r="CB375" s="4317"/>
      <c r="CC375" s="4317"/>
      <c r="CD375" s="4317"/>
      <c r="CE375" s="4317"/>
      <c r="CF375" s="4317"/>
      <c r="CG375" s="4317"/>
      <c r="CH375" s="4317"/>
      <c r="CI375" s="4317"/>
      <c r="CJ375" s="4317"/>
      <c r="CK375" s="4317"/>
      <c r="CL375" s="4317"/>
      <c r="CM375" s="4317"/>
      <c r="CN375" s="4317"/>
      <c r="CO375" s="4317"/>
      <c r="CP375" s="4317"/>
      <c r="CQ375" s="4317"/>
      <c r="CR375" s="4317"/>
      <c r="CS375" s="4317"/>
      <c r="CT375" s="4317"/>
      <c r="CU375" s="4317"/>
      <c r="CV375" s="4317"/>
      <c r="CW375" s="4317"/>
      <c r="CX375" s="4317"/>
      <c r="CY375" s="4317"/>
      <c r="CZ375" s="4317"/>
      <c r="DA375" s="4317"/>
      <c r="DB375" s="4317"/>
      <c r="DC375" s="4317"/>
      <c r="DD375" s="4317"/>
      <c r="DE375" s="4317"/>
      <c r="DF375" s="4317"/>
      <c r="DG375" s="4317"/>
      <c r="DH375" s="4317"/>
      <c r="DI375" s="4317"/>
      <c r="DJ375" s="4317"/>
      <c r="DK375" s="4317"/>
      <c r="DL375" s="4317"/>
      <c r="DM375" s="4317"/>
      <c r="DN375" s="4317"/>
      <c r="DO375" s="4317"/>
      <c r="DP375" s="4317"/>
      <c r="DQ375" s="4317"/>
      <c r="DR375" s="4317"/>
      <c r="DS375" s="4317"/>
    </row>
    <row r="376" s="4134" customFormat="1" ht="19.5" customHeight="1" spans="1:123">
      <c r="A376" s="4317"/>
      <c r="B376" s="4317"/>
      <c r="C376" s="4317"/>
      <c r="D376" s="4317"/>
      <c r="E376" s="4317"/>
      <c r="F376" s="4317"/>
      <c r="G376" s="4317"/>
      <c r="H376" s="4317"/>
      <c r="I376" s="4317"/>
      <c r="J376" s="4317"/>
      <c r="K376" s="4317"/>
      <c r="L376" s="4317"/>
      <c r="M376" s="4317"/>
      <c r="N376" s="4317"/>
      <c r="O376" s="4317"/>
      <c r="P376" s="4317"/>
      <c r="Q376" s="4295"/>
      <c r="R376" s="4317"/>
      <c r="S376" s="4317"/>
      <c r="T376" s="4317"/>
      <c r="U376" s="4317"/>
      <c r="V376" s="4317"/>
      <c r="W376" s="4317"/>
      <c r="X376" s="4317"/>
      <c r="Y376" s="4317"/>
      <c r="Z376" s="4317"/>
      <c r="AA376" s="4317"/>
      <c r="AB376" s="4317"/>
      <c r="AC376" s="4317"/>
      <c r="AD376" s="4353"/>
      <c r="AE376" s="4317"/>
      <c r="AF376" s="4317"/>
      <c r="AG376" s="4317"/>
      <c r="AH376" s="4317"/>
      <c r="AI376" s="4317"/>
      <c r="AJ376" s="4317"/>
      <c r="AK376" s="4353"/>
      <c r="AL376" s="4353"/>
      <c r="AM376" s="4353"/>
      <c r="AN376" s="4353"/>
      <c r="AO376" s="4353"/>
      <c r="AP376" s="4353"/>
      <c r="AQ376" s="4353"/>
      <c r="AR376" s="4353"/>
      <c r="AS376" s="4353"/>
      <c r="AT376" s="4353"/>
      <c r="AU376" s="4317"/>
      <c r="AV376" s="4317"/>
      <c r="AW376" s="4317"/>
      <c r="AX376" s="4317"/>
      <c r="AY376" s="4317"/>
      <c r="AZ376" s="4317"/>
      <c r="BA376" s="4317"/>
      <c r="BB376" s="4317"/>
      <c r="BC376" s="4317"/>
      <c r="BD376" s="4317"/>
      <c r="BE376" s="4317"/>
      <c r="BF376" s="4317"/>
      <c r="BG376" s="4317"/>
      <c r="BH376" s="4317"/>
      <c r="BI376" s="4353"/>
      <c r="BJ376" s="4353"/>
      <c r="BK376" s="4353"/>
      <c r="BL376" s="4317"/>
      <c r="BM376" s="4317"/>
      <c r="BN376" s="4317"/>
      <c r="BO376" s="4317"/>
      <c r="BP376" s="4317"/>
      <c r="BQ376" s="4317"/>
      <c r="BR376" s="4317"/>
      <c r="BS376" s="4317"/>
      <c r="BT376" s="4317"/>
      <c r="BU376" s="4317"/>
      <c r="BV376" s="4317"/>
      <c r="BW376" s="4317"/>
      <c r="BX376" s="4317"/>
      <c r="BY376" s="4317"/>
      <c r="BZ376" s="4317"/>
      <c r="CA376" s="4317"/>
      <c r="CB376" s="4317"/>
      <c r="CC376" s="4317"/>
      <c r="CD376" s="4317"/>
      <c r="CE376" s="4317"/>
      <c r="CF376" s="4317"/>
      <c r="CG376" s="4317"/>
      <c r="CH376" s="4317"/>
      <c r="CI376" s="4317"/>
      <c r="CJ376" s="4317"/>
      <c r="CK376" s="4317"/>
      <c r="CL376" s="4317"/>
      <c r="CM376" s="4317"/>
      <c r="CN376" s="4317"/>
      <c r="CO376" s="4317"/>
      <c r="CP376" s="4317"/>
      <c r="CQ376" s="4317"/>
      <c r="CR376" s="4317"/>
      <c r="CS376" s="4317"/>
      <c r="CT376" s="4317"/>
      <c r="CU376" s="4317"/>
      <c r="CV376" s="4317"/>
      <c r="CW376" s="4317"/>
      <c r="CX376" s="4317"/>
      <c r="CY376" s="4317"/>
      <c r="CZ376" s="4317"/>
      <c r="DA376" s="4317"/>
      <c r="DB376" s="4317"/>
      <c r="DC376" s="4317"/>
      <c r="DD376" s="4317"/>
      <c r="DE376" s="4317"/>
      <c r="DF376" s="4317"/>
      <c r="DG376" s="4317"/>
      <c r="DH376" s="4317"/>
      <c r="DI376" s="4317"/>
      <c r="DJ376" s="4317"/>
      <c r="DK376" s="4317"/>
      <c r="DL376" s="4317"/>
      <c r="DM376" s="4317"/>
      <c r="DN376" s="4317"/>
      <c r="DO376" s="4317"/>
      <c r="DP376" s="4317"/>
      <c r="DQ376" s="4317"/>
      <c r="DR376" s="4317"/>
      <c r="DS376" s="4317"/>
    </row>
    <row r="377" s="4134" customFormat="1" ht="19.5" customHeight="1" spans="1:123">
      <c r="A377" s="4332" t="s">
        <v>5079</v>
      </c>
      <c r="B377" s="4332"/>
      <c r="C377" s="4332"/>
      <c r="D377" s="4332"/>
      <c r="E377" s="4332"/>
      <c r="F377" s="4339">
        <f>F123+F137+F151+F156+F165+F171+F193+F218+F222</f>
        <v>247772</v>
      </c>
      <c r="G377" s="4339"/>
      <c r="H377" s="4339"/>
      <c r="I377" s="4339"/>
      <c r="J377" s="4339"/>
      <c r="K377" s="4339"/>
      <c r="L377" s="4339"/>
      <c r="M377" s="4317"/>
      <c r="N377" s="4317"/>
      <c r="O377" s="4317"/>
      <c r="P377" s="4317"/>
      <c r="Q377" s="4295"/>
      <c r="R377" s="4317"/>
      <c r="S377" s="4317"/>
      <c r="T377" s="4317"/>
      <c r="U377" s="4317"/>
      <c r="V377" s="4317"/>
      <c r="W377" s="4317"/>
      <c r="X377" s="4317"/>
      <c r="Y377" s="4317"/>
      <c r="Z377" s="4317"/>
      <c r="AA377" s="4317"/>
      <c r="AB377" s="4317"/>
      <c r="AC377" s="4317"/>
      <c r="AD377" s="4353"/>
      <c r="AE377" s="4317"/>
      <c r="AF377" s="4317"/>
      <c r="AG377" s="4317"/>
      <c r="AH377" s="4317"/>
      <c r="AI377" s="4317"/>
      <c r="AJ377" s="4317"/>
      <c r="AK377" s="4317"/>
      <c r="AL377" s="4317"/>
      <c r="AM377" s="4317"/>
      <c r="AN377" s="4317"/>
      <c r="AO377" s="4317"/>
      <c r="AP377" s="4317"/>
      <c r="AQ377" s="4317"/>
      <c r="AR377" s="4317"/>
      <c r="AS377" s="4317"/>
      <c r="AT377" s="4317"/>
      <c r="AU377" s="4317"/>
      <c r="AV377" s="4317"/>
      <c r="AW377" s="4317"/>
      <c r="AX377" s="4317"/>
      <c r="AY377" s="4317"/>
      <c r="AZ377" s="4317"/>
      <c r="BA377" s="4317"/>
      <c r="BB377" s="4317"/>
      <c r="BC377" s="4317"/>
      <c r="BD377" s="4317"/>
      <c r="BE377" s="4317"/>
      <c r="BF377" s="4317"/>
      <c r="BG377" s="4317"/>
      <c r="BH377" s="4317"/>
      <c r="BI377" s="4317"/>
      <c r="BJ377" s="4317"/>
      <c r="BK377" s="4317"/>
      <c r="BL377" s="4317"/>
      <c r="BM377" s="4317"/>
      <c r="BN377" s="4317"/>
      <c r="BO377" s="4317"/>
      <c r="BP377" s="4317"/>
      <c r="BQ377" s="4317"/>
      <c r="BR377" s="4317"/>
      <c r="BS377" s="4317"/>
      <c r="BT377" s="4317"/>
      <c r="BU377" s="4317"/>
      <c r="BV377" s="4317"/>
      <c r="BW377" s="4317"/>
      <c r="BX377" s="4317"/>
      <c r="BY377" s="4317"/>
      <c r="BZ377" s="4317"/>
      <c r="CA377" s="4317"/>
      <c r="CB377" s="4317"/>
      <c r="CC377" s="4317"/>
      <c r="CD377" s="4317"/>
      <c r="CE377" s="4317"/>
      <c r="CF377" s="4317"/>
      <c r="CG377" s="4317"/>
      <c r="CH377" s="4317"/>
      <c r="CI377" s="4317"/>
      <c r="CJ377" s="4317"/>
      <c r="CK377" s="4317"/>
      <c r="CL377" s="4317"/>
      <c r="CM377" s="4317"/>
      <c r="CN377" s="4317"/>
      <c r="CO377" s="4317"/>
      <c r="CP377" s="4317"/>
      <c r="CQ377" s="4317"/>
      <c r="CR377" s="4317"/>
      <c r="CS377" s="4317"/>
      <c r="CT377" s="4317"/>
      <c r="CU377" s="4317"/>
      <c r="CV377" s="4317"/>
      <c r="CW377" s="4317"/>
      <c r="CX377" s="4317"/>
      <c r="CY377" s="4317"/>
      <c r="CZ377" s="4317"/>
      <c r="DA377" s="4317"/>
      <c r="DB377" s="4317"/>
      <c r="DC377" s="4317"/>
      <c r="DD377" s="4317"/>
      <c r="DE377" s="4317"/>
      <c r="DF377" s="4317"/>
      <c r="DG377" s="4317"/>
      <c r="DH377" s="4317"/>
      <c r="DI377" s="4317"/>
      <c r="DJ377" s="4317"/>
      <c r="DK377" s="4317"/>
      <c r="DL377" s="4317"/>
      <c r="DM377" s="4317"/>
      <c r="DN377" s="4317"/>
      <c r="DO377" s="4317"/>
      <c r="DP377" s="4317"/>
      <c r="DQ377" s="4317"/>
      <c r="DR377" s="4317"/>
      <c r="DS377" s="4317"/>
    </row>
    <row r="378" s="4134" customFormat="1" ht="19.5" customHeight="1" spans="1:123">
      <c r="A378" s="4332" t="s">
        <v>5080</v>
      </c>
      <c r="B378" s="4332"/>
      <c r="C378" s="4332"/>
      <c r="D378" s="4332"/>
      <c r="E378" s="4332"/>
      <c r="F378" s="4339">
        <f>F232+F239+F254+F264+F296+F305+F311+F337+F362+F374</f>
        <v>306969</v>
      </c>
      <c r="G378" s="4339"/>
      <c r="H378" s="4339"/>
      <c r="I378" s="4339"/>
      <c r="J378" s="4339"/>
      <c r="K378" s="4339"/>
      <c r="L378" s="4339"/>
      <c r="M378" s="4317"/>
      <c r="N378" s="4317"/>
      <c r="O378" s="4317"/>
      <c r="P378" s="4317"/>
      <c r="Q378" s="4295"/>
      <c r="R378" s="4317"/>
      <c r="S378" s="4317"/>
      <c r="T378" s="4317"/>
      <c r="U378" s="4317"/>
      <c r="V378" s="4317"/>
      <c r="W378" s="4317"/>
      <c r="X378" s="4317"/>
      <c r="Y378" s="4317"/>
      <c r="Z378" s="4317"/>
      <c r="AA378" s="4317"/>
      <c r="AB378" s="4317"/>
      <c r="AC378" s="4317"/>
      <c r="AD378" s="4353"/>
      <c r="AE378" s="4317"/>
      <c r="AF378" s="4317"/>
      <c r="AG378" s="4317"/>
      <c r="AH378" s="4317"/>
      <c r="AI378" s="4317"/>
      <c r="AJ378" s="4317"/>
      <c r="AK378" s="4317"/>
      <c r="AL378" s="4317"/>
      <c r="AM378" s="4317"/>
      <c r="AN378" s="4317"/>
      <c r="AO378" s="4317"/>
      <c r="AP378" s="4317"/>
      <c r="AQ378" s="4317"/>
      <c r="AR378" s="4317"/>
      <c r="AS378" s="4317"/>
      <c r="AT378" s="4317"/>
      <c r="AU378" s="4317"/>
      <c r="AV378" s="4317"/>
      <c r="AW378" s="4317"/>
      <c r="AX378" s="4317"/>
      <c r="AY378" s="4317"/>
      <c r="AZ378" s="4317"/>
      <c r="BA378" s="4317"/>
      <c r="BB378" s="4317"/>
      <c r="BC378" s="4317"/>
      <c r="BD378" s="4317"/>
      <c r="BE378" s="4317"/>
      <c r="BF378" s="4317"/>
      <c r="BG378" s="4317"/>
      <c r="BH378" s="4317"/>
      <c r="BI378" s="4317"/>
      <c r="BJ378" s="4317"/>
      <c r="BK378" s="4317"/>
      <c r="BL378" s="4317"/>
      <c r="BM378" s="4317"/>
      <c r="BN378" s="4317"/>
      <c r="BO378" s="4317"/>
      <c r="BP378" s="4317"/>
      <c r="BQ378" s="4317"/>
      <c r="BR378" s="4317"/>
      <c r="BS378" s="4317"/>
      <c r="BT378" s="4317"/>
      <c r="BU378" s="4317"/>
      <c r="BV378" s="4317"/>
      <c r="BW378" s="4317"/>
      <c r="BX378" s="4317"/>
      <c r="BY378" s="4317"/>
      <c r="BZ378" s="4317"/>
      <c r="CA378" s="4317"/>
      <c r="CB378" s="4317"/>
      <c r="CC378" s="4317"/>
      <c r="CD378" s="4317"/>
      <c r="CE378" s="4317"/>
      <c r="CF378" s="4317"/>
      <c r="CG378" s="4317"/>
      <c r="CH378" s="4317"/>
      <c r="CI378" s="4317"/>
      <c r="CJ378" s="4317"/>
      <c r="CK378" s="4317"/>
      <c r="CL378" s="4317"/>
      <c r="CM378" s="4317"/>
      <c r="CN378" s="4317"/>
      <c r="CO378" s="4317"/>
      <c r="CP378" s="4317"/>
      <c r="CQ378" s="4317"/>
      <c r="CR378" s="4317"/>
      <c r="CS378" s="4317"/>
      <c r="CT378" s="4317"/>
      <c r="CU378" s="4317"/>
      <c r="CV378" s="4317"/>
      <c r="CW378" s="4317"/>
      <c r="CX378" s="4317"/>
      <c r="CY378" s="4317"/>
      <c r="CZ378" s="4317"/>
      <c r="DA378" s="4317"/>
      <c r="DB378" s="4317"/>
      <c r="DC378" s="4317"/>
      <c r="DD378" s="4317"/>
      <c r="DE378" s="4317"/>
      <c r="DF378" s="4317"/>
      <c r="DG378" s="4317"/>
      <c r="DH378" s="4317"/>
      <c r="DI378" s="4317"/>
      <c r="DJ378" s="4317"/>
      <c r="DK378" s="4317"/>
      <c r="DL378" s="4317"/>
      <c r="DM378" s="4317"/>
      <c r="DN378" s="4317"/>
      <c r="DO378" s="4317"/>
      <c r="DP378" s="4317"/>
      <c r="DQ378" s="4317"/>
      <c r="DR378" s="4317"/>
      <c r="DS378" s="4317"/>
    </row>
    <row r="379" s="4134" customFormat="1" ht="19.5" customHeight="1" spans="1:123">
      <c r="A379" s="4332" t="s">
        <v>5081</v>
      </c>
      <c r="B379" s="4332"/>
      <c r="C379" s="4332"/>
      <c r="D379" s="4332"/>
      <c r="E379" s="4332"/>
      <c r="F379" s="4339">
        <f>F377-F378</f>
        <v>-59197</v>
      </c>
      <c r="G379" s="4339"/>
      <c r="H379" s="4339"/>
      <c r="I379" s="4339"/>
      <c r="J379" s="4339"/>
      <c r="K379" s="4339"/>
      <c r="L379" s="4339"/>
      <c r="M379" s="4317"/>
      <c r="N379" s="4317"/>
      <c r="O379" s="4317"/>
      <c r="P379" s="4317"/>
      <c r="Q379" s="4295"/>
      <c r="R379" s="4317"/>
      <c r="S379" s="4317"/>
      <c r="T379" s="4317"/>
      <c r="U379" s="4317"/>
      <c r="V379" s="4317"/>
      <c r="W379" s="4317"/>
      <c r="X379" s="4317"/>
      <c r="Y379" s="4317"/>
      <c r="Z379" s="4317"/>
      <c r="AA379" s="4317"/>
      <c r="AB379" s="4317"/>
      <c r="AC379" s="4317"/>
      <c r="AD379" s="4353"/>
      <c r="AE379" s="4317"/>
      <c r="AF379" s="4317"/>
      <c r="AG379" s="4317"/>
      <c r="AH379" s="4317"/>
      <c r="AI379" s="4317"/>
      <c r="AJ379" s="4317"/>
      <c r="AK379" s="4317"/>
      <c r="AL379" s="4317"/>
      <c r="AM379" s="4317"/>
      <c r="AN379" s="4317"/>
      <c r="AO379" s="4317"/>
      <c r="AP379" s="4317"/>
      <c r="AQ379" s="4317"/>
      <c r="AR379" s="4317"/>
      <c r="AS379" s="4317"/>
      <c r="AT379" s="4317"/>
      <c r="AU379" s="4317"/>
      <c r="AV379" s="4317"/>
      <c r="AW379" s="4317"/>
      <c r="AX379" s="4317"/>
      <c r="AY379" s="4317"/>
      <c r="AZ379" s="4317"/>
      <c r="BA379" s="4317"/>
      <c r="BB379" s="4317"/>
      <c r="BC379" s="4317"/>
      <c r="BD379" s="4317"/>
      <c r="BE379" s="4317"/>
      <c r="BF379" s="4317"/>
      <c r="BG379" s="4317"/>
      <c r="BH379" s="4317"/>
      <c r="BI379" s="4317"/>
      <c r="BJ379" s="4317"/>
      <c r="BK379" s="4317"/>
      <c r="BL379" s="4317"/>
      <c r="BM379" s="4317"/>
      <c r="BN379" s="4317"/>
      <c r="BO379" s="4317"/>
      <c r="BP379" s="4317"/>
      <c r="BQ379" s="4317"/>
      <c r="BR379" s="4317"/>
      <c r="BS379" s="4317"/>
      <c r="BT379" s="4317"/>
      <c r="BU379" s="4317"/>
      <c r="BV379" s="4317"/>
      <c r="BW379" s="4317"/>
      <c r="BX379" s="4317"/>
      <c r="BY379" s="4317"/>
      <c r="BZ379" s="4317"/>
      <c r="CA379" s="4317"/>
      <c r="CB379" s="4317"/>
      <c r="CC379" s="4317"/>
      <c r="CD379" s="4317"/>
      <c r="CE379" s="4317"/>
      <c r="CF379" s="4317"/>
      <c r="CG379" s="4317"/>
      <c r="CH379" s="4317"/>
      <c r="CI379" s="4317"/>
      <c r="CJ379" s="4317"/>
      <c r="CK379" s="4317"/>
      <c r="CL379" s="4317"/>
      <c r="CM379" s="4317"/>
      <c r="CN379" s="4317"/>
      <c r="CO379" s="4317"/>
      <c r="CP379" s="4317"/>
      <c r="CQ379" s="4317"/>
      <c r="CR379" s="4317"/>
      <c r="CS379" s="4317"/>
      <c r="CT379" s="4317"/>
      <c r="CU379" s="4317"/>
      <c r="CV379" s="4317"/>
      <c r="CW379" s="4317"/>
      <c r="CX379" s="4317"/>
      <c r="CY379" s="4317"/>
      <c r="CZ379" s="4317"/>
      <c r="DA379" s="4317"/>
      <c r="DB379" s="4317"/>
      <c r="DC379" s="4317"/>
      <c r="DD379" s="4317"/>
      <c r="DE379" s="4317"/>
      <c r="DF379" s="4317"/>
      <c r="DG379" s="4317"/>
      <c r="DH379" s="4317"/>
      <c r="DI379" s="4317"/>
      <c r="DJ379" s="4317"/>
      <c r="DK379" s="4317"/>
      <c r="DL379" s="4317"/>
      <c r="DM379" s="4317"/>
      <c r="DN379" s="4317"/>
      <c r="DO379" s="4317"/>
      <c r="DP379" s="4317"/>
      <c r="DQ379" s="4317"/>
      <c r="DR379" s="4317"/>
      <c r="DS379" s="4317"/>
    </row>
    <row r="380" s="4134" customFormat="1" ht="19.5" customHeight="1" spans="1:123">
      <c r="A380" s="4317"/>
      <c r="B380" s="4317"/>
      <c r="C380" s="4317"/>
      <c r="D380" s="4317"/>
      <c r="E380" s="4317"/>
      <c r="F380" s="4317"/>
      <c r="G380" s="4317"/>
      <c r="H380" s="4317"/>
      <c r="I380" s="4317"/>
      <c r="J380" s="4317"/>
      <c r="K380" s="4317"/>
      <c r="L380" s="4317"/>
      <c r="M380" s="4317"/>
      <c r="N380" s="4317"/>
      <c r="O380" s="4317"/>
      <c r="P380" s="4317"/>
      <c r="Q380" s="4295"/>
      <c r="R380" s="4317"/>
      <c r="S380" s="4317"/>
      <c r="T380" s="4317"/>
      <c r="U380" s="4317"/>
      <c r="V380" s="4317"/>
      <c r="W380" s="4317"/>
      <c r="X380" s="4317"/>
      <c r="Y380" s="4317"/>
      <c r="Z380" s="4317"/>
      <c r="AA380" s="4317"/>
      <c r="AB380" s="4317"/>
      <c r="AC380" s="4317"/>
      <c r="AD380" s="4353"/>
      <c r="AE380" s="4317"/>
      <c r="AF380" s="4317"/>
      <c r="AG380" s="4317"/>
      <c r="AH380" s="4317"/>
      <c r="AI380" s="4317"/>
      <c r="AJ380" s="4317"/>
      <c r="AK380" s="4353"/>
      <c r="AL380" s="4353"/>
      <c r="AM380" s="4353"/>
      <c r="AN380" s="4353"/>
      <c r="AO380" s="4353"/>
      <c r="AP380" s="4353"/>
      <c r="AQ380" s="4353"/>
      <c r="AR380" s="4353"/>
      <c r="AS380" s="4353"/>
      <c r="AT380" s="4353"/>
      <c r="AU380" s="4317"/>
      <c r="AV380" s="4317"/>
      <c r="AW380" s="4317"/>
      <c r="AX380" s="4317"/>
      <c r="AY380" s="4317"/>
      <c r="AZ380" s="4317"/>
      <c r="BA380" s="4317"/>
      <c r="BB380" s="4317"/>
      <c r="BC380" s="4317"/>
      <c r="BD380" s="4317"/>
      <c r="BE380" s="4317"/>
      <c r="BF380" s="4317"/>
      <c r="BG380" s="4317"/>
      <c r="BH380" s="4317"/>
      <c r="BI380" s="4353"/>
      <c r="BJ380" s="4353"/>
      <c r="BK380" s="4353"/>
      <c r="BL380" s="4317"/>
      <c r="BM380" s="4317"/>
      <c r="BN380" s="4317"/>
      <c r="BO380" s="4317"/>
      <c r="BP380" s="4317"/>
      <c r="BQ380" s="4317"/>
      <c r="BR380" s="4317"/>
      <c r="BS380" s="4317"/>
      <c r="BT380" s="4317"/>
      <c r="BU380" s="4317"/>
      <c r="BV380" s="4317"/>
      <c r="BW380" s="4317"/>
      <c r="BX380" s="4317"/>
      <c r="BY380" s="4317"/>
      <c r="BZ380" s="4317"/>
      <c r="CA380" s="4317"/>
      <c r="CB380" s="4317"/>
      <c r="CC380" s="4317"/>
      <c r="CD380" s="4317"/>
      <c r="CE380" s="4317"/>
      <c r="CF380" s="4317"/>
      <c r="CG380" s="4317"/>
      <c r="CH380" s="4317"/>
      <c r="CI380" s="4317"/>
      <c r="CJ380" s="4317"/>
      <c r="CK380" s="4317"/>
      <c r="CL380" s="4317"/>
      <c r="CM380" s="4317"/>
      <c r="CN380" s="4317"/>
      <c r="CO380" s="4317"/>
      <c r="CP380" s="4317"/>
      <c r="CQ380" s="4317"/>
      <c r="CR380" s="4317"/>
      <c r="CS380" s="4317"/>
      <c r="CT380" s="4317"/>
      <c r="CU380" s="4317"/>
      <c r="CV380" s="4317"/>
      <c r="CW380" s="4317"/>
      <c r="CX380" s="4317"/>
      <c r="CY380" s="4317"/>
      <c r="CZ380" s="4317"/>
      <c r="DA380" s="4317"/>
      <c r="DB380" s="4317"/>
      <c r="DC380" s="4317"/>
      <c r="DD380" s="4317"/>
      <c r="DE380" s="4317"/>
      <c r="DF380" s="4317"/>
      <c r="DG380" s="4317"/>
      <c r="DH380" s="4317"/>
      <c r="DI380" s="4317"/>
      <c r="DJ380" s="4317"/>
      <c r="DK380" s="4317"/>
      <c r="DL380" s="4317"/>
      <c r="DM380" s="4317"/>
      <c r="DN380" s="4317"/>
      <c r="DO380" s="4317"/>
      <c r="DP380" s="4317"/>
      <c r="DQ380" s="4317"/>
      <c r="DR380" s="4317"/>
      <c r="DS380" s="4317"/>
    </row>
    <row r="381" s="4134" customFormat="1" ht="19.5" customHeight="1" spans="1:123">
      <c r="A381" s="4332" t="s">
        <v>5082</v>
      </c>
      <c r="B381" s="4332"/>
      <c r="C381" s="4332"/>
      <c r="D381" s="4332"/>
      <c r="E381" s="4332"/>
      <c r="F381" s="4339">
        <f>B_Uspjeha!AI76</f>
        <v>247772</v>
      </c>
      <c r="G381" s="4339"/>
      <c r="H381" s="4339"/>
      <c r="I381" s="4339"/>
      <c r="J381" s="4339"/>
      <c r="K381" s="4339"/>
      <c r="L381" s="4339"/>
      <c r="M381" s="4317"/>
      <c r="N381" s="4317"/>
      <c r="O381" s="4317" t="s">
        <v>5083</v>
      </c>
      <c r="P381" s="4317"/>
      <c r="Q381" s="4295"/>
      <c r="R381" s="4317"/>
      <c r="S381" s="4317"/>
      <c r="T381" s="4317"/>
      <c r="U381" s="4317"/>
      <c r="V381" s="4317"/>
      <c r="W381" s="4317"/>
      <c r="X381" s="4317"/>
      <c r="Y381" s="4317"/>
      <c r="Z381" s="4317"/>
      <c r="AA381" s="4317"/>
      <c r="AB381" s="4317"/>
      <c r="AC381" s="4317"/>
      <c r="AD381" s="4353"/>
      <c r="AE381" s="4317"/>
      <c r="AF381" s="4317"/>
      <c r="AG381" s="4317"/>
      <c r="AH381" s="4317"/>
      <c r="AI381" s="4317"/>
      <c r="AJ381" s="4317"/>
      <c r="AK381" s="4317"/>
      <c r="AL381" s="4317"/>
      <c r="AM381" s="4317"/>
      <c r="AN381" s="4317"/>
      <c r="AO381" s="4317"/>
      <c r="AP381" s="4317"/>
      <c r="AQ381" s="4317"/>
      <c r="AR381" s="4317"/>
      <c r="AS381" s="4317"/>
      <c r="AT381" s="4317"/>
      <c r="AU381" s="4317"/>
      <c r="AV381" s="4317"/>
      <c r="AW381" s="4317"/>
      <c r="AX381" s="4317"/>
      <c r="AY381" s="4317"/>
      <c r="AZ381" s="4317"/>
      <c r="BA381" s="4317"/>
      <c r="BB381" s="4317"/>
      <c r="BC381" s="4317"/>
      <c r="BD381" s="4317"/>
      <c r="BE381" s="4317"/>
      <c r="BF381" s="4317"/>
      <c r="BG381" s="4317"/>
      <c r="BH381" s="4317"/>
      <c r="BI381" s="4317"/>
      <c r="BJ381" s="4317"/>
      <c r="BK381" s="4317"/>
      <c r="BL381" s="4317"/>
      <c r="BM381" s="4317"/>
      <c r="BN381" s="4317"/>
      <c r="BO381" s="4317"/>
      <c r="BP381" s="4317"/>
      <c r="BQ381" s="4317"/>
      <c r="BR381" s="4317"/>
      <c r="BS381" s="4317"/>
      <c r="BT381" s="4317"/>
      <c r="BU381" s="4317"/>
      <c r="BV381" s="4317"/>
      <c r="BW381" s="4317"/>
      <c r="BX381" s="4317"/>
      <c r="BY381" s="4317"/>
      <c r="BZ381" s="4317"/>
      <c r="CA381" s="4317"/>
      <c r="CB381" s="4317"/>
      <c r="CC381" s="4317"/>
      <c r="CD381" s="4317"/>
      <c r="CE381" s="4317"/>
      <c r="CF381" s="4317"/>
      <c r="CG381" s="4317"/>
      <c r="CH381" s="4317"/>
      <c r="CI381" s="4317"/>
      <c r="CJ381" s="4317"/>
      <c r="CK381" s="4317"/>
      <c r="CL381" s="4317"/>
      <c r="CM381" s="4317"/>
      <c r="CN381" s="4317"/>
      <c r="CO381" s="4317"/>
      <c r="CP381" s="4317"/>
      <c r="CQ381" s="4317"/>
      <c r="CR381" s="4317"/>
      <c r="CS381" s="4317"/>
      <c r="CT381" s="4317"/>
      <c r="CU381" s="4317"/>
      <c r="CV381" s="4317"/>
      <c r="CW381" s="4317"/>
      <c r="CX381" s="4317"/>
      <c r="CY381" s="4317"/>
      <c r="CZ381" s="4317"/>
      <c r="DA381" s="4317"/>
      <c r="DB381" s="4317"/>
      <c r="DC381" s="4317"/>
      <c r="DD381" s="4317"/>
      <c r="DE381" s="4317"/>
      <c r="DF381" s="4317"/>
      <c r="DG381" s="4317"/>
      <c r="DH381" s="4317"/>
      <c r="DI381" s="4317"/>
      <c r="DJ381" s="4317"/>
      <c r="DK381" s="4317"/>
      <c r="DL381" s="4317"/>
      <c r="DM381" s="4317"/>
      <c r="DN381" s="4317"/>
      <c r="DO381" s="4317"/>
      <c r="DP381" s="4317"/>
      <c r="DQ381" s="4317"/>
      <c r="DR381" s="4317"/>
      <c r="DS381" s="4317"/>
    </row>
    <row r="382" s="4134" customFormat="1" ht="19.5" customHeight="1" spans="1:123">
      <c r="A382" s="4332" t="s">
        <v>5084</v>
      </c>
      <c r="B382" s="4332"/>
      <c r="C382" s="4332"/>
      <c r="D382" s="4332"/>
      <c r="E382" s="4332"/>
      <c r="F382" s="4339">
        <f>B_Uspjeha!AI140</f>
        <v>306969</v>
      </c>
      <c r="G382" s="4339"/>
      <c r="H382" s="4339"/>
      <c r="I382" s="4339"/>
      <c r="J382" s="4339"/>
      <c r="K382" s="4339"/>
      <c r="L382" s="4339"/>
      <c r="M382" s="4317"/>
      <c r="N382" s="4317"/>
      <c r="O382" s="4317" t="s">
        <v>5085</v>
      </c>
      <c r="P382" s="4317"/>
      <c r="Q382" s="4295"/>
      <c r="R382" s="4317"/>
      <c r="S382" s="4317"/>
      <c r="T382" s="4317"/>
      <c r="U382" s="4317"/>
      <c r="V382" s="4317"/>
      <c r="W382" s="4317"/>
      <c r="X382" s="4317"/>
      <c r="Y382" s="4317"/>
      <c r="Z382" s="4317"/>
      <c r="AA382" s="4317"/>
      <c r="AB382" s="4317"/>
      <c r="AC382" s="4317"/>
      <c r="AD382" s="4353"/>
      <c r="AE382" s="4317"/>
      <c r="AF382" s="4317"/>
      <c r="AG382" s="4317"/>
      <c r="AH382" s="4317"/>
      <c r="AI382" s="4317"/>
      <c r="AJ382" s="4317"/>
      <c r="AK382" s="4317"/>
      <c r="AL382" s="4317"/>
      <c r="AM382" s="4317"/>
      <c r="AN382" s="4317"/>
      <c r="AO382" s="4317"/>
      <c r="AP382" s="4317"/>
      <c r="AQ382" s="4317"/>
      <c r="AR382" s="4317"/>
      <c r="AS382" s="4317"/>
      <c r="AT382" s="4317"/>
      <c r="AU382" s="4317"/>
      <c r="AV382" s="4317"/>
      <c r="AW382" s="4317"/>
      <c r="AX382" s="4317"/>
      <c r="AY382" s="4317"/>
      <c r="AZ382" s="4317"/>
      <c r="BA382" s="4317"/>
      <c r="BB382" s="4317"/>
      <c r="BC382" s="4317"/>
      <c r="BD382" s="4317"/>
      <c r="BE382" s="4317"/>
      <c r="BF382" s="4317"/>
      <c r="BG382" s="4317"/>
      <c r="BH382" s="4317"/>
      <c r="BI382" s="4317"/>
      <c r="BJ382" s="4317"/>
      <c r="BK382" s="4317"/>
      <c r="BL382" s="4317"/>
      <c r="BM382" s="4317"/>
      <c r="BN382" s="4317"/>
      <c r="BO382" s="4317"/>
      <c r="BP382" s="4317"/>
      <c r="BQ382" s="4317"/>
      <c r="BR382" s="4317"/>
      <c r="BS382" s="4317"/>
      <c r="BT382" s="4317"/>
      <c r="BU382" s="4317"/>
      <c r="BV382" s="4317"/>
      <c r="BW382" s="4317"/>
      <c r="BX382" s="4317"/>
      <c r="BY382" s="4317"/>
      <c r="BZ382" s="4317"/>
      <c r="CA382" s="4317"/>
      <c r="CB382" s="4317"/>
      <c r="CC382" s="4317"/>
      <c r="CD382" s="4317"/>
      <c r="CE382" s="4317"/>
      <c r="CF382" s="4317"/>
      <c r="CG382" s="4317"/>
      <c r="CH382" s="4317"/>
      <c r="CI382" s="4317"/>
      <c r="CJ382" s="4317"/>
      <c r="CK382" s="4317"/>
      <c r="CL382" s="4317"/>
      <c r="CM382" s="4317"/>
      <c r="CN382" s="4317"/>
      <c r="CO382" s="4317"/>
      <c r="CP382" s="4317"/>
      <c r="CQ382" s="4317"/>
      <c r="CR382" s="4317"/>
      <c r="CS382" s="4317"/>
      <c r="CT382" s="4317"/>
      <c r="CU382" s="4317"/>
      <c r="CV382" s="4317"/>
      <c r="CW382" s="4317"/>
      <c r="CX382" s="4317"/>
      <c r="CY382" s="4317"/>
      <c r="CZ382" s="4317"/>
      <c r="DA382" s="4317"/>
      <c r="DB382" s="4317"/>
      <c r="DC382" s="4317"/>
      <c r="DD382" s="4317"/>
      <c r="DE382" s="4317"/>
      <c r="DF382" s="4317"/>
      <c r="DG382" s="4317"/>
      <c r="DH382" s="4317"/>
      <c r="DI382" s="4317"/>
      <c r="DJ382" s="4317"/>
      <c r="DK382" s="4317"/>
      <c r="DL382" s="4317"/>
      <c r="DM382" s="4317"/>
      <c r="DN382" s="4317"/>
      <c r="DO382" s="4317"/>
      <c r="DP382" s="4317"/>
      <c r="DQ382" s="4317"/>
      <c r="DR382" s="4317"/>
      <c r="DS382" s="4317"/>
    </row>
    <row r="383" s="4134" customFormat="1" ht="19.5" customHeight="1" spans="1:123">
      <c r="A383" s="4332" t="s">
        <v>5081</v>
      </c>
      <c r="B383" s="4332"/>
      <c r="C383" s="4332"/>
      <c r="D383" s="4332"/>
      <c r="E383" s="4332"/>
      <c r="F383" s="4339">
        <f>B_Uspjeha!AI141-B_Uspjeha!AI142</f>
        <v>-59197</v>
      </c>
      <c r="G383" s="4339"/>
      <c r="H383" s="4339"/>
      <c r="I383" s="4339"/>
      <c r="J383" s="4339"/>
      <c r="K383" s="4339"/>
      <c r="L383" s="4339"/>
      <c r="M383" s="4363"/>
      <c r="N383" s="4317"/>
      <c r="O383" s="4317" t="s">
        <v>5086</v>
      </c>
      <c r="P383" s="4317"/>
      <c r="Q383" s="4295"/>
      <c r="R383" s="4317"/>
      <c r="S383" s="4317"/>
      <c r="T383" s="4317"/>
      <c r="U383" s="4317"/>
      <c r="V383" s="4317"/>
      <c r="W383" s="4317"/>
      <c r="X383" s="4317"/>
      <c r="Y383" s="4317"/>
      <c r="Z383" s="4317"/>
      <c r="AA383" s="4317"/>
      <c r="AB383" s="4317"/>
      <c r="AC383" s="4317"/>
      <c r="AD383" s="4353"/>
      <c r="AE383" s="4317"/>
      <c r="AF383" s="4317"/>
      <c r="AG383" s="4317"/>
      <c r="AH383" s="4317"/>
      <c r="AI383" s="4317"/>
      <c r="AJ383" s="4317"/>
      <c r="AK383" s="4317"/>
      <c r="AL383" s="4317"/>
      <c r="AM383" s="4317"/>
      <c r="AN383" s="4317"/>
      <c r="AO383" s="4317"/>
      <c r="AP383" s="4317"/>
      <c r="AQ383" s="4317"/>
      <c r="AR383" s="4317"/>
      <c r="AS383" s="4317"/>
      <c r="AT383" s="4317"/>
      <c r="AU383" s="4317"/>
      <c r="AV383" s="4317"/>
      <c r="AW383" s="4317"/>
      <c r="AX383" s="4317"/>
      <c r="AY383" s="4317"/>
      <c r="AZ383" s="4317"/>
      <c r="BA383" s="4317"/>
      <c r="BB383" s="4317"/>
      <c r="BC383" s="4317"/>
      <c r="BD383" s="4317"/>
      <c r="BE383" s="4317"/>
      <c r="BF383" s="4317"/>
      <c r="BG383" s="4317"/>
      <c r="BH383" s="4317"/>
      <c r="BI383" s="4317"/>
      <c r="BJ383" s="4317"/>
      <c r="BK383" s="4317"/>
      <c r="BL383" s="4317"/>
      <c r="BM383" s="4317"/>
      <c r="BN383" s="4317"/>
      <c r="BO383" s="4317"/>
      <c r="BP383" s="4317"/>
      <c r="BQ383" s="4317"/>
      <c r="BR383" s="4317"/>
      <c r="BS383" s="4317"/>
      <c r="BT383" s="4317"/>
      <c r="BU383" s="4317"/>
      <c r="BV383" s="4317"/>
      <c r="BW383" s="4317"/>
      <c r="BX383" s="4317"/>
      <c r="BY383" s="4317"/>
      <c r="BZ383" s="4317"/>
      <c r="CA383" s="4317"/>
      <c r="CB383" s="4317"/>
      <c r="CC383" s="4317"/>
      <c r="CD383" s="4317"/>
      <c r="CE383" s="4317"/>
      <c r="CF383" s="4317"/>
      <c r="CG383" s="4317"/>
      <c r="CH383" s="4317"/>
      <c r="CI383" s="4317"/>
      <c r="CJ383" s="4317"/>
      <c r="CK383" s="4317"/>
      <c r="CL383" s="4317"/>
      <c r="CM383" s="4317"/>
      <c r="CN383" s="4317"/>
      <c r="CO383" s="4317"/>
      <c r="CP383" s="4317"/>
      <c r="CQ383" s="4317"/>
      <c r="CR383" s="4317"/>
      <c r="CS383" s="4317"/>
      <c r="CT383" s="4317"/>
      <c r="CU383" s="4317"/>
      <c r="CV383" s="4317"/>
      <c r="CW383" s="4317"/>
      <c r="CX383" s="4317"/>
      <c r="CY383" s="4317"/>
      <c r="CZ383" s="4317"/>
      <c r="DA383" s="4317"/>
      <c r="DB383" s="4317"/>
      <c r="DC383" s="4317"/>
      <c r="DD383" s="4317"/>
      <c r="DE383" s="4317"/>
      <c r="DF383" s="4317"/>
      <c r="DG383" s="4317"/>
      <c r="DH383" s="4317"/>
      <c r="DI383" s="4317"/>
      <c r="DJ383" s="4317"/>
      <c r="DK383" s="4317"/>
      <c r="DL383" s="4317"/>
      <c r="DM383" s="4317"/>
      <c r="DN383" s="4317"/>
      <c r="DO383" s="4317"/>
      <c r="DP383" s="4317"/>
      <c r="DQ383" s="4317"/>
      <c r="DR383" s="4317"/>
      <c r="DS383" s="4317"/>
    </row>
    <row r="384" s="4134" customFormat="1" ht="19.5" customHeight="1" spans="1:123">
      <c r="A384" s="4344" t="s">
        <v>5087</v>
      </c>
      <c r="B384" s="4344"/>
      <c r="C384" s="4344"/>
      <c r="D384" s="4344"/>
      <c r="E384" s="4344"/>
      <c r="F384" s="4339">
        <f>PorBilans!AE121</f>
        <v>0</v>
      </c>
      <c r="G384" s="4339"/>
      <c r="H384" s="4339"/>
      <c r="I384" s="4339"/>
      <c r="J384" s="4339"/>
      <c r="K384" s="4339"/>
      <c r="L384" s="4339"/>
      <c r="M384" s="4317"/>
      <c r="N384" s="4317"/>
      <c r="O384" s="4317" t="s">
        <v>5088</v>
      </c>
      <c r="P384" s="4317"/>
      <c r="Q384" s="4295"/>
      <c r="R384" s="4317"/>
      <c r="S384" s="4317"/>
      <c r="T384" s="4317"/>
      <c r="U384" s="4317"/>
      <c r="V384" s="4317"/>
      <c r="W384" s="4317"/>
      <c r="X384" s="4317"/>
      <c r="Y384" s="4317"/>
      <c r="Z384" s="4317"/>
      <c r="AA384" s="4317"/>
      <c r="AB384" s="4317"/>
      <c r="AC384" s="4317"/>
      <c r="AD384" s="4353"/>
      <c r="AE384" s="4317"/>
      <c r="AF384" s="4317"/>
      <c r="AG384" s="4317"/>
      <c r="AH384" s="4317"/>
      <c r="AI384" s="4317"/>
      <c r="AJ384" s="4317"/>
      <c r="AK384" s="4317"/>
      <c r="AL384" s="4317"/>
      <c r="AM384" s="4317"/>
      <c r="AN384" s="4317"/>
      <c r="AO384" s="4317"/>
      <c r="AP384" s="4317"/>
      <c r="AQ384" s="4317"/>
      <c r="AR384" s="4317"/>
      <c r="AS384" s="4317"/>
      <c r="AT384" s="4317"/>
      <c r="AU384" s="4317"/>
      <c r="AV384" s="4317"/>
      <c r="AW384" s="4317"/>
      <c r="AX384" s="4317"/>
      <c r="AY384" s="4317"/>
      <c r="AZ384" s="4317"/>
      <c r="BA384" s="4317"/>
      <c r="BB384" s="4317"/>
      <c r="BC384" s="4317"/>
      <c r="BD384" s="4317"/>
      <c r="BE384" s="4317"/>
      <c r="BF384" s="4317"/>
      <c r="BG384" s="4317"/>
      <c r="BH384" s="4317"/>
      <c r="BI384" s="4317"/>
      <c r="BJ384" s="4317"/>
      <c r="BK384" s="4317"/>
      <c r="BL384" s="4317"/>
      <c r="BM384" s="4317"/>
      <c r="BN384" s="4317"/>
      <c r="BO384" s="4317"/>
      <c r="BP384" s="4317"/>
      <c r="BQ384" s="4317"/>
      <c r="BR384" s="4317"/>
      <c r="BS384" s="4317"/>
      <c r="BT384" s="4317"/>
      <c r="BU384" s="4317"/>
      <c r="BV384" s="4317"/>
      <c r="BW384" s="4317"/>
      <c r="BX384" s="4317"/>
      <c r="BY384" s="4317"/>
      <c r="BZ384" s="4317"/>
      <c r="CA384" s="4317"/>
      <c r="CB384" s="4317"/>
      <c r="CC384" s="4317"/>
      <c r="CD384" s="4317"/>
      <c r="CE384" s="4317"/>
      <c r="CF384" s="4317"/>
      <c r="CG384" s="4317"/>
      <c r="CH384" s="4317"/>
      <c r="CI384" s="4317"/>
      <c r="CJ384" s="4317"/>
      <c r="CK384" s="4317"/>
      <c r="CL384" s="4317"/>
      <c r="CM384" s="4317"/>
      <c r="CN384" s="4317"/>
      <c r="CO384" s="4317"/>
      <c r="CP384" s="4317"/>
      <c r="CQ384" s="4317"/>
      <c r="CR384" s="4317"/>
      <c r="CS384" s="4317"/>
      <c r="CT384" s="4317"/>
      <c r="CU384" s="4317"/>
      <c r="CV384" s="4317"/>
      <c r="CW384" s="4317"/>
      <c r="CX384" s="4317"/>
      <c r="CY384" s="4317"/>
      <c r="CZ384" s="4317"/>
      <c r="DA384" s="4317"/>
      <c r="DB384" s="4317"/>
      <c r="DC384" s="4317"/>
      <c r="DD384" s="4317"/>
      <c r="DE384" s="4317"/>
      <c r="DF384" s="4317"/>
      <c r="DG384" s="4317"/>
      <c r="DH384" s="4317"/>
      <c r="DI384" s="4317"/>
      <c r="DJ384" s="4317"/>
      <c r="DK384" s="4317"/>
      <c r="DL384" s="4317"/>
      <c r="DM384" s="4317"/>
      <c r="DN384" s="4317"/>
      <c r="DO384" s="4317"/>
      <c r="DP384" s="4317"/>
      <c r="DQ384" s="4317"/>
      <c r="DR384" s="4317"/>
      <c r="DS384" s="4317"/>
    </row>
    <row r="385" s="4134" customFormat="1" ht="19.5" customHeight="1" spans="1:124">
      <c r="A385" s="4344" t="s">
        <v>2613</v>
      </c>
      <c r="B385" s="4345"/>
      <c r="C385" s="4345"/>
      <c r="D385" s="4345"/>
      <c r="E385" s="4345"/>
      <c r="F385" s="4343">
        <f>PorBilans!AE132</f>
        <v>0</v>
      </c>
      <c r="G385" s="4343"/>
      <c r="H385" s="4343"/>
      <c r="I385" s="4343"/>
      <c r="J385" s="4343"/>
      <c r="K385" s="4343"/>
      <c r="L385" s="4343"/>
      <c r="M385" s="4317"/>
      <c r="N385" s="4317"/>
      <c r="O385" s="4317" t="s">
        <v>5089</v>
      </c>
      <c r="P385" s="4317"/>
      <c r="Q385" s="4295"/>
      <c r="R385" s="4317"/>
      <c r="S385" s="4317"/>
      <c r="T385" s="4317"/>
      <c r="U385" s="4317"/>
      <c r="V385" s="4317"/>
      <c r="W385" s="4317"/>
      <c r="X385" s="4317"/>
      <c r="Y385" s="4317"/>
      <c r="Z385" s="4317"/>
      <c r="AA385" s="4317"/>
      <c r="AB385" s="4317"/>
      <c r="AC385" s="4317"/>
      <c r="AD385" s="4353"/>
      <c r="AE385" s="4317"/>
      <c r="AF385" s="4317"/>
      <c r="AG385" s="4317"/>
      <c r="AH385" s="4317"/>
      <c r="AI385" s="4317"/>
      <c r="AJ385" s="4317"/>
      <c r="AK385" s="4317"/>
      <c r="AL385" s="4317"/>
      <c r="AM385" s="4317"/>
      <c r="AN385" s="4317"/>
      <c r="AO385" s="4317"/>
      <c r="AP385" s="4317"/>
      <c r="AQ385" s="4317"/>
      <c r="AR385" s="4317"/>
      <c r="AS385" s="4317"/>
      <c r="AT385" s="4317"/>
      <c r="AU385" s="4317"/>
      <c r="AV385" s="4317"/>
      <c r="AW385" s="4317"/>
      <c r="AX385" s="4317"/>
      <c r="AY385" s="4317"/>
      <c r="AZ385" s="4317"/>
      <c r="BA385" s="4317"/>
      <c r="BB385" s="4317"/>
      <c r="BC385" s="4317"/>
      <c r="BD385" s="4317"/>
      <c r="BE385" s="4317"/>
      <c r="BF385" s="4317"/>
      <c r="BG385" s="4317"/>
      <c r="BH385" s="4317"/>
      <c r="BI385" s="4317"/>
      <c r="BJ385" s="4317"/>
      <c r="BK385" s="4317"/>
      <c r="BL385" s="4317"/>
      <c r="BM385" s="4317"/>
      <c r="BN385" s="4317"/>
      <c r="BO385" s="4317"/>
      <c r="BP385" s="4317"/>
      <c r="BQ385" s="4317"/>
      <c r="BR385" s="4317"/>
      <c r="BS385" s="4317"/>
      <c r="BT385" s="4317"/>
      <c r="BU385" s="4317"/>
      <c r="BV385" s="4317"/>
      <c r="BW385" s="4317"/>
      <c r="BX385" s="4317"/>
      <c r="BY385" s="4317"/>
      <c r="BZ385" s="4317"/>
      <c r="CA385" s="4317"/>
      <c r="CB385" s="4317"/>
      <c r="CC385" s="4317"/>
      <c r="CD385" s="4317"/>
      <c r="CE385" s="4317"/>
      <c r="CF385" s="4317"/>
      <c r="CG385" s="4317"/>
      <c r="CH385" s="4317"/>
      <c r="CI385" s="4317"/>
      <c r="CJ385" s="4317"/>
      <c r="CK385" s="4317"/>
      <c r="CL385" s="4317"/>
      <c r="CM385" s="4317"/>
      <c r="CN385" s="4317"/>
      <c r="CO385" s="4317"/>
      <c r="CP385" s="4317"/>
      <c r="CQ385" s="4317"/>
      <c r="CR385" s="4317"/>
      <c r="CS385" s="4317"/>
      <c r="CT385" s="4317"/>
      <c r="CU385" s="4317"/>
      <c r="CV385" s="4317"/>
      <c r="CW385" s="4317"/>
      <c r="CX385" s="4317"/>
      <c r="CY385" s="4317"/>
      <c r="CZ385" s="4317"/>
      <c r="DA385" s="4317"/>
      <c r="DB385" s="4317"/>
      <c r="DC385" s="4317"/>
      <c r="DD385" s="4317"/>
      <c r="DE385" s="4317"/>
      <c r="DF385" s="4317"/>
      <c r="DG385" s="4317"/>
      <c r="DH385" s="4317"/>
      <c r="DI385" s="4317"/>
      <c r="DJ385" s="4317"/>
      <c r="DK385" s="4317"/>
      <c r="DL385" s="4317"/>
      <c r="DM385" s="4317"/>
      <c r="DN385" s="4317"/>
      <c r="DO385" s="4317"/>
      <c r="DP385" s="4317"/>
      <c r="DQ385" s="4317"/>
      <c r="DR385" s="4317"/>
      <c r="DS385" s="4317"/>
    </row>
    <row r="386" s="4134" customFormat="1" ht="19.5" customHeight="1" spans="1:124">
      <c r="A386" s="4332" t="s">
        <v>5090</v>
      </c>
      <c r="B386" s="4332"/>
      <c r="C386" s="4332"/>
      <c r="D386" s="4332"/>
      <c r="E386" s="4332"/>
      <c r="F386" s="4343">
        <f>B_Uspjeha!AI153-B_Uspjeha!AI154</f>
        <v>-59197</v>
      </c>
      <c r="G386" s="4343"/>
      <c r="H386" s="4343"/>
      <c r="I386" s="4343"/>
      <c r="J386" s="4343"/>
      <c r="K386" s="4343"/>
      <c r="L386" s="4343"/>
      <c r="M386" s="4317"/>
      <c r="N386" s="4317"/>
      <c r="O386" s="4317" t="s">
        <v>5091</v>
      </c>
      <c r="P386" s="4317"/>
      <c r="Q386" s="4295"/>
      <c r="R386" s="4317"/>
      <c r="S386" s="4317"/>
      <c r="T386" s="4317"/>
      <c r="U386" s="4317"/>
      <c r="V386" s="4317"/>
      <c r="W386" s="4317"/>
      <c r="X386" s="4317"/>
      <c r="Y386" s="4317"/>
      <c r="Z386" s="4317"/>
      <c r="AA386" s="4317"/>
      <c r="AB386" s="4317"/>
      <c r="AC386" s="4317"/>
      <c r="AD386" s="4353"/>
      <c r="AE386" s="4317"/>
      <c r="AF386" s="4317"/>
      <c r="AG386" s="4317"/>
      <c r="AH386" s="4317"/>
      <c r="AI386" s="4317"/>
      <c r="AJ386" s="4317"/>
      <c r="AK386" s="4317"/>
      <c r="AL386" s="4317"/>
      <c r="AM386" s="4317"/>
      <c r="AN386" s="4317"/>
      <c r="AO386" s="4317"/>
      <c r="AP386" s="4317"/>
      <c r="AQ386" s="4317"/>
      <c r="AR386" s="4317"/>
      <c r="AS386" s="4317"/>
      <c r="AT386" s="4317"/>
      <c r="AU386" s="4317"/>
      <c r="AV386" s="4317"/>
      <c r="AW386" s="4317"/>
      <c r="AX386" s="4317"/>
      <c r="AY386" s="4317"/>
      <c r="AZ386" s="4317"/>
      <c r="BA386" s="4317"/>
      <c r="BB386" s="4317"/>
      <c r="BC386" s="4317"/>
      <c r="BD386" s="4317"/>
      <c r="BE386" s="4317"/>
      <c r="BF386" s="4317"/>
      <c r="BG386" s="4317"/>
      <c r="BH386" s="4317"/>
      <c r="BI386" s="4317"/>
      <c r="BJ386" s="4317"/>
      <c r="BK386" s="4317"/>
      <c r="BL386" s="4317"/>
      <c r="BM386" s="4317"/>
      <c r="BN386" s="4317"/>
      <c r="BO386" s="4317"/>
      <c r="BP386" s="4317"/>
      <c r="BQ386" s="4317"/>
      <c r="BR386" s="4317"/>
      <c r="BS386" s="4317"/>
      <c r="BT386" s="4317"/>
      <c r="BU386" s="4317"/>
      <c r="BV386" s="4317"/>
      <c r="BW386" s="4317"/>
      <c r="BX386" s="4317"/>
      <c r="BY386" s="4317"/>
      <c r="BZ386" s="4317"/>
      <c r="CA386" s="4317"/>
      <c r="CB386" s="4317"/>
      <c r="CC386" s="4317"/>
      <c r="CD386" s="4317"/>
      <c r="CE386" s="4317"/>
      <c r="CF386" s="4317"/>
      <c r="CG386" s="4317"/>
      <c r="CH386" s="4317"/>
      <c r="CI386" s="4317"/>
      <c r="CJ386" s="4317"/>
      <c r="CK386" s="4317"/>
      <c r="CL386" s="4317"/>
      <c r="CM386" s="4317"/>
      <c r="CN386" s="4317"/>
      <c r="CO386" s="4317"/>
      <c r="CP386" s="4317"/>
      <c r="CQ386" s="4317"/>
      <c r="CR386" s="4317"/>
      <c r="CS386" s="4317"/>
      <c r="CT386" s="4317"/>
      <c r="CU386" s="4317"/>
      <c r="CV386" s="4317"/>
      <c r="CW386" s="4317"/>
      <c r="CX386" s="4317"/>
      <c r="CY386" s="4317"/>
      <c r="CZ386" s="4317"/>
      <c r="DA386" s="4317"/>
      <c r="DB386" s="4317"/>
      <c r="DC386" s="4317"/>
      <c r="DD386" s="4317"/>
      <c r="DE386" s="4317"/>
      <c r="DF386" s="4317"/>
      <c r="DG386" s="4317"/>
      <c r="DH386" s="4317"/>
      <c r="DI386" s="4317"/>
      <c r="DJ386" s="4317"/>
      <c r="DK386" s="4317"/>
      <c r="DL386" s="4317"/>
      <c r="DM386" s="4317"/>
      <c r="DN386" s="4317"/>
      <c r="DO386" s="4317"/>
      <c r="DP386" s="4317"/>
      <c r="DQ386" s="4317"/>
      <c r="DR386" s="4317"/>
      <c r="DS386" s="4317"/>
    </row>
    <row r="387" s="4134" customFormat="1" ht="19.5" customHeight="1" spans="1:124">
      <c r="A387" s="4317"/>
      <c r="B387" s="4317"/>
      <c r="C387" s="4317"/>
      <c r="D387" s="4317"/>
      <c r="E387" s="4317"/>
      <c r="F387" s="4317"/>
      <c r="G387" s="4317"/>
      <c r="H387" s="4317"/>
      <c r="I387" s="4317"/>
      <c r="J387" s="4317"/>
      <c r="K387" s="4317"/>
      <c r="L387" s="4317"/>
      <c r="M387" s="4317"/>
      <c r="N387" s="4317"/>
      <c r="O387" s="4317"/>
      <c r="P387" s="4317"/>
      <c r="Q387" s="4295"/>
      <c r="R387" s="4317"/>
      <c r="S387" s="4317"/>
      <c r="T387" s="4317"/>
      <c r="U387" s="4317"/>
      <c r="V387" s="4317"/>
      <c r="W387" s="4317"/>
      <c r="X387" s="4317"/>
      <c r="Y387" s="4317"/>
      <c r="Z387" s="4317"/>
      <c r="AA387" s="4317"/>
      <c r="AB387" s="4317"/>
      <c r="AC387" s="4317"/>
      <c r="AD387" s="4317"/>
      <c r="AE387" s="4317"/>
      <c r="AF387" s="4317"/>
      <c r="AG387" s="4317"/>
      <c r="AH387" s="4317"/>
      <c r="AI387" s="4317"/>
      <c r="AJ387" s="4317"/>
      <c r="AK387" s="4317"/>
      <c r="AL387" s="4317"/>
      <c r="AM387" s="4317"/>
      <c r="AN387" s="4317"/>
      <c r="AO387" s="4317"/>
      <c r="AP387" s="4317"/>
      <c r="AQ387" s="4317"/>
      <c r="AR387" s="4317"/>
      <c r="AS387" s="4317"/>
      <c r="AT387" s="4317"/>
      <c r="AU387" s="4317"/>
      <c r="AV387" s="4317"/>
      <c r="AW387" s="4317"/>
      <c r="AX387" s="4317"/>
      <c r="AY387" s="4317"/>
      <c r="AZ387" s="4317"/>
      <c r="BA387" s="4317"/>
      <c r="BB387" s="4317"/>
      <c r="BC387" s="4317"/>
      <c r="BD387" s="4317"/>
      <c r="BE387" s="4317"/>
      <c r="BF387" s="4317"/>
      <c r="BG387" s="4317"/>
      <c r="BH387" s="4317"/>
      <c r="BI387" s="4317"/>
      <c r="BJ387" s="4317"/>
      <c r="BK387" s="4317"/>
      <c r="BL387" s="4317"/>
      <c r="BM387" s="4317"/>
      <c r="BN387" s="4317"/>
      <c r="BO387" s="4317"/>
      <c r="BP387" s="4317"/>
      <c r="BQ387" s="4317"/>
      <c r="BR387" s="4317"/>
      <c r="BS387" s="4317"/>
      <c r="BT387" s="4317"/>
      <c r="BU387" s="4317"/>
      <c r="BV387" s="4317"/>
      <c r="BW387" s="4317"/>
      <c r="BX387" s="4317"/>
      <c r="BY387" s="4317"/>
      <c r="BZ387" s="4317"/>
      <c r="CA387" s="4317"/>
      <c r="CB387" s="4317"/>
      <c r="CC387" s="4317"/>
      <c r="CD387" s="4317"/>
      <c r="CE387" s="4317"/>
      <c r="CF387" s="4317"/>
      <c r="CG387" s="4317"/>
      <c r="CH387" s="4317"/>
      <c r="CI387" s="4317"/>
      <c r="CJ387" s="4317"/>
      <c r="CK387" s="4317"/>
      <c r="CL387" s="4317"/>
      <c r="CM387" s="4317"/>
      <c r="CN387" s="4317"/>
      <c r="CO387" s="4317"/>
      <c r="CP387" s="4317"/>
      <c r="CQ387" s="4317"/>
      <c r="CR387" s="4317"/>
      <c r="CS387" s="4317"/>
      <c r="CT387" s="4317"/>
      <c r="CU387" s="4317"/>
      <c r="CV387" s="4317"/>
      <c r="CW387" s="4317"/>
      <c r="CX387" s="4317"/>
      <c r="CY387" s="4317"/>
      <c r="CZ387" s="4317"/>
      <c r="DA387" s="4317"/>
      <c r="DB387" s="4317"/>
      <c r="DC387" s="4317"/>
      <c r="DD387" s="4317"/>
      <c r="DE387" s="4317"/>
      <c r="DF387" s="4317"/>
      <c r="DG387" s="4317"/>
      <c r="DH387" s="4317"/>
      <c r="DI387" s="4317"/>
      <c r="DJ387" s="4317"/>
      <c r="DK387" s="4317"/>
      <c r="DL387" s="4317"/>
      <c r="DM387" s="4317"/>
      <c r="DN387" s="4317"/>
      <c r="DO387" s="4317"/>
      <c r="DP387" s="4317"/>
      <c r="DQ387" s="4317"/>
      <c r="DR387" s="4317"/>
      <c r="DS387" s="4317"/>
    </row>
    <row r="388" s="4134" customFormat="1" ht="19.5" customHeight="1" spans="1:124">
      <c r="A388" s="4304" t="s">
        <v>5092</v>
      </c>
      <c r="B388" s="4304"/>
      <c r="C388" s="4304"/>
      <c r="D388" s="4304"/>
      <c r="E388" s="4304"/>
      <c r="F388" s="4339">
        <f>PorBilans!AE122</f>
        <v>0</v>
      </c>
      <c r="G388" s="4339"/>
      <c r="H388" s="4339"/>
      <c r="I388" s="4339"/>
      <c r="J388" s="4339"/>
      <c r="K388" s="4339"/>
      <c r="L388" s="4339"/>
      <c r="M388" s="4317"/>
      <c r="N388" s="4317"/>
      <c r="O388" s="4317"/>
      <c r="P388" s="4317"/>
      <c r="Q388" s="4295"/>
      <c r="R388" s="4317"/>
      <c r="S388" s="4317"/>
      <c r="T388" s="4317"/>
      <c r="U388" s="4317"/>
      <c r="V388" s="4317"/>
      <c r="W388" s="4317"/>
      <c r="X388" s="4317"/>
      <c r="Y388" s="4317"/>
      <c r="Z388" s="4317"/>
      <c r="AA388" s="4317"/>
      <c r="AB388" s="4353"/>
      <c r="AC388" s="4353"/>
      <c r="AD388" s="4364"/>
      <c r="AE388" s="4353"/>
      <c r="AF388" s="4317"/>
      <c r="AG388" s="4317"/>
      <c r="AH388" s="4317"/>
      <c r="AI388" s="4317"/>
      <c r="AJ388" s="4317"/>
      <c r="AK388" s="4317"/>
      <c r="AL388" s="4317"/>
      <c r="AM388" s="4317"/>
      <c r="AN388" s="4317"/>
      <c r="AO388" s="4317"/>
      <c r="AP388" s="4317"/>
      <c r="AQ388" s="4317"/>
      <c r="AR388" s="4317"/>
      <c r="AS388" s="4317"/>
      <c r="AT388" s="4317"/>
      <c r="AU388" s="4317"/>
      <c r="AV388" s="4317"/>
      <c r="AW388" s="4317"/>
      <c r="AX388" s="4317"/>
      <c r="AY388" s="4317"/>
      <c r="AZ388" s="4317"/>
      <c r="BA388" s="4317"/>
      <c r="BB388" s="4317"/>
      <c r="BC388" s="4317"/>
      <c r="BD388" s="4317"/>
      <c r="BE388" s="4317"/>
      <c r="BF388" s="4317"/>
      <c r="BG388" s="4317"/>
      <c r="BH388" s="4317"/>
      <c r="BI388" s="4317"/>
      <c r="BJ388" s="4317"/>
      <c r="BK388" s="4317"/>
      <c r="BL388" s="4317"/>
      <c r="BM388" s="4317"/>
      <c r="BN388" s="4317"/>
      <c r="BO388" s="4317"/>
      <c r="BP388" s="4317"/>
      <c r="BQ388" s="4317"/>
      <c r="BR388" s="4317"/>
      <c r="BS388" s="4317"/>
      <c r="BT388" s="4317"/>
      <c r="BU388" s="4317"/>
      <c r="BV388" s="4317"/>
      <c r="BW388" s="4317"/>
      <c r="BX388" s="4317"/>
      <c r="BY388" s="4317"/>
      <c r="BZ388" s="4317"/>
      <c r="CA388" s="4317"/>
      <c r="CB388" s="4317"/>
      <c r="CC388" s="4317"/>
      <c r="CD388" s="4317"/>
      <c r="CE388" s="4317"/>
      <c r="CF388" s="4317"/>
      <c r="CG388" s="4317"/>
      <c r="CH388" s="4317"/>
      <c r="CI388" s="4317"/>
      <c r="CJ388" s="4317"/>
      <c r="CK388" s="4317"/>
      <c r="CL388" s="4317"/>
      <c r="CM388" s="4317"/>
      <c r="CN388" s="4317"/>
      <c r="CO388" s="4317"/>
      <c r="CP388" s="4317"/>
      <c r="CQ388" s="4317"/>
      <c r="CR388" s="4317"/>
      <c r="CS388" s="4317"/>
      <c r="CT388" s="4317"/>
      <c r="CU388" s="4317"/>
      <c r="CV388" s="4317"/>
      <c r="CW388" s="4317"/>
      <c r="CX388" s="4317"/>
      <c r="CY388" s="4317"/>
      <c r="CZ388" s="4317"/>
      <c r="DA388" s="4317"/>
      <c r="DB388" s="4317"/>
      <c r="DC388" s="4317"/>
      <c r="DD388" s="4317"/>
      <c r="DE388" s="4317"/>
      <c r="DF388" s="4317"/>
      <c r="DG388" s="4317"/>
      <c r="DH388" s="4317"/>
      <c r="DI388" s="4317"/>
      <c r="DJ388" s="4317"/>
      <c r="DK388" s="4317"/>
      <c r="DL388" s="4317"/>
      <c r="DM388" s="4317"/>
      <c r="DN388" s="4317"/>
      <c r="DO388" s="4317"/>
      <c r="DP388" s="4317"/>
      <c r="DQ388" s="4317"/>
      <c r="DR388" s="4317"/>
      <c r="DS388" s="4317"/>
    </row>
    <row r="389" s="4134" customFormat="1" ht="19.5" customHeight="1" spans="1:124">
      <c r="A389" s="4304" t="s">
        <v>5093</v>
      </c>
      <c r="B389" s="4304"/>
      <c r="C389" s="4304"/>
      <c r="D389" s="4304"/>
      <c r="E389" s="4304"/>
      <c r="F389" s="4300"/>
      <c r="G389" s="4300"/>
      <c r="H389" s="4300"/>
      <c r="I389" s="4300"/>
      <c r="J389" s="4300"/>
      <c r="K389" s="4300"/>
      <c r="L389" s="4300"/>
      <c r="M389" s="4317"/>
      <c r="N389" s="4317"/>
      <c r="O389" s="4340" t="s">
        <v>2988</v>
      </c>
      <c r="P389" s="4317"/>
      <c r="Q389" s="4295"/>
      <c r="R389" s="4317"/>
      <c r="S389" s="4317"/>
      <c r="T389" s="4317"/>
      <c r="U389" s="4317"/>
      <c r="V389" s="4317"/>
      <c r="W389" s="4317"/>
      <c r="X389" s="4317"/>
      <c r="Y389" s="4317"/>
      <c r="Z389" s="4317"/>
      <c r="AA389" s="4317"/>
      <c r="AB389" s="4353"/>
      <c r="AC389" s="4353"/>
      <c r="AD389" s="4317"/>
      <c r="AE389" s="4353"/>
      <c r="AF389" s="4317"/>
      <c r="AG389" s="4317"/>
      <c r="AH389" s="4317"/>
      <c r="AI389" s="4317"/>
      <c r="AJ389" s="4317"/>
      <c r="AK389" s="4317"/>
      <c r="AL389" s="4317"/>
      <c r="AM389" s="4317"/>
      <c r="AN389" s="4317"/>
      <c r="AO389" s="4317"/>
      <c r="AP389" s="4317"/>
      <c r="AQ389" s="4317"/>
      <c r="AR389" s="4317"/>
      <c r="AS389" s="4317"/>
      <c r="AT389" s="4317"/>
      <c r="AU389" s="4317"/>
      <c r="AV389" s="4317"/>
      <c r="AW389" s="4317"/>
      <c r="AX389" s="4317"/>
      <c r="AY389" s="4317"/>
      <c r="AZ389" s="4317"/>
      <c r="BA389" s="4317"/>
      <c r="BB389" s="4317"/>
      <c r="BC389" s="4317"/>
      <c r="BD389" s="4317"/>
      <c r="BE389" s="4317"/>
      <c r="BF389" s="4317"/>
      <c r="BG389" s="4317"/>
      <c r="BH389" s="4317"/>
      <c r="BI389" s="4317"/>
      <c r="BJ389" s="4317"/>
      <c r="BK389" s="4317"/>
      <c r="BL389" s="4317"/>
      <c r="BM389" s="4317"/>
      <c r="BN389" s="4317"/>
      <c r="BO389" s="4317"/>
      <c r="BP389" s="4317"/>
      <c r="BQ389" s="4317"/>
      <c r="BR389" s="4317"/>
      <c r="BS389" s="4317"/>
      <c r="BT389" s="4317"/>
      <c r="BU389" s="4317"/>
      <c r="BV389" s="4317"/>
      <c r="BW389" s="4317"/>
      <c r="BX389" s="4317"/>
      <c r="BY389" s="4317"/>
      <c r="BZ389" s="4317"/>
      <c r="CA389" s="4317"/>
      <c r="CB389" s="4317"/>
      <c r="CC389" s="4317"/>
      <c r="CD389" s="4317"/>
      <c r="CE389" s="4317"/>
      <c r="CF389" s="4317"/>
      <c r="CG389" s="4317"/>
      <c r="CH389" s="4317"/>
      <c r="CI389" s="4317"/>
      <c r="CJ389" s="4317"/>
      <c r="CK389" s="4317"/>
      <c r="CL389" s="4317"/>
      <c r="CM389" s="4317"/>
      <c r="CN389" s="4317"/>
      <c r="CO389" s="4317"/>
      <c r="CP389" s="4317"/>
      <c r="CQ389" s="4317"/>
      <c r="CR389" s="4317"/>
      <c r="CS389" s="4317"/>
      <c r="CT389" s="4317"/>
      <c r="CU389" s="4317"/>
      <c r="CV389" s="4317"/>
      <c r="CW389" s="4317"/>
      <c r="CX389" s="4317"/>
      <c r="CY389" s="4317"/>
      <c r="CZ389" s="4317"/>
      <c r="DA389" s="4317"/>
      <c r="DB389" s="4317"/>
      <c r="DC389" s="4317"/>
      <c r="DD389" s="4317"/>
      <c r="DE389" s="4317"/>
      <c r="DF389" s="4317"/>
      <c r="DG389" s="4317"/>
      <c r="DH389" s="4317"/>
      <c r="DI389" s="4317"/>
      <c r="DJ389" s="4317"/>
      <c r="DK389" s="4317"/>
      <c r="DL389" s="4317"/>
      <c r="DM389" s="4317"/>
      <c r="DN389" s="4317"/>
      <c r="DO389" s="4317"/>
      <c r="DP389" s="4317"/>
      <c r="DQ389" s="4317"/>
      <c r="DR389" s="4317"/>
      <c r="DS389" s="4317"/>
    </row>
    <row r="390" s="4134" customFormat="1" ht="19.5" customHeight="1" spans="1:124">
      <c r="A390" s="4304" t="s">
        <v>5094</v>
      </c>
      <c r="B390" s="4304"/>
      <c r="C390" s="4304"/>
      <c r="D390" s="4304"/>
      <c r="E390" s="4304"/>
      <c r="F390" s="4309"/>
      <c r="G390" s="4309"/>
      <c r="H390" s="4309"/>
      <c r="I390" s="4309"/>
      <c r="J390" s="4309"/>
      <c r="K390" s="4309"/>
      <c r="L390" s="4309"/>
      <c r="M390" s="4317"/>
      <c r="N390" s="4317"/>
      <c r="O390" s="4340" t="s">
        <v>2991</v>
      </c>
      <c r="P390" s="4317"/>
      <c r="Q390" s="4295"/>
      <c r="R390" s="4317"/>
      <c r="S390" s="4317"/>
      <c r="T390" s="4317"/>
      <c r="U390" s="4317"/>
      <c r="V390" s="4317"/>
      <c r="W390" s="4317"/>
      <c r="X390" s="4317"/>
      <c r="Y390" s="4317"/>
      <c r="Z390" s="4317"/>
      <c r="AA390" s="4317"/>
      <c r="AB390" s="4353"/>
      <c r="AC390" s="4353"/>
      <c r="AD390" s="4317"/>
      <c r="AE390" s="4353"/>
      <c r="AF390" s="4317"/>
      <c r="AG390" s="4317"/>
      <c r="AH390" s="4317"/>
      <c r="AI390" s="4317"/>
      <c r="AJ390" s="4317"/>
      <c r="AK390" s="4317"/>
      <c r="AL390" s="4317"/>
      <c r="AM390" s="4317"/>
      <c r="AN390" s="4317"/>
      <c r="AO390" s="4317"/>
      <c r="AP390" s="4317"/>
      <c r="AQ390" s="4317"/>
      <c r="AR390" s="4317"/>
      <c r="AS390" s="4317"/>
      <c r="AT390" s="4317"/>
      <c r="AU390" s="4317"/>
      <c r="AV390" s="4317"/>
      <c r="AW390" s="4317"/>
      <c r="AX390" s="4317"/>
      <c r="AY390" s="4317"/>
      <c r="AZ390" s="4317"/>
      <c r="BA390" s="4317"/>
      <c r="BB390" s="4317"/>
      <c r="BC390" s="4317"/>
      <c r="BD390" s="4317"/>
      <c r="BE390" s="4317"/>
      <c r="BF390" s="4317"/>
      <c r="BG390" s="4317"/>
      <c r="BH390" s="4317"/>
      <c r="BI390" s="4317"/>
      <c r="BJ390" s="4317"/>
      <c r="BK390" s="4317"/>
      <c r="BL390" s="4317"/>
      <c r="BM390" s="4317"/>
      <c r="BN390" s="4317"/>
      <c r="BO390" s="4317"/>
      <c r="BP390" s="4317"/>
      <c r="BQ390" s="4317"/>
      <c r="BR390" s="4317"/>
      <c r="BS390" s="4317"/>
      <c r="BT390" s="4317"/>
      <c r="BU390" s="4317"/>
      <c r="BV390" s="4317"/>
      <c r="BW390" s="4317"/>
      <c r="BX390" s="4317"/>
      <c r="BY390" s="4317"/>
      <c r="BZ390" s="4317"/>
      <c r="CA390" s="4317"/>
      <c r="CB390" s="4317"/>
      <c r="CC390" s="4317"/>
      <c r="CD390" s="4317"/>
      <c r="CE390" s="4317"/>
      <c r="CF390" s="4317"/>
      <c r="CG390" s="4317"/>
      <c r="CH390" s="4317"/>
      <c r="CI390" s="4317"/>
      <c r="CJ390" s="4317"/>
      <c r="CK390" s="4317"/>
      <c r="CL390" s="4317"/>
      <c r="CM390" s="4317"/>
      <c r="CN390" s="4317"/>
      <c r="CO390" s="4317"/>
      <c r="CP390" s="4317"/>
      <c r="CQ390" s="4317"/>
      <c r="CR390" s="4317"/>
      <c r="CS390" s="4317"/>
      <c r="CT390" s="4317"/>
      <c r="CU390" s="4317"/>
      <c r="CV390" s="4317"/>
      <c r="CW390" s="4317"/>
      <c r="CX390" s="4317"/>
      <c r="CY390" s="4317"/>
      <c r="CZ390" s="4317"/>
      <c r="DA390" s="4317"/>
      <c r="DB390" s="4317"/>
      <c r="DC390" s="4317"/>
      <c r="DD390" s="4317"/>
      <c r="DE390" s="4317"/>
      <c r="DF390" s="4317"/>
      <c r="DG390" s="4317"/>
      <c r="DH390" s="4317"/>
      <c r="DI390" s="4317"/>
      <c r="DJ390" s="4317"/>
      <c r="DK390" s="4317"/>
      <c r="DL390" s="4317"/>
      <c r="DM390" s="4317"/>
      <c r="DN390" s="4317"/>
      <c r="DO390" s="4317"/>
      <c r="DP390" s="4317"/>
      <c r="DQ390" s="4317"/>
      <c r="DR390" s="4317"/>
      <c r="DS390" s="4317"/>
    </row>
    <row r="391" s="4134" customFormat="1" ht="19.5" customHeight="1" spans="1:124">
      <c r="A391" s="4304" t="s">
        <v>5095</v>
      </c>
      <c r="B391" s="4304"/>
      <c r="C391" s="4304"/>
      <c r="D391" s="4304"/>
      <c r="E391" s="4304"/>
      <c r="F391" s="4300"/>
      <c r="G391" s="4300"/>
      <c r="H391" s="4300"/>
      <c r="I391" s="4300"/>
      <c r="J391" s="4300"/>
      <c r="K391" s="4300"/>
      <c r="L391" s="4300"/>
      <c r="M391" s="4317"/>
      <c r="N391" s="4317"/>
      <c r="O391" s="4340" t="s">
        <v>2994</v>
      </c>
      <c r="P391" s="4317"/>
      <c r="Q391" s="4295"/>
      <c r="R391" s="4317"/>
      <c r="S391" s="4317"/>
      <c r="T391" s="4317"/>
      <c r="U391" s="4317"/>
      <c r="V391" s="4317"/>
      <c r="W391" s="4317"/>
      <c r="X391" s="4317"/>
      <c r="Y391" s="4317"/>
      <c r="Z391" s="4317"/>
      <c r="AA391" s="4317"/>
      <c r="AB391" s="4353"/>
      <c r="AC391" s="4353"/>
      <c r="AD391" s="4317"/>
      <c r="AE391" s="4353"/>
      <c r="AF391" s="4317"/>
      <c r="AG391" s="4317"/>
      <c r="AH391" s="4317"/>
      <c r="AI391" s="4317"/>
      <c r="AJ391" s="4317"/>
      <c r="AK391" s="4317"/>
      <c r="AL391" s="4317"/>
      <c r="AM391" s="4317"/>
      <c r="AN391" s="4317"/>
      <c r="AO391" s="4317"/>
      <c r="AP391" s="4317"/>
      <c r="AQ391" s="4317"/>
      <c r="AR391" s="4317"/>
      <c r="AS391" s="4317"/>
      <c r="AT391" s="4317"/>
      <c r="AU391" s="4317"/>
      <c r="AV391" s="4317"/>
      <c r="AW391" s="4317"/>
      <c r="AX391" s="4317"/>
      <c r="AY391" s="4317"/>
      <c r="AZ391" s="4317"/>
      <c r="BA391" s="4317"/>
      <c r="BB391" s="4317"/>
      <c r="BC391" s="4317"/>
      <c r="BD391" s="4317"/>
      <c r="BE391" s="4317"/>
      <c r="BF391" s="4317"/>
      <c r="BG391" s="4317"/>
      <c r="BH391" s="4317"/>
      <c r="BI391" s="4317"/>
      <c r="BJ391" s="4317"/>
      <c r="BK391" s="4317"/>
      <c r="BL391" s="4317"/>
      <c r="BM391" s="4317"/>
      <c r="BN391" s="4317"/>
      <c r="BO391" s="4317"/>
      <c r="BP391" s="4317"/>
      <c r="BQ391" s="4317"/>
      <c r="BR391" s="4317"/>
      <c r="BS391" s="4317"/>
      <c r="BT391" s="4317"/>
      <c r="BU391" s="4317"/>
      <c r="BV391" s="4317"/>
      <c r="BW391" s="4317"/>
      <c r="BX391" s="4317"/>
      <c r="BY391" s="4317"/>
      <c r="BZ391" s="4317"/>
      <c r="CA391" s="4317"/>
      <c r="CB391" s="4317"/>
      <c r="CC391" s="4317"/>
      <c r="CD391" s="4317"/>
      <c r="CE391" s="4317"/>
      <c r="CF391" s="4317"/>
      <c r="CG391" s="4317"/>
      <c r="CH391" s="4317"/>
      <c r="CI391" s="4317"/>
      <c r="CJ391" s="4317"/>
      <c r="CK391" s="4317"/>
      <c r="CL391" s="4317"/>
      <c r="CM391" s="4317"/>
      <c r="CN391" s="4317"/>
      <c r="CO391" s="4317"/>
      <c r="CP391" s="4317"/>
      <c r="CQ391" s="4317"/>
      <c r="CR391" s="4317"/>
      <c r="CS391" s="4317"/>
      <c r="CT391" s="4317"/>
      <c r="CU391" s="4317"/>
      <c r="CV391" s="4317"/>
      <c r="CW391" s="4317"/>
      <c r="CX391" s="4317"/>
      <c r="CY391" s="4317"/>
      <c r="CZ391" s="4317"/>
      <c r="DA391" s="4317"/>
      <c r="DB391" s="4317"/>
      <c r="DC391" s="4317"/>
      <c r="DD391" s="4317"/>
      <c r="DE391" s="4317"/>
      <c r="DF391" s="4317"/>
      <c r="DG391" s="4317"/>
      <c r="DH391" s="4317"/>
      <c r="DI391" s="4317"/>
      <c r="DJ391" s="4317"/>
      <c r="DK391" s="4317"/>
      <c r="DL391" s="4317"/>
      <c r="DM391" s="4317"/>
      <c r="DN391" s="4317"/>
      <c r="DO391" s="4317"/>
      <c r="DP391" s="4317"/>
      <c r="DQ391" s="4317"/>
      <c r="DR391" s="4317"/>
      <c r="DS391" s="4317"/>
    </row>
    <row r="392" s="4134" customFormat="1" ht="19.5" customHeight="1" spans="1:124">
      <c r="A392" s="4304" t="s">
        <v>5096</v>
      </c>
      <c r="B392" s="4304"/>
      <c r="C392" s="4304"/>
      <c r="D392" s="4304"/>
      <c r="E392" s="4304"/>
      <c r="F392" s="4309"/>
      <c r="G392" s="4309"/>
      <c r="H392" s="4309"/>
      <c r="I392" s="4309"/>
      <c r="J392" s="4309"/>
      <c r="K392" s="4309"/>
      <c r="L392" s="4309"/>
      <c r="M392" s="4317"/>
      <c r="N392" s="4317"/>
      <c r="O392" s="4340" t="s">
        <v>2997</v>
      </c>
      <c r="P392" s="4317"/>
      <c r="Q392" s="4295"/>
      <c r="R392" s="4317"/>
      <c r="S392" s="4317"/>
      <c r="T392" s="4317"/>
      <c r="U392" s="4317"/>
      <c r="V392" s="4317"/>
      <c r="W392" s="4317"/>
      <c r="X392" s="4317"/>
      <c r="Y392" s="4317"/>
      <c r="Z392" s="4317"/>
      <c r="AA392" s="4317"/>
      <c r="AB392" s="4353"/>
      <c r="AC392" s="4353"/>
      <c r="AD392" s="4317"/>
      <c r="AE392" s="4353"/>
      <c r="AF392" s="4317"/>
      <c r="AG392" s="4317"/>
      <c r="AH392" s="4317"/>
      <c r="AI392" s="4317"/>
      <c r="AJ392" s="4317"/>
      <c r="AK392" s="4317"/>
      <c r="AL392" s="4317"/>
      <c r="AM392" s="4317"/>
      <c r="AN392" s="4317"/>
      <c r="AO392" s="4317"/>
      <c r="AP392" s="4317"/>
      <c r="AQ392" s="4317"/>
      <c r="AR392" s="4317"/>
      <c r="AS392" s="4317"/>
      <c r="AT392" s="4317"/>
      <c r="AU392" s="4317"/>
      <c r="AV392" s="4317"/>
      <c r="AW392" s="4317"/>
      <c r="AX392" s="4317"/>
      <c r="AY392" s="4317"/>
      <c r="AZ392" s="4317"/>
      <c r="BA392" s="4317"/>
      <c r="BB392" s="4317"/>
      <c r="BC392" s="4317"/>
      <c r="BD392" s="4317"/>
      <c r="BE392" s="4317"/>
      <c r="BF392" s="4317"/>
      <c r="BG392" s="4317"/>
      <c r="BH392" s="4317"/>
      <c r="BI392" s="4317"/>
      <c r="BJ392" s="4317"/>
      <c r="BK392" s="4317"/>
      <c r="BL392" s="4317"/>
      <c r="BM392" s="4317"/>
      <c r="BN392" s="4317"/>
      <c r="BO392" s="4317"/>
      <c r="BP392" s="4317"/>
      <c r="BQ392" s="4317"/>
      <c r="BR392" s="4317"/>
      <c r="BS392" s="4317"/>
      <c r="BT392" s="4317"/>
      <c r="BU392" s="4317"/>
      <c r="BV392" s="4317"/>
      <c r="BW392" s="4317"/>
      <c r="BX392" s="4317"/>
      <c r="BY392" s="4317"/>
      <c r="BZ392" s="4317"/>
      <c r="CA392" s="4317"/>
      <c r="CB392" s="4317"/>
      <c r="CC392" s="4317"/>
      <c r="CD392" s="4317"/>
      <c r="CE392" s="4317"/>
      <c r="CF392" s="4317"/>
      <c r="CG392" s="4317"/>
      <c r="CH392" s="4317"/>
      <c r="CI392" s="4317"/>
      <c r="CJ392" s="4317"/>
      <c r="CK392" s="4317"/>
      <c r="CL392" s="4317"/>
      <c r="CM392" s="4317"/>
      <c r="CN392" s="4317"/>
      <c r="CO392" s="4317"/>
      <c r="CP392" s="4317"/>
      <c r="CQ392" s="4317"/>
      <c r="CR392" s="4317"/>
      <c r="CS392" s="4317"/>
      <c r="CT392" s="4317"/>
      <c r="CU392" s="4317"/>
      <c r="CV392" s="4317"/>
      <c r="CW392" s="4317"/>
      <c r="CX392" s="4317"/>
      <c r="CY392" s="4317"/>
      <c r="CZ392" s="4317"/>
      <c r="DA392" s="4317"/>
      <c r="DB392" s="4317"/>
      <c r="DC392" s="4317"/>
      <c r="DD392" s="4317"/>
      <c r="DE392" s="4317"/>
      <c r="DF392" s="4317"/>
      <c r="DG392" s="4317"/>
      <c r="DH392" s="4317"/>
      <c r="DI392" s="4317"/>
      <c r="DJ392" s="4317"/>
      <c r="DK392" s="4317"/>
      <c r="DL392" s="4317"/>
      <c r="DM392" s="4317"/>
      <c r="DN392" s="4317"/>
      <c r="DO392" s="4317"/>
      <c r="DP392" s="4317"/>
      <c r="DQ392" s="4317"/>
      <c r="DR392" s="4317"/>
      <c r="DS392" s="4317"/>
    </row>
    <row r="393" s="4134" customFormat="1" ht="19.5" customHeight="1" spans="1:124">
      <c r="A393" s="4304" t="s">
        <v>5097</v>
      </c>
      <c r="B393" s="4304"/>
      <c r="C393" s="4304"/>
      <c r="D393" s="4304"/>
      <c r="E393" s="4304"/>
      <c r="F393" s="4343">
        <f>F389-F390+F391-F392</f>
        <v>0</v>
      </c>
      <c r="G393" s="4343"/>
      <c r="H393" s="4343"/>
      <c r="I393" s="4343"/>
      <c r="J393" s="4343"/>
      <c r="K393" s="4343"/>
      <c r="L393" s="4343"/>
      <c r="M393" s="4317"/>
      <c r="N393" s="4317"/>
      <c r="O393" s="4340" t="s">
        <v>2615</v>
      </c>
      <c r="P393" s="4317"/>
      <c r="Q393" s="4295"/>
      <c r="R393" s="4317"/>
      <c r="S393" s="4317"/>
      <c r="T393" s="4317"/>
      <c r="U393" s="4317"/>
      <c r="V393" s="4317"/>
      <c r="W393" s="4317"/>
      <c r="X393" s="4317"/>
      <c r="Y393" s="4317"/>
      <c r="Z393" s="4317"/>
      <c r="AA393" s="4317"/>
      <c r="AB393" s="4353"/>
      <c r="AC393" s="4353"/>
      <c r="AD393" s="4317"/>
      <c r="AE393" s="4353"/>
      <c r="AF393" s="4317"/>
      <c r="AG393" s="4317"/>
      <c r="AH393" s="4317"/>
      <c r="AI393" s="4317"/>
      <c r="AJ393" s="4317"/>
      <c r="AK393" s="4317"/>
      <c r="AL393" s="4317"/>
      <c r="AM393" s="4317"/>
      <c r="AN393" s="4317"/>
      <c r="AO393" s="4317"/>
      <c r="AP393" s="4317"/>
      <c r="AQ393" s="4317"/>
      <c r="AR393" s="4317"/>
      <c r="AS393" s="4317"/>
      <c r="AT393" s="4317"/>
      <c r="AU393" s="4317"/>
      <c r="AV393" s="4317"/>
      <c r="AW393" s="4317"/>
      <c r="AX393" s="4317"/>
      <c r="AY393" s="4317"/>
      <c r="AZ393" s="4317"/>
      <c r="BA393" s="4317"/>
      <c r="BB393" s="4317"/>
      <c r="BC393" s="4317"/>
      <c r="BD393" s="4317"/>
      <c r="BE393" s="4317"/>
      <c r="BF393" s="4317"/>
      <c r="BG393" s="4317"/>
      <c r="BH393" s="4317"/>
      <c r="BI393" s="4317"/>
      <c r="BJ393" s="4317"/>
      <c r="BK393" s="4317"/>
      <c r="BL393" s="4317"/>
      <c r="BM393" s="4317"/>
      <c r="BN393" s="4317"/>
      <c r="BO393" s="4317"/>
      <c r="BP393" s="4317"/>
      <c r="BQ393" s="4317"/>
      <c r="BR393" s="4317"/>
      <c r="BS393" s="4317"/>
      <c r="BT393" s="4317"/>
      <c r="BU393" s="4317"/>
      <c r="BV393" s="4317"/>
      <c r="BW393" s="4317"/>
      <c r="BX393" s="4317"/>
      <c r="BY393" s="4317"/>
      <c r="BZ393" s="4317"/>
      <c r="CA393" s="4317"/>
      <c r="CB393" s="4317"/>
      <c r="CC393" s="4317"/>
      <c r="CD393" s="4317"/>
      <c r="CE393" s="4317"/>
      <c r="CF393" s="4317"/>
      <c r="CG393" s="4317"/>
      <c r="CH393" s="4317"/>
      <c r="CI393" s="4317"/>
      <c r="CJ393" s="4317"/>
      <c r="CK393" s="4317"/>
      <c r="CL393" s="4317"/>
      <c r="CM393" s="4317"/>
      <c r="CN393" s="4317"/>
      <c r="CO393" s="4317"/>
      <c r="CP393" s="4317"/>
      <c r="CQ393" s="4317"/>
      <c r="CR393" s="4317"/>
      <c r="CS393" s="4317"/>
      <c r="CT393" s="4317"/>
      <c r="CU393" s="4317"/>
      <c r="CV393" s="4317"/>
      <c r="CW393" s="4317"/>
      <c r="CX393" s="4317"/>
      <c r="CY393" s="4317"/>
      <c r="CZ393" s="4317"/>
      <c r="DA393" s="4317"/>
      <c r="DB393" s="4317"/>
      <c r="DC393" s="4317"/>
      <c r="DD393" s="4317"/>
      <c r="DE393" s="4317"/>
      <c r="DF393" s="4317"/>
      <c r="DG393" s="4317"/>
      <c r="DH393" s="4317"/>
      <c r="DI393" s="4317"/>
      <c r="DJ393" s="4317"/>
      <c r="DK393" s="4317"/>
      <c r="DL393" s="4317"/>
      <c r="DM393" s="4317"/>
      <c r="DN393" s="4317"/>
      <c r="DO393" s="4317"/>
      <c r="DP393" s="4317"/>
      <c r="DQ393" s="4317"/>
      <c r="DR393" s="4317"/>
      <c r="DS393" s="4317"/>
    </row>
    <row r="394" s="4134" customFormat="1" ht="19.5" customHeight="1" spans="1:124">
      <c r="A394" s="4304"/>
      <c r="B394" s="4304"/>
      <c r="C394" s="4304"/>
      <c r="D394" s="4304"/>
      <c r="E394" s="4304"/>
      <c r="F394" s="4343">
        <f>B_Uspjeha!AI152</f>
        <v>0</v>
      </c>
      <c r="G394" s="4343"/>
      <c r="H394" s="4343"/>
      <c r="I394" s="4343"/>
      <c r="J394" s="4343"/>
      <c r="K394" s="4343"/>
      <c r="L394" s="4343"/>
      <c r="M394" s="4317"/>
      <c r="N394" s="4317"/>
      <c r="O394" s="4340" t="s">
        <v>3004</v>
      </c>
      <c r="P394" s="4317"/>
      <c r="Q394" s="4295"/>
      <c r="R394" s="4317"/>
      <c r="S394" s="4317"/>
      <c r="T394" s="4317"/>
      <c r="U394" s="4317"/>
      <c r="V394" s="4317"/>
      <c r="W394" s="4317"/>
      <c r="X394" s="4317"/>
      <c r="Y394" s="4317"/>
      <c r="Z394" s="4317"/>
      <c r="AA394" s="4317"/>
      <c r="AB394" s="4353"/>
      <c r="AC394" s="4353"/>
      <c r="AD394" s="4317"/>
      <c r="AE394" s="4353"/>
      <c r="AF394" s="4317"/>
      <c r="AG394" s="4317"/>
      <c r="AH394" s="4317"/>
      <c r="AI394" s="4317"/>
      <c r="AJ394" s="4317"/>
      <c r="AK394" s="4317"/>
      <c r="AL394" s="4317"/>
      <c r="AM394" s="4317"/>
      <c r="AN394" s="4317"/>
      <c r="AO394" s="4317"/>
      <c r="AP394" s="4317"/>
      <c r="AQ394" s="4317"/>
      <c r="AR394" s="4317"/>
      <c r="AS394" s="4317"/>
      <c r="AT394" s="4317"/>
      <c r="AU394" s="4317"/>
      <c r="AV394" s="4317"/>
      <c r="AW394" s="4317"/>
      <c r="AX394" s="4317"/>
      <c r="AY394" s="4317"/>
      <c r="AZ394" s="4317"/>
      <c r="BA394" s="4317"/>
      <c r="BB394" s="4317"/>
      <c r="BC394" s="4317"/>
      <c r="BD394" s="4317"/>
      <c r="BE394" s="4317"/>
      <c r="BF394" s="4317"/>
      <c r="BG394" s="4317"/>
      <c r="BH394" s="4317"/>
      <c r="BI394" s="4317"/>
      <c r="BJ394" s="4317"/>
      <c r="BK394" s="4317"/>
      <c r="BL394" s="4317"/>
      <c r="BM394" s="4317"/>
      <c r="BN394" s="4317"/>
      <c r="BO394" s="4317"/>
      <c r="BP394" s="4317"/>
      <c r="BQ394" s="4317"/>
      <c r="BR394" s="4317"/>
      <c r="BS394" s="4317"/>
      <c r="BT394" s="4317"/>
      <c r="BU394" s="4317"/>
      <c r="BV394" s="4317"/>
      <c r="BW394" s="4317"/>
      <c r="BX394" s="4317"/>
      <c r="BY394" s="4317"/>
      <c r="BZ394" s="4317"/>
      <c r="CA394" s="4317"/>
      <c r="CB394" s="4317"/>
      <c r="CC394" s="4317"/>
      <c r="CD394" s="4317"/>
      <c r="CE394" s="4317"/>
      <c r="CF394" s="4317"/>
      <c r="CG394" s="4317"/>
      <c r="CH394" s="4317"/>
      <c r="CI394" s="4317"/>
      <c r="CJ394" s="4317"/>
      <c r="CK394" s="4317"/>
      <c r="CL394" s="4317"/>
      <c r="CM394" s="4317"/>
      <c r="CN394" s="4317"/>
      <c r="CO394" s="4317"/>
      <c r="CP394" s="4317"/>
      <c r="CQ394" s="4317"/>
      <c r="CR394" s="4317"/>
      <c r="CS394" s="4317"/>
      <c r="CT394" s="4317"/>
      <c r="CU394" s="4317"/>
      <c r="CV394" s="4317"/>
      <c r="CW394" s="4317"/>
      <c r="CX394" s="4317"/>
      <c r="CY394" s="4317"/>
      <c r="CZ394" s="4317"/>
      <c r="DA394" s="4317"/>
      <c r="DB394" s="4317"/>
      <c r="DC394" s="4317"/>
      <c r="DD394" s="4317"/>
      <c r="DE394" s="4317"/>
      <c r="DF394" s="4317"/>
      <c r="DG394" s="4317"/>
      <c r="DH394" s="4317"/>
      <c r="DI394" s="4317"/>
      <c r="DJ394" s="4317"/>
      <c r="DK394" s="4317"/>
      <c r="DL394" s="4317"/>
      <c r="DM394" s="4317"/>
      <c r="DN394" s="4317"/>
      <c r="DO394" s="4317"/>
      <c r="DP394" s="4317"/>
      <c r="DQ394" s="4317"/>
      <c r="DR394" s="4317"/>
      <c r="DS394" s="4317"/>
    </row>
    <row r="395" s="4134" customFormat="1" ht="19.5" customHeight="1" spans="1:124">
      <c r="A395" s="4332" t="s">
        <v>5090</v>
      </c>
      <c r="B395" s="4332"/>
      <c r="C395" s="4332"/>
      <c r="D395" s="4332"/>
      <c r="E395" s="4332"/>
      <c r="F395" s="4339">
        <f>F383-F388-F393+F394</f>
        <v>-59197</v>
      </c>
      <c r="G395" s="4339"/>
      <c r="H395" s="4339"/>
      <c r="I395" s="4339"/>
      <c r="J395" s="4339"/>
      <c r="K395" s="4339"/>
      <c r="L395" s="4339"/>
      <c r="M395" s="4317"/>
      <c r="N395" s="4317"/>
      <c r="O395" s="4340" t="s">
        <v>5098</v>
      </c>
      <c r="P395" s="4317"/>
      <c r="Q395" s="4295"/>
      <c r="R395" s="4317"/>
      <c r="S395" s="4317"/>
      <c r="T395" s="4317"/>
      <c r="U395" s="4317"/>
      <c r="V395" s="4317"/>
      <c r="W395" s="4317"/>
      <c r="X395" s="4317"/>
      <c r="Y395" s="4317"/>
      <c r="Z395" s="4317"/>
      <c r="AA395" s="4317"/>
      <c r="AB395" s="4353"/>
      <c r="AC395" s="4353"/>
      <c r="AD395" s="4317"/>
      <c r="AE395" s="4353"/>
      <c r="AF395" s="4317"/>
      <c r="AG395" s="4317"/>
      <c r="AH395" s="4317"/>
      <c r="AI395" s="4317"/>
      <c r="AJ395" s="4317"/>
      <c r="AK395" s="4317"/>
      <c r="AL395" s="4317"/>
      <c r="AM395" s="4317"/>
      <c r="AN395" s="4317"/>
      <c r="AO395" s="4317"/>
      <c r="AP395" s="4317"/>
      <c r="AQ395" s="4317"/>
      <c r="AR395" s="4317"/>
      <c r="AS395" s="4317"/>
      <c r="AT395" s="4317"/>
      <c r="AU395" s="4317"/>
      <c r="AV395" s="4317"/>
      <c r="AW395" s="4317"/>
      <c r="AX395" s="4317"/>
      <c r="AY395" s="4317"/>
      <c r="AZ395" s="4317"/>
      <c r="BA395" s="4317"/>
      <c r="BB395" s="4317"/>
      <c r="BC395" s="4317"/>
      <c r="BD395" s="4317"/>
      <c r="BE395" s="4317"/>
      <c r="BF395" s="4317"/>
      <c r="BG395" s="4317"/>
      <c r="BH395" s="4317"/>
      <c r="BI395" s="4317"/>
      <c r="BJ395" s="4317"/>
      <c r="BK395" s="4317"/>
      <c r="BL395" s="4317"/>
      <c r="BM395" s="4317"/>
      <c r="BN395" s="4317"/>
      <c r="BO395" s="4317"/>
      <c r="BP395" s="4317"/>
      <c r="BQ395" s="4317"/>
      <c r="BR395" s="4317"/>
      <c r="BS395" s="4317"/>
      <c r="BT395" s="4317"/>
      <c r="BU395" s="4317"/>
      <c r="BV395" s="4317"/>
      <c r="BW395" s="4317"/>
      <c r="BX395" s="4317"/>
      <c r="BY395" s="4317"/>
      <c r="BZ395" s="4317"/>
      <c r="CA395" s="4317"/>
      <c r="CB395" s="4317"/>
      <c r="CC395" s="4317"/>
      <c r="CD395" s="4317"/>
      <c r="CE395" s="4317"/>
      <c r="CF395" s="4317"/>
      <c r="CG395" s="4317"/>
      <c r="CH395" s="4317"/>
      <c r="CI395" s="4317"/>
      <c r="CJ395" s="4317"/>
      <c r="CK395" s="4317"/>
      <c r="CL395" s="4317"/>
      <c r="CM395" s="4317"/>
      <c r="CN395" s="4317"/>
      <c r="CO395" s="4317"/>
      <c r="CP395" s="4317"/>
      <c r="CQ395" s="4317"/>
      <c r="CR395" s="4317"/>
      <c r="CS395" s="4317"/>
      <c r="CT395" s="4317"/>
      <c r="CU395" s="4317"/>
      <c r="CV395" s="4317"/>
      <c r="CW395" s="4317"/>
      <c r="CX395" s="4317"/>
      <c r="CY395" s="4317"/>
      <c r="CZ395" s="4317"/>
      <c r="DA395" s="4317"/>
      <c r="DB395" s="4317"/>
      <c r="DC395" s="4317"/>
      <c r="DD395" s="4317"/>
      <c r="DE395" s="4317"/>
      <c r="DF395" s="4317"/>
      <c r="DG395" s="4317"/>
      <c r="DH395" s="4317"/>
      <c r="DI395" s="4317"/>
      <c r="DJ395" s="4317"/>
      <c r="DK395" s="4317"/>
      <c r="DL395" s="4317"/>
      <c r="DM395" s="4317"/>
      <c r="DN395" s="4317"/>
      <c r="DO395" s="4317"/>
      <c r="DP395" s="4317"/>
      <c r="DQ395" s="4317"/>
      <c r="DR395" s="4317"/>
      <c r="DS395" s="4317"/>
    </row>
    <row r="396" s="4133" customFormat="1" ht="29.25" customHeight="1" spans="1:124">
      <c r="A396" s="4365"/>
      <c r="B396" s="4366"/>
      <c r="C396" s="4366"/>
      <c r="D396" s="4366"/>
      <c r="E396" s="4366"/>
      <c r="F396" s="4367">
        <f ca="1">PoslGod</f>
        <v>2025</v>
      </c>
      <c r="G396" s="4367"/>
      <c r="H396" s="4367"/>
      <c r="I396" s="4367"/>
      <c r="J396" s="4367"/>
      <c r="K396" s="4367"/>
      <c r="L396" s="4367"/>
      <c r="M396" s="4317"/>
      <c r="N396" s="4295"/>
      <c r="O396" s="4295"/>
      <c r="P396" s="4295"/>
      <c r="Q396" s="4295"/>
      <c r="R396" s="4295"/>
      <c r="S396" s="4295"/>
      <c r="T396" s="4295"/>
      <c r="U396" s="4317"/>
      <c r="V396" s="4317"/>
      <c r="W396" s="4317"/>
      <c r="X396" s="4317"/>
      <c r="Y396" s="4317"/>
      <c r="Z396" s="4317"/>
      <c r="AA396" s="4317"/>
      <c r="AB396" s="4295"/>
      <c r="AC396" s="4353"/>
      <c r="AD396" s="4295"/>
      <c r="AE396" s="4295"/>
      <c r="AF396" s="4368"/>
      <c r="AG396" s="4368"/>
      <c r="AH396" s="4295"/>
      <c r="AI396" s="4295"/>
      <c r="AJ396" s="4295"/>
      <c r="AK396" s="4295"/>
      <c r="AL396" s="4295"/>
      <c r="AM396" s="4295"/>
      <c r="AN396" s="4295"/>
      <c r="AO396" s="4295"/>
      <c r="AP396" s="4295"/>
      <c r="AQ396" s="4295"/>
      <c r="AR396" s="4295"/>
      <c r="AS396" s="4295"/>
      <c r="AT396" s="4295"/>
      <c r="AU396" s="4295"/>
      <c r="AV396" s="4295"/>
      <c r="AW396" s="4295"/>
      <c r="AX396" s="4295"/>
      <c r="AY396" s="4295"/>
      <c r="AZ396" s="4295"/>
      <c r="BA396" s="4295"/>
      <c r="BB396" s="4295"/>
      <c r="BC396" s="4295"/>
      <c r="BD396" s="4295"/>
      <c r="BE396" s="4295"/>
      <c r="BF396" s="4295"/>
      <c r="BG396" s="4295"/>
      <c r="BH396" s="4295"/>
      <c r="BI396" s="4295"/>
      <c r="BJ396" s="4295"/>
      <c r="BK396" s="4295"/>
      <c r="BL396" s="4317"/>
      <c r="BM396" s="4317"/>
      <c r="BN396" s="4317"/>
      <c r="BO396" s="4317"/>
      <c r="BP396" s="4317"/>
      <c r="BQ396" s="4317"/>
      <c r="BR396" s="4317"/>
      <c r="BS396" s="4317"/>
      <c r="BT396" s="4317"/>
      <c r="BU396" s="4317"/>
      <c r="BV396" s="4317"/>
      <c r="BW396" s="4317"/>
      <c r="BX396" s="4317"/>
      <c r="BY396" s="4317"/>
      <c r="BZ396" s="4317"/>
      <c r="CA396" s="4317"/>
      <c r="CB396" s="4317"/>
      <c r="CC396" s="4317"/>
      <c r="CD396" s="4317"/>
      <c r="CE396" s="4317"/>
      <c r="CF396" s="4317"/>
      <c r="CG396" s="4317"/>
      <c r="CH396" s="4317"/>
      <c r="CI396" s="4317"/>
      <c r="CJ396" s="4317"/>
      <c r="CK396" s="4317"/>
      <c r="CL396" s="4317"/>
      <c r="CM396" s="4317"/>
      <c r="CN396" s="4317"/>
      <c r="CO396" s="4317"/>
      <c r="CP396" s="4317"/>
      <c r="CQ396" s="4317"/>
      <c r="CR396" s="4317"/>
      <c r="CS396" s="4317"/>
      <c r="CT396" s="4317"/>
      <c r="CU396" s="4317"/>
      <c r="CV396" s="4317"/>
      <c r="CW396" s="4317"/>
      <c r="CX396" s="4317"/>
      <c r="CY396" s="4317"/>
      <c r="CZ396" s="4317"/>
      <c r="DA396" s="4317"/>
      <c r="DB396" s="4317"/>
      <c r="DC396" s="4317"/>
      <c r="DD396" s="4317"/>
      <c r="DE396" s="4317"/>
      <c r="DF396" s="4317"/>
      <c r="DG396" s="4317"/>
      <c r="DH396" s="4317"/>
      <c r="DI396" s="4317"/>
      <c r="DJ396" s="4317"/>
      <c r="DK396" s="4317"/>
      <c r="DL396" s="4317"/>
      <c r="DM396" s="4317"/>
      <c r="DN396" s="4317"/>
      <c r="DO396" s="4317"/>
      <c r="DP396" s="4317"/>
      <c r="DQ396" s="4317"/>
      <c r="DR396" s="4317"/>
      <c r="DS396" s="4317"/>
      <c r="DT396" s="4134"/>
    </row>
    <row r="397" s="4134" customFormat="1" ht="16.5" customHeight="1" spans="1:124">
      <c r="A397" s="4304" t="s">
        <v>5099</v>
      </c>
      <c r="B397" s="4304"/>
      <c r="C397" s="4304"/>
      <c r="D397" s="4304"/>
      <c r="E397" s="4304"/>
      <c r="F397" s="4300"/>
      <c r="G397" s="4300"/>
      <c r="H397" s="4300"/>
      <c r="I397" s="4300"/>
      <c r="J397" s="4300"/>
      <c r="K397" s="4300"/>
      <c r="L397" s="4300"/>
      <c r="M397" s="4317"/>
      <c r="N397" s="4317"/>
      <c r="O397" s="4317" t="s">
        <v>3014</v>
      </c>
      <c r="P397" s="4317"/>
      <c r="Q397" s="4295"/>
      <c r="R397" s="4317"/>
      <c r="S397" s="4317"/>
      <c r="T397" s="4317"/>
      <c r="U397" s="4317"/>
      <c r="V397" s="4317"/>
      <c r="W397" s="4317"/>
      <c r="X397" s="4317"/>
      <c r="Y397" s="4317"/>
      <c r="Z397" s="4317"/>
      <c r="AA397" s="4317"/>
      <c r="AB397" s="4317"/>
      <c r="AC397" s="4353"/>
      <c r="AD397" s="4317"/>
      <c r="AE397" s="4369"/>
      <c r="AF397" s="4369"/>
      <c r="AG397" s="4369"/>
      <c r="AH397" s="4317"/>
      <c r="AI397" s="4317"/>
      <c r="AJ397" s="4317"/>
      <c r="AK397" s="4317"/>
      <c r="AL397" s="4317"/>
      <c r="AM397" s="4317"/>
      <c r="AN397" s="4317"/>
      <c r="AO397" s="4317"/>
      <c r="AP397" s="4317"/>
      <c r="AQ397" s="4317"/>
      <c r="AR397" s="4317"/>
      <c r="AS397" s="4317"/>
      <c r="AT397" s="4317"/>
      <c r="AU397" s="4317"/>
      <c r="AV397" s="4317"/>
      <c r="AW397" s="4317"/>
      <c r="AX397" s="4317"/>
      <c r="AY397" s="4317"/>
      <c r="AZ397" s="4317"/>
      <c r="BA397" s="4317"/>
      <c r="BB397" s="4317"/>
      <c r="BC397" s="4317"/>
      <c r="BD397" s="4317"/>
      <c r="BE397" s="4317"/>
      <c r="BF397" s="4317"/>
      <c r="BG397" s="4317"/>
      <c r="BH397" s="4317"/>
      <c r="BI397" s="4317"/>
      <c r="BJ397" s="4317"/>
      <c r="BK397" s="4317"/>
      <c r="BL397" s="4317"/>
      <c r="BM397" s="4317"/>
      <c r="BN397" s="4317"/>
      <c r="BO397" s="4317"/>
      <c r="BP397" s="4317"/>
      <c r="BQ397" s="4317"/>
      <c r="BR397" s="4317"/>
      <c r="BS397" s="4317"/>
      <c r="BT397" s="4317"/>
      <c r="BU397" s="4317"/>
      <c r="BV397" s="4317"/>
      <c r="BW397" s="4317"/>
      <c r="BX397" s="4317"/>
      <c r="BY397" s="4317"/>
      <c r="BZ397" s="4317"/>
      <c r="CA397" s="4317"/>
      <c r="CB397" s="4317"/>
      <c r="CC397" s="4317"/>
      <c r="CD397" s="4317"/>
      <c r="CE397" s="4317"/>
      <c r="CF397" s="4317"/>
      <c r="CG397" s="4317"/>
      <c r="CH397" s="4317"/>
      <c r="CI397" s="4317"/>
      <c r="CJ397" s="4317"/>
      <c r="CK397" s="4317"/>
      <c r="CL397" s="4317"/>
      <c r="CM397" s="4317"/>
      <c r="CN397" s="4317"/>
      <c r="CO397" s="4317"/>
      <c r="CP397" s="4317"/>
      <c r="CQ397" s="4317"/>
      <c r="CR397" s="4317"/>
      <c r="CS397" s="4317"/>
      <c r="CT397" s="4317"/>
      <c r="CU397" s="4317"/>
      <c r="CV397" s="4317"/>
      <c r="CW397" s="4317"/>
      <c r="CX397" s="4317"/>
      <c r="CY397" s="4317"/>
      <c r="CZ397" s="4317"/>
      <c r="DA397" s="4317"/>
      <c r="DB397" s="4317"/>
      <c r="DC397" s="4317"/>
      <c r="DD397" s="4317"/>
      <c r="DE397" s="4317"/>
      <c r="DF397" s="4317"/>
      <c r="DG397" s="4317"/>
      <c r="DH397" s="4317"/>
      <c r="DI397" s="4317"/>
      <c r="DJ397" s="4317"/>
      <c r="DK397" s="4317"/>
      <c r="DL397" s="4317"/>
      <c r="DM397" s="4317"/>
      <c r="DN397" s="4317"/>
      <c r="DO397" s="4317"/>
      <c r="DP397" s="4317"/>
      <c r="DQ397" s="4317"/>
      <c r="DR397" s="4317"/>
      <c r="DS397" s="4317"/>
    </row>
    <row r="398" s="4134" customFormat="1" ht="16.5" customHeight="1" spans="1:124">
      <c r="A398" s="4304" t="s">
        <v>5100</v>
      </c>
      <c r="B398" s="4304"/>
      <c r="C398" s="4304"/>
      <c r="D398" s="4304"/>
      <c r="E398" s="4304"/>
      <c r="F398" s="4300"/>
      <c r="G398" s="4300"/>
      <c r="H398" s="4300"/>
      <c r="I398" s="4300"/>
      <c r="J398" s="4300"/>
      <c r="K398" s="4300"/>
      <c r="L398" s="4300"/>
      <c r="M398" s="4317"/>
      <c r="N398" s="4317"/>
      <c r="O398" s="4317" t="s">
        <v>3016</v>
      </c>
      <c r="P398" s="4317"/>
      <c r="Q398" s="4295"/>
      <c r="R398" s="4317"/>
      <c r="S398" s="4317"/>
      <c r="T398" s="4317"/>
      <c r="U398" s="4317"/>
      <c r="V398" s="4317"/>
      <c r="W398" s="4317"/>
      <c r="X398" s="4317"/>
      <c r="Y398" s="4317"/>
      <c r="Z398" s="4317"/>
      <c r="AA398" s="4317"/>
      <c r="AB398" s="4317"/>
      <c r="AC398" s="4353"/>
      <c r="AD398" s="4317"/>
      <c r="AE398" s="4369"/>
      <c r="AF398" s="4369"/>
      <c r="AG398" s="4369"/>
      <c r="AH398" s="4317"/>
      <c r="AI398" s="4317"/>
      <c r="AJ398" s="4317"/>
      <c r="AK398" s="4317"/>
      <c r="AL398" s="4317"/>
      <c r="AM398" s="4317"/>
      <c r="AN398" s="4317"/>
      <c r="AO398" s="4317"/>
      <c r="AP398" s="4317"/>
      <c r="AQ398" s="4317"/>
      <c r="AR398" s="4317"/>
      <c r="AS398" s="4317"/>
      <c r="AT398" s="4317"/>
      <c r="AU398" s="4317"/>
      <c r="AV398" s="4317"/>
      <c r="AW398" s="4317"/>
      <c r="AX398" s="4317"/>
      <c r="AY398" s="4317"/>
      <c r="AZ398" s="4317"/>
      <c r="BA398" s="4317"/>
      <c r="BB398" s="4317"/>
      <c r="BC398" s="4317"/>
      <c r="BD398" s="4317"/>
      <c r="BE398" s="4317"/>
      <c r="BF398" s="4317"/>
      <c r="BG398" s="4317"/>
      <c r="BH398" s="4317"/>
      <c r="BI398" s="4317"/>
      <c r="BJ398" s="4317"/>
      <c r="BK398" s="4317"/>
      <c r="BL398" s="4317"/>
      <c r="BM398" s="4317"/>
      <c r="BN398" s="4317"/>
      <c r="BO398" s="4317"/>
      <c r="BP398" s="4317"/>
      <c r="BQ398" s="4317"/>
      <c r="BR398" s="4317"/>
      <c r="BS398" s="4317"/>
      <c r="BT398" s="4317"/>
      <c r="BU398" s="4317"/>
      <c r="BV398" s="4317"/>
      <c r="BW398" s="4317"/>
      <c r="BX398" s="4317"/>
      <c r="BY398" s="4317"/>
      <c r="BZ398" s="4317"/>
      <c r="CA398" s="4317"/>
      <c r="CB398" s="4317"/>
      <c r="CC398" s="4317"/>
      <c r="CD398" s="4317"/>
      <c r="CE398" s="4317"/>
      <c r="CF398" s="4317"/>
      <c r="CG398" s="4317"/>
      <c r="CH398" s="4317"/>
      <c r="CI398" s="4317"/>
      <c r="CJ398" s="4317"/>
      <c r="CK398" s="4317"/>
      <c r="CL398" s="4317"/>
      <c r="CM398" s="4317"/>
      <c r="CN398" s="4317"/>
      <c r="CO398" s="4317"/>
      <c r="CP398" s="4317"/>
      <c r="CQ398" s="4317"/>
      <c r="CR398" s="4317"/>
      <c r="CS398" s="4317"/>
      <c r="CT398" s="4317"/>
      <c r="CU398" s="4317"/>
      <c r="CV398" s="4317"/>
      <c r="CW398" s="4317"/>
      <c r="CX398" s="4317"/>
      <c r="CY398" s="4317"/>
      <c r="CZ398" s="4317"/>
      <c r="DA398" s="4317"/>
      <c r="DB398" s="4317"/>
      <c r="DC398" s="4317"/>
      <c r="DD398" s="4317"/>
      <c r="DE398" s="4317"/>
      <c r="DF398" s="4317"/>
      <c r="DG398" s="4317"/>
      <c r="DH398" s="4317"/>
      <c r="DI398" s="4317"/>
      <c r="DJ398" s="4317"/>
      <c r="DK398" s="4317"/>
      <c r="DL398" s="4317"/>
      <c r="DM398" s="4317"/>
      <c r="DN398" s="4317"/>
      <c r="DO398" s="4317"/>
      <c r="DP398" s="4317"/>
      <c r="DQ398" s="4317"/>
      <c r="DR398" s="4317"/>
      <c r="DS398" s="4317"/>
    </row>
    <row r="399" s="4134" customFormat="1" ht="16.5" customHeight="1" spans="1:124">
      <c r="A399" s="4304"/>
      <c r="B399" s="4304"/>
      <c r="C399" s="4304"/>
      <c r="D399" s="4304"/>
      <c r="E399" s="4304"/>
      <c r="F399" s="4300"/>
      <c r="G399" s="4300"/>
      <c r="H399" s="4300"/>
      <c r="I399" s="4300"/>
      <c r="J399" s="4300"/>
      <c r="K399" s="4300"/>
      <c r="L399" s="4300"/>
      <c r="M399" s="4317"/>
      <c r="N399" s="4317"/>
      <c r="O399" s="4317" t="s">
        <v>3018</v>
      </c>
      <c r="P399" s="4317"/>
      <c r="Q399" s="4295"/>
      <c r="R399" s="4317"/>
      <c r="S399" s="4317"/>
      <c r="T399" s="4317"/>
      <c r="U399" s="4317"/>
      <c r="V399" s="4317"/>
      <c r="W399" s="4317"/>
      <c r="X399" s="4317"/>
      <c r="Y399" s="4317"/>
      <c r="Z399" s="4317"/>
      <c r="AA399" s="4317"/>
      <c r="AB399" s="4317"/>
      <c r="AC399" s="4353"/>
      <c r="AD399" s="4317"/>
      <c r="AE399" s="4369"/>
      <c r="AF399" s="4369"/>
      <c r="AG399" s="4369"/>
      <c r="AH399" s="4317"/>
      <c r="AI399" s="4317"/>
      <c r="AJ399" s="4317"/>
      <c r="AK399" s="4317"/>
      <c r="AL399" s="4317"/>
      <c r="AM399" s="4317"/>
      <c r="AN399" s="4317"/>
      <c r="AO399" s="4317"/>
      <c r="AP399" s="4317"/>
      <c r="AQ399" s="4317"/>
      <c r="AR399" s="4317"/>
      <c r="AS399" s="4317"/>
      <c r="AT399" s="4317"/>
      <c r="AU399" s="4317"/>
      <c r="AV399" s="4317"/>
      <c r="AW399" s="4317"/>
      <c r="AX399" s="4317"/>
      <c r="AY399" s="4317"/>
      <c r="AZ399" s="4317"/>
      <c r="BA399" s="4317"/>
      <c r="BB399" s="4317"/>
      <c r="BC399" s="4317"/>
      <c r="BD399" s="4317"/>
      <c r="BE399" s="4317"/>
      <c r="BF399" s="4317"/>
      <c r="BG399" s="4317"/>
      <c r="BH399" s="4317"/>
      <c r="BI399" s="4317"/>
      <c r="BJ399" s="4317"/>
      <c r="BK399" s="4317"/>
      <c r="BL399" s="4317"/>
      <c r="BM399" s="4317"/>
      <c r="BN399" s="4317"/>
      <c r="BO399" s="4317"/>
      <c r="BP399" s="4317"/>
      <c r="BQ399" s="4317"/>
      <c r="BR399" s="4317"/>
      <c r="BS399" s="4317"/>
      <c r="BT399" s="4317"/>
      <c r="BU399" s="4317"/>
      <c r="BV399" s="4317"/>
      <c r="BW399" s="4317"/>
      <c r="BX399" s="4317"/>
      <c r="BY399" s="4317"/>
      <c r="BZ399" s="4317"/>
      <c r="CA399" s="4317"/>
      <c r="CB399" s="4317"/>
      <c r="CC399" s="4317"/>
      <c r="CD399" s="4317"/>
      <c r="CE399" s="4317"/>
      <c r="CF399" s="4317"/>
      <c r="CG399" s="4317"/>
      <c r="CH399" s="4317"/>
      <c r="CI399" s="4317"/>
      <c r="CJ399" s="4317"/>
      <c r="CK399" s="4317"/>
      <c r="CL399" s="4317"/>
      <c r="CM399" s="4317"/>
      <c r="CN399" s="4317"/>
      <c r="CO399" s="4317"/>
      <c r="CP399" s="4317"/>
      <c r="CQ399" s="4317"/>
      <c r="CR399" s="4317"/>
      <c r="CS399" s="4317"/>
      <c r="CT399" s="4317"/>
      <c r="CU399" s="4317"/>
      <c r="CV399" s="4317"/>
      <c r="CW399" s="4317"/>
      <c r="CX399" s="4317"/>
      <c r="CY399" s="4317"/>
      <c r="CZ399" s="4317"/>
      <c r="DA399" s="4317"/>
      <c r="DB399" s="4317"/>
      <c r="DC399" s="4317"/>
      <c r="DD399" s="4317"/>
      <c r="DE399" s="4317"/>
      <c r="DF399" s="4317"/>
      <c r="DG399" s="4317"/>
      <c r="DH399" s="4317"/>
      <c r="DI399" s="4317"/>
      <c r="DJ399" s="4317"/>
      <c r="DK399" s="4317"/>
      <c r="DL399" s="4317"/>
      <c r="DM399" s="4317"/>
      <c r="DN399" s="4317"/>
      <c r="DO399" s="4317"/>
      <c r="DP399" s="4317"/>
      <c r="DQ399" s="4317"/>
      <c r="DR399" s="4317"/>
      <c r="DS399" s="4317"/>
    </row>
    <row r="400" s="4134" customFormat="1" ht="16.5" customHeight="1" spans="1:124">
      <c r="A400" s="4304" t="s">
        <v>5100</v>
      </c>
      <c r="B400" s="4304"/>
      <c r="C400" s="4304"/>
      <c r="D400" s="4304"/>
      <c r="E400" s="4304"/>
      <c r="F400" s="4300"/>
      <c r="G400" s="4300"/>
      <c r="H400" s="4300"/>
      <c r="I400" s="4300"/>
      <c r="J400" s="4300"/>
      <c r="K400" s="4300"/>
      <c r="L400" s="4300"/>
      <c r="M400" s="4317"/>
      <c r="N400" s="4317"/>
      <c r="O400" s="4317" t="s">
        <v>3020</v>
      </c>
      <c r="P400" s="4317"/>
      <c r="Q400" s="4295"/>
      <c r="R400" s="4317"/>
      <c r="S400" s="4317"/>
      <c r="T400" s="4317"/>
      <c r="U400" s="4317"/>
      <c r="V400" s="4317"/>
      <c r="W400" s="4317"/>
      <c r="X400" s="4317"/>
      <c r="Y400" s="4317"/>
      <c r="Z400" s="4317"/>
      <c r="AA400" s="4317"/>
      <c r="AB400" s="4317"/>
      <c r="AC400" s="4353"/>
      <c r="AD400" s="4317"/>
      <c r="AE400" s="4369"/>
      <c r="AF400" s="4369"/>
      <c r="AG400" s="4369"/>
      <c r="AH400" s="4317"/>
      <c r="AI400" s="4317"/>
      <c r="AJ400" s="4317"/>
      <c r="AK400" s="4317"/>
      <c r="AL400" s="4317"/>
      <c r="AM400" s="4317"/>
      <c r="AN400" s="4317"/>
      <c r="AO400" s="4317"/>
      <c r="AP400" s="4317"/>
      <c r="AQ400" s="4317"/>
      <c r="AR400" s="4317"/>
      <c r="AS400" s="4317"/>
      <c r="AT400" s="4317"/>
      <c r="AU400" s="4317"/>
      <c r="AV400" s="4317"/>
      <c r="AW400" s="4317"/>
      <c r="AX400" s="4317"/>
      <c r="AY400" s="4317"/>
      <c r="AZ400" s="4317"/>
      <c r="BA400" s="4317"/>
      <c r="BB400" s="4317"/>
      <c r="BC400" s="4317"/>
      <c r="BD400" s="4317"/>
      <c r="BE400" s="4317"/>
      <c r="BF400" s="4317"/>
      <c r="BG400" s="4317"/>
      <c r="BH400" s="4317"/>
      <c r="BI400" s="4317"/>
      <c r="BJ400" s="4317"/>
      <c r="BK400" s="4317"/>
      <c r="BL400" s="4317"/>
      <c r="BM400" s="4317"/>
      <c r="BN400" s="4317"/>
      <c r="BO400" s="4317"/>
      <c r="BP400" s="4317"/>
      <c r="BQ400" s="4317"/>
      <c r="BR400" s="4317"/>
      <c r="BS400" s="4317"/>
      <c r="BT400" s="4317"/>
      <c r="BU400" s="4317"/>
      <c r="BV400" s="4317"/>
      <c r="BW400" s="4317"/>
      <c r="BX400" s="4317"/>
      <c r="BY400" s="4317"/>
      <c r="BZ400" s="4317"/>
      <c r="CA400" s="4317"/>
      <c r="CB400" s="4317"/>
      <c r="CC400" s="4317"/>
      <c r="CD400" s="4317"/>
      <c r="CE400" s="4317"/>
      <c r="CF400" s="4317"/>
      <c r="CG400" s="4317"/>
      <c r="CH400" s="4317"/>
      <c r="CI400" s="4317"/>
      <c r="CJ400" s="4317"/>
      <c r="CK400" s="4317"/>
      <c r="CL400" s="4317"/>
      <c r="CM400" s="4317"/>
      <c r="CN400" s="4317"/>
      <c r="CO400" s="4317"/>
      <c r="CP400" s="4317"/>
      <c r="CQ400" s="4317"/>
      <c r="CR400" s="4317"/>
      <c r="CS400" s="4317"/>
      <c r="CT400" s="4317"/>
      <c r="CU400" s="4317"/>
      <c r="CV400" s="4317"/>
      <c r="CW400" s="4317"/>
      <c r="CX400" s="4317"/>
      <c r="CY400" s="4317"/>
      <c r="CZ400" s="4317"/>
      <c r="DA400" s="4317"/>
      <c r="DB400" s="4317"/>
      <c r="DC400" s="4317"/>
      <c r="DD400" s="4317"/>
      <c r="DE400" s="4317"/>
      <c r="DF400" s="4317"/>
      <c r="DG400" s="4317"/>
      <c r="DH400" s="4317"/>
      <c r="DI400" s="4317"/>
      <c r="DJ400" s="4317"/>
      <c r="DK400" s="4317"/>
      <c r="DL400" s="4317"/>
      <c r="DM400" s="4317"/>
      <c r="DN400" s="4317"/>
      <c r="DO400" s="4317"/>
      <c r="DP400" s="4317"/>
      <c r="DQ400" s="4317"/>
      <c r="DR400" s="4317"/>
      <c r="DS400" s="4317"/>
    </row>
    <row r="401" s="4134" customFormat="1" ht="16.5" customHeight="1" spans="1:123">
      <c r="A401" s="4304"/>
      <c r="B401" s="4304"/>
      <c r="C401" s="4304"/>
      <c r="D401" s="4304"/>
      <c r="E401" s="4304"/>
      <c r="F401" s="4300"/>
      <c r="G401" s="4300"/>
      <c r="H401" s="4300"/>
      <c r="I401" s="4300"/>
      <c r="J401" s="4300"/>
      <c r="K401" s="4300"/>
      <c r="L401" s="4300"/>
      <c r="M401" s="4317"/>
      <c r="N401" s="4317"/>
      <c r="O401" s="4317" t="s">
        <v>2635</v>
      </c>
      <c r="P401" s="4317"/>
      <c r="Q401" s="4295"/>
      <c r="R401" s="4317"/>
      <c r="S401" s="4317"/>
      <c r="T401" s="4317"/>
      <c r="U401" s="4317"/>
      <c r="V401" s="4317"/>
      <c r="W401" s="4317"/>
      <c r="X401" s="4317"/>
      <c r="Y401" s="4317"/>
      <c r="Z401" s="4317"/>
      <c r="AA401" s="4317"/>
      <c r="AB401" s="4317"/>
      <c r="AC401" s="4353"/>
      <c r="AD401" s="4317"/>
      <c r="AE401" s="4369"/>
      <c r="AF401" s="4369"/>
      <c r="AG401" s="4369"/>
      <c r="AH401" s="4317"/>
      <c r="AI401" s="4317"/>
      <c r="AJ401" s="4317"/>
      <c r="AK401" s="4317"/>
      <c r="AL401" s="4317"/>
      <c r="AM401" s="4317"/>
      <c r="AN401" s="4317"/>
      <c r="AO401" s="4317"/>
      <c r="AP401" s="4317"/>
      <c r="AQ401" s="4317"/>
      <c r="AR401" s="4317"/>
      <c r="AS401" s="4317"/>
      <c r="AT401" s="4317"/>
      <c r="AU401" s="4317"/>
      <c r="AV401" s="4317"/>
      <c r="AW401" s="4317"/>
      <c r="AX401" s="4317"/>
      <c r="AY401" s="4317"/>
      <c r="AZ401" s="4317"/>
      <c r="BA401" s="4317"/>
      <c r="BB401" s="4317"/>
      <c r="BC401" s="4317"/>
      <c r="BD401" s="4317"/>
      <c r="BE401" s="4317"/>
      <c r="BF401" s="4317"/>
      <c r="BG401" s="4317"/>
      <c r="BH401" s="4317"/>
      <c r="BI401" s="4317"/>
      <c r="BJ401" s="4317"/>
      <c r="BK401" s="4317"/>
      <c r="BL401" s="4317"/>
      <c r="BM401" s="4317"/>
      <c r="BN401" s="4317"/>
      <c r="BO401" s="4317"/>
      <c r="BP401" s="4317"/>
      <c r="BQ401" s="4317"/>
      <c r="BR401" s="4317"/>
      <c r="BS401" s="4317"/>
      <c r="BT401" s="4317"/>
      <c r="BU401" s="4317"/>
      <c r="BV401" s="4317"/>
      <c r="BW401" s="4317"/>
      <c r="BX401" s="4317"/>
      <c r="BY401" s="4317"/>
      <c r="BZ401" s="4317"/>
      <c r="CA401" s="4317"/>
      <c r="CB401" s="4317"/>
      <c r="CC401" s="4317"/>
      <c r="CD401" s="4317"/>
      <c r="CE401" s="4317"/>
      <c r="CF401" s="4317"/>
      <c r="CG401" s="4317"/>
      <c r="CH401" s="4317"/>
      <c r="CI401" s="4317"/>
      <c r="CJ401" s="4317"/>
      <c r="CK401" s="4317"/>
      <c r="CL401" s="4317"/>
      <c r="CM401" s="4317"/>
      <c r="CN401" s="4317"/>
      <c r="CO401" s="4317"/>
      <c r="CP401" s="4317"/>
      <c r="CQ401" s="4317"/>
      <c r="CR401" s="4317"/>
      <c r="CS401" s="4317"/>
      <c r="CT401" s="4317"/>
      <c r="CU401" s="4317"/>
      <c r="CV401" s="4317"/>
      <c r="CW401" s="4317"/>
      <c r="CX401" s="4317"/>
      <c r="CY401" s="4317"/>
      <c r="CZ401" s="4317"/>
      <c r="DA401" s="4317"/>
      <c r="DB401" s="4317"/>
      <c r="DC401" s="4317"/>
      <c r="DD401" s="4317"/>
      <c r="DE401" s="4317"/>
      <c r="DF401" s="4317"/>
      <c r="DG401" s="4317"/>
      <c r="DH401" s="4317"/>
      <c r="DI401" s="4317"/>
      <c r="DJ401" s="4317"/>
      <c r="DK401" s="4317"/>
      <c r="DL401" s="4317"/>
      <c r="DM401" s="4317"/>
      <c r="DN401" s="4317"/>
      <c r="DO401" s="4317"/>
      <c r="DP401" s="4317"/>
      <c r="DQ401" s="4317"/>
      <c r="DR401" s="4317"/>
      <c r="DS401" s="4317"/>
    </row>
    <row r="402" s="4134" customFormat="1" ht="16.5" customHeight="1" spans="1:123">
      <c r="A402" s="4304" t="s">
        <v>5101</v>
      </c>
      <c r="B402" s="4304"/>
      <c r="C402" s="4304"/>
      <c r="D402" s="4304"/>
      <c r="E402" s="4304"/>
      <c r="F402" s="4300"/>
      <c r="G402" s="4300"/>
      <c r="H402" s="4300"/>
      <c r="I402" s="4300"/>
      <c r="J402" s="4300"/>
      <c r="K402" s="4300"/>
      <c r="L402" s="4300"/>
      <c r="M402" s="4317"/>
      <c r="N402" s="4317"/>
      <c r="O402" s="4317" t="s">
        <v>2628</v>
      </c>
      <c r="P402" s="4317"/>
      <c r="Q402" s="4295"/>
      <c r="R402" s="4317"/>
      <c r="S402" s="4317"/>
      <c r="T402" s="4317"/>
      <c r="U402" s="4317"/>
      <c r="V402" s="4317"/>
      <c r="W402" s="4317"/>
      <c r="X402" s="4317"/>
      <c r="Y402" s="4317"/>
      <c r="Z402" s="4317"/>
      <c r="AA402" s="4317"/>
      <c r="AB402" s="4317"/>
      <c r="AC402" s="4353"/>
      <c r="AD402" s="4317"/>
      <c r="AE402" s="4369"/>
      <c r="AF402" s="4369"/>
      <c r="AG402" s="4369"/>
      <c r="AH402" s="4317"/>
      <c r="AI402" s="4317"/>
      <c r="AJ402" s="4317"/>
      <c r="AK402" s="4317"/>
      <c r="AL402" s="4317"/>
      <c r="AM402" s="4317"/>
      <c r="AN402" s="4317"/>
      <c r="AO402" s="4317"/>
      <c r="AP402" s="4317"/>
      <c r="AQ402" s="4317"/>
      <c r="AR402" s="4317"/>
      <c r="AS402" s="4317"/>
      <c r="AT402" s="4317"/>
      <c r="AU402" s="4317"/>
      <c r="AV402" s="4317"/>
      <c r="AW402" s="4317"/>
      <c r="AX402" s="4317"/>
      <c r="AY402" s="4317"/>
      <c r="AZ402" s="4317"/>
      <c r="BA402" s="4317"/>
      <c r="BB402" s="4317"/>
      <c r="BC402" s="4317"/>
      <c r="BD402" s="4317"/>
      <c r="BE402" s="4317"/>
      <c r="BF402" s="4317"/>
      <c r="BG402" s="4317"/>
      <c r="BH402" s="4317"/>
      <c r="BI402" s="4317"/>
      <c r="BJ402" s="4317"/>
      <c r="BK402" s="4317"/>
      <c r="BL402" s="4317"/>
      <c r="BM402" s="4317"/>
      <c r="BN402" s="4317"/>
      <c r="BO402" s="4317"/>
      <c r="BP402" s="4317"/>
      <c r="BQ402" s="4317"/>
      <c r="BR402" s="4317"/>
      <c r="BS402" s="4317"/>
      <c r="BT402" s="4317"/>
      <c r="BU402" s="4317"/>
      <c r="BV402" s="4317"/>
      <c r="BW402" s="4317"/>
      <c r="BX402" s="4317"/>
      <c r="BY402" s="4317"/>
      <c r="BZ402" s="4317"/>
      <c r="CA402" s="4317"/>
      <c r="CB402" s="4317"/>
      <c r="CC402" s="4317"/>
      <c r="CD402" s="4317"/>
      <c r="CE402" s="4317"/>
      <c r="CF402" s="4317"/>
      <c r="CG402" s="4317"/>
      <c r="CH402" s="4317"/>
      <c r="CI402" s="4317"/>
      <c r="CJ402" s="4317"/>
      <c r="CK402" s="4317"/>
      <c r="CL402" s="4317"/>
      <c r="CM402" s="4317"/>
      <c r="CN402" s="4317"/>
      <c r="CO402" s="4317"/>
      <c r="CP402" s="4317"/>
      <c r="CQ402" s="4317"/>
      <c r="CR402" s="4317"/>
      <c r="CS402" s="4317"/>
      <c r="CT402" s="4317"/>
      <c r="CU402" s="4317"/>
      <c r="CV402" s="4317"/>
      <c r="CW402" s="4317"/>
      <c r="CX402" s="4317"/>
      <c r="CY402" s="4317"/>
      <c r="CZ402" s="4317"/>
      <c r="DA402" s="4317"/>
      <c r="DB402" s="4317"/>
      <c r="DC402" s="4317"/>
      <c r="DD402" s="4317"/>
      <c r="DE402" s="4317"/>
      <c r="DF402" s="4317"/>
      <c r="DG402" s="4317"/>
      <c r="DH402" s="4317"/>
      <c r="DI402" s="4317"/>
      <c r="DJ402" s="4317"/>
      <c r="DK402" s="4317"/>
      <c r="DL402" s="4317"/>
      <c r="DM402" s="4317"/>
      <c r="DN402" s="4317"/>
      <c r="DO402" s="4317"/>
      <c r="DP402" s="4317"/>
      <c r="DQ402" s="4317"/>
      <c r="DR402" s="4317"/>
      <c r="DS402" s="4317"/>
    </row>
    <row r="403" s="4134" customFormat="1" ht="16.5" customHeight="1" spans="1:123">
      <c r="A403" s="4304" t="s">
        <v>5099</v>
      </c>
      <c r="B403" s="4304"/>
      <c r="C403" s="4304"/>
      <c r="D403" s="4304"/>
      <c r="E403" s="4304"/>
      <c r="F403" s="4300"/>
      <c r="G403" s="4300"/>
      <c r="H403" s="4300"/>
      <c r="I403" s="4300"/>
      <c r="J403" s="4300"/>
      <c r="K403" s="4300"/>
      <c r="L403" s="4300"/>
      <c r="M403" s="4317"/>
      <c r="N403" s="4317"/>
      <c r="O403" s="4317" t="s">
        <v>3026</v>
      </c>
      <c r="P403" s="4317"/>
      <c r="Q403" s="4295"/>
      <c r="R403" s="4317"/>
      <c r="S403" s="4317"/>
      <c r="T403" s="4317"/>
      <c r="U403" s="4317"/>
      <c r="V403" s="4317"/>
      <c r="W403" s="4317"/>
      <c r="X403" s="4317"/>
      <c r="Y403" s="4317"/>
      <c r="Z403" s="4317"/>
      <c r="AA403" s="4317"/>
      <c r="AB403" s="4317"/>
      <c r="AC403" s="4353"/>
      <c r="AD403" s="4317"/>
      <c r="AE403" s="4369"/>
      <c r="AF403" s="4369"/>
      <c r="AG403" s="4369"/>
      <c r="AH403" s="4317"/>
      <c r="AI403" s="4317"/>
      <c r="AJ403" s="4317"/>
      <c r="AK403" s="4317"/>
      <c r="AL403" s="4317"/>
      <c r="AM403" s="4317"/>
      <c r="AN403" s="4317"/>
      <c r="AO403" s="4317"/>
      <c r="AP403" s="4317"/>
      <c r="AQ403" s="4317"/>
      <c r="AR403" s="4317"/>
      <c r="AS403" s="4317"/>
      <c r="AT403" s="4317"/>
      <c r="AU403" s="4317"/>
      <c r="AV403" s="4317"/>
      <c r="AW403" s="4317"/>
      <c r="AX403" s="4317"/>
      <c r="AY403" s="4317"/>
      <c r="AZ403" s="4317"/>
      <c r="BA403" s="4317"/>
      <c r="BB403" s="4317"/>
      <c r="BC403" s="4317"/>
      <c r="BD403" s="4317"/>
      <c r="BE403" s="4317"/>
      <c r="BF403" s="4317"/>
      <c r="BG403" s="4317"/>
      <c r="BH403" s="4317"/>
      <c r="BI403" s="4317"/>
      <c r="BJ403" s="4317"/>
      <c r="BK403" s="4317"/>
      <c r="BL403" s="4317"/>
      <c r="BM403" s="4317"/>
      <c r="BN403" s="4317"/>
      <c r="BO403" s="4317"/>
      <c r="BP403" s="4317"/>
      <c r="BQ403" s="4317"/>
      <c r="BR403" s="4317"/>
      <c r="BS403" s="4317"/>
      <c r="BT403" s="4317"/>
      <c r="BU403" s="4317"/>
      <c r="BV403" s="4317"/>
      <c r="BW403" s="4317"/>
      <c r="BX403" s="4317"/>
      <c r="BY403" s="4317"/>
      <c r="BZ403" s="4317"/>
      <c r="CA403" s="4317"/>
      <c r="CB403" s="4317"/>
      <c r="CC403" s="4317"/>
      <c r="CD403" s="4317"/>
      <c r="CE403" s="4317"/>
      <c r="CF403" s="4317"/>
      <c r="CG403" s="4317"/>
      <c r="CH403" s="4317"/>
      <c r="CI403" s="4317"/>
      <c r="CJ403" s="4317"/>
      <c r="CK403" s="4317"/>
      <c r="CL403" s="4317"/>
      <c r="CM403" s="4317"/>
      <c r="CN403" s="4317"/>
      <c r="CO403" s="4317"/>
      <c r="CP403" s="4317"/>
      <c r="CQ403" s="4317"/>
      <c r="CR403" s="4317"/>
      <c r="CS403" s="4317"/>
      <c r="CT403" s="4317"/>
      <c r="CU403" s="4317"/>
      <c r="CV403" s="4317"/>
      <c r="CW403" s="4317"/>
      <c r="CX403" s="4317"/>
      <c r="CY403" s="4317"/>
      <c r="CZ403" s="4317"/>
      <c r="DA403" s="4317"/>
      <c r="DB403" s="4317"/>
      <c r="DC403" s="4317"/>
      <c r="DD403" s="4317"/>
      <c r="DE403" s="4317"/>
      <c r="DF403" s="4317"/>
      <c r="DG403" s="4317"/>
      <c r="DH403" s="4317"/>
      <c r="DI403" s="4317"/>
      <c r="DJ403" s="4317"/>
      <c r="DK403" s="4317"/>
      <c r="DL403" s="4317"/>
      <c r="DM403" s="4317"/>
      <c r="DN403" s="4317"/>
      <c r="DO403" s="4317"/>
      <c r="DP403" s="4317"/>
      <c r="DQ403" s="4317"/>
      <c r="DR403" s="4317"/>
      <c r="DS403" s="4317"/>
    </row>
    <row r="404" s="4134" customFormat="1" ht="16.5" customHeight="1" spans="1:123">
      <c r="A404" s="4304" t="s">
        <v>5100</v>
      </c>
      <c r="B404" s="4304"/>
      <c r="C404" s="4304"/>
      <c r="D404" s="4304"/>
      <c r="E404" s="4304"/>
      <c r="F404" s="4300"/>
      <c r="G404" s="4300"/>
      <c r="H404" s="4300"/>
      <c r="I404" s="4300"/>
      <c r="J404" s="4300"/>
      <c r="K404" s="4300"/>
      <c r="L404" s="4300"/>
      <c r="M404" s="4317"/>
      <c r="N404" s="4317"/>
      <c r="O404" s="4317" t="s">
        <v>3028</v>
      </c>
      <c r="P404" s="4317"/>
      <c r="Q404" s="4295"/>
      <c r="R404" s="4317"/>
      <c r="S404" s="4317"/>
      <c r="T404" s="4317"/>
      <c r="U404" s="4317"/>
      <c r="V404" s="4317"/>
      <c r="W404" s="4317"/>
      <c r="X404" s="4317"/>
      <c r="Y404" s="4317"/>
      <c r="Z404" s="4317"/>
      <c r="AA404" s="4317"/>
      <c r="AB404" s="4317"/>
      <c r="AC404" s="4353"/>
      <c r="AD404" s="4317"/>
      <c r="AE404" s="4369"/>
      <c r="AF404" s="4369"/>
      <c r="AG404" s="4369"/>
      <c r="AH404" s="4317"/>
      <c r="AI404" s="4317"/>
      <c r="AJ404" s="4317"/>
      <c r="AK404" s="4317"/>
      <c r="AL404" s="4317"/>
      <c r="AM404" s="4317"/>
      <c r="AN404" s="4317"/>
      <c r="AO404" s="4317"/>
      <c r="AP404" s="4317"/>
      <c r="AQ404" s="4317"/>
      <c r="AR404" s="4317"/>
      <c r="AS404" s="4317"/>
      <c r="AT404" s="4317"/>
      <c r="AU404" s="4317"/>
      <c r="AV404" s="4317"/>
      <c r="AW404" s="4317"/>
      <c r="AX404" s="4317"/>
      <c r="AY404" s="4317"/>
      <c r="AZ404" s="4317"/>
      <c r="BA404" s="4317"/>
      <c r="BB404" s="4317"/>
      <c r="BC404" s="4317"/>
      <c r="BD404" s="4317"/>
      <c r="BE404" s="4317"/>
      <c r="BF404" s="4317"/>
      <c r="BG404" s="4317"/>
      <c r="BH404" s="4317"/>
      <c r="BI404" s="4317"/>
      <c r="BJ404" s="4317"/>
      <c r="BK404" s="4317"/>
      <c r="BL404" s="4317"/>
      <c r="BM404" s="4317"/>
      <c r="BN404" s="4317"/>
      <c r="BO404" s="4317"/>
      <c r="BP404" s="4317"/>
      <c r="BQ404" s="4317"/>
      <c r="BR404" s="4317"/>
      <c r="BS404" s="4317"/>
      <c r="BT404" s="4317"/>
      <c r="BU404" s="4317"/>
      <c r="BV404" s="4317"/>
      <c r="BW404" s="4317"/>
      <c r="BX404" s="4317"/>
      <c r="BY404" s="4317"/>
      <c r="BZ404" s="4317"/>
      <c r="CA404" s="4317"/>
      <c r="CB404" s="4317"/>
      <c r="CC404" s="4317"/>
      <c r="CD404" s="4317"/>
      <c r="CE404" s="4317"/>
      <c r="CF404" s="4317"/>
      <c r="CG404" s="4317"/>
      <c r="CH404" s="4317"/>
      <c r="CI404" s="4317"/>
      <c r="CJ404" s="4317"/>
      <c r="CK404" s="4317"/>
      <c r="CL404" s="4317"/>
      <c r="CM404" s="4317"/>
      <c r="CN404" s="4317"/>
      <c r="CO404" s="4317"/>
      <c r="CP404" s="4317"/>
      <c r="CQ404" s="4317"/>
      <c r="CR404" s="4317"/>
      <c r="CS404" s="4317"/>
      <c r="CT404" s="4317"/>
      <c r="CU404" s="4317"/>
      <c r="CV404" s="4317"/>
      <c r="CW404" s="4317"/>
      <c r="CX404" s="4317"/>
      <c r="CY404" s="4317"/>
      <c r="CZ404" s="4317"/>
      <c r="DA404" s="4317"/>
      <c r="DB404" s="4317"/>
      <c r="DC404" s="4317"/>
      <c r="DD404" s="4317"/>
      <c r="DE404" s="4317"/>
      <c r="DF404" s="4317"/>
      <c r="DG404" s="4317"/>
      <c r="DH404" s="4317"/>
      <c r="DI404" s="4317"/>
      <c r="DJ404" s="4317"/>
      <c r="DK404" s="4317"/>
      <c r="DL404" s="4317"/>
      <c r="DM404" s="4317"/>
      <c r="DN404" s="4317"/>
      <c r="DO404" s="4317"/>
      <c r="DP404" s="4317"/>
      <c r="DQ404" s="4317"/>
      <c r="DR404" s="4317"/>
      <c r="DS404" s="4317"/>
    </row>
    <row r="405" s="4134" customFormat="1" ht="16.5" customHeight="1" spans="1:123">
      <c r="A405" s="4304"/>
      <c r="B405" s="4304"/>
      <c r="C405" s="4304"/>
      <c r="D405" s="4304"/>
      <c r="E405" s="4304"/>
      <c r="F405" s="4300"/>
      <c r="G405" s="4300"/>
      <c r="H405" s="4300"/>
      <c r="I405" s="4300"/>
      <c r="J405" s="4300"/>
      <c r="K405" s="4300"/>
      <c r="L405" s="4300"/>
      <c r="M405" s="4317"/>
      <c r="N405" s="4317"/>
      <c r="O405" s="4317" t="s">
        <v>3030</v>
      </c>
      <c r="P405" s="4317"/>
      <c r="Q405" s="4295"/>
      <c r="R405" s="4317"/>
      <c r="S405" s="4317"/>
      <c r="T405" s="4317"/>
      <c r="U405" s="4317"/>
      <c r="V405" s="4317"/>
      <c r="W405" s="4317"/>
      <c r="X405" s="4317"/>
      <c r="Y405" s="4317"/>
      <c r="Z405" s="4317"/>
      <c r="AA405" s="4317"/>
      <c r="AB405" s="4317"/>
      <c r="AC405" s="4353"/>
      <c r="AD405" s="4317"/>
      <c r="AE405" s="4369"/>
      <c r="AF405" s="4369"/>
      <c r="AG405" s="4369"/>
      <c r="AH405" s="4317"/>
      <c r="AI405" s="4317"/>
      <c r="AJ405" s="4317"/>
      <c r="AK405" s="4317"/>
      <c r="AL405" s="4317"/>
      <c r="AM405" s="4317"/>
      <c r="AN405" s="4317"/>
      <c r="AO405" s="4317"/>
      <c r="AP405" s="4317"/>
      <c r="AQ405" s="4317"/>
      <c r="AR405" s="4317"/>
      <c r="AS405" s="4317"/>
      <c r="AT405" s="4317"/>
      <c r="AU405" s="4317"/>
      <c r="AV405" s="4317"/>
      <c r="AW405" s="4317"/>
      <c r="AX405" s="4317"/>
      <c r="AY405" s="4317"/>
      <c r="AZ405" s="4317"/>
      <c r="BA405" s="4317"/>
      <c r="BB405" s="4317"/>
      <c r="BC405" s="4317"/>
      <c r="BD405" s="4317"/>
      <c r="BE405" s="4317"/>
      <c r="BF405" s="4317"/>
      <c r="BG405" s="4317"/>
      <c r="BH405" s="4317"/>
      <c r="BI405" s="4317"/>
      <c r="BJ405" s="4317"/>
      <c r="BK405" s="4317"/>
      <c r="BL405" s="4317"/>
      <c r="BM405" s="4317"/>
      <c r="BN405" s="4317"/>
      <c r="BO405" s="4317"/>
      <c r="BP405" s="4317"/>
      <c r="BQ405" s="4317"/>
      <c r="BR405" s="4317"/>
      <c r="BS405" s="4317"/>
      <c r="BT405" s="4317"/>
      <c r="BU405" s="4317"/>
      <c r="BV405" s="4317"/>
      <c r="BW405" s="4317"/>
      <c r="BX405" s="4317"/>
      <c r="BY405" s="4317"/>
      <c r="BZ405" s="4317"/>
      <c r="CA405" s="4317"/>
      <c r="CB405" s="4317"/>
      <c r="CC405" s="4317"/>
      <c r="CD405" s="4317"/>
      <c r="CE405" s="4317"/>
      <c r="CF405" s="4317"/>
      <c r="CG405" s="4317"/>
      <c r="CH405" s="4317"/>
      <c r="CI405" s="4317"/>
      <c r="CJ405" s="4317"/>
      <c r="CK405" s="4317"/>
      <c r="CL405" s="4317"/>
      <c r="CM405" s="4317"/>
      <c r="CN405" s="4317"/>
      <c r="CO405" s="4317"/>
      <c r="CP405" s="4317"/>
      <c r="CQ405" s="4317"/>
      <c r="CR405" s="4317"/>
      <c r="CS405" s="4317"/>
      <c r="CT405" s="4317"/>
      <c r="CU405" s="4317"/>
      <c r="CV405" s="4317"/>
      <c r="CW405" s="4317"/>
      <c r="CX405" s="4317"/>
      <c r="CY405" s="4317"/>
      <c r="CZ405" s="4317"/>
      <c r="DA405" s="4317"/>
      <c r="DB405" s="4317"/>
      <c r="DC405" s="4317"/>
      <c r="DD405" s="4317"/>
      <c r="DE405" s="4317"/>
      <c r="DF405" s="4317"/>
      <c r="DG405" s="4317"/>
      <c r="DH405" s="4317"/>
      <c r="DI405" s="4317"/>
      <c r="DJ405" s="4317"/>
      <c r="DK405" s="4317"/>
      <c r="DL405" s="4317"/>
      <c r="DM405" s="4317"/>
      <c r="DN405" s="4317"/>
      <c r="DO405" s="4317"/>
      <c r="DP405" s="4317"/>
      <c r="DQ405" s="4317"/>
      <c r="DR405" s="4317"/>
      <c r="DS405" s="4317"/>
    </row>
    <row r="406" s="4134" customFormat="1" ht="16.5" customHeight="1" spans="1:123">
      <c r="A406" s="4304"/>
      <c r="B406" s="4304"/>
      <c r="C406" s="4304"/>
      <c r="D406" s="4304"/>
      <c r="E406" s="4304"/>
      <c r="F406" s="4300"/>
      <c r="G406" s="4300"/>
      <c r="H406" s="4300"/>
      <c r="I406" s="4300"/>
      <c r="J406" s="4300"/>
      <c r="K406" s="4300"/>
      <c r="L406" s="4300"/>
      <c r="M406" s="4317"/>
      <c r="N406" s="4317"/>
      <c r="O406" s="4317" t="s">
        <v>3018</v>
      </c>
      <c r="P406" s="4317"/>
      <c r="Q406" s="4295"/>
      <c r="R406" s="4317"/>
      <c r="S406" s="4317"/>
      <c r="T406" s="4317"/>
      <c r="U406" s="4317"/>
      <c r="V406" s="4317"/>
      <c r="W406" s="4317"/>
      <c r="X406" s="4317"/>
      <c r="Y406" s="4317"/>
      <c r="Z406" s="4317"/>
      <c r="AA406" s="4317"/>
      <c r="AB406" s="4317"/>
      <c r="AC406" s="4353"/>
      <c r="AD406" s="4317"/>
      <c r="AE406" s="4369"/>
      <c r="AF406" s="4369"/>
      <c r="AG406" s="4369"/>
      <c r="AH406" s="4317"/>
      <c r="AI406" s="4317"/>
      <c r="AJ406" s="4317"/>
      <c r="AK406" s="4317"/>
      <c r="AL406" s="4317"/>
      <c r="AM406" s="4317"/>
      <c r="AN406" s="4317"/>
      <c r="AO406" s="4317"/>
      <c r="AP406" s="4317"/>
      <c r="AQ406" s="4317"/>
      <c r="AR406" s="4317"/>
      <c r="AS406" s="4317"/>
      <c r="AT406" s="4317"/>
      <c r="AU406" s="4317"/>
      <c r="AV406" s="4317"/>
      <c r="AW406" s="4317"/>
      <c r="AX406" s="4317"/>
      <c r="AY406" s="4317"/>
      <c r="AZ406" s="4317"/>
      <c r="BA406" s="4317"/>
      <c r="BB406" s="4317"/>
      <c r="BC406" s="4317"/>
      <c r="BD406" s="4317"/>
      <c r="BE406" s="4317"/>
      <c r="BF406" s="4317"/>
      <c r="BG406" s="4317"/>
      <c r="BH406" s="4317"/>
      <c r="BI406" s="4317"/>
      <c r="BJ406" s="4317"/>
      <c r="BK406" s="4317"/>
      <c r="BL406" s="4317"/>
      <c r="BM406" s="4317"/>
      <c r="BN406" s="4317"/>
      <c r="BO406" s="4317"/>
      <c r="BP406" s="4317"/>
      <c r="BQ406" s="4317"/>
      <c r="BR406" s="4317"/>
      <c r="BS406" s="4317"/>
      <c r="BT406" s="4317"/>
      <c r="BU406" s="4317"/>
      <c r="BV406" s="4317"/>
      <c r="BW406" s="4317"/>
      <c r="BX406" s="4317"/>
      <c r="BY406" s="4317"/>
      <c r="BZ406" s="4317"/>
      <c r="CA406" s="4317"/>
      <c r="CB406" s="4317"/>
      <c r="CC406" s="4317"/>
      <c r="CD406" s="4317"/>
      <c r="CE406" s="4317"/>
      <c r="CF406" s="4317"/>
      <c r="CG406" s="4317"/>
      <c r="CH406" s="4317"/>
      <c r="CI406" s="4317"/>
      <c r="CJ406" s="4317"/>
      <c r="CK406" s="4317"/>
      <c r="CL406" s="4317"/>
      <c r="CM406" s="4317"/>
      <c r="CN406" s="4317"/>
      <c r="CO406" s="4317"/>
      <c r="CP406" s="4317"/>
      <c r="CQ406" s="4317"/>
      <c r="CR406" s="4317"/>
      <c r="CS406" s="4317"/>
      <c r="CT406" s="4317"/>
      <c r="CU406" s="4317"/>
      <c r="CV406" s="4317"/>
      <c r="CW406" s="4317"/>
      <c r="CX406" s="4317"/>
      <c r="CY406" s="4317"/>
      <c r="CZ406" s="4317"/>
      <c r="DA406" s="4317"/>
      <c r="DB406" s="4317"/>
      <c r="DC406" s="4317"/>
      <c r="DD406" s="4317"/>
      <c r="DE406" s="4317"/>
      <c r="DF406" s="4317"/>
      <c r="DG406" s="4317"/>
      <c r="DH406" s="4317"/>
      <c r="DI406" s="4317"/>
      <c r="DJ406" s="4317"/>
      <c r="DK406" s="4317"/>
      <c r="DL406" s="4317"/>
      <c r="DM406" s="4317"/>
      <c r="DN406" s="4317"/>
      <c r="DO406" s="4317"/>
      <c r="DP406" s="4317"/>
      <c r="DQ406" s="4317"/>
      <c r="DR406" s="4317"/>
      <c r="DS406" s="4317"/>
    </row>
    <row r="407" s="4134" customFormat="1" ht="16.5" customHeight="1" spans="1:123">
      <c r="A407" s="4304" t="s">
        <v>5100</v>
      </c>
      <c r="B407" s="4304"/>
      <c r="C407" s="4304"/>
      <c r="D407" s="4304"/>
      <c r="E407" s="4304"/>
      <c r="F407" s="4300"/>
      <c r="G407" s="4300"/>
      <c r="H407" s="4300"/>
      <c r="I407" s="4300"/>
      <c r="J407" s="4300"/>
      <c r="K407" s="4300"/>
      <c r="L407" s="4300"/>
      <c r="M407" s="4317"/>
      <c r="N407" s="4317"/>
      <c r="O407" s="4317" t="s">
        <v>3033</v>
      </c>
      <c r="P407" s="4317"/>
      <c r="Q407" s="4295"/>
      <c r="R407" s="4317"/>
      <c r="S407" s="4317"/>
      <c r="T407" s="4317"/>
      <c r="U407" s="4317"/>
      <c r="V407" s="4317"/>
      <c r="W407" s="4317"/>
      <c r="X407" s="4317"/>
      <c r="Y407" s="4317"/>
      <c r="Z407" s="4317"/>
      <c r="AA407" s="4317"/>
      <c r="AB407" s="4317"/>
      <c r="AC407" s="4353"/>
      <c r="AD407" s="4317"/>
      <c r="AE407" s="4369"/>
      <c r="AF407" s="4369"/>
      <c r="AG407" s="4369"/>
      <c r="AH407" s="4317"/>
      <c r="AI407" s="4317"/>
      <c r="AJ407" s="4317"/>
      <c r="AK407" s="4317"/>
      <c r="AL407" s="4317"/>
      <c r="AM407" s="4317"/>
      <c r="AN407" s="4317"/>
      <c r="AO407" s="4317"/>
      <c r="AP407" s="4317"/>
      <c r="AQ407" s="4317"/>
      <c r="AR407" s="4317"/>
      <c r="AS407" s="4317"/>
      <c r="AT407" s="4317"/>
      <c r="AU407" s="4317"/>
      <c r="AV407" s="4317"/>
      <c r="AW407" s="4317"/>
      <c r="AX407" s="4317"/>
      <c r="AY407" s="4317"/>
      <c r="AZ407" s="4317"/>
      <c r="BA407" s="4317"/>
      <c r="BB407" s="4317"/>
      <c r="BC407" s="4317"/>
      <c r="BD407" s="4317"/>
      <c r="BE407" s="4317"/>
      <c r="BF407" s="4317"/>
      <c r="BG407" s="4317"/>
      <c r="BH407" s="4317"/>
      <c r="BI407" s="4317"/>
      <c r="BJ407" s="4317"/>
      <c r="BK407" s="4317"/>
      <c r="BL407" s="4317"/>
      <c r="BM407" s="4317"/>
      <c r="BN407" s="4317"/>
      <c r="BO407" s="4317"/>
      <c r="BP407" s="4317"/>
      <c r="BQ407" s="4317"/>
      <c r="BR407" s="4317"/>
      <c r="BS407" s="4317"/>
      <c r="BT407" s="4317"/>
      <c r="BU407" s="4317"/>
      <c r="BV407" s="4317"/>
      <c r="BW407" s="4317"/>
      <c r="BX407" s="4317"/>
      <c r="BY407" s="4317"/>
      <c r="BZ407" s="4317"/>
      <c r="CA407" s="4317"/>
      <c r="CB407" s="4317"/>
      <c r="CC407" s="4317"/>
      <c r="CD407" s="4317"/>
      <c r="CE407" s="4317"/>
      <c r="CF407" s="4317"/>
      <c r="CG407" s="4317"/>
      <c r="CH407" s="4317"/>
      <c r="CI407" s="4317"/>
      <c r="CJ407" s="4317"/>
      <c r="CK407" s="4317"/>
      <c r="CL407" s="4317"/>
      <c r="CM407" s="4317"/>
      <c r="CN407" s="4317"/>
      <c r="CO407" s="4317"/>
      <c r="CP407" s="4317"/>
      <c r="CQ407" s="4317"/>
      <c r="CR407" s="4317"/>
      <c r="CS407" s="4317"/>
      <c r="CT407" s="4317"/>
      <c r="CU407" s="4317"/>
      <c r="CV407" s="4317"/>
      <c r="CW407" s="4317"/>
      <c r="CX407" s="4317"/>
      <c r="CY407" s="4317"/>
      <c r="CZ407" s="4317"/>
      <c r="DA407" s="4317"/>
      <c r="DB407" s="4317"/>
      <c r="DC407" s="4317"/>
      <c r="DD407" s="4317"/>
      <c r="DE407" s="4317"/>
      <c r="DF407" s="4317"/>
      <c r="DG407" s="4317"/>
      <c r="DH407" s="4317"/>
      <c r="DI407" s="4317"/>
      <c r="DJ407" s="4317"/>
      <c r="DK407" s="4317"/>
      <c r="DL407" s="4317"/>
      <c r="DM407" s="4317"/>
      <c r="DN407" s="4317"/>
      <c r="DO407" s="4317"/>
      <c r="DP407" s="4317"/>
      <c r="DQ407" s="4317"/>
      <c r="DR407" s="4317"/>
      <c r="DS407" s="4317"/>
    </row>
    <row r="408" s="4134" customFormat="1" ht="16.5" customHeight="1" spans="1:123">
      <c r="A408" s="4304"/>
      <c r="B408" s="4304"/>
      <c r="C408" s="4304"/>
      <c r="D408" s="4304"/>
      <c r="E408" s="4304"/>
      <c r="F408" s="4300"/>
      <c r="G408" s="4300"/>
      <c r="H408" s="4300"/>
      <c r="I408" s="4300"/>
      <c r="J408" s="4300"/>
      <c r="K408" s="4300"/>
      <c r="L408" s="4300"/>
      <c r="M408" s="4317"/>
      <c r="N408" s="4317"/>
      <c r="O408" s="4317" t="s">
        <v>2635</v>
      </c>
      <c r="P408" s="4317"/>
      <c r="Q408" s="4295"/>
      <c r="R408" s="4317"/>
      <c r="S408" s="4317"/>
      <c r="T408" s="4317"/>
      <c r="U408" s="4317"/>
      <c r="V408" s="4317"/>
      <c r="W408" s="4317"/>
      <c r="X408" s="4317"/>
      <c r="Y408" s="4317"/>
      <c r="Z408" s="4317"/>
      <c r="AA408" s="4317"/>
      <c r="AB408" s="4317"/>
      <c r="AC408" s="4353"/>
      <c r="AD408" s="4317"/>
      <c r="AE408" s="4369"/>
      <c r="AF408" s="4369"/>
      <c r="AG408" s="4369"/>
      <c r="AH408" s="4317"/>
      <c r="AI408" s="4317"/>
      <c r="AJ408" s="4317"/>
      <c r="AK408" s="4317"/>
      <c r="AL408" s="4317"/>
      <c r="AM408" s="4317"/>
      <c r="AN408" s="4317"/>
      <c r="AO408" s="4317"/>
      <c r="AP408" s="4317"/>
      <c r="AQ408" s="4317"/>
      <c r="AR408" s="4317"/>
      <c r="AS408" s="4317"/>
      <c r="AT408" s="4317"/>
      <c r="AU408" s="4317"/>
      <c r="AV408" s="4317"/>
      <c r="AW408" s="4317"/>
      <c r="AX408" s="4317"/>
      <c r="AY408" s="4317"/>
      <c r="AZ408" s="4317"/>
      <c r="BA408" s="4317"/>
      <c r="BB408" s="4317"/>
      <c r="BC408" s="4317"/>
      <c r="BD408" s="4317"/>
      <c r="BE408" s="4317"/>
      <c r="BF408" s="4317"/>
      <c r="BG408" s="4317"/>
      <c r="BH408" s="4317"/>
      <c r="BI408" s="4317"/>
      <c r="BJ408" s="4317"/>
      <c r="BK408" s="4317"/>
      <c r="BL408" s="4317"/>
      <c r="BM408" s="4317"/>
      <c r="BN408" s="4317"/>
      <c r="BO408" s="4317"/>
      <c r="BP408" s="4317"/>
      <c r="BQ408" s="4317"/>
      <c r="BR408" s="4317"/>
      <c r="BS408" s="4317"/>
      <c r="BT408" s="4317"/>
      <c r="BU408" s="4317"/>
      <c r="BV408" s="4317"/>
      <c r="BW408" s="4317"/>
      <c r="BX408" s="4317"/>
      <c r="BY408" s="4317"/>
      <c r="BZ408" s="4317"/>
      <c r="CA408" s="4317"/>
      <c r="CB408" s="4317"/>
      <c r="CC408" s="4317"/>
      <c r="CD408" s="4317"/>
      <c r="CE408" s="4317"/>
      <c r="CF408" s="4317"/>
      <c r="CG408" s="4317"/>
      <c r="CH408" s="4317"/>
      <c r="CI408" s="4317"/>
      <c r="CJ408" s="4317"/>
      <c r="CK408" s="4317"/>
      <c r="CL408" s="4317"/>
      <c r="CM408" s="4317"/>
      <c r="CN408" s="4317"/>
      <c r="CO408" s="4317"/>
      <c r="CP408" s="4317"/>
      <c r="CQ408" s="4317"/>
      <c r="CR408" s="4317"/>
      <c r="CS408" s="4317"/>
      <c r="CT408" s="4317"/>
      <c r="CU408" s="4317"/>
      <c r="CV408" s="4317"/>
      <c r="CW408" s="4317"/>
      <c r="CX408" s="4317"/>
      <c r="CY408" s="4317"/>
      <c r="CZ408" s="4317"/>
      <c r="DA408" s="4317"/>
      <c r="DB408" s="4317"/>
      <c r="DC408" s="4317"/>
      <c r="DD408" s="4317"/>
      <c r="DE408" s="4317"/>
      <c r="DF408" s="4317"/>
      <c r="DG408" s="4317"/>
      <c r="DH408" s="4317"/>
      <c r="DI408" s="4317"/>
      <c r="DJ408" s="4317"/>
      <c r="DK408" s="4317"/>
      <c r="DL408" s="4317"/>
      <c r="DM408" s="4317"/>
      <c r="DN408" s="4317"/>
      <c r="DO408" s="4317"/>
      <c r="DP408" s="4317"/>
      <c r="DQ408" s="4317"/>
      <c r="DR408" s="4317"/>
      <c r="DS408" s="4317"/>
    </row>
    <row r="409" s="4134" customFormat="1" ht="16.5" customHeight="1" spans="1:123">
      <c r="A409" s="4332"/>
      <c r="B409" s="4332"/>
      <c r="C409" s="4332"/>
      <c r="D409" s="4332"/>
      <c r="E409" s="4332"/>
      <c r="F409" s="4339">
        <f>SUM(F397:L408)</f>
        <v>0</v>
      </c>
      <c r="G409" s="4339"/>
      <c r="H409" s="4339"/>
      <c r="I409" s="4339"/>
      <c r="J409" s="4339"/>
      <c r="K409" s="4339"/>
      <c r="L409" s="4339"/>
      <c r="M409" s="4317"/>
      <c r="N409" s="4317"/>
      <c r="O409" s="4340" t="s">
        <v>5098</v>
      </c>
      <c r="P409" s="4317"/>
      <c r="Q409" s="4295"/>
      <c r="R409" s="4317"/>
      <c r="S409" s="4317"/>
      <c r="T409" s="4317"/>
      <c r="U409" s="4317"/>
      <c r="V409" s="4317"/>
      <c r="W409" s="4317"/>
      <c r="X409" s="4317"/>
      <c r="Y409" s="4317"/>
      <c r="Z409" s="4317"/>
      <c r="AA409" s="4317"/>
      <c r="AB409" s="4353"/>
      <c r="AC409" s="4353"/>
      <c r="AD409" s="4317"/>
      <c r="AE409" s="4353"/>
      <c r="AF409" s="4317"/>
      <c r="AG409" s="4317"/>
      <c r="AH409" s="4317"/>
      <c r="AI409" s="4317"/>
      <c r="AJ409" s="4317"/>
      <c r="AK409" s="4317"/>
      <c r="AL409" s="4317"/>
      <c r="AM409" s="4317"/>
      <c r="AN409" s="4317"/>
      <c r="AO409" s="4317"/>
      <c r="AP409" s="4317"/>
      <c r="AQ409" s="4317"/>
      <c r="AR409" s="4317"/>
      <c r="AS409" s="4317"/>
      <c r="AT409" s="4317"/>
      <c r="AU409" s="4317"/>
      <c r="AV409" s="4317"/>
      <c r="AW409" s="4317"/>
      <c r="AX409" s="4317"/>
      <c r="AY409" s="4317"/>
      <c r="AZ409" s="4317"/>
      <c r="BA409" s="4317"/>
      <c r="BB409" s="4317"/>
      <c r="BC409" s="4317"/>
      <c r="BD409" s="4317"/>
      <c r="BE409" s="4317"/>
      <c r="BF409" s="4317"/>
      <c r="BG409" s="4317"/>
      <c r="BH409" s="4317"/>
      <c r="BI409" s="4317"/>
      <c r="BJ409" s="4317"/>
      <c r="BK409" s="4317"/>
      <c r="BL409" s="4317"/>
      <c r="BM409" s="4317"/>
      <c r="BN409" s="4317"/>
      <c r="BO409" s="4317"/>
      <c r="BP409" s="4317"/>
      <c r="BQ409" s="4317"/>
      <c r="BR409" s="4317"/>
      <c r="BS409" s="4317"/>
      <c r="BT409" s="4317"/>
      <c r="BU409" s="4317"/>
      <c r="BV409" s="4317"/>
      <c r="BW409" s="4317"/>
      <c r="BX409" s="4317"/>
      <c r="BY409" s="4317"/>
      <c r="BZ409" s="4317"/>
      <c r="CA409" s="4317"/>
      <c r="CB409" s="4317"/>
      <c r="CC409" s="4317"/>
      <c r="CD409" s="4317"/>
      <c r="CE409" s="4317"/>
      <c r="CF409" s="4317"/>
      <c r="CG409" s="4317"/>
      <c r="CH409" s="4317"/>
      <c r="CI409" s="4317"/>
      <c r="CJ409" s="4317"/>
      <c r="CK409" s="4317"/>
      <c r="CL409" s="4317"/>
      <c r="CM409" s="4317"/>
      <c r="CN409" s="4317"/>
      <c r="CO409" s="4317"/>
      <c r="CP409" s="4317"/>
      <c r="CQ409" s="4317"/>
      <c r="CR409" s="4317"/>
      <c r="CS409" s="4317"/>
      <c r="CT409" s="4317"/>
      <c r="CU409" s="4317"/>
      <c r="CV409" s="4317"/>
      <c r="CW409" s="4317"/>
      <c r="CX409" s="4317"/>
      <c r="CY409" s="4317"/>
      <c r="CZ409" s="4317"/>
      <c r="DA409" s="4317"/>
      <c r="DB409" s="4317"/>
      <c r="DC409" s="4317"/>
      <c r="DD409" s="4317"/>
      <c r="DE409" s="4317"/>
      <c r="DF409" s="4317"/>
      <c r="DG409" s="4317"/>
      <c r="DH409" s="4317"/>
      <c r="DI409" s="4317"/>
      <c r="DJ409" s="4317"/>
      <c r="DK409" s="4317"/>
      <c r="DL409" s="4317"/>
      <c r="DM409" s="4317"/>
      <c r="DN409" s="4317"/>
      <c r="DO409" s="4317"/>
      <c r="DP409" s="4317"/>
      <c r="DQ409" s="4317"/>
      <c r="DR409" s="4317"/>
      <c r="DS409" s="4317"/>
    </row>
    <row r="410" s="4134" customFormat="1" ht="16.5" customHeight="1" spans="1:123">
      <c r="A410" s="4370" t="s">
        <v>5102</v>
      </c>
      <c r="B410" s="4371"/>
      <c r="C410" s="4371"/>
      <c r="D410" s="4371"/>
      <c r="E410" s="4372"/>
      <c r="F410" s="4317"/>
      <c r="G410" s="4317"/>
      <c r="H410" s="4317"/>
      <c r="I410" s="4317"/>
      <c r="J410" s="4317"/>
      <c r="K410" s="4317"/>
      <c r="L410" s="4317"/>
      <c r="M410" s="4317"/>
      <c r="N410" s="4317"/>
      <c r="O410" s="4317" t="s">
        <v>3038</v>
      </c>
      <c r="P410" s="4317"/>
      <c r="Q410" s="4295"/>
      <c r="R410" s="4317"/>
      <c r="S410" s="4317"/>
      <c r="T410" s="4317"/>
      <c r="U410" s="4317"/>
      <c r="V410" s="4317"/>
      <c r="W410" s="4317"/>
      <c r="X410" s="4317"/>
      <c r="Y410" s="4317"/>
      <c r="Z410" s="4317"/>
      <c r="AA410" s="4317"/>
      <c r="AB410" s="4317"/>
      <c r="AC410" s="4353"/>
      <c r="AD410" s="4317"/>
      <c r="AE410" s="4369"/>
      <c r="AF410" s="4369"/>
      <c r="AG410" s="4369"/>
      <c r="AH410" s="4317"/>
      <c r="AI410" s="4317"/>
      <c r="AJ410" s="4317"/>
      <c r="AK410" s="4317"/>
      <c r="AL410" s="4317"/>
      <c r="AM410" s="4317"/>
      <c r="AN410" s="4317"/>
      <c r="AO410" s="4317"/>
      <c r="AP410" s="4317"/>
      <c r="AQ410" s="4317"/>
      <c r="AR410" s="4317"/>
      <c r="AS410" s="4317"/>
      <c r="AT410" s="4317"/>
      <c r="AU410" s="4317"/>
      <c r="AV410" s="4317"/>
      <c r="AW410" s="4317"/>
      <c r="AX410" s="4317"/>
      <c r="AY410" s="4317"/>
      <c r="AZ410" s="4317"/>
      <c r="BA410" s="4317"/>
      <c r="BB410" s="4317"/>
      <c r="BC410" s="4317"/>
      <c r="BD410" s="4317"/>
      <c r="BE410" s="4317"/>
      <c r="BF410" s="4317"/>
      <c r="BG410" s="4317"/>
      <c r="BH410" s="4317"/>
      <c r="BI410" s="4317"/>
      <c r="BJ410" s="4317"/>
      <c r="BK410" s="4317"/>
      <c r="BL410" s="4317"/>
      <c r="BM410" s="4317"/>
      <c r="BN410" s="4317"/>
      <c r="BO410" s="4317"/>
      <c r="BP410" s="4317"/>
      <c r="BQ410" s="4317"/>
      <c r="BR410" s="4317"/>
      <c r="BS410" s="4317"/>
      <c r="BT410" s="4317"/>
      <c r="BU410" s="4317"/>
      <c r="BV410" s="4317"/>
      <c r="BW410" s="4317"/>
      <c r="BX410" s="4317"/>
      <c r="BY410" s="4317"/>
      <c r="BZ410" s="4317"/>
      <c r="CA410" s="4317"/>
      <c r="CB410" s="4317"/>
      <c r="CC410" s="4317"/>
      <c r="CD410" s="4317"/>
      <c r="CE410" s="4317"/>
      <c r="CF410" s="4317"/>
      <c r="CG410" s="4317"/>
      <c r="CH410" s="4317"/>
      <c r="CI410" s="4317"/>
      <c r="CJ410" s="4317"/>
      <c r="CK410" s="4317"/>
      <c r="CL410" s="4317"/>
      <c r="CM410" s="4317"/>
      <c r="CN410" s="4317"/>
      <c r="CO410" s="4317"/>
      <c r="CP410" s="4317"/>
      <c r="CQ410" s="4317"/>
      <c r="CR410" s="4317"/>
      <c r="CS410" s="4317"/>
      <c r="CT410" s="4317"/>
      <c r="CU410" s="4317"/>
      <c r="CV410" s="4317"/>
      <c r="CW410" s="4317"/>
      <c r="CX410" s="4317"/>
      <c r="CY410" s="4317"/>
      <c r="CZ410" s="4317"/>
      <c r="DA410" s="4317"/>
      <c r="DB410" s="4317"/>
      <c r="DC410" s="4317"/>
      <c r="DD410" s="4317"/>
      <c r="DE410" s="4317"/>
      <c r="DF410" s="4317"/>
      <c r="DG410" s="4317"/>
      <c r="DH410" s="4317"/>
      <c r="DI410" s="4317"/>
      <c r="DJ410" s="4317"/>
      <c r="DK410" s="4317"/>
      <c r="DL410" s="4317"/>
      <c r="DM410" s="4317"/>
      <c r="DN410" s="4317"/>
      <c r="DO410" s="4317"/>
      <c r="DP410" s="4317"/>
      <c r="DQ410" s="4317"/>
      <c r="DR410" s="4317"/>
      <c r="DS410" s="4317"/>
    </row>
    <row r="411" s="4134" customFormat="1" ht="16.5" customHeight="1" spans="1:123">
      <c r="A411" s="4373" t="s">
        <v>5103</v>
      </c>
      <c r="B411" s="4374"/>
      <c r="C411" s="4374"/>
      <c r="D411" s="4374"/>
      <c r="E411" s="4375"/>
      <c r="F411" s="4300"/>
      <c r="G411" s="4300"/>
      <c r="H411" s="4300"/>
      <c r="I411" s="4300"/>
      <c r="J411" s="4300"/>
      <c r="K411" s="4300"/>
      <c r="L411" s="4300"/>
      <c r="M411" s="4317"/>
      <c r="N411" s="4317"/>
      <c r="O411" s="4376" t="s">
        <v>3040</v>
      </c>
      <c r="P411" s="4317"/>
      <c r="Q411" s="4295"/>
      <c r="R411" s="4317"/>
      <c r="S411" s="4317"/>
      <c r="T411" s="4317"/>
      <c r="U411" s="4317"/>
      <c r="V411" s="4317"/>
      <c r="W411" s="4317"/>
      <c r="X411" s="4317"/>
      <c r="Y411" s="4317"/>
      <c r="Z411" s="4317"/>
      <c r="AA411" s="4317"/>
      <c r="AB411" s="4317"/>
      <c r="AC411" s="4353"/>
      <c r="AD411" s="4317"/>
      <c r="AE411" s="4369"/>
      <c r="AF411" s="4369"/>
      <c r="AG411" s="4369"/>
      <c r="AH411" s="4317"/>
      <c r="AI411" s="4317"/>
      <c r="AJ411" s="4317"/>
      <c r="AK411" s="4317"/>
      <c r="AL411" s="4317"/>
      <c r="AM411" s="4317"/>
      <c r="AN411" s="4317"/>
      <c r="AO411" s="4317"/>
      <c r="AP411" s="4317"/>
      <c r="AQ411" s="4317"/>
      <c r="AR411" s="4317"/>
      <c r="AS411" s="4317"/>
      <c r="AT411" s="4317"/>
      <c r="AU411" s="4317"/>
      <c r="AV411" s="4317"/>
      <c r="AW411" s="4317"/>
      <c r="AX411" s="4317"/>
      <c r="AY411" s="4317"/>
      <c r="AZ411" s="4317"/>
      <c r="BA411" s="4317"/>
      <c r="BB411" s="4317"/>
      <c r="BC411" s="4317"/>
      <c r="BD411" s="4317"/>
      <c r="BE411" s="4317"/>
      <c r="BF411" s="4317"/>
      <c r="BG411" s="4317"/>
      <c r="BH411" s="4317"/>
      <c r="BI411" s="4317"/>
      <c r="BJ411" s="4317"/>
      <c r="BK411" s="4317"/>
      <c r="BL411" s="4317"/>
      <c r="BM411" s="4317"/>
      <c r="BN411" s="4317"/>
      <c r="BO411" s="4317"/>
      <c r="BP411" s="4317"/>
      <c r="BQ411" s="4317"/>
      <c r="BR411" s="4317"/>
      <c r="BS411" s="4317"/>
      <c r="BT411" s="4317"/>
      <c r="BU411" s="4317"/>
      <c r="BV411" s="4317"/>
      <c r="BW411" s="4317"/>
      <c r="BX411" s="4317"/>
      <c r="BY411" s="4317"/>
      <c r="BZ411" s="4317"/>
      <c r="CA411" s="4317"/>
      <c r="CB411" s="4317"/>
      <c r="CC411" s="4317"/>
      <c r="CD411" s="4317"/>
      <c r="CE411" s="4317"/>
      <c r="CF411" s="4317"/>
      <c r="CG411" s="4317"/>
      <c r="CH411" s="4317"/>
      <c r="CI411" s="4317"/>
      <c r="CJ411" s="4317"/>
      <c r="CK411" s="4317"/>
      <c r="CL411" s="4317"/>
      <c r="CM411" s="4317"/>
      <c r="CN411" s="4317"/>
      <c r="CO411" s="4317"/>
      <c r="CP411" s="4317"/>
      <c r="CQ411" s="4317"/>
      <c r="CR411" s="4317"/>
      <c r="CS411" s="4317"/>
      <c r="CT411" s="4317"/>
      <c r="CU411" s="4317"/>
      <c r="CV411" s="4317"/>
      <c r="CW411" s="4317"/>
      <c r="CX411" s="4317"/>
      <c r="CY411" s="4317"/>
      <c r="CZ411" s="4317"/>
      <c r="DA411" s="4317"/>
      <c r="DB411" s="4317"/>
      <c r="DC411" s="4317"/>
      <c r="DD411" s="4317"/>
      <c r="DE411" s="4317"/>
      <c r="DF411" s="4317"/>
      <c r="DG411" s="4317"/>
      <c r="DH411" s="4317"/>
      <c r="DI411" s="4317"/>
      <c r="DJ411" s="4317"/>
      <c r="DK411" s="4317"/>
      <c r="DL411" s="4317"/>
      <c r="DM411" s="4317"/>
      <c r="DN411" s="4317"/>
      <c r="DO411" s="4317"/>
      <c r="DP411" s="4317"/>
      <c r="DQ411" s="4317"/>
      <c r="DR411" s="4317"/>
      <c r="DS411" s="4317"/>
    </row>
    <row r="412" s="4134" customFormat="1" ht="16.5" customHeight="1" spans="1:123">
      <c r="A412" s="4373" t="s">
        <v>5104</v>
      </c>
      <c r="B412" s="4374"/>
      <c r="C412" s="4374"/>
      <c r="D412" s="4374"/>
      <c r="E412" s="4375"/>
      <c r="F412" s="4300"/>
      <c r="G412" s="4300"/>
      <c r="H412" s="4300"/>
      <c r="I412" s="4300"/>
      <c r="J412" s="4300"/>
      <c r="K412" s="4300"/>
      <c r="L412" s="4300"/>
      <c r="M412" s="4317"/>
      <c r="N412" s="4317"/>
      <c r="O412" s="4376" t="s">
        <v>3042</v>
      </c>
      <c r="P412" s="4317"/>
      <c r="Q412" s="4295"/>
      <c r="R412" s="4317"/>
      <c r="S412" s="4317"/>
      <c r="T412" s="4317"/>
      <c r="U412" s="4317"/>
      <c r="V412" s="4317"/>
      <c r="W412" s="4317"/>
      <c r="X412" s="4317"/>
      <c r="Y412" s="4317"/>
      <c r="Z412" s="4317"/>
      <c r="AA412" s="4317"/>
      <c r="AB412" s="4317"/>
      <c r="AC412" s="4353"/>
      <c r="AD412" s="4317"/>
      <c r="AE412" s="4369"/>
      <c r="AF412" s="4369"/>
      <c r="AG412" s="4369"/>
      <c r="AH412" s="4317"/>
      <c r="AI412" s="4317"/>
      <c r="AJ412" s="4317"/>
      <c r="AK412" s="4317"/>
      <c r="AL412" s="4317"/>
      <c r="AM412" s="4317"/>
      <c r="AN412" s="4317"/>
      <c r="AO412" s="4317"/>
      <c r="AP412" s="4317"/>
      <c r="AQ412" s="4317"/>
      <c r="AR412" s="4317"/>
      <c r="AS412" s="4317"/>
      <c r="AT412" s="4317"/>
      <c r="AU412" s="4317"/>
      <c r="AV412" s="4317"/>
      <c r="AW412" s="4317"/>
      <c r="AX412" s="4317"/>
      <c r="AY412" s="4317"/>
      <c r="AZ412" s="4317"/>
      <c r="BA412" s="4317"/>
      <c r="BB412" s="4317"/>
      <c r="BC412" s="4317"/>
      <c r="BD412" s="4317"/>
      <c r="BE412" s="4317"/>
      <c r="BF412" s="4317"/>
      <c r="BG412" s="4317"/>
      <c r="BH412" s="4317"/>
      <c r="BI412" s="4317"/>
      <c r="BJ412" s="4317"/>
      <c r="BK412" s="4317"/>
      <c r="BL412" s="4317"/>
      <c r="BM412" s="4317"/>
      <c r="BN412" s="4317"/>
      <c r="BO412" s="4317"/>
      <c r="BP412" s="4317"/>
      <c r="BQ412" s="4317"/>
      <c r="BR412" s="4317"/>
      <c r="BS412" s="4317"/>
      <c r="BT412" s="4317"/>
      <c r="BU412" s="4317"/>
      <c r="BV412" s="4317"/>
      <c r="BW412" s="4317"/>
      <c r="BX412" s="4317"/>
      <c r="BY412" s="4317"/>
      <c r="BZ412" s="4317"/>
      <c r="CA412" s="4317"/>
      <c r="CB412" s="4317"/>
      <c r="CC412" s="4317"/>
      <c r="CD412" s="4317"/>
      <c r="CE412" s="4317"/>
      <c r="CF412" s="4317"/>
      <c r="CG412" s="4317"/>
      <c r="CH412" s="4317"/>
      <c r="CI412" s="4317"/>
      <c r="CJ412" s="4317"/>
      <c r="CK412" s="4317"/>
      <c r="CL412" s="4317"/>
      <c r="CM412" s="4317"/>
      <c r="CN412" s="4317"/>
      <c r="CO412" s="4317"/>
      <c r="CP412" s="4317"/>
      <c r="CQ412" s="4317"/>
      <c r="CR412" s="4317"/>
      <c r="CS412" s="4317"/>
      <c r="CT412" s="4317"/>
      <c r="CU412" s="4317"/>
      <c r="CV412" s="4317"/>
      <c r="CW412" s="4317"/>
      <c r="CX412" s="4317"/>
      <c r="CY412" s="4317"/>
      <c r="CZ412" s="4317"/>
      <c r="DA412" s="4317"/>
      <c r="DB412" s="4317"/>
      <c r="DC412" s="4317"/>
      <c r="DD412" s="4317"/>
      <c r="DE412" s="4317"/>
      <c r="DF412" s="4317"/>
      <c r="DG412" s="4317"/>
      <c r="DH412" s="4317"/>
      <c r="DI412" s="4317"/>
      <c r="DJ412" s="4317"/>
      <c r="DK412" s="4317"/>
      <c r="DL412" s="4317"/>
      <c r="DM412" s="4317"/>
      <c r="DN412" s="4317"/>
      <c r="DO412" s="4317"/>
      <c r="DP412" s="4317"/>
      <c r="DQ412" s="4317"/>
      <c r="DR412" s="4317"/>
      <c r="DS412" s="4317"/>
    </row>
    <row r="413" s="4134" customFormat="1" ht="16.5" customHeight="1" spans="1:123">
      <c r="A413" s="4317"/>
      <c r="B413" s="4317"/>
      <c r="C413" s="4317"/>
      <c r="D413" s="4317"/>
      <c r="E413" s="4317"/>
      <c r="F413" s="4317"/>
      <c r="G413" s="4317"/>
      <c r="H413" s="4317"/>
      <c r="I413" s="4317"/>
      <c r="J413" s="4317"/>
      <c r="K413" s="4317"/>
      <c r="L413" s="4317"/>
      <c r="M413" s="4317"/>
      <c r="N413" s="4317"/>
      <c r="O413" s="4369"/>
      <c r="P413" s="4369"/>
      <c r="Q413" s="4295"/>
      <c r="R413" s="4317"/>
      <c r="S413" s="4317"/>
      <c r="T413" s="4317"/>
      <c r="U413" s="4317"/>
      <c r="V413" s="4317"/>
      <c r="W413" s="4317"/>
      <c r="X413" s="4317"/>
      <c r="Y413" s="4317"/>
      <c r="Z413" s="4317"/>
      <c r="AA413" s="4317"/>
      <c r="AB413" s="4317"/>
      <c r="AC413" s="4353"/>
      <c r="AD413" s="4369"/>
      <c r="AE413" s="4369"/>
      <c r="AF413" s="4369"/>
      <c r="AG413" s="4369"/>
      <c r="AH413" s="4317"/>
      <c r="AI413" s="4317"/>
      <c r="AJ413" s="4317"/>
      <c r="AK413" s="4317"/>
      <c r="AL413" s="4317"/>
      <c r="AM413" s="4317"/>
      <c r="AN413" s="4317"/>
      <c r="AO413" s="4317"/>
      <c r="AP413" s="4317"/>
      <c r="AQ413" s="4317"/>
      <c r="AR413" s="4317"/>
      <c r="AS413" s="4317"/>
      <c r="AT413" s="4317"/>
      <c r="AU413" s="4317"/>
      <c r="AV413" s="4317"/>
      <c r="AW413" s="4317"/>
      <c r="AX413" s="4317"/>
      <c r="AY413" s="4317"/>
      <c r="AZ413" s="4317"/>
      <c r="BA413" s="4317"/>
      <c r="BB413" s="4317"/>
      <c r="BC413" s="4317"/>
      <c r="BD413" s="4317"/>
      <c r="BE413" s="4317"/>
      <c r="BF413" s="4317"/>
      <c r="BG413" s="4317"/>
      <c r="BH413" s="4317"/>
      <c r="BI413" s="4317"/>
      <c r="BJ413" s="4317"/>
      <c r="BK413" s="4317"/>
      <c r="BL413" s="4317"/>
      <c r="BM413" s="4317"/>
      <c r="BN413" s="4317"/>
      <c r="BO413" s="4317"/>
      <c r="BP413" s="4317"/>
      <c r="BQ413" s="4317"/>
      <c r="BR413" s="4317"/>
      <c r="BS413" s="4317"/>
      <c r="BT413" s="4317"/>
      <c r="BU413" s="4317"/>
      <c r="BV413" s="4317"/>
      <c r="BW413" s="4317"/>
      <c r="BX413" s="4317"/>
      <c r="BY413" s="4317"/>
      <c r="BZ413" s="4317"/>
      <c r="CA413" s="4317"/>
      <c r="CB413" s="4317"/>
      <c r="CC413" s="4317"/>
      <c r="CD413" s="4317"/>
      <c r="CE413" s="4317"/>
      <c r="CF413" s="4317"/>
      <c r="CG413" s="4317"/>
      <c r="CH413" s="4317"/>
      <c r="CI413" s="4317"/>
      <c r="CJ413" s="4317"/>
      <c r="CK413" s="4317"/>
      <c r="CL413" s="4317"/>
      <c r="CM413" s="4317"/>
      <c r="CN413" s="4317"/>
      <c r="CO413" s="4317"/>
      <c r="CP413" s="4317"/>
      <c r="CQ413" s="4317"/>
      <c r="CR413" s="4317"/>
      <c r="CS413" s="4317"/>
      <c r="CT413" s="4317"/>
      <c r="CU413" s="4317"/>
      <c r="CV413" s="4317"/>
      <c r="CW413" s="4317"/>
      <c r="CX413" s="4317"/>
      <c r="CY413" s="4317"/>
      <c r="CZ413" s="4317"/>
      <c r="DA413" s="4317"/>
      <c r="DB413" s="4317"/>
      <c r="DC413" s="4317"/>
      <c r="DD413" s="4317"/>
      <c r="DE413" s="4317"/>
      <c r="DF413" s="4317"/>
      <c r="DG413" s="4317"/>
      <c r="DH413" s="4317"/>
      <c r="DI413" s="4317"/>
      <c r="DJ413" s="4317"/>
      <c r="DK413" s="4317"/>
      <c r="DL413" s="4317"/>
      <c r="DM413" s="4317"/>
      <c r="DN413" s="4317"/>
      <c r="DO413" s="4317"/>
      <c r="DP413" s="4317"/>
      <c r="DQ413" s="4317"/>
      <c r="DR413" s="4317"/>
      <c r="DS413" s="4317"/>
    </row>
    <row r="414" s="4134" customFormat="1" ht="16.5" customHeight="1" spans="1:123">
      <c r="A414" s="4304" t="s">
        <v>5105</v>
      </c>
      <c r="B414" s="4304"/>
      <c r="C414" s="4304"/>
      <c r="D414" s="4304"/>
      <c r="E414" s="4304"/>
      <c r="F414" s="4377">
        <v>1</v>
      </c>
      <c r="G414" s="4377"/>
      <c r="H414" s="4377"/>
      <c r="I414" s="4377"/>
      <c r="J414" s="4377"/>
      <c r="K414" s="4377"/>
      <c r="L414" s="4377"/>
      <c r="M414" s="4317"/>
      <c r="N414" s="4317"/>
      <c r="O414" s="4376" t="s">
        <v>3046</v>
      </c>
      <c r="P414" s="4317"/>
      <c r="Q414" s="4295"/>
      <c r="R414" s="4317"/>
      <c r="S414" s="4317"/>
      <c r="T414" s="4317"/>
      <c r="U414" s="4317"/>
      <c r="V414" s="4317"/>
      <c r="W414" s="4317"/>
      <c r="X414" s="4317"/>
      <c r="Y414" s="4317"/>
      <c r="Z414" s="4317"/>
      <c r="AA414" s="4317"/>
      <c r="AB414" s="4317"/>
      <c r="AC414" s="4353"/>
      <c r="AD414" s="4317"/>
      <c r="AE414" s="4369"/>
      <c r="AF414" s="4369"/>
      <c r="AG414" s="4369"/>
      <c r="AH414" s="4317"/>
      <c r="AI414" s="4317"/>
      <c r="AJ414" s="4317"/>
      <c r="AK414" s="4317"/>
      <c r="AL414" s="4317"/>
      <c r="AM414" s="4317"/>
      <c r="AN414" s="4317"/>
      <c r="AO414" s="4317"/>
      <c r="AP414" s="4317"/>
      <c r="AQ414" s="4317"/>
      <c r="AR414" s="4317"/>
      <c r="AS414" s="4317"/>
      <c r="AT414" s="4317"/>
      <c r="AU414" s="4317"/>
      <c r="AV414" s="4317"/>
      <c r="AW414" s="4317"/>
      <c r="AX414" s="4317"/>
      <c r="AY414" s="4317"/>
      <c r="AZ414" s="4317"/>
      <c r="BA414" s="4317"/>
      <c r="BB414" s="4317"/>
      <c r="BC414" s="4317"/>
      <c r="BD414" s="4317"/>
      <c r="BE414" s="4317"/>
      <c r="BF414" s="4317"/>
      <c r="BG414" s="4317"/>
      <c r="BH414" s="4317"/>
      <c r="BI414" s="4317"/>
      <c r="BJ414" s="4317"/>
      <c r="BK414" s="4317"/>
      <c r="BL414" s="4317"/>
      <c r="BM414" s="4317"/>
      <c r="BN414" s="4317"/>
      <c r="BO414" s="4317"/>
      <c r="BP414" s="4317"/>
      <c r="BQ414" s="4317"/>
      <c r="BR414" s="4317"/>
      <c r="BS414" s="4317"/>
      <c r="BT414" s="4317"/>
      <c r="BU414" s="4317"/>
      <c r="BV414" s="4317"/>
      <c r="BW414" s="4317"/>
      <c r="BX414" s="4317"/>
      <c r="BY414" s="4317"/>
      <c r="BZ414" s="4317"/>
      <c r="CA414" s="4317"/>
      <c r="CB414" s="4317"/>
      <c r="CC414" s="4317"/>
      <c r="CD414" s="4317"/>
      <c r="CE414" s="4317"/>
      <c r="CF414" s="4317"/>
      <c r="CG414" s="4317"/>
      <c r="CH414" s="4317"/>
      <c r="CI414" s="4317"/>
      <c r="CJ414" s="4317"/>
      <c r="CK414" s="4317"/>
      <c r="CL414" s="4317"/>
      <c r="CM414" s="4317"/>
      <c r="CN414" s="4317"/>
      <c r="CO414" s="4317"/>
      <c r="CP414" s="4317"/>
      <c r="CQ414" s="4317"/>
      <c r="CR414" s="4317"/>
      <c r="CS414" s="4317"/>
      <c r="CT414" s="4317"/>
      <c r="CU414" s="4317"/>
      <c r="CV414" s="4317"/>
      <c r="CW414" s="4317"/>
      <c r="CX414" s="4317"/>
      <c r="CY414" s="4317"/>
      <c r="CZ414" s="4317"/>
      <c r="DA414" s="4317"/>
      <c r="DB414" s="4317"/>
      <c r="DC414" s="4317"/>
      <c r="DD414" s="4317"/>
      <c r="DE414" s="4317"/>
      <c r="DF414" s="4317"/>
      <c r="DG414" s="4317"/>
      <c r="DH414" s="4317"/>
      <c r="DI414" s="4317"/>
      <c r="DJ414" s="4317"/>
      <c r="DK414" s="4317"/>
      <c r="DL414" s="4317"/>
      <c r="DM414" s="4317"/>
      <c r="DN414" s="4317"/>
      <c r="DO414" s="4317"/>
      <c r="DP414" s="4317"/>
      <c r="DQ414" s="4317"/>
      <c r="DR414" s="4317"/>
      <c r="DS414" s="4317"/>
    </row>
    <row r="415" s="4134" customFormat="1" ht="16.5" customHeight="1" spans="1:123">
      <c r="A415" s="4304" t="s">
        <v>5105</v>
      </c>
      <c r="B415" s="4304"/>
      <c r="C415" s="4304"/>
      <c r="D415" s="4304"/>
      <c r="E415" s="4304"/>
      <c r="F415" s="4378">
        <f>100%-F414</f>
        <v>0</v>
      </c>
      <c r="G415" s="4378"/>
      <c r="H415" s="4378"/>
      <c r="I415" s="4378"/>
      <c r="J415" s="4378"/>
      <c r="K415" s="4378"/>
      <c r="L415" s="4378"/>
      <c r="M415" s="4317"/>
      <c r="N415" s="4317"/>
      <c r="O415" s="4376" t="s">
        <v>3048</v>
      </c>
      <c r="P415" s="4317"/>
      <c r="Q415" s="4295"/>
      <c r="R415" s="4317"/>
      <c r="S415" s="4317"/>
      <c r="T415" s="4317"/>
      <c r="U415" s="4317"/>
      <c r="V415" s="4317"/>
      <c r="W415" s="4317"/>
      <c r="X415" s="4317"/>
      <c r="Y415" s="4317"/>
      <c r="Z415" s="4317"/>
      <c r="AA415" s="4317"/>
      <c r="AB415" s="4317"/>
      <c r="AC415" s="4353"/>
      <c r="AD415" s="4317"/>
      <c r="AE415" s="4369"/>
      <c r="AF415" s="4369"/>
      <c r="AG415" s="4369"/>
      <c r="AH415" s="4317"/>
      <c r="AI415" s="4317"/>
      <c r="AJ415" s="4317"/>
      <c r="AK415" s="4317"/>
      <c r="AL415" s="4317"/>
      <c r="AM415" s="4317"/>
      <c r="AN415" s="4317"/>
      <c r="AO415" s="4317"/>
      <c r="AP415" s="4317"/>
      <c r="AQ415" s="4317"/>
      <c r="AR415" s="4317"/>
      <c r="AS415" s="4317"/>
      <c r="AT415" s="4317"/>
      <c r="AU415" s="4317"/>
      <c r="AV415" s="4317"/>
      <c r="AW415" s="4317"/>
      <c r="AX415" s="4317"/>
      <c r="AY415" s="4317"/>
      <c r="AZ415" s="4317"/>
      <c r="BA415" s="4317"/>
      <c r="BB415" s="4317"/>
      <c r="BC415" s="4317"/>
      <c r="BD415" s="4317"/>
      <c r="BE415" s="4317"/>
      <c r="BF415" s="4317"/>
      <c r="BG415" s="4317"/>
      <c r="BH415" s="4317"/>
      <c r="BI415" s="4317"/>
      <c r="BJ415" s="4317"/>
      <c r="BK415" s="4317"/>
      <c r="BL415" s="4317"/>
      <c r="BM415" s="4317"/>
      <c r="BN415" s="4317"/>
      <c r="BO415" s="4317"/>
      <c r="BP415" s="4317"/>
      <c r="BQ415" s="4317"/>
      <c r="BR415" s="4317"/>
      <c r="BS415" s="4317"/>
      <c r="BT415" s="4317"/>
      <c r="BU415" s="4317"/>
      <c r="BV415" s="4317"/>
      <c r="BW415" s="4317"/>
      <c r="BX415" s="4317"/>
      <c r="BY415" s="4317"/>
      <c r="BZ415" s="4317"/>
      <c r="CA415" s="4317"/>
      <c r="CB415" s="4317"/>
      <c r="CC415" s="4317"/>
      <c r="CD415" s="4317"/>
      <c r="CE415" s="4317"/>
      <c r="CF415" s="4317"/>
      <c r="CG415" s="4317"/>
      <c r="CH415" s="4317"/>
      <c r="CI415" s="4317"/>
      <c r="CJ415" s="4317"/>
      <c r="CK415" s="4317"/>
      <c r="CL415" s="4317"/>
      <c r="CM415" s="4317"/>
      <c r="CN415" s="4317"/>
      <c r="CO415" s="4317"/>
      <c r="CP415" s="4317"/>
      <c r="CQ415" s="4317"/>
      <c r="CR415" s="4317"/>
      <c r="CS415" s="4317"/>
      <c r="CT415" s="4317"/>
      <c r="CU415" s="4317"/>
      <c r="CV415" s="4317"/>
      <c r="CW415" s="4317"/>
      <c r="CX415" s="4317"/>
      <c r="CY415" s="4317"/>
      <c r="CZ415" s="4317"/>
      <c r="DA415" s="4317"/>
      <c r="DB415" s="4317"/>
      <c r="DC415" s="4317"/>
      <c r="DD415" s="4317"/>
      <c r="DE415" s="4317"/>
      <c r="DF415" s="4317"/>
      <c r="DG415" s="4317"/>
      <c r="DH415" s="4317"/>
      <c r="DI415" s="4317"/>
      <c r="DJ415" s="4317"/>
      <c r="DK415" s="4317"/>
      <c r="DL415" s="4317"/>
      <c r="DM415" s="4317"/>
      <c r="DN415" s="4317"/>
      <c r="DO415" s="4317"/>
      <c r="DP415" s="4317"/>
      <c r="DQ415" s="4317"/>
      <c r="DR415" s="4317"/>
      <c r="DS415" s="4317"/>
    </row>
    <row r="416" s="4134" customFormat="1" ht="16.5" customHeight="1" spans="1:123">
      <c r="A416" s="4304" t="s">
        <v>5106</v>
      </c>
      <c r="B416" s="4304"/>
      <c r="C416" s="4304"/>
      <c r="D416" s="4304"/>
      <c r="E416" s="4304"/>
      <c r="F416" s="4379">
        <f>SUM(F414:L415)</f>
        <v>1</v>
      </c>
      <c r="G416" s="4379"/>
      <c r="H416" s="4379"/>
      <c r="I416" s="4379"/>
      <c r="J416" s="4379"/>
      <c r="K416" s="4379"/>
      <c r="L416" s="4379"/>
      <c r="M416" s="4317"/>
      <c r="N416" s="4317"/>
      <c r="O416" s="4369"/>
      <c r="P416" s="4369"/>
      <c r="Q416" s="4295"/>
      <c r="R416" s="4317"/>
      <c r="S416" s="4317"/>
      <c r="T416" s="4317"/>
      <c r="U416" s="4317"/>
      <c r="V416" s="4317"/>
      <c r="W416" s="4317"/>
      <c r="X416" s="4317"/>
      <c r="Y416" s="4317"/>
      <c r="Z416" s="4317"/>
      <c r="AA416" s="4317"/>
      <c r="AB416" s="4369"/>
      <c r="AC416" s="4369"/>
      <c r="AD416" s="4369"/>
      <c r="AE416" s="4369"/>
      <c r="AF416" s="4369"/>
      <c r="AG416" s="4369"/>
      <c r="AH416" s="4317"/>
      <c r="AI416" s="4317"/>
      <c r="AJ416" s="4317"/>
      <c r="AK416" s="4317"/>
      <c r="AL416" s="4317"/>
      <c r="AM416" s="4317"/>
      <c r="AN416" s="4317"/>
      <c r="AO416" s="4317"/>
      <c r="AP416" s="4317"/>
      <c r="AQ416" s="4317"/>
      <c r="AR416" s="4317"/>
      <c r="AS416" s="4317"/>
      <c r="AT416" s="4317"/>
      <c r="AU416" s="4317"/>
      <c r="AV416" s="4317"/>
      <c r="AW416" s="4317"/>
      <c r="AX416" s="4317"/>
      <c r="AY416" s="4317"/>
      <c r="AZ416" s="4317"/>
      <c r="BA416" s="4317"/>
      <c r="BB416" s="4317"/>
      <c r="BC416" s="4317"/>
      <c r="BD416" s="4317"/>
      <c r="BE416" s="4317"/>
      <c r="BF416" s="4317"/>
      <c r="BG416" s="4317"/>
      <c r="BH416" s="4317"/>
      <c r="BI416" s="4317"/>
      <c r="BJ416" s="4317"/>
      <c r="BK416" s="4317"/>
      <c r="BL416" s="4317"/>
      <c r="BM416" s="4317"/>
      <c r="BN416" s="4317"/>
      <c r="BO416" s="4317"/>
      <c r="BP416" s="4317"/>
      <c r="BQ416" s="4317"/>
      <c r="BR416" s="4317"/>
      <c r="BS416" s="4317"/>
      <c r="BT416" s="4317"/>
      <c r="BU416" s="4317"/>
      <c r="BV416" s="4317"/>
      <c r="BW416" s="4317"/>
      <c r="BX416" s="4317"/>
      <c r="BY416" s="4317"/>
      <c r="BZ416" s="4317"/>
      <c r="CA416" s="4317"/>
      <c r="CB416" s="4317"/>
      <c r="CC416" s="4317"/>
      <c r="CD416" s="4317"/>
      <c r="CE416" s="4317"/>
      <c r="CF416" s="4317"/>
      <c r="CG416" s="4317"/>
      <c r="CH416" s="4317"/>
      <c r="CI416" s="4317"/>
      <c r="CJ416" s="4317"/>
      <c r="CK416" s="4317"/>
      <c r="CL416" s="4317"/>
      <c r="CM416" s="4317"/>
      <c r="CN416" s="4317"/>
      <c r="CO416" s="4317"/>
      <c r="CP416" s="4317"/>
      <c r="CQ416" s="4317"/>
      <c r="CR416" s="4317"/>
      <c r="CS416" s="4317"/>
      <c r="CT416" s="4317"/>
      <c r="CU416" s="4317"/>
      <c r="CV416" s="4317"/>
      <c r="CW416" s="4317"/>
      <c r="CX416" s="4317"/>
      <c r="CY416" s="4317"/>
      <c r="CZ416" s="4317"/>
      <c r="DA416" s="4317"/>
      <c r="DB416" s="4317"/>
      <c r="DC416" s="4317"/>
      <c r="DD416" s="4317"/>
      <c r="DE416" s="4317"/>
      <c r="DF416" s="4317"/>
      <c r="DG416" s="4317"/>
      <c r="DH416" s="4317"/>
      <c r="DI416" s="4317"/>
      <c r="DJ416" s="4317"/>
      <c r="DK416" s="4317"/>
      <c r="DL416" s="4317"/>
      <c r="DM416" s="4317"/>
      <c r="DN416" s="4317"/>
      <c r="DO416" s="4317"/>
      <c r="DP416" s="4317"/>
      <c r="DQ416" s="4317"/>
      <c r="DR416" s="4317"/>
      <c r="DS416" s="4317"/>
    </row>
    <row r="417" s="4133" customFormat="1" ht="17.25" customHeight="1" spans="1:124">
      <c r="A417" s="4317"/>
      <c r="B417" s="4317"/>
      <c r="C417" s="4317"/>
      <c r="D417" s="4317"/>
      <c r="E417" s="4317"/>
      <c r="F417" s="4317"/>
      <c r="G417" s="4317"/>
      <c r="H417" s="4317"/>
      <c r="I417" s="4317"/>
      <c r="J417" s="4317"/>
      <c r="K417" s="4317"/>
      <c r="L417" s="4317"/>
      <c r="M417" s="4317"/>
      <c r="N417" s="4295"/>
      <c r="O417" s="4295"/>
      <c r="P417" s="4295"/>
      <c r="Q417" s="4295"/>
      <c r="R417" s="4295"/>
      <c r="S417" s="4295"/>
      <c r="T417" s="4295"/>
      <c r="U417" s="4317"/>
      <c r="V417" s="4317"/>
      <c r="W417" s="4317"/>
      <c r="X417" s="4317"/>
      <c r="Y417" s="4317"/>
      <c r="Z417" s="4317"/>
      <c r="AA417" s="4317"/>
      <c r="AB417" s="4295"/>
      <c r="AC417" s="4295"/>
      <c r="AD417" s="4295"/>
      <c r="AE417" s="4368"/>
      <c r="AF417" s="4368"/>
      <c r="AG417" s="4368"/>
      <c r="AH417" s="4368"/>
      <c r="AI417" s="4368"/>
      <c r="AJ417" s="4368"/>
      <c r="AK417" s="4368"/>
      <c r="AL417" s="4368"/>
      <c r="AM417" s="4368"/>
      <c r="AN417" s="4368"/>
      <c r="AO417" s="4368"/>
      <c r="AP417" s="4368"/>
      <c r="AQ417" s="4368"/>
      <c r="AR417" s="4368"/>
      <c r="AS417" s="4368"/>
      <c r="AT417" s="4368"/>
      <c r="AU417" s="4295"/>
      <c r="AV417" s="4295"/>
      <c r="AW417" s="4295"/>
      <c r="AX417" s="4295"/>
      <c r="AY417" s="4295"/>
      <c r="AZ417" s="4295"/>
      <c r="BA417" s="4295"/>
      <c r="BB417" s="4295"/>
      <c r="BC417" s="4295"/>
      <c r="BD417" s="4295"/>
      <c r="BE417" s="4295"/>
      <c r="BF417" s="4295"/>
      <c r="BG417" s="4295"/>
      <c r="BH417" s="4295"/>
      <c r="BI417" s="4368"/>
      <c r="BJ417" s="4368"/>
      <c r="BK417" s="4368"/>
      <c r="BL417" s="4317"/>
      <c r="BM417" s="4317"/>
      <c r="BN417" s="4317"/>
      <c r="BO417" s="4317"/>
      <c r="BP417" s="4317"/>
      <c r="BQ417" s="4317"/>
      <c r="BR417" s="4317"/>
      <c r="BS417" s="4317"/>
      <c r="BT417" s="4317"/>
      <c r="BU417" s="4317"/>
      <c r="BV417" s="4317"/>
      <c r="BW417" s="4317"/>
      <c r="BX417" s="4317"/>
      <c r="BY417" s="4317"/>
      <c r="BZ417" s="4317"/>
      <c r="CA417" s="4317"/>
      <c r="CB417" s="4317"/>
      <c r="CC417" s="4317"/>
      <c r="CD417" s="4317"/>
      <c r="CE417" s="4317"/>
      <c r="CF417" s="4317"/>
      <c r="CG417" s="4317"/>
      <c r="CH417" s="4317"/>
      <c r="CI417" s="4317"/>
      <c r="CJ417" s="4317"/>
      <c r="CK417" s="4317"/>
      <c r="CL417" s="4317"/>
      <c r="CM417" s="4317"/>
      <c r="CN417" s="4317"/>
      <c r="CO417" s="4317"/>
      <c r="CP417" s="4317"/>
      <c r="CQ417" s="4317"/>
      <c r="CR417" s="4317"/>
      <c r="CS417" s="4317"/>
      <c r="CT417" s="4317"/>
      <c r="CU417" s="4317"/>
      <c r="CV417" s="4317"/>
      <c r="CW417" s="4317"/>
      <c r="CX417" s="4317"/>
      <c r="CY417" s="4317"/>
      <c r="CZ417" s="4317"/>
      <c r="DA417" s="4317"/>
      <c r="DB417" s="4317"/>
      <c r="DC417" s="4317"/>
      <c r="DD417" s="4317"/>
      <c r="DE417" s="4317"/>
      <c r="DF417" s="4317"/>
      <c r="DG417" s="4317"/>
      <c r="DH417" s="4317"/>
      <c r="DI417" s="4317"/>
      <c r="DJ417" s="4317"/>
      <c r="DK417" s="4317"/>
      <c r="DL417" s="4317"/>
      <c r="DM417" s="4317"/>
      <c r="DN417" s="4317"/>
      <c r="DO417" s="4317"/>
      <c r="DP417" s="4317"/>
      <c r="DQ417" s="4317"/>
      <c r="DR417" s="4317"/>
      <c r="DS417" s="4317"/>
      <c r="DT417" s="4134"/>
    </row>
    <row r="418" s="489" customFormat="1" customHeight="1" spans="1:124">
      <c r="A418" s="4380"/>
      <c r="B418" s="4317"/>
      <c r="C418" s="4317"/>
      <c r="D418" s="4317"/>
      <c r="E418" s="4317"/>
      <c r="F418" s="4317"/>
      <c r="G418" s="4317"/>
      <c r="H418" s="4317"/>
      <c r="I418" s="4317"/>
      <c r="J418" s="4317"/>
      <c r="K418" s="4317"/>
      <c r="L418" s="4317"/>
      <c r="M418" s="4317"/>
      <c r="N418" s="3952"/>
      <c r="O418" s="3952"/>
      <c r="P418" s="3952"/>
      <c r="Q418" s="4295"/>
      <c r="R418" s="3952"/>
      <c r="S418" s="3952"/>
      <c r="T418" s="4295"/>
      <c r="U418" s="3952"/>
      <c r="V418" s="3952"/>
      <c r="W418" s="3952"/>
      <c r="X418" s="3952"/>
      <c r="Y418" s="3952"/>
      <c r="Z418" s="3952"/>
      <c r="AA418" s="3952"/>
      <c r="AB418" s="3952"/>
      <c r="AC418" s="3952"/>
      <c r="AD418" s="3952"/>
      <c r="AE418" s="3952"/>
      <c r="AF418" s="3952"/>
      <c r="AG418" s="3952"/>
      <c r="AH418" s="4295"/>
      <c r="AI418" s="3952"/>
      <c r="AJ418" s="3952"/>
      <c r="AK418" s="3952"/>
      <c r="AL418" s="3952"/>
      <c r="AM418" s="3952"/>
      <c r="AN418" s="3952"/>
      <c r="AO418" s="3952"/>
      <c r="AP418" s="3952"/>
      <c r="AQ418" s="3952"/>
      <c r="AR418" s="3952"/>
      <c r="AS418" s="3952"/>
      <c r="AT418" s="3952"/>
      <c r="AU418" s="3952"/>
      <c r="AV418" s="4295"/>
      <c r="AW418" s="3952"/>
      <c r="AX418" s="3952"/>
      <c r="AY418" s="3952"/>
      <c r="AZ418" s="3952"/>
      <c r="BA418" s="3952"/>
      <c r="BB418" s="3952"/>
      <c r="BC418" s="3952"/>
      <c r="BD418" s="3952"/>
      <c r="BE418" s="3952"/>
      <c r="BF418" s="3952"/>
      <c r="BG418" s="3952"/>
      <c r="BH418" s="3952"/>
      <c r="BI418" s="3952"/>
      <c r="BJ418" s="3952"/>
      <c r="BK418" s="3952"/>
      <c r="BL418" s="4317"/>
      <c r="BM418" s="4317"/>
      <c r="BN418" s="4317"/>
      <c r="BO418" s="4317"/>
      <c r="BP418" s="4317"/>
      <c r="BQ418" s="4317"/>
      <c r="BR418" s="4317"/>
      <c r="BS418" s="4317"/>
      <c r="BT418" s="4317"/>
      <c r="BU418" s="4317"/>
      <c r="BV418" s="4317"/>
      <c r="BW418" s="4317"/>
      <c r="BX418" s="4317"/>
      <c r="BY418" s="4317"/>
      <c r="BZ418" s="4317"/>
      <c r="CA418" s="4317"/>
      <c r="CB418" s="4317"/>
      <c r="CC418" s="4317"/>
      <c r="CD418" s="4317"/>
      <c r="CE418" s="4317"/>
      <c r="CF418" s="4317"/>
      <c r="CG418" s="4317"/>
      <c r="CH418" s="4317"/>
      <c r="CI418" s="4317"/>
      <c r="CJ418" s="4317"/>
      <c r="CK418" s="4317"/>
      <c r="CL418" s="4317"/>
      <c r="CM418" s="4317"/>
      <c r="CN418" s="4317"/>
      <c r="CO418" s="4317"/>
      <c r="CP418" s="4317"/>
      <c r="CQ418" s="4317"/>
      <c r="CR418" s="4317"/>
      <c r="CS418" s="4317"/>
      <c r="CT418" s="4317"/>
      <c r="CU418" s="4317"/>
      <c r="CV418" s="4317"/>
      <c r="CW418" s="4317"/>
      <c r="CX418" s="4317"/>
      <c r="CY418" s="4317"/>
      <c r="CZ418" s="4317"/>
      <c r="DA418" s="4317"/>
      <c r="DB418" s="4317"/>
      <c r="DC418" s="4317"/>
      <c r="DD418" s="4317"/>
      <c r="DE418" s="4317"/>
      <c r="DF418" s="4317"/>
      <c r="DG418" s="4317"/>
      <c r="DH418" s="4317"/>
      <c r="DI418" s="4317"/>
      <c r="DJ418" s="4317"/>
      <c r="DK418" s="4317"/>
      <c r="DL418" s="4317"/>
      <c r="DM418" s="4317"/>
      <c r="DN418" s="4317"/>
      <c r="DO418" s="4317"/>
      <c r="DP418" s="4317"/>
      <c r="DQ418" s="4317"/>
      <c r="DR418" s="4317"/>
      <c r="DS418" s="4317"/>
      <c r="DT418" s="4134"/>
    </row>
    <row r="419" s="4133" customFormat="1" ht="28.5" hidden="1" customHeight="1" spans="1:124">
      <c r="A419" s="4381" t="s">
        <v>5107</v>
      </c>
      <c r="B419" s="4382"/>
      <c r="C419" s="4383"/>
      <c r="D419" s="4383"/>
      <c r="E419" s="4383"/>
      <c r="F419" s="3979"/>
      <c r="G419" s="3979"/>
      <c r="H419" s="3979"/>
      <c r="I419" s="3979"/>
      <c r="J419" s="3979"/>
      <c r="K419" s="3979"/>
      <c r="L419" s="3979"/>
      <c r="M419" s="3979"/>
      <c r="N419" s="3979"/>
      <c r="O419" s="3979"/>
      <c r="P419" s="3979"/>
      <c r="Q419" s="3979"/>
      <c r="R419" s="3979"/>
      <c r="S419" s="3979"/>
      <c r="T419" s="3979"/>
      <c r="U419" s="3979"/>
      <c r="V419" s="3979"/>
      <c r="W419" s="3979"/>
      <c r="X419" s="3979"/>
      <c r="Y419" s="3979"/>
      <c r="Z419" s="3979"/>
      <c r="AA419" s="3979"/>
      <c r="AB419" s="3979"/>
      <c r="AC419" s="3979"/>
      <c r="AD419" s="3979"/>
      <c r="AE419" s="3979"/>
      <c r="AF419" s="3979"/>
      <c r="AG419" s="3979"/>
      <c r="AH419" s="3979"/>
      <c r="AI419" s="3979"/>
      <c r="AJ419" s="3979"/>
      <c r="AK419" s="3979"/>
      <c r="AL419" s="3979"/>
      <c r="AM419" s="3979"/>
      <c r="AN419" s="3979"/>
      <c r="AO419" s="3979"/>
      <c r="AP419" s="3979"/>
      <c r="AQ419" s="3979"/>
      <c r="AR419" s="3979"/>
      <c r="AS419" s="3979"/>
      <c r="AT419" s="3979"/>
      <c r="AU419" s="3979"/>
      <c r="AV419" s="3979"/>
      <c r="AW419" s="3979"/>
      <c r="AX419" s="3979"/>
      <c r="AY419" s="3979"/>
      <c r="AZ419" s="3979"/>
      <c r="BA419" s="3979"/>
      <c r="BB419" s="3979"/>
      <c r="BC419" s="3979"/>
      <c r="BD419" s="3979"/>
      <c r="BE419" s="3979"/>
      <c r="BF419" s="3979"/>
      <c r="BG419" s="3979"/>
      <c r="BH419" s="3979"/>
      <c r="BI419" s="3979"/>
      <c r="BJ419" s="3979"/>
      <c r="BK419" s="3979"/>
      <c r="BL419" s="3979"/>
      <c r="BM419" s="3979"/>
      <c r="BN419" s="3979"/>
      <c r="BO419" s="3979"/>
      <c r="BP419" s="3979"/>
      <c r="BQ419" s="3979"/>
      <c r="BR419" s="3979"/>
      <c r="BS419" s="3979"/>
      <c r="BT419" s="3979"/>
      <c r="BU419" s="3979"/>
      <c r="BV419" s="3979"/>
      <c r="BW419" s="3979"/>
      <c r="BX419" s="3979"/>
      <c r="BY419" s="3979"/>
      <c r="BZ419" s="3979"/>
      <c r="CA419" s="3979"/>
      <c r="CB419" s="3979"/>
      <c r="CC419" s="3979"/>
      <c r="CD419" s="3979"/>
      <c r="CE419" s="3979"/>
      <c r="CF419" s="3979"/>
      <c r="CG419" s="3979"/>
      <c r="CH419" s="3979"/>
      <c r="CI419" s="3979"/>
      <c r="CJ419" s="3979"/>
      <c r="CK419" s="3979"/>
      <c r="CL419" s="3979"/>
      <c r="CM419" s="3979"/>
      <c r="CN419" s="3979"/>
      <c r="CO419" s="3979"/>
      <c r="CP419" s="3979"/>
      <c r="CQ419" s="3979"/>
      <c r="CR419" s="3979"/>
      <c r="CS419" s="3979"/>
      <c r="CT419" s="3979"/>
      <c r="CU419" s="3979"/>
      <c r="CV419" s="3979"/>
      <c r="CW419" s="3979"/>
      <c r="CX419" s="3979"/>
      <c r="CY419" s="3979"/>
      <c r="CZ419" s="3979"/>
      <c r="DA419" s="3979"/>
      <c r="DB419" s="3979"/>
      <c r="DC419" s="3979"/>
      <c r="DD419" s="3979"/>
      <c r="DE419" s="3979"/>
      <c r="DF419" s="3979"/>
      <c r="DG419" s="3979"/>
      <c r="DH419" s="3979"/>
      <c r="DI419" s="3979"/>
      <c r="DJ419" s="3979"/>
      <c r="DK419" s="3979"/>
      <c r="DL419" s="3979"/>
      <c r="DM419" s="3979"/>
      <c r="DN419" s="3979"/>
      <c r="DO419" s="3979"/>
      <c r="DP419" s="3979"/>
      <c r="DQ419" s="3979"/>
      <c r="DR419" s="3979"/>
      <c r="DS419" s="3979"/>
    </row>
    <row r="420" s="4134" customFormat="1" ht="19.5" hidden="1" customHeight="1" spans="1:124">
      <c r="A420" s="4384">
        <v>1</v>
      </c>
      <c r="B420" s="4384" t="s">
        <v>5108</v>
      </c>
      <c r="C420" s="4385"/>
      <c r="D420" s="4385"/>
      <c r="E420" s="4386"/>
      <c r="F420" s="4300"/>
      <c r="G420" s="4300"/>
      <c r="H420" s="4300"/>
      <c r="I420" s="4300"/>
      <c r="J420" s="4300"/>
      <c r="K420" s="4300"/>
      <c r="L420" s="4300"/>
      <c r="M420" s="4301">
        <v>420</v>
      </c>
      <c r="N420" s="4301"/>
      <c r="O420" s="4317" t="s">
        <v>5109</v>
      </c>
      <c r="P420" s="4317"/>
      <c r="Q420" s="4295"/>
      <c r="R420" s="4317"/>
      <c r="S420" s="4317"/>
      <c r="T420" s="4317"/>
      <c r="U420" s="4317"/>
      <c r="V420" s="4317"/>
      <c r="W420" s="4317"/>
      <c r="X420" s="4317"/>
      <c r="Y420" s="4317"/>
      <c r="Z420" s="4317"/>
      <c r="AA420" s="4317"/>
      <c r="AB420" s="4317"/>
      <c r="AC420" s="4295"/>
      <c r="AD420" s="4317"/>
      <c r="AE420" s="4317"/>
      <c r="AF420" s="4319"/>
      <c r="AG420" s="4319"/>
      <c r="AH420" s="4317"/>
      <c r="AI420" s="4317"/>
      <c r="AJ420" s="4317"/>
      <c r="AK420" s="4317"/>
      <c r="AL420" s="4317"/>
      <c r="AM420" s="4317"/>
      <c r="AN420" s="4317"/>
      <c r="AO420" s="4317"/>
      <c r="AP420" s="4317"/>
      <c r="AQ420" s="4317"/>
      <c r="AR420" s="4317"/>
      <c r="AS420" s="4317"/>
      <c r="AT420" s="4317"/>
      <c r="AU420" s="4317"/>
      <c r="AV420" s="4317"/>
      <c r="AW420" s="4317"/>
      <c r="AX420" s="4317"/>
      <c r="AY420" s="4317"/>
      <c r="AZ420" s="4317"/>
      <c r="BA420" s="4317"/>
      <c r="BB420" s="4317"/>
      <c r="BC420" s="4317"/>
      <c r="BD420" s="4317"/>
      <c r="BE420" s="4317"/>
      <c r="BF420" s="4317"/>
      <c r="BG420" s="4317"/>
      <c r="BH420" s="4317"/>
      <c r="BI420" s="4317"/>
      <c r="BJ420" s="4317"/>
      <c r="BK420" s="4317"/>
      <c r="BL420" s="4317"/>
      <c r="BM420" s="4317"/>
      <c r="BN420" s="4317"/>
      <c r="BO420" s="4317"/>
      <c r="BP420" s="4317"/>
      <c r="BQ420" s="4317"/>
      <c r="BR420" s="4317"/>
      <c r="BS420" s="4317"/>
      <c r="BT420" s="4317"/>
      <c r="BU420" s="4317"/>
      <c r="BV420" s="4317"/>
      <c r="BW420" s="4317"/>
      <c r="BX420" s="4317"/>
      <c r="BY420" s="4317"/>
      <c r="BZ420" s="4317"/>
      <c r="CA420" s="4317"/>
      <c r="CB420" s="4317"/>
      <c r="CC420" s="4317"/>
      <c r="CD420" s="4317"/>
      <c r="CE420" s="4317"/>
      <c r="CF420" s="4317"/>
      <c r="CG420" s="4317"/>
      <c r="CH420" s="4317"/>
      <c r="CI420" s="4317"/>
      <c r="CJ420" s="4317"/>
      <c r="CK420" s="4317"/>
      <c r="CL420" s="4317"/>
      <c r="CM420" s="4317"/>
      <c r="CN420" s="4317"/>
      <c r="CO420" s="4317"/>
      <c r="CP420" s="4317"/>
      <c r="CQ420" s="4317"/>
      <c r="CR420" s="4317"/>
      <c r="CS420" s="4317"/>
      <c r="CT420" s="4317"/>
      <c r="CU420" s="4317"/>
      <c r="CV420" s="4317"/>
      <c r="CW420" s="4317"/>
      <c r="CX420" s="4317"/>
      <c r="CY420" s="4317"/>
      <c r="CZ420" s="4317"/>
      <c r="DA420" s="4317"/>
      <c r="DB420" s="4317"/>
      <c r="DC420" s="4317"/>
      <c r="DD420" s="4317"/>
      <c r="DE420" s="4317"/>
      <c r="DF420" s="4317"/>
      <c r="DG420" s="4317"/>
      <c r="DH420" s="4317"/>
      <c r="DI420" s="4317"/>
      <c r="DJ420" s="4317"/>
      <c r="DK420" s="4317"/>
      <c r="DL420" s="4317"/>
      <c r="DM420" s="4317"/>
      <c r="DN420" s="4317"/>
      <c r="DO420" s="4317"/>
      <c r="DP420" s="4317"/>
      <c r="DQ420" s="4317"/>
      <c r="DR420" s="4317"/>
      <c r="DS420" s="4317"/>
    </row>
    <row r="421" s="4134" customFormat="1" ht="19.5" hidden="1" customHeight="1" spans="1:124">
      <c r="A421" s="4384">
        <v>2</v>
      </c>
      <c r="B421" s="4384" t="s">
        <v>5110</v>
      </c>
      <c r="C421" s="4385"/>
      <c r="D421" s="4385"/>
      <c r="E421" s="4386"/>
      <c r="F421" s="4387"/>
      <c r="G421" s="4300"/>
      <c r="H421" s="4300"/>
      <c r="I421" s="4300"/>
      <c r="J421" s="4300"/>
      <c r="K421" s="4300"/>
      <c r="L421" s="4300"/>
      <c r="M421" s="4292"/>
      <c r="N421" s="4292"/>
      <c r="O421" s="4317" t="s">
        <v>5111</v>
      </c>
      <c r="P421" s="4317"/>
      <c r="Q421" s="4295"/>
      <c r="R421" s="4317"/>
      <c r="S421" s="4317"/>
      <c r="T421" s="4317"/>
      <c r="U421" s="4317"/>
      <c r="V421" s="4317"/>
      <c r="W421" s="4317"/>
      <c r="X421" s="4317"/>
      <c r="Y421" s="4317"/>
      <c r="Z421" s="4317"/>
      <c r="AA421" s="4317"/>
      <c r="AB421" s="4317"/>
      <c r="AC421" s="4295"/>
      <c r="AD421" s="4317"/>
      <c r="AE421" s="4317"/>
      <c r="AF421" s="4319"/>
      <c r="AG421" s="4319"/>
      <c r="AH421" s="4317"/>
      <c r="AI421" s="4317"/>
      <c r="AJ421" s="4317"/>
      <c r="AK421" s="4317"/>
      <c r="AL421" s="4317"/>
      <c r="AM421" s="4317"/>
      <c r="AN421" s="4317"/>
      <c r="AO421" s="4317"/>
      <c r="AP421" s="4317"/>
      <c r="AQ421" s="4317"/>
      <c r="AR421" s="4317"/>
      <c r="AS421" s="4317"/>
      <c r="AT421" s="4317"/>
      <c r="AU421" s="4317"/>
      <c r="AV421" s="4317"/>
      <c r="AW421" s="4317"/>
      <c r="AX421" s="4317"/>
      <c r="AY421" s="4317"/>
      <c r="AZ421" s="4317"/>
      <c r="BA421" s="4317"/>
      <c r="BB421" s="4317"/>
      <c r="BC421" s="4317"/>
      <c r="BD421" s="4317"/>
      <c r="BE421" s="4317"/>
      <c r="BF421" s="4317"/>
      <c r="BG421" s="4317"/>
      <c r="BH421" s="4317"/>
      <c r="BI421" s="4317"/>
      <c r="BJ421" s="4317"/>
      <c r="BK421" s="4317"/>
      <c r="BL421" s="4317"/>
      <c r="BM421" s="4317"/>
      <c r="BN421" s="4317"/>
      <c r="BO421" s="4317"/>
      <c r="BP421" s="4317"/>
      <c r="BQ421" s="4317"/>
      <c r="BR421" s="4317"/>
      <c r="BS421" s="4317"/>
      <c r="BT421" s="4317"/>
      <c r="BU421" s="4317"/>
      <c r="BV421" s="4317"/>
      <c r="BW421" s="4317"/>
      <c r="BX421" s="4317"/>
      <c r="BY421" s="4317"/>
      <c r="BZ421" s="4317"/>
      <c r="CA421" s="4317"/>
      <c r="CB421" s="4317"/>
      <c r="CC421" s="4317"/>
      <c r="CD421" s="4317"/>
      <c r="CE421" s="4317"/>
      <c r="CF421" s="4317"/>
      <c r="CG421" s="4317"/>
      <c r="CH421" s="4317"/>
      <c r="CI421" s="4317"/>
      <c r="CJ421" s="4317"/>
      <c r="CK421" s="4317"/>
      <c r="CL421" s="4317"/>
      <c r="CM421" s="4317"/>
      <c r="CN421" s="4317"/>
      <c r="CO421" s="4317"/>
      <c r="CP421" s="4317"/>
      <c r="CQ421" s="4317"/>
      <c r="CR421" s="4317"/>
      <c r="CS421" s="4317"/>
      <c r="CT421" s="4317"/>
      <c r="CU421" s="4317"/>
      <c r="CV421" s="4317"/>
      <c r="CW421" s="4317"/>
      <c r="CX421" s="4317"/>
      <c r="CY421" s="4317"/>
      <c r="CZ421" s="4317"/>
      <c r="DA421" s="4317"/>
      <c r="DB421" s="4317"/>
      <c r="DC421" s="4317"/>
      <c r="DD421" s="4317"/>
      <c r="DE421" s="4317"/>
      <c r="DF421" s="4317"/>
      <c r="DG421" s="4317"/>
      <c r="DH421" s="4317"/>
      <c r="DI421" s="4317"/>
      <c r="DJ421" s="4317"/>
      <c r="DK421" s="4317"/>
      <c r="DL421" s="4317"/>
      <c r="DM421" s="4317"/>
      <c r="DN421" s="4317"/>
      <c r="DO421" s="4317"/>
      <c r="DP421" s="4317"/>
      <c r="DQ421" s="4317"/>
      <c r="DR421" s="4317"/>
      <c r="DS421" s="4317"/>
    </row>
    <row r="422" s="4134" customFormat="1" ht="19.5" hidden="1" customHeight="1" spans="1:124">
      <c r="A422" s="4384">
        <v>3</v>
      </c>
      <c r="B422" s="4384" t="s">
        <v>5112</v>
      </c>
      <c r="C422" s="4385"/>
      <c r="D422" s="4385"/>
      <c r="E422" s="4386"/>
      <c r="F422" s="4387"/>
      <c r="G422" s="4300"/>
      <c r="H422" s="4300"/>
      <c r="I422" s="4300"/>
      <c r="J422" s="4300"/>
      <c r="K422" s="4300"/>
      <c r="L422" s="4300"/>
      <c r="M422" s="4292"/>
      <c r="N422" s="4292"/>
      <c r="O422" s="4317" t="s">
        <v>5113</v>
      </c>
      <c r="P422" s="4317"/>
      <c r="Q422" s="4295"/>
      <c r="R422" s="4317"/>
      <c r="S422" s="4317"/>
      <c r="T422" s="4317"/>
      <c r="U422" s="4317"/>
      <c r="V422" s="4317"/>
      <c r="W422" s="4317"/>
      <c r="X422" s="4317"/>
      <c r="Y422" s="4317"/>
      <c r="Z422" s="4317"/>
      <c r="AA422" s="4317"/>
      <c r="AB422" s="4317"/>
      <c r="AC422" s="4295"/>
      <c r="AD422" s="4317"/>
      <c r="AE422" s="4317"/>
      <c r="AF422" s="4319"/>
      <c r="AG422" s="4319"/>
      <c r="AH422" s="4317"/>
      <c r="AI422" s="4317"/>
      <c r="AJ422" s="4317"/>
      <c r="AK422" s="4317"/>
      <c r="AL422" s="4317"/>
      <c r="AM422" s="4317"/>
      <c r="AN422" s="4317"/>
      <c r="AO422" s="4317"/>
      <c r="AP422" s="4317"/>
      <c r="AQ422" s="4317"/>
      <c r="AR422" s="4317"/>
      <c r="AS422" s="4317"/>
      <c r="AT422" s="4317"/>
      <c r="AU422" s="4317"/>
      <c r="AV422" s="4317"/>
      <c r="AW422" s="4317"/>
      <c r="AX422" s="4317"/>
      <c r="AY422" s="4317"/>
      <c r="AZ422" s="4317"/>
      <c r="BA422" s="4317"/>
      <c r="BB422" s="4317"/>
      <c r="BC422" s="4317"/>
      <c r="BD422" s="4317"/>
      <c r="BE422" s="4317"/>
      <c r="BF422" s="4317"/>
      <c r="BG422" s="4317"/>
      <c r="BH422" s="4317"/>
      <c r="BI422" s="4317"/>
      <c r="BJ422" s="4317"/>
      <c r="BK422" s="4317"/>
      <c r="BL422" s="4317"/>
      <c r="BM422" s="4317"/>
      <c r="BN422" s="4317"/>
      <c r="BO422" s="4317"/>
      <c r="BP422" s="4317"/>
      <c r="BQ422" s="4317"/>
      <c r="BR422" s="4317"/>
      <c r="BS422" s="4317"/>
      <c r="BT422" s="4317"/>
      <c r="BU422" s="4317"/>
      <c r="BV422" s="4317"/>
      <c r="BW422" s="4317"/>
      <c r="BX422" s="4317"/>
      <c r="BY422" s="4317"/>
      <c r="BZ422" s="4317"/>
      <c r="CA422" s="4317"/>
      <c r="CB422" s="4317"/>
      <c r="CC422" s="4317"/>
      <c r="CD422" s="4317"/>
      <c r="CE422" s="4317"/>
      <c r="CF422" s="4317"/>
      <c r="CG422" s="4317"/>
      <c r="CH422" s="4317"/>
      <c r="CI422" s="4317"/>
      <c r="CJ422" s="4317"/>
      <c r="CK422" s="4317"/>
      <c r="CL422" s="4317"/>
      <c r="CM422" s="4317"/>
      <c r="CN422" s="4317"/>
      <c r="CO422" s="4317"/>
      <c r="CP422" s="4317"/>
      <c r="CQ422" s="4317"/>
      <c r="CR422" s="4317"/>
      <c r="CS422" s="4317"/>
      <c r="CT422" s="4317"/>
      <c r="CU422" s="4317"/>
      <c r="CV422" s="4317"/>
      <c r="CW422" s="4317"/>
      <c r="CX422" s="4317"/>
      <c r="CY422" s="4317"/>
      <c r="CZ422" s="4317"/>
      <c r="DA422" s="4317"/>
      <c r="DB422" s="4317"/>
      <c r="DC422" s="4317"/>
      <c r="DD422" s="4317"/>
      <c r="DE422" s="4317"/>
      <c r="DF422" s="4317"/>
      <c r="DG422" s="4317"/>
      <c r="DH422" s="4317"/>
      <c r="DI422" s="4317"/>
      <c r="DJ422" s="4317"/>
      <c r="DK422" s="4317"/>
      <c r="DL422" s="4317"/>
      <c r="DM422" s="4317"/>
      <c r="DN422" s="4317"/>
      <c r="DO422" s="4317"/>
      <c r="DP422" s="4317"/>
      <c r="DQ422" s="4317"/>
      <c r="DR422" s="4317"/>
      <c r="DS422" s="4317"/>
    </row>
    <row r="423" s="4134" customFormat="1" ht="19.5" hidden="1" customHeight="1" spans="1:124">
      <c r="A423" s="4384">
        <v>4</v>
      </c>
      <c r="B423" s="4384" t="s">
        <v>5114</v>
      </c>
      <c r="C423" s="4385"/>
      <c r="D423" s="4385"/>
      <c r="E423" s="4386"/>
      <c r="F423" s="4387"/>
      <c r="G423" s="4300"/>
      <c r="H423" s="4300"/>
      <c r="I423" s="4300"/>
      <c r="J423" s="4300"/>
      <c r="K423" s="4300"/>
      <c r="L423" s="4300"/>
      <c r="M423" s="4292"/>
      <c r="N423" s="4292"/>
      <c r="O423" s="4317" t="s">
        <v>5115</v>
      </c>
      <c r="P423" s="4317"/>
      <c r="Q423" s="4295"/>
      <c r="R423" s="4317"/>
      <c r="S423" s="4317"/>
      <c r="T423" s="4317"/>
      <c r="U423" s="4317"/>
      <c r="V423" s="4317"/>
      <c r="W423" s="4317"/>
      <c r="X423" s="4317"/>
      <c r="Y423" s="4317"/>
      <c r="Z423" s="4317"/>
      <c r="AA423" s="4317"/>
      <c r="AB423" s="4317"/>
      <c r="AC423" s="4295"/>
      <c r="AD423" s="4317"/>
      <c r="AE423" s="4317"/>
      <c r="AF423" s="4319"/>
      <c r="AG423" s="4319"/>
      <c r="AH423" s="4317"/>
      <c r="AI423" s="4317"/>
      <c r="AJ423" s="4317"/>
      <c r="AK423" s="4317"/>
      <c r="AL423" s="4317"/>
      <c r="AM423" s="4317"/>
      <c r="AN423" s="4317"/>
      <c r="AO423" s="4317"/>
      <c r="AP423" s="4317"/>
      <c r="AQ423" s="4317"/>
      <c r="AR423" s="4317"/>
      <c r="AS423" s="4317"/>
      <c r="AT423" s="4317"/>
      <c r="AU423" s="4317"/>
      <c r="AV423" s="4317"/>
      <c r="AW423" s="4317"/>
      <c r="AX423" s="4317"/>
      <c r="AY423" s="4317"/>
      <c r="AZ423" s="4317"/>
      <c r="BA423" s="4317"/>
      <c r="BB423" s="4317"/>
      <c r="BC423" s="4317"/>
      <c r="BD423" s="4317"/>
      <c r="BE423" s="4317"/>
      <c r="BF423" s="4317"/>
      <c r="BG423" s="4317"/>
      <c r="BH423" s="4317"/>
      <c r="BI423" s="4317"/>
      <c r="BJ423" s="4317"/>
      <c r="BK423" s="4317"/>
      <c r="BL423" s="4317"/>
      <c r="BM423" s="4317"/>
      <c r="BN423" s="4317"/>
      <c r="BO423" s="4317"/>
      <c r="BP423" s="4317"/>
      <c r="BQ423" s="4317"/>
      <c r="BR423" s="4317"/>
      <c r="BS423" s="4317"/>
      <c r="BT423" s="4317"/>
      <c r="BU423" s="4317"/>
      <c r="BV423" s="4317"/>
      <c r="BW423" s="4317"/>
      <c r="BX423" s="4317"/>
      <c r="BY423" s="4317"/>
      <c r="BZ423" s="4317"/>
      <c r="CA423" s="4317"/>
      <c r="CB423" s="4317"/>
      <c r="CC423" s="4317"/>
      <c r="CD423" s="4317"/>
      <c r="CE423" s="4317"/>
      <c r="CF423" s="4317"/>
      <c r="CG423" s="4317"/>
      <c r="CH423" s="4317"/>
      <c r="CI423" s="4317"/>
      <c r="CJ423" s="4317"/>
      <c r="CK423" s="4317"/>
      <c r="CL423" s="4317"/>
      <c r="CM423" s="4317"/>
      <c r="CN423" s="4317"/>
      <c r="CO423" s="4317"/>
      <c r="CP423" s="4317"/>
      <c r="CQ423" s="4317"/>
      <c r="CR423" s="4317"/>
      <c r="CS423" s="4317"/>
      <c r="CT423" s="4317"/>
      <c r="CU423" s="4317"/>
      <c r="CV423" s="4317"/>
      <c r="CW423" s="4317"/>
      <c r="CX423" s="4317"/>
      <c r="CY423" s="4317"/>
      <c r="CZ423" s="4317"/>
      <c r="DA423" s="4317"/>
      <c r="DB423" s="4317"/>
      <c r="DC423" s="4317"/>
      <c r="DD423" s="4317"/>
      <c r="DE423" s="4317"/>
      <c r="DF423" s="4317"/>
      <c r="DG423" s="4317"/>
      <c r="DH423" s="4317"/>
      <c r="DI423" s="4317"/>
      <c r="DJ423" s="4317"/>
      <c r="DK423" s="4317"/>
      <c r="DL423" s="4317"/>
      <c r="DM423" s="4317"/>
      <c r="DN423" s="4317"/>
      <c r="DO423" s="4317"/>
      <c r="DP423" s="4317"/>
      <c r="DQ423" s="4317"/>
      <c r="DR423" s="4317"/>
      <c r="DS423" s="4317"/>
    </row>
    <row r="424" s="4133" customFormat="1" ht="19.5" hidden="1" customHeight="1" spans="1:124">
      <c r="A424" s="4384">
        <v>5</v>
      </c>
      <c r="B424" s="4384" t="s">
        <v>5116</v>
      </c>
      <c r="C424" s="4385"/>
      <c r="D424" s="4385"/>
      <c r="E424" s="4386"/>
      <c r="F424" s="4387"/>
      <c r="G424" s="4300"/>
      <c r="H424" s="4300"/>
      <c r="I424" s="4300"/>
      <c r="J424" s="4300"/>
      <c r="K424" s="4300"/>
      <c r="L424" s="4300"/>
      <c r="M424" s="4292"/>
      <c r="N424" s="4292"/>
      <c r="O424" s="4317" t="s">
        <v>5117</v>
      </c>
      <c r="P424" s="4292"/>
      <c r="Q424" s="4292"/>
      <c r="R424" s="4292"/>
      <c r="S424" s="4292"/>
      <c r="T424" s="4292"/>
      <c r="U424" s="4292"/>
      <c r="V424" s="4292"/>
      <c r="W424" s="4292"/>
      <c r="X424" s="4292"/>
      <c r="Y424" s="4292"/>
      <c r="Z424" s="4292"/>
      <c r="AA424" s="4292"/>
      <c r="AB424" s="4292"/>
      <c r="AC424" s="4292"/>
      <c r="AD424" s="4292"/>
      <c r="AE424" s="4388"/>
      <c r="AF424" s="4388"/>
      <c r="AG424" s="4388"/>
      <c r="AH424" s="4388"/>
      <c r="AI424" s="4388"/>
      <c r="AJ424" s="4388"/>
      <c r="AK424" s="4388"/>
      <c r="AL424" s="4388"/>
      <c r="AM424" s="4388"/>
      <c r="AN424" s="4388"/>
      <c r="AO424" s="4388"/>
      <c r="AP424" s="4388"/>
      <c r="AQ424" s="4388"/>
      <c r="AR424" s="4388"/>
      <c r="AS424" s="4388"/>
      <c r="AT424" s="4388"/>
      <c r="AU424" s="4388"/>
      <c r="AV424" s="4388"/>
      <c r="AW424" s="4388"/>
      <c r="AX424" s="4388"/>
      <c r="AY424" s="4388"/>
      <c r="AZ424" s="4388"/>
      <c r="BA424" s="4388"/>
      <c r="BB424" s="4388"/>
      <c r="BC424" s="4388"/>
      <c r="BD424" s="4388"/>
      <c r="BE424" s="4388"/>
      <c r="BF424" s="4388"/>
      <c r="BG424" s="4388"/>
      <c r="BH424" s="4388"/>
      <c r="BI424" s="4388"/>
      <c r="BJ424" s="4388"/>
      <c r="BK424" s="4388"/>
      <c r="BL424" s="4388"/>
      <c r="BM424" s="4388"/>
      <c r="BN424" s="4388"/>
      <c r="BO424" s="4388"/>
      <c r="BP424" s="4388"/>
      <c r="BQ424" s="4388"/>
      <c r="BR424" s="4388"/>
      <c r="BS424" s="4388"/>
      <c r="BT424" s="4388"/>
      <c r="BU424" s="4388"/>
      <c r="BV424" s="4388"/>
      <c r="BW424" s="4388"/>
      <c r="BX424" s="4388"/>
      <c r="BY424" s="4388"/>
      <c r="BZ424" s="4388"/>
      <c r="CA424" s="4388"/>
      <c r="CB424" s="4388"/>
      <c r="CC424" s="4388"/>
      <c r="CD424" s="4388"/>
      <c r="CE424" s="4388"/>
      <c r="CF424" s="4388"/>
      <c r="CG424" s="4388"/>
      <c r="CH424" s="4388"/>
      <c r="CI424" s="4388"/>
      <c r="CJ424" s="4388"/>
      <c r="CK424" s="4388"/>
      <c r="CL424" s="4388"/>
      <c r="CM424" s="4388"/>
      <c r="CN424" s="4388"/>
      <c r="CO424" s="4388"/>
      <c r="CP424" s="4388"/>
      <c r="CQ424" s="4388"/>
      <c r="CR424" s="4388"/>
      <c r="CS424" s="4388"/>
      <c r="CT424" s="4388"/>
      <c r="CU424" s="4388"/>
      <c r="CV424" s="4388"/>
      <c r="CW424" s="4388"/>
      <c r="CX424" s="4388"/>
      <c r="CY424" s="4388"/>
      <c r="CZ424" s="4388"/>
      <c r="DA424" s="4388"/>
      <c r="DB424" s="4388"/>
      <c r="DC424" s="4388"/>
      <c r="DD424" s="4388"/>
      <c r="DE424" s="4388"/>
      <c r="DF424" s="4388"/>
      <c r="DG424" s="4388"/>
      <c r="DH424" s="4388"/>
      <c r="DI424" s="4388"/>
      <c r="DJ424" s="4388"/>
      <c r="DK424" s="4388"/>
      <c r="DL424" s="4388"/>
      <c r="DM424" s="4388"/>
      <c r="DN424" s="4388"/>
      <c r="DO424" s="4388"/>
      <c r="DP424" s="4388"/>
      <c r="DQ424" s="4388"/>
      <c r="DR424" s="4388"/>
      <c r="DS424" s="4388"/>
    </row>
    <row r="425" s="4133" customFormat="1" ht="19.5" hidden="1" customHeight="1" spans="1:124">
      <c r="A425" s="4384">
        <v>6</v>
      </c>
      <c r="B425" s="4384" t="s">
        <v>5118</v>
      </c>
      <c r="C425" s="4385"/>
      <c r="D425" s="4385"/>
      <c r="E425" s="4386"/>
      <c r="F425" s="4387"/>
      <c r="G425" s="4300"/>
      <c r="H425" s="4300"/>
      <c r="I425" s="4300"/>
      <c r="J425" s="4300"/>
      <c r="K425" s="4300"/>
      <c r="L425" s="4300"/>
      <c r="M425" s="4292"/>
      <c r="N425" s="4292"/>
      <c r="O425" s="4317" t="s">
        <v>5119</v>
      </c>
      <c r="P425" s="4292"/>
      <c r="Q425" s="4292"/>
      <c r="R425" s="4292"/>
      <c r="S425" s="4292"/>
      <c r="T425" s="4292"/>
      <c r="U425" s="4292"/>
      <c r="V425" s="4292"/>
      <c r="W425" s="4292"/>
      <c r="X425" s="4292"/>
      <c r="Y425" s="4292"/>
      <c r="Z425" s="4292"/>
      <c r="AA425" s="4292"/>
      <c r="AB425" s="4292"/>
      <c r="AC425" s="4292"/>
      <c r="AD425" s="4292"/>
      <c r="AE425" s="4388"/>
      <c r="AF425" s="4388"/>
      <c r="AG425" s="4388"/>
      <c r="AH425" s="4388"/>
      <c r="AI425" s="4388"/>
      <c r="AJ425" s="4388"/>
      <c r="AK425" s="4388"/>
      <c r="AL425" s="4388"/>
      <c r="AM425" s="4388"/>
      <c r="AN425" s="4388"/>
      <c r="AO425" s="4388"/>
      <c r="AP425" s="4388"/>
      <c r="AQ425" s="4388"/>
      <c r="AR425" s="4388"/>
      <c r="AS425" s="4388"/>
      <c r="AT425" s="4388"/>
      <c r="AU425" s="4388"/>
      <c r="AV425" s="4388"/>
      <c r="AW425" s="4388"/>
      <c r="AX425" s="4388"/>
      <c r="AY425" s="4388"/>
      <c r="AZ425" s="4388"/>
      <c r="BA425" s="4388"/>
      <c r="BB425" s="4388"/>
      <c r="BC425" s="4388"/>
      <c r="BD425" s="4388"/>
      <c r="BE425" s="4388"/>
      <c r="BF425" s="4388"/>
      <c r="BG425" s="4388"/>
      <c r="BH425" s="4388"/>
      <c r="BI425" s="4388"/>
      <c r="BJ425" s="4388"/>
      <c r="BK425" s="4388"/>
      <c r="BL425" s="4388"/>
      <c r="BM425" s="4388"/>
      <c r="BN425" s="4388"/>
      <c r="BO425" s="4388"/>
      <c r="BP425" s="4388"/>
      <c r="BQ425" s="4388"/>
      <c r="BR425" s="4388"/>
      <c r="BS425" s="4388"/>
      <c r="BT425" s="4388"/>
      <c r="BU425" s="4388"/>
      <c r="BV425" s="4388"/>
      <c r="BW425" s="4388"/>
      <c r="BX425" s="4388"/>
      <c r="BY425" s="4388"/>
      <c r="BZ425" s="4388"/>
      <c r="CA425" s="4388"/>
      <c r="CB425" s="4388"/>
      <c r="CC425" s="4388"/>
      <c r="CD425" s="4388"/>
      <c r="CE425" s="4388"/>
      <c r="CF425" s="4388"/>
      <c r="CG425" s="4388"/>
      <c r="CH425" s="4388"/>
      <c r="CI425" s="4388"/>
      <c r="CJ425" s="4388"/>
      <c r="CK425" s="4388"/>
      <c r="CL425" s="4388"/>
      <c r="CM425" s="4388"/>
      <c r="CN425" s="4388"/>
      <c r="CO425" s="4388"/>
      <c r="CP425" s="4388"/>
      <c r="CQ425" s="4388"/>
      <c r="CR425" s="4388"/>
      <c r="CS425" s="4388"/>
      <c r="CT425" s="4388"/>
      <c r="CU425" s="4388"/>
      <c r="CV425" s="4388"/>
      <c r="CW425" s="4388"/>
      <c r="CX425" s="4388"/>
      <c r="CY425" s="4388"/>
      <c r="CZ425" s="4388"/>
      <c r="DA425" s="4388"/>
      <c r="DB425" s="4388"/>
      <c r="DC425" s="4388"/>
      <c r="DD425" s="4388"/>
      <c r="DE425" s="4388"/>
      <c r="DF425" s="4388"/>
      <c r="DG425" s="4388"/>
      <c r="DH425" s="4388"/>
      <c r="DI425" s="4388"/>
      <c r="DJ425" s="4388"/>
      <c r="DK425" s="4388"/>
      <c r="DL425" s="4388"/>
      <c r="DM425" s="4388"/>
      <c r="DN425" s="4388"/>
      <c r="DO425" s="4388"/>
      <c r="DP425" s="4388"/>
      <c r="DQ425" s="4388"/>
      <c r="DR425" s="4388"/>
      <c r="DS425" s="4388"/>
    </row>
    <row r="426" s="4133" customFormat="1" ht="19.5" hidden="1" customHeight="1" spans="1:124">
      <c r="A426" s="4384">
        <v>7</v>
      </c>
      <c r="B426" s="4384" t="s">
        <v>5120</v>
      </c>
      <c r="C426" s="4385"/>
      <c r="D426" s="4385"/>
      <c r="E426" s="4386"/>
      <c r="F426" s="4387"/>
      <c r="G426" s="4300"/>
      <c r="H426" s="4300"/>
      <c r="I426" s="4300"/>
      <c r="J426" s="4300"/>
      <c r="K426" s="4300"/>
      <c r="L426" s="4300"/>
      <c r="M426" s="4292"/>
      <c r="N426" s="4292"/>
      <c r="O426" s="4317" t="s">
        <v>5121</v>
      </c>
      <c r="P426" s="4292"/>
      <c r="Q426" s="4292"/>
      <c r="R426" s="4292"/>
      <c r="S426" s="4292"/>
      <c r="T426" s="4292"/>
      <c r="U426" s="4292"/>
      <c r="V426" s="4292"/>
      <c r="W426" s="4292"/>
      <c r="X426" s="4292"/>
      <c r="Y426" s="4292"/>
      <c r="Z426" s="4292"/>
      <c r="AA426" s="4292"/>
      <c r="AB426" s="4292"/>
      <c r="AC426" s="4292"/>
      <c r="AD426" s="4292"/>
      <c r="AE426" s="4388"/>
      <c r="AF426" s="4388"/>
      <c r="AG426" s="4388"/>
      <c r="AH426" s="4388"/>
      <c r="AI426" s="4388"/>
      <c r="AJ426" s="4388"/>
      <c r="AK426" s="4388"/>
      <c r="AL426" s="4388"/>
      <c r="AM426" s="4388"/>
      <c r="AN426" s="4388"/>
      <c r="AO426" s="4388"/>
      <c r="AP426" s="4388"/>
      <c r="AQ426" s="4388"/>
      <c r="AR426" s="4388"/>
      <c r="AS426" s="4388"/>
      <c r="AT426" s="4388"/>
      <c r="AU426" s="4388"/>
      <c r="AV426" s="4388"/>
      <c r="AW426" s="4388"/>
      <c r="AX426" s="4388"/>
      <c r="AY426" s="4388"/>
      <c r="AZ426" s="4388"/>
      <c r="BA426" s="4388"/>
      <c r="BB426" s="4388"/>
      <c r="BC426" s="4388"/>
      <c r="BD426" s="4388"/>
      <c r="BE426" s="4388"/>
      <c r="BF426" s="4388"/>
      <c r="BG426" s="4388"/>
      <c r="BH426" s="4388"/>
      <c r="BI426" s="4388"/>
      <c r="BJ426" s="4388"/>
      <c r="BK426" s="4388"/>
      <c r="BL426" s="4388"/>
      <c r="BM426" s="4388"/>
      <c r="BN426" s="4388"/>
      <c r="BO426" s="4388"/>
      <c r="BP426" s="4388"/>
      <c r="BQ426" s="4388"/>
      <c r="BR426" s="4388"/>
      <c r="BS426" s="4388"/>
      <c r="BT426" s="4388"/>
      <c r="BU426" s="4388"/>
      <c r="BV426" s="4388"/>
      <c r="BW426" s="4388"/>
      <c r="BX426" s="4388"/>
      <c r="BY426" s="4388"/>
      <c r="BZ426" s="4388"/>
      <c r="CA426" s="4388"/>
      <c r="CB426" s="4388"/>
      <c r="CC426" s="4388"/>
      <c r="CD426" s="4388"/>
      <c r="CE426" s="4388"/>
      <c r="CF426" s="4388"/>
      <c r="CG426" s="4388"/>
      <c r="CH426" s="4388"/>
      <c r="CI426" s="4388"/>
      <c r="CJ426" s="4388"/>
      <c r="CK426" s="4388"/>
      <c r="CL426" s="4388"/>
      <c r="CM426" s="4388"/>
      <c r="CN426" s="4388"/>
      <c r="CO426" s="4388"/>
      <c r="CP426" s="4388"/>
      <c r="CQ426" s="4388"/>
      <c r="CR426" s="4388"/>
      <c r="CS426" s="4388"/>
      <c r="CT426" s="4388"/>
      <c r="CU426" s="4388"/>
      <c r="CV426" s="4388"/>
      <c r="CW426" s="4388"/>
      <c r="CX426" s="4388"/>
      <c r="CY426" s="4388"/>
      <c r="CZ426" s="4388"/>
      <c r="DA426" s="4388"/>
      <c r="DB426" s="4388"/>
      <c r="DC426" s="4388"/>
      <c r="DD426" s="4388"/>
      <c r="DE426" s="4388"/>
      <c r="DF426" s="4388"/>
      <c r="DG426" s="4388"/>
      <c r="DH426" s="4388"/>
      <c r="DI426" s="4388"/>
      <c r="DJ426" s="4388"/>
      <c r="DK426" s="4388"/>
      <c r="DL426" s="4388"/>
      <c r="DM426" s="4388"/>
      <c r="DN426" s="4388"/>
      <c r="DO426" s="4388"/>
      <c r="DP426" s="4388"/>
      <c r="DQ426" s="4388"/>
      <c r="DR426" s="4388"/>
      <c r="DS426" s="4388"/>
    </row>
    <row r="427" s="4133" customFormat="1" ht="19.5" hidden="1" customHeight="1" spans="1:124">
      <c r="A427" s="4384">
        <v>8</v>
      </c>
      <c r="B427" s="4384" t="s">
        <v>5122</v>
      </c>
      <c r="C427" s="4385"/>
      <c r="D427" s="4385"/>
      <c r="E427" s="4386"/>
      <c r="F427" s="4387"/>
      <c r="G427" s="4300"/>
      <c r="H427" s="4300"/>
      <c r="I427" s="4300"/>
      <c r="J427" s="4300"/>
      <c r="K427" s="4300"/>
      <c r="L427" s="4300"/>
      <c r="M427" s="4292"/>
      <c r="N427" s="4292"/>
      <c r="O427" s="4317" t="s">
        <v>5123</v>
      </c>
      <c r="P427" s="4292"/>
      <c r="Q427" s="4292"/>
      <c r="R427" s="4292"/>
      <c r="S427" s="4292"/>
      <c r="T427" s="4292"/>
      <c r="U427" s="4292"/>
      <c r="V427" s="4292"/>
      <c r="W427" s="4292"/>
      <c r="X427" s="4292"/>
      <c r="Y427" s="4292"/>
      <c r="Z427" s="4292"/>
      <c r="AA427" s="4292"/>
      <c r="AB427" s="4292"/>
      <c r="AC427" s="4292"/>
      <c r="AD427" s="4292"/>
      <c r="AE427" s="4388"/>
      <c r="AF427" s="4388"/>
      <c r="AG427" s="4388"/>
      <c r="AH427" s="4388"/>
      <c r="AI427" s="4388"/>
      <c r="AJ427" s="4388"/>
      <c r="AK427" s="4388"/>
      <c r="AL427" s="4388"/>
      <c r="AM427" s="4388"/>
      <c r="AN427" s="4388"/>
      <c r="AO427" s="4388"/>
      <c r="AP427" s="4388"/>
      <c r="AQ427" s="4388"/>
      <c r="AR427" s="4388"/>
      <c r="AS427" s="4388"/>
      <c r="AT427" s="4388"/>
      <c r="AU427" s="4388"/>
      <c r="AV427" s="4388"/>
      <c r="AW427" s="4388"/>
      <c r="AX427" s="4388"/>
      <c r="AY427" s="4388"/>
      <c r="AZ427" s="4388"/>
      <c r="BA427" s="4388"/>
      <c r="BB427" s="4388"/>
      <c r="BC427" s="4388"/>
      <c r="BD427" s="4388"/>
      <c r="BE427" s="4388"/>
      <c r="BF427" s="4388"/>
      <c r="BG427" s="4388"/>
      <c r="BH427" s="4388"/>
      <c r="BI427" s="4388"/>
      <c r="BJ427" s="4388"/>
      <c r="BK427" s="4388"/>
      <c r="BL427" s="4388"/>
      <c r="BM427" s="4388"/>
      <c r="BN427" s="4388"/>
      <c r="BO427" s="4388"/>
      <c r="BP427" s="4388"/>
      <c r="BQ427" s="4388"/>
      <c r="BR427" s="4388"/>
      <c r="BS427" s="4388"/>
      <c r="BT427" s="4388"/>
      <c r="BU427" s="4388"/>
      <c r="BV427" s="4388"/>
      <c r="BW427" s="4388"/>
      <c r="BX427" s="4388"/>
      <c r="BY427" s="4388"/>
      <c r="BZ427" s="4388"/>
      <c r="CA427" s="4388"/>
      <c r="CB427" s="4388"/>
      <c r="CC427" s="4388"/>
      <c r="CD427" s="4388"/>
      <c r="CE427" s="4388"/>
      <c r="CF427" s="4388"/>
      <c r="CG427" s="4388"/>
      <c r="CH427" s="4388"/>
      <c r="CI427" s="4388"/>
      <c r="CJ427" s="4388"/>
      <c r="CK427" s="4388"/>
      <c r="CL427" s="4388"/>
      <c r="CM427" s="4388"/>
      <c r="CN427" s="4388"/>
      <c r="CO427" s="4388"/>
      <c r="CP427" s="4388"/>
      <c r="CQ427" s="4388"/>
      <c r="CR427" s="4388"/>
      <c r="CS427" s="4388"/>
      <c r="CT427" s="4388"/>
      <c r="CU427" s="4388"/>
      <c r="CV427" s="4388"/>
      <c r="CW427" s="4388"/>
      <c r="CX427" s="4388"/>
      <c r="CY427" s="4388"/>
      <c r="CZ427" s="4388"/>
      <c r="DA427" s="4388"/>
      <c r="DB427" s="4388"/>
      <c r="DC427" s="4388"/>
      <c r="DD427" s="4388"/>
      <c r="DE427" s="4388"/>
      <c r="DF427" s="4388"/>
      <c r="DG427" s="4388"/>
      <c r="DH427" s="4388"/>
      <c r="DI427" s="4388"/>
      <c r="DJ427" s="4388"/>
      <c r="DK427" s="4388"/>
      <c r="DL427" s="4388"/>
      <c r="DM427" s="4388"/>
      <c r="DN427" s="4388"/>
      <c r="DO427" s="4388"/>
      <c r="DP427" s="4388"/>
      <c r="DQ427" s="4388"/>
      <c r="DR427" s="4388"/>
      <c r="DS427" s="4388"/>
    </row>
    <row r="428" s="4133" customFormat="1" ht="19.5" hidden="1" customHeight="1" spans="1:124">
      <c r="A428" s="4384">
        <v>9</v>
      </c>
      <c r="B428" s="4384" t="s">
        <v>5124</v>
      </c>
      <c r="C428" s="4385"/>
      <c r="D428" s="4385"/>
      <c r="E428" s="4386"/>
      <c r="F428" s="4387"/>
      <c r="G428" s="4300"/>
      <c r="H428" s="4300"/>
      <c r="I428" s="4300"/>
      <c r="J428" s="4300"/>
      <c r="K428" s="4300"/>
      <c r="L428" s="4300"/>
      <c r="M428" s="4292"/>
      <c r="N428" s="4292"/>
      <c r="O428" s="4317" t="s">
        <v>3734</v>
      </c>
      <c r="P428" s="4292"/>
      <c r="Q428" s="4292"/>
      <c r="R428" s="4292"/>
      <c r="S428" s="4292"/>
      <c r="T428" s="4292"/>
      <c r="U428" s="4292"/>
      <c r="V428" s="4292"/>
      <c r="W428" s="4292"/>
      <c r="X428" s="4292"/>
      <c r="Y428" s="4292"/>
      <c r="Z428" s="4292"/>
      <c r="AA428" s="4292"/>
      <c r="AB428" s="4292"/>
      <c r="AC428" s="4292"/>
      <c r="AD428" s="4292"/>
      <c r="AE428" s="4388"/>
      <c r="AF428" s="4388"/>
      <c r="AG428" s="4388"/>
      <c r="AH428" s="4388"/>
      <c r="AI428" s="4388"/>
      <c r="AJ428" s="4388"/>
      <c r="AK428" s="4388"/>
      <c r="AL428" s="4388"/>
      <c r="AM428" s="4388"/>
      <c r="AN428" s="4388"/>
      <c r="AO428" s="4388"/>
      <c r="AP428" s="4388"/>
      <c r="AQ428" s="4388"/>
      <c r="AR428" s="4388"/>
      <c r="AS428" s="4388"/>
      <c r="AT428" s="4388"/>
      <c r="AU428" s="4388"/>
      <c r="AV428" s="4388"/>
      <c r="AW428" s="4388"/>
      <c r="AX428" s="4388"/>
      <c r="AY428" s="4388"/>
      <c r="AZ428" s="4388"/>
      <c r="BA428" s="4388"/>
      <c r="BB428" s="4388"/>
      <c r="BC428" s="4388"/>
      <c r="BD428" s="4388"/>
      <c r="BE428" s="4388"/>
      <c r="BF428" s="4388"/>
      <c r="BG428" s="4388"/>
      <c r="BH428" s="4388"/>
      <c r="BI428" s="4388"/>
      <c r="BJ428" s="4388"/>
      <c r="BK428" s="4388"/>
      <c r="BL428" s="4388"/>
      <c r="BM428" s="4388"/>
      <c r="BN428" s="4388"/>
      <c r="BO428" s="4388"/>
      <c r="BP428" s="4388"/>
      <c r="BQ428" s="4388"/>
      <c r="BR428" s="4388"/>
      <c r="BS428" s="4388"/>
      <c r="BT428" s="4388"/>
      <c r="BU428" s="4388"/>
      <c r="BV428" s="4388"/>
      <c r="BW428" s="4388"/>
      <c r="BX428" s="4388"/>
      <c r="BY428" s="4388"/>
      <c r="BZ428" s="4388"/>
      <c r="CA428" s="4388"/>
      <c r="CB428" s="4388"/>
      <c r="CC428" s="4388"/>
      <c r="CD428" s="4388"/>
      <c r="CE428" s="4388"/>
      <c r="CF428" s="4388"/>
      <c r="CG428" s="4388"/>
      <c r="CH428" s="4388"/>
      <c r="CI428" s="4388"/>
      <c r="CJ428" s="4388"/>
      <c r="CK428" s="4388"/>
      <c r="CL428" s="4388"/>
      <c r="CM428" s="4388"/>
      <c r="CN428" s="4388"/>
      <c r="CO428" s="4388"/>
      <c r="CP428" s="4388"/>
      <c r="CQ428" s="4388"/>
      <c r="CR428" s="4388"/>
      <c r="CS428" s="4388"/>
      <c r="CT428" s="4388"/>
      <c r="CU428" s="4388"/>
      <c r="CV428" s="4388"/>
      <c r="CW428" s="4388"/>
      <c r="CX428" s="4388"/>
      <c r="CY428" s="4388"/>
      <c r="CZ428" s="4388"/>
      <c r="DA428" s="4388"/>
      <c r="DB428" s="4388"/>
      <c r="DC428" s="4388"/>
      <c r="DD428" s="4388"/>
      <c r="DE428" s="4388"/>
      <c r="DF428" s="4388"/>
      <c r="DG428" s="4388"/>
      <c r="DH428" s="4388"/>
      <c r="DI428" s="4388"/>
      <c r="DJ428" s="4388"/>
      <c r="DK428" s="4388"/>
      <c r="DL428" s="4388"/>
      <c r="DM428" s="4388"/>
      <c r="DN428" s="4388"/>
      <c r="DO428" s="4388"/>
      <c r="DP428" s="4388"/>
      <c r="DQ428" s="4388"/>
      <c r="DR428" s="4388"/>
      <c r="DS428" s="4388"/>
    </row>
    <row r="429" s="4133" customFormat="1" ht="19.5" hidden="1" customHeight="1" spans="1:124">
      <c r="A429" s="4384">
        <v>10</v>
      </c>
      <c r="B429" s="4384" t="s">
        <v>5125</v>
      </c>
      <c r="C429" s="4385"/>
      <c r="D429" s="4385"/>
      <c r="E429" s="4386"/>
      <c r="F429" s="4387"/>
      <c r="G429" s="4300"/>
      <c r="H429" s="4300"/>
      <c r="I429" s="4300"/>
      <c r="J429" s="4300"/>
      <c r="K429" s="4300"/>
      <c r="L429" s="4300"/>
      <c r="M429" s="4292"/>
      <c r="N429" s="4292"/>
      <c r="O429" s="4317" t="s">
        <v>5126</v>
      </c>
      <c r="P429" s="4292"/>
      <c r="Q429" s="4292"/>
      <c r="R429" s="4292"/>
      <c r="S429" s="4292"/>
      <c r="T429" s="4292"/>
      <c r="U429" s="4292"/>
      <c r="V429" s="4292"/>
      <c r="W429" s="4292"/>
      <c r="X429" s="4292"/>
      <c r="Y429" s="4292"/>
      <c r="Z429" s="4292"/>
      <c r="AA429" s="4292"/>
      <c r="AB429" s="4292"/>
      <c r="AC429" s="4292"/>
      <c r="AD429" s="4292"/>
      <c r="AE429" s="4388"/>
      <c r="AF429" s="4388"/>
      <c r="AG429" s="4388"/>
      <c r="AH429" s="4388"/>
      <c r="AI429" s="4388"/>
      <c r="AJ429" s="4388"/>
      <c r="AK429" s="4388"/>
      <c r="AL429" s="4388"/>
      <c r="AM429" s="4388"/>
      <c r="AN429" s="4388"/>
      <c r="AO429" s="4388"/>
      <c r="AP429" s="4388"/>
      <c r="AQ429" s="4388"/>
      <c r="AR429" s="4388"/>
      <c r="AS429" s="4388"/>
      <c r="AT429" s="4388"/>
      <c r="AU429" s="4388"/>
      <c r="AV429" s="4388"/>
      <c r="AW429" s="4388"/>
      <c r="AX429" s="4388"/>
      <c r="AY429" s="4388"/>
      <c r="AZ429" s="4388"/>
      <c r="BA429" s="4388"/>
      <c r="BB429" s="4388"/>
      <c r="BC429" s="4388"/>
      <c r="BD429" s="4388"/>
      <c r="BE429" s="4388"/>
      <c r="BF429" s="4388"/>
      <c r="BG429" s="4388"/>
      <c r="BH429" s="4388"/>
      <c r="BI429" s="4388"/>
      <c r="BJ429" s="4388"/>
      <c r="BK429" s="4388"/>
      <c r="BL429" s="4388"/>
      <c r="BM429" s="4388"/>
      <c r="BN429" s="4388"/>
      <c r="BO429" s="4388"/>
      <c r="BP429" s="4388"/>
      <c r="BQ429" s="4388"/>
      <c r="BR429" s="4388"/>
      <c r="BS429" s="4388"/>
      <c r="BT429" s="4388"/>
      <c r="BU429" s="4388"/>
      <c r="BV429" s="4388"/>
      <c r="BW429" s="4388"/>
      <c r="BX429" s="4388"/>
      <c r="BY429" s="4388"/>
      <c r="BZ429" s="4388"/>
      <c r="CA429" s="4388"/>
      <c r="CB429" s="4388"/>
      <c r="CC429" s="4388"/>
      <c r="CD429" s="4388"/>
      <c r="CE429" s="4388"/>
      <c r="CF429" s="4388"/>
      <c r="CG429" s="4388"/>
      <c r="CH429" s="4388"/>
      <c r="CI429" s="4388"/>
      <c r="CJ429" s="4388"/>
      <c r="CK429" s="4388"/>
      <c r="CL429" s="4388"/>
      <c r="CM429" s="4388"/>
      <c r="CN429" s="4388"/>
      <c r="CO429" s="4388"/>
      <c r="CP429" s="4388"/>
      <c r="CQ429" s="4388"/>
      <c r="CR429" s="4388"/>
      <c r="CS429" s="4388"/>
      <c r="CT429" s="4388"/>
      <c r="CU429" s="4388"/>
      <c r="CV429" s="4388"/>
      <c r="CW429" s="4388"/>
      <c r="CX429" s="4388"/>
      <c r="CY429" s="4388"/>
      <c r="CZ429" s="4388"/>
      <c r="DA429" s="4388"/>
      <c r="DB429" s="4388"/>
      <c r="DC429" s="4388"/>
      <c r="DD429" s="4388"/>
      <c r="DE429" s="4388"/>
      <c r="DF429" s="4388"/>
      <c r="DG429" s="4388"/>
      <c r="DH429" s="4388"/>
      <c r="DI429" s="4388"/>
      <c r="DJ429" s="4388"/>
      <c r="DK429" s="4388"/>
      <c r="DL429" s="4388"/>
      <c r="DM429" s="4388"/>
      <c r="DN429" s="4388"/>
      <c r="DO429" s="4388"/>
      <c r="DP429" s="4388"/>
      <c r="DQ429" s="4388"/>
      <c r="DR429" s="4388"/>
      <c r="DS429" s="4388"/>
    </row>
    <row r="430" s="4133" customFormat="1" ht="18.75" hidden="1" customHeight="1" spans="1:124">
      <c r="A430" s="4389">
        <v>11</v>
      </c>
      <c r="B430" s="4390" t="s">
        <v>5127</v>
      </c>
      <c r="C430" s="4391"/>
      <c r="D430" s="4391"/>
      <c r="E430" s="4392"/>
      <c r="F430" s="4393">
        <f>SUM(F420:L429)</f>
        <v>0</v>
      </c>
      <c r="G430" s="4394"/>
      <c r="H430" s="4394"/>
      <c r="I430" s="4394"/>
      <c r="J430" s="4394"/>
      <c r="K430" s="4394"/>
      <c r="L430" s="4394"/>
      <c r="M430" s="4292"/>
      <c r="N430" s="4292"/>
      <c r="O430" s="4292"/>
      <c r="P430" s="4292"/>
      <c r="Q430" s="4292"/>
      <c r="R430" s="4292"/>
      <c r="S430" s="4292"/>
      <c r="T430" s="4292"/>
      <c r="U430" s="4292"/>
      <c r="V430" s="4292"/>
      <c r="W430" s="4292"/>
      <c r="X430" s="4292"/>
      <c r="Y430" s="4292"/>
      <c r="Z430" s="4292"/>
      <c r="AA430" s="4292"/>
      <c r="AB430" s="4292"/>
      <c r="AC430" s="4292"/>
      <c r="AD430" s="4292"/>
      <c r="AE430" s="4388"/>
      <c r="AF430" s="4388"/>
      <c r="AG430" s="4388"/>
      <c r="AH430" s="4388"/>
      <c r="AI430" s="4388"/>
      <c r="AJ430" s="4388"/>
      <c r="AK430" s="4388"/>
      <c r="AL430" s="4388"/>
      <c r="AM430" s="4388"/>
      <c r="AN430" s="4388"/>
      <c r="AO430" s="4388"/>
      <c r="AP430" s="4388"/>
      <c r="AQ430" s="4388"/>
      <c r="AR430" s="4388"/>
      <c r="AS430" s="4388"/>
      <c r="AT430" s="4388"/>
      <c r="AU430" s="4388"/>
      <c r="AV430" s="4388"/>
      <c r="AW430" s="4388"/>
      <c r="AX430" s="4388"/>
      <c r="AY430" s="4388"/>
      <c r="AZ430" s="4388"/>
      <c r="BA430" s="4388"/>
      <c r="BB430" s="4388"/>
      <c r="BC430" s="4388"/>
      <c r="BD430" s="4388"/>
      <c r="BE430" s="4388"/>
      <c r="BF430" s="4388"/>
      <c r="BG430" s="4388"/>
      <c r="BH430" s="4388"/>
      <c r="BI430" s="4388"/>
      <c r="BJ430" s="4388"/>
      <c r="BK430" s="4388"/>
      <c r="BL430" s="4388"/>
      <c r="BM430" s="4388"/>
      <c r="BN430" s="4388"/>
      <c r="BO430" s="4388"/>
      <c r="BP430" s="4388"/>
      <c r="BQ430" s="4388"/>
      <c r="BR430" s="4388"/>
      <c r="BS430" s="4388"/>
      <c r="BT430" s="4388"/>
      <c r="BU430" s="4388"/>
      <c r="BV430" s="4388"/>
      <c r="BW430" s="4388"/>
      <c r="BX430" s="4388"/>
      <c r="BY430" s="4388"/>
      <c r="BZ430" s="4388"/>
      <c r="CA430" s="4388"/>
      <c r="CB430" s="4388"/>
      <c r="CC430" s="4388"/>
      <c r="CD430" s="4388"/>
      <c r="CE430" s="4388"/>
      <c r="CF430" s="4388"/>
      <c r="CG430" s="4388"/>
      <c r="CH430" s="4388"/>
      <c r="CI430" s="4388"/>
      <c r="CJ430" s="4388"/>
      <c r="CK430" s="4388"/>
      <c r="CL430" s="4388"/>
      <c r="CM430" s="4388"/>
      <c r="CN430" s="4388"/>
      <c r="CO430" s="4388"/>
      <c r="CP430" s="4388"/>
      <c r="CQ430" s="4388"/>
      <c r="CR430" s="4388"/>
      <c r="CS430" s="4388"/>
      <c r="CT430" s="4388"/>
      <c r="CU430" s="4388"/>
      <c r="CV430" s="4388"/>
      <c r="CW430" s="4388"/>
      <c r="CX430" s="4388"/>
      <c r="CY430" s="4388"/>
      <c r="CZ430" s="4388"/>
      <c r="DA430" s="4388"/>
      <c r="DB430" s="4388"/>
      <c r="DC430" s="4388"/>
      <c r="DD430" s="4388"/>
      <c r="DE430" s="4388"/>
      <c r="DF430" s="4388"/>
      <c r="DG430" s="4388"/>
      <c r="DH430" s="4388"/>
      <c r="DI430" s="4388"/>
      <c r="DJ430" s="4388"/>
      <c r="DK430" s="4388"/>
      <c r="DL430" s="4388"/>
      <c r="DM430" s="4388"/>
      <c r="DN430" s="4388"/>
      <c r="DO430" s="4388"/>
      <c r="DP430" s="4388"/>
      <c r="DQ430" s="4388"/>
      <c r="DR430" s="4388"/>
      <c r="DS430" s="4388"/>
    </row>
    <row r="431" s="489" customFormat="1" ht="19.5" hidden="1" customHeight="1" spans="1:124">
      <c r="A431" s="4295"/>
      <c r="B431" s="4295"/>
      <c r="C431" s="4295"/>
      <c r="D431" s="4295"/>
      <c r="E431" s="4295"/>
      <c r="F431" s="4395"/>
      <c r="G431" s="4396"/>
      <c r="H431" s="4396"/>
      <c r="I431" s="4396"/>
      <c r="J431" s="4396"/>
      <c r="K431" s="4396"/>
      <c r="L431" s="4396"/>
      <c r="M431" s="4295"/>
      <c r="N431" s="4295"/>
      <c r="O431" s="4295"/>
      <c r="P431" s="4295"/>
      <c r="Q431" s="4295"/>
      <c r="R431" s="3952"/>
      <c r="S431" s="3952"/>
      <c r="T431" s="4295"/>
      <c r="U431" s="3952"/>
      <c r="V431" s="3952"/>
      <c r="W431" s="3952"/>
      <c r="X431" s="3952"/>
      <c r="Y431" s="3952"/>
      <c r="Z431" s="3952"/>
      <c r="AA431" s="3952"/>
      <c r="AB431" s="3952"/>
      <c r="AC431" s="3952"/>
      <c r="AD431" s="3952"/>
      <c r="AE431" s="3952"/>
      <c r="AF431" s="3952"/>
      <c r="AG431" s="3952"/>
      <c r="AH431" s="4295"/>
      <c r="AI431" s="3952"/>
      <c r="AJ431" s="3952"/>
      <c r="AK431" s="3952"/>
      <c r="AL431" s="3952"/>
      <c r="AM431" s="3952"/>
      <c r="AN431" s="3952"/>
      <c r="AO431" s="3952"/>
      <c r="AP431" s="3952"/>
      <c r="AQ431" s="3952"/>
      <c r="AR431" s="3952"/>
      <c r="AS431" s="3952"/>
      <c r="AT431" s="3952"/>
      <c r="AU431" s="3952"/>
      <c r="AV431" s="4295"/>
      <c r="AW431" s="3952"/>
      <c r="AX431" s="3952"/>
      <c r="AY431" s="3952"/>
      <c r="AZ431" s="3952"/>
      <c r="BA431" s="3952"/>
      <c r="BB431" s="3952"/>
      <c r="BC431" s="3952"/>
      <c r="BD431" s="3952"/>
      <c r="BE431" s="3952"/>
      <c r="BF431" s="3952"/>
      <c r="BG431" s="3952"/>
      <c r="BH431" s="3952"/>
      <c r="BI431" s="3952"/>
      <c r="BJ431" s="3952"/>
      <c r="BK431" s="3952"/>
      <c r="BL431" s="4317"/>
      <c r="BM431" s="4317"/>
      <c r="BN431" s="4317"/>
      <c r="BO431" s="4317"/>
      <c r="BP431" s="4317"/>
      <c r="BQ431" s="4317"/>
      <c r="BR431" s="4317"/>
      <c r="BS431" s="4317"/>
      <c r="BT431" s="4317"/>
      <c r="BU431" s="4317"/>
      <c r="BV431" s="4317"/>
      <c r="BW431" s="4317"/>
      <c r="BX431" s="4317"/>
      <c r="BY431" s="4317"/>
      <c r="BZ431" s="4317"/>
      <c r="CA431" s="4317"/>
      <c r="CB431" s="4317"/>
      <c r="CC431" s="4317"/>
      <c r="CD431" s="4317"/>
      <c r="CE431" s="4317"/>
      <c r="CF431" s="4317"/>
      <c r="CG431" s="4317"/>
      <c r="CH431" s="4317"/>
      <c r="CI431" s="4317"/>
      <c r="CJ431" s="4317"/>
      <c r="CK431" s="4317"/>
      <c r="CL431" s="4317"/>
      <c r="CM431" s="4317"/>
      <c r="CN431" s="4317"/>
      <c r="CO431" s="4317"/>
      <c r="CP431" s="4317"/>
      <c r="CQ431" s="4317"/>
      <c r="CR431" s="4317"/>
      <c r="CS431" s="4317"/>
      <c r="CT431" s="4317"/>
      <c r="CU431" s="4317"/>
      <c r="CV431" s="4317"/>
      <c r="CW431" s="4317"/>
      <c r="CX431" s="4317"/>
      <c r="CY431" s="4317"/>
      <c r="CZ431" s="4317"/>
      <c r="DA431" s="4317"/>
      <c r="DB431" s="4317"/>
      <c r="DC431" s="4317"/>
      <c r="DD431" s="4317"/>
      <c r="DE431" s="4317"/>
      <c r="DF431" s="4317"/>
      <c r="DG431" s="4317"/>
      <c r="DH431" s="4317"/>
      <c r="DI431" s="4317"/>
      <c r="DJ431" s="4317"/>
      <c r="DK431" s="4317"/>
      <c r="DL431" s="4317"/>
      <c r="DM431" s="4317"/>
      <c r="DN431" s="4317"/>
      <c r="DO431" s="4317"/>
      <c r="DP431" s="4317"/>
      <c r="DQ431" s="4317"/>
      <c r="DR431" s="4317"/>
      <c r="DS431" s="4317"/>
      <c r="DT431" s="4134"/>
    </row>
    <row r="432" s="489" customFormat="1" ht="18" hidden="1" customHeight="1" spans="1:124">
      <c r="A432" s="4295"/>
      <c r="B432" s="4295"/>
      <c r="C432" s="4295"/>
      <c r="D432" s="4295"/>
      <c r="E432" s="4295"/>
      <c r="F432" s="4295"/>
      <c r="G432" s="4295"/>
      <c r="H432" s="4295"/>
      <c r="I432" s="4295"/>
      <c r="J432" s="4295"/>
      <c r="K432" s="4295"/>
      <c r="L432" s="4295"/>
      <c r="M432" s="4295"/>
      <c r="N432" s="4295"/>
      <c r="O432" s="4295"/>
      <c r="P432" s="4295"/>
      <c r="Q432" s="4295"/>
      <c r="R432" s="3952"/>
      <c r="S432" s="3952"/>
      <c r="T432" s="4295"/>
      <c r="U432" s="3952"/>
      <c r="V432" s="3952"/>
      <c r="W432" s="3952"/>
      <c r="X432" s="3952"/>
      <c r="Y432" s="3952"/>
      <c r="Z432" s="3952"/>
      <c r="AA432" s="3952"/>
      <c r="AB432" s="3952"/>
      <c r="AC432" s="3952"/>
      <c r="AD432" s="3952"/>
      <c r="AE432" s="3952"/>
      <c r="AF432" s="3952"/>
      <c r="AG432" s="3952"/>
      <c r="AH432" s="4295"/>
      <c r="AI432" s="3952"/>
      <c r="AJ432" s="3952"/>
      <c r="AK432" s="3952"/>
      <c r="AL432" s="3952"/>
      <c r="AM432" s="3952"/>
      <c r="AN432" s="3952"/>
      <c r="AO432" s="3952"/>
      <c r="AP432" s="3952"/>
      <c r="AQ432" s="3952"/>
      <c r="AR432" s="3952"/>
      <c r="AS432" s="3952"/>
      <c r="AT432" s="3952"/>
      <c r="AU432" s="3952"/>
      <c r="AV432" s="4295"/>
      <c r="AW432" s="3952"/>
      <c r="AX432" s="3952"/>
      <c r="AY432" s="3952"/>
      <c r="AZ432" s="3952"/>
      <c r="BA432" s="3952"/>
      <c r="BB432" s="3952"/>
      <c r="BC432" s="3952"/>
      <c r="BD432" s="3952"/>
      <c r="BE432" s="3952"/>
      <c r="BF432" s="3952"/>
      <c r="BG432" s="3952"/>
      <c r="BH432" s="3952"/>
      <c r="BI432" s="3952"/>
      <c r="BJ432" s="3952"/>
      <c r="BK432" s="3952"/>
      <c r="BL432" s="4317"/>
      <c r="BM432" s="4317"/>
      <c r="BN432" s="4317"/>
      <c r="BO432" s="4317"/>
      <c r="BP432" s="4317"/>
      <c r="BQ432" s="4317"/>
      <c r="BR432" s="4317"/>
      <c r="BS432" s="4317"/>
      <c r="BT432" s="4317"/>
      <c r="BU432" s="4317"/>
      <c r="BV432" s="4317"/>
      <c r="BW432" s="4317"/>
      <c r="BX432" s="4317"/>
      <c r="BY432" s="4317"/>
      <c r="BZ432" s="4317"/>
      <c r="CA432" s="4317"/>
      <c r="CB432" s="4317"/>
      <c r="CC432" s="4317"/>
      <c r="CD432" s="4317"/>
      <c r="CE432" s="4317"/>
      <c r="CF432" s="4317"/>
      <c r="CG432" s="4317"/>
      <c r="CH432" s="4317"/>
      <c r="CI432" s="4317"/>
      <c r="CJ432" s="4317"/>
      <c r="CK432" s="4317"/>
      <c r="CL432" s="4317"/>
      <c r="CM432" s="4317"/>
      <c r="CN432" s="4317"/>
      <c r="CO432" s="4317"/>
      <c r="CP432" s="4317"/>
      <c r="CQ432" s="4317"/>
      <c r="CR432" s="4317"/>
      <c r="CS432" s="4317"/>
      <c r="CT432" s="4317"/>
      <c r="CU432" s="4317"/>
      <c r="CV432" s="4317"/>
      <c r="CW432" s="4317"/>
      <c r="CX432" s="4317"/>
      <c r="CY432" s="4317"/>
      <c r="CZ432" s="4317"/>
      <c r="DA432" s="4317"/>
      <c r="DB432" s="4317"/>
      <c r="DC432" s="4317"/>
      <c r="DD432" s="4317"/>
      <c r="DE432" s="4317"/>
      <c r="DF432" s="4317"/>
      <c r="DG432" s="4317"/>
      <c r="DH432" s="4317"/>
      <c r="DI432" s="4317"/>
      <c r="DJ432" s="4317"/>
      <c r="DK432" s="4317"/>
      <c r="DL432" s="4317"/>
      <c r="DM432" s="4317"/>
      <c r="DN432" s="4317"/>
      <c r="DO432" s="4317"/>
      <c r="DP432" s="4317"/>
      <c r="DQ432" s="4317"/>
      <c r="DR432" s="4317"/>
      <c r="DS432" s="4317"/>
      <c r="DT432" s="4134"/>
    </row>
    <row r="433" s="489" customFormat="1" customHeight="1" spans="1:124">
      <c r="A433" s="4397"/>
      <c r="B433" s="4295"/>
      <c r="C433" s="4295"/>
      <c r="D433" s="4295"/>
      <c r="E433" s="4295"/>
      <c r="F433" s="4295"/>
      <c r="G433" s="4295"/>
      <c r="H433" s="4295"/>
      <c r="I433" s="4295"/>
      <c r="J433" s="4295"/>
      <c r="K433" s="4295"/>
      <c r="L433" s="4295"/>
      <c r="M433" s="4295"/>
      <c r="N433" s="4295"/>
      <c r="O433" s="4295"/>
      <c r="P433" s="4295"/>
      <c r="Q433" s="4295"/>
      <c r="R433" s="3952"/>
      <c r="S433" s="3952"/>
      <c r="T433" s="4295"/>
      <c r="U433" s="3952"/>
      <c r="V433" s="3952"/>
      <c r="W433" s="3952"/>
      <c r="X433" s="3952"/>
      <c r="Y433" s="3952"/>
      <c r="Z433" s="3952"/>
      <c r="AA433" s="3952"/>
      <c r="AB433" s="3952"/>
      <c r="AC433" s="3952"/>
      <c r="AD433" s="3952"/>
      <c r="AE433" s="3952"/>
      <c r="AF433" s="3952"/>
      <c r="AG433" s="3952"/>
      <c r="AH433" s="4295"/>
      <c r="AI433" s="3952"/>
      <c r="AJ433" s="3952"/>
      <c r="AK433" s="3952"/>
      <c r="AL433" s="3952"/>
      <c r="AM433" s="3952"/>
      <c r="AN433" s="3952"/>
      <c r="AO433" s="3952"/>
      <c r="AP433" s="3952"/>
      <c r="AQ433" s="3952"/>
      <c r="AR433" s="3952"/>
      <c r="AS433" s="3952"/>
      <c r="AT433" s="3952"/>
      <c r="AU433" s="3952"/>
      <c r="AV433" s="4295"/>
      <c r="AW433" s="3952"/>
      <c r="AX433" s="3952"/>
      <c r="AY433" s="3952"/>
      <c r="AZ433" s="3952"/>
      <c r="BA433" s="3952"/>
      <c r="BB433" s="3952"/>
      <c r="BC433" s="3952"/>
      <c r="BD433" s="3952"/>
      <c r="BE433" s="3952"/>
      <c r="BF433" s="3952"/>
      <c r="BG433" s="3952"/>
      <c r="BH433" s="3952"/>
      <c r="BI433" s="3952"/>
      <c r="BJ433" s="3952"/>
      <c r="BK433" s="3952"/>
      <c r="BL433" s="4317"/>
      <c r="BM433" s="4317"/>
      <c r="BN433" s="4317"/>
      <c r="BO433" s="4317"/>
      <c r="BP433" s="4317"/>
      <c r="BQ433" s="4317"/>
      <c r="BR433" s="4317"/>
      <c r="BS433" s="4317"/>
      <c r="BT433" s="4317"/>
      <c r="BU433" s="4317"/>
      <c r="BV433" s="4317"/>
      <c r="BW433" s="4317"/>
      <c r="BX433" s="4317"/>
      <c r="BY433" s="4317"/>
      <c r="BZ433" s="4317"/>
      <c r="CA433" s="4317"/>
      <c r="CB433" s="4317"/>
      <c r="CC433" s="4317"/>
      <c r="CD433" s="4317"/>
      <c r="CE433" s="4317"/>
      <c r="CF433" s="4317"/>
      <c r="CG433" s="4317"/>
      <c r="CH433" s="4317"/>
      <c r="CI433" s="4317"/>
      <c r="CJ433" s="4317"/>
      <c r="CK433" s="4317"/>
      <c r="CL433" s="4317"/>
      <c r="CM433" s="4317"/>
      <c r="CN433" s="4317"/>
      <c r="CO433" s="4317"/>
      <c r="CP433" s="4317"/>
      <c r="CQ433" s="4317"/>
      <c r="CR433" s="4317"/>
      <c r="CS433" s="4317"/>
      <c r="CT433" s="4317"/>
      <c r="CU433" s="4317"/>
      <c r="CV433" s="4317"/>
      <c r="CW433" s="4317"/>
      <c r="CX433" s="4317"/>
      <c r="CY433" s="4317"/>
      <c r="CZ433" s="4317"/>
      <c r="DA433" s="4317"/>
      <c r="DB433" s="4317"/>
      <c r="DC433" s="4317"/>
      <c r="DD433" s="4317"/>
      <c r="DE433" s="4317"/>
      <c r="DF433" s="4317"/>
      <c r="DG433" s="4317"/>
      <c r="DH433" s="4317"/>
      <c r="DI433" s="4317"/>
      <c r="DJ433" s="4317"/>
      <c r="DK433" s="4317"/>
      <c r="DL433" s="4317"/>
      <c r="DM433" s="4317"/>
      <c r="DN433" s="4317"/>
      <c r="DO433" s="4317"/>
      <c r="DP433" s="4317"/>
      <c r="DQ433" s="4317"/>
      <c r="DR433" s="4317"/>
      <c r="DS433" s="4317"/>
      <c r="DT433" s="4134"/>
    </row>
    <row r="434" s="489" customFormat="1" hidden="1" customHeight="1" spans="1:124">
      <c r="A434" s="4317"/>
      <c r="B434" s="4317"/>
      <c r="C434" s="4317"/>
      <c r="D434" s="4317"/>
      <c r="E434" s="4317"/>
      <c r="F434" s="4317"/>
      <c r="G434" s="4317"/>
      <c r="H434" s="4317"/>
      <c r="I434" s="4317"/>
      <c r="J434" s="4317"/>
      <c r="K434" s="4317"/>
      <c r="L434" s="4317"/>
      <c r="M434" s="4317"/>
      <c r="N434" s="3952"/>
      <c r="O434" s="3952"/>
      <c r="P434" s="3952"/>
      <c r="Q434" s="4295"/>
      <c r="R434" s="3952"/>
      <c r="S434" s="3952"/>
      <c r="T434" s="4295"/>
      <c r="U434" s="3952"/>
      <c r="V434" s="3952"/>
      <c r="W434" s="3952"/>
      <c r="X434" s="3952"/>
      <c r="Y434" s="3952"/>
      <c r="Z434" s="3952"/>
      <c r="AA434" s="3952"/>
      <c r="AB434" s="3952"/>
      <c r="AC434" s="3952"/>
      <c r="AD434" s="3952"/>
      <c r="AE434" s="3952"/>
      <c r="AF434" s="3952"/>
      <c r="AG434" s="3952"/>
      <c r="AH434" s="4295"/>
      <c r="AI434" s="3952"/>
      <c r="AJ434" s="3952"/>
      <c r="AK434" s="3952"/>
      <c r="AL434" s="3952"/>
      <c r="AM434" s="3952"/>
      <c r="AN434" s="3952"/>
      <c r="AO434" s="3952"/>
      <c r="AP434" s="3952"/>
      <c r="AQ434" s="3952"/>
      <c r="AR434" s="3952"/>
      <c r="AS434" s="3952"/>
      <c r="AT434" s="3952"/>
      <c r="AU434" s="3952"/>
      <c r="AV434" s="4295"/>
      <c r="AW434" s="3952"/>
      <c r="AX434" s="3952"/>
      <c r="AY434" s="3952"/>
      <c r="AZ434" s="3952"/>
      <c r="BA434" s="3952"/>
      <c r="BB434" s="3952"/>
      <c r="BC434" s="3952"/>
      <c r="BD434" s="3952"/>
      <c r="BE434" s="3952"/>
      <c r="BF434" s="3952"/>
      <c r="BG434" s="3952"/>
      <c r="BH434" s="3952"/>
      <c r="BI434" s="3952"/>
      <c r="BJ434" s="3952"/>
      <c r="BK434" s="3952"/>
      <c r="BL434" s="4317"/>
      <c r="BM434" s="4317"/>
      <c r="BN434" s="4317"/>
      <c r="BO434" s="4317"/>
      <c r="BP434" s="4317"/>
      <c r="BQ434" s="4317"/>
      <c r="BR434" s="4317"/>
      <c r="BS434" s="4317"/>
      <c r="BT434" s="4317"/>
      <c r="BU434" s="4317"/>
      <c r="BV434" s="4317"/>
      <c r="BW434" s="4317"/>
      <c r="BX434" s="4317"/>
      <c r="BY434" s="4317"/>
      <c r="BZ434" s="4317"/>
      <c r="CA434" s="4317"/>
      <c r="CB434" s="4317"/>
      <c r="CC434" s="4317"/>
      <c r="CD434" s="4317"/>
      <c r="CE434" s="4317"/>
      <c r="CF434" s="4317"/>
      <c r="CG434" s="4317"/>
      <c r="CH434" s="4317"/>
      <c r="CI434" s="4317"/>
      <c r="CJ434" s="4317"/>
      <c r="CK434" s="4317"/>
      <c r="CL434" s="4317"/>
      <c r="CM434" s="4317"/>
      <c r="CN434" s="4317"/>
      <c r="CO434" s="4317"/>
      <c r="CP434" s="4317"/>
      <c r="CQ434" s="4317"/>
      <c r="CR434" s="4317"/>
      <c r="CS434" s="4317"/>
      <c r="CT434" s="4317"/>
      <c r="CU434" s="4317"/>
      <c r="CV434" s="4317"/>
      <c r="CW434" s="4317"/>
      <c r="CX434" s="4317"/>
      <c r="CY434" s="4317"/>
      <c r="CZ434" s="4317"/>
      <c r="DA434" s="4317"/>
      <c r="DB434" s="4317"/>
      <c r="DC434" s="4317"/>
      <c r="DD434" s="4317"/>
      <c r="DE434" s="4317"/>
      <c r="DF434" s="4317"/>
      <c r="DG434" s="4317"/>
      <c r="DH434" s="4317"/>
      <c r="DI434" s="4317"/>
      <c r="DJ434" s="4317"/>
      <c r="DK434" s="4317"/>
      <c r="DL434" s="4317"/>
      <c r="DM434" s="4317"/>
      <c r="DN434" s="4317"/>
      <c r="DO434" s="4317"/>
      <c r="DP434" s="4317"/>
      <c r="DQ434" s="4317"/>
      <c r="DR434" s="4317"/>
      <c r="DS434" s="4317"/>
      <c r="DT434" s="4134"/>
    </row>
    <row r="435" s="489" customFormat="1" hidden="1" customHeight="1" spans="1:124">
      <c r="A435" s="4317"/>
      <c r="B435" s="4317"/>
      <c r="C435" s="4317"/>
      <c r="D435" s="4317"/>
      <c r="E435" s="4317"/>
      <c r="F435" s="4317"/>
      <c r="G435" s="4317"/>
      <c r="H435" s="4317"/>
      <c r="I435" s="4317"/>
      <c r="J435" s="4317"/>
      <c r="K435" s="4317"/>
      <c r="L435" s="4317"/>
      <c r="M435" s="4317"/>
      <c r="N435" s="3952"/>
      <c r="O435" s="3952"/>
      <c r="P435" s="3952"/>
      <c r="Q435" s="4295"/>
      <c r="R435" s="3952"/>
      <c r="S435" s="3952"/>
      <c r="T435" s="4295"/>
      <c r="U435" s="3952"/>
      <c r="V435" s="3952"/>
      <c r="W435" s="3952"/>
      <c r="X435" s="3952"/>
      <c r="Y435" s="3952"/>
      <c r="Z435" s="3952"/>
      <c r="AA435" s="3952"/>
      <c r="AB435" s="3952"/>
      <c r="AC435" s="3952"/>
      <c r="AD435" s="3952"/>
      <c r="AE435" s="3952"/>
      <c r="AF435" s="3952"/>
      <c r="AG435" s="3952"/>
      <c r="AH435" s="4295"/>
      <c r="AI435" s="3952"/>
      <c r="AJ435" s="3952"/>
      <c r="AK435" s="3952"/>
      <c r="AL435" s="3952"/>
      <c r="AM435" s="3952"/>
      <c r="AN435" s="3952"/>
      <c r="AO435" s="3952"/>
      <c r="AP435" s="3952"/>
      <c r="AQ435" s="3952"/>
      <c r="AR435" s="3952"/>
      <c r="AS435" s="3952"/>
      <c r="AT435" s="3952"/>
      <c r="AU435" s="3952"/>
      <c r="AV435" s="4295"/>
      <c r="AW435" s="3952"/>
      <c r="AX435" s="3952"/>
      <c r="AY435" s="3952"/>
      <c r="AZ435" s="3952"/>
      <c r="BA435" s="3952"/>
      <c r="BB435" s="3952"/>
      <c r="BC435" s="3952"/>
      <c r="BD435" s="3952"/>
      <c r="BE435" s="3952"/>
      <c r="BF435" s="3952"/>
      <c r="BG435" s="3952"/>
      <c r="BH435" s="3952"/>
      <c r="BI435" s="3952"/>
      <c r="BJ435" s="3952"/>
      <c r="BK435" s="3952"/>
      <c r="BL435" s="4317"/>
      <c r="BM435" s="4317"/>
      <c r="BN435" s="4317"/>
      <c r="BO435" s="4317"/>
      <c r="BP435" s="4317"/>
      <c r="BQ435" s="4317"/>
      <c r="BR435" s="4317"/>
      <c r="BS435" s="4317"/>
      <c r="BT435" s="4317"/>
      <c r="BU435" s="4317"/>
      <c r="BV435" s="4317"/>
      <c r="BW435" s="4317"/>
      <c r="BX435" s="4317"/>
      <c r="BY435" s="4317"/>
      <c r="BZ435" s="4317"/>
      <c r="CA435" s="4317"/>
      <c r="CB435" s="4317"/>
      <c r="CC435" s="4317"/>
      <c r="CD435" s="4317"/>
      <c r="CE435" s="4317"/>
      <c r="CF435" s="4317"/>
      <c r="CG435" s="4317"/>
      <c r="CH435" s="4317"/>
      <c r="CI435" s="4317"/>
      <c r="CJ435" s="4317"/>
      <c r="CK435" s="4317"/>
      <c r="CL435" s="4317"/>
      <c r="CM435" s="4317"/>
      <c r="CN435" s="4317"/>
      <c r="CO435" s="4317"/>
      <c r="CP435" s="4317"/>
      <c r="CQ435" s="4317"/>
      <c r="CR435" s="4317"/>
      <c r="CS435" s="4317"/>
      <c r="CT435" s="4317"/>
      <c r="CU435" s="4317"/>
      <c r="CV435" s="4317"/>
      <c r="CW435" s="4317"/>
      <c r="CX435" s="4317"/>
      <c r="CY435" s="4317"/>
      <c r="CZ435" s="4317"/>
      <c r="DA435" s="4317"/>
      <c r="DB435" s="4317"/>
      <c r="DC435" s="4317"/>
      <c r="DD435" s="4317"/>
      <c r="DE435" s="4317"/>
      <c r="DF435" s="4317"/>
      <c r="DG435" s="4317"/>
      <c r="DH435" s="4317"/>
      <c r="DI435" s="4317"/>
      <c r="DJ435" s="4317"/>
      <c r="DK435" s="4317"/>
      <c r="DL435" s="4317"/>
      <c r="DM435" s="4317"/>
      <c r="DN435" s="4317"/>
      <c r="DO435" s="4317"/>
      <c r="DP435" s="4317"/>
      <c r="DQ435" s="4317"/>
      <c r="DR435" s="4317"/>
      <c r="DS435" s="4317"/>
      <c r="DT435" s="4134"/>
    </row>
    <row r="436" s="489" customFormat="1" hidden="1" customHeight="1" spans="1:124">
      <c r="A436" s="4317"/>
      <c r="B436" s="4317"/>
      <c r="C436" s="4317"/>
      <c r="D436" s="4317"/>
      <c r="E436" s="4317"/>
      <c r="F436" s="4317"/>
      <c r="G436" s="4317"/>
      <c r="H436" s="4317"/>
      <c r="I436" s="4317"/>
      <c r="J436" s="4317"/>
      <c r="K436" s="4317"/>
      <c r="L436" s="4317"/>
      <c r="M436" s="4317"/>
      <c r="N436" s="3952"/>
      <c r="O436" s="3952"/>
      <c r="P436" s="3952"/>
      <c r="Q436" s="4295"/>
      <c r="R436" s="3952"/>
      <c r="S436" s="3952"/>
      <c r="T436" s="4295"/>
      <c r="U436" s="3952"/>
      <c r="V436" s="3952"/>
      <c r="W436" s="3952"/>
      <c r="X436" s="3952"/>
      <c r="Y436" s="3952"/>
      <c r="Z436" s="3952"/>
      <c r="AA436" s="3952"/>
      <c r="AB436" s="3952"/>
      <c r="AC436" s="3952"/>
      <c r="AD436" s="3952"/>
      <c r="AE436" s="3952"/>
      <c r="AF436" s="3952"/>
      <c r="AG436" s="3952"/>
      <c r="AH436" s="4295"/>
      <c r="AI436" s="3952"/>
      <c r="AJ436" s="3952"/>
      <c r="AK436" s="3952"/>
      <c r="AL436" s="3952"/>
      <c r="AM436" s="3952"/>
      <c r="AN436" s="3952"/>
      <c r="AO436" s="3952"/>
      <c r="AP436" s="3952"/>
      <c r="AQ436" s="3952"/>
      <c r="AR436" s="3952"/>
      <c r="AS436" s="3952"/>
      <c r="AT436" s="3952"/>
      <c r="AU436" s="3952"/>
      <c r="AV436" s="4295"/>
      <c r="AW436" s="3952"/>
      <c r="AX436" s="3952"/>
      <c r="AY436" s="3952"/>
      <c r="AZ436" s="3952"/>
      <c r="BA436" s="3952"/>
      <c r="BB436" s="3952"/>
      <c r="BC436" s="3952"/>
      <c r="BD436" s="3952"/>
      <c r="BE436" s="3952"/>
      <c r="BF436" s="3952"/>
      <c r="BG436" s="3952"/>
      <c r="BH436" s="3952"/>
      <c r="BI436" s="3952"/>
      <c r="BJ436" s="3952"/>
      <c r="BK436" s="3952"/>
      <c r="BL436" s="4317"/>
      <c r="BM436" s="4317"/>
      <c r="BN436" s="4317"/>
      <c r="BO436" s="4317"/>
      <c r="BP436" s="4317"/>
      <c r="BQ436" s="4317"/>
      <c r="BR436" s="4317"/>
      <c r="BS436" s="4317"/>
      <c r="BT436" s="4317"/>
      <c r="BU436" s="4317"/>
      <c r="BV436" s="4317"/>
      <c r="BW436" s="4317"/>
      <c r="BX436" s="4317"/>
      <c r="BY436" s="4317"/>
      <c r="BZ436" s="4317"/>
      <c r="CA436" s="4317"/>
      <c r="CB436" s="4317"/>
      <c r="CC436" s="4317"/>
      <c r="CD436" s="4317"/>
      <c r="CE436" s="4317"/>
      <c r="CF436" s="4317"/>
      <c r="CG436" s="4317"/>
      <c r="CH436" s="4317"/>
      <c r="CI436" s="4317"/>
      <c r="CJ436" s="4317"/>
      <c r="CK436" s="4317"/>
      <c r="CL436" s="4317"/>
      <c r="CM436" s="4317"/>
      <c r="CN436" s="4317"/>
      <c r="CO436" s="4317"/>
      <c r="CP436" s="4317"/>
      <c r="CQ436" s="4317"/>
      <c r="CR436" s="4317"/>
      <c r="CS436" s="4317"/>
      <c r="CT436" s="4317"/>
      <c r="CU436" s="4317"/>
      <c r="CV436" s="4317"/>
      <c r="CW436" s="4317"/>
      <c r="CX436" s="4317"/>
      <c r="CY436" s="4317"/>
      <c r="CZ436" s="4317"/>
      <c r="DA436" s="4317"/>
      <c r="DB436" s="4317"/>
      <c r="DC436" s="4317"/>
      <c r="DD436" s="4317"/>
      <c r="DE436" s="4317"/>
      <c r="DF436" s="4317"/>
      <c r="DG436" s="4317"/>
      <c r="DH436" s="4317"/>
      <c r="DI436" s="4317"/>
      <c r="DJ436" s="4317"/>
      <c r="DK436" s="4317"/>
      <c r="DL436" s="4317"/>
      <c r="DM436" s="4317"/>
      <c r="DN436" s="4317"/>
      <c r="DO436" s="4317"/>
      <c r="DP436" s="4317"/>
      <c r="DQ436" s="4317"/>
      <c r="DR436" s="4317"/>
      <c r="DS436" s="4317"/>
      <c r="DT436" s="4134"/>
    </row>
    <row r="437" s="489" customFormat="1" hidden="1" customHeight="1" spans="1:124">
      <c r="A437" s="4317"/>
      <c r="B437" s="4317"/>
      <c r="C437" s="4317"/>
      <c r="D437" s="4317"/>
      <c r="E437" s="4317"/>
      <c r="F437" s="4317"/>
      <c r="G437" s="4317"/>
      <c r="H437" s="4317"/>
      <c r="I437" s="4317"/>
      <c r="J437" s="4317"/>
      <c r="K437" s="4317"/>
      <c r="L437" s="4317"/>
      <c r="M437" s="4317"/>
      <c r="N437" s="3952"/>
      <c r="O437" s="3952"/>
      <c r="P437" s="3952"/>
      <c r="Q437" s="4295"/>
      <c r="R437" s="3952"/>
      <c r="S437" s="3952"/>
      <c r="T437" s="4295"/>
      <c r="U437" s="3952"/>
      <c r="V437" s="3952"/>
      <c r="W437" s="3952"/>
      <c r="X437" s="3952"/>
      <c r="Y437" s="3952"/>
      <c r="Z437" s="3952"/>
      <c r="AA437" s="3952"/>
      <c r="AB437" s="3952"/>
      <c r="AC437" s="3952"/>
      <c r="AD437" s="3952"/>
      <c r="AE437" s="3952"/>
      <c r="AF437" s="3952"/>
      <c r="AG437" s="3952"/>
      <c r="AH437" s="4295"/>
      <c r="AI437" s="3952"/>
      <c r="AJ437" s="3952"/>
      <c r="AK437" s="3952"/>
      <c r="AL437" s="3952"/>
      <c r="AM437" s="3952"/>
      <c r="AN437" s="3952"/>
      <c r="AO437" s="3952"/>
      <c r="AP437" s="3952"/>
      <c r="AQ437" s="3952"/>
      <c r="AR437" s="3952"/>
      <c r="AS437" s="3952"/>
      <c r="AT437" s="3952"/>
      <c r="AU437" s="3952"/>
      <c r="AV437" s="4295"/>
      <c r="AW437" s="3952"/>
      <c r="AX437" s="3952"/>
      <c r="AY437" s="3952"/>
      <c r="AZ437" s="3952"/>
      <c r="BA437" s="3952"/>
      <c r="BB437" s="3952"/>
      <c r="BC437" s="3952"/>
      <c r="BD437" s="3952"/>
      <c r="BE437" s="3952"/>
      <c r="BF437" s="3952"/>
      <c r="BG437" s="3952"/>
      <c r="BH437" s="3952"/>
      <c r="BI437" s="3952"/>
      <c r="BJ437" s="3952"/>
      <c r="BK437" s="3952"/>
      <c r="BL437" s="4317"/>
      <c r="BM437" s="4317"/>
      <c r="BN437" s="4317"/>
      <c r="BO437" s="4317"/>
      <c r="BP437" s="4317"/>
      <c r="BQ437" s="4317"/>
      <c r="BR437" s="4317"/>
      <c r="BS437" s="4317"/>
      <c r="BT437" s="4317"/>
      <c r="BU437" s="4317"/>
      <c r="BV437" s="4317"/>
      <c r="BW437" s="4317"/>
      <c r="BX437" s="4317"/>
      <c r="BY437" s="4317"/>
      <c r="BZ437" s="4317"/>
      <c r="CA437" s="4317"/>
      <c r="CB437" s="4317"/>
      <c r="CC437" s="4317"/>
      <c r="CD437" s="4317"/>
      <c r="CE437" s="4317"/>
      <c r="CF437" s="4317"/>
      <c r="CG437" s="4317"/>
      <c r="CH437" s="4317"/>
      <c r="CI437" s="4317"/>
      <c r="CJ437" s="4317"/>
      <c r="CK437" s="4317"/>
      <c r="CL437" s="4317"/>
      <c r="CM437" s="4317"/>
      <c r="CN437" s="4317"/>
      <c r="CO437" s="4317"/>
      <c r="CP437" s="4317"/>
      <c r="CQ437" s="4317"/>
      <c r="CR437" s="4317"/>
      <c r="CS437" s="4317"/>
      <c r="CT437" s="4317"/>
      <c r="CU437" s="4317"/>
      <c r="CV437" s="4317"/>
      <c r="CW437" s="4317"/>
      <c r="CX437" s="4317"/>
      <c r="CY437" s="4317"/>
      <c r="CZ437" s="4317"/>
      <c r="DA437" s="4317"/>
      <c r="DB437" s="4317"/>
      <c r="DC437" s="4317"/>
      <c r="DD437" s="4317"/>
      <c r="DE437" s="4317"/>
      <c r="DF437" s="4317"/>
      <c r="DG437" s="4317"/>
      <c r="DH437" s="4317"/>
      <c r="DI437" s="4317"/>
      <c r="DJ437" s="4317"/>
      <c r="DK437" s="4317"/>
      <c r="DL437" s="4317"/>
      <c r="DM437" s="4317"/>
      <c r="DN437" s="4317"/>
      <c r="DO437" s="4317"/>
      <c r="DP437" s="4317"/>
      <c r="DQ437" s="4317"/>
      <c r="DR437" s="4317"/>
      <c r="DS437" s="4317"/>
      <c r="DT437" s="4134"/>
    </row>
    <row r="438" s="489" customFormat="1" hidden="1" customHeight="1" spans="1:124">
      <c r="A438" s="4317"/>
      <c r="B438" s="4317"/>
      <c r="C438" s="4317"/>
      <c r="D438" s="4317"/>
      <c r="E438" s="4317"/>
      <c r="F438" s="4317"/>
      <c r="G438" s="4317"/>
      <c r="H438" s="4317"/>
      <c r="I438" s="4317"/>
      <c r="J438" s="4317"/>
      <c r="K438" s="4317"/>
      <c r="L438" s="4317"/>
      <c r="M438" s="4317"/>
      <c r="N438" s="3952"/>
      <c r="O438" s="3952"/>
      <c r="P438" s="3952"/>
      <c r="Q438" s="4295"/>
      <c r="R438" s="3952"/>
      <c r="S438" s="3952"/>
      <c r="T438" s="4295"/>
      <c r="U438" s="3952"/>
      <c r="V438" s="3952"/>
      <c r="W438" s="3952"/>
      <c r="X438" s="3952"/>
      <c r="Y438" s="3952"/>
      <c r="Z438" s="3952"/>
      <c r="AA438" s="3952"/>
      <c r="AB438" s="3952"/>
      <c r="AC438" s="3952"/>
      <c r="AD438" s="3952"/>
      <c r="AE438" s="3952"/>
      <c r="AF438" s="3952"/>
      <c r="AG438" s="3952"/>
      <c r="AH438" s="4295"/>
      <c r="AI438" s="3952"/>
      <c r="AJ438" s="3952"/>
      <c r="AK438" s="3952"/>
      <c r="AL438" s="3952"/>
      <c r="AM438" s="3952"/>
      <c r="AN438" s="3952"/>
      <c r="AO438" s="3952"/>
      <c r="AP438" s="3952"/>
      <c r="AQ438" s="3952"/>
      <c r="AR438" s="3952"/>
      <c r="AS438" s="3952"/>
      <c r="AT438" s="3952"/>
      <c r="AU438" s="3952"/>
      <c r="AV438" s="4295"/>
      <c r="AW438" s="3952"/>
      <c r="AX438" s="3952"/>
      <c r="AY438" s="3952"/>
      <c r="AZ438" s="3952"/>
      <c r="BA438" s="3952"/>
      <c r="BB438" s="3952"/>
      <c r="BC438" s="3952"/>
      <c r="BD438" s="3952"/>
      <c r="BE438" s="3952"/>
      <c r="BF438" s="3952"/>
      <c r="BG438" s="3952"/>
      <c r="BH438" s="3952"/>
      <c r="BI438" s="3952"/>
      <c r="BJ438" s="3952"/>
      <c r="BK438" s="3952"/>
      <c r="BL438" s="4317"/>
      <c r="BM438" s="4317"/>
      <c r="BN438" s="4317"/>
      <c r="BO438" s="4317"/>
      <c r="BP438" s="4317"/>
      <c r="BQ438" s="4317"/>
      <c r="BR438" s="4317"/>
      <c r="BS438" s="4317"/>
      <c r="BT438" s="4317"/>
      <c r="BU438" s="4317"/>
      <c r="BV438" s="4317"/>
      <c r="BW438" s="4317"/>
      <c r="BX438" s="4317"/>
      <c r="BY438" s="4317"/>
      <c r="BZ438" s="4317"/>
      <c r="CA438" s="4317"/>
      <c r="CB438" s="4317"/>
      <c r="CC438" s="4317"/>
      <c r="CD438" s="4317"/>
      <c r="CE438" s="4317"/>
      <c r="CF438" s="4317"/>
      <c r="CG438" s="4317"/>
      <c r="CH438" s="4317"/>
      <c r="CI438" s="4317"/>
      <c r="CJ438" s="4317"/>
      <c r="CK438" s="4317"/>
      <c r="CL438" s="4317"/>
      <c r="CM438" s="4317"/>
      <c r="CN438" s="4317"/>
      <c r="CO438" s="4317"/>
      <c r="CP438" s="4317"/>
      <c r="CQ438" s="4317"/>
      <c r="CR438" s="4317"/>
      <c r="CS438" s="4317"/>
      <c r="CT438" s="4317"/>
      <c r="CU438" s="4317"/>
      <c r="CV438" s="4317"/>
      <c r="CW438" s="4317"/>
      <c r="CX438" s="4317"/>
      <c r="CY438" s="4317"/>
      <c r="CZ438" s="4317"/>
      <c r="DA438" s="4317"/>
      <c r="DB438" s="4317"/>
      <c r="DC438" s="4317"/>
      <c r="DD438" s="4317"/>
      <c r="DE438" s="4317"/>
      <c r="DF438" s="4317"/>
      <c r="DG438" s="4317"/>
      <c r="DH438" s="4317"/>
      <c r="DI438" s="4317"/>
      <c r="DJ438" s="4317"/>
      <c r="DK438" s="4317"/>
      <c r="DL438" s="4317"/>
      <c r="DM438" s="4317"/>
      <c r="DN438" s="4317"/>
      <c r="DO438" s="4317"/>
      <c r="DP438" s="4317"/>
      <c r="DQ438" s="4317"/>
      <c r="DR438" s="4317"/>
      <c r="DS438" s="4317"/>
      <c r="DT438" s="4134"/>
    </row>
    <row r="439" s="489" customFormat="1" hidden="1" customHeight="1" spans="1:124">
      <c r="A439" s="4317"/>
      <c r="B439" s="4317"/>
      <c r="C439" s="4317"/>
      <c r="D439" s="4317"/>
      <c r="E439" s="4317"/>
      <c r="F439" s="4317"/>
      <c r="G439" s="4317"/>
      <c r="H439" s="4317"/>
      <c r="I439" s="4317"/>
      <c r="J439" s="4317"/>
      <c r="K439" s="4317"/>
      <c r="L439" s="4317"/>
      <c r="M439" s="4317"/>
      <c r="N439" s="3952"/>
      <c r="O439" s="3952"/>
      <c r="P439" s="3952"/>
      <c r="Q439" s="4295"/>
      <c r="R439" s="3952"/>
      <c r="S439" s="3952"/>
      <c r="T439" s="4295"/>
      <c r="U439" s="3952"/>
      <c r="V439" s="3952"/>
      <c r="W439" s="3952"/>
      <c r="X439" s="3952"/>
      <c r="Y439" s="3952"/>
      <c r="Z439" s="3952"/>
      <c r="AA439" s="3952"/>
      <c r="AB439" s="3952"/>
      <c r="AC439" s="3952"/>
      <c r="AD439" s="3952"/>
      <c r="AE439" s="3952"/>
      <c r="AF439" s="3952"/>
      <c r="AG439" s="3952"/>
      <c r="AH439" s="4295"/>
      <c r="AI439" s="3952"/>
      <c r="AJ439" s="3952"/>
      <c r="AK439" s="3952"/>
      <c r="AL439" s="3952"/>
      <c r="AM439" s="3952"/>
      <c r="AN439" s="3952"/>
      <c r="AO439" s="3952"/>
      <c r="AP439" s="3952"/>
      <c r="AQ439" s="3952"/>
      <c r="AR439" s="3952"/>
      <c r="AS439" s="3952"/>
      <c r="AT439" s="3952"/>
      <c r="AU439" s="3952"/>
      <c r="AV439" s="4295"/>
      <c r="AW439" s="3952"/>
      <c r="AX439" s="3952"/>
      <c r="AY439" s="3952"/>
      <c r="AZ439" s="3952"/>
      <c r="BA439" s="3952"/>
      <c r="BB439" s="3952"/>
      <c r="BC439" s="3952"/>
      <c r="BD439" s="3952"/>
      <c r="BE439" s="3952"/>
      <c r="BF439" s="3952"/>
      <c r="BG439" s="3952"/>
      <c r="BH439" s="3952"/>
      <c r="BI439" s="3952"/>
      <c r="BJ439" s="3952"/>
      <c r="BK439" s="3952"/>
      <c r="BL439" s="4317"/>
      <c r="BM439" s="4317"/>
      <c r="BN439" s="4317"/>
      <c r="BO439" s="4317"/>
      <c r="BP439" s="4317"/>
      <c r="BQ439" s="4317"/>
      <c r="BR439" s="4317"/>
      <c r="BS439" s="4317"/>
      <c r="BT439" s="4317"/>
      <c r="BU439" s="4317"/>
      <c r="BV439" s="4317"/>
      <c r="BW439" s="4317"/>
      <c r="BX439" s="4317"/>
      <c r="BY439" s="4317"/>
      <c r="BZ439" s="4317"/>
      <c r="CA439" s="4317"/>
      <c r="CB439" s="4317"/>
      <c r="CC439" s="4317"/>
      <c r="CD439" s="4317"/>
      <c r="CE439" s="4317"/>
      <c r="CF439" s="4317"/>
      <c r="CG439" s="4317"/>
      <c r="CH439" s="4317"/>
      <c r="CI439" s="4317"/>
      <c r="CJ439" s="4317"/>
      <c r="CK439" s="4317"/>
      <c r="CL439" s="4317"/>
      <c r="CM439" s="4317"/>
      <c r="CN439" s="4317"/>
      <c r="CO439" s="4317"/>
      <c r="CP439" s="4317"/>
      <c r="CQ439" s="4317"/>
      <c r="CR439" s="4317"/>
      <c r="CS439" s="4317"/>
      <c r="CT439" s="4317"/>
      <c r="CU439" s="4317"/>
      <c r="CV439" s="4317"/>
      <c r="CW439" s="4317"/>
      <c r="CX439" s="4317"/>
      <c r="CY439" s="4317"/>
      <c r="CZ439" s="4317"/>
      <c r="DA439" s="4317"/>
      <c r="DB439" s="4317"/>
      <c r="DC439" s="4317"/>
      <c r="DD439" s="4317"/>
      <c r="DE439" s="4317"/>
      <c r="DF439" s="4317"/>
      <c r="DG439" s="4317"/>
      <c r="DH439" s="4317"/>
      <c r="DI439" s="4317"/>
      <c r="DJ439" s="4317"/>
      <c r="DK439" s="4317"/>
      <c r="DL439" s="4317"/>
      <c r="DM439" s="4317"/>
      <c r="DN439" s="4317"/>
      <c r="DO439" s="4317"/>
      <c r="DP439" s="4317"/>
      <c r="DQ439" s="4317"/>
      <c r="DR439" s="4317"/>
      <c r="DS439" s="4317"/>
      <c r="DT439" s="4134"/>
    </row>
    <row r="440" s="489" customFormat="1" hidden="1" customHeight="1" spans="1:124">
      <c r="A440" s="4317"/>
      <c r="B440" s="4317"/>
      <c r="C440" s="4317"/>
      <c r="D440" s="4317"/>
      <c r="E440" s="4317"/>
      <c r="F440" s="4317"/>
      <c r="G440" s="4317"/>
      <c r="H440" s="4317"/>
      <c r="I440" s="4317"/>
      <c r="J440" s="4317"/>
      <c r="K440" s="4317"/>
      <c r="L440" s="4317"/>
      <c r="M440" s="4317"/>
      <c r="N440" s="3952"/>
      <c r="O440" s="3952"/>
      <c r="P440" s="3952"/>
      <c r="Q440" s="4295"/>
      <c r="R440" s="3952"/>
      <c r="S440" s="3952"/>
      <c r="T440" s="4295"/>
      <c r="U440" s="3952"/>
      <c r="V440" s="3952"/>
      <c r="W440" s="3952"/>
      <c r="X440" s="3952"/>
      <c r="Y440" s="3952"/>
      <c r="Z440" s="3952"/>
      <c r="AA440" s="3952"/>
      <c r="AB440" s="3952"/>
      <c r="AC440" s="3952"/>
      <c r="AD440" s="3952"/>
      <c r="AE440" s="3952"/>
      <c r="AF440" s="3952"/>
      <c r="AG440" s="3952"/>
      <c r="AH440" s="4295"/>
      <c r="AI440" s="3952"/>
      <c r="AJ440" s="3952"/>
      <c r="AK440" s="3952"/>
      <c r="AL440" s="3952"/>
      <c r="AM440" s="3952"/>
      <c r="AN440" s="3952"/>
      <c r="AO440" s="3952"/>
      <c r="AP440" s="3952"/>
      <c r="AQ440" s="3952"/>
      <c r="AR440" s="3952"/>
      <c r="AS440" s="3952"/>
      <c r="AT440" s="3952"/>
      <c r="AU440" s="3952"/>
      <c r="AV440" s="4295"/>
      <c r="AW440" s="3952"/>
      <c r="AX440" s="3952"/>
      <c r="AY440" s="3952"/>
      <c r="AZ440" s="3952"/>
      <c r="BA440" s="3952"/>
      <c r="BB440" s="3952"/>
      <c r="BC440" s="3952"/>
      <c r="BD440" s="3952"/>
      <c r="BE440" s="3952"/>
      <c r="BF440" s="3952"/>
      <c r="BG440" s="3952"/>
      <c r="BH440" s="3952"/>
      <c r="BI440" s="3952"/>
      <c r="BJ440" s="3952"/>
      <c r="BK440" s="3952"/>
      <c r="BL440" s="4317"/>
      <c r="BM440" s="4317"/>
      <c r="BN440" s="4317"/>
      <c r="BO440" s="4317"/>
      <c r="BP440" s="4317"/>
      <c r="BQ440" s="4317"/>
      <c r="BR440" s="4317"/>
      <c r="BS440" s="4317"/>
      <c r="BT440" s="4317"/>
      <c r="BU440" s="4317"/>
      <c r="BV440" s="4317"/>
      <c r="BW440" s="4317"/>
      <c r="BX440" s="4317"/>
      <c r="BY440" s="4317"/>
      <c r="BZ440" s="4317"/>
      <c r="CA440" s="4317"/>
      <c r="CB440" s="4317"/>
      <c r="CC440" s="4317"/>
      <c r="CD440" s="4317"/>
      <c r="CE440" s="4317"/>
      <c r="CF440" s="4317"/>
      <c r="CG440" s="4317"/>
      <c r="CH440" s="4317"/>
      <c r="CI440" s="4317"/>
      <c r="CJ440" s="4317"/>
      <c r="CK440" s="4317"/>
      <c r="CL440" s="4317"/>
      <c r="CM440" s="4317"/>
      <c r="CN440" s="4317"/>
      <c r="CO440" s="4317"/>
      <c r="CP440" s="4317"/>
      <c r="CQ440" s="4317"/>
      <c r="CR440" s="4317"/>
      <c r="CS440" s="4317"/>
      <c r="CT440" s="4317"/>
      <c r="CU440" s="4317"/>
      <c r="CV440" s="4317"/>
      <c r="CW440" s="4317"/>
      <c r="CX440" s="4317"/>
      <c r="CY440" s="4317"/>
      <c r="CZ440" s="4317"/>
      <c r="DA440" s="4317"/>
      <c r="DB440" s="4317"/>
      <c r="DC440" s="4317"/>
      <c r="DD440" s="4317"/>
      <c r="DE440" s="4317"/>
      <c r="DF440" s="4317"/>
      <c r="DG440" s="4317"/>
      <c r="DH440" s="4317"/>
      <c r="DI440" s="4317"/>
      <c r="DJ440" s="4317"/>
      <c r="DK440" s="4317"/>
      <c r="DL440" s="4317"/>
      <c r="DM440" s="4317"/>
      <c r="DN440" s="4317"/>
      <c r="DO440" s="4317"/>
      <c r="DP440" s="4317"/>
      <c r="DQ440" s="4317"/>
      <c r="DR440" s="4317"/>
      <c r="DS440" s="4317"/>
      <c r="DT440" s="4134"/>
    </row>
    <row r="441" s="489" customFormat="1" hidden="1" customHeight="1" spans="1:124">
      <c r="A441" s="4317"/>
      <c r="B441" s="4317"/>
      <c r="C441" s="4317"/>
      <c r="D441" s="4317"/>
      <c r="E441" s="4317"/>
      <c r="F441" s="4317"/>
      <c r="G441" s="4317"/>
      <c r="H441" s="4317"/>
      <c r="I441" s="4317"/>
      <c r="J441" s="4317"/>
      <c r="K441" s="4317"/>
      <c r="L441" s="4317"/>
      <c r="M441" s="4317"/>
      <c r="N441" s="3952"/>
      <c r="O441" s="3952"/>
      <c r="P441" s="3952"/>
      <c r="Q441" s="4295"/>
      <c r="R441" s="3952"/>
      <c r="S441" s="3952"/>
      <c r="T441" s="4295"/>
      <c r="U441" s="3952"/>
      <c r="V441" s="3952"/>
      <c r="W441" s="3952"/>
      <c r="X441" s="3952"/>
      <c r="Y441" s="3952"/>
      <c r="Z441" s="3952"/>
      <c r="AA441" s="3952"/>
      <c r="AB441" s="3952"/>
      <c r="AC441" s="3952"/>
      <c r="AD441" s="3952"/>
      <c r="AE441" s="3952"/>
      <c r="AF441" s="3952"/>
      <c r="AG441" s="3952"/>
      <c r="AH441" s="4295"/>
      <c r="AI441" s="3952"/>
      <c r="AJ441" s="3952"/>
      <c r="AK441" s="3952"/>
      <c r="AL441" s="3952"/>
      <c r="AM441" s="3952"/>
      <c r="AN441" s="3952"/>
      <c r="AO441" s="3952"/>
      <c r="AP441" s="3952"/>
      <c r="AQ441" s="3952"/>
      <c r="AR441" s="3952"/>
      <c r="AS441" s="3952"/>
      <c r="AT441" s="3952"/>
      <c r="AU441" s="3952"/>
      <c r="AV441" s="4295"/>
      <c r="AW441" s="3952"/>
      <c r="AX441" s="3952"/>
      <c r="AY441" s="3952"/>
      <c r="AZ441" s="3952"/>
      <c r="BA441" s="3952"/>
      <c r="BB441" s="3952"/>
      <c r="BC441" s="3952"/>
      <c r="BD441" s="3952"/>
      <c r="BE441" s="3952"/>
      <c r="BF441" s="3952"/>
      <c r="BG441" s="3952"/>
      <c r="BH441" s="3952"/>
      <c r="BI441" s="3952"/>
      <c r="BJ441" s="3952"/>
      <c r="BK441" s="3952"/>
      <c r="BL441" s="4317"/>
      <c r="BM441" s="4317"/>
      <c r="BN441" s="4317"/>
      <c r="BO441" s="4317"/>
      <c r="BP441" s="4317"/>
      <c r="BQ441" s="4317"/>
      <c r="BR441" s="4317"/>
      <c r="BS441" s="4317"/>
      <c r="BT441" s="4317"/>
      <c r="BU441" s="4317"/>
      <c r="BV441" s="4317"/>
      <c r="BW441" s="4317"/>
      <c r="BX441" s="4317"/>
      <c r="BY441" s="4317"/>
      <c r="BZ441" s="4317"/>
      <c r="CA441" s="4317"/>
      <c r="CB441" s="4317"/>
      <c r="CC441" s="4317"/>
      <c r="CD441" s="4317"/>
      <c r="CE441" s="4317"/>
      <c r="CF441" s="4317"/>
      <c r="CG441" s="4317"/>
      <c r="CH441" s="4317"/>
      <c r="CI441" s="4317"/>
      <c r="CJ441" s="4317"/>
      <c r="CK441" s="4317"/>
      <c r="CL441" s="4317"/>
      <c r="CM441" s="4317"/>
      <c r="CN441" s="4317"/>
      <c r="CO441" s="4317"/>
      <c r="CP441" s="4317"/>
      <c r="CQ441" s="4317"/>
      <c r="CR441" s="4317"/>
      <c r="CS441" s="4317"/>
      <c r="CT441" s="4317"/>
      <c r="CU441" s="4317"/>
      <c r="CV441" s="4317"/>
      <c r="CW441" s="4317"/>
      <c r="CX441" s="4317"/>
      <c r="CY441" s="4317"/>
      <c r="CZ441" s="4317"/>
      <c r="DA441" s="4317"/>
      <c r="DB441" s="4317"/>
      <c r="DC441" s="4317"/>
      <c r="DD441" s="4317"/>
      <c r="DE441" s="4317"/>
      <c r="DF441" s="4317"/>
      <c r="DG441" s="4317"/>
      <c r="DH441" s="4317"/>
      <c r="DI441" s="4317"/>
      <c r="DJ441" s="4317"/>
      <c r="DK441" s="4317"/>
      <c r="DL441" s="4317"/>
      <c r="DM441" s="4317"/>
      <c r="DN441" s="4317"/>
      <c r="DO441" s="4317"/>
      <c r="DP441" s="4317"/>
      <c r="DQ441" s="4317"/>
      <c r="DR441" s="4317"/>
      <c r="DS441" s="4317"/>
      <c r="DT441" s="4134"/>
    </row>
    <row r="442" s="489" customFormat="1" customHeight="1" spans="1:124">
      <c r="A442" s="4380"/>
      <c r="B442" s="4317"/>
      <c r="C442" s="4317"/>
      <c r="D442" s="4317"/>
      <c r="E442" s="4317"/>
      <c r="F442" s="4317"/>
      <c r="G442" s="4317"/>
      <c r="H442" s="4317"/>
      <c r="I442" s="4317"/>
      <c r="J442" s="4317"/>
      <c r="K442" s="4317"/>
      <c r="L442" s="4317"/>
      <c r="M442" s="4317"/>
      <c r="N442" s="3952"/>
      <c r="O442" s="3952"/>
      <c r="P442" s="3952"/>
      <c r="Q442" s="3952"/>
      <c r="R442" s="3952"/>
      <c r="S442" s="3952"/>
      <c r="T442" s="4295"/>
      <c r="U442" s="3952"/>
      <c r="V442" s="3952"/>
      <c r="W442" s="3952"/>
      <c r="X442" s="3952"/>
      <c r="Y442" s="3952"/>
      <c r="Z442" s="3952"/>
      <c r="AA442" s="3952"/>
      <c r="AB442" s="3952"/>
      <c r="AC442" s="3952"/>
      <c r="AD442" s="3952"/>
      <c r="AE442" s="3952"/>
      <c r="AF442" s="3952"/>
      <c r="AG442" s="3952"/>
      <c r="AH442" s="4295"/>
      <c r="AI442" s="3952"/>
      <c r="AJ442" s="3952"/>
      <c r="AK442" s="3952"/>
      <c r="AL442" s="3952"/>
      <c r="AM442" s="3952"/>
      <c r="AN442" s="3952"/>
      <c r="AO442" s="3952"/>
      <c r="AP442" s="3952"/>
      <c r="AQ442" s="3952"/>
      <c r="AR442" s="3952"/>
      <c r="AS442" s="3952"/>
      <c r="AT442" s="3952"/>
      <c r="AU442" s="3952"/>
      <c r="AV442" s="4295"/>
      <c r="AW442" s="3952"/>
      <c r="AX442" s="3952"/>
      <c r="AY442" s="3952"/>
      <c r="AZ442" s="3952"/>
      <c r="BA442" s="3952"/>
      <c r="BB442" s="3952"/>
      <c r="BC442" s="3952"/>
      <c r="BD442" s="3952"/>
      <c r="BE442" s="3952"/>
      <c r="BF442" s="3952"/>
      <c r="BG442" s="3952"/>
      <c r="BH442" s="3952"/>
      <c r="BI442" s="3952"/>
      <c r="BJ442" s="3952"/>
      <c r="BK442" s="3952"/>
      <c r="BL442" s="4317"/>
      <c r="BM442" s="4317"/>
      <c r="BN442" s="4317"/>
      <c r="BO442" s="4317"/>
      <c r="BP442" s="4317"/>
      <c r="BQ442" s="4317"/>
      <c r="BR442" s="4317"/>
      <c r="BS442" s="4317"/>
      <c r="BT442" s="4317"/>
      <c r="BU442" s="4317"/>
      <c r="BV442" s="4317"/>
      <c r="BW442" s="4317"/>
      <c r="BX442" s="4317"/>
      <c r="BY442" s="4317"/>
      <c r="BZ442" s="4317"/>
      <c r="CA442" s="4317"/>
      <c r="CB442" s="4317"/>
      <c r="CC442" s="4317"/>
      <c r="CD442" s="4317"/>
      <c r="CE442" s="4317"/>
      <c r="CF442" s="4317"/>
      <c r="CG442" s="4317"/>
      <c r="CH442" s="4317"/>
      <c r="CI442" s="4317"/>
      <c r="CJ442" s="4317"/>
      <c r="CK442" s="4317"/>
      <c r="CL442" s="4317"/>
      <c r="CM442" s="4317"/>
      <c r="CN442" s="4317"/>
      <c r="CO442" s="4317"/>
      <c r="CP442" s="4317"/>
      <c r="CQ442" s="4317"/>
      <c r="CR442" s="4317"/>
      <c r="CS442" s="4317"/>
      <c r="CT442" s="4317"/>
      <c r="CU442" s="4317"/>
      <c r="CV442" s="4317"/>
      <c r="CW442" s="4317"/>
      <c r="CX442" s="4317"/>
      <c r="CY442" s="4317"/>
      <c r="CZ442" s="4317"/>
      <c r="DA442" s="4317"/>
      <c r="DB442" s="4317"/>
      <c r="DC442" s="4317"/>
      <c r="DD442" s="4317"/>
      <c r="DE442" s="4317"/>
      <c r="DF442" s="4317"/>
      <c r="DG442" s="4317"/>
      <c r="DH442" s="4317"/>
      <c r="DI442" s="4317"/>
      <c r="DJ442" s="4317"/>
      <c r="DK442" s="4317"/>
      <c r="DL442" s="4317"/>
      <c r="DM442" s="4317"/>
      <c r="DN442" s="4317"/>
      <c r="DO442" s="4317"/>
      <c r="DP442" s="4317"/>
      <c r="DQ442" s="4317"/>
      <c r="DR442" s="4317"/>
      <c r="DS442" s="4317"/>
      <c r="DT442" s="4134"/>
    </row>
    <row r="443" s="4135" customFormat="1" ht="28.5" customHeight="1" spans="1:124">
      <c r="A443" s="4287" t="s">
        <v>5128</v>
      </c>
      <c r="B443" s="4236"/>
      <c r="C443" s="4236"/>
      <c r="D443" s="4236"/>
      <c r="E443" s="4236"/>
      <c r="F443" s="4236"/>
      <c r="G443" s="4236"/>
      <c r="H443" s="4236"/>
      <c r="I443" s="4236"/>
      <c r="J443" s="4236"/>
      <c r="K443" s="4236"/>
      <c r="L443" s="4236"/>
      <c r="M443" s="4236"/>
      <c r="N443" s="4236"/>
      <c r="O443" s="4236"/>
      <c r="P443" s="4236"/>
      <c r="Q443" s="4236"/>
      <c r="R443" s="4236"/>
      <c r="S443" s="4236"/>
      <c r="T443" s="4236"/>
      <c r="U443" s="4236"/>
      <c r="V443" s="4236"/>
      <c r="W443" s="4236"/>
      <c r="X443" s="4236"/>
      <c r="Y443" s="4236"/>
      <c r="Z443" s="4236"/>
      <c r="AA443" s="4236"/>
      <c r="AB443" s="4236"/>
      <c r="AC443" s="4236"/>
      <c r="AD443" s="4236"/>
      <c r="AE443" s="4236"/>
      <c r="AF443" s="4236"/>
      <c r="AG443" s="4236"/>
      <c r="AH443" s="4236"/>
      <c r="AI443" s="4236"/>
      <c r="AJ443" s="4236"/>
      <c r="AK443" s="4236"/>
      <c r="AL443" s="4236"/>
      <c r="AM443" s="4236"/>
      <c r="AN443" s="4236"/>
      <c r="AO443" s="4236"/>
      <c r="AP443" s="4236"/>
      <c r="AQ443" s="4236"/>
      <c r="AR443" s="4236"/>
      <c r="AS443" s="4236"/>
      <c r="AT443" s="4236"/>
      <c r="AU443" s="4236"/>
      <c r="AV443" s="4236"/>
      <c r="AW443" s="4236"/>
      <c r="AX443" s="4236"/>
      <c r="AY443" s="4236"/>
      <c r="AZ443" s="4236"/>
      <c r="BA443" s="4236"/>
      <c r="BB443" s="4236"/>
      <c r="BC443" s="4236"/>
      <c r="BD443" s="4236"/>
      <c r="BE443" s="4236"/>
      <c r="BF443" s="4236"/>
      <c r="BG443" s="4236"/>
      <c r="BH443" s="4236"/>
      <c r="BI443" s="4236"/>
      <c r="BJ443" s="4236"/>
      <c r="BK443" s="4236"/>
      <c r="BL443" s="4236"/>
      <c r="BM443" s="4236"/>
      <c r="BN443" s="4236"/>
      <c r="BO443" s="4236"/>
      <c r="BP443" s="4236"/>
      <c r="BQ443" s="4236"/>
      <c r="BR443" s="4236"/>
      <c r="BS443" s="4236"/>
      <c r="BT443" s="4236"/>
      <c r="BU443" s="4236"/>
      <c r="BV443" s="4236"/>
      <c r="BW443" s="4236"/>
      <c r="BX443" s="4236"/>
      <c r="BY443" s="4236"/>
      <c r="BZ443" s="4236"/>
      <c r="CA443" s="4236"/>
      <c r="CB443" s="4236"/>
      <c r="CC443" s="4236"/>
      <c r="CD443" s="4236"/>
      <c r="CE443" s="4236"/>
      <c r="CF443" s="4236"/>
      <c r="CG443" s="4236"/>
      <c r="CH443" s="4236"/>
      <c r="CI443" s="4236"/>
      <c r="CJ443" s="4236"/>
      <c r="CK443" s="4236"/>
      <c r="CL443" s="4236"/>
      <c r="CM443" s="4236"/>
      <c r="CN443" s="4236"/>
      <c r="CO443" s="4236"/>
      <c r="CP443" s="4236"/>
      <c r="CQ443" s="4236"/>
      <c r="CR443" s="4236"/>
      <c r="CS443" s="4236"/>
      <c r="CT443" s="4236"/>
      <c r="CU443" s="4236"/>
      <c r="CV443" s="4236"/>
      <c r="CW443" s="4236"/>
      <c r="CX443" s="4236"/>
      <c r="CY443" s="4236"/>
      <c r="CZ443" s="4236"/>
      <c r="DA443" s="4236"/>
      <c r="DB443" s="4236"/>
      <c r="DC443" s="4236"/>
      <c r="DD443" s="4236"/>
      <c r="DE443" s="4236"/>
      <c r="DF443" s="4236"/>
      <c r="DG443" s="4236"/>
      <c r="DH443" s="4236"/>
      <c r="DI443" s="4236"/>
      <c r="DJ443" s="4236"/>
      <c r="DK443" s="4236"/>
      <c r="DL443" s="4236"/>
      <c r="DM443" s="4236"/>
      <c r="DN443" s="4236"/>
      <c r="DO443" s="4236"/>
      <c r="DP443" s="4236"/>
      <c r="DQ443" s="4236"/>
      <c r="DR443" s="4236"/>
      <c r="DS443" s="4236"/>
    </row>
    <row r="444" s="4133" customFormat="1" ht="27" customHeight="1" spans="1:124">
      <c r="A444" s="4398" t="s">
        <v>4676</v>
      </c>
      <c r="B444" s="4290"/>
      <c r="C444" s="4290"/>
      <c r="D444" s="4290"/>
      <c r="E444" s="4290"/>
      <c r="F444" s="4399">
        <f ca="1">PoslGod</f>
        <v>2025</v>
      </c>
      <c r="G444" s="4399"/>
      <c r="H444" s="4399"/>
      <c r="I444" s="4399"/>
      <c r="J444" s="4399"/>
      <c r="K444" s="4399"/>
      <c r="L444" s="4399"/>
      <c r="M444" s="4292"/>
      <c r="N444" s="4292"/>
      <c r="O444" s="4292"/>
      <c r="P444" s="4292"/>
      <c r="Q444" s="4292"/>
      <c r="R444" s="4292"/>
      <c r="S444" s="4292"/>
      <c r="T444" s="4292"/>
      <c r="U444" s="4292"/>
      <c r="V444" s="4292"/>
      <c r="W444" s="4292"/>
      <c r="X444" s="4292"/>
      <c r="Y444" s="4292"/>
      <c r="Z444" s="4292"/>
      <c r="AA444" s="4292"/>
      <c r="AB444" s="4292"/>
      <c r="AC444" s="4292"/>
      <c r="AD444" s="4292"/>
      <c r="AE444" s="4292"/>
      <c r="AF444" s="4292"/>
      <c r="AG444" s="4292"/>
      <c r="AH444" s="4292"/>
      <c r="AI444" s="4292"/>
      <c r="AJ444" s="4292"/>
      <c r="AK444" s="4292"/>
      <c r="AL444" s="4292"/>
      <c r="AM444" s="4292"/>
      <c r="AN444" s="4292"/>
      <c r="AO444" s="4292"/>
      <c r="AP444" s="4292"/>
      <c r="AQ444" s="4292"/>
      <c r="AR444" s="4292"/>
      <c r="AS444" s="4292"/>
      <c r="AT444" s="4292"/>
      <c r="AU444" s="4292"/>
      <c r="AV444" s="4292"/>
      <c r="AW444" s="4292"/>
      <c r="AX444" s="4292"/>
      <c r="AY444" s="4292"/>
      <c r="AZ444" s="4292"/>
      <c r="BA444" s="4292"/>
      <c r="BB444" s="4292"/>
      <c r="BC444" s="4292"/>
      <c r="BD444" s="4292"/>
      <c r="BE444" s="4292"/>
      <c r="BF444" s="4292"/>
      <c r="BG444" s="4292"/>
      <c r="BH444" s="4292"/>
      <c r="BI444" s="4292"/>
      <c r="BJ444" s="4292"/>
      <c r="BK444" s="4292"/>
      <c r="BL444" s="4292"/>
      <c r="BM444" s="4292"/>
      <c r="BN444" s="4292"/>
      <c r="BO444" s="4292"/>
      <c r="BP444" s="4292"/>
      <c r="BQ444" s="4292"/>
      <c r="BR444" s="4292"/>
      <c r="BS444" s="4292"/>
      <c r="BT444" s="4292"/>
      <c r="BU444" s="4292"/>
      <c r="BV444" s="4292"/>
      <c r="BW444" s="4292"/>
      <c r="BX444" s="4292"/>
      <c r="BY444" s="4292"/>
      <c r="BZ444" s="4292"/>
      <c r="CA444" s="4292"/>
      <c r="CB444" s="4292"/>
      <c r="CC444" s="4292"/>
      <c r="CD444" s="4292"/>
      <c r="CE444" s="4292"/>
      <c r="CF444" s="4292"/>
      <c r="CG444" s="4292"/>
      <c r="CH444" s="4292"/>
      <c r="CI444" s="4292"/>
      <c r="CJ444" s="4292"/>
      <c r="CK444" s="4292"/>
      <c r="CL444" s="4292"/>
      <c r="CM444" s="4292"/>
      <c r="CN444" s="4292"/>
      <c r="CO444" s="4292"/>
      <c r="CP444" s="4292"/>
      <c r="CQ444" s="4292"/>
      <c r="CR444" s="4292"/>
      <c r="CS444" s="4292"/>
      <c r="CT444" s="4292"/>
      <c r="CU444" s="4292"/>
      <c r="CV444" s="4292"/>
      <c r="CW444" s="4292"/>
      <c r="CX444" s="4292"/>
      <c r="CY444" s="4292"/>
      <c r="CZ444" s="4292"/>
      <c r="DA444" s="4292"/>
      <c r="DB444" s="4292"/>
      <c r="DC444" s="4292"/>
      <c r="DD444" s="4292"/>
      <c r="DE444" s="4292"/>
      <c r="DF444" s="4292"/>
      <c r="DG444" s="4292"/>
      <c r="DH444" s="4292"/>
      <c r="DI444" s="4292"/>
      <c r="DJ444" s="4292"/>
      <c r="DK444" s="4292"/>
      <c r="DL444" s="4292"/>
      <c r="DM444" s="4292"/>
      <c r="DN444" s="4292"/>
      <c r="DO444" s="4292"/>
      <c r="DP444" s="4292"/>
      <c r="DQ444" s="4292"/>
      <c r="DR444" s="4292"/>
      <c r="DS444" s="4292"/>
    </row>
    <row r="445" s="4133" customFormat="1" ht="15.75" customHeight="1" spans="1:124">
      <c r="A445" s="4400" t="s">
        <v>4677</v>
      </c>
      <c r="B445" s="4401"/>
      <c r="C445" s="4401"/>
      <c r="D445" s="4401"/>
      <c r="E445" s="4402"/>
      <c r="F445" s="4400" t="str">
        <f ca="1">PeriodOd&amp;"."&amp;" - "&amp;PeriodDo</f>
        <v>01.01.2025. - 31.12.2025</v>
      </c>
      <c r="G445" s="4401"/>
      <c r="H445" s="4401"/>
      <c r="I445" s="4401"/>
      <c r="J445" s="4401"/>
      <c r="K445" s="4401"/>
      <c r="L445" s="4402"/>
      <c r="M445" s="4292"/>
      <c r="N445" s="4292"/>
      <c r="O445" s="4292"/>
      <c r="P445" s="4292"/>
      <c r="Q445" s="4292"/>
      <c r="R445" s="4292"/>
      <c r="S445" s="4292"/>
      <c r="T445" s="4292"/>
      <c r="U445" s="4292"/>
      <c r="V445" s="4292"/>
      <c r="W445" s="4292"/>
      <c r="X445" s="4292"/>
      <c r="Y445" s="4292"/>
      <c r="Z445" s="4292"/>
      <c r="AA445" s="4292"/>
      <c r="AB445" s="4292"/>
      <c r="AC445" s="4292"/>
      <c r="AD445" s="4292"/>
      <c r="AE445" s="4292"/>
      <c r="AF445" s="4292"/>
      <c r="AG445" s="4292"/>
      <c r="AH445" s="4292"/>
      <c r="AI445" s="4292"/>
      <c r="AJ445" s="4292"/>
      <c r="AK445" s="4292"/>
      <c r="AL445" s="4292"/>
      <c r="AM445" s="4292"/>
      <c r="AN445" s="4292"/>
      <c r="AO445" s="4292"/>
      <c r="AP445" s="4292"/>
      <c r="AQ445" s="4292"/>
      <c r="AR445" s="4292"/>
      <c r="AS445" s="4292"/>
      <c r="AT445" s="4292"/>
      <c r="AU445" s="4292"/>
      <c r="AV445" s="4292"/>
      <c r="AW445" s="4292"/>
      <c r="AX445" s="4292"/>
      <c r="AY445" s="4292"/>
      <c r="AZ445" s="4292"/>
      <c r="BA445" s="4292"/>
      <c r="BB445" s="4292"/>
      <c r="BC445" s="4292"/>
      <c r="BD445" s="4292"/>
      <c r="BE445" s="4292"/>
      <c r="BF445" s="4292"/>
      <c r="BG445" s="4292"/>
      <c r="BH445" s="4292"/>
      <c r="BI445" s="4292"/>
      <c r="BJ445" s="4292"/>
      <c r="BK445" s="4292"/>
      <c r="BL445" s="4292"/>
      <c r="BM445" s="4292"/>
      <c r="BN445" s="4292"/>
      <c r="BO445" s="4292"/>
      <c r="BP445" s="4292"/>
      <c r="BQ445" s="4292"/>
      <c r="BR445" s="4292"/>
      <c r="BS445" s="4292"/>
      <c r="BT445" s="4292"/>
      <c r="BU445" s="4292"/>
      <c r="BV445" s="4292"/>
      <c r="BW445" s="4292"/>
      <c r="BX445" s="4292"/>
      <c r="BY445" s="4292"/>
      <c r="BZ445" s="4292"/>
      <c r="CA445" s="4292"/>
      <c r="CB445" s="4292"/>
      <c r="CC445" s="4292"/>
      <c r="CD445" s="4292"/>
      <c r="CE445" s="4292"/>
      <c r="CF445" s="4292"/>
      <c r="CG445" s="4292"/>
      <c r="CH445" s="4292"/>
      <c r="CI445" s="4292"/>
      <c r="CJ445" s="4292"/>
      <c r="CK445" s="4292"/>
      <c r="CL445" s="4292"/>
      <c r="CM445" s="4292"/>
      <c r="CN445" s="4292"/>
      <c r="CO445" s="4292"/>
      <c r="CP445" s="4292"/>
      <c r="CQ445" s="4292"/>
      <c r="CR445" s="4292"/>
      <c r="CS445" s="4292"/>
      <c r="CT445" s="4292"/>
      <c r="CU445" s="4292"/>
      <c r="CV445" s="4292"/>
      <c r="CW445" s="4292"/>
      <c r="CX445" s="4292"/>
      <c r="CY445" s="4292"/>
      <c r="CZ445" s="4292"/>
      <c r="DA445" s="4292"/>
      <c r="DB445" s="4292"/>
      <c r="DC445" s="4292"/>
      <c r="DD445" s="4292"/>
      <c r="DE445" s="4292"/>
      <c r="DF445" s="4292"/>
      <c r="DG445" s="4292"/>
      <c r="DH445" s="4292"/>
      <c r="DI445" s="4292"/>
      <c r="DJ445" s="4292"/>
      <c r="DK445" s="4292"/>
      <c r="DL445" s="4292"/>
      <c r="DM445" s="4292"/>
      <c r="DN445" s="4292"/>
      <c r="DO445" s="4292"/>
      <c r="DP445" s="4292"/>
      <c r="DQ445" s="4292"/>
      <c r="DR445" s="4292"/>
      <c r="DS445" s="4292"/>
    </row>
    <row r="446" s="4133" customFormat="1" ht="18" customHeight="1" spans="1:124">
      <c r="A446" s="4403"/>
      <c r="B446" s="4404"/>
      <c r="C446" s="4404"/>
      <c r="D446" s="4404"/>
      <c r="E446" s="4405"/>
      <c r="F446" s="4403"/>
      <c r="G446" s="4404"/>
      <c r="H446" s="4404"/>
      <c r="I446" s="4404"/>
      <c r="J446" s="4404"/>
      <c r="K446" s="4404"/>
      <c r="L446" s="4405"/>
      <c r="M446" s="4292"/>
      <c r="N446" s="4292"/>
      <c r="O446" s="4292"/>
      <c r="P446" s="4292"/>
      <c r="Q446" s="4292"/>
      <c r="R446" s="4292"/>
      <c r="S446" s="4292"/>
      <c r="T446" s="4292"/>
      <c r="U446" s="4292"/>
      <c r="V446" s="4292"/>
      <c r="W446" s="4292"/>
      <c r="X446" s="4292"/>
      <c r="Y446" s="4292"/>
      <c r="Z446" s="4292"/>
      <c r="AA446" s="4292"/>
      <c r="AB446" s="4292"/>
      <c r="AC446" s="4292"/>
      <c r="AD446" s="4292"/>
      <c r="AE446" s="4292"/>
      <c r="AF446" s="4292"/>
      <c r="AG446" s="4292"/>
      <c r="AH446" s="4292"/>
      <c r="AI446" s="4292"/>
      <c r="AJ446" s="4292"/>
      <c r="AK446" s="4292"/>
      <c r="AL446" s="4292"/>
      <c r="AM446" s="4292"/>
      <c r="AN446" s="4292"/>
      <c r="AO446" s="4292"/>
      <c r="AP446" s="4292"/>
      <c r="AQ446" s="4292"/>
      <c r="AR446" s="4292"/>
      <c r="AS446" s="4292"/>
      <c r="AT446" s="4292"/>
      <c r="AU446" s="4292"/>
      <c r="AV446" s="4292"/>
      <c r="AW446" s="4292"/>
      <c r="AX446" s="4292"/>
      <c r="AY446" s="4292"/>
      <c r="AZ446" s="4292"/>
      <c r="BA446" s="4292"/>
      <c r="BB446" s="4292"/>
      <c r="BC446" s="4292"/>
      <c r="BD446" s="4292"/>
      <c r="BE446" s="4292"/>
      <c r="BF446" s="4292"/>
      <c r="BG446" s="4292"/>
      <c r="BH446" s="4292"/>
      <c r="BI446" s="4292"/>
      <c r="BJ446" s="4292"/>
      <c r="BK446" s="4292"/>
      <c r="BL446" s="4292"/>
      <c r="BM446" s="4292"/>
      <c r="BN446" s="4292"/>
      <c r="BO446" s="4292"/>
      <c r="BP446" s="4292"/>
      <c r="BQ446" s="4292"/>
      <c r="BR446" s="4292"/>
      <c r="BS446" s="4292"/>
      <c r="BT446" s="4292"/>
      <c r="BU446" s="4292"/>
      <c r="BV446" s="4292"/>
      <c r="BW446" s="4292"/>
      <c r="BX446" s="4292"/>
      <c r="BY446" s="4292"/>
      <c r="BZ446" s="4292"/>
      <c r="CA446" s="4292"/>
      <c r="CB446" s="4292"/>
      <c r="CC446" s="4292"/>
      <c r="CD446" s="4292"/>
      <c r="CE446" s="4292"/>
      <c r="CF446" s="4292"/>
      <c r="CG446" s="4292"/>
      <c r="CH446" s="4292"/>
      <c r="CI446" s="4292"/>
      <c r="CJ446" s="4292"/>
      <c r="CK446" s="4292"/>
      <c r="CL446" s="4292"/>
      <c r="CM446" s="4292"/>
      <c r="CN446" s="4292"/>
      <c r="CO446" s="4292"/>
      <c r="CP446" s="4292"/>
      <c r="CQ446" s="4292"/>
      <c r="CR446" s="4292"/>
      <c r="CS446" s="4292"/>
      <c r="CT446" s="4292"/>
      <c r="CU446" s="4292"/>
      <c r="CV446" s="4292"/>
      <c r="CW446" s="4292"/>
      <c r="CX446" s="4292"/>
      <c r="CY446" s="4292"/>
      <c r="CZ446" s="4292"/>
      <c r="DA446" s="4292"/>
      <c r="DB446" s="4292"/>
      <c r="DC446" s="4292"/>
      <c r="DD446" s="4292"/>
      <c r="DE446" s="4292"/>
      <c r="DF446" s="4292"/>
      <c r="DG446" s="4292"/>
      <c r="DH446" s="4292"/>
      <c r="DI446" s="4292"/>
      <c r="DJ446" s="4292"/>
      <c r="DK446" s="4292"/>
      <c r="DL446" s="4292"/>
      <c r="DM446" s="4292"/>
      <c r="DN446" s="4292"/>
      <c r="DO446" s="4292"/>
      <c r="DP446" s="4292"/>
      <c r="DQ446" s="4292"/>
      <c r="DR446" s="4292"/>
      <c r="DS446" s="4292"/>
    </row>
    <row r="447" s="4133" customFormat="1" ht="18" customHeight="1" spans="1:124">
      <c r="A447" s="4324">
        <v>650</v>
      </c>
      <c r="B447" s="4324"/>
      <c r="C447" s="4324"/>
      <c r="D447" s="4324"/>
      <c r="E447" s="4324"/>
      <c r="F447" s="4406">
        <f>UnosPod!F157</f>
        <v>0</v>
      </c>
      <c r="G447" s="4406"/>
      <c r="H447" s="4406"/>
      <c r="I447" s="4406"/>
      <c r="J447" s="4406"/>
      <c r="K447" s="4406"/>
      <c r="L447" s="4406"/>
      <c r="M447" s="4388"/>
      <c r="N447" s="4388"/>
      <c r="O447" s="4407" t="s">
        <v>3591</v>
      </c>
      <c r="P447" s="4407"/>
      <c r="Q447" s="4407"/>
      <c r="R447" s="4292"/>
      <c r="S447" s="4292"/>
      <c r="T447" s="4388"/>
      <c r="U447" s="4388"/>
      <c r="V447" s="4388"/>
      <c r="W447" s="4388"/>
      <c r="X447" s="4388"/>
      <c r="Y447" s="4388"/>
      <c r="Z447" s="4388"/>
      <c r="AA447" s="4388"/>
      <c r="AB447" s="4388"/>
      <c r="AC447" s="4388"/>
      <c r="AD447" s="4388"/>
      <c r="AE447" s="4388"/>
      <c r="AF447" s="4388"/>
      <c r="AG447" s="4388"/>
      <c r="AH447" s="4388"/>
      <c r="AI447" s="4388"/>
      <c r="AJ447" s="4388"/>
      <c r="AK447" s="4388"/>
      <c r="AL447" s="4388"/>
      <c r="AM447" s="4388"/>
      <c r="AN447" s="4388"/>
      <c r="AO447" s="4388"/>
      <c r="AP447" s="4388"/>
      <c r="AQ447" s="4388"/>
      <c r="AR447" s="4388"/>
      <c r="AS447" s="4388"/>
      <c r="AT447" s="4388"/>
      <c r="AU447" s="4388"/>
      <c r="AV447" s="4388"/>
      <c r="AW447" s="4388"/>
      <c r="AX447" s="4388"/>
      <c r="AY447" s="4388"/>
      <c r="AZ447" s="4388"/>
      <c r="BA447" s="4388"/>
      <c r="BB447" s="4388"/>
      <c r="BC447" s="4388"/>
      <c r="BD447" s="4388"/>
      <c r="BE447" s="4388"/>
      <c r="BF447" s="4388"/>
      <c r="BG447" s="4388"/>
      <c r="BH447" s="4388"/>
      <c r="BI447" s="4388"/>
      <c r="BJ447" s="4388"/>
      <c r="BK447" s="4388"/>
      <c r="BL447" s="4388"/>
      <c r="BM447" s="4388"/>
      <c r="BN447" s="4388"/>
      <c r="BO447" s="4388"/>
      <c r="BP447" s="4388"/>
      <c r="BQ447" s="4388"/>
      <c r="BR447" s="4388"/>
      <c r="BS447" s="4388"/>
      <c r="BT447" s="4388"/>
      <c r="BU447" s="4388"/>
      <c r="BV447" s="4388"/>
      <c r="BW447" s="4388"/>
      <c r="BX447" s="4388"/>
      <c r="BY447" s="4388"/>
      <c r="BZ447" s="4388"/>
      <c r="CA447" s="4388"/>
      <c r="CB447" s="4388"/>
      <c r="CC447" s="4388"/>
      <c r="CD447" s="4388"/>
      <c r="CE447" s="4388"/>
      <c r="CF447" s="4388"/>
      <c r="CG447" s="4388"/>
      <c r="CH447" s="4388"/>
      <c r="CI447" s="4388"/>
      <c r="CJ447" s="4388"/>
      <c r="CK447" s="4388"/>
      <c r="CL447" s="4388"/>
      <c r="CM447" s="4388"/>
      <c r="CN447" s="4388"/>
      <c r="CO447" s="4388"/>
      <c r="CP447" s="4388"/>
      <c r="CQ447" s="4388"/>
      <c r="CR447" s="4388"/>
      <c r="CS447" s="4388"/>
      <c r="CT447" s="4388"/>
      <c r="CU447" s="4388"/>
      <c r="CV447" s="4388"/>
      <c r="CW447" s="4388"/>
      <c r="CX447" s="4388"/>
      <c r="CY447" s="4388"/>
      <c r="CZ447" s="4388"/>
      <c r="DA447" s="4388"/>
      <c r="DB447" s="4388"/>
      <c r="DC447" s="4388"/>
      <c r="DD447" s="4388"/>
      <c r="DE447" s="4388"/>
      <c r="DF447" s="4388"/>
      <c r="DG447" s="4388"/>
      <c r="DH447" s="4388"/>
      <c r="DI447" s="4388"/>
      <c r="DJ447" s="4388"/>
      <c r="DK447" s="4388"/>
      <c r="DL447" s="4388"/>
      <c r="DM447" s="4388"/>
      <c r="DN447" s="4388"/>
      <c r="DO447" s="4388"/>
      <c r="DP447" s="4388"/>
      <c r="DQ447" s="4388"/>
      <c r="DR447" s="4388"/>
      <c r="DS447" s="4388"/>
    </row>
    <row r="448" s="4133" customFormat="1" ht="18" customHeight="1" spans="1:124">
      <c r="A448" s="4345" t="s">
        <v>5129</v>
      </c>
      <c r="B448" s="4345"/>
      <c r="C448" s="4345"/>
      <c r="D448" s="4345"/>
      <c r="E448" s="4345"/>
      <c r="F448" s="4408"/>
      <c r="G448" s="4408"/>
      <c r="H448" s="4408"/>
      <c r="I448" s="4408"/>
      <c r="J448" s="4408"/>
      <c r="K448" s="4408"/>
      <c r="L448" s="4408"/>
      <c r="M448" s="4388"/>
      <c r="N448" s="4388"/>
      <c r="O448" s="4407" t="s">
        <v>3593</v>
      </c>
      <c r="P448" s="4407"/>
      <c r="Q448" s="4407"/>
      <c r="R448" s="4292"/>
      <c r="S448" s="4292"/>
      <c r="T448" s="4388"/>
      <c r="U448" s="4388"/>
      <c r="V448" s="4388"/>
      <c r="W448" s="4388"/>
      <c r="X448" s="4388"/>
      <c r="Y448" s="4388"/>
      <c r="Z448" s="4388"/>
      <c r="AA448" s="4388"/>
      <c r="AB448" s="4388"/>
      <c r="AC448" s="4388"/>
      <c r="AD448" s="4388"/>
      <c r="AE448" s="4388"/>
      <c r="AF448" s="4388"/>
      <c r="AG448" s="4388"/>
      <c r="AH448" s="4388"/>
      <c r="AI448" s="4388"/>
      <c r="AJ448" s="4388"/>
      <c r="AK448" s="4388"/>
      <c r="AL448" s="4388"/>
      <c r="AM448" s="4388"/>
      <c r="AN448" s="4388"/>
      <c r="AO448" s="4388"/>
      <c r="AP448" s="4388"/>
      <c r="AQ448" s="4388"/>
      <c r="AR448" s="4388"/>
      <c r="AS448" s="4388"/>
      <c r="AT448" s="4388"/>
      <c r="AU448" s="4388"/>
      <c r="AV448" s="4388"/>
      <c r="AW448" s="4388"/>
      <c r="AX448" s="4388"/>
      <c r="AY448" s="4388"/>
      <c r="AZ448" s="4388"/>
      <c r="BA448" s="4388"/>
      <c r="BB448" s="4388"/>
      <c r="BC448" s="4388"/>
      <c r="BD448" s="4388"/>
      <c r="BE448" s="4388"/>
      <c r="BF448" s="4388"/>
      <c r="BG448" s="4388"/>
      <c r="BH448" s="4388"/>
      <c r="BI448" s="4388"/>
      <c r="BJ448" s="4388"/>
      <c r="BK448" s="4388"/>
      <c r="BL448" s="4388"/>
      <c r="BM448" s="4388"/>
      <c r="BN448" s="4388"/>
      <c r="BO448" s="4388"/>
      <c r="BP448" s="4388"/>
      <c r="BQ448" s="4388"/>
      <c r="BR448" s="4388"/>
      <c r="BS448" s="4388"/>
      <c r="BT448" s="4388"/>
      <c r="BU448" s="4388"/>
      <c r="BV448" s="4388"/>
      <c r="BW448" s="4388"/>
      <c r="BX448" s="4388"/>
      <c r="BY448" s="4388"/>
      <c r="BZ448" s="4388"/>
      <c r="CA448" s="4388"/>
      <c r="CB448" s="4388"/>
      <c r="CC448" s="4388"/>
      <c r="CD448" s="4388"/>
      <c r="CE448" s="4388"/>
      <c r="CF448" s="4388"/>
      <c r="CG448" s="4388"/>
      <c r="CH448" s="4388"/>
      <c r="CI448" s="4388"/>
      <c r="CJ448" s="4388"/>
      <c r="CK448" s="4388"/>
      <c r="CL448" s="4388"/>
      <c r="CM448" s="4388"/>
      <c r="CN448" s="4388"/>
      <c r="CO448" s="4388"/>
      <c r="CP448" s="4388"/>
      <c r="CQ448" s="4388"/>
      <c r="CR448" s="4388"/>
      <c r="CS448" s="4388"/>
      <c r="CT448" s="4388"/>
      <c r="CU448" s="4388"/>
      <c r="CV448" s="4388"/>
      <c r="CW448" s="4388"/>
      <c r="CX448" s="4388"/>
      <c r="CY448" s="4388"/>
      <c r="CZ448" s="4388"/>
      <c r="DA448" s="4388"/>
      <c r="DB448" s="4388"/>
      <c r="DC448" s="4388"/>
      <c r="DD448" s="4388"/>
      <c r="DE448" s="4388"/>
      <c r="DF448" s="4388"/>
      <c r="DG448" s="4388"/>
      <c r="DH448" s="4388"/>
      <c r="DI448" s="4388"/>
      <c r="DJ448" s="4388"/>
      <c r="DK448" s="4388"/>
      <c r="DL448" s="4388"/>
      <c r="DM448" s="4388"/>
      <c r="DN448" s="4388"/>
      <c r="DO448" s="4388"/>
      <c r="DP448" s="4388"/>
      <c r="DQ448" s="4388"/>
      <c r="DR448" s="4388"/>
      <c r="DS448" s="4388"/>
    </row>
    <row r="449" s="4134" customFormat="1" ht="16.5" customHeight="1" spans="1:123">
      <c r="A449" s="4324">
        <v>523</v>
      </c>
      <c r="B449" s="4324"/>
      <c r="C449" s="4324"/>
      <c r="D449" s="4324"/>
      <c r="E449" s="4324"/>
      <c r="F449" s="4406">
        <f>UnosPod!F250</f>
        <v>9263</v>
      </c>
      <c r="G449" s="4406"/>
      <c r="H449" s="4406"/>
      <c r="I449" s="4406"/>
      <c r="J449" s="4406"/>
      <c r="K449" s="4406"/>
      <c r="L449" s="4406"/>
      <c r="M449" s="4388"/>
      <c r="N449" s="4388"/>
      <c r="O449" s="4407" t="s">
        <v>5130</v>
      </c>
      <c r="P449" s="4407"/>
      <c r="Q449" s="4407"/>
      <c r="R449" s="4303"/>
      <c r="S449" s="4303"/>
      <c r="T449" s="4388"/>
      <c r="U449" s="4388"/>
      <c r="V449" s="4388"/>
      <c r="W449" s="4388"/>
      <c r="X449" s="4388"/>
      <c r="Y449" s="4388"/>
      <c r="Z449" s="4388"/>
      <c r="AA449" s="4388"/>
      <c r="AB449" s="4388"/>
      <c r="AC449" s="4388"/>
      <c r="AD449" s="4388"/>
      <c r="AE449" s="4388"/>
      <c r="AF449" s="4388"/>
      <c r="AG449" s="4388"/>
      <c r="AH449" s="4388"/>
      <c r="AI449" s="4388"/>
      <c r="AJ449" s="4388"/>
      <c r="AK449" s="4388"/>
      <c r="AL449" s="4388"/>
      <c r="AM449" s="4388"/>
      <c r="AN449" s="4388"/>
      <c r="AO449" s="4388"/>
      <c r="AP449" s="4388"/>
      <c r="AQ449" s="4388"/>
      <c r="AR449" s="4388"/>
      <c r="AS449" s="4388"/>
      <c r="AT449" s="4388"/>
      <c r="AU449" s="4388"/>
      <c r="AV449" s="4388"/>
      <c r="AW449" s="4388"/>
      <c r="AX449" s="4388"/>
      <c r="AY449" s="4388"/>
      <c r="AZ449" s="4388"/>
      <c r="BA449" s="4388"/>
      <c r="BB449" s="4388"/>
      <c r="BC449" s="4388"/>
      <c r="BD449" s="4388"/>
      <c r="BE449" s="4388"/>
      <c r="BF449" s="4388"/>
      <c r="BG449" s="4388"/>
      <c r="BH449" s="4388"/>
      <c r="BI449" s="4388"/>
      <c r="BJ449" s="4388"/>
      <c r="BK449" s="4388"/>
      <c r="BL449" s="4388"/>
      <c r="BM449" s="4388"/>
      <c r="BN449" s="4388"/>
      <c r="BO449" s="4388"/>
      <c r="BP449" s="4388"/>
      <c r="BQ449" s="4388"/>
      <c r="BR449" s="4388"/>
      <c r="BS449" s="4388"/>
      <c r="BT449" s="4388"/>
      <c r="BU449" s="4388"/>
      <c r="BV449" s="4388"/>
      <c r="BW449" s="4388"/>
      <c r="BX449" s="4388"/>
      <c r="BY449" s="4388"/>
      <c r="BZ449" s="4388"/>
      <c r="CA449" s="4388"/>
      <c r="CB449" s="4388"/>
      <c r="CC449" s="4388"/>
      <c r="CD449" s="4388"/>
      <c r="CE449" s="4388"/>
      <c r="CF449" s="4388"/>
      <c r="CG449" s="4388"/>
      <c r="CH449" s="4388"/>
      <c r="CI449" s="4388"/>
      <c r="CJ449" s="4388"/>
      <c r="CK449" s="4388"/>
      <c r="CL449" s="4388"/>
      <c r="CM449" s="4388"/>
      <c r="CN449" s="4388"/>
      <c r="CO449" s="4388"/>
      <c r="CP449" s="4388"/>
      <c r="CQ449" s="4388"/>
      <c r="CR449" s="4388"/>
      <c r="CS449" s="4388"/>
      <c r="CT449" s="4388"/>
      <c r="CU449" s="4388"/>
      <c r="CV449" s="4388"/>
      <c r="CW449" s="4388"/>
      <c r="CX449" s="4388"/>
      <c r="CY449" s="4388"/>
      <c r="CZ449" s="4388"/>
      <c r="DA449" s="4388"/>
      <c r="DB449" s="4388"/>
      <c r="DC449" s="4388"/>
      <c r="DD449" s="4388"/>
      <c r="DE449" s="4388"/>
      <c r="DF449" s="4388"/>
      <c r="DG449" s="4388"/>
      <c r="DH449" s="4388"/>
      <c r="DI449" s="4388"/>
      <c r="DJ449" s="4388"/>
      <c r="DK449" s="4388"/>
      <c r="DL449" s="4388"/>
      <c r="DM449" s="4388"/>
      <c r="DN449" s="4388"/>
      <c r="DO449" s="4388"/>
      <c r="DP449" s="4388"/>
      <c r="DQ449" s="4388"/>
      <c r="DR449" s="4388"/>
      <c r="DS449" s="4388"/>
    </row>
    <row r="450" s="4134" customFormat="1" ht="16.5" customHeight="1" spans="1:123">
      <c r="A450" s="4345" t="s">
        <v>5131</v>
      </c>
      <c r="B450" s="4345"/>
      <c r="C450" s="4345"/>
      <c r="D450" s="4345"/>
      <c r="E450" s="4345"/>
      <c r="F450" s="4408"/>
      <c r="G450" s="4408"/>
      <c r="H450" s="4408"/>
      <c r="I450" s="4408"/>
      <c r="J450" s="4408"/>
      <c r="K450" s="4408"/>
      <c r="L450" s="4408"/>
      <c r="M450" s="4301">
        <v>450</v>
      </c>
      <c r="N450" s="4301"/>
      <c r="O450" s="4407" t="s">
        <v>5132</v>
      </c>
      <c r="P450" s="4407"/>
      <c r="Q450" s="4407"/>
      <c r="R450" s="4303"/>
      <c r="S450" s="4303"/>
      <c r="T450" s="4388"/>
      <c r="U450" s="4388"/>
      <c r="V450" s="4388"/>
      <c r="W450" s="4388"/>
      <c r="X450" s="4388"/>
      <c r="Y450" s="4388"/>
      <c r="Z450" s="4388"/>
      <c r="AA450" s="4388"/>
      <c r="AB450" s="4388"/>
      <c r="AC450" s="4388"/>
      <c r="AD450" s="4388"/>
      <c r="AE450" s="4388"/>
      <c r="AF450" s="4388"/>
      <c r="AG450" s="4388"/>
      <c r="AH450" s="4388"/>
      <c r="AI450" s="4388"/>
      <c r="AJ450" s="4388"/>
      <c r="AK450" s="4388"/>
      <c r="AL450" s="4388"/>
      <c r="AM450" s="4388"/>
      <c r="AN450" s="4388"/>
      <c r="AO450" s="4388"/>
      <c r="AP450" s="4388"/>
      <c r="AQ450" s="4388"/>
      <c r="AR450" s="4388"/>
      <c r="AS450" s="4388"/>
      <c r="AT450" s="4388"/>
      <c r="AU450" s="4388"/>
      <c r="AV450" s="4388"/>
      <c r="AW450" s="4388"/>
      <c r="AX450" s="4388"/>
      <c r="AY450" s="4388"/>
      <c r="AZ450" s="4388"/>
      <c r="BA450" s="4388"/>
      <c r="BB450" s="4388"/>
      <c r="BC450" s="4388"/>
      <c r="BD450" s="4388"/>
      <c r="BE450" s="4388"/>
      <c r="BF450" s="4388"/>
      <c r="BG450" s="4388"/>
      <c r="BH450" s="4388"/>
      <c r="BI450" s="4388"/>
      <c r="BJ450" s="4388"/>
      <c r="BK450" s="4388"/>
      <c r="BL450" s="4388"/>
      <c r="BM450" s="4388"/>
      <c r="BN450" s="4388"/>
      <c r="BO450" s="4388"/>
      <c r="BP450" s="4388"/>
      <c r="BQ450" s="4388"/>
      <c r="BR450" s="4388"/>
      <c r="BS450" s="4388"/>
      <c r="BT450" s="4388"/>
      <c r="BU450" s="4388"/>
      <c r="BV450" s="4388"/>
      <c r="BW450" s="4388"/>
      <c r="BX450" s="4388"/>
      <c r="BY450" s="4388"/>
      <c r="BZ450" s="4388"/>
      <c r="CA450" s="4388"/>
      <c r="CB450" s="4388"/>
      <c r="CC450" s="4388"/>
      <c r="CD450" s="4388"/>
      <c r="CE450" s="4388"/>
      <c r="CF450" s="4388"/>
      <c r="CG450" s="4388"/>
      <c r="CH450" s="4388"/>
      <c r="CI450" s="4388"/>
      <c r="CJ450" s="4388"/>
      <c r="CK450" s="4388"/>
      <c r="CL450" s="4388"/>
      <c r="CM450" s="4388"/>
      <c r="CN450" s="4388"/>
      <c r="CO450" s="4388"/>
      <c r="CP450" s="4388"/>
      <c r="CQ450" s="4388"/>
      <c r="CR450" s="4388"/>
      <c r="CS450" s="4388"/>
      <c r="CT450" s="4388"/>
      <c r="CU450" s="4388"/>
      <c r="CV450" s="4388"/>
      <c r="CW450" s="4388"/>
      <c r="CX450" s="4388"/>
      <c r="CY450" s="4388"/>
      <c r="CZ450" s="4388"/>
      <c r="DA450" s="4388"/>
      <c r="DB450" s="4388"/>
      <c r="DC450" s="4388"/>
      <c r="DD450" s="4388"/>
      <c r="DE450" s="4388"/>
      <c r="DF450" s="4388"/>
      <c r="DG450" s="4388"/>
      <c r="DH450" s="4388"/>
      <c r="DI450" s="4388"/>
      <c r="DJ450" s="4388"/>
      <c r="DK450" s="4388"/>
      <c r="DL450" s="4388"/>
      <c r="DM450" s="4388"/>
      <c r="DN450" s="4388"/>
      <c r="DO450" s="4388"/>
      <c r="DP450" s="4388"/>
      <c r="DQ450" s="4388"/>
      <c r="DR450" s="4388"/>
      <c r="DS450" s="4388"/>
    </row>
    <row r="451" s="4134" customFormat="1" ht="16.5" customHeight="1" spans="1:123">
      <c r="A451" s="4345" t="s">
        <v>5133</v>
      </c>
      <c r="B451" s="4345"/>
      <c r="C451" s="4345"/>
      <c r="D451" s="4345"/>
      <c r="E451" s="4345"/>
      <c r="F451" s="4408"/>
      <c r="G451" s="4408"/>
      <c r="H451" s="4408"/>
      <c r="I451" s="4408"/>
      <c r="J451" s="4408"/>
      <c r="K451" s="4408"/>
      <c r="L451" s="4408"/>
      <c r="M451" s="4388"/>
      <c r="N451" s="4388"/>
      <c r="O451" s="4311" t="s">
        <v>5134</v>
      </c>
      <c r="P451" s="4311"/>
      <c r="Q451" s="4311"/>
      <c r="R451" s="4303"/>
      <c r="S451" s="4303"/>
      <c r="T451" s="4388"/>
      <c r="U451" s="4388"/>
      <c r="V451" s="4388"/>
      <c r="W451" s="4388"/>
      <c r="X451" s="4388"/>
      <c r="Y451" s="4388"/>
      <c r="Z451" s="4388"/>
      <c r="AA451" s="4388"/>
      <c r="AB451" s="4388"/>
      <c r="AC451" s="4388"/>
      <c r="AD451" s="4388"/>
      <c r="AE451" s="4388"/>
      <c r="AF451" s="4388"/>
      <c r="AG451" s="4388"/>
      <c r="AH451" s="4388"/>
      <c r="AI451" s="4388"/>
      <c r="AJ451" s="4388"/>
      <c r="AK451" s="4388"/>
      <c r="AL451" s="4388"/>
      <c r="AM451" s="4388"/>
      <c r="AN451" s="4388"/>
      <c r="AO451" s="4388"/>
      <c r="AP451" s="4388"/>
      <c r="AQ451" s="4388"/>
      <c r="AR451" s="4388"/>
      <c r="AS451" s="4388"/>
      <c r="AT451" s="4388"/>
      <c r="AU451" s="4388"/>
      <c r="AV451" s="4388"/>
      <c r="AW451" s="4388"/>
      <c r="AX451" s="4388"/>
      <c r="AY451" s="4388"/>
      <c r="AZ451" s="4388"/>
      <c r="BA451" s="4388"/>
      <c r="BB451" s="4388"/>
      <c r="BC451" s="4388"/>
      <c r="BD451" s="4388"/>
      <c r="BE451" s="4388"/>
      <c r="BF451" s="4388"/>
      <c r="BG451" s="4388"/>
      <c r="BH451" s="4388"/>
      <c r="BI451" s="4388"/>
      <c r="BJ451" s="4388"/>
      <c r="BK451" s="4388"/>
      <c r="BL451" s="4388"/>
      <c r="BM451" s="4388"/>
      <c r="BN451" s="4388"/>
      <c r="BO451" s="4388"/>
      <c r="BP451" s="4388"/>
      <c r="BQ451" s="4388"/>
      <c r="BR451" s="4388"/>
      <c r="BS451" s="4388"/>
      <c r="BT451" s="4388"/>
      <c r="BU451" s="4388"/>
      <c r="BV451" s="4388"/>
      <c r="BW451" s="4388"/>
      <c r="BX451" s="4388"/>
      <c r="BY451" s="4388"/>
      <c r="BZ451" s="4388"/>
      <c r="CA451" s="4388"/>
      <c r="CB451" s="4388"/>
      <c r="CC451" s="4388"/>
      <c r="CD451" s="4388"/>
      <c r="CE451" s="4388"/>
      <c r="CF451" s="4388"/>
      <c r="CG451" s="4388"/>
      <c r="CH451" s="4388"/>
      <c r="CI451" s="4388"/>
      <c r="CJ451" s="4388"/>
      <c r="CK451" s="4388"/>
      <c r="CL451" s="4388"/>
      <c r="CM451" s="4388"/>
      <c r="CN451" s="4388"/>
      <c r="CO451" s="4388"/>
      <c r="CP451" s="4388"/>
      <c r="CQ451" s="4388"/>
      <c r="CR451" s="4388"/>
      <c r="CS451" s="4388"/>
      <c r="CT451" s="4388"/>
      <c r="CU451" s="4388"/>
      <c r="CV451" s="4388"/>
      <c r="CW451" s="4388"/>
      <c r="CX451" s="4388"/>
      <c r="CY451" s="4388"/>
      <c r="CZ451" s="4388"/>
      <c r="DA451" s="4388"/>
      <c r="DB451" s="4388"/>
      <c r="DC451" s="4388"/>
      <c r="DD451" s="4388"/>
      <c r="DE451" s="4388"/>
      <c r="DF451" s="4388"/>
      <c r="DG451" s="4388"/>
      <c r="DH451" s="4388"/>
      <c r="DI451" s="4388"/>
      <c r="DJ451" s="4388"/>
      <c r="DK451" s="4388"/>
      <c r="DL451" s="4388"/>
      <c r="DM451" s="4388"/>
      <c r="DN451" s="4388"/>
      <c r="DO451" s="4388"/>
      <c r="DP451" s="4388"/>
      <c r="DQ451" s="4388"/>
      <c r="DR451" s="4388"/>
      <c r="DS451" s="4388"/>
    </row>
    <row r="452" s="4134" customFormat="1" ht="16.5" customHeight="1" spans="1:123">
      <c r="A452" s="4345" t="s">
        <v>5135</v>
      </c>
      <c r="B452" s="4345"/>
      <c r="C452" s="4345"/>
      <c r="D452" s="4345"/>
      <c r="E452" s="4345"/>
      <c r="F452" s="4408"/>
      <c r="G452" s="4408"/>
      <c r="H452" s="4408"/>
      <c r="I452" s="4408"/>
      <c r="J452" s="4408"/>
      <c r="K452" s="4408"/>
      <c r="L452" s="4408"/>
      <c r="M452" s="4388"/>
      <c r="N452" s="4388"/>
      <c r="O452" s="4407" t="s">
        <v>3691</v>
      </c>
      <c r="P452" s="4407"/>
      <c r="Q452" s="4407"/>
      <c r="R452" s="4303"/>
      <c r="S452" s="4303"/>
      <c r="T452" s="4388"/>
      <c r="U452" s="4388"/>
      <c r="V452" s="4388"/>
      <c r="W452" s="4388"/>
      <c r="X452" s="4388"/>
      <c r="Y452" s="4388"/>
      <c r="Z452" s="4388"/>
      <c r="AA452" s="4388"/>
      <c r="AB452" s="4388"/>
      <c r="AC452" s="4388"/>
      <c r="AD452" s="4388"/>
      <c r="AE452" s="4388"/>
      <c r="AF452" s="4388"/>
      <c r="AG452" s="4388"/>
      <c r="AH452" s="4388"/>
      <c r="AI452" s="4388"/>
      <c r="AJ452" s="4388"/>
      <c r="AK452" s="4388"/>
      <c r="AL452" s="4388"/>
      <c r="AM452" s="4388"/>
      <c r="AN452" s="4388"/>
      <c r="AO452" s="4388"/>
      <c r="AP452" s="4388"/>
      <c r="AQ452" s="4388"/>
      <c r="AR452" s="4388"/>
      <c r="AS452" s="4388"/>
      <c r="AT452" s="4388"/>
      <c r="AU452" s="4388"/>
      <c r="AV452" s="4388"/>
      <c r="AW452" s="4388"/>
      <c r="AX452" s="4388"/>
      <c r="AY452" s="4388"/>
      <c r="AZ452" s="4388"/>
      <c r="BA452" s="4388"/>
      <c r="BB452" s="4388"/>
      <c r="BC452" s="4388"/>
      <c r="BD452" s="4388"/>
      <c r="BE452" s="4388"/>
      <c r="BF452" s="4388"/>
      <c r="BG452" s="4388"/>
      <c r="BH452" s="4388"/>
      <c r="BI452" s="4388"/>
      <c r="BJ452" s="4388"/>
      <c r="BK452" s="4388"/>
      <c r="BL452" s="4388"/>
      <c r="BM452" s="4388"/>
      <c r="BN452" s="4388"/>
      <c r="BO452" s="4388"/>
      <c r="BP452" s="4388"/>
      <c r="BQ452" s="4388"/>
      <c r="BR452" s="4388"/>
      <c r="BS452" s="4388"/>
      <c r="BT452" s="4388"/>
      <c r="BU452" s="4388"/>
      <c r="BV452" s="4388"/>
      <c r="BW452" s="4388"/>
      <c r="BX452" s="4388"/>
      <c r="BY452" s="4388"/>
      <c r="BZ452" s="4388"/>
      <c r="CA452" s="4388"/>
      <c r="CB452" s="4388"/>
      <c r="CC452" s="4388"/>
      <c r="CD452" s="4388"/>
      <c r="CE452" s="4388"/>
      <c r="CF452" s="4388"/>
      <c r="CG452" s="4388"/>
      <c r="CH452" s="4388"/>
      <c r="CI452" s="4388"/>
      <c r="CJ452" s="4388"/>
      <c r="CK452" s="4388"/>
      <c r="CL452" s="4388"/>
      <c r="CM452" s="4388"/>
      <c r="CN452" s="4388"/>
      <c r="CO452" s="4388"/>
      <c r="CP452" s="4388"/>
      <c r="CQ452" s="4388"/>
      <c r="CR452" s="4388"/>
      <c r="CS452" s="4388"/>
      <c r="CT452" s="4388"/>
      <c r="CU452" s="4388"/>
      <c r="CV452" s="4388"/>
      <c r="CW452" s="4388"/>
      <c r="CX452" s="4388"/>
      <c r="CY452" s="4388"/>
      <c r="CZ452" s="4388"/>
      <c r="DA452" s="4388"/>
      <c r="DB452" s="4388"/>
      <c r="DC452" s="4388"/>
      <c r="DD452" s="4388"/>
      <c r="DE452" s="4388"/>
      <c r="DF452" s="4388"/>
      <c r="DG452" s="4388"/>
      <c r="DH452" s="4388"/>
      <c r="DI452" s="4388"/>
      <c r="DJ452" s="4388"/>
      <c r="DK452" s="4388"/>
      <c r="DL452" s="4388"/>
      <c r="DM452" s="4388"/>
      <c r="DN452" s="4388"/>
      <c r="DO452" s="4388"/>
      <c r="DP452" s="4388"/>
      <c r="DQ452" s="4388"/>
      <c r="DR452" s="4388"/>
      <c r="DS452" s="4388"/>
    </row>
    <row r="453" s="4134" customFormat="1" ht="16.5" customHeight="1" spans="1:123">
      <c r="A453" s="4345" t="s">
        <v>5136</v>
      </c>
      <c r="B453" s="4345"/>
      <c r="C453" s="4345"/>
      <c r="D453" s="4345"/>
      <c r="E453" s="4345"/>
      <c r="F453" s="4408"/>
      <c r="G453" s="4408"/>
      <c r="H453" s="4408"/>
      <c r="I453" s="4408"/>
      <c r="J453" s="4408"/>
      <c r="K453" s="4408"/>
      <c r="L453" s="4408"/>
      <c r="M453" s="4388"/>
      <c r="N453" s="4388"/>
      <c r="O453" s="4407" t="s">
        <v>5137</v>
      </c>
      <c r="P453" s="4407"/>
      <c r="Q453" s="4407"/>
      <c r="R453" s="4303"/>
      <c r="S453" s="4303"/>
      <c r="T453" s="4388"/>
      <c r="U453" s="4388"/>
      <c r="V453" s="4388"/>
      <c r="W453" s="4388"/>
      <c r="X453" s="4388"/>
      <c r="Y453" s="4388"/>
      <c r="Z453" s="4388"/>
      <c r="AA453" s="4388"/>
      <c r="AB453" s="4388"/>
      <c r="AC453" s="4388"/>
      <c r="AD453" s="4388"/>
      <c r="AE453" s="4388"/>
      <c r="AF453" s="4388"/>
      <c r="AG453" s="4388"/>
      <c r="AH453" s="4388"/>
      <c r="AI453" s="4388"/>
      <c r="AJ453" s="4388"/>
      <c r="AK453" s="4388"/>
      <c r="AL453" s="4388"/>
      <c r="AM453" s="4388"/>
      <c r="AN453" s="4388"/>
      <c r="AO453" s="4388"/>
      <c r="AP453" s="4388"/>
      <c r="AQ453" s="4388"/>
      <c r="AR453" s="4388"/>
      <c r="AS453" s="4388"/>
      <c r="AT453" s="4388"/>
      <c r="AU453" s="4388"/>
      <c r="AV453" s="4388"/>
      <c r="AW453" s="4388"/>
      <c r="AX453" s="4388"/>
      <c r="AY453" s="4388"/>
      <c r="AZ453" s="4388"/>
      <c r="BA453" s="4388"/>
      <c r="BB453" s="4388"/>
      <c r="BC453" s="4388"/>
      <c r="BD453" s="4388"/>
      <c r="BE453" s="4388"/>
      <c r="BF453" s="4388"/>
      <c r="BG453" s="4388"/>
      <c r="BH453" s="4388"/>
      <c r="BI453" s="4388"/>
      <c r="BJ453" s="4388"/>
      <c r="BK453" s="4388"/>
      <c r="BL453" s="4388"/>
      <c r="BM453" s="4388"/>
      <c r="BN453" s="4388"/>
      <c r="BO453" s="4388"/>
      <c r="BP453" s="4388"/>
      <c r="BQ453" s="4388"/>
      <c r="BR453" s="4388"/>
      <c r="BS453" s="4388"/>
      <c r="BT453" s="4388"/>
      <c r="BU453" s="4388"/>
      <c r="BV453" s="4388"/>
      <c r="BW453" s="4388"/>
      <c r="BX453" s="4388"/>
      <c r="BY453" s="4388"/>
      <c r="BZ453" s="4388"/>
      <c r="CA453" s="4388"/>
      <c r="CB453" s="4388"/>
      <c r="CC453" s="4388"/>
      <c r="CD453" s="4388"/>
      <c r="CE453" s="4388"/>
      <c r="CF453" s="4388"/>
      <c r="CG453" s="4388"/>
      <c r="CH453" s="4388"/>
      <c r="CI453" s="4388"/>
      <c r="CJ453" s="4388"/>
      <c r="CK453" s="4388"/>
      <c r="CL453" s="4388"/>
      <c r="CM453" s="4388"/>
      <c r="CN453" s="4388"/>
      <c r="CO453" s="4388"/>
      <c r="CP453" s="4388"/>
      <c r="CQ453" s="4388"/>
      <c r="CR453" s="4388"/>
      <c r="CS453" s="4388"/>
      <c r="CT453" s="4388"/>
      <c r="CU453" s="4388"/>
      <c r="CV453" s="4388"/>
      <c r="CW453" s="4388"/>
      <c r="CX453" s="4388"/>
      <c r="CY453" s="4388"/>
      <c r="CZ453" s="4388"/>
      <c r="DA453" s="4388"/>
      <c r="DB453" s="4388"/>
      <c r="DC453" s="4388"/>
      <c r="DD453" s="4388"/>
      <c r="DE453" s="4388"/>
      <c r="DF453" s="4388"/>
      <c r="DG453" s="4388"/>
      <c r="DH453" s="4388"/>
      <c r="DI453" s="4388"/>
      <c r="DJ453" s="4388"/>
      <c r="DK453" s="4388"/>
      <c r="DL453" s="4388"/>
      <c r="DM453" s="4388"/>
      <c r="DN453" s="4388"/>
      <c r="DO453" s="4388"/>
      <c r="DP453" s="4388"/>
      <c r="DQ453" s="4388"/>
      <c r="DR453" s="4388"/>
      <c r="DS453" s="4388"/>
    </row>
    <row r="454" s="4134" customFormat="1" ht="16.5" customHeight="1" spans="1:123">
      <c r="A454" s="4324">
        <v>271</v>
      </c>
      <c r="B454" s="4324"/>
      <c r="C454" s="4324"/>
      <c r="D454" s="4324"/>
      <c r="E454" s="4324"/>
      <c r="F454" s="4408"/>
      <c r="G454" s="4408"/>
      <c r="H454" s="4408"/>
      <c r="I454" s="4408"/>
      <c r="J454" s="4408"/>
      <c r="K454" s="4408"/>
      <c r="L454" s="4408"/>
      <c r="M454" s="4388"/>
      <c r="N454" s="4388"/>
      <c r="O454" s="4407" t="s">
        <v>5138</v>
      </c>
      <c r="P454" s="4407"/>
      <c r="Q454" s="4407"/>
      <c r="R454" s="4303"/>
      <c r="S454" s="4303"/>
      <c r="T454" s="4388"/>
      <c r="U454" s="4388"/>
      <c r="V454" s="4388"/>
      <c r="W454" s="4388"/>
      <c r="X454" s="4388"/>
      <c r="Y454" s="4388"/>
      <c r="Z454" s="4388"/>
      <c r="AA454" s="4388"/>
      <c r="AB454" s="4388"/>
      <c r="AC454" s="4388"/>
      <c r="AD454" s="4388"/>
      <c r="AE454" s="4388"/>
      <c r="AF454" s="4388"/>
      <c r="AG454" s="4388"/>
      <c r="AH454" s="4388"/>
      <c r="AI454" s="4388"/>
      <c r="AJ454" s="4388"/>
      <c r="AK454" s="4388"/>
      <c r="AL454" s="4388"/>
      <c r="AM454" s="4388"/>
      <c r="AN454" s="4388"/>
      <c r="AO454" s="4388"/>
      <c r="AP454" s="4388"/>
      <c r="AQ454" s="4388"/>
      <c r="AR454" s="4388"/>
      <c r="AS454" s="4388"/>
      <c r="AT454" s="4388"/>
      <c r="AU454" s="4388"/>
      <c r="AV454" s="4388"/>
      <c r="AW454" s="4388"/>
      <c r="AX454" s="4388"/>
      <c r="AY454" s="4388"/>
      <c r="AZ454" s="4388"/>
      <c r="BA454" s="4388"/>
      <c r="BB454" s="4388"/>
      <c r="BC454" s="4388"/>
      <c r="BD454" s="4388"/>
      <c r="BE454" s="4388"/>
      <c r="BF454" s="4388"/>
      <c r="BG454" s="4388"/>
      <c r="BH454" s="4388"/>
      <c r="BI454" s="4388"/>
      <c r="BJ454" s="4388"/>
      <c r="BK454" s="4388"/>
      <c r="BL454" s="4388"/>
      <c r="BM454" s="4388"/>
      <c r="BN454" s="4388"/>
      <c r="BO454" s="4388"/>
      <c r="BP454" s="4388"/>
      <c r="BQ454" s="4388"/>
      <c r="BR454" s="4388"/>
      <c r="BS454" s="4388"/>
      <c r="BT454" s="4388"/>
      <c r="BU454" s="4388"/>
      <c r="BV454" s="4388"/>
      <c r="BW454" s="4388"/>
      <c r="BX454" s="4388"/>
      <c r="BY454" s="4388"/>
      <c r="BZ454" s="4388"/>
      <c r="CA454" s="4388"/>
      <c r="CB454" s="4388"/>
      <c r="CC454" s="4388"/>
      <c r="CD454" s="4388"/>
      <c r="CE454" s="4388"/>
      <c r="CF454" s="4388"/>
      <c r="CG454" s="4388"/>
      <c r="CH454" s="4388"/>
      <c r="CI454" s="4388"/>
      <c r="CJ454" s="4388"/>
      <c r="CK454" s="4388"/>
      <c r="CL454" s="4388"/>
      <c r="CM454" s="4388"/>
      <c r="CN454" s="4388"/>
      <c r="CO454" s="4388"/>
      <c r="CP454" s="4388"/>
      <c r="CQ454" s="4388"/>
      <c r="CR454" s="4388"/>
      <c r="CS454" s="4388"/>
      <c r="CT454" s="4388"/>
      <c r="CU454" s="4388"/>
      <c r="CV454" s="4388"/>
      <c r="CW454" s="4388"/>
      <c r="CX454" s="4388"/>
      <c r="CY454" s="4388"/>
      <c r="CZ454" s="4388"/>
      <c r="DA454" s="4388"/>
      <c r="DB454" s="4388"/>
      <c r="DC454" s="4388"/>
      <c r="DD454" s="4388"/>
      <c r="DE454" s="4388"/>
      <c r="DF454" s="4388"/>
      <c r="DG454" s="4388"/>
      <c r="DH454" s="4388"/>
      <c r="DI454" s="4388"/>
      <c r="DJ454" s="4388"/>
      <c r="DK454" s="4388"/>
      <c r="DL454" s="4388"/>
      <c r="DM454" s="4388"/>
      <c r="DN454" s="4388"/>
      <c r="DO454" s="4388"/>
      <c r="DP454" s="4388"/>
      <c r="DQ454" s="4388"/>
      <c r="DR454" s="4388"/>
      <c r="DS454" s="4388"/>
    </row>
    <row r="455" s="4134" customFormat="1" ht="16.5" customHeight="1" spans="1:123">
      <c r="A455" s="4324">
        <v>480</v>
      </c>
      <c r="B455" s="4324"/>
      <c r="C455" s="4324"/>
      <c r="D455" s="4324"/>
      <c r="E455" s="4324"/>
      <c r="F455" s="4408"/>
      <c r="G455" s="4408"/>
      <c r="H455" s="4408"/>
      <c r="I455" s="4408"/>
      <c r="J455" s="4408"/>
      <c r="K455" s="4408"/>
      <c r="L455" s="4408"/>
      <c r="M455" s="4388"/>
      <c r="N455" s="4388"/>
      <c r="O455" s="4407" t="s">
        <v>3695</v>
      </c>
      <c r="P455" s="4407"/>
      <c r="Q455" s="4407"/>
      <c r="R455" s="4303"/>
      <c r="S455" s="4303"/>
      <c r="T455" s="4388"/>
      <c r="U455" s="4388"/>
      <c r="V455" s="4388"/>
      <c r="W455" s="4388"/>
      <c r="X455" s="4388"/>
      <c r="Y455" s="4388"/>
      <c r="Z455" s="4388"/>
      <c r="AA455" s="4388"/>
      <c r="AB455" s="4388"/>
      <c r="AC455" s="4388"/>
      <c r="AD455" s="4388"/>
      <c r="AE455" s="4388"/>
      <c r="AF455" s="4388"/>
      <c r="AG455" s="4388"/>
      <c r="AH455" s="4388"/>
      <c r="AI455" s="4388"/>
      <c r="AJ455" s="4388"/>
      <c r="AK455" s="4388"/>
      <c r="AL455" s="4388"/>
      <c r="AM455" s="4388"/>
      <c r="AN455" s="4388"/>
      <c r="AO455" s="4388"/>
      <c r="AP455" s="4388"/>
      <c r="AQ455" s="4388"/>
      <c r="AR455" s="4388"/>
      <c r="AS455" s="4388"/>
      <c r="AT455" s="4388"/>
      <c r="AU455" s="4388"/>
      <c r="AV455" s="4388"/>
      <c r="AW455" s="4388"/>
      <c r="AX455" s="4388"/>
      <c r="AY455" s="4388"/>
      <c r="AZ455" s="4388"/>
      <c r="BA455" s="4388"/>
      <c r="BB455" s="4388"/>
      <c r="BC455" s="4388"/>
      <c r="BD455" s="4388"/>
      <c r="BE455" s="4388"/>
      <c r="BF455" s="4388"/>
      <c r="BG455" s="4388"/>
      <c r="BH455" s="4388"/>
      <c r="BI455" s="4388"/>
      <c r="BJ455" s="4388"/>
      <c r="BK455" s="4388"/>
      <c r="BL455" s="4388"/>
      <c r="BM455" s="4388"/>
      <c r="BN455" s="4388"/>
      <c r="BO455" s="4388"/>
      <c r="BP455" s="4388"/>
      <c r="BQ455" s="4388"/>
      <c r="BR455" s="4388"/>
      <c r="BS455" s="4388"/>
      <c r="BT455" s="4388"/>
      <c r="BU455" s="4388"/>
      <c r="BV455" s="4388"/>
      <c r="BW455" s="4388"/>
      <c r="BX455" s="4388"/>
      <c r="BY455" s="4388"/>
      <c r="BZ455" s="4388"/>
      <c r="CA455" s="4388"/>
      <c r="CB455" s="4388"/>
      <c r="CC455" s="4388"/>
      <c r="CD455" s="4388"/>
      <c r="CE455" s="4388"/>
      <c r="CF455" s="4388"/>
      <c r="CG455" s="4388"/>
      <c r="CH455" s="4388"/>
      <c r="CI455" s="4388"/>
      <c r="CJ455" s="4388"/>
      <c r="CK455" s="4388"/>
      <c r="CL455" s="4388"/>
      <c r="CM455" s="4388"/>
      <c r="CN455" s="4388"/>
      <c r="CO455" s="4388"/>
      <c r="CP455" s="4388"/>
      <c r="CQ455" s="4388"/>
      <c r="CR455" s="4388"/>
      <c r="CS455" s="4388"/>
      <c r="CT455" s="4388"/>
      <c r="CU455" s="4388"/>
      <c r="CV455" s="4388"/>
      <c r="CW455" s="4388"/>
      <c r="CX455" s="4388"/>
      <c r="CY455" s="4388"/>
      <c r="CZ455" s="4388"/>
      <c r="DA455" s="4388"/>
      <c r="DB455" s="4388"/>
      <c r="DC455" s="4388"/>
      <c r="DD455" s="4388"/>
      <c r="DE455" s="4388"/>
      <c r="DF455" s="4388"/>
      <c r="DG455" s="4388"/>
      <c r="DH455" s="4388"/>
      <c r="DI455" s="4388"/>
      <c r="DJ455" s="4388"/>
      <c r="DK455" s="4388"/>
      <c r="DL455" s="4388"/>
      <c r="DM455" s="4388"/>
      <c r="DN455" s="4388"/>
      <c r="DO455" s="4388"/>
      <c r="DP455" s="4388"/>
      <c r="DQ455" s="4388"/>
      <c r="DR455" s="4388"/>
      <c r="DS455" s="4388"/>
    </row>
    <row r="456" s="4134" customFormat="1" ht="16.5" customHeight="1" spans="1:123">
      <c r="A456" s="4324">
        <v>484</v>
      </c>
      <c r="B456" s="4324"/>
      <c r="C456" s="4324"/>
      <c r="D456" s="4324"/>
      <c r="E456" s="4324"/>
      <c r="F456" s="4408"/>
      <c r="G456" s="4408"/>
      <c r="H456" s="4408"/>
      <c r="I456" s="4408"/>
      <c r="J456" s="4408"/>
      <c r="K456" s="4408"/>
      <c r="L456" s="4408"/>
      <c r="M456" s="4388"/>
      <c r="N456" s="4388"/>
      <c r="O456" s="4407" t="s">
        <v>5139</v>
      </c>
      <c r="P456" s="4407"/>
      <c r="Q456" s="4407"/>
      <c r="R456" s="4303"/>
      <c r="S456" s="4303"/>
      <c r="T456" s="4388"/>
      <c r="U456" s="4388"/>
      <c r="V456" s="4388"/>
      <c r="W456" s="4388"/>
      <c r="X456" s="4388"/>
      <c r="Y456" s="4388"/>
      <c r="Z456" s="4388"/>
      <c r="AA456" s="4388"/>
      <c r="AB456" s="4388"/>
      <c r="AC456" s="4388"/>
      <c r="AD456" s="4388"/>
      <c r="AE456" s="4388"/>
      <c r="AF456" s="4388"/>
      <c r="AG456" s="4388"/>
      <c r="AH456" s="4388"/>
      <c r="AI456" s="4388"/>
      <c r="AJ456" s="4388"/>
      <c r="AK456" s="4388"/>
      <c r="AL456" s="4388"/>
      <c r="AM456" s="4388"/>
      <c r="AN456" s="4388"/>
      <c r="AO456" s="4388"/>
      <c r="AP456" s="4388"/>
      <c r="AQ456" s="4388"/>
      <c r="AR456" s="4388"/>
      <c r="AS456" s="4388"/>
      <c r="AT456" s="4388"/>
      <c r="AU456" s="4388"/>
      <c r="AV456" s="4388"/>
      <c r="AW456" s="4388"/>
      <c r="AX456" s="4388"/>
      <c r="AY456" s="4388"/>
      <c r="AZ456" s="4388"/>
      <c r="BA456" s="4388"/>
      <c r="BB456" s="4388"/>
      <c r="BC456" s="4388"/>
      <c r="BD456" s="4388"/>
      <c r="BE456" s="4388"/>
      <c r="BF456" s="4388"/>
      <c r="BG456" s="4388"/>
      <c r="BH456" s="4388"/>
      <c r="BI456" s="4388"/>
      <c r="BJ456" s="4388"/>
      <c r="BK456" s="4388"/>
      <c r="BL456" s="4388"/>
      <c r="BM456" s="4388"/>
      <c r="BN456" s="4388"/>
      <c r="BO456" s="4388"/>
      <c r="BP456" s="4388"/>
      <c r="BQ456" s="4388"/>
      <c r="BR456" s="4388"/>
      <c r="BS456" s="4388"/>
      <c r="BT456" s="4388"/>
      <c r="BU456" s="4388"/>
      <c r="BV456" s="4388"/>
      <c r="BW456" s="4388"/>
      <c r="BX456" s="4388"/>
      <c r="BY456" s="4388"/>
      <c r="BZ456" s="4388"/>
      <c r="CA456" s="4388"/>
      <c r="CB456" s="4388"/>
      <c r="CC456" s="4388"/>
      <c r="CD456" s="4388"/>
      <c r="CE456" s="4388"/>
      <c r="CF456" s="4388"/>
      <c r="CG456" s="4388"/>
      <c r="CH456" s="4388"/>
      <c r="CI456" s="4388"/>
      <c r="CJ456" s="4388"/>
      <c r="CK456" s="4388"/>
      <c r="CL456" s="4388"/>
      <c r="CM456" s="4388"/>
      <c r="CN456" s="4388"/>
      <c r="CO456" s="4388"/>
      <c r="CP456" s="4388"/>
      <c r="CQ456" s="4388"/>
      <c r="CR456" s="4388"/>
      <c r="CS456" s="4388"/>
      <c r="CT456" s="4388"/>
      <c r="CU456" s="4388"/>
      <c r="CV456" s="4388"/>
      <c r="CW456" s="4388"/>
      <c r="CX456" s="4388"/>
      <c r="CY456" s="4388"/>
      <c r="CZ456" s="4388"/>
      <c r="DA456" s="4388"/>
      <c r="DB456" s="4388"/>
      <c r="DC456" s="4388"/>
      <c r="DD456" s="4388"/>
      <c r="DE456" s="4388"/>
      <c r="DF456" s="4388"/>
      <c r="DG456" s="4388"/>
      <c r="DH456" s="4388"/>
      <c r="DI456" s="4388"/>
      <c r="DJ456" s="4388"/>
      <c r="DK456" s="4388"/>
      <c r="DL456" s="4388"/>
      <c r="DM456" s="4388"/>
      <c r="DN456" s="4388"/>
      <c r="DO456" s="4388"/>
      <c r="DP456" s="4388"/>
      <c r="DQ456" s="4388"/>
      <c r="DR456" s="4388"/>
      <c r="DS456" s="4388"/>
    </row>
    <row r="457" s="4134" customFormat="1" ht="19.5" customHeight="1" spans="1:123">
      <c r="A457" s="4324"/>
      <c r="B457" s="4324"/>
      <c r="C457" s="4324"/>
      <c r="D457" s="4324"/>
      <c r="E457" s="4324"/>
      <c r="F457" s="4408"/>
      <c r="G457" s="4408"/>
      <c r="H457" s="4408"/>
      <c r="I457" s="4408"/>
      <c r="J457" s="4408"/>
      <c r="K457" s="4408"/>
      <c r="L457" s="4408"/>
      <c r="M457" s="4388"/>
      <c r="N457" s="4388"/>
      <c r="O457" s="4407" t="s">
        <v>3703</v>
      </c>
      <c r="P457" s="4407"/>
      <c r="Q457" s="4407"/>
      <c r="R457" s="4303"/>
      <c r="S457" s="4303"/>
      <c r="T457" s="4388"/>
      <c r="U457" s="4388"/>
      <c r="V457" s="4388"/>
      <c r="W457" s="4388"/>
      <c r="X457" s="4388"/>
      <c r="Y457" s="4388"/>
      <c r="Z457" s="4388"/>
      <c r="AA457" s="4388"/>
      <c r="AB457" s="4388"/>
      <c r="AC457" s="4388"/>
      <c r="AD457" s="4388"/>
      <c r="AE457" s="4388"/>
      <c r="AF457" s="4388"/>
      <c r="AG457" s="4388"/>
      <c r="AH457" s="4388"/>
      <c r="AI457" s="4388"/>
      <c r="AJ457" s="4388"/>
      <c r="AK457" s="4388"/>
      <c r="AL457" s="4388"/>
      <c r="AM457" s="4388"/>
      <c r="AN457" s="4388"/>
      <c r="AO457" s="4388"/>
      <c r="AP457" s="4388"/>
      <c r="AQ457" s="4388"/>
      <c r="AR457" s="4388"/>
      <c r="AS457" s="4388"/>
      <c r="AT457" s="4388"/>
      <c r="AU457" s="4388"/>
      <c r="AV457" s="4388"/>
      <c r="AW457" s="4388"/>
      <c r="AX457" s="4388"/>
      <c r="AY457" s="4388"/>
      <c r="AZ457" s="4388"/>
      <c r="BA457" s="4388"/>
      <c r="BB457" s="4388"/>
      <c r="BC457" s="4388"/>
      <c r="BD457" s="4388"/>
      <c r="BE457" s="4388"/>
      <c r="BF457" s="4388"/>
      <c r="BG457" s="4388"/>
      <c r="BH457" s="4388"/>
      <c r="BI457" s="4388"/>
      <c r="BJ457" s="4388"/>
      <c r="BK457" s="4388"/>
      <c r="BL457" s="4388"/>
      <c r="BM457" s="4388"/>
      <c r="BN457" s="4388"/>
      <c r="BO457" s="4388"/>
      <c r="BP457" s="4388"/>
      <c r="BQ457" s="4388"/>
      <c r="BR457" s="4388"/>
      <c r="BS457" s="4388"/>
      <c r="BT457" s="4388"/>
      <c r="BU457" s="4388"/>
      <c r="BV457" s="4388"/>
      <c r="BW457" s="4388"/>
      <c r="BX457" s="4388"/>
      <c r="BY457" s="4388"/>
      <c r="BZ457" s="4388"/>
      <c r="CA457" s="4388"/>
      <c r="CB457" s="4388"/>
      <c r="CC457" s="4388"/>
      <c r="CD457" s="4388"/>
      <c r="CE457" s="4388"/>
      <c r="CF457" s="4388"/>
      <c r="CG457" s="4388"/>
      <c r="CH457" s="4388"/>
      <c r="CI457" s="4388"/>
      <c r="CJ457" s="4388"/>
      <c r="CK457" s="4388"/>
      <c r="CL457" s="4388"/>
      <c r="CM457" s="4388"/>
      <c r="CN457" s="4388"/>
      <c r="CO457" s="4388"/>
      <c r="CP457" s="4388"/>
      <c r="CQ457" s="4388"/>
      <c r="CR457" s="4388"/>
      <c r="CS457" s="4388"/>
      <c r="CT457" s="4388"/>
      <c r="CU457" s="4388"/>
      <c r="CV457" s="4388"/>
      <c r="CW457" s="4388"/>
      <c r="CX457" s="4388"/>
      <c r="CY457" s="4388"/>
      <c r="CZ457" s="4388"/>
      <c r="DA457" s="4388"/>
      <c r="DB457" s="4388"/>
      <c r="DC457" s="4388"/>
      <c r="DD457" s="4388"/>
      <c r="DE457" s="4388"/>
      <c r="DF457" s="4388"/>
      <c r="DG457" s="4388"/>
      <c r="DH457" s="4388"/>
      <c r="DI457" s="4388"/>
      <c r="DJ457" s="4388"/>
      <c r="DK457" s="4388"/>
      <c r="DL457" s="4388"/>
      <c r="DM457" s="4388"/>
      <c r="DN457" s="4388"/>
      <c r="DO457" s="4388"/>
      <c r="DP457" s="4388"/>
      <c r="DQ457" s="4388"/>
      <c r="DR457" s="4388"/>
      <c r="DS457" s="4388"/>
    </row>
    <row r="458" s="4134" customFormat="1" ht="19.5" customHeight="1" spans="1:123">
      <c r="A458" s="4388"/>
      <c r="B458" s="4388"/>
      <c r="C458" s="4388"/>
      <c r="D458" s="4388"/>
      <c r="E458" s="4388"/>
      <c r="F458" s="4388"/>
      <c r="G458" s="4388"/>
      <c r="H458" s="4388"/>
      <c r="I458" s="4388"/>
      <c r="J458" s="4388"/>
      <c r="K458" s="4388"/>
      <c r="L458" s="4388"/>
      <c r="M458" s="4388"/>
      <c r="N458" s="4388"/>
      <c r="O458" s="4407"/>
      <c r="P458" s="4407"/>
      <c r="Q458" s="4407"/>
      <c r="R458" s="4303"/>
      <c r="S458" s="4303"/>
      <c r="T458" s="4388"/>
      <c r="U458" s="4388"/>
      <c r="V458" s="4388"/>
      <c r="W458" s="4388"/>
      <c r="X458" s="4388"/>
      <c r="Y458" s="4388"/>
      <c r="Z458" s="4388"/>
      <c r="AA458" s="4388"/>
      <c r="AB458" s="4388"/>
      <c r="AC458" s="4388"/>
      <c r="AD458" s="4388"/>
      <c r="AE458" s="4388"/>
      <c r="AF458" s="4388"/>
      <c r="AG458" s="4388"/>
      <c r="AH458" s="4388"/>
      <c r="AI458" s="4388"/>
      <c r="AJ458" s="4388"/>
      <c r="AK458" s="4388"/>
      <c r="AL458" s="4388"/>
      <c r="AM458" s="4388"/>
      <c r="AN458" s="4388"/>
      <c r="AO458" s="4388"/>
      <c r="AP458" s="4388"/>
      <c r="AQ458" s="4388"/>
      <c r="AR458" s="4388"/>
      <c r="AS458" s="4388"/>
      <c r="AT458" s="4388"/>
      <c r="AU458" s="4388"/>
      <c r="AV458" s="4388"/>
      <c r="AW458" s="4388"/>
      <c r="AX458" s="4388"/>
      <c r="AY458" s="4388"/>
      <c r="AZ458" s="4388"/>
      <c r="BA458" s="4388"/>
      <c r="BB458" s="4388"/>
      <c r="BC458" s="4388"/>
      <c r="BD458" s="4388"/>
      <c r="BE458" s="4388"/>
      <c r="BF458" s="4388"/>
      <c r="BG458" s="4388"/>
      <c r="BH458" s="4388"/>
      <c r="BI458" s="4388"/>
      <c r="BJ458" s="4388"/>
      <c r="BK458" s="4388"/>
      <c r="BL458" s="4388"/>
      <c r="BM458" s="4388"/>
      <c r="BN458" s="4388"/>
      <c r="BO458" s="4388"/>
      <c r="BP458" s="4388"/>
      <c r="BQ458" s="4388"/>
      <c r="BR458" s="4388"/>
      <c r="BS458" s="4388"/>
      <c r="BT458" s="4388"/>
      <c r="BU458" s="4388"/>
      <c r="BV458" s="4388"/>
      <c r="BW458" s="4388"/>
      <c r="BX458" s="4388"/>
      <c r="BY458" s="4388"/>
      <c r="BZ458" s="4388"/>
      <c r="CA458" s="4388"/>
      <c r="CB458" s="4388"/>
      <c r="CC458" s="4388"/>
      <c r="CD458" s="4388"/>
      <c r="CE458" s="4388"/>
      <c r="CF458" s="4388"/>
      <c r="CG458" s="4388"/>
      <c r="CH458" s="4388"/>
      <c r="CI458" s="4388"/>
      <c r="CJ458" s="4388"/>
      <c r="CK458" s="4388"/>
      <c r="CL458" s="4388"/>
      <c r="CM458" s="4388"/>
      <c r="CN458" s="4388"/>
      <c r="CO458" s="4388"/>
      <c r="CP458" s="4388"/>
      <c r="CQ458" s="4388"/>
      <c r="CR458" s="4388"/>
      <c r="CS458" s="4388"/>
      <c r="CT458" s="4388"/>
      <c r="CU458" s="4388"/>
      <c r="CV458" s="4388"/>
      <c r="CW458" s="4388"/>
      <c r="CX458" s="4388"/>
      <c r="CY458" s="4388"/>
      <c r="CZ458" s="4388"/>
      <c r="DA458" s="4388"/>
      <c r="DB458" s="4388"/>
      <c r="DC458" s="4388"/>
      <c r="DD458" s="4388"/>
      <c r="DE458" s="4388"/>
      <c r="DF458" s="4388"/>
      <c r="DG458" s="4388"/>
      <c r="DH458" s="4388"/>
      <c r="DI458" s="4388"/>
      <c r="DJ458" s="4388"/>
      <c r="DK458" s="4388"/>
      <c r="DL458" s="4388"/>
      <c r="DM458" s="4388"/>
      <c r="DN458" s="4388"/>
      <c r="DO458" s="4388"/>
      <c r="DP458" s="4388"/>
      <c r="DQ458" s="4388"/>
      <c r="DR458" s="4388"/>
      <c r="DS458" s="4388"/>
    </row>
    <row r="459" s="4135" customFormat="1" ht="21" customHeight="1" spans="1:123">
      <c r="A459" s="4409"/>
      <c r="B459" s="4409"/>
      <c r="C459" s="4409"/>
      <c r="D459" s="4409"/>
      <c r="E459" s="4409"/>
      <c r="F459" s="4410" t="s">
        <v>404</v>
      </c>
      <c r="G459" s="4410"/>
      <c r="H459" s="4410"/>
      <c r="I459" s="4410"/>
      <c r="J459" s="4410"/>
      <c r="K459" s="4410"/>
      <c r="L459" s="4410"/>
      <c r="M459" s="4410"/>
      <c r="N459" s="4410"/>
      <c r="O459" s="4410"/>
      <c r="P459" s="4410"/>
      <c r="Q459" s="4410"/>
      <c r="R459" s="4410"/>
      <c r="S459" s="4410"/>
      <c r="T459" s="4410"/>
      <c r="U459" s="4410"/>
      <c r="V459" s="4410"/>
      <c r="W459" s="4411"/>
      <c r="X459" s="4412" t="s">
        <v>5140</v>
      </c>
      <c r="Y459" s="4413"/>
      <c r="Z459" s="4413"/>
      <c r="AA459" s="4413"/>
      <c r="AB459" s="4413"/>
      <c r="AC459" s="4413"/>
      <c r="AD459" s="4413"/>
      <c r="AE459" s="4413"/>
      <c r="AF459" s="4413"/>
      <c r="AG459" s="4414"/>
      <c r="AH459" s="4414"/>
      <c r="AI459" s="4414"/>
      <c r="AJ459" s="4415"/>
      <c r="AK459" s="4415"/>
      <c r="AL459" s="4413"/>
      <c r="AM459" s="4413"/>
      <c r="AN459" s="4413"/>
      <c r="AO459" s="4413"/>
      <c r="AP459" s="4413"/>
      <c r="AQ459" s="4411"/>
      <c r="AR459" s="4411"/>
      <c r="AS459" s="4411"/>
      <c r="AT459" s="4411"/>
      <c r="AU459" s="4411"/>
      <c r="AV459" s="4411"/>
      <c r="AW459" s="4411"/>
      <c r="AX459" s="4411"/>
      <c r="AY459" s="4411"/>
      <c r="AZ459" s="4411"/>
      <c r="BA459" s="4411"/>
      <c r="BB459" s="4411"/>
      <c r="BC459" s="4411"/>
      <c r="BD459" s="4411"/>
      <c r="BE459" s="4411"/>
      <c r="BF459" s="4411"/>
      <c r="BG459" s="4411"/>
      <c r="BH459" s="4411"/>
      <c r="BI459" s="4411"/>
      <c r="BJ459" s="4411"/>
      <c r="BK459" s="4411"/>
      <c r="BL459" s="4411"/>
      <c r="BM459" s="4411"/>
      <c r="BN459" s="4411"/>
      <c r="BO459" s="4411"/>
      <c r="BP459" s="4411"/>
      <c r="BQ459" s="4411"/>
      <c r="BR459" s="4411"/>
      <c r="BS459" s="4411"/>
      <c r="BT459" s="4411"/>
      <c r="BU459" s="4411"/>
      <c r="BV459" s="4411"/>
      <c r="BW459" s="4411"/>
      <c r="BX459" s="4411"/>
      <c r="BY459" s="4411"/>
      <c r="BZ459" s="4411"/>
      <c r="CA459" s="4411"/>
      <c r="CB459" s="4411"/>
      <c r="CC459" s="4411"/>
      <c r="CD459" s="4411"/>
      <c r="CE459" s="4411"/>
      <c r="CF459" s="4411"/>
      <c r="CG459" s="4411"/>
      <c r="CH459" s="4411"/>
      <c r="CI459" s="4411"/>
      <c r="CJ459" s="4411"/>
      <c r="CK459" s="4411"/>
      <c r="CL459" s="4411"/>
      <c r="CM459" s="4411"/>
      <c r="CN459" s="4411"/>
      <c r="CO459" s="4411"/>
      <c r="CP459" s="4411"/>
      <c r="CQ459" s="4411"/>
      <c r="CR459" s="4411"/>
      <c r="CS459" s="4411"/>
      <c r="CT459" s="4411"/>
      <c r="CU459" s="4411"/>
      <c r="CV459" s="4411"/>
      <c r="CW459" s="4411"/>
      <c r="CX459" s="4411"/>
      <c r="CY459" s="4411"/>
      <c r="CZ459" s="4411"/>
      <c r="DA459" s="4411"/>
      <c r="DB459" s="4411"/>
      <c r="DC459" s="4411"/>
      <c r="DD459" s="4411"/>
      <c r="DE459" s="4411"/>
      <c r="DF459" s="4411"/>
      <c r="DG459" s="4411"/>
      <c r="DH459" s="4411"/>
      <c r="DI459" s="4411"/>
      <c r="DJ459" s="4411"/>
      <c r="DK459" s="4411"/>
      <c r="DL459" s="4411"/>
      <c r="DM459" s="4411"/>
      <c r="DN459" s="4411"/>
      <c r="DO459" s="4411"/>
      <c r="DP459" s="4411"/>
      <c r="DQ459" s="4411"/>
      <c r="DR459" s="4411"/>
      <c r="DS459" s="4411"/>
    </row>
    <row r="460" s="4133" customFormat="1" ht="18.75" customHeight="1" spans="1:123">
      <c r="A460" s="4292"/>
      <c r="B460" s="4292"/>
      <c r="C460" s="4292"/>
      <c r="D460" s="4292"/>
      <c r="E460" s="4292"/>
      <c r="F460" s="4292"/>
      <c r="G460" s="4292"/>
      <c r="H460" s="4292"/>
      <c r="I460" s="4292"/>
      <c r="J460" s="4292"/>
      <c r="K460" s="4292"/>
      <c r="L460" s="4292"/>
      <c r="M460" s="4292"/>
      <c r="N460" s="4292"/>
      <c r="O460" s="4292"/>
      <c r="P460" s="4292"/>
      <c r="Q460" s="4292"/>
      <c r="R460" s="4292"/>
      <c r="S460" s="4292"/>
      <c r="T460" s="4292"/>
      <c r="U460" s="4292"/>
      <c r="V460" s="4292"/>
      <c r="W460" s="4292"/>
      <c r="X460" s="4292"/>
      <c r="Y460" s="4292"/>
      <c r="Z460" s="4292"/>
      <c r="AA460" s="4292"/>
      <c r="AB460" s="4292"/>
      <c r="AC460" s="4292"/>
      <c r="AD460" s="4292"/>
      <c r="AE460" s="4292"/>
      <c r="AF460" s="4292"/>
      <c r="AG460" s="4292"/>
      <c r="AH460" s="4292"/>
      <c r="AI460" s="4292"/>
      <c r="AJ460" s="4292"/>
      <c r="AK460" s="4292"/>
      <c r="AL460" s="4292"/>
      <c r="AM460" s="4292"/>
      <c r="AN460" s="4292"/>
      <c r="AO460" s="4292"/>
      <c r="AP460" s="4292"/>
      <c r="AQ460" s="4292"/>
      <c r="AR460" s="4292"/>
      <c r="AS460" s="4292"/>
      <c r="AT460" s="4292"/>
      <c r="AU460" s="4292"/>
      <c r="AV460" s="4292"/>
      <c r="AW460" s="4292"/>
      <c r="AX460" s="4292"/>
      <c r="AY460" s="4292"/>
      <c r="AZ460" s="4292"/>
      <c r="BA460" s="4292"/>
      <c r="BB460" s="4292"/>
      <c r="BC460" s="4292"/>
      <c r="BD460" s="4292"/>
      <c r="BE460" s="4292"/>
      <c r="BF460" s="4292"/>
      <c r="BG460" s="4292"/>
      <c r="BH460" s="4292"/>
      <c r="BI460" s="4292"/>
      <c r="BJ460" s="4292"/>
      <c r="BK460" s="4292"/>
      <c r="BL460" s="4292"/>
      <c r="BM460" s="4292"/>
      <c r="BN460" s="4292"/>
      <c r="BO460" s="4292"/>
      <c r="BP460" s="4292"/>
      <c r="BQ460" s="4292"/>
      <c r="BR460" s="4292"/>
      <c r="BS460" s="4292"/>
      <c r="BT460" s="4292"/>
      <c r="BU460" s="4292"/>
      <c r="BV460" s="4292"/>
      <c r="BW460" s="4292"/>
      <c r="BX460" s="4292"/>
      <c r="BY460" s="4292"/>
      <c r="BZ460" s="4292"/>
      <c r="CA460" s="4292"/>
      <c r="CB460" s="4292"/>
      <c r="CC460" s="4292"/>
      <c r="CD460" s="4292"/>
      <c r="CE460" s="4292"/>
      <c r="CF460" s="4292"/>
      <c r="CG460" s="4292"/>
      <c r="CH460" s="4292"/>
      <c r="CI460" s="4292"/>
      <c r="CJ460" s="4292"/>
      <c r="CK460" s="4292"/>
      <c r="CL460" s="4292"/>
      <c r="CM460" s="4292"/>
      <c r="CN460" s="4292"/>
      <c r="CO460" s="4292"/>
      <c r="CP460" s="4292"/>
      <c r="CQ460" s="4292"/>
      <c r="CR460" s="4292"/>
      <c r="CS460" s="4292"/>
      <c r="CT460" s="4292"/>
      <c r="CU460" s="4292"/>
      <c r="CV460" s="4292"/>
      <c r="CW460" s="4292"/>
      <c r="CX460" s="4292"/>
      <c r="CY460" s="4292"/>
      <c r="CZ460" s="4292"/>
      <c r="DA460" s="4292"/>
      <c r="DB460" s="4292"/>
      <c r="DC460" s="4292"/>
      <c r="DD460" s="4292"/>
      <c r="DE460" s="4292"/>
      <c r="DF460" s="4292"/>
      <c r="DG460" s="4292"/>
      <c r="DH460" s="4292"/>
      <c r="DI460" s="4292"/>
      <c r="DJ460" s="4292"/>
      <c r="DK460" s="4292"/>
      <c r="DL460" s="4292"/>
      <c r="DM460" s="4292"/>
      <c r="DN460" s="4292"/>
      <c r="DO460" s="4292"/>
      <c r="DP460" s="4292"/>
      <c r="DQ460" s="4292"/>
      <c r="DR460" s="4292"/>
      <c r="DS460" s="4292"/>
    </row>
    <row r="461" s="4133" customFormat="1" ht="18.75" customHeight="1" spans="1:123">
      <c r="A461" s="4292"/>
      <c r="B461" s="4292"/>
      <c r="C461" s="4292"/>
      <c r="D461" s="4292"/>
      <c r="E461" s="4292"/>
      <c r="F461" s="4292"/>
      <c r="G461" s="4292"/>
      <c r="H461" s="4292"/>
      <c r="I461" s="4292"/>
      <c r="J461" s="4292"/>
      <c r="K461" s="4292"/>
      <c r="L461" s="4292"/>
      <c r="M461" s="4292"/>
      <c r="N461" s="4292"/>
      <c r="O461" s="4292"/>
      <c r="P461" s="4292"/>
      <c r="Q461" s="4292"/>
      <c r="R461" s="4292"/>
      <c r="S461" s="4292"/>
      <c r="T461" s="4292"/>
      <c r="U461" s="4292"/>
      <c r="V461" s="4292"/>
      <c r="W461" s="4292"/>
      <c r="X461" s="4292"/>
      <c r="Y461" s="4292"/>
      <c r="Z461" s="4292"/>
      <c r="AA461" s="4292"/>
      <c r="AB461" s="4292"/>
      <c r="AC461" s="4292"/>
      <c r="AD461" s="4292"/>
      <c r="AE461" s="4292"/>
      <c r="AF461" s="4292"/>
      <c r="AG461" s="4292"/>
      <c r="AH461" s="4292"/>
      <c r="AI461" s="4292"/>
      <c r="AJ461" s="4292"/>
      <c r="AK461" s="4292"/>
      <c r="AL461" s="4292"/>
      <c r="AM461" s="4292"/>
      <c r="AN461" s="4292"/>
      <c r="AO461" s="4292"/>
      <c r="AP461" s="4292"/>
      <c r="AQ461" s="4292"/>
      <c r="AR461" s="4292"/>
      <c r="AS461" s="4292"/>
      <c r="AT461" s="4292"/>
      <c r="AU461" s="4292"/>
      <c r="AV461" s="4292"/>
      <c r="AW461" s="4292"/>
      <c r="AX461" s="4292"/>
      <c r="AY461" s="4292"/>
      <c r="AZ461" s="4292"/>
      <c r="BA461" s="4292"/>
      <c r="BB461" s="4292"/>
      <c r="BC461" s="4292"/>
      <c r="BD461" s="4292"/>
      <c r="BE461" s="4292"/>
      <c r="BF461" s="4292"/>
      <c r="BG461" s="4292"/>
      <c r="BH461" s="4292"/>
      <c r="BI461" s="4292"/>
      <c r="BJ461" s="4292"/>
      <c r="BK461" s="4292"/>
      <c r="BL461" s="4292"/>
      <c r="BM461" s="4292"/>
      <c r="BN461" s="4292"/>
      <c r="BO461" s="4292"/>
      <c r="BP461" s="4292"/>
      <c r="BQ461" s="4292"/>
      <c r="BR461" s="4292"/>
      <c r="BS461" s="4292"/>
      <c r="BT461" s="4292"/>
      <c r="BU461" s="4292"/>
      <c r="BV461" s="4292"/>
      <c r="BW461" s="4292"/>
      <c r="BX461" s="4292"/>
      <c r="BY461" s="4292"/>
      <c r="BZ461" s="4292"/>
      <c r="CA461" s="4292"/>
      <c r="CB461" s="4292"/>
      <c r="CC461" s="4292"/>
      <c r="CD461" s="4292"/>
      <c r="CE461" s="4292"/>
      <c r="CF461" s="4292"/>
      <c r="CG461" s="4292"/>
      <c r="CH461" s="4292"/>
      <c r="CI461" s="4292"/>
      <c r="CJ461" s="4292"/>
      <c r="CK461" s="4292"/>
      <c r="CL461" s="4292"/>
      <c r="CM461" s="4292"/>
      <c r="CN461" s="4292"/>
      <c r="CO461" s="4292"/>
      <c r="CP461" s="4292"/>
      <c r="CQ461" s="4292"/>
      <c r="CR461" s="4292"/>
      <c r="CS461" s="4292"/>
      <c r="CT461" s="4292"/>
      <c r="CU461" s="4292"/>
      <c r="CV461" s="4292"/>
      <c r="CW461" s="4292"/>
      <c r="CX461" s="4292"/>
      <c r="CY461" s="4292"/>
      <c r="CZ461" s="4292"/>
      <c r="DA461" s="4292"/>
      <c r="DB461" s="4292"/>
      <c r="DC461" s="4292"/>
      <c r="DD461" s="4292"/>
      <c r="DE461" s="4292"/>
      <c r="DF461" s="4292"/>
      <c r="DG461" s="4292"/>
      <c r="DH461" s="4292"/>
      <c r="DI461" s="4292"/>
      <c r="DJ461" s="4292"/>
      <c r="DK461" s="4292"/>
      <c r="DL461" s="4292"/>
      <c r="DM461" s="4292"/>
      <c r="DN461" s="4292"/>
      <c r="DO461" s="4292"/>
      <c r="DP461" s="4292"/>
      <c r="DQ461" s="4292"/>
      <c r="DR461" s="4292"/>
      <c r="DS461" s="4292"/>
    </row>
    <row r="462" s="4133" customFormat="1" ht="18.75" customHeight="1" spans="1:123">
      <c r="A462" s="4292"/>
      <c r="B462" s="4292"/>
      <c r="C462" s="4292"/>
      <c r="D462" s="4292"/>
      <c r="E462" s="4292"/>
      <c r="F462" s="4292"/>
      <c r="G462" s="4292"/>
      <c r="H462" s="4292"/>
      <c r="I462" s="4292"/>
      <c r="J462" s="4292"/>
      <c r="K462" s="4292"/>
      <c r="L462" s="4292"/>
      <c r="M462" s="4292"/>
      <c r="N462" s="4292"/>
      <c r="O462" s="4292"/>
      <c r="P462" s="4292"/>
      <c r="Q462" s="4292"/>
      <c r="R462" s="4292"/>
      <c r="S462" s="4292"/>
      <c r="T462" s="4292"/>
      <c r="U462" s="4292"/>
      <c r="V462" s="4292"/>
      <c r="W462" s="4292"/>
      <c r="X462" s="4292"/>
      <c r="Y462" s="4292"/>
      <c r="Z462" s="4292"/>
      <c r="AA462" s="4292"/>
      <c r="AB462" s="4292"/>
      <c r="AC462" s="4292"/>
      <c r="AD462" s="4292"/>
      <c r="AE462" s="4292"/>
      <c r="AF462" s="4292"/>
      <c r="AG462" s="4292"/>
      <c r="AH462" s="4292"/>
      <c r="AI462" s="4292"/>
      <c r="AJ462" s="4292"/>
      <c r="AK462" s="4292"/>
      <c r="AL462" s="4292"/>
      <c r="AM462" s="4292"/>
      <c r="AN462" s="4292"/>
      <c r="AO462" s="4292"/>
      <c r="AP462" s="4292"/>
      <c r="AQ462" s="4292"/>
      <c r="AR462" s="4292"/>
      <c r="AS462" s="4292"/>
      <c r="AT462" s="4292"/>
      <c r="AU462" s="4292"/>
      <c r="AV462" s="4292"/>
      <c r="AW462" s="4292"/>
      <c r="AX462" s="4292"/>
      <c r="AY462" s="4292"/>
      <c r="AZ462" s="4292"/>
      <c r="BA462" s="4292"/>
      <c r="BB462" s="4292"/>
      <c r="BC462" s="4292"/>
      <c r="BD462" s="4292"/>
      <c r="BE462" s="4292"/>
      <c r="BF462" s="4292"/>
      <c r="BG462" s="4292"/>
      <c r="BH462" s="4292"/>
      <c r="BI462" s="4292"/>
      <c r="BJ462" s="4292"/>
      <c r="BK462" s="4292"/>
      <c r="BL462" s="4292"/>
      <c r="BM462" s="4292"/>
      <c r="BN462" s="4292"/>
      <c r="BO462" s="4292"/>
      <c r="BP462" s="4292"/>
      <c r="BQ462" s="4292"/>
      <c r="BR462" s="4292"/>
      <c r="BS462" s="4292"/>
      <c r="BT462" s="4292"/>
      <c r="BU462" s="4292"/>
      <c r="BV462" s="4292"/>
      <c r="BW462" s="4292"/>
      <c r="BX462" s="4292"/>
      <c r="BY462" s="4292"/>
      <c r="BZ462" s="4292"/>
      <c r="CA462" s="4292"/>
      <c r="CB462" s="4292"/>
      <c r="CC462" s="4292"/>
      <c r="CD462" s="4292"/>
      <c r="CE462" s="4292"/>
      <c r="CF462" s="4292"/>
      <c r="CG462" s="4292"/>
      <c r="CH462" s="4292"/>
      <c r="CI462" s="4292"/>
      <c r="CJ462" s="4292"/>
      <c r="CK462" s="4292"/>
      <c r="CL462" s="4292"/>
      <c r="CM462" s="4292"/>
      <c r="CN462" s="4292"/>
      <c r="CO462" s="4292"/>
      <c r="CP462" s="4292"/>
      <c r="CQ462" s="4292"/>
      <c r="CR462" s="4292"/>
      <c r="CS462" s="4292"/>
      <c r="CT462" s="4292"/>
      <c r="CU462" s="4292"/>
      <c r="CV462" s="4292"/>
      <c r="CW462" s="4292"/>
      <c r="CX462" s="4292"/>
      <c r="CY462" s="4292"/>
      <c r="CZ462" s="4292"/>
      <c r="DA462" s="4292"/>
      <c r="DB462" s="4292"/>
      <c r="DC462" s="4292"/>
      <c r="DD462" s="4292"/>
      <c r="DE462" s="4292"/>
      <c r="DF462" s="4292"/>
      <c r="DG462" s="4292"/>
      <c r="DH462" s="4292"/>
      <c r="DI462" s="4292"/>
      <c r="DJ462" s="4292"/>
      <c r="DK462" s="4292"/>
      <c r="DL462" s="4292"/>
      <c r="DM462" s="4292"/>
      <c r="DN462" s="4292"/>
      <c r="DO462" s="4292"/>
      <c r="DP462" s="4292"/>
      <c r="DQ462" s="4292"/>
      <c r="DR462" s="4292"/>
      <c r="DS462" s="4292"/>
    </row>
    <row r="463" s="4133" customFormat="1" ht="15" spans="1:123">
      <c r="A463" s="4292"/>
      <c r="B463" s="4292"/>
      <c r="C463" s="4292"/>
      <c r="D463" s="4292"/>
      <c r="E463" s="4292"/>
      <c r="F463" s="4292"/>
      <c r="G463" s="4292"/>
      <c r="H463" s="4292"/>
      <c r="I463" s="4292"/>
      <c r="J463" s="4292"/>
      <c r="K463" s="4292"/>
      <c r="L463" s="4292"/>
      <c r="M463" s="4292"/>
      <c r="N463" s="4292"/>
      <c r="O463" s="4292"/>
      <c r="P463" s="4292"/>
      <c r="Q463" s="4292"/>
      <c r="R463" s="4292"/>
      <c r="S463" s="4292"/>
      <c r="T463" s="4292"/>
      <c r="U463" s="4292"/>
      <c r="V463" s="4292"/>
      <c r="W463" s="4292"/>
      <c r="X463" s="4292"/>
      <c r="Y463" s="4292"/>
      <c r="Z463" s="4292"/>
      <c r="AA463" s="4292"/>
      <c r="AB463" s="4292"/>
      <c r="AC463" s="4292"/>
      <c r="AD463" s="4292"/>
      <c r="AE463" s="4388"/>
      <c r="AF463" s="4388"/>
      <c r="AG463" s="4388"/>
      <c r="AH463" s="4388"/>
      <c r="AI463" s="4388"/>
      <c r="AJ463" s="4388"/>
      <c r="AK463" s="4388"/>
      <c r="AL463" s="4388"/>
      <c r="AM463" s="4388"/>
      <c r="AN463" s="4388"/>
      <c r="AO463" s="4388"/>
      <c r="AP463" s="4388"/>
      <c r="AQ463" s="4388"/>
      <c r="AR463" s="4388"/>
      <c r="AS463" s="4388"/>
      <c r="AT463" s="4388"/>
      <c r="AU463" s="4388"/>
      <c r="AV463" s="4388"/>
      <c r="AW463" s="4388"/>
      <c r="AX463" s="4388"/>
      <c r="AY463" s="4388"/>
      <c r="AZ463" s="4388"/>
      <c r="BA463" s="4388"/>
      <c r="BB463" s="4388"/>
      <c r="BC463" s="4388"/>
      <c r="BD463" s="4388"/>
      <c r="BE463" s="4388"/>
      <c r="BF463" s="4388"/>
      <c r="BG463" s="4388"/>
      <c r="BH463" s="4388"/>
      <c r="BI463" s="4388"/>
      <c r="BJ463" s="4388"/>
      <c r="BK463" s="4388"/>
      <c r="BL463" s="4388"/>
      <c r="BM463" s="4388"/>
      <c r="BN463" s="4388"/>
      <c r="BO463" s="4388"/>
      <c r="BP463" s="4388"/>
      <c r="BQ463" s="4388"/>
      <c r="BR463" s="4388"/>
      <c r="BS463" s="4388"/>
      <c r="BT463" s="4388"/>
      <c r="BU463" s="4388"/>
      <c r="BV463" s="4388"/>
      <c r="BW463" s="4388"/>
      <c r="BX463" s="4388"/>
      <c r="BY463" s="4388"/>
      <c r="BZ463" s="4388"/>
      <c r="CA463" s="4388"/>
      <c r="CB463" s="4388"/>
      <c r="CC463" s="4388"/>
      <c r="CD463" s="4388"/>
      <c r="CE463" s="4388"/>
      <c r="CF463" s="4388"/>
      <c r="CG463" s="4388"/>
      <c r="CH463" s="4388"/>
      <c r="CI463" s="4388"/>
      <c r="CJ463" s="4388"/>
      <c r="CK463" s="4388"/>
      <c r="CL463" s="4388"/>
      <c r="CM463" s="4388"/>
      <c r="CN463" s="4388"/>
      <c r="CO463" s="4388"/>
      <c r="CP463" s="4388"/>
      <c r="CQ463" s="4388"/>
      <c r="CR463" s="4388"/>
      <c r="CS463" s="4388"/>
      <c r="CT463" s="4388"/>
      <c r="CU463" s="4388"/>
      <c r="CV463" s="4388"/>
      <c r="CW463" s="4388"/>
      <c r="CX463" s="4388"/>
      <c r="CY463" s="4388"/>
      <c r="CZ463" s="4388"/>
      <c r="DA463" s="4388"/>
      <c r="DB463" s="4388"/>
      <c r="DC463" s="4388"/>
      <c r="DD463" s="4388"/>
      <c r="DE463" s="4388"/>
      <c r="DF463" s="4388"/>
      <c r="DG463" s="4388"/>
      <c r="DH463" s="4388"/>
      <c r="DI463" s="4388"/>
      <c r="DJ463" s="4388"/>
      <c r="DK463" s="4388"/>
      <c r="DL463" s="4388"/>
      <c r="DM463" s="4388"/>
      <c r="DN463" s="4388"/>
      <c r="DO463" s="4388"/>
      <c r="DP463" s="4388"/>
      <c r="DQ463" s="4388"/>
      <c r="DR463" s="4388"/>
      <c r="DS463" s="4388"/>
    </row>
    <row r="464" s="4135" customFormat="1" ht="28.5" customHeight="1" spans="1:123">
      <c r="A464" s="4287" t="s">
        <v>5141</v>
      </c>
      <c r="B464" s="4236"/>
      <c r="C464" s="4236"/>
      <c r="D464" s="4236"/>
      <c r="E464" s="4236"/>
      <c r="F464" s="4236"/>
      <c r="G464" s="4236"/>
      <c r="H464" s="4236"/>
      <c r="I464" s="4236"/>
      <c r="J464" s="4236"/>
      <c r="K464" s="4236"/>
      <c r="L464" s="4236"/>
      <c r="M464" s="4236"/>
      <c r="N464" s="4236"/>
      <c r="O464" s="4236"/>
      <c r="P464" s="4236"/>
      <c r="Q464" s="4236"/>
      <c r="R464" s="4236"/>
      <c r="S464" s="4236"/>
      <c r="T464" s="4236"/>
      <c r="U464" s="4236"/>
      <c r="V464" s="4236"/>
      <c r="W464" s="4236"/>
      <c r="X464" s="4236"/>
      <c r="Y464" s="4236"/>
      <c r="Z464" s="4236"/>
      <c r="AA464" s="4236"/>
      <c r="AB464" s="4236"/>
      <c r="AC464" s="4236"/>
      <c r="AD464" s="4236"/>
      <c r="AE464" s="4236"/>
      <c r="AF464" s="4236"/>
      <c r="AG464" s="4236"/>
      <c r="AH464" s="4236"/>
      <c r="AI464" s="4236"/>
      <c r="AJ464" s="4236"/>
      <c r="AK464" s="4236"/>
      <c r="AL464" s="4236"/>
      <c r="AM464" s="4236"/>
      <c r="AN464" s="4236"/>
      <c r="AO464" s="4236"/>
      <c r="AP464" s="4236"/>
      <c r="AQ464" s="4236"/>
      <c r="AR464" s="4236"/>
      <c r="AS464" s="4236"/>
      <c r="AT464" s="4236"/>
      <c r="AU464" s="4236"/>
      <c r="AV464" s="4236"/>
      <c r="AW464" s="4236"/>
      <c r="AX464" s="4236"/>
      <c r="AY464" s="4236"/>
      <c r="AZ464" s="4236"/>
      <c r="BA464" s="4236"/>
      <c r="BB464" s="4236"/>
      <c r="BC464" s="4236"/>
      <c r="BD464" s="4236"/>
      <c r="BE464" s="4236"/>
      <c r="BF464" s="4236"/>
      <c r="BG464" s="4236"/>
      <c r="BH464" s="4236"/>
      <c r="BI464" s="4236"/>
      <c r="BJ464" s="4236"/>
      <c r="BK464" s="4236"/>
      <c r="BL464" s="4236"/>
      <c r="BM464" s="4236"/>
      <c r="BN464" s="4236"/>
      <c r="BO464" s="4236"/>
      <c r="BP464" s="4236"/>
      <c r="BQ464" s="4236"/>
      <c r="BR464" s="4236"/>
      <c r="BS464" s="4236"/>
      <c r="BT464" s="4236"/>
      <c r="BU464" s="4236"/>
      <c r="BV464" s="4236"/>
      <c r="BW464" s="4236"/>
      <c r="BX464" s="4236"/>
      <c r="BY464" s="4236"/>
      <c r="BZ464" s="4236"/>
      <c r="CA464" s="4236"/>
      <c r="CB464" s="4236"/>
      <c r="CC464" s="4236"/>
      <c r="CD464" s="4236"/>
      <c r="CE464" s="4236"/>
      <c r="CF464" s="4236"/>
      <c r="CG464" s="4236"/>
      <c r="CH464" s="4236"/>
      <c r="CI464" s="4236"/>
      <c r="CJ464" s="4236"/>
      <c r="CK464" s="4236"/>
      <c r="CL464" s="4236"/>
      <c r="CM464" s="4236"/>
      <c r="CN464" s="4236"/>
      <c r="CO464" s="4236"/>
      <c r="CP464" s="4236"/>
      <c r="CQ464" s="4236"/>
      <c r="CR464" s="4236"/>
      <c r="CS464" s="4236"/>
      <c r="CT464" s="4236"/>
      <c r="CU464" s="4236"/>
      <c r="CV464" s="4236"/>
      <c r="CW464" s="4236"/>
      <c r="CX464" s="4236"/>
      <c r="CY464" s="4236"/>
      <c r="CZ464" s="4236"/>
      <c r="DA464" s="4236"/>
      <c r="DB464" s="4236"/>
      <c r="DC464" s="4236"/>
      <c r="DD464" s="4236"/>
      <c r="DE464" s="4236"/>
      <c r="DF464" s="4236"/>
      <c r="DG464" s="4236"/>
      <c r="DH464" s="4236"/>
      <c r="DI464" s="4236"/>
      <c r="DJ464" s="4236"/>
      <c r="DK464" s="4236"/>
      <c r="DL464" s="4236"/>
      <c r="DM464" s="4236"/>
      <c r="DN464" s="4236"/>
      <c r="DO464" s="4236"/>
      <c r="DP464" s="4236"/>
      <c r="DQ464" s="4236"/>
      <c r="DR464" s="4236"/>
      <c r="DS464" s="4236"/>
    </row>
    <row r="465" s="4133" customFormat="1" ht="18.75" customHeight="1" spans="1:123">
      <c r="A465" s="4292"/>
      <c r="B465" s="4292"/>
      <c r="C465" s="4292"/>
      <c r="D465" s="4292"/>
      <c r="E465" s="4292"/>
      <c r="F465" s="4416"/>
      <c r="G465" s="4416"/>
      <c r="H465" s="4416"/>
      <c r="I465" s="4416"/>
      <c r="J465" s="4416"/>
      <c r="K465" s="4416"/>
      <c r="L465" s="4416"/>
      <c r="M465" s="4292"/>
      <c r="N465" s="4292"/>
      <c r="O465" s="4292"/>
      <c r="P465" s="4292"/>
      <c r="Q465" s="4292"/>
      <c r="R465" s="4292"/>
      <c r="S465" s="4292"/>
      <c r="T465" s="4292"/>
      <c r="U465" s="4292"/>
      <c r="V465" s="4292"/>
      <c r="W465" s="4292"/>
      <c r="X465" s="4292"/>
      <c r="Y465" s="4292"/>
      <c r="Z465" s="4292"/>
      <c r="AA465" s="4292"/>
      <c r="AB465" s="4292"/>
      <c r="AC465" s="4292"/>
      <c r="AD465" s="4292"/>
      <c r="AE465" s="4388"/>
      <c r="AF465" s="4388"/>
      <c r="AG465" s="4388"/>
      <c r="AH465" s="4388"/>
      <c r="AI465" s="4388"/>
      <c r="AJ465" s="4388"/>
      <c r="AK465" s="4388"/>
      <c r="AL465" s="4388"/>
      <c r="AM465" s="4388"/>
      <c r="AN465" s="4388"/>
      <c r="AO465" s="4388"/>
      <c r="AP465" s="4388"/>
      <c r="AQ465" s="4388"/>
      <c r="AR465" s="4388"/>
      <c r="AS465" s="4388"/>
      <c r="AT465" s="4388"/>
      <c r="AU465" s="4388"/>
      <c r="AV465" s="4388"/>
      <c r="AW465" s="4388"/>
      <c r="AX465" s="4388"/>
      <c r="AY465" s="4388"/>
      <c r="AZ465" s="4388"/>
      <c r="BA465" s="4388"/>
      <c r="BB465" s="4388"/>
      <c r="BC465" s="4388"/>
      <c r="BD465" s="4388"/>
      <c r="BE465" s="4388"/>
      <c r="BF465" s="4388"/>
      <c r="BG465" s="4388"/>
      <c r="BH465" s="4388"/>
      <c r="BI465" s="4388"/>
      <c r="BJ465" s="4388"/>
      <c r="BK465" s="4388"/>
      <c r="BL465" s="4388"/>
      <c r="BM465" s="4388"/>
      <c r="BN465" s="4388"/>
      <c r="BO465" s="4388"/>
      <c r="BP465" s="4388"/>
      <c r="BQ465" s="4388"/>
      <c r="BR465" s="4388"/>
      <c r="BS465" s="4388"/>
      <c r="BT465" s="4388"/>
      <c r="BU465" s="4388"/>
      <c r="BV465" s="4388"/>
      <c r="BW465" s="4388"/>
      <c r="BX465" s="4388"/>
      <c r="BY465" s="4388"/>
      <c r="BZ465" s="4388"/>
      <c r="CA465" s="4388"/>
      <c r="CB465" s="4388"/>
      <c r="CC465" s="4388"/>
      <c r="CD465" s="4388"/>
      <c r="CE465" s="4388"/>
      <c r="CF465" s="4388"/>
      <c r="CG465" s="4388"/>
      <c r="CH465" s="4388"/>
      <c r="CI465" s="4388"/>
      <c r="CJ465" s="4388"/>
      <c r="CK465" s="4388"/>
      <c r="CL465" s="4388"/>
      <c r="CM465" s="4388"/>
      <c r="CN465" s="4388"/>
      <c r="CO465" s="4388"/>
      <c r="CP465" s="4388"/>
      <c r="CQ465" s="4388"/>
      <c r="CR465" s="4388"/>
      <c r="CS465" s="4388"/>
      <c r="CT465" s="4388"/>
      <c r="CU465" s="4388"/>
      <c r="CV465" s="4388"/>
      <c r="CW465" s="4388"/>
      <c r="CX465" s="4388"/>
      <c r="CY465" s="4388"/>
      <c r="CZ465" s="4388"/>
      <c r="DA465" s="4388"/>
      <c r="DB465" s="4388"/>
      <c r="DC465" s="4388"/>
      <c r="DD465" s="4388"/>
      <c r="DE465" s="4388"/>
      <c r="DF465" s="4388"/>
      <c r="DG465" s="4388"/>
      <c r="DH465" s="4388"/>
      <c r="DI465" s="4388"/>
      <c r="DJ465" s="4388"/>
      <c r="DK465" s="4388"/>
      <c r="DL465" s="4388"/>
      <c r="DM465" s="4388"/>
      <c r="DN465" s="4388"/>
      <c r="DO465" s="4388"/>
      <c r="DP465" s="4388"/>
      <c r="DQ465" s="4388"/>
      <c r="DR465" s="4388"/>
      <c r="DS465" s="4388"/>
    </row>
    <row r="466" s="4133" customFormat="1" ht="23.25" spans="1:123">
      <c r="A466" s="4417" t="str">
        <f ca="1">"Utvrđivanje prosječnog broja zaposlenih za "&amp;PoslGod&amp;". godinu"</f>
        <v>Utvrđivanje prosječnog broja zaposlenih za 2025. godinu</v>
      </c>
      <c r="B466" s="4418"/>
      <c r="C466" s="4419"/>
      <c r="D466" s="4419"/>
      <c r="E466" s="4419"/>
      <c r="F466" s="4420"/>
      <c r="G466" s="4420"/>
      <c r="H466" s="4420"/>
      <c r="I466" s="4420"/>
      <c r="J466" s="4421"/>
      <c r="K466" s="4422"/>
      <c r="L466" s="4420"/>
      <c r="M466" s="4420"/>
      <c r="N466" s="4292"/>
      <c r="O466" s="4423"/>
      <c r="P466" s="4424"/>
      <c r="Q466" s="4292"/>
      <c r="R466" s="4292"/>
      <c r="S466" s="4292"/>
      <c r="T466" s="4292"/>
      <c r="U466" s="4292"/>
      <c r="V466" s="4292"/>
      <c r="W466" s="4292"/>
      <c r="X466" s="4292"/>
      <c r="Y466" s="4292"/>
      <c r="Z466" s="4424"/>
      <c r="AA466" s="4424"/>
      <c r="AB466" s="4424"/>
      <c r="AC466" s="4424"/>
      <c r="AD466" s="4424"/>
      <c r="AE466" s="4424"/>
      <c r="AF466" s="4424"/>
      <c r="AG466" s="4424"/>
      <c r="AH466" s="4292"/>
      <c r="AI466" s="4292"/>
      <c r="AJ466" s="4292"/>
      <c r="AK466" s="4292"/>
      <c r="AL466" s="4292"/>
      <c r="AM466" s="4292"/>
      <c r="AN466" s="4292"/>
      <c r="AO466" s="4292"/>
      <c r="AP466" s="4292"/>
      <c r="AQ466" s="4292"/>
      <c r="AR466" s="4292"/>
      <c r="AS466" s="4292"/>
      <c r="AT466" s="4292"/>
      <c r="AU466" s="4292"/>
      <c r="AV466" s="4292"/>
      <c r="AW466" s="4292"/>
      <c r="AX466" s="4292"/>
      <c r="AY466" s="4292"/>
      <c r="AZ466" s="4292"/>
      <c r="BA466" s="4292"/>
      <c r="BB466" s="4292"/>
      <c r="BC466" s="4292"/>
      <c r="BD466" s="4292"/>
      <c r="BE466" s="4292"/>
      <c r="BF466" s="4292"/>
      <c r="BG466" s="4292"/>
      <c r="BH466" s="4292"/>
      <c r="BI466" s="4292"/>
      <c r="BJ466" s="4292"/>
      <c r="BK466" s="4292"/>
      <c r="BL466" s="4292"/>
      <c r="BM466" s="4292"/>
      <c r="BN466" s="4292"/>
      <c r="BO466" s="4292"/>
      <c r="BP466" s="4292"/>
      <c r="BQ466" s="4292"/>
      <c r="BR466" s="4292"/>
      <c r="BS466" s="4292"/>
      <c r="BT466" s="4292"/>
      <c r="BU466" s="4292"/>
      <c r="BV466" s="4292"/>
      <c r="BW466" s="4292"/>
      <c r="BX466" s="4292"/>
      <c r="BY466" s="4292"/>
      <c r="BZ466" s="4292"/>
      <c r="CA466" s="4292"/>
      <c r="CB466" s="4292"/>
      <c r="CC466" s="4292"/>
      <c r="CD466" s="4292"/>
      <c r="CE466" s="4292"/>
      <c r="CF466" s="4292"/>
      <c r="CG466" s="4292"/>
      <c r="CH466" s="4292"/>
      <c r="CI466" s="4292"/>
      <c r="CJ466" s="4292"/>
      <c r="CK466" s="4292"/>
      <c r="CL466" s="4292"/>
      <c r="CM466" s="4292"/>
      <c r="CN466" s="4292"/>
      <c r="CO466" s="4292"/>
      <c r="CP466" s="4292"/>
      <c r="CQ466" s="4292"/>
      <c r="CR466" s="4292"/>
      <c r="CS466" s="4292"/>
      <c r="CT466" s="4292"/>
      <c r="CU466" s="4292"/>
      <c r="CV466" s="4292"/>
      <c r="CW466" s="4292"/>
      <c r="CX466" s="4292"/>
      <c r="CY466" s="4292"/>
      <c r="CZ466" s="4292"/>
      <c r="DA466" s="4292"/>
      <c r="DB466" s="4292"/>
      <c r="DC466" s="4292"/>
      <c r="DD466" s="4292"/>
      <c r="DE466" s="4292"/>
      <c r="DF466" s="4292"/>
      <c r="DG466" s="4292"/>
      <c r="DH466" s="4292"/>
      <c r="DI466" s="4292"/>
      <c r="DJ466" s="4292"/>
      <c r="DK466" s="4292"/>
      <c r="DL466" s="4292"/>
      <c r="DM466" s="4292"/>
      <c r="DN466" s="4292"/>
      <c r="DO466" s="4292"/>
      <c r="DP466" s="4292"/>
      <c r="DQ466" s="4292"/>
      <c r="DR466" s="4292"/>
      <c r="DS466" s="4292"/>
    </row>
    <row r="467" s="4133" customFormat="1" ht="34.5" customHeight="1" spans="1:123">
      <c r="A467" s="4425" t="s">
        <v>5142</v>
      </c>
      <c r="B467" s="4426"/>
      <c r="C467" s="4426"/>
      <c r="D467" s="4427" t="s">
        <v>4563</v>
      </c>
      <c r="E467" s="4427"/>
      <c r="F467" s="4427"/>
      <c r="G467" s="4428"/>
      <c r="H467" s="4429" t="s">
        <v>5143</v>
      </c>
      <c r="I467" s="4429"/>
      <c r="J467" s="4429"/>
      <c r="K467" s="4429"/>
      <c r="L467" s="4429"/>
      <c r="M467" s="4429"/>
      <c r="N467" s="4429" t="s">
        <v>5144</v>
      </c>
      <c r="O467" s="4429"/>
      <c r="P467" s="4429"/>
      <c r="Q467" s="4429"/>
      <c r="R467" s="4429"/>
      <c r="S467" s="4429"/>
      <c r="T467" s="4429" t="s">
        <v>5145</v>
      </c>
      <c r="U467" s="4429"/>
      <c r="V467" s="4429"/>
      <c r="W467" s="4429"/>
      <c r="X467" s="4429"/>
      <c r="Y467" s="4429" t="s">
        <v>5146</v>
      </c>
      <c r="Z467" s="4429"/>
      <c r="AA467" s="4429"/>
      <c r="AB467" s="4429"/>
      <c r="AC467" s="4429"/>
      <c r="AD467" s="4429" t="s">
        <v>5147</v>
      </c>
      <c r="AE467" s="4429"/>
      <c r="AF467" s="4429"/>
      <c r="AG467" s="4429"/>
      <c r="AH467" s="4430"/>
      <c r="AI467" s="4431" t="s">
        <v>5148</v>
      </c>
      <c r="AJ467" s="4429"/>
      <c r="AK467" s="4429"/>
      <c r="AL467" s="4429"/>
      <c r="AM467" s="4429"/>
      <c r="AN467" s="4432">
        <f>IF(SUM(H469:M480)=0,IFERROR((F240+F245)/AN468/H487,0),0)</f>
        <v>0</v>
      </c>
      <c r="AO467" s="4432"/>
      <c r="AP467" s="4432"/>
      <c r="AQ467" s="4432"/>
      <c r="AR467" s="4432"/>
      <c r="AS467" s="4220" t="s">
        <v>5149</v>
      </c>
      <c r="AT467" s="4303"/>
      <c r="AU467" s="4292"/>
      <c r="AV467" s="4292"/>
      <c r="AW467" s="4292"/>
      <c r="AX467" s="4292"/>
      <c r="AY467" s="4292"/>
      <c r="AZ467" s="4292"/>
      <c r="BA467" s="4292"/>
      <c r="BB467" s="4292"/>
      <c r="BC467" s="4292"/>
      <c r="BD467" s="4292"/>
      <c r="BE467" s="4292"/>
      <c r="BF467" s="4292"/>
      <c r="BG467" s="4292"/>
      <c r="BH467" s="4292"/>
      <c r="BI467" s="4292"/>
      <c r="BJ467" s="4292"/>
      <c r="BK467" s="4292"/>
      <c r="BL467" s="4292"/>
      <c r="BM467" s="4292"/>
      <c r="BN467" s="4292"/>
      <c r="BO467" s="4292"/>
      <c r="BP467" s="4292"/>
      <c r="BQ467" s="4292"/>
      <c r="BR467" s="4292"/>
      <c r="BS467" s="4292"/>
      <c r="BT467" s="4292"/>
      <c r="BU467" s="4292"/>
      <c r="BV467" s="4292"/>
      <c r="BW467" s="4292"/>
      <c r="BX467" s="4292"/>
      <c r="BY467" s="4292"/>
      <c r="BZ467" s="4292"/>
      <c r="CA467" s="4292"/>
      <c r="CB467" s="4292"/>
      <c r="CC467" s="4292"/>
      <c r="CD467" s="4292"/>
      <c r="CE467" s="4292"/>
      <c r="CF467" s="4292"/>
      <c r="CG467" s="4292"/>
      <c r="CH467" s="4292"/>
      <c r="CI467" s="4292"/>
      <c r="CJ467" s="4292"/>
      <c r="CK467" s="4292"/>
      <c r="CL467" s="4292"/>
      <c r="CM467" s="4292"/>
      <c r="CN467" s="4292"/>
      <c r="CO467" s="4292"/>
      <c r="CP467" s="4292"/>
      <c r="CQ467" s="4292"/>
      <c r="CR467" s="4292"/>
      <c r="CS467" s="4292"/>
      <c r="CT467" s="4292"/>
      <c r="CU467" s="4292"/>
      <c r="CV467" s="4292"/>
      <c r="CW467" s="4292"/>
      <c r="CX467" s="4292"/>
      <c r="CY467" s="4292"/>
      <c r="CZ467" s="4292"/>
      <c r="DA467" s="4292"/>
      <c r="DB467" s="4292"/>
      <c r="DC467" s="4292"/>
      <c r="DD467" s="4292"/>
      <c r="DE467" s="4292"/>
      <c r="DF467" s="4292"/>
      <c r="DG467" s="4292"/>
      <c r="DH467" s="4292"/>
      <c r="DI467" s="4292"/>
      <c r="DJ467" s="4292"/>
      <c r="DK467" s="4292"/>
      <c r="DL467" s="4292"/>
      <c r="DM467" s="4292"/>
      <c r="DN467" s="4292"/>
      <c r="DO467" s="4292"/>
      <c r="DP467" s="4292"/>
      <c r="DQ467" s="4292"/>
      <c r="DR467" s="4292"/>
      <c r="DS467" s="4292"/>
    </row>
    <row r="468" s="4133" customFormat="1" ht="15.75" customHeight="1" spans="1:123">
      <c r="A468" s="4433"/>
      <c r="B468" s="4434"/>
      <c r="C468" s="4434"/>
      <c r="D468" s="4435"/>
      <c r="E468" s="4435"/>
      <c r="F468" s="4435"/>
      <c r="G468" s="4436"/>
      <c r="H468" s="4429"/>
      <c r="I468" s="4429"/>
      <c r="J468" s="4429"/>
      <c r="K468" s="4429"/>
      <c r="L468" s="4429"/>
      <c r="M468" s="4429"/>
      <c r="N468" s="4429"/>
      <c r="O468" s="4429"/>
      <c r="P468" s="4429"/>
      <c r="Q468" s="4429"/>
      <c r="R468" s="4429"/>
      <c r="S468" s="4429"/>
      <c r="T468" s="4429"/>
      <c r="U468" s="4429"/>
      <c r="V468" s="4429"/>
      <c r="W468" s="4429"/>
      <c r="X468" s="4429"/>
      <c r="Y468" s="4429"/>
      <c r="Z468" s="4429"/>
      <c r="AA468" s="4429"/>
      <c r="AB468" s="4429"/>
      <c r="AC468" s="4429"/>
      <c r="AD468" s="4429"/>
      <c r="AE468" s="4429"/>
      <c r="AF468" s="4429"/>
      <c r="AG468" s="4429"/>
      <c r="AH468" s="4430"/>
      <c r="AI468" s="4431"/>
      <c r="AJ468" s="4429"/>
      <c r="AK468" s="4429"/>
      <c r="AL468" s="4429"/>
      <c r="AM468" s="4429"/>
      <c r="AN468" s="4437">
        <v>1000</v>
      </c>
      <c r="AO468" s="4437"/>
      <c r="AP468" s="4437"/>
      <c r="AQ468" s="4437"/>
      <c r="AR468" s="4437"/>
      <c r="AS468" s="4438" t="s">
        <v>5150</v>
      </c>
      <c r="AT468" s="4303"/>
      <c r="AU468" s="4292"/>
      <c r="AV468" s="4292"/>
      <c r="AW468" s="4292"/>
      <c r="AX468" s="4292"/>
      <c r="AY468" s="4292"/>
      <c r="AZ468" s="4292"/>
      <c r="BA468" s="4292"/>
      <c r="BB468" s="4292"/>
      <c r="BC468" s="4292"/>
      <c r="BD468" s="4292"/>
      <c r="BE468" s="4292"/>
      <c r="BF468" s="4292"/>
      <c r="BG468" s="4292"/>
      <c r="BH468" s="4292"/>
      <c r="BI468" s="4292"/>
      <c r="BJ468" s="4292"/>
      <c r="BK468" s="4292"/>
      <c r="BL468" s="4292"/>
      <c r="BM468" s="4292"/>
      <c r="BN468" s="4292"/>
      <c r="BO468" s="4292"/>
      <c r="BP468" s="4292"/>
      <c r="BQ468" s="4292"/>
      <c r="BR468" s="4292"/>
      <c r="BS468" s="4292"/>
      <c r="BT468" s="4292"/>
      <c r="BU468" s="4292"/>
      <c r="BV468" s="4292"/>
      <c r="BW468" s="4292"/>
      <c r="BX468" s="4292"/>
      <c r="BY468" s="4292"/>
      <c r="BZ468" s="4292"/>
      <c r="CA468" s="4292"/>
      <c r="CB468" s="4292"/>
      <c r="CC468" s="4292"/>
      <c r="CD468" s="4292"/>
      <c r="CE468" s="4292"/>
      <c r="CF468" s="4292"/>
      <c r="CG468" s="4292"/>
      <c r="CH468" s="4292"/>
      <c r="CI468" s="4292"/>
      <c r="CJ468" s="4292"/>
      <c r="CK468" s="4292"/>
      <c r="CL468" s="4292"/>
      <c r="CM468" s="4292"/>
      <c r="CN468" s="4292"/>
      <c r="CO468" s="4292"/>
      <c r="CP468" s="4292"/>
      <c r="CQ468" s="4292"/>
      <c r="CR468" s="4292"/>
      <c r="CS468" s="4292"/>
      <c r="CT468" s="4292"/>
      <c r="CU468" s="4292"/>
      <c r="CV468" s="4292"/>
      <c r="CW468" s="4292"/>
      <c r="CX468" s="4292"/>
      <c r="CY468" s="4292"/>
      <c r="CZ468" s="4292"/>
      <c r="DA468" s="4292"/>
      <c r="DB468" s="4292"/>
      <c r="DC468" s="4292"/>
      <c r="DD468" s="4292"/>
      <c r="DE468" s="4292"/>
      <c r="DF468" s="4292"/>
      <c r="DG468" s="4292"/>
      <c r="DH468" s="4292"/>
      <c r="DI468" s="4292"/>
      <c r="DJ468" s="4292"/>
      <c r="DK468" s="4292"/>
      <c r="DL468" s="4292"/>
      <c r="DM468" s="4292"/>
      <c r="DN468" s="4292"/>
      <c r="DO468" s="4292"/>
      <c r="DP468" s="4292"/>
      <c r="DQ468" s="4292"/>
      <c r="DR468" s="4292"/>
      <c r="DS468" s="4292"/>
    </row>
    <row r="469" s="4133" customFormat="1" ht="19.5" customHeight="1" spans="1:123">
      <c r="A469" s="4439" t="str">
        <f>H6&amp;I6</f>
        <v>01</v>
      </c>
      <c r="B469" s="4440"/>
      <c r="C469" s="4440"/>
      <c r="D469" s="4441">
        <f>$J$6</f>
        <v>2025</v>
      </c>
      <c r="E469" s="4441"/>
      <c r="F469" s="4441"/>
      <c r="G469" s="4442"/>
      <c r="H469" s="4443">
        <v>6</v>
      </c>
      <c r="I469" s="4443"/>
      <c r="J469" s="4443"/>
      <c r="K469" s="4443"/>
      <c r="L469" s="4443"/>
      <c r="M469" s="4443"/>
      <c r="N469" s="4444">
        <v>1104</v>
      </c>
      <c r="O469" s="4445"/>
      <c r="P469" s="4445"/>
      <c r="Q469" s="4445"/>
      <c r="R469" s="4445"/>
      <c r="S469" s="4445"/>
      <c r="T469" s="4446">
        <v>184</v>
      </c>
      <c r="U469" s="4446"/>
      <c r="V469" s="4446"/>
      <c r="W469" s="4446"/>
      <c r="X469" s="4446"/>
      <c r="Y469" s="4447">
        <f>H469*T469</f>
        <v>1104</v>
      </c>
      <c r="Z469" s="4446"/>
      <c r="AA469" s="4446"/>
      <c r="AB469" s="4446"/>
      <c r="AC469" s="4446"/>
      <c r="AD469" s="4447">
        <f>IF(N469=0,Y469/T469,N469/T469)</f>
        <v>6</v>
      </c>
      <c r="AE469" s="4446"/>
      <c r="AF469" s="4446"/>
      <c r="AG469" s="4446"/>
      <c r="AH469" s="4448"/>
      <c r="AI469" s="4449">
        <f>IF(H469&gt;0,1,"")</f>
        <v>1</v>
      </c>
      <c r="AJ469" s="4450"/>
      <c r="AK469" s="4450"/>
      <c r="AL469" s="4450"/>
      <c r="AM469" s="4451"/>
      <c r="AN469" s="4292"/>
      <c r="AO469" s="4292"/>
      <c r="AP469" s="4292"/>
      <c r="AQ469" s="4292"/>
      <c r="AR469" s="4292"/>
      <c r="AS469" s="4292"/>
      <c r="AT469" s="4292"/>
      <c r="AU469" s="4292"/>
      <c r="AV469" s="4292"/>
      <c r="AW469" s="4292"/>
      <c r="AX469" s="4292"/>
      <c r="AY469" s="4292"/>
      <c r="AZ469" s="4292"/>
      <c r="BA469" s="4292"/>
      <c r="BB469" s="4292"/>
      <c r="BC469" s="4292"/>
      <c r="BD469" s="4292"/>
      <c r="BE469" s="4292"/>
      <c r="BF469" s="4292"/>
      <c r="BG469" s="4292"/>
      <c r="BH469" s="4292"/>
      <c r="BI469" s="4292"/>
      <c r="BJ469" s="4292"/>
      <c r="BK469" s="4292"/>
      <c r="BL469" s="4292"/>
      <c r="BM469" s="4292"/>
      <c r="BN469" s="4292"/>
      <c r="BO469" s="4292"/>
      <c r="BP469" s="4292"/>
      <c r="BQ469" s="4292"/>
      <c r="BR469" s="4292"/>
      <c r="BS469" s="4292"/>
      <c r="BT469" s="4292"/>
      <c r="BU469" s="4292"/>
      <c r="BV469" s="4292"/>
      <c r="BW469" s="4292"/>
      <c r="BX469" s="4292"/>
      <c r="BY469" s="4292"/>
      <c r="BZ469" s="4292"/>
      <c r="CA469" s="4292"/>
      <c r="CB469" s="4292"/>
      <c r="CC469" s="4292"/>
      <c r="CD469" s="4292"/>
      <c r="CE469" s="4292"/>
      <c r="CF469" s="4292"/>
      <c r="CG469" s="4292"/>
      <c r="CH469" s="4292"/>
      <c r="CI469" s="4292"/>
      <c r="CJ469" s="4292"/>
      <c r="CK469" s="4292"/>
      <c r="CL469" s="4292"/>
      <c r="CM469" s="4292"/>
      <c r="CN469" s="4292"/>
      <c r="CO469" s="4292"/>
      <c r="CP469" s="4292"/>
      <c r="CQ469" s="4292"/>
      <c r="CR469" s="4292"/>
      <c r="CS469" s="4292"/>
      <c r="CT469" s="4292"/>
      <c r="CU469" s="4292"/>
      <c r="CV469" s="4292"/>
      <c r="CW469" s="4292"/>
      <c r="CX469" s="4292"/>
      <c r="CY469" s="4292"/>
      <c r="CZ469" s="4292"/>
      <c r="DA469" s="4292"/>
      <c r="DB469" s="4292"/>
      <c r="DC469" s="4292"/>
      <c r="DD469" s="4292"/>
      <c r="DE469" s="4292"/>
      <c r="DF469" s="4292"/>
      <c r="DG469" s="4292"/>
      <c r="DH469" s="4292"/>
      <c r="DI469" s="4292"/>
      <c r="DJ469" s="4292"/>
      <c r="DK469" s="4292"/>
      <c r="DL469" s="4292"/>
      <c r="DM469" s="4292"/>
      <c r="DN469" s="4292"/>
      <c r="DO469" s="4292"/>
      <c r="DP469" s="4292"/>
      <c r="DQ469" s="4292"/>
      <c r="DR469" s="4292"/>
      <c r="DS469" s="4292"/>
    </row>
    <row r="470" s="4133" customFormat="1" ht="19.5" customHeight="1" spans="1:123">
      <c r="A470" s="4452">
        <f>IF(A469+1=13,1,(A469+1))</f>
        <v>2</v>
      </c>
      <c r="B470" s="4453"/>
      <c r="C470" s="4453"/>
      <c r="D470" s="4441">
        <f>IF(A470-A469=1,D469,D469+1)</f>
        <v>2025</v>
      </c>
      <c r="E470" s="4441"/>
      <c r="F470" s="4441"/>
      <c r="G470" s="4442"/>
      <c r="H470" s="4443">
        <v>6</v>
      </c>
      <c r="I470" s="4443"/>
      <c r="J470" s="4443"/>
      <c r="K470" s="4443"/>
      <c r="L470" s="4443"/>
      <c r="M470" s="4443"/>
      <c r="N470" s="4444">
        <v>960</v>
      </c>
      <c r="O470" s="4445"/>
      <c r="P470" s="4445"/>
      <c r="Q470" s="4445"/>
      <c r="R470" s="4445"/>
      <c r="S470" s="4445"/>
      <c r="T470" s="4446">
        <v>160</v>
      </c>
      <c r="U470" s="4446"/>
      <c r="V470" s="4446"/>
      <c r="W470" s="4446"/>
      <c r="X470" s="4446"/>
      <c r="Y470" s="4447">
        <f t="shared" ref="Y470:Y480" si="1">H470*T470</f>
        <v>960</v>
      </c>
      <c r="Z470" s="4446"/>
      <c r="AA470" s="4446"/>
      <c r="AB470" s="4446"/>
      <c r="AC470" s="4446"/>
      <c r="AD470" s="4447">
        <f>IFERROR(IF(N470=0,Y470/T470,N470/T470),"")</f>
        <v>6</v>
      </c>
      <c r="AE470" s="4446"/>
      <c r="AF470" s="4446"/>
      <c r="AG470" s="4446"/>
      <c r="AH470" s="4448"/>
      <c r="AI470" s="4449">
        <f t="shared" ref="AI470:AI480" si="2">IF(H470&gt;0,1,"")</f>
        <v>1</v>
      </c>
      <c r="AJ470" s="4450"/>
      <c r="AK470" s="4450"/>
      <c r="AL470" s="4450"/>
      <c r="AM470" s="4451"/>
      <c r="AN470" s="4292"/>
      <c r="AO470" s="4292"/>
      <c r="AP470" s="4292"/>
      <c r="AQ470" s="4292"/>
      <c r="AR470" s="4292"/>
      <c r="AS470" s="4292"/>
      <c r="AT470" s="4292"/>
      <c r="AU470" s="4292"/>
      <c r="AV470" s="4292"/>
      <c r="AW470" s="4292"/>
      <c r="AX470" s="4292"/>
      <c r="AY470" s="4292"/>
      <c r="AZ470" s="4292"/>
      <c r="BA470" s="4292"/>
      <c r="BB470" s="4292"/>
      <c r="BC470" s="4292"/>
      <c r="BD470" s="4292"/>
      <c r="BE470" s="4292"/>
      <c r="BF470" s="4292"/>
      <c r="BG470" s="4292"/>
      <c r="BH470" s="4292"/>
      <c r="BI470" s="4292"/>
      <c r="BJ470" s="4292"/>
      <c r="BK470" s="4292"/>
      <c r="BL470" s="4292"/>
      <c r="BM470" s="4292"/>
      <c r="BN470" s="4292"/>
      <c r="BO470" s="4292"/>
      <c r="BP470" s="4292"/>
      <c r="BQ470" s="4292"/>
      <c r="BR470" s="4292"/>
      <c r="BS470" s="4292"/>
      <c r="BT470" s="4292"/>
      <c r="BU470" s="4292"/>
      <c r="BV470" s="4292"/>
      <c r="BW470" s="4292"/>
      <c r="BX470" s="4292"/>
      <c r="BY470" s="4292"/>
      <c r="BZ470" s="4292"/>
      <c r="CA470" s="4292"/>
      <c r="CB470" s="4292"/>
      <c r="CC470" s="4292"/>
      <c r="CD470" s="4292"/>
      <c r="CE470" s="4292"/>
      <c r="CF470" s="4292"/>
      <c r="CG470" s="4292"/>
      <c r="CH470" s="4292"/>
      <c r="CI470" s="4292"/>
      <c r="CJ470" s="4292"/>
      <c r="CK470" s="4292"/>
      <c r="CL470" s="4292"/>
      <c r="CM470" s="4292"/>
      <c r="CN470" s="4292"/>
      <c r="CO470" s="4292"/>
      <c r="CP470" s="4292"/>
      <c r="CQ470" s="4292"/>
      <c r="CR470" s="4292"/>
      <c r="CS470" s="4292"/>
      <c r="CT470" s="4292"/>
      <c r="CU470" s="4292"/>
      <c r="CV470" s="4292"/>
      <c r="CW470" s="4292"/>
      <c r="CX470" s="4292"/>
      <c r="CY470" s="4292"/>
      <c r="CZ470" s="4292"/>
      <c r="DA470" s="4292"/>
      <c r="DB470" s="4292"/>
      <c r="DC470" s="4292"/>
      <c r="DD470" s="4292"/>
      <c r="DE470" s="4292"/>
      <c r="DF470" s="4292"/>
      <c r="DG470" s="4292"/>
      <c r="DH470" s="4292"/>
      <c r="DI470" s="4292"/>
      <c r="DJ470" s="4292"/>
      <c r="DK470" s="4292"/>
      <c r="DL470" s="4292"/>
      <c r="DM470" s="4292"/>
      <c r="DN470" s="4292"/>
      <c r="DO470" s="4292"/>
      <c r="DP470" s="4292"/>
      <c r="DQ470" s="4292"/>
      <c r="DR470" s="4292"/>
      <c r="DS470" s="4292"/>
    </row>
    <row r="471" s="4133" customFormat="1" ht="19.5" customHeight="1" spans="1:123">
      <c r="A471" s="4452">
        <f t="shared" ref="A471:A472" si="3">IF(A470+1=13,1,(A470+1))</f>
        <v>3</v>
      </c>
      <c r="B471" s="4453"/>
      <c r="C471" s="4453"/>
      <c r="D471" s="4441">
        <f t="shared" ref="D471:D474" si="4">IF(A471-A470=1,D470,D470+1)</f>
        <v>2025</v>
      </c>
      <c r="E471" s="4441"/>
      <c r="F471" s="4441"/>
      <c r="G471" s="4442"/>
      <c r="H471" s="4443">
        <v>6</v>
      </c>
      <c r="I471" s="4443"/>
      <c r="J471" s="4443"/>
      <c r="K471" s="4443"/>
      <c r="L471" s="4443"/>
      <c r="M471" s="4443"/>
      <c r="N471" s="4444">
        <v>888</v>
      </c>
      <c r="O471" s="4445"/>
      <c r="P471" s="4445"/>
      <c r="Q471" s="4445"/>
      <c r="R471" s="4445"/>
      <c r="S471" s="4445"/>
      <c r="T471" s="4446">
        <v>168</v>
      </c>
      <c r="U471" s="4446"/>
      <c r="V471" s="4446"/>
      <c r="W471" s="4446"/>
      <c r="X471" s="4446"/>
      <c r="Y471" s="4447">
        <f t="shared" si="1"/>
        <v>1008</v>
      </c>
      <c r="Z471" s="4446"/>
      <c r="AA471" s="4446"/>
      <c r="AB471" s="4446"/>
      <c r="AC471" s="4446"/>
      <c r="AD471" s="4447">
        <f t="shared" ref="AD471:AD480" si="5">IFERROR(IF(N471=0,Y471/T471,N471/T471),"")</f>
        <v>5.28571428571429</v>
      </c>
      <c r="AE471" s="4446"/>
      <c r="AF471" s="4446"/>
      <c r="AG471" s="4446"/>
      <c r="AH471" s="4448"/>
      <c r="AI471" s="4449">
        <f t="shared" si="2"/>
        <v>1</v>
      </c>
      <c r="AJ471" s="4450"/>
      <c r="AK471" s="4450"/>
      <c r="AL471" s="4450"/>
      <c r="AM471" s="4451"/>
      <c r="AN471" s="4292"/>
      <c r="AO471" s="4292"/>
      <c r="AP471" s="4292"/>
      <c r="AQ471" s="4292"/>
      <c r="AR471" s="4292"/>
      <c r="AS471" s="4292"/>
      <c r="AT471" s="4292"/>
      <c r="AU471" s="4292"/>
      <c r="AV471" s="4292"/>
      <c r="AW471" s="4292"/>
      <c r="AX471" s="4292"/>
      <c r="AY471" s="4292"/>
      <c r="AZ471" s="4292"/>
      <c r="BA471" s="4292"/>
      <c r="BB471" s="4292"/>
      <c r="BC471" s="4292"/>
      <c r="BD471" s="4292"/>
      <c r="BE471" s="4292"/>
      <c r="BF471" s="4292"/>
      <c r="BG471" s="4292"/>
      <c r="BH471" s="4292"/>
      <c r="BI471" s="4292"/>
      <c r="BJ471" s="4292"/>
      <c r="BK471" s="4292"/>
      <c r="BL471" s="4292"/>
      <c r="BM471" s="4292"/>
      <c r="BN471" s="4292"/>
      <c r="BO471" s="4292"/>
      <c r="BP471" s="4292"/>
      <c r="BQ471" s="4292"/>
      <c r="BR471" s="4292"/>
      <c r="BS471" s="4292"/>
      <c r="BT471" s="4292"/>
      <c r="BU471" s="4292"/>
      <c r="BV471" s="4292"/>
      <c r="BW471" s="4292"/>
      <c r="BX471" s="4292"/>
      <c r="BY471" s="4292"/>
      <c r="BZ471" s="4292"/>
      <c r="CA471" s="4292"/>
      <c r="CB471" s="4292"/>
      <c r="CC471" s="4292"/>
      <c r="CD471" s="4292"/>
      <c r="CE471" s="4292"/>
      <c r="CF471" s="4292"/>
      <c r="CG471" s="4292"/>
      <c r="CH471" s="4292"/>
      <c r="CI471" s="4292"/>
      <c r="CJ471" s="4292"/>
      <c r="CK471" s="4292"/>
      <c r="CL471" s="4292"/>
      <c r="CM471" s="4292"/>
      <c r="CN471" s="4292"/>
      <c r="CO471" s="4292"/>
      <c r="CP471" s="4292"/>
      <c r="CQ471" s="4292"/>
      <c r="CR471" s="4292"/>
      <c r="CS471" s="4292"/>
      <c r="CT471" s="4292"/>
      <c r="CU471" s="4292"/>
      <c r="CV471" s="4292"/>
      <c r="CW471" s="4292"/>
      <c r="CX471" s="4292"/>
      <c r="CY471" s="4292"/>
      <c r="CZ471" s="4292"/>
      <c r="DA471" s="4292"/>
      <c r="DB471" s="4292"/>
      <c r="DC471" s="4292"/>
      <c r="DD471" s="4292"/>
      <c r="DE471" s="4292"/>
      <c r="DF471" s="4292"/>
      <c r="DG471" s="4292"/>
      <c r="DH471" s="4292"/>
      <c r="DI471" s="4292"/>
      <c r="DJ471" s="4292"/>
      <c r="DK471" s="4292"/>
      <c r="DL471" s="4292"/>
      <c r="DM471" s="4292"/>
      <c r="DN471" s="4292"/>
      <c r="DO471" s="4292"/>
      <c r="DP471" s="4292"/>
      <c r="DQ471" s="4292"/>
      <c r="DR471" s="4292"/>
      <c r="DS471" s="4292"/>
    </row>
    <row r="472" s="4133" customFormat="1" ht="19.5" customHeight="1" spans="1:123">
      <c r="A472" s="4452">
        <f t="shared" si="3"/>
        <v>4</v>
      </c>
      <c r="B472" s="4453"/>
      <c r="C472" s="4453"/>
      <c r="D472" s="4441">
        <f t="shared" si="4"/>
        <v>2025</v>
      </c>
      <c r="E472" s="4441"/>
      <c r="F472" s="4441"/>
      <c r="G472" s="4442"/>
      <c r="H472" s="4443">
        <v>6</v>
      </c>
      <c r="I472" s="4443"/>
      <c r="J472" s="4443"/>
      <c r="K472" s="4443"/>
      <c r="L472" s="4443"/>
      <c r="M472" s="4443"/>
      <c r="N472" s="4444">
        <v>1056</v>
      </c>
      <c r="O472" s="4445"/>
      <c r="P472" s="4445"/>
      <c r="Q472" s="4445"/>
      <c r="R472" s="4445"/>
      <c r="S472" s="4445"/>
      <c r="T472" s="4446">
        <v>176</v>
      </c>
      <c r="U472" s="4446"/>
      <c r="V472" s="4446"/>
      <c r="W472" s="4446"/>
      <c r="X472" s="4446"/>
      <c r="Y472" s="4447">
        <f t="shared" si="1"/>
        <v>1056</v>
      </c>
      <c r="Z472" s="4446"/>
      <c r="AA472" s="4446"/>
      <c r="AB472" s="4446"/>
      <c r="AC472" s="4446"/>
      <c r="AD472" s="4447">
        <f t="shared" si="5"/>
        <v>6</v>
      </c>
      <c r="AE472" s="4446"/>
      <c r="AF472" s="4446"/>
      <c r="AG472" s="4446"/>
      <c r="AH472" s="4448"/>
      <c r="AI472" s="4449">
        <f t="shared" si="2"/>
        <v>1</v>
      </c>
      <c r="AJ472" s="4450"/>
      <c r="AK472" s="4450"/>
      <c r="AL472" s="4450"/>
      <c r="AM472" s="4451"/>
      <c r="AN472" s="4292"/>
      <c r="AO472" s="4292"/>
      <c r="AP472" s="4292"/>
      <c r="AQ472" s="4292"/>
      <c r="AR472" s="4292"/>
      <c r="AS472" s="4292"/>
      <c r="AT472" s="4292"/>
      <c r="AU472" s="4292"/>
      <c r="AV472" s="4292"/>
      <c r="AW472" s="4292"/>
      <c r="AX472" s="4292"/>
      <c r="AY472" s="4292"/>
      <c r="AZ472" s="4292"/>
      <c r="BA472" s="4292"/>
      <c r="BB472" s="4292"/>
      <c r="BC472" s="4292"/>
      <c r="BD472" s="4292"/>
      <c r="BE472" s="4292"/>
      <c r="BF472" s="4292"/>
      <c r="BG472" s="4292"/>
      <c r="BH472" s="4292"/>
      <c r="BI472" s="4292"/>
      <c r="BJ472" s="4292"/>
      <c r="BK472" s="4292"/>
      <c r="BL472" s="4292"/>
      <c r="BM472" s="4292"/>
      <c r="BN472" s="4292"/>
      <c r="BO472" s="4292"/>
      <c r="BP472" s="4292"/>
      <c r="BQ472" s="4292"/>
      <c r="BR472" s="4292"/>
      <c r="BS472" s="4292"/>
      <c r="BT472" s="4292"/>
      <c r="BU472" s="4292"/>
      <c r="BV472" s="4292"/>
      <c r="BW472" s="4292"/>
      <c r="BX472" s="4292"/>
      <c r="BY472" s="4292"/>
      <c r="BZ472" s="4292"/>
      <c r="CA472" s="4292"/>
      <c r="CB472" s="4292"/>
      <c r="CC472" s="4292"/>
      <c r="CD472" s="4292"/>
      <c r="CE472" s="4292"/>
      <c r="CF472" s="4292"/>
      <c r="CG472" s="4292"/>
      <c r="CH472" s="4292"/>
      <c r="CI472" s="4292"/>
      <c r="CJ472" s="4292"/>
      <c r="CK472" s="4292"/>
      <c r="CL472" s="4292"/>
      <c r="CM472" s="4292"/>
      <c r="CN472" s="4292"/>
      <c r="CO472" s="4292"/>
      <c r="CP472" s="4292"/>
      <c r="CQ472" s="4292"/>
      <c r="CR472" s="4292"/>
      <c r="CS472" s="4292"/>
      <c r="CT472" s="4292"/>
      <c r="CU472" s="4292"/>
      <c r="CV472" s="4292"/>
      <c r="CW472" s="4292"/>
      <c r="CX472" s="4292"/>
      <c r="CY472" s="4292"/>
      <c r="CZ472" s="4292"/>
      <c r="DA472" s="4292"/>
      <c r="DB472" s="4292"/>
      <c r="DC472" s="4292"/>
      <c r="DD472" s="4292"/>
      <c r="DE472" s="4292"/>
      <c r="DF472" s="4292"/>
      <c r="DG472" s="4292"/>
      <c r="DH472" s="4292"/>
      <c r="DI472" s="4292"/>
      <c r="DJ472" s="4292"/>
      <c r="DK472" s="4292"/>
      <c r="DL472" s="4292"/>
      <c r="DM472" s="4292"/>
      <c r="DN472" s="4292"/>
      <c r="DO472" s="4292"/>
      <c r="DP472" s="4292"/>
      <c r="DQ472" s="4292"/>
      <c r="DR472" s="4292"/>
      <c r="DS472" s="4292"/>
    </row>
    <row r="473" s="4133" customFormat="1" ht="19.5" customHeight="1" spans="1:123">
      <c r="A473" s="4452">
        <f t="shared" ref="A473:A474" si="6">A472+1</f>
        <v>5</v>
      </c>
      <c r="B473" s="4453"/>
      <c r="C473" s="4453"/>
      <c r="D473" s="4441">
        <f t="shared" si="4"/>
        <v>2025</v>
      </c>
      <c r="E473" s="4441"/>
      <c r="F473" s="4441"/>
      <c r="G473" s="4442"/>
      <c r="H473" s="4443">
        <v>6</v>
      </c>
      <c r="I473" s="4443"/>
      <c r="J473" s="4443"/>
      <c r="K473" s="4443"/>
      <c r="L473" s="4443"/>
      <c r="M473" s="4443"/>
      <c r="N473" s="4444">
        <v>1056</v>
      </c>
      <c r="O473" s="4445"/>
      <c r="P473" s="4445"/>
      <c r="Q473" s="4445"/>
      <c r="R473" s="4445"/>
      <c r="S473" s="4445"/>
      <c r="T473" s="4446">
        <v>176</v>
      </c>
      <c r="U473" s="4446"/>
      <c r="V473" s="4446"/>
      <c r="W473" s="4446"/>
      <c r="X473" s="4446"/>
      <c r="Y473" s="4447">
        <f t="shared" si="1"/>
        <v>1056</v>
      </c>
      <c r="Z473" s="4446"/>
      <c r="AA473" s="4446"/>
      <c r="AB473" s="4446"/>
      <c r="AC473" s="4446"/>
      <c r="AD473" s="4447">
        <f t="shared" si="5"/>
        <v>6</v>
      </c>
      <c r="AE473" s="4446"/>
      <c r="AF473" s="4446"/>
      <c r="AG473" s="4446"/>
      <c r="AH473" s="4448"/>
      <c r="AI473" s="4449">
        <f t="shared" si="2"/>
        <v>1</v>
      </c>
      <c r="AJ473" s="4450"/>
      <c r="AK473" s="4450"/>
      <c r="AL473" s="4450"/>
      <c r="AM473" s="4451"/>
      <c r="AN473" s="4292"/>
      <c r="AO473" s="4292"/>
      <c r="AP473" s="4292"/>
      <c r="AQ473" s="4292"/>
      <c r="AR473" s="4292"/>
      <c r="AS473" s="4292"/>
      <c r="AT473" s="4292"/>
      <c r="AU473" s="4292"/>
      <c r="AV473" s="4292"/>
      <c r="AW473" s="4292"/>
      <c r="AX473" s="4292"/>
      <c r="AY473" s="4292"/>
      <c r="AZ473" s="4292"/>
      <c r="BA473" s="4292"/>
      <c r="BB473" s="4292"/>
      <c r="BC473" s="4292"/>
      <c r="BD473" s="4292"/>
      <c r="BE473" s="4292"/>
      <c r="BF473" s="4292"/>
      <c r="BG473" s="4292"/>
      <c r="BH473" s="4292"/>
      <c r="BI473" s="4292"/>
      <c r="BJ473" s="4292"/>
      <c r="BK473" s="4292"/>
      <c r="BL473" s="4292"/>
      <c r="BM473" s="4292"/>
      <c r="BN473" s="4292"/>
      <c r="BO473" s="4292"/>
      <c r="BP473" s="4292"/>
      <c r="BQ473" s="4292"/>
      <c r="BR473" s="4292"/>
      <c r="BS473" s="4292"/>
      <c r="BT473" s="4292"/>
      <c r="BU473" s="4292"/>
      <c r="BV473" s="4292"/>
      <c r="BW473" s="4292"/>
      <c r="BX473" s="4292"/>
      <c r="BY473" s="4292"/>
      <c r="BZ473" s="4292"/>
      <c r="CA473" s="4292"/>
      <c r="CB473" s="4292"/>
      <c r="CC473" s="4292"/>
      <c r="CD473" s="4292"/>
      <c r="CE473" s="4292"/>
      <c r="CF473" s="4292"/>
      <c r="CG473" s="4292"/>
      <c r="CH473" s="4292"/>
      <c r="CI473" s="4292"/>
      <c r="CJ473" s="4292"/>
      <c r="CK473" s="4292"/>
      <c r="CL473" s="4292"/>
      <c r="CM473" s="4292"/>
      <c r="CN473" s="4292"/>
      <c r="CO473" s="4292"/>
      <c r="CP473" s="4292"/>
      <c r="CQ473" s="4292"/>
      <c r="CR473" s="4292"/>
      <c r="CS473" s="4292"/>
      <c r="CT473" s="4292"/>
      <c r="CU473" s="4292"/>
      <c r="CV473" s="4292"/>
      <c r="CW473" s="4292"/>
      <c r="CX473" s="4292"/>
      <c r="CY473" s="4292"/>
      <c r="CZ473" s="4292"/>
      <c r="DA473" s="4292"/>
      <c r="DB473" s="4292"/>
      <c r="DC473" s="4292"/>
      <c r="DD473" s="4292"/>
      <c r="DE473" s="4292"/>
      <c r="DF473" s="4292"/>
      <c r="DG473" s="4292"/>
      <c r="DH473" s="4292"/>
      <c r="DI473" s="4292"/>
      <c r="DJ473" s="4292"/>
      <c r="DK473" s="4292"/>
      <c r="DL473" s="4292"/>
      <c r="DM473" s="4292"/>
      <c r="DN473" s="4292"/>
      <c r="DO473" s="4292"/>
      <c r="DP473" s="4292"/>
      <c r="DQ473" s="4292"/>
      <c r="DR473" s="4292"/>
      <c r="DS473" s="4292"/>
    </row>
    <row r="474" s="4133" customFormat="1" ht="19.5" customHeight="1" spans="1:123">
      <c r="A474" s="4452">
        <f t="shared" si="6"/>
        <v>6</v>
      </c>
      <c r="B474" s="4453"/>
      <c r="C474" s="4453"/>
      <c r="D474" s="4441">
        <f t="shared" si="4"/>
        <v>2025</v>
      </c>
      <c r="E474" s="4441"/>
      <c r="F474" s="4441"/>
      <c r="G474" s="4442"/>
      <c r="H474" s="4443">
        <v>6</v>
      </c>
      <c r="I474" s="4443"/>
      <c r="J474" s="4443"/>
      <c r="K474" s="4443"/>
      <c r="L474" s="4443"/>
      <c r="M474" s="4443"/>
      <c r="N474" s="4444">
        <v>1008</v>
      </c>
      <c r="O474" s="4445"/>
      <c r="P474" s="4445"/>
      <c r="Q474" s="4445"/>
      <c r="R474" s="4445"/>
      <c r="S474" s="4445"/>
      <c r="T474" s="4446">
        <v>168</v>
      </c>
      <c r="U474" s="4446"/>
      <c r="V474" s="4446"/>
      <c r="W474" s="4446"/>
      <c r="X474" s="4446"/>
      <c r="Y474" s="4447">
        <f t="shared" si="1"/>
        <v>1008</v>
      </c>
      <c r="Z474" s="4446"/>
      <c r="AA474" s="4446"/>
      <c r="AB474" s="4446"/>
      <c r="AC474" s="4446"/>
      <c r="AD474" s="4447">
        <f t="shared" si="5"/>
        <v>6</v>
      </c>
      <c r="AE474" s="4446"/>
      <c r="AF474" s="4446"/>
      <c r="AG474" s="4446"/>
      <c r="AH474" s="4448"/>
      <c r="AI474" s="4449">
        <f t="shared" si="2"/>
        <v>1</v>
      </c>
      <c r="AJ474" s="4450"/>
      <c r="AK474" s="4450"/>
      <c r="AL474" s="4450"/>
      <c r="AM474" s="4451"/>
      <c r="AN474" s="4292"/>
      <c r="AO474" s="4292"/>
      <c r="AP474" s="4292"/>
      <c r="AQ474" s="4292"/>
      <c r="AR474" s="4292"/>
      <c r="AS474" s="4292"/>
      <c r="AT474" s="4292"/>
      <c r="AU474" s="4292"/>
      <c r="AV474" s="4292"/>
      <c r="AW474" s="4292"/>
      <c r="AX474" s="4292"/>
      <c r="AY474" s="4292"/>
      <c r="AZ474" s="4292"/>
      <c r="BA474" s="4292"/>
      <c r="BB474" s="4292"/>
      <c r="BC474" s="4292"/>
      <c r="BD474" s="4292"/>
      <c r="BE474" s="4292"/>
      <c r="BF474" s="4292"/>
      <c r="BG474" s="4292"/>
      <c r="BH474" s="4292"/>
      <c r="BI474" s="4292"/>
      <c r="BJ474" s="4292"/>
      <c r="BK474" s="4292"/>
      <c r="BL474" s="4292"/>
      <c r="BM474" s="4292"/>
      <c r="BN474" s="4292"/>
      <c r="BO474" s="4292"/>
      <c r="BP474" s="4292"/>
      <c r="BQ474" s="4292"/>
      <c r="BR474" s="4292"/>
      <c r="BS474" s="4292"/>
      <c r="BT474" s="4292"/>
      <c r="BU474" s="4292"/>
      <c r="BV474" s="4292"/>
      <c r="BW474" s="4292"/>
      <c r="BX474" s="4292"/>
      <c r="BY474" s="4292"/>
      <c r="BZ474" s="4292"/>
      <c r="CA474" s="4292"/>
      <c r="CB474" s="4292"/>
      <c r="CC474" s="4292"/>
      <c r="CD474" s="4292"/>
      <c r="CE474" s="4292"/>
      <c r="CF474" s="4292"/>
      <c r="CG474" s="4292"/>
      <c r="CH474" s="4292"/>
      <c r="CI474" s="4292"/>
      <c r="CJ474" s="4292"/>
      <c r="CK474" s="4292"/>
      <c r="CL474" s="4292"/>
      <c r="CM474" s="4292"/>
      <c r="CN474" s="4292"/>
      <c r="CO474" s="4292"/>
      <c r="CP474" s="4292"/>
      <c r="CQ474" s="4292"/>
      <c r="CR474" s="4292"/>
      <c r="CS474" s="4292"/>
      <c r="CT474" s="4292"/>
      <c r="CU474" s="4292"/>
      <c r="CV474" s="4292"/>
      <c r="CW474" s="4292"/>
      <c r="CX474" s="4292"/>
      <c r="CY474" s="4292"/>
      <c r="CZ474" s="4292"/>
      <c r="DA474" s="4292"/>
      <c r="DB474" s="4292"/>
      <c r="DC474" s="4292"/>
      <c r="DD474" s="4292"/>
      <c r="DE474" s="4292"/>
      <c r="DF474" s="4292"/>
      <c r="DG474" s="4292"/>
      <c r="DH474" s="4292"/>
      <c r="DI474" s="4292"/>
      <c r="DJ474" s="4292"/>
      <c r="DK474" s="4292"/>
      <c r="DL474" s="4292"/>
      <c r="DM474" s="4292"/>
      <c r="DN474" s="4292"/>
      <c r="DO474" s="4292"/>
      <c r="DP474" s="4292"/>
      <c r="DQ474" s="4292"/>
      <c r="DR474" s="4292"/>
      <c r="DS474" s="4292"/>
    </row>
    <row r="475" s="4133" customFormat="1" ht="19.5" customHeight="1" spans="1:123">
      <c r="A475" s="4452">
        <f t="shared" ref="A475:A480" si="7">A474+1</f>
        <v>7</v>
      </c>
      <c r="B475" s="4453"/>
      <c r="C475" s="4453"/>
      <c r="D475" s="4441">
        <f t="shared" ref="D475:D480" si="8">IF(A475-A474=1,D474,D474+1)</f>
        <v>2025</v>
      </c>
      <c r="E475" s="4441"/>
      <c r="F475" s="4441"/>
      <c r="G475" s="4442"/>
      <c r="H475" s="4443">
        <v>6</v>
      </c>
      <c r="I475" s="4443"/>
      <c r="J475" s="4443"/>
      <c r="K475" s="4443"/>
      <c r="L475" s="4443"/>
      <c r="M475" s="4443"/>
      <c r="N475" s="4444">
        <v>1104</v>
      </c>
      <c r="O475" s="4445"/>
      <c r="P475" s="4445"/>
      <c r="Q475" s="4445"/>
      <c r="R475" s="4445"/>
      <c r="S475" s="4445"/>
      <c r="T475" s="4446">
        <v>184</v>
      </c>
      <c r="U475" s="4446"/>
      <c r="V475" s="4446"/>
      <c r="W475" s="4446"/>
      <c r="X475" s="4446"/>
      <c r="Y475" s="4447">
        <f t="shared" si="1"/>
        <v>1104</v>
      </c>
      <c r="Z475" s="4446"/>
      <c r="AA475" s="4446"/>
      <c r="AB475" s="4446"/>
      <c r="AC475" s="4446"/>
      <c r="AD475" s="4447">
        <f t="shared" si="5"/>
        <v>6</v>
      </c>
      <c r="AE475" s="4446"/>
      <c r="AF475" s="4446"/>
      <c r="AG475" s="4446"/>
      <c r="AH475" s="4448"/>
      <c r="AI475" s="4449">
        <f t="shared" si="2"/>
        <v>1</v>
      </c>
      <c r="AJ475" s="4450"/>
      <c r="AK475" s="4450"/>
      <c r="AL475" s="4450"/>
      <c r="AM475" s="4451"/>
      <c r="AN475" s="4292"/>
      <c r="AO475" s="4292"/>
      <c r="AP475" s="4292"/>
      <c r="AQ475" s="4292"/>
      <c r="AR475" s="4292"/>
      <c r="AS475" s="4292"/>
      <c r="AT475" s="4292"/>
      <c r="AU475" s="4292"/>
      <c r="AV475" s="4292"/>
      <c r="AW475" s="4292"/>
      <c r="AX475" s="4292"/>
      <c r="AY475" s="4292"/>
      <c r="AZ475" s="4292"/>
      <c r="BA475" s="4292"/>
      <c r="BB475" s="4292"/>
      <c r="BC475" s="4292"/>
      <c r="BD475" s="4292"/>
      <c r="BE475" s="4292"/>
      <c r="BF475" s="4292"/>
      <c r="BG475" s="4292"/>
      <c r="BH475" s="4292"/>
      <c r="BI475" s="4292"/>
      <c r="BJ475" s="4292"/>
      <c r="BK475" s="4292"/>
      <c r="BL475" s="4292"/>
      <c r="BM475" s="4292"/>
      <c r="BN475" s="4292"/>
      <c r="BO475" s="4292"/>
      <c r="BP475" s="4292"/>
      <c r="BQ475" s="4292"/>
      <c r="BR475" s="4292"/>
      <c r="BS475" s="4292"/>
      <c r="BT475" s="4292"/>
      <c r="BU475" s="4292"/>
      <c r="BV475" s="4292"/>
      <c r="BW475" s="4292"/>
      <c r="BX475" s="4292"/>
      <c r="BY475" s="4292"/>
      <c r="BZ475" s="4292"/>
      <c r="CA475" s="4292"/>
      <c r="CB475" s="4292"/>
      <c r="CC475" s="4292"/>
      <c r="CD475" s="4292"/>
      <c r="CE475" s="4292"/>
      <c r="CF475" s="4292"/>
      <c r="CG475" s="4292"/>
      <c r="CH475" s="4292"/>
      <c r="CI475" s="4292"/>
      <c r="CJ475" s="4292"/>
      <c r="CK475" s="4292"/>
      <c r="CL475" s="4292"/>
      <c r="CM475" s="4292"/>
      <c r="CN475" s="4292"/>
      <c r="CO475" s="4292"/>
      <c r="CP475" s="4292"/>
      <c r="CQ475" s="4292"/>
      <c r="CR475" s="4292"/>
      <c r="CS475" s="4292"/>
      <c r="CT475" s="4292"/>
      <c r="CU475" s="4292"/>
      <c r="CV475" s="4292"/>
      <c r="CW475" s="4292"/>
      <c r="CX475" s="4292"/>
      <c r="CY475" s="4292"/>
      <c r="CZ475" s="4292"/>
      <c r="DA475" s="4292"/>
      <c r="DB475" s="4292"/>
      <c r="DC475" s="4292"/>
      <c r="DD475" s="4292"/>
      <c r="DE475" s="4292"/>
      <c r="DF475" s="4292"/>
      <c r="DG475" s="4292"/>
      <c r="DH475" s="4292"/>
      <c r="DI475" s="4292"/>
      <c r="DJ475" s="4292"/>
      <c r="DK475" s="4292"/>
      <c r="DL475" s="4292"/>
      <c r="DM475" s="4292"/>
      <c r="DN475" s="4292"/>
      <c r="DO475" s="4292"/>
      <c r="DP475" s="4292"/>
      <c r="DQ475" s="4292"/>
      <c r="DR475" s="4292"/>
      <c r="DS475" s="4292"/>
    </row>
    <row r="476" s="4133" customFormat="1" ht="19.5" customHeight="1" spans="1:123">
      <c r="A476" s="4452">
        <f t="shared" si="7"/>
        <v>8</v>
      </c>
      <c r="B476" s="4453"/>
      <c r="C476" s="4453"/>
      <c r="D476" s="4441">
        <f t="shared" si="8"/>
        <v>2025</v>
      </c>
      <c r="E476" s="4441"/>
      <c r="F476" s="4441"/>
      <c r="G476" s="4442"/>
      <c r="H476" s="4443">
        <v>6</v>
      </c>
      <c r="I476" s="4443"/>
      <c r="J476" s="4443"/>
      <c r="K476" s="4443"/>
      <c r="L476" s="4443"/>
      <c r="M476" s="4443"/>
      <c r="N476" s="4444">
        <v>1008</v>
      </c>
      <c r="O476" s="4445"/>
      <c r="P476" s="4445"/>
      <c r="Q476" s="4445"/>
      <c r="R476" s="4445"/>
      <c r="S476" s="4445"/>
      <c r="T476" s="4446">
        <v>168</v>
      </c>
      <c r="U476" s="4446"/>
      <c r="V476" s="4446"/>
      <c r="W476" s="4446"/>
      <c r="X476" s="4446"/>
      <c r="Y476" s="4447">
        <f t="shared" si="1"/>
        <v>1008</v>
      </c>
      <c r="Z476" s="4446"/>
      <c r="AA476" s="4446"/>
      <c r="AB476" s="4446"/>
      <c r="AC476" s="4446"/>
      <c r="AD476" s="4447">
        <f t="shared" si="5"/>
        <v>6</v>
      </c>
      <c r="AE476" s="4446"/>
      <c r="AF476" s="4446"/>
      <c r="AG476" s="4446"/>
      <c r="AH476" s="4448"/>
      <c r="AI476" s="4449">
        <f t="shared" si="2"/>
        <v>1</v>
      </c>
      <c r="AJ476" s="4450"/>
      <c r="AK476" s="4450"/>
      <c r="AL476" s="4450"/>
      <c r="AM476" s="4451"/>
      <c r="AN476" s="4292"/>
      <c r="AO476" s="4292"/>
      <c r="AP476" s="4292"/>
      <c r="AQ476" s="4292"/>
      <c r="AR476" s="4292"/>
      <c r="AS476" s="4292"/>
      <c r="AT476" s="4292"/>
      <c r="AU476" s="4292"/>
      <c r="AV476" s="4292"/>
      <c r="AW476" s="4292"/>
      <c r="AX476" s="4292"/>
      <c r="AY476" s="4292"/>
      <c r="AZ476" s="4292"/>
      <c r="BA476" s="4292"/>
      <c r="BB476" s="4292"/>
      <c r="BC476" s="4292"/>
      <c r="BD476" s="4292"/>
      <c r="BE476" s="4292"/>
      <c r="BF476" s="4292"/>
      <c r="BG476" s="4292"/>
      <c r="BH476" s="4292"/>
      <c r="BI476" s="4292"/>
      <c r="BJ476" s="4292"/>
      <c r="BK476" s="4292"/>
      <c r="BL476" s="4292"/>
      <c r="BM476" s="4292"/>
      <c r="BN476" s="4292"/>
      <c r="BO476" s="4292"/>
      <c r="BP476" s="4292"/>
      <c r="BQ476" s="4292"/>
      <c r="BR476" s="4292"/>
      <c r="BS476" s="4292"/>
      <c r="BT476" s="4292"/>
      <c r="BU476" s="4292"/>
      <c r="BV476" s="4292"/>
      <c r="BW476" s="4292"/>
      <c r="BX476" s="4292"/>
      <c r="BY476" s="4292"/>
      <c r="BZ476" s="4292"/>
      <c r="CA476" s="4292"/>
      <c r="CB476" s="4292"/>
      <c r="CC476" s="4292"/>
      <c r="CD476" s="4292"/>
      <c r="CE476" s="4292"/>
      <c r="CF476" s="4292"/>
      <c r="CG476" s="4292"/>
      <c r="CH476" s="4292"/>
      <c r="CI476" s="4292"/>
      <c r="CJ476" s="4292"/>
      <c r="CK476" s="4292"/>
      <c r="CL476" s="4292"/>
      <c r="CM476" s="4292"/>
      <c r="CN476" s="4292"/>
      <c r="CO476" s="4292"/>
      <c r="CP476" s="4292"/>
      <c r="CQ476" s="4292"/>
      <c r="CR476" s="4292"/>
      <c r="CS476" s="4292"/>
      <c r="CT476" s="4292"/>
      <c r="CU476" s="4292"/>
      <c r="CV476" s="4292"/>
      <c r="CW476" s="4292"/>
      <c r="CX476" s="4292"/>
      <c r="CY476" s="4292"/>
      <c r="CZ476" s="4292"/>
      <c r="DA476" s="4292"/>
      <c r="DB476" s="4292"/>
      <c r="DC476" s="4292"/>
      <c r="DD476" s="4292"/>
      <c r="DE476" s="4292"/>
      <c r="DF476" s="4292"/>
      <c r="DG476" s="4292"/>
      <c r="DH476" s="4292"/>
      <c r="DI476" s="4292"/>
      <c r="DJ476" s="4292"/>
      <c r="DK476" s="4292"/>
      <c r="DL476" s="4292"/>
      <c r="DM476" s="4292"/>
      <c r="DN476" s="4292"/>
      <c r="DO476" s="4292"/>
      <c r="DP476" s="4292"/>
      <c r="DQ476" s="4292"/>
      <c r="DR476" s="4292"/>
      <c r="DS476" s="4292"/>
    </row>
    <row r="477" s="4133" customFormat="1" ht="19.5" customHeight="1" spans="1:123">
      <c r="A477" s="4452">
        <f t="shared" si="7"/>
        <v>9</v>
      </c>
      <c r="B477" s="4453"/>
      <c r="C477" s="4453"/>
      <c r="D477" s="4441">
        <f t="shared" si="8"/>
        <v>2025</v>
      </c>
      <c r="E477" s="4441"/>
      <c r="F477" s="4441"/>
      <c r="G477" s="4442"/>
      <c r="H477" s="4443">
        <v>6</v>
      </c>
      <c r="I477" s="4443"/>
      <c r="J477" s="4443"/>
      <c r="K477" s="4443"/>
      <c r="L477" s="4443"/>
      <c r="M477" s="4443"/>
      <c r="N477" s="4444">
        <v>1000</v>
      </c>
      <c r="O477" s="4445"/>
      <c r="P477" s="4445"/>
      <c r="Q477" s="4445"/>
      <c r="R477" s="4445"/>
      <c r="S477" s="4445"/>
      <c r="T477" s="4446">
        <v>176</v>
      </c>
      <c r="U477" s="4446"/>
      <c r="V477" s="4446"/>
      <c r="W477" s="4446"/>
      <c r="X477" s="4446"/>
      <c r="Y477" s="4447">
        <f t="shared" si="1"/>
        <v>1056</v>
      </c>
      <c r="Z477" s="4446"/>
      <c r="AA477" s="4446"/>
      <c r="AB477" s="4446"/>
      <c r="AC477" s="4446"/>
      <c r="AD477" s="4447">
        <f t="shared" si="5"/>
        <v>5.68181818181818</v>
      </c>
      <c r="AE477" s="4446"/>
      <c r="AF477" s="4446"/>
      <c r="AG477" s="4446"/>
      <c r="AH477" s="4448"/>
      <c r="AI477" s="4449">
        <f t="shared" si="2"/>
        <v>1</v>
      </c>
      <c r="AJ477" s="4450"/>
      <c r="AK477" s="4450"/>
      <c r="AL477" s="4450"/>
      <c r="AM477" s="4451"/>
      <c r="AN477" s="4292"/>
      <c r="AO477" s="4292"/>
      <c r="AP477" s="4292"/>
      <c r="AQ477" s="4292"/>
      <c r="AR477" s="4292"/>
      <c r="AS477" s="4292"/>
      <c r="AT477" s="4292"/>
      <c r="AU477" s="4292"/>
      <c r="AV477" s="4292"/>
      <c r="AW477" s="4292"/>
      <c r="AX477" s="4292"/>
      <c r="AY477" s="4292"/>
      <c r="AZ477" s="4292"/>
      <c r="BA477" s="4292"/>
      <c r="BB477" s="4292"/>
      <c r="BC477" s="4292"/>
      <c r="BD477" s="4292"/>
      <c r="BE477" s="4292"/>
      <c r="BF477" s="4292"/>
      <c r="BG477" s="4292"/>
      <c r="BH477" s="4292"/>
      <c r="BI477" s="4292"/>
      <c r="BJ477" s="4292"/>
      <c r="BK477" s="4292"/>
      <c r="BL477" s="4292"/>
      <c r="BM477" s="4292"/>
      <c r="BN477" s="4292"/>
      <c r="BO477" s="4292"/>
      <c r="BP477" s="4292"/>
      <c r="BQ477" s="4292"/>
      <c r="BR477" s="4292"/>
      <c r="BS477" s="4292"/>
      <c r="BT477" s="4292"/>
      <c r="BU477" s="4292"/>
      <c r="BV477" s="4292"/>
      <c r="BW477" s="4292"/>
      <c r="BX477" s="4292"/>
      <c r="BY477" s="4292"/>
      <c r="BZ477" s="4292"/>
      <c r="CA477" s="4292"/>
      <c r="CB477" s="4292"/>
      <c r="CC477" s="4292"/>
      <c r="CD477" s="4292"/>
      <c r="CE477" s="4292"/>
      <c r="CF477" s="4292"/>
      <c r="CG477" s="4292"/>
      <c r="CH477" s="4292"/>
      <c r="CI477" s="4292"/>
      <c r="CJ477" s="4292"/>
      <c r="CK477" s="4292"/>
      <c r="CL477" s="4292"/>
      <c r="CM477" s="4292"/>
      <c r="CN477" s="4292"/>
      <c r="CO477" s="4292"/>
      <c r="CP477" s="4292"/>
      <c r="CQ477" s="4292"/>
      <c r="CR477" s="4292"/>
      <c r="CS477" s="4292"/>
      <c r="CT477" s="4292"/>
      <c r="CU477" s="4292"/>
      <c r="CV477" s="4292"/>
      <c r="CW477" s="4292"/>
      <c r="CX477" s="4292"/>
      <c r="CY477" s="4292"/>
      <c r="CZ477" s="4292"/>
      <c r="DA477" s="4292"/>
      <c r="DB477" s="4292"/>
      <c r="DC477" s="4292"/>
      <c r="DD477" s="4292"/>
      <c r="DE477" s="4292"/>
      <c r="DF477" s="4292"/>
      <c r="DG477" s="4292"/>
      <c r="DH477" s="4292"/>
      <c r="DI477" s="4292"/>
      <c r="DJ477" s="4292"/>
      <c r="DK477" s="4292"/>
      <c r="DL477" s="4292"/>
      <c r="DM477" s="4292"/>
      <c r="DN477" s="4292"/>
      <c r="DO477" s="4292"/>
      <c r="DP477" s="4292"/>
      <c r="DQ477" s="4292"/>
      <c r="DR477" s="4292"/>
      <c r="DS477" s="4292"/>
    </row>
    <row r="478" s="4133" customFormat="1" ht="19.5" customHeight="1" spans="1:123">
      <c r="A478" s="4452">
        <f t="shared" si="7"/>
        <v>10</v>
      </c>
      <c r="B478" s="4453"/>
      <c r="C478" s="4453"/>
      <c r="D478" s="4441">
        <f t="shared" si="8"/>
        <v>2025</v>
      </c>
      <c r="E478" s="4441"/>
      <c r="F478" s="4441"/>
      <c r="G478" s="4442"/>
      <c r="H478" s="4443">
        <v>6</v>
      </c>
      <c r="I478" s="4443"/>
      <c r="J478" s="4443"/>
      <c r="K478" s="4443"/>
      <c r="L478" s="4443"/>
      <c r="M478" s="4443"/>
      <c r="N478" s="4444">
        <v>1104</v>
      </c>
      <c r="O478" s="4445"/>
      <c r="P478" s="4445"/>
      <c r="Q478" s="4445"/>
      <c r="R478" s="4445"/>
      <c r="S478" s="4445"/>
      <c r="T478" s="4446">
        <v>184</v>
      </c>
      <c r="U478" s="4446"/>
      <c r="V478" s="4446"/>
      <c r="W478" s="4446"/>
      <c r="X478" s="4446"/>
      <c r="Y478" s="4447">
        <f t="shared" si="1"/>
        <v>1104</v>
      </c>
      <c r="Z478" s="4446"/>
      <c r="AA478" s="4446"/>
      <c r="AB478" s="4446"/>
      <c r="AC478" s="4446"/>
      <c r="AD478" s="4447">
        <f t="shared" si="5"/>
        <v>6</v>
      </c>
      <c r="AE478" s="4446"/>
      <c r="AF478" s="4446"/>
      <c r="AG478" s="4446"/>
      <c r="AH478" s="4448"/>
      <c r="AI478" s="4449">
        <f t="shared" si="2"/>
        <v>1</v>
      </c>
      <c r="AJ478" s="4450"/>
      <c r="AK478" s="4450"/>
      <c r="AL478" s="4450"/>
      <c r="AM478" s="4451"/>
      <c r="AN478" s="4292"/>
      <c r="AO478" s="4292"/>
      <c r="AP478" s="4292"/>
      <c r="AQ478" s="4292"/>
      <c r="AR478" s="4292"/>
      <c r="AS478" s="4292"/>
      <c r="AT478" s="4292"/>
      <c r="AU478" s="4292"/>
      <c r="AV478" s="4292"/>
      <c r="AW478" s="4292"/>
      <c r="AX478" s="4292"/>
      <c r="AY478" s="4292"/>
      <c r="AZ478" s="4292"/>
      <c r="BA478" s="4292"/>
      <c r="BB478" s="4292"/>
      <c r="BC478" s="4292"/>
      <c r="BD478" s="4292"/>
      <c r="BE478" s="4292"/>
      <c r="BF478" s="4292"/>
      <c r="BG478" s="4292"/>
      <c r="BH478" s="4292"/>
      <c r="BI478" s="4292"/>
      <c r="BJ478" s="4292"/>
      <c r="BK478" s="4292"/>
      <c r="BL478" s="4292"/>
      <c r="BM478" s="4292"/>
      <c r="BN478" s="4292"/>
      <c r="BO478" s="4292"/>
      <c r="BP478" s="4292"/>
      <c r="BQ478" s="4292"/>
      <c r="BR478" s="4292"/>
      <c r="BS478" s="4292"/>
      <c r="BT478" s="4292"/>
      <c r="BU478" s="4292"/>
      <c r="BV478" s="4292"/>
      <c r="BW478" s="4292"/>
      <c r="BX478" s="4292"/>
      <c r="BY478" s="4292"/>
      <c r="BZ478" s="4292"/>
      <c r="CA478" s="4292"/>
      <c r="CB478" s="4292"/>
      <c r="CC478" s="4292"/>
      <c r="CD478" s="4292"/>
      <c r="CE478" s="4292"/>
      <c r="CF478" s="4292"/>
      <c r="CG478" s="4292"/>
      <c r="CH478" s="4292"/>
      <c r="CI478" s="4292"/>
      <c r="CJ478" s="4292"/>
      <c r="CK478" s="4292"/>
      <c r="CL478" s="4292"/>
      <c r="CM478" s="4292"/>
      <c r="CN478" s="4292"/>
      <c r="CO478" s="4292"/>
      <c r="CP478" s="4292"/>
      <c r="CQ478" s="4292"/>
      <c r="CR478" s="4292"/>
      <c r="CS478" s="4292"/>
      <c r="CT478" s="4292"/>
      <c r="CU478" s="4292"/>
      <c r="CV478" s="4292"/>
      <c r="CW478" s="4292"/>
      <c r="CX478" s="4292"/>
      <c r="CY478" s="4292"/>
      <c r="CZ478" s="4292"/>
      <c r="DA478" s="4292"/>
      <c r="DB478" s="4292"/>
      <c r="DC478" s="4292"/>
      <c r="DD478" s="4292"/>
      <c r="DE478" s="4292"/>
      <c r="DF478" s="4292"/>
      <c r="DG478" s="4292"/>
      <c r="DH478" s="4292"/>
      <c r="DI478" s="4292"/>
      <c r="DJ478" s="4292"/>
      <c r="DK478" s="4292"/>
      <c r="DL478" s="4292"/>
      <c r="DM478" s="4292"/>
      <c r="DN478" s="4292"/>
      <c r="DO478" s="4292"/>
      <c r="DP478" s="4292"/>
      <c r="DQ478" s="4292"/>
      <c r="DR478" s="4292"/>
      <c r="DS478" s="4292"/>
    </row>
    <row r="479" s="4133" customFormat="1" ht="19.5" customHeight="1" spans="1:123">
      <c r="A479" s="4452">
        <f t="shared" si="7"/>
        <v>11</v>
      </c>
      <c r="B479" s="4453"/>
      <c r="C479" s="4453"/>
      <c r="D479" s="4441">
        <f t="shared" si="8"/>
        <v>2025</v>
      </c>
      <c r="E479" s="4441"/>
      <c r="F479" s="4441"/>
      <c r="G479" s="4442"/>
      <c r="H479" s="4443">
        <v>5</v>
      </c>
      <c r="I479" s="4443"/>
      <c r="J479" s="4443"/>
      <c r="K479" s="4443"/>
      <c r="L479" s="4443"/>
      <c r="M479" s="4443"/>
      <c r="N479" s="4444">
        <v>800</v>
      </c>
      <c r="O479" s="4445"/>
      <c r="P479" s="4445"/>
      <c r="Q479" s="4445"/>
      <c r="R479" s="4445"/>
      <c r="S479" s="4445"/>
      <c r="T479" s="4446">
        <v>160</v>
      </c>
      <c r="U479" s="4446"/>
      <c r="V479" s="4446"/>
      <c r="W479" s="4446"/>
      <c r="X479" s="4446"/>
      <c r="Y479" s="4447">
        <f t="shared" si="1"/>
        <v>800</v>
      </c>
      <c r="Z479" s="4446"/>
      <c r="AA479" s="4446"/>
      <c r="AB479" s="4446"/>
      <c r="AC479" s="4446"/>
      <c r="AD479" s="4447">
        <f t="shared" si="5"/>
        <v>5</v>
      </c>
      <c r="AE479" s="4446"/>
      <c r="AF479" s="4446"/>
      <c r="AG479" s="4446"/>
      <c r="AH479" s="4448"/>
      <c r="AI479" s="4449">
        <f t="shared" si="2"/>
        <v>1</v>
      </c>
      <c r="AJ479" s="4450"/>
      <c r="AK479" s="4450"/>
      <c r="AL479" s="4450"/>
      <c r="AM479" s="4451"/>
      <c r="AN479" s="4292"/>
      <c r="AO479" s="4292"/>
      <c r="AP479" s="4292"/>
      <c r="AQ479" s="4292"/>
      <c r="AR479" s="4292"/>
      <c r="AS479" s="4292"/>
      <c r="AT479" s="4292"/>
      <c r="AU479" s="4292"/>
      <c r="AV479" s="4292"/>
      <c r="AW479" s="4292"/>
      <c r="AX479" s="4292"/>
      <c r="AY479" s="4292"/>
      <c r="AZ479" s="4292"/>
      <c r="BA479" s="4292"/>
      <c r="BB479" s="4292"/>
      <c r="BC479" s="4292"/>
      <c r="BD479" s="4292"/>
      <c r="BE479" s="4292"/>
      <c r="BF479" s="4292"/>
      <c r="BG479" s="4292"/>
      <c r="BH479" s="4292"/>
      <c r="BI479" s="4292"/>
      <c r="BJ479" s="4292"/>
      <c r="BK479" s="4292"/>
      <c r="BL479" s="4292"/>
      <c r="BM479" s="4292"/>
      <c r="BN479" s="4292"/>
      <c r="BO479" s="4292"/>
      <c r="BP479" s="4292"/>
      <c r="BQ479" s="4292"/>
      <c r="BR479" s="4292"/>
      <c r="BS479" s="4292"/>
      <c r="BT479" s="4292"/>
      <c r="BU479" s="4292"/>
      <c r="BV479" s="4292"/>
      <c r="BW479" s="4292"/>
      <c r="BX479" s="4292"/>
      <c r="BY479" s="4292"/>
      <c r="BZ479" s="4292"/>
      <c r="CA479" s="4292"/>
      <c r="CB479" s="4292"/>
      <c r="CC479" s="4292"/>
      <c r="CD479" s="4292"/>
      <c r="CE479" s="4292"/>
      <c r="CF479" s="4292"/>
      <c r="CG479" s="4292"/>
      <c r="CH479" s="4292"/>
      <c r="CI479" s="4292"/>
      <c r="CJ479" s="4292"/>
      <c r="CK479" s="4292"/>
      <c r="CL479" s="4292"/>
      <c r="CM479" s="4292"/>
      <c r="CN479" s="4292"/>
      <c r="CO479" s="4292"/>
      <c r="CP479" s="4292"/>
      <c r="CQ479" s="4292"/>
      <c r="CR479" s="4292"/>
      <c r="CS479" s="4292"/>
      <c r="CT479" s="4292"/>
      <c r="CU479" s="4292"/>
      <c r="CV479" s="4292"/>
      <c r="CW479" s="4292"/>
      <c r="CX479" s="4292"/>
      <c r="CY479" s="4292"/>
      <c r="CZ479" s="4292"/>
      <c r="DA479" s="4292"/>
      <c r="DB479" s="4292"/>
      <c r="DC479" s="4292"/>
      <c r="DD479" s="4292"/>
      <c r="DE479" s="4292"/>
      <c r="DF479" s="4292"/>
      <c r="DG479" s="4292"/>
      <c r="DH479" s="4292"/>
      <c r="DI479" s="4292"/>
      <c r="DJ479" s="4292"/>
      <c r="DK479" s="4292"/>
      <c r="DL479" s="4292"/>
      <c r="DM479" s="4292"/>
      <c r="DN479" s="4292"/>
      <c r="DO479" s="4292"/>
      <c r="DP479" s="4292"/>
      <c r="DQ479" s="4292"/>
      <c r="DR479" s="4292"/>
      <c r="DS479" s="4292"/>
    </row>
    <row r="480" s="4133" customFormat="1" ht="19.5" customHeight="1" spans="1:123">
      <c r="A480" s="4452">
        <f t="shared" si="7"/>
        <v>12</v>
      </c>
      <c r="B480" s="4453"/>
      <c r="C480" s="4453"/>
      <c r="D480" s="4441">
        <f t="shared" si="8"/>
        <v>2025</v>
      </c>
      <c r="E480" s="4441"/>
      <c r="F480" s="4441"/>
      <c r="G480" s="4442"/>
      <c r="H480" s="4443">
        <v>5</v>
      </c>
      <c r="I480" s="4443"/>
      <c r="J480" s="4443"/>
      <c r="K480" s="4443"/>
      <c r="L480" s="4443"/>
      <c r="M480" s="4443"/>
      <c r="N480" s="4444">
        <v>920</v>
      </c>
      <c r="O480" s="4445"/>
      <c r="P480" s="4445"/>
      <c r="Q480" s="4445"/>
      <c r="R480" s="4445"/>
      <c r="S480" s="4445"/>
      <c r="T480" s="4446">
        <v>184</v>
      </c>
      <c r="U480" s="4446"/>
      <c r="V480" s="4446"/>
      <c r="W480" s="4446"/>
      <c r="X480" s="4446"/>
      <c r="Y480" s="4447">
        <f t="shared" si="1"/>
        <v>920</v>
      </c>
      <c r="Z480" s="4446"/>
      <c r="AA480" s="4446"/>
      <c r="AB480" s="4446"/>
      <c r="AC480" s="4446"/>
      <c r="AD480" s="4447">
        <f t="shared" si="5"/>
        <v>5</v>
      </c>
      <c r="AE480" s="4446"/>
      <c r="AF480" s="4446"/>
      <c r="AG480" s="4446"/>
      <c r="AH480" s="4448"/>
      <c r="AI480" s="4449">
        <f t="shared" si="2"/>
        <v>1</v>
      </c>
      <c r="AJ480" s="4450"/>
      <c r="AK480" s="4450"/>
      <c r="AL480" s="4450"/>
      <c r="AM480" s="4451"/>
      <c r="AN480" s="4292"/>
      <c r="AO480" s="4292"/>
      <c r="AP480" s="4292"/>
      <c r="AQ480" s="4292"/>
      <c r="AR480" s="4292"/>
      <c r="AS480" s="4292"/>
      <c r="AT480" s="4292"/>
      <c r="AU480" s="4292"/>
      <c r="AV480" s="4292"/>
      <c r="AW480" s="4292"/>
      <c r="AX480" s="4292"/>
      <c r="AY480" s="4292"/>
      <c r="AZ480" s="4292"/>
      <c r="BA480" s="4292"/>
      <c r="BB480" s="4292"/>
      <c r="BC480" s="4292"/>
      <c r="BD480" s="4292"/>
      <c r="BE480" s="4292"/>
      <c r="BF480" s="4292"/>
      <c r="BG480" s="4292"/>
      <c r="BH480" s="4292"/>
      <c r="BI480" s="4292"/>
      <c r="BJ480" s="4292"/>
      <c r="BK480" s="4292"/>
      <c r="BL480" s="4292"/>
      <c r="BM480" s="4292"/>
      <c r="BN480" s="4292"/>
      <c r="BO480" s="4292"/>
      <c r="BP480" s="4292"/>
      <c r="BQ480" s="4292"/>
      <c r="BR480" s="4292"/>
      <c r="BS480" s="4292"/>
      <c r="BT480" s="4292"/>
      <c r="BU480" s="4292"/>
      <c r="BV480" s="4292"/>
      <c r="BW480" s="4292"/>
      <c r="BX480" s="4292"/>
      <c r="BY480" s="4292"/>
      <c r="BZ480" s="4292"/>
      <c r="CA480" s="4292"/>
      <c r="CB480" s="4292"/>
      <c r="CC480" s="4292"/>
      <c r="CD480" s="4292"/>
      <c r="CE480" s="4292"/>
      <c r="CF480" s="4292"/>
      <c r="CG480" s="4292"/>
      <c r="CH480" s="4292"/>
      <c r="CI480" s="4292"/>
      <c r="CJ480" s="4292"/>
      <c r="CK480" s="4292"/>
      <c r="CL480" s="4292"/>
      <c r="CM480" s="4292"/>
      <c r="CN480" s="4292"/>
      <c r="CO480" s="4292"/>
      <c r="CP480" s="4292"/>
      <c r="CQ480" s="4292"/>
      <c r="CR480" s="4292"/>
      <c r="CS480" s="4292"/>
      <c r="CT480" s="4292"/>
      <c r="CU480" s="4292"/>
      <c r="CV480" s="4292"/>
      <c r="CW480" s="4292"/>
      <c r="CX480" s="4292"/>
      <c r="CY480" s="4292"/>
      <c r="CZ480" s="4292"/>
      <c r="DA480" s="4292"/>
      <c r="DB480" s="4292"/>
      <c r="DC480" s="4292"/>
      <c r="DD480" s="4292"/>
      <c r="DE480" s="4292"/>
      <c r="DF480" s="4292"/>
      <c r="DG480" s="4292"/>
      <c r="DH480" s="4292"/>
      <c r="DI480" s="4292"/>
      <c r="DJ480" s="4292"/>
      <c r="DK480" s="4292"/>
      <c r="DL480" s="4292"/>
      <c r="DM480" s="4292"/>
      <c r="DN480" s="4292"/>
      <c r="DO480" s="4292"/>
      <c r="DP480" s="4292"/>
      <c r="DQ480" s="4292"/>
      <c r="DR480" s="4292"/>
      <c r="DS480" s="4292"/>
    </row>
    <row r="481" s="4133" customFormat="1" ht="19.5" customHeight="1" spans="1:123">
      <c r="A481" s="4344" t="s">
        <v>5151</v>
      </c>
      <c r="B481" s="4344"/>
      <c r="C481" s="4344"/>
      <c r="D481" s="4344"/>
      <c r="E481" s="4344"/>
      <c r="F481" s="4344"/>
      <c r="G481" s="4344"/>
      <c r="H481" s="4454">
        <f>IFERROR(ROUND(IF(SUM(H469:M480)=0,AN467,ROUND(IF(SUM(H469:M480)/$AI$481=0,H469,SUM(H469:M480)/$AI$481),0)),0),0)</f>
        <v>6</v>
      </c>
      <c r="I481" s="4455"/>
      <c r="J481" s="4455"/>
      <c r="K481" s="4455"/>
      <c r="L481" s="4455"/>
      <c r="M481" s="4455"/>
      <c r="N481" s="4456">
        <f>SUM(N469:S480)</f>
        <v>12008</v>
      </c>
      <c r="O481" s="4457"/>
      <c r="P481" s="4457"/>
      <c r="Q481" s="4457"/>
      <c r="R481" s="4457"/>
      <c r="S481" s="4457"/>
      <c r="T481" s="4458"/>
      <c r="U481" s="4458"/>
      <c r="V481" s="4458"/>
      <c r="W481" s="4458"/>
      <c r="X481" s="4458"/>
      <c r="Y481" s="4459">
        <f>SUM(Y469:AC480)</f>
        <v>12184</v>
      </c>
      <c r="Z481" s="4460"/>
      <c r="AA481" s="4460"/>
      <c r="AB481" s="4460"/>
      <c r="AC481" s="4460"/>
      <c r="AD481" s="4461">
        <f>IFERROR(ROUND(IF(SUM(AD469:AH480)=0,AN467,ROUND(IF(SUM(AD469:AH480)/$AI$481=0,H469,SUM(AD469:AH480)/$AI$481),0)),0),0)</f>
        <v>6</v>
      </c>
      <c r="AE481" s="4461"/>
      <c r="AF481" s="4461"/>
      <c r="AG481" s="4461"/>
      <c r="AH481" s="4462"/>
      <c r="AI481" s="4463">
        <f>SUM(AI469:AI480)</f>
        <v>12</v>
      </c>
      <c r="AJ481" s="4464"/>
      <c r="AK481" s="4464"/>
      <c r="AL481" s="4464"/>
      <c r="AM481" s="4464"/>
      <c r="AN481" s="4292"/>
      <c r="AO481" s="4292"/>
      <c r="AP481" s="4292"/>
      <c r="AQ481" s="4292"/>
      <c r="AR481" s="4292"/>
      <c r="AS481" s="4292"/>
      <c r="AT481" s="4292"/>
      <c r="AU481" s="4292"/>
      <c r="AV481" s="4292"/>
      <c r="AW481" s="4292"/>
      <c r="AX481" s="4292"/>
      <c r="AY481" s="4292"/>
      <c r="AZ481" s="4292"/>
      <c r="BA481" s="4292"/>
      <c r="BB481" s="4292"/>
      <c r="BC481" s="4292"/>
      <c r="BD481" s="4292"/>
      <c r="BE481" s="4292"/>
      <c r="BF481" s="4292"/>
      <c r="BG481" s="4292"/>
      <c r="BH481" s="4292"/>
      <c r="BI481" s="4292"/>
      <c r="BJ481" s="4292"/>
      <c r="BK481" s="4292"/>
      <c r="BL481" s="4292"/>
      <c r="BM481" s="4292"/>
      <c r="BN481" s="4292"/>
      <c r="BO481" s="4292"/>
      <c r="BP481" s="4292"/>
      <c r="BQ481" s="4292"/>
      <c r="BR481" s="4292"/>
      <c r="BS481" s="4292"/>
      <c r="BT481" s="4292"/>
      <c r="BU481" s="4292"/>
      <c r="BV481" s="4292"/>
      <c r="BW481" s="4292"/>
      <c r="BX481" s="4292"/>
      <c r="BY481" s="4292"/>
      <c r="BZ481" s="4292"/>
      <c r="CA481" s="4292"/>
      <c r="CB481" s="4292"/>
      <c r="CC481" s="4292"/>
      <c r="CD481" s="4292"/>
      <c r="CE481" s="4292"/>
      <c r="CF481" s="4292"/>
      <c r="CG481" s="4292"/>
      <c r="CH481" s="4292"/>
      <c r="CI481" s="4292"/>
      <c r="CJ481" s="4292"/>
      <c r="CK481" s="4292"/>
      <c r="CL481" s="4292"/>
      <c r="CM481" s="4292"/>
      <c r="CN481" s="4292"/>
      <c r="CO481" s="4292"/>
      <c r="CP481" s="4292"/>
      <c r="CQ481" s="4292"/>
      <c r="CR481" s="4292"/>
      <c r="CS481" s="4292"/>
      <c r="CT481" s="4292"/>
      <c r="CU481" s="4292"/>
      <c r="CV481" s="4292"/>
      <c r="CW481" s="4292"/>
      <c r="CX481" s="4292"/>
      <c r="CY481" s="4292"/>
      <c r="CZ481" s="4292"/>
      <c r="DA481" s="4292"/>
      <c r="DB481" s="4292"/>
      <c r="DC481" s="4292"/>
      <c r="DD481" s="4292"/>
      <c r="DE481" s="4292"/>
      <c r="DF481" s="4292"/>
      <c r="DG481" s="4292"/>
      <c r="DH481" s="4292"/>
      <c r="DI481" s="4292"/>
      <c r="DJ481" s="4292"/>
      <c r="DK481" s="4292"/>
      <c r="DL481" s="4292"/>
      <c r="DM481" s="4292"/>
      <c r="DN481" s="4292"/>
      <c r="DO481" s="4292"/>
      <c r="DP481" s="4292"/>
      <c r="DQ481" s="4292"/>
      <c r="DR481" s="4292"/>
      <c r="DS481" s="4292"/>
    </row>
    <row r="482" s="4133" customFormat="1" ht="18.75" spans="1:123">
      <c r="A482" s="4424"/>
      <c r="B482" s="4424"/>
      <c r="C482" s="4424"/>
      <c r="D482" s="4424"/>
      <c r="E482" s="4424"/>
      <c r="F482" s="4424"/>
      <c r="G482" s="4424"/>
      <c r="H482" s="4424"/>
      <c r="I482" s="4424"/>
      <c r="J482" s="4424"/>
      <c r="K482" s="4424"/>
      <c r="L482" s="4424"/>
      <c r="M482" s="4424"/>
      <c r="N482" s="4424"/>
      <c r="O482" s="4424"/>
      <c r="P482" s="4424"/>
      <c r="Q482" s="4424"/>
      <c r="R482" s="4424"/>
      <c r="S482" s="4424"/>
      <c r="T482" s="4424"/>
      <c r="U482" s="4424"/>
      <c r="V482" s="4424"/>
      <c r="W482" s="4424"/>
      <c r="X482" s="4424"/>
      <c r="Y482" s="4424"/>
      <c r="Z482" s="4424"/>
      <c r="AA482" s="4424"/>
      <c r="AB482" s="4424"/>
      <c r="AC482" s="4424"/>
      <c r="AD482" s="4424"/>
      <c r="AE482" s="4424"/>
      <c r="AF482" s="4424"/>
      <c r="AG482" s="4424"/>
      <c r="AH482" s="4424"/>
      <c r="AI482" s="4424"/>
      <c r="AJ482" s="4424"/>
      <c r="AK482" s="4424"/>
      <c r="AL482" s="4292"/>
      <c r="AM482" s="4292"/>
      <c r="AN482" s="4292"/>
      <c r="AO482" s="4292"/>
      <c r="AP482" s="4292"/>
      <c r="AQ482" s="4292"/>
      <c r="AR482" s="4292"/>
      <c r="AS482" s="4292"/>
      <c r="AT482" s="4292"/>
      <c r="AU482" s="4292"/>
      <c r="AV482" s="4292"/>
      <c r="AW482" s="4292"/>
      <c r="AX482" s="4292"/>
      <c r="AY482" s="4292"/>
      <c r="AZ482" s="4292"/>
      <c r="BA482" s="4292"/>
      <c r="BB482" s="4292"/>
      <c r="BC482" s="4292"/>
      <c r="BD482" s="4292"/>
      <c r="BE482" s="4292"/>
      <c r="BF482" s="4292"/>
      <c r="BG482" s="4292"/>
      <c r="BH482" s="4292"/>
      <c r="BI482" s="4292"/>
      <c r="BJ482" s="4292"/>
      <c r="BK482" s="4292"/>
      <c r="BL482" s="4292"/>
      <c r="BM482" s="4292"/>
      <c r="BN482" s="4292"/>
      <c r="BO482" s="4292"/>
      <c r="BP482" s="4292"/>
      <c r="BQ482" s="4292"/>
      <c r="BR482" s="4292"/>
      <c r="BS482" s="4292"/>
      <c r="BT482" s="4292"/>
      <c r="BU482" s="4292"/>
      <c r="BV482" s="4292"/>
      <c r="BW482" s="4292"/>
      <c r="BX482" s="4292"/>
      <c r="BY482" s="4292"/>
      <c r="BZ482" s="4292"/>
      <c r="CA482" s="4292"/>
      <c r="CB482" s="4292"/>
      <c r="CC482" s="4292"/>
      <c r="CD482" s="4292"/>
      <c r="CE482" s="4292"/>
      <c r="CF482" s="4292"/>
      <c r="CG482" s="4292"/>
      <c r="CH482" s="4292"/>
      <c r="CI482" s="4292"/>
      <c r="CJ482" s="4292"/>
      <c r="CK482" s="4292"/>
      <c r="CL482" s="4292"/>
      <c r="CM482" s="4292"/>
      <c r="CN482" s="4292"/>
      <c r="CO482" s="4292"/>
      <c r="CP482" s="4292"/>
      <c r="CQ482" s="4292"/>
      <c r="CR482" s="4292"/>
      <c r="CS482" s="4292"/>
      <c r="CT482" s="4292"/>
      <c r="CU482" s="4292"/>
      <c r="CV482" s="4292"/>
      <c r="CW482" s="4292"/>
      <c r="CX482" s="4292"/>
      <c r="CY482" s="4292"/>
      <c r="CZ482" s="4292"/>
      <c r="DA482" s="4292"/>
      <c r="DB482" s="4292"/>
      <c r="DC482" s="4292"/>
      <c r="DD482" s="4292"/>
      <c r="DE482" s="4292"/>
      <c r="DF482" s="4292"/>
      <c r="DG482" s="4292"/>
      <c r="DH482" s="4292"/>
      <c r="DI482" s="4292"/>
      <c r="DJ482" s="4292"/>
      <c r="DK482" s="4292"/>
      <c r="DL482" s="4292"/>
      <c r="DM482" s="4292"/>
      <c r="DN482" s="4292"/>
      <c r="DO482" s="4292"/>
      <c r="DP482" s="4292"/>
      <c r="DQ482" s="4292"/>
      <c r="DR482" s="4292"/>
      <c r="DS482" s="4292"/>
    </row>
    <row r="483" s="4134" customFormat="1" ht="17.25" customHeight="1" spans="1:123">
      <c r="A483" s="4424" t="s">
        <v>4676</v>
      </c>
      <c r="B483" s="4303"/>
      <c r="C483" s="4303"/>
      <c r="D483" s="4303"/>
      <c r="E483" s="4465" t="str">
        <f ca="1">PeriodOd&amp;"."&amp;" - "&amp;PeriodDo</f>
        <v>01.01.2025. - 31.12.2025</v>
      </c>
      <c r="F483" s="4465"/>
      <c r="G483" s="4465"/>
      <c r="H483" s="4465"/>
      <c r="I483" s="4465"/>
      <c r="J483" s="4465"/>
      <c r="K483" s="4465"/>
      <c r="L483" s="4465"/>
      <c r="M483" s="4465"/>
      <c r="N483" s="4303"/>
      <c r="O483" s="4303"/>
      <c r="P483" s="4303"/>
      <c r="Q483" s="4303"/>
      <c r="R483" s="4466"/>
      <c r="S483" s="4303"/>
      <c r="T483" s="4303"/>
      <c r="U483" s="4303"/>
      <c r="V483" s="4303"/>
      <c r="W483" s="4303"/>
      <c r="X483" s="4467"/>
      <c r="Y483" s="4467"/>
      <c r="Z483" s="4467"/>
      <c r="AA483" s="4467"/>
      <c r="AB483" s="4467"/>
      <c r="AC483" s="4303"/>
      <c r="AD483" s="4303"/>
      <c r="AE483" s="4303"/>
      <c r="AF483" s="4303"/>
      <c r="AG483" s="4303"/>
      <c r="AH483" s="4303"/>
      <c r="AI483" s="4303"/>
      <c r="AJ483" s="4303"/>
      <c r="AK483" s="4303"/>
      <c r="AL483" s="4303"/>
      <c r="AM483" s="4303"/>
      <c r="AN483" s="4303"/>
      <c r="AO483" s="4303"/>
      <c r="AP483" s="4303"/>
      <c r="AQ483" s="4303"/>
      <c r="AR483" s="4303"/>
      <c r="AS483" s="4303"/>
      <c r="AT483" s="4303"/>
      <c r="AU483" s="4303"/>
      <c r="AV483" s="4303"/>
      <c r="AW483" s="4303"/>
      <c r="AX483" s="4303"/>
      <c r="AY483" s="4303"/>
      <c r="AZ483" s="4303"/>
      <c r="BA483" s="4303"/>
      <c r="BB483" s="4303"/>
      <c r="BC483" s="4303"/>
      <c r="BD483" s="4303"/>
      <c r="BE483" s="4303"/>
      <c r="BF483" s="4303"/>
      <c r="BG483" s="4303"/>
      <c r="BH483" s="4303"/>
      <c r="BI483" s="4303"/>
      <c r="BJ483" s="4303"/>
      <c r="BK483" s="4303"/>
      <c r="BL483" s="4303"/>
      <c r="BM483" s="4303"/>
      <c r="BN483" s="4303"/>
      <c r="BO483" s="4303"/>
      <c r="BP483" s="4303"/>
      <c r="BQ483" s="4303"/>
      <c r="BR483" s="4303"/>
      <c r="BS483" s="4303"/>
      <c r="BT483" s="4303"/>
      <c r="BU483" s="4303"/>
      <c r="BV483" s="4303"/>
      <c r="BW483" s="4303"/>
      <c r="BX483" s="4303"/>
      <c r="BY483" s="4303"/>
      <c r="BZ483" s="4303"/>
      <c r="CA483" s="4303"/>
      <c r="CB483" s="4303"/>
      <c r="CC483" s="4303"/>
      <c r="CD483" s="4303"/>
      <c r="CE483" s="4303"/>
      <c r="CF483" s="4303"/>
      <c r="CG483" s="4303"/>
      <c r="CH483" s="4303"/>
      <c r="CI483" s="4303"/>
      <c r="CJ483" s="4303"/>
      <c r="CK483" s="4303"/>
      <c r="CL483" s="4303"/>
      <c r="CM483" s="4303"/>
      <c r="CN483" s="4303"/>
      <c r="CO483" s="4303"/>
      <c r="CP483" s="4303"/>
      <c r="CQ483" s="4303"/>
      <c r="CR483" s="4303"/>
      <c r="CS483" s="4303"/>
      <c r="CT483" s="4303"/>
      <c r="CU483" s="4303"/>
      <c r="CV483" s="4303"/>
      <c r="CW483" s="4303"/>
      <c r="CX483" s="4303"/>
      <c r="CY483" s="4303"/>
      <c r="CZ483" s="4303"/>
      <c r="DA483" s="4303"/>
      <c r="DB483" s="4303"/>
      <c r="DC483" s="4303"/>
      <c r="DD483" s="4303"/>
      <c r="DE483" s="4303"/>
      <c r="DF483" s="4303"/>
      <c r="DG483" s="4303"/>
      <c r="DH483" s="4303"/>
      <c r="DI483" s="4303"/>
      <c r="DJ483" s="4303"/>
      <c r="DK483" s="4303"/>
      <c r="DL483" s="4303"/>
      <c r="DM483" s="4303"/>
      <c r="DN483" s="4303"/>
      <c r="DO483" s="4303"/>
      <c r="DP483" s="4303"/>
      <c r="DQ483" s="4303"/>
      <c r="DR483" s="4303"/>
      <c r="DS483" s="4303"/>
    </row>
    <row r="484" s="4134" customFormat="1" ht="20.25" customHeight="1" spans="1:123">
      <c r="A484" s="4294" t="s">
        <v>5152</v>
      </c>
      <c r="B484" s="4294"/>
      <c r="C484" s="4294"/>
      <c r="D484" s="4294"/>
      <c r="E484" s="4294"/>
      <c r="F484" s="4294"/>
      <c r="G484" s="4294"/>
      <c r="H484" s="4409" t="s">
        <v>5153</v>
      </c>
      <c r="I484" s="4409"/>
      <c r="J484" s="4409"/>
      <c r="K484" s="4409"/>
      <c r="L484" s="4409"/>
      <c r="M484" s="4409"/>
      <c r="N484" s="4303"/>
      <c r="O484" s="4303"/>
      <c r="P484" s="4303"/>
      <c r="Q484" s="4303"/>
      <c r="R484" s="4466"/>
      <c r="S484" s="4303"/>
      <c r="T484" s="4303"/>
      <c r="U484" s="4303"/>
      <c r="V484" s="4303"/>
      <c r="W484" s="4303"/>
      <c r="X484" s="4303"/>
      <c r="Y484" s="4303"/>
      <c r="Z484" s="4303"/>
      <c r="AA484" s="4303"/>
      <c r="AB484" s="4303"/>
      <c r="AC484" s="4303"/>
      <c r="AD484" s="4303"/>
      <c r="AE484" s="4303"/>
      <c r="AF484" s="4303"/>
      <c r="AG484" s="4303"/>
      <c r="AH484" s="4303"/>
      <c r="AI484" s="4303"/>
      <c r="AJ484" s="4303"/>
      <c r="AK484" s="4303"/>
      <c r="AL484" s="4303"/>
      <c r="AM484" s="4303"/>
      <c r="AN484" s="4303"/>
      <c r="AO484" s="4303"/>
      <c r="AP484" s="4303"/>
      <c r="AQ484" s="4303"/>
      <c r="AR484" s="4303"/>
      <c r="AS484" s="4303"/>
      <c r="AT484" s="4303"/>
      <c r="AU484" s="4303"/>
      <c r="AV484" s="4303"/>
      <c r="AW484" s="4303"/>
      <c r="AX484" s="4303"/>
      <c r="AY484" s="4303"/>
      <c r="AZ484" s="4303"/>
      <c r="BA484" s="4303"/>
      <c r="BB484" s="4303"/>
      <c r="BC484" s="4303"/>
      <c r="BD484" s="4303"/>
      <c r="BE484" s="4303"/>
      <c r="BF484" s="4303"/>
      <c r="BG484" s="4303"/>
      <c r="BH484" s="4303"/>
      <c r="BI484" s="4303"/>
      <c r="BJ484" s="4303"/>
      <c r="BK484" s="4303"/>
      <c r="BL484" s="4303"/>
      <c r="BM484" s="4303"/>
      <c r="BN484" s="4303"/>
      <c r="BO484" s="4303"/>
      <c r="BP484" s="4303"/>
      <c r="BQ484" s="4303"/>
      <c r="BR484" s="4303"/>
      <c r="BS484" s="4303"/>
      <c r="BT484" s="4303"/>
      <c r="BU484" s="4303"/>
      <c r="BV484" s="4303"/>
      <c r="BW484" s="4303"/>
      <c r="BX484" s="4303"/>
      <c r="BY484" s="4303"/>
      <c r="BZ484" s="4303"/>
      <c r="CA484" s="4303"/>
      <c r="CB484" s="4303"/>
      <c r="CC484" s="4303"/>
      <c r="CD484" s="4303"/>
      <c r="CE484" s="4303"/>
      <c r="CF484" s="4303"/>
      <c r="CG484" s="4303"/>
      <c r="CH484" s="4303"/>
      <c r="CI484" s="4303"/>
      <c r="CJ484" s="4303"/>
      <c r="CK484" s="4303"/>
      <c r="CL484" s="4303"/>
      <c r="CM484" s="4303"/>
      <c r="CN484" s="4303"/>
      <c r="CO484" s="4303"/>
      <c r="CP484" s="4303"/>
      <c r="CQ484" s="4303"/>
      <c r="CR484" s="4303"/>
      <c r="CS484" s="4303"/>
      <c r="CT484" s="4303"/>
      <c r="CU484" s="4303"/>
      <c r="CV484" s="4303"/>
      <c r="CW484" s="4303"/>
      <c r="CX484" s="4303"/>
      <c r="CY484" s="4303"/>
      <c r="CZ484" s="4303"/>
      <c r="DA484" s="4303"/>
      <c r="DB484" s="4303"/>
      <c r="DC484" s="4303"/>
      <c r="DD484" s="4303"/>
      <c r="DE484" s="4303"/>
      <c r="DF484" s="4303"/>
      <c r="DG484" s="4303"/>
      <c r="DH484" s="4303"/>
      <c r="DI484" s="4303"/>
      <c r="DJ484" s="4303"/>
      <c r="DK484" s="4303"/>
      <c r="DL484" s="4303"/>
      <c r="DM484" s="4303"/>
      <c r="DN484" s="4303"/>
      <c r="DO484" s="4303"/>
      <c r="DP484" s="4303"/>
      <c r="DQ484" s="4303"/>
      <c r="DR484" s="4303"/>
      <c r="DS484" s="4303"/>
    </row>
    <row r="485" s="4134" customFormat="1" ht="17.25" customHeight="1" spans="1:123">
      <c r="A485" s="4468" t="s">
        <v>5154</v>
      </c>
      <c r="B485" s="4468"/>
      <c r="C485" s="4468"/>
      <c r="D485" s="4468"/>
      <c r="E485" s="4468"/>
      <c r="F485" s="4468"/>
      <c r="G485" s="4468"/>
      <c r="H485" s="4469">
        <f>UnosPod!F240</f>
        <v>87679</v>
      </c>
      <c r="I485" s="4469"/>
      <c r="J485" s="4469"/>
      <c r="K485" s="4469"/>
      <c r="L485" s="4469"/>
      <c r="M485" s="4469"/>
      <c r="N485" s="4303"/>
      <c r="O485" s="4303"/>
      <c r="P485" s="4303"/>
      <c r="Q485" s="4303"/>
      <c r="R485" s="4466"/>
      <c r="S485" s="4303"/>
      <c r="T485" s="4303"/>
      <c r="U485" s="4303"/>
      <c r="V485" s="4303"/>
      <c r="W485" s="4303"/>
      <c r="X485" s="4303"/>
      <c r="Y485" s="4303"/>
      <c r="Z485" s="4303"/>
      <c r="AA485" s="4303"/>
      <c r="AB485" s="4303"/>
      <c r="AC485" s="4303"/>
      <c r="AD485" s="4303"/>
      <c r="AE485" s="4303"/>
      <c r="AF485" s="4303"/>
      <c r="AG485" s="4303"/>
      <c r="AH485" s="4303"/>
      <c r="AI485" s="4303"/>
      <c r="AJ485" s="4303"/>
      <c r="AK485" s="4303"/>
      <c r="AL485" s="4303"/>
      <c r="AM485" s="4303"/>
      <c r="AN485" s="4303"/>
      <c r="AO485" s="4303"/>
      <c r="AP485" s="4303"/>
      <c r="AQ485" s="4303"/>
      <c r="AR485" s="4303"/>
      <c r="AS485" s="4303"/>
      <c r="AT485" s="4303"/>
      <c r="AU485" s="4303"/>
      <c r="AV485" s="4303"/>
      <c r="AW485" s="4303"/>
      <c r="AX485" s="4303"/>
      <c r="AY485" s="4303"/>
      <c r="AZ485" s="4303"/>
      <c r="BA485" s="4303"/>
      <c r="BB485" s="4303"/>
      <c r="BC485" s="4303"/>
      <c r="BD485" s="4303"/>
      <c r="BE485" s="4303"/>
      <c r="BF485" s="4303"/>
      <c r="BG485" s="4303"/>
      <c r="BH485" s="4303"/>
      <c r="BI485" s="4303"/>
      <c r="BJ485" s="4303"/>
      <c r="BK485" s="4303"/>
      <c r="BL485" s="4303"/>
      <c r="BM485" s="4303"/>
      <c r="BN485" s="4303"/>
      <c r="BO485" s="4303"/>
      <c r="BP485" s="4303"/>
      <c r="BQ485" s="4303"/>
      <c r="BR485" s="4303"/>
      <c r="BS485" s="4303"/>
      <c r="BT485" s="4303"/>
      <c r="BU485" s="4303"/>
      <c r="BV485" s="4303"/>
      <c r="BW485" s="4303"/>
      <c r="BX485" s="4303"/>
      <c r="BY485" s="4303"/>
      <c r="BZ485" s="4303"/>
      <c r="CA485" s="4303"/>
      <c r="CB485" s="4303"/>
      <c r="CC485" s="4303"/>
      <c r="CD485" s="4303"/>
      <c r="CE485" s="4303"/>
      <c r="CF485" s="4303"/>
      <c r="CG485" s="4303"/>
      <c r="CH485" s="4303"/>
      <c r="CI485" s="4303"/>
      <c r="CJ485" s="4303"/>
      <c r="CK485" s="4303"/>
      <c r="CL485" s="4303"/>
      <c r="CM485" s="4303"/>
      <c r="CN485" s="4303"/>
      <c r="CO485" s="4303"/>
      <c r="CP485" s="4303"/>
      <c r="CQ485" s="4303"/>
      <c r="CR485" s="4303"/>
      <c r="CS485" s="4303"/>
      <c r="CT485" s="4303"/>
      <c r="CU485" s="4303"/>
      <c r="CV485" s="4303"/>
      <c r="CW485" s="4303"/>
      <c r="CX485" s="4303"/>
      <c r="CY485" s="4303"/>
      <c r="CZ485" s="4303"/>
      <c r="DA485" s="4303"/>
      <c r="DB485" s="4303"/>
      <c r="DC485" s="4303"/>
      <c r="DD485" s="4303"/>
      <c r="DE485" s="4303"/>
      <c r="DF485" s="4303"/>
      <c r="DG485" s="4303"/>
      <c r="DH485" s="4303"/>
      <c r="DI485" s="4303"/>
      <c r="DJ485" s="4303"/>
      <c r="DK485" s="4303"/>
      <c r="DL485" s="4303"/>
      <c r="DM485" s="4303"/>
      <c r="DN485" s="4303"/>
      <c r="DO485" s="4303"/>
      <c r="DP485" s="4303"/>
      <c r="DQ485" s="4303"/>
      <c r="DR485" s="4303"/>
      <c r="DS485" s="4303"/>
    </row>
    <row r="486" s="4134" customFormat="1" ht="17.25" customHeight="1" spans="1:123">
      <c r="A486" s="4468" t="s">
        <v>5155</v>
      </c>
      <c r="B486" s="4468"/>
      <c r="C486" s="4468"/>
      <c r="D486" s="4468"/>
      <c r="E486" s="4468"/>
      <c r="F486" s="4468"/>
      <c r="G486" s="4468"/>
      <c r="H486" s="4470">
        <f>F245</f>
        <v>0</v>
      </c>
      <c r="I486" s="4470"/>
      <c r="J486" s="4470"/>
      <c r="K486" s="4470"/>
      <c r="L486" s="4470"/>
      <c r="M486" s="4470"/>
      <c r="N486" s="4303"/>
      <c r="O486" s="4303"/>
      <c r="P486" s="4303"/>
      <c r="Q486" s="4303"/>
      <c r="R486" s="4466"/>
      <c r="S486" s="4303"/>
      <c r="T486" s="4303"/>
      <c r="U486" s="4303"/>
      <c r="V486" s="4303"/>
      <c r="W486" s="4303"/>
      <c r="X486" s="4303"/>
      <c r="Y486" s="4303"/>
      <c r="Z486" s="4303"/>
      <c r="AA486" s="4303"/>
      <c r="AB486" s="4303"/>
      <c r="AC486" s="4303"/>
      <c r="AD486" s="4303"/>
      <c r="AE486" s="4303"/>
      <c r="AF486" s="4303"/>
      <c r="AG486" s="4303"/>
      <c r="AH486" s="4303"/>
      <c r="AI486" s="4303"/>
      <c r="AJ486" s="4303"/>
      <c r="AK486" s="4303"/>
      <c r="AL486" s="4303"/>
      <c r="AM486" s="4303"/>
      <c r="AN486" s="4303"/>
      <c r="AO486" s="4303"/>
      <c r="AP486" s="4303"/>
      <c r="AQ486" s="4303"/>
      <c r="AR486" s="4303"/>
      <c r="AS486" s="4303"/>
      <c r="AT486" s="4303"/>
      <c r="AU486" s="4303"/>
      <c r="AV486" s="4303"/>
      <c r="AW486" s="4303"/>
      <c r="AX486" s="4303"/>
      <c r="AY486" s="4303"/>
      <c r="AZ486" s="4303"/>
      <c r="BA486" s="4303"/>
      <c r="BB486" s="4303"/>
      <c r="BC486" s="4303"/>
      <c r="BD486" s="4303"/>
      <c r="BE486" s="4303"/>
      <c r="BF486" s="4303"/>
      <c r="BG486" s="4303"/>
      <c r="BH486" s="4303"/>
      <c r="BI486" s="4303"/>
      <c r="BJ486" s="4303"/>
      <c r="BK486" s="4303"/>
      <c r="BL486" s="4303"/>
      <c r="BM486" s="4303"/>
      <c r="BN486" s="4303"/>
      <c r="BO486" s="4303"/>
      <c r="BP486" s="4303"/>
      <c r="BQ486" s="4303"/>
      <c r="BR486" s="4303"/>
      <c r="BS486" s="4303"/>
      <c r="BT486" s="4303"/>
      <c r="BU486" s="4303"/>
      <c r="BV486" s="4303"/>
      <c r="BW486" s="4303"/>
      <c r="BX486" s="4303"/>
      <c r="BY486" s="4303"/>
      <c r="BZ486" s="4303"/>
      <c r="CA486" s="4303"/>
      <c r="CB486" s="4303"/>
      <c r="CC486" s="4303"/>
      <c r="CD486" s="4303"/>
      <c r="CE486" s="4303"/>
      <c r="CF486" s="4303"/>
      <c r="CG486" s="4303"/>
      <c r="CH486" s="4303"/>
      <c r="CI486" s="4303"/>
      <c r="CJ486" s="4303"/>
      <c r="CK486" s="4303"/>
      <c r="CL486" s="4303"/>
      <c r="CM486" s="4303"/>
      <c r="CN486" s="4303"/>
      <c r="CO486" s="4303"/>
      <c r="CP486" s="4303"/>
      <c r="CQ486" s="4303"/>
      <c r="CR486" s="4303"/>
      <c r="CS486" s="4303"/>
      <c r="CT486" s="4303"/>
      <c r="CU486" s="4303"/>
      <c r="CV486" s="4303"/>
      <c r="CW486" s="4303"/>
      <c r="CX486" s="4303"/>
      <c r="CY486" s="4303"/>
      <c r="CZ486" s="4303"/>
      <c r="DA486" s="4303"/>
      <c r="DB486" s="4303"/>
      <c r="DC486" s="4303"/>
      <c r="DD486" s="4303"/>
      <c r="DE486" s="4303"/>
      <c r="DF486" s="4303"/>
      <c r="DG486" s="4303"/>
      <c r="DH486" s="4303"/>
      <c r="DI486" s="4303"/>
      <c r="DJ486" s="4303"/>
      <c r="DK486" s="4303"/>
      <c r="DL486" s="4303"/>
      <c r="DM486" s="4303"/>
      <c r="DN486" s="4303"/>
      <c r="DO486" s="4303"/>
      <c r="DP486" s="4303"/>
      <c r="DQ486" s="4303"/>
      <c r="DR486" s="4303"/>
      <c r="DS486" s="4303"/>
    </row>
    <row r="487" s="4134" customFormat="1" ht="17.25" customHeight="1" spans="1:123">
      <c r="A487" s="4471" t="s">
        <v>5156</v>
      </c>
      <c r="B487" s="4471"/>
      <c r="C487" s="4471"/>
      <c r="D487" s="4471"/>
      <c r="E487" s="4471"/>
      <c r="F487" s="4471"/>
      <c r="G487" s="4471"/>
      <c r="H487" s="4472">
        <f>IF(AI481=0,O6&amp;P6,AI481)</f>
        <v>12</v>
      </c>
      <c r="I487" s="4472"/>
      <c r="J487" s="4472"/>
      <c r="K487" s="4472"/>
      <c r="L487" s="4472"/>
      <c r="M487" s="4472"/>
      <c r="N487" s="4303"/>
      <c r="O487" s="4303"/>
      <c r="P487" s="4303"/>
      <c r="Q487" s="4303"/>
      <c r="R487" s="4466"/>
      <c r="S487" s="4303"/>
      <c r="T487" s="4303"/>
      <c r="U487" s="4303"/>
      <c r="V487" s="4303"/>
      <c r="W487" s="4303"/>
      <c r="X487" s="4303"/>
      <c r="Y487" s="4303"/>
      <c r="Z487" s="4303"/>
      <c r="AA487" s="4303"/>
      <c r="AB487" s="4303"/>
      <c r="AC487" s="4303"/>
      <c r="AD487" s="4303"/>
      <c r="AE487" s="4303"/>
      <c r="AF487" s="4303"/>
      <c r="AG487" s="4303"/>
      <c r="AH487" s="4303"/>
      <c r="AI487" s="4303"/>
      <c r="AJ487" s="4303"/>
      <c r="AK487" s="4303"/>
      <c r="AL487" s="4303"/>
      <c r="AM487" s="4303"/>
      <c r="AN487" s="4303"/>
      <c r="AO487" s="4303"/>
      <c r="AP487" s="4303"/>
      <c r="AQ487" s="4303"/>
      <c r="AR487" s="4303"/>
      <c r="AS487" s="4303"/>
      <c r="AT487" s="4303"/>
      <c r="AU487" s="4303"/>
      <c r="AV487" s="4303"/>
      <c r="AW487" s="4303"/>
      <c r="AX487" s="4303"/>
      <c r="AY487" s="4303"/>
      <c r="AZ487" s="4303"/>
      <c r="BA487" s="4303"/>
      <c r="BB487" s="4303"/>
      <c r="BC487" s="4303"/>
      <c r="BD487" s="4303"/>
      <c r="BE487" s="4303"/>
      <c r="BF487" s="4303"/>
      <c r="BG487" s="4303"/>
      <c r="BH487" s="4303"/>
      <c r="BI487" s="4303"/>
      <c r="BJ487" s="4303"/>
      <c r="BK487" s="4303"/>
      <c r="BL487" s="4303"/>
      <c r="BM487" s="4303"/>
      <c r="BN487" s="4303"/>
      <c r="BO487" s="4303"/>
      <c r="BP487" s="4303"/>
      <c r="BQ487" s="4303"/>
      <c r="BR487" s="4303"/>
      <c r="BS487" s="4303"/>
      <c r="BT487" s="4303"/>
      <c r="BU487" s="4303"/>
      <c r="BV487" s="4303"/>
      <c r="BW487" s="4303"/>
      <c r="BX487" s="4303"/>
      <c r="BY487" s="4303"/>
      <c r="BZ487" s="4303"/>
      <c r="CA487" s="4303"/>
      <c r="CB487" s="4303"/>
      <c r="CC487" s="4303"/>
      <c r="CD487" s="4303"/>
      <c r="CE487" s="4303"/>
      <c r="CF487" s="4303"/>
      <c r="CG487" s="4303"/>
      <c r="CH487" s="4303"/>
      <c r="CI487" s="4303"/>
      <c r="CJ487" s="4303"/>
      <c r="CK487" s="4303"/>
      <c r="CL487" s="4303"/>
      <c r="CM487" s="4303"/>
      <c r="CN487" s="4303"/>
      <c r="CO487" s="4303"/>
      <c r="CP487" s="4303"/>
      <c r="CQ487" s="4303"/>
      <c r="CR487" s="4303"/>
      <c r="CS487" s="4303"/>
      <c r="CT487" s="4303"/>
      <c r="CU487" s="4303"/>
      <c r="CV487" s="4303"/>
      <c r="CW487" s="4303"/>
      <c r="CX487" s="4303"/>
      <c r="CY487" s="4303"/>
      <c r="CZ487" s="4303"/>
      <c r="DA487" s="4303"/>
      <c r="DB487" s="4303"/>
      <c r="DC487" s="4303"/>
      <c r="DD487" s="4303"/>
      <c r="DE487" s="4303"/>
      <c r="DF487" s="4303"/>
      <c r="DG487" s="4303"/>
      <c r="DH487" s="4303"/>
      <c r="DI487" s="4303"/>
      <c r="DJ487" s="4303"/>
      <c r="DK487" s="4303"/>
      <c r="DL487" s="4303"/>
      <c r="DM487" s="4303"/>
      <c r="DN487" s="4303"/>
      <c r="DO487" s="4303"/>
      <c r="DP487" s="4303"/>
      <c r="DQ487" s="4303"/>
      <c r="DR487" s="4303"/>
      <c r="DS487" s="4303"/>
    </row>
    <row r="488" s="4134" customFormat="1" ht="17.25" customHeight="1" spans="1:123">
      <c r="A488" s="4468" t="s">
        <v>5157</v>
      </c>
      <c r="B488" s="4468"/>
      <c r="C488" s="4468"/>
      <c r="D488" s="4468"/>
      <c r="E488" s="4468"/>
      <c r="F488" s="4468"/>
      <c r="G488" s="4468"/>
      <c r="H488" s="4470">
        <f>F241+F246</f>
        <v>6929</v>
      </c>
      <c r="I488" s="4470"/>
      <c r="J488" s="4470"/>
      <c r="K488" s="4470"/>
      <c r="L488" s="4470"/>
      <c r="M488" s="4470"/>
      <c r="N488" s="4303"/>
      <c r="O488" s="4303"/>
      <c r="P488" s="4303"/>
      <c r="Q488" s="4303"/>
      <c r="R488" s="4466"/>
      <c r="S488" s="4303"/>
      <c r="T488" s="4303"/>
      <c r="U488" s="4303"/>
      <c r="V488" s="4303"/>
      <c r="W488" s="4303"/>
      <c r="X488" s="4303"/>
      <c r="Y488" s="4303"/>
      <c r="Z488" s="4303"/>
      <c r="AA488" s="4303"/>
      <c r="AB488" s="4303"/>
      <c r="AC488" s="4303"/>
      <c r="AD488" s="4303"/>
      <c r="AE488" s="4303"/>
      <c r="AF488" s="4303"/>
      <c r="AG488" s="4303"/>
      <c r="AH488" s="4303"/>
      <c r="AI488" s="4303"/>
      <c r="AJ488" s="4303"/>
      <c r="AK488" s="4303"/>
      <c r="AL488" s="4303"/>
      <c r="AM488" s="4303"/>
      <c r="AN488" s="4303"/>
      <c r="AO488" s="4303"/>
      <c r="AP488" s="4303"/>
      <c r="AQ488" s="4303"/>
      <c r="AR488" s="4303"/>
      <c r="AS488" s="4303"/>
      <c r="AT488" s="4303"/>
      <c r="AU488" s="4303"/>
      <c r="AV488" s="4303"/>
      <c r="AW488" s="4303"/>
      <c r="AX488" s="4303"/>
      <c r="AY488" s="4303"/>
      <c r="AZ488" s="4303"/>
      <c r="BA488" s="4303"/>
      <c r="BB488" s="4303"/>
      <c r="BC488" s="4303"/>
      <c r="BD488" s="4303"/>
      <c r="BE488" s="4303"/>
      <c r="BF488" s="4303"/>
      <c r="BG488" s="4303"/>
      <c r="BH488" s="4303"/>
      <c r="BI488" s="4303"/>
      <c r="BJ488" s="4303"/>
      <c r="BK488" s="4303"/>
      <c r="BL488" s="4303"/>
      <c r="BM488" s="4303"/>
      <c r="BN488" s="4303"/>
      <c r="BO488" s="4303"/>
      <c r="BP488" s="4303"/>
      <c r="BQ488" s="4303"/>
      <c r="BR488" s="4303"/>
      <c r="BS488" s="4303"/>
      <c r="BT488" s="4303"/>
      <c r="BU488" s="4303"/>
      <c r="BV488" s="4303"/>
      <c r="BW488" s="4303"/>
      <c r="BX488" s="4303"/>
      <c r="BY488" s="4303"/>
      <c r="BZ488" s="4303"/>
      <c r="CA488" s="4303"/>
      <c r="CB488" s="4303"/>
      <c r="CC488" s="4303"/>
      <c r="CD488" s="4303"/>
      <c r="CE488" s="4303"/>
      <c r="CF488" s="4303"/>
      <c r="CG488" s="4303"/>
      <c r="CH488" s="4303"/>
      <c r="CI488" s="4303"/>
      <c r="CJ488" s="4303"/>
      <c r="CK488" s="4303"/>
      <c r="CL488" s="4303"/>
      <c r="CM488" s="4303"/>
      <c r="CN488" s="4303"/>
      <c r="CO488" s="4303"/>
      <c r="CP488" s="4303"/>
      <c r="CQ488" s="4303"/>
      <c r="CR488" s="4303"/>
      <c r="CS488" s="4303"/>
      <c r="CT488" s="4303"/>
      <c r="CU488" s="4303"/>
      <c r="CV488" s="4303"/>
      <c r="CW488" s="4303"/>
      <c r="CX488" s="4303"/>
      <c r="CY488" s="4303"/>
      <c r="CZ488" s="4303"/>
      <c r="DA488" s="4303"/>
      <c r="DB488" s="4303"/>
      <c r="DC488" s="4303"/>
      <c r="DD488" s="4303"/>
      <c r="DE488" s="4303"/>
      <c r="DF488" s="4303"/>
      <c r="DG488" s="4303"/>
      <c r="DH488" s="4303"/>
      <c r="DI488" s="4303"/>
      <c r="DJ488" s="4303"/>
      <c r="DK488" s="4303"/>
      <c r="DL488" s="4303"/>
      <c r="DM488" s="4303"/>
      <c r="DN488" s="4303"/>
      <c r="DO488" s="4303"/>
      <c r="DP488" s="4303"/>
      <c r="DQ488" s="4303"/>
      <c r="DR488" s="4303"/>
      <c r="DS488" s="4303"/>
    </row>
    <row r="489" s="4134" customFormat="1" ht="17.25" customHeight="1" spans="1:123">
      <c r="A489" s="4471" t="s">
        <v>5158</v>
      </c>
      <c r="B489" s="4471"/>
      <c r="C489" s="4471"/>
      <c r="D489" s="4471"/>
      <c r="E489" s="4471"/>
      <c r="F489" s="4471"/>
      <c r="G489" s="4471"/>
      <c r="H489" s="4470">
        <f>F242+F247</f>
        <v>57934</v>
      </c>
      <c r="I489" s="4470"/>
      <c r="J489" s="4470"/>
      <c r="K489" s="4470"/>
      <c r="L489" s="4470"/>
      <c r="M489" s="4470"/>
      <c r="N489" s="4303"/>
      <c r="O489" s="4303"/>
      <c r="P489" s="4303"/>
      <c r="Q489" s="4303"/>
      <c r="R489" s="4466"/>
      <c r="S489" s="4303"/>
      <c r="T489" s="4303"/>
      <c r="U489" s="4303"/>
      <c r="V489" s="4303"/>
      <c r="W489" s="4303"/>
      <c r="X489" s="4303"/>
      <c r="Y489" s="4303"/>
      <c r="Z489" s="4303"/>
      <c r="AA489" s="4303"/>
      <c r="AB489" s="4303"/>
      <c r="AC489" s="4303"/>
      <c r="AD489" s="4303"/>
      <c r="AE489" s="4303"/>
      <c r="AF489" s="4303"/>
      <c r="AG489" s="4303"/>
      <c r="AH489" s="4303"/>
      <c r="AI489" s="4303"/>
      <c r="AJ489" s="4303"/>
      <c r="AK489" s="4303"/>
      <c r="AL489" s="4303"/>
      <c r="AM489" s="4303"/>
      <c r="AN489" s="4303"/>
      <c r="AO489" s="4303"/>
      <c r="AP489" s="4303"/>
      <c r="AQ489" s="4303"/>
      <c r="AR489" s="4303"/>
      <c r="AS489" s="4303"/>
      <c r="AT489" s="4303"/>
      <c r="AU489" s="4303"/>
      <c r="AV489" s="4303"/>
      <c r="AW489" s="4303"/>
      <c r="AX489" s="4303"/>
      <c r="AY489" s="4303"/>
      <c r="AZ489" s="4303"/>
      <c r="BA489" s="4303"/>
      <c r="BB489" s="4303"/>
      <c r="BC489" s="4303"/>
      <c r="BD489" s="4303"/>
      <c r="BE489" s="4303"/>
      <c r="BF489" s="4303"/>
      <c r="BG489" s="4303"/>
      <c r="BH489" s="4303"/>
      <c r="BI489" s="4303"/>
      <c r="BJ489" s="4303"/>
      <c r="BK489" s="4303"/>
      <c r="BL489" s="4303"/>
      <c r="BM489" s="4303"/>
      <c r="BN489" s="4303"/>
      <c r="BO489" s="4303"/>
      <c r="BP489" s="4303"/>
      <c r="BQ489" s="4303"/>
      <c r="BR489" s="4303"/>
      <c r="BS489" s="4303"/>
      <c r="BT489" s="4303"/>
      <c r="BU489" s="4303"/>
      <c r="BV489" s="4303"/>
      <c r="BW489" s="4303"/>
      <c r="BX489" s="4303"/>
      <c r="BY489" s="4303"/>
      <c r="BZ489" s="4303"/>
      <c r="CA489" s="4303"/>
      <c r="CB489" s="4303"/>
      <c r="CC489" s="4303"/>
      <c r="CD489" s="4303"/>
      <c r="CE489" s="4303"/>
      <c r="CF489" s="4303"/>
      <c r="CG489" s="4303"/>
      <c r="CH489" s="4303"/>
      <c r="CI489" s="4303"/>
      <c r="CJ489" s="4303"/>
      <c r="CK489" s="4303"/>
      <c r="CL489" s="4303"/>
      <c r="CM489" s="4303"/>
      <c r="CN489" s="4303"/>
      <c r="CO489" s="4303"/>
      <c r="CP489" s="4303"/>
      <c r="CQ489" s="4303"/>
      <c r="CR489" s="4303"/>
      <c r="CS489" s="4303"/>
      <c r="CT489" s="4303"/>
      <c r="CU489" s="4303"/>
      <c r="CV489" s="4303"/>
      <c r="CW489" s="4303"/>
      <c r="CX489" s="4303"/>
      <c r="CY489" s="4303"/>
      <c r="CZ489" s="4303"/>
      <c r="DA489" s="4303"/>
      <c r="DB489" s="4303"/>
      <c r="DC489" s="4303"/>
      <c r="DD489" s="4303"/>
      <c r="DE489" s="4303"/>
      <c r="DF489" s="4303"/>
      <c r="DG489" s="4303"/>
      <c r="DH489" s="4303"/>
      <c r="DI489" s="4303"/>
      <c r="DJ489" s="4303"/>
      <c r="DK489" s="4303"/>
      <c r="DL489" s="4303"/>
      <c r="DM489" s="4303"/>
      <c r="DN489" s="4303"/>
      <c r="DO489" s="4303"/>
      <c r="DP489" s="4303"/>
      <c r="DQ489" s="4303"/>
      <c r="DR489" s="4303"/>
      <c r="DS489" s="4303"/>
    </row>
    <row r="490" s="4134" customFormat="1" ht="17.25" customHeight="1" spans="1:123">
      <c r="A490" s="4471" t="s">
        <v>5159</v>
      </c>
      <c r="B490" s="4471"/>
      <c r="C490" s="4471"/>
      <c r="D490" s="4471"/>
      <c r="E490" s="4471"/>
      <c r="F490" s="4471"/>
      <c r="G490" s="4471"/>
      <c r="H490" s="4470">
        <f>F243+F248</f>
        <v>10605</v>
      </c>
      <c r="I490" s="4470"/>
      <c r="J490" s="4470"/>
      <c r="K490" s="4470"/>
      <c r="L490" s="4470"/>
      <c r="M490" s="4470"/>
      <c r="N490" s="4303"/>
      <c r="O490" s="4303"/>
      <c r="P490" s="4303"/>
      <c r="Q490" s="4303"/>
      <c r="R490" s="4466"/>
      <c r="S490" s="4303"/>
      <c r="T490" s="4303"/>
      <c r="U490" s="4303"/>
      <c r="V490" s="4303"/>
      <c r="W490" s="4303"/>
      <c r="X490" s="4303"/>
      <c r="Y490" s="4303"/>
      <c r="Z490" s="4303"/>
      <c r="AA490" s="4303"/>
      <c r="AB490" s="4303"/>
      <c r="AC490" s="4303"/>
      <c r="AD490" s="4303"/>
      <c r="AE490" s="4303"/>
      <c r="AF490" s="4303"/>
      <c r="AG490" s="4303"/>
      <c r="AH490" s="4303"/>
      <c r="AI490" s="4303"/>
      <c r="AJ490" s="4303"/>
      <c r="AK490" s="4303"/>
      <c r="AL490" s="4303"/>
      <c r="AM490" s="4303"/>
      <c r="AN490" s="4303"/>
      <c r="AO490" s="4303"/>
      <c r="AP490" s="4303"/>
      <c r="AQ490" s="4303"/>
      <c r="AR490" s="4303"/>
      <c r="AS490" s="4303"/>
      <c r="AT490" s="4303"/>
      <c r="AU490" s="4303"/>
      <c r="AV490" s="4303"/>
      <c r="AW490" s="4303"/>
      <c r="AX490" s="4303"/>
      <c r="AY490" s="4303"/>
      <c r="AZ490" s="4303"/>
      <c r="BA490" s="4303"/>
      <c r="BB490" s="4303"/>
      <c r="BC490" s="4303"/>
      <c r="BD490" s="4303"/>
      <c r="BE490" s="4303"/>
      <c r="BF490" s="4303"/>
      <c r="BG490" s="4303"/>
      <c r="BH490" s="4303"/>
      <c r="BI490" s="4303"/>
      <c r="BJ490" s="4303"/>
      <c r="BK490" s="4303"/>
      <c r="BL490" s="4303"/>
      <c r="BM490" s="4303"/>
      <c r="BN490" s="4303"/>
      <c r="BO490" s="4303"/>
      <c r="BP490" s="4303"/>
      <c r="BQ490" s="4303"/>
      <c r="BR490" s="4303"/>
      <c r="BS490" s="4303"/>
      <c r="BT490" s="4303"/>
      <c r="BU490" s="4303"/>
      <c r="BV490" s="4303"/>
      <c r="BW490" s="4303"/>
      <c r="BX490" s="4303"/>
      <c r="BY490" s="4303"/>
      <c r="BZ490" s="4303"/>
      <c r="CA490" s="4303"/>
      <c r="CB490" s="4303"/>
      <c r="CC490" s="4303"/>
      <c r="CD490" s="4303"/>
      <c r="CE490" s="4303"/>
      <c r="CF490" s="4303"/>
      <c r="CG490" s="4303"/>
      <c r="CH490" s="4303"/>
      <c r="CI490" s="4303"/>
      <c r="CJ490" s="4303"/>
      <c r="CK490" s="4303"/>
      <c r="CL490" s="4303"/>
      <c r="CM490" s="4303"/>
      <c r="CN490" s="4303"/>
      <c r="CO490" s="4303"/>
      <c r="CP490" s="4303"/>
      <c r="CQ490" s="4303"/>
      <c r="CR490" s="4303"/>
      <c r="CS490" s="4303"/>
      <c r="CT490" s="4303"/>
      <c r="CU490" s="4303"/>
      <c r="CV490" s="4303"/>
      <c r="CW490" s="4303"/>
      <c r="CX490" s="4303"/>
      <c r="CY490" s="4303"/>
      <c r="CZ490" s="4303"/>
      <c r="DA490" s="4303"/>
      <c r="DB490" s="4303"/>
      <c r="DC490" s="4303"/>
      <c r="DD490" s="4303"/>
      <c r="DE490" s="4303"/>
      <c r="DF490" s="4303"/>
      <c r="DG490" s="4303"/>
      <c r="DH490" s="4303"/>
      <c r="DI490" s="4303"/>
      <c r="DJ490" s="4303"/>
      <c r="DK490" s="4303"/>
      <c r="DL490" s="4303"/>
      <c r="DM490" s="4303"/>
      <c r="DN490" s="4303"/>
      <c r="DO490" s="4303"/>
      <c r="DP490" s="4303"/>
      <c r="DQ490" s="4303"/>
      <c r="DR490" s="4303"/>
      <c r="DS490" s="4303"/>
    </row>
    <row r="491" s="4134" customFormat="1" ht="17.25" customHeight="1" spans="1:123">
      <c r="A491" s="4471" t="s">
        <v>5160</v>
      </c>
      <c r="B491" s="4471"/>
      <c r="C491" s="4471"/>
      <c r="D491" s="4471"/>
      <c r="E491" s="4471"/>
      <c r="F491" s="4471"/>
      <c r="G491" s="4471"/>
      <c r="H491" s="4473">
        <f>IFERROR(((H485+H486)/H481)/H487,0)</f>
        <v>1217.76388888889</v>
      </c>
      <c r="I491" s="4473"/>
      <c r="J491" s="4473"/>
      <c r="K491" s="4473"/>
      <c r="L491" s="4473"/>
      <c r="M491" s="4473"/>
      <c r="N491" s="4303"/>
      <c r="O491" s="4303"/>
      <c r="P491" s="4303"/>
      <c r="Q491" s="4303"/>
      <c r="R491" s="4466"/>
      <c r="S491" s="4303"/>
      <c r="T491" s="4303"/>
      <c r="U491" s="4303"/>
      <c r="V491" s="4303"/>
      <c r="W491" s="4303"/>
      <c r="X491" s="4303"/>
      <c r="Y491" s="4303"/>
      <c r="Z491" s="4303"/>
      <c r="AA491" s="4303"/>
      <c r="AB491" s="4303"/>
      <c r="AC491" s="4303"/>
      <c r="AD491" s="4303"/>
      <c r="AE491" s="4303"/>
      <c r="AF491" s="4303"/>
      <c r="AG491" s="4303"/>
      <c r="AH491" s="4303"/>
      <c r="AI491" s="4303"/>
      <c r="AJ491" s="4303"/>
      <c r="AK491" s="4303"/>
      <c r="AL491" s="4303"/>
      <c r="AM491" s="4303"/>
      <c r="AN491" s="4303"/>
      <c r="AO491" s="4303"/>
      <c r="AP491" s="4303"/>
      <c r="AQ491" s="4303"/>
      <c r="AR491" s="4303"/>
      <c r="AS491" s="4303"/>
      <c r="AT491" s="4303"/>
      <c r="AU491" s="4303"/>
      <c r="AV491" s="4303"/>
      <c r="AW491" s="4303"/>
      <c r="AX491" s="4303"/>
      <c r="AY491" s="4303"/>
      <c r="AZ491" s="4303"/>
      <c r="BA491" s="4303"/>
      <c r="BB491" s="4303"/>
      <c r="BC491" s="4303"/>
      <c r="BD491" s="4303"/>
      <c r="BE491" s="4303"/>
      <c r="BF491" s="4303"/>
      <c r="BG491" s="4303"/>
      <c r="BH491" s="4303"/>
      <c r="BI491" s="4303"/>
      <c r="BJ491" s="4303"/>
      <c r="BK491" s="4303"/>
      <c r="BL491" s="4303"/>
      <c r="BM491" s="4303"/>
      <c r="BN491" s="4303"/>
      <c r="BO491" s="4303"/>
      <c r="BP491" s="4303"/>
      <c r="BQ491" s="4303"/>
      <c r="BR491" s="4303"/>
      <c r="BS491" s="4303"/>
      <c r="BT491" s="4303"/>
      <c r="BU491" s="4303"/>
      <c r="BV491" s="4303"/>
      <c r="BW491" s="4303"/>
      <c r="BX491" s="4303"/>
      <c r="BY491" s="4303"/>
      <c r="BZ491" s="4303"/>
      <c r="CA491" s="4303"/>
      <c r="CB491" s="4303"/>
      <c r="CC491" s="4303"/>
      <c r="CD491" s="4303"/>
      <c r="CE491" s="4303"/>
      <c r="CF491" s="4303"/>
      <c r="CG491" s="4303"/>
      <c r="CH491" s="4303"/>
      <c r="CI491" s="4303"/>
      <c r="CJ491" s="4303"/>
      <c r="CK491" s="4303"/>
      <c r="CL491" s="4303"/>
      <c r="CM491" s="4303"/>
      <c r="CN491" s="4303"/>
      <c r="CO491" s="4303"/>
      <c r="CP491" s="4303"/>
      <c r="CQ491" s="4303"/>
      <c r="CR491" s="4303"/>
      <c r="CS491" s="4303"/>
      <c r="CT491" s="4303"/>
      <c r="CU491" s="4303"/>
      <c r="CV491" s="4303"/>
      <c r="CW491" s="4303"/>
      <c r="CX491" s="4303"/>
      <c r="CY491" s="4303"/>
      <c r="CZ491" s="4303"/>
      <c r="DA491" s="4303"/>
      <c r="DB491" s="4303"/>
      <c r="DC491" s="4303"/>
      <c r="DD491" s="4303"/>
      <c r="DE491" s="4303"/>
      <c r="DF491" s="4303"/>
      <c r="DG491" s="4303"/>
      <c r="DH491" s="4303"/>
      <c r="DI491" s="4303"/>
      <c r="DJ491" s="4303"/>
      <c r="DK491" s="4303"/>
      <c r="DL491" s="4303"/>
      <c r="DM491" s="4303"/>
      <c r="DN491" s="4303"/>
      <c r="DO491" s="4303"/>
      <c r="DP491" s="4303"/>
      <c r="DQ491" s="4303"/>
      <c r="DR491" s="4303"/>
      <c r="DS491" s="4303"/>
    </row>
    <row r="492" s="4134" customFormat="1" ht="17.25" customHeight="1" spans="1:123">
      <c r="A492" s="4474" t="s">
        <v>5161</v>
      </c>
      <c r="B492" s="4441"/>
      <c r="C492" s="4441"/>
      <c r="D492" s="4441"/>
      <c r="E492" s="4441"/>
      <c r="F492" s="4441"/>
      <c r="G492" s="4442"/>
      <c r="H492" s="4475">
        <f>AD481</f>
        <v>6</v>
      </c>
      <c r="I492" s="4475"/>
      <c r="J492" s="4475"/>
      <c r="K492" s="4475"/>
      <c r="L492" s="4475"/>
      <c r="M492" s="4475"/>
      <c r="N492" s="4303"/>
      <c r="O492" s="4303"/>
      <c r="P492" s="4303"/>
      <c r="Q492" s="4303"/>
      <c r="R492" s="4466"/>
      <c r="S492" s="4303"/>
      <c r="T492" s="4303"/>
      <c r="U492" s="4303"/>
      <c r="V492" s="4303"/>
      <c r="W492" s="4303"/>
      <c r="X492" s="4303"/>
      <c r="Y492" s="4303"/>
      <c r="Z492" s="4303"/>
      <c r="AA492" s="4303"/>
      <c r="AB492" s="4303"/>
      <c r="AC492" s="4303"/>
      <c r="AD492" s="4303"/>
      <c r="AE492" s="4303"/>
      <c r="AF492" s="4303"/>
      <c r="AG492" s="4303"/>
      <c r="AH492" s="4303"/>
      <c r="AI492" s="4303"/>
      <c r="AJ492" s="4303"/>
      <c r="AK492" s="4303"/>
      <c r="AL492" s="4303"/>
      <c r="AM492" s="4303"/>
      <c r="AN492" s="4303"/>
      <c r="AO492" s="4303"/>
      <c r="AP492" s="4303"/>
      <c r="AQ492" s="4303"/>
      <c r="AR492" s="4303"/>
      <c r="AS492" s="4303"/>
      <c r="AT492" s="4303"/>
      <c r="AU492" s="4303"/>
      <c r="AV492" s="4303"/>
      <c r="AW492" s="4303"/>
      <c r="AX492" s="4303"/>
      <c r="AY492" s="4303"/>
      <c r="AZ492" s="4303"/>
      <c r="BA492" s="4303"/>
      <c r="BB492" s="4303"/>
      <c r="BC492" s="4303"/>
      <c r="BD492" s="4303"/>
      <c r="BE492" s="4303"/>
      <c r="BF492" s="4303"/>
      <c r="BG492" s="4303"/>
      <c r="BH492" s="4303"/>
      <c r="BI492" s="4303"/>
      <c r="BJ492" s="4303"/>
      <c r="BK492" s="4303"/>
      <c r="BL492" s="4303"/>
      <c r="BM492" s="4303"/>
      <c r="BN492" s="4303"/>
      <c r="BO492" s="4303"/>
      <c r="BP492" s="4303"/>
      <c r="BQ492" s="4303"/>
      <c r="BR492" s="4303"/>
      <c r="BS492" s="4303"/>
      <c r="BT492" s="4303"/>
      <c r="BU492" s="4303"/>
      <c r="BV492" s="4303"/>
      <c r="BW492" s="4303"/>
      <c r="BX492" s="4303"/>
      <c r="BY492" s="4303"/>
      <c r="BZ492" s="4303"/>
      <c r="CA492" s="4303"/>
      <c r="CB492" s="4303"/>
      <c r="CC492" s="4303"/>
      <c r="CD492" s="4303"/>
      <c r="CE492" s="4303"/>
      <c r="CF492" s="4303"/>
      <c r="CG492" s="4303"/>
      <c r="CH492" s="4303"/>
      <c r="CI492" s="4303"/>
      <c r="CJ492" s="4303"/>
      <c r="CK492" s="4303"/>
      <c r="CL492" s="4303"/>
      <c r="CM492" s="4303"/>
      <c r="CN492" s="4303"/>
      <c r="CO492" s="4303"/>
      <c r="CP492" s="4303"/>
      <c r="CQ492" s="4303"/>
      <c r="CR492" s="4303"/>
      <c r="CS492" s="4303"/>
      <c r="CT492" s="4303"/>
      <c r="CU492" s="4303"/>
      <c r="CV492" s="4303"/>
      <c r="CW492" s="4303"/>
      <c r="CX492" s="4303"/>
      <c r="CY492" s="4303"/>
      <c r="CZ492" s="4303"/>
      <c r="DA492" s="4303"/>
      <c r="DB492" s="4303"/>
      <c r="DC492" s="4303"/>
      <c r="DD492" s="4303"/>
      <c r="DE492" s="4303"/>
      <c r="DF492" s="4303"/>
      <c r="DG492" s="4303"/>
      <c r="DH492" s="4303"/>
      <c r="DI492" s="4303"/>
      <c r="DJ492" s="4303"/>
      <c r="DK492" s="4303"/>
      <c r="DL492" s="4303"/>
      <c r="DM492" s="4303"/>
      <c r="DN492" s="4303"/>
      <c r="DO492" s="4303"/>
      <c r="DP492" s="4303"/>
      <c r="DQ492" s="4303"/>
      <c r="DR492" s="4303"/>
      <c r="DS492" s="4303"/>
    </row>
    <row r="493" s="4134" customFormat="1" ht="17.25" customHeight="1" spans="1:123">
      <c r="A493" s="4303"/>
      <c r="B493" s="4303"/>
      <c r="C493" s="4303"/>
      <c r="D493" s="4303"/>
      <c r="E493" s="4303"/>
      <c r="F493" s="4303"/>
      <c r="G493" s="4303"/>
      <c r="H493" s="4303"/>
      <c r="I493" s="4303"/>
      <c r="J493" s="4303"/>
      <c r="K493" s="4303"/>
      <c r="L493" s="4303"/>
      <c r="M493" s="4303"/>
      <c r="N493" s="4303"/>
      <c r="O493" s="4303"/>
      <c r="P493" s="4303"/>
      <c r="Q493" s="4303"/>
      <c r="R493" s="4466"/>
      <c r="S493" s="4303"/>
      <c r="T493" s="4303"/>
      <c r="U493" s="4303"/>
      <c r="V493" s="4303"/>
      <c r="W493" s="4303"/>
      <c r="X493" s="4303"/>
      <c r="Y493" s="4303"/>
      <c r="Z493" s="4303"/>
      <c r="AA493" s="4303"/>
      <c r="AB493" s="4303"/>
      <c r="AC493" s="4303"/>
      <c r="AD493" s="4303"/>
      <c r="AE493" s="4303"/>
      <c r="AF493" s="4303"/>
      <c r="AG493" s="4303"/>
      <c r="AH493" s="4303"/>
      <c r="AI493" s="4303"/>
      <c r="AJ493" s="4303"/>
      <c r="AK493" s="4303"/>
      <c r="AL493" s="4303"/>
      <c r="AM493" s="4303"/>
      <c r="AN493" s="4303"/>
      <c r="AO493" s="4303"/>
      <c r="AP493" s="4303"/>
      <c r="AQ493" s="4303"/>
      <c r="AR493" s="4303"/>
      <c r="AS493" s="4303"/>
      <c r="AT493" s="4303"/>
      <c r="AU493" s="4303"/>
      <c r="AV493" s="4303"/>
      <c r="AW493" s="4303"/>
      <c r="AX493" s="4303"/>
      <c r="AY493" s="4303"/>
      <c r="AZ493" s="4303"/>
      <c r="BA493" s="4303"/>
      <c r="BB493" s="4303"/>
      <c r="BC493" s="4303"/>
      <c r="BD493" s="4303"/>
      <c r="BE493" s="4303"/>
      <c r="BF493" s="4303"/>
      <c r="BG493" s="4303"/>
      <c r="BH493" s="4303"/>
      <c r="BI493" s="4303"/>
      <c r="BJ493" s="4303"/>
      <c r="BK493" s="4303"/>
      <c r="BL493" s="4303"/>
      <c r="BM493" s="4303"/>
      <c r="BN493" s="4303"/>
      <c r="BO493" s="4303"/>
      <c r="BP493" s="4303"/>
      <c r="BQ493" s="4303"/>
      <c r="BR493" s="4303"/>
      <c r="BS493" s="4303"/>
      <c r="BT493" s="4303"/>
      <c r="BU493" s="4303"/>
      <c r="BV493" s="4303"/>
      <c r="BW493" s="4303"/>
      <c r="BX493" s="4303"/>
      <c r="BY493" s="4303"/>
      <c r="BZ493" s="4303"/>
      <c r="CA493" s="4303"/>
      <c r="CB493" s="4303"/>
      <c r="CC493" s="4303"/>
      <c r="CD493" s="4303"/>
      <c r="CE493" s="4303"/>
      <c r="CF493" s="4303"/>
      <c r="CG493" s="4303"/>
      <c r="CH493" s="4303"/>
      <c r="CI493" s="4303"/>
      <c r="CJ493" s="4303"/>
      <c r="CK493" s="4303"/>
      <c r="CL493" s="4303"/>
      <c r="CM493" s="4303"/>
      <c r="CN493" s="4303"/>
      <c r="CO493" s="4303"/>
      <c r="CP493" s="4303"/>
      <c r="CQ493" s="4303"/>
      <c r="CR493" s="4303"/>
      <c r="CS493" s="4303"/>
      <c r="CT493" s="4303"/>
      <c r="CU493" s="4303"/>
      <c r="CV493" s="4303"/>
      <c r="CW493" s="4303"/>
      <c r="CX493" s="4303"/>
      <c r="CY493" s="4303"/>
      <c r="CZ493" s="4303"/>
      <c r="DA493" s="4303"/>
      <c r="DB493" s="4303"/>
      <c r="DC493" s="4303"/>
      <c r="DD493" s="4303"/>
      <c r="DE493" s="4303"/>
      <c r="DF493" s="4303"/>
      <c r="DG493" s="4303"/>
      <c r="DH493" s="4303"/>
      <c r="DI493" s="4303"/>
      <c r="DJ493" s="4303"/>
      <c r="DK493" s="4303"/>
      <c r="DL493" s="4303"/>
      <c r="DM493" s="4303"/>
      <c r="DN493" s="4303"/>
      <c r="DO493" s="4303"/>
      <c r="DP493" s="4303"/>
      <c r="DQ493" s="4303"/>
      <c r="DR493" s="4303"/>
      <c r="DS493" s="4303"/>
    </row>
    <row r="494" s="4134" customFormat="1" ht="17.25" customHeight="1" spans="1:123">
      <c r="A494" s="4424" t="s">
        <v>5162</v>
      </c>
      <c r="B494" s="4303"/>
      <c r="C494" s="4303"/>
      <c r="D494" s="4303"/>
      <c r="E494" s="4303"/>
      <c r="F494" s="4303"/>
      <c r="G494" s="4303"/>
      <c r="H494" s="4303"/>
      <c r="I494" s="4303"/>
      <c r="J494" s="4303"/>
      <c r="K494" s="4303"/>
      <c r="L494" s="4303"/>
      <c r="M494" s="4303"/>
      <c r="N494" s="4303"/>
      <c r="O494" s="4303"/>
      <c r="P494" s="4476"/>
      <c r="Q494" s="4476"/>
      <c r="R494" s="4303"/>
      <c r="S494" s="4303"/>
      <c r="T494" s="4303"/>
      <c r="U494" s="4303"/>
      <c r="V494" s="4303"/>
      <c r="W494" s="4303"/>
      <c r="X494" s="4303"/>
      <c r="Y494" s="4303"/>
      <c r="Z494" s="4303"/>
      <c r="AA494" s="4303"/>
      <c r="AB494" s="4303"/>
      <c r="AC494" s="4303"/>
      <c r="AD494" s="4303"/>
      <c r="AE494" s="4303"/>
      <c r="AF494" s="4303"/>
      <c r="AG494" s="4303"/>
      <c r="AH494" s="4303"/>
      <c r="AI494" s="4303"/>
      <c r="AJ494" s="4303"/>
      <c r="AK494" s="4303"/>
      <c r="AL494" s="4303"/>
      <c r="AM494" s="4303"/>
      <c r="AN494" s="4303"/>
      <c r="AO494" s="4303"/>
      <c r="AP494" s="4303"/>
      <c r="AQ494" s="4303"/>
      <c r="AR494" s="4303"/>
      <c r="AS494" s="4303"/>
      <c r="AT494" s="4303"/>
      <c r="AU494" s="4303"/>
      <c r="AV494" s="4303"/>
      <c r="AW494" s="4303"/>
      <c r="AX494" s="4303"/>
      <c r="AY494" s="4303"/>
      <c r="AZ494" s="4303"/>
      <c r="BA494" s="4303"/>
      <c r="BB494" s="4303"/>
      <c r="BC494" s="4303"/>
      <c r="BD494" s="4303"/>
      <c r="BE494" s="4303"/>
      <c r="BF494" s="4303"/>
      <c r="BG494" s="4303"/>
      <c r="BH494" s="4303"/>
      <c r="BI494" s="4303"/>
      <c r="BJ494" s="4303"/>
      <c r="BK494" s="4303"/>
      <c r="BL494" s="4303"/>
      <c r="BM494" s="4303"/>
      <c r="BN494" s="4303"/>
      <c r="BO494" s="4303"/>
      <c r="BP494" s="4303"/>
      <c r="BQ494" s="4303"/>
      <c r="BR494" s="4303"/>
      <c r="BS494" s="4303"/>
      <c r="BT494" s="4303"/>
      <c r="BU494" s="4303"/>
      <c r="BV494" s="4303"/>
      <c r="BW494" s="4303"/>
      <c r="BX494" s="4303"/>
      <c r="BY494" s="4303"/>
      <c r="BZ494" s="4303"/>
      <c r="CA494" s="4303"/>
      <c r="CB494" s="4303"/>
      <c r="CC494" s="4303"/>
      <c r="CD494" s="4303"/>
      <c r="CE494" s="4303"/>
      <c r="CF494" s="4303"/>
      <c r="CG494" s="4303"/>
      <c r="CH494" s="4303"/>
      <c r="CI494" s="4303"/>
      <c r="CJ494" s="4303"/>
      <c r="CK494" s="4303"/>
      <c r="CL494" s="4303"/>
      <c r="CM494" s="4303"/>
      <c r="CN494" s="4303"/>
      <c r="CO494" s="4303"/>
      <c r="CP494" s="4303"/>
      <c r="CQ494" s="4303"/>
      <c r="CR494" s="4303"/>
      <c r="CS494" s="4303"/>
      <c r="CT494" s="4303"/>
      <c r="CU494" s="4303"/>
      <c r="CV494" s="4303"/>
      <c r="CW494" s="4303"/>
      <c r="CX494" s="4303"/>
      <c r="CY494" s="4303"/>
      <c r="CZ494" s="4303"/>
      <c r="DA494" s="4303"/>
      <c r="DB494" s="4303"/>
      <c r="DC494" s="4303"/>
      <c r="DD494" s="4303"/>
      <c r="DE494" s="4303"/>
      <c r="DF494" s="4303"/>
      <c r="DG494" s="4303"/>
      <c r="DH494" s="4303"/>
      <c r="DI494" s="4303"/>
      <c r="DJ494" s="4303"/>
      <c r="DK494" s="4303"/>
      <c r="DL494" s="4303"/>
      <c r="DM494" s="4303"/>
      <c r="DN494" s="4303"/>
      <c r="DO494" s="4303"/>
      <c r="DP494" s="4303"/>
      <c r="DQ494" s="4303"/>
      <c r="DR494" s="4303"/>
      <c r="DS494" s="4303"/>
    </row>
    <row r="495" s="4134" customFormat="1" ht="20.25" customHeight="1" spans="1:123">
      <c r="A495" s="4468" t="s">
        <v>5163</v>
      </c>
      <c r="B495" s="4468"/>
      <c r="C495" s="4468"/>
      <c r="D495" s="4468"/>
      <c r="E495" s="4468"/>
      <c r="F495" s="4468"/>
      <c r="G495" s="4468"/>
      <c r="H495" s="4300"/>
      <c r="I495" s="4300"/>
      <c r="J495" s="4300"/>
      <c r="K495" s="4300"/>
      <c r="L495" s="4300"/>
      <c r="M495" s="4300"/>
      <c r="N495" s="4303"/>
      <c r="O495" s="4303"/>
      <c r="P495" s="4467"/>
      <c r="Q495" s="4303"/>
      <c r="R495" s="4303"/>
      <c r="S495" s="4303"/>
      <c r="T495" s="4303"/>
      <c r="U495" s="4303"/>
      <c r="V495" s="4303"/>
      <c r="W495" s="4303"/>
      <c r="X495" s="4303"/>
      <c r="Y495" s="4303"/>
      <c r="Z495" s="4303"/>
      <c r="AA495" s="4303"/>
      <c r="AB495" s="4303"/>
      <c r="AC495" s="4303"/>
      <c r="AD495" s="4303"/>
      <c r="AE495" s="4303"/>
      <c r="AF495" s="4303"/>
      <c r="AG495" s="4303"/>
      <c r="AH495" s="4303"/>
      <c r="AI495" s="4303"/>
      <c r="AJ495" s="4303"/>
      <c r="AK495" s="4303"/>
      <c r="AL495" s="4303"/>
      <c r="AM495" s="4303"/>
      <c r="AN495" s="4303"/>
      <c r="AO495" s="4303"/>
      <c r="AP495" s="4303"/>
      <c r="AQ495" s="4303"/>
      <c r="AR495" s="4303"/>
      <c r="AS495" s="4303"/>
      <c r="AT495" s="4303"/>
      <c r="AU495" s="4303"/>
      <c r="AV495" s="4303"/>
      <c r="AW495" s="4303"/>
      <c r="AX495" s="4303"/>
      <c r="AY495" s="4303"/>
      <c r="AZ495" s="4303"/>
      <c r="BA495" s="4303"/>
      <c r="BB495" s="4303"/>
      <c r="BC495" s="4303"/>
      <c r="BD495" s="4303"/>
      <c r="BE495" s="4303"/>
      <c r="BF495" s="4303"/>
      <c r="BG495" s="4303"/>
      <c r="BH495" s="4303"/>
      <c r="BI495" s="4303"/>
      <c r="BJ495" s="4303"/>
      <c r="BK495" s="4303"/>
      <c r="BL495" s="4303"/>
      <c r="BM495" s="4303"/>
      <c r="BN495" s="4303"/>
      <c r="BO495" s="4303"/>
      <c r="BP495" s="4303"/>
      <c r="BQ495" s="4303"/>
      <c r="BR495" s="4303"/>
      <c r="BS495" s="4303"/>
      <c r="BT495" s="4303"/>
      <c r="BU495" s="4303"/>
      <c r="BV495" s="4303"/>
      <c r="BW495" s="4303"/>
      <c r="BX495" s="4303"/>
      <c r="BY495" s="4303"/>
      <c r="BZ495" s="4303"/>
      <c r="CA495" s="4303"/>
      <c r="CB495" s="4303"/>
      <c r="CC495" s="4303"/>
      <c r="CD495" s="4303"/>
      <c r="CE495" s="4303"/>
      <c r="CF495" s="4303"/>
      <c r="CG495" s="4303"/>
      <c r="CH495" s="4303"/>
      <c r="CI495" s="4303"/>
      <c r="CJ495" s="4303"/>
      <c r="CK495" s="4303"/>
      <c r="CL495" s="4303"/>
      <c r="CM495" s="4303"/>
      <c r="CN495" s="4303"/>
      <c r="CO495" s="4303"/>
      <c r="CP495" s="4303"/>
      <c r="CQ495" s="4303"/>
      <c r="CR495" s="4303"/>
      <c r="CS495" s="4303"/>
      <c r="CT495" s="4303"/>
      <c r="CU495" s="4303"/>
      <c r="CV495" s="4303"/>
      <c r="CW495" s="4303"/>
      <c r="CX495" s="4303"/>
      <c r="CY495" s="4303"/>
      <c r="CZ495" s="4303"/>
      <c r="DA495" s="4303"/>
      <c r="DB495" s="4303"/>
      <c r="DC495" s="4303"/>
      <c r="DD495" s="4303"/>
      <c r="DE495" s="4303"/>
      <c r="DF495" s="4303"/>
      <c r="DG495" s="4303"/>
      <c r="DH495" s="4303"/>
      <c r="DI495" s="4303"/>
      <c r="DJ495" s="4303"/>
      <c r="DK495" s="4303"/>
      <c r="DL495" s="4303"/>
      <c r="DM495" s="4303"/>
      <c r="DN495" s="4303"/>
      <c r="DO495" s="4303"/>
      <c r="DP495" s="4303"/>
      <c r="DQ495" s="4303"/>
      <c r="DR495" s="4303"/>
      <c r="DS495" s="4303"/>
    </row>
    <row r="496" s="4134" customFormat="1" ht="17.25" customHeight="1" spans="1:123">
      <c r="A496" s="4468" t="s">
        <v>5164</v>
      </c>
      <c r="B496" s="4468"/>
      <c r="C496" s="4468"/>
      <c r="D496" s="4468"/>
      <c r="E496" s="4468"/>
      <c r="F496" s="4468"/>
      <c r="G496" s="4468"/>
      <c r="H496" s="4343">
        <f>H495*0.1</f>
        <v>0</v>
      </c>
      <c r="I496" s="4343"/>
      <c r="J496" s="4343"/>
      <c r="K496" s="4343"/>
      <c r="L496" s="4343"/>
      <c r="M496" s="4343"/>
      <c r="N496" s="4477"/>
      <c r="O496" s="4478"/>
      <c r="P496" s="4478"/>
      <c r="Q496" s="4478"/>
      <c r="R496" s="4303"/>
      <c r="S496" s="4303"/>
      <c r="T496" s="4303"/>
      <c r="U496" s="4303"/>
      <c r="V496" s="4303"/>
      <c r="W496" s="4303"/>
      <c r="X496" s="4303"/>
      <c r="Y496" s="4303"/>
      <c r="Z496" s="4303"/>
      <c r="AA496" s="4303"/>
      <c r="AB496" s="4303"/>
      <c r="AC496" s="4303"/>
      <c r="AD496" s="4303"/>
      <c r="AE496" s="4303"/>
      <c r="AF496" s="4303"/>
      <c r="AG496" s="4303"/>
      <c r="AH496" s="4303"/>
      <c r="AI496" s="4303"/>
      <c r="AJ496" s="4303"/>
      <c r="AK496" s="4303"/>
      <c r="AL496" s="4303"/>
      <c r="AM496" s="4303"/>
      <c r="AN496" s="4303"/>
      <c r="AO496" s="4303"/>
      <c r="AP496" s="4303"/>
      <c r="AQ496" s="4303"/>
      <c r="AR496" s="4303"/>
      <c r="AS496" s="4303"/>
      <c r="AT496" s="4303"/>
      <c r="AU496" s="4303"/>
      <c r="AV496" s="4303"/>
      <c r="AW496" s="4303"/>
      <c r="AX496" s="4303"/>
      <c r="AY496" s="4303"/>
      <c r="AZ496" s="4303"/>
      <c r="BA496" s="4303"/>
      <c r="BB496" s="4303"/>
      <c r="BC496" s="4303"/>
      <c r="BD496" s="4303"/>
      <c r="BE496" s="4303"/>
      <c r="BF496" s="4303"/>
      <c r="BG496" s="4303"/>
      <c r="BH496" s="4303"/>
      <c r="BI496" s="4303"/>
      <c r="BJ496" s="4303"/>
      <c r="BK496" s="4303"/>
      <c r="BL496" s="4303"/>
      <c r="BM496" s="4303"/>
      <c r="BN496" s="4303"/>
      <c r="BO496" s="4303"/>
      <c r="BP496" s="4303"/>
      <c r="BQ496" s="4303"/>
      <c r="BR496" s="4303"/>
      <c r="BS496" s="4303"/>
      <c r="BT496" s="4303"/>
      <c r="BU496" s="4303"/>
      <c r="BV496" s="4303"/>
      <c r="BW496" s="4303"/>
      <c r="BX496" s="4303"/>
      <c r="BY496" s="4303"/>
      <c r="BZ496" s="4303"/>
      <c r="CA496" s="4303"/>
      <c r="CB496" s="4303"/>
      <c r="CC496" s="4303"/>
      <c r="CD496" s="4303"/>
      <c r="CE496" s="4303"/>
      <c r="CF496" s="4303"/>
      <c r="CG496" s="4303"/>
      <c r="CH496" s="4303"/>
      <c r="CI496" s="4303"/>
      <c r="CJ496" s="4303"/>
      <c r="CK496" s="4303"/>
      <c r="CL496" s="4303"/>
      <c r="CM496" s="4303"/>
      <c r="CN496" s="4303"/>
      <c r="CO496" s="4303"/>
      <c r="CP496" s="4303"/>
      <c r="CQ496" s="4303"/>
      <c r="CR496" s="4303"/>
      <c r="CS496" s="4303"/>
      <c r="CT496" s="4303"/>
      <c r="CU496" s="4303"/>
      <c r="CV496" s="4303"/>
      <c r="CW496" s="4303"/>
      <c r="CX496" s="4303"/>
      <c r="CY496" s="4303"/>
      <c r="CZ496" s="4303"/>
      <c r="DA496" s="4303"/>
      <c r="DB496" s="4303"/>
      <c r="DC496" s="4303"/>
      <c r="DD496" s="4303"/>
      <c r="DE496" s="4303"/>
      <c r="DF496" s="4303"/>
      <c r="DG496" s="4303"/>
      <c r="DH496" s="4303"/>
      <c r="DI496" s="4303"/>
      <c r="DJ496" s="4303"/>
      <c r="DK496" s="4303"/>
      <c r="DL496" s="4303"/>
      <c r="DM496" s="4303"/>
      <c r="DN496" s="4303"/>
      <c r="DO496" s="4303"/>
      <c r="DP496" s="4303"/>
      <c r="DQ496" s="4303"/>
      <c r="DR496" s="4303"/>
      <c r="DS496" s="4303"/>
    </row>
    <row r="497" s="4134" customFormat="1" ht="17.25" customHeight="1" spans="1:123">
      <c r="A497" s="4471" t="s">
        <v>5165</v>
      </c>
      <c r="B497" s="4471"/>
      <c r="C497" s="4471"/>
      <c r="D497" s="4471"/>
      <c r="E497" s="4471"/>
      <c r="F497" s="4471"/>
      <c r="G497" s="4471"/>
      <c r="H497" s="4469">
        <f>H495*O497</f>
        <v>0</v>
      </c>
      <c r="I497" s="4469"/>
      <c r="J497" s="4469"/>
      <c r="K497" s="4469"/>
      <c r="L497" s="4469"/>
      <c r="M497" s="4469"/>
      <c r="N497" s="4477"/>
      <c r="O497" s="4479">
        <f>1024/2280</f>
        <v>0.449122807017544</v>
      </c>
      <c r="P497" s="4438"/>
      <c r="Q497" s="4438"/>
      <c r="R497" s="4303"/>
      <c r="S497" s="4303"/>
      <c r="T497" s="4303"/>
      <c r="U497" s="4303"/>
      <c r="V497" s="4303"/>
      <c r="W497" s="4303"/>
      <c r="X497" s="4303"/>
      <c r="Y497" s="4303"/>
      <c r="Z497" s="4303"/>
      <c r="AA497" s="4303"/>
      <c r="AB497" s="4303"/>
      <c r="AC497" s="4303"/>
      <c r="AD497" s="4303"/>
      <c r="AE497" s="4303"/>
      <c r="AF497" s="4303"/>
      <c r="AG497" s="4303"/>
      <c r="AH497" s="4303"/>
      <c r="AI497" s="4303"/>
      <c r="AJ497" s="4303"/>
      <c r="AK497" s="4303"/>
      <c r="AL497" s="4303"/>
      <c r="AM497" s="4303"/>
      <c r="AN497" s="4303"/>
      <c r="AO497" s="4303"/>
      <c r="AP497" s="4303"/>
      <c r="AQ497" s="4303"/>
      <c r="AR497" s="4303"/>
      <c r="AS497" s="4303"/>
      <c r="AT497" s="4303"/>
      <c r="AU497" s="4303"/>
      <c r="AV497" s="4303"/>
      <c r="AW497" s="4303"/>
      <c r="AX497" s="4303"/>
      <c r="AY497" s="4303"/>
      <c r="AZ497" s="4303"/>
      <c r="BA497" s="4303"/>
      <c r="BB497" s="4303"/>
      <c r="BC497" s="4303"/>
      <c r="BD497" s="4303"/>
      <c r="BE497" s="4303"/>
      <c r="BF497" s="4303"/>
      <c r="BG497" s="4303"/>
      <c r="BH497" s="4303"/>
      <c r="BI497" s="4303"/>
      <c r="BJ497" s="4303"/>
      <c r="BK497" s="4303"/>
      <c r="BL497" s="4303"/>
      <c r="BM497" s="4303"/>
      <c r="BN497" s="4303"/>
      <c r="BO497" s="4303"/>
      <c r="BP497" s="4303"/>
      <c r="BQ497" s="4303"/>
      <c r="BR497" s="4303"/>
      <c r="BS497" s="4303"/>
      <c r="BT497" s="4303"/>
      <c r="BU497" s="4303"/>
      <c r="BV497" s="4303"/>
      <c r="BW497" s="4303"/>
      <c r="BX497" s="4303"/>
      <c r="BY497" s="4303"/>
      <c r="BZ497" s="4303"/>
      <c r="CA497" s="4303"/>
      <c r="CB497" s="4303"/>
      <c r="CC497" s="4303"/>
      <c r="CD497" s="4303"/>
      <c r="CE497" s="4303"/>
      <c r="CF497" s="4303"/>
      <c r="CG497" s="4303"/>
      <c r="CH497" s="4303"/>
      <c r="CI497" s="4303"/>
      <c r="CJ497" s="4303"/>
      <c r="CK497" s="4303"/>
      <c r="CL497" s="4303"/>
      <c r="CM497" s="4303"/>
      <c r="CN497" s="4303"/>
      <c r="CO497" s="4303"/>
      <c r="CP497" s="4303"/>
      <c r="CQ497" s="4303"/>
      <c r="CR497" s="4303"/>
      <c r="CS497" s="4303"/>
      <c r="CT497" s="4303"/>
      <c r="CU497" s="4303"/>
      <c r="CV497" s="4303"/>
      <c r="CW497" s="4303"/>
      <c r="CX497" s="4303"/>
      <c r="CY497" s="4303"/>
      <c r="CZ497" s="4303"/>
      <c r="DA497" s="4303"/>
      <c r="DB497" s="4303"/>
      <c r="DC497" s="4303"/>
      <c r="DD497" s="4303"/>
      <c r="DE497" s="4303"/>
      <c r="DF497" s="4303"/>
      <c r="DG497" s="4303"/>
      <c r="DH497" s="4303"/>
      <c r="DI497" s="4303"/>
      <c r="DJ497" s="4303"/>
      <c r="DK497" s="4303"/>
      <c r="DL497" s="4303"/>
      <c r="DM497" s="4303"/>
      <c r="DN497" s="4303"/>
      <c r="DO497" s="4303"/>
      <c r="DP497" s="4303"/>
      <c r="DQ497" s="4303"/>
      <c r="DR497" s="4303"/>
      <c r="DS497" s="4303"/>
    </row>
    <row r="498" s="4134" customFormat="1" ht="17.25" customHeight="1" spans="1:123">
      <c r="A498" s="4471" t="s">
        <v>5166</v>
      </c>
      <c r="B498" s="4471"/>
      <c r="C498" s="4471"/>
      <c r="D498" s="4471"/>
      <c r="E498" s="4471"/>
      <c r="F498" s="4471"/>
      <c r="G498" s="4471"/>
      <c r="H498" s="4480">
        <f>H495*O498</f>
        <v>0</v>
      </c>
      <c r="I498" s="4480"/>
      <c r="J498" s="4480"/>
      <c r="K498" s="4480"/>
      <c r="L498" s="4480"/>
      <c r="M498" s="4480"/>
      <c r="N498" s="4477"/>
      <c r="O498" s="4479">
        <f>347/2280</f>
        <v>0.15219298245614</v>
      </c>
      <c r="P498" s="4438"/>
      <c r="Q498" s="4438"/>
      <c r="R498" s="4303"/>
      <c r="S498" s="4303"/>
      <c r="T498" s="4303"/>
      <c r="U498" s="4303"/>
      <c r="V498" s="4303"/>
      <c r="W498" s="4303"/>
      <c r="X498" s="4303"/>
      <c r="Y498" s="4303"/>
      <c r="Z498" s="4303"/>
      <c r="AA498" s="4303"/>
      <c r="AB498" s="4303"/>
      <c r="AC498" s="4303"/>
      <c r="AD498" s="4303"/>
      <c r="AE498" s="4303"/>
      <c r="AF498" s="4303"/>
      <c r="AG498" s="4303"/>
      <c r="AH498" s="4303"/>
      <c r="AI498" s="4303"/>
      <c r="AJ498" s="4303"/>
      <c r="AK498" s="4303"/>
      <c r="AL498" s="4303"/>
      <c r="AM498" s="4303"/>
      <c r="AN498" s="4303"/>
      <c r="AO498" s="4303"/>
      <c r="AP498" s="4303"/>
      <c r="AQ498" s="4303"/>
      <c r="AR498" s="4303"/>
      <c r="AS498" s="4303"/>
      <c r="AT498" s="4303"/>
      <c r="AU498" s="4303"/>
      <c r="AV498" s="4303"/>
      <c r="AW498" s="4303"/>
      <c r="AX498" s="4303"/>
      <c r="AY498" s="4303"/>
      <c r="AZ498" s="4303"/>
      <c r="BA498" s="4303"/>
      <c r="BB498" s="4303"/>
      <c r="BC498" s="4303"/>
      <c r="BD498" s="4303"/>
      <c r="BE498" s="4303"/>
      <c r="BF498" s="4303"/>
      <c r="BG498" s="4303"/>
      <c r="BH498" s="4303"/>
      <c r="BI498" s="4303"/>
      <c r="BJ498" s="4303"/>
      <c r="BK498" s="4303"/>
      <c r="BL498" s="4303"/>
      <c r="BM498" s="4303"/>
      <c r="BN498" s="4303"/>
      <c r="BO498" s="4303"/>
      <c r="BP498" s="4303"/>
      <c r="BQ498" s="4303"/>
      <c r="BR498" s="4303"/>
      <c r="BS498" s="4303"/>
      <c r="BT498" s="4303"/>
      <c r="BU498" s="4303"/>
      <c r="BV498" s="4303"/>
      <c r="BW498" s="4303"/>
      <c r="BX498" s="4303"/>
      <c r="BY498" s="4303"/>
      <c r="BZ498" s="4303"/>
      <c r="CA498" s="4303"/>
      <c r="CB498" s="4303"/>
      <c r="CC498" s="4303"/>
      <c r="CD498" s="4303"/>
      <c r="CE498" s="4303"/>
      <c r="CF498" s="4303"/>
      <c r="CG498" s="4303"/>
      <c r="CH498" s="4303"/>
      <c r="CI498" s="4303"/>
      <c r="CJ498" s="4303"/>
      <c r="CK498" s="4303"/>
      <c r="CL498" s="4303"/>
      <c r="CM498" s="4303"/>
      <c r="CN498" s="4303"/>
      <c r="CO498" s="4303"/>
      <c r="CP498" s="4303"/>
      <c r="CQ498" s="4303"/>
      <c r="CR498" s="4303"/>
      <c r="CS498" s="4303"/>
      <c r="CT498" s="4303"/>
      <c r="CU498" s="4303"/>
      <c r="CV498" s="4303"/>
      <c r="CW498" s="4303"/>
      <c r="CX498" s="4303"/>
      <c r="CY498" s="4303"/>
      <c r="CZ498" s="4303"/>
      <c r="DA498" s="4303"/>
      <c r="DB498" s="4303"/>
      <c r="DC498" s="4303"/>
      <c r="DD498" s="4303"/>
      <c r="DE498" s="4303"/>
      <c r="DF498" s="4303"/>
      <c r="DG498" s="4303"/>
      <c r="DH498" s="4303"/>
      <c r="DI498" s="4303"/>
      <c r="DJ498" s="4303"/>
      <c r="DK498" s="4303"/>
      <c r="DL498" s="4303"/>
      <c r="DM498" s="4303"/>
      <c r="DN498" s="4303"/>
      <c r="DO498" s="4303"/>
      <c r="DP498" s="4303"/>
      <c r="DQ498" s="4303"/>
      <c r="DR498" s="4303"/>
      <c r="DS498" s="4303"/>
    </row>
    <row r="499" s="4133" customFormat="1" ht="15.75" spans="1:123">
      <c r="A499" s="4292"/>
      <c r="B499" s="4292"/>
      <c r="C499" s="4292"/>
      <c r="D499" s="4292"/>
      <c r="E499" s="4292"/>
      <c r="F499" s="4292"/>
      <c r="G499" s="4292"/>
      <c r="H499" s="4292"/>
      <c r="I499" s="4292"/>
      <c r="J499" s="4292"/>
      <c r="K499" s="4292"/>
      <c r="L499" s="4292"/>
      <c r="M499" s="4292"/>
      <c r="N499" s="4292"/>
      <c r="O499" s="4292"/>
      <c r="P499" s="4292"/>
      <c r="Q499" s="4292"/>
      <c r="R499" s="4292"/>
      <c r="S499" s="4292"/>
      <c r="T499" s="4292"/>
      <c r="U499" s="4292"/>
      <c r="V499" s="4292"/>
      <c r="W499" s="4292"/>
      <c r="X499" s="4292"/>
      <c r="Y499" s="4292"/>
      <c r="Z499" s="4292"/>
      <c r="AA499" s="4292"/>
      <c r="AB499" s="4292"/>
      <c r="AC499" s="4292"/>
      <c r="AD499" s="4292"/>
      <c r="AE499" s="4388"/>
      <c r="AF499" s="4388"/>
      <c r="AG499" s="4388"/>
      <c r="AH499" s="4388"/>
      <c r="AI499" s="4388"/>
      <c r="AJ499" s="4388"/>
      <c r="AK499" s="4388"/>
      <c r="AL499" s="4303"/>
      <c r="AM499" s="4303"/>
      <c r="AN499" s="4303"/>
      <c r="AO499" s="4303"/>
      <c r="AP499" s="4303"/>
      <c r="AQ499" s="4303"/>
      <c r="AR499" s="4303"/>
      <c r="AS499" s="4303"/>
      <c r="AT499" s="4303"/>
      <c r="AU499" s="4303"/>
      <c r="AV499" s="4303"/>
      <c r="AW499" s="4303"/>
      <c r="AX499" s="4303"/>
      <c r="AY499" s="4303"/>
      <c r="AZ499" s="4388"/>
      <c r="BA499" s="4388"/>
      <c r="BB499" s="4388"/>
      <c r="BC499" s="4388"/>
      <c r="BD499" s="4388"/>
      <c r="BE499" s="4388"/>
      <c r="BF499" s="4388"/>
      <c r="BG499" s="4388"/>
      <c r="BH499" s="4388"/>
      <c r="BI499" s="4388"/>
      <c r="BJ499" s="4388"/>
      <c r="BK499" s="4388"/>
      <c r="BL499" s="4388"/>
      <c r="BM499" s="4388"/>
      <c r="BN499" s="4388"/>
      <c r="BO499" s="4388"/>
      <c r="BP499" s="4388"/>
      <c r="BQ499" s="4388"/>
      <c r="BR499" s="4388"/>
      <c r="BS499" s="4388"/>
      <c r="BT499" s="4388"/>
      <c r="BU499" s="4388"/>
      <c r="BV499" s="4388"/>
      <c r="BW499" s="4388"/>
      <c r="BX499" s="4388"/>
      <c r="BY499" s="4388"/>
      <c r="BZ499" s="4388"/>
      <c r="CA499" s="4388"/>
      <c r="CB499" s="4388"/>
      <c r="CC499" s="4388"/>
      <c r="CD499" s="4388"/>
      <c r="CE499" s="4388"/>
      <c r="CF499" s="4388"/>
      <c r="CG499" s="4388"/>
      <c r="CH499" s="4388"/>
      <c r="CI499" s="4388"/>
      <c r="CJ499" s="4388"/>
      <c r="CK499" s="4388"/>
      <c r="CL499" s="4388"/>
      <c r="CM499" s="4388"/>
      <c r="CN499" s="4388"/>
      <c r="CO499" s="4388"/>
      <c r="CP499" s="4388"/>
      <c r="CQ499" s="4388"/>
      <c r="CR499" s="4388"/>
      <c r="CS499" s="4388"/>
      <c r="CT499" s="4388"/>
      <c r="CU499" s="4388"/>
      <c r="CV499" s="4388"/>
      <c r="CW499" s="4388"/>
      <c r="CX499" s="4388"/>
      <c r="CY499" s="4388"/>
      <c r="CZ499" s="4388"/>
      <c r="DA499" s="4388"/>
      <c r="DB499" s="4388"/>
      <c r="DC499" s="4388"/>
      <c r="DD499" s="4388"/>
      <c r="DE499" s="4388"/>
      <c r="DF499" s="4388"/>
      <c r="DG499" s="4388"/>
      <c r="DH499" s="4388"/>
      <c r="DI499" s="4388"/>
      <c r="DJ499" s="4388"/>
      <c r="DK499" s="4388"/>
      <c r="DL499" s="4388"/>
      <c r="DM499" s="4388"/>
      <c r="DN499" s="4388"/>
      <c r="DO499" s="4388"/>
      <c r="DP499" s="4388"/>
      <c r="DQ499" s="4388"/>
      <c r="DR499" s="4388"/>
      <c r="DS499" s="4388"/>
    </row>
    <row r="500" s="4133" customFormat="1" ht="15.75" spans="1:123">
      <c r="A500" s="4292"/>
      <c r="B500" s="4292"/>
      <c r="C500" s="4292"/>
      <c r="D500" s="4292"/>
      <c r="E500" s="4292"/>
      <c r="F500" s="4292"/>
      <c r="G500" s="4292"/>
      <c r="H500" s="4292"/>
      <c r="I500" s="4292"/>
      <c r="J500" s="4292"/>
      <c r="K500" s="4292"/>
      <c r="L500" s="4292"/>
      <c r="M500" s="4292"/>
      <c r="N500" s="4292"/>
      <c r="O500" s="4292"/>
      <c r="P500" s="4292"/>
      <c r="Q500" s="4292"/>
      <c r="R500" s="4292"/>
      <c r="S500" s="4292"/>
      <c r="T500" s="4292"/>
      <c r="U500" s="4292"/>
      <c r="V500" s="4292"/>
      <c r="W500" s="4292"/>
      <c r="X500" s="4292"/>
      <c r="Y500" s="4292"/>
      <c r="Z500" s="4292"/>
      <c r="AA500" s="4292"/>
      <c r="AB500" s="4292"/>
      <c r="AC500" s="4292"/>
      <c r="AD500" s="4292"/>
      <c r="AE500" s="4388"/>
      <c r="AF500" s="4388"/>
      <c r="AG500" s="4388"/>
      <c r="AH500" s="4388"/>
      <c r="AI500" s="4388"/>
      <c r="AJ500" s="4388"/>
      <c r="AK500" s="4388"/>
      <c r="AL500" s="4303"/>
      <c r="AM500" s="4303"/>
      <c r="AN500" s="4303"/>
      <c r="AO500" s="4303"/>
      <c r="AP500" s="4303"/>
      <c r="AQ500" s="4303"/>
      <c r="AR500" s="4303"/>
      <c r="AS500" s="4303"/>
      <c r="AT500" s="4303"/>
      <c r="AU500" s="4303"/>
      <c r="AV500" s="4303"/>
      <c r="AW500" s="4303"/>
      <c r="AX500" s="4303"/>
      <c r="AY500" s="4303"/>
      <c r="AZ500" s="4388"/>
      <c r="BA500" s="4388"/>
      <c r="BB500" s="4388"/>
      <c r="BC500" s="4388"/>
      <c r="BD500" s="4388"/>
      <c r="BE500" s="4388"/>
      <c r="BF500" s="4388"/>
      <c r="BG500" s="4388"/>
      <c r="BH500" s="4388"/>
      <c r="BI500" s="4388"/>
      <c r="BJ500" s="4388"/>
      <c r="BK500" s="4388"/>
      <c r="BL500" s="4388"/>
      <c r="BM500" s="4388"/>
      <c r="BN500" s="4388"/>
      <c r="BO500" s="4388"/>
      <c r="BP500" s="4388"/>
      <c r="BQ500" s="4388"/>
      <c r="BR500" s="4388"/>
      <c r="BS500" s="4388"/>
      <c r="BT500" s="4388"/>
      <c r="BU500" s="4388"/>
      <c r="BV500" s="4388"/>
      <c r="BW500" s="4388"/>
      <c r="BX500" s="4388"/>
      <c r="BY500" s="4388"/>
      <c r="BZ500" s="4388"/>
      <c r="CA500" s="4388"/>
      <c r="CB500" s="4388"/>
      <c r="CC500" s="4388"/>
      <c r="CD500" s="4388"/>
      <c r="CE500" s="4388"/>
      <c r="CF500" s="4388"/>
      <c r="CG500" s="4388"/>
      <c r="CH500" s="4388"/>
      <c r="CI500" s="4388"/>
      <c r="CJ500" s="4388"/>
      <c r="CK500" s="4388"/>
      <c r="CL500" s="4388"/>
      <c r="CM500" s="4388"/>
      <c r="CN500" s="4388"/>
      <c r="CO500" s="4388"/>
      <c r="CP500" s="4388"/>
      <c r="CQ500" s="4388"/>
      <c r="CR500" s="4388"/>
      <c r="CS500" s="4388"/>
      <c r="CT500" s="4388"/>
      <c r="CU500" s="4388"/>
      <c r="CV500" s="4388"/>
      <c r="CW500" s="4388"/>
      <c r="CX500" s="4388"/>
      <c r="CY500" s="4388"/>
      <c r="CZ500" s="4388"/>
      <c r="DA500" s="4388"/>
      <c r="DB500" s="4388"/>
      <c r="DC500" s="4388"/>
      <c r="DD500" s="4388"/>
      <c r="DE500" s="4388"/>
      <c r="DF500" s="4388"/>
      <c r="DG500" s="4388"/>
      <c r="DH500" s="4388"/>
      <c r="DI500" s="4388"/>
      <c r="DJ500" s="4388"/>
      <c r="DK500" s="4388"/>
      <c r="DL500" s="4388"/>
      <c r="DM500" s="4388"/>
      <c r="DN500" s="4388"/>
      <c r="DO500" s="4388"/>
      <c r="DP500" s="4388"/>
      <c r="DQ500" s="4388"/>
      <c r="DR500" s="4388"/>
      <c r="DS500" s="4388"/>
    </row>
    <row r="501" s="489" customFormat="1" customHeight="1" spans="1:123">
      <c r="A501" s="3396"/>
      <c r="B501" s="3396"/>
      <c r="C501" s="3396"/>
      <c r="D501" s="3396"/>
      <c r="E501" s="3396"/>
      <c r="F501" s="3396"/>
      <c r="G501" s="3396"/>
      <c r="H501" s="3396"/>
      <c r="I501" s="3396"/>
      <c r="J501" s="3396"/>
      <c r="K501" s="3396"/>
      <c r="L501" s="3396"/>
      <c r="M501" s="3396"/>
      <c r="N501" s="3396"/>
      <c r="O501" s="3396"/>
      <c r="P501" s="3396"/>
      <c r="Q501" s="3396"/>
      <c r="R501" s="3396"/>
      <c r="S501" s="3396"/>
      <c r="T501" s="4292"/>
      <c r="U501" s="3396"/>
      <c r="V501" s="3396"/>
      <c r="W501" s="3396"/>
      <c r="X501" s="3396"/>
      <c r="Y501" s="3396"/>
      <c r="Z501" s="3396"/>
      <c r="AA501" s="3396"/>
      <c r="AB501" s="3396"/>
      <c r="AC501" s="3396"/>
      <c r="AD501" s="3396"/>
      <c r="AE501" s="3396"/>
      <c r="AF501" s="3396"/>
      <c r="AG501" s="3396"/>
      <c r="AH501" s="4292"/>
      <c r="AI501" s="3396"/>
      <c r="AJ501" s="3396"/>
      <c r="AK501" s="3396"/>
      <c r="AL501" s="3396"/>
      <c r="AM501" s="3396"/>
      <c r="AN501" s="3396"/>
      <c r="AO501" s="3396"/>
      <c r="AP501" s="3396"/>
      <c r="AQ501" s="3396"/>
      <c r="AR501" s="3396"/>
      <c r="AS501" s="3396"/>
      <c r="AT501" s="3396"/>
      <c r="AU501" s="3396"/>
      <c r="AV501" s="3396"/>
      <c r="AW501" s="3396"/>
      <c r="AX501" s="3396"/>
      <c r="AY501" s="3396"/>
      <c r="AZ501" s="3396"/>
      <c r="BA501" s="3396"/>
      <c r="BB501" s="3396"/>
      <c r="BC501" s="3396"/>
      <c r="BD501" s="3396"/>
      <c r="BE501" s="3396"/>
      <c r="BF501" s="3396"/>
      <c r="BG501" s="3396"/>
      <c r="BH501" s="3396"/>
      <c r="BI501" s="3396"/>
      <c r="BJ501" s="3396"/>
      <c r="BK501" s="3396"/>
      <c r="BL501" s="3396"/>
      <c r="BM501" s="3396"/>
      <c r="BN501" s="3396"/>
      <c r="BO501" s="3396"/>
      <c r="BP501" s="3396"/>
      <c r="BQ501" s="3396"/>
      <c r="BR501" s="3396"/>
      <c r="BS501" s="3396"/>
      <c r="BT501" s="3396"/>
      <c r="BU501" s="3396"/>
      <c r="BV501" s="3396"/>
      <c r="BW501" s="3396"/>
      <c r="BX501" s="3396"/>
      <c r="BY501" s="3396"/>
      <c r="BZ501" s="3396"/>
      <c r="CA501" s="3396"/>
      <c r="CB501" s="3396"/>
      <c r="CC501" s="3396"/>
      <c r="CD501" s="3396"/>
      <c r="CE501" s="3396"/>
      <c r="CF501" s="3396"/>
      <c r="CG501" s="3396"/>
      <c r="CH501" s="3396"/>
      <c r="CI501" s="3396"/>
      <c r="CJ501" s="3396"/>
      <c r="CK501" s="3396"/>
      <c r="CL501" s="3396"/>
      <c r="CM501" s="3396"/>
      <c r="CN501" s="3396"/>
      <c r="CO501" s="3396"/>
      <c r="CP501" s="3396"/>
      <c r="CQ501" s="3396"/>
      <c r="CR501" s="3396"/>
      <c r="CS501" s="3396"/>
      <c r="CT501" s="3396"/>
      <c r="CU501" s="3396"/>
      <c r="CV501" s="3396"/>
      <c r="CW501" s="3396"/>
      <c r="CX501" s="3396"/>
      <c r="CY501" s="3396"/>
      <c r="CZ501" s="3396"/>
      <c r="DA501" s="3396"/>
      <c r="DB501" s="3396"/>
      <c r="DC501" s="3396"/>
      <c r="DD501" s="3396"/>
      <c r="DE501" s="3396"/>
      <c r="DF501" s="3396"/>
      <c r="DG501" s="3396"/>
      <c r="DH501" s="3396"/>
      <c r="DI501" s="3396"/>
      <c r="DJ501" s="3396"/>
      <c r="DK501" s="3396"/>
      <c r="DL501" s="3396"/>
      <c r="DM501" s="3396"/>
      <c r="DN501" s="3396"/>
      <c r="DO501" s="3396"/>
      <c r="DP501" s="3396"/>
      <c r="DQ501" s="3396"/>
      <c r="DR501" s="3396"/>
      <c r="DS501" s="3396"/>
    </row>
    <row r="502" s="4136" customFormat="1" ht="26.25" customHeight="1" spans="1:123">
      <c r="A502" s="4481" t="s">
        <v>5167</v>
      </c>
      <c r="B502" s="4236"/>
      <c r="C502" s="4236"/>
      <c r="D502" s="4236"/>
      <c r="E502" s="4236"/>
      <c r="F502" s="4236"/>
      <c r="G502" s="4236"/>
      <c r="H502" s="4236"/>
      <c r="I502" s="4236"/>
      <c r="J502" s="4236"/>
      <c r="K502" s="4236"/>
      <c r="L502" s="4236"/>
      <c r="M502" s="4236"/>
      <c r="N502" s="4236"/>
      <c r="O502" s="4236"/>
      <c r="P502" s="4236"/>
      <c r="Q502" s="4236"/>
      <c r="R502" s="4236"/>
      <c r="S502" s="4236"/>
      <c r="T502" s="4236"/>
      <c r="U502" s="4236"/>
      <c r="V502" s="4236"/>
      <c r="W502" s="4236"/>
      <c r="X502" s="4236"/>
      <c r="Y502" s="4236"/>
      <c r="Z502" s="4236"/>
      <c r="AA502" s="4236"/>
      <c r="AB502" s="4236"/>
      <c r="AC502" s="4236"/>
      <c r="AD502" s="4236"/>
      <c r="AE502" s="4236"/>
      <c r="AF502" s="4236"/>
      <c r="AG502" s="4236"/>
      <c r="AH502" s="4236"/>
      <c r="AI502" s="4236"/>
      <c r="AJ502" s="4236"/>
      <c r="AK502" s="4236"/>
      <c r="AL502" s="4236"/>
      <c r="AM502" s="4236"/>
      <c r="AN502" s="4236"/>
      <c r="AO502" s="4236"/>
      <c r="AP502" s="4236"/>
      <c r="AQ502" s="4236"/>
      <c r="AR502" s="4236"/>
      <c r="AS502" s="4236"/>
      <c r="AT502" s="4236"/>
      <c r="AU502" s="4236"/>
      <c r="AV502" s="4236"/>
      <c r="AW502" s="4236"/>
      <c r="AX502" s="4236"/>
      <c r="AY502" s="4236"/>
      <c r="AZ502" s="4236"/>
      <c r="BA502" s="4236"/>
      <c r="BB502" s="4236"/>
      <c r="BC502" s="4236"/>
      <c r="BD502" s="4236"/>
      <c r="BE502" s="4236"/>
      <c r="BF502" s="4236"/>
      <c r="BG502" s="4236"/>
      <c r="BH502" s="4236"/>
      <c r="BI502" s="4236"/>
      <c r="BJ502" s="4236"/>
      <c r="BK502" s="4236"/>
      <c r="BL502" s="4236"/>
      <c r="BM502" s="4236"/>
      <c r="BN502" s="4236"/>
      <c r="BO502" s="4236"/>
      <c r="BP502" s="4236"/>
      <c r="BQ502" s="4236"/>
      <c r="BR502" s="4236"/>
      <c r="BS502" s="4236"/>
      <c r="BT502" s="4236"/>
      <c r="BU502" s="4236"/>
      <c r="BV502" s="4236"/>
      <c r="BW502" s="4236"/>
      <c r="BX502" s="4236"/>
      <c r="BY502" s="4236"/>
      <c r="BZ502" s="4236"/>
      <c r="CA502" s="4236"/>
      <c r="CB502" s="4236"/>
      <c r="CC502" s="4236"/>
      <c r="CD502" s="4236"/>
      <c r="CE502" s="4236"/>
      <c r="CF502" s="4236"/>
      <c r="CG502" s="4236"/>
      <c r="CH502" s="4236"/>
      <c r="CI502" s="4236"/>
      <c r="CJ502" s="4236"/>
      <c r="CK502" s="4236"/>
      <c r="CL502" s="4236"/>
      <c r="CM502" s="4236"/>
      <c r="CN502" s="4236"/>
      <c r="CO502" s="4236"/>
      <c r="CP502" s="4236"/>
      <c r="CQ502" s="4236"/>
      <c r="CR502" s="4236"/>
      <c r="CS502" s="4236"/>
      <c r="CT502" s="4236"/>
      <c r="CU502" s="4236"/>
      <c r="CV502" s="4236"/>
      <c r="CW502" s="4236"/>
      <c r="CX502" s="4236"/>
      <c r="CY502" s="4236"/>
      <c r="CZ502" s="4236"/>
      <c r="DA502" s="4236"/>
      <c r="DB502" s="4236"/>
      <c r="DC502" s="4236"/>
      <c r="DD502" s="4236"/>
      <c r="DE502" s="4236"/>
      <c r="DF502" s="4236"/>
      <c r="DG502" s="4236"/>
      <c r="DH502" s="4236"/>
      <c r="DI502" s="4236"/>
      <c r="DJ502" s="4236"/>
      <c r="DK502" s="4236"/>
      <c r="DL502" s="4236"/>
      <c r="DM502" s="4236"/>
      <c r="DN502" s="4236"/>
      <c r="DO502" s="4236"/>
      <c r="DP502" s="4236"/>
      <c r="DQ502" s="4236"/>
      <c r="DR502" s="4236"/>
      <c r="DS502" s="4236"/>
    </row>
    <row r="503" s="4133" customFormat="1" ht="14.25" customHeight="1" spans="1:123">
      <c r="A503" s="4482"/>
      <c r="B503" s="4423"/>
      <c r="C503" s="4423"/>
      <c r="D503" s="4423"/>
      <c r="E503" s="4423"/>
      <c r="F503" s="4483"/>
      <c r="G503" s="4423"/>
      <c r="H503" s="4423"/>
      <c r="I503" s="4423"/>
      <c r="J503" s="4423"/>
      <c r="K503" s="4423"/>
      <c r="L503" s="4423"/>
      <c r="M503" s="4423"/>
      <c r="N503" s="4423"/>
      <c r="O503" s="4423"/>
      <c r="P503" s="4423"/>
      <c r="Q503" s="4423"/>
      <c r="R503" s="4423"/>
      <c r="S503" s="4423"/>
      <c r="T503" s="4423"/>
      <c r="U503" s="4423"/>
      <c r="V503" s="4423"/>
      <c r="W503" s="4423"/>
      <c r="X503" s="4423"/>
      <c r="Y503" s="4423"/>
      <c r="Z503" s="4423"/>
      <c r="AA503" s="4423"/>
      <c r="AB503" s="4423"/>
      <c r="AC503" s="4423"/>
      <c r="AD503" s="4423"/>
      <c r="AE503" s="4423"/>
      <c r="AF503" s="4423"/>
      <c r="AG503" s="4423"/>
      <c r="AH503" s="4423"/>
      <c r="AI503" s="4423"/>
      <c r="AJ503" s="4423"/>
      <c r="AK503" s="4423"/>
      <c r="AL503" s="4423"/>
      <c r="AM503" s="4423"/>
      <c r="AN503" s="4423"/>
      <c r="AO503" s="4423"/>
      <c r="AP503" s="4423"/>
      <c r="AQ503" s="4423"/>
      <c r="AR503" s="4423"/>
      <c r="AS503" s="4423"/>
      <c r="AT503" s="4423"/>
      <c r="AU503" s="4423"/>
      <c r="AV503" s="4423"/>
      <c r="AW503" s="4423"/>
      <c r="AX503" s="4423"/>
      <c r="AY503" s="4423"/>
      <c r="AZ503" s="4423"/>
      <c r="BA503" s="4423"/>
      <c r="BB503" s="4423"/>
      <c r="BC503" s="4423"/>
      <c r="BD503" s="4423"/>
      <c r="BE503" s="4423"/>
      <c r="BF503" s="4423"/>
      <c r="BG503" s="4423"/>
      <c r="BH503" s="4423"/>
      <c r="BI503" s="4423"/>
      <c r="BJ503" s="4423"/>
      <c r="BK503" s="4423"/>
      <c r="BL503" s="4423"/>
      <c r="BM503" s="4423"/>
      <c r="BN503" s="4423"/>
      <c r="BO503" s="4423"/>
      <c r="BP503" s="4423"/>
      <c r="BQ503" s="4423"/>
      <c r="BR503" s="4423"/>
      <c r="BS503" s="4423"/>
      <c r="BT503" s="4423"/>
      <c r="BU503" s="4423"/>
      <c r="BV503" s="4423"/>
      <c r="BW503" s="4423"/>
      <c r="BX503" s="4423"/>
      <c r="BY503" s="4423"/>
      <c r="BZ503" s="4423"/>
      <c r="CA503" s="4423"/>
      <c r="CB503" s="4423"/>
      <c r="CC503" s="4423"/>
      <c r="CD503" s="4423"/>
      <c r="CE503" s="4423"/>
      <c r="CF503" s="4423"/>
      <c r="CG503" s="4423"/>
      <c r="CH503" s="4423"/>
      <c r="CI503" s="4423"/>
      <c r="CJ503" s="4423"/>
      <c r="CK503" s="4423"/>
      <c r="CL503" s="4423"/>
      <c r="CM503" s="4423"/>
      <c r="CN503" s="4423"/>
      <c r="CO503" s="4423"/>
      <c r="CP503" s="4423"/>
      <c r="CQ503" s="4423"/>
      <c r="CR503" s="4423"/>
      <c r="CS503" s="4423"/>
      <c r="CT503" s="4423"/>
      <c r="CU503" s="4423"/>
      <c r="CV503" s="4423"/>
      <c r="CW503" s="4423"/>
      <c r="CX503" s="4423"/>
      <c r="CY503" s="4423"/>
      <c r="CZ503" s="4423"/>
      <c r="DA503" s="4423"/>
      <c r="DB503" s="4423"/>
      <c r="DC503" s="4423"/>
      <c r="DD503" s="4423"/>
      <c r="DE503" s="4423"/>
      <c r="DF503" s="4423"/>
      <c r="DG503" s="4423"/>
      <c r="DH503" s="4423"/>
      <c r="DI503" s="4423"/>
      <c r="DJ503" s="4423"/>
      <c r="DK503" s="4423"/>
      <c r="DL503" s="4423"/>
      <c r="DM503" s="4423"/>
      <c r="DN503" s="4423"/>
      <c r="DO503" s="4423"/>
      <c r="DP503" s="4423"/>
      <c r="DQ503" s="4423"/>
      <c r="DR503" s="4423"/>
      <c r="DS503" s="4423"/>
    </row>
    <row r="504" s="4133" customFormat="1" ht="21.75" customHeight="1" spans="1:123">
      <c r="A504" s="4484" t="s">
        <v>5168</v>
      </c>
      <c r="B504" s="4423"/>
      <c r="C504" s="4423"/>
      <c r="D504" s="4423"/>
      <c r="E504" s="4423"/>
      <c r="F504" s="4483"/>
      <c r="G504" s="4423"/>
      <c r="H504" s="4423"/>
      <c r="I504" s="4423"/>
      <c r="J504" s="4423"/>
      <c r="K504" s="4423"/>
      <c r="L504" s="4423"/>
      <c r="M504" s="4423"/>
      <c r="N504" s="4423"/>
      <c r="O504" s="4423"/>
      <c r="P504" s="4423"/>
      <c r="Q504" s="4423"/>
      <c r="R504" s="4423"/>
      <c r="S504" s="4423"/>
      <c r="T504" s="4423"/>
      <c r="U504" s="4423"/>
      <c r="V504" s="4423"/>
      <c r="W504" s="4423"/>
      <c r="X504" s="4423"/>
      <c r="Y504" s="4423"/>
      <c r="Z504" s="4423"/>
      <c r="AA504" s="4423"/>
      <c r="AB504" s="4423"/>
      <c r="AC504" s="4423"/>
      <c r="AD504" s="4423"/>
      <c r="AE504" s="4423"/>
      <c r="AF504" s="4423"/>
      <c r="AG504" s="4423"/>
      <c r="AH504" s="4423"/>
      <c r="AI504" s="4423"/>
      <c r="AJ504" s="4423"/>
      <c r="AK504" s="4423"/>
      <c r="AL504" s="4423"/>
      <c r="AM504" s="4423"/>
      <c r="AN504" s="4423"/>
      <c r="AO504" s="4423"/>
      <c r="AP504" s="4423"/>
      <c r="AQ504" s="4423"/>
      <c r="AR504" s="4423"/>
      <c r="AS504" s="4423"/>
      <c r="AT504" s="4423"/>
      <c r="AU504" s="4423"/>
      <c r="AV504" s="4423"/>
      <c r="AW504" s="4423"/>
      <c r="AX504" s="4423"/>
      <c r="AY504" s="4423"/>
      <c r="AZ504" s="4423"/>
      <c r="BA504" s="4423"/>
      <c r="BB504" s="4423"/>
      <c r="BC504" s="4423"/>
      <c r="BD504" s="4423"/>
      <c r="BE504" s="4423"/>
      <c r="BF504" s="4423"/>
      <c r="BG504" s="4423"/>
      <c r="BH504" s="4423"/>
      <c r="BI504" s="4423"/>
      <c r="BJ504" s="4423"/>
      <c r="BK504" s="4423"/>
      <c r="BL504" s="4423"/>
      <c r="BM504" s="4423"/>
      <c r="BN504" s="4423"/>
      <c r="BO504" s="4423"/>
      <c r="BP504" s="4423"/>
      <c r="BQ504" s="4423"/>
      <c r="BR504" s="4423"/>
      <c r="BS504" s="4423"/>
      <c r="BT504" s="4423"/>
      <c r="BU504" s="4423"/>
      <c r="BV504" s="4423"/>
      <c r="BW504" s="4423"/>
      <c r="BX504" s="4423"/>
      <c r="BY504" s="4423"/>
      <c r="BZ504" s="4423"/>
      <c r="CA504" s="4423"/>
      <c r="CB504" s="4423"/>
      <c r="CC504" s="4423"/>
      <c r="CD504" s="4423"/>
      <c r="CE504" s="4423"/>
      <c r="CF504" s="4423"/>
      <c r="CG504" s="4423"/>
      <c r="CH504" s="4423"/>
      <c r="CI504" s="4423"/>
      <c r="CJ504" s="4423"/>
      <c r="CK504" s="4423"/>
      <c r="CL504" s="4423"/>
      <c r="CM504" s="4423"/>
      <c r="CN504" s="4423"/>
      <c r="CO504" s="4423"/>
      <c r="CP504" s="4423"/>
      <c r="CQ504" s="4423"/>
      <c r="CR504" s="4423"/>
      <c r="CS504" s="4423"/>
      <c r="CT504" s="4423"/>
      <c r="CU504" s="4423"/>
      <c r="CV504" s="4423"/>
      <c r="CW504" s="4423"/>
      <c r="CX504" s="4423"/>
      <c r="CY504" s="4423"/>
      <c r="CZ504" s="4423"/>
      <c r="DA504" s="4423"/>
      <c r="DB504" s="4423"/>
      <c r="DC504" s="4423"/>
      <c r="DD504" s="4423"/>
      <c r="DE504" s="4423"/>
      <c r="DF504" s="4423"/>
      <c r="DG504" s="4423"/>
      <c r="DH504" s="4423"/>
      <c r="DI504" s="4423"/>
      <c r="DJ504" s="4423"/>
      <c r="DK504" s="4423"/>
      <c r="DL504" s="4423"/>
      <c r="DM504" s="4423"/>
      <c r="DN504" s="4423"/>
      <c r="DO504" s="4423"/>
      <c r="DP504" s="4423"/>
      <c r="DQ504" s="4423"/>
      <c r="DR504" s="4423"/>
      <c r="DS504" s="4423"/>
    </row>
    <row r="505" s="4133" customFormat="1" ht="21" customHeight="1" spans="1:123">
      <c r="A505" s="4485" t="s">
        <v>5169</v>
      </c>
      <c r="B505" s="4486"/>
      <c r="C505" s="4486"/>
      <c r="D505" s="4486"/>
      <c r="E505" s="4486"/>
      <c r="F505" s="4487"/>
      <c r="G505" s="4486"/>
      <c r="H505" s="4486"/>
      <c r="I505" s="4486"/>
      <c r="J505" s="4486"/>
      <c r="K505" s="4488"/>
      <c r="L505" s="4489">
        <v>0.5</v>
      </c>
      <c r="M505" s="4489"/>
      <c r="N505" s="4489"/>
      <c r="O505" s="4489"/>
      <c r="P505" s="4489"/>
      <c r="Q505" s="4489"/>
      <c r="R505" s="4181" t="s">
        <v>20</v>
      </c>
      <c r="S505" s="4490"/>
      <c r="T505" s="4490"/>
      <c r="U505" s="4490"/>
      <c r="V505" s="4491"/>
      <c r="W505" s="4490"/>
      <c r="X505" s="4490"/>
      <c r="Y505" s="4490"/>
      <c r="Z505" s="4490"/>
      <c r="AA505" s="4490"/>
      <c r="AB505" s="4490"/>
      <c r="AC505" s="4490"/>
      <c r="AD505" s="4490"/>
      <c r="AE505" s="4490"/>
      <c r="AF505" s="4490"/>
      <c r="AG505" s="4490"/>
      <c r="AH505" s="4490"/>
      <c r="AI505" s="4490"/>
      <c r="AJ505" s="4490"/>
      <c r="AK505" s="4490"/>
      <c r="AL505" s="4490"/>
      <c r="AM505" s="4490"/>
      <c r="AN505" s="4490"/>
      <c r="AO505" s="4490"/>
      <c r="AP505" s="4423"/>
      <c r="AQ505" s="4423"/>
      <c r="AR505" s="4423"/>
      <c r="AS505" s="4423"/>
      <c r="AT505" s="4490"/>
      <c r="AU505" s="4490"/>
      <c r="AV505" s="4490"/>
      <c r="AW505" s="4490"/>
      <c r="AX505" s="4490"/>
      <c r="AY505" s="4490"/>
      <c r="AZ505" s="4490"/>
      <c r="BA505" s="4490"/>
      <c r="BB505" s="4490"/>
      <c r="BC505" s="4490"/>
      <c r="BD505" s="4490"/>
      <c r="BE505" s="4490"/>
      <c r="BF505" s="4490"/>
      <c r="BG505" s="4490"/>
      <c r="BH505" s="4490"/>
      <c r="BI505" s="4292"/>
      <c r="BJ505" s="4292"/>
      <c r="BK505" s="4292"/>
      <c r="BL505" s="4292"/>
      <c r="BM505" s="4292"/>
      <c r="BN505" s="4292"/>
      <c r="BO505" s="4292"/>
      <c r="BP505" s="4292"/>
      <c r="BQ505" s="4292"/>
      <c r="BR505" s="4292"/>
      <c r="BS505" s="4292"/>
      <c r="BT505" s="4292"/>
      <c r="BU505" s="4292"/>
      <c r="BV505" s="4292"/>
      <c r="BW505" s="4292"/>
      <c r="BX505" s="4292"/>
      <c r="BY505" s="4292"/>
      <c r="BZ505" s="4292"/>
      <c r="CA505" s="4292"/>
      <c r="CB505" s="4292"/>
      <c r="CC505" s="4292"/>
      <c r="CD505" s="4292"/>
      <c r="CE505" s="4292"/>
      <c r="CF505" s="4292"/>
      <c r="CG505" s="4292"/>
      <c r="CH505" s="4292"/>
      <c r="CI505" s="4292"/>
      <c r="CJ505" s="4292"/>
      <c r="CK505" s="4292"/>
      <c r="CL505" s="4292"/>
      <c r="CM505" s="4292"/>
      <c r="CN505" s="4292"/>
      <c r="CO505" s="4292"/>
      <c r="CP505" s="4292"/>
      <c r="CQ505" s="4292"/>
      <c r="CR505" s="4292"/>
      <c r="CS505" s="4292"/>
      <c r="CT505" s="4292"/>
      <c r="CU505" s="4292"/>
      <c r="CV505" s="4292"/>
      <c r="CW505" s="4292"/>
      <c r="CX505" s="4292"/>
      <c r="CY505" s="4292"/>
      <c r="CZ505" s="4292"/>
      <c r="DA505" s="4292"/>
      <c r="DB505" s="4292"/>
      <c r="DC505" s="4292"/>
      <c r="DD505" s="4292"/>
      <c r="DE505" s="4292"/>
      <c r="DF505" s="4292"/>
      <c r="DG505" s="4292"/>
      <c r="DH505" s="4292"/>
      <c r="DI505" s="4292"/>
      <c r="DJ505" s="4292"/>
      <c r="DK505" s="4292"/>
      <c r="DL505" s="4292"/>
      <c r="DM505" s="4292"/>
      <c r="DN505" s="4292"/>
      <c r="DO505" s="4292"/>
      <c r="DP505" s="4292"/>
      <c r="DQ505" s="4292"/>
      <c r="DR505" s="4292"/>
      <c r="DS505" s="4292"/>
    </row>
    <row r="506" s="4133" customFormat="1" ht="21" customHeight="1" spans="1:123">
      <c r="A506" s="4485" t="s">
        <v>5170</v>
      </c>
      <c r="B506" s="4492"/>
      <c r="C506" s="4492"/>
      <c r="D506" s="4492"/>
      <c r="E506" s="4492"/>
      <c r="F506" s="4493"/>
      <c r="G506" s="4492"/>
      <c r="H506" s="4492"/>
      <c r="I506" s="4492"/>
      <c r="J506" s="4494">
        <v>506</v>
      </c>
      <c r="K506" s="4495"/>
      <c r="L506" s="4496">
        <v>87679</v>
      </c>
      <c r="M506" s="4496"/>
      <c r="N506" s="4496"/>
      <c r="O506" s="4496"/>
      <c r="P506" s="4496"/>
      <c r="Q506" s="4496"/>
      <c r="R506" s="4303"/>
      <c r="S506" s="4303"/>
      <c r="T506" s="4303"/>
      <c r="U506" s="4303"/>
      <c r="V506" s="4491"/>
      <c r="W506" s="4490"/>
      <c r="X506" s="4292"/>
      <c r="Y506" s="4292"/>
      <c r="Z506" s="4292"/>
      <c r="AA506" s="4292"/>
      <c r="AB506" s="4292"/>
      <c r="AC506" s="4292"/>
      <c r="AD506" s="4292"/>
      <c r="AE506" s="4292"/>
      <c r="AF506" s="4292"/>
      <c r="AG506" s="4292"/>
      <c r="AH506" s="4292"/>
      <c r="AI506" s="4292"/>
      <c r="AJ506" s="4292"/>
      <c r="AK506" s="4292"/>
      <c r="AL506" s="4292"/>
      <c r="AM506" s="4292"/>
      <c r="AN506" s="4292"/>
      <c r="AO506" s="4292"/>
      <c r="AP506" s="4423"/>
      <c r="AQ506" s="4423"/>
      <c r="AR506" s="4423"/>
      <c r="AS506" s="4423"/>
      <c r="AT506" s="4292"/>
      <c r="AU506" s="4292"/>
      <c r="AV506" s="4292"/>
      <c r="AW506" s="4292"/>
      <c r="AX506" s="4292"/>
      <c r="AY506" s="4292"/>
      <c r="AZ506" s="4292"/>
      <c r="BA506" s="4292"/>
      <c r="BB506" s="4292"/>
      <c r="BC506" s="4292"/>
      <c r="BD506" s="4292"/>
      <c r="BE506" s="4292"/>
      <c r="BF506" s="4292"/>
      <c r="BG506" s="4292"/>
      <c r="BH506" s="4292"/>
      <c r="BI506" s="4292"/>
      <c r="BJ506" s="4292"/>
      <c r="BK506" s="4292"/>
      <c r="BL506" s="4292"/>
      <c r="BM506" s="4292"/>
      <c r="BN506" s="4292"/>
      <c r="BO506" s="4292"/>
      <c r="BP506" s="4292"/>
      <c r="BQ506" s="4292"/>
      <c r="BR506" s="4292"/>
      <c r="BS506" s="4292"/>
      <c r="BT506" s="4292"/>
      <c r="BU506" s="4292"/>
      <c r="BV506" s="4292"/>
      <c r="BW506" s="4292"/>
      <c r="BX506" s="4292"/>
      <c r="BY506" s="4292"/>
      <c r="BZ506" s="4292"/>
      <c r="CA506" s="4292"/>
      <c r="CB506" s="4292"/>
      <c r="CC506" s="4292"/>
      <c r="CD506" s="4292"/>
      <c r="CE506" s="4292"/>
      <c r="CF506" s="4292"/>
      <c r="CG506" s="4292"/>
      <c r="CH506" s="4292"/>
      <c r="CI506" s="4292"/>
      <c r="CJ506" s="4292"/>
      <c r="CK506" s="4292"/>
      <c r="CL506" s="4292"/>
      <c r="CM506" s="4292"/>
      <c r="CN506" s="4292"/>
      <c r="CO506" s="4292"/>
      <c r="CP506" s="4292"/>
      <c r="CQ506" s="4292"/>
      <c r="CR506" s="4292"/>
      <c r="CS506" s="4292"/>
      <c r="CT506" s="4292"/>
      <c r="CU506" s="4292"/>
      <c r="CV506" s="4292"/>
      <c r="CW506" s="4292"/>
      <c r="CX506" s="4292"/>
      <c r="CY506" s="4292"/>
      <c r="CZ506" s="4292"/>
      <c r="DA506" s="4292"/>
      <c r="DB506" s="4292"/>
      <c r="DC506" s="4292"/>
      <c r="DD506" s="4292"/>
      <c r="DE506" s="4292"/>
      <c r="DF506" s="4292"/>
      <c r="DG506" s="4292"/>
      <c r="DH506" s="4292"/>
      <c r="DI506" s="4292"/>
      <c r="DJ506" s="4292"/>
      <c r="DK506" s="4292"/>
      <c r="DL506" s="4292"/>
      <c r="DM506" s="4292"/>
      <c r="DN506" s="4292"/>
      <c r="DO506" s="4292"/>
      <c r="DP506" s="4292"/>
      <c r="DQ506" s="4292"/>
      <c r="DR506" s="4292"/>
      <c r="DS506" s="4292"/>
    </row>
    <row r="507" s="4133" customFormat="1" ht="33.75" customHeight="1" spans="1:123">
      <c r="A507" s="4497" t="s">
        <v>5171</v>
      </c>
      <c r="B507" s="4498"/>
      <c r="C507" s="4498"/>
      <c r="D507" s="4498"/>
      <c r="E507" s="4498"/>
      <c r="F507" s="4498"/>
      <c r="G507" s="4498"/>
      <c r="H507" s="4498"/>
      <c r="I507" s="4498"/>
      <c r="J507" s="4498"/>
      <c r="K507" s="4499"/>
      <c r="L507" s="4496">
        <v>6766.28</v>
      </c>
      <c r="M507" s="4496"/>
      <c r="N507" s="4496"/>
      <c r="O507" s="4496"/>
      <c r="P507" s="4496"/>
      <c r="Q507" s="4496"/>
      <c r="R507" s="4303"/>
      <c r="S507" s="4303"/>
      <c r="T507" s="4303"/>
      <c r="U507" s="4303"/>
      <c r="V507" s="4491"/>
      <c r="W507" s="4466" t="s">
        <v>5172</v>
      </c>
      <c r="X507" s="4292"/>
      <c r="Y507" s="4292"/>
      <c r="Z507" s="4292"/>
      <c r="AA507" s="4292"/>
      <c r="AB507" s="4292"/>
      <c r="AC507" s="4292"/>
      <c r="AD507" s="4292"/>
      <c r="AE507" s="4292"/>
      <c r="AF507" s="4292"/>
      <c r="AG507" s="4292"/>
      <c r="AH507" s="4292"/>
      <c r="AI507" s="4292"/>
      <c r="AJ507" s="4292"/>
      <c r="AK507" s="4292"/>
      <c r="AL507" s="4292"/>
      <c r="AM507" s="4292"/>
      <c r="AN507" s="4292"/>
      <c r="AO507" s="4292"/>
      <c r="AP507" s="4423"/>
      <c r="AQ507" s="4423"/>
      <c r="AR507" s="4423"/>
      <c r="AS507" s="4423"/>
      <c r="AT507" s="4292"/>
      <c r="AU507" s="4292"/>
      <c r="AV507" s="4292"/>
      <c r="AW507" s="4292"/>
      <c r="AX507" s="4292"/>
      <c r="AY507" s="4292"/>
      <c r="AZ507" s="4292"/>
      <c r="BA507" s="4292"/>
      <c r="BB507" s="4292"/>
      <c r="BC507" s="4292"/>
      <c r="BD507" s="4292"/>
      <c r="BE507" s="4292"/>
      <c r="BF507" s="4292"/>
      <c r="BG507" s="4292"/>
      <c r="BH507" s="4292"/>
      <c r="BI507" s="4292"/>
      <c r="BJ507" s="4292"/>
      <c r="BK507" s="4292"/>
      <c r="BL507" s="4292"/>
      <c r="BM507" s="4292"/>
      <c r="BN507" s="4292"/>
      <c r="BO507" s="4292"/>
      <c r="BP507" s="4292"/>
      <c r="BQ507" s="4292"/>
      <c r="BR507" s="4292"/>
      <c r="BS507" s="4292"/>
      <c r="BT507" s="4292"/>
      <c r="BU507" s="4292"/>
      <c r="BV507" s="4292"/>
      <c r="BW507" s="4292"/>
      <c r="BX507" s="4292"/>
      <c r="BY507" s="4292"/>
      <c r="BZ507" s="4292"/>
      <c r="CA507" s="4292"/>
      <c r="CB507" s="4292"/>
      <c r="CC507" s="4292"/>
      <c r="CD507" s="4292"/>
      <c r="CE507" s="4292"/>
      <c r="CF507" s="4292"/>
      <c r="CG507" s="4292"/>
      <c r="CH507" s="4292"/>
      <c r="CI507" s="4292"/>
      <c r="CJ507" s="4292"/>
      <c r="CK507" s="4292"/>
      <c r="CL507" s="4292"/>
      <c r="CM507" s="4292"/>
      <c r="CN507" s="4292"/>
      <c r="CO507" s="4292"/>
      <c r="CP507" s="4292"/>
      <c r="CQ507" s="4292"/>
      <c r="CR507" s="4292"/>
      <c r="CS507" s="4292"/>
      <c r="CT507" s="4292"/>
      <c r="CU507" s="4292"/>
      <c r="CV507" s="4292"/>
      <c r="CW507" s="4292"/>
      <c r="CX507" s="4292"/>
      <c r="CY507" s="4292"/>
      <c r="CZ507" s="4292"/>
      <c r="DA507" s="4292"/>
      <c r="DB507" s="4292"/>
      <c r="DC507" s="4292"/>
      <c r="DD507" s="4292"/>
      <c r="DE507" s="4292"/>
      <c r="DF507" s="4292"/>
      <c r="DG507" s="4292"/>
      <c r="DH507" s="4292"/>
      <c r="DI507" s="4292"/>
      <c r="DJ507" s="4292"/>
      <c r="DK507" s="4292"/>
      <c r="DL507" s="4292"/>
      <c r="DM507" s="4292"/>
      <c r="DN507" s="4292"/>
      <c r="DO507" s="4292"/>
      <c r="DP507" s="4292"/>
      <c r="DQ507" s="4292"/>
      <c r="DR507" s="4292"/>
      <c r="DS507" s="4292"/>
    </row>
    <row r="508" s="4133" customFormat="1" ht="21" customHeight="1" spans="1:123">
      <c r="A508" s="4500"/>
      <c r="B508" s="4492"/>
      <c r="C508" s="4492"/>
      <c r="D508" s="4492"/>
      <c r="E508" s="4492"/>
      <c r="F508" s="4492"/>
      <c r="G508" s="4492"/>
      <c r="H508" s="4492"/>
      <c r="I508" s="4492"/>
      <c r="J508" s="4492"/>
      <c r="K508" s="4501" t="s">
        <v>5173</v>
      </c>
      <c r="L508" s="4489">
        <f>L506+L507</f>
        <v>94445.28</v>
      </c>
      <c r="M508" s="4489"/>
      <c r="N508" s="4489"/>
      <c r="O508" s="4489"/>
      <c r="P508" s="4489"/>
      <c r="Q508" s="4489"/>
      <c r="R508" s="4295"/>
      <c r="S508" s="4295"/>
      <c r="T508" s="4295"/>
      <c r="U508" s="4295"/>
      <c r="V508" s="4295"/>
      <c r="W508" s="4303" t="s">
        <v>5174</v>
      </c>
      <c r="X508" s="4295"/>
      <c r="Y508" s="4295"/>
      <c r="Z508" s="4295"/>
      <c r="AA508" s="4295"/>
      <c r="AB508" s="4295"/>
      <c r="AC508" s="4295"/>
      <c r="AD508" s="4295"/>
      <c r="AE508" s="4295"/>
      <c r="AF508" s="4295"/>
      <c r="AG508" s="4295"/>
      <c r="AH508" s="4295"/>
      <c r="AI508" s="4295"/>
      <c r="AJ508" s="4295"/>
      <c r="AK508" s="4295"/>
      <c r="AL508" s="4295"/>
      <c r="AM508" s="4295"/>
      <c r="AN508" s="4295"/>
      <c r="AO508" s="4295"/>
      <c r="AP508" s="4423"/>
      <c r="AQ508" s="4423"/>
      <c r="AR508" s="4423"/>
      <c r="AS508" s="4423"/>
      <c r="AT508" s="4295"/>
      <c r="AU508" s="4295"/>
      <c r="AV508" s="4295"/>
      <c r="AW508" s="4295"/>
      <c r="AX508" s="4295"/>
      <c r="AY508" s="4295"/>
      <c r="AZ508" s="4295"/>
      <c r="BA508" s="4295"/>
      <c r="BB508" s="4295"/>
      <c r="BC508" s="4295"/>
      <c r="BD508" s="4295"/>
      <c r="BE508" s="4295"/>
      <c r="BF508" s="4295"/>
      <c r="BG508" s="4295"/>
      <c r="BH508" s="4295"/>
      <c r="BI508" s="4292"/>
      <c r="BJ508" s="4292"/>
      <c r="BK508" s="4292"/>
      <c r="BL508" s="4292"/>
      <c r="BM508" s="4292"/>
      <c r="BN508" s="4292"/>
      <c r="BO508" s="4292"/>
      <c r="BP508" s="4292"/>
      <c r="BQ508" s="4292"/>
      <c r="BR508" s="4292"/>
      <c r="BS508" s="4292"/>
      <c r="BT508" s="4292"/>
      <c r="BU508" s="4292"/>
      <c r="BV508" s="4292"/>
      <c r="BW508" s="4292"/>
      <c r="BX508" s="4292"/>
      <c r="BY508" s="4292"/>
      <c r="BZ508" s="4292"/>
      <c r="CA508" s="4292"/>
      <c r="CB508" s="4292"/>
      <c r="CC508" s="4292"/>
      <c r="CD508" s="4292"/>
      <c r="CE508" s="4292"/>
      <c r="CF508" s="4292"/>
      <c r="CG508" s="4292"/>
      <c r="CH508" s="4292"/>
      <c r="CI508" s="4292"/>
      <c r="CJ508" s="4292"/>
      <c r="CK508" s="4292"/>
      <c r="CL508" s="4292"/>
      <c r="CM508" s="4292"/>
      <c r="CN508" s="4292"/>
      <c r="CO508" s="4292"/>
      <c r="CP508" s="4292"/>
      <c r="CQ508" s="4292"/>
      <c r="CR508" s="4292"/>
      <c r="CS508" s="4292"/>
      <c r="CT508" s="4292"/>
      <c r="CU508" s="4292"/>
      <c r="CV508" s="4292"/>
      <c r="CW508" s="4292"/>
      <c r="CX508" s="4292"/>
      <c r="CY508" s="4292"/>
      <c r="CZ508" s="4292"/>
      <c r="DA508" s="4292"/>
      <c r="DB508" s="4292"/>
      <c r="DC508" s="4292"/>
      <c r="DD508" s="4292"/>
      <c r="DE508" s="4292"/>
      <c r="DF508" s="4292"/>
      <c r="DG508" s="4292"/>
      <c r="DH508" s="4292"/>
      <c r="DI508" s="4292"/>
      <c r="DJ508" s="4292"/>
      <c r="DK508" s="4292"/>
      <c r="DL508" s="4292"/>
      <c r="DM508" s="4292"/>
      <c r="DN508" s="4292"/>
      <c r="DO508" s="4292"/>
      <c r="DP508" s="4292"/>
      <c r="DQ508" s="4292"/>
      <c r="DR508" s="4292"/>
      <c r="DS508" s="4292"/>
    </row>
    <row r="509" s="4133" customFormat="1" ht="21" customHeight="1" spans="1:123">
      <c r="A509" s="4502" t="s">
        <v>5175</v>
      </c>
      <c r="B509" s="4503"/>
      <c r="C509" s="4503"/>
      <c r="D509" s="4503"/>
      <c r="E509" s="4503"/>
      <c r="F509" s="4504"/>
      <c r="G509" s="4503"/>
      <c r="H509" s="4503"/>
      <c r="I509" s="4505">
        <v>722581</v>
      </c>
      <c r="J509" s="4505"/>
      <c r="K509" s="4506"/>
      <c r="L509" s="4489">
        <f>L506*L505/100</f>
        <v>438.395</v>
      </c>
      <c r="M509" s="4489"/>
      <c r="N509" s="4489"/>
      <c r="O509" s="4489"/>
      <c r="P509" s="4489"/>
      <c r="Q509" s="4489"/>
      <c r="R509" s="4507"/>
      <c r="S509" s="4507"/>
      <c r="T509" s="4507"/>
      <c r="U509" s="4507"/>
      <c r="V509" s="4295"/>
      <c r="W509" s="4491" t="s">
        <v>5176</v>
      </c>
      <c r="X509" s="4490"/>
      <c r="Y509" s="4490"/>
      <c r="Z509" s="4490"/>
      <c r="AA509" s="4490"/>
      <c r="AB509" s="4490"/>
      <c r="AC509" s="4490"/>
      <c r="AD509" s="4490"/>
      <c r="AE509" s="4490"/>
      <c r="AF509" s="4490"/>
      <c r="AG509" s="4490"/>
      <c r="AH509" s="4490"/>
      <c r="AI509" s="4490"/>
      <c r="AJ509" s="4490"/>
      <c r="AK509" s="4490"/>
      <c r="AL509" s="4490"/>
      <c r="AM509" s="4490"/>
      <c r="AN509" s="4490"/>
      <c r="AO509" s="4490"/>
      <c r="AP509" s="4490"/>
      <c r="AQ509" s="4490"/>
      <c r="AR509" s="4490"/>
      <c r="AS509" s="4490"/>
      <c r="AT509" s="4490"/>
      <c r="AU509" s="4490"/>
      <c r="AV509" s="4490"/>
      <c r="AW509" s="4490"/>
      <c r="AX509" s="4490"/>
      <c r="AY509" s="4490"/>
      <c r="AZ509" s="4490"/>
      <c r="BA509" s="4490"/>
      <c r="BB509" s="4490"/>
      <c r="BC509" s="4490"/>
      <c r="BD509" s="4490"/>
      <c r="BE509" s="4490"/>
      <c r="BF509" s="4490"/>
      <c r="BG509" s="4490"/>
      <c r="BH509" s="4490"/>
      <c r="BI509" s="4292"/>
      <c r="BJ509" s="4292"/>
      <c r="BK509" s="4292"/>
      <c r="BL509" s="4292"/>
      <c r="BM509" s="4292"/>
      <c r="BN509" s="4292"/>
      <c r="BO509" s="4292"/>
      <c r="BP509" s="4292"/>
      <c r="BQ509" s="4292"/>
      <c r="BR509" s="4292"/>
      <c r="BS509" s="4292"/>
      <c r="BT509" s="4292"/>
      <c r="BU509" s="4292"/>
      <c r="BV509" s="4292"/>
      <c r="BW509" s="4292"/>
      <c r="BX509" s="4292"/>
      <c r="BY509" s="4292"/>
      <c r="BZ509" s="4292"/>
      <c r="CA509" s="4292"/>
      <c r="CB509" s="4292"/>
      <c r="CC509" s="4292"/>
      <c r="CD509" s="4292"/>
      <c r="CE509" s="4292"/>
      <c r="CF509" s="4292"/>
      <c r="CG509" s="4292"/>
      <c r="CH509" s="4292"/>
      <c r="CI509" s="4292"/>
      <c r="CJ509" s="4292"/>
      <c r="CK509" s="4292"/>
      <c r="CL509" s="4292"/>
      <c r="CM509" s="4292"/>
      <c r="CN509" s="4292"/>
      <c r="CO509" s="4292"/>
      <c r="CP509" s="4292"/>
      <c r="CQ509" s="4292"/>
      <c r="CR509" s="4292"/>
      <c r="CS509" s="4292"/>
      <c r="CT509" s="4292"/>
      <c r="CU509" s="4292"/>
      <c r="CV509" s="4292"/>
      <c r="CW509" s="4292"/>
      <c r="CX509" s="4292"/>
      <c r="CY509" s="4292"/>
      <c r="CZ509" s="4292"/>
      <c r="DA509" s="4292"/>
      <c r="DB509" s="4292"/>
      <c r="DC509" s="4292"/>
      <c r="DD509" s="4292"/>
      <c r="DE509" s="4292"/>
      <c r="DF509" s="4292"/>
      <c r="DG509" s="4292"/>
      <c r="DH509" s="4292"/>
      <c r="DI509" s="4292"/>
      <c r="DJ509" s="4292"/>
      <c r="DK509" s="4292"/>
      <c r="DL509" s="4292"/>
      <c r="DM509" s="4292"/>
      <c r="DN509" s="4292"/>
      <c r="DO509" s="4292"/>
      <c r="DP509" s="4292"/>
      <c r="DQ509" s="4292"/>
      <c r="DR509" s="4292"/>
      <c r="DS509" s="4292"/>
    </row>
    <row r="510" s="4133" customFormat="1" ht="21" customHeight="1" spans="1:123">
      <c r="A510" s="4502" t="s">
        <v>5175</v>
      </c>
      <c r="B510" s="4503"/>
      <c r="C510" s="4503"/>
      <c r="D510" s="4503"/>
      <c r="E510" s="4503"/>
      <c r="F510" s="4504"/>
      <c r="G510" s="4503"/>
      <c r="H510" s="4503"/>
      <c r="I510" s="4505">
        <v>722582</v>
      </c>
      <c r="J510" s="4505"/>
      <c r="K510" s="4506"/>
      <c r="L510" s="4489">
        <f>L507*L505/100</f>
        <v>33.8314</v>
      </c>
      <c r="M510" s="4489"/>
      <c r="N510" s="4489"/>
      <c r="O510" s="4489"/>
      <c r="P510" s="4489"/>
      <c r="Q510" s="4489"/>
      <c r="R510" s="4507"/>
      <c r="S510" s="4507"/>
      <c r="T510" s="4507"/>
      <c r="U510" s="4507"/>
      <c r="V510" s="4295"/>
      <c r="W510" s="4507"/>
      <c r="X510" s="4490"/>
      <c r="Y510" s="4490"/>
      <c r="Z510" s="4490"/>
      <c r="AA510" s="4490"/>
      <c r="AB510" s="4490"/>
      <c r="AC510" s="4490"/>
      <c r="AD510" s="4490"/>
      <c r="AE510" s="4490"/>
      <c r="AF510" s="4490"/>
      <c r="AG510" s="4490"/>
      <c r="AH510" s="4490"/>
      <c r="AI510" s="4490"/>
      <c r="AJ510" s="4490"/>
      <c r="AK510" s="4490"/>
      <c r="AL510" s="4490"/>
      <c r="AM510" s="4490"/>
      <c r="AN510" s="4490"/>
      <c r="AO510" s="4490"/>
      <c r="AP510" s="4490"/>
      <c r="AQ510" s="4490"/>
      <c r="AR510" s="4490"/>
      <c r="AS510" s="4490"/>
      <c r="AT510" s="4490"/>
      <c r="AU510" s="4490"/>
      <c r="AV510" s="4490"/>
      <c r="AW510" s="4490"/>
      <c r="AX510" s="4490"/>
      <c r="AY510" s="4490"/>
      <c r="AZ510" s="4490"/>
      <c r="BA510" s="4490"/>
      <c r="BB510" s="4490"/>
      <c r="BC510" s="4490"/>
      <c r="BD510" s="4490"/>
      <c r="BE510" s="4490"/>
      <c r="BF510" s="4490"/>
      <c r="BG510" s="4490"/>
      <c r="BH510" s="4490"/>
      <c r="BI510" s="4292"/>
      <c r="BJ510" s="4292"/>
      <c r="BK510" s="4292"/>
      <c r="BL510" s="4292"/>
      <c r="BM510" s="4292"/>
      <c r="BN510" s="4292"/>
      <c r="BO510" s="4292"/>
      <c r="BP510" s="4292"/>
      <c r="BQ510" s="4292"/>
      <c r="BR510" s="4292"/>
      <c r="BS510" s="4292"/>
      <c r="BT510" s="4292"/>
      <c r="BU510" s="4292"/>
      <c r="BV510" s="4292"/>
      <c r="BW510" s="4292"/>
      <c r="BX510" s="4292"/>
      <c r="BY510" s="4292"/>
      <c r="BZ510" s="4292"/>
      <c r="CA510" s="4292"/>
      <c r="CB510" s="4292"/>
      <c r="CC510" s="4292"/>
      <c r="CD510" s="4292"/>
      <c r="CE510" s="4292"/>
      <c r="CF510" s="4292"/>
      <c r="CG510" s="4292"/>
      <c r="CH510" s="4292"/>
      <c r="CI510" s="4292"/>
      <c r="CJ510" s="4292"/>
      <c r="CK510" s="4292"/>
      <c r="CL510" s="4292"/>
      <c r="CM510" s="4292"/>
      <c r="CN510" s="4292"/>
      <c r="CO510" s="4292"/>
      <c r="CP510" s="4292"/>
      <c r="CQ510" s="4292"/>
      <c r="CR510" s="4292"/>
      <c r="CS510" s="4292"/>
      <c r="CT510" s="4292"/>
      <c r="CU510" s="4292"/>
      <c r="CV510" s="4292"/>
      <c r="CW510" s="4292"/>
      <c r="CX510" s="4292"/>
      <c r="CY510" s="4292"/>
      <c r="CZ510" s="4292"/>
      <c r="DA510" s="4292"/>
      <c r="DB510" s="4292"/>
      <c r="DC510" s="4292"/>
      <c r="DD510" s="4292"/>
      <c r="DE510" s="4292"/>
      <c r="DF510" s="4292"/>
      <c r="DG510" s="4292"/>
      <c r="DH510" s="4292"/>
      <c r="DI510" s="4292"/>
      <c r="DJ510" s="4292"/>
      <c r="DK510" s="4292"/>
      <c r="DL510" s="4292"/>
      <c r="DM510" s="4292"/>
      <c r="DN510" s="4292"/>
      <c r="DO510" s="4292"/>
      <c r="DP510" s="4292"/>
      <c r="DQ510" s="4292"/>
      <c r="DR510" s="4292"/>
      <c r="DS510" s="4292"/>
    </row>
    <row r="511" s="4133" customFormat="1" ht="16.5" customHeight="1" spans="1:123">
      <c r="A511" s="4508"/>
      <c r="B511" s="4508"/>
      <c r="C511" s="4508"/>
      <c r="D511" s="4508"/>
      <c r="E511" s="4508"/>
      <c r="F511" s="4509"/>
      <c r="G511" s="4508"/>
      <c r="H511" s="4508"/>
      <c r="I511" s="4508"/>
      <c r="J511" s="4508"/>
      <c r="K511" s="4508"/>
      <c r="L511" s="4508"/>
      <c r="M511" s="4508"/>
      <c r="N511" s="4508"/>
      <c r="O511" s="4508"/>
      <c r="P511" s="4508"/>
      <c r="Q511" s="4508"/>
      <c r="R511" s="4508"/>
      <c r="S511" s="4508"/>
      <c r="T511" s="4510"/>
      <c r="U511" s="4511"/>
      <c r="V511" s="4508"/>
      <c r="W511" s="4511"/>
      <c r="X511" s="4510"/>
      <c r="Y511" s="4508"/>
      <c r="Z511" s="4508"/>
      <c r="AA511" s="4508"/>
      <c r="AB511" s="4512"/>
      <c r="AC511" s="4512"/>
      <c r="AD511" s="4512"/>
      <c r="AE511" s="4512"/>
      <c r="AF511" s="4512"/>
      <c r="AG511" s="4512"/>
      <c r="AH511" s="4512"/>
      <c r="AI511" s="4512"/>
      <c r="AJ511" s="4512"/>
      <c r="AK511" s="4512"/>
      <c r="AL511" s="4512"/>
      <c r="AM511" s="4512"/>
      <c r="AN511" s="4512"/>
      <c r="AO511" s="4512"/>
      <c r="AP511" s="4512"/>
      <c r="AQ511" s="4512"/>
      <c r="AR511" s="4512"/>
      <c r="AS511" s="4512"/>
      <c r="AT511" s="4512"/>
      <c r="AU511" s="4512"/>
      <c r="AV511" s="4512"/>
      <c r="AW511" s="4512"/>
      <c r="AX511" s="4512"/>
      <c r="AY511" s="4512"/>
      <c r="AZ511" s="4512"/>
      <c r="BA511" s="4512"/>
      <c r="BB511" s="4512"/>
      <c r="BC511" s="4512"/>
      <c r="BD511" s="4512"/>
      <c r="BE511" s="4512"/>
      <c r="BF511" s="4512"/>
      <c r="BG511" s="4512"/>
      <c r="BH511" s="4512"/>
      <c r="BI511" s="4512"/>
      <c r="BJ511" s="4512"/>
      <c r="BK511" s="4512"/>
      <c r="BL511" s="4512"/>
      <c r="BM511" s="4512"/>
      <c r="BN511" s="4512"/>
      <c r="BO511" s="4512"/>
      <c r="BP511" s="4512"/>
      <c r="BQ511" s="4512"/>
      <c r="BR511" s="4512"/>
      <c r="BS511" s="4512"/>
      <c r="BT511" s="4512"/>
      <c r="BU511" s="4512"/>
      <c r="BV511" s="4512"/>
      <c r="BW511" s="4512"/>
      <c r="BX511" s="4512"/>
      <c r="BY511" s="4512"/>
      <c r="BZ511" s="4512"/>
      <c r="CA511" s="4512"/>
      <c r="CB511" s="4512"/>
      <c r="CC511" s="4512"/>
      <c r="CD511" s="4512"/>
      <c r="CE511" s="4512"/>
      <c r="CF511" s="4512"/>
      <c r="CG511" s="4512"/>
      <c r="CH511" s="4512"/>
      <c r="CI511" s="4512"/>
      <c r="CJ511" s="4512"/>
      <c r="CK511" s="4512"/>
      <c r="CL511" s="4512"/>
      <c r="CM511" s="4512"/>
      <c r="CN511" s="4512"/>
      <c r="CO511" s="4512"/>
      <c r="CP511" s="4512"/>
      <c r="CQ511" s="4512"/>
      <c r="CR511" s="4512"/>
      <c r="CS511" s="4512"/>
      <c r="CT511" s="4512"/>
      <c r="CU511" s="4512"/>
      <c r="CV511" s="4512"/>
      <c r="CW511" s="4512"/>
      <c r="CX511" s="4512"/>
      <c r="CY511" s="4512"/>
      <c r="CZ511" s="4512"/>
      <c r="DA511" s="4512"/>
      <c r="DB511" s="4512"/>
      <c r="DC511" s="4512"/>
      <c r="DD511" s="4512"/>
      <c r="DE511" s="4512"/>
      <c r="DF511" s="4512"/>
      <c r="DG511" s="4512"/>
      <c r="DH511" s="4512"/>
      <c r="DI511" s="4512"/>
      <c r="DJ511" s="4512"/>
      <c r="DK511" s="4512"/>
      <c r="DL511" s="4512"/>
      <c r="DM511" s="4512"/>
      <c r="DN511" s="4512"/>
      <c r="DO511" s="4512"/>
      <c r="DP511" s="4512"/>
      <c r="DQ511" s="4512"/>
      <c r="DR511" s="4512"/>
      <c r="DS511" s="4512"/>
    </row>
    <row r="512" s="4133" customFormat="1" ht="29.25" customHeight="1" spans="1:123">
      <c r="A512" s="4513" t="s">
        <v>5177</v>
      </c>
      <c r="B512" s="4514"/>
      <c r="C512" s="4514"/>
      <c r="D512" s="4514"/>
      <c r="E512" s="4514"/>
      <c r="F512" s="4515"/>
      <c r="G512" s="4514"/>
      <c r="H512" s="4514"/>
      <c r="I512" s="4514"/>
      <c r="J512" s="4514"/>
      <c r="K512" s="4514"/>
      <c r="L512" s="4514"/>
      <c r="M512" s="4514"/>
      <c r="N512" s="4514"/>
      <c r="O512" s="4514"/>
      <c r="P512" s="4514"/>
      <c r="Q512" s="4514"/>
      <c r="R512" s="4514"/>
      <c r="S512" s="4514"/>
      <c r="T512" s="4514"/>
      <c r="U512" s="4514"/>
      <c r="V512" s="4514"/>
      <c r="W512" s="4514"/>
      <c r="X512" s="4514"/>
      <c r="Y512" s="4514"/>
      <c r="Z512" s="4514"/>
      <c r="AA512" s="4514"/>
      <c r="AB512" s="4514"/>
      <c r="AC512" s="4514"/>
      <c r="AD512" s="4514"/>
      <c r="AE512" s="4514"/>
      <c r="AF512" s="4514"/>
      <c r="AG512" s="4514"/>
      <c r="AH512" s="4514"/>
      <c r="AI512" s="4514"/>
      <c r="AJ512" s="4514"/>
      <c r="AK512" s="4514"/>
      <c r="AL512" s="4514"/>
      <c r="AM512" s="4514"/>
      <c r="AN512" s="4514"/>
      <c r="AO512" s="4514"/>
      <c r="AP512" s="4514"/>
      <c r="AQ512" s="4514"/>
      <c r="AR512" s="4514"/>
      <c r="AS512" s="4514"/>
      <c r="AT512" s="4514"/>
      <c r="AU512" s="4514"/>
      <c r="AV512" s="4514"/>
      <c r="AW512" s="4514"/>
      <c r="AX512" s="4514"/>
      <c r="AY512" s="4514"/>
      <c r="AZ512" s="4514"/>
      <c r="BA512" s="4514"/>
      <c r="BB512" s="4514"/>
      <c r="BC512" s="4514"/>
      <c r="BD512" s="4514"/>
      <c r="BE512" s="4514"/>
      <c r="BF512" s="4514"/>
      <c r="BG512" s="4514"/>
      <c r="BH512" s="4514"/>
      <c r="BI512" s="4514"/>
      <c r="BJ512" s="4514"/>
      <c r="BK512" s="4514"/>
      <c r="BL512" s="4514"/>
      <c r="BM512" s="4514"/>
      <c r="BN512" s="4514"/>
      <c r="BO512" s="4514"/>
      <c r="BP512" s="4514"/>
      <c r="BQ512" s="4514"/>
      <c r="BR512" s="4514"/>
      <c r="BS512" s="4514"/>
      <c r="BT512" s="4514"/>
      <c r="BU512" s="4514"/>
      <c r="BV512" s="4514"/>
      <c r="BW512" s="4514"/>
      <c r="BX512" s="4514"/>
      <c r="BY512" s="4514"/>
      <c r="BZ512" s="4514"/>
      <c r="CA512" s="4514"/>
      <c r="CB512" s="4514"/>
      <c r="CC512" s="4514"/>
      <c r="CD512" s="4514"/>
      <c r="CE512" s="4514"/>
      <c r="CF512" s="4514"/>
      <c r="CG512" s="4514"/>
      <c r="CH512" s="4514"/>
      <c r="CI512" s="4514"/>
      <c r="CJ512" s="4514"/>
      <c r="CK512" s="4514"/>
      <c r="CL512" s="4514"/>
      <c r="CM512" s="4514"/>
      <c r="CN512" s="4514"/>
      <c r="CO512" s="4514"/>
      <c r="CP512" s="4514"/>
      <c r="CQ512" s="4514"/>
      <c r="CR512" s="4514"/>
      <c r="CS512" s="4514"/>
      <c r="CT512" s="4514"/>
      <c r="CU512" s="4514"/>
      <c r="CV512" s="4514"/>
      <c r="CW512" s="4514"/>
      <c r="CX512" s="4514"/>
      <c r="CY512" s="4514"/>
      <c r="CZ512" s="4514"/>
      <c r="DA512" s="4514"/>
      <c r="DB512" s="4514"/>
      <c r="DC512" s="4514"/>
      <c r="DD512" s="4514"/>
      <c r="DE512" s="4514"/>
      <c r="DF512" s="4514"/>
      <c r="DG512" s="4514"/>
      <c r="DH512" s="4514"/>
      <c r="DI512" s="4514"/>
      <c r="DJ512" s="4514"/>
      <c r="DK512" s="4514"/>
      <c r="DL512" s="4514"/>
      <c r="DM512" s="4514"/>
      <c r="DN512" s="4514"/>
      <c r="DO512" s="4514"/>
      <c r="DP512" s="4514"/>
      <c r="DQ512" s="4514"/>
      <c r="DR512" s="4514"/>
      <c r="DS512" s="4514"/>
    </row>
    <row r="513" s="4133" customFormat="1" ht="15.75" spans="1:123">
      <c r="A513" s="4516"/>
      <c r="B513" s="4517" t="s">
        <v>5178</v>
      </c>
      <c r="C513" s="4518"/>
      <c r="D513" s="4518"/>
      <c r="E513" s="4518"/>
      <c r="F513" s="4518"/>
      <c r="G513" s="4518"/>
      <c r="H513" s="4518"/>
      <c r="I513" s="4518"/>
      <c r="J513" s="4518"/>
      <c r="K513" s="4518"/>
      <c r="L513" s="4518"/>
      <c r="M513" s="4519"/>
      <c r="N513" s="4520" t="s">
        <v>5179</v>
      </c>
      <c r="O513" s="4520"/>
      <c r="P513" s="4520"/>
      <c r="Q513" s="4520"/>
      <c r="R513" s="4520" t="s">
        <v>5180</v>
      </c>
      <c r="S513" s="4520"/>
      <c r="T513" s="4520"/>
      <c r="U513" s="4520"/>
      <c r="V513" s="4520"/>
      <c r="W513" s="4520"/>
      <c r="X513" s="4520"/>
      <c r="Y513" s="4520" t="s">
        <v>5181</v>
      </c>
      <c r="Z513" s="4520"/>
      <c r="AA513" s="4520"/>
      <c r="AB513" s="4520"/>
      <c r="AC513" s="4520"/>
      <c r="AD513" s="4520"/>
      <c r="AE513" s="4520" t="s">
        <v>5175</v>
      </c>
      <c r="AF513" s="4520"/>
      <c r="AG513" s="4520"/>
      <c r="AH513" s="4520"/>
      <c r="AI513" s="4520"/>
      <c r="AJ513" s="4520"/>
      <c r="AK513" s="4520"/>
      <c r="AL513" s="4520" t="s">
        <v>5182</v>
      </c>
      <c r="AM513" s="4520"/>
      <c r="AN513" s="4520"/>
      <c r="AO513" s="4520"/>
      <c r="AP513" s="4520"/>
      <c r="AQ513" s="4520"/>
      <c r="AR513" s="4520"/>
      <c r="AS513" s="4514"/>
      <c r="AT513" s="4514"/>
      <c r="AU513" s="4514"/>
      <c r="AV513" s="4514"/>
      <c r="AW513" s="4514"/>
      <c r="AX513" s="4514"/>
      <c r="AY513" s="4514"/>
      <c r="AZ513" s="4514"/>
      <c r="BA513" s="4514"/>
      <c r="BB513" s="4514"/>
      <c r="BC513" s="4514"/>
      <c r="BD513" s="4514"/>
      <c r="BE513" s="4514"/>
      <c r="BF513" s="4514"/>
      <c r="BG513" s="4514"/>
      <c r="BH513" s="4514"/>
      <c r="BI513" s="4514"/>
      <c r="BJ513" s="4514"/>
      <c r="BK513" s="4514"/>
      <c r="BL513" s="4514"/>
      <c r="BM513" s="4514"/>
      <c r="BN513" s="4514"/>
      <c r="BO513" s="4514"/>
      <c r="BP513" s="4514"/>
      <c r="BQ513" s="4514"/>
      <c r="BR513" s="4514"/>
      <c r="BS513" s="4514"/>
      <c r="BT513" s="4514"/>
      <c r="BU513" s="4514"/>
      <c r="BV513" s="4514"/>
      <c r="BW513" s="4514"/>
      <c r="BX513" s="4514"/>
      <c r="BY513" s="4514"/>
      <c r="BZ513" s="4514"/>
      <c r="CA513" s="4514"/>
      <c r="CB513" s="4514"/>
      <c r="CC513" s="4514"/>
      <c r="CD513" s="4514"/>
      <c r="CE513" s="4514"/>
      <c r="CF513" s="4514"/>
      <c r="CG513" s="4514"/>
      <c r="CH513" s="4514"/>
      <c r="CI513" s="4514"/>
      <c r="CJ513" s="4514"/>
      <c r="CK513" s="4514"/>
      <c r="CL513" s="4514"/>
      <c r="CM513" s="4514"/>
      <c r="CN513" s="4514"/>
      <c r="CO513" s="4514"/>
      <c r="CP513" s="4514"/>
      <c r="CQ513" s="4514"/>
      <c r="CR513" s="4514"/>
      <c r="CS513" s="4514"/>
      <c r="CT513" s="4514"/>
      <c r="CU513" s="4514"/>
      <c r="CV513" s="4514"/>
      <c r="CW513" s="4514"/>
      <c r="CX513" s="4514"/>
      <c r="CY513" s="4514"/>
      <c r="CZ513" s="4514"/>
      <c r="DA513" s="4514"/>
      <c r="DB513" s="4514"/>
      <c r="DC513" s="4514"/>
      <c r="DD513" s="4514"/>
      <c r="DE513" s="4514"/>
      <c r="DF513" s="4514"/>
      <c r="DG513" s="4514"/>
      <c r="DH513" s="4514"/>
      <c r="DI513" s="4514"/>
      <c r="DJ513" s="4514"/>
      <c r="DK513" s="4514"/>
      <c r="DL513" s="4514"/>
      <c r="DM513" s="4514"/>
      <c r="DN513" s="4514"/>
      <c r="DO513" s="4514"/>
      <c r="DP513" s="4514"/>
      <c r="DQ513" s="4514"/>
      <c r="DR513" s="4514"/>
      <c r="DS513" s="4514"/>
    </row>
    <row r="514" s="4133" customFormat="1" ht="15.75" spans="1:123">
      <c r="A514" s="4521"/>
      <c r="B514" s="4522"/>
      <c r="C514" s="4523"/>
      <c r="D514" s="4523"/>
      <c r="E514" s="4523"/>
      <c r="F514" s="4523"/>
      <c r="G514" s="4523"/>
      <c r="H514" s="4523"/>
      <c r="I514" s="4523"/>
      <c r="J514" s="4523"/>
      <c r="K514" s="4523"/>
      <c r="L514" s="4523"/>
      <c r="M514" s="4524"/>
      <c r="N514" s="4525" t="s">
        <v>5183</v>
      </c>
      <c r="O514" s="4525"/>
      <c r="P514" s="4525"/>
      <c r="Q514" s="4525"/>
      <c r="R514" s="4526"/>
      <c r="S514" s="4526"/>
      <c r="T514" s="4526"/>
      <c r="U514" s="4526"/>
      <c r="V514" s="4526"/>
      <c r="W514" s="4526"/>
      <c r="X514" s="4526"/>
      <c r="Y514" s="4525" t="s">
        <v>5184</v>
      </c>
      <c r="Z514" s="4525"/>
      <c r="AA514" s="4525"/>
      <c r="AB514" s="4525"/>
      <c r="AC514" s="4525"/>
      <c r="AD514" s="4525"/>
      <c r="AE514" s="4525" t="s">
        <v>5185</v>
      </c>
      <c r="AF514" s="4525"/>
      <c r="AG514" s="4525"/>
      <c r="AH514" s="4525"/>
      <c r="AI514" s="4525"/>
      <c r="AJ514" s="4525"/>
      <c r="AK514" s="4525"/>
      <c r="AL514" s="4526" t="s">
        <v>5186</v>
      </c>
      <c r="AM514" s="4526"/>
      <c r="AN514" s="4526"/>
      <c r="AO514" s="4526"/>
      <c r="AP514" s="4526"/>
      <c r="AQ514" s="4526"/>
      <c r="AR514" s="4526"/>
      <c r="AS514" s="4514"/>
      <c r="AT514" s="4514"/>
      <c r="AU514" s="4514"/>
      <c r="AV514" s="4514"/>
      <c r="AW514" s="4514"/>
      <c r="AX514" s="4514"/>
      <c r="AY514" s="4514"/>
      <c r="AZ514" s="4514"/>
      <c r="BA514" s="4514"/>
      <c r="BB514" s="4514"/>
      <c r="BC514" s="4514"/>
      <c r="BD514" s="4514"/>
      <c r="BE514" s="4514"/>
      <c r="BF514" s="4514"/>
      <c r="BG514" s="4514"/>
      <c r="BH514" s="4514"/>
      <c r="BI514" s="4514"/>
      <c r="BJ514" s="4514"/>
      <c r="BK514" s="4514"/>
      <c r="BL514" s="4514"/>
      <c r="BM514" s="4514"/>
      <c r="BN514" s="4514"/>
      <c r="BO514" s="4514"/>
      <c r="BP514" s="4514"/>
      <c r="BQ514" s="4514"/>
      <c r="BR514" s="4514"/>
      <c r="BS514" s="4514"/>
      <c r="BT514" s="4514"/>
      <c r="BU514" s="4514"/>
      <c r="BV514" s="4514"/>
      <c r="BW514" s="4514"/>
      <c r="BX514" s="4514"/>
      <c r="BY514" s="4514"/>
      <c r="BZ514" s="4514"/>
      <c r="CA514" s="4514"/>
      <c r="CB514" s="4514"/>
      <c r="CC514" s="4514"/>
      <c r="CD514" s="4514"/>
      <c r="CE514" s="4514"/>
      <c r="CF514" s="4514"/>
      <c r="CG514" s="4514"/>
      <c r="CH514" s="4514"/>
      <c r="CI514" s="4514"/>
      <c r="CJ514" s="4514"/>
      <c r="CK514" s="4514"/>
      <c r="CL514" s="4514"/>
      <c r="CM514" s="4514"/>
      <c r="CN514" s="4514"/>
      <c r="CO514" s="4514"/>
      <c r="CP514" s="4514"/>
      <c r="CQ514" s="4514"/>
      <c r="CR514" s="4514"/>
      <c r="CS514" s="4514"/>
      <c r="CT514" s="4514"/>
      <c r="CU514" s="4514"/>
      <c r="CV514" s="4514"/>
      <c r="CW514" s="4514"/>
      <c r="CX514" s="4514"/>
      <c r="CY514" s="4514"/>
      <c r="CZ514" s="4514"/>
      <c r="DA514" s="4514"/>
      <c r="DB514" s="4514"/>
      <c r="DC514" s="4514"/>
      <c r="DD514" s="4514"/>
      <c r="DE514" s="4514"/>
      <c r="DF514" s="4514"/>
      <c r="DG514" s="4514"/>
      <c r="DH514" s="4514"/>
      <c r="DI514" s="4514"/>
      <c r="DJ514" s="4514"/>
      <c r="DK514" s="4514"/>
      <c r="DL514" s="4514"/>
      <c r="DM514" s="4514"/>
      <c r="DN514" s="4514"/>
      <c r="DO514" s="4514"/>
      <c r="DP514" s="4514"/>
      <c r="DQ514" s="4514"/>
      <c r="DR514" s="4514"/>
      <c r="DS514" s="4514"/>
    </row>
    <row r="515" s="4133" customFormat="1" ht="18.75" customHeight="1" spans="1:123">
      <c r="A515" s="4527" t="s">
        <v>3953</v>
      </c>
      <c r="B515" s="4528" t="s">
        <v>5187</v>
      </c>
      <c r="C515" s="4529"/>
      <c r="D515" s="4529"/>
      <c r="E515" s="4529"/>
      <c r="F515" s="4530"/>
      <c r="G515" s="4529"/>
      <c r="H515" s="4529"/>
      <c r="I515" s="4529"/>
      <c r="J515" s="4529"/>
      <c r="K515" s="4529"/>
      <c r="L515" s="4529"/>
      <c r="M515" s="4531"/>
      <c r="N515" s="4532" t="s">
        <v>5188</v>
      </c>
      <c r="O515" s="4532"/>
      <c r="P515" s="4532"/>
      <c r="Q515" s="4533"/>
      <c r="R515" s="4534">
        <f>L506</f>
        <v>87679</v>
      </c>
      <c r="S515" s="4535"/>
      <c r="T515" s="4535"/>
      <c r="U515" s="4535"/>
      <c r="V515" s="4535"/>
      <c r="W515" s="4535"/>
      <c r="X515" s="4536"/>
      <c r="Y515" s="4537">
        <v>0.5</v>
      </c>
      <c r="Z515" s="4538"/>
      <c r="AA515" s="4538"/>
      <c r="AB515" s="4538"/>
      <c r="AC515" s="4539" t="s">
        <v>20</v>
      </c>
      <c r="AD515" s="4539"/>
      <c r="AE515" s="4540">
        <f>R515*Y515/100</f>
        <v>438.395</v>
      </c>
      <c r="AF515" s="4540"/>
      <c r="AG515" s="4540"/>
      <c r="AH515" s="4540"/>
      <c r="AI515" s="4540"/>
      <c r="AJ515" s="4540"/>
      <c r="AK515" s="4541"/>
      <c r="AL515" s="4542">
        <f>AE515</f>
        <v>438.395</v>
      </c>
      <c r="AM515" s="4543"/>
      <c r="AN515" s="4543"/>
      <c r="AO515" s="4543"/>
      <c r="AP515" s="4543"/>
      <c r="AQ515" s="4543"/>
      <c r="AR515" s="4544"/>
      <c r="AS515" s="4514"/>
      <c r="AT515" s="4514"/>
      <c r="AU515" s="4514"/>
      <c r="AV515" s="4514"/>
      <c r="AW515" s="4514"/>
      <c r="AX515" s="4514"/>
      <c r="AY515" s="4514"/>
      <c r="AZ515" s="4514"/>
      <c r="BA515" s="4514"/>
      <c r="BB515" s="4514"/>
      <c r="BC515" s="4514"/>
      <c r="BD515" s="4514"/>
      <c r="BE515" s="4514"/>
      <c r="BF515" s="4514"/>
      <c r="BG515" s="4514"/>
      <c r="BH515" s="4514"/>
      <c r="BI515" s="4514"/>
      <c r="BJ515" s="4514"/>
      <c r="BK515" s="4514"/>
      <c r="BL515" s="4514"/>
      <c r="BM515" s="4514"/>
      <c r="BN515" s="4514"/>
      <c r="BO515" s="4514"/>
      <c r="BP515" s="4514"/>
      <c r="BQ515" s="4514"/>
      <c r="BR515" s="4514"/>
      <c r="BS515" s="4514"/>
      <c r="BT515" s="4514"/>
      <c r="BU515" s="4514"/>
      <c r="BV515" s="4514"/>
      <c r="BW515" s="4514"/>
      <c r="BX515" s="4514"/>
      <c r="BY515" s="4514"/>
      <c r="BZ515" s="4514"/>
      <c r="CA515" s="4514"/>
      <c r="CB515" s="4514"/>
      <c r="CC515" s="4514"/>
      <c r="CD515" s="4514"/>
      <c r="CE515" s="4514"/>
      <c r="CF515" s="4514"/>
      <c r="CG515" s="4514"/>
      <c r="CH515" s="4514"/>
      <c r="CI515" s="4514"/>
      <c r="CJ515" s="4514"/>
      <c r="CK515" s="4514"/>
      <c r="CL515" s="4514"/>
      <c r="CM515" s="4514"/>
      <c r="CN515" s="4514"/>
      <c r="CO515" s="4514"/>
      <c r="CP515" s="4514"/>
      <c r="CQ515" s="4514"/>
      <c r="CR515" s="4514"/>
      <c r="CS515" s="4514"/>
      <c r="CT515" s="4514"/>
      <c r="CU515" s="4514"/>
      <c r="CV515" s="4514"/>
      <c r="CW515" s="4514"/>
      <c r="CX515" s="4514"/>
      <c r="CY515" s="4514"/>
      <c r="CZ515" s="4514"/>
      <c r="DA515" s="4514"/>
      <c r="DB515" s="4514"/>
      <c r="DC515" s="4514"/>
      <c r="DD515" s="4514"/>
      <c r="DE515" s="4514"/>
      <c r="DF515" s="4514"/>
      <c r="DG515" s="4514"/>
      <c r="DH515" s="4514"/>
      <c r="DI515" s="4514"/>
      <c r="DJ515" s="4514"/>
      <c r="DK515" s="4514"/>
      <c r="DL515" s="4514"/>
      <c r="DM515" s="4514"/>
      <c r="DN515" s="4514"/>
      <c r="DO515" s="4514"/>
      <c r="DP515" s="4514"/>
      <c r="DQ515" s="4514"/>
      <c r="DR515" s="4514"/>
      <c r="DS515" s="4514"/>
    </row>
    <row r="516" s="4133" customFormat="1" ht="18.75" customHeight="1" spans="1:123">
      <c r="A516" s="4527"/>
      <c r="B516" s="4528" t="s">
        <v>5189</v>
      </c>
      <c r="C516" s="4529"/>
      <c r="D516" s="4529"/>
      <c r="E516" s="4529"/>
      <c r="F516" s="4529"/>
      <c r="G516" s="4529"/>
      <c r="H516" s="4529"/>
      <c r="I516" s="4529"/>
      <c r="J516" s="4529"/>
      <c r="K516" s="4529"/>
      <c r="L516" s="4529"/>
      <c r="M516" s="4531"/>
      <c r="N516" s="4532" t="s">
        <v>5188</v>
      </c>
      <c r="O516" s="4532"/>
      <c r="P516" s="4532"/>
      <c r="Q516" s="4533"/>
      <c r="R516" s="4534">
        <f>L507</f>
        <v>6766.28</v>
      </c>
      <c r="S516" s="4535"/>
      <c r="T516" s="4535"/>
      <c r="U516" s="4535"/>
      <c r="V516" s="4535"/>
      <c r="W516" s="4535"/>
      <c r="X516" s="4536"/>
      <c r="Y516" s="4537">
        <v>0.5</v>
      </c>
      <c r="Z516" s="4538"/>
      <c r="AA516" s="4538"/>
      <c r="AB516" s="4538"/>
      <c r="AC516" s="4539" t="s">
        <v>20</v>
      </c>
      <c r="AD516" s="4539"/>
      <c r="AE516" s="4540">
        <f>R516*Y516/100</f>
        <v>33.8314</v>
      </c>
      <c r="AF516" s="4540"/>
      <c r="AG516" s="4540"/>
      <c r="AH516" s="4540"/>
      <c r="AI516" s="4540"/>
      <c r="AJ516" s="4540"/>
      <c r="AK516" s="4541"/>
      <c r="AL516" s="4542">
        <f>AE516</f>
        <v>33.8314</v>
      </c>
      <c r="AM516" s="4543"/>
      <c r="AN516" s="4543"/>
      <c r="AO516" s="4543"/>
      <c r="AP516" s="4543"/>
      <c r="AQ516" s="4543"/>
      <c r="AR516" s="4544"/>
      <c r="AS516" s="4514"/>
      <c r="AT516" s="4514"/>
      <c r="AU516" s="4514"/>
      <c r="AV516" s="4514"/>
      <c r="AW516" s="4514"/>
      <c r="AX516" s="4514"/>
      <c r="AY516" s="4514"/>
      <c r="AZ516" s="4514"/>
      <c r="BA516" s="4514"/>
      <c r="BB516" s="4514"/>
      <c r="BC516" s="4514"/>
      <c r="BD516" s="4514"/>
      <c r="BE516" s="4514"/>
      <c r="BF516" s="4514"/>
      <c r="BG516" s="4514"/>
      <c r="BH516" s="4514"/>
      <c r="BI516" s="4514"/>
      <c r="BJ516" s="4514"/>
      <c r="BK516" s="4514"/>
      <c r="BL516" s="4514"/>
      <c r="BM516" s="4514"/>
      <c r="BN516" s="4514"/>
      <c r="BO516" s="4514"/>
      <c r="BP516" s="4514"/>
      <c r="BQ516" s="4514"/>
      <c r="BR516" s="4514"/>
      <c r="BS516" s="4514"/>
      <c r="BT516" s="4514"/>
      <c r="BU516" s="4514"/>
      <c r="BV516" s="4514"/>
      <c r="BW516" s="4514"/>
      <c r="BX516" s="4514"/>
      <c r="BY516" s="4514"/>
      <c r="BZ516" s="4514"/>
      <c r="CA516" s="4514"/>
      <c r="CB516" s="4514"/>
      <c r="CC516" s="4514"/>
      <c r="CD516" s="4514"/>
      <c r="CE516" s="4514"/>
      <c r="CF516" s="4514"/>
      <c r="CG516" s="4514"/>
      <c r="CH516" s="4514"/>
      <c r="CI516" s="4514"/>
      <c r="CJ516" s="4514"/>
      <c r="CK516" s="4514"/>
      <c r="CL516" s="4514"/>
      <c r="CM516" s="4514"/>
      <c r="CN516" s="4514"/>
      <c r="CO516" s="4514"/>
      <c r="CP516" s="4514"/>
      <c r="CQ516" s="4514"/>
      <c r="CR516" s="4514"/>
      <c r="CS516" s="4514"/>
      <c r="CT516" s="4514"/>
      <c r="CU516" s="4514"/>
      <c r="CV516" s="4514"/>
      <c r="CW516" s="4514"/>
      <c r="CX516" s="4514"/>
      <c r="CY516" s="4514"/>
      <c r="CZ516" s="4514"/>
      <c r="DA516" s="4514"/>
      <c r="DB516" s="4514"/>
      <c r="DC516" s="4514"/>
      <c r="DD516" s="4514"/>
      <c r="DE516" s="4514"/>
      <c r="DF516" s="4514"/>
      <c r="DG516" s="4514"/>
      <c r="DH516" s="4514"/>
      <c r="DI516" s="4514"/>
      <c r="DJ516" s="4514"/>
      <c r="DK516" s="4514"/>
      <c r="DL516" s="4514"/>
      <c r="DM516" s="4514"/>
      <c r="DN516" s="4514"/>
      <c r="DO516" s="4514"/>
      <c r="DP516" s="4514"/>
      <c r="DQ516" s="4514"/>
      <c r="DR516" s="4514"/>
      <c r="DS516" s="4514"/>
    </row>
    <row r="517" s="4133" customFormat="1" ht="28.5" customHeight="1" spans="1:123">
      <c r="A517" s="4317"/>
      <c r="B517" s="4545" t="s">
        <v>5190</v>
      </c>
      <c r="C517" s="4545"/>
      <c r="D517" s="4545"/>
      <c r="E517" s="4545"/>
      <c r="F517" s="4545"/>
      <c r="G517" s="4545"/>
      <c r="H517" s="4545"/>
      <c r="I517" s="4545"/>
      <c r="J517" s="4545"/>
      <c r="K517" s="4545"/>
      <c r="L517" s="4545"/>
      <c r="M517" s="4545"/>
      <c r="N517" s="4076"/>
      <c r="O517" s="4076"/>
      <c r="P517" s="4076"/>
      <c r="Q517" s="4076"/>
      <c r="R517" s="4546"/>
      <c r="S517" s="4546"/>
      <c r="T517" s="4546"/>
      <c r="U517" s="4546"/>
      <c r="V517" s="4546"/>
      <c r="W517" s="4546"/>
      <c r="X517" s="4546"/>
      <c r="Y517" s="4076"/>
      <c r="Z517" s="4076"/>
      <c r="AA517" s="4076"/>
      <c r="AB517" s="4076"/>
      <c r="AC517" s="4076"/>
      <c r="AD517" s="4076"/>
      <c r="AE517" s="4546"/>
      <c r="AF517" s="4546"/>
      <c r="AG517" s="4546"/>
      <c r="AH517" s="4546"/>
      <c r="AI517" s="4546"/>
      <c r="AJ517" s="4546"/>
      <c r="AK517" s="4546"/>
      <c r="AL517" s="4546"/>
      <c r="AM517" s="4546"/>
      <c r="AN517" s="4546"/>
      <c r="AO517" s="4546"/>
      <c r="AP517" s="4546"/>
      <c r="AQ517" s="4546"/>
      <c r="AR517" s="4546"/>
      <c r="AS517" s="4514"/>
      <c r="AT517" s="4514"/>
      <c r="AU517" s="4514"/>
      <c r="AV517" s="4514"/>
      <c r="AW517" s="4514"/>
      <c r="AX517" s="4514"/>
      <c r="AY517" s="4514"/>
      <c r="AZ517" s="4514"/>
      <c r="BA517" s="4514"/>
      <c r="BB517" s="4514"/>
      <c r="BC517" s="4514"/>
      <c r="BD517" s="4514"/>
      <c r="BE517" s="4514"/>
      <c r="BF517" s="4514"/>
      <c r="BG517" s="4514"/>
      <c r="BH517" s="4514"/>
      <c r="BI517" s="4514"/>
      <c r="BJ517" s="4514"/>
      <c r="BK517" s="4514"/>
      <c r="BL517" s="4514"/>
      <c r="BM517" s="4514"/>
      <c r="BN517" s="4514"/>
      <c r="BO517" s="4514"/>
      <c r="BP517" s="4514"/>
      <c r="BQ517" s="4514"/>
      <c r="BR517" s="4514"/>
      <c r="BS517" s="4514"/>
      <c r="BT517" s="4514"/>
      <c r="BU517" s="4514"/>
      <c r="BV517" s="4514"/>
      <c r="BW517" s="4514"/>
      <c r="BX517" s="4514"/>
      <c r="BY517" s="4514"/>
      <c r="BZ517" s="4514"/>
      <c r="CA517" s="4514"/>
      <c r="CB517" s="4514"/>
      <c r="CC517" s="4514"/>
      <c r="CD517" s="4514"/>
      <c r="CE517" s="4514"/>
      <c r="CF517" s="4514"/>
      <c r="CG517" s="4514"/>
      <c r="CH517" s="4514"/>
      <c r="CI517" s="4514"/>
      <c r="CJ517" s="4514"/>
      <c r="CK517" s="4514"/>
      <c r="CL517" s="4514"/>
      <c r="CM517" s="4514"/>
      <c r="CN517" s="4514"/>
      <c r="CO517" s="4514"/>
      <c r="CP517" s="4514"/>
      <c r="CQ517" s="4514"/>
      <c r="CR517" s="4514"/>
      <c r="CS517" s="4514"/>
      <c r="CT517" s="4514"/>
      <c r="CU517" s="4514"/>
      <c r="CV517" s="4514"/>
      <c r="CW517" s="4514"/>
      <c r="CX517" s="4514"/>
      <c r="CY517" s="4514"/>
      <c r="CZ517" s="4514"/>
      <c r="DA517" s="4514"/>
      <c r="DB517" s="4514"/>
      <c r="DC517" s="4514"/>
      <c r="DD517" s="4514"/>
      <c r="DE517" s="4514"/>
      <c r="DF517" s="4514"/>
      <c r="DG517" s="4514"/>
      <c r="DH517" s="4514"/>
      <c r="DI517" s="4514"/>
      <c r="DJ517" s="4514"/>
      <c r="DK517" s="4514"/>
      <c r="DL517" s="4514"/>
      <c r="DM517" s="4514"/>
      <c r="DN517" s="4514"/>
      <c r="DO517" s="4514"/>
      <c r="DP517" s="4514"/>
      <c r="DQ517" s="4514"/>
      <c r="DR517" s="4514"/>
      <c r="DS517" s="4514"/>
    </row>
    <row r="518" s="4133" customFormat="1" ht="15.75" spans="1:123">
      <c r="A518" s="4317"/>
      <c r="B518" s="4369" t="s">
        <v>5191</v>
      </c>
      <c r="C518" s="4369"/>
      <c r="D518" s="4369"/>
      <c r="E518" s="4369"/>
      <c r="F518" s="4547"/>
      <c r="G518" s="4369"/>
      <c r="H518" s="4369"/>
      <c r="I518" s="4369"/>
      <c r="J518" s="4369"/>
      <c r="K518" s="4369"/>
      <c r="L518" s="4369"/>
      <c r="M518" s="4369"/>
      <c r="N518" s="4317"/>
      <c r="O518" s="4317"/>
      <c r="P518" s="4317"/>
      <c r="Q518" s="4317"/>
      <c r="R518" s="4548"/>
      <c r="S518" s="4548"/>
      <c r="T518" s="4548"/>
      <c r="U518" s="4548"/>
      <c r="V518" s="4548"/>
      <c r="W518" s="4548"/>
      <c r="X518" s="4548"/>
      <c r="Y518" s="4076"/>
      <c r="Z518" s="4076"/>
      <c r="AA518" s="4076"/>
      <c r="AB518" s="4076"/>
      <c r="AC518" s="4076"/>
      <c r="AD518" s="4076"/>
      <c r="AE518" s="4546"/>
      <c r="AF518" s="4546"/>
      <c r="AG518" s="4546"/>
      <c r="AH518" s="4546"/>
      <c r="AI518" s="4546"/>
      <c r="AJ518" s="4546"/>
      <c r="AK518" s="4546"/>
      <c r="AL518" s="4546"/>
      <c r="AM518" s="4546"/>
      <c r="AN518" s="4546"/>
      <c r="AO518" s="4546"/>
      <c r="AP518" s="4546"/>
      <c r="AQ518" s="4546"/>
      <c r="AR518" s="4546"/>
      <c r="AS518" s="4514"/>
      <c r="AT518" s="4514"/>
      <c r="AU518" s="4514"/>
      <c r="AV518" s="4514"/>
      <c r="AW518" s="4514"/>
      <c r="AX518" s="4514"/>
      <c r="AY518" s="4514"/>
      <c r="AZ518" s="4514"/>
      <c r="BA518" s="4514"/>
      <c r="BB518" s="4514"/>
      <c r="BC518" s="4514"/>
      <c r="BD518" s="4514"/>
      <c r="BE518" s="4514"/>
      <c r="BF518" s="4514"/>
      <c r="BG518" s="4514"/>
      <c r="BH518" s="4514"/>
      <c r="BI518" s="4514"/>
      <c r="BJ518" s="4514"/>
      <c r="BK518" s="4514"/>
      <c r="BL518" s="4514"/>
      <c r="BM518" s="4514"/>
      <c r="BN518" s="4514"/>
      <c r="BO518" s="4514"/>
      <c r="BP518" s="4514"/>
      <c r="BQ518" s="4514"/>
      <c r="BR518" s="4514"/>
      <c r="BS518" s="4514"/>
      <c r="BT518" s="4514"/>
      <c r="BU518" s="4514"/>
      <c r="BV518" s="4514"/>
      <c r="BW518" s="4514"/>
      <c r="BX518" s="4514"/>
      <c r="BY518" s="4514"/>
      <c r="BZ518" s="4514"/>
      <c r="CA518" s="4514"/>
      <c r="CB518" s="4514"/>
      <c r="CC518" s="4514"/>
      <c r="CD518" s="4514"/>
      <c r="CE518" s="4514"/>
      <c r="CF518" s="4514"/>
      <c r="CG518" s="4514"/>
      <c r="CH518" s="4514"/>
      <c r="CI518" s="4514"/>
      <c r="CJ518" s="4514"/>
      <c r="CK518" s="4514"/>
      <c r="CL518" s="4514"/>
      <c r="CM518" s="4514"/>
      <c r="CN518" s="4514"/>
      <c r="CO518" s="4514"/>
      <c r="CP518" s="4514"/>
      <c r="CQ518" s="4514"/>
      <c r="CR518" s="4514"/>
      <c r="CS518" s="4514"/>
      <c r="CT518" s="4514"/>
      <c r="CU518" s="4514"/>
      <c r="CV518" s="4514"/>
      <c r="CW518" s="4514"/>
      <c r="CX518" s="4514"/>
      <c r="CY518" s="4514"/>
      <c r="CZ518" s="4514"/>
      <c r="DA518" s="4514"/>
      <c r="DB518" s="4514"/>
      <c r="DC518" s="4514"/>
      <c r="DD518" s="4514"/>
      <c r="DE518" s="4514"/>
      <c r="DF518" s="4514"/>
      <c r="DG518" s="4514"/>
      <c r="DH518" s="4514"/>
      <c r="DI518" s="4514"/>
      <c r="DJ518" s="4514"/>
      <c r="DK518" s="4514"/>
      <c r="DL518" s="4514"/>
      <c r="DM518" s="4514"/>
      <c r="DN518" s="4514"/>
      <c r="DO518" s="4514"/>
      <c r="DP518" s="4514"/>
      <c r="DQ518" s="4514"/>
      <c r="DR518" s="4514"/>
      <c r="DS518" s="4514"/>
    </row>
    <row r="519" s="4135" customFormat="1" ht="17.25" customHeight="1" spans="1:123">
      <c r="A519" s="4549" t="s">
        <v>3891</v>
      </c>
      <c r="B519" s="4528" t="s">
        <v>5192</v>
      </c>
      <c r="C519" s="4529"/>
      <c r="D519" s="4529"/>
      <c r="E519" s="4529"/>
      <c r="F519" s="4530"/>
      <c r="G519" s="4529"/>
      <c r="H519" s="4529"/>
      <c r="I519" s="4529"/>
      <c r="J519" s="4529"/>
      <c r="K519" s="4529"/>
      <c r="L519" s="4529"/>
      <c r="M519" s="4531"/>
      <c r="N519" s="4550" t="s">
        <v>5193</v>
      </c>
      <c r="O519" s="4550"/>
      <c r="P519" s="4550"/>
      <c r="Q519" s="4550"/>
      <c r="R519" s="4534"/>
      <c r="S519" s="4535"/>
      <c r="T519" s="4535"/>
      <c r="U519" s="4535"/>
      <c r="V519" s="4535"/>
      <c r="W519" s="4535"/>
      <c r="X519" s="4536"/>
      <c r="Y519" s="4538">
        <v>0.01</v>
      </c>
      <c r="Z519" s="4538"/>
      <c r="AA519" s="4538"/>
      <c r="AB519" s="4538"/>
      <c r="AC519" s="4539" t="s">
        <v>5188</v>
      </c>
      <c r="AD519" s="4539"/>
      <c r="AE519" s="4540">
        <f>R519*Y519</f>
        <v>0</v>
      </c>
      <c r="AF519" s="4540"/>
      <c r="AG519" s="4540"/>
      <c r="AH519" s="4540"/>
      <c r="AI519" s="4540"/>
      <c r="AJ519" s="4540"/>
      <c r="AK519" s="4540"/>
      <c r="AL519" s="4534"/>
      <c r="AM519" s="4535"/>
      <c r="AN519" s="4535"/>
      <c r="AO519" s="4535"/>
      <c r="AP519" s="4535"/>
      <c r="AQ519" s="4535"/>
      <c r="AR519" s="4536"/>
      <c r="AS519" s="4551"/>
      <c r="AT519" s="4551"/>
      <c r="AU519" s="4551"/>
      <c r="AV519" s="4551"/>
      <c r="AW519" s="4551"/>
      <c r="AX519" s="4551"/>
      <c r="AY519" s="4551"/>
      <c r="AZ519" s="4551"/>
      <c r="BA519" s="4551"/>
      <c r="BB519" s="4551"/>
      <c r="BC519" s="4551"/>
      <c r="BD519" s="4551"/>
      <c r="BE519" s="4551"/>
      <c r="BF519" s="4551"/>
      <c r="BG519" s="4551"/>
      <c r="BH519" s="4551"/>
      <c r="BI519" s="4551"/>
      <c r="BJ519" s="4551"/>
      <c r="BK519" s="4551"/>
      <c r="BL519" s="4551"/>
      <c r="BM519" s="4551"/>
      <c r="BN519" s="4551"/>
      <c r="BO519" s="4551"/>
      <c r="BP519" s="4551"/>
      <c r="BQ519" s="4551"/>
      <c r="BR519" s="4551"/>
      <c r="BS519" s="4551"/>
      <c r="BT519" s="4551"/>
      <c r="BU519" s="4551"/>
      <c r="BV519" s="4551"/>
      <c r="BW519" s="4551"/>
      <c r="BX519" s="4551"/>
      <c r="BY519" s="4551"/>
      <c r="BZ519" s="4551"/>
      <c r="CA519" s="4551"/>
      <c r="CB519" s="4551"/>
      <c r="CC519" s="4551"/>
      <c r="CD519" s="4551"/>
      <c r="CE519" s="4551"/>
      <c r="CF519" s="4551"/>
      <c r="CG519" s="4551"/>
      <c r="CH519" s="4551"/>
      <c r="CI519" s="4551"/>
      <c r="CJ519" s="4551"/>
      <c r="CK519" s="4551"/>
      <c r="CL519" s="4551"/>
      <c r="CM519" s="4551"/>
      <c r="CN519" s="4551"/>
      <c r="CO519" s="4551"/>
      <c r="CP519" s="4551"/>
      <c r="CQ519" s="4551"/>
      <c r="CR519" s="4551"/>
      <c r="CS519" s="4551"/>
      <c r="CT519" s="4551"/>
      <c r="CU519" s="4551"/>
      <c r="CV519" s="4551"/>
      <c r="CW519" s="4551"/>
      <c r="CX519" s="4551"/>
      <c r="CY519" s="4551"/>
      <c r="CZ519" s="4551"/>
      <c r="DA519" s="4551"/>
      <c r="DB519" s="4551"/>
      <c r="DC519" s="4551"/>
      <c r="DD519" s="4551"/>
      <c r="DE519" s="4551"/>
      <c r="DF519" s="4551"/>
      <c r="DG519" s="4551"/>
      <c r="DH519" s="4551"/>
      <c r="DI519" s="4551"/>
      <c r="DJ519" s="4551"/>
      <c r="DK519" s="4551"/>
      <c r="DL519" s="4551"/>
      <c r="DM519" s="4551"/>
      <c r="DN519" s="4551"/>
      <c r="DO519" s="4551"/>
      <c r="DP519" s="4551"/>
      <c r="DQ519" s="4551"/>
      <c r="DR519" s="4551"/>
      <c r="DS519" s="4551"/>
    </row>
    <row r="520" s="4135" customFormat="1" ht="17.25" customHeight="1" spans="1:123">
      <c r="A520" s="4552"/>
      <c r="B520" s="4528" t="s">
        <v>5194</v>
      </c>
      <c r="C520" s="4529"/>
      <c r="D520" s="4529"/>
      <c r="E520" s="4529"/>
      <c r="F520" s="4530"/>
      <c r="G520" s="4529"/>
      <c r="H520" s="4529"/>
      <c r="I520" s="4529"/>
      <c r="J520" s="4529"/>
      <c r="K520" s="4529"/>
      <c r="L520" s="4529"/>
      <c r="M520" s="4531"/>
      <c r="N520" s="4550" t="s">
        <v>5193</v>
      </c>
      <c r="O520" s="4550"/>
      <c r="P520" s="4550"/>
      <c r="Q520" s="4550"/>
      <c r="R520" s="4534"/>
      <c r="S520" s="4535"/>
      <c r="T520" s="4535"/>
      <c r="U520" s="4535"/>
      <c r="V520" s="4535"/>
      <c r="W520" s="4535"/>
      <c r="X520" s="4536"/>
      <c r="Y520" s="4538">
        <v>2</v>
      </c>
      <c r="Z520" s="4538"/>
      <c r="AA520" s="4538"/>
      <c r="AB520" s="4538"/>
      <c r="AC520" s="4539" t="s">
        <v>5188</v>
      </c>
      <c r="AD520" s="4539"/>
      <c r="AE520" s="4540">
        <f>R520*Y520</f>
        <v>0</v>
      </c>
      <c r="AF520" s="4540"/>
      <c r="AG520" s="4540"/>
      <c r="AH520" s="4540"/>
      <c r="AI520" s="4540"/>
      <c r="AJ520" s="4540"/>
      <c r="AK520" s="4540"/>
      <c r="AL520" s="4534"/>
      <c r="AM520" s="4535"/>
      <c r="AN520" s="4535"/>
      <c r="AO520" s="4535"/>
      <c r="AP520" s="4535"/>
      <c r="AQ520" s="4535"/>
      <c r="AR520" s="4536"/>
      <c r="AS520" s="4551"/>
      <c r="AT520" s="4551"/>
      <c r="AU520" s="4551"/>
      <c r="AV520" s="4551"/>
      <c r="AW520" s="4551"/>
      <c r="AX520" s="4551"/>
      <c r="AY520" s="4551"/>
      <c r="AZ520" s="4551"/>
      <c r="BA520" s="4551"/>
      <c r="BB520" s="4551"/>
      <c r="BC520" s="4551"/>
      <c r="BD520" s="4551"/>
      <c r="BE520" s="4551"/>
      <c r="BF520" s="4551"/>
      <c r="BG520" s="4551"/>
      <c r="BH520" s="4551"/>
      <c r="BI520" s="4551"/>
      <c r="BJ520" s="4551"/>
      <c r="BK520" s="4551"/>
      <c r="BL520" s="4551"/>
      <c r="BM520" s="4551"/>
      <c r="BN520" s="4551"/>
      <c r="BO520" s="4551"/>
      <c r="BP520" s="4551"/>
      <c r="BQ520" s="4551"/>
      <c r="BR520" s="4551"/>
      <c r="BS520" s="4551"/>
      <c r="BT520" s="4551"/>
      <c r="BU520" s="4551"/>
      <c r="BV520" s="4551"/>
      <c r="BW520" s="4551"/>
      <c r="BX520" s="4551"/>
      <c r="BY520" s="4551"/>
      <c r="BZ520" s="4551"/>
      <c r="CA520" s="4551"/>
      <c r="CB520" s="4551"/>
      <c r="CC520" s="4551"/>
      <c r="CD520" s="4551"/>
      <c r="CE520" s="4551"/>
      <c r="CF520" s="4551"/>
      <c r="CG520" s="4551"/>
      <c r="CH520" s="4551"/>
      <c r="CI520" s="4551"/>
      <c r="CJ520" s="4551"/>
      <c r="CK520" s="4551"/>
      <c r="CL520" s="4551"/>
      <c r="CM520" s="4551"/>
      <c r="CN520" s="4551"/>
      <c r="CO520" s="4551"/>
      <c r="CP520" s="4551"/>
      <c r="CQ520" s="4551"/>
      <c r="CR520" s="4551"/>
      <c r="CS520" s="4551"/>
      <c r="CT520" s="4551"/>
      <c r="CU520" s="4551"/>
      <c r="CV520" s="4551"/>
      <c r="CW520" s="4551"/>
      <c r="CX520" s="4551"/>
      <c r="CY520" s="4551"/>
      <c r="CZ520" s="4551"/>
      <c r="DA520" s="4551"/>
      <c r="DB520" s="4551"/>
      <c r="DC520" s="4551"/>
      <c r="DD520" s="4551"/>
      <c r="DE520" s="4551"/>
      <c r="DF520" s="4551"/>
      <c r="DG520" s="4551"/>
      <c r="DH520" s="4551"/>
      <c r="DI520" s="4551"/>
      <c r="DJ520" s="4551"/>
      <c r="DK520" s="4551"/>
      <c r="DL520" s="4551"/>
      <c r="DM520" s="4551"/>
      <c r="DN520" s="4551"/>
      <c r="DO520" s="4551"/>
      <c r="DP520" s="4551"/>
      <c r="DQ520" s="4551"/>
      <c r="DR520" s="4551"/>
      <c r="DS520" s="4551"/>
    </row>
    <row r="521" s="4135" customFormat="1" ht="17.25" customHeight="1" spans="1:123">
      <c r="A521" s="4552"/>
      <c r="B521" s="4528" t="s">
        <v>5195</v>
      </c>
      <c r="C521" s="4529"/>
      <c r="D521" s="4529"/>
      <c r="E521" s="4529"/>
      <c r="F521" s="4530"/>
      <c r="G521" s="4529"/>
      <c r="H521" s="4529"/>
      <c r="I521" s="4529"/>
      <c r="J521" s="4529"/>
      <c r="K521" s="4529"/>
      <c r="L521" s="4529"/>
      <c r="M521" s="4531"/>
      <c r="N521" s="4550" t="s">
        <v>5193</v>
      </c>
      <c r="O521" s="4550"/>
      <c r="P521" s="4550"/>
      <c r="Q521" s="4550"/>
      <c r="R521" s="4534"/>
      <c r="S521" s="4535"/>
      <c r="T521" s="4535"/>
      <c r="U521" s="4535"/>
      <c r="V521" s="4535"/>
      <c r="W521" s="4535"/>
      <c r="X521" s="4536"/>
      <c r="Y521" s="4538">
        <v>0.03</v>
      </c>
      <c r="Z521" s="4538"/>
      <c r="AA521" s="4538"/>
      <c r="AB521" s="4538"/>
      <c r="AC521" s="4539" t="s">
        <v>5188</v>
      </c>
      <c r="AD521" s="4539"/>
      <c r="AE521" s="4540">
        <f>R521*Y521</f>
        <v>0</v>
      </c>
      <c r="AF521" s="4540"/>
      <c r="AG521" s="4540"/>
      <c r="AH521" s="4540"/>
      <c r="AI521" s="4540"/>
      <c r="AJ521" s="4540"/>
      <c r="AK521" s="4540"/>
      <c r="AL521" s="4534"/>
      <c r="AM521" s="4535"/>
      <c r="AN521" s="4535"/>
      <c r="AO521" s="4535"/>
      <c r="AP521" s="4535"/>
      <c r="AQ521" s="4535"/>
      <c r="AR521" s="4536"/>
      <c r="AS521" s="4551"/>
      <c r="AT521" s="4551"/>
      <c r="AU521" s="4551"/>
      <c r="AV521" s="4551"/>
      <c r="AW521" s="4551"/>
      <c r="AX521" s="4551"/>
      <c r="AY521" s="4551"/>
      <c r="AZ521" s="4551"/>
      <c r="BA521" s="4551"/>
      <c r="BB521" s="4551"/>
      <c r="BC521" s="4551"/>
      <c r="BD521" s="4551"/>
      <c r="BE521" s="4551"/>
      <c r="BF521" s="4551"/>
      <c r="BG521" s="4551"/>
      <c r="BH521" s="4551"/>
      <c r="BI521" s="4551"/>
      <c r="BJ521" s="4551"/>
      <c r="BK521" s="4551"/>
      <c r="BL521" s="4551"/>
      <c r="BM521" s="4551"/>
      <c r="BN521" s="4551"/>
      <c r="BO521" s="4551"/>
      <c r="BP521" s="4551"/>
      <c r="BQ521" s="4551"/>
      <c r="BR521" s="4551"/>
      <c r="BS521" s="4551"/>
      <c r="BT521" s="4551"/>
      <c r="BU521" s="4551"/>
      <c r="BV521" s="4551"/>
      <c r="BW521" s="4551"/>
      <c r="BX521" s="4551"/>
      <c r="BY521" s="4551"/>
      <c r="BZ521" s="4551"/>
      <c r="CA521" s="4551"/>
      <c r="CB521" s="4551"/>
      <c r="CC521" s="4551"/>
      <c r="CD521" s="4551"/>
      <c r="CE521" s="4551"/>
      <c r="CF521" s="4551"/>
      <c r="CG521" s="4551"/>
      <c r="CH521" s="4551"/>
      <c r="CI521" s="4551"/>
      <c r="CJ521" s="4551"/>
      <c r="CK521" s="4551"/>
      <c r="CL521" s="4551"/>
      <c r="CM521" s="4551"/>
      <c r="CN521" s="4551"/>
      <c r="CO521" s="4551"/>
      <c r="CP521" s="4551"/>
      <c r="CQ521" s="4551"/>
      <c r="CR521" s="4551"/>
      <c r="CS521" s="4551"/>
      <c r="CT521" s="4551"/>
      <c r="CU521" s="4551"/>
      <c r="CV521" s="4551"/>
      <c r="CW521" s="4551"/>
      <c r="CX521" s="4551"/>
      <c r="CY521" s="4551"/>
      <c r="CZ521" s="4551"/>
      <c r="DA521" s="4551"/>
      <c r="DB521" s="4551"/>
      <c r="DC521" s="4551"/>
      <c r="DD521" s="4551"/>
      <c r="DE521" s="4551"/>
      <c r="DF521" s="4551"/>
      <c r="DG521" s="4551"/>
      <c r="DH521" s="4551"/>
      <c r="DI521" s="4551"/>
      <c r="DJ521" s="4551"/>
      <c r="DK521" s="4551"/>
      <c r="DL521" s="4551"/>
      <c r="DM521" s="4551"/>
      <c r="DN521" s="4551"/>
      <c r="DO521" s="4551"/>
      <c r="DP521" s="4551"/>
      <c r="DQ521" s="4551"/>
      <c r="DR521" s="4551"/>
      <c r="DS521" s="4551"/>
    </row>
    <row r="522" s="4135" customFormat="1" ht="17.25" customHeight="1" spans="1:123">
      <c r="A522" s="4552"/>
      <c r="B522" s="4528" t="s">
        <v>5196</v>
      </c>
      <c r="C522" s="4529"/>
      <c r="D522" s="4529"/>
      <c r="E522" s="4529"/>
      <c r="F522" s="4529"/>
      <c r="G522" s="4529"/>
      <c r="H522" s="4529"/>
      <c r="I522" s="4529"/>
      <c r="J522" s="4529"/>
      <c r="K522" s="4529"/>
      <c r="L522" s="4529"/>
      <c r="M522" s="4531"/>
      <c r="N522" s="4550" t="s">
        <v>5193</v>
      </c>
      <c r="O522" s="4550"/>
      <c r="P522" s="4550"/>
      <c r="Q522" s="4550"/>
      <c r="R522" s="4534"/>
      <c r="S522" s="4535"/>
      <c r="T522" s="4535"/>
      <c r="U522" s="4535"/>
      <c r="V522" s="4535"/>
      <c r="W522" s="4535"/>
      <c r="X522" s="4536"/>
      <c r="Y522" s="4538">
        <v>0.03</v>
      </c>
      <c r="Z522" s="4538"/>
      <c r="AA522" s="4538"/>
      <c r="AB522" s="4538"/>
      <c r="AC522" s="4539" t="s">
        <v>5188</v>
      </c>
      <c r="AD522" s="4539"/>
      <c r="AE522" s="4553">
        <f>R522*Y522</f>
        <v>0</v>
      </c>
      <c r="AF522" s="4553"/>
      <c r="AG522" s="4553"/>
      <c r="AH522" s="4553"/>
      <c r="AI522" s="4553"/>
      <c r="AJ522" s="4553"/>
      <c r="AK522" s="4553"/>
      <c r="AL522" s="4534"/>
      <c r="AM522" s="4535"/>
      <c r="AN522" s="4535"/>
      <c r="AO522" s="4535"/>
      <c r="AP522" s="4535"/>
      <c r="AQ522" s="4535"/>
      <c r="AR522" s="4536"/>
      <c r="AS522" s="4551"/>
      <c r="AT522" s="4551"/>
      <c r="AU522" s="4551"/>
      <c r="AV522" s="4551"/>
      <c r="AW522" s="4551"/>
      <c r="AX522" s="4551"/>
      <c r="AY522" s="4551"/>
      <c r="AZ522" s="4551"/>
      <c r="BA522" s="4551"/>
      <c r="BB522" s="4551"/>
      <c r="BC522" s="4551"/>
      <c r="BD522" s="4551"/>
      <c r="BE522" s="4551"/>
      <c r="BF522" s="4551"/>
      <c r="BG522" s="4551"/>
      <c r="BH522" s="4551"/>
      <c r="BI522" s="4551"/>
      <c r="BJ522" s="4551"/>
      <c r="BK522" s="4551"/>
      <c r="BL522" s="4551"/>
      <c r="BM522" s="4551"/>
      <c r="BN522" s="4551"/>
      <c r="BO522" s="4551"/>
      <c r="BP522" s="4551"/>
      <c r="BQ522" s="4551"/>
      <c r="BR522" s="4551"/>
      <c r="BS522" s="4551"/>
      <c r="BT522" s="4551"/>
      <c r="BU522" s="4551"/>
      <c r="BV522" s="4551"/>
      <c r="BW522" s="4551"/>
      <c r="BX522" s="4551"/>
      <c r="BY522" s="4551"/>
      <c r="BZ522" s="4551"/>
      <c r="CA522" s="4551"/>
      <c r="CB522" s="4551"/>
      <c r="CC522" s="4551"/>
      <c r="CD522" s="4551"/>
      <c r="CE522" s="4551"/>
      <c r="CF522" s="4551"/>
      <c r="CG522" s="4551"/>
      <c r="CH522" s="4551"/>
      <c r="CI522" s="4551"/>
      <c r="CJ522" s="4551"/>
      <c r="CK522" s="4551"/>
      <c r="CL522" s="4551"/>
      <c r="CM522" s="4551"/>
      <c r="CN522" s="4551"/>
      <c r="CO522" s="4551"/>
      <c r="CP522" s="4551"/>
      <c r="CQ522" s="4551"/>
      <c r="CR522" s="4551"/>
      <c r="CS522" s="4551"/>
      <c r="CT522" s="4551"/>
      <c r="CU522" s="4551"/>
      <c r="CV522" s="4551"/>
      <c r="CW522" s="4551"/>
      <c r="CX522" s="4551"/>
      <c r="CY522" s="4551"/>
      <c r="CZ522" s="4551"/>
      <c r="DA522" s="4551"/>
      <c r="DB522" s="4551"/>
      <c r="DC522" s="4551"/>
      <c r="DD522" s="4551"/>
      <c r="DE522" s="4551"/>
      <c r="DF522" s="4551"/>
      <c r="DG522" s="4551"/>
      <c r="DH522" s="4551"/>
      <c r="DI522" s="4551"/>
      <c r="DJ522" s="4551"/>
      <c r="DK522" s="4551"/>
      <c r="DL522" s="4551"/>
      <c r="DM522" s="4551"/>
      <c r="DN522" s="4551"/>
      <c r="DO522" s="4551"/>
      <c r="DP522" s="4551"/>
      <c r="DQ522" s="4551"/>
      <c r="DR522" s="4551"/>
      <c r="DS522" s="4551"/>
    </row>
    <row r="523" s="4135" customFormat="1" ht="17.25" customHeight="1" spans="1:123">
      <c r="A523" s="4554"/>
      <c r="B523" s="4528" t="s">
        <v>5197</v>
      </c>
      <c r="C523" s="4529"/>
      <c r="D523" s="4529"/>
      <c r="E523" s="4529"/>
      <c r="F523" s="4530"/>
      <c r="G523" s="4529"/>
      <c r="H523" s="4529"/>
      <c r="I523" s="4529"/>
      <c r="J523" s="4529"/>
      <c r="K523" s="4529"/>
      <c r="L523" s="4529"/>
      <c r="M523" s="4531"/>
      <c r="N523" s="4550" t="s">
        <v>5198</v>
      </c>
      <c r="O523" s="4550"/>
      <c r="P523" s="4550"/>
      <c r="Q523" s="4550"/>
      <c r="R523" s="4534"/>
      <c r="S523" s="4535"/>
      <c r="T523" s="4535"/>
      <c r="U523" s="4535"/>
      <c r="V523" s="4535"/>
      <c r="W523" s="4535"/>
      <c r="X523" s="4536"/>
      <c r="Y523" s="4555">
        <v>0.001</v>
      </c>
      <c r="Z523" s="4555"/>
      <c r="AA523" s="4555"/>
      <c r="AB523" s="4555"/>
      <c r="AC523" s="4539" t="s">
        <v>5188</v>
      </c>
      <c r="AD523" s="4539"/>
      <c r="AE523" s="4540">
        <f>R523*Y523</f>
        <v>0</v>
      </c>
      <c r="AF523" s="4540"/>
      <c r="AG523" s="4540"/>
      <c r="AH523" s="4540"/>
      <c r="AI523" s="4540"/>
      <c r="AJ523" s="4540"/>
      <c r="AK523" s="4540"/>
      <c r="AL523" s="4534"/>
      <c r="AM523" s="4535"/>
      <c r="AN523" s="4535"/>
      <c r="AO523" s="4535"/>
      <c r="AP523" s="4535"/>
      <c r="AQ523" s="4535"/>
      <c r="AR523" s="4536"/>
      <c r="AS523" s="4551"/>
      <c r="AT523" s="4551"/>
      <c r="AU523" s="4551"/>
      <c r="AV523" s="4551"/>
      <c r="AW523" s="4551"/>
      <c r="AX523" s="4551"/>
      <c r="AY523" s="4551"/>
      <c r="AZ523" s="4551"/>
      <c r="BA523" s="4551"/>
      <c r="BB523" s="4551"/>
      <c r="BC523" s="4551"/>
      <c r="BD523" s="4551"/>
      <c r="BE523" s="4551"/>
      <c r="BF523" s="4551"/>
      <c r="BG523" s="4551"/>
      <c r="BH523" s="4551"/>
      <c r="BI523" s="4551"/>
      <c r="BJ523" s="4551"/>
      <c r="BK523" s="4551"/>
      <c r="BL523" s="4551"/>
      <c r="BM523" s="4551"/>
      <c r="BN523" s="4551"/>
      <c r="BO523" s="4551"/>
      <c r="BP523" s="4551"/>
      <c r="BQ523" s="4551"/>
      <c r="BR523" s="4551"/>
      <c r="BS523" s="4551"/>
      <c r="BT523" s="4551"/>
      <c r="BU523" s="4551"/>
      <c r="BV523" s="4551"/>
      <c r="BW523" s="4551"/>
      <c r="BX523" s="4551"/>
      <c r="BY523" s="4551"/>
      <c r="BZ523" s="4551"/>
      <c r="CA523" s="4551"/>
      <c r="CB523" s="4551"/>
      <c r="CC523" s="4551"/>
      <c r="CD523" s="4551"/>
      <c r="CE523" s="4551"/>
      <c r="CF523" s="4551"/>
      <c r="CG523" s="4551"/>
      <c r="CH523" s="4551"/>
      <c r="CI523" s="4551"/>
      <c r="CJ523" s="4551"/>
      <c r="CK523" s="4551"/>
      <c r="CL523" s="4551"/>
      <c r="CM523" s="4551"/>
      <c r="CN523" s="4551"/>
      <c r="CO523" s="4551"/>
      <c r="CP523" s="4551"/>
      <c r="CQ523" s="4551"/>
      <c r="CR523" s="4551"/>
      <c r="CS523" s="4551"/>
      <c r="CT523" s="4551"/>
      <c r="CU523" s="4551"/>
      <c r="CV523" s="4551"/>
      <c r="CW523" s="4551"/>
      <c r="CX523" s="4551"/>
      <c r="CY523" s="4551"/>
      <c r="CZ523" s="4551"/>
      <c r="DA523" s="4551"/>
      <c r="DB523" s="4551"/>
      <c r="DC523" s="4551"/>
      <c r="DD523" s="4551"/>
      <c r="DE523" s="4551"/>
      <c r="DF523" s="4551"/>
      <c r="DG523" s="4551"/>
      <c r="DH523" s="4551"/>
      <c r="DI523" s="4551"/>
      <c r="DJ523" s="4551"/>
      <c r="DK523" s="4551"/>
      <c r="DL523" s="4551"/>
      <c r="DM523" s="4551"/>
      <c r="DN523" s="4551"/>
      <c r="DO523" s="4551"/>
      <c r="DP523" s="4551"/>
      <c r="DQ523" s="4551"/>
      <c r="DR523" s="4551"/>
      <c r="DS523" s="4551"/>
    </row>
    <row r="524" s="4133" customFormat="1" ht="19.5" customHeight="1" spans="1:123">
      <c r="A524" s="4317"/>
      <c r="B524" s="4545" t="s">
        <v>5199</v>
      </c>
      <c r="C524" s="4545"/>
      <c r="D524" s="4545"/>
      <c r="E524" s="4545"/>
      <c r="F524" s="4545"/>
      <c r="G524" s="4545"/>
      <c r="H524" s="4545"/>
      <c r="I524" s="4545"/>
      <c r="J524" s="4545"/>
      <c r="K524" s="4545"/>
      <c r="L524" s="4545"/>
      <c r="M524" s="4545"/>
      <c r="N524" s="4076"/>
      <c r="O524" s="4076"/>
      <c r="P524" s="4076"/>
      <c r="Q524" s="4076"/>
      <c r="R524" s="4546"/>
      <c r="S524" s="4546"/>
      <c r="T524" s="4546"/>
      <c r="U524" s="4546"/>
      <c r="V524" s="4546"/>
      <c r="W524" s="4546"/>
      <c r="X524" s="4546"/>
      <c r="Y524" s="4076"/>
      <c r="Z524" s="4076"/>
      <c r="AA524" s="4076"/>
      <c r="AB524" s="4076"/>
      <c r="AC524" s="4076"/>
      <c r="AD524" s="4076"/>
      <c r="AE524" s="4546"/>
      <c r="AF524" s="4546"/>
      <c r="AG524" s="4546"/>
      <c r="AH524" s="4546"/>
      <c r="AI524" s="4546"/>
      <c r="AJ524" s="4546"/>
      <c r="AK524" s="4546"/>
      <c r="AL524" s="4546"/>
      <c r="AM524" s="4546"/>
      <c r="AN524" s="4546"/>
      <c r="AO524" s="4546"/>
      <c r="AP524" s="4546"/>
      <c r="AQ524" s="4546"/>
      <c r="AR524" s="4546"/>
      <c r="AS524" s="4514"/>
      <c r="AT524" s="4514"/>
      <c r="AU524" s="4514"/>
      <c r="AV524" s="4514"/>
      <c r="AW524" s="4514"/>
      <c r="AX524" s="4514"/>
      <c r="AY524" s="4514"/>
      <c r="AZ524" s="4514"/>
      <c r="BA524" s="4514"/>
      <c r="BB524" s="4514"/>
      <c r="BC524" s="4514"/>
      <c r="BD524" s="4514"/>
      <c r="BE524" s="4514"/>
      <c r="BF524" s="4514"/>
      <c r="BG524" s="4514"/>
      <c r="BH524" s="4514"/>
      <c r="BI524" s="4514"/>
      <c r="BJ524" s="4514"/>
      <c r="BK524" s="4514"/>
      <c r="BL524" s="4514"/>
      <c r="BM524" s="4514"/>
      <c r="BN524" s="4514"/>
      <c r="BO524" s="4514"/>
      <c r="BP524" s="4514"/>
      <c r="BQ524" s="4514"/>
      <c r="BR524" s="4514"/>
      <c r="BS524" s="4514"/>
      <c r="BT524" s="4514"/>
      <c r="BU524" s="4514"/>
      <c r="BV524" s="4514"/>
      <c r="BW524" s="4514"/>
      <c r="BX524" s="4514"/>
      <c r="BY524" s="4514"/>
      <c r="BZ524" s="4514"/>
      <c r="CA524" s="4514"/>
      <c r="CB524" s="4514"/>
      <c r="CC524" s="4514"/>
      <c r="CD524" s="4514"/>
      <c r="CE524" s="4514"/>
      <c r="CF524" s="4514"/>
      <c r="CG524" s="4514"/>
      <c r="CH524" s="4514"/>
      <c r="CI524" s="4514"/>
      <c r="CJ524" s="4514"/>
      <c r="CK524" s="4514"/>
      <c r="CL524" s="4514"/>
      <c r="CM524" s="4514"/>
      <c r="CN524" s="4514"/>
      <c r="CO524" s="4514"/>
      <c r="CP524" s="4514"/>
      <c r="CQ524" s="4514"/>
      <c r="CR524" s="4514"/>
      <c r="CS524" s="4514"/>
      <c r="CT524" s="4514"/>
      <c r="CU524" s="4514"/>
      <c r="CV524" s="4514"/>
      <c r="CW524" s="4514"/>
      <c r="CX524" s="4514"/>
      <c r="CY524" s="4514"/>
      <c r="CZ524" s="4514"/>
      <c r="DA524" s="4514"/>
      <c r="DB524" s="4514"/>
      <c r="DC524" s="4514"/>
      <c r="DD524" s="4514"/>
      <c r="DE524" s="4514"/>
      <c r="DF524" s="4514"/>
      <c r="DG524" s="4514"/>
      <c r="DH524" s="4514"/>
      <c r="DI524" s="4514"/>
      <c r="DJ524" s="4514"/>
      <c r="DK524" s="4514"/>
      <c r="DL524" s="4514"/>
      <c r="DM524" s="4514"/>
      <c r="DN524" s="4514"/>
      <c r="DO524" s="4514"/>
      <c r="DP524" s="4514"/>
      <c r="DQ524" s="4514"/>
      <c r="DR524" s="4514"/>
      <c r="DS524" s="4514"/>
    </row>
    <row r="525" s="4135" customFormat="1" ht="17.25" customHeight="1" spans="1:123">
      <c r="A525" s="4527" t="s">
        <v>3902</v>
      </c>
      <c r="B525" s="4528" t="s">
        <v>5200</v>
      </c>
      <c r="C525" s="4529"/>
      <c r="D525" s="4529"/>
      <c r="E525" s="4529"/>
      <c r="F525" s="4530"/>
      <c r="G525" s="4529"/>
      <c r="H525" s="4529"/>
      <c r="I525" s="4529"/>
      <c r="J525" s="4529"/>
      <c r="K525" s="4529"/>
      <c r="L525" s="4529"/>
      <c r="M525" s="4531"/>
      <c r="N525" s="4550" t="s">
        <v>5201</v>
      </c>
      <c r="O525" s="4550"/>
      <c r="P525" s="4550"/>
      <c r="Q525" s="4550"/>
      <c r="R525" s="4534"/>
      <c r="S525" s="4535"/>
      <c r="T525" s="4535"/>
      <c r="U525" s="4535"/>
      <c r="V525" s="4535"/>
      <c r="W525" s="4535"/>
      <c r="X525" s="4536"/>
      <c r="Y525" s="4538">
        <v>2</v>
      </c>
      <c r="Z525" s="4538"/>
      <c r="AA525" s="4538"/>
      <c r="AB525" s="4538"/>
      <c r="AC525" s="4539" t="s">
        <v>5188</v>
      </c>
      <c r="AD525" s="4539"/>
      <c r="AE525" s="4540">
        <f t="shared" ref="AE525:AE530" si="9">R525*Y525</f>
        <v>0</v>
      </c>
      <c r="AF525" s="4540"/>
      <c r="AG525" s="4540"/>
      <c r="AH525" s="4540"/>
      <c r="AI525" s="4540"/>
      <c r="AJ525" s="4540"/>
      <c r="AK525" s="4540"/>
      <c r="AL525" s="4534"/>
      <c r="AM525" s="4535"/>
      <c r="AN525" s="4535"/>
      <c r="AO525" s="4535"/>
      <c r="AP525" s="4535"/>
      <c r="AQ525" s="4535"/>
      <c r="AR525" s="4536"/>
      <c r="AS525" s="4551"/>
      <c r="AT525" s="4551"/>
      <c r="AU525" s="4551"/>
      <c r="AV525" s="4551"/>
      <c r="AW525" s="4551"/>
      <c r="AX525" s="4551"/>
      <c r="AY525" s="4551"/>
      <c r="AZ525" s="4551"/>
      <c r="BA525" s="4551"/>
      <c r="BB525" s="4551"/>
      <c r="BC525" s="4551"/>
      <c r="BD525" s="4551"/>
      <c r="BE525" s="4551"/>
      <c r="BF525" s="4551"/>
      <c r="BG525" s="4551"/>
      <c r="BH525" s="4551"/>
      <c r="BI525" s="4551"/>
      <c r="BJ525" s="4551"/>
      <c r="BK525" s="4551"/>
      <c r="BL525" s="4551"/>
      <c r="BM525" s="4551"/>
      <c r="BN525" s="4551"/>
      <c r="BO525" s="4551"/>
      <c r="BP525" s="4551"/>
      <c r="BQ525" s="4551"/>
      <c r="BR525" s="4551"/>
      <c r="BS525" s="4551"/>
      <c r="BT525" s="4551"/>
      <c r="BU525" s="4551"/>
      <c r="BV525" s="4551"/>
      <c r="BW525" s="4551"/>
      <c r="BX525" s="4551"/>
      <c r="BY525" s="4551"/>
      <c r="BZ525" s="4551"/>
      <c r="CA525" s="4551"/>
      <c r="CB525" s="4551"/>
      <c r="CC525" s="4551"/>
      <c r="CD525" s="4551"/>
      <c r="CE525" s="4551"/>
      <c r="CF525" s="4551"/>
      <c r="CG525" s="4551"/>
      <c r="CH525" s="4551"/>
      <c r="CI525" s="4551"/>
      <c r="CJ525" s="4551"/>
      <c r="CK525" s="4551"/>
      <c r="CL525" s="4551"/>
      <c r="CM525" s="4551"/>
      <c r="CN525" s="4551"/>
      <c r="CO525" s="4551"/>
      <c r="CP525" s="4551"/>
      <c r="CQ525" s="4551"/>
      <c r="CR525" s="4551"/>
      <c r="CS525" s="4551"/>
      <c r="CT525" s="4551"/>
      <c r="CU525" s="4551"/>
      <c r="CV525" s="4551"/>
      <c r="CW525" s="4551"/>
      <c r="CX525" s="4551"/>
      <c r="CY525" s="4551"/>
      <c r="CZ525" s="4551"/>
      <c r="DA525" s="4551"/>
      <c r="DB525" s="4551"/>
      <c r="DC525" s="4551"/>
      <c r="DD525" s="4551"/>
      <c r="DE525" s="4551"/>
      <c r="DF525" s="4551"/>
      <c r="DG525" s="4551"/>
      <c r="DH525" s="4551"/>
      <c r="DI525" s="4551"/>
      <c r="DJ525" s="4551"/>
      <c r="DK525" s="4551"/>
      <c r="DL525" s="4551"/>
      <c r="DM525" s="4551"/>
      <c r="DN525" s="4551"/>
      <c r="DO525" s="4551"/>
      <c r="DP525" s="4551"/>
      <c r="DQ525" s="4551"/>
      <c r="DR525" s="4551"/>
      <c r="DS525" s="4551"/>
    </row>
    <row r="526" s="4135" customFormat="1" ht="17.25" customHeight="1" spans="1:123">
      <c r="A526" s="4527"/>
      <c r="B526" s="4528" t="s">
        <v>5202</v>
      </c>
      <c r="C526" s="4529"/>
      <c r="D526" s="4529"/>
      <c r="E526" s="4529"/>
      <c r="F526" s="4529"/>
      <c r="G526" s="4529"/>
      <c r="H526" s="4529"/>
      <c r="I526" s="4529"/>
      <c r="J526" s="4529"/>
      <c r="K526" s="4529"/>
      <c r="L526" s="4529"/>
      <c r="M526" s="4531"/>
      <c r="N526" s="4550" t="s">
        <v>5201</v>
      </c>
      <c r="O526" s="4550"/>
      <c r="P526" s="4550"/>
      <c r="Q526" s="4550"/>
      <c r="R526" s="4534"/>
      <c r="S526" s="4535"/>
      <c r="T526" s="4535"/>
      <c r="U526" s="4535"/>
      <c r="V526" s="4535"/>
      <c r="W526" s="4535"/>
      <c r="X526" s="4536"/>
      <c r="Y526" s="4538">
        <v>2</v>
      </c>
      <c r="Z526" s="4538"/>
      <c r="AA526" s="4538"/>
      <c r="AB526" s="4538"/>
      <c r="AC526" s="4539" t="s">
        <v>5188</v>
      </c>
      <c r="AD526" s="4539"/>
      <c r="AE526" s="4540">
        <f t="shared" si="9"/>
        <v>0</v>
      </c>
      <c r="AF526" s="4540"/>
      <c r="AG526" s="4540"/>
      <c r="AH526" s="4540"/>
      <c r="AI526" s="4540"/>
      <c r="AJ526" s="4540"/>
      <c r="AK526" s="4540"/>
      <c r="AL526" s="4534"/>
      <c r="AM526" s="4535"/>
      <c r="AN526" s="4535"/>
      <c r="AO526" s="4535"/>
      <c r="AP526" s="4535"/>
      <c r="AQ526" s="4535"/>
      <c r="AR526" s="4536"/>
      <c r="AS526" s="4551"/>
      <c r="AT526" s="4551"/>
      <c r="AU526" s="4551"/>
      <c r="AV526" s="4551"/>
      <c r="AW526" s="4551"/>
      <c r="AX526" s="4551"/>
      <c r="AY526" s="4551"/>
      <c r="AZ526" s="4551"/>
      <c r="BA526" s="4551"/>
      <c r="BB526" s="4551"/>
      <c r="BC526" s="4551"/>
      <c r="BD526" s="4551"/>
      <c r="BE526" s="4551"/>
      <c r="BF526" s="4551"/>
      <c r="BG526" s="4551"/>
      <c r="BH526" s="4551"/>
      <c r="BI526" s="4551"/>
      <c r="BJ526" s="4551"/>
      <c r="BK526" s="4551"/>
      <c r="BL526" s="4551"/>
      <c r="BM526" s="4551"/>
      <c r="BN526" s="4551"/>
      <c r="BO526" s="4551"/>
      <c r="BP526" s="4551"/>
      <c r="BQ526" s="4551"/>
      <c r="BR526" s="4551"/>
      <c r="BS526" s="4551"/>
      <c r="BT526" s="4551"/>
      <c r="BU526" s="4551"/>
      <c r="BV526" s="4551"/>
      <c r="BW526" s="4551"/>
      <c r="BX526" s="4551"/>
      <c r="BY526" s="4551"/>
      <c r="BZ526" s="4551"/>
      <c r="CA526" s="4551"/>
      <c r="CB526" s="4551"/>
      <c r="CC526" s="4551"/>
      <c r="CD526" s="4551"/>
      <c r="CE526" s="4551"/>
      <c r="CF526" s="4551"/>
      <c r="CG526" s="4551"/>
      <c r="CH526" s="4551"/>
      <c r="CI526" s="4551"/>
      <c r="CJ526" s="4551"/>
      <c r="CK526" s="4551"/>
      <c r="CL526" s="4551"/>
      <c r="CM526" s="4551"/>
      <c r="CN526" s="4551"/>
      <c r="CO526" s="4551"/>
      <c r="CP526" s="4551"/>
      <c r="CQ526" s="4551"/>
      <c r="CR526" s="4551"/>
      <c r="CS526" s="4551"/>
      <c r="CT526" s="4551"/>
      <c r="CU526" s="4551"/>
      <c r="CV526" s="4551"/>
      <c r="CW526" s="4551"/>
      <c r="CX526" s="4551"/>
      <c r="CY526" s="4551"/>
      <c r="CZ526" s="4551"/>
      <c r="DA526" s="4551"/>
      <c r="DB526" s="4551"/>
      <c r="DC526" s="4551"/>
      <c r="DD526" s="4551"/>
      <c r="DE526" s="4551"/>
      <c r="DF526" s="4551"/>
      <c r="DG526" s="4551"/>
      <c r="DH526" s="4551"/>
      <c r="DI526" s="4551"/>
      <c r="DJ526" s="4551"/>
      <c r="DK526" s="4551"/>
      <c r="DL526" s="4551"/>
      <c r="DM526" s="4551"/>
      <c r="DN526" s="4551"/>
      <c r="DO526" s="4551"/>
      <c r="DP526" s="4551"/>
      <c r="DQ526" s="4551"/>
      <c r="DR526" s="4551"/>
      <c r="DS526" s="4551"/>
    </row>
    <row r="527" s="4135" customFormat="1" ht="17.25" customHeight="1" spans="1:123">
      <c r="A527" s="4527"/>
      <c r="B527" s="4528" t="s">
        <v>5203</v>
      </c>
      <c r="C527" s="4529"/>
      <c r="D527" s="4529"/>
      <c r="E527" s="4529"/>
      <c r="F527" s="4530"/>
      <c r="G527" s="4529"/>
      <c r="H527" s="4529"/>
      <c r="I527" s="4529"/>
      <c r="J527" s="4529"/>
      <c r="K527" s="4529"/>
      <c r="L527" s="4529"/>
      <c r="M527" s="4531"/>
      <c r="N527" s="4550" t="s">
        <v>5204</v>
      </c>
      <c r="O527" s="4550"/>
      <c r="P527" s="4550"/>
      <c r="Q527" s="4550"/>
      <c r="R527" s="4534"/>
      <c r="S527" s="4535"/>
      <c r="T527" s="4535"/>
      <c r="U527" s="4535"/>
      <c r="V527" s="4535"/>
      <c r="W527" s="4535"/>
      <c r="X527" s="4536"/>
      <c r="Y527" s="4538">
        <v>0.04</v>
      </c>
      <c r="Z527" s="4538"/>
      <c r="AA527" s="4538"/>
      <c r="AB527" s="4538"/>
      <c r="AC527" s="4539" t="s">
        <v>5188</v>
      </c>
      <c r="AD527" s="4539"/>
      <c r="AE527" s="4540">
        <f t="shared" si="9"/>
        <v>0</v>
      </c>
      <c r="AF527" s="4540"/>
      <c r="AG527" s="4540"/>
      <c r="AH527" s="4540"/>
      <c r="AI527" s="4540"/>
      <c r="AJ527" s="4540"/>
      <c r="AK527" s="4540"/>
      <c r="AL527" s="4534"/>
      <c r="AM527" s="4535"/>
      <c r="AN527" s="4535"/>
      <c r="AO527" s="4535"/>
      <c r="AP527" s="4535"/>
      <c r="AQ527" s="4535"/>
      <c r="AR527" s="4536"/>
      <c r="AS527" s="4551"/>
      <c r="AT527" s="4551"/>
      <c r="AU527" s="4551"/>
      <c r="AV527" s="4551"/>
      <c r="AW527" s="4551"/>
      <c r="AX527" s="4551"/>
      <c r="AY527" s="4551"/>
      <c r="AZ527" s="4551"/>
      <c r="BA527" s="4551"/>
      <c r="BB527" s="4551"/>
      <c r="BC527" s="4551"/>
      <c r="BD527" s="4551"/>
      <c r="BE527" s="4551"/>
      <c r="BF527" s="4551"/>
      <c r="BG527" s="4551"/>
      <c r="BH527" s="4551"/>
      <c r="BI527" s="4551"/>
      <c r="BJ527" s="4551"/>
      <c r="BK527" s="4551"/>
      <c r="BL527" s="4551"/>
      <c r="BM527" s="4551"/>
      <c r="BN527" s="4551"/>
      <c r="BO527" s="4551"/>
      <c r="BP527" s="4551"/>
      <c r="BQ527" s="4551"/>
      <c r="BR527" s="4551"/>
      <c r="BS527" s="4551"/>
      <c r="BT527" s="4551"/>
      <c r="BU527" s="4551"/>
      <c r="BV527" s="4551"/>
      <c r="BW527" s="4551"/>
      <c r="BX527" s="4551"/>
      <c r="BY527" s="4551"/>
      <c r="BZ527" s="4551"/>
      <c r="CA527" s="4551"/>
      <c r="CB527" s="4551"/>
      <c r="CC527" s="4551"/>
      <c r="CD527" s="4551"/>
      <c r="CE527" s="4551"/>
      <c r="CF527" s="4551"/>
      <c r="CG527" s="4551"/>
      <c r="CH527" s="4551"/>
      <c r="CI527" s="4551"/>
      <c r="CJ527" s="4551"/>
      <c r="CK527" s="4551"/>
      <c r="CL527" s="4551"/>
      <c r="CM527" s="4551"/>
      <c r="CN527" s="4551"/>
      <c r="CO527" s="4551"/>
      <c r="CP527" s="4551"/>
      <c r="CQ527" s="4551"/>
      <c r="CR527" s="4551"/>
      <c r="CS527" s="4551"/>
      <c r="CT527" s="4551"/>
      <c r="CU527" s="4551"/>
      <c r="CV527" s="4551"/>
      <c r="CW527" s="4551"/>
      <c r="CX527" s="4551"/>
      <c r="CY527" s="4551"/>
      <c r="CZ527" s="4551"/>
      <c r="DA527" s="4551"/>
      <c r="DB527" s="4551"/>
      <c r="DC527" s="4551"/>
      <c r="DD527" s="4551"/>
      <c r="DE527" s="4551"/>
      <c r="DF527" s="4551"/>
      <c r="DG527" s="4551"/>
      <c r="DH527" s="4551"/>
      <c r="DI527" s="4551"/>
      <c r="DJ527" s="4551"/>
      <c r="DK527" s="4551"/>
      <c r="DL527" s="4551"/>
      <c r="DM527" s="4551"/>
      <c r="DN527" s="4551"/>
      <c r="DO527" s="4551"/>
      <c r="DP527" s="4551"/>
      <c r="DQ527" s="4551"/>
      <c r="DR527" s="4551"/>
      <c r="DS527" s="4551"/>
    </row>
    <row r="528" s="4135" customFormat="1" ht="17.25" customHeight="1" spans="1:123">
      <c r="A528" s="4527"/>
      <c r="B528" s="4528" t="s">
        <v>2490</v>
      </c>
      <c r="C528" s="4529"/>
      <c r="D528" s="4529"/>
      <c r="E528" s="4529"/>
      <c r="F528" s="4530"/>
      <c r="G528" s="4529"/>
      <c r="H528" s="4529"/>
      <c r="I528" s="4529"/>
      <c r="J528" s="4529"/>
      <c r="K528" s="4529"/>
      <c r="L528" s="4529"/>
      <c r="M528" s="4531"/>
      <c r="N528" s="4550" t="s">
        <v>5204</v>
      </c>
      <c r="O528" s="4550"/>
      <c r="P528" s="4550"/>
      <c r="Q528" s="4550"/>
      <c r="R528" s="4534"/>
      <c r="S528" s="4535"/>
      <c r="T528" s="4535"/>
      <c r="U528" s="4535"/>
      <c r="V528" s="4535"/>
      <c r="W528" s="4535"/>
      <c r="X528" s="4536"/>
      <c r="Y528" s="4555">
        <v>0.005</v>
      </c>
      <c r="Z528" s="4555"/>
      <c r="AA528" s="4555"/>
      <c r="AB528" s="4555"/>
      <c r="AC528" s="4539" t="s">
        <v>5188</v>
      </c>
      <c r="AD528" s="4539"/>
      <c r="AE528" s="4540">
        <f t="shared" si="9"/>
        <v>0</v>
      </c>
      <c r="AF528" s="4540"/>
      <c r="AG528" s="4540"/>
      <c r="AH528" s="4540"/>
      <c r="AI528" s="4540"/>
      <c r="AJ528" s="4540"/>
      <c r="AK528" s="4540"/>
      <c r="AL528" s="4534"/>
      <c r="AM528" s="4535"/>
      <c r="AN528" s="4535"/>
      <c r="AO528" s="4535"/>
      <c r="AP528" s="4535"/>
      <c r="AQ528" s="4535"/>
      <c r="AR528" s="4536"/>
      <c r="AS528" s="4551"/>
      <c r="AT528" s="4551"/>
      <c r="AU528" s="4551"/>
      <c r="AV528" s="4551"/>
      <c r="AW528" s="4551"/>
      <c r="AX528" s="4551"/>
      <c r="AY528" s="4551"/>
      <c r="AZ528" s="4551"/>
      <c r="BA528" s="4551"/>
      <c r="BB528" s="4551"/>
      <c r="BC528" s="4551"/>
      <c r="BD528" s="4551"/>
      <c r="BE528" s="4551"/>
      <c r="BF528" s="4551"/>
      <c r="BG528" s="4551"/>
      <c r="BH528" s="4551"/>
      <c r="BI528" s="4551"/>
      <c r="BJ528" s="4551"/>
      <c r="BK528" s="4551"/>
      <c r="BL528" s="4551"/>
      <c r="BM528" s="4551"/>
      <c r="BN528" s="4551"/>
      <c r="BO528" s="4551"/>
      <c r="BP528" s="4551"/>
      <c r="BQ528" s="4551"/>
      <c r="BR528" s="4551"/>
      <c r="BS528" s="4551"/>
      <c r="BT528" s="4551"/>
      <c r="BU528" s="4551"/>
      <c r="BV528" s="4551"/>
      <c r="BW528" s="4551"/>
      <c r="BX528" s="4551"/>
      <c r="BY528" s="4551"/>
      <c r="BZ528" s="4551"/>
      <c r="CA528" s="4551"/>
      <c r="CB528" s="4551"/>
      <c r="CC528" s="4551"/>
      <c r="CD528" s="4551"/>
      <c r="CE528" s="4551"/>
      <c r="CF528" s="4551"/>
      <c r="CG528" s="4551"/>
      <c r="CH528" s="4551"/>
      <c r="CI528" s="4551"/>
      <c r="CJ528" s="4551"/>
      <c r="CK528" s="4551"/>
      <c r="CL528" s="4551"/>
      <c r="CM528" s="4551"/>
      <c r="CN528" s="4551"/>
      <c r="CO528" s="4551"/>
      <c r="CP528" s="4551"/>
      <c r="CQ528" s="4551"/>
      <c r="CR528" s="4551"/>
      <c r="CS528" s="4551"/>
      <c r="CT528" s="4551"/>
      <c r="CU528" s="4551"/>
      <c r="CV528" s="4551"/>
      <c r="CW528" s="4551"/>
      <c r="CX528" s="4551"/>
      <c r="CY528" s="4551"/>
      <c r="CZ528" s="4551"/>
      <c r="DA528" s="4551"/>
      <c r="DB528" s="4551"/>
      <c r="DC528" s="4551"/>
      <c r="DD528" s="4551"/>
      <c r="DE528" s="4551"/>
      <c r="DF528" s="4551"/>
      <c r="DG528" s="4551"/>
      <c r="DH528" s="4551"/>
      <c r="DI528" s="4551"/>
      <c r="DJ528" s="4551"/>
      <c r="DK528" s="4551"/>
      <c r="DL528" s="4551"/>
      <c r="DM528" s="4551"/>
      <c r="DN528" s="4551"/>
      <c r="DO528" s="4551"/>
      <c r="DP528" s="4551"/>
      <c r="DQ528" s="4551"/>
      <c r="DR528" s="4551"/>
      <c r="DS528" s="4551"/>
    </row>
    <row r="529" s="4135" customFormat="1" ht="17.25" customHeight="1" spans="1:123">
      <c r="A529" s="4527"/>
      <c r="B529" s="4528" t="s">
        <v>5205</v>
      </c>
      <c r="C529" s="4529"/>
      <c r="D529" s="4529"/>
      <c r="E529" s="4529"/>
      <c r="F529" s="4530"/>
      <c r="G529" s="4529"/>
      <c r="H529" s="4529"/>
      <c r="I529" s="4529"/>
      <c r="J529" s="4529"/>
      <c r="K529" s="4529"/>
      <c r="L529" s="4529"/>
      <c r="M529" s="4531"/>
      <c r="N529" s="4550" t="s">
        <v>5204</v>
      </c>
      <c r="O529" s="4550"/>
      <c r="P529" s="4550"/>
      <c r="Q529" s="4550"/>
      <c r="R529" s="4534"/>
      <c r="S529" s="4535"/>
      <c r="T529" s="4535"/>
      <c r="U529" s="4535"/>
      <c r="V529" s="4535"/>
      <c r="W529" s="4535"/>
      <c r="X529" s="4536"/>
      <c r="Y529" s="4555">
        <v>0.075</v>
      </c>
      <c r="Z529" s="4555"/>
      <c r="AA529" s="4555"/>
      <c r="AB529" s="4555"/>
      <c r="AC529" s="4539" t="s">
        <v>5188</v>
      </c>
      <c r="AD529" s="4539"/>
      <c r="AE529" s="4540">
        <f t="shared" si="9"/>
        <v>0</v>
      </c>
      <c r="AF529" s="4540"/>
      <c r="AG529" s="4540"/>
      <c r="AH529" s="4540"/>
      <c r="AI529" s="4540"/>
      <c r="AJ529" s="4540"/>
      <c r="AK529" s="4540"/>
      <c r="AL529" s="4534"/>
      <c r="AM529" s="4535"/>
      <c r="AN529" s="4535"/>
      <c r="AO529" s="4535"/>
      <c r="AP529" s="4535"/>
      <c r="AQ529" s="4535"/>
      <c r="AR529" s="4536"/>
      <c r="AS529" s="4551"/>
      <c r="AT529" s="4551"/>
      <c r="AU529" s="4551"/>
      <c r="AV529" s="4551"/>
      <c r="AW529" s="4551"/>
      <c r="AX529" s="4551"/>
      <c r="AY529" s="4551"/>
      <c r="AZ529" s="4551"/>
      <c r="BA529" s="4551"/>
      <c r="BB529" s="4551"/>
      <c r="BC529" s="4551"/>
      <c r="BD529" s="4551"/>
      <c r="BE529" s="4551"/>
      <c r="BF529" s="4551"/>
      <c r="BG529" s="4551"/>
      <c r="BH529" s="4551"/>
      <c r="BI529" s="4551"/>
      <c r="BJ529" s="4551"/>
      <c r="BK529" s="4551"/>
      <c r="BL529" s="4551"/>
      <c r="BM529" s="4551"/>
      <c r="BN529" s="4551"/>
      <c r="BO529" s="4551"/>
      <c r="BP529" s="4551"/>
      <c r="BQ529" s="4551"/>
      <c r="BR529" s="4551"/>
      <c r="BS529" s="4551"/>
      <c r="BT529" s="4551"/>
      <c r="BU529" s="4551"/>
      <c r="BV529" s="4551"/>
      <c r="BW529" s="4551"/>
      <c r="BX529" s="4551"/>
      <c r="BY529" s="4551"/>
      <c r="BZ529" s="4551"/>
      <c r="CA529" s="4551"/>
      <c r="CB529" s="4551"/>
      <c r="CC529" s="4551"/>
      <c r="CD529" s="4551"/>
      <c r="CE529" s="4551"/>
      <c r="CF529" s="4551"/>
      <c r="CG529" s="4551"/>
      <c r="CH529" s="4551"/>
      <c r="CI529" s="4551"/>
      <c r="CJ529" s="4551"/>
      <c r="CK529" s="4551"/>
      <c r="CL529" s="4551"/>
      <c r="CM529" s="4551"/>
      <c r="CN529" s="4551"/>
      <c r="CO529" s="4551"/>
      <c r="CP529" s="4551"/>
      <c r="CQ529" s="4551"/>
      <c r="CR529" s="4551"/>
      <c r="CS529" s="4551"/>
      <c r="CT529" s="4551"/>
      <c r="CU529" s="4551"/>
      <c r="CV529" s="4551"/>
      <c r="CW529" s="4551"/>
      <c r="CX529" s="4551"/>
      <c r="CY529" s="4551"/>
      <c r="CZ529" s="4551"/>
      <c r="DA529" s="4551"/>
      <c r="DB529" s="4551"/>
      <c r="DC529" s="4551"/>
      <c r="DD529" s="4551"/>
      <c r="DE529" s="4551"/>
      <c r="DF529" s="4551"/>
      <c r="DG529" s="4551"/>
      <c r="DH529" s="4551"/>
      <c r="DI529" s="4551"/>
      <c r="DJ529" s="4551"/>
      <c r="DK529" s="4551"/>
      <c r="DL529" s="4551"/>
      <c r="DM529" s="4551"/>
      <c r="DN529" s="4551"/>
      <c r="DO529" s="4551"/>
      <c r="DP529" s="4551"/>
      <c r="DQ529" s="4551"/>
      <c r="DR529" s="4551"/>
      <c r="DS529" s="4551"/>
    </row>
    <row r="530" s="4135" customFormat="1" ht="17.25" customHeight="1" spans="1:123">
      <c r="A530" s="4527" t="s">
        <v>3905</v>
      </c>
      <c r="B530" s="4556" t="s">
        <v>5206</v>
      </c>
      <c r="C530" s="4529"/>
      <c r="D530" s="4529"/>
      <c r="E530" s="4529"/>
      <c r="F530" s="4530"/>
      <c r="G530" s="4529"/>
      <c r="H530" s="4529"/>
      <c r="I530" s="4529"/>
      <c r="J530" s="4529"/>
      <c r="K530" s="4529"/>
      <c r="L530" s="4529"/>
      <c r="M530" s="4531"/>
      <c r="N530" s="4550" t="s">
        <v>5193</v>
      </c>
      <c r="O530" s="4550"/>
      <c r="P530" s="4550"/>
      <c r="Q530" s="4550"/>
      <c r="R530" s="4534"/>
      <c r="S530" s="4535"/>
      <c r="T530" s="4535"/>
      <c r="U530" s="4535"/>
      <c r="V530" s="4535"/>
      <c r="W530" s="4535"/>
      <c r="X530" s="4536"/>
      <c r="Y530" s="4538">
        <v>1.5</v>
      </c>
      <c r="Z530" s="4538"/>
      <c r="AA530" s="4538"/>
      <c r="AB530" s="4538"/>
      <c r="AC530" s="4539" t="s">
        <v>5188</v>
      </c>
      <c r="AD530" s="4539"/>
      <c r="AE530" s="4540">
        <f t="shared" si="9"/>
        <v>0</v>
      </c>
      <c r="AF530" s="4540"/>
      <c r="AG530" s="4540"/>
      <c r="AH530" s="4540"/>
      <c r="AI530" s="4540"/>
      <c r="AJ530" s="4540"/>
      <c r="AK530" s="4540"/>
      <c r="AL530" s="4534"/>
      <c r="AM530" s="4535"/>
      <c r="AN530" s="4535"/>
      <c r="AO530" s="4535"/>
      <c r="AP530" s="4535"/>
      <c r="AQ530" s="4535"/>
      <c r="AR530" s="4536"/>
      <c r="AS530" s="4551"/>
      <c r="AT530" s="4551"/>
      <c r="AU530" s="4551"/>
      <c r="AV530" s="4551"/>
      <c r="AW530" s="4551"/>
      <c r="AX530" s="4551"/>
      <c r="AY530" s="4551"/>
      <c r="AZ530" s="4551"/>
      <c r="BA530" s="4551"/>
      <c r="BB530" s="4551"/>
      <c r="BC530" s="4551"/>
      <c r="BD530" s="4551"/>
      <c r="BE530" s="4551"/>
      <c r="BF530" s="4551"/>
      <c r="BG530" s="4551"/>
      <c r="BH530" s="4551"/>
      <c r="BI530" s="4551"/>
      <c r="BJ530" s="4551"/>
      <c r="BK530" s="4551"/>
      <c r="BL530" s="4551"/>
      <c r="BM530" s="4551"/>
      <c r="BN530" s="4551"/>
      <c r="BO530" s="4551"/>
      <c r="BP530" s="4551"/>
      <c r="BQ530" s="4551"/>
      <c r="BR530" s="4551"/>
      <c r="BS530" s="4551"/>
      <c r="BT530" s="4551"/>
      <c r="BU530" s="4551"/>
      <c r="BV530" s="4551"/>
      <c r="BW530" s="4551"/>
      <c r="BX530" s="4551"/>
      <c r="BY530" s="4551"/>
      <c r="BZ530" s="4551"/>
      <c r="CA530" s="4551"/>
      <c r="CB530" s="4551"/>
      <c r="CC530" s="4551"/>
      <c r="CD530" s="4551"/>
      <c r="CE530" s="4551"/>
      <c r="CF530" s="4551"/>
      <c r="CG530" s="4551"/>
      <c r="CH530" s="4551"/>
      <c r="CI530" s="4551"/>
      <c r="CJ530" s="4551"/>
      <c r="CK530" s="4551"/>
      <c r="CL530" s="4551"/>
      <c r="CM530" s="4551"/>
      <c r="CN530" s="4551"/>
      <c r="CO530" s="4551"/>
      <c r="CP530" s="4551"/>
      <c r="CQ530" s="4551"/>
      <c r="CR530" s="4551"/>
      <c r="CS530" s="4551"/>
      <c r="CT530" s="4551"/>
      <c r="CU530" s="4551"/>
      <c r="CV530" s="4551"/>
      <c r="CW530" s="4551"/>
      <c r="CX530" s="4551"/>
      <c r="CY530" s="4551"/>
      <c r="CZ530" s="4551"/>
      <c r="DA530" s="4551"/>
      <c r="DB530" s="4551"/>
      <c r="DC530" s="4551"/>
      <c r="DD530" s="4551"/>
      <c r="DE530" s="4551"/>
      <c r="DF530" s="4551"/>
      <c r="DG530" s="4551"/>
      <c r="DH530" s="4551"/>
      <c r="DI530" s="4551"/>
      <c r="DJ530" s="4551"/>
      <c r="DK530" s="4551"/>
      <c r="DL530" s="4551"/>
      <c r="DM530" s="4551"/>
      <c r="DN530" s="4551"/>
      <c r="DO530" s="4551"/>
      <c r="DP530" s="4551"/>
      <c r="DQ530" s="4551"/>
      <c r="DR530" s="4551"/>
      <c r="DS530" s="4551"/>
    </row>
    <row r="531" s="4133" customFormat="1" ht="21.75" customHeight="1" spans="1:123">
      <c r="A531" s="4557"/>
      <c r="B531" s="4558" t="s">
        <v>5207</v>
      </c>
      <c r="C531" s="4558"/>
      <c r="D531" s="4558"/>
      <c r="E531" s="4558"/>
      <c r="F531" s="4558"/>
      <c r="G531" s="4558"/>
      <c r="H531" s="4558"/>
      <c r="I531" s="4558"/>
      <c r="J531" s="4558"/>
      <c r="K531" s="4558"/>
      <c r="L531" s="4558"/>
      <c r="M531" s="4558"/>
      <c r="N531" s="4076"/>
      <c r="O531" s="4076"/>
      <c r="P531" s="4076"/>
      <c r="Q531" s="4076"/>
      <c r="R531" s="4546"/>
      <c r="S531" s="4546"/>
      <c r="T531" s="4546"/>
      <c r="U531" s="4546"/>
      <c r="V531" s="4546"/>
      <c r="W531" s="4546"/>
      <c r="X531" s="4546"/>
      <c r="Y531" s="4076"/>
      <c r="Z531" s="4076"/>
      <c r="AA531" s="4076"/>
      <c r="AB531" s="4076"/>
      <c r="AC531" s="4076"/>
      <c r="AD531" s="4076"/>
      <c r="AE531" s="4546"/>
      <c r="AF531" s="4546"/>
      <c r="AG531" s="4546"/>
      <c r="AH531" s="4546"/>
      <c r="AI531" s="4546"/>
      <c r="AJ531" s="4546"/>
      <c r="AK531" s="4546"/>
      <c r="AL531" s="4546"/>
      <c r="AM531" s="4546"/>
      <c r="AN531" s="4546"/>
      <c r="AO531" s="4546"/>
      <c r="AP531" s="4546"/>
      <c r="AQ531" s="4546"/>
      <c r="AR531" s="4546"/>
      <c r="AS531" s="4514"/>
      <c r="AT531" s="4514"/>
      <c r="AU531" s="4514"/>
      <c r="AV531" s="4514"/>
      <c r="AW531" s="4514"/>
      <c r="AX531" s="4514"/>
      <c r="AY531" s="4514"/>
      <c r="AZ531" s="4514"/>
      <c r="BA531" s="4514"/>
      <c r="BB531" s="4514"/>
      <c r="BC531" s="4514"/>
      <c r="BD531" s="4514"/>
      <c r="BE531" s="4514"/>
      <c r="BF531" s="4514"/>
      <c r="BG531" s="4514"/>
      <c r="BH531" s="4514"/>
      <c r="BI531" s="4514"/>
      <c r="BJ531" s="4514"/>
      <c r="BK531" s="4514"/>
      <c r="BL531" s="4514"/>
      <c r="BM531" s="4514"/>
      <c r="BN531" s="4514"/>
      <c r="BO531" s="4514"/>
      <c r="BP531" s="4514"/>
      <c r="BQ531" s="4514"/>
      <c r="BR531" s="4514"/>
      <c r="BS531" s="4514"/>
      <c r="BT531" s="4514"/>
      <c r="BU531" s="4514"/>
      <c r="BV531" s="4514"/>
      <c r="BW531" s="4514"/>
      <c r="BX531" s="4514"/>
      <c r="BY531" s="4514"/>
      <c r="BZ531" s="4514"/>
      <c r="CA531" s="4514"/>
      <c r="CB531" s="4514"/>
      <c r="CC531" s="4514"/>
      <c r="CD531" s="4514"/>
      <c r="CE531" s="4514"/>
      <c r="CF531" s="4514"/>
      <c r="CG531" s="4514"/>
      <c r="CH531" s="4514"/>
      <c r="CI531" s="4514"/>
      <c r="CJ531" s="4514"/>
      <c r="CK531" s="4514"/>
      <c r="CL531" s="4514"/>
      <c r="CM531" s="4514"/>
      <c r="CN531" s="4514"/>
      <c r="CO531" s="4514"/>
      <c r="CP531" s="4514"/>
      <c r="CQ531" s="4514"/>
      <c r="CR531" s="4514"/>
      <c r="CS531" s="4514"/>
      <c r="CT531" s="4514"/>
      <c r="CU531" s="4514"/>
      <c r="CV531" s="4514"/>
      <c r="CW531" s="4514"/>
      <c r="CX531" s="4514"/>
      <c r="CY531" s="4514"/>
      <c r="CZ531" s="4514"/>
      <c r="DA531" s="4514"/>
      <c r="DB531" s="4514"/>
      <c r="DC531" s="4514"/>
      <c r="DD531" s="4514"/>
      <c r="DE531" s="4514"/>
      <c r="DF531" s="4514"/>
      <c r="DG531" s="4514"/>
      <c r="DH531" s="4514"/>
      <c r="DI531" s="4514"/>
      <c r="DJ531" s="4514"/>
      <c r="DK531" s="4514"/>
      <c r="DL531" s="4514"/>
      <c r="DM531" s="4514"/>
      <c r="DN531" s="4514"/>
      <c r="DO531" s="4514"/>
      <c r="DP531" s="4514"/>
      <c r="DQ531" s="4514"/>
      <c r="DR531" s="4514"/>
      <c r="DS531" s="4514"/>
    </row>
    <row r="532" s="4135" customFormat="1" ht="22.5" customHeight="1" spans="1:123">
      <c r="A532" s="4527" t="s">
        <v>3915</v>
      </c>
      <c r="B532" s="4528" t="s">
        <v>5208</v>
      </c>
      <c r="C532" s="4529"/>
      <c r="D532" s="4529"/>
      <c r="E532" s="4529"/>
      <c r="F532" s="4530"/>
      <c r="G532" s="4529"/>
      <c r="H532" s="4529"/>
      <c r="I532" s="4529"/>
      <c r="J532" s="4529"/>
      <c r="K532" s="4529"/>
      <c r="L532" s="4529"/>
      <c r="M532" s="4531"/>
      <c r="N532" s="4550" t="s">
        <v>5209</v>
      </c>
      <c r="O532" s="4550"/>
      <c r="P532" s="4550"/>
      <c r="Q532" s="4550"/>
      <c r="R532" s="4534"/>
      <c r="S532" s="4535"/>
      <c r="T532" s="4535"/>
      <c r="U532" s="4535"/>
      <c r="V532" s="4535"/>
      <c r="W532" s="4535"/>
      <c r="X532" s="4536"/>
      <c r="Y532" s="4538">
        <v>5</v>
      </c>
      <c r="Z532" s="4538"/>
      <c r="AA532" s="4538"/>
      <c r="AB532" s="4538"/>
      <c r="AC532" s="4539" t="s">
        <v>5188</v>
      </c>
      <c r="AD532" s="4539"/>
      <c r="AE532" s="4540">
        <f>R532*Y532</f>
        <v>0</v>
      </c>
      <c r="AF532" s="4540"/>
      <c r="AG532" s="4540"/>
      <c r="AH532" s="4540"/>
      <c r="AI532" s="4540"/>
      <c r="AJ532" s="4540"/>
      <c r="AK532" s="4540"/>
      <c r="AL532" s="4534"/>
      <c r="AM532" s="4535"/>
      <c r="AN532" s="4535"/>
      <c r="AO532" s="4535"/>
      <c r="AP532" s="4535"/>
      <c r="AQ532" s="4535"/>
      <c r="AR532" s="4536"/>
      <c r="AS532" s="4551"/>
      <c r="AT532" s="4551"/>
      <c r="AU532" s="4551"/>
      <c r="AV532" s="4551"/>
      <c r="AW532" s="4551"/>
      <c r="AX532" s="4551"/>
      <c r="AY532" s="4551"/>
      <c r="AZ532" s="4551"/>
      <c r="BA532" s="4551"/>
      <c r="BB532" s="4551"/>
      <c r="BC532" s="4551"/>
      <c r="BD532" s="4551"/>
      <c r="BE532" s="4551"/>
      <c r="BF532" s="4551"/>
      <c r="BG532" s="4551"/>
      <c r="BH532" s="4551"/>
      <c r="BI532" s="4551"/>
      <c r="BJ532" s="4551"/>
      <c r="BK532" s="4551"/>
      <c r="BL532" s="4551"/>
      <c r="BM532" s="4551"/>
      <c r="BN532" s="4551"/>
      <c r="BO532" s="4551"/>
      <c r="BP532" s="4551"/>
      <c r="BQ532" s="4551"/>
      <c r="BR532" s="4551"/>
      <c r="BS532" s="4551"/>
      <c r="BT532" s="4551"/>
      <c r="BU532" s="4551"/>
      <c r="BV532" s="4551"/>
      <c r="BW532" s="4551"/>
      <c r="BX532" s="4551"/>
      <c r="BY532" s="4551"/>
      <c r="BZ532" s="4551"/>
      <c r="CA532" s="4551"/>
      <c r="CB532" s="4551"/>
      <c r="CC532" s="4551"/>
      <c r="CD532" s="4551"/>
      <c r="CE532" s="4551"/>
      <c r="CF532" s="4551"/>
      <c r="CG532" s="4551"/>
      <c r="CH532" s="4551"/>
      <c r="CI532" s="4551"/>
      <c r="CJ532" s="4551"/>
      <c r="CK532" s="4551"/>
      <c r="CL532" s="4551"/>
      <c r="CM532" s="4551"/>
      <c r="CN532" s="4551"/>
      <c r="CO532" s="4551"/>
      <c r="CP532" s="4551"/>
      <c r="CQ532" s="4551"/>
      <c r="CR532" s="4551"/>
      <c r="CS532" s="4551"/>
      <c r="CT532" s="4551"/>
      <c r="CU532" s="4551"/>
      <c r="CV532" s="4551"/>
      <c r="CW532" s="4551"/>
      <c r="CX532" s="4551"/>
      <c r="CY532" s="4551"/>
      <c r="CZ532" s="4551"/>
      <c r="DA532" s="4551"/>
      <c r="DB532" s="4551"/>
      <c r="DC532" s="4551"/>
      <c r="DD532" s="4551"/>
      <c r="DE532" s="4551"/>
      <c r="DF532" s="4551"/>
      <c r="DG532" s="4551"/>
      <c r="DH532" s="4551"/>
      <c r="DI532" s="4551"/>
      <c r="DJ532" s="4551"/>
      <c r="DK532" s="4551"/>
      <c r="DL532" s="4551"/>
      <c r="DM532" s="4551"/>
      <c r="DN532" s="4551"/>
      <c r="DO532" s="4551"/>
      <c r="DP532" s="4551"/>
      <c r="DQ532" s="4551"/>
      <c r="DR532" s="4551"/>
      <c r="DS532" s="4551"/>
    </row>
    <row r="533" s="4135" customFormat="1" ht="22.5" customHeight="1" spans="1:123">
      <c r="A533" s="4527"/>
      <c r="B533" s="4528" t="s">
        <v>5210</v>
      </c>
      <c r="C533" s="4529"/>
      <c r="D533" s="4529"/>
      <c r="E533" s="4529"/>
      <c r="F533" s="4530"/>
      <c r="G533" s="4529"/>
      <c r="H533" s="4529"/>
      <c r="I533" s="4529"/>
      <c r="J533" s="4529"/>
      <c r="K533" s="4529"/>
      <c r="L533" s="4529"/>
      <c r="M533" s="4531"/>
      <c r="N533" s="4550" t="s">
        <v>5211</v>
      </c>
      <c r="O533" s="4550"/>
      <c r="P533" s="4550"/>
      <c r="Q533" s="4550"/>
      <c r="R533" s="4534"/>
      <c r="S533" s="4535"/>
      <c r="T533" s="4535"/>
      <c r="U533" s="4535"/>
      <c r="V533" s="4535"/>
      <c r="W533" s="4535"/>
      <c r="X533" s="4536"/>
      <c r="Y533" s="4538">
        <v>0.1</v>
      </c>
      <c r="Z533" s="4538"/>
      <c r="AA533" s="4538"/>
      <c r="AB533" s="4538"/>
      <c r="AC533" s="4539" t="s">
        <v>5188</v>
      </c>
      <c r="AD533" s="4539"/>
      <c r="AE533" s="4540">
        <f>R533*Y533</f>
        <v>0</v>
      </c>
      <c r="AF533" s="4540"/>
      <c r="AG533" s="4540"/>
      <c r="AH533" s="4540"/>
      <c r="AI533" s="4540"/>
      <c r="AJ533" s="4540"/>
      <c r="AK533" s="4540"/>
      <c r="AL533" s="4534"/>
      <c r="AM533" s="4535"/>
      <c r="AN533" s="4535"/>
      <c r="AO533" s="4535"/>
      <c r="AP533" s="4535"/>
      <c r="AQ533" s="4535"/>
      <c r="AR533" s="4536"/>
      <c r="AS533" s="4551"/>
      <c r="AT533" s="4551"/>
      <c r="AU533" s="4551"/>
      <c r="AV533" s="4551"/>
      <c r="AW533" s="4551"/>
      <c r="AX533" s="4551"/>
      <c r="AY533" s="4551"/>
      <c r="AZ533" s="4551"/>
      <c r="BA533" s="4551"/>
      <c r="BB533" s="4551"/>
      <c r="BC533" s="4551"/>
      <c r="BD533" s="4551"/>
      <c r="BE533" s="4551"/>
      <c r="BF533" s="4551"/>
      <c r="BG533" s="4551"/>
      <c r="BH533" s="4551"/>
      <c r="BI533" s="4551"/>
      <c r="BJ533" s="4551"/>
      <c r="BK533" s="4551"/>
      <c r="BL533" s="4551"/>
      <c r="BM533" s="4551"/>
      <c r="BN533" s="4551"/>
      <c r="BO533" s="4551"/>
      <c r="BP533" s="4551"/>
      <c r="BQ533" s="4551"/>
      <c r="BR533" s="4551"/>
      <c r="BS533" s="4551"/>
      <c r="BT533" s="4551"/>
      <c r="BU533" s="4551"/>
      <c r="BV533" s="4551"/>
      <c r="BW533" s="4551"/>
      <c r="BX533" s="4551"/>
      <c r="BY533" s="4551"/>
      <c r="BZ533" s="4551"/>
      <c r="CA533" s="4551"/>
      <c r="CB533" s="4551"/>
      <c r="CC533" s="4551"/>
      <c r="CD533" s="4551"/>
      <c r="CE533" s="4551"/>
      <c r="CF533" s="4551"/>
      <c r="CG533" s="4551"/>
      <c r="CH533" s="4551"/>
      <c r="CI533" s="4551"/>
      <c r="CJ533" s="4551"/>
      <c r="CK533" s="4551"/>
      <c r="CL533" s="4551"/>
      <c r="CM533" s="4551"/>
      <c r="CN533" s="4551"/>
      <c r="CO533" s="4551"/>
      <c r="CP533" s="4551"/>
      <c r="CQ533" s="4551"/>
      <c r="CR533" s="4551"/>
      <c r="CS533" s="4551"/>
      <c r="CT533" s="4551"/>
      <c r="CU533" s="4551"/>
      <c r="CV533" s="4551"/>
      <c r="CW533" s="4551"/>
      <c r="CX533" s="4551"/>
      <c r="CY533" s="4551"/>
      <c r="CZ533" s="4551"/>
      <c r="DA533" s="4551"/>
      <c r="DB533" s="4551"/>
      <c r="DC533" s="4551"/>
      <c r="DD533" s="4551"/>
      <c r="DE533" s="4551"/>
      <c r="DF533" s="4551"/>
      <c r="DG533" s="4551"/>
      <c r="DH533" s="4551"/>
      <c r="DI533" s="4551"/>
      <c r="DJ533" s="4551"/>
      <c r="DK533" s="4551"/>
      <c r="DL533" s="4551"/>
      <c r="DM533" s="4551"/>
      <c r="DN533" s="4551"/>
      <c r="DO533" s="4551"/>
      <c r="DP533" s="4551"/>
      <c r="DQ533" s="4551"/>
      <c r="DR533" s="4551"/>
      <c r="DS533" s="4551"/>
    </row>
    <row r="534" s="4133" customFormat="1" ht="12" customHeight="1" spans="1:123">
      <c r="A534" s="4514"/>
      <c r="B534" s="4514"/>
      <c r="C534" s="4514"/>
      <c r="D534" s="4514"/>
      <c r="E534" s="4514"/>
      <c r="F534" s="4514"/>
      <c r="G534" s="4514"/>
      <c r="H534" s="4514"/>
      <c r="I534" s="4514"/>
      <c r="J534" s="4514"/>
      <c r="K534" s="4514"/>
      <c r="L534" s="4514"/>
      <c r="M534" s="4514"/>
      <c r="N534" s="4514"/>
      <c r="O534" s="4514"/>
      <c r="P534" s="4514"/>
      <c r="Q534" s="4514"/>
      <c r="R534" s="4514"/>
      <c r="S534" s="4514"/>
      <c r="T534" s="4514"/>
      <c r="U534" s="4514"/>
      <c r="V534" s="4514"/>
      <c r="W534" s="4514"/>
      <c r="X534" s="4514"/>
      <c r="Y534" s="4514"/>
      <c r="Z534" s="4514"/>
      <c r="AA534" s="4514"/>
      <c r="AB534" s="4514"/>
      <c r="AC534" s="4514"/>
      <c r="AD534" s="4514"/>
      <c r="AE534" s="4514"/>
      <c r="AF534" s="4514"/>
      <c r="AG534" s="4514"/>
      <c r="AH534" s="4514"/>
      <c r="AI534" s="4514"/>
      <c r="AJ534" s="4514"/>
      <c r="AK534" s="4514"/>
      <c r="AL534" s="4514"/>
      <c r="AM534" s="4514"/>
      <c r="AN534" s="4514"/>
      <c r="AO534" s="4514"/>
      <c r="AP534" s="4514"/>
      <c r="AQ534" s="4514"/>
      <c r="AR534" s="4514"/>
      <c r="AS534" s="4514"/>
      <c r="AT534" s="4514"/>
      <c r="AU534" s="4514"/>
      <c r="AV534" s="4514"/>
      <c r="AW534" s="4514"/>
      <c r="AX534" s="4514"/>
      <c r="AY534" s="4514"/>
      <c r="AZ534" s="4514"/>
      <c r="BA534" s="4514"/>
      <c r="BB534" s="4514"/>
      <c r="BC534" s="4514"/>
      <c r="BD534" s="4514"/>
      <c r="BE534" s="4514"/>
      <c r="BF534" s="4514"/>
      <c r="BG534" s="4514"/>
      <c r="BH534" s="4514"/>
      <c r="BI534" s="4514"/>
      <c r="BJ534" s="4514"/>
      <c r="BK534" s="4514"/>
      <c r="BL534" s="4514"/>
      <c r="BM534" s="4514"/>
      <c r="BN534" s="4514"/>
      <c r="BO534" s="4514"/>
      <c r="BP534" s="4514"/>
      <c r="BQ534" s="4514"/>
      <c r="BR534" s="4514"/>
      <c r="BS534" s="4514"/>
      <c r="BT534" s="4514"/>
      <c r="BU534" s="4514"/>
      <c r="BV534" s="4514"/>
      <c r="BW534" s="4514"/>
      <c r="BX534" s="4514"/>
      <c r="BY534" s="4514"/>
      <c r="BZ534" s="4514"/>
      <c r="CA534" s="4514"/>
      <c r="CB534" s="4514"/>
      <c r="CC534" s="4514"/>
      <c r="CD534" s="4514"/>
      <c r="CE534" s="4514"/>
      <c r="CF534" s="4514"/>
      <c r="CG534" s="4514"/>
      <c r="CH534" s="4514"/>
      <c r="CI534" s="4514"/>
      <c r="CJ534" s="4514"/>
      <c r="CK534" s="4514"/>
      <c r="CL534" s="4514"/>
      <c r="CM534" s="4514"/>
      <c r="CN534" s="4514"/>
      <c r="CO534" s="4514"/>
      <c r="CP534" s="4514"/>
      <c r="CQ534" s="4514"/>
      <c r="CR534" s="4514"/>
      <c r="CS534" s="4514"/>
      <c r="CT534" s="4514"/>
      <c r="CU534" s="4514"/>
      <c r="CV534" s="4514"/>
      <c r="CW534" s="4514"/>
      <c r="CX534" s="4514"/>
      <c r="CY534" s="4514"/>
      <c r="CZ534" s="4514"/>
      <c r="DA534" s="4514"/>
      <c r="DB534" s="4514"/>
      <c r="DC534" s="4514"/>
      <c r="DD534" s="4514"/>
      <c r="DE534" s="4514"/>
      <c r="DF534" s="4514"/>
      <c r="DG534" s="4514"/>
      <c r="DH534" s="4514"/>
      <c r="DI534" s="4514"/>
      <c r="DJ534" s="4514"/>
      <c r="DK534" s="4514"/>
      <c r="DL534" s="4514"/>
      <c r="DM534" s="4514"/>
      <c r="DN534" s="4514"/>
      <c r="DO534" s="4514"/>
      <c r="DP534" s="4514"/>
      <c r="DQ534" s="4514"/>
      <c r="DR534" s="4514"/>
      <c r="DS534" s="4514"/>
    </row>
    <row r="535" s="4133" customFormat="1" ht="12" customHeight="1" spans="1:123">
      <c r="A535" s="4514"/>
      <c r="B535" s="4514"/>
      <c r="C535" s="4514"/>
      <c r="D535" s="4514"/>
      <c r="E535" s="4514"/>
      <c r="F535" s="4514"/>
      <c r="G535" s="4514"/>
      <c r="H535" s="4514"/>
      <c r="I535" s="4514"/>
      <c r="J535" s="4514"/>
      <c r="K535" s="4514"/>
      <c r="L535" s="4514"/>
      <c r="M535" s="4514"/>
      <c r="N535" s="4514"/>
      <c r="O535" s="4514"/>
      <c r="P535" s="4514"/>
      <c r="Q535" s="4514"/>
      <c r="R535" s="4514"/>
      <c r="S535" s="4514"/>
      <c r="T535" s="4514"/>
      <c r="U535" s="4514"/>
      <c r="V535" s="4514"/>
      <c r="W535" s="4514"/>
      <c r="X535" s="4514"/>
      <c r="Y535" s="4514"/>
      <c r="Z535" s="4514"/>
      <c r="AA535" s="4514"/>
      <c r="AB535" s="4514"/>
      <c r="AC535" s="4514"/>
      <c r="AD535" s="4514"/>
      <c r="AE535" s="4514"/>
      <c r="AF535" s="4514"/>
      <c r="AG535" s="4514"/>
      <c r="AH535" s="4514"/>
      <c r="AI535" s="4514"/>
      <c r="AJ535" s="4514"/>
      <c r="AK535" s="4514"/>
      <c r="AL535" s="4514"/>
      <c r="AM535" s="4514"/>
      <c r="AN535" s="4514"/>
      <c r="AO535" s="4514"/>
      <c r="AP535" s="4514"/>
      <c r="AQ535" s="4514"/>
      <c r="AR535" s="4514"/>
      <c r="AS535" s="4514"/>
      <c r="AT535" s="4514"/>
      <c r="AU535" s="4514"/>
      <c r="AV535" s="4514"/>
      <c r="AW535" s="4514"/>
      <c r="AX535" s="4514"/>
      <c r="AY535" s="4514"/>
      <c r="AZ535" s="4514"/>
      <c r="BA535" s="4514"/>
      <c r="BB535" s="4514"/>
      <c r="BC535" s="4514"/>
      <c r="BD535" s="4514"/>
      <c r="BE535" s="4514"/>
      <c r="BF535" s="4514"/>
      <c r="BG535" s="4514"/>
      <c r="BH535" s="4514"/>
      <c r="BI535" s="4514"/>
      <c r="BJ535" s="4514"/>
      <c r="BK535" s="4514"/>
      <c r="BL535" s="4514"/>
      <c r="BM535" s="4514"/>
      <c r="BN535" s="4514"/>
      <c r="BO535" s="4514"/>
      <c r="BP535" s="4514"/>
      <c r="BQ535" s="4514"/>
      <c r="BR535" s="4514"/>
      <c r="BS535" s="4514"/>
      <c r="BT535" s="4514"/>
      <c r="BU535" s="4514"/>
      <c r="BV535" s="4514"/>
      <c r="BW535" s="4514"/>
      <c r="BX535" s="4514"/>
      <c r="BY535" s="4514"/>
      <c r="BZ535" s="4514"/>
      <c r="CA535" s="4514"/>
      <c r="CB535" s="4514"/>
      <c r="CC535" s="4514"/>
      <c r="CD535" s="4514"/>
      <c r="CE535" s="4514"/>
      <c r="CF535" s="4514"/>
      <c r="CG535" s="4514"/>
      <c r="CH535" s="4514"/>
      <c r="CI535" s="4514"/>
      <c r="CJ535" s="4514"/>
      <c r="CK535" s="4514"/>
      <c r="CL535" s="4514"/>
      <c r="CM535" s="4514"/>
      <c r="CN535" s="4514"/>
      <c r="CO535" s="4514"/>
      <c r="CP535" s="4514"/>
      <c r="CQ535" s="4514"/>
      <c r="CR535" s="4514"/>
      <c r="CS535" s="4514"/>
      <c r="CT535" s="4514"/>
      <c r="CU535" s="4514"/>
      <c r="CV535" s="4514"/>
      <c r="CW535" s="4514"/>
      <c r="CX535" s="4514"/>
      <c r="CY535" s="4514"/>
      <c r="CZ535" s="4514"/>
      <c r="DA535" s="4514"/>
      <c r="DB535" s="4514"/>
      <c r="DC535" s="4514"/>
      <c r="DD535" s="4514"/>
      <c r="DE535" s="4514"/>
      <c r="DF535" s="4514"/>
      <c r="DG535" s="4514"/>
      <c r="DH535" s="4514"/>
      <c r="DI535" s="4514"/>
      <c r="DJ535" s="4514"/>
      <c r="DK535" s="4514"/>
      <c r="DL535" s="4514"/>
      <c r="DM535" s="4514"/>
      <c r="DN535" s="4514"/>
      <c r="DO535" s="4514"/>
      <c r="DP535" s="4514"/>
      <c r="DQ535" s="4514"/>
      <c r="DR535" s="4514"/>
      <c r="DS535" s="4514"/>
    </row>
    <row r="536" s="4133" customFormat="1" ht="12" customHeight="1" spans="1:123">
      <c r="A536" s="4559"/>
      <c r="B536" s="4559"/>
      <c r="C536" s="4559"/>
      <c r="D536" s="4559"/>
      <c r="E536" s="4559"/>
      <c r="F536" s="4559"/>
      <c r="G536" s="4559"/>
      <c r="H536" s="4559"/>
      <c r="I536" s="4559"/>
      <c r="J536" s="4559"/>
      <c r="K536" s="4559"/>
      <c r="L536" s="4559"/>
      <c r="M536" s="4559"/>
      <c r="N536" s="4559"/>
      <c r="O536" s="4559"/>
      <c r="P536" s="4559"/>
      <c r="Q536" s="4559"/>
      <c r="R536" s="4559"/>
      <c r="S536" s="4559"/>
      <c r="T536" s="4559"/>
      <c r="U536" s="4559"/>
      <c r="V536" s="4559"/>
      <c r="W536" s="4559"/>
      <c r="X536" s="4559"/>
      <c r="Y536" s="4559"/>
      <c r="Z536" s="4559"/>
      <c r="AA536" s="4559"/>
      <c r="AB536" s="4559"/>
      <c r="AC536" s="4559"/>
      <c r="AD536" s="4559"/>
      <c r="AE536" s="4559"/>
      <c r="AF536" s="4559"/>
      <c r="AG536" s="4559"/>
      <c r="AH536" s="4559"/>
      <c r="AI536" s="4559"/>
      <c r="AJ536" s="4559"/>
      <c r="AK536" s="4559"/>
      <c r="AL536" s="4559"/>
      <c r="AM536" s="4559"/>
      <c r="AN536" s="4559"/>
      <c r="AO536" s="4559"/>
      <c r="AP536" s="4559"/>
      <c r="AQ536" s="4559"/>
      <c r="AR536" s="4559"/>
      <c r="AS536" s="4559"/>
      <c r="AT536" s="4559"/>
      <c r="AU536" s="4559"/>
      <c r="AV536" s="4559"/>
      <c r="AW536" s="4559"/>
      <c r="AX536" s="4559"/>
      <c r="AY536" s="4559"/>
      <c r="AZ536" s="4559"/>
      <c r="BA536" s="4559"/>
      <c r="BB536" s="4559"/>
      <c r="BC536" s="4559"/>
      <c r="BD536" s="4559"/>
      <c r="BE536" s="4559"/>
      <c r="BF536" s="4559"/>
      <c r="BG536" s="4559"/>
      <c r="BH536" s="4559"/>
      <c r="BI536" s="4559"/>
      <c r="BJ536" s="4559"/>
      <c r="BK536" s="4559"/>
      <c r="BL536" s="4559"/>
      <c r="BM536" s="4559"/>
      <c r="BN536" s="4559"/>
      <c r="BO536" s="4559"/>
      <c r="BP536" s="4559"/>
      <c r="BQ536" s="4559"/>
      <c r="BR536" s="4559"/>
      <c r="BS536" s="4559"/>
      <c r="BT536" s="4559"/>
      <c r="BU536" s="4559"/>
      <c r="BV536" s="4559"/>
      <c r="BW536" s="4559"/>
      <c r="BX536" s="4559"/>
      <c r="BY536" s="4559"/>
      <c r="BZ536" s="4559"/>
      <c r="CA536" s="4559"/>
      <c r="CB536" s="4559"/>
      <c r="CC536" s="4559"/>
      <c r="CD536" s="4559"/>
      <c r="CE536" s="4559"/>
      <c r="CF536" s="4559"/>
      <c r="CG536" s="4559"/>
      <c r="CH536" s="4559"/>
      <c r="CI536" s="4559"/>
      <c r="CJ536" s="4559"/>
      <c r="CK536" s="4559"/>
      <c r="CL536" s="4559"/>
      <c r="CM536" s="4559"/>
      <c r="CN536" s="4559"/>
      <c r="CO536" s="4559"/>
      <c r="CP536" s="4559"/>
      <c r="CQ536" s="4559"/>
      <c r="CR536" s="4559"/>
      <c r="CS536" s="4559"/>
      <c r="CT536" s="4559"/>
      <c r="CU536" s="4559"/>
      <c r="CV536" s="4559"/>
      <c r="CW536" s="4559"/>
      <c r="CX536" s="4559"/>
      <c r="CY536" s="4559"/>
      <c r="CZ536" s="4559"/>
      <c r="DA536" s="4559"/>
      <c r="DB536" s="4559"/>
      <c r="DC536" s="4559"/>
      <c r="DD536" s="4559"/>
      <c r="DE536" s="4559"/>
      <c r="DF536" s="4559"/>
      <c r="DG536" s="4559"/>
      <c r="DH536" s="4559"/>
      <c r="DI536" s="4559"/>
      <c r="DJ536" s="4559"/>
      <c r="DK536" s="4559"/>
      <c r="DL536" s="4559"/>
      <c r="DM536" s="4559"/>
      <c r="DN536" s="4559"/>
      <c r="DO536" s="4559"/>
      <c r="DP536" s="4559"/>
      <c r="DQ536" s="4559"/>
      <c r="DR536" s="4559"/>
      <c r="DS536" s="4559"/>
    </row>
    <row r="537" s="4134" customFormat="1" ht="28.5" customHeight="1" spans="1:123">
      <c r="A537" s="4513" t="s">
        <v>5212</v>
      </c>
      <c r="B537" s="4560"/>
      <c r="C537" s="4560"/>
      <c r="D537" s="4560"/>
      <c r="E537" s="4560"/>
      <c r="F537" s="4560"/>
      <c r="G537" s="4560"/>
      <c r="H537" s="4560"/>
      <c r="I537" s="4560"/>
      <c r="J537" s="4560"/>
      <c r="K537" s="4560"/>
      <c r="L537" s="4560"/>
      <c r="M537" s="4560"/>
      <c r="N537" s="4560"/>
      <c r="O537" s="4560"/>
      <c r="P537" s="4560"/>
      <c r="Q537" s="4560"/>
      <c r="R537" s="4560"/>
      <c r="S537" s="4560"/>
      <c r="T537" s="4560"/>
      <c r="U537" s="4560"/>
      <c r="V537" s="4560"/>
      <c r="W537" s="4560"/>
      <c r="X537" s="4560"/>
      <c r="Y537" s="4560"/>
      <c r="Z537" s="4560"/>
      <c r="AA537" s="4560"/>
      <c r="AB537" s="4560"/>
      <c r="AC537" s="4560"/>
      <c r="AD537" s="4560"/>
      <c r="AE537" s="4560"/>
      <c r="AF537" s="4560"/>
      <c r="AG537" s="4560"/>
      <c r="AH537" s="4560"/>
      <c r="AI537" s="4560"/>
      <c r="AJ537" s="4560"/>
      <c r="AK537" s="4560"/>
      <c r="AL537" s="4560"/>
      <c r="AM537" s="4560"/>
      <c r="AN537" s="4560"/>
      <c r="AO537" s="4560"/>
      <c r="AP537" s="4560"/>
      <c r="AQ537" s="4560"/>
      <c r="AR537" s="4560"/>
      <c r="AS537" s="4560"/>
      <c r="AT537" s="4560"/>
      <c r="AU537" s="4560"/>
      <c r="AV537" s="4560"/>
      <c r="AW537" s="4560"/>
      <c r="AX537" s="4560"/>
      <c r="AY537" s="4560"/>
      <c r="AZ537" s="4560"/>
      <c r="BA537" s="4560"/>
      <c r="BB537" s="4560"/>
      <c r="BC537" s="4560"/>
      <c r="BD537" s="4560"/>
      <c r="BE537" s="4560"/>
      <c r="BF537" s="4560"/>
      <c r="BG537" s="4560"/>
      <c r="BH537" s="4560"/>
      <c r="BI537" s="4560"/>
      <c r="BJ537" s="4560"/>
      <c r="BK537" s="4560"/>
      <c r="BL537" s="4560"/>
      <c r="BM537" s="4560"/>
      <c r="BN537" s="4560"/>
      <c r="BO537" s="4560"/>
      <c r="BP537" s="4560"/>
      <c r="BQ537" s="4560"/>
      <c r="BR537" s="4560"/>
      <c r="BS537" s="4560"/>
      <c r="BT537" s="4560"/>
      <c r="BU537" s="4560"/>
      <c r="BV537" s="4560"/>
      <c r="BW537" s="4560"/>
      <c r="BX537" s="4560"/>
      <c r="BY537" s="4560"/>
      <c r="BZ537" s="4560"/>
      <c r="CA537" s="4560"/>
      <c r="CB537" s="4560"/>
      <c r="CC537" s="4560"/>
      <c r="CD537" s="4560"/>
      <c r="CE537" s="4560"/>
      <c r="CF537" s="4560"/>
      <c r="CG537" s="4560"/>
      <c r="CH537" s="4560"/>
      <c r="CI537" s="4560"/>
      <c r="CJ537" s="4560"/>
      <c r="CK537" s="4560"/>
      <c r="CL537" s="4560"/>
      <c r="CM537" s="4560"/>
      <c r="CN537" s="4560"/>
      <c r="CO537" s="4560"/>
      <c r="CP537" s="4560"/>
      <c r="CQ537" s="4560"/>
      <c r="CR537" s="4560"/>
      <c r="CS537" s="4560"/>
      <c r="CT537" s="4560"/>
      <c r="CU537" s="4560"/>
      <c r="CV537" s="4560"/>
      <c r="CW537" s="4560"/>
      <c r="CX537" s="4560"/>
      <c r="CY537" s="4560"/>
      <c r="CZ537" s="4560"/>
      <c r="DA537" s="4560"/>
      <c r="DB537" s="4560"/>
      <c r="DC537" s="4560"/>
      <c r="DD537" s="4560"/>
      <c r="DE537" s="4560"/>
      <c r="DF537" s="4560"/>
      <c r="DG537" s="4560"/>
      <c r="DH537" s="4560"/>
      <c r="DI537" s="4560"/>
      <c r="DJ537" s="4560"/>
      <c r="DK537" s="4560"/>
      <c r="DL537" s="4560"/>
      <c r="DM537" s="4560"/>
      <c r="DN537" s="4560"/>
      <c r="DO537" s="4560"/>
      <c r="DP537" s="4560"/>
      <c r="DQ537" s="4560"/>
      <c r="DR537" s="4560"/>
      <c r="DS537" s="4560"/>
    </row>
    <row r="538" s="4133" customFormat="1" ht="19.5" customHeight="1" spans="1:123">
      <c r="A538" s="4561" t="s">
        <v>5152</v>
      </c>
      <c r="B538" s="4561"/>
      <c r="C538" s="4561"/>
      <c r="D538" s="4561"/>
      <c r="E538" s="4561"/>
      <c r="F538" s="4561"/>
      <c r="G538" s="4561" t="str">
        <f ca="1">PeriodOd&amp;"."&amp;" - "&amp;PeriodDo</f>
        <v>01.01.2025. - 31.12.2025</v>
      </c>
      <c r="H538" s="4561"/>
      <c r="I538" s="4561"/>
      <c r="J538" s="4561"/>
      <c r="K538" s="4561"/>
      <c r="L538" s="4561"/>
      <c r="M538" s="4561"/>
      <c r="N538" s="4561"/>
      <c r="O538" s="4292"/>
      <c r="P538" s="4292"/>
      <c r="Q538" s="4388"/>
      <c r="R538" s="4388"/>
      <c r="S538" s="4388"/>
      <c r="T538" s="4388"/>
      <c r="U538" s="4388"/>
      <c r="V538" s="4388"/>
      <c r="W538" s="4388"/>
      <c r="X538" s="4388"/>
      <c r="Y538" s="4388"/>
      <c r="Z538" s="4388"/>
      <c r="AA538" s="4388"/>
      <c r="AB538" s="4388"/>
      <c r="AC538" s="4388"/>
      <c r="AD538" s="4388"/>
      <c r="AE538" s="4388"/>
      <c r="AF538" s="4388"/>
      <c r="AG538" s="4388"/>
      <c r="AH538" s="4388"/>
      <c r="AI538" s="4388"/>
      <c r="AJ538" s="4388"/>
      <c r="AK538" s="4388"/>
      <c r="AL538" s="4292"/>
      <c r="AM538" s="4292"/>
      <c r="AN538" s="4292"/>
      <c r="AO538" s="4292"/>
      <c r="AP538" s="4292"/>
      <c r="AQ538" s="4292"/>
      <c r="AR538" s="4292"/>
      <c r="AS538" s="4292"/>
      <c r="AT538" s="4292"/>
      <c r="AU538" s="4292"/>
      <c r="AV538" s="4292"/>
      <c r="AW538" s="4292"/>
      <c r="AX538" s="4292"/>
      <c r="AY538" s="4292"/>
      <c r="AZ538" s="4292"/>
      <c r="BA538" s="4292"/>
      <c r="BB538" s="4292"/>
      <c r="BC538" s="4292"/>
      <c r="BD538" s="4292"/>
      <c r="BE538" s="4292"/>
      <c r="BF538" s="4562"/>
      <c r="BG538" s="4292"/>
      <c r="BH538" s="4292"/>
      <c r="BI538" s="4292"/>
      <c r="BJ538" s="4292"/>
      <c r="BK538" s="4292"/>
      <c r="BL538" s="4292"/>
      <c r="BM538" s="4292"/>
      <c r="BN538" s="4292"/>
      <c r="BO538" s="4292"/>
      <c r="BP538" s="4292"/>
      <c r="BQ538" s="4292"/>
      <c r="BR538" s="4292"/>
      <c r="BS538" s="4292"/>
      <c r="BT538" s="4292"/>
      <c r="BU538" s="4292"/>
      <c r="BV538" s="4292"/>
      <c r="BW538" s="4292"/>
      <c r="BX538" s="4562"/>
      <c r="BY538" s="4562"/>
      <c r="BZ538" s="4562"/>
      <c r="CA538" s="4562"/>
      <c r="CB538" s="4562"/>
      <c r="CC538" s="4562"/>
      <c r="CD538" s="4562"/>
      <c r="CE538" s="4562"/>
      <c r="CF538" s="4562"/>
      <c r="CG538" s="4562"/>
      <c r="CH538" s="4562"/>
      <c r="CI538" s="4562"/>
      <c r="CJ538" s="4562"/>
      <c r="CK538" s="4562"/>
      <c r="CL538" s="4562"/>
      <c r="CM538" s="4562"/>
      <c r="CN538" s="4562"/>
      <c r="CO538" s="4562"/>
      <c r="CP538" s="4562"/>
      <c r="CQ538" s="4562"/>
      <c r="CR538" s="4562"/>
      <c r="CS538" s="4562"/>
      <c r="CT538" s="4562"/>
      <c r="CU538" s="4562"/>
      <c r="CV538" s="4562"/>
      <c r="CW538" s="4562"/>
      <c r="CX538" s="4562"/>
      <c r="CY538" s="4562"/>
      <c r="CZ538" s="4562"/>
      <c r="DA538" s="4562"/>
      <c r="DB538" s="4562"/>
      <c r="DC538" s="4562"/>
      <c r="DD538" s="4562"/>
      <c r="DE538" s="4562"/>
      <c r="DF538" s="4562"/>
      <c r="DG538" s="4562"/>
      <c r="DH538" s="4562"/>
      <c r="DI538" s="4562"/>
      <c r="DJ538" s="4562"/>
      <c r="DK538" s="4562"/>
      <c r="DL538" s="4562"/>
      <c r="DM538" s="4562"/>
      <c r="DN538" s="4562"/>
      <c r="DO538" s="4562"/>
      <c r="DP538" s="4562"/>
      <c r="DQ538" s="4562"/>
      <c r="DR538" s="4562"/>
      <c r="DS538" s="4562"/>
    </row>
    <row r="539" s="4133" customFormat="1" ht="19.5" customHeight="1" spans="1:123">
      <c r="A539" s="4344" t="s">
        <v>5213</v>
      </c>
      <c r="B539" s="4344"/>
      <c r="C539" s="4344"/>
      <c r="D539" s="4344"/>
      <c r="E539" s="4344"/>
      <c r="F539" s="4344"/>
      <c r="G539" s="4314">
        <f>B_Uspjeha!AI76</f>
        <v>247772</v>
      </c>
      <c r="H539" s="4314"/>
      <c r="I539" s="4314"/>
      <c r="J539" s="4314"/>
      <c r="K539" s="4314"/>
      <c r="L539" s="4314"/>
      <c r="M539" s="4314"/>
      <c r="N539" s="4314"/>
      <c r="O539" s="4292"/>
      <c r="P539" s="4292"/>
      <c r="Q539" s="4292"/>
      <c r="R539" s="4292"/>
      <c r="S539" s="4292"/>
      <c r="T539" s="4292"/>
      <c r="U539" s="4292"/>
      <c r="V539" s="4292"/>
      <c r="W539" s="4292"/>
      <c r="X539" s="4292"/>
      <c r="Y539" s="4292"/>
      <c r="Z539" s="4292"/>
      <c r="AA539" s="4292"/>
      <c r="AB539" s="4292"/>
      <c r="AC539" s="4292"/>
      <c r="AD539" s="4292"/>
      <c r="AE539" s="4292"/>
      <c r="AF539" s="4292"/>
      <c r="AG539" s="4292"/>
      <c r="AH539" s="4292"/>
      <c r="AI539" s="4292"/>
      <c r="AJ539" s="4292"/>
      <c r="AK539" s="4292"/>
      <c r="AL539" s="4292"/>
      <c r="AM539" s="4292"/>
      <c r="AN539" s="4292"/>
      <c r="AO539" s="4292"/>
      <c r="AP539" s="4292"/>
      <c r="AQ539" s="4292"/>
      <c r="AR539" s="4292"/>
      <c r="AS539" s="4292"/>
      <c r="AT539" s="4292"/>
      <c r="AU539" s="4292"/>
      <c r="AV539" s="4292"/>
      <c r="AW539" s="4292"/>
      <c r="AX539" s="4292"/>
      <c r="AY539" s="4292"/>
      <c r="AZ539" s="4292"/>
      <c r="BA539" s="4292"/>
      <c r="BB539" s="4292"/>
      <c r="BC539" s="4292"/>
      <c r="BD539" s="4292"/>
      <c r="BE539" s="4292"/>
      <c r="BF539" s="4292"/>
      <c r="BG539" s="4292"/>
      <c r="BH539" s="4292"/>
      <c r="BI539" s="4292"/>
      <c r="BJ539" s="4292"/>
      <c r="BK539" s="4292"/>
      <c r="BL539" s="4292"/>
      <c r="BM539" s="4292"/>
      <c r="BN539" s="4292"/>
      <c r="BO539" s="4292"/>
      <c r="BP539" s="4292"/>
      <c r="BQ539" s="4292"/>
      <c r="BR539" s="4292"/>
      <c r="BS539" s="4292"/>
      <c r="BT539" s="4292"/>
      <c r="BU539" s="4292"/>
      <c r="BV539" s="4292"/>
      <c r="BW539" s="4292"/>
      <c r="BX539" s="4292"/>
      <c r="BY539" s="4292"/>
      <c r="BZ539" s="4292"/>
      <c r="CA539" s="4292"/>
      <c r="CB539" s="4292"/>
      <c r="CC539" s="4292"/>
      <c r="CD539" s="4292"/>
      <c r="CE539" s="4292"/>
      <c r="CF539" s="4292"/>
      <c r="CG539" s="4292"/>
      <c r="CH539" s="4292"/>
      <c r="CI539" s="4292"/>
      <c r="CJ539" s="4292"/>
      <c r="CK539" s="4292"/>
      <c r="CL539" s="4292"/>
      <c r="CM539" s="4292"/>
      <c r="CN539" s="4292"/>
      <c r="CO539" s="4292"/>
      <c r="CP539" s="4292"/>
      <c r="CQ539" s="4292"/>
      <c r="CR539" s="4292"/>
      <c r="CS539" s="4292"/>
      <c r="CT539" s="4292"/>
      <c r="CU539" s="4292"/>
      <c r="CV539" s="4292"/>
      <c r="CW539" s="4292"/>
      <c r="CX539" s="4292"/>
      <c r="CY539" s="4292"/>
      <c r="CZ539" s="4292"/>
      <c r="DA539" s="4292"/>
      <c r="DB539" s="4292"/>
      <c r="DC539" s="4292"/>
      <c r="DD539" s="4292"/>
      <c r="DE539" s="4292"/>
      <c r="DF539" s="4292"/>
      <c r="DG539" s="4292"/>
      <c r="DH539" s="4292"/>
      <c r="DI539" s="4292"/>
      <c r="DJ539" s="4292"/>
      <c r="DK539" s="4292"/>
      <c r="DL539" s="4292"/>
      <c r="DM539" s="4292"/>
      <c r="DN539" s="4292"/>
      <c r="DO539" s="4292"/>
      <c r="DP539" s="4292"/>
      <c r="DQ539" s="4292"/>
      <c r="DR539" s="4292"/>
      <c r="DS539" s="4292"/>
    </row>
    <row r="540" s="4133" customFormat="1" ht="19.5" customHeight="1" spans="1:123">
      <c r="A540" s="4345" t="s">
        <v>5214</v>
      </c>
      <c r="B540" s="4345"/>
      <c r="C540" s="4345"/>
      <c r="D540" s="4345"/>
      <c r="E540" s="4345"/>
      <c r="F540" s="4345"/>
      <c r="G540" s="4563">
        <v>0</v>
      </c>
      <c r="H540" s="4563"/>
      <c r="I540" s="4563"/>
      <c r="J540" s="4563"/>
      <c r="K540" s="4563"/>
      <c r="L540" s="4563"/>
      <c r="M540" s="4563"/>
      <c r="N540" s="4563"/>
      <c r="O540" s="4564" t="s">
        <v>20</v>
      </c>
      <c r="P540" s="4292"/>
      <c r="Q540" s="4303" t="s">
        <v>5215</v>
      </c>
      <c r="R540" s="4388"/>
      <c r="S540" s="4388"/>
      <c r="T540" s="4388"/>
      <c r="U540" s="4388"/>
      <c r="V540" s="4388"/>
      <c r="W540" s="4388"/>
      <c r="X540" s="4388"/>
      <c r="Y540" s="4388"/>
      <c r="Z540" s="4388"/>
      <c r="AA540" s="4388"/>
      <c r="AB540" s="4388"/>
      <c r="AC540" s="4292"/>
      <c r="AD540" s="4292"/>
      <c r="AE540" s="4292"/>
      <c r="AF540" s="4292"/>
      <c r="AG540" s="4292"/>
      <c r="AH540" s="4292"/>
      <c r="AI540" s="4292"/>
      <c r="AJ540" s="4292"/>
      <c r="AK540" s="4292"/>
      <c r="AL540" s="4292"/>
      <c r="AM540" s="4292"/>
      <c r="AN540" s="4292"/>
      <c r="AO540" s="4292"/>
      <c r="AP540" s="4292"/>
      <c r="AQ540" s="4292"/>
      <c r="AR540" s="4292"/>
      <c r="AS540" s="4292"/>
      <c r="AT540" s="4292"/>
      <c r="AU540" s="4292"/>
      <c r="AV540" s="4292"/>
      <c r="AW540" s="4292"/>
      <c r="AX540" s="4292"/>
      <c r="AY540" s="4292"/>
      <c r="AZ540" s="4292"/>
      <c r="BA540" s="4292"/>
      <c r="BB540" s="4292"/>
      <c r="BC540" s="4292"/>
      <c r="BD540" s="4292"/>
      <c r="BE540" s="4292"/>
      <c r="BF540" s="4292"/>
      <c r="BG540" s="4292"/>
      <c r="BH540" s="4292"/>
      <c r="BI540" s="4292"/>
      <c r="BJ540" s="4292"/>
      <c r="BK540" s="4292"/>
      <c r="BL540" s="4292"/>
      <c r="BM540" s="4292"/>
      <c r="BN540" s="4292"/>
      <c r="BO540" s="4292"/>
      <c r="BP540" s="4292"/>
      <c r="BQ540" s="4292"/>
      <c r="BR540" s="4292"/>
      <c r="BS540" s="4292"/>
      <c r="BT540" s="4292"/>
      <c r="BU540" s="4292"/>
      <c r="BV540" s="4292"/>
      <c r="BW540" s="4292"/>
      <c r="BX540" s="4292"/>
      <c r="BY540" s="4292"/>
      <c r="BZ540" s="4292"/>
      <c r="CA540" s="4292"/>
      <c r="CB540" s="4292"/>
      <c r="CC540" s="4292"/>
      <c r="CD540" s="4292"/>
      <c r="CE540" s="4292"/>
      <c r="CF540" s="4292"/>
      <c r="CG540" s="4292"/>
      <c r="CH540" s="4292"/>
      <c r="CI540" s="4292"/>
      <c r="CJ540" s="4292"/>
      <c r="CK540" s="4292"/>
      <c r="CL540" s="4292"/>
      <c r="CM540" s="4292"/>
      <c r="CN540" s="4292"/>
      <c r="CO540" s="4292"/>
      <c r="CP540" s="4292"/>
      <c r="CQ540" s="4292"/>
      <c r="CR540" s="4292"/>
      <c r="CS540" s="4292"/>
      <c r="CT540" s="4292"/>
      <c r="CU540" s="4292"/>
      <c r="CV540" s="4292"/>
      <c r="CW540" s="4292"/>
      <c r="CX540" s="4292"/>
      <c r="CY540" s="4292"/>
      <c r="CZ540" s="4292"/>
      <c r="DA540" s="4292"/>
      <c r="DB540" s="4292"/>
      <c r="DC540" s="4292"/>
      <c r="DD540" s="4292"/>
      <c r="DE540" s="4292"/>
      <c r="DF540" s="4292"/>
      <c r="DG540" s="4292"/>
      <c r="DH540" s="4292"/>
      <c r="DI540" s="4292"/>
      <c r="DJ540" s="4292"/>
      <c r="DK540" s="4292"/>
      <c r="DL540" s="4292"/>
      <c r="DM540" s="4292"/>
      <c r="DN540" s="4292"/>
      <c r="DO540" s="4292"/>
      <c r="DP540" s="4292"/>
      <c r="DQ540" s="4292"/>
      <c r="DR540" s="4292"/>
      <c r="DS540" s="4292"/>
    </row>
    <row r="541" s="4133" customFormat="1" ht="19.5" customHeight="1" spans="1:123">
      <c r="A541" s="4345" t="s">
        <v>5216</v>
      </c>
      <c r="B541" s="4345"/>
      <c r="C541" s="4345"/>
      <c r="D541" s="4345"/>
      <c r="E541" s="4345"/>
      <c r="F541" s="4345"/>
      <c r="G541" s="4565"/>
      <c r="H541" s="4565"/>
      <c r="I541" s="4565"/>
      <c r="J541" s="4565"/>
      <c r="K541" s="4565"/>
      <c r="L541" s="4565"/>
      <c r="M541" s="4565"/>
      <c r="N541" s="4565"/>
      <c r="O541" s="4292"/>
      <c r="P541" s="4292"/>
      <c r="Q541" s="4303"/>
      <c r="R541" s="4388"/>
      <c r="S541" s="4388"/>
      <c r="T541" s="4388"/>
      <c r="U541" s="4388"/>
      <c r="V541" s="4388"/>
      <c r="W541" s="4388"/>
      <c r="X541" s="4388"/>
      <c r="Y541" s="4388"/>
      <c r="Z541" s="4388"/>
      <c r="AA541" s="4388"/>
      <c r="AB541" s="4388"/>
      <c r="AC541" s="4292"/>
      <c r="AD541" s="4292"/>
      <c r="AE541" s="4292"/>
      <c r="AF541" s="4292"/>
      <c r="AG541" s="4292"/>
      <c r="AH541" s="4292"/>
      <c r="AI541" s="4292"/>
      <c r="AJ541" s="4292"/>
      <c r="AK541" s="4292"/>
      <c r="AL541" s="4292"/>
      <c r="AM541" s="4292"/>
      <c r="AN541" s="4292"/>
      <c r="AO541" s="4292"/>
      <c r="AP541" s="4292"/>
      <c r="AQ541" s="4292"/>
      <c r="AR541" s="4292"/>
      <c r="AS541" s="4292"/>
      <c r="AT541" s="4292"/>
      <c r="AU541" s="4292"/>
      <c r="AV541" s="4292"/>
      <c r="AW541" s="4292"/>
      <c r="AX541" s="4292"/>
      <c r="AY541" s="4292"/>
      <c r="AZ541" s="4292"/>
      <c r="BA541" s="4292"/>
      <c r="BB541" s="4292"/>
      <c r="BC541" s="4292"/>
      <c r="BD541" s="4292"/>
      <c r="BE541" s="4292"/>
      <c r="BF541" s="4292"/>
      <c r="BG541" s="4292"/>
      <c r="BH541" s="4292"/>
      <c r="BI541" s="4292"/>
      <c r="BJ541" s="4292"/>
      <c r="BK541" s="4292"/>
      <c r="BL541" s="4292"/>
      <c r="BM541" s="4292"/>
      <c r="BN541" s="4292"/>
      <c r="BO541" s="4292"/>
      <c r="BP541" s="4292"/>
      <c r="BQ541" s="4292"/>
      <c r="BR541" s="4292"/>
      <c r="BS541" s="4292"/>
      <c r="BT541" s="4292"/>
      <c r="BU541" s="4292"/>
      <c r="BV541" s="4292"/>
      <c r="BW541" s="4292"/>
      <c r="BX541" s="4292"/>
      <c r="BY541" s="4292"/>
      <c r="BZ541" s="4292"/>
      <c r="CA541" s="4292"/>
      <c r="CB541" s="4292"/>
      <c r="CC541" s="4292"/>
      <c r="CD541" s="4292"/>
      <c r="CE541" s="4292"/>
      <c r="CF541" s="4292"/>
      <c r="CG541" s="4292"/>
      <c r="CH541" s="4292"/>
      <c r="CI541" s="4292"/>
      <c r="CJ541" s="4292"/>
      <c r="CK541" s="4292"/>
      <c r="CL541" s="4292"/>
      <c r="CM541" s="4292"/>
      <c r="CN541" s="4292"/>
      <c r="CO541" s="4292"/>
      <c r="CP541" s="4292"/>
      <c r="CQ541" s="4292"/>
      <c r="CR541" s="4292"/>
      <c r="CS541" s="4292"/>
      <c r="CT541" s="4292"/>
      <c r="CU541" s="4292"/>
      <c r="CV541" s="4292"/>
      <c r="CW541" s="4292"/>
      <c r="CX541" s="4292"/>
      <c r="CY541" s="4292"/>
      <c r="CZ541" s="4292"/>
      <c r="DA541" s="4292"/>
      <c r="DB541" s="4292"/>
      <c r="DC541" s="4292"/>
      <c r="DD541" s="4292"/>
      <c r="DE541" s="4292"/>
      <c r="DF541" s="4292"/>
      <c r="DG541" s="4292"/>
      <c r="DH541" s="4292"/>
      <c r="DI541" s="4292"/>
      <c r="DJ541" s="4292"/>
      <c r="DK541" s="4292"/>
      <c r="DL541" s="4292"/>
      <c r="DM541" s="4292"/>
      <c r="DN541" s="4292"/>
      <c r="DO541" s="4292"/>
      <c r="DP541" s="4292"/>
      <c r="DQ541" s="4292"/>
      <c r="DR541" s="4292"/>
      <c r="DS541" s="4292"/>
    </row>
    <row r="542" s="4133" customFormat="1" ht="15.75" customHeight="1" spans="1:123">
      <c r="A542" s="4511"/>
      <c r="B542" s="4511"/>
      <c r="C542" s="4511"/>
      <c r="D542" s="4511"/>
      <c r="E542" s="4511"/>
      <c r="F542" s="4508"/>
      <c r="G542" s="4508"/>
      <c r="H542" s="4508"/>
      <c r="I542" s="4508"/>
      <c r="J542" s="4508"/>
      <c r="K542" s="4508"/>
      <c r="L542" s="4508"/>
      <c r="M542" s="4508"/>
      <c r="N542" s="4508"/>
      <c r="O542" s="4508"/>
      <c r="P542" s="4508"/>
      <c r="Q542" s="4510"/>
      <c r="R542" s="4508"/>
      <c r="S542" s="4508"/>
      <c r="T542" s="4508"/>
      <c r="U542" s="4508"/>
      <c r="V542" s="4508"/>
      <c r="W542" s="4508"/>
      <c r="X542" s="4508"/>
      <c r="Y542" s="4508"/>
      <c r="Z542" s="4508"/>
      <c r="AA542" s="4508"/>
      <c r="AB542" s="4508"/>
      <c r="AC542" s="4508"/>
      <c r="AD542" s="4508"/>
      <c r="AE542" s="4508"/>
      <c r="AF542" s="4508"/>
      <c r="AG542" s="4508"/>
      <c r="AH542" s="4508"/>
      <c r="AI542" s="4508"/>
      <c r="AJ542" s="4508"/>
      <c r="AK542" s="4508"/>
      <c r="AL542" s="4508"/>
      <c r="AM542" s="4508"/>
      <c r="AN542" s="4508"/>
      <c r="AO542" s="4508"/>
      <c r="AP542" s="4508"/>
      <c r="AQ542" s="4508"/>
      <c r="AR542" s="4508"/>
      <c r="AS542" s="4566"/>
      <c r="AT542" s="4508"/>
      <c r="AU542" s="4508"/>
      <c r="AV542" s="4508"/>
      <c r="AW542" s="4508"/>
      <c r="AX542" s="4508"/>
      <c r="AY542" s="4508"/>
      <c r="AZ542" s="4508"/>
      <c r="BA542" s="4508"/>
      <c r="BB542" s="4508"/>
      <c r="BC542" s="4508"/>
      <c r="BD542" s="4508"/>
      <c r="BE542" s="4508"/>
      <c r="BF542" s="4508"/>
      <c r="BG542" s="4508"/>
      <c r="BH542" s="4508"/>
      <c r="BI542" s="4508"/>
      <c r="BJ542" s="4508"/>
      <c r="BK542" s="4508"/>
      <c r="BL542" s="4508"/>
      <c r="BM542" s="4508"/>
      <c r="BN542" s="4508"/>
      <c r="BO542" s="4508"/>
      <c r="BP542" s="4508"/>
      <c r="BQ542" s="4508"/>
      <c r="BR542" s="4508"/>
      <c r="BS542" s="4508"/>
      <c r="BT542" s="4508"/>
      <c r="BU542" s="4508"/>
      <c r="BV542" s="4508"/>
      <c r="BW542" s="4508"/>
      <c r="BX542" s="4508"/>
      <c r="BY542" s="4508"/>
      <c r="BZ542" s="4508"/>
      <c r="CA542" s="4508"/>
      <c r="CB542" s="4508"/>
      <c r="CC542" s="4508"/>
      <c r="CD542" s="4508"/>
      <c r="CE542" s="4508"/>
      <c r="CF542" s="4508"/>
      <c r="CG542" s="4508"/>
      <c r="CH542" s="4508"/>
      <c r="CI542" s="4508"/>
      <c r="CJ542" s="4508"/>
      <c r="CK542" s="4508"/>
      <c r="CL542" s="4508"/>
      <c r="CM542" s="4508"/>
      <c r="CN542" s="4508"/>
      <c r="CO542" s="4508"/>
      <c r="CP542" s="4508"/>
      <c r="CQ542" s="4508"/>
      <c r="CR542" s="4508"/>
      <c r="CS542" s="4508"/>
      <c r="CT542" s="4508"/>
      <c r="CU542" s="4508"/>
      <c r="CV542" s="4508"/>
      <c r="CW542" s="4508"/>
      <c r="CX542" s="4508"/>
      <c r="CY542" s="4508"/>
      <c r="CZ542" s="4508"/>
      <c r="DA542" s="4508"/>
      <c r="DB542" s="4508"/>
      <c r="DC542" s="4508"/>
      <c r="DD542" s="4508"/>
      <c r="DE542" s="4508"/>
      <c r="DF542" s="4508"/>
      <c r="DG542" s="4508"/>
      <c r="DH542" s="4508"/>
      <c r="DI542" s="4508"/>
      <c r="DJ542" s="4508"/>
      <c r="DK542" s="4508"/>
      <c r="DL542" s="4508"/>
      <c r="DM542" s="4508"/>
      <c r="DN542" s="4508"/>
      <c r="DO542" s="4508"/>
      <c r="DP542" s="4508"/>
      <c r="DQ542" s="4508"/>
      <c r="DR542" s="4508"/>
      <c r="DS542" s="4508"/>
    </row>
    <row r="543" s="4134" customFormat="1" ht="28.5" customHeight="1" spans="1:123">
      <c r="A543" s="4513" t="s">
        <v>5217</v>
      </c>
      <c r="B543" s="4418"/>
      <c r="C543" s="4418"/>
      <c r="D543" s="4418"/>
      <c r="E543" s="4418"/>
      <c r="F543" s="4418"/>
      <c r="G543" s="4418"/>
      <c r="H543" s="4418"/>
      <c r="I543" s="4418"/>
      <c r="J543" s="4418"/>
      <c r="K543" s="4418"/>
      <c r="L543" s="4418"/>
      <c r="M543" s="4418"/>
      <c r="N543" s="4418"/>
      <c r="O543" s="4418"/>
      <c r="P543" s="4418"/>
      <c r="Q543" s="4418"/>
      <c r="R543" s="4418"/>
      <c r="S543" s="4418"/>
      <c r="T543" s="4418"/>
      <c r="U543" s="4418"/>
      <c r="V543" s="4418"/>
      <c r="W543" s="4418"/>
      <c r="X543" s="4418"/>
      <c r="Y543" s="4418"/>
      <c r="Z543" s="4418"/>
      <c r="AA543" s="4418"/>
      <c r="AB543" s="4418"/>
      <c r="AC543" s="4418"/>
      <c r="AD543" s="4418"/>
      <c r="AE543" s="4418"/>
      <c r="AF543" s="4418"/>
      <c r="AG543" s="4418"/>
      <c r="AH543" s="4418"/>
      <c r="AI543" s="4418"/>
      <c r="AJ543" s="4418"/>
      <c r="AK543" s="4418"/>
      <c r="AL543" s="4418"/>
      <c r="AM543" s="4418"/>
      <c r="AN543" s="4418"/>
      <c r="AO543" s="4418"/>
      <c r="AP543" s="4418"/>
      <c r="AQ543" s="4418"/>
      <c r="AR543" s="4418"/>
      <c r="AS543" s="4418"/>
      <c r="AT543" s="4418"/>
      <c r="AU543" s="4418"/>
      <c r="AV543" s="4418"/>
      <c r="AW543" s="4418"/>
      <c r="AX543" s="4418"/>
      <c r="AY543" s="4418"/>
      <c r="AZ543" s="4418"/>
      <c r="BA543" s="4418"/>
      <c r="BB543" s="4418"/>
      <c r="BC543" s="4418"/>
      <c r="BD543" s="4418"/>
      <c r="BE543" s="4418"/>
      <c r="BF543" s="4418"/>
      <c r="BG543" s="4418"/>
      <c r="BH543" s="4418"/>
      <c r="BI543" s="4418"/>
      <c r="BJ543" s="4418"/>
      <c r="BK543" s="4418"/>
      <c r="BL543" s="4418"/>
      <c r="BM543" s="4418"/>
      <c r="BN543" s="4418"/>
      <c r="BO543" s="4418"/>
      <c r="BP543" s="4418"/>
      <c r="BQ543" s="4418"/>
      <c r="BR543" s="4418"/>
      <c r="BS543" s="4418"/>
      <c r="BT543" s="4418"/>
      <c r="BU543" s="4418"/>
      <c r="BV543" s="4418"/>
      <c r="BW543" s="4418"/>
      <c r="BX543" s="4418"/>
      <c r="BY543" s="4418"/>
      <c r="BZ543" s="4418"/>
      <c r="CA543" s="4418"/>
      <c r="CB543" s="4418"/>
      <c r="CC543" s="4418"/>
      <c r="CD543" s="4418"/>
      <c r="CE543" s="4418"/>
      <c r="CF543" s="4418"/>
      <c r="CG543" s="4418"/>
      <c r="CH543" s="4418"/>
      <c r="CI543" s="4418"/>
      <c r="CJ543" s="4418"/>
      <c r="CK543" s="4418"/>
      <c r="CL543" s="4418"/>
      <c r="CM543" s="4418"/>
      <c r="CN543" s="4418"/>
      <c r="CO543" s="4418"/>
      <c r="CP543" s="4418"/>
      <c r="CQ543" s="4418"/>
      <c r="CR543" s="4418"/>
      <c r="CS543" s="4418"/>
      <c r="CT543" s="4418"/>
      <c r="CU543" s="4418"/>
      <c r="CV543" s="4418"/>
      <c r="CW543" s="4418"/>
      <c r="CX543" s="4418"/>
      <c r="CY543" s="4418"/>
      <c r="CZ543" s="4418"/>
      <c r="DA543" s="4418"/>
      <c r="DB543" s="4418"/>
      <c r="DC543" s="4418"/>
      <c r="DD543" s="4418"/>
      <c r="DE543" s="4418"/>
      <c r="DF543" s="4418"/>
      <c r="DG543" s="4418"/>
      <c r="DH543" s="4418"/>
      <c r="DI543" s="4418"/>
      <c r="DJ543" s="4418"/>
      <c r="DK543" s="4418"/>
      <c r="DL543" s="4418"/>
      <c r="DM543" s="4418"/>
      <c r="DN543" s="4418"/>
      <c r="DO543" s="4418"/>
      <c r="DP543" s="4418"/>
      <c r="DQ543" s="4418"/>
      <c r="DR543" s="4418"/>
      <c r="DS543" s="4418"/>
    </row>
    <row r="544" s="4133" customFormat="1" ht="15.75" spans="1:123">
      <c r="A544" s="4520"/>
      <c r="B544" s="4520"/>
      <c r="C544" s="4520"/>
      <c r="D544" s="4520"/>
      <c r="E544" s="4520"/>
      <c r="F544" s="4520"/>
      <c r="G544" s="4520"/>
      <c r="H544" s="4520"/>
      <c r="I544" s="4520"/>
      <c r="J544" s="4520"/>
      <c r="K544" s="4520"/>
      <c r="L544" s="4520"/>
      <c r="M544" s="4520"/>
      <c r="N544" s="4520"/>
      <c r="O544" s="4520"/>
      <c r="P544" s="4520"/>
      <c r="Q544" s="4520"/>
      <c r="R544" s="4520"/>
      <c r="S544" s="4520"/>
      <c r="T544" s="4520"/>
      <c r="U544" s="4567" t="s">
        <v>5218</v>
      </c>
      <c r="V544" s="4567"/>
      <c r="W544" s="4567"/>
      <c r="X544" s="4567"/>
      <c r="Y544" s="4567"/>
      <c r="Z544" s="4567"/>
      <c r="AA544" s="4567"/>
      <c r="AB544" s="4567"/>
      <c r="AC544" s="4567"/>
      <c r="AD544" s="4567"/>
      <c r="AE544" s="4567"/>
      <c r="AF544" s="4567"/>
      <c r="AG544" s="4567"/>
      <c r="AH544" s="4567"/>
      <c r="AI544" s="4567"/>
      <c r="AJ544" s="4567"/>
      <c r="AK544" s="4567"/>
      <c r="AL544" s="4567"/>
      <c r="AM544" s="4567"/>
      <c r="AN544" s="4567"/>
      <c r="AO544" s="4520"/>
      <c r="AP544" s="4520"/>
      <c r="AQ544" s="4520"/>
      <c r="AR544" s="4520"/>
      <c r="AS544" s="4520"/>
      <c r="AT544" s="4418"/>
      <c r="AU544" s="4418"/>
      <c r="AV544" s="4418"/>
      <c r="AW544" s="4418"/>
      <c r="AX544" s="4418"/>
      <c r="AY544" s="4418"/>
      <c r="AZ544" s="4418"/>
      <c r="BA544" s="4418"/>
      <c r="BB544" s="4418"/>
      <c r="BC544" s="4418"/>
      <c r="BD544" s="4418"/>
      <c r="BE544" s="4418"/>
      <c r="BF544" s="4418"/>
      <c r="BG544" s="4418"/>
      <c r="BH544" s="4418"/>
      <c r="BI544" s="4418"/>
      <c r="BJ544" s="4418"/>
      <c r="BK544" s="4418"/>
      <c r="BL544" s="4418"/>
      <c r="BM544" s="4418"/>
      <c r="BN544" s="4418"/>
      <c r="BO544" s="4418"/>
      <c r="BP544" s="4418"/>
      <c r="BQ544" s="4418"/>
      <c r="BR544" s="4418"/>
      <c r="BS544" s="4418"/>
      <c r="BT544" s="4418"/>
      <c r="BU544" s="4418"/>
      <c r="BV544" s="4418"/>
      <c r="BW544" s="4418"/>
      <c r="BX544" s="4418"/>
      <c r="BY544" s="4418"/>
      <c r="BZ544" s="4418"/>
      <c r="CA544" s="4418"/>
      <c r="CB544" s="4418"/>
      <c r="CC544" s="4418"/>
      <c r="CD544" s="4418"/>
      <c r="CE544" s="4418"/>
      <c r="CF544" s="4418"/>
      <c r="CG544" s="4418"/>
      <c r="CH544" s="4418"/>
      <c r="CI544" s="4418"/>
      <c r="CJ544" s="4418"/>
      <c r="CK544" s="4418"/>
      <c r="CL544" s="4418"/>
      <c r="CM544" s="4418"/>
      <c r="CN544" s="4418"/>
      <c r="CO544" s="4418"/>
      <c r="CP544" s="4418"/>
      <c r="CQ544" s="4418"/>
      <c r="CR544" s="4418"/>
      <c r="CS544" s="4418"/>
      <c r="CT544" s="4418"/>
      <c r="CU544" s="4418"/>
      <c r="CV544" s="4418"/>
      <c r="CW544" s="4418"/>
      <c r="CX544" s="4418"/>
      <c r="CY544" s="4418"/>
      <c r="CZ544" s="4418"/>
      <c r="DA544" s="4418"/>
      <c r="DB544" s="4418"/>
      <c r="DC544" s="4418"/>
      <c r="DD544" s="4418"/>
      <c r="DE544" s="4418"/>
      <c r="DF544" s="4418"/>
      <c r="DG544" s="4418"/>
      <c r="DH544" s="4418"/>
      <c r="DI544" s="4418"/>
      <c r="DJ544" s="4418"/>
      <c r="DK544" s="4418"/>
      <c r="DL544" s="4418"/>
      <c r="DM544" s="4418"/>
      <c r="DN544" s="4418"/>
      <c r="DO544" s="4418"/>
      <c r="DP544" s="4418"/>
      <c r="DQ544" s="4418"/>
      <c r="DR544" s="4418"/>
      <c r="DS544" s="4418"/>
    </row>
    <row r="545" s="4133" customFormat="1" ht="15.75" spans="1:123">
      <c r="A545" s="4526" t="s">
        <v>5219</v>
      </c>
      <c r="B545" s="4526"/>
      <c r="C545" s="4526"/>
      <c r="D545" s="4526"/>
      <c r="E545" s="4526"/>
      <c r="F545" s="4526"/>
      <c r="G545" s="4526"/>
      <c r="H545" s="4526"/>
      <c r="I545" s="4526"/>
      <c r="J545" s="4526"/>
      <c r="K545" s="4526"/>
      <c r="L545" s="4526"/>
      <c r="M545" s="4526" t="s">
        <v>5220</v>
      </c>
      <c r="N545" s="4526"/>
      <c r="O545" s="4526"/>
      <c r="P545" s="4526" t="s">
        <v>5221</v>
      </c>
      <c r="Q545" s="4526"/>
      <c r="R545" s="4526"/>
      <c r="S545" s="4526"/>
      <c r="T545" s="4526"/>
      <c r="U545" s="4520" t="s">
        <v>3953</v>
      </c>
      <c r="V545" s="4520"/>
      <c r="W545" s="4520"/>
      <c r="X545" s="4520"/>
      <c r="Y545" s="4520" t="s">
        <v>3891</v>
      </c>
      <c r="Z545" s="4520"/>
      <c r="AA545" s="4520"/>
      <c r="AB545" s="4520"/>
      <c r="AC545" s="4520" t="s">
        <v>5222</v>
      </c>
      <c r="AD545" s="4520"/>
      <c r="AE545" s="4520"/>
      <c r="AF545" s="4520"/>
      <c r="AG545" s="4520" t="s">
        <v>3902</v>
      </c>
      <c r="AH545" s="4520"/>
      <c r="AI545" s="4520"/>
      <c r="AJ545" s="4520"/>
      <c r="AK545" s="4520" t="s">
        <v>3905</v>
      </c>
      <c r="AL545" s="4520"/>
      <c r="AM545" s="4520"/>
      <c r="AN545" s="4520"/>
      <c r="AO545" s="4568" t="s">
        <v>4671</v>
      </c>
      <c r="AP545" s="4568"/>
      <c r="AQ545" s="4568"/>
      <c r="AR545" s="4568"/>
      <c r="AS545" s="4568"/>
      <c r="AT545" s="4418"/>
      <c r="AU545" s="4418"/>
      <c r="AV545" s="4418"/>
      <c r="AW545" s="4418"/>
      <c r="AX545" s="4418"/>
      <c r="AY545" s="4418"/>
      <c r="AZ545" s="4418"/>
      <c r="BA545" s="4418"/>
      <c r="BB545" s="4418"/>
      <c r="BC545" s="4418"/>
      <c r="BD545" s="4418"/>
      <c r="BE545" s="4418"/>
      <c r="BF545" s="4418"/>
      <c r="BG545" s="4418"/>
      <c r="BH545" s="4418"/>
      <c r="BI545" s="4418"/>
      <c r="BJ545" s="4418"/>
      <c r="BK545" s="4418"/>
      <c r="BL545" s="4418"/>
      <c r="BM545" s="4418"/>
      <c r="BN545" s="4418"/>
      <c r="BO545" s="4418"/>
      <c r="BP545" s="4418"/>
      <c r="BQ545" s="4418"/>
      <c r="BR545" s="4418"/>
      <c r="BS545" s="4418"/>
      <c r="BT545" s="4418"/>
      <c r="BU545" s="4418"/>
      <c r="BV545" s="4418"/>
      <c r="BW545" s="4418"/>
      <c r="BX545" s="4418"/>
      <c r="BY545" s="4418"/>
      <c r="BZ545" s="4418"/>
      <c r="CA545" s="4418"/>
      <c r="CB545" s="4418"/>
      <c r="CC545" s="4418"/>
      <c r="CD545" s="4418"/>
      <c r="CE545" s="4418"/>
      <c r="CF545" s="4418"/>
      <c r="CG545" s="4418"/>
      <c r="CH545" s="4418"/>
      <c r="CI545" s="4418"/>
      <c r="CJ545" s="4418"/>
      <c r="CK545" s="4418"/>
      <c r="CL545" s="4418"/>
      <c r="CM545" s="4418"/>
      <c r="CN545" s="4418"/>
      <c r="CO545" s="4418"/>
      <c r="CP545" s="4418"/>
      <c r="CQ545" s="4418"/>
      <c r="CR545" s="4418"/>
      <c r="CS545" s="4418"/>
      <c r="CT545" s="4418"/>
      <c r="CU545" s="4418"/>
      <c r="CV545" s="4418"/>
      <c r="CW545" s="4418"/>
      <c r="CX545" s="4418"/>
      <c r="CY545" s="4418"/>
      <c r="CZ545" s="4418"/>
      <c r="DA545" s="4418"/>
      <c r="DB545" s="4418"/>
      <c r="DC545" s="4418"/>
      <c r="DD545" s="4418"/>
      <c r="DE545" s="4418"/>
      <c r="DF545" s="4418"/>
      <c r="DG545" s="4418"/>
      <c r="DH545" s="4418"/>
      <c r="DI545" s="4418"/>
      <c r="DJ545" s="4418"/>
      <c r="DK545" s="4418"/>
      <c r="DL545" s="4418"/>
      <c r="DM545" s="4418"/>
      <c r="DN545" s="4418"/>
      <c r="DO545" s="4418"/>
      <c r="DP545" s="4418"/>
      <c r="DQ545" s="4418"/>
      <c r="DR545" s="4418"/>
      <c r="DS545" s="4418"/>
    </row>
    <row r="546" s="4133" customFormat="1" ht="15.75" spans="1:123">
      <c r="A546" s="4525"/>
      <c r="B546" s="4525"/>
      <c r="C546" s="4525"/>
      <c r="D546" s="4525"/>
      <c r="E546" s="4525"/>
      <c r="F546" s="4525"/>
      <c r="G546" s="4525"/>
      <c r="H546" s="4525"/>
      <c r="I546" s="4525"/>
      <c r="J546" s="4525"/>
      <c r="K546" s="4525"/>
      <c r="L546" s="4525"/>
      <c r="M546" s="4525" t="s">
        <v>5223</v>
      </c>
      <c r="N546" s="4525"/>
      <c r="O546" s="4525"/>
      <c r="P546" s="4525" t="s">
        <v>5224</v>
      </c>
      <c r="Q546" s="4525"/>
      <c r="R546" s="4525"/>
      <c r="S546" s="4525"/>
      <c r="T546" s="4525"/>
      <c r="U546" s="4525" t="s">
        <v>5225</v>
      </c>
      <c r="V546" s="4525"/>
      <c r="W546" s="4525"/>
      <c r="X546" s="4525"/>
      <c r="Y546" s="4525" t="s">
        <v>5225</v>
      </c>
      <c r="Z546" s="4525"/>
      <c r="AA546" s="4525"/>
      <c r="AB546" s="4525"/>
      <c r="AC546" s="4525" t="s">
        <v>5225</v>
      </c>
      <c r="AD546" s="4525"/>
      <c r="AE546" s="4525"/>
      <c r="AF546" s="4525"/>
      <c r="AG546" s="4525" t="s">
        <v>5225</v>
      </c>
      <c r="AH546" s="4525"/>
      <c r="AI546" s="4525"/>
      <c r="AJ546" s="4525"/>
      <c r="AK546" s="4525" t="s">
        <v>5225</v>
      </c>
      <c r="AL546" s="4525"/>
      <c r="AM546" s="4525"/>
      <c r="AN546" s="4525"/>
      <c r="AO546" s="4525" t="s">
        <v>5226</v>
      </c>
      <c r="AP546" s="4525"/>
      <c r="AQ546" s="4525"/>
      <c r="AR546" s="4525"/>
      <c r="AS546" s="4525"/>
      <c r="AT546" s="4418"/>
      <c r="AU546" s="4418"/>
      <c r="AV546" s="4418"/>
      <c r="AW546" s="4418"/>
      <c r="AX546" s="4418"/>
      <c r="AY546" s="4418"/>
      <c r="AZ546" s="4418"/>
      <c r="BA546" s="4418"/>
      <c r="BB546" s="4418"/>
      <c r="BC546" s="4418"/>
      <c r="BD546" s="4418"/>
      <c r="BE546" s="4418"/>
      <c r="BF546" s="4418"/>
      <c r="BG546" s="4418"/>
      <c r="BH546" s="4418"/>
      <c r="BI546" s="4418"/>
      <c r="BJ546" s="4418"/>
      <c r="BK546" s="4418"/>
      <c r="BL546" s="4418"/>
      <c r="BM546" s="4418"/>
      <c r="BN546" s="4418"/>
      <c r="BO546" s="4418"/>
      <c r="BP546" s="4418"/>
      <c r="BQ546" s="4418"/>
      <c r="BR546" s="4418"/>
      <c r="BS546" s="4418"/>
      <c r="BT546" s="4418"/>
      <c r="BU546" s="4418"/>
      <c r="BV546" s="4418"/>
      <c r="BW546" s="4418"/>
      <c r="BX546" s="4418"/>
      <c r="BY546" s="4418"/>
      <c r="BZ546" s="4418"/>
      <c r="CA546" s="4418"/>
      <c r="CB546" s="4418"/>
      <c r="CC546" s="4418"/>
      <c r="CD546" s="4418"/>
      <c r="CE546" s="4418"/>
      <c r="CF546" s="4418"/>
      <c r="CG546" s="4418"/>
      <c r="CH546" s="4418"/>
      <c r="CI546" s="4418"/>
      <c r="CJ546" s="4418"/>
      <c r="CK546" s="4418"/>
      <c r="CL546" s="4418"/>
      <c r="CM546" s="4418"/>
      <c r="CN546" s="4418"/>
      <c r="CO546" s="4418"/>
      <c r="CP546" s="4418"/>
      <c r="CQ546" s="4418"/>
      <c r="CR546" s="4418"/>
      <c r="CS546" s="4418"/>
      <c r="CT546" s="4418"/>
      <c r="CU546" s="4418"/>
      <c r="CV546" s="4418"/>
      <c r="CW546" s="4418"/>
      <c r="CX546" s="4418"/>
      <c r="CY546" s="4418"/>
      <c r="CZ546" s="4418"/>
      <c r="DA546" s="4418"/>
      <c r="DB546" s="4418"/>
      <c r="DC546" s="4418"/>
      <c r="DD546" s="4418"/>
      <c r="DE546" s="4418"/>
      <c r="DF546" s="4418"/>
      <c r="DG546" s="4418"/>
      <c r="DH546" s="4418"/>
      <c r="DI546" s="4418"/>
      <c r="DJ546" s="4418"/>
      <c r="DK546" s="4418"/>
      <c r="DL546" s="4418"/>
      <c r="DM546" s="4418"/>
      <c r="DN546" s="4418"/>
      <c r="DO546" s="4418"/>
      <c r="DP546" s="4418"/>
      <c r="DQ546" s="4418"/>
      <c r="DR546" s="4418"/>
      <c r="DS546" s="4418"/>
    </row>
    <row r="547" s="4133" customFormat="1" ht="15" spans="1:123">
      <c r="A547" s="4569">
        <v>2</v>
      </c>
      <c r="B547" s="4569"/>
      <c r="C547" s="4569"/>
      <c r="D547" s="4569"/>
      <c r="E547" s="4569"/>
      <c r="F547" s="4569"/>
      <c r="G547" s="4569"/>
      <c r="H547" s="4569"/>
      <c r="I547" s="4569"/>
      <c r="J547" s="4569"/>
      <c r="K547" s="4569"/>
      <c r="L547" s="4569"/>
      <c r="M547" s="4569">
        <v>4</v>
      </c>
      <c r="N547" s="4569"/>
      <c r="O547" s="4569"/>
      <c r="P547" s="4569">
        <v>5</v>
      </c>
      <c r="Q547" s="4569"/>
      <c r="R547" s="4569"/>
      <c r="S547" s="4569"/>
      <c r="T547" s="4569"/>
      <c r="U547" s="4569">
        <v>6</v>
      </c>
      <c r="V547" s="4569"/>
      <c r="W547" s="4569"/>
      <c r="X547" s="4569"/>
      <c r="Y547" s="4569">
        <v>7</v>
      </c>
      <c r="Z547" s="4569"/>
      <c r="AA547" s="4569"/>
      <c r="AB547" s="4569"/>
      <c r="AC547" s="4569">
        <v>8</v>
      </c>
      <c r="AD547" s="4569"/>
      <c r="AE547" s="4569"/>
      <c r="AF547" s="4569"/>
      <c r="AG547" s="4569">
        <v>9</v>
      </c>
      <c r="AH547" s="4569"/>
      <c r="AI547" s="4569"/>
      <c r="AJ547" s="4569"/>
      <c r="AK547" s="4569">
        <v>10</v>
      </c>
      <c r="AL547" s="4569"/>
      <c r="AM547" s="4569"/>
      <c r="AN547" s="4569"/>
      <c r="AO547" s="4569">
        <v>11</v>
      </c>
      <c r="AP547" s="4569"/>
      <c r="AQ547" s="4569"/>
      <c r="AR547" s="4569"/>
      <c r="AS547" s="4569"/>
      <c r="AT547" s="4418"/>
      <c r="AU547" s="4418"/>
      <c r="AV547" s="4418"/>
      <c r="AW547" s="4418"/>
      <c r="AX547" s="4418"/>
      <c r="AY547" s="4418"/>
      <c r="AZ547" s="4418"/>
      <c r="BA547" s="4418"/>
      <c r="BB547" s="4418"/>
      <c r="BC547" s="4418"/>
      <c r="BD547" s="4418"/>
      <c r="BE547" s="4418"/>
      <c r="BF547" s="4418"/>
      <c r="BG547" s="4418"/>
      <c r="BH547" s="4418"/>
      <c r="BI547" s="4418"/>
      <c r="BJ547" s="4418"/>
      <c r="BK547" s="4418"/>
      <c r="BL547" s="4418"/>
      <c r="BM547" s="4418"/>
      <c r="BN547" s="4418"/>
      <c r="BO547" s="4418"/>
      <c r="BP547" s="4418"/>
      <c r="BQ547" s="4418"/>
      <c r="BR547" s="4418"/>
      <c r="BS547" s="4418"/>
      <c r="BT547" s="4418"/>
      <c r="BU547" s="4418"/>
      <c r="BV547" s="4418"/>
      <c r="BW547" s="4418"/>
      <c r="BX547" s="4418"/>
      <c r="BY547" s="4418"/>
      <c r="BZ547" s="4418"/>
      <c r="CA547" s="4418"/>
      <c r="CB547" s="4418"/>
      <c r="CC547" s="4418"/>
      <c r="CD547" s="4418"/>
      <c r="CE547" s="4418"/>
      <c r="CF547" s="4418"/>
      <c r="CG547" s="4418"/>
      <c r="CH547" s="4418"/>
      <c r="CI547" s="4418"/>
      <c r="CJ547" s="4418"/>
      <c r="CK547" s="4418"/>
      <c r="CL547" s="4418"/>
      <c r="CM547" s="4418"/>
      <c r="CN547" s="4418"/>
      <c r="CO547" s="4418"/>
      <c r="CP547" s="4418"/>
      <c r="CQ547" s="4418"/>
      <c r="CR547" s="4418"/>
      <c r="CS547" s="4418"/>
      <c r="CT547" s="4418"/>
      <c r="CU547" s="4418"/>
      <c r="CV547" s="4418"/>
      <c r="CW547" s="4418"/>
      <c r="CX547" s="4418"/>
      <c r="CY547" s="4418"/>
      <c r="CZ547" s="4418"/>
      <c r="DA547" s="4418"/>
      <c r="DB547" s="4418"/>
      <c r="DC547" s="4418"/>
      <c r="DD547" s="4418"/>
      <c r="DE547" s="4418"/>
      <c r="DF547" s="4418"/>
      <c r="DG547" s="4418"/>
      <c r="DH547" s="4418"/>
      <c r="DI547" s="4418"/>
      <c r="DJ547" s="4418"/>
      <c r="DK547" s="4418"/>
      <c r="DL547" s="4418"/>
      <c r="DM547" s="4418"/>
      <c r="DN547" s="4418"/>
      <c r="DO547" s="4418"/>
      <c r="DP547" s="4418"/>
      <c r="DQ547" s="4418"/>
      <c r="DR547" s="4418"/>
      <c r="DS547" s="4418"/>
    </row>
    <row r="548" s="4133" customFormat="1" ht="15.75" spans="1:123">
      <c r="A548" s="4570" t="s">
        <v>5227</v>
      </c>
      <c r="B548" s="4571"/>
      <c r="C548" s="4571"/>
      <c r="D548" s="4571"/>
      <c r="E548" s="4571"/>
      <c r="F548" s="4571"/>
      <c r="G548" s="4571"/>
      <c r="H548" s="4571"/>
      <c r="I548" s="4571"/>
      <c r="J548" s="4571"/>
      <c r="K548" s="4571"/>
      <c r="L548" s="4571"/>
      <c r="M548" s="4571"/>
      <c r="N548" s="4571"/>
      <c r="O548" s="4571"/>
      <c r="P548" s="4572"/>
      <c r="Q548" s="4572"/>
      <c r="R548" s="4572"/>
      <c r="S548" s="4572"/>
      <c r="T548" s="4572"/>
      <c r="U548" s="4571"/>
      <c r="V548" s="4571"/>
      <c r="W548" s="4571"/>
      <c r="X548" s="4571"/>
      <c r="Y548" s="4571"/>
      <c r="Z548" s="4571"/>
      <c r="AA548" s="4571"/>
      <c r="AB548" s="4571"/>
      <c r="AC548" s="4571"/>
      <c r="AD548" s="4571"/>
      <c r="AE548" s="4571"/>
      <c r="AF548" s="4571"/>
      <c r="AG548" s="4571"/>
      <c r="AH548" s="4571"/>
      <c r="AI548" s="4571"/>
      <c r="AJ548" s="4571"/>
      <c r="AK548" s="4571"/>
      <c r="AL548" s="4571"/>
      <c r="AM548" s="4571"/>
      <c r="AN548" s="4571"/>
      <c r="AO548" s="4571"/>
      <c r="AP548" s="4571"/>
      <c r="AQ548" s="4571"/>
      <c r="AR548" s="4571"/>
      <c r="AS548" s="4571"/>
      <c r="AT548" s="4418"/>
      <c r="AU548" s="4418"/>
      <c r="AV548" s="4418"/>
      <c r="AW548" s="4418"/>
      <c r="AX548" s="4418"/>
      <c r="AY548" s="4418"/>
      <c r="AZ548" s="4418"/>
      <c r="BA548" s="4418"/>
      <c r="BB548" s="4418"/>
      <c r="BC548" s="4418"/>
      <c r="BD548" s="4418"/>
      <c r="BE548" s="4418"/>
      <c r="BF548" s="4418"/>
      <c r="BG548" s="4418"/>
      <c r="BH548" s="4418"/>
      <c r="BI548" s="4418"/>
      <c r="BJ548" s="4418"/>
      <c r="BK548" s="4418"/>
      <c r="BL548" s="4418"/>
      <c r="BM548" s="4418"/>
      <c r="BN548" s="4418"/>
      <c r="BO548" s="4418"/>
      <c r="BP548" s="4418"/>
      <c r="BQ548" s="4418"/>
      <c r="BR548" s="4418"/>
      <c r="BS548" s="4418"/>
      <c r="BT548" s="4418"/>
      <c r="BU548" s="4418"/>
      <c r="BV548" s="4418"/>
      <c r="BW548" s="4418"/>
      <c r="BX548" s="4418"/>
      <c r="BY548" s="4418"/>
      <c r="BZ548" s="4418"/>
      <c r="CA548" s="4418"/>
      <c r="CB548" s="4418"/>
      <c r="CC548" s="4418"/>
      <c r="CD548" s="4418"/>
      <c r="CE548" s="4418"/>
      <c r="CF548" s="4418"/>
      <c r="CG548" s="4418"/>
      <c r="CH548" s="4418"/>
      <c r="CI548" s="4418"/>
      <c r="CJ548" s="4418"/>
      <c r="CK548" s="4418"/>
      <c r="CL548" s="4418"/>
      <c r="CM548" s="4418"/>
      <c r="CN548" s="4418"/>
      <c r="CO548" s="4418"/>
      <c r="CP548" s="4418"/>
      <c r="CQ548" s="4418"/>
      <c r="CR548" s="4418"/>
      <c r="CS548" s="4418"/>
      <c r="CT548" s="4418"/>
      <c r="CU548" s="4418"/>
      <c r="CV548" s="4418"/>
      <c r="CW548" s="4418"/>
      <c r="CX548" s="4418"/>
      <c r="CY548" s="4418"/>
      <c r="CZ548" s="4418"/>
      <c r="DA548" s="4418"/>
      <c r="DB548" s="4418"/>
      <c r="DC548" s="4418"/>
      <c r="DD548" s="4418"/>
      <c r="DE548" s="4418"/>
      <c r="DF548" s="4418"/>
      <c r="DG548" s="4418"/>
      <c r="DH548" s="4418"/>
      <c r="DI548" s="4418"/>
      <c r="DJ548" s="4418"/>
      <c r="DK548" s="4418"/>
      <c r="DL548" s="4418"/>
      <c r="DM548" s="4418"/>
      <c r="DN548" s="4418"/>
      <c r="DO548" s="4418"/>
      <c r="DP548" s="4418"/>
      <c r="DQ548" s="4418"/>
      <c r="DR548" s="4418"/>
      <c r="DS548" s="4418"/>
    </row>
    <row r="549" s="4133" customFormat="1" ht="18.75" customHeight="1" spans="1:123">
      <c r="A549" s="4573"/>
      <c r="B549" s="4574"/>
      <c r="C549" s="4574"/>
      <c r="D549" s="4574"/>
      <c r="E549" s="4574"/>
      <c r="F549" s="4574"/>
      <c r="G549" s="4574"/>
      <c r="H549" s="4574"/>
      <c r="I549" s="4574"/>
      <c r="J549" s="4574"/>
      <c r="K549" s="4574"/>
      <c r="L549" s="4575" t="s">
        <v>5228</v>
      </c>
      <c r="M549" s="4576">
        <v>0.01</v>
      </c>
      <c r="N549" s="4577"/>
      <c r="O549" s="4578"/>
      <c r="P549" s="4579"/>
      <c r="Q549" s="4580"/>
      <c r="R549" s="4580"/>
      <c r="S549" s="4580"/>
      <c r="T549" s="4581"/>
      <c r="U549" s="4582">
        <f>ROUND((P549*M549)/IF($F$5="godisnji",4,2),0)</f>
        <v>0</v>
      </c>
      <c r="V549" s="4583"/>
      <c r="W549" s="4583"/>
      <c r="X549" s="4583"/>
      <c r="Y549" s="4583">
        <f>ROUND((P549*M549)/IF($F$5="godisnji",4,2),0)</f>
        <v>0</v>
      </c>
      <c r="Z549" s="4583"/>
      <c r="AA549" s="4583"/>
      <c r="AB549" s="4583"/>
      <c r="AC549" s="4584">
        <f>U549+Y549</f>
        <v>0</v>
      </c>
      <c r="AD549" s="4584"/>
      <c r="AE549" s="4584"/>
      <c r="AF549" s="4584"/>
      <c r="AG549" s="4583">
        <f>IFERROR(ROUND((P549*M549)/IF($F$5="godisnji",4,0),0),0)</f>
        <v>0</v>
      </c>
      <c r="AH549" s="4583"/>
      <c r="AI549" s="4583"/>
      <c r="AJ549" s="4583"/>
      <c r="AK549" s="4583">
        <f>IFERROR(ROUND((P549*M549)/IF($F$5="godisnji",4,0),0),0)</f>
        <v>0</v>
      </c>
      <c r="AL549" s="4583"/>
      <c r="AM549" s="4583"/>
      <c r="AN549" s="4583"/>
      <c r="AO549" s="4585">
        <f>U549+Y549+AG549+AK549</f>
        <v>0</v>
      </c>
      <c r="AP549" s="4585"/>
      <c r="AQ549" s="4585"/>
      <c r="AR549" s="4585"/>
      <c r="AS549" s="4585"/>
      <c r="AT549" s="4418"/>
      <c r="AU549" s="4418"/>
      <c r="AV549" s="4418"/>
      <c r="AW549" s="4418"/>
      <c r="AX549" s="4418"/>
      <c r="AY549" s="4418"/>
      <c r="AZ549" s="4418"/>
      <c r="BA549" s="4418"/>
      <c r="BB549" s="4418"/>
      <c r="BC549" s="4418"/>
      <c r="BD549" s="4418"/>
      <c r="BE549" s="4418"/>
      <c r="BF549" s="4418"/>
      <c r="BG549" s="4418"/>
      <c r="BH549" s="4418"/>
      <c r="BI549" s="4418"/>
      <c r="BJ549" s="4418"/>
      <c r="BK549" s="4418"/>
      <c r="BL549" s="4418"/>
      <c r="BM549" s="4418"/>
      <c r="BN549" s="4418"/>
      <c r="BO549" s="4418"/>
      <c r="BP549" s="4418"/>
      <c r="BQ549" s="4418"/>
      <c r="BR549" s="4418"/>
      <c r="BS549" s="4418"/>
      <c r="BT549" s="4418"/>
      <c r="BU549" s="4418"/>
      <c r="BV549" s="4418"/>
      <c r="BW549" s="4418"/>
      <c r="BX549" s="4418"/>
      <c r="BY549" s="4418"/>
      <c r="BZ549" s="4418"/>
      <c r="CA549" s="4418"/>
      <c r="CB549" s="4418"/>
      <c r="CC549" s="4418"/>
      <c r="CD549" s="4418"/>
      <c r="CE549" s="4418"/>
      <c r="CF549" s="4418"/>
      <c r="CG549" s="4418"/>
      <c r="CH549" s="4418"/>
      <c r="CI549" s="4418"/>
      <c r="CJ549" s="4418"/>
      <c r="CK549" s="4418"/>
      <c r="CL549" s="4418"/>
      <c r="CM549" s="4418"/>
      <c r="CN549" s="4418"/>
      <c r="CO549" s="4418"/>
      <c r="CP549" s="4418"/>
      <c r="CQ549" s="4418"/>
      <c r="CR549" s="4418"/>
      <c r="CS549" s="4418"/>
      <c r="CT549" s="4418"/>
      <c r="CU549" s="4418"/>
      <c r="CV549" s="4418"/>
      <c r="CW549" s="4418"/>
      <c r="CX549" s="4418"/>
      <c r="CY549" s="4418"/>
      <c r="CZ549" s="4418"/>
      <c r="DA549" s="4418"/>
      <c r="DB549" s="4418"/>
      <c r="DC549" s="4418"/>
      <c r="DD549" s="4418"/>
      <c r="DE549" s="4418"/>
      <c r="DF549" s="4418"/>
      <c r="DG549" s="4418"/>
      <c r="DH549" s="4418"/>
      <c r="DI549" s="4418"/>
      <c r="DJ549" s="4418"/>
      <c r="DK549" s="4418"/>
      <c r="DL549" s="4418"/>
      <c r="DM549" s="4418"/>
      <c r="DN549" s="4418"/>
      <c r="DO549" s="4418"/>
      <c r="DP549" s="4418"/>
      <c r="DQ549" s="4418"/>
      <c r="DR549" s="4418"/>
      <c r="DS549" s="4418"/>
    </row>
    <row r="550" s="4133" customFormat="1" ht="18.75" customHeight="1" spans="1:123">
      <c r="A550" s="4573"/>
      <c r="B550" s="4574"/>
      <c r="C550" s="4574"/>
      <c r="D550" s="4574"/>
      <c r="E550" s="4574"/>
      <c r="F550" s="4574"/>
      <c r="G550" s="4574"/>
      <c r="H550" s="4574"/>
      <c r="I550" s="4574"/>
      <c r="J550" s="4574"/>
      <c r="K550" s="4574"/>
      <c r="L550" s="4575" t="s">
        <v>5229</v>
      </c>
      <c r="M550" s="4576">
        <v>0.01</v>
      </c>
      <c r="N550" s="4577"/>
      <c r="O550" s="4578"/>
      <c r="P550" s="4579"/>
      <c r="Q550" s="4580"/>
      <c r="R550" s="4580"/>
      <c r="S550" s="4580"/>
      <c r="T550" s="4581"/>
      <c r="U550" s="4582">
        <f>ROUND((P550*M550)/IF($F$5="godisnji",4,2),0)</f>
        <v>0</v>
      </c>
      <c r="V550" s="4583"/>
      <c r="W550" s="4583"/>
      <c r="X550" s="4583"/>
      <c r="Y550" s="4583">
        <f>ROUND((P550*M550)/IF($F$5="godisnji",4,2),0)</f>
        <v>0</v>
      </c>
      <c r="Z550" s="4583"/>
      <c r="AA550" s="4583"/>
      <c r="AB550" s="4583"/>
      <c r="AC550" s="4584">
        <f t="shared" ref="AC550:AC551" si="10">U550+Y550</f>
        <v>0</v>
      </c>
      <c r="AD550" s="4584"/>
      <c r="AE550" s="4584"/>
      <c r="AF550" s="4584"/>
      <c r="AG550" s="4583">
        <f>IFERROR(ROUND((P550*M550)/IF($F$5="godisnji",4,0),0),0)</f>
        <v>0</v>
      </c>
      <c r="AH550" s="4583"/>
      <c r="AI550" s="4583"/>
      <c r="AJ550" s="4583"/>
      <c r="AK550" s="4583">
        <f>IFERROR(ROUND((P550*M550)/IF($F$5="godisnji",4,0),0),0)</f>
        <v>0</v>
      </c>
      <c r="AL550" s="4583"/>
      <c r="AM550" s="4583"/>
      <c r="AN550" s="4583"/>
      <c r="AO550" s="4585">
        <f t="shared" ref="AO550:AO551" si="11">U550+Y550+AG550+AK550</f>
        <v>0</v>
      </c>
      <c r="AP550" s="4585"/>
      <c r="AQ550" s="4585"/>
      <c r="AR550" s="4585"/>
      <c r="AS550" s="4585"/>
      <c r="AT550" s="4418"/>
      <c r="AU550" s="4418"/>
      <c r="AV550" s="4418"/>
      <c r="AW550" s="4418"/>
      <c r="AX550" s="4418"/>
      <c r="AY550" s="4418"/>
      <c r="AZ550" s="4418"/>
      <c r="BA550" s="4418"/>
      <c r="BB550" s="4418"/>
      <c r="BC550" s="4418"/>
      <c r="BD550" s="4418"/>
      <c r="BE550" s="4418"/>
      <c r="BF550" s="4418"/>
      <c r="BG550" s="4418"/>
      <c r="BH550" s="4418"/>
      <c r="BI550" s="4418"/>
      <c r="BJ550" s="4418"/>
      <c r="BK550" s="4418"/>
      <c r="BL550" s="4418"/>
      <c r="BM550" s="4418"/>
      <c r="BN550" s="4418"/>
      <c r="BO550" s="4418"/>
      <c r="BP550" s="4418"/>
      <c r="BQ550" s="4418"/>
      <c r="BR550" s="4418"/>
      <c r="BS550" s="4418"/>
      <c r="BT550" s="4418"/>
      <c r="BU550" s="4418"/>
      <c r="BV550" s="4418"/>
      <c r="BW550" s="4418"/>
      <c r="BX550" s="4418"/>
      <c r="BY550" s="4418"/>
      <c r="BZ550" s="4418"/>
      <c r="CA550" s="4418"/>
      <c r="CB550" s="4418"/>
      <c r="CC550" s="4418"/>
      <c r="CD550" s="4418"/>
      <c r="CE550" s="4418"/>
      <c r="CF550" s="4418"/>
      <c r="CG550" s="4418"/>
      <c r="CH550" s="4418"/>
      <c r="CI550" s="4418"/>
      <c r="CJ550" s="4418"/>
      <c r="CK550" s="4418"/>
      <c r="CL550" s="4418"/>
      <c r="CM550" s="4418"/>
      <c r="CN550" s="4418"/>
      <c r="CO550" s="4418"/>
      <c r="CP550" s="4418"/>
      <c r="CQ550" s="4418"/>
      <c r="CR550" s="4418"/>
      <c r="CS550" s="4418"/>
      <c r="CT550" s="4418"/>
      <c r="CU550" s="4418"/>
      <c r="CV550" s="4418"/>
      <c r="CW550" s="4418"/>
      <c r="CX550" s="4418"/>
      <c r="CY550" s="4418"/>
      <c r="CZ550" s="4418"/>
      <c r="DA550" s="4418"/>
      <c r="DB550" s="4418"/>
      <c r="DC550" s="4418"/>
      <c r="DD550" s="4418"/>
      <c r="DE550" s="4418"/>
      <c r="DF550" s="4418"/>
      <c r="DG550" s="4418"/>
      <c r="DH550" s="4418"/>
      <c r="DI550" s="4418"/>
      <c r="DJ550" s="4418"/>
      <c r="DK550" s="4418"/>
      <c r="DL550" s="4418"/>
      <c r="DM550" s="4418"/>
      <c r="DN550" s="4418"/>
      <c r="DO550" s="4418"/>
      <c r="DP550" s="4418"/>
      <c r="DQ550" s="4418"/>
      <c r="DR550" s="4418"/>
      <c r="DS550" s="4418"/>
    </row>
    <row r="551" s="4133" customFormat="1" ht="18.75" customHeight="1" spans="1:123">
      <c r="A551" s="4573"/>
      <c r="B551" s="4574"/>
      <c r="C551" s="4574"/>
      <c r="D551" s="4574"/>
      <c r="E551" s="4574"/>
      <c r="F551" s="4574"/>
      <c r="G551" s="4574"/>
      <c r="H551" s="4574"/>
      <c r="I551" s="4574"/>
      <c r="J551" s="4574"/>
      <c r="K551" s="4574"/>
      <c r="L551" s="4575" t="s">
        <v>5230</v>
      </c>
      <c r="M551" s="4576">
        <v>0</v>
      </c>
      <c r="N551" s="4577"/>
      <c r="O551" s="4578"/>
      <c r="P551" s="4579"/>
      <c r="Q551" s="4580"/>
      <c r="R551" s="4580"/>
      <c r="S551" s="4580"/>
      <c r="T551" s="4581"/>
      <c r="U551" s="4582">
        <f>ROUND((P551*M551)/IF($F$5="godisnji",4,2),0)</f>
        <v>0</v>
      </c>
      <c r="V551" s="4583"/>
      <c r="W551" s="4583"/>
      <c r="X551" s="4583"/>
      <c r="Y551" s="4583">
        <f>ROUND((P551*M551)/IF($F$5="godisnji",4,2),0)</f>
        <v>0</v>
      </c>
      <c r="Z551" s="4583"/>
      <c r="AA551" s="4583"/>
      <c r="AB551" s="4583"/>
      <c r="AC551" s="4584">
        <f t="shared" si="10"/>
        <v>0</v>
      </c>
      <c r="AD551" s="4584"/>
      <c r="AE551" s="4584"/>
      <c r="AF551" s="4584"/>
      <c r="AG551" s="4583">
        <f>IFERROR(ROUND((P551*M551)/IF($F$5="godisnji",4,0),0),0)</f>
        <v>0</v>
      </c>
      <c r="AH551" s="4583"/>
      <c r="AI551" s="4583"/>
      <c r="AJ551" s="4583"/>
      <c r="AK551" s="4583">
        <f>IFERROR(ROUND((P551*M551)/IF($F$5="godisnji",4,0),0),0)</f>
        <v>0</v>
      </c>
      <c r="AL551" s="4583"/>
      <c r="AM551" s="4583"/>
      <c r="AN551" s="4583"/>
      <c r="AO551" s="4585">
        <f t="shared" si="11"/>
        <v>0</v>
      </c>
      <c r="AP551" s="4585"/>
      <c r="AQ551" s="4585"/>
      <c r="AR551" s="4585"/>
      <c r="AS551" s="4585"/>
      <c r="AT551" s="4418"/>
      <c r="AU551" s="4418"/>
      <c r="AV551" s="4418"/>
      <c r="AW551" s="4418"/>
      <c r="AX551" s="4418"/>
      <c r="AY551" s="4418"/>
      <c r="AZ551" s="4418"/>
      <c r="BA551" s="4418"/>
      <c r="BB551" s="4418"/>
      <c r="BC551" s="4418"/>
      <c r="BD551" s="4418"/>
      <c r="BE551" s="4418"/>
      <c r="BF551" s="4418"/>
      <c r="BG551" s="4418"/>
      <c r="BH551" s="4418"/>
      <c r="BI551" s="4418"/>
      <c r="BJ551" s="4418"/>
      <c r="BK551" s="4418"/>
      <c r="BL551" s="4418"/>
      <c r="BM551" s="4418"/>
      <c r="BN551" s="4418"/>
      <c r="BO551" s="4418"/>
      <c r="BP551" s="4418"/>
      <c r="BQ551" s="4418"/>
      <c r="BR551" s="4418"/>
      <c r="BS551" s="4418"/>
      <c r="BT551" s="4418"/>
      <c r="BU551" s="4418"/>
      <c r="BV551" s="4418"/>
      <c r="BW551" s="4418"/>
      <c r="BX551" s="4418"/>
      <c r="BY551" s="4418"/>
      <c r="BZ551" s="4418"/>
      <c r="CA551" s="4418"/>
      <c r="CB551" s="4418"/>
      <c r="CC551" s="4418"/>
      <c r="CD551" s="4418"/>
      <c r="CE551" s="4418"/>
      <c r="CF551" s="4418"/>
      <c r="CG551" s="4418"/>
      <c r="CH551" s="4418"/>
      <c r="CI551" s="4418"/>
      <c r="CJ551" s="4418"/>
      <c r="CK551" s="4418"/>
      <c r="CL551" s="4418"/>
      <c r="CM551" s="4418"/>
      <c r="CN551" s="4418"/>
      <c r="CO551" s="4418"/>
      <c r="CP551" s="4418"/>
      <c r="CQ551" s="4418"/>
      <c r="CR551" s="4418"/>
      <c r="CS551" s="4418"/>
      <c r="CT551" s="4418"/>
      <c r="CU551" s="4418"/>
      <c r="CV551" s="4418"/>
      <c r="CW551" s="4418"/>
      <c r="CX551" s="4418"/>
      <c r="CY551" s="4418"/>
      <c r="CZ551" s="4418"/>
      <c r="DA551" s="4418"/>
      <c r="DB551" s="4418"/>
      <c r="DC551" s="4418"/>
      <c r="DD551" s="4418"/>
      <c r="DE551" s="4418"/>
      <c r="DF551" s="4418"/>
      <c r="DG551" s="4418"/>
      <c r="DH551" s="4418"/>
      <c r="DI551" s="4418"/>
      <c r="DJ551" s="4418"/>
      <c r="DK551" s="4418"/>
      <c r="DL551" s="4418"/>
      <c r="DM551" s="4418"/>
      <c r="DN551" s="4418"/>
      <c r="DO551" s="4418"/>
      <c r="DP551" s="4418"/>
      <c r="DQ551" s="4418"/>
      <c r="DR551" s="4418"/>
      <c r="DS551" s="4418"/>
    </row>
    <row r="552" s="4133" customFormat="1" ht="19.5" customHeight="1" spans="1:123">
      <c r="A552" s="4586" t="s">
        <v>5231</v>
      </c>
      <c r="B552" s="4411"/>
      <c r="C552" s="4411"/>
      <c r="D552" s="4411"/>
      <c r="E552" s="4411"/>
      <c r="F552" s="4587"/>
      <c r="G552" s="4411"/>
      <c r="H552" s="4411"/>
      <c r="I552" s="4411"/>
      <c r="J552" s="4411"/>
      <c r="K552" s="4411"/>
      <c r="L552" s="4411"/>
      <c r="M552" s="4588"/>
      <c r="N552" s="4588"/>
      <c r="O552" s="4588"/>
      <c r="P552" s="4589"/>
      <c r="Q552" s="4589"/>
      <c r="R552" s="4589"/>
      <c r="S552" s="4589"/>
      <c r="T552" s="4589"/>
      <c r="U552" s="4589"/>
      <c r="V552" s="4589"/>
      <c r="W552" s="4589"/>
      <c r="X552" s="4589"/>
      <c r="Y552" s="4589"/>
      <c r="Z552" s="4589"/>
      <c r="AA552" s="4589"/>
      <c r="AB552" s="4589"/>
      <c r="AC552" s="4589"/>
      <c r="AD552" s="4589"/>
      <c r="AE552" s="4589"/>
      <c r="AF552" s="4589"/>
      <c r="AG552" s="4589"/>
      <c r="AH552" s="4589"/>
      <c r="AI552" s="4589"/>
      <c r="AJ552" s="4589"/>
      <c r="AK552" s="4589"/>
      <c r="AL552" s="4589"/>
      <c r="AM552" s="4589"/>
      <c r="AN552" s="4589"/>
      <c r="AO552" s="4589"/>
      <c r="AP552" s="4589"/>
      <c r="AQ552" s="4589"/>
      <c r="AR552" s="4418"/>
      <c r="AS552" s="4418"/>
      <c r="AT552" s="4418"/>
      <c r="AU552" s="4418"/>
      <c r="AV552" s="4418"/>
      <c r="AW552" s="4418"/>
      <c r="AX552" s="4418"/>
      <c r="AY552" s="4418"/>
      <c r="AZ552" s="4418"/>
      <c r="BA552" s="4418"/>
      <c r="BB552" s="4418"/>
      <c r="BC552" s="4418"/>
      <c r="BD552" s="4418"/>
      <c r="BE552" s="4418"/>
      <c r="BF552" s="4418"/>
      <c r="BG552" s="4418"/>
      <c r="BH552" s="4418"/>
      <c r="BI552" s="4418"/>
      <c r="BJ552" s="4418"/>
      <c r="BK552" s="4418"/>
      <c r="BL552" s="4418"/>
      <c r="BM552" s="4418"/>
      <c r="BN552" s="4418"/>
      <c r="BO552" s="4418"/>
      <c r="BP552" s="4418"/>
      <c r="BQ552" s="4418"/>
      <c r="BR552" s="4418"/>
      <c r="BS552" s="4418"/>
      <c r="BT552" s="4418"/>
      <c r="BU552" s="4418"/>
      <c r="BV552" s="4418"/>
      <c r="BW552" s="4418"/>
      <c r="BX552" s="4418"/>
      <c r="BY552" s="4418"/>
      <c r="BZ552" s="4418"/>
      <c r="CA552" s="4418"/>
      <c r="CB552" s="4418"/>
      <c r="CC552" s="4418"/>
      <c r="CD552" s="4418"/>
      <c r="CE552" s="4418"/>
      <c r="CF552" s="4418"/>
      <c r="CG552" s="4418"/>
      <c r="CH552" s="4418"/>
      <c r="CI552" s="4418"/>
      <c r="CJ552" s="4418"/>
      <c r="CK552" s="4418"/>
      <c r="CL552" s="4418"/>
      <c r="CM552" s="4418"/>
      <c r="CN552" s="4418"/>
      <c r="CO552" s="4418"/>
      <c r="CP552" s="4418"/>
      <c r="CQ552" s="4418"/>
      <c r="CR552" s="4418"/>
      <c r="CS552" s="4418"/>
      <c r="CT552" s="4418"/>
      <c r="CU552" s="4418"/>
      <c r="CV552" s="4418"/>
      <c r="CW552" s="4418"/>
      <c r="CX552" s="4418"/>
      <c r="CY552" s="4418"/>
      <c r="CZ552" s="4418"/>
      <c r="DA552" s="4418"/>
      <c r="DB552" s="4418"/>
      <c r="DC552" s="4418"/>
      <c r="DD552" s="4418"/>
      <c r="DE552" s="4418"/>
      <c r="DF552" s="4418"/>
      <c r="DG552" s="4418"/>
      <c r="DH552" s="4418"/>
      <c r="DI552" s="4418"/>
      <c r="DJ552" s="4418"/>
      <c r="DK552" s="4418"/>
      <c r="DL552" s="4418"/>
      <c r="DM552" s="4418"/>
      <c r="DN552" s="4418"/>
      <c r="DO552" s="4418"/>
      <c r="DP552" s="4418"/>
      <c r="DQ552" s="4418"/>
      <c r="DR552" s="4418"/>
      <c r="DS552" s="4418"/>
    </row>
    <row r="553" s="4133" customFormat="1" ht="21" customHeight="1" spans="1:123">
      <c r="A553" s="4528" t="s">
        <v>5228</v>
      </c>
      <c r="B553" s="4529"/>
      <c r="C553" s="4529"/>
      <c r="D553" s="4529"/>
      <c r="E553" s="4529"/>
      <c r="F553" s="4531"/>
      <c r="G553" s="4590">
        <v>0</v>
      </c>
      <c r="H553" s="4590"/>
      <c r="I553" s="4591"/>
      <c r="J553" s="4592">
        <v>0.0007</v>
      </c>
      <c r="K553" s="4593"/>
      <c r="L553" s="4593"/>
      <c r="M553" s="4594">
        <f>J553/100*G553</f>
        <v>0</v>
      </c>
      <c r="N553" s="4594"/>
      <c r="O553" s="4594"/>
      <c r="P553" s="4595">
        <f>IF(G553=0,0,G539)</f>
        <v>0</v>
      </c>
      <c r="Q553" s="4595"/>
      <c r="R553" s="4595"/>
      <c r="S553" s="4595"/>
      <c r="T553" s="4595"/>
      <c r="U553" s="4595">
        <f>ROUND((P553*M553)/IF($F$5="godisnji",4,2),0)</f>
        <v>0</v>
      </c>
      <c r="V553" s="4595"/>
      <c r="W553" s="4595"/>
      <c r="X553" s="4595"/>
      <c r="Y553" s="4595">
        <f>ROUND((P553*M553)/IF($F$5="godisnji",4,2),0)</f>
        <v>0</v>
      </c>
      <c r="Z553" s="4595"/>
      <c r="AA553" s="4595"/>
      <c r="AB553" s="4595"/>
      <c r="AC553" s="4585">
        <f>U553+Y553</f>
        <v>0</v>
      </c>
      <c r="AD553" s="4585"/>
      <c r="AE553" s="4585"/>
      <c r="AF553" s="4585"/>
      <c r="AG553" s="4595">
        <f>IFERROR(ROUND((P553*M553)/IF($F$5="godisnji",4,0),0),0)</f>
        <v>0</v>
      </c>
      <c r="AH553" s="4595"/>
      <c r="AI553" s="4595"/>
      <c r="AJ553" s="4595"/>
      <c r="AK553" s="4595">
        <f>IFERROR(ROUND((P553*M553)/IF($F$5="godisnji",4,0),0),0)</f>
        <v>0</v>
      </c>
      <c r="AL553" s="4595"/>
      <c r="AM553" s="4595"/>
      <c r="AN553" s="4595"/>
      <c r="AO553" s="4585">
        <f>U553+Y553+AG553+AK553</f>
        <v>0</v>
      </c>
      <c r="AP553" s="4585"/>
      <c r="AQ553" s="4585"/>
      <c r="AR553" s="4585"/>
      <c r="AS553" s="4585"/>
      <c r="AT553" s="4418"/>
      <c r="AU553" s="4418"/>
      <c r="AV553" s="4418"/>
      <c r="AW553" s="4418"/>
      <c r="AX553" s="4418"/>
      <c r="AY553" s="4418"/>
      <c r="AZ553" s="4418"/>
      <c r="BA553" s="4418"/>
      <c r="BB553" s="4418"/>
      <c r="BC553" s="4418"/>
      <c r="BD553" s="4418"/>
      <c r="BE553" s="4418"/>
      <c r="BF553" s="4418"/>
      <c r="BG553" s="4418"/>
      <c r="BH553" s="4418"/>
      <c r="BI553" s="4418"/>
      <c r="BJ553" s="4418"/>
      <c r="BK553" s="4418"/>
      <c r="BL553" s="4418"/>
      <c r="BM553" s="4418"/>
      <c r="BN553" s="4418"/>
      <c r="BO553" s="4418"/>
      <c r="BP553" s="4418"/>
      <c r="BQ553" s="4418"/>
      <c r="BR553" s="4418"/>
      <c r="BS553" s="4418"/>
      <c r="BT553" s="4418"/>
      <c r="BU553" s="4418"/>
      <c r="BV553" s="4418"/>
      <c r="BW553" s="4418"/>
      <c r="BX553" s="4418"/>
      <c r="BY553" s="4418"/>
      <c r="BZ553" s="4418"/>
      <c r="CA553" s="4418"/>
      <c r="CB553" s="4418"/>
      <c r="CC553" s="4418"/>
      <c r="CD553" s="4418"/>
      <c r="CE553" s="4418"/>
      <c r="CF553" s="4418"/>
      <c r="CG553" s="4418"/>
      <c r="CH553" s="4418"/>
      <c r="CI553" s="4418"/>
      <c r="CJ553" s="4418"/>
      <c r="CK553" s="4418"/>
      <c r="CL553" s="4418"/>
      <c r="CM553" s="4418"/>
      <c r="CN553" s="4418"/>
      <c r="CO553" s="4418"/>
      <c r="CP553" s="4418"/>
      <c r="CQ553" s="4418"/>
      <c r="CR553" s="4418"/>
      <c r="CS553" s="4418"/>
      <c r="CT553" s="4418"/>
      <c r="CU553" s="4418"/>
      <c r="CV553" s="4418"/>
      <c r="CW553" s="4418"/>
      <c r="CX553" s="4418"/>
      <c r="CY553" s="4418"/>
      <c r="CZ553" s="4418"/>
      <c r="DA553" s="4418"/>
      <c r="DB553" s="4418"/>
      <c r="DC553" s="4418"/>
      <c r="DD553" s="4418"/>
      <c r="DE553" s="4418"/>
      <c r="DF553" s="4418"/>
      <c r="DG553" s="4418"/>
      <c r="DH553" s="4418"/>
      <c r="DI553" s="4418"/>
      <c r="DJ553" s="4418"/>
      <c r="DK553" s="4418"/>
      <c r="DL553" s="4418"/>
      <c r="DM553" s="4418"/>
      <c r="DN553" s="4418"/>
      <c r="DO553" s="4418"/>
      <c r="DP553" s="4418"/>
      <c r="DQ553" s="4418"/>
      <c r="DR553" s="4418"/>
      <c r="DS553" s="4418"/>
    </row>
    <row r="554" s="4135" customFormat="1" ht="21" customHeight="1" spans="1:123">
      <c r="A554" s="4528" t="s">
        <v>5229</v>
      </c>
      <c r="B554" s="4529"/>
      <c r="C554" s="4529"/>
      <c r="D554" s="4529"/>
      <c r="E554" s="4529"/>
      <c r="F554" s="4596"/>
      <c r="G554" s="4597">
        <v>100</v>
      </c>
      <c r="H554" s="4597"/>
      <c r="I554" s="4598"/>
      <c r="J554" s="4592"/>
      <c r="K554" s="4593"/>
      <c r="L554" s="4593"/>
      <c r="M554" s="4594">
        <f>J553/100*G554</f>
        <v>0.0007</v>
      </c>
      <c r="N554" s="4594"/>
      <c r="O554" s="4594"/>
      <c r="P554" s="4599">
        <f>G539</f>
        <v>247772</v>
      </c>
      <c r="Q554" s="4599"/>
      <c r="R554" s="4599"/>
      <c r="S554" s="4599"/>
      <c r="T554" s="4599"/>
      <c r="U554" s="4595">
        <f>ROUND((P554*M554)/IF($F$5="godišnji",4,2),0)</f>
        <v>43</v>
      </c>
      <c r="V554" s="4595"/>
      <c r="W554" s="4595"/>
      <c r="X554" s="4595"/>
      <c r="Y554" s="4595">
        <f>ROUND((P554*M554)/IF($F$5="godišnji",4,2),0)</f>
        <v>43</v>
      </c>
      <c r="Z554" s="4595"/>
      <c r="AA554" s="4595"/>
      <c r="AB554" s="4595"/>
      <c r="AC554" s="4585">
        <f>U554+Y554</f>
        <v>86</v>
      </c>
      <c r="AD554" s="4585"/>
      <c r="AE554" s="4585"/>
      <c r="AF554" s="4585"/>
      <c r="AG554" s="4595">
        <f>IFERROR(ROUND((P554*M554)/IF($F$5="godišnji",4,0),0),0)</f>
        <v>43</v>
      </c>
      <c r="AH554" s="4595"/>
      <c r="AI554" s="4595"/>
      <c r="AJ554" s="4595"/>
      <c r="AK554" s="4595">
        <f>IFERROR(ROUND((P554*M554)/IF($F$5="godišnji",4,0),0),0)</f>
        <v>43</v>
      </c>
      <c r="AL554" s="4595"/>
      <c r="AM554" s="4595"/>
      <c r="AN554" s="4595"/>
      <c r="AO554" s="4585">
        <f>U554+Y554+AG554+AK554</f>
        <v>172</v>
      </c>
      <c r="AP554" s="4585"/>
      <c r="AQ554" s="4585"/>
      <c r="AR554" s="4585"/>
      <c r="AS554" s="4585"/>
      <c r="AT554" s="4418"/>
      <c r="AU554" s="4418"/>
      <c r="AV554" s="4418"/>
      <c r="AW554" s="4418"/>
      <c r="AX554" s="4418"/>
      <c r="AY554" s="4418"/>
      <c r="AZ554" s="4418"/>
      <c r="BA554" s="4418"/>
      <c r="BB554" s="4418"/>
      <c r="BC554" s="4418"/>
      <c r="BD554" s="4418"/>
      <c r="BE554" s="4418"/>
      <c r="BF554" s="4418"/>
      <c r="BG554" s="4418"/>
      <c r="BH554" s="4418"/>
      <c r="BI554" s="4418"/>
      <c r="BJ554" s="4418"/>
      <c r="BK554" s="4418"/>
      <c r="BL554" s="4418"/>
      <c r="BM554" s="4418"/>
      <c r="BN554" s="4418"/>
      <c r="BO554" s="4418"/>
      <c r="BP554" s="4418"/>
      <c r="BQ554" s="4418"/>
      <c r="BR554" s="4418"/>
      <c r="BS554" s="4418"/>
      <c r="BT554" s="4418"/>
      <c r="BU554" s="4418"/>
      <c r="BV554" s="4418"/>
      <c r="BW554" s="4418"/>
      <c r="BX554" s="4418"/>
      <c r="BY554" s="4418"/>
      <c r="BZ554" s="4418"/>
      <c r="CA554" s="4418"/>
      <c r="CB554" s="4418"/>
      <c r="CC554" s="4418"/>
      <c r="CD554" s="4418"/>
      <c r="CE554" s="4418"/>
      <c r="CF554" s="4418"/>
      <c r="CG554" s="4418"/>
      <c r="CH554" s="4418"/>
      <c r="CI554" s="4418"/>
      <c r="CJ554" s="4418"/>
      <c r="CK554" s="4418"/>
      <c r="CL554" s="4418"/>
      <c r="CM554" s="4418"/>
      <c r="CN554" s="4418"/>
      <c r="CO554" s="4418"/>
      <c r="CP554" s="4418"/>
      <c r="CQ554" s="4418"/>
      <c r="CR554" s="4418"/>
      <c r="CS554" s="4418"/>
      <c r="CT554" s="4418"/>
      <c r="CU554" s="4418"/>
      <c r="CV554" s="4418"/>
      <c r="CW554" s="4418"/>
      <c r="CX554" s="4418"/>
      <c r="CY554" s="4418"/>
      <c r="CZ554" s="4418"/>
      <c r="DA554" s="4418"/>
      <c r="DB554" s="4418"/>
      <c r="DC554" s="4418"/>
      <c r="DD554" s="4418"/>
      <c r="DE554" s="4418"/>
      <c r="DF554" s="4418"/>
      <c r="DG554" s="4418"/>
      <c r="DH554" s="4418"/>
      <c r="DI554" s="4418"/>
      <c r="DJ554" s="4418"/>
      <c r="DK554" s="4418"/>
      <c r="DL554" s="4418"/>
      <c r="DM554" s="4418"/>
      <c r="DN554" s="4418"/>
      <c r="DO554" s="4418"/>
      <c r="DP554" s="4418"/>
      <c r="DQ554" s="4418"/>
      <c r="DR554" s="4418"/>
      <c r="DS554" s="4418"/>
    </row>
    <row r="555" s="4133" customFormat="1" ht="14.25" customHeight="1" spans="1:123">
      <c r="A555" s="4600"/>
      <c r="B555" s="4600"/>
      <c r="C555" s="4600"/>
      <c r="D555" s="4600"/>
      <c r="E555" s="4600"/>
      <c r="F555" s="4601"/>
      <c r="G555" s="4600"/>
      <c r="H555" s="4600"/>
      <c r="I555" s="4600"/>
      <c r="J555" s="4600"/>
      <c r="K555" s="4600"/>
      <c r="L555" s="4600"/>
      <c r="M555" s="4600"/>
      <c r="N555" s="4600"/>
      <c r="O555" s="4600"/>
      <c r="P555" s="4602"/>
      <c r="Q555" s="4600"/>
      <c r="R555" s="4600"/>
      <c r="S555" s="4600"/>
      <c r="T555" s="4600"/>
      <c r="U555" s="4600"/>
      <c r="V555" s="4600"/>
      <c r="W555" s="4600"/>
      <c r="X555" s="4600"/>
      <c r="Y555" s="4600"/>
      <c r="Z555" s="4600"/>
      <c r="AA555" s="4600"/>
      <c r="AB555" s="4600"/>
      <c r="AC555" s="4600"/>
      <c r="AD555" s="4600"/>
      <c r="AE555" s="4600"/>
      <c r="AF555" s="4600"/>
      <c r="AG555" s="4600"/>
      <c r="AH555" s="4600"/>
      <c r="AI555" s="4600"/>
      <c r="AJ555" s="4600"/>
      <c r="AK555" s="4600"/>
      <c r="AL555" s="4600"/>
      <c r="AM555" s="4292"/>
      <c r="AN555" s="4292"/>
      <c r="AO555" s="4292"/>
      <c r="AP555" s="4292"/>
      <c r="AQ555" s="4292"/>
      <c r="AR555" s="4292"/>
      <c r="AS555" s="4292"/>
      <c r="AT555" s="4418"/>
      <c r="AU555" s="4418"/>
      <c r="AV555" s="4418"/>
      <c r="AW555" s="4418"/>
      <c r="AX555" s="4418"/>
      <c r="AY555" s="4418"/>
      <c r="AZ555" s="4418"/>
      <c r="BA555" s="4418"/>
      <c r="BB555" s="4418"/>
      <c r="BC555" s="4418"/>
      <c r="BD555" s="4418"/>
      <c r="BE555" s="4418"/>
      <c r="BF555" s="4418"/>
      <c r="BG555" s="4418"/>
      <c r="BH555" s="4418"/>
      <c r="BI555" s="4418"/>
      <c r="BJ555" s="4418"/>
      <c r="BK555" s="4418"/>
      <c r="BL555" s="4418"/>
      <c r="BM555" s="4418"/>
      <c r="BN555" s="4418"/>
      <c r="BO555" s="4418"/>
      <c r="BP555" s="4418"/>
      <c r="BQ555" s="4418"/>
      <c r="BR555" s="4418"/>
      <c r="BS555" s="4418"/>
      <c r="BT555" s="4418"/>
      <c r="BU555" s="4418"/>
      <c r="BV555" s="4418"/>
      <c r="BW555" s="4418"/>
      <c r="BX555" s="4418"/>
      <c r="BY555" s="4418"/>
      <c r="BZ555" s="4418"/>
      <c r="CA555" s="4418"/>
      <c r="CB555" s="4418"/>
      <c r="CC555" s="4418"/>
      <c r="CD555" s="4418"/>
      <c r="CE555" s="4418"/>
      <c r="CF555" s="4418"/>
      <c r="CG555" s="4418"/>
      <c r="CH555" s="4418"/>
      <c r="CI555" s="4418"/>
      <c r="CJ555" s="4418"/>
      <c r="CK555" s="4418"/>
      <c r="CL555" s="4418"/>
      <c r="CM555" s="4418"/>
      <c r="CN555" s="4418"/>
      <c r="CO555" s="4418"/>
      <c r="CP555" s="4418"/>
      <c r="CQ555" s="4418"/>
      <c r="CR555" s="4418"/>
      <c r="CS555" s="4418"/>
      <c r="CT555" s="4418"/>
      <c r="CU555" s="4418"/>
      <c r="CV555" s="4418"/>
      <c r="CW555" s="4418"/>
      <c r="CX555" s="4418"/>
      <c r="CY555" s="4418"/>
      <c r="CZ555" s="4418"/>
      <c r="DA555" s="4418"/>
      <c r="DB555" s="4418"/>
      <c r="DC555" s="4418"/>
      <c r="DD555" s="4418"/>
      <c r="DE555" s="4418"/>
      <c r="DF555" s="4418"/>
      <c r="DG555" s="4418"/>
      <c r="DH555" s="4418"/>
      <c r="DI555" s="4418"/>
      <c r="DJ555" s="4418"/>
      <c r="DK555" s="4418"/>
      <c r="DL555" s="4418"/>
      <c r="DM555" s="4418"/>
      <c r="DN555" s="4418"/>
      <c r="DO555" s="4418"/>
      <c r="DP555" s="4418"/>
      <c r="DQ555" s="4418"/>
      <c r="DR555" s="4418"/>
      <c r="DS555" s="4418"/>
    </row>
    <row r="556" s="4134" customFormat="1" ht="16.5" customHeight="1" spans="1:123">
      <c r="A556" s="4303"/>
      <c r="B556" s="4303"/>
      <c r="C556" s="4303"/>
      <c r="D556" s="4303"/>
      <c r="E556" s="4303"/>
      <c r="F556" s="4603"/>
      <c r="G556" s="4303"/>
      <c r="H556" s="4303"/>
      <c r="I556" s="4467" t="s">
        <v>5232</v>
      </c>
      <c r="J556" s="4467"/>
      <c r="K556" s="4467"/>
      <c r="L556" s="4467"/>
      <c r="M556" s="4467"/>
      <c r="N556" s="4604"/>
      <c r="O556" s="4604"/>
      <c r="P556" s="4604"/>
      <c r="Q556" s="4303"/>
      <c r="R556" s="4588" t="s">
        <v>5233</v>
      </c>
      <c r="S556" s="4303"/>
      <c r="T556" s="4303"/>
      <c r="U556" s="4588"/>
      <c r="V556" s="4303"/>
      <c r="W556" s="4303"/>
      <c r="X556" s="4303"/>
      <c r="Y556" s="4303"/>
      <c r="Z556" s="4303"/>
      <c r="AA556" s="4303"/>
      <c r="AB556" s="4303"/>
      <c r="AC556" s="4303"/>
      <c r="AD556" s="4303"/>
      <c r="AE556" s="4303"/>
      <c r="AF556" s="4303"/>
      <c r="AG556" s="4303"/>
      <c r="AH556" s="4303"/>
      <c r="AI556" s="4303"/>
      <c r="AJ556" s="4303"/>
      <c r="AK556" s="4303"/>
      <c r="AL556" s="4303"/>
      <c r="AM556" s="4303"/>
      <c r="AN556" s="4303"/>
      <c r="AO556" s="4303"/>
      <c r="AP556" s="4303"/>
      <c r="AQ556" s="4303"/>
      <c r="AR556" s="4303"/>
      <c r="AS556" s="4303"/>
      <c r="AT556" s="4605"/>
      <c r="AU556" s="4605"/>
      <c r="AV556" s="4605"/>
      <c r="AW556" s="4605"/>
      <c r="AX556" s="4605"/>
      <c r="AY556" s="4605"/>
      <c r="AZ556" s="4605"/>
      <c r="BA556" s="4605"/>
      <c r="BB556" s="4605"/>
      <c r="BC556" s="4605"/>
      <c r="BD556" s="4605"/>
      <c r="BE556" s="4605"/>
      <c r="BF556" s="4605"/>
      <c r="BG556" s="4605"/>
      <c r="BH556" s="4605"/>
      <c r="BI556" s="4605"/>
      <c r="BJ556" s="4605"/>
      <c r="BK556" s="4605"/>
      <c r="BL556" s="4605"/>
      <c r="BM556" s="4605"/>
      <c r="BN556" s="4605"/>
      <c r="BO556" s="4605"/>
      <c r="BP556" s="4605"/>
      <c r="BQ556" s="4605"/>
      <c r="BR556" s="4605"/>
      <c r="BS556" s="4605"/>
      <c r="BT556" s="4605"/>
      <c r="BU556" s="4605"/>
      <c r="BV556" s="4605"/>
      <c r="BW556" s="4605"/>
      <c r="BX556" s="4605"/>
      <c r="BY556" s="4605"/>
      <c r="BZ556" s="4605"/>
      <c r="CA556" s="4605"/>
      <c r="CB556" s="4605"/>
      <c r="CC556" s="4605"/>
      <c r="CD556" s="4605"/>
      <c r="CE556" s="4605"/>
      <c r="CF556" s="4605"/>
      <c r="CG556" s="4605"/>
      <c r="CH556" s="4605"/>
      <c r="CI556" s="4605"/>
      <c r="CJ556" s="4605"/>
      <c r="CK556" s="4605"/>
      <c r="CL556" s="4605"/>
      <c r="CM556" s="4605"/>
      <c r="CN556" s="4605"/>
      <c r="CO556" s="4605"/>
      <c r="CP556" s="4605"/>
      <c r="CQ556" s="4605"/>
      <c r="CR556" s="4605"/>
      <c r="CS556" s="4605"/>
      <c r="CT556" s="4605"/>
      <c r="CU556" s="4605"/>
      <c r="CV556" s="4605"/>
      <c r="CW556" s="4605"/>
      <c r="CX556" s="4605"/>
      <c r="CY556" s="4605"/>
      <c r="CZ556" s="4605"/>
      <c r="DA556" s="4605"/>
      <c r="DB556" s="4605"/>
      <c r="DC556" s="4605"/>
      <c r="DD556" s="4605"/>
      <c r="DE556" s="4605"/>
      <c r="DF556" s="4605"/>
      <c r="DG556" s="4605"/>
      <c r="DH556" s="4605"/>
      <c r="DI556" s="4605"/>
      <c r="DJ556" s="4605"/>
      <c r="DK556" s="4605"/>
      <c r="DL556" s="4605"/>
      <c r="DM556" s="4605"/>
      <c r="DN556" s="4605"/>
      <c r="DO556" s="4605"/>
      <c r="DP556" s="4605"/>
      <c r="DQ556" s="4605"/>
      <c r="DR556" s="4605"/>
      <c r="DS556" s="4605"/>
    </row>
    <row r="557" s="4134" customFormat="1" ht="15.75" spans="1:123">
      <c r="A557" s="4303"/>
      <c r="B557" s="4303"/>
      <c r="C557" s="4303"/>
      <c r="D557" s="4303"/>
      <c r="E557" s="4303"/>
      <c r="F557" s="4603"/>
      <c r="G557" s="4303"/>
      <c r="H557" s="4303"/>
      <c r="I557" s="4303"/>
      <c r="J557" s="4303"/>
      <c r="K557" s="4303"/>
      <c r="L557" s="4303"/>
      <c r="M557" s="4303"/>
      <c r="N557" s="4303"/>
      <c r="O557" s="4303"/>
      <c r="P557" s="4604"/>
      <c r="Q557" s="4303"/>
      <c r="R557" s="4588" t="s">
        <v>5234</v>
      </c>
      <c r="S557" s="4303"/>
      <c r="T557" s="4303"/>
      <c r="U557" s="4588"/>
      <c r="V557" s="4303"/>
      <c r="W557" s="4303"/>
      <c r="X557" s="4303"/>
      <c r="Y557" s="4303"/>
      <c r="Z557" s="4303"/>
      <c r="AA557" s="4303"/>
      <c r="AB557" s="4303"/>
      <c r="AC557" s="4303"/>
      <c r="AD557" s="4303"/>
      <c r="AE557" s="4303"/>
      <c r="AF557" s="4303"/>
      <c r="AG557" s="4303"/>
      <c r="AH557" s="4303"/>
      <c r="AI557" s="4303"/>
      <c r="AJ557" s="4303"/>
      <c r="AK557" s="4303"/>
      <c r="AL557" s="4303"/>
      <c r="AM557" s="4303"/>
      <c r="AN557" s="4303"/>
      <c r="AO557" s="4303"/>
      <c r="AP557" s="4303"/>
      <c r="AQ557" s="4303"/>
      <c r="AR557" s="4303"/>
      <c r="AS557" s="4303"/>
      <c r="AT557" s="4605"/>
      <c r="AU557" s="4605"/>
      <c r="AV557" s="4605"/>
      <c r="AW557" s="4605"/>
      <c r="AX557" s="4605"/>
      <c r="AY557" s="4605"/>
      <c r="AZ557" s="4605"/>
      <c r="BA557" s="4605"/>
      <c r="BB557" s="4605"/>
      <c r="BC557" s="4605"/>
      <c r="BD557" s="4605"/>
      <c r="BE557" s="4605"/>
      <c r="BF557" s="4605"/>
      <c r="BG557" s="4605"/>
      <c r="BH557" s="4605"/>
      <c r="BI557" s="4605"/>
      <c r="BJ557" s="4605"/>
      <c r="BK557" s="4605"/>
      <c r="BL557" s="4605"/>
      <c r="BM557" s="4605"/>
      <c r="BN557" s="4605"/>
      <c r="BO557" s="4605"/>
      <c r="BP557" s="4605"/>
      <c r="BQ557" s="4605"/>
      <c r="BR557" s="4605"/>
      <c r="BS557" s="4605"/>
      <c r="BT557" s="4605"/>
      <c r="BU557" s="4605"/>
      <c r="BV557" s="4605"/>
      <c r="BW557" s="4605"/>
      <c r="BX557" s="4605"/>
      <c r="BY557" s="4605"/>
      <c r="BZ557" s="4605"/>
      <c r="CA557" s="4605"/>
      <c r="CB557" s="4605"/>
      <c r="CC557" s="4605"/>
      <c r="CD557" s="4605"/>
      <c r="CE557" s="4605"/>
      <c r="CF557" s="4605"/>
      <c r="CG557" s="4605"/>
      <c r="CH557" s="4605"/>
      <c r="CI557" s="4605"/>
      <c r="CJ557" s="4605"/>
      <c r="CK557" s="4605"/>
      <c r="CL557" s="4605"/>
      <c r="CM557" s="4605"/>
      <c r="CN557" s="4605"/>
      <c r="CO557" s="4605"/>
      <c r="CP557" s="4605"/>
      <c r="CQ557" s="4605"/>
      <c r="CR557" s="4605"/>
      <c r="CS557" s="4605"/>
      <c r="CT557" s="4605"/>
      <c r="CU557" s="4605"/>
      <c r="CV557" s="4605"/>
      <c r="CW557" s="4605"/>
      <c r="CX557" s="4605"/>
      <c r="CY557" s="4605"/>
      <c r="CZ557" s="4605"/>
      <c r="DA557" s="4605"/>
      <c r="DB557" s="4605"/>
      <c r="DC557" s="4605"/>
      <c r="DD557" s="4605"/>
      <c r="DE557" s="4605"/>
      <c r="DF557" s="4605"/>
      <c r="DG557" s="4605"/>
      <c r="DH557" s="4605"/>
      <c r="DI557" s="4605"/>
      <c r="DJ557" s="4605"/>
      <c r="DK557" s="4605"/>
      <c r="DL557" s="4605"/>
      <c r="DM557" s="4605"/>
      <c r="DN557" s="4605"/>
      <c r="DO557" s="4605"/>
      <c r="DP557" s="4605"/>
      <c r="DQ557" s="4605"/>
      <c r="DR557" s="4605"/>
      <c r="DS557" s="4605"/>
    </row>
    <row r="558" s="4134" customFormat="1" ht="15.75" spans="1:123">
      <c r="A558" s="4303"/>
      <c r="B558" s="4303"/>
      <c r="C558" s="4303"/>
      <c r="D558" s="4303"/>
      <c r="E558" s="4606" t="s">
        <v>5235</v>
      </c>
      <c r="F558" s="4303"/>
      <c r="G558" s="4303"/>
      <c r="H558" s="4303"/>
      <c r="I558" s="4303"/>
      <c r="J558" s="4303"/>
      <c r="K558" s="4303"/>
      <c r="L558" s="4606"/>
      <c r="M558" s="4303"/>
      <c r="N558" s="4303"/>
      <c r="O558" s="4303"/>
      <c r="P558" s="4303"/>
      <c r="Q558" s="4303"/>
      <c r="R558" s="4588"/>
      <c r="S558" s="4303"/>
      <c r="T558" s="4303"/>
      <c r="U558" s="4303"/>
      <c r="V558" s="4303"/>
      <c r="W558" s="4303"/>
      <c r="X558" s="4303"/>
      <c r="Y558" s="4303"/>
      <c r="Z558" s="4303"/>
      <c r="AA558" s="4303"/>
      <c r="AB558" s="4303"/>
      <c r="AC558" s="4303"/>
      <c r="AD558" s="4303"/>
      <c r="AE558" s="4303"/>
      <c r="AF558" s="4303"/>
      <c r="AG558" s="4303"/>
      <c r="AH558" s="4303"/>
      <c r="AI558" s="4303"/>
      <c r="AJ558" s="4303"/>
      <c r="AK558" s="4303"/>
      <c r="AL558" s="4303"/>
      <c r="AM558" s="4303"/>
      <c r="AN558" s="4303"/>
      <c r="AO558" s="4303"/>
      <c r="AP558" s="4303"/>
      <c r="AQ558" s="4303"/>
      <c r="AR558" s="4303"/>
      <c r="AS558" s="4303"/>
      <c r="AT558" s="4605"/>
      <c r="AU558" s="4605"/>
      <c r="AV558" s="4605"/>
      <c r="AW558" s="4605"/>
      <c r="AX558" s="4605"/>
      <c r="AY558" s="4605"/>
      <c r="AZ558" s="4605"/>
      <c r="BA558" s="4605"/>
      <c r="BB558" s="4605"/>
      <c r="BC558" s="4605"/>
      <c r="BD558" s="4605"/>
      <c r="BE558" s="4605"/>
      <c r="BF558" s="4605"/>
      <c r="BG558" s="4605"/>
      <c r="BH558" s="4605"/>
      <c r="BI558" s="4605"/>
      <c r="BJ558" s="4605"/>
      <c r="BK558" s="4605"/>
      <c r="BL558" s="4605"/>
      <c r="BM558" s="4605"/>
      <c r="BN558" s="4605"/>
      <c r="BO558" s="4605"/>
      <c r="BP558" s="4605"/>
      <c r="BQ558" s="4605"/>
      <c r="BR558" s="4605"/>
      <c r="BS558" s="4605"/>
      <c r="BT558" s="4605"/>
      <c r="BU558" s="4605"/>
      <c r="BV558" s="4605"/>
      <c r="BW558" s="4605"/>
      <c r="BX558" s="4605"/>
      <c r="BY558" s="4605"/>
      <c r="BZ558" s="4605"/>
      <c r="CA558" s="4605"/>
      <c r="CB558" s="4605"/>
      <c r="CC558" s="4605"/>
      <c r="CD558" s="4605"/>
      <c r="CE558" s="4605"/>
      <c r="CF558" s="4605"/>
      <c r="CG558" s="4605"/>
      <c r="CH558" s="4605"/>
      <c r="CI558" s="4605"/>
      <c r="CJ558" s="4605"/>
      <c r="CK558" s="4605"/>
      <c r="CL558" s="4605"/>
      <c r="CM558" s="4605"/>
      <c r="CN558" s="4605"/>
      <c r="CO558" s="4605"/>
      <c r="CP558" s="4605"/>
      <c r="CQ558" s="4605"/>
      <c r="CR558" s="4605"/>
      <c r="CS558" s="4605"/>
      <c r="CT558" s="4605"/>
      <c r="CU558" s="4605"/>
      <c r="CV558" s="4605"/>
      <c r="CW558" s="4605"/>
      <c r="CX558" s="4605"/>
      <c r="CY558" s="4605"/>
      <c r="CZ558" s="4605"/>
      <c r="DA558" s="4605"/>
      <c r="DB558" s="4605"/>
      <c r="DC558" s="4605"/>
      <c r="DD558" s="4605"/>
      <c r="DE558" s="4605"/>
      <c r="DF558" s="4605"/>
      <c r="DG558" s="4605"/>
      <c r="DH558" s="4605"/>
      <c r="DI558" s="4605"/>
      <c r="DJ558" s="4605"/>
      <c r="DK558" s="4605"/>
      <c r="DL558" s="4605"/>
      <c r="DM558" s="4605"/>
      <c r="DN558" s="4605"/>
      <c r="DO558" s="4605"/>
      <c r="DP558" s="4605"/>
      <c r="DQ558" s="4605"/>
      <c r="DR558" s="4605"/>
      <c r="DS558" s="4605"/>
    </row>
    <row r="559" s="4134" customFormat="1" ht="15.75" spans="1:123">
      <c r="A559" s="4303"/>
      <c r="B559" s="4303"/>
      <c r="C559" s="4303"/>
      <c r="D559" s="4303"/>
      <c r="E559" s="4607">
        <v>0.0007</v>
      </c>
      <c r="F559" s="4607"/>
      <c r="G559" s="4303" t="s">
        <v>5236</v>
      </c>
      <c r="H559" s="4303"/>
      <c r="I559" s="4303"/>
      <c r="J559" s="4303"/>
      <c r="K559" s="4303"/>
      <c r="L559" s="4608"/>
      <c r="M559" s="4608"/>
      <c r="N559" s="4303"/>
      <c r="O559" s="4303"/>
      <c r="P559" s="4303"/>
      <c r="Q559" s="4303"/>
      <c r="R559" s="4588"/>
      <c r="S559" s="4303"/>
      <c r="T559" s="4303"/>
      <c r="U559" s="4303"/>
      <c r="V559" s="4303"/>
      <c r="W559" s="4303"/>
      <c r="X559" s="4303"/>
      <c r="Y559" s="4303"/>
      <c r="Z559" s="4303"/>
      <c r="AA559" s="4303"/>
      <c r="AB559" s="4303"/>
      <c r="AC559" s="4303"/>
      <c r="AD559" s="4303"/>
      <c r="AE559" s="4303"/>
      <c r="AF559" s="4303"/>
      <c r="AG559" s="4303"/>
      <c r="AH559" s="4303"/>
      <c r="AI559" s="4303"/>
      <c r="AJ559" s="4303"/>
      <c r="AK559" s="4303"/>
      <c r="AL559" s="4303"/>
      <c r="AM559" s="4303"/>
      <c r="AN559" s="4303"/>
      <c r="AO559" s="4303"/>
      <c r="AP559" s="4303"/>
      <c r="AQ559" s="4303"/>
      <c r="AR559" s="4303"/>
      <c r="AS559" s="4303"/>
      <c r="AT559" s="4605"/>
      <c r="AU559" s="4605"/>
      <c r="AV559" s="4605"/>
      <c r="AW559" s="4605"/>
      <c r="AX559" s="4605"/>
      <c r="AY559" s="4605"/>
      <c r="AZ559" s="4605"/>
      <c r="BA559" s="4605"/>
      <c r="BB559" s="4605"/>
      <c r="BC559" s="4605"/>
      <c r="BD559" s="4605"/>
      <c r="BE559" s="4605"/>
      <c r="BF559" s="4605"/>
      <c r="BG559" s="4605"/>
      <c r="BH559" s="4605"/>
      <c r="BI559" s="4605"/>
      <c r="BJ559" s="4605"/>
      <c r="BK559" s="4605"/>
      <c r="BL559" s="4605"/>
      <c r="BM559" s="4605"/>
      <c r="BN559" s="4605"/>
      <c r="BO559" s="4605"/>
      <c r="BP559" s="4605"/>
      <c r="BQ559" s="4605"/>
      <c r="BR559" s="4605"/>
      <c r="BS559" s="4605"/>
      <c r="BT559" s="4605"/>
      <c r="BU559" s="4605"/>
      <c r="BV559" s="4605"/>
      <c r="BW559" s="4605"/>
      <c r="BX559" s="4605"/>
      <c r="BY559" s="4605"/>
      <c r="BZ559" s="4605"/>
      <c r="CA559" s="4605"/>
      <c r="CB559" s="4605"/>
      <c r="CC559" s="4605"/>
      <c r="CD559" s="4605"/>
      <c r="CE559" s="4605"/>
      <c r="CF559" s="4605"/>
      <c r="CG559" s="4605"/>
      <c r="CH559" s="4605"/>
      <c r="CI559" s="4605"/>
      <c r="CJ559" s="4605"/>
      <c r="CK559" s="4605"/>
      <c r="CL559" s="4605"/>
      <c r="CM559" s="4605"/>
      <c r="CN559" s="4605"/>
      <c r="CO559" s="4605"/>
      <c r="CP559" s="4605"/>
      <c r="CQ559" s="4605"/>
      <c r="CR559" s="4605"/>
      <c r="CS559" s="4605"/>
      <c r="CT559" s="4605"/>
      <c r="CU559" s="4605"/>
      <c r="CV559" s="4605"/>
      <c r="CW559" s="4605"/>
      <c r="CX559" s="4605"/>
      <c r="CY559" s="4605"/>
      <c r="CZ559" s="4605"/>
      <c r="DA559" s="4605"/>
      <c r="DB559" s="4605"/>
      <c r="DC559" s="4605"/>
      <c r="DD559" s="4605"/>
      <c r="DE559" s="4605"/>
      <c r="DF559" s="4605"/>
      <c r="DG559" s="4605"/>
      <c r="DH559" s="4605"/>
      <c r="DI559" s="4605"/>
      <c r="DJ559" s="4605"/>
      <c r="DK559" s="4605"/>
      <c r="DL559" s="4605"/>
      <c r="DM559" s="4605"/>
      <c r="DN559" s="4605"/>
      <c r="DO559" s="4605"/>
      <c r="DP559" s="4605"/>
      <c r="DQ559" s="4605"/>
      <c r="DR559" s="4605"/>
      <c r="DS559" s="4605"/>
    </row>
    <row r="560" s="4134" customFormat="1" ht="15.75" spans="1:123">
      <c r="A560" s="4303"/>
      <c r="B560" s="4303"/>
      <c r="C560" s="4303"/>
      <c r="D560" s="4303"/>
      <c r="E560" s="4607">
        <v>0.0005</v>
      </c>
      <c r="F560" s="4607"/>
      <c r="G560" s="4303" t="s">
        <v>5237</v>
      </c>
      <c r="H560" s="4303"/>
      <c r="I560" s="4303"/>
      <c r="J560" s="4303"/>
      <c r="K560" s="4303"/>
      <c r="L560" s="4608"/>
      <c r="M560" s="4608"/>
      <c r="N560" s="4303"/>
      <c r="O560" s="4303"/>
      <c r="P560" s="4303"/>
      <c r="Q560" s="4303"/>
      <c r="R560" s="4588"/>
      <c r="S560" s="4303"/>
      <c r="T560" s="4303"/>
      <c r="U560" s="4303"/>
      <c r="V560" s="4303"/>
      <c r="W560" s="4303"/>
      <c r="X560" s="4303"/>
      <c r="Y560" s="4303"/>
      <c r="Z560" s="4303"/>
      <c r="AA560" s="4303"/>
      <c r="AB560" s="4303"/>
      <c r="AC560" s="4303"/>
      <c r="AD560" s="4303"/>
      <c r="AE560" s="4303"/>
      <c r="AF560" s="4303"/>
      <c r="AG560" s="4303"/>
      <c r="AH560" s="4303"/>
      <c r="AI560" s="4303"/>
      <c r="AJ560" s="4303"/>
      <c r="AK560" s="4303"/>
      <c r="AL560" s="4303"/>
      <c r="AM560" s="4303"/>
      <c r="AN560" s="4303"/>
      <c r="AO560" s="4303"/>
      <c r="AP560" s="4303"/>
      <c r="AQ560" s="4303"/>
      <c r="AR560" s="4303"/>
      <c r="AS560" s="4303"/>
      <c r="AT560" s="4605"/>
      <c r="AU560" s="4605"/>
      <c r="AV560" s="4605"/>
      <c r="AW560" s="4605"/>
      <c r="AX560" s="4605"/>
      <c r="AY560" s="4605"/>
      <c r="AZ560" s="4605"/>
      <c r="BA560" s="4605"/>
      <c r="BB560" s="4605"/>
      <c r="BC560" s="4605"/>
      <c r="BD560" s="4605"/>
      <c r="BE560" s="4605"/>
      <c r="BF560" s="4605"/>
      <c r="BG560" s="4605"/>
      <c r="BH560" s="4605"/>
      <c r="BI560" s="4605"/>
      <c r="BJ560" s="4605"/>
      <c r="BK560" s="4605"/>
      <c r="BL560" s="4605"/>
      <c r="BM560" s="4605"/>
      <c r="BN560" s="4605"/>
      <c r="BO560" s="4605"/>
      <c r="BP560" s="4605"/>
      <c r="BQ560" s="4605"/>
      <c r="BR560" s="4605"/>
      <c r="BS560" s="4605"/>
      <c r="BT560" s="4605"/>
      <c r="BU560" s="4605"/>
      <c r="BV560" s="4605"/>
      <c r="BW560" s="4605"/>
      <c r="BX560" s="4605"/>
      <c r="BY560" s="4605"/>
      <c r="BZ560" s="4605"/>
      <c r="CA560" s="4605"/>
      <c r="CB560" s="4605"/>
      <c r="CC560" s="4605"/>
      <c r="CD560" s="4605"/>
      <c r="CE560" s="4605"/>
      <c r="CF560" s="4605"/>
      <c r="CG560" s="4605"/>
      <c r="CH560" s="4605"/>
      <c r="CI560" s="4605"/>
      <c r="CJ560" s="4605"/>
      <c r="CK560" s="4605"/>
      <c r="CL560" s="4605"/>
      <c r="CM560" s="4605"/>
      <c r="CN560" s="4605"/>
      <c r="CO560" s="4605"/>
      <c r="CP560" s="4605"/>
      <c r="CQ560" s="4605"/>
      <c r="CR560" s="4605"/>
      <c r="CS560" s="4605"/>
      <c r="CT560" s="4605"/>
      <c r="CU560" s="4605"/>
      <c r="CV560" s="4605"/>
      <c r="CW560" s="4605"/>
      <c r="CX560" s="4605"/>
      <c r="CY560" s="4605"/>
      <c r="CZ560" s="4605"/>
      <c r="DA560" s="4605"/>
      <c r="DB560" s="4605"/>
      <c r="DC560" s="4605"/>
      <c r="DD560" s="4605"/>
      <c r="DE560" s="4605"/>
      <c r="DF560" s="4605"/>
      <c r="DG560" s="4605"/>
      <c r="DH560" s="4605"/>
      <c r="DI560" s="4605"/>
      <c r="DJ560" s="4605"/>
      <c r="DK560" s="4605"/>
      <c r="DL560" s="4605"/>
      <c r="DM560" s="4605"/>
      <c r="DN560" s="4605"/>
      <c r="DO560" s="4605"/>
      <c r="DP560" s="4605"/>
      <c r="DQ560" s="4605"/>
      <c r="DR560" s="4605"/>
      <c r="DS560" s="4605"/>
    </row>
    <row r="561" s="4134" customFormat="1" ht="15.75" spans="1:123">
      <c r="A561" s="4303"/>
      <c r="B561" s="4303"/>
      <c r="C561" s="4303"/>
      <c r="D561" s="4303"/>
      <c r="E561" s="4607">
        <v>0.0004</v>
      </c>
      <c r="F561" s="4607"/>
      <c r="G561" s="4303" t="s">
        <v>5238</v>
      </c>
      <c r="H561" s="4303"/>
      <c r="I561" s="4303"/>
      <c r="J561" s="4303"/>
      <c r="K561" s="4303"/>
      <c r="L561" s="4608"/>
      <c r="M561" s="4608"/>
      <c r="N561" s="4303"/>
      <c r="O561" s="4303"/>
      <c r="P561" s="4303"/>
      <c r="Q561" s="4303"/>
      <c r="R561" s="4588"/>
      <c r="S561" s="4303"/>
      <c r="T561" s="4303"/>
      <c r="U561" s="4303"/>
      <c r="V561" s="4303"/>
      <c r="W561" s="4303"/>
      <c r="X561" s="4303"/>
      <c r="Y561" s="4303"/>
      <c r="Z561" s="4303"/>
      <c r="AA561" s="4303"/>
      <c r="AB561" s="4303"/>
      <c r="AC561" s="4303"/>
      <c r="AD561" s="4303"/>
      <c r="AE561" s="4303"/>
      <c r="AF561" s="4303"/>
      <c r="AG561" s="4303"/>
      <c r="AH561" s="4303"/>
      <c r="AI561" s="4303"/>
      <c r="AJ561" s="4303"/>
      <c r="AK561" s="4303"/>
      <c r="AL561" s="4303"/>
      <c r="AM561" s="4303"/>
      <c r="AN561" s="4303"/>
      <c r="AO561" s="4303"/>
      <c r="AP561" s="4303"/>
      <c r="AQ561" s="4303"/>
      <c r="AR561" s="4303"/>
      <c r="AS561" s="4303"/>
      <c r="AT561" s="4605"/>
      <c r="AU561" s="4605"/>
      <c r="AV561" s="4605"/>
      <c r="AW561" s="4605"/>
      <c r="AX561" s="4605"/>
      <c r="AY561" s="4605"/>
      <c r="AZ561" s="4605"/>
      <c r="BA561" s="4605"/>
      <c r="BB561" s="4605"/>
      <c r="BC561" s="4605"/>
      <c r="BD561" s="4605"/>
      <c r="BE561" s="4605"/>
      <c r="BF561" s="4605"/>
      <c r="BG561" s="4605"/>
      <c r="BH561" s="4605"/>
      <c r="BI561" s="4605"/>
      <c r="BJ561" s="4605"/>
      <c r="BK561" s="4605"/>
      <c r="BL561" s="4605"/>
      <c r="BM561" s="4605"/>
      <c r="BN561" s="4605"/>
      <c r="BO561" s="4605"/>
      <c r="BP561" s="4605"/>
      <c r="BQ561" s="4605"/>
      <c r="BR561" s="4605"/>
      <c r="BS561" s="4605"/>
      <c r="BT561" s="4605"/>
      <c r="BU561" s="4605"/>
      <c r="BV561" s="4605"/>
      <c r="BW561" s="4605"/>
      <c r="BX561" s="4605"/>
      <c r="BY561" s="4605"/>
      <c r="BZ561" s="4605"/>
      <c r="CA561" s="4605"/>
      <c r="CB561" s="4605"/>
      <c r="CC561" s="4605"/>
      <c r="CD561" s="4605"/>
      <c r="CE561" s="4605"/>
      <c r="CF561" s="4605"/>
      <c r="CG561" s="4605"/>
      <c r="CH561" s="4605"/>
      <c r="CI561" s="4605"/>
      <c r="CJ561" s="4605"/>
      <c r="CK561" s="4605"/>
      <c r="CL561" s="4605"/>
      <c r="CM561" s="4605"/>
      <c r="CN561" s="4605"/>
      <c r="CO561" s="4605"/>
      <c r="CP561" s="4605"/>
      <c r="CQ561" s="4605"/>
      <c r="CR561" s="4605"/>
      <c r="CS561" s="4605"/>
      <c r="CT561" s="4605"/>
      <c r="CU561" s="4605"/>
      <c r="CV561" s="4605"/>
      <c r="CW561" s="4605"/>
      <c r="CX561" s="4605"/>
      <c r="CY561" s="4605"/>
      <c r="CZ561" s="4605"/>
      <c r="DA561" s="4605"/>
      <c r="DB561" s="4605"/>
      <c r="DC561" s="4605"/>
      <c r="DD561" s="4605"/>
      <c r="DE561" s="4605"/>
      <c r="DF561" s="4605"/>
      <c r="DG561" s="4605"/>
      <c r="DH561" s="4605"/>
      <c r="DI561" s="4605"/>
      <c r="DJ561" s="4605"/>
      <c r="DK561" s="4605"/>
      <c r="DL561" s="4605"/>
      <c r="DM561" s="4605"/>
      <c r="DN561" s="4605"/>
      <c r="DO561" s="4605"/>
      <c r="DP561" s="4605"/>
      <c r="DQ561" s="4605"/>
      <c r="DR561" s="4605"/>
      <c r="DS561" s="4605"/>
    </row>
    <row r="562" s="4134" customFormat="1" ht="15.75" spans="1:123">
      <c r="A562" s="4303"/>
      <c r="B562" s="4303"/>
      <c r="C562" s="4303"/>
      <c r="D562" s="4303"/>
      <c r="E562" s="4609">
        <v>0.00015</v>
      </c>
      <c r="F562" s="4609"/>
      <c r="G562" s="4303" t="s">
        <v>5239</v>
      </c>
      <c r="H562" s="4303"/>
      <c r="I562" s="4303"/>
      <c r="J562" s="4303"/>
      <c r="K562" s="4303"/>
      <c r="L562" s="4610"/>
      <c r="M562" s="4610"/>
      <c r="N562" s="4303"/>
      <c r="O562" s="4303"/>
      <c r="P562" s="4303"/>
      <c r="Q562" s="4303"/>
      <c r="R562" s="4588"/>
      <c r="S562" s="4303"/>
      <c r="T562" s="4303"/>
      <c r="U562" s="4303"/>
      <c r="V562" s="4303"/>
      <c r="W562" s="4303"/>
      <c r="X562" s="4303"/>
      <c r="Y562" s="4303"/>
      <c r="Z562" s="4303"/>
      <c r="AA562" s="4303"/>
      <c r="AB562" s="4303"/>
      <c r="AC562" s="4303"/>
      <c r="AD562" s="4303"/>
      <c r="AE562" s="4303"/>
      <c r="AF562" s="4303"/>
      <c r="AG562" s="4303"/>
      <c r="AH562" s="4303"/>
      <c r="AI562" s="4303"/>
      <c r="AJ562" s="4303"/>
      <c r="AK562" s="4303"/>
      <c r="AL562" s="4303"/>
      <c r="AM562" s="4303"/>
      <c r="AN562" s="4303"/>
      <c r="AO562" s="4303"/>
      <c r="AP562" s="4303"/>
      <c r="AQ562" s="4303"/>
      <c r="AR562" s="4303"/>
      <c r="AS562" s="4303"/>
      <c r="AT562" s="4605"/>
      <c r="AU562" s="4605"/>
      <c r="AV562" s="4605"/>
      <c r="AW562" s="4605"/>
      <c r="AX562" s="4605"/>
      <c r="AY562" s="4605"/>
      <c r="AZ562" s="4605"/>
      <c r="BA562" s="4605"/>
      <c r="BB562" s="4605"/>
      <c r="BC562" s="4605"/>
      <c r="BD562" s="4605"/>
      <c r="BE562" s="4605"/>
      <c r="BF562" s="4605"/>
      <c r="BG562" s="4605"/>
      <c r="BH562" s="4605"/>
      <c r="BI562" s="4605"/>
      <c r="BJ562" s="4605"/>
      <c r="BK562" s="4605"/>
      <c r="BL562" s="4605"/>
      <c r="BM562" s="4605"/>
      <c r="BN562" s="4605"/>
      <c r="BO562" s="4605"/>
      <c r="BP562" s="4605"/>
      <c r="BQ562" s="4605"/>
      <c r="BR562" s="4605"/>
      <c r="BS562" s="4605"/>
      <c r="BT562" s="4605"/>
      <c r="BU562" s="4605"/>
      <c r="BV562" s="4605"/>
      <c r="BW562" s="4605"/>
      <c r="BX562" s="4605"/>
      <c r="BY562" s="4605"/>
      <c r="BZ562" s="4605"/>
      <c r="CA562" s="4605"/>
      <c r="CB562" s="4605"/>
      <c r="CC562" s="4605"/>
      <c r="CD562" s="4605"/>
      <c r="CE562" s="4605"/>
      <c r="CF562" s="4605"/>
      <c r="CG562" s="4605"/>
      <c r="CH562" s="4605"/>
      <c r="CI562" s="4605"/>
      <c r="CJ562" s="4605"/>
      <c r="CK562" s="4605"/>
      <c r="CL562" s="4605"/>
      <c r="CM562" s="4605"/>
      <c r="CN562" s="4605"/>
      <c r="CO562" s="4605"/>
      <c r="CP562" s="4605"/>
      <c r="CQ562" s="4605"/>
      <c r="CR562" s="4605"/>
      <c r="CS562" s="4605"/>
      <c r="CT562" s="4605"/>
      <c r="CU562" s="4605"/>
      <c r="CV562" s="4605"/>
      <c r="CW562" s="4605"/>
      <c r="CX562" s="4605"/>
      <c r="CY562" s="4605"/>
      <c r="CZ562" s="4605"/>
      <c r="DA562" s="4605"/>
      <c r="DB562" s="4605"/>
      <c r="DC562" s="4605"/>
      <c r="DD562" s="4605"/>
      <c r="DE562" s="4605"/>
      <c r="DF562" s="4605"/>
      <c r="DG562" s="4605"/>
      <c r="DH562" s="4605"/>
      <c r="DI562" s="4605"/>
      <c r="DJ562" s="4605"/>
      <c r="DK562" s="4605"/>
      <c r="DL562" s="4605"/>
      <c r="DM562" s="4605"/>
      <c r="DN562" s="4605"/>
      <c r="DO562" s="4605"/>
      <c r="DP562" s="4605"/>
      <c r="DQ562" s="4605"/>
      <c r="DR562" s="4605"/>
      <c r="DS562" s="4605"/>
    </row>
    <row r="563" s="4133" customFormat="1" ht="15" spans="1:123">
      <c r="A563" s="4292"/>
      <c r="B563" s="4292"/>
      <c r="C563" s="4292"/>
      <c r="D563" s="4292"/>
      <c r="E563" s="4611"/>
      <c r="F563" s="4611"/>
      <c r="G563" s="4388"/>
      <c r="H563" s="4292"/>
      <c r="I563" s="4292"/>
      <c r="J563" s="4292"/>
      <c r="K563" s="4292"/>
      <c r="L563" s="4612"/>
      <c r="M563" s="4612"/>
      <c r="N563" s="4388"/>
      <c r="O563" s="4292"/>
      <c r="P563" s="4292"/>
      <c r="Q563" s="4292"/>
      <c r="R563" s="4613"/>
      <c r="S563" s="4292"/>
      <c r="T563" s="4292"/>
      <c r="U563" s="4292"/>
      <c r="V563" s="4292"/>
      <c r="W563" s="4292"/>
      <c r="X563" s="4292"/>
      <c r="Y563" s="4292"/>
      <c r="Z563" s="4292"/>
      <c r="AA563" s="4292"/>
      <c r="AB563" s="4292"/>
      <c r="AC563" s="4292"/>
      <c r="AD563" s="4292"/>
      <c r="AE563" s="4292"/>
      <c r="AF563" s="4292"/>
      <c r="AG563" s="4292"/>
      <c r="AH563" s="4292"/>
      <c r="AI563" s="4292"/>
      <c r="AJ563" s="4292"/>
      <c r="AK563" s="4292"/>
      <c r="AL563" s="4292"/>
      <c r="AM563" s="4292"/>
      <c r="AN563" s="4292"/>
      <c r="AO563" s="4292"/>
      <c r="AP563" s="4292"/>
      <c r="AQ563" s="4292"/>
      <c r="AR563" s="4292"/>
      <c r="AS563" s="4292"/>
      <c r="AT563" s="4418"/>
      <c r="AU563" s="4418"/>
      <c r="AV563" s="4418"/>
      <c r="AW563" s="4418"/>
      <c r="AX563" s="4418"/>
      <c r="AY563" s="4418"/>
      <c r="AZ563" s="4418"/>
      <c r="BA563" s="4418"/>
      <c r="BB563" s="4418"/>
      <c r="BC563" s="4418"/>
      <c r="BD563" s="4418"/>
      <c r="BE563" s="4418"/>
      <c r="BF563" s="4418"/>
      <c r="BG563" s="4418"/>
      <c r="BH563" s="4418"/>
      <c r="BI563" s="4418"/>
      <c r="BJ563" s="4418"/>
      <c r="BK563" s="4418"/>
      <c r="BL563" s="4418"/>
      <c r="BM563" s="4418"/>
      <c r="BN563" s="4418"/>
      <c r="BO563" s="4418"/>
      <c r="BP563" s="4418"/>
      <c r="BQ563" s="4418"/>
      <c r="BR563" s="4418"/>
      <c r="BS563" s="4418"/>
      <c r="BT563" s="4418"/>
      <c r="BU563" s="4418"/>
      <c r="BV563" s="4418"/>
      <c r="BW563" s="4418"/>
      <c r="BX563" s="4418"/>
      <c r="BY563" s="4418"/>
      <c r="BZ563" s="4418"/>
      <c r="CA563" s="4418"/>
      <c r="CB563" s="4418"/>
      <c r="CC563" s="4418"/>
      <c r="CD563" s="4418"/>
      <c r="CE563" s="4418"/>
      <c r="CF563" s="4418"/>
      <c r="CG563" s="4418"/>
      <c r="CH563" s="4418"/>
      <c r="CI563" s="4418"/>
      <c r="CJ563" s="4418"/>
      <c r="CK563" s="4418"/>
      <c r="CL563" s="4418"/>
      <c r="CM563" s="4418"/>
      <c r="CN563" s="4418"/>
      <c r="CO563" s="4418"/>
      <c r="CP563" s="4418"/>
      <c r="CQ563" s="4418"/>
      <c r="CR563" s="4418"/>
      <c r="CS563" s="4418"/>
      <c r="CT563" s="4418"/>
      <c r="CU563" s="4418"/>
      <c r="CV563" s="4418"/>
      <c r="CW563" s="4418"/>
      <c r="CX563" s="4418"/>
      <c r="CY563" s="4418"/>
      <c r="CZ563" s="4418"/>
      <c r="DA563" s="4418"/>
      <c r="DB563" s="4418"/>
      <c r="DC563" s="4418"/>
      <c r="DD563" s="4418"/>
      <c r="DE563" s="4418"/>
      <c r="DF563" s="4418"/>
      <c r="DG563" s="4418"/>
      <c r="DH563" s="4418"/>
      <c r="DI563" s="4418"/>
      <c r="DJ563" s="4418"/>
      <c r="DK563" s="4418"/>
      <c r="DL563" s="4418"/>
      <c r="DM563" s="4418"/>
      <c r="DN563" s="4418"/>
      <c r="DO563" s="4418"/>
      <c r="DP563" s="4418"/>
      <c r="DQ563" s="4418"/>
      <c r="DR563" s="4418"/>
      <c r="DS563" s="4418"/>
    </row>
    <row r="564" s="489" customFormat="1" customHeight="1" spans="1:123">
      <c r="A564" s="4614"/>
      <c r="B564" s="3403"/>
      <c r="C564" s="3403"/>
      <c r="D564" s="3403"/>
      <c r="E564" s="3403"/>
      <c r="F564" s="3403"/>
      <c r="G564" s="3403"/>
      <c r="H564" s="3403"/>
      <c r="I564" s="3403"/>
      <c r="J564" s="3403"/>
      <c r="K564" s="3403"/>
      <c r="L564" s="3403"/>
      <c r="M564" s="3403"/>
      <c r="N564" s="3403"/>
      <c r="O564" s="3403"/>
      <c r="P564" s="3403"/>
      <c r="Q564" s="3403"/>
      <c r="R564" s="3403"/>
      <c r="S564" s="3403"/>
      <c r="T564" s="3403"/>
      <c r="U564" s="3403"/>
      <c r="V564" s="3403"/>
      <c r="W564" s="3403"/>
      <c r="X564" s="3403"/>
      <c r="Y564" s="3403"/>
      <c r="Z564" s="3403"/>
      <c r="AA564" s="3403"/>
      <c r="AB564" s="3403"/>
      <c r="AC564" s="3403"/>
      <c r="AD564" s="3403"/>
      <c r="AE564" s="3403"/>
      <c r="AF564" s="3403"/>
      <c r="AG564" s="3403"/>
      <c r="AH564" s="3403"/>
      <c r="AI564" s="3403"/>
      <c r="AJ564" s="3403"/>
      <c r="AK564" s="3403"/>
      <c r="AL564" s="3403"/>
      <c r="AM564" s="3403"/>
      <c r="AN564" s="3403"/>
      <c r="AO564" s="3403"/>
      <c r="AP564" s="3403"/>
      <c r="AQ564" s="3403"/>
      <c r="AR564" s="3403"/>
      <c r="AS564" s="3403"/>
      <c r="AT564" s="3403"/>
      <c r="AU564" s="3403"/>
      <c r="AV564" s="4615"/>
      <c r="AW564" s="3952"/>
      <c r="AX564" s="3952"/>
      <c r="AY564" s="3952"/>
      <c r="AZ564" s="3952"/>
      <c r="BA564" s="3952"/>
      <c r="BB564" s="3952"/>
      <c r="BC564" s="3952"/>
      <c r="BD564" s="3952"/>
      <c r="BE564" s="3952"/>
      <c r="BF564" s="3952"/>
      <c r="BG564" s="3952"/>
      <c r="BH564" s="3952"/>
      <c r="BI564" s="3952"/>
      <c r="BJ564" s="3952"/>
      <c r="BK564" s="3952"/>
      <c r="BL564" s="3396"/>
      <c r="BM564" s="3396"/>
      <c r="BN564" s="3396"/>
      <c r="BO564" s="3396"/>
      <c r="BP564" s="3396"/>
      <c r="BQ564" s="3396"/>
      <c r="BR564" s="4295"/>
      <c r="BS564" s="4295"/>
      <c r="BT564" s="4295"/>
      <c r="BU564" s="4295"/>
      <c r="BV564" s="4295"/>
      <c r="BW564" s="4295"/>
      <c r="BX564" s="4295"/>
      <c r="BY564" s="4295"/>
      <c r="BZ564" s="4295"/>
      <c r="CA564" s="4295"/>
      <c r="CB564" s="4295"/>
      <c r="CC564" s="4295"/>
      <c r="CD564" s="4295"/>
      <c r="CE564" s="4295"/>
      <c r="CF564" s="4295"/>
      <c r="CG564" s="4295"/>
      <c r="CH564" s="4295"/>
      <c r="CI564" s="4295"/>
      <c r="CJ564" s="4295"/>
      <c r="CK564" s="4295"/>
      <c r="CL564" s="4295"/>
      <c r="CM564" s="4295"/>
      <c r="CN564" s="4295"/>
      <c r="CO564" s="4295"/>
      <c r="CP564" s="4295"/>
      <c r="CQ564" s="4295"/>
      <c r="CR564" s="4295"/>
      <c r="CS564" s="4295"/>
      <c r="CT564" s="4295"/>
      <c r="CU564" s="4295"/>
      <c r="CV564" s="4295"/>
      <c r="CW564" s="4295"/>
      <c r="CX564" s="4295"/>
      <c r="CY564" s="4295"/>
      <c r="CZ564" s="4295"/>
      <c r="DA564" s="4295"/>
      <c r="DB564" s="4295"/>
      <c r="DC564" s="4295"/>
      <c r="DD564" s="4295"/>
      <c r="DE564" s="4295"/>
      <c r="DF564" s="4295"/>
      <c r="DG564" s="4295"/>
      <c r="DH564" s="4295"/>
      <c r="DI564" s="4295"/>
      <c r="DJ564" s="4295"/>
      <c r="DK564" s="4295"/>
      <c r="DL564" s="4295"/>
      <c r="DM564" s="4295"/>
      <c r="DN564" s="4295"/>
      <c r="DO564" s="4295"/>
      <c r="DP564" s="4295"/>
      <c r="DQ564" s="4295"/>
      <c r="DR564" s="4295"/>
      <c r="DS564" s="4295"/>
    </row>
    <row r="565" s="4133" customFormat="1" ht="12" hidden="1" customHeight="1" spans="1:123">
      <c r="A565" s="4616"/>
      <c r="B565" s="4617"/>
      <c r="C565" s="4617"/>
      <c r="D565" s="4617"/>
      <c r="E565" s="4617"/>
      <c r="F565" s="4617"/>
      <c r="G565" s="4617"/>
      <c r="H565" s="4617"/>
      <c r="I565" s="4617"/>
      <c r="J565" s="4617"/>
      <c r="K565" s="4617"/>
      <c r="L565" s="4617"/>
      <c r="M565" s="4617"/>
      <c r="N565" s="4617"/>
      <c r="O565" s="4617"/>
      <c r="P565" s="4617"/>
      <c r="Q565" s="4617"/>
      <c r="R565" s="4617"/>
      <c r="S565" s="4617"/>
      <c r="T565" s="4617"/>
      <c r="U565" s="4617"/>
      <c r="V565" s="4617"/>
      <c r="W565" s="4617"/>
      <c r="X565" s="4617"/>
      <c r="Y565" s="4617"/>
      <c r="Z565" s="4617"/>
      <c r="AA565" s="4617"/>
      <c r="AB565" s="4617"/>
      <c r="AC565" s="4617"/>
      <c r="AD565" s="4617"/>
      <c r="AE565" s="4617"/>
      <c r="AF565" s="4617"/>
      <c r="AG565" s="4617"/>
      <c r="AH565" s="4617"/>
      <c r="AI565" s="4617"/>
      <c r="AJ565" s="4617"/>
      <c r="AK565" s="4617"/>
      <c r="AL565" s="4617"/>
      <c r="AM565" s="4617"/>
      <c r="AN565" s="4617"/>
      <c r="AO565" s="4617"/>
      <c r="AP565" s="4617"/>
      <c r="AQ565" s="4617"/>
      <c r="AR565" s="4617"/>
      <c r="AS565" s="4617"/>
      <c r="AT565" s="4514"/>
      <c r="AU565" s="4514"/>
      <c r="AV565" s="4514"/>
      <c r="AW565" s="4514"/>
      <c r="AX565" s="4514"/>
      <c r="AY565" s="4514"/>
      <c r="AZ565" s="4514"/>
      <c r="BA565" s="4514"/>
      <c r="BB565" s="4514"/>
      <c r="BC565" s="4514"/>
      <c r="BD565" s="4514"/>
      <c r="BE565" s="4514"/>
      <c r="BF565" s="4514"/>
      <c r="BG565" s="4514"/>
      <c r="BH565" s="4514"/>
      <c r="BI565" s="4514"/>
      <c r="BJ565" s="4514"/>
      <c r="BK565" s="4514"/>
      <c r="BL565" s="4514"/>
      <c r="BM565" s="4514"/>
      <c r="BN565" s="4514"/>
      <c r="BO565" s="4514"/>
      <c r="BP565" s="4514"/>
      <c r="BQ565" s="4514"/>
      <c r="BR565" s="4514"/>
      <c r="BS565" s="4514"/>
      <c r="BT565" s="4514"/>
      <c r="BU565" s="4514"/>
      <c r="BV565" s="4514"/>
      <c r="BW565" s="4514"/>
      <c r="BX565" s="4514"/>
      <c r="BY565" s="4514"/>
      <c r="BZ565" s="4514"/>
      <c r="CA565" s="4514"/>
      <c r="CB565" s="4514"/>
      <c r="CC565" s="4514"/>
      <c r="CD565" s="4514"/>
      <c r="CE565" s="4514"/>
      <c r="CF565" s="4514"/>
      <c r="CG565" s="4514"/>
      <c r="CH565" s="4514"/>
      <c r="CI565" s="4514"/>
      <c r="CJ565" s="4514"/>
      <c r="CK565" s="4514"/>
      <c r="CL565" s="4514"/>
      <c r="CM565" s="4514"/>
      <c r="CN565" s="4514"/>
      <c r="CO565" s="4514"/>
      <c r="CP565" s="4514"/>
      <c r="CQ565" s="4514"/>
      <c r="CR565" s="4514"/>
      <c r="CS565" s="4514"/>
      <c r="CT565" s="4514"/>
      <c r="CU565" s="4514"/>
      <c r="CV565" s="4514"/>
      <c r="CW565" s="4514"/>
      <c r="CX565" s="4514"/>
      <c r="CY565" s="4514"/>
      <c r="CZ565" s="4514"/>
      <c r="DA565" s="4514"/>
      <c r="DB565" s="4514"/>
      <c r="DC565" s="4514"/>
      <c r="DD565" s="4514"/>
      <c r="DE565" s="4514"/>
      <c r="DF565" s="4514"/>
      <c r="DG565" s="4514"/>
      <c r="DH565" s="4514"/>
      <c r="DI565" s="4514"/>
      <c r="DJ565" s="4514"/>
      <c r="DK565" s="4514"/>
      <c r="DL565" s="4514"/>
      <c r="DM565" s="4514"/>
      <c r="DN565" s="4514"/>
      <c r="DO565" s="4514"/>
      <c r="DP565" s="4514"/>
      <c r="DQ565" s="4514"/>
      <c r="DR565" s="4514"/>
      <c r="DS565" s="4514"/>
    </row>
    <row r="566" s="4134" customFormat="1" ht="30" hidden="1" customHeight="1" spans="1:123">
      <c r="A566" s="4618" t="s">
        <v>5240</v>
      </c>
      <c r="B566" s="4619"/>
      <c r="C566" s="4619"/>
      <c r="D566" s="4619"/>
      <c r="E566" s="4619"/>
      <c r="F566" s="4619"/>
      <c r="G566" s="4619"/>
      <c r="H566" s="4619"/>
      <c r="I566" s="4619"/>
      <c r="J566" s="4619"/>
      <c r="K566" s="4619"/>
      <c r="L566" s="4619"/>
      <c r="M566" s="4619"/>
      <c r="N566" s="4619"/>
      <c r="O566" s="4619"/>
      <c r="P566" s="4619"/>
      <c r="Q566" s="4619"/>
      <c r="R566" s="4619"/>
      <c r="S566" s="4619"/>
      <c r="T566" s="4619"/>
      <c r="U566" s="4619"/>
      <c r="V566" s="4619"/>
      <c r="W566" s="4619"/>
      <c r="X566" s="4619"/>
      <c r="Y566" s="4619"/>
      <c r="Z566" s="4619"/>
      <c r="AA566" s="4619"/>
      <c r="AB566" s="4619"/>
      <c r="AC566" s="4619"/>
      <c r="AD566" s="4619"/>
      <c r="AE566" s="4619"/>
      <c r="AF566" s="4619"/>
      <c r="AG566" s="4619"/>
      <c r="AH566" s="4619"/>
      <c r="AI566" s="4619"/>
      <c r="AJ566" s="4619"/>
      <c r="AK566" s="4619"/>
      <c r="AL566" s="4619"/>
      <c r="AM566" s="4619"/>
      <c r="AN566" s="4619"/>
      <c r="AO566" s="4619"/>
      <c r="AP566" s="4619"/>
      <c r="AQ566" s="4619"/>
      <c r="AR566" s="4619"/>
      <c r="AS566" s="4619"/>
      <c r="AT566" s="4620"/>
      <c r="AU566" s="4620"/>
      <c r="AV566" s="4620"/>
      <c r="AW566" s="4620"/>
      <c r="AX566" s="4620"/>
      <c r="AY566" s="4620"/>
      <c r="AZ566" s="4620"/>
      <c r="BA566" s="4620"/>
      <c r="BB566" s="4620"/>
      <c r="BC566" s="4620"/>
      <c r="BD566" s="4620"/>
      <c r="BE566" s="4620"/>
      <c r="BF566" s="4620"/>
      <c r="BG566" s="4620"/>
      <c r="BH566" s="4620"/>
      <c r="BI566" s="4620"/>
      <c r="BJ566" s="4620"/>
      <c r="BK566" s="4620"/>
      <c r="BL566" s="4620"/>
      <c r="BM566" s="4620"/>
      <c r="BN566" s="4620"/>
      <c r="BO566" s="4620"/>
      <c r="BP566" s="4620"/>
      <c r="BQ566" s="4620"/>
      <c r="BR566" s="4620"/>
      <c r="BS566" s="4620"/>
      <c r="BT566" s="4620"/>
      <c r="BU566" s="4620"/>
      <c r="BV566" s="4620"/>
      <c r="BW566" s="4620"/>
      <c r="BX566" s="4620"/>
      <c r="BY566" s="4620"/>
      <c r="BZ566" s="4620"/>
      <c r="CA566" s="4620"/>
      <c r="CB566" s="4620"/>
      <c r="CC566" s="4620"/>
      <c r="CD566" s="4620"/>
      <c r="CE566" s="4620"/>
      <c r="CF566" s="4620"/>
      <c r="CG566" s="4620"/>
      <c r="CH566" s="4620"/>
      <c r="CI566" s="4620"/>
      <c r="CJ566" s="4620"/>
      <c r="CK566" s="4620"/>
      <c r="CL566" s="4620"/>
      <c r="CM566" s="4620"/>
      <c r="CN566" s="4620"/>
      <c r="CO566" s="4620"/>
      <c r="CP566" s="4620"/>
      <c r="CQ566" s="4620"/>
      <c r="CR566" s="4620"/>
      <c r="CS566" s="4620"/>
      <c r="CT566" s="4620"/>
      <c r="CU566" s="4620"/>
      <c r="CV566" s="4620"/>
      <c r="CW566" s="4620"/>
      <c r="CX566" s="4620"/>
      <c r="CY566" s="4620"/>
      <c r="CZ566" s="4620"/>
      <c r="DA566" s="4620"/>
      <c r="DB566" s="4620"/>
      <c r="DC566" s="4620"/>
      <c r="DD566" s="4620"/>
      <c r="DE566" s="4620"/>
      <c r="DF566" s="4620"/>
      <c r="DG566" s="4620"/>
      <c r="DH566" s="4620"/>
      <c r="DI566" s="4620"/>
      <c r="DJ566" s="4620"/>
      <c r="DK566" s="4620"/>
      <c r="DL566" s="4620"/>
      <c r="DM566" s="4620"/>
      <c r="DN566" s="4620"/>
      <c r="DO566" s="4620"/>
      <c r="DP566" s="4620"/>
      <c r="DQ566" s="4620"/>
      <c r="DR566" s="4620"/>
      <c r="DS566" s="4620"/>
    </row>
    <row r="567" s="4134" customFormat="1" ht="18.75" hidden="1" customHeight="1" spans="1:123">
      <c r="A567" s="4621"/>
      <c r="B567" s="4622"/>
      <c r="C567" s="4622"/>
      <c r="D567" s="4622"/>
      <c r="E567" s="4623"/>
      <c r="F567" s="4624"/>
      <c r="G567" s="4625"/>
      <c r="H567" s="4625"/>
      <c r="I567" s="4625"/>
      <c r="J567" s="4625"/>
      <c r="K567" s="4625"/>
      <c r="L567" s="4625"/>
      <c r="M567" s="4625"/>
      <c r="N567" s="4625" t="s">
        <v>5241</v>
      </c>
      <c r="O567" s="4625"/>
      <c r="P567" s="4625"/>
      <c r="Q567" s="4625"/>
      <c r="R567" s="4625"/>
      <c r="S567" s="4625"/>
      <c r="T567" s="4625" t="s">
        <v>5242</v>
      </c>
      <c r="U567" s="4625"/>
      <c r="V567" s="4625"/>
      <c r="W567" s="4625"/>
      <c r="X567" s="4625"/>
      <c r="Y567" s="4625"/>
      <c r="Z567" s="4625" t="s">
        <v>5243</v>
      </c>
      <c r="AA567" s="4625"/>
      <c r="AB567" s="4625"/>
      <c r="AC567" s="4625"/>
      <c r="AD567" s="4625"/>
      <c r="AE567" s="4625"/>
      <c r="AF567" s="4625" t="s">
        <v>5244</v>
      </c>
      <c r="AG567" s="4625"/>
      <c r="AH567" s="4625"/>
      <c r="AI567" s="4625"/>
      <c r="AJ567" s="4625"/>
      <c r="AK567" s="4625"/>
      <c r="AL567" s="4626"/>
      <c r="AM567" s="4627"/>
      <c r="AN567" s="4626"/>
      <c r="AO567" s="4626"/>
      <c r="AP567" s="4626"/>
      <c r="AQ567" s="4626"/>
      <c r="AR567" s="4626"/>
      <c r="AS567" s="4626"/>
      <c r="AT567" s="4317"/>
      <c r="AU567" s="4317"/>
      <c r="AV567" s="4317"/>
      <c r="AW567" s="4317"/>
      <c r="AX567" s="4317"/>
      <c r="AY567" s="4317"/>
      <c r="AZ567" s="4317"/>
      <c r="BA567" s="4317"/>
      <c r="BB567" s="4317"/>
      <c r="BC567" s="4317"/>
      <c r="BD567" s="4317"/>
      <c r="BE567" s="4317"/>
      <c r="BF567" s="4317"/>
      <c r="BG567" s="4317"/>
      <c r="BH567" s="4317"/>
      <c r="BI567" s="4317"/>
      <c r="BJ567" s="4317"/>
      <c r="BK567" s="4317"/>
      <c r="BL567" s="4317"/>
      <c r="BM567" s="4317"/>
      <c r="BN567" s="4317"/>
      <c r="BO567" s="4317"/>
      <c r="BP567" s="4317"/>
      <c r="BQ567" s="4317"/>
      <c r="BR567" s="4317"/>
      <c r="BS567" s="4317"/>
      <c r="BT567" s="4317"/>
      <c r="BU567" s="4317"/>
      <c r="BV567" s="4317"/>
      <c r="BW567" s="4317"/>
      <c r="BX567" s="4317"/>
      <c r="BY567" s="4317"/>
      <c r="BZ567" s="4317"/>
      <c r="CA567" s="4317"/>
      <c r="CB567" s="4317"/>
      <c r="CC567" s="4317"/>
      <c r="CD567" s="4317"/>
      <c r="CE567" s="4317"/>
      <c r="CF567" s="4317"/>
      <c r="CG567" s="4317"/>
      <c r="CH567" s="4317"/>
      <c r="CI567" s="4317"/>
      <c r="CJ567" s="4317"/>
      <c r="CK567" s="4317"/>
      <c r="CL567" s="4317"/>
      <c r="CM567" s="4317"/>
      <c r="CN567" s="4317"/>
      <c r="CO567" s="4317"/>
      <c r="CP567" s="4317"/>
      <c r="CQ567" s="4317"/>
      <c r="CR567" s="4317"/>
      <c r="CS567" s="4317"/>
      <c r="CT567" s="4317"/>
      <c r="CU567" s="4317"/>
      <c r="CV567" s="4317"/>
      <c r="CW567" s="4317"/>
      <c r="CX567" s="4317"/>
      <c r="CY567" s="4317"/>
      <c r="CZ567" s="4317"/>
      <c r="DA567" s="4317"/>
      <c r="DB567" s="4317"/>
      <c r="DC567" s="4317"/>
      <c r="DD567" s="4317"/>
      <c r="DE567" s="4317"/>
      <c r="DF567" s="4317"/>
      <c r="DG567" s="4317"/>
      <c r="DH567" s="4317"/>
      <c r="DI567" s="4317"/>
      <c r="DJ567" s="4317"/>
      <c r="DK567" s="4317"/>
      <c r="DL567" s="4317"/>
      <c r="DM567" s="4317"/>
      <c r="DN567" s="4317"/>
      <c r="DO567" s="4317"/>
      <c r="DP567" s="4317"/>
      <c r="DQ567" s="4317"/>
      <c r="DR567" s="4317"/>
      <c r="DS567" s="4317"/>
    </row>
    <row r="568" s="4134" customFormat="1" ht="21" hidden="1" customHeight="1" spans="1:123">
      <c r="A568" s="4628" t="s">
        <v>5245</v>
      </c>
      <c r="B568" s="4629"/>
      <c r="C568" s="4629"/>
      <c r="D568" s="4629"/>
      <c r="E568" s="4630"/>
      <c r="F568" s="4631">
        <v>0</v>
      </c>
      <c r="G568" s="4631"/>
      <c r="H568" s="4631"/>
      <c r="I568" s="4631"/>
      <c r="J568" s="4631"/>
      <c r="K568" s="4631"/>
      <c r="L568" s="4631"/>
      <c r="M568" s="4632"/>
      <c r="N568" s="4633" t="s">
        <v>5246</v>
      </c>
      <c r="O568" s="4317"/>
      <c r="P568" s="4317"/>
      <c r="Q568" s="4317"/>
      <c r="R568" s="4317"/>
      <c r="S568" s="4317"/>
      <c r="T568" s="4317"/>
      <c r="U568" s="4317"/>
      <c r="V568" s="4317"/>
      <c r="W568" s="4317"/>
      <c r="X568" s="4317"/>
      <c r="Y568" s="4317"/>
      <c r="Z568" s="4317"/>
      <c r="AA568" s="4317"/>
      <c r="AB568" s="4317"/>
      <c r="AC568" s="4317"/>
      <c r="AD568" s="4317"/>
      <c r="AE568" s="4317"/>
      <c r="AF568" s="4317"/>
      <c r="AG568" s="4317"/>
      <c r="AH568" s="4317"/>
      <c r="AI568" s="4317"/>
      <c r="AJ568" s="4317"/>
      <c r="AK568" s="4317"/>
      <c r="AL568" s="4626" t="s">
        <v>5247</v>
      </c>
      <c r="AM568" s="4626"/>
      <c r="AN568" s="4626"/>
      <c r="AO568" s="4626"/>
      <c r="AP568" s="4626"/>
      <c r="AQ568" s="4626"/>
      <c r="AR568" s="4626"/>
      <c r="AS568" s="4626"/>
      <c r="AT568" s="4317"/>
      <c r="AU568" s="4317"/>
      <c r="AV568" s="4317"/>
      <c r="AW568" s="4317"/>
      <c r="AX568" s="4317"/>
      <c r="AY568" s="4317"/>
      <c r="AZ568" s="4317"/>
      <c r="BA568" s="4317"/>
      <c r="BB568" s="4317"/>
      <c r="BC568" s="4317"/>
      <c r="BD568" s="4317"/>
      <c r="BE568" s="4317"/>
      <c r="BF568" s="4317"/>
      <c r="BG568" s="4317"/>
      <c r="BH568" s="4317"/>
      <c r="BI568" s="4317"/>
      <c r="BJ568" s="4317"/>
      <c r="BK568" s="4317"/>
      <c r="BL568" s="4317"/>
      <c r="BM568" s="4317"/>
      <c r="BN568" s="4317"/>
      <c r="BO568" s="4317"/>
      <c r="BP568" s="4317"/>
      <c r="BQ568" s="4317"/>
      <c r="BR568" s="4317"/>
      <c r="BS568" s="4317"/>
      <c r="BT568" s="4317"/>
      <c r="BU568" s="4317"/>
      <c r="BV568" s="4317"/>
      <c r="BW568" s="4317"/>
      <c r="BX568" s="4317"/>
      <c r="BY568" s="4317"/>
      <c r="BZ568" s="4317"/>
      <c r="CA568" s="4317"/>
      <c r="CB568" s="4317"/>
      <c r="CC568" s="4317"/>
      <c r="CD568" s="4317"/>
      <c r="CE568" s="4317"/>
      <c r="CF568" s="4317"/>
      <c r="CG568" s="4317"/>
      <c r="CH568" s="4317"/>
      <c r="CI568" s="4317"/>
      <c r="CJ568" s="4317"/>
      <c r="CK568" s="4317"/>
      <c r="CL568" s="4317"/>
      <c r="CM568" s="4317"/>
      <c r="CN568" s="4317"/>
      <c r="CO568" s="4317"/>
      <c r="CP568" s="4317"/>
      <c r="CQ568" s="4317"/>
      <c r="CR568" s="4317"/>
      <c r="CS568" s="4317"/>
      <c r="CT568" s="4317"/>
      <c r="CU568" s="4317"/>
      <c r="CV568" s="4317"/>
      <c r="CW568" s="4317"/>
      <c r="CX568" s="4317"/>
      <c r="CY568" s="4317"/>
      <c r="CZ568" s="4317"/>
      <c r="DA568" s="4317"/>
      <c r="DB568" s="4317"/>
      <c r="DC568" s="4317"/>
      <c r="DD568" s="4317"/>
      <c r="DE568" s="4317"/>
      <c r="DF568" s="4317"/>
      <c r="DG568" s="4317"/>
      <c r="DH568" s="4317"/>
      <c r="DI568" s="4317"/>
      <c r="DJ568" s="4317"/>
      <c r="DK568" s="4317"/>
      <c r="DL568" s="4317"/>
      <c r="DM568" s="4317"/>
      <c r="DN568" s="4317"/>
      <c r="DO568" s="4317"/>
      <c r="DP568" s="4317"/>
      <c r="DQ568" s="4317"/>
      <c r="DR568" s="4317"/>
      <c r="DS568" s="4317"/>
    </row>
    <row r="569" s="4134" customFormat="1" ht="15.75" hidden="1" spans="1:123">
      <c r="A569" s="4634" t="s">
        <v>5248</v>
      </c>
      <c r="B569" s="4634"/>
      <c r="C569" s="4634"/>
      <c r="D569" s="4634"/>
      <c r="E569" s="4634"/>
      <c r="F569" s="4635">
        <v>0.002</v>
      </c>
      <c r="G569" s="4635"/>
      <c r="H569" s="4635"/>
      <c r="I569" s="4635"/>
      <c r="J569" s="4635"/>
      <c r="K569" s="4635"/>
      <c r="L569" s="4635"/>
      <c r="M569" s="4635"/>
      <c r="N569" s="4636">
        <f>ROUND(IF($F$568*F569&lt;240,0,$F$568*F569),0)</f>
        <v>0</v>
      </c>
      <c r="O569" s="4636"/>
      <c r="P569" s="4636"/>
      <c r="Q569" s="4636"/>
      <c r="R569" s="4636"/>
      <c r="S569" s="4636"/>
      <c r="T569" s="4637"/>
      <c r="U569" s="4637"/>
      <c r="V569" s="4637"/>
      <c r="W569" s="4637"/>
      <c r="X569" s="4637"/>
      <c r="Y569" s="4637"/>
      <c r="Z569" s="4636">
        <f t="shared" ref="Z569:Z571" si="12">IF(N569-T569&lt;0,0,N569-T569)</f>
        <v>0</v>
      </c>
      <c r="AA569" s="4636"/>
      <c r="AB569" s="4636"/>
      <c r="AC569" s="4636"/>
      <c r="AD569" s="4636"/>
      <c r="AE569" s="4636"/>
      <c r="AF569" s="4636">
        <f>IF(T569-N569&lt;0,0,T569-N569)</f>
        <v>0</v>
      </c>
      <c r="AG569" s="4636"/>
      <c r="AH569" s="4636"/>
      <c r="AI569" s="4636"/>
      <c r="AJ569" s="4636"/>
      <c r="AK569" s="4636"/>
      <c r="AL569" s="4626"/>
      <c r="AM569" s="4626" t="s">
        <v>5249</v>
      </c>
      <c r="AN569" s="4626"/>
      <c r="AO569" s="4626"/>
      <c r="AP569" s="4626"/>
      <c r="AQ569" s="4626"/>
      <c r="AR569" s="4626"/>
      <c r="AS569" s="4626"/>
      <c r="AT569" s="4317"/>
      <c r="AU569" s="4317"/>
      <c r="AV569" s="4317"/>
      <c r="AW569" s="4317"/>
      <c r="AX569" s="4317"/>
      <c r="AY569" s="4317"/>
      <c r="AZ569" s="4317"/>
      <c r="BA569" s="4317"/>
      <c r="BB569" s="4317"/>
      <c r="BC569" s="4317"/>
      <c r="BD569" s="4317"/>
      <c r="BE569" s="4317"/>
      <c r="BF569" s="4317"/>
      <c r="BG569" s="4317"/>
      <c r="BH569" s="4317"/>
      <c r="BI569" s="4317"/>
      <c r="BJ569" s="4317"/>
      <c r="BK569" s="4317"/>
      <c r="BL569" s="4317"/>
      <c r="BM569" s="4317"/>
      <c r="BN569" s="4317"/>
      <c r="BO569" s="4317"/>
      <c r="BP569" s="4317"/>
      <c r="BQ569" s="4317"/>
      <c r="BR569" s="4317"/>
      <c r="BS569" s="4317"/>
      <c r="BT569" s="4317"/>
      <c r="BU569" s="4317"/>
      <c r="BV569" s="4317"/>
      <c r="BW569" s="4317"/>
      <c r="BX569" s="4317"/>
      <c r="BY569" s="4317"/>
      <c r="BZ569" s="4317"/>
      <c r="CA569" s="4317"/>
      <c r="CB569" s="4317"/>
      <c r="CC569" s="4317"/>
      <c r="CD569" s="4317"/>
      <c r="CE569" s="4317"/>
      <c r="CF569" s="4317"/>
      <c r="CG569" s="4317"/>
      <c r="CH569" s="4317"/>
      <c r="CI569" s="4317"/>
      <c r="CJ569" s="4317"/>
      <c r="CK569" s="4317"/>
      <c r="CL569" s="4317"/>
      <c r="CM569" s="4317"/>
      <c r="CN569" s="4317"/>
      <c r="CO569" s="4317"/>
      <c r="CP569" s="4317"/>
      <c r="CQ569" s="4317"/>
      <c r="CR569" s="4317"/>
      <c r="CS569" s="4317"/>
      <c r="CT569" s="4317"/>
      <c r="CU569" s="4317"/>
      <c r="CV569" s="4317"/>
      <c r="CW569" s="4317"/>
      <c r="CX569" s="4317"/>
      <c r="CY569" s="4317"/>
      <c r="CZ569" s="4317"/>
      <c r="DA569" s="4317"/>
      <c r="DB569" s="4317"/>
      <c r="DC569" s="4317"/>
      <c r="DD569" s="4317"/>
      <c r="DE569" s="4317"/>
      <c r="DF569" s="4317"/>
      <c r="DG569" s="4317"/>
      <c r="DH569" s="4317"/>
      <c r="DI569" s="4317"/>
      <c r="DJ569" s="4317"/>
      <c r="DK569" s="4317"/>
      <c r="DL569" s="4317"/>
      <c r="DM569" s="4317"/>
      <c r="DN569" s="4317"/>
      <c r="DO569" s="4317"/>
      <c r="DP569" s="4317"/>
      <c r="DQ569" s="4317"/>
      <c r="DR569" s="4317"/>
      <c r="DS569" s="4317"/>
    </row>
    <row r="570" s="4134" customFormat="1" ht="15.75" hidden="1" spans="1:123">
      <c r="A570" s="4634" t="s">
        <v>5250</v>
      </c>
      <c r="B570" s="4634"/>
      <c r="C570" s="4634"/>
      <c r="D570" s="4634"/>
      <c r="E570" s="4634"/>
      <c r="F570" s="4638"/>
      <c r="G570" s="4638"/>
      <c r="H570" s="4638"/>
      <c r="I570" s="4638"/>
      <c r="J570" s="4638"/>
      <c r="K570" s="4638"/>
      <c r="L570" s="4638"/>
      <c r="M570" s="4638"/>
      <c r="N570" s="4636">
        <f>ROUND(IF($F$568*F570&lt;N574,0,$F$568*F570),0)</f>
        <v>0</v>
      </c>
      <c r="O570" s="4636"/>
      <c r="P570" s="4636"/>
      <c r="Q570" s="4636"/>
      <c r="R570" s="4636"/>
      <c r="S570" s="4636"/>
      <c r="T570" s="4637"/>
      <c r="U570" s="4637"/>
      <c r="V570" s="4637"/>
      <c r="W570" s="4637"/>
      <c r="X570" s="4637"/>
      <c r="Y570" s="4637"/>
      <c r="Z570" s="4636">
        <f t="shared" si="12"/>
        <v>0</v>
      </c>
      <c r="AA570" s="4636"/>
      <c r="AB570" s="4636"/>
      <c r="AC570" s="4636"/>
      <c r="AD570" s="4636"/>
      <c r="AE570" s="4636"/>
      <c r="AF570" s="4636">
        <f t="shared" ref="AF570:AF571" si="13">IF(T570-N570&lt;0,0,T570-N570)</f>
        <v>0</v>
      </c>
      <c r="AG570" s="4636"/>
      <c r="AH570" s="4636"/>
      <c r="AI570" s="4636"/>
      <c r="AJ570" s="4636"/>
      <c r="AK570" s="4636"/>
      <c r="AL570" s="4626"/>
      <c r="AM570" s="4626" t="s">
        <v>5251</v>
      </c>
      <c r="AN570" s="4626"/>
      <c r="AO570" s="4626"/>
      <c r="AP570" s="4626"/>
      <c r="AQ570" s="4626"/>
      <c r="AR570" s="4626"/>
      <c r="AS570" s="4626"/>
      <c r="AT570" s="4639"/>
      <c r="AU570" s="4317"/>
      <c r="AV570" s="4317"/>
      <c r="AW570" s="4317"/>
      <c r="AX570" s="4317"/>
      <c r="AY570" s="4317"/>
      <c r="AZ570" s="4317"/>
      <c r="BA570" s="4317"/>
      <c r="BB570" s="4317"/>
      <c r="BC570" s="4317"/>
      <c r="BD570" s="4317"/>
      <c r="BE570" s="4317"/>
      <c r="BF570" s="4317"/>
      <c r="BG570" s="4317"/>
      <c r="BH570" s="4317"/>
      <c r="BI570" s="4317"/>
      <c r="BJ570" s="4317"/>
      <c r="BK570" s="4317"/>
      <c r="BL570" s="4317"/>
      <c r="BM570" s="4317"/>
      <c r="BN570" s="4317"/>
      <c r="BO570" s="4317"/>
      <c r="BP570" s="4317"/>
      <c r="BQ570" s="4317"/>
      <c r="BR570" s="4317"/>
      <c r="BS570" s="4317"/>
      <c r="BT570" s="4317"/>
      <c r="BU570" s="4317"/>
      <c r="BV570" s="4317"/>
      <c r="BW570" s="4317"/>
      <c r="BX570" s="4317"/>
      <c r="BY570" s="4317"/>
      <c r="BZ570" s="4317"/>
      <c r="CA570" s="4317"/>
      <c r="CB570" s="4317"/>
      <c r="CC570" s="4317"/>
      <c r="CD570" s="4317"/>
      <c r="CE570" s="4317"/>
      <c r="CF570" s="4317"/>
      <c r="CG570" s="4317"/>
      <c r="CH570" s="4317"/>
      <c r="CI570" s="4317"/>
      <c r="CJ570" s="4317"/>
      <c r="CK570" s="4317"/>
      <c r="CL570" s="4317"/>
      <c r="CM570" s="4317"/>
      <c r="CN570" s="4317"/>
      <c r="CO570" s="4317"/>
      <c r="CP570" s="4317"/>
      <c r="CQ570" s="4317"/>
      <c r="CR570" s="4317"/>
      <c r="CS570" s="4317"/>
      <c r="CT570" s="4317"/>
      <c r="CU570" s="4317"/>
      <c r="CV570" s="4317"/>
      <c r="CW570" s="4317"/>
      <c r="CX570" s="4317"/>
      <c r="CY570" s="4317"/>
      <c r="CZ570" s="4317"/>
      <c r="DA570" s="4317"/>
      <c r="DB570" s="4317"/>
      <c r="DC570" s="4317"/>
      <c r="DD570" s="4317"/>
      <c r="DE570" s="4317"/>
      <c r="DF570" s="4317"/>
      <c r="DG570" s="4317"/>
      <c r="DH570" s="4317"/>
      <c r="DI570" s="4317"/>
      <c r="DJ570" s="4317"/>
      <c r="DK570" s="4317"/>
      <c r="DL570" s="4317"/>
      <c r="DM570" s="4317"/>
      <c r="DN570" s="4317"/>
      <c r="DO570" s="4317"/>
      <c r="DP570" s="4317"/>
      <c r="DQ570" s="4317"/>
      <c r="DR570" s="4317"/>
      <c r="DS570" s="4317"/>
    </row>
    <row r="571" s="4134" customFormat="1" ht="15.75" hidden="1" spans="1:123">
      <c r="A571" s="4634" t="s">
        <v>5252</v>
      </c>
      <c r="B571" s="4634"/>
      <c r="C571" s="4634"/>
      <c r="D571" s="4634"/>
      <c r="E571" s="4634"/>
      <c r="F571" s="4640"/>
      <c r="G571" s="4640"/>
      <c r="H571" s="4640"/>
      <c r="I571" s="4640"/>
      <c r="J571" s="4640"/>
      <c r="K571" s="4640"/>
      <c r="L571" s="4640"/>
      <c r="M571" s="4640"/>
      <c r="N571" s="4636">
        <f>ROUND(IF($F$568*F571&lt;240,0,$F$568*F571),0)</f>
        <v>0</v>
      </c>
      <c r="O571" s="4636"/>
      <c r="P571" s="4636"/>
      <c r="Q571" s="4636"/>
      <c r="R571" s="4636"/>
      <c r="S571" s="4636"/>
      <c r="T571" s="4637"/>
      <c r="U571" s="4637"/>
      <c r="V571" s="4637"/>
      <c r="W571" s="4637"/>
      <c r="X571" s="4637"/>
      <c r="Y571" s="4637"/>
      <c r="Z571" s="4636">
        <f t="shared" si="12"/>
        <v>0</v>
      </c>
      <c r="AA571" s="4636"/>
      <c r="AB571" s="4636"/>
      <c r="AC571" s="4636"/>
      <c r="AD571" s="4636"/>
      <c r="AE571" s="4636"/>
      <c r="AF571" s="4636">
        <f t="shared" si="13"/>
        <v>0</v>
      </c>
      <c r="AG571" s="4636"/>
      <c r="AH571" s="4636"/>
      <c r="AI571" s="4636"/>
      <c r="AJ571" s="4636"/>
      <c r="AK571" s="4636"/>
      <c r="AL571" s="4626"/>
      <c r="AM571" s="4626" t="s">
        <v>5253</v>
      </c>
      <c r="AN571" s="4626"/>
      <c r="AO571" s="4626"/>
      <c r="AP571" s="4626"/>
      <c r="AQ571" s="4626"/>
      <c r="AR571" s="4626"/>
      <c r="AS571" s="4626"/>
      <c r="AT571" s="4075"/>
      <c r="AU571" s="4317"/>
      <c r="AV571" s="4317"/>
      <c r="AW571" s="4317"/>
      <c r="AX571" s="4317"/>
      <c r="AY571" s="4317"/>
      <c r="AZ571" s="4317"/>
      <c r="BA571" s="4317"/>
      <c r="BB571" s="4317"/>
      <c r="BC571" s="4317"/>
      <c r="BD571" s="4317"/>
      <c r="BE571" s="4317"/>
      <c r="BF571" s="4317"/>
      <c r="BG571" s="4317"/>
      <c r="BH571" s="4317"/>
      <c r="BI571" s="4317"/>
      <c r="BJ571" s="4317"/>
      <c r="BK571" s="4317"/>
      <c r="BL571" s="4317"/>
      <c r="BM571" s="4317"/>
      <c r="BN571" s="4317"/>
      <c r="BO571" s="4317"/>
      <c r="BP571" s="4317"/>
      <c r="BQ571" s="4317"/>
      <c r="BR571" s="4317"/>
      <c r="BS571" s="4317"/>
      <c r="BT571" s="4317"/>
      <c r="BU571" s="4317"/>
      <c r="BV571" s="4317"/>
      <c r="BW571" s="4317"/>
      <c r="BX571" s="4317"/>
      <c r="BY571" s="4317"/>
      <c r="BZ571" s="4317"/>
      <c r="CA571" s="4317"/>
      <c r="CB571" s="4317"/>
      <c r="CC571" s="4317"/>
      <c r="CD571" s="4317"/>
      <c r="CE571" s="4317"/>
      <c r="CF571" s="4317"/>
      <c r="CG571" s="4317"/>
      <c r="CH571" s="4317"/>
      <c r="CI571" s="4317"/>
      <c r="CJ571" s="4317"/>
      <c r="CK571" s="4317"/>
      <c r="CL571" s="4317"/>
      <c r="CM571" s="4317"/>
      <c r="CN571" s="4317"/>
      <c r="CO571" s="4317"/>
      <c r="CP571" s="4317"/>
      <c r="CQ571" s="4317"/>
      <c r="CR571" s="4317"/>
      <c r="CS571" s="4317"/>
      <c r="CT571" s="4317"/>
      <c r="CU571" s="4317"/>
      <c r="CV571" s="4317"/>
      <c r="CW571" s="4317"/>
      <c r="CX571" s="4317"/>
      <c r="CY571" s="4317"/>
      <c r="CZ571" s="4317"/>
      <c r="DA571" s="4317"/>
      <c r="DB571" s="4317"/>
      <c r="DC571" s="4317"/>
      <c r="DD571" s="4317"/>
      <c r="DE571" s="4317"/>
      <c r="DF571" s="4317"/>
      <c r="DG571" s="4317"/>
      <c r="DH571" s="4317"/>
      <c r="DI571" s="4317"/>
      <c r="DJ571" s="4317"/>
      <c r="DK571" s="4317"/>
      <c r="DL571" s="4317"/>
      <c r="DM571" s="4317"/>
      <c r="DN571" s="4317"/>
      <c r="DO571" s="4317"/>
      <c r="DP571" s="4317"/>
      <c r="DQ571" s="4317"/>
      <c r="DR571" s="4317"/>
      <c r="DS571" s="4317"/>
    </row>
    <row r="572" s="4134" customFormat="1" ht="15.75" hidden="1" spans="1:123">
      <c r="A572" s="4626"/>
      <c r="B572" s="4626"/>
      <c r="C572" s="4626"/>
      <c r="D572" s="4626"/>
      <c r="E572" s="4626"/>
      <c r="F572" s="4641"/>
      <c r="G572" s="4626"/>
      <c r="H572" s="4626"/>
      <c r="I572" s="4626"/>
      <c r="J572" s="4626"/>
      <c r="K572" s="4626"/>
      <c r="L572" s="4626"/>
      <c r="M572" s="4626"/>
      <c r="N572" s="4626"/>
      <c r="O572" s="4626"/>
      <c r="P572" s="4626"/>
      <c r="Q572" s="4626"/>
      <c r="R572" s="4626"/>
      <c r="S572" s="4626"/>
      <c r="T572" s="4626"/>
      <c r="U572" s="4626"/>
      <c r="V572" s="4626"/>
      <c r="W572" s="4626"/>
      <c r="X572" s="4626"/>
      <c r="Y572" s="4626"/>
      <c r="Z572" s="4626"/>
      <c r="AA572" s="4626"/>
      <c r="AB572" s="4626"/>
      <c r="AC572" s="4626"/>
      <c r="AD572" s="4626"/>
      <c r="AE572" s="4626"/>
      <c r="AF572" s="4626"/>
      <c r="AG572" s="4626"/>
      <c r="AH572" s="4626"/>
      <c r="AI572" s="4626"/>
      <c r="AJ572" s="4626"/>
      <c r="AK572" s="4626"/>
      <c r="AL572" s="4626" t="s">
        <v>5254</v>
      </c>
      <c r="AM572" s="4626"/>
      <c r="AN572" s="4642"/>
      <c r="AO572" s="4626"/>
      <c r="AP572" s="4626"/>
      <c r="AQ572" s="4626"/>
      <c r="AR572" s="4626"/>
      <c r="AS572" s="4642"/>
      <c r="AT572" s="4317"/>
      <c r="AU572" s="4317"/>
      <c r="AV572" s="4317"/>
      <c r="AW572" s="4317"/>
      <c r="AX572" s="4317"/>
      <c r="AY572" s="4317"/>
      <c r="AZ572" s="4317"/>
      <c r="BA572" s="4317"/>
      <c r="BB572" s="4317"/>
      <c r="BC572" s="4317"/>
      <c r="BD572" s="4317"/>
      <c r="BE572" s="4317"/>
      <c r="BF572" s="4317"/>
      <c r="BG572" s="4317"/>
      <c r="BH572" s="4317"/>
      <c r="BI572" s="4317"/>
      <c r="BJ572" s="4317"/>
      <c r="BK572" s="4317"/>
      <c r="BL572" s="4317"/>
      <c r="BM572" s="4317"/>
      <c r="BN572" s="4317"/>
      <c r="BO572" s="4317"/>
      <c r="BP572" s="4317"/>
      <c r="BQ572" s="4317"/>
      <c r="BR572" s="4317"/>
      <c r="BS572" s="4317"/>
      <c r="BT572" s="4317"/>
      <c r="BU572" s="4317"/>
      <c r="BV572" s="4317"/>
      <c r="BW572" s="4317"/>
      <c r="BX572" s="4317"/>
      <c r="BY572" s="4317"/>
      <c r="BZ572" s="4317"/>
      <c r="CA572" s="4317"/>
      <c r="CB572" s="4317"/>
      <c r="CC572" s="4317"/>
      <c r="CD572" s="4317"/>
      <c r="CE572" s="4317"/>
      <c r="CF572" s="4317"/>
      <c r="CG572" s="4317"/>
      <c r="CH572" s="4317"/>
      <c r="CI572" s="4317"/>
      <c r="CJ572" s="4317"/>
      <c r="CK572" s="4317"/>
      <c r="CL572" s="4317"/>
      <c r="CM572" s="4317"/>
      <c r="CN572" s="4317"/>
      <c r="CO572" s="4317"/>
      <c r="CP572" s="4317"/>
      <c r="CQ572" s="4317"/>
      <c r="CR572" s="4317"/>
      <c r="CS572" s="4317"/>
      <c r="CT572" s="4317"/>
      <c r="CU572" s="4317"/>
      <c r="CV572" s="4317"/>
      <c r="CW572" s="4317"/>
      <c r="CX572" s="4317"/>
      <c r="CY572" s="4317"/>
      <c r="CZ572" s="4317"/>
      <c r="DA572" s="4317"/>
      <c r="DB572" s="4317"/>
      <c r="DC572" s="4317"/>
      <c r="DD572" s="4317"/>
      <c r="DE572" s="4317"/>
      <c r="DF572" s="4317"/>
      <c r="DG572" s="4317"/>
      <c r="DH572" s="4317"/>
      <c r="DI572" s="4317"/>
      <c r="DJ572" s="4317"/>
      <c r="DK572" s="4317"/>
      <c r="DL572" s="4317"/>
      <c r="DM572" s="4317"/>
      <c r="DN572" s="4317"/>
      <c r="DO572" s="4317"/>
      <c r="DP572" s="4317"/>
      <c r="DQ572" s="4317"/>
      <c r="DR572" s="4317"/>
      <c r="DS572" s="4317"/>
    </row>
    <row r="573" s="4134" customFormat="1" ht="15.75" hidden="1" spans="1:123">
      <c r="A573" s="4634" t="s">
        <v>5248</v>
      </c>
      <c r="B573" s="4634"/>
      <c r="C573" s="4634"/>
      <c r="D573" s="4634"/>
      <c r="E573" s="4634"/>
      <c r="F573" s="4643">
        <f>IF(N569&gt;240,0,20)</f>
        <v>20</v>
      </c>
      <c r="G573" s="4643"/>
      <c r="H573" s="4644"/>
      <c r="I573" s="4644"/>
      <c r="J573" s="4644"/>
      <c r="K573" s="4643">
        <f>IF($F$5="godisnji",12,6)</f>
        <v>6</v>
      </c>
      <c r="L573" s="4643"/>
      <c r="M573" s="4643"/>
      <c r="N573" s="4636">
        <f>ROUND(H573*K573,0)</f>
        <v>0</v>
      </c>
      <c r="O573" s="4636"/>
      <c r="P573" s="4636"/>
      <c r="Q573" s="4636"/>
      <c r="R573" s="4636"/>
      <c r="S573" s="4636"/>
      <c r="T573" s="4637"/>
      <c r="U573" s="4637"/>
      <c r="V573" s="4637"/>
      <c r="W573" s="4637"/>
      <c r="X573" s="4637"/>
      <c r="Y573" s="4637"/>
      <c r="Z573" s="4636">
        <f t="shared" ref="Z573:Z575" si="14">IF(N573-T573&lt;0,0,N573-T573)</f>
        <v>0</v>
      </c>
      <c r="AA573" s="4636"/>
      <c r="AB573" s="4636"/>
      <c r="AC573" s="4636"/>
      <c r="AD573" s="4636"/>
      <c r="AE573" s="4636"/>
      <c r="AF573" s="4636">
        <f>IF(T573-N573&lt;0,0,T573-N573)</f>
        <v>0</v>
      </c>
      <c r="AG573" s="4636"/>
      <c r="AH573" s="4636"/>
      <c r="AI573" s="4636"/>
      <c r="AJ573" s="4636"/>
      <c r="AK573" s="4636"/>
      <c r="AL573" s="4626"/>
      <c r="AM573" s="4626" t="s">
        <v>5249</v>
      </c>
      <c r="AN573" s="4626"/>
      <c r="AO573" s="4626"/>
      <c r="AP573" s="4626"/>
      <c r="AQ573" s="4626"/>
      <c r="AR573" s="4626"/>
      <c r="AS573" s="4626"/>
      <c r="AT573" s="4317"/>
      <c r="AU573" s="4317"/>
      <c r="AV573" s="4317"/>
      <c r="AW573" s="4317"/>
      <c r="AX573" s="4317"/>
      <c r="AY573" s="4317"/>
      <c r="AZ573" s="4317"/>
      <c r="BA573" s="4317"/>
      <c r="BB573" s="4317"/>
      <c r="BC573" s="4317"/>
      <c r="BD573" s="4317"/>
      <c r="BE573" s="4317"/>
      <c r="BF573" s="4317"/>
      <c r="BG573" s="4317"/>
      <c r="BH573" s="4317"/>
      <c r="BI573" s="4317"/>
      <c r="BJ573" s="4317"/>
      <c r="BK573" s="4317"/>
      <c r="BL573" s="4317"/>
      <c r="BM573" s="4317"/>
      <c r="BN573" s="4317"/>
      <c r="BO573" s="4317"/>
      <c r="BP573" s="4317"/>
      <c r="BQ573" s="4317"/>
      <c r="BR573" s="4317"/>
      <c r="BS573" s="4317"/>
      <c r="BT573" s="4317"/>
      <c r="BU573" s="4317"/>
      <c r="BV573" s="4317"/>
      <c r="BW573" s="4317"/>
      <c r="BX573" s="4317"/>
      <c r="BY573" s="4317"/>
      <c r="BZ573" s="4317"/>
      <c r="CA573" s="4317"/>
      <c r="CB573" s="4317"/>
      <c r="CC573" s="4317"/>
      <c r="CD573" s="4317"/>
      <c r="CE573" s="4317"/>
      <c r="CF573" s="4317"/>
      <c r="CG573" s="4317"/>
      <c r="CH573" s="4317"/>
      <c r="CI573" s="4317"/>
      <c r="CJ573" s="4317"/>
      <c r="CK573" s="4317"/>
      <c r="CL573" s="4317"/>
      <c r="CM573" s="4317"/>
      <c r="CN573" s="4317"/>
      <c r="CO573" s="4317"/>
      <c r="CP573" s="4317"/>
      <c r="CQ573" s="4317"/>
      <c r="CR573" s="4317"/>
      <c r="CS573" s="4317"/>
      <c r="CT573" s="4317"/>
      <c r="CU573" s="4317"/>
      <c r="CV573" s="4317"/>
      <c r="CW573" s="4317"/>
      <c r="CX573" s="4317"/>
      <c r="CY573" s="4317"/>
      <c r="CZ573" s="4317"/>
      <c r="DA573" s="4317"/>
      <c r="DB573" s="4317"/>
      <c r="DC573" s="4317"/>
      <c r="DD573" s="4317"/>
      <c r="DE573" s="4317"/>
      <c r="DF573" s="4317"/>
      <c r="DG573" s="4317"/>
      <c r="DH573" s="4317"/>
      <c r="DI573" s="4317"/>
      <c r="DJ573" s="4317"/>
      <c r="DK573" s="4317"/>
      <c r="DL573" s="4317"/>
      <c r="DM573" s="4317"/>
      <c r="DN573" s="4317"/>
      <c r="DO573" s="4317"/>
      <c r="DP573" s="4317"/>
      <c r="DQ573" s="4317"/>
      <c r="DR573" s="4317"/>
      <c r="DS573" s="4317"/>
    </row>
    <row r="574" s="4134" customFormat="1" ht="15.75" hidden="1" spans="1:123">
      <c r="A574" s="4634" t="s">
        <v>5250</v>
      </c>
      <c r="B574" s="4634"/>
      <c r="C574" s="4634"/>
      <c r="D574" s="4634"/>
      <c r="E574" s="4634"/>
      <c r="F574" s="4643">
        <v>4</v>
      </c>
      <c r="G574" s="4643"/>
      <c r="H574" s="4644"/>
      <c r="I574" s="4644"/>
      <c r="J574" s="4644"/>
      <c r="K574" s="4645"/>
      <c r="L574" s="4645"/>
      <c r="M574" s="4645"/>
      <c r="N574" s="4636">
        <f>ROUND(IF(H574*K574&lt;F568*F570,0,H574*K574),0)</f>
        <v>0</v>
      </c>
      <c r="O574" s="4636"/>
      <c r="P574" s="4636"/>
      <c r="Q574" s="4636"/>
      <c r="R574" s="4636"/>
      <c r="S574" s="4636"/>
      <c r="T574" s="4637"/>
      <c r="U574" s="4637"/>
      <c r="V574" s="4637"/>
      <c r="W574" s="4637"/>
      <c r="X574" s="4637"/>
      <c r="Y574" s="4637"/>
      <c r="Z574" s="4636">
        <f t="shared" si="14"/>
        <v>0</v>
      </c>
      <c r="AA574" s="4636"/>
      <c r="AB574" s="4636"/>
      <c r="AC574" s="4636"/>
      <c r="AD574" s="4636"/>
      <c r="AE574" s="4636"/>
      <c r="AF574" s="4636">
        <f t="shared" ref="AF574:AF575" si="15">IF(T574-N574&lt;0,0,T574-N574)</f>
        <v>0</v>
      </c>
      <c r="AG574" s="4636"/>
      <c r="AH574" s="4636"/>
      <c r="AI574" s="4636"/>
      <c r="AJ574" s="4636"/>
      <c r="AK574" s="4636"/>
      <c r="AL574" s="4626"/>
      <c r="AM574" s="4626" t="s">
        <v>5251</v>
      </c>
      <c r="AN574" s="4626"/>
      <c r="AO574" s="4626"/>
      <c r="AP574" s="4626"/>
      <c r="AQ574" s="4626"/>
      <c r="AR574" s="4626"/>
      <c r="AS574" s="4626"/>
      <c r="AT574" s="4317"/>
      <c r="AU574" s="4317"/>
      <c r="AV574" s="4317"/>
      <c r="AW574" s="4317"/>
      <c r="AX574" s="4317"/>
      <c r="AY574" s="4317"/>
      <c r="AZ574" s="4317"/>
      <c r="BA574" s="4317"/>
      <c r="BB574" s="4317"/>
      <c r="BC574" s="4317"/>
      <c r="BD574" s="4317"/>
      <c r="BE574" s="4317"/>
      <c r="BF574" s="4317"/>
      <c r="BG574" s="4317"/>
      <c r="BH574" s="4317"/>
      <c r="BI574" s="4317"/>
      <c r="BJ574" s="4317"/>
      <c r="BK574" s="4317"/>
      <c r="BL574" s="4317"/>
      <c r="BM574" s="4317"/>
      <c r="BN574" s="4317"/>
      <c r="BO574" s="4317"/>
      <c r="BP574" s="4317"/>
      <c r="BQ574" s="4317"/>
      <c r="BR574" s="4317"/>
      <c r="BS574" s="4317"/>
      <c r="BT574" s="4317"/>
      <c r="BU574" s="4317"/>
      <c r="BV574" s="4317"/>
      <c r="BW574" s="4317"/>
      <c r="BX574" s="4317"/>
      <c r="BY574" s="4317"/>
      <c r="BZ574" s="4317"/>
      <c r="CA574" s="4317"/>
      <c r="CB574" s="4317"/>
      <c r="CC574" s="4317"/>
      <c r="CD574" s="4317"/>
      <c r="CE574" s="4317"/>
      <c r="CF574" s="4317"/>
      <c r="CG574" s="4317"/>
      <c r="CH574" s="4317"/>
      <c r="CI574" s="4317"/>
      <c r="CJ574" s="4317"/>
      <c r="CK574" s="4317"/>
      <c r="CL574" s="4317"/>
      <c r="CM574" s="4317"/>
      <c r="CN574" s="4317"/>
      <c r="CO574" s="4317"/>
      <c r="CP574" s="4317"/>
      <c r="CQ574" s="4317"/>
      <c r="CR574" s="4317"/>
      <c r="CS574" s="4317"/>
      <c r="CT574" s="4317"/>
      <c r="CU574" s="4317"/>
      <c r="CV574" s="4317"/>
      <c r="CW574" s="4317"/>
      <c r="CX574" s="4317"/>
      <c r="CY574" s="4317"/>
      <c r="CZ574" s="4317"/>
      <c r="DA574" s="4317"/>
      <c r="DB574" s="4317"/>
      <c r="DC574" s="4317"/>
      <c r="DD574" s="4317"/>
      <c r="DE574" s="4317"/>
      <c r="DF574" s="4317"/>
      <c r="DG574" s="4317"/>
      <c r="DH574" s="4317"/>
      <c r="DI574" s="4317"/>
      <c r="DJ574" s="4317"/>
      <c r="DK574" s="4317"/>
      <c r="DL574" s="4317"/>
      <c r="DM574" s="4317"/>
      <c r="DN574" s="4317"/>
      <c r="DO574" s="4317"/>
      <c r="DP574" s="4317"/>
      <c r="DQ574" s="4317"/>
      <c r="DR574" s="4317"/>
      <c r="DS574" s="4317"/>
    </row>
    <row r="575" s="4134" customFormat="1" ht="15.75" hidden="1" spans="1:123">
      <c r="A575" s="4634" t="s">
        <v>5252</v>
      </c>
      <c r="B575" s="4634"/>
      <c r="C575" s="4634"/>
      <c r="D575" s="4634"/>
      <c r="E575" s="4634"/>
      <c r="F575" s="4646"/>
      <c r="G575" s="4646"/>
      <c r="H575" s="4646"/>
      <c r="I575" s="4646"/>
      <c r="J575" s="4646"/>
      <c r="K575" s="4647"/>
      <c r="L575" s="4647"/>
      <c r="M575" s="4647"/>
      <c r="N575" s="4637">
        <f>ROUND(F575*K575,0)</f>
        <v>0</v>
      </c>
      <c r="O575" s="4637"/>
      <c r="P575" s="4637"/>
      <c r="Q575" s="4637"/>
      <c r="R575" s="4637"/>
      <c r="S575" s="4637"/>
      <c r="T575" s="4637"/>
      <c r="U575" s="4637"/>
      <c r="V575" s="4637"/>
      <c r="W575" s="4637"/>
      <c r="X575" s="4637"/>
      <c r="Y575" s="4637"/>
      <c r="Z575" s="4636">
        <f t="shared" si="14"/>
        <v>0</v>
      </c>
      <c r="AA575" s="4636"/>
      <c r="AB575" s="4636"/>
      <c r="AC575" s="4636"/>
      <c r="AD575" s="4636"/>
      <c r="AE575" s="4636"/>
      <c r="AF575" s="4636">
        <f t="shared" si="15"/>
        <v>0</v>
      </c>
      <c r="AG575" s="4636"/>
      <c r="AH575" s="4636"/>
      <c r="AI575" s="4636"/>
      <c r="AJ575" s="4636"/>
      <c r="AK575" s="4636"/>
      <c r="AL575" s="4626"/>
      <c r="AM575" s="4626" t="s">
        <v>5253</v>
      </c>
      <c r="AN575" s="4626"/>
      <c r="AO575" s="4626"/>
      <c r="AP575" s="4626"/>
      <c r="AQ575" s="4626"/>
      <c r="AR575" s="4626"/>
      <c r="AS575" s="4626"/>
      <c r="AT575" s="4317"/>
      <c r="AU575" s="4317"/>
      <c r="AV575" s="4317"/>
      <c r="AW575" s="4317"/>
      <c r="AX575" s="4317"/>
      <c r="AY575" s="4317"/>
      <c r="AZ575" s="4317"/>
      <c r="BA575" s="4317"/>
      <c r="BB575" s="4317"/>
      <c r="BC575" s="4317"/>
      <c r="BD575" s="4317"/>
      <c r="BE575" s="4317"/>
      <c r="BF575" s="4317"/>
      <c r="BG575" s="4317"/>
      <c r="BH575" s="4317"/>
      <c r="BI575" s="4317"/>
      <c r="BJ575" s="4317"/>
      <c r="BK575" s="4317"/>
      <c r="BL575" s="4317"/>
      <c r="BM575" s="4317"/>
      <c r="BN575" s="4317"/>
      <c r="BO575" s="4317"/>
      <c r="BP575" s="4317"/>
      <c r="BQ575" s="4317"/>
      <c r="BR575" s="4317"/>
      <c r="BS575" s="4317"/>
      <c r="BT575" s="4317"/>
      <c r="BU575" s="4317"/>
      <c r="BV575" s="4317"/>
      <c r="BW575" s="4317"/>
      <c r="BX575" s="4317"/>
      <c r="BY575" s="4317"/>
      <c r="BZ575" s="4317"/>
      <c r="CA575" s="4317"/>
      <c r="CB575" s="4317"/>
      <c r="CC575" s="4317"/>
      <c r="CD575" s="4317"/>
      <c r="CE575" s="4317"/>
      <c r="CF575" s="4317"/>
      <c r="CG575" s="4317"/>
      <c r="CH575" s="4317"/>
      <c r="CI575" s="4317"/>
      <c r="CJ575" s="4317"/>
      <c r="CK575" s="4317"/>
      <c r="CL575" s="4317"/>
      <c r="CM575" s="4317"/>
      <c r="CN575" s="4317"/>
      <c r="CO575" s="4317"/>
      <c r="CP575" s="4317"/>
      <c r="CQ575" s="4317"/>
      <c r="CR575" s="4317"/>
      <c r="CS575" s="4317"/>
      <c r="CT575" s="4317"/>
      <c r="CU575" s="4317"/>
      <c r="CV575" s="4317"/>
      <c r="CW575" s="4317"/>
      <c r="CX575" s="4317"/>
      <c r="CY575" s="4317"/>
      <c r="CZ575" s="4317"/>
      <c r="DA575" s="4317"/>
      <c r="DB575" s="4317"/>
      <c r="DC575" s="4317"/>
      <c r="DD575" s="4317"/>
      <c r="DE575" s="4317"/>
      <c r="DF575" s="4317"/>
      <c r="DG575" s="4317"/>
      <c r="DH575" s="4317"/>
      <c r="DI575" s="4317"/>
      <c r="DJ575" s="4317"/>
      <c r="DK575" s="4317"/>
      <c r="DL575" s="4317"/>
      <c r="DM575" s="4317"/>
      <c r="DN575" s="4317"/>
      <c r="DO575" s="4317"/>
      <c r="DP575" s="4317"/>
      <c r="DQ575" s="4317"/>
      <c r="DR575" s="4317"/>
      <c r="DS575" s="4317"/>
    </row>
    <row r="576" s="4134" customFormat="1" ht="20.25" hidden="1" customHeight="1" spans="1:123">
      <c r="A576" s="4648" t="s">
        <v>5255</v>
      </c>
      <c r="B576" s="4648"/>
      <c r="C576" s="4648"/>
      <c r="D576" s="4648"/>
      <c r="E576" s="4648"/>
      <c r="F576" s="4649">
        <v>0</v>
      </c>
      <c r="G576" s="4649"/>
      <c r="H576" s="4649"/>
      <c r="I576" s="4649"/>
      <c r="J576" s="4649"/>
      <c r="K576" s="4649"/>
      <c r="L576" s="4649"/>
      <c r="M576" s="4649"/>
      <c r="N576" s="4648" t="s">
        <v>5256</v>
      </c>
      <c r="O576" s="4648"/>
      <c r="P576" s="4648"/>
      <c r="Q576" s="4648"/>
      <c r="R576" s="4648"/>
      <c r="S576" s="4648"/>
      <c r="T576" s="4648"/>
      <c r="U576" s="4648"/>
      <c r="V576" s="4648"/>
      <c r="W576" s="4648"/>
      <c r="X576" s="4648"/>
      <c r="Y576" s="4648"/>
      <c r="Z576" s="4648"/>
      <c r="AA576" s="4648"/>
      <c r="AB576" s="4648"/>
      <c r="AC576" s="4648"/>
      <c r="AD576" s="4648"/>
      <c r="AE576" s="4648"/>
      <c r="AF576" s="4648"/>
      <c r="AG576" s="4648"/>
      <c r="AH576" s="4648"/>
      <c r="AI576" s="4648"/>
      <c r="AJ576" s="4648"/>
      <c r="AK576" s="4648"/>
      <c r="AL576" s="4626" t="s">
        <v>5257</v>
      </c>
      <c r="AM576" s="4626"/>
      <c r="AN576" s="4626"/>
      <c r="AO576" s="4626"/>
      <c r="AP576" s="4626"/>
      <c r="AQ576" s="4626"/>
      <c r="AR576" s="4626"/>
      <c r="AS576" s="4626"/>
      <c r="AT576" s="4317"/>
      <c r="AU576" s="4317"/>
      <c r="AV576" s="4317"/>
      <c r="AW576" s="4317"/>
      <c r="AX576" s="4317"/>
      <c r="AY576" s="4317"/>
      <c r="AZ576" s="4317"/>
      <c r="BA576" s="4317"/>
      <c r="BB576" s="4317"/>
      <c r="BC576" s="4317"/>
      <c r="BD576" s="4317"/>
      <c r="BE576" s="4317"/>
      <c r="BF576" s="4317"/>
      <c r="BG576" s="4317"/>
      <c r="BH576" s="4317"/>
      <c r="BI576" s="4317"/>
      <c r="BJ576" s="4317"/>
      <c r="BK576" s="4317"/>
      <c r="BL576" s="4317"/>
      <c r="BM576" s="4317"/>
      <c r="BN576" s="4317"/>
      <c r="BO576" s="4317"/>
      <c r="BP576" s="4317"/>
      <c r="BQ576" s="4317"/>
      <c r="BR576" s="4317"/>
      <c r="BS576" s="4317"/>
      <c r="BT576" s="4317"/>
      <c r="BU576" s="4317"/>
      <c r="BV576" s="4317"/>
      <c r="BW576" s="4317"/>
      <c r="BX576" s="4317"/>
      <c r="BY576" s="4317"/>
      <c r="BZ576" s="4317"/>
      <c r="CA576" s="4317"/>
      <c r="CB576" s="4317"/>
      <c r="CC576" s="4317"/>
      <c r="CD576" s="4317"/>
      <c r="CE576" s="4317"/>
      <c r="CF576" s="4317"/>
      <c r="CG576" s="4317"/>
      <c r="CH576" s="4317"/>
      <c r="CI576" s="4317"/>
      <c r="CJ576" s="4317"/>
      <c r="CK576" s="4317"/>
      <c r="CL576" s="4317"/>
      <c r="CM576" s="4317"/>
      <c r="CN576" s="4317"/>
      <c r="CO576" s="4317"/>
      <c r="CP576" s="4317"/>
      <c r="CQ576" s="4317"/>
      <c r="CR576" s="4317"/>
      <c r="CS576" s="4317"/>
      <c r="CT576" s="4317"/>
      <c r="CU576" s="4317"/>
      <c r="CV576" s="4317"/>
      <c r="CW576" s="4317"/>
      <c r="CX576" s="4317"/>
      <c r="CY576" s="4317"/>
      <c r="CZ576" s="4317"/>
      <c r="DA576" s="4317"/>
      <c r="DB576" s="4317"/>
      <c r="DC576" s="4317"/>
      <c r="DD576" s="4317"/>
      <c r="DE576" s="4317"/>
      <c r="DF576" s="4317"/>
      <c r="DG576" s="4317"/>
      <c r="DH576" s="4317"/>
      <c r="DI576" s="4317"/>
      <c r="DJ576" s="4317"/>
      <c r="DK576" s="4317"/>
      <c r="DL576" s="4317"/>
      <c r="DM576" s="4317"/>
      <c r="DN576" s="4317"/>
      <c r="DO576" s="4317"/>
      <c r="DP576" s="4317"/>
      <c r="DQ576" s="4317"/>
      <c r="DR576" s="4317"/>
      <c r="DS576" s="4317"/>
    </row>
    <row r="577" s="4134" customFormat="1" ht="15.75" hidden="1" spans="1:123">
      <c r="A577" s="4634" t="s">
        <v>5248</v>
      </c>
      <c r="B577" s="4634"/>
      <c r="C577" s="4634"/>
      <c r="D577" s="4634"/>
      <c r="E577" s="4634"/>
      <c r="F577" s="4640"/>
      <c r="G577" s="4640"/>
      <c r="H577" s="4640"/>
      <c r="I577" s="4640"/>
      <c r="J577" s="4640"/>
      <c r="K577" s="4640"/>
      <c r="L577" s="4640"/>
      <c r="M577" s="4640"/>
      <c r="N577" s="4636">
        <f>$F$576*F577</f>
        <v>0</v>
      </c>
      <c r="O577" s="4636"/>
      <c r="P577" s="4636"/>
      <c r="Q577" s="4636"/>
      <c r="R577" s="4636"/>
      <c r="S577" s="4636"/>
      <c r="T577" s="4637"/>
      <c r="U577" s="4637"/>
      <c r="V577" s="4637"/>
      <c r="W577" s="4637"/>
      <c r="X577" s="4637"/>
      <c r="Y577" s="4637"/>
      <c r="Z577" s="4636">
        <f t="shared" ref="Z577:Z579" si="16">IF(N577-T577&lt;0,0,N577-T577)</f>
        <v>0</v>
      </c>
      <c r="AA577" s="4636"/>
      <c r="AB577" s="4636"/>
      <c r="AC577" s="4636"/>
      <c r="AD577" s="4636"/>
      <c r="AE577" s="4636"/>
      <c r="AF577" s="4636">
        <f>IF(T577-N577&lt;0,0,T577-N577)</f>
        <v>0</v>
      </c>
      <c r="AG577" s="4636"/>
      <c r="AH577" s="4636"/>
      <c r="AI577" s="4636"/>
      <c r="AJ577" s="4636"/>
      <c r="AK577" s="4636"/>
      <c r="AL577" s="4626"/>
      <c r="AM577" s="4626" t="s">
        <v>5249</v>
      </c>
      <c r="AN577" s="4626"/>
      <c r="AO577" s="4626"/>
      <c r="AP577" s="4626"/>
      <c r="AQ577" s="4626"/>
      <c r="AR577" s="4626"/>
      <c r="AS577" s="4626"/>
      <c r="AT577" s="4317"/>
      <c r="AU577" s="4317"/>
      <c r="AV577" s="4317"/>
      <c r="AW577" s="4317"/>
      <c r="AX577" s="4317"/>
      <c r="AY577" s="4317"/>
      <c r="AZ577" s="4317"/>
      <c r="BA577" s="4317"/>
      <c r="BB577" s="4317"/>
      <c r="BC577" s="4317"/>
      <c r="BD577" s="4317"/>
      <c r="BE577" s="4317"/>
      <c r="BF577" s="4317"/>
      <c r="BG577" s="4317"/>
      <c r="BH577" s="4317"/>
      <c r="BI577" s="4317"/>
      <c r="BJ577" s="4317"/>
      <c r="BK577" s="4317"/>
      <c r="BL577" s="4317"/>
      <c r="BM577" s="4317"/>
      <c r="BN577" s="4317"/>
      <c r="BO577" s="4317"/>
      <c r="BP577" s="4317"/>
      <c r="BQ577" s="4317"/>
      <c r="BR577" s="4317"/>
      <c r="BS577" s="4317"/>
      <c r="BT577" s="4317"/>
      <c r="BU577" s="4317"/>
      <c r="BV577" s="4317"/>
      <c r="BW577" s="4317"/>
      <c r="BX577" s="4317"/>
      <c r="BY577" s="4317"/>
      <c r="BZ577" s="4317"/>
      <c r="CA577" s="4317"/>
      <c r="CB577" s="4317"/>
      <c r="CC577" s="4317"/>
      <c r="CD577" s="4317"/>
      <c r="CE577" s="4317"/>
      <c r="CF577" s="4317"/>
      <c r="CG577" s="4317"/>
      <c r="CH577" s="4317"/>
      <c r="CI577" s="4317"/>
      <c r="CJ577" s="4317"/>
      <c r="CK577" s="4317"/>
      <c r="CL577" s="4317"/>
      <c r="CM577" s="4317"/>
      <c r="CN577" s="4317"/>
      <c r="CO577" s="4317"/>
      <c r="CP577" s="4317"/>
      <c r="CQ577" s="4317"/>
      <c r="CR577" s="4317"/>
      <c r="CS577" s="4317"/>
      <c r="CT577" s="4317"/>
      <c r="CU577" s="4317"/>
      <c r="CV577" s="4317"/>
      <c r="CW577" s="4317"/>
      <c r="CX577" s="4317"/>
      <c r="CY577" s="4317"/>
      <c r="CZ577" s="4317"/>
      <c r="DA577" s="4317"/>
      <c r="DB577" s="4317"/>
      <c r="DC577" s="4317"/>
      <c r="DD577" s="4317"/>
      <c r="DE577" s="4317"/>
      <c r="DF577" s="4317"/>
      <c r="DG577" s="4317"/>
      <c r="DH577" s="4317"/>
      <c r="DI577" s="4317"/>
      <c r="DJ577" s="4317"/>
      <c r="DK577" s="4317"/>
      <c r="DL577" s="4317"/>
      <c r="DM577" s="4317"/>
      <c r="DN577" s="4317"/>
      <c r="DO577" s="4317"/>
      <c r="DP577" s="4317"/>
      <c r="DQ577" s="4317"/>
      <c r="DR577" s="4317"/>
      <c r="DS577" s="4317"/>
    </row>
    <row r="578" s="4134" customFormat="1" ht="15.75" hidden="1" spans="1:123">
      <c r="A578" s="4634" t="s">
        <v>5250</v>
      </c>
      <c r="B578" s="4634"/>
      <c r="C578" s="4634"/>
      <c r="D578" s="4634"/>
      <c r="E578" s="4634"/>
      <c r="F578" s="4640"/>
      <c r="G578" s="4640"/>
      <c r="H578" s="4640"/>
      <c r="I578" s="4640"/>
      <c r="J578" s="4640"/>
      <c r="K578" s="4640"/>
      <c r="L578" s="4640"/>
      <c r="M578" s="4640"/>
      <c r="N578" s="4636">
        <f>$F$576*F578</f>
        <v>0</v>
      </c>
      <c r="O578" s="4636"/>
      <c r="P578" s="4636"/>
      <c r="Q578" s="4636"/>
      <c r="R578" s="4636"/>
      <c r="S578" s="4636"/>
      <c r="T578" s="4637"/>
      <c r="U578" s="4637"/>
      <c r="V578" s="4637"/>
      <c r="W578" s="4637"/>
      <c r="X578" s="4637"/>
      <c r="Y578" s="4637"/>
      <c r="Z578" s="4636">
        <f t="shared" si="16"/>
        <v>0</v>
      </c>
      <c r="AA578" s="4636"/>
      <c r="AB578" s="4636"/>
      <c r="AC578" s="4636"/>
      <c r="AD578" s="4636"/>
      <c r="AE578" s="4636"/>
      <c r="AF578" s="4636">
        <f t="shared" ref="AF578:AF579" si="17">IF(T578-N578&lt;0,0,T578-N578)</f>
        <v>0</v>
      </c>
      <c r="AG578" s="4636"/>
      <c r="AH578" s="4636"/>
      <c r="AI578" s="4636"/>
      <c r="AJ578" s="4636"/>
      <c r="AK578" s="4636"/>
      <c r="AL578" s="4626"/>
      <c r="AM578" s="4626" t="s">
        <v>5251</v>
      </c>
      <c r="AN578" s="4626"/>
      <c r="AO578" s="4626"/>
      <c r="AP578" s="4626"/>
      <c r="AQ578" s="4626"/>
      <c r="AR578" s="4626"/>
      <c r="AS578" s="4626"/>
      <c r="AT578" s="4317"/>
      <c r="AU578" s="4317"/>
      <c r="AV578" s="4317"/>
      <c r="AW578" s="4317"/>
      <c r="AX578" s="4317"/>
      <c r="AY578" s="4317"/>
      <c r="AZ578" s="4317"/>
      <c r="BA578" s="4317"/>
      <c r="BB578" s="4317"/>
      <c r="BC578" s="4317"/>
      <c r="BD578" s="4317"/>
      <c r="BE578" s="4317"/>
      <c r="BF578" s="4317"/>
      <c r="BG578" s="4317"/>
      <c r="BH578" s="4317"/>
      <c r="BI578" s="4317"/>
      <c r="BJ578" s="4317"/>
      <c r="BK578" s="4317"/>
      <c r="BL578" s="4317"/>
      <c r="BM578" s="4317"/>
      <c r="BN578" s="4317"/>
      <c r="BO578" s="4317"/>
      <c r="BP578" s="4317"/>
      <c r="BQ578" s="4317"/>
      <c r="BR578" s="4317"/>
      <c r="BS578" s="4317"/>
      <c r="BT578" s="4317"/>
      <c r="BU578" s="4317"/>
      <c r="BV578" s="4317"/>
      <c r="BW578" s="4317"/>
      <c r="BX578" s="4317"/>
      <c r="BY578" s="4317"/>
      <c r="BZ578" s="4317"/>
      <c r="CA578" s="4317"/>
      <c r="CB578" s="4317"/>
      <c r="CC578" s="4317"/>
      <c r="CD578" s="4317"/>
      <c r="CE578" s="4317"/>
      <c r="CF578" s="4317"/>
      <c r="CG578" s="4317"/>
      <c r="CH578" s="4317"/>
      <c r="CI578" s="4317"/>
      <c r="CJ578" s="4317"/>
      <c r="CK578" s="4317"/>
      <c r="CL578" s="4317"/>
      <c r="CM578" s="4317"/>
      <c r="CN578" s="4317"/>
      <c r="CO578" s="4317"/>
      <c r="CP578" s="4317"/>
      <c r="CQ578" s="4317"/>
      <c r="CR578" s="4317"/>
      <c r="CS578" s="4317"/>
      <c r="CT578" s="4317"/>
      <c r="CU578" s="4317"/>
      <c r="CV578" s="4317"/>
      <c r="CW578" s="4317"/>
      <c r="CX578" s="4317"/>
      <c r="CY578" s="4317"/>
      <c r="CZ578" s="4317"/>
      <c r="DA578" s="4317"/>
      <c r="DB578" s="4317"/>
      <c r="DC578" s="4317"/>
      <c r="DD578" s="4317"/>
      <c r="DE578" s="4317"/>
      <c r="DF578" s="4317"/>
      <c r="DG578" s="4317"/>
      <c r="DH578" s="4317"/>
      <c r="DI578" s="4317"/>
      <c r="DJ578" s="4317"/>
      <c r="DK578" s="4317"/>
      <c r="DL578" s="4317"/>
      <c r="DM578" s="4317"/>
      <c r="DN578" s="4317"/>
      <c r="DO578" s="4317"/>
      <c r="DP578" s="4317"/>
      <c r="DQ578" s="4317"/>
      <c r="DR578" s="4317"/>
      <c r="DS578" s="4317"/>
    </row>
    <row r="579" s="4134" customFormat="1" ht="15.75" hidden="1" spans="1:123">
      <c r="A579" s="4634" t="s">
        <v>5252</v>
      </c>
      <c r="B579" s="4634"/>
      <c r="C579" s="4634"/>
      <c r="D579" s="4634"/>
      <c r="E579" s="4634"/>
      <c r="F579" s="4640"/>
      <c r="G579" s="4640"/>
      <c r="H579" s="4640"/>
      <c r="I579" s="4640"/>
      <c r="J579" s="4640"/>
      <c r="K579" s="4640"/>
      <c r="L579" s="4640"/>
      <c r="M579" s="4640"/>
      <c r="N579" s="4636">
        <f>$F$576*F579</f>
        <v>0</v>
      </c>
      <c r="O579" s="4636"/>
      <c r="P579" s="4636"/>
      <c r="Q579" s="4636"/>
      <c r="R579" s="4636"/>
      <c r="S579" s="4636"/>
      <c r="T579" s="4637"/>
      <c r="U579" s="4637"/>
      <c r="V579" s="4637"/>
      <c r="W579" s="4637"/>
      <c r="X579" s="4637"/>
      <c r="Y579" s="4637"/>
      <c r="Z579" s="4636">
        <f t="shared" si="16"/>
        <v>0</v>
      </c>
      <c r="AA579" s="4636"/>
      <c r="AB579" s="4636"/>
      <c r="AC579" s="4636"/>
      <c r="AD579" s="4636"/>
      <c r="AE579" s="4636"/>
      <c r="AF579" s="4636">
        <f t="shared" si="17"/>
        <v>0</v>
      </c>
      <c r="AG579" s="4636"/>
      <c r="AH579" s="4636"/>
      <c r="AI579" s="4636"/>
      <c r="AJ579" s="4636"/>
      <c r="AK579" s="4636"/>
      <c r="AL579" s="4626"/>
      <c r="AM579" s="4626" t="s">
        <v>5253</v>
      </c>
      <c r="AN579" s="4626"/>
      <c r="AO579" s="4626"/>
      <c r="AP579" s="4626"/>
      <c r="AQ579" s="4626"/>
      <c r="AR579" s="4626"/>
      <c r="AS579" s="4626"/>
      <c r="AT579" s="4317"/>
      <c r="AU579" s="4317"/>
      <c r="AV579" s="4317"/>
      <c r="AW579" s="4317"/>
      <c r="AX579" s="4317"/>
      <c r="AY579" s="4317"/>
      <c r="AZ579" s="4317"/>
      <c r="BA579" s="4317"/>
      <c r="BB579" s="4317"/>
      <c r="BC579" s="4317"/>
      <c r="BD579" s="4317"/>
      <c r="BE579" s="4317"/>
      <c r="BF579" s="4317"/>
      <c r="BG579" s="4317"/>
      <c r="BH579" s="4317"/>
      <c r="BI579" s="4317"/>
      <c r="BJ579" s="4317"/>
      <c r="BK579" s="4317"/>
      <c r="BL579" s="4317"/>
      <c r="BM579" s="4317"/>
      <c r="BN579" s="4317"/>
      <c r="BO579" s="4317"/>
      <c r="BP579" s="4317"/>
      <c r="BQ579" s="4317"/>
      <c r="BR579" s="4317"/>
      <c r="BS579" s="4317"/>
      <c r="BT579" s="4317"/>
      <c r="BU579" s="4317"/>
      <c r="BV579" s="4317"/>
      <c r="BW579" s="4317"/>
      <c r="BX579" s="4317"/>
      <c r="BY579" s="4317"/>
      <c r="BZ579" s="4317"/>
      <c r="CA579" s="4317"/>
      <c r="CB579" s="4317"/>
      <c r="CC579" s="4317"/>
      <c r="CD579" s="4317"/>
      <c r="CE579" s="4317"/>
      <c r="CF579" s="4317"/>
      <c r="CG579" s="4317"/>
      <c r="CH579" s="4317"/>
      <c r="CI579" s="4317"/>
      <c r="CJ579" s="4317"/>
      <c r="CK579" s="4317"/>
      <c r="CL579" s="4317"/>
      <c r="CM579" s="4317"/>
      <c r="CN579" s="4317"/>
      <c r="CO579" s="4317"/>
      <c r="CP579" s="4317"/>
      <c r="CQ579" s="4317"/>
      <c r="CR579" s="4317"/>
      <c r="CS579" s="4317"/>
      <c r="CT579" s="4317"/>
      <c r="CU579" s="4317"/>
      <c r="CV579" s="4317"/>
      <c r="CW579" s="4317"/>
      <c r="CX579" s="4317"/>
      <c r="CY579" s="4317"/>
      <c r="CZ579" s="4317"/>
      <c r="DA579" s="4317"/>
      <c r="DB579" s="4317"/>
      <c r="DC579" s="4317"/>
      <c r="DD579" s="4317"/>
      <c r="DE579" s="4317"/>
      <c r="DF579" s="4317"/>
      <c r="DG579" s="4317"/>
      <c r="DH579" s="4317"/>
      <c r="DI579" s="4317"/>
      <c r="DJ579" s="4317"/>
      <c r="DK579" s="4317"/>
      <c r="DL579" s="4317"/>
      <c r="DM579" s="4317"/>
      <c r="DN579" s="4317"/>
      <c r="DO579" s="4317"/>
      <c r="DP579" s="4317"/>
      <c r="DQ579" s="4317"/>
      <c r="DR579" s="4317"/>
      <c r="DS579" s="4317"/>
    </row>
    <row r="580" s="4133" customFormat="1" hidden="1" spans="1:123">
      <c r="A580" s="4616"/>
      <c r="B580" s="4650"/>
      <c r="C580" s="4650"/>
      <c r="D580" s="4650"/>
      <c r="E580" s="4650"/>
      <c r="F580" s="4650"/>
      <c r="G580" s="4650"/>
      <c r="H580" s="4650"/>
      <c r="I580" s="4650"/>
      <c r="J580" s="4650"/>
      <c r="K580" s="4650"/>
      <c r="L580" s="4650"/>
      <c r="M580" s="4650"/>
      <c r="N580" s="4650"/>
      <c r="O580" s="4650"/>
      <c r="P580" s="4650"/>
      <c r="Q580" s="4650"/>
      <c r="R580" s="4650"/>
      <c r="S580" s="4650"/>
      <c r="T580" s="4650"/>
      <c r="U580" s="4650"/>
      <c r="V580" s="4650"/>
      <c r="W580" s="4650"/>
      <c r="X580" s="4650"/>
      <c r="Y580" s="4650"/>
      <c r="Z580" s="4650"/>
      <c r="AA580" s="4650"/>
      <c r="AB580" s="4650"/>
      <c r="AC580" s="4650"/>
      <c r="AD580" s="4650"/>
      <c r="AE580" s="4650"/>
      <c r="AF580" s="4650"/>
      <c r="AG580" s="4650"/>
      <c r="AH580" s="4650"/>
      <c r="AI580" s="4650"/>
      <c r="AJ580" s="4650"/>
      <c r="AK580" s="4650"/>
      <c r="AL580" s="4650"/>
      <c r="AM580" s="4650"/>
      <c r="AN580" s="4650"/>
      <c r="AO580" s="4650"/>
      <c r="AP580" s="4650"/>
      <c r="AQ580" s="4650"/>
      <c r="AR580" s="4650"/>
      <c r="AS580" s="4650"/>
      <c r="AT580" s="3952"/>
      <c r="AU580" s="3952"/>
      <c r="AV580" s="3952"/>
      <c r="AW580" s="3952"/>
      <c r="AX580" s="3952"/>
      <c r="AY580" s="3952"/>
      <c r="AZ580" s="3952"/>
      <c r="BA580" s="3952"/>
      <c r="BB580" s="3952"/>
      <c r="BC580" s="3952"/>
      <c r="BD580" s="3952"/>
      <c r="BE580" s="3952"/>
      <c r="BF580" s="3952"/>
      <c r="BG580" s="3952"/>
      <c r="BH580" s="3952"/>
      <c r="BI580" s="3952"/>
      <c r="BJ580" s="3952"/>
      <c r="BK580" s="3952"/>
      <c r="BL580" s="3952"/>
      <c r="BM580" s="3952"/>
      <c r="BN580" s="3952"/>
      <c r="BO580" s="3952"/>
      <c r="BP580" s="3952"/>
      <c r="BQ580" s="3952"/>
      <c r="BR580" s="3952"/>
      <c r="BS580" s="3952"/>
      <c r="BT580" s="3952"/>
      <c r="BU580" s="3952"/>
      <c r="BV580" s="3952"/>
      <c r="BW580" s="3952"/>
      <c r="BX580" s="3952"/>
      <c r="BY580" s="3952"/>
      <c r="BZ580" s="3952"/>
      <c r="CA580" s="3952"/>
      <c r="CB580" s="3952"/>
      <c r="CC580" s="3952"/>
      <c r="CD580" s="3952"/>
      <c r="CE580" s="3952"/>
      <c r="CF580" s="3952"/>
      <c r="CG580" s="3952"/>
      <c r="CH580" s="3952"/>
      <c r="CI580" s="3952"/>
      <c r="CJ580" s="3952"/>
      <c r="CK580" s="3952"/>
      <c r="CL580" s="3952"/>
      <c r="CM580" s="3952"/>
      <c r="CN580" s="3952"/>
      <c r="CO580" s="3952"/>
      <c r="CP580" s="3952"/>
      <c r="CQ580" s="3952"/>
      <c r="CR580" s="3952"/>
      <c r="CS580" s="3952"/>
      <c r="CT580" s="3952"/>
      <c r="CU580" s="3952"/>
      <c r="CV580" s="3952"/>
      <c r="CW580" s="3952"/>
      <c r="CX580" s="3952"/>
      <c r="CY580" s="3952"/>
      <c r="CZ580" s="3952"/>
      <c r="DA580" s="3952"/>
      <c r="DB580" s="3952"/>
      <c r="DC580" s="3952"/>
      <c r="DD580" s="3952"/>
      <c r="DE580" s="3952"/>
      <c r="DF580" s="3952"/>
      <c r="DG580" s="3952"/>
      <c r="DH580" s="3952"/>
      <c r="DI580" s="3952"/>
      <c r="DJ580" s="3952"/>
      <c r="DK580" s="3952"/>
      <c r="DL580" s="3952"/>
      <c r="DM580" s="3952"/>
      <c r="DN580" s="3952"/>
      <c r="DO580" s="3952"/>
      <c r="DP580" s="3952"/>
      <c r="DQ580" s="3952"/>
      <c r="DR580" s="3952"/>
      <c r="DS580" s="3952"/>
    </row>
    <row r="581" s="4133" customFormat="1" hidden="1" spans="1:123">
      <c r="A581" s="4616"/>
      <c r="B581" s="4650"/>
      <c r="C581" s="4650"/>
      <c r="D581" s="4650"/>
      <c r="E581" s="4650"/>
      <c r="F581" s="4650"/>
      <c r="G581" s="4650"/>
      <c r="H581" s="4650"/>
      <c r="I581" s="4650"/>
      <c r="J581" s="4650"/>
      <c r="K581" s="4650"/>
      <c r="L581" s="4650"/>
      <c r="M581" s="4650"/>
      <c r="N581" s="4650"/>
      <c r="O581" s="4650"/>
      <c r="P581" s="4650"/>
      <c r="Q581" s="4650"/>
      <c r="R581" s="4650"/>
      <c r="S581" s="4650"/>
      <c r="T581" s="4650"/>
      <c r="U581" s="4650"/>
      <c r="V581" s="4650"/>
      <c r="W581" s="4650"/>
      <c r="X581" s="4650"/>
      <c r="Y581" s="4650"/>
      <c r="Z581" s="4650"/>
      <c r="AA581" s="4650"/>
      <c r="AB581" s="4650"/>
      <c r="AC581" s="4650"/>
      <c r="AD581" s="4650"/>
      <c r="AE581" s="4650"/>
      <c r="AF581" s="4650"/>
      <c r="AG581" s="4650"/>
      <c r="AH581" s="4650"/>
      <c r="AI581" s="4650"/>
      <c r="AJ581" s="4650"/>
      <c r="AK581" s="4650"/>
      <c r="AL581" s="4650"/>
      <c r="AM581" s="4650"/>
      <c r="AN581" s="4650"/>
      <c r="AO581" s="4650"/>
      <c r="AP581" s="4650"/>
      <c r="AQ581" s="4650"/>
      <c r="AR581" s="4650"/>
      <c r="AS581" s="4650"/>
      <c r="AT581" s="3952"/>
      <c r="AU581" s="3952"/>
      <c r="AV581" s="3952"/>
      <c r="AW581" s="3952"/>
      <c r="AX581" s="3952"/>
      <c r="AY581" s="3952"/>
      <c r="AZ581" s="3952"/>
      <c r="BA581" s="3952"/>
      <c r="BB581" s="3952"/>
      <c r="BC581" s="3952"/>
      <c r="BD581" s="3952"/>
      <c r="BE581" s="3952"/>
      <c r="BF581" s="3952"/>
      <c r="BG581" s="3952"/>
      <c r="BH581" s="3952"/>
      <c r="BI581" s="3952"/>
      <c r="BJ581" s="3952"/>
      <c r="BK581" s="3952"/>
      <c r="BL581" s="3952"/>
      <c r="BM581" s="3952"/>
      <c r="BN581" s="3952"/>
      <c r="BO581" s="3952"/>
      <c r="BP581" s="3952"/>
      <c r="BQ581" s="3952"/>
      <c r="BR581" s="3952"/>
      <c r="BS581" s="3952"/>
      <c r="BT581" s="3952"/>
      <c r="BU581" s="3952"/>
      <c r="BV581" s="3952"/>
      <c r="BW581" s="3952"/>
      <c r="BX581" s="3952"/>
      <c r="BY581" s="3952"/>
      <c r="BZ581" s="3952"/>
      <c r="CA581" s="3952"/>
      <c r="CB581" s="3952"/>
      <c r="CC581" s="3952"/>
      <c r="CD581" s="3952"/>
      <c r="CE581" s="3952"/>
      <c r="CF581" s="3952"/>
      <c r="CG581" s="3952"/>
      <c r="CH581" s="3952"/>
      <c r="CI581" s="3952"/>
      <c r="CJ581" s="3952"/>
      <c r="CK581" s="3952"/>
      <c r="CL581" s="3952"/>
      <c r="CM581" s="3952"/>
      <c r="CN581" s="3952"/>
      <c r="CO581" s="3952"/>
      <c r="CP581" s="3952"/>
      <c r="CQ581" s="3952"/>
      <c r="CR581" s="3952"/>
      <c r="CS581" s="3952"/>
      <c r="CT581" s="3952"/>
      <c r="CU581" s="3952"/>
      <c r="CV581" s="3952"/>
      <c r="CW581" s="3952"/>
      <c r="CX581" s="3952"/>
      <c r="CY581" s="3952"/>
      <c r="CZ581" s="3952"/>
      <c r="DA581" s="3952"/>
      <c r="DB581" s="3952"/>
      <c r="DC581" s="3952"/>
      <c r="DD581" s="3952"/>
      <c r="DE581" s="3952"/>
      <c r="DF581" s="3952"/>
      <c r="DG581" s="3952"/>
      <c r="DH581" s="3952"/>
      <c r="DI581" s="3952"/>
      <c r="DJ581" s="3952"/>
      <c r="DK581" s="3952"/>
      <c r="DL581" s="3952"/>
      <c r="DM581" s="3952"/>
      <c r="DN581" s="3952"/>
      <c r="DO581" s="3952"/>
      <c r="DP581" s="3952"/>
      <c r="DQ581" s="3952"/>
      <c r="DR581" s="3952"/>
      <c r="DS581" s="3952"/>
    </row>
    <row r="582" s="4133" customFormat="1" hidden="1" spans="1:123">
      <c r="A582" s="4616"/>
      <c r="B582" s="4650"/>
      <c r="C582" s="4650"/>
      <c r="D582" s="4650"/>
      <c r="E582" s="4650"/>
      <c r="F582" s="4650"/>
      <c r="G582" s="4650"/>
      <c r="H582" s="4650"/>
      <c r="I582" s="4650"/>
      <c r="J582" s="4650"/>
      <c r="K582" s="4650"/>
      <c r="L582" s="4650"/>
      <c r="M582" s="4650"/>
      <c r="N582" s="4650"/>
      <c r="O582" s="4650"/>
      <c r="P582" s="4650"/>
      <c r="Q582" s="4650"/>
      <c r="R582" s="4650"/>
      <c r="S582" s="4650"/>
      <c r="T582" s="4650"/>
      <c r="U582" s="4650"/>
      <c r="V582" s="4650"/>
      <c r="W582" s="4650"/>
      <c r="X582" s="4650"/>
      <c r="Y582" s="4650"/>
      <c r="Z582" s="4650"/>
      <c r="AA582" s="4650"/>
      <c r="AB582" s="4650"/>
      <c r="AC582" s="4650"/>
      <c r="AD582" s="4650"/>
      <c r="AE582" s="4650"/>
      <c r="AF582" s="4650"/>
      <c r="AG582" s="4650"/>
      <c r="AH582" s="4650"/>
      <c r="AI582" s="4650"/>
      <c r="AJ582" s="4650"/>
      <c r="AK582" s="4650"/>
      <c r="AL582" s="4650"/>
      <c r="AM582" s="4650"/>
      <c r="AN582" s="4650"/>
      <c r="AO582" s="4650"/>
      <c r="AP582" s="4650"/>
      <c r="AQ582" s="4650"/>
      <c r="AR582" s="4650"/>
      <c r="AS582" s="4650"/>
      <c r="AT582" s="3952"/>
      <c r="AU582" s="3952"/>
      <c r="AV582" s="3952"/>
      <c r="AW582" s="3952"/>
      <c r="AX582" s="3952"/>
      <c r="AY582" s="3952"/>
      <c r="AZ582" s="3952"/>
      <c r="BA582" s="3952"/>
      <c r="BB582" s="3952"/>
      <c r="BC582" s="3952"/>
      <c r="BD582" s="3952"/>
      <c r="BE582" s="3952"/>
      <c r="BF582" s="3952"/>
      <c r="BG582" s="3952"/>
      <c r="BH582" s="3952"/>
      <c r="BI582" s="3952"/>
      <c r="BJ582" s="3952"/>
      <c r="BK582" s="3952"/>
      <c r="BL582" s="3952"/>
      <c r="BM582" s="3952"/>
      <c r="BN582" s="3952"/>
      <c r="BO582" s="3952"/>
      <c r="BP582" s="3952"/>
      <c r="BQ582" s="3952"/>
      <c r="BR582" s="3952"/>
      <c r="BS582" s="3952"/>
      <c r="BT582" s="3952"/>
      <c r="BU582" s="3952"/>
      <c r="BV582" s="3952"/>
      <c r="BW582" s="3952"/>
      <c r="BX582" s="3952"/>
      <c r="BY582" s="3952"/>
      <c r="BZ582" s="3952"/>
      <c r="CA582" s="3952"/>
      <c r="CB582" s="3952"/>
      <c r="CC582" s="3952"/>
      <c r="CD582" s="3952"/>
      <c r="CE582" s="3952"/>
      <c r="CF582" s="3952"/>
      <c r="CG582" s="3952"/>
      <c r="CH582" s="3952"/>
      <c r="CI582" s="3952"/>
      <c r="CJ582" s="3952"/>
      <c r="CK582" s="3952"/>
      <c r="CL582" s="3952"/>
      <c r="CM582" s="3952"/>
      <c r="CN582" s="3952"/>
      <c r="CO582" s="3952"/>
      <c r="CP582" s="3952"/>
      <c r="CQ582" s="3952"/>
      <c r="CR582" s="3952"/>
      <c r="CS582" s="3952"/>
      <c r="CT582" s="3952"/>
      <c r="CU582" s="3952"/>
      <c r="CV582" s="3952"/>
      <c r="CW582" s="3952"/>
      <c r="CX582" s="3952"/>
      <c r="CY582" s="3952"/>
      <c r="CZ582" s="3952"/>
      <c r="DA582" s="3952"/>
      <c r="DB582" s="3952"/>
      <c r="DC582" s="3952"/>
      <c r="DD582" s="3952"/>
      <c r="DE582" s="3952"/>
      <c r="DF582" s="3952"/>
      <c r="DG582" s="3952"/>
      <c r="DH582" s="3952"/>
      <c r="DI582" s="3952"/>
      <c r="DJ582" s="3952"/>
      <c r="DK582" s="3952"/>
      <c r="DL582" s="3952"/>
      <c r="DM582" s="3952"/>
      <c r="DN582" s="3952"/>
      <c r="DO582" s="3952"/>
      <c r="DP582" s="3952"/>
      <c r="DQ582" s="3952"/>
      <c r="DR582" s="3952"/>
      <c r="DS582" s="3952"/>
    </row>
    <row r="583" s="4133" customFormat="1" hidden="1" spans="1:123">
      <c r="A583" s="4616"/>
      <c r="B583" s="4650"/>
      <c r="C583" s="4650"/>
      <c r="D583" s="4650"/>
      <c r="E583" s="4650"/>
      <c r="F583" s="4650"/>
      <c r="G583" s="4650"/>
      <c r="H583" s="4650"/>
      <c r="I583" s="4650"/>
      <c r="J583" s="4650"/>
      <c r="K583" s="4650"/>
      <c r="L583" s="4650"/>
      <c r="M583" s="4650"/>
      <c r="N583" s="4650"/>
      <c r="O583" s="4650"/>
      <c r="P583" s="4650"/>
      <c r="Q583" s="4650"/>
      <c r="R583" s="4650"/>
      <c r="S583" s="4650"/>
      <c r="T583" s="4650"/>
      <c r="U583" s="4650"/>
      <c r="V583" s="4650"/>
      <c r="W583" s="4650"/>
      <c r="X583" s="4650"/>
      <c r="Y583" s="4650"/>
      <c r="Z583" s="4650"/>
      <c r="AA583" s="4650"/>
      <c r="AB583" s="4650"/>
      <c r="AC583" s="4650"/>
      <c r="AD583" s="4650"/>
      <c r="AE583" s="4650"/>
      <c r="AF583" s="4650"/>
      <c r="AG583" s="4650"/>
      <c r="AH583" s="4650"/>
      <c r="AI583" s="4650"/>
      <c r="AJ583" s="4650"/>
      <c r="AK583" s="4650"/>
      <c r="AL583" s="4650"/>
      <c r="AM583" s="4650"/>
      <c r="AN583" s="4650"/>
      <c r="AO583" s="4650"/>
      <c r="AP583" s="4650"/>
      <c r="AQ583" s="4650"/>
      <c r="AR583" s="4650"/>
      <c r="AS583" s="4650"/>
      <c r="AT583" s="3952"/>
      <c r="AU583" s="3952"/>
      <c r="AV583" s="3952"/>
      <c r="AW583" s="3952"/>
      <c r="AX583" s="3952"/>
      <c r="AY583" s="3952"/>
      <c r="AZ583" s="3952"/>
      <c r="BA583" s="3952"/>
      <c r="BB583" s="3952"/>
      <c r="BC583" s="3952"/>
      <c r="BD583" s="3952"/>
      <c r="BE583" s="3952"/>
      <c r="BF583" s="3952"/>
      <c r="BG583" s="3952"/>
      <c r="BH583" s="3952"/>
      <c r="BI583" s="3952"/>
      <c r="BJ583" s="3952"/>
      <c r="BK583" s="3952"/>
      <c r="BL583" s="3952"/>
      <c r="BM583" s="3952"/>
      <c r="BN583" s="3952"/>
      <c r="BO583" s="3952"/>
      <c r="BP583" s="3952"/>
      <c r="BQ583" s="3952"/>
      <c r="BR583" s="3952"/>
      <c r="BS583" s="3952"/>
      <c r="BT583" s="3952"/>
      <c r="BU583" s="3952"/>
      <c r="BV583" s="3952"/>
      <c r="BW583" s="3952"/>
      <c r="BX583" s="3952"/>
      <c r="BY583" s="3952"/>
      <c r="BZ583" s="3952"/>
      <c r="CA583" s="3952"/>
      <c r="CB583" s="3952"/>
      <c r="CC583" s="3952"/>
      <c r="CD583" s="3952"/>
      <c r="CE583" s="3952"/>
      <c r="CF583" s="3952"/>
      <c r="CG583" s="3952"/>
      <c r="CH583" s="3952"/>
      <c r="CI583" s="3952"/>
      <c r="CJ583" s="3952"/>
      <c r="CK583" s="3952"/>
      <c r="CL583" s="3952"/>
      <c r="CM583" s="3952"/>
      <c r="CN583" s="3952"/>
      <c r="CO583" s="3952"/>
      <c r="CP583" s="3952"/>
      <c r="CQ583" s="3952"/>
      <c r="CR583" s="3952"/>
      <c r="CS583" s="3952"/>
      <c r="CT583" s="3952"/>
      <c r="CU583" s="3952"/>
      <c r="CV583" s="3952"/>
      <c r="CW583" s="3952"/>
      <c r="CX583" s="3952"/>
      <c r="CY583" s="3952"/>
      <c r="CZ583" s="3952"/>
      <c r="DA583" s="3952"/>
      <c r="DB583" s="3952"/>
      <c r="DC583" s="3952"/>
      <c r="DD583" s="3952"/>
      <c r="DE583" s="3952"/>
      <c r="DF583" s="3952"/>
      <c r="DG583" s="3952"/>
      <c r="DH583" s="3952"/>
      <c r="DI583" s="3952"/>
      <c r="DJ583" s="3952"/>
      <c r="DK583" s="3952"/>
      <c r="DL583" s="3952"/>
      <c r="DM583" s="3952"/>
      <c r="DN583" s="3952"/>
      <c r="DO583" s="3952"/>
      <c r="DP583" s="3952"/>
      <c r="DQ583" s="3952"/>
      <c r="DR583" s="3952"/>
      <c r="DS583" s="3952"/>
    </row>
    <row r="584" s="4133" customFormat="1" hidden="1" spans="1:123">
      <c r="A584" s="4616"/>
      <c r="B584" s="4650"/>
      <c r="C584" s="4650"/>
      <c r="D584" s="4650"/>
      <c r="E584" s="4650"/>
      <c r="F584" s="4650"/>
      <c r="G584" s="4650"/>
      <c r="H584" s="4650"/>
      <c r="I584" s="4650"/>
      <c r="J584" s="4650"/>
      <c r="K584" s="4650"/>
      <c r="L584" s="4650"/>
      <c r="M584" s="4650"/>
      <c r="N584" s="4650"/>
      <c r="O584" s="4650"/>
      <c r="P584" s="4650"/>
      <c r="Q584" s="4650"/>
      <c r="R584" s="4650"/>
      <c r="S584" s="4650"/>
      <c r="T584" s="4650"/>
      <c r="U584" s="4650"/>
      <c r="V584" s="4650"/>
      <c r="W584" s="4650"/>
      <c r="X584" s="4650"/>
      <c r="Y584" s="4650"/>
      <c r="Z584" s="4650"/>
      <c r="AA584" s="4650"/>
      <c r="AB584" s="4650"/>
      <c r="AC584" s="4650"/>
      <c r="AD584" s="4650"/>
      <c r="AE584" s="4650"/>
      <c r="AF584" s="4650"/>
      <c r="AG584" s="4650"/>
      <c r="AH584" s="4650"/>
      <c r="AI584" s="4650"/>
      <c r="AJ584" s="4650"/>
      <c r="AK584" s="4650"/>
      <c r="AL584" s="4650"/>
      <c r="AM584" s="4650"/>
      <c r="AN584" s="4650"/>
      <c r="AO584" s="4650"/>
      <c r="AP584" s="4650"/>
      <c r="AQ584" s="4650"/>
      <c r="AR584" s="4650"/>
      <c r="AS584" s="4650"/>
      <c r="AT584" s="3952"/>
      <c r="AU584" s="3952"/>
      <c r="AV584" s="3952"/>
      <c r="AW584" s="3952"/>
      <c r="AX584" s="3952"/>
      <c r="AY584" s="3952"/>
      <c r="AZ584" s="3952"/>
      <c r="BA584" s="3952"/>
      <c r="BB584" s="3952"/>
      <c r="BC584" s="3952"/>
      <c r="BD584" s="3952"/>
      <c r="BE584" s="3952"/>
      <c r="BF584" s="3952"/>
      <c r="BG584" s="3952"/>
      <c r="BH584" s="3952"/>
      <c r="BI584" s="3952"/>
      <c r="BJ584" s="3952"/>
      <c r="BK584" s="3952"/>
      <c r="BL584" s="3952"/>
      <c r="BM584" s="3952"/>
      <c r="BN584" s="3952"/>
      <c r="BO584" s="3952"/>
      <c r="BP584" s="3952"/>
      <c r="BQ584" s="3952"/>
      <c r="BR584" s="3952"/>
      <c r="BS584" s="3952"/>
      <c r="BT584" s="3952"/>
      <c r="BU584" s="3952"/>
      <c r="BV584" s="3952"/>
      <c r="BW584" s="3952"/>
      <c r="BX584" s="3952"/>
      <c r="BY584" s="3952"/>
      <c r="BZ584" s="3952"/>
      <c r="CA584" s="3952"/>
      <c r="CB584" s="3952"/>
      <c r="CC584" s="3952"/>
      <c r="CD584" s="3952"/>
      <c r="CE584" s="3952"/>
      <c r="CF584" s="3952"/>
      <c r="CG584" s="3952"/>
      <c r="CH584" s="3952"/>
      <c r="CI584" s="3952"/>
      <c r="CJ584" s="3952"/>
      <c r="CK584" s="3952"/>
      <c r="CL584" s="3952"/>
      <c r="CM584" s="3952"/>
      <c r="CN584" s="3952"/>
      <c r="CO584" s="3952"/>
      <c r="CP584" s="3952"/>
      <c r="CQ584" s="3952"/>
      <c r="CR584" s="3952"/>
      <c r="CS584" s="3952"/>
      <c r="CT584" s="3952"/>
      <c r="CU584" s="3952"/>
      <c r="CV584" s="3952"/>
      <c r="CW584" s="3952"/>
      <c r="CX584" s="3952"/>
      <c r="CY584" s="3952"/>
      <c r="CZ584" s="3952"/>
      <c r="DA584" s="3952"/>
      <c r="DB584" s="3952"/>
      <c r="DC584" s="3952"/>
      <c r="DD584" s="3952"/>
      <c r="DE584" s="3952"/>
      <c r="DF584" s="3952"/>
      <c r="DG584" s="3952"/>
      <c r="DH584" s="3952"/>
      <c r="DI584" s="3952"/>
      <c r="DJ584" s="3952"/>
      <c r="DK584" s="3952"/>
      <c r="DL584" s="3952"/>
      <c r="DM584" s="3952"/>
      <c r="DN584" s="3952"/>
      <c r="DO584" s="3952"/>
      <c r="DP584" s="3952"/>
      <c r="DQ584" s="3952"/>
      <c r="DR584" s="3952"/>
      <c r="DS584" s="3952"/>
    </row>
    <row r="585" s="4133" customFormat="1" hidden="1" spans="1:123">
      <c r="A585" s="4616"/>
      <c r="B585" s="4650"/>
      <c r="C585" s="4650"/>
      <c r="D585" s="4650"/>
      <c r="E585" s="4650"/>
      <c r="F585" s="4650"/>
      <c r="G585" s="4650"/>
      <c r="H585" s="4650"/>
      <c r="I585" s="4650"/>
      <c r="J585" s="4650"/>
      <c r="K585" s="4650"/>
      <c r="L585" s="4650"/>
      <c r="M585" s="4650"/>
      <c r="N585" s="4650"/>
      <c r="O585" s="4650"/>
      <c r="P585" s="4650"/>
      <c r="Q585" s="4650"/>
      <c r="R585" s="4650"/>
      <c r="S585" s="4650"/>
      <c r="T585" s="4650"/>
      <c r="U585" s="4650"/>
      <c r="V585" s="4650"/>
      <c r="W585" s="4650"/>
      <c r="X585" s="4650"/>
      <c r="Y585" s="4650"/>
      <c r="Z585" s="4650"/>
      <c r="AA585" s="4650"/>
      <c r="AB585" s="4650"/>
      <c r="AC585" s="4650"/>
      <c r="AD585" s="4650"/>
      <c r="AE585" s="4650"/>
      <c r="AF585" s="4650"/>
      <c r="AG585" s="4650"/>
      <c r="AH585" s="4650"/>
      <c r="AI585" s="4650"/>
      <c r="AJ585" s="4650"/>
      <c r="AK585" s="4650"/>
      <c r="AL585" s="4650"/>
      <c r="AM585" s="4650"/>
      <c r="AN585" s="4650"/>
      <c r="AO585" s="4650"/>
      <c r="AP585" s="4650"/>
      <c r="AQ585" s="4650"/>
      <c r="AR585" s="4650"/>
      <c r="AS585" s="4650"/>
      <c r="AT585" s="3952"/>
      <c r="AU585" s="3952"/>
      <c r="AV585" s="3952"/>
      <c r="AW585" s="3952"/>
      <c r="AX585" s="3952"/>
      <c r="AY585" s="3952"/>
      <c r="AZ585" s="3952"/>
      <c r="BA585" s="3952"/>
      <c r="BB585" s="3952"/>
      <c r="BC585" s="3952"/>
      <c r="BD585" s="3952"/>
      <c r="BE585" s="3952"/>
      <c r="BF585" s="3952"/>
      <c r="BG585" s="3952"/>
      <c r="BH585" s="3952"/>
      <c r="BI585" s="3952"/>
      <c r="BJ585" s="3952"/>
      <c r="BK585" s="3952"/>
      <c r="BL585" s="3952"/>
      <c r="BM585" s="3952"/>
      <c r="BN585" s="3952"/>
      <c r="BO585" s="3952"/>
      <c r="BP585" s="3952"/>
      <c r="BQ585" s="3952"/>
      <c r="BR585" s="3952"/>
      <c r="BS585" s="3952"/>
      <c r="BT585" s="3952"/>
      <c r="BU585" s="3952"/>
      <c r="BV585" s="3952"/>
      <c r="BW585" s="3952"/>
      <c r="BX585" s="3952"/>
      <c r="BY585" s="3952"/>
      <c r="BZ585" s="3952"/>
      <c r="CA585" s="3952"/>
      <c r="CB585" s="3952"/>
      <c r="CC585" s="3952"/>
      <c r="CD585" s="3952"/>
      <c r="CE585" s="3952"/>
      <c r="CF585" s="3952"/>
      <c r="CG585" s="3952"/>
      <c r="CH585" s="3952"/>
      <c r="CI585" s="3952"/>
      <c r="CJ585" s="3952"/>
      <c r="CK585" s="3952"/>
      <c r="CL585" s="3952"/>
      <c r="CM585" s="3952"/>
      <c r="CN585" s="3952"/>
      <c r="CO585" s="3952"/>
      <c r="CP585" s="3952"/>
      <c r="CQ585" s="3952"/>
      <c r="CR585" s="3952"/>
      <c r="CS585" s="3952"/>
      <c r="CT585" s="3952"/>
      <c r="CU585" s="3952"/>
      <c r="CV585" s="3952"/>
      <c r="CW585" s="3952"/>
      <c r="CX585" s="3952"/>
      <c r="CY585" s="3952"/>
      <c r="CZ585" s="3952"/>
      <c r="DA585" s="3952"/>
      <c r="DB585" s="3952"/>
      <c r="DC585" s="3952"/>
      <c r="DD585" s="3952"/>
      <c r="DE585" s="3952"/>
      <c r="DF585" s="3952"/>
      <c r="DG585" s="3952"/>
      <c r="DH585" s="3952"/>
      <c r="DI585" s="3952"/>
      <c r="DJ585" s="3952"/>
      <c r="DK585" s="3952"/>
      <c r="DL585" s="3952"/>
      <c r="DM585" s="3952"/>
      <c r="DN585" s="3952"/>
      <c r="DO585" s="3952"/>
      <c r="DP585" s="3952"/>
      <c r="DQ585" s="3952"/>
      <c r="DR585" s="3952"/>
      <c r="DS585" s="3952"/>
    </row>
    <row r="586" s="4133" customFormat="1" hidden="1" spans="1:123">
      <c r="A586" s="4616"/>
      <c r="B586" s="4650"/>
      <c r="C586" s="4650"/>
      <c r="D586" s="4650"/>
      <c r="E586" s="4650"/>
      <c r="F586" s="4650"/>
      <c r="G586" s="4650"/>
      <c r="H586" s="4650"/>
      <c r="I586" s="4650"/>
      <c r="J586" s="4650"/>
      <c r="K586" s="4650"/>
      <c r="L586" s="4650"/>
      <c r="M586" s="4650"/>
      <c r="N586" s="4650"/>
      <c r="O586" s="4650"/>
      <c r="P586" s="4650"/>
      <c r="Q586" s="4650"/>
      <c r="R586" s="4650"/>
      <c r="S586" s="4650"/>
      <c r="T586" s="4650"/>
      <c r="U586" s="4650"/>
      <c r="V586" s="4650"/>
      <c r="W586" s="4650"/>
      <c r="X586" s="4650"/>
      <c r="Y586" s="4650"/>
      <c r="Z586" s="4650"/>
      <c r="AA586" s="4650"/>
      <c r="AB586" s="4650"/>
      <c r="AC586" s="4650"/>
      <c r="AD586" s="4650"/>
      <c r="AE586" s="4650"/>
      <c r="AF586" s="4650"/>
      <c r="AG586" s="4650"/>
      <c r="AH586" s="4650"/>
      <c r="AI586" s="4650"/>
      <c r="AJ586" s="4650"/>
      <c r="AK586" s="4650"/>
      <c r="AL586" s="4650"/>
      <c r="AM586" s="4650"/>
      <c r="AN586" s="4650"/>
      <c r="AO586" s="4650"/>
      <c r="AP586" s="4650"/>
      <c r="AQ586" s="4650"/>
      <c r="AR586" s="4650"/>
      <c r="AS586" s="4650"/>
      <c r="AT586" s="3952"/>
      <c r="AU586" s="3952"/>
      <c r="AV586" s="3952"/>
      <c r="AW586" s="3952"/>
      <c r="AX586" s="3952"/>
      <c r="AY586" s="3952"/>
      <c r="AZ586" s="3952"/>
      <c r="BA586" s="3952"/>
      <c r="BB586" s="3952"/>
      <c r="BC586" s="3952"/>
      <c r="BD586" s="3952"/>
      <c r="BE586" s="3952"/>
      <c r="BF586" s="3952"/>
      <c r="BG586" s="3952"/>
      <c r="BH586" s="3952"/>
      <c r="BI586" s="3952"/>
      <c r="BJ586" s="3952"/>
      <c r="BK586" s="3952"/>
      <c r="BL586" s="3952"/>
      <c r="BM586" s="3952"/>
      <c r="BN586" s="3952"/>
      <c r="BO586" s="3952"/>
      <c r="BP586" s="3952"/>
      <c r="BQ586" s="3952"/>
      <c r="BR586" s="3952"/>
      <c r="BS586" s="3952"/>
      <c r="BT586" s="3952"/>
      <c r="BU586" s="3952"/>
      <c r="BV586" s="3952"/>
      <c r="BW586" s="3952"/>
      <c r="BX586" s="3952"/>
      <c r="BY586" s="3952"/>
      <c r="BZ586" s="3952"/>
      <c r="CA586" s="3952"/>
      <c r="CB586" s="3952"/>
      <c r="CC586" s="3952"/>
      <c r="CD586" s="3952"/>
      <c r="CE586" s="3952"/>
      <c r="CF586" s="3952"/>
      <c r="CG586" s="3952"/>
      <c r="CH586" s="3952"/>
      <c r="CI586" s="3952"/>
      <c r="CJ586" s="3952"/>
      <c r="CK586" s="3952"/>
      <c r="CL586" s="3952"/>
      <c r="CM586" s="3952"/>
      <c r="CN586" s="3952"/>
      <c r="CO586" s="3952"/>
      <c r="CP586" s="3952"/>
      <c r="CQ586" s="3952"/>
      <c r="CR586" s="3952"/>
      <c r="CS586" s="3952"/>
      <c r="CT586" s="3952"/>
      <c r="CU586" s="3952"/>
      <c r="CV586" s="3952"/>
      <c r="CW586" s="3952"/>
      <c r="CX586" s="3952"/>
      <c r="CY586" s="3952"/>
      <c r="CZ586" s="3952"/>
      <c r="DA586" s="3952"/>
      <c r="DB586" s="3952"/>
      <c r="DC586" s="3952"/>
      <c r="DD586" s="3952"/>
      <c r="DE586" s="3952"/>
      <c r="DF586" s="3952"/>
      <c r="DG586" s="3952"/>
      <c r="DH586" s="3952"/>
      <c r="DI586" s="3952"/>
      <c r="DJ586" s="3952"/>
      <c r="DK586" s="3952"/>
      <c r="DL586" s="3952"/>
      <c r="DM586" s="3952"/>
      <c r="DN586" s="3952"/>
      <c r="DO586" s="3952"/>
      <c r="DP586" s="3952"/>
      <c r="DQ586" s="3952"/>
      <c r="DR586" s="3952"/>
      <c r="DS586" s="3952"/>
    </row>
    <row r="587" s="4133" customFormat="1" hidden="1" spans="1:123">
      <c r="A587" s="4616"/>
      <c r="B587" s="4650"/>
      <c r="C587" s="4650"/>
      <c r="D587" s="4650"/>
      <c r="E587" s="4650"/>
      <c r="F587" s="4650"/>
      <c r="G587" s="4650"/>
      <c r="H587" s="4650"/>
      <c r="I587" s="4650"/>
      <c r="J587" s="4650"/>
      <c r="K587" s="4650"/>
      <c r="L587" s="4650"/>
      <c r="M587" s="4650"/>
      <c r="N587" s="4650"/>
      <c r="O587" s="4650"/>
      <c r="P587" s="4650"/>
      <c r="Q587" s="4650"/>
      <c r="R587" s="4650"/>
      <c r="S587" s="4650"/>
      <c r="T587" s="4650"/>
      <c r="U587" s="4650"/>
      <c r="V587" s="4650"/>
      <c r="W587" s="4650"/>
      <c r="X587" s="4650"/>
      <c r="Y587" s="4650"/>
      <c r="Z587" s="4650"/>
      <c r="AA587" s="4650"/>
      <c r="AB587" s="4650"/>
      <c r="AC587" s="4650"/>
      <c r="AD587" s="4650"/>
      <c r="AE587" s="4650"/>
      <c r="AF587" s="4650"/>
      <c r="AG587" s="4650"/>
      <c r="AH587" s="4650"/>
      <c r="AI587" s="4650"/>
      <c r="AJ587" s="4650"/>
      <c r="AK587" s="4650"/>
      <c r="AL587" s="4650"/>
      <c r="AM587" s="4650"/>
      <c r="AN587" s="4650"/>
      <c r="AO587" s="4650"/>
      <c r="AP587" s="4650"/>
      <c r="AQ587" s="4650"/>
      <c r="AR587" s="4650"/>
      <c r="AS587" s="4650"/>
      <c r="AT587" s="3952"/>
      <c r="AU587" s="3952"/>
      <c r="AV587" s="3952"/>
      <c r="AW587" s="3952"/>
      <c r="AX587" s="3952"/>
      <c r="AY587" s="3952"/>
      <c r="AZ587" s="3952"/>
      <c r="BA587" s="3952"/>
      <c r="BB587" s="3952"/>
      <c r="BC587" s="3952"/>
      <c r="BD587" s="3952"/>
      <c r="BE587" s="3952"/>
      <c r="BF587" s="3952"/>
      <c r="BG587" s="3952"/>
      <c r="BH587" s="3952"/>
      <c r="BI587" s="3952"/>
      <c r="BJ587" s="3952"/>
      <c r="BK587" s="3952"/>
      <c r="BL587" s="3952"/>
      <c r="BM587" s="3952"/>
      <c r="BN587" s="3952"/>
      <c r="BO587" s="3952"/>
      <c r="BP587" s="3952"/>
      <c r="BQ587" s="3952"/>
      <c r="BR587" s="3952"/>
      <c r="BS587" s="3952"/>
      <c r="BT587" s="3952"/>
      <c r="BU587" s="3952"/>
      <c r="BV587" s="3952"/>
      <c r="BW587" s="3952"/>
      <c r="BX587" s="3952"/>
      <c r="BY587" s="3952"/>
      <c r="BZ587" s="3952"/>
      <c r="CA587" s="3952"/>
      <c r="CB587" s="3952"/>
      <c r="CC587" s="3952"/>
      <c r="CD587" s="3952"/>
      <c r="CE587" s="3952"/>
      <c r="CF587" s="3952"/>
      <c r="CG587" s="3952"/>
      <c r="CH587" s="3952"/>
      <c r="CI587" s="3952"/>
      <c r="CJ587" s="3952"/>
      <c r="CK587" s="3952"/>
      <c r="CL587" s="3952"/>
      <c r="CM587" s="3952"/>
      <c r="CN587" s="3952"/>
      <c r="CO587" s="3952"/>
      <c r="CP587" s="3952"/>
      <c r="CQ587" s="3952"/>
      <c r="CR587" s="3952"/>
      <c r="CS587" s="3952"/>
      <c r="CT587" s="3952"/>
      <c r="CU587" s="3952"/>
      <c r="CV587" s="3952"/>
      <c r="CW587" s="3952"/>
      <c r="CX587" s="3952"/>
      <c r="CY587" s="3952"/>
      <c r="CZ587" s="3952"/>
      <c r="DA587" s="3952"/>
      <c r="DB587" s="3952"/>
      <c r="DC587" s="3952"/>
      <c r="DD587" s="3952"/>
      <c r="DE587" s="3952"/>
      <c r="DF587" s="3952"/>
      <c r="DG587" s="3952"/>
      <c r="DH587" s="3952"/>
      <c r="DI587" s="3952"/>
      <c r="DJ587" s="3952"/>
      <c r="DK587" s="3952"/>
      <c r="DL587" s="3952"/>
      <c r="DM587" s="3952"/>
      <c r="DN587" s="3952"/>
      <c r="DO587" s="3952"/>
      <c r="DP587" s="3952"/>
      <c r="DQ587" s="3952"/>
      <c r="DR587" s="3952"/>
      <c r="DS587" s="3952"/>
    </row>
    <row r="588" s="4133" customFormat="1" hidden="1" spans="1:123">
      <c r="A588" s="4616"/>
      <c r="B588" s="4650"/>
      <c r="C588" s="4650"/>
      <c r="D588" s="4650"/>
      <c r="E588" s="4650"/>
      <c r="F588" s="4650"/>
      <c r="G588" s="4650"/>
      <c r="H588" s="4650"/>
      <c r="I588" s="4650"/>
      <c r="J588" s="4650"/>
      <c r="K588" s="4650"/>
      <c r="L588" s="4650"/>
      <c r="M588" s="4650"/>
      <c r="N588" s="4650"/>
      <c r="O588" s="4650"/>
      <c r="P588" s="4650"/>
      <c r="Q588" s="4650"/>
      <c r="R588" s="4650"/>
      <c r="S588" s="4650"/>
      <c r="T588" s="4650"/>
      <c r="U588" s="4650"/>
      <c r="V588" s="4650"/>
      <c r="W588" s="4650"/>
      <c r="X588" s="4650"/>
      <c r="Y588" s="4650"/>
      <c r="Z588" s="4650"/>
      <c r="AA588" s="4650"/>
      <c r="AB588" s="4650"/>
      <c r="AC588" s="4650"/>
      <c r="AD588" s="4650"/>
      <c r="AE588" s="4650"/>
      <c r="AF588" s="4650"/>
      <c r="AG588" s="4650"/>
      <c r="AH588" s="4650"/>
      <c r="AI588" s="4650"/>
      <c r="AJ588" s="4650"/>
      <c r="AK588" s="4650"/>
      <c r="AL588" s="4650"/>
      <c r="AM588" s="4650"/>
      <c r="AN588" s="4650"/>
      <c r="AO588" s="4650"/>
      <c r="AP588" s="4650"/>
      <c r="AQ588" s="4650"/>
      <c r="AR588" s="4650"/>
      <c r="AS588" s="4650"/>
      <c r="AT588" s="3952"/>
      <c r="AU588" s="3952"/>
      <c r="AV588" s="3952"/>
      <c r="AW588" s="3952"/>
      <c r="AX588" s="3952"/>
      <c r="AY588" s="3952"/>
      <c r="AZ588" s="3952"/>
      <c r="BA588" s="3952"/>
      <c r="BB588" s="3952"/>
      <c r="BC588" s="3952"/>
      <c r="BD588" s="3952"/>
      <c r="BE588" s="3952"/>
      <c r="BF588" s="3952"/>
      <c r="BG588" s="3952"/>
      <c r="BH588" s="3952"/>
      <c r="BI588" s="3952"/>
      <c r="BJ588" s="3952"/>
      <c r="BK588" s="3952"/>
      <c r="BL588" s="3952"/>
      <c r="BM588" s="3952"/>
      <c r="BN588" s="3952"/>
      <c r="BO588" s="3952"/>
      <c r="BP588" s="3952"/>
      <c r="BQ588" s="3952"/>
      <c r="BR588" s="3952"/>
      <c r="BS588" s="3952"/>
      <c r="BT588" s="3952"/>
      <c r="BU588" s="3952"/>
      <c r="BV588" s="3952"/>
      <c r="BW588" s="3952"/>
      <c r="BX588" s="3952"/>
      <c r="BY588" s="3952"/>
      <c r="BZ588" s="3952"/>
      <c r="CA588" s="3952"/>
      <c r="CB588" s="3952"/>
      <c r="CC588" s="3952"/>
      <c r="CD588" s="3952"/>
      <c r="CE588" s="3952"/>
      <c r="CF588" s="3952"/>
      <c r="CG588" s="3952"/>
      <c r="CH588" s="3952"/>
      <c r="CI588" s="3952"/>
      <c r="CJ588" s="3952"/>
      <c r="CK588" s="3952"/>
      <c r="CL588" s="3952"/>
      <c r="CM588" s="3952"/>
      <c r="CN588" s="3952"/>
      <c r="CO588" s="3952"/>
      <c r="CP588" s="3952"/>
      <c r="CQ588" s="3952"/>
      <c r="CR588" s="3952"/>
      <c r="CS588" s="3952"/>
      <c r="CT588" s="3952"/>
      <c r="CU588" s="3952"/>
      <c r="CV588" s="3952"/>
      <c r="CW588" s="3952"/>
      <c r="CX588" s="3952"/>
      <c r="CY588" s="3952"/>
      <c r="CZ588" s="3952"/>
      <c r="DA588" s="3952"/>
      <c r="DB588" s="3952"/>
      <c r="DC588" s="3952"/>
      <c r="DD588" s="3952"/>
      <c r="DE588" s="3952"/>
      <c r="DF588" s="3952"/>
      <c r="DG588" s="3952"/>
      <c r="DH588" s="3952"/>
      <c r="DI588" s="3952"/>
      <c r="DJ588" s="3952"/>
      <c r="DK588" s="3952"/>
      <c r="DL588" s="3952"/>
      <c r="DM588" s="3952"/>
      <c r="DN588" s="3952"/>
      <c r="DO588" s="3952"/>
      <c r="DP588" s="3952"/>
      <c r="DQ588" s="3952"/>
      <c r="DR588" s="3952"/>
      <c r="DS588" s="3952"/>
    </row>
    <row r="589" s="4133" customFormat="1" hidden="1" spans="1:123">
      <c r="A589" s="4616"/>
      <c r="B589" s="4650"/>
      <c r="C589" s="4650"/>
      <c r="D589" s="4650"/>
      <c r="E589" s="4650"/>
      <c r="F589" s="4650"/>
      <c r="G589" s="4650"/>
      <c r="H589" s="4650"/>
      <c r="I589" s="4650"/>
      <c r="J589" s="4650"/>
      <c r="K589" s="4650"/>
      <c r="L589" s="4650"/>
      <c r="M589" s="4650"/>
      <c r="N589" s="4650"/>
      <c r="O589" s="4650"/>
      <c r="P589" s="4650"/>
      <c r="Q589" s="4650"/>
      <c r="R589" s="4650"/>
      <c r="S589" s="4650"/>
      <c r="T589" s="4650"/>
      <c r="U589" s="4650"/>
      <c r="V589" s="4650"/>
      <c r="W589" s="4650"/>
      <c r="X589" s="4650"/>
      <c r="Y589" s="4650"/>
      <c r="Z589" s="4650"/>
      <c r="AA589" s="4650"/>
      <c r="AB589" s="4650"/>
      <c r="AC589" s="4650"/>
      <c r="AD589" s="4650"/>
      <c r="AE589" s="4650"/>
      <c r="AF589" s="4650"/>
      <c r="AG589" s="4650"/>
      <c r="AH589" s="4650"/>
      <c r="AI589" s="4650"/>
      <c r="AJ589" s="4650"/>
      <c r="AK589" s="4650"/>
      <c r="AL589" s="4650"/>
      <c r="AM589" s="4650"/>
      <c r="AN589" s="4650"/>
      <c r="AO589" s="4650"/>
      <c r="AP589" s="4650"/>
      <c r="AQ589" s="4650"/>
      <c r="AR589" s="4650"/>
      <c r="AS589" s="4650"/>
      <c r="AT589" s="3952"/>
      <c r="AU589" s="3952"/>
      <c r="AV589" s="3952"/>
      <c r="AW589" s="3952"/>
      <c r="AX589" s="3952"/>
      <c r="AY589" s="3952"/>
      <c r="AZ589" s="3952"/>
      <c r="BA589" s="3952"/>
      <c r="BB589" s="3952"/>
      <c r="BC589" s="3952"/>
      <c r="BD589" s="3952"/>
      <c r="BE589" s="3952"/>
      <c r="BF589" s="3952"/>
      <c r="BG589" s="3952"/>
      <c r="BH589" s="3952"/>
      <c r="BI589" s="3952"/>
      <c r="BJ589" s="3952"/>
      <c r="BK589" s="3952"/>
      <c r="BL589" s="3952"/>
      <c r="BM589" s="3952"/>
      <c r="BN589" s="3952"/>
      <c r="BO589" s="3952"/>
      <c r="BP589" s="3952"/>
      <c r="BQ589" s="3952"/>
      <c r="BR589" s="3952"/>
      <c r="BS589" s="3952"/>
      <c r="BT589" s="3952"/>
      <c r="BU589" s="3952"/>
      <c r="BV589" s="3952"/>
      <c r="BW589" s="3952"/>
      <c r="BX589" s="3952"/>
      <c r="BY589" s="3952"/>
      <c r="BZ589" s="3952"/>
      <c r="CA589" s="3952"/>
      <c r="CB589" s="3952"/>
      <c r="CC589" s="3952"/>
      <c r="CD589" s="3952"/>
      <c r="CE589" s="3952"/>
      <c r="CF589" s="3952"/>
      <c r="CG589" s="3952"/>
      <c r="CH589" s="3952"/>
      <c r="CI589" s="3952"/>
      <c r="CJ589" s="3952"/>
      <c r="CK589" s="3952"/>
      <c r="CL589" s="3952"/>
      <c r="CM589" s="3952"/>
      <c r="CN589" s="3952"/>
      <c r="CO589" s="3952"/>
      <c r="CP589" s="3952"/>
      <c r="CQ589" s="3952"/>
      <c r="CR589" s="3952"/>
      <c r="CS589" s="3952"/>
      <c r="CT589" s="3952"/>
      <c r="CU589" s="3952"/>
      <c r="CV589" s="3952"/>
      <c r="CW589" s="3952"/>
      <c r="CX589" s="3952"/>
      <c r="CY589" s="3952"/>
      <c r="CZ589" s="3952"/>
      <c r="DA589" s="3952"/>
      <c r="DB589" s="3952"/>
      <c r="DC589" s="3952"/>
      <c r="DD589" s="3952"/>
      <c r="DE589" s="3952"/>
      <c r="DF589" s="3952"/>
      <c r="DG589" s="3952"/>
      <c r="DH589" s="3952"/>
      <c r="DI589" s="3952"/>
      <c r="DJ589" s="3952"/>
      <c r="DK589" s="3952"/>
      <c r="DL589" s="3952"/>
      <c r="DM589" s="3952"/>
      <c r="DN589" s="3952"/>
      <c r="DO589" s="3952"/>
      <c r="DP589" s="3952"/>
      <c r="DQ589" s="3952"/>
      <c r="DR589" s="3952"/>
      <c r="DS589" s="3952"/>
    </row>
    <row r="590" s="4133" customFormat="1" hidden="1" spans="1:123">
      <c r="A590" s="4616"/>
      <c r="B590" s="4650"/>
      <c r="C590" s="4650"/>
      <c r="D590" s="4650"/>
      <c r="E590" s="4650"/>
      <c r="F590" s="4650"/>
      <c r="G590" s="4650"/>
      <c r="H590" s="4650"/>
      <c r="I590" s="4650"/>
      <c r="J590" s="4650"/>
      <c r="K590" s="4650"/>
      <c r="L590" s="4650"/>
      <c r="M590" s="4650"/>
      <c r="N590" s="4650"/>
      <c r="O590" s="4650"/>
      <c r="P590" s="4650"/>
      <c r="Q590" s="4650"/>
      <c r="R590" s="4650"/>
      <c r="S590" s="4650"/>
      <c r="T590" s="4650"/>
      <c r="U590" s="4650"/>
      <c r="V590" s="4650"/>
      <c r="W590" s="4650"/>
      <c r="X590" s="4650"/>
      <c r="Y590" s="4650"/>
      <c r="Z590" s="4650"/>
      <c r="AA590" s="4650"/>
      <c r="AB590" s="4650"/>
      <c r="AC590" s="4650"/>
      <c r="AD590" s="4650"/>
      <c r="AE590" s="4650"/>
      <c r="AF590" s="4650"/>
      <c r="AG590" s="4650"/>
      <c r="AH590" s="4650"/>
      <c r="AI590" s="4650"/>
      <c r="AJ590" s="4650"/>
      <c r="AK590" s="4650"/>
      <c r="AL590" s="4650"/>
      <c r="AM590" s="4650"/>
      <c r="AN590" s="4650"/>
      <c r="AO590" s="4650"/>
      <c r="AP590" s="4650"/>
      <c r="AQ590" s="4650"/>
      <c r="AR590" s="4650"/>
      <c r="AS590" s="4650"/>
      <c r="AT590" s="3952"/>
      <c r="AU590" s="3952"/>
      <c r="AV590" s="3952"/>
      <c r="AW590" s="3952"/>
      <c r="AX590" s="3952"/>
      <c r="AY590" s="3952"/>
      <c r="AZ590" s="3952"/>
      <c r="BA590" s="3952"/>
      <c r="BB590" s="3952"/>
      <c r="BC590" s="3952"/>
      <c r="BD590" s="3952"/>
      <c r="BE590" s="3952"/>
      <c r="BF590" s="3952"/>
      <c r="BG590" s="3952"/>
      <c r="BH590" s="3952"/>
      <c r="BI590" s="3952"/>
      <c r="BJ590" s="3952"/>
      <c r="BK590" s="3952"/>
      <c r="BL590" s="3952"/>
      <c r="BM590" s="3952"/>
      <c r="BN590" s="3952"/>
      <c r="BO590" s="3952"/>
      <c r="BP590" s="3952"/>
      <c r="BQ590" s="3952"/>
      <c r="BR590" s="3952"/>
      <c r="BS590" s="3952"/>
      <c r="BT590" s="3952"/>
      <c r="BU590" s="3952"/>
      <c r="BV590" s="3952"/>
      <c r="BW590" s="3952"/>
      <c r="BX590" s="3952"/>
      <c r="BY590" s="3952"/>
      <c r="BZ590" s="3952"/>
      <c r="CA590" s="3952"/>
      <c r="CB590" s="3952"/>
      <c r="CC590" s="3952"/>
      <c r="CD590" s="3952"/>
      <c r="CE590" s="3952"/>
      <c r="CF590" s="3952"/>
      <c r="CG590" s="3952"/>
      <c r="CH590" s="3952"/>
      <c r="CI590" s="3952"/>
      <c r="CJ590" s="3952"/>
      <c r="CK590" s="3952"/>
      <c r="CL590" s="3952"/>
      <c r="CM590" s="3952"/>
      <c r="CN590" s="3952"/>
      <c r="CO590" s="3952"/>
      <c r="CP590" s="3952"/>
      <c r="CQ590" s="3952"/>
      <c r="CR590" s="3952"/>
      <c r="CS590" s="3952"/>
      <c r="CT590" s="3952"/>
      <c r="CU590" s="3952"/>
      <c r="CV590" s="3952"/>
      <c r="CW590" s="3952"/>
      <c r="CX590" s="3952"/>
      <c r="CY590" s="3952"/>
      <c r="CZ590" s="3952"/>
      <c r="DA590" s="3952"/>
      <c r="DB590" s="3952"/>
      <c r="DC590" s="3952"/>
      <c r="DD590" s="3952"/>
      <c r="DE590" s="3952"/>
      <c r="DF590" s="3952"/>
      <c r="DG590" s="3952"/>
      <c r="DH590" s="3952"/>
      <c r="DI590" s="3952"/>
      <c r="DJ590" s="3952"/>
      <c r="DK590" s="3952"/>
      <c r="DL590" s="3952"/>
      <c r="DM590" s="3952"/>
      <c r="DN590" s="3952"/>
      <c r="DO590" s="3952"/>
      <c r="DP590" s="3952"/>
      <c r="DQ590" s="3952"/>
      <c r="DR590" s="3952"/>
      <c r="DS590" s="3952"/>
    </row>
    <row r="591" s="4133" customFormat="1" hidden="1" spans="1:123">
      <c r="A591" s="4616"/>
      <c r="B591" s="4650"/>
      <c r="C591" s="4650"/>
      <c r="D591" s="4650"/>
      <c r="E591" s="4650"/>
      <c r="F591" s="4650"/>
      <c r="G591" s="4650"/>
      <c r="H591" s="4650"/>
      <c r="I591" s="4650"/>
      <c r="J591" s="4650"/>
      <c r="K591" s="4650"/>
      <c r="L591" s="4650"/>
      <c r="M591" s="4650"/>
      <c r="N591" s="4650"/>
      <c r="O591" s="4650"/>
      <c r="P591" s="4650"/>
      <c r="Q591" s="4650"/>
      <c r="R591" s="4650"/>
      <c r="S591" s="4650"/>
      <c r="T591" s="4650"/>
      <c r="U591" s="4650"/>
      <c r="V591" s="4650"/>
      <c r="W591" s="4650"/>
      <c r="X591" s="4650"/>
      <c r="Y591" s="4650"/>
      <c r="Z591" s="4650"/>
      <c r="AA591" s="4650"/>
      <c r="AB591" s="4650"/>
      <c r="AC591" s="4650"/>
      <c r="AD591" s="4650"/>
      <c r="AE591" s="4650"/>
      <c r="AF591" s="4650"/>
      <c r="AG591" s="4650"/>
      <c r="AH591" s="4650"/>
      <c r="AI591" s="4650"/>
      <c r="AJ591" s="4650"/>
      <c r="AK591" s="4650"/>
      <c r="AL591" s="4650"/>
      <c r="AM591" s="4650"/>
      <c r="AN591" s="4650"/>
      <c r="AO591" s="4650"/>
      <c r="AP591" s="4650"/>
      <c r="AQ591" s="4650"/>
      <c r="AR591" s="4650"/>
      <c r="AS591" s="4650"/>
      <c r="AT591" s="3952"/>
      <c r="AU591" s="3952"/>
      <c r="AV591" s="3952"/>
      <c r="AW591" s="3952"/>
      <c r="AX591" s="3952"/>
      <c r="AY591" s="3952"/>
      <c r="AZ591" s="3952"/>
      <c r="BA591" s="3952"/>
      <c r="BB591" s="3952"/>
      <c r="BC591" s="3952"/>
      <c r="BD591" s="3952"/>
      <c r="BE591" s="3952"/>
      <c r="BF591" s="3952"/>
      <c r="BG591" s="3952"/>
      <c r="BH591" s="3952"/>
      <c r="BI591" s="3952"/>
      <c r="BJ591" s="3952"/>
      <c r="BK591" s="3952"/>
      <c r="BL591" s="3952"/>
      <c r="BM591" s="3952"/>
      <c r="BN591" s="3952"/>
      <c r="BO591" s="3952"/>
      <c r="BP591" s="3952"/>
      <c r="BQ591" s="3952"/>
      <c r="BR591" s="3952"/>
      <c r="BS591" s="3952"/>
      <c r="BT591" s="3952"/>
      <c r="BU591" s="3952"/>
      <c r="BV591" s="3952"/>
      <c r="BW591" s="3952"/>
      <c r="BX591" s="3952"/>
      <c r="BY591" s="3952"/>
      <c r="BZ591" s="3952"/>
      <c r="CA591" s="3952"/>
      <c r="CB591" s="3952"/>
      <c r="CC591" s="3952"/>
      <c r="CD591" s="3952"/>
      <c r="CE591" s="3952"/>
      <c r="CF591" s="3952"/>
      <c r="CG591" s="3952"/>
      <c r="CH591" s="3952"/>
      <c r="CI591" s="3952"/>
      <c r="CJ591" s="3952"/>
      <c r="CK591" s="3952"/>
      <c r="CL591" s="3952"/>
      <c r="CM591" s="3952"/>
      <c r="CN591" s="3952"/>
      <c r="CO591" s="3952"/>
      <c r="CP591" s="3952"/>
      <c r="CQ591" s="3952"/>
      <c r="CR591" s="3952"/>
      <c r="CS591" s="3952"/>
      <c r="CT591" s="3952"/>
      <c r="CU591" s="3952"/>
      <c r="CV591" s="3952"/>
      <c r="CW591" s="3952"/>
      <c r="CX591" s="3952"/>
      <c r="CY591" s="3952"/>
      <c r="CZ591" s="3952"/>
      <c r="DA591" s="3952"/>
      <c r="DB591" s="3952"/>
      <c r="DC591" s="3952"/>
      <c r="DD591" s="3952"/>
      <c r="DE591" s="3952"/>
      <c r="DF591" s="3952"/>
      <c r="DG591" s="3952"/>
      <c r="DH591" s="3952"/>
      <c r="DI591" s="3952"/>
      <c r="DJ591" s="3952"/>
      <c r="DK591" s="3952"/>
      <c r="DL591" s="3952"/>
      <c r="DM591" s="3952"/>
      <c r="DN591" s="3952"/>
      <c r="DO591" s="3952"/>
      <c r="DP591" s="3952"/>
      <c r="DQ591" s="3952"/>
      <c r="DR591" s="3952"/>
      <c r="DS591" s="3952"/>
    </row>
    <row r="592" s="4133" customFormat="1" hidden="1" spans="1:123">
      <c r="A592" s="4616"/>
      <c r="B592" s="4650"/>
      <c r="C592" s="4650"/>
      <c r="D592" s="4650"/>
      <c r="E592" s="4650"/>
      <c r="F592" s="4650"/>
      <c r="G592" s="4650"/>
      <c r="H592" s="4650"/>
      <c r="I592" s="4650"/>
      <c r="J592" s="4650"/>
      <c r="K592" s="4650"/>
      <c r="L592" s="4650"/>
      <c r="M592" s="4650"/>
      <c r="N592" s="4650"/>
      <c r="O592" s="4650"/>
      <c r="P592" s="4650"/>
      <c r="Q592" s="4650"/>
      <c r="R592" s="4650"/>
      <c r="S592" s="4650"/>
      <c r="T592" s="4650"/>
      <c r="U592" s="4650"/>
      <c r="V592" s="4650"/>
      <c r="W592" s="4650"/>
      <c r="X592" s="4650"/>
      <c r="Y592" s="4650"/>
      <c r="Z592" s="4650"/>
      <c r="AA592" s="4650"/>
      <c r="AB592" s="4650"/>
      <c r="AC592" s="4650"/>
      <c r="AD592" s="4650"/>
      <c r="AE592" s="4650"/>
      <c r="AF592" s="4650"/>
      <c r="AG592" s="4650"/>
      <c r="AH592" s="4650"/>
      <c r="AI592" s="4650"/>
      <c r="AJ592" s="4650"/>
      <c r="AK592" s="4650"/>
      <c r="AL592" s="4650"/>
      <c r="AM592" s="4650"/>
      <c r="AN592" s="4650"/>
      <c r="AO592" s="4650"/>
      <c r="AP592" s="4650"/>
      <c r="AQ592" s="4650"/>
      <c r="AR592" s="4650"/>
      <c r="AS592" s="4650"/>
      <c r="AT592" s="3952"/>
      <c r="AU592" s="3952"/>
      <c r="AV592" s="3952"/>
      <c r="AW592" s="3952"/>
      <c r="AX592" s="3952"/>
      <c r="AY592" s="3952"/>
      <c r="AZ592" s="3952"/>
      <c r="BA592" s="3952"/>
      <c r="BB592" s="3952"/>
      <c r="BC592" s="3952"/>
      <c r="BD592" s="3952"/>
      <c r="BE592" s="3952"/>
      <c r="BF592" s="3952"/>
      <c r="BG592" s="3952"/>
      <c r="BH592" s="3952"/>
      <c r="BI592" s="3952"/>
      <c r="BJ592" s="3952"/>
      <c r="BK592" s="3952"/>
      <c r="BL592" s="3952"/>
      <c r="BM592" s="3952"/>
      <c r="BN592" s="3952"/>
      <c r="BO592" s="3952"/>
      <c r="BP592" s="3952"/>
      <c r="BQ592" s="3952"/>
      <c r="BR592" s="3952"/>
      <c r="BS592" s="3952"/>
      <c r="BT592" s="3952"/>
      <c r="BU592" s="3952"/>
      <c r="BV592" s="3952"/>
      <c r="BW592" s="3952"/>
      <c r="BX592" s="3952"/>
      <c r="BY592" s="3952"/>
      <c r="BZ592" s="3952"/>
      <c r="CA592" s="3952"/>
      <c r="CB592" s="3952"/>
      <c r="CC592" s="3952"/>
      <c r="CD592" s="3952"/>
      <c r="CE592" s="3952"/>
      <c r="CF592" s="3952"/>
      <c r="CG592" s="3952"/>
      <c r="CH592" s="3952"/>
      <c r="CI592" s="3952"/>
      <c r="CJ592" s="3952"/>
      <c r="CK592" s="3952"/>
      <c r="CL592" s="3952"/>
      <c r="CM592" s="3952"/>
      <c r="CN592" s="3952"/>
      <c r="CO592" s="3952"/>
      <c r="CP592" s="3952"/>
      <c r="CQ592" s="3952"/>
      <c r="CR592" s="3952"/>
      <c r="CS592" s="3952"/>
      <c r="CT592" s="3952"/>
      <c r="CU592" s="3952"/>
      <c r="CV592" s="3952"/>
      <c r="CW592" s="3952"/>
      <c r="CX592" s="3952"/>
      <c r="CY592" s="3952"/>
      <c r="CZ592" s="3952"/>
      <c r="DA592" s="3952"/>
      <c r="DB592" s="3952"/>
      <c r="DC592" s="3952"/>
      <c r="DD592" s="3952"/>
      <c r="DE592" s="3952"/>
      <c r="DF592" s="3952"/>
      <c r="DG592" s="3952"/>
      <c r="DH592" s="3952"/>
      <c r="DI592" s="3952"/>
      <c r="DJ592" s="3952"/>
      <c r="DK592" s="3952"/>
      <c r="DL592" s="3952"/>
      <c r="DM592" s="3952"/>
      <c r="DN592" s="3952"/>
      <c r="DO592" s="3952"/>
      <c r="DP592" s="3952"/>
      <c r="DQ592" s="3952"/>
      <c r="DR592" s="3952"/>
      <c r="DS592" s="3952"/>
    </row>
    <row r="593" s="489" customFormat="1" hidden="1" customHeight="1" spans="1:129">
      <c r="A593" s="4616"/>
      <c r="B593" s="4651"/>
      <c r="C593" s="4651"/>
      <c r="D593" s="4651"/>
      <c r="E593" s="4651"/>
      <c r="F593" s="4651"/>
      <c r="G593" s="4651"/>
      <c r="H593" s="4651"/>
      <c r="I593" s="4651"/>
      <c r="J593" s="4651"/>
      <c r="K593" s="4651"/>
      <c r="L593" s="4651"/>
      <c r="M593" s="4651"/>
      <c r="N593" s="4651"/>
      <c r="O593" s="4651"/>
      <c r="P593" s="4651"/>
      <c r="Q593" s="4651"/>
      <c r="R593" s="4651"/>
      <c r="S593" s="4651"/>
      <c r="T593" s="4651"/>
      <c r="U593" s="4651"/>
      <c r="V593" s="4651"/>
      <c r="W593" s="4651"/>
      <c r="X593" s="4651"/>
      <c r="Y593" s="4651"/>
      <c r="Z593" s="4651"/>
      <c r="AA593" s="4651"/>
      <c r="AB593" s="4651"/>
      <c r="AC593" s="4651"/>
      <c r="AD593" s="4651"/>
      <c r="AE593" s="4651"/>
      <c r="AF593" s="4651"/>
      <c r="AG593" s="4651"/>
      <c r="AH593" s="4651"/>
      <c r="AI593" s="4651"/>
      <c r="AJ593" s="4651"/>
      <c r="AK593" s="4651"/>
      <c r="AL593" s="4651"/>
      <c r="AM593" s="4651"/>
      <c r="AN593" s="4651"/>
      <c r="AO593" s="4651"/>
      <c r="AP593" s="4651"/>
      <c r="AQ593" s="4651"/>
      <c r="AR593" s="4651"/>
      <c r="AS593" s="4651"/>
      <c r="AT593" s="3403"/>
      <c r="AU593" s="3403"/>
      <c r="AV593" s="4615"/>
      <c r="AW593" s="3952"/>
      <c r="AX593" s="3952"/>
      <c r="AY593" s="3952"/>
      <c r="AZ593" s="3952"/>
      <c r="BA593" s="3952"/>
      <c r="BB593" s="3952"/>
      <c r="BC593" s="3952"/>
      <c r="BD593" s="3952"/>
      <c r="BE593" s="3952"/>
      <c r="BF593" s="3952"/>
      <c r="BG593" s="3952"/>
      <c r="BH593" s="3952"/>
      <c r="BI593" s="3952"/>
      <c r="BJ593" s="3952"/>
      <c r="BK593" s="3952"/>
      <c r="BL593" s="3396"/>
      <c r="BM593" s="3396"/>
      <c r="BN593" s="3396"/>
      <c r="BO593" s="3396"/>
      <c r="BP593" s="3396"/>
      <c r="BQ593" s="3396"/>
      <c r="BR593" s="4295"/>
      <c r="BS593" s="4295"/>
      <c r="BT593" s="4295"/>
      <c r="BU593" s="4295"/>
      <c r="BV593" s="4295"/>
      <c r="BW593" s="4295"/>
      <c r="BX593" s="4295"/>
      <c r="BY593" s="4295"/>
      <c r="BZ593" s="4295"/>
      <c r="CA593" s="4295"/>
      <c r="CB593" s="4295"/>
      <c r="CC593" s="4295"/>
      <c r="CD593" s="4295"/>
      <c r="CE593" s="4295"/>
      <c r="CF593" s="4295"/>
      <c r="CG593" s="4295"/>
      <c r="CH593" s="4295"/>
      <c r="CI593" s="4295"/>
      <c r="CJ593" s="4295"/>
      <c r="CK593" s="4295"/>
      <c r="CL593" s="4295"/>
      <c r="CM593" s="4295"/>
      <c r="CN593" s="4295"/>
      <c r="CO593" s="4295"/>
      <c r="CP593" s="4295"/>
      <c r="CQ593" s="4295"/>
      <c r="CR593" s="4295"/>
      <c r="CS593" s="4295"/>
      <c r="CT593" s="4295"/>
      <c r="CU593" s="4295"/>
      <c r="CV593" s="4295"/>
      <c r="CW593" s="4295"/>
      <c r="CX593" s="4295"/>
      <c r="CY593" s="4295"/>
      <c r="CZ593" s="4295"/>
      <c r="DA593" s="4295"/>
      <c r="DB593" s="4295"/>
      <c r="DC593" s="4295"/>
      <c r="DD593" s="4295"/>
      <c r="DE593" s="4295"/>
      <c r="DF593" s="4295"/>
      <c r="DG593" s="4295"/>
      <c r="DH593" s="4295"/>
      <c r="DI593" s="4295"/>
      <c r="DJ593" s="4295"/>
      <c r="DK593" s="4295"/>
      <c r="DL593" s="4295"/>
      <c r="DM593" s="4295"/>
      <c r="DN593" s="4295"/>
      <c r="DO593" s="4295"/>
      <c r="DP593" s="4295"/>
      <c r="DQ593" s="4295"/>
      <c r="DR593" s="4295"/>
      <c r="DS593" s="4295"/>
    </row>
    <row r="594" s="4133" customFormat="1" customHeight="1" spans="1:129">
      <c r="A594" s="4614"/>
      <c r="B594" s="3952"/>
      <c r="C594" s="3952"/>
      <c r="D594" s="3952"/>
      <c r="E594" s="3952"/>
      <c r="F594" s="3952"/>
      <c r="G594" s="3952"/>
      <c r="H594" s="3952"/>
      <c r="I594" s="3952"/>
      <c r="J594" s="3952"/>
      <c r="K594" s="3952"/>
      <c r="L594" s="3952"/>
      <c r="M594" s="3952"/>
      <c r="N594" s="3952"/>
      <c r="O594" s="3952"/>
      <c r="P594" s="3952"/>
      <c r="Q594" s="3952"/>
      <c r="R594" s="3952"/>
      <c r="S594" s="3952"/>
      <c r="T594" s="3952"/>
      <c r="U594" s="3952"/>
      <c r="V594" s="3952"/>
      <c r="W594" s="3952"/>
      <c r="X594" s="3952"/>
      <c r="Y594" s="3952"/>
      <c r="Z594" s="3952"/>
      <c r="AA594" s="3952"/>
      <c r="AB594" s="3952"/>
      <c r="AC594" s="3952"/>
      <c r="AD594" s="3952"/>
      <c r="AE594" s="3952"/>
      <c r="AF594" s="3952"/>
      <c r="AG594" s="3952"/>
      <c r="AH594" s="3952"/>
      <c r="AI594" s="3952"/>
      <c r="AJ594" s="3952"/>
      <c r="AK594" s="3952"/>
      <c r="AL594" s="3952"/>
      <c r="AM594" s="3952"/>
      <c r="AN594" s="3952"/>
      <c r="AO594" s="3952"/>
      <c r="AP594" s="3952"/>
      <c r="AQ594" s="3952"/>
      <c r="AR594" s="3952"/>
      <c r="AS594" s="3952"/>
      <c r="AT594" s="3952"/>
      <c r="AU594" s="3952"/>
      <c r="AV594" s="3952"/>
      <c r="AW594" s="3952"/>
      <c r="AX594" s="3952"/>
      <c r="AY594" s="3952"/>
      <c r="AZ594" s="3952"/>
      <c r="BA594" s="3952"/>
      <c r="BB594" s="3952"/>
      <c r="BC594" s="3952"/>
      <c r="BD594" s="3952"/>
      <c r="BE594" s="3952"/>
      <c r="BF594" s="3952"/>
      <c r="BG594" s="3952"/>
      <c r="BH594" s="3952"/>
      <c r="BI594" s="3952"/>
      <c r="BJ594" s="3952"/>
      <c r="BK594" s="3952"/>
      <c r="BL594" s="3952"/>
      <c r="BM594" s="3952"/>
      <c r="BN594" s="3952"/>
      <c r="BO594" s="3952"/>
      <c r="BP594" s="3952"/>
      <c r="BQ594" s="3952"/>
      <c r="BR594" s="4295"/>
      <c r="BS594" s="4295"/>
      <c r="BT594" s="4295"/>
      <c r="BU594" s="4295"/>
      <c r="BV594" s="4295"/>
      <c r="BW594" s="4295"/>
      <c r="BX594" s="4295"/>
      <c r="BY594" s="4295"/>
      <c r="BZ594" s="4295"/>
      <c r="CA594" s="4295"/>
      <c r="CB594" s="4295"/>
      <c r="CC594" s="4295"/>
      <c r="CD594" s="4295"/>
      <c r="CE594" s="4295"/>
      <c r="CF594" s="4295"/>
      <c r="CG594" s="4295"/>
      <c r="CH594" s="4295"/>
      <c r="CI594" s="4295"/>
      <c r="CJ594" s="4295"/>
      <c r="CK594" s="4295"/>
      <c r="CL594" s="4295"/>
      <c r="CM594" s="4295"/>
      <c r="CN594" s="4295"/>
      <c r="CO594" s="4295"/>
      <c r="CP594" s="4295"/>
      <c r="CQ594" s="4295"/>
      <c r="CR594" s="4295"/>
      <c r="CS594" s="4295"/>
      <c r="CT594" s="4295"/>
      <c r="CU594" s="4295"/>
      <c r="CV594" s="4295"/>
      <c r="CW594" s="4295"/>
      <c r="CX594" s="4295"/>
      <c r="CY594" s="4295"/>
      <c r="CZ594" s="4295"/>
      <c r="DA594" s="4295"/>
      <c r="DB594" s="4295"/>
      <c r="DC594" s="4295"/>
      <c r="DD594" s="4295"/>
      <c r="DE594" s="4295"/>
      <c r="DF594" s="4295"/>
      <c r="DG594" s="4295"/>
      <c r="DH594" s="4295"/>
      <c r="DI594" s="4295"/>
      <c r="DJ594" s="4295"/>
      <c r="DK594" s="4295"/>
      <c r="DL594" s="4295"/>
      <c r="DM594" s="4295"/>
      <c r="DN594" s="4295"/>
      <c r="DO594" s="4295"/>
      <c r="DP594" s="4295"/>
      <c r="DQ594" s="4295"/>
      <c r="DR594" s="4295"/>
      <c r="DS594" s="4295"/>
    </row>
    <row r="595" s="4133" customFormat="1" customHeight="1" spans="1:129">
      <c r="A595" s="4296"/>
      <c r="B595" s="4296"/>
      <c r="C595" s="4296"/>
      <c r="D595" s="4296"/>
      <c r="E595" s="4296"/>
      <c r="F595" s="4296"/>
      <c r="G595" s="4296"/>
      <c r="H595" s="4296"/>
      <c r="I595" s="4296"/>
      <c r="J595" s="4296"/>
      <c r="K595" s="4296"/>
      <c r="L595" s="4296"/>
      <c r="M595" s="4296"/>
      <c r="N595" s="4296"/>
      <c r="O595" s="4296"/>
      <c r="P595" s="4296"/>
      <c r="Q595" s="4296"/>
      <c r="R595" s="4296"/>
      <c r="S595" s="4296"/>
      <c r="T595" s="4296"/>
      <c r="U595" s="4296"/>
      <c r="V595" s="4296"/>
      <c r="W595" s="4296"/>
      <c r="X595" s="4296"/>
      <c r="Y595" s="4296"/>
      <c r="Z595" s="4296"/>
      <c r="AA595" s="4296"/>
      <c r="AB595" s="4296"/>
      <c r="AC595" s="4296"/>
      <c r="AD595" s="4296"/>
      <c r="AE595" s="4296"/>
      <c r="AF595" s="4296"/>
      <c r="AG595" s="4296"/>
      <c r="AH595" s="4296"/>
      <c r="AI595" s="4296"/>
      <c r="AJ595" s="4296"/>
      <c r="AK595" s="4296"/>
      <c r="AL595" s="4296"/>
      <c r="AM595" s="4296"/>
      <c r="AN595" s="4296"/>
      <c r="AO595" s="4296"/>
      <c r="AP595" s="4296"/>
      <c r="AQ595" s="4296"/>
      <c r="AR595" s="4296"/>
      <c r="AS595" s="4296"/>
      <c r="AT595" s="4295"/>
      <c r="AU595" s="4295"/>
      <c r="AV595" s="4295"/>
      <c r="AW595" s="4295"/>
      <c r="AX595" s="4295"/>
      <c r="AY595" s="4295"/>
      <c r="AZ595" s="4295"/>
      <c r="BA595" s="4295"/>
      <c r="BB595" s="4295"/>
      <c r="BC595" s="4295"/>
      <c r="BD595" s="4295"/>
      <c r="BE595" s="4295"/>
      <c r="BF595" s="4295"/>
      <c r="BG595" s="4295"/>
      <c r="BH595" s="4295"/>
      <c r="BI595" s="4295"/>
      <c r="BJ595" s="4295"/>
      <c r="BK595" s="4295"/>
      <c r="BL595" s="4295"/>
      <c r="BM595" s="4295"/>
      <c r="BN595" s="4295"/>
      <c r="BO595" s="4295"/>
      <c r="BP595" s="4295"/>
      <c r="BQ595" s="4295"/>
      <c r="BR595" s="4295"/>
      <c r="BS595" s="4295"/>
      <c r="BT595" s="4295"/>
      <c r="BU595" s="4295"/>
      <c r="BV595" s="4295"/>
      <c r="BW595" s="4295"/>
      <c r="BX595" s="4295"/>
      <c r="BY595" s="4295"/>
      <c r="BZ595" s="4295"/>
      <c r="CA595" s="4295"/>
      <c r="CB595" s="4295"/>
      <c r="CC595" s="4295"/>
      <c r="CD595" s="4295"/>
      <c r="CE595" s="4295"/>
      <c r="CF595" s="4295"/>
      <c r="CG595" s="4295"/>
      <c r="CH595" s="4295"/>
      <c r="CI595" s="4295"/>
      <c r="CJ595" s="4295"/>
      <c r="CK595" s="4295"/>
      <c r="CL595" s="4295"/>
      <c r="CM595" s="4295"/>
      <c r="CN595" s="4295"/>
      <c r="CO595" s="4295"/>
      <c r="CP595" s="4295"/>
      <c r="CQ595" s="4295"/>
      <c r="CR595" s="4295"/>
      <c r="CS595" s="4295"/>
      <c r="CT595" s="4295"/>
      <c r="CU595" s="4295"/>
      <c r="CV595" s="4295"/>
      <c r="CW595" s="4295"/>
      <c r="CX595" s="4295"/>
      <c r="CY595" s="4295"/>
      <c r="CZ595" s="4295"/>
      <c r="DA595" s="4295"/>
      <c r="DB595" s="4295"/>
      <c r="DC595" s="4295"/>
      <c r="DD595" s="4295"/>
      <c r="DE595" s="4295"/>
      <c r="DF595" s="4295"/>
      <c r="DG595" s="4295"/>
      <c r="DH595" s="4295"/>
      <c r="DI595" s="4295"/>
      <c r="DJ595" s="4295"/>
      <c r="DK595" s="4295"/>
      <c r="DL595" s="4295"/>
      <c r="DM595" s="4295"/>
      <c r="DN595" s="4295"/>
      <c r="DO595" s="4295"/>
      <c r="DP595" s="4295"/>
      <c r="DQ595" s="4295"/>
      <c r="DR595" s="4295"/>
      <c r="DS595" s="4295"/>
    </row>
    <row r="596" s="4135" customFormat="1" ht="27.75" customHeight="1" spans="1:129">
      <c r="A596" s="4287" t="s">
        <v>5258</v>
      </c>
      <c r="B596" s="4236"/>
      <c r="C596" s="4236"/>
      <c r="D596" s="4236"/>
      <c r="E596" s="4236"/>
      <c r="F596" s="4236"/>
      <c r="G596" s="4236"/>
      <c r="H596" s="4236"/>
      <c r="I596" s="4236"/>
      <c r="J596" s="4236"/>
      <c r="K596" s="4236"/>
      <c r="L596" s="4236"/>
      <c r="M596" s="4236"/>
      <c r="N596" s="4236"/>
      <c r="O596" s="4236"/>
      <c r="P596" s="4236"/>
      <c r="Q596" s="4236"/>
      <c r="R596" s="4236"/>
      <c r="S596" s="4236"/>
      <c r="T596" s="4236"/>
      <c r="U596" s="4236"/>
      <c r="V596" s="4236"/>
      <c r="W596" s="4236"/>
      <c r="X596" s="4236"/>
      <c r="Y596" s="4236"/>
      <c r="Z596" s="4236"/>
      <c r="AA596" s="4236"/>
      <c r="AB596" s="4236"/>
      <c r="AC596" s="4236"/>
      <c r="AD596" s="4236"/>
      <c r="AE596" s="4236"/>
      <c r="AF596" s="4236"/>
      <c r="AG596" s="4236"/>
      <c r="AH596" s="4236"/>
      <c r="AI596" s="4236"/>
      <c r="AJ596" s="4236"/>
      <c r="AK596" s="4236"/>
      <c r="AL596" s="4236"/>
      <c r="AM596" s="4236"/>
      <c r="AN596" s="4236"/>
      <c r="AO596" s="4236"/>
      <c r="AP596" s="4236"/>
      <c r="AQ596" s="4236"/>
      <c r="AR596" s="4236"/>
      <c r="AS596" s="4236"/>
      <c r="AT596" s="4236"/>
      <c r="AU596" s="4236"/>
      <c r="AV596" s="4236"/>
      <c r="AW596" s="4236"/>
      <c r="AX596" s="4236"/>
      <c r="AY596" s="4236"/>
      <c r="AZ596" s="4236"/>
      <c r="BA596" s="4236"/>
      <c r="BB596" s="4236"/>
      <c r="BC596" s="4236"/>
      <c r="BD596" s="4236"/>
      <c r="BE596" s="4236"/>
      <c r="BF596" s="4236"/>
      <c r="BG596" s="4236"/>
      <c r="BH596" s="4236"/>
      <c r="BI596" s="4236"/>
      <c r="BJ596" s="4236"/>
      <c r="BK596" s="4236"/>
      <c r="BL596" s="4236"/>
      <c r="BM596" s="4236"/>
      <c r="BN596" s="4236"/>
      <c r="BO596" s="4236"/>
      <c r="BP596" s="4236"/>
      <c r="BQ596" s="4236"/>
      <c r="BR596" s="4236"/>
      <c r="BS596" s="4236"/>
      <c r="BT596" s="4236"/>
      <c r="BU596" s="4236"/>
      <c r="BV596" s="4236"/>
      <c r="BW596" s="4236"/>
      <c r="BX596" s="4236"/>
      <c r="BY596" s="4236"/>
      <c r="BZ596" s="4236"/>
      <c r="CA596" s="4236"/>
      <c r="CB596" s="4236"/>
      <c r="CC596" s="4236"/>
      <c r="CD596" s="4236"/>
      <c r="CE596" s="4236"/>
      <c r="CF596" s="4236"/>
      <c r="CG596" s="4236"/>
      <c r="CH596" s="4236"/>
      <c r="CI596" s="4236"/>
      <c r="CJ596" s="4236"/>
      <c r="CK596" s="4236"/>
      <c r="CL596" s="4236"/>
      <c r="CM596" s="4236"/>
      <c r="CN596" s="4236"/>
      <c r="CO596" s="4236"/>
      <c r="CP596" s="4236"/>
      <c r="CQ596" s="4236"/>
      <c r="CR596" s="4236"/>
      <c r="CS596" s="4236"/>
      <c r="CT596" s="4236"/>
      <c r="CU596" s="4236"/>
      <c r="CV596" s="4236"/>
      <c r="CW596" s="4236"/>
      <c r="CX596" s="4236"/>
      <c r="CY596" s="4236"/>
      <c r="CZ596" s="4236"/>
      <c r="DA596" s="4236"/>
      <c r="DB596" s="4236"/>
      <c r="DC596" s="4236"/>
      <c r="DD596" s="4236"/>
      <c r="DE596" s="4236"/>
      <c r="DF596" s="4236"/>
      <c r="DG596" s="4236"/>
      <c r="DH596" s="4236"/>
      <c r="DI596" s="4236"/>
      <c r="DJ596" s="4236"/>
      <c r="DK596" s="4236"/>
      <c r="DL596" s="4236"/>
      <c r="DM596" s="4236"/>
      <c r="DN596" s="4236"/>
      <c r="DO596" s="4236"/>
      <c r="DP596" s="4236"/>
      <c r="DQ596" s="4236"/>
      <c r="DR596" s="4236"/>
      <c r="DS596" s="4236"/>
    </row>
    <row r="597" s="4133" customFormat="1" ht="21.75" customHeight="1" spans="1:129">
      <c r="A597" s="4652" t="s">
        <v>5259</v>
      </c>
      <c r="B597" s="4652"/>
      <c r="C597" s="4652"/>
      <c r="D597" s="4652"/>
      <c r="E597" s="4652"/>
      <c r="F597" s="4652">
        <f ca="1">PoslGod</f>
        <v>2025</v>
      </c>
      <c r="G597" s="4652"/>
      <c r="H597" s="4652"/>
      <c r="I597" s="4652"/>
      <c r="J597" s="4652"/>
      <c r="K597" s="4652"/>
      <c r="L597" s="4652"/>
      <c r="M597" s="4652"/>
      <c r="N597" s="4652"/>
      <c r="O597" s="4652"/>
      <c r="P597" s="4652"/>
      <c r="Q597" s="4652"/>
      <c r="R597" s="4652"/>
      <c r="S597" s="4652"/>
      <c r="T597" s="4653"/>
      <c r="U597" s="4653"/>
      <c r="V597" s="4653"/>
      <c r="W597" s="4653"/>
      <c r="X597" s="4653"/>
      <c r="Y597" s="4653"/>
      <c r="Z597" s="4653"/>
      <c r="AA597" s="4653"/>
      <c r="AB597" s="4653"/>
      <c r="AC597" s="4653"/>
      <c r="AD597" s="4653"/>
      <c r="AE597" s="4653"/>
      <c r="AF597" s="4653"/>
      <c r="AG597" s="4653"/>
      <c r="AH597" s="4653"/>
      <c r="AI597" s="4653"/>
      <c r="AJ597" s="4653"/>
      <c r="AK597" s="4653"/>
      <c r="AL597" s="4653"/>
      <c r="AM597" s="4653"/>
      <c r="AN597" s="4653"/>
      <c r="AO597" s="4295"/>
      <c r="AP597" s="4295"/>
      <c r="AQ597" s="4295"/>
      <c r="AR597" s="4295"/>
      <c r="AS597" s="4295"/>
      <c r="AT597" s="4295"/>
      <c r="AU597" s="4295"/>
      <c r="AV597" s="4295"/>
      <c r="AW597" s="4295"/>
      <c r="AX597" s="4295"/>
      <c r="AY597" s="4295"/>
      <c r="AZ597" s="4295"/>
      <c r="BA597" s="4295"/>
      <c r="BB597" s="4295"/>
      <c r="BC597" s="4295"/>
      <c r="BD597" s="4295"/>
      <c r="BE597" s="4295"/>
      <c r="BF597" s="4295"/>
      <c r="BG597" s="4295"/>
      <c r="BH597" s="4295"/>
      <c r="BI597" s="4295"/>
      <c r="BJ597" s="4295"/>
      <c r="BK597" s="4295"/>
      <c r="BL597" s="4295"/>
      <c r="BM597" s="4295"/>
      <c r="BN597" s="4295"/>
      <c r="BO597" s="4295"/>
      <c r="BP597" s="4295"/>
      <c r="BQ597" s="4295"/>
      <c r="BR597" s="4295"/>
      <c r="BS597" s="4295"/>
      <c r="BT597" s="4295"/>
      <c r="BU597" s="4295"/>
      <c r="BV597" s="4295"/>
      <c r="BW597" s="4295"/>
      <c r="BX597" s="4295"/>
      <c r="BY597" s="4295"/>
      <c r="BZ597" s="4295"/>
      <c r="CA597" s="4295"/>
      <c r="CB597" s="4295"/>
      <c r="CC597" s="4295"/>
      <c r="CD597" s="4295"/>
      <c r="CE597" s="4295"/>
      <c r="CF597" s="4295"/>
      <c r="CG597" s="4295"/>
      <c r="CH597" s="4295"/>
      <c r="CI597" s="4295"/>
      <c r="CJ597" s="4295"/>
      <c r="CK597" s="4295"/>
      <c r="CL597" s="4295"/>
      <c r="CM597" s="4295"/>
      <c r="CN597" s="4295"/>
      <c r="CO597" s="4295"/>
      <c r="CP597" s="4295"/>
      <c r="CQ597" s="4295"/>
      <c r="CR597" s="4295"/>
      <c r="CS597" s="4295"/>
      <c r="CT597" s="4295"/>
      <c r="CU597" s="4295"/>
      <c r="CV597" s="4295"/>
      <c r="CW597" s="4295"/>
      <c r="CX597" s="4295"/>
      <c r="CY597" s="4295"/>
      <c r="CZ597" s="4295"/>
      <c r="DA597" s="4295"/>
      <c r="DB597" s="4295"/>
      <c r="DC597" s="4295"/>
      <c r="DD597" s="4295"/>
      <c r="DE597" s="4295"/>
      <c r="DF597" s="4295"/>
      <c r="DG597" s="4295"/>
      <c r="DH597" s="4295"/>
      <c r="DI597" s="4295"/>
      <c r="DJ597" s="4295"/>
      <c r="DK597" s="4295"/>
      <c r="DL597" s="4295"/>
      <c r="DM597" s="4295"/>
      <c r="DN597" s="4295"/>
      <c r="DO597" s="4295"/>
      <c r="DP597" s="4295"/>
      <c r="DQ597" s="4295"/>
      <c r="DR597" s="4295"/>
      <c r="DS597" s="4295"/>
    </row>
    <row r="598" s="4133" customFormat="1" ht="18.75" customHeight="1" spans="1:129">
      <c r="A598" s="4654" t="s">
        <v>4677</v>
      </c>
      <c r="B598" s="4654"/>
      <c r="C598" s="4654"/>
      <c r="D598" s="4654"/>
      <c r="E598" s="4654"/>
      <c r="F598" s="4655" t="str">
        <f ca="1">PeriodDo</f>
        <v>31.12.2025</v>
      </c>
      <c r="G598" s="4655"/>
      <c r="H598" s="4655"/>
      <c r="I598" s="4655"/>
      <c r="J598" s="4655"/>
      <c r="K598" s="4655"/>
      <c r="L598" s="4655"/>
      <c r="M598" s="4655"/>
      <c r="N598" s="4655"/>
      <c r="O598" s="4655"/>
      <c r="P598" s="4655"/>
      <c r="Q598" s="4655"/>
      <c r="R598" s="4655"/>
      <c r="S598" s="4655"/>
      <c r="T598" s="4656"/>
      <c r="U598" s="4656"/>
      <c r="V598" s="4656"/>
      <c r="W598" s="4656"/>
      <c r="X598" s="4656"/>
      <c r="Y598" s="4656"/>
      <c r="Z598" s="4656"/>
      <c r="AA598" s="4656"/>
      <c r="AB598" s="4295"/>
      <c r="AC598" s="4295"/>
      <c r="AD598" s="4656"/>
      <c r="AE598" s="4656"/>
      <c r="AF598" s="4656"/>
      <c r="AG598" s="4656"/>
      <c r="AH598" s="4656"/>
      <c r="AI598" s="4656"/>
      <c r="AJ598" s="4656"/>
      <c r="AK598" s="4656"/>
      <c r="AL598" s="4656"/>
      <c r="AM598" s="4656"/>
      <c r="AN598" s="4295"/>
      <c r="AO598" s="4295"/>
      <c r="AP598" s="4295"/>
      <c r="AQ598" s="4295"/>
      <c r="AR598" s="4295"/>
      <c r="AS598" s="4295"/>
      <c r="AT598" s="4295"/>
      <c r="AU598" s="4295"/>
      <c r="AV598" s="4295"/>
      <c r="AW598" s="4295"/>
      <c r="AX598" s="4295"/>
      <c r="AY598" s="4295"/>
      <c r="AZ598" s="4295"/>
      <c r="BA598" s="4295"/>
      <c r="BB598" s="4295"/>
      <c r="BC598" s="4295"/>
      <c r="BD598" s="4295"/>
      <c r="BE598" s="4295"/>
      <c r="BF598" s="4295"/>
      <c r="BG598" s="4295"/>
      <c r="BH598" s="4295"/>
      <c r="BI598" s="4295"/>
      <c r="BJ598" s="4295"/>
      <c r="BK598" s="4295"/>
      <c r="BL598" s="4295"/>
      <c r="BM598" s="4295"/>
      <c r="BN598" s="4295"/>
      <c r="BO598" s="4295"/>
      <c r="BP598" s="4295"/>
      <c r="BQ598" s="4295"/>
      <c r="BR598" s="4295"/>
      <c r="BS598" s="4295"/>
      <c r="BT598" s="4295"/>
      <c r="BU598" s="4295"/>
      <c r="BV598" s="4295"/>
      <c r="BW598" s="4295"/>
      <c r="BX598" s="4295"/>
      <c r="BY598" s="4295"/>
      <c r="BZ598" s="4295"/>
      <c r="CA598" s="4295"/>
      <c r="CB598" s="4295"/>
      <c r="CC598" s="4295"/>
      <c r="CD598" s="4295"/>
      <c r="CE598" s="4295"/>
      <c r="CF598" s="4295"/>
      <c r="CG598" s="4295"/>
      <c r="CH598" s="4295"/>
      <c r="CI598" s="4295"/>
      <c r="CJ598" s="4295"/>
      <c r="CK598" s="4295"/>
      <c r="CL598" s="4295"/>
      <c r="CM598" s="4295"/>
      <c r="CN598" s="4295"/>
      <c r="CO598" s="4295"/>
      <c r="CP598" s="4295"/>
      <c r="CQ598" s="4295"/>
      <c r="CR598" s="4295"/>
      <c r="CS598" s="4295"/>
      <c r="CT598" s="4295"/>
      <c r="CU598" s="4295"/>
      <c r="CV598" s="4295"/>
      <c r="CW598" s="4295"/>
      <c r="CX598" s="4295"/>
      <c r="CY598" s="4295"/>
      <c r="CZ598" s="4295"/>
      <c r="DA598" s="4295"/>
      <c r="DB598" s="4295"/>
      <c r="DC598" s="4295"/>
      <c r="DD598" s="4295"/>
      <c r="DE598" s="4295"/>
      <c r="DF598" s="4295"/>
      <c r="DG598" s="4295"/>
      <c r="DH598" s="4295"/>
      <c r="DI598" s="4295"/>
      <c r="DJ598" s="4295"/>
      <c r="DK598" s="4295"/>
      <c r="DL598" s="4295"/>
      <c r="DM598" s="4295"/>
      <c r="DN598" s="4295"/>
      <c r="DO598" s="4295"/>
      <c r="DP598" s="4295"/>
      <c r="DQ598" s="4295"/>
      <c r="DR598" s="4295"/>
      <c r="DS598" s="4295"/>
    </row>
    <row r="599" s="4133" customFormat="1" ht="17.25" customHeight="1" spans="1:129">
      <c r="A599" s="4654"/>
      <c r="B599" s="4654"/>
      <c r="C599" s="4654"/>
      <c r="D599" s="4654"/>
      <c r="E599" s="4654"/>
      <c r="F599" s="4567" t="s">
        <v>5260</v>
      </c>
      <c r="G599" s="4567"/>
      <c r="H599" s="4567"/>
      <c r="I599" s="4567"/>
      <c r="J599" s="4567"/>
      <c r="K599" s="4567"/>
      <c r="L599" s="4567"/>
      <c r="M599" s="4567" t="s">
        <v>5261</v>
      </c>
      <c r="N599" s="4567"/>
      <c r="O599" s="4567"/>
      <c r="P599" s="4567"/>
      <c r="Q599" s="4567"/>
      <c r="R599" s="4567"/>
      <c r="S599" s="4567"/>
      <c r="T599" s="4656"/>
      <c r="U599" s="4656"/>
      <c r="V599" s="4653"/>
      <c r="W599" s="4653"/>
      <c r="X599" s="4653"/>
      <c r="Y599" s="4653"/>
      <c r="Z599" s="4653"/>
      <c r="AA599" s="4653"/>
      <c r="AB599" s="4295"/>
      <c r="AC599" s="4295"/>
      <c r="AD599" s="4653"/>
      <c r="AE599" s="4653"/>
      <c r="AF599" s="4653"/>
      <c r="AG599" s="4653"/>
      <c r="AH599" s="4653"/>
      <c r="AI599" s="4653"/>
      <c r="AJ599" s="4653"/>
      <c r="AK599" s="4653"/>
      <c r="AL599" s="4653"/>
      <c r="AM599" s="4653"/>
      <c r="AN599" s="4295"/>
      <c r="AO599" s="4295"/>
      <c r="AP599" s="4295"/>
      <c r="AQ599" s="4295"/>
      <c r="AR599" s="4295"/>
      <c r="AS599" s="4295"/>
      <c r="AT599" s="4295"/>
      <c r="AU599" s="4295"/>
      <c r="AV599" s="4295"/>
      <c r="AW599" s="4295"/>
      <c r="AX599" s="4295"/>
      <c r="AY599" s="4295"/>
      <c r="AZ599" s="4295"/>
      <c r="BA599" s="4295"/>
      <c r="BB599" s="4295"/>
      <c r="BC599" s="4295"/>
      <c r="BD599" s="4295"/>
      <c r="BE599" s="4295"/>
      <c r="BF599" s="4295"/>
      <c r="BG599" s="4295"/>
      <c r="BH599" s="4295"/>
      <c r="BI599" s="4295"/>
      <c r="BJ599" s="4295"/>
      <c r="BK599" s="4295"/>
      <c r="BL599" s="4295"/>
      <c r="BM599" s="4295"/>
      <c r="BN599" s="4295"/>
      <c r="BO599" s="4295"/>
      <c r="BP599" s="4295"/>
      <c r="BQ599" s="4295"/>
      <c r="BR599" s="4295"/>
      <c r="BS599" s="4295"/>
      <c r="BT599" s="4295"/>
      <c r="BU599" s="4295"/>
      <c r="BV599" s="4295"/>
      <c r="BW599" s="4295"/>
      <c r="BX599" s="4295"/>
      <c r="BY599" s="4295"/>
      <c r="BZ599" s="4295"/>
      <c r="CA599" s="4295"/>
      <c r="CB599" s="4295"/>
      <c r="CC599" s="4295"/>
      <c r="CD599" s="4295"/>
      <c r="CE599" s="4295"/>
      <c r="CF599" s="4295"/>
      <c r="CG599" s="4295"/>
      <c r="CH599" s="4295"/>
      <c r="CI599" s="4295"/>
      <c r="CJ599" s="4295"/>
      <c r="CK599" s="4295"/>
      <c r="CL599" s="4295"/>
      <c r="CM599" s="4295"/>
      <c r="CN599" s="4295"/>
      <c r="CO599" s="4295"/>
      <c r="CP599" s="4295"/>
      <c r="CQ599" s="4295"/>
      <c r="CR599" s="4295"/>
      <c r="CS599" s="4295"/>
      <c r="CT599" s="4295"/>
      <c r="CU599" s="4295"/>
      <c r="CV599" s="4295"/>
      <c r="CW599" s="4295"/>
      <c r="CX599" s="4295"/>
      <c r="CY599" s="4295"/>
      <c r="CZ599" s="4295"/>
      <c r="DA599" s="4295"/>
      <c r="DB599" s="4295"/>
      <c r="DC599" s="4295"/>
      <c r="DD599" s="4295"/>
      <c r="DE599" s="4295"/>
      <c r="DF599" s="4295"/>
      <c r="DG599" s="4295"/>
      <c r="DH599" s="4295"/>
      <c r="DI599" s="4295"/>
      <c r="DJ599" s="4295"/>
      <c r="DK599" s="4295"/>
      <c r="DL599" s="4295"/>
      <c r="DM599" s="4295"/>
      <c r="DN599" s="4295"/>
      <c r="DO599" s="4295"/>
      <c r="DP599" s="4295"/>
      <c r="DQ599" s="4295"/>
      <c r="DR599" s="4295"/>
      <c r="DS599" s="4295"/>
    </row>
    <row r="600" s="4134" customFormat="1" ht="16.5" customHeight="1" spans="1:129">
      <c r="A600" s="4657" t="s">
        <v>3894</v>
      </c>
      <c r="B600" s="4567"/>
      <c r="C600" s="4567"/>
      <c r="D600" s="4567"/>
      <c r="E600" s="4567"/>
      <c r="F600" s="4534"/>
      <c r="G600" s="4535"/>
      <c r="H600" s="4535"/>
      <c r="I600" s="4535"/>
      <c r="J600" s="4535"/>
      <c r="K600" s="4535"/>
      <c r="L600" s="4536"/>
      <c r="M600" s="4534"/>
      <c r="N600" s="4535"/>
      <c r="O600" s="4535"/>
      <c r="P600" s="4535"/>
      <c r="Q600" s="4535"/>
      <c r="R600" s="4535"/>
      <c r="S600" s="4536"/>
      <c r="T600" s="4658">
        <v>600</v>
      </c>
      <c r="U600" s="4658"/>
      <c r="V600" s="4316" t="s">
        <v>5262</v>
      </c>
      <c r="W600" s="4316"/>
      <c r="X600" s="4317"/>
      <c r="Y600" s="4653"/>
      <c r="Z600" s="4653"/>
      <c r="AA600" s="4653"/>
      <c r="AB600" s="4295"/>
      <c r="AC600" s="4295"/>
      <c r="AD600" s="4653"/>
      <c r="AE600" s="4653"/>
      <c r="AF600" s="4653"/>
      <c r="AG600" s="4317"/>
      <c r="AH600" s="4317"/>
      <c r="AI600" s="4317"/>
      <c r="AJ600" s="4317"/>
      <c r="AK600" s="4317"/>
      <c r="AL600" s="4317"/>
      <c r="AM600" s="4317"/>
      <c r="AN600" s="4317"/>
      <c r="AO600" s="4317"/>
      <c r="AP600" s="4317"/>
      <c r="AQ600" s="4317"/>
      <c r="AR600" s="4317"/>
      <c r="AS600" s="4317"/>
      <c r="AT600" s="4317"/>
      <c r="AU600" s="4317"/>
      <c r="AV600" s="4317"/>
      <c r="AW600" s="4317"/>
      <c r="AX600" s="4317"/>
      <c r="AY600" s="4317"/>
      <c r="AZ600" s="4317"/>
      <c r="BA600" s="4317"/>
      <c r="BB600" s="4317"/>
      <c r="BC600" s="4317"/>
      <c r="BD600" s="4317"/>
      <c r="BE600" s="4317"/>
      <c r="BF600" s="4317"/>
      <c r="BG600" s="4317"/>
      <c r="BH600" s="4317"/>
      <c r="BI600" s="4317"/>
      <c r="BJ600" s="4317"/>
      <c r="BK600" s="4317"/>
      <c r="BL600" s="4317"/>
      <c r="BM600" s="4317"/>
      <c r="BN600" s="4317"/>
      <c r="BO600" s="4317"/>
      <c r="BP600" s="4317"/>
      <c r="BQ600" s="4317"/>
      <c r="BR600" s="4317"/>
      <c r="BS600" s="4317"/>
      <c r="BT600" s="4317"/>
      <c r="BU600" s="4317"/>
      <c r="BV600" s="4317"/>
      <c r="BW600" s="4317"/>
      <c r="BX600" s="4317"/>
      <c r="BY600" s="4317"/>
      <c r="BZ600" s="4317"/>
      <c r="CA600" s="4317"/>
      <c r="CB600" s="4317"/>
      <c r="CC600" s="4317"/>
      <c r="CD600" s="4317"/>
      <c r="CE600" s="4317"/>
      <c r="CF600" s="4317"/>
      <c r="CG600" s="4317"/>
      <c r="CH600" s="4317"/>
      <c r="CI600" s="4317"/>
      <c r="CJ600" s="4317"/>
      <c r="CK600" s="4317"/>
      <c r="CL600" s="4317"/>
      <c r="CM600" s="4317"/>
      <c r="CN600" s="4317"/>
      <c r="CO600" s="4317"/>
      <c r="CP600" s="4317"/>
      <c r="CQ600" s="4317"/>
      <c r="CR600" s="4317"/>
      <c r="CS600" s="4317"/>
      <c r="CT600" s="4317"/>
      <c r="CU600" s="4317"/>
      <c r="CV600" s="4317"/>
      <c r="CW600" s="4317"/>
      <c r="CX600" s="4317"/>
      <c r="CY600" s="4317"/>
      <c r="CZ600" s="4317"/>
      <c r="DA600" s="4317"/>
      <c r="DB600" s="4317"/>
      <c r="DC600" s="4317"/>
      <c r="DD600" s="4317"/>
      <c r="DE600" s="4317"/>
      <c r="DF600" s="4317"/>
      <c r="DG600" s="4317"/>
      <c r="DH600" s="4317"/>
      <c r="DI600" s="4317"/>
      <c r="DJ600" s="4317"/>
      <c r="DK600" s="4317"/>
      <c r="DL600" s="4317"/>
      <c r="DM600" s="4317"/>
      <c r="DN600" s="4317"/>
      <c r="DO600" s="4317"/>
      <c r="DP600" s="4317"/>
      <c r="DQ600" s="4317"/>
      <c r="DR600" s="4317"/>
      <c r="DS600" s="4317"/>
      <c r="DT600" s="4133"/>
      <c r="DU600" s="4133"/>
      <c r="DV600" s="4133"/>
      <c r="DW600" s="4133"/>
      <c r="DX600" s="4133"/>
      <c r="DY600" s="4133"/>
    </row>
    <row r="601" s="4134" customFormat="1" ht="16.5" customHeight="1" spans="1:129">
      <c r="A601" s="4657" t="s">
        <v>441</v>
      </c>
      <c r="B601" s="4567"/>
      <c r="C601" s="4567"/>
      <c r="D601" s="4567"/>
      <c r="E601" s="4567"/>
      <c r="F601" s="4534"/>
      <c r="G601" s="4535"/>
      <c r="H601" s="4535"/>
      <c r="I601" s="4535"/>
      <c r="J601" s="4535"/>
      <c r="K601" s="4535"/>
      <c r="L601" s="4536"/>
      <c r="M601" s="4534"/>
      <c r="N601" s="4535"/>
      <c r="O601" s="4535"/>
      <c r="P601" s="4535"/>
      <c r="Q601" s="4535"/>
      <c r="R601" s="4535"/>
      <c r="S601" s="4536"/>
      <c r="T601" s="4317"/>
      <c r="U601" s="4653"/>
      <c r="V601" s="4316" t="s">
        <v>5263</v>
      </c>
      <c r="W601" s="4317"/>
      <c r="X601" s="4317"/>
      <c r="Y601" s="4653"/>
      <c r="Z601" s="4653"/>
      <c r="AA601" s="4653"/>
      <c r="AB601" s="4317"/>
      <c r="AC601" s="4295"/>
      <c r="AD601" s="4653"/>
      <c r="AE601" s="4653"/>
      <c r="AF601" s="4653"/>
      <c r="AG601" s="4317"/>
      <c r="AH601" s="4317"/>
      <c r="AI601" s="4317"/>
      <c r="AJ601" s="4317"/>
      <c r="AK601" s="4317"/>
      <c r="AL601" s="4317"/>
      <c r="AM601" s="4317"/>
      <c r="AN601" s="4317"/>
      <c r="AO601" s="4317"/>
      <c r="AP601" s="4317"/>
      <c r="AQ601" s="4317"/>
      <c r="AR601" s="4317"/>
      <c r="AS601" s="4317"/>
      <c r="AT601" s="4317"/>
      <c r="AU601" s="4317"/>
      <c r="AV601" s="4317"/>
      <c r="AW601" s="4317"/>
      <c r="AX601" s="4317"/>
      <c r="AY601" s="4317"/>
      <c r="AZ601" s="4317"/>
      <c r="BA601" s="4317"/>
      <c r="BB601" s="4317"/>
      <c r="BC601" s="4317"/>
      <c r="BD601" s="4317"/>
      <c r="BE601" s="4317"/>
      <c r="BF601" s="4317"/>
      <c r="BG601" s="4317"/>
      <c r="BH601" s="4317"/>
      <c r="BI601" s="4317"/>
      <c r="BJ601" s="4317"/>
      <c r="BK601" s="4317"/>
      <c r="BL601" s="4317"/>
      <c r="BM601" s="4317"/>
      <c r="BN601" s="4317"/>
      <c r="BO601" s="4317"/>
      <c r="BP601" s="4317"/>
      <c r="BQ601" s="4317"/>
      <c r="BR601" s="4317"/>
      <c r="BS601" s="4317"/>
      <c r="BT601" s="4317"/>
      <c r="BU601" s="4317"/>
      <c r="BV601" s="4317"/>
      <c r="BW601" s="4317"/>
      <c r="BX601" s="4317"/>
      <c r="BY601" s="4317"/>
      <c r="BZ601" s="4317"/>
      <c r="CA601" s="4317"/>
      <c r="CB601" s="4317"/>
      <c r="CC601" s="4317"/>
      <c r="CD601" s="4317"/>
      <c r="CE601" s="4317"/>
      <c r="CF601" s="4317"/>
      <c r="CG601" s="4317"/>
      <c r="CH601" s="4317"/>
      <c r="CI601" s="4317"/>
      <c r="CJ601" s="4317"/>
      <c r="CK601" s="4317"/>
      <c r="CL601" s="4317"/>
      <c r="CM601" s="4317"/>
      <c r="CN601" s="4317"/>
      <c r="CO601" s="4317"/>
      <c r="CP601" s="4317"/>
      <c r="CQ601" s="4317"/>
      <c r="CR601" s="4317"/>
      <c r="CS601" s="4317"/>
      <c r="CT601" s="4317"/>
      <c r="CU601" s="4317"/>
      <c r="CV601" s="4317"/>
      <c r="CW601" s="4317"/>
      <c r="CX601" s="4317"/>
      <c r="CY601" s="4317"/>
      <c r="CZ601" s="4317"/>
      <c r="DA601" s="4317"/>
      <c r="DB601" s="4317"/>
      <c r="DC601" s="4317"/>
      <c r="DD601" s="4317"/>
      <c r="DE601" s="4317"/>
      <c r="DF601" s="4317"/>
      <c r="DG601" s="4317"/>
      <c r="DH601" s="4317"/>
      <c r="DI601" s="4317"/>
      <c r="DJ601" s="4317"/>
      <c r="DK601" s="4317"/>
      <c r="DL601" s="4317"/>
      <c r="DM601" s="4317"/>
      <c r="DN601" s="4317"/>
      <c r="DO601" s="4317"/>
      <c r="DP601" s="4317"/>
      <c r="DQ601" s="4317"/>
      <c r="DR601" s="4317"/>
      <c r="DS601" s="4317"/>
      <c r="DT601" s="4133"/>
      <c r="DU601" s="4133"/>
      <c r="DV601" s="4133"/>
      <c r="DW601" s="4133"/>
      <c r="DX601" s="4133"/>
      <c r="DY601" s="4133"/>
    </row>
    <row r="602" s="4134" customFormat="1" ht="16.5" customHeight="1" spans="1:129">
      <c r="A602" s="4657" t="s">
        <v>616</v>
      </c>
      <c r="B602" s="4567"/>
      <c r="C602" s="4567"/>
      <c r="D602" s="4567"/>
      <c r="E602" s="4567"/>
      <c r="F602" s="4534"/>
      <c r="G602" s="4535"/>
      <c r="H602" s="4535"/>
      <c r="I602" s="4535"/>
      <c r="J602" s="4535"/>
      <c r="K602" s="4535"/>
      <c r="L602" s="4536"/>
      <c r="M602" s="4534"/>
      <c r="N602" s="4535"/>
      <c r="O602" s="4535"/>
      <c r="P602" s="4535"/>
      <c r="Q602" s="4535"/>
      <c r="R602" s="4535"/>
      <c r="S602" s="4536"/>
      <c r="T602" s="4317"/>
      <c r="U602" s="4653"/>
      <c r="V602" s="4316" t="s">
        <v>5264</v>
      </c>
      <c r="W602" s="4317"/>
      <c r="X602" s="4317"/>
      <c r="Y602" s="4653"/>
      <c r="Z602" s="4653"/>
      <c r="AA602" s="4653"/>
      <c r="AB602" s="4317"/>
      <c r="AC602" s="4295"/>
      <c r="AD602" s="4653"/>
      <c r="AE602" s="4653"/>
      <c r="AF602" s="4653"/>
      <c r="AG602" s="4317"/>
      <c r="AH602" s="4317"/>
      <c r="AI602" s="4317"/>
      <c r="AJ602" s="4317"/>
      <c r="AK602" s="4317"/>
      <c r="AL602" s="4317"/>
      <c r="AM602" s="4317"/>
      <c r="AN602" s="4317"/>
      <c r="AO602" s="4317"/>
      <c r="AP602" s="4317"/>
      <c r="AQ602" s="4317"/>
      <c r="AR602" s="4317"/>
      <c r="AS602" s="4317"/>
      <c r="AT602" s="4317"/>
      <c r="AU602" s="4317"/>
      <c r="AV602" s="4317"/>
      <c r="AW602" s="4317"/>
      <c r="AX602" s="4317"/>
      <c r="AY602" s="4317"/>
      <c r="AZ602" s="4317"/>
      <c r="BA602" s="4317"/>
      <c r="BB602" s="4317"/>
      <c r="BC602" s="4317"/>
      <c r="BD602" s="4317"/>
      <c r="BE602" s="4317"/>
      <c r="BF602" s="4317"/>
      <c r="BG602" s="4317"/>
      <c r="BH602" s="4317"/>
      <c r="BI602" s="4317"/>
      <c r="BJ602" s="4317"/>
      <c r="BK602" s="4317"/>
      <c r="BL602" s="4317"/>
      <c r="BM602" s="4317"/>
      <c r="BN602" s="4317"/>
      <c r="BO602" s="4317"/>
      <c r="BP602" s="4317"/>
      <c r="BQ602" s="4317"/>
      <c r="BR602" s="4317"/>
      <c r="BS602" s="4317"/>
      <c r="BT602" s="4317"/>
      <c r="BU602" s="4317"/>
      <c r="BV602" s="4317"/>
      <c r="BW602" s="4317"/>
      <c r="BX602" s="4317"/>
      <c r="BY602" s="4317"/>
      <c r="BZ602" s="4317"/>
      <c r="CA602" s="4317"/>
      <c r="CB602" s="4317"/>
      <c r="CC602" s="4317"/>
      <c r="CD602" s="4317"/>
      <c r="CE602" s="4317"/>
      <c r="CF602" s="4317"/>
      <c r="CG602" s="4317"/>
      <c r="CH602" s="4317"/>
      <c r="CI602" s="4317"/>
      <c r="CJ602" s="4317"/>
      <c r="CK602" s="4317"/>
      <c r="CL602" s="4317"/>
      <c r="CM602" s="4317"/>
      <c r="CN602" s="4317"/>
      <c r="CO602" s="4317"/>
      <c r="CP602" s="4317"/>
      <c r="CQ602" s="4317"/>
      <c r="CR602" s="4317"/>
      <c r="CS602" s="4317"/>
      <c r="CT602" s="4317"/>
      <c r="CU602" s="4317"/>
      <c r="CV602" s="4317"/>
      <c r="CW602" s="4317"/>
      <c r="CX602" s="4317"/>
      <c r="CY602" s="4317"/>
      <c r="CZ602" s="4317"/>
      <c r="DA602" s="4317"/>
      <c r="DB602" s="4317"/>
      <c r="DC602" s="4317"/>
      <c r="DD602" s="4317"/>
      <c r="DE602" s="4317"/>
      <c r="DF602" s="4317"/>
      <c r="DG602" s="4317"/>
      <c r="DH602" s="4317"/>
      <c r="DI602" s="4317"/>
      <c r="DJ602" s="4317"/>
      <c r="DK602" s="4317"/>
      <c r="DL602" s="4317"/>
      <c r="DM602" s="4317"/>
      <c r="DN602" s="4317"/>
      <c r="DO602" s="4317"/>
      <c r="DP602" s="4317"/>
      <c r="DQ602" s="4317"/>
      <c r="DR602" s="4317"/>
      <c r="DS602" s="4317"/>
      <c r="DT602" s="4133"/>
      <c r="DU602" s="4133"/>
      <c r="DV602" s="4133"/>
      <c r="DW602" s="4133"/>
      <c r="DX602" s="4133"/>
      <c r="DY602" s="4133"/>
    </row>
    <row r="603" s="4134" customFormat="1" ht="16.5" customHeight="1" spans="1:129">
      <c r="A603" s="4657" t="s">
        <v>3903</v>
      </c>
      <c r="B603" s="4567"/>
      <c r="C603" s="4567"/>
      <c r="D603" s="4567"/>
      <c r="E603" s="4567"/>
      <c r="F603" s="4534">
        <v>8499</v>
      </c>
      <c r="G603" s="4535"/>
      <c r="H603" s="4535"/>
      <c r="I603" s="4535"/>
      <c r="J603" s="4535"/>
      <c r="K603" s="4535"/>
      <c r="L603" s="4536"/>
      <c r="M603" s="4534">
        <v>8499</v>
      </c>
      <c r="N603" s="4535"/>
      <c r="O603" s="4535"/>
      <c r="P603" s="4535"/>
      <c r="Q603" s="4535"/>
      <c r="R603" s="4535"/>
      <c r="S603" s="4536"/>
      <c r="T603" s="4317"/>
      <c r="U603" s="4653"/>
      <c r="V603" s="4316" t="s">
        <v>3078</v>
      </c>
      <c r="W603" s="4317"/>
      <c r="X603" s="4317"/>
      <c r="Y603" s="4653"/>
      <c r="Z603" s="4653"/>
      <c r="AA603" s="4653"/>
      <c r="AB603" s="4317"/>
      <c r="AC603" s="4295"/>
      <c r="AD603" s="4653"/>
      <c r="AE603" s="4653"/>
      <c r="AF603" s="4653"/>
      <c r="AG603" s="4317"/>
      <c r="AH603" s="4317"/>
      <c r="AI603" s="4317"/>
      <c r="AJ603" s="4317"/>
      <c r="AK603" s="4317"/>
      <c r="AL603" s="4317"/>
      <c r="AM603" s="4317"/>
      <c r="AN603" s="4317"/>
      <c r="AO603" s="4317"/>
      <c r="AP603" s="4317"/>
      <c r="AQ603" s="4317"/>
      <c r="AR603" s="4317"/>
      <c r="AS603" s="4317"/>
      <c r="AT603" s="4317"/>
      <c r="AU603" s="4317"/>
      <c r="AV603" s="4317"/>
      <c r="AW603" s="4317"/>
      <c r="AX603" s="4317"/>
      <c r="AY603" s="4317"/>
      <c r="AZ603" s="4317"/>
      <c r="BA603" s="4317"/>
      <c r="BB603" s="4317"/>
      <c r="BC603" s="4317"/>
      <c r="BD603" s="4317"/>
      <c r="BE603" s="4317"/>
      <c r="BF603" s="4317"/>
      <c r="BG603" s="4317"/>
      <c r="BH603" s="4317"/>
      <c r="BI603" s="4317"/>
      <c r="BJ603" s="4317"/>
      <c r="BK603" s="4317"/>
      <c r="BL603" s="4317"/>
      <c r="BM603" s="4317"/>
      <c r="BN603" s="4317"/>
      <c r="BO603" s="4317"/>
      <c r="BP603" s="4317"/>
      <c r="BQ603" s="4317"/>
      <c r="BR603" s="4317"/>
      <c r="BS603" s="4317"/>
      <c r="BT603" s="4317"/>
      <c r="BU603" s="4317"/>
      <c r="BV603" s="4317"/>
      <c r="BW603" s="4317"/>
      <c r="BX603" s="4317"/>
      <c r="BY603" s="4317"/>
      <c r="BZ603" s="4317"/>
      <c r="CA603" s="4317"/>
      <c r="CB603" s="4317"/>
      <c r="CC603" s="4317"/>
      <c r="CD603" s="4317"/>
      <c r="CE603" s="4317"/>
      <c r="CF603" s="4317"/>
      <c r="CG603" s="4317"/>
      <c r="CH603" s="4317"/>
      <c r="CI603" s="4317"/>
      <c r="CJ603" s="4317"/>
      <c r="CK603" s="4317"/>
      <c r="CL603" s="4317"/>
      <c r="CM603" s="4317"/>
      <c r="CN603" s="4317"/>
      <c r="CO603" s="4317"/>
      <c r="CP603" s="4317"/>
      <c r="CQ603" s="4317"/>
      <c r="CR603" s="4317"/>
      <c r="CS603" s="4317"/>
      <c r="CT603" s="4317"/>
      <c r="CU603" s="4317"/>
      <c r="CV603" s="4317"/>
      <c r="CW603" s="4317"/>
      <c r="CX603" s="4317"/>
      <c r="CY603" s="4317"/>
      <c r="CZ603" s="4317"/>
      <c r="DA603" s="4317"/>
      <c r="DB603" s="4317"/>
      <c r="DC603" s="4317"/>
      <c r="DD603" s="4317"/>
      <c r="DE603" s="4317"/>
      <c r="DF603" s="4317"/>
      <c r="DG603" s="4317"/>
      <c r="DH603" s="4317"/>
      <c r="DI603" s="4317"/>
      <c r="DJ603" s="4317"/>
      <c r="DK603" s="4317"/>
      <c r="DL603" s="4317"/>
      <c r="DM603" s="4317"/>
      <c r="DN603" s="4317"/>
      <c r="DO603" s="4317"/>
      <c r="DP603" s="4317"/>
      <c r="DQ603" s="4317"/>
      <c r="DR603" s="4317"/>
      <c r="DS603" s="4317"/>
      <c r="DT603" s="4133"/>
      <c r="DU603" s="4133"/>
      <c r="DV603" s="4133"/>
      <c r="DW603" s="4133"/>
      <c r="DX603" s="4133"/>
      <c r="DY603" s="4133"/>
    </row>
    <row r="604" s="4134" customFormat="1" ht="16.5" customHeight="1" spans="1:129">
      <c r="A604" s="4657" t="s">
        <v>3906</v>
      </c>
      <c r="B604" s="4567"/>
      <c r="C604" s="4567"/>
      <c r="D604" s="4567"/>
      <c r="E604" s="4567"/>
      <c r="F604" s="4534"/>
      <c r="G604" s="4535"/>
      <c r="H604" s="4535"/>
      <c r="I604" s="4535"/>
      <c r="J604" s="4535"/>
      <c r="K604" s="4535"/>
      <c r="L604" s="4536"/>
      <c r="M604" s="4534"/>
      <c r="N604" s="4535"/>
      <c r="O604" s="4535"/>
      <c r="P604" s="4535"/>
      <c r="Q604" s="4535"/>
      <c r="R604" s="4535"/>
      <c r="S604" s="4536"/>
      <c r="T604" s="4317"/>
      <c r="U604" s="4653"/>
      <c r="V604" s="4316" t="s">
        <v>5265</v>
      </c>
      <c r="W604" s="4317"/>
      <c r="X604" s="4317"/>
      <c r="Y604" s="4653"/>
      <c r="Z604" s="4653"/>
      <c r="AA604" s="4653"/>
      <c r="AB604" s="4317"/>
      <c r="AC604" s="4295"/>
      <c r="AD604" s="4653"/>
      <c r="AE604" s="4653"/>
      <c r="AF604" s="4653"/>
      <c r="AG604" s="4317"/>
      <c r="AH604" s="4317"/>
      <c r="AI604" s="4317"/>
      <c r="AJ604" s="4317"/>
      <c r="AK604" s="4317"/>
      <c r="AL604" s="4317"/>
      <c r="AM604" s="4317"/>
      <c r="AN604" s="4317"/>
      <c r="AO604" s="4317"/>
      <c r="AP604" s="4317"/>
      <c r="AQ604" s="4317"/>
      <c r="AR604" s="4317"/>
      <c r="AS604" s="4317"/>
      <c r="AT604" s="4317"/>
      <c r="AU604" s="4317"/>
      <c r="AV604" s="4317"/>
      <c r="AW604" s="4317"/>
      <c r="AX604" s="4317"/>
      <c r="AY604" s="4317"/>
      <c r="AZ604" s="4317"/>
      <c r="BA604" s="4317"/>
      <c r="BB604" s="4317"/>
      <c r="BC604" s="4317"/>
      <c r="BD604" s="4317"/>
      <c r="BE604" s="4317"/>
      <c r="BF604" s="4317"/>
      <c r="BG604" s="4317"/>
      <c r="BH604" s="4317"/>
      <c r="BI604" s="4317"/>
      <c r="BJ604" s="4317"/>
      <c r="BK604" s="4317"/>
      <c r="BL604" s="4317"/>
      <c r="BM604" s="4317"/>
      <c r="BN604" s="4317"/>
      <c r="BO604" s="4317"/>
      <c r="BP604" s="4317"/>
      <c r="BQ604" s="4317"/>
      <c r="BR604" s="4317"/>
      <c r="BS604" s="4317"/>
      <c r="BT604" s="4317"/>
      <c r="BU604" s="4317"/>
      <c r="BV604" s="4317"/>
      <c r="BW604" s="4317"/>
      <c r="BX604" s="4317"/>
      <c r="BY604" s="4317"/>
      <c r="BZ604" s="4317"/>
      <c r="CA604" s="4317"/>
      <c r="CB604" s="4317"/>
      <c r="CC604" s="4317"/>
      <c r="CD604" s="4317"/>
      <c r="CE604" s="4317"/>
      <c r="CF604" s="4317"/>
      <c r="CG604" s="4317"/>
      <c r="CH604" s="4317"/>
      <c r="CI604" s="4317"/>
      <c r="CJ604" s="4317"/>
      <c r="CK604" s="4317"/>
      <c r="CL604" s="4317"/>
      <c r="CM604" s="4317"/>
      <c r="CN604" s="4317"/>
      <c r="CO604" s="4317"/>
      <c r="CP604" s="4317"/>
      <c r="CQ604" s="4317"/>
      <c r="CR604" s="4317"/>
      <c r="CS604" s="4317"/>
      <c r="CT604" s="4317"/>
      <c r="CU604" s="4317"/>
      <c r="CV604" s="4317"/>
      <c r="CW604" s="4317"/>
      <c r="CX604" s="4317"/>
      <c r="CY604" s="4317"/>
      <c r="CZ604" s="4317"/>
      <c r="DA604" s="4317"/>
      <c r="DB604" s="4317"/>
      <c r="DC604" s="4317"/>
      <c r="DD604" s="4317"/>
      <c r="DE604" s="4317"/>
      <c r="DF604" s="4317"/>
      <c r="DG604" s="4317"/>
      <c r="DH604" s="4317"/>
      <c r="DI604" s="4317"/>
      <c r="DJ604" s="4317"/>
      <c r="DK604" s="4317"/>
      <c r="DL604" s="4317"/>
      <c r="DM604" s="4317"/>
      <c r="DN604" s="4317"/>
      <c r="DO604" s="4317"/>
      <c r="DP604" s="4317"/>
      <c r="DQ604" s="4317"/>
      <c r="DR604" s="4317"/>
      <c r="DS604" s="4317"/>
      <c r="DT604" s="4133"/>
      <c r="DU604" s="4133"/>
      <c r="DV604" s="4133"/>
      <c r="DW604" s="4133"/>
      <c r="DX604" s="4133"/>
      <c r="DY604" s="4133"/>
    </row>
    <row r="605" s="4134" customFormat="1" ht="16.5" customHeight="1" spans="1:129">
      <c r="A605" s="4657" t="s">
        <v>484</v>
      </c>
      <c r="B605" s="4567"/>
      <c r="C605" s="4567"/>
      <c r="D605" s="4567"/>
      <c r="E605" s="4567"/>
      <c r="F605" s="4534"/>
      <c r="G605" s="4535"/>
      <c r="H605" s="4535"/>
      <c r="I605" s="4535"/>
      <c r="J605" s="4535"/>
      <c r="K605" s="4535"/>
      <c r="L605" s="4536"/>
      <c r="M605" s="4534"/>
      <c r="N605" s="4535"/>
      <c r="O605" s="4535"/>
      <c r="P605" s="4535"/>
      <c r="Q605" s="4535"/>
      <c r="R605" s="4535"/>
      <c r="S605" s="4536"/>
      <c r="T605" s="4317"/>
      <c r="U605" s="4653"/>
      <c r="V605" s="4316" t="s">
        <v>5266</v>
      </c>
      <c r="W605" s="4317"/>
      <c r="X605" s="4317"/>
      <c r="Y605" s="4653"/>
      <c r="Z605" s="4653"/>
      <c r="AA605" s="4653"/>
      <c r="AB605" s="4317"/>
      <c r="AC605" s="4295"/>
      <c r="AD605" s="4653"/>
      <c r="AE605" s="4653"/>
      <c r="AF605" s="4653"/>
      <c r="AG605" s="4317"/>
      <c r="AH605" s="4317"/>
      <c r="AI605" s="4317"/>
      <c r="AJ605" s="4317"/>
      <c r="AK605" s="4317"/>
      <c r="AL605" s="4317"/>
      <c r="AM605" s="4317"/>
      <c r="AN605" s="4317"/>
      <c r="AO605" s="4317"/>
      <c r="AP605" s="4317"/>
      <c r="AQ605" s="4317"/>
      <c r="AR605" s="4317"/>
      <c r="AS605" s="4317"/>
      <c r="AT605" s="4317"/>
      <c r="AU605" s="4317"/>
      <c r="AV605" s="4317"/>
      <c r="AW605" s="4317"/>
      <c r="AX605" s="4317"/>
      <c r="AY605" s="4317"/>
      <c r="AZ605" s="4317"/>
      <c r="BA605" s="4317"/>
      <c r="BB605" s="4317"/>
      <c r="BC605" s="4317"/>
      <c r="BD605" s="4317"/>
      <c r="BE605" s="4317"/>
      <c r="BF605" s="4317"/>
      <c r="BG605" s="4317"/>
      <c r="BH605" s="4317"/>
      <c r="BI605" s="4317"/>
      <c r="BJ605" s="4317"/>
      <c r="BK605" s="4317"/>
      <c r="BL605" s="4317"/>
      <c r="BM605" s="4317"/>
      <c r="BN605" s="4317"/>
      <c r="BO605" s="4317"/>
      <c r="BP605" s="4317"/>
      <c r="BQ605" s="4317"/>
      <c r="BR605" s="4317"/>
      <c r="BS605" s="4317"/>
      <c r="BT605" s="4317"/>
      <c r="BU605" s="4317"/>
      <c r="BV605" s="4317"/>
      <c r="BW605" s="4317"/>
      <c r="BX605" s="4317"/>
      <c r="BY605" s="4317"/>
      <c r="BZ605" s="4317"/>
      <c r="CA605" s="4317"/>
      <c r="CB605" s="4317"/>
      <c r="CC605" s="4317"/>
      <c r="CD605" s="4317"/>
      <c r="CE605" s="4317"/>
      <c r="CF605" s="4317"/>
      <c r="CG605" s="4317"/>
      <c r="CH605" s="4317"/>
      <c r="CI605" s="4317"/>
      <c r="CJ605" s="4317"/>
      <c r="CK605" s="4317"/>
      <c r="CL605" s="4317"/>
      <c r="CM605" s="4317"/>
      <c r="CN605" s="4317"/>
      <c r="CO605" s="4317"/>
      <c r="CP605" s="4317"/>
      <c r="CQ605" s="4317"/>
      <c r="CR605" s="4317"/>
      <c r="CS605" s="4317"/>
      <c r="CT605" s="4317"/>
      <c r="CU605" s="4317"/>
      <c r="CV605" s="4317"/>
      <c r="CW605" s="4317"/>
      <c r="CX605" s="4317"/>
      <c r="CY605" s="4317"/>
      <c r="CZ605" s="4317"/>
      <c r="DA605" s="4317"/>
      <c r="DB605" s="4317"/>
      <c r="DC605" s="4317"/>
      <c r="DD605" s="4317"/>
      <c r="DE605" s="4317"/>
      <c r="DF605" s="4317"/>
      <c r="DG605" s="4317"/>
      <c r="DH605" s="4317"/>
      <c r="DI605" s="4317"/>
      <c r="DJ605" s="4317"/>
      <c r="DK605" s="4317"/>
      <c r="DL605" s="4317"/>
      <c r="DM605" s="4317"/>
      <c r="DN605" s="4317"/>
      <c r="DO605" s="4317"/>
      <c r="DP605" s="4317"/>
      <c r="DQ605" s="4317"/>
      <c r="DR605" s="4317"/>
      <c r="DS605" s="4317"/>
      <c r="DT605" s="4133"/>
      <c r="DU605" s="4133"/>
      <c r="DV605" s="4133"/>
      <c r="DW605" s="4133"/>
      <c r="DX605" s="4133"/>
      <c r="DY605" s="4133"/>
    </row>
    <row r="606" s="4134" customFormat="1" ht="16.5" customHeight="1" spans="1:129">
      <c r="A606" s="4659" t="s">
        <v>5267</v>
      </c>
      <c r="B606" s="4660"/>
      <c r="C606" s="4660"/>
      <c r="D606" s="4660"/>
      <c r="E606" s="4660"/>
      <c r="F606" s="4661">
        <f>SUM(F600:L605)</f>
        <v>8499</v>
      </c>
      <c r="G606" s="4661"/>
      <c r="H606" s="4661"/>
      <c r="I606" s="4661"/>
      <c r="J606" s="4661"/>
      <c r="K606" s="4661"/>
      <c r="L606" s="4661"/>
      <c r="M606" s="4661">
        <f>SUM(M600:S605)</f>
        <v>8499</v>
      </c>
      <c r="N606" s="4661"/>
      <c r="O606" s="4661"/>
      <c r="P606" s="4661"/>
      <c r="Q606" s="4661"/>
      <c r="R606" s="4661"/>
      <c r="S606" s="4661"/>
      <c r="T606" s="4317"/>
      <c r="U606" s="4653"/>
      <c r="V606" s="4322" t="s">
        <v>2880</v>
      </c>
      <c r="W606" s="4317"/>
      <c r="X606" s="4317"/>
      <c r="Y606" s="4653"/>
      <c r="Z606" s="4653"/>
      <c r="AA606" s="4653"/>
      <c r="AB606" s="4317"/>
      <c r="AC606" s="4295"/>
      <c r="AD606" s="4653"/>
      <c r="AE606" s="4653"/>
      <c r="AF606" s="4653"/>
      <c r="AG606" s="4317"/>
      <c r="AH606" s="4317"/>
      <c r="AI606" s="4317"/>
      <c r="AJ606" s="4317"/>
      <c r="AK606" s="4317"/>
      <c r="AL606" s="4317"/>
      <c r="AM606" s="4317"/>
      <c r="AN606" s="4317"/>
      <c r="AO606" s="4317"/>
      <c r="AP606" s="4317"/>
      <c r="AQ606" s="4317"/>
      <c r="AR606" s="4317"/>
      <c r="AS606" s="4317"/>
      <c r="AT606" s="4317"/>
      <c r="AU606" s="4317"/>
      <c r="AV606" s="4317"/>
      <c r="AW606" s="4317"/>
      <c r="AX606" s="4317"/>
      <c r="AY606" s="4317"/>
      <c r="AZ606" s="4317"/>
      <c r="BA606" s="4317"/>
      <c r="BB606" s="4317"/>
      <c r="BC606" s="4317"/>
      <c r="BD606" s="4317"/>
      <c r="BE606" s="4317"/>
      <c r="BF606" s="4317"/>
      <c r="BG606" s="4317"/>
      <c r="BH606" s="4317"/>
      <c r="BI606" s="4317"/>
      <c r="BJ606" s="4317"/>
      <c r="BK606" s="4317"/>
      <c r="BL606" s="4317"/>
      <c r="BM606" s="4317"/>
      <c r="BN606" s="4317"/>
      <c r="BO606" s="4317"/>
      <c r="BP606" s="4317"/>
      <c r="BQ606" s="4317"/>
      <c r="BR606" s="4317"/>
      <c r="BS606" s="4317"/>
      <c r="BT606" s="4317"/>
      <c r="BU606" s="4317"/>
      <c r="BV606" s="4317"/>
      <c r="BW606" s="4317"/>
      <c r="BX606" s="4317"/>
      <c r="BY606" s="4317"/>
      <c r="BZ606" s="4317"/>
      <c r="CA606" s="4317"/>
      <c r="CB606" s="4317"/>
      <c r="CC606" s="4317"/>
      <c r="CD606" s="4317"/>
      <c r="CE606" s="4317"/>
      <c r="CF606" s="4317"/>
      <c r="CG606" s="4317"/>
      <c r="CH606" s="4317"/>
      <c r="CI606" s="4317"/>
      <c r="CJ606" s="4317"/>
      <c r="CK606" s="4317"/>
      <c r="CL606" s="4317"/>
      <c r="CM606" s="4317"/>
      <c r="CN606" s="4317"/>
      <c r="CO606" s="4317"/>
      <c r="CP606" s="4317"/>
      <c r="CQ606" s="4317"/>
      <c r="CR606" s="4317"/>
      <c r="CS606" s="4317"/>
      <c r="CT606" s="4317"/>
      <c r="CU606" s="4317"/>
      <c r="CV606" s="4317"/>
      <c r="CW606" s="4317"/>
      <c r="CX606" s="4317"/>
      <c r="CY606" s="4317"/>
      <c r="CZ606" s="4317"/>
      <c r="DA606" s="4317"/>
      <c r="DB606" s="4317"/>
      <c r="DC606" s="4317"/>
      <c r="DD606" s="4317"/>
      <c r="DE606" s="4317"/>
      <c r="DF606" s="4317"/>
      <c r="DG606" s="4317"/>
      <c r="DH606" s="4317"/>
      <c r="DI606" s="4317"/>
      <c r="DJ606" s="4317"/>
      <c r="DK606" s="4317"/>
      <c r="DL606" s="4317"/>
      <c r="DM606" s="4317"/>
      <c r="DN606" s="4317"/>
      <c r="DO606" s="4317"/>
      <c r="DP606" s="4317"/>
      <c r="DQ606" s="4317"/>
      <c r="DR606" s="4317"/>
      <c r="DS606" s="4317"/>
      <c r="DT606" s="4133"/>
      <c r="DU606" s="4133"/>
      <c r="DV606" s="4133"/>
      <c r="DW606" s="4133"/>
      <c r="DX606" s="4133"/>
      <c r="DY606" s="4133"/>
    </row>
    <row r="607" s="4134" customFormat="1" ht="16.5" customHeight="1" spans="1:129">
      <c r="A607" s="4657" t="s">
        <v>3916</v>
      </c>
      <c r="B607" s="4567"/>
      <c r="C607" s="4567"/>
      <c r="D607" s="4567"/>
      <c r="E607" s="4567"/>
      <c r="F607" s="4534"/>
      <c r="G607" s="4535"/>
      <c r="H607" s="4535"/>
      <c r="I607" s="4535"/>
      <c r="J607" s="4535"/>
      <c r="K607" s="4535"/>
      <c r="L607" s="4536"/>
      <c r="M607" s="4534"/>
      <c r="N607" s="4535"/>
      <c r="O607" s="4535"/>
      <c r="P607" s="4535"/>
      <c r="Q607" s="4535"/>
      <c r="R607" s="4535"/>
      <c r="S607" s="4536"/>
      <c r="T607" s="4317"/>
      <c r="U607" s="4653"/>
      <c r="V607" s="4316" t="s">
        <v>5268</v>
      </c>
      <c r="W607" s="4317"/>
      <c r="X607" s="4317"/>
      <c r="Y607" s="4653"/>
      <c r="Z607" s="4653"/>
      <c r="AA607" s="4653"/>
      <c r="AB607" s="4317"/>
      <c r="AC607" s="4295"/>
      <c r="AD607" s="4653"/>
      <c r="AE607" s="4653"/>
      <c r="AF607" s="4653"/>
      <c r="AG607" s="4317"/>
      <c r="AH607" s="4317"/>
      <c r="AI607" s="4317"/>
      <c r="AJ607" s="4317"/>
      <c r="AK607" s="4317"/>
      <c r="AL607" s="4317"/>
      <c r="AM607" s="4317"/>
      <c r="AN607" s="4317"/>
      <c r="AO607" s="4317"/>
      <c r="AP607" s="4317"/>
      <c r="AQ607" s="4317"/>
      <c r="AR607" s="4317"/>
      <c r="AS607" s="4317"/>
      <c r="AT607" s="4317"/>
      <c r="AU607" s="4317"/>
      <c r="AV607" s="4317"/>
      <c r="AW607" s="4317"/>
      <c r="AX607" s="4317"/>
      <c r="AY607" s="4317"/>
      <c r="AZ607" s="4317"/>
      <c r="BA607" s="4317"/>
      <c r="BB607" s="4317"/>
      <c r="BC607" s="4317"/>
      <c r="BD607" s="4317"/>
      <c r="BE607" s="4317"/>
      <c r="BF607" s="4317"/>
      <c r="BG607" s="4317"/>
      <c r="BH607" s="4317"/>
      <c r="BI607" s="4317"/>
      <c r="BJ607" s="4317"/>
      <c r="BK607" s="4317"/>
      <c r="BL607" s="4317"/>
      <c r="BM607" s="4317"/>
      <c r="BN607" s="4317"/>
      <c r="BO607" s="4317"/>
      <c r="BP607" s="4317"/>
      <c r="BQ607" s="4317"/>
      <c r="BR607" s="4317"/>
      <c r="BS607" s="4317"/>
      <c r="BT607" s="4317"/>
      <c r="BU607" s="4317"/>
      <c r="BV607" s="4317"/>
      <c r="BW607" s="4317"/>
      <c r="BX607" s="4317"/>
      <c r="BY607" s="4317"/>
      <c r="BZ607" s="4317"/>
      <c r="CA607" s="4317"/>
      <c r="CB607" s="4317"/>
      <c r="CC607" s="4317"/>
      <c r="CD607" s="4317"/>
      <c r="CE607" s="4317"/>
      <c r="CF607" s="4317"/>
      <c r="CG607" s="4317"/>
      <c r="CH607" s="4317"/>
      <c r="CI607" s="4317"/>
      <c r="CJ607" s="4317"/>
      <c r="CK607" s="4317"/>
      <c r="CL607" s="4317"/>
      <c r="CM607" s="4317"/>
      <c r="CN607" s="4317"/>
      <c r="CO607" s="4317"/>
      <c r="CP607" s="4317"/>
      <c r="CQ607" s="4317"/>
      <c r="CR607" s="4317"/>
      <c r="CS607" s="4317"/>
      <c r="CT607" s="4317"/>
      <c r="CU607" s="4317"/>
      <c r="CV607" s="4317"/>
      <c r="CW607" s="4317"/>
      <c r="CX607" s="4317"/>
      <c r="CY607" s="4317"/>
      <c r="CZ607" s="4317"/>
      <c r="DA607" s="4317"/>
      <c r="DB607" s="4317"/>
      <c r="DC607" s="4317"/>
      <c r="DD607" s="4317"/>
      <c r="DE607" s="4317"/>
      <c r="DF607" s="4317"/>
      <c r="DG607" s="4317"/>
      <c r="DH607" s="4317"/>
      <c r="DI607" s="4317"/>
      <c r="DJ607" s="4317"/>
      <c r="DK607" s="4317"/>
      <c r="DL607" s="4317"/>
      <c r="DM607" s="4317"/>
      <c r="DN607" s="4317"/>
      <c r="DO607" s="4317"/>
      <c r="DP607" s="4317"/>
      <c r="DQ607" s="4317"/>
      <c r="DR607" s="4317"/>
      <c r="DS607" s="4317"/>
      <c r="DT607" s="4133"/>
      <c r="DU607" s="4133"/>
      <c r="DV607" s="4133"/>
      <c r="DW607" s="4133"/>
      <c r="DX607" s="4133"/>
      <c r="DY607" s="4133"/>
    </row>
    <row r="608" s="4134" customFormat="1" ht="16.5" customHeight="1" spans="1:129">
      <c r="A608" s="4657" t="s">
        <v>541</v>
      </c>
      <c r="B608" s="4567"/>
      <c r="C608" s="4567"/>
      <c r="D608" s="4567"/>
      <c r="E608" s="4567"/>
      <c r="F608" s="4534"/>
      <c r="G608" s="4535"/>
      <c r="H608" s="4535"/>
      <c r="I608" s="4535"/>
      <c r="J608" s="4535"/>
      <c r="K608" s="4535"/>
      <c r="L608" s="4536"/>
      <c r="M608" s="4534"/>
      <c r="N608" s="4535"/>
      <c r="O608" s="4535"/>
      <c r="P608" s="4535"/>
      <c r="Q608" s="4535"/>
      <c r="R608" s="4535"/>
      <c r="S608" s="4536"/>
      <c r="T608" s="4317"/>
      <c r="U608" s="4653"/>
      <c r="V608" s="4316" t="s">
        <v>5269</v>
      </c>
      <c r="W608" s="4317"/>
      <c r="X608" s="4317"/>
      <c r="Y608" s="4653"/>
      <c r="Z608" s="4653"/>
      <c r="AA608" s="4653"/>
      <c r="AB608" s="4317"/>
      <c r="AC608" s="4295"/>
      <c r="AD608" s="4653"/>
      <c r="AE608" s="4653"/>
      <c r="AF608" s="4653"/>
      <c r="AG608" s="4317"/>
      <c r="AH608" s="4317"/>
      <c r="AI608" s="4317"/>
      <c r="AJ608" s="4317"/>
      <c r="AK608" s="4317"/>
      <c r="AL608" s="4317"/>
      <c r="AM608" s="4317"/>
      <c r="AN608" s="4317"/>
      <c r="AO608" s="4317"/>
      <c r="AP608" s="4317"/>
      <c r="AQ608" s="4317"/>
      <c r="AR608" s="4317"/>
      <c r="AS608" s="4317"/>
      <c r="AT608" s="4317"/>
      <c r="AU608" s="4317"/>
      <c r="AV608" s="4317"/>
      <c r="AW608" s="4317"/>
      <c r="AX608" s="4317"/>
      <c r="AY608" s="4317"/>
      <c r="AZ608" s="4317"/>
      <c r="BA608" s="4317"/>
      <c r="BB608" s="4317"/>
      <c r="BC608" s="4317"/>
      <c r="BD608" s="4317"/>
      <c r="BE608" s="4317"/>
      <c r="BF608" s="4317"/>
      <c r="BG608" s="4317"/>
      <c r="BH608" s="4317"/>
      <c r="BI608" s="4317"/>
      <c r="BJ608" s="4317"/>
      <c r="BK608" s="4317"/>
      <c r="BL608" s="4317"/>
      <c r="BM608" s="4317"/>
      <c r="BN608" s="4317"/>
      <c r="BO608" s="4317"/>
      <c r="BP608" s="4317"/>
      <c r="BQ608" s="4317"/>
      <c r="BR608" s="4317"/>
      <c r="BS608" s="4317"/>
      <c r="BT608" s="4317"/>
      <c r="BU608" s="4317"/>
      <c r="BV608" s="4317"/>
      <c r="BW608" s="4317"/>
      <c r="BX608" s="4317"/>
      <c r="BY608" s="4317"/>
      <c r="BZ608" s="4317"/>
      <c r="CA608" s="4317"/>
      <c r="CB608" s="4317"/>
      <c r="CC608" s="4317"/>
      <c r="CD608" s="4317"/>
      <c r="CE608" s="4317"/>
      <c r="CF608" s="4317"/>
      <c r="CG608" s="4317"/>
      <c r="CH608" s="4317"/>
      <c r="CI608" s="4317"/>
      <c r="CJ608" s="4317"/>
      <c r="CK608" s="4317"/>
      <c r="CL608" s="4317"/>
      <c r="CM608" s="4317"/>
      <c r="CN608" s="4317"/>
      <c r="CO608" s="4317"/>
      <c r="CP608" s="4317"/>
      <c r="CQ608" s="4317"/>
      <c r="CR608" s="4317"/>
      <c r="CS608" s="4317"/>
      <c r="CT608" s="4317"/>
      <c r="CU608" s="4317"/>
      <c r="CV608" s="4317"/>
      <c r="CW608" s="4317"/>
      <c r="CX608" s="4317"/>
      <c r="CY608" s="4317"/>
      <c r="CZ608" s="4317"/>
      <c r="DA608" s="4317"/>
      <c r="DB608" s="4317"/>
      <c r="DC608" s="4317"/>
      <c r="DD608" s="4317"/>
      <c r="DE608" s="4317"/>
      <c r="DF608" s="4317"/>
      <c r="DG608" s="4317"/>
      <c r="DH608" s="4317"/>
      <c r="DI608" s="4317"/>
      <c r="DJ608" s="4317"/>
      <c r="DK608" s="4317"/>
      <c r="DL608" s="4317"/>
      <c r="DM608" s="4317"/>
      <c r="DN608" s="4317"/>
      <c r="DO608" s="4317"/>
      <c r="DP608" s="4317"/>
      <c r="DQ608" s="4317"/>
      <c r="DR608" s="4317"/>
      <c r="DS608" s="4317"/>
      <c r="DT608" s="4133"/>
      <c r="DU608" s="4133"/>
      <c r="DV608" s="4133"/>
      <c r="DW608" s="4133"/>
      <c r="DX608" s="4133"/>
      <c r="DY608" s="4133"/>
    </row>
    <row r="609" s="4134" customFormat="1" ht="16.5" customHeight="1" spans="1:129">
      <c r="A609" s="4657" t="s">
        <v>3921</v>
      </c>
      <c r="B609" s="4567"/>
      <c r="C609" s="4567"/>
      <c r="D609" s="4567"/>
      <c r="E609" s="4567"/>
      <c r="F609" s="4534">
        <v>12798</v>
      </c>
      <c r="G609" s="4535"/>
      <c r="H609" s="4535"/>
      <c r="I609" s="4535"/>
      <c r="J609" s="4535"/>
      <c r="K609" s="4535"/>
      <c r="L609" s="4536"/>
      <c r="M609" s="4534">
        <v>12798</v>
      </c>
      <c r="N609" s="4535"/>
      <c r="O609" s="4535"/>
      <c r="P609" s="4535"/>
      <c r="Q609" s="4535"/>
      <c r="R609" s="4535"/>
      <c r="S609" s="4536"/>
      <c r="T609" s="4317"/>
      <c r="U609" s="4653"/>
      <c r="V609" s="4316" t="s">
        <v>5270</v>
      </c>
      <c r="W609" s="4317"/>
      <c r="X609" s="4317"/>
      <c r="Y609" s="4653"/>
      <c r="Z609" s="4653"/>
      <c r="AA609" s="4653"/>
      <c r="AB609" s="4317"/>
      <c r="AC609" s="4295"/>
      <c r="AD609" s="4653"/>
      <c r="AE609" s="4653"/>
      <c r="AF609" s="4653"/>
      <c r="AG609" s="4317"/>
      <c r="AH609" s="4317"/>
      <c r="AI609" s="4317"/>
      <c r="AJ609" s="4317"/>
      <c r="AK609" s="4317"/>
      <c r="AL609" s="4317"/>
      <c r="AM609" s="4317"/>
      <c r="AN609" s="4317"/>
      <c r="AO609" s="4317"/>
      <c r="AP609" s="4317"/>
      <c r="AQ609" s="4317"/>
      <c r="AR609" s="4317"/>
      <c r="AS609" s="4317"/>
      <c r="AT609" s="4317"/>
      <c r="AU609" s="4317"/>
      <c r="AV609" s="4317"/>
      <c r="AW609" s="4317"/>
      <c r="AX609" s="4317"/>
      <c r="AY609" s="4317"/>
      <c r="AZ609" s="4317"/>
      <c r="BA609" s="4317"/>
      <c r="BB609" s="4317"/>
      <c r="BC609" s="4317"/>
      <c r="BD609" s="4317"/>
      <c r="BE609" s="4317"/>
      <c r="BF609" s="4317"/>
      <c r="BG609" s="4317"/>
      <c r="BH609" s="4317"/>
      <c r="BI609" s="4317"/>
      <c r="BJ609" s="4317"/>
      <c r="BK609" s="4317"/>
      <c r="BL609" s="4317"/>
      <c r="BM609" s="4317"/>
      <c r="BN609" s="4317"/>
      <c r="BO609" s="4317"/>
      <c r="BP609" s="4317"/>
      <c r="BQ609" s="4317"/>
      <c r="BR609" s="4317"/>
      <c r="BS609" s="4317"/>
      <c r="BT609" s="4317"/>
      <c r="BU609" s="4317"/>
      <c r="BV609" s="4317"/>
      <c r="BW609" s="4317"/>
      <c r="BX609" s="4317"/>
      <c r="BY609" s="4317"/>
      <c r="BZ609" s="4317"/>
      <c r="CA609" s="4317"/>
      <c r="CB609" s="4317"/>
      <c r="CC609" s="4317"/>
      <c r="CD609" s="4317"/>
      <c r="CE609" s="4317"/>
      <c r="CF609" s="4317"/>
      <c r="CG609" s="4317"/>
      <c r="CH609" s="4317"/>
      <c r="CI609" s="4317"/>
      <c r="CJ609" s="4317"/>
      <c r="CK609" s="4317"/>
      <c r="CL609" s="4317"/>
      <c r="CM609" s="4317"/>
      <c r="CN609" s="4317"/>
      <c r="CO609" s="4317"/>
      <c r="CP609" s="4317"/>
      <c r="CQ609" s="4317"/>
      <c r="CR609" s="4317"/>
      <c r="CS609" s="4317"/>
      <c r="CT609" s="4317"/>
      <c r="CU609" s="4317"/>
      <c r="CV609" s="4317"/>
      <c r="CW609" s="4317"/>
      <c r="CX609" s="4317"/>
      <c r="CY609" s="4317"/>
      <c r="CZ609" s="4317"/>
      <c r="DA609" s="4317"/>
      <c r="DB609" s="4317"/>
      <c r="DC609" s="4317"/>
      <c r="DD609" s="4317"/>
      <c r="DE609" s="4317"/>
      <c r="DF609" s="4317"/>
      <c r="DG609" s="4317"/>
      <c r="DH609" s="4317"/>
      <c r="DI609" s="4317"/>
      <c r="DJ609" s="4317"/>
      <c r="DK609" s="4317"/>
      <c r="DL609" s="4317"/>
      <c r="DM609" s="4317"/>
      <c r="DN609" s="4317"/>
      <c r="DO609" s="4317"/>
      <c r="DP609" s="4317"/>
      <c r="DQ609" s="4317"/>
      <c r="DR609" s="4317"/>
      <c r="DS609" s="4317"/>
      <c r="DT609" s="4133"/>
      <c r="DU609" s="4133"/>
      <c r="DV609" s="4133"/>
      <c r="DW609" s="4133"/>
      <c r="DX609" s="4133"/>
      <c r="DY609" s="4133"/>
    </row>
    <row r="610" s="4134" customFormat="1" ht="16.5" customHeight="1" spans="1:129">
      <c r="A610" s="4657" t="s">
        <v>566</v>
      </c>
      <c r="B610" s="4567"/>
      <c r="C610" s="4567"/>
      <c r="D610" s="4567"/>
      <c r="E610" s="4567"/>
      <c r="F610" s="4534">
        <v>5297</v>
      </c>
      <c r="G610" s="4535"/>
      <c r="H610" s="4535"/>
      <c r="I610" s="4535"/>
      <c r="J610" s="4535"/>
      <c r="K610" s="4535"/>
      <c r="L610" s="4536"/>
      <c r="M610" s="4534">
        <v>5297</v>
      </c>
      <c r="N610" s="4535"/>
      <c r="O610" s="4535"/>
      <c r="P610" s="4535"/>
      <c r="Q610" s="4535"/>
      <c r="R610" s="4535"/>
      <c r="S610" s="4536"/>
      <c r="T610" s="4317"/>
      <c r="U610" s="4653"/>
      <c r="V610" s="4316" t="s">
        <v>5271</v>
      </c>
      <c r="W610" s="4317"/>
      <c r="X610" s="4317"/>
      <c r="Y610" s="4653"/>
      <c r="Z610" s="4653"/>
      <c r="AA610" s="4653"/>
      <c r="AB610" s="4317"/>
      <c r="AC610" s="4295"/>
      <c r="AD610" s="4653"/>
      <c r="AE610" s="4653"/>
      <c r="AF610" s="4653"/>
      <c r="AG610" s="4317"/>
      <c r="AH610" s="4317"/>
      <c r="AI610" s="4317"/>
      <c r="AJ610" s="4317"/>
      <c r="AK610" s="4317"/>
      <c r="AL610" s="4317"/>
      <c r="AM610" s="4317"/>
      <c r="AN610" s="4317"/>
      <c r="AO610" s="4317"/>
      <c r="AP610" s="4317"/>
      <c r="AQ610" s="4317"/>
      <c r="AR610" s="4317"/>
      <c r="AS610" s="4317"/>
      <c r="AT610" s="4317"/>
      <c r="AU610" s="4317"/>
      <c r="AV610" s="4317"/>
      <c r="AW610" s="4317"/>
      <c r="AX610" s="4317"/>
      <c r="AY610" s="4317"/>
      <c r="AZ610" s="4317"/>
      <c r="BA610" s="4317"/>
      <c r="BB610" s="4317"/>
      <c r="BC610" s="4317"/>
      <c r="BD610" s="4317"/>
      <c r="BE610" s="4317"/>
      <c r="BF610" s="4317"/>
      <c r="BG610" s="4317"/>
      <c r="BH610" s="4317"/>
      <c r="BI610" s="4317"/>
      <c r="BJ610" s="4317"/>
      <c r="BK610" s="4317"/>
      <c r="BL610" s="4317"/>
      <c r="BM610" s="4317"/>
      <c r="BN610" s="4317"/>
      <c r="BO610" s="4317"/>
      <c r="BP610" s="4317"/>
      <c r="BQ610" s="4317"/>
      <c r="BR610" s="4317"/>
      <c r="BS610" s="4317"/>
      <c r="BT610" s="4317"/>
      <c r="BU610" s="4317"/>
      <c r="BV610" s="4317"/>
      <c r="BW610" s="4317"/>
      <c r="BX610" s="4317"/>
      <c r="BY610" s="4317"/>
      <c r="BZ610" s="4317"/>
      <c r="CA610" s="4317"/>
      <c r="CB610" s="4317"/>
      <c r="CC610" s="4317"/>
      <c r="CD610" s="4317"/>
      <c r="CE610" s="4317"/>
      <c r="CF610" s="4317"/>
      <c r="CG610" s="4317"/>
      <c r="CH610" s="4317"/>
      <c r="CI610" s="4317"/>
      <c r="CJ610" s="4317"/>
      <c r="CK610" s="4317"/>
      <c r="CL610" s="4317"/>
      <c r="CM610" s="4317"/>
      <c r="CN610" s="4317"/>
      <c r="CO610" s="4317"/>
      <c r="CP610" s="4317"/>
      <c r="CQ610" s="4317"/>
      <c r="CR610" s="4317"/>
      <c r="CS610" s="4317"/>
      <c r="CT610" s="4317"/>
      <c r="CU610" s="4317"/>
      <c r="CV610" s="4317"/>
      <c r="CW610" s="4317"/>
      <c r="CX610" s="4317"/>
      <c r="CY610" s="4317"/>
      <c r="CZ610" s="4317"/>
      <c r="DA610" s="4317"/>
      <c r="DB610" s="4317"/>
      <c r="DC610" s="4317"/>
      <c r="DD610" s="4317"/>
      <c r="DE610" s="4317"/>
      <c r="DF610" s="4317"/>
      <c r="DG610" s="4317"/>
      <c r="DH610" s="4317"/>
      <c r="DI610" s="4317"/>
      <c r="DJ610" s="4317"/>
      <c r="DK610" s="4317"/>
      <c r="DL610" s="4317"/>
      <c r="DM610" s="4317"/>
      <c r="DN610" s="4317"/>
      <c r="DO610" s="4317"/>
      <c r="DP610" s="4317"/>
      <c r="DQ610" s="4317"/>
      <c r="DR610" s="4317"/>
      <c r="DS610" s="4317"/>
      <c r="DT610" s="4133"/>
      <c r="DU610" s="4133"/>
      <c r="DV610" s="4133"/>
      <c r="DW610" s="4133"/>
      <c r="DX610" s="4133"/>
      <c r="DY610" s="4133"/>
    </row>
    <row r="611" s="4134" customFormat="1" ht="16.5" customHeight="1" spans="1:129">
      <c r="A611" s="4657" t="s">
        <v>3926</v>
      </c>
      <c r="B611" s="4567"/>
      <c r="C611" s="4567"/>
      <c r="D611" s="4567"/>
      <c r="E611" s="4567"/>
      <c r="F611" s="4534">
        <v>31828</v>
      </c>
      <c r="G611" s="4535"/>
      <c r="H611" s="4535"/>
      <c r="I611" s="4535"/>
      <c r="J611" s="4535"/>
      <c r="K611" s="4535"/>
      <c r="L611" s="4536"/>
      <c r="M611" s="4534">
        <v>9721</v>
      </c>
      <c r="N611" s="4535"/>
      <c r="O611" s="4535"/>
      <c r="P611" s="4535"/>
      <c r="Q611" s="4535"/>
      <c r="R611" s="4535"/>
      <c r="S611" s="4536"/>
      <c r="T611" s="4317"/>
      <c r="U611" s="4653"/>
      <c r="V611" s="4316" t="s">
        <v>5272</v>
      </c>
      <c r="W611" s="4317"/>
      <c r="X611" s="4317"/>
      <c r="Y611" s="4653"/>
      <c r="Z611" s="4653"/>
      <c r="AA611" s="4653"/>
      <c r="AB611" s="4317"/>
      <c r="AC611" s="4295"/>
      <c r="AD611" s="4653"/>
      <c r="AE611" s="4653"/>
      <c r="AF611" s="4653"/>
      <c r="AG611" s="4317"/>
      <c r="AH611" s="4317"/>
      <c r="AI611" s="4317"/>
      <c r="AJ611" s="4317"/>
      <c r="AK611" s="4317"/>
      <c r="AL611" s="4317"/>
      <c r="AM611" s="4317"/>
      <c r="AN611" s="4317"/>
      <c r="AO611" s="4317"/>
      <c r="AP611" s="4317"/>
      <c r="AQ611" s="4317"/>
      <c r="AR611" s="4317"/>
      <c r="AS611" s="4317"/>
      <c r="AT611" s="4317"/>
      <c r="AU611" s="4317"/>
      <c r="AV611" s="4317"/>
      <c r="AW611" s="4317"/>
      <c r="AX611" s="4317"/>
      <c r="AY611" s="4317"/>
      <c r="AZ611" s="4317"/>
      <c r="BA611" s="4317"/>
      <c r="BB611" s="4317"/>
      <c r="BC611" s="4317"/>
      <c r="BD611" s="4317"/>
      <c r="BE611" s="4317"/>
      <c r="BF611" s="4317"/>
      <c r="BG611" s="4317"/>
      <c r="BH611" s="4317"/>
      <c r="BI611" s="4317"/>
      <c r="BJ611" s="4317"/>
      <c r="BK611" s="4317"/>
      <c r="BL611" s="4317"/>
      <c r="BM611" s="4317"/>
      <c r="BN611" s="4317"/>
      <c r="BO611" s="4317"/>
      <c r="BP611" s="4317"/>
      <c r="BQ611" s="4317"/>
      <c r="BR611" s="4317"/>
      <c r="BS611" s="4317"/>
      <c r="BT611" s="4317"/>
      <c r="BU611" s="4317"/>
      <c r="BV611" s="4317"/>
      <c r="BW611" s="4317"/>
      <c r="BX611" s="4317"/>
      <c r="BY611" s="4317"/>
      <c r="BZ611" s="4317"/>
      <c r="CA611" s="4317"/>
      <c r="CB611" s="4317"/>
      <c r="CC611" s="4317"/>
      <c r="CD611" s="4317"/>
      <c r="CE611" s="4317"/>
      <c r="CF611" s="4317"/>
      <c r="CG611" s="4317"/>
      <c r="CH611" s="4317"/>
      <c r="CI611" s="4317"/>
      <c r="CJ611" s="4317"/>
      <c r="CK611" s="4317"/>
      <c r="CL611" s="4317"/>
      <c r="CM611" s="4317"/>
      <c r="CN611" s="4317"/>
      <c r="CO611" s="4317"/>
      <c r="CP611" s="4317"/>
      <c r="CQ611" s="4317"/>
      <c r="CR611" s="4317"/>
      <c r="CS611" s="4317"/>
      <c r="CT611" s="4317"/>
      <c r="CU611" s="4317"/>
      <c r="CV611" s="4317"/>
      <c r="CW611" s="4317"/>
      <c r="CX611" s="4317"/>
      <c r="CY611" s="4317"/>
      <c r="CZ611" s="4317"/>
      <c r="DA611" s="4317"/>
      <c r="DB611" s="4317"/>
      <c r="DC611" s="4317"/>
      <c r="DD611" s="4317"/>
      <c r="DE611" s="4317"/>
      <c r="DF611" s="4317"/>
      <c r="DG611" s="4317"/>
      <c r="DH611" s="4317"/>
      <c r="DI611" s="4317"/>
      <c r="DJ611" s="4317"/>
      <c r="DK611" s="4317"/>
      <c r="DL611" s="4317"/>
      <c r="DM611" s="4317"/>
      <c r="DN611" s="4317"/>
      <c r="DO611" s="4317"/>
      <c r="DP611" s="4317"/>
      <c r="DQ611" s="4317"/>
      <c r="DR611" s="4317"/>
      <c r="DS611" s="4317"/>
      <c r="DT611" s="4133"/>
      <c r="DU611" s="4133"/>
      <c r="DV611" s="4133"/>
      <c r="DW611" s="4133"/>
      <c r="DX611" s="4133"/>
      <c r="DY611" s="4133"/>
    </row>
    <row r="612" s="4134" customFormat="1" ht="16.5" customHeight="1" spans="1:129">
      <c r="A612" s="4657" t="s">
        <v>967</v>
      </c>
      <c r="B612" s="4567"/>
      <c r="C612" s="4567"/>
      <c r="D612" s="4567"/>
      <c r="E612" s="4567"/>
      <c r="F612" s="4534"/>
      <c r="G612" s="4535"/>
      <c r="H612" s="4535"/>
      <c r="I612" s="4535"/>
      <c r="J612" s="4535"/>
      <c r="K612" s="4535"/>
      <c r="L612" s="4536"/>
      <c r="M612" s="4534"/>
      <c r="N612" s="4535"/>
      <c r="O612" s="4535"/>
      <c r="P612" s="4535"/>
      <c r="Q612" s="4535"/>
      <c r="R612" s="4535"/>
      <c r="S612" s="4536"/>
      <c r="T612" s="4317"/>
      <c r="U612" s="4653"/>
      <c r="V612" s="4316" t="s">
        <v>5273</v>
      </c>
      <c r="W612" s="4317"/>
      <c r="X612" s="4317"/>
      <c r="Y612" s="4653"/>
      <c r="Z612" s="4653"/>
      <c r="AA612" s="4653"/>
      <c r="AB612" s="4317"/>
      <c r="AC612" s="4295"/>
      <c r="AD612" s="4653"/>
      <c r="AE612" s="4653"/>
      <c r="AF612" s="4653"/>
      <c r="AG612" s="4317"/>
      <c r="AH612" s="4317"/>
      <c r="AI612" s="4317"/>
      <c r="AJ612" s="4317"/>
      <c r="AK612" s="4317"/>
      <c r="AL612" s="4317"/>
      <c r="AM612" s="4317"/>
      <c r="AN612" s="4317"/>
      <c r="AO612" s="4317"/>
      <c r="AP612" s="4317"/>
      <c r="AQ612" s="4317"/>
      <c r="AR612" s="4317"/>
      <c r="AS612" s="4317"/>
      <c r="AT612" s="4317"/>
      <c r="AU612" s="4317"/>
      <c r="AV612" s="4317"/>
      <c r="AW612" s="4317"/>
      <c r="AX612" s="4317"/>
      <c r="AY612" s="4317"/>
      <c r="AZ612" s="4317"/>
      <c r="BA612" s="4317"/>
      <c r="BB612" s="4317"/>
      <c r="BC612" s="4317"/>
      <c r="BD612" s="4317"/>
      <c r="BE612" s="4317"/>
      <c r="BF612" s="4317"/>
      <c r="BG612" s="4317"/>
      <c r="BH612" s="4317"/>
      <c r="BI612" s="4317"/>
      <c r="BJ612" s="4317"/>
      <c r="BK612" s="4317"/>
      <c r="BL612" s="4317"/>
      <c r="BM612" s="4317"/>
      <c r="BN612" s="4317"/>
      <c r="BO612" s="4317"/>
      <c r="BP612" s="4317"/>
      <c r="BQ612" s="4317"/>
      <c r="BR612" s="4317"/>
      <c r="BS612" s="4317"/>
      <c r="BT612" s="4317"/>
      <c r="BU612" s="4317"/>
      <c r="BV612" s="4317"/>
      <c r="BW612" s="4317"/>
      <c r="BX612" s="4317"/>
      <c r="BY612" s="4317"/>
      <c r="BZ612" s="4317"/>
      <c r="CA612" s="4317"/>
      <c r="CB612" s="4317"/>
      <c r="CC612" s="4317"/>
      <c r="CD612" s="4317"/>
      <c r="CE612" s="4317"/>
      <c r="CF612" s="4317"/>
      <c r="CG612" s="4317"/>
      <c r="CH612" s="4317"/>
      <c r="CI612" s="4317"/>
      <c r="CJ612" s="4317"/>
      <c r="CK612" s="4317"/>
      <c r="CL612" s="4317"/>
      <c r="CM612" s="4317"/>
      <c r="CN612" s="4317"/>
      <c r="CO612" s="4317"/>
      <c r="CP612" s="4317"/>
      <c r="CQ612" s="4317"/>
      <c r="CR612" s="4317"/>
      <c r="CS612" s="4317"/>
      <c r="CT612" s="4317"/>
      <c r="CU612" s="4317"/>
      <c r="CV612" s="4317"/>
      <c r="CW612" s="4317"/>
      <c r="CX612" s="4317"/>
      <c r="CY612" s="4317"/>
      <c r="CZ612" s="4317"/>
      <c r="DA612" s="4317"/>
      <c r="DB612" s="4317"/>
      <c r="DC612" s="4317"/>
      <c r="DD612" s="4317"/>
      <c r="DE612" s="4317"/>
      <c r="DF612" s="4317"/>
      <c r="DG612" s="4317"/>
      <c r="DH612" s="4317"/>
      <c r="DI612" s="4317"/>
      <c r="DJ612" s="4317"/>
      <c r="DK612" s="4317"/>
      <c r="DL612" s="4317"/>
      <c r="DM612" s="4317"/>
      <c r="DN612" s="4317"/>
      <c r="DO612" s="4317"/>
      <c r="DP612" s="4317"/>
      <c r="DQ612" s="4317"/>
      <c r="DR612" s="4317"/>
      <c r="DS612" s="4317"/>
      <c r="DT612" s="4133"/>
      <c r="DU612" s="4133"/>
      <c r="DV612" s="4133"/>
      <c r="DW612" s="4133"/>
      <c r="DX612" s="4133"/>
      <c r="DY612" s="4133"/>
    </row>
    <row r="613" s="4134" customFormat="1" ht="16.5" customHeight="1" spans="1:129">
      <c r="A613" s="4657" t="s">
        <v>628</v>
      </c>
      <c r="B613" s="4567"/>
      <c r="C613" s="4567"/>
      <c r="D613" s="4567"/>
      <c r="E613" s="4567"/>
      <c r="F613" s="4534"/>
      <c r="G613" s="4535"/>
      <c r="H613" s="4535"/>
      <c r="I613" s="4535"/>
      <c r="J613" s="4535"/>
      <c r="K613" s="4535"/>
      <c r="L613" s="4536"/>
      <c r="M613" s="4534"/>
      <c r="N613" s="4535"/>
      <c r="O613" s="4535"/>
      <c r="P613" s="4535"/>
      <c r="Q613" s="4535"/>
      <c r="R613" s="4535"/>
      <c r="S613" s="4536"/>
      <c r="T613" s="4317"/>
      <c r="U613" s="4653"/>
      <c r="V613" s="4316" t="s">
        <v>3064</v>
      </c>
      <c r="W613" s="4317"/>
      <c r="X613" s="4317"/>
      <c r="Y613" s="4653"/>
      <c r="Z613" s="4653"/>
      <c r="AA613" s="4653"/>
      <c r="AB613" s="4317"/>
      <c r="AC613" s="4295"/>
      <c r="AD613" s="4653"/>
      <c r="AE613" s="4653"/>
      <c r="AF613" s="4653"/>
      <c r="AG613" s="4317"/>
      <c r="AH613" s="4317"/>
      <c r="AI613" s="4317"/>
      <c r="AJ613" s="4317"/>
      <c r="AK613" s="4317"/>
      <c r="AL613" s="4317"/>
      <c r="AM613" s="4317"/>
      <c r="AN613" s="4317"/>
      <c r="AO613" s="4317"/>
      <c r="AP613" s="4317"/>
      <c r="AQ613" s="4317"/>
      <c r="AR613" s="4317"/>
      <c r="AS613" s="4317"/>
      <c r="AT613" s="4317"/>
      <c r="AU613" s="4317"/>
      <c r="AV613" s="4317"/>
      <c r="AW613" s="4317"/>
      <c r="AX613" s="4317"/>
      <c r="AY613" s="4317"/>
      <c r="AZ613" s="4317"/>
      <c r="BA613" s="4317"/>
      <c r="BB613" s="4317"/>
      <c r="BC613" s="4317"/>
      <c r="BD613" s="4317"/>
      <c r="BE613" s="4317"/>
      <c r="BF613" s="4317"/>
      <c r="BG613" s="4317"/>
      <c r="BH613" s="4317"/>
      <c r="BI613" s="4317"/>
      <c r="BJ613" s="4317"/>
      <c r="BK613" s="4317"/>
      <c r="BL613" s="4317"/>
      <c r="BM613" s="4317"/>
      <c r="BN613" s="4317"/>
      <c r="BO613" s="4317"/>
      <c r="BP613" s="4317"/>
      <c r="BQ613" s="4317"/>
      <c r="BR613" s="4317"/>
      <c r="BS613" s="4317"/>
      <c r="BT613" s="4317"/>
      <c r="BU613" s="4317"/>
      <c r="BV613" s="4317"/>
      <c r="BW613" s="4317"/>
      <c r="BX613" s="4317"/>
      <c r="BY613" s="4317"/>
      <c r="BZ613" s="4317"/>
      <c r="CA613" s="4317"/>
      <c r="CB613" s="4317"/>
      <c r="CC613" s="4317"/>
      <c r="CD613" s="4317"/>
      <c r="CE613" s="4317"/>
      <c r="CF613" s="4317"/>
      <c r="CG613" s="4317"/>
      <c r="CH613" s="4317"/>
      <c r="CI613" s="4317"/>
      <c r="CJ613" s="4317"/>
      <c r="CK613" s="4317"/>
      <c r="CL613" s="4317"/>
      <c r="CM613" s="4317"/>
      <c r="CN613" s="4317"/>
      <c r="CO613" s="4317"/>
      <c r="CP613" s="4317"/>
      <c r="CQ613" s="4317"/>
      <c r="CR613" s="4317"/>
      <c r="CS613" s="4317"/>
      <c r="CT613" s="4317"/>
      <c r="CU613" s="4317"/>
      <c r="CV613" s="4317"/>
      <c r="CW613" s="4317"/>
      <c r="CX613" s="4317"/>
      <c r="CY613" s="4317"/>
      <c r="CZ613" s="4317"/>
      <c r="DA613" s="4317"/>
      <c r="DB613" s="4317"/>
      <c r="DC613" s="4317"/>
      <c r="DD613" s="4317"/>
      <c r="DE613" s="4317"/>
      <c r="DF613" s="4317"/>
      <c r="DG613" s="4317"/>
      <c r="DH613" s="4317"/>
      <c r="DI613" s="4317"/>
      <c r="DJ613" s="4317"/>
      <c r="DK613" s="4317"/>
      <c r="DL613" s="4317"/>
      <c r="DM613" s="4317"/>
      <c r="DN613" s="4317"/>
      <c r="DO613" s="4317"/>
      <c r="DP613" s="4317"/>
      <c r="DQ613" s="4317"/>
      <c r="DR613" s="4317"/>
      <c r="DS613" s="4317"/>
      <c r="DT613" s="4133"/>
      <c r="DU613" s="4133"/>
      <c r="DV613" s="4133"/>
      <c r="DW613" s="4133"/>
      <c r="DX613" s="4133"/>
      <c r="DY613" s="4133"/>
    </row>
    <row r="614" s="4134" customFormat="1" ht="16.5" customHeight="1" spans="1:129">
      <c r="A614" s="4657" t="s">
        <v>640</v>
      </c>
      <c r="B614" s="4567"/>
      <c r="C614" s="4567"/>
      <c r="D614" s="4567"/>
      <c r="E614" s="4567"/>
      <c r="F614" s="4534"/>
      <c r="G614" s="4535"/>
      <c r="H614" s="4535"/>
      <c r="I614" s="4535"/>
      <c r="J614" s="4535"/>
      <c r="K614" s="4535"/>
      <c r="L614" s="4536"/>
      <c r="M614" s="4534"/>
      <c r="N614" s="4535"/>
      <c r="O614" s="4535"/>
      <c r="P614" s="4535"/>
      <c r="Q614" s="4535"/>
      <c r="R614" s="4535"/>
      <c r="S614" s="4536"/>
      <c r="T614" s="4317"/>
      <c r="U614" s="4653"/>
      <c r="V614" s="4316" t="s">
        <v>5274</v>
      </c>
      <c r="W614" s="4317"/>
      <c r="X614" s="4317"/>
      <c r="Y614" s="4653"/>
      <c r="Z614" s="4653"/>
      <c r="AA614" s="4653"/>
      <c r="AB614" s="4317"/>
      <c r="AC614" s="4295"/>
      <c r="AD614" s="4653"/>
      <c r="AE614" s="4653"/>
      <c r="AF614" s="4653"/>
      <c r="AG614" s="4317"/>
      <c r="AH614" s="4317"/>
      <c r="AI614" s="4317"/>
      <c r="AJ614" s="4317"/>
      <c r="AK614" s="4317"/>
      <c r="AL614" s="4317"/>
      <c r="AM614" s="4317"/>
      <c r="AN614" s="4317"/>
      <c r="AO614" s="4317"/>
      <c r="AP614" s="4317"/>
      <c r="AQ614" s="4317"/>
      <c r="AR614" s="4317"/>
      <c r="AS614" s="4317"/>
      <c r="AT614" s="4317"/>
      <c r="AU614" s="4317"/>
      <c r="AV614" s="4317"/>
      <c r="AW614" s="4317"/>
      <c r="AX614" s="4317"/>
      <c r="AY614" s="4317"/>
      <c r="AZ614" s="4317"/>
      <c r="BA614" s="4317"/>
      <c r="BB614" s="4317"/>
      <c r="BC614" s="4317"/>
      <c r="BD614" s="4317"/>
      <c r="BE614" s="4317"/>
      <c r="BF614" s="4317"/>
      <c r="BG614" s="4317"/>
      <c r="BH614" s="4317"/>
      <c r="BI614" s="4317"/>
      <c r="BJ614" s="4317"/>
      <c r="BK614" s="4317"/>
      <c r="BL614" s="4317"/>
      <c r="BM614" s="4317"/>
      <c r="BN614" s="4317"/>
      <c r="BO614" s="4317"/>
      <c r="BP614" s="4317"/>
      <c r="BQ614" s="4317"/>
      <c r="BR614" s="4317"/>
      <c r="BS614" s="4317"/>
      <c r="BT614" s="4317"/>
      <c r="BU614" s="4317"/>
      <c r="BV614" s="4317"/>
      <c r="BW614" s="4317"/>
      <c r="BX614" s="4317"/>
      <c r="BY614" s="4317"/>
      <c r="BZ614" s="4317"/>
      <c r="CA614" s="4317"/>
      <c r="CB614" s="4317"/>
      <c r="CC614" s="4317"/>
      <c r="CD614" s="4317"/>
      <c r="CE614" s="4317"/>
      <c r="CF614" s="4317"/>
      <c r="CG614" s="4317"/>
      <c r="CH614" s="4317"/>
      <c r="CI614" s="4317"/>
      <c r="CJ614" s="4317"/>
      <c r="CK614" s="4317"/>
      <c r="CL614" s="4317"/>
      <c r="CM614" s="4317"/>
      <c r="CN614" s="4317"/>
      <c r="CO614" s="4317"/>
      <c r="CP614" s="4317"/>
      <c r="CQ614" s="4317"/>
      <c r="CR614" s="4317"/>
      <c r="CS614" s="4317"/>
      <c r="CT614" s="4317"/>
      <c r="CU614" s="4317"/>
      <c r="CV614" s="4317"/>
      <c r="CW614" s="4317"/>
      <c r="CX614" s="4317"/>
      <c r="CY614" s="4317"/>
      <c r="CZ614" s="4317"/>
      <c r="DA614" s="4317"/>
      <c r="DB614" s="4317"/>
      <c r="DC614" s="4317"/>
      <c r="DD614" s="4317"/>
      <c r="DE614" s="4317"/>
      <c r="DF614" s="4317"/>
      <c r="DG614" s="4317"/>
      <c r="DH614" s="4317"/>
      <c r="DI614" s="4317"/>
      <c r="DJ614" s="4317"/>
      <c r="DK614" s="4317"/>
      <c r="DL614" s="4317"/>
      <c r="DM614" s="4317"/>
      <c r="DN614" s="4317"/>
      <c r="DO614" s="4317"/>
      <c r="DP614" s="4317"/>
      <c r="DQ614" s="4317"/>
      <c r="DR614" s="4317"/>
      <c r="DS614" s="4317"/>
      <c r="DT614" s="4133"/>
      <c r="DU614" s="4133"/>
      <c r="DV614" s="4133"/>
      <c r="DW614" s="4133"/>
      <c r="DX614" s="4133"/>
      <c r="DY614" s="4133"/>
    </row>
    <row r="615" s="4134" customFormat="1" ht="16.5" customHeight="1" spans="1:129">
      <c r="A615" s="4659" t="s">
        <v>5275</v>
      </c>
      <c r="B615" s="4660"/>
      <c r="C615" s="4660"/>
      <c r="D615" s="4660"/>
      <c r="E615" s="4660"/>
      <c r="F615" s="4661">
        <f>SUM(F609:L614)+F607+F608</f>
        <v>49923</v>
      </c>
      <c r="G615" s="4661"/>
      <c r="H615" s="4661"/>
      <c r="I615" s="4661"/>
      <c r="J615" s="4661"/>
      <c r="K615" s="4661"/>
      <c r="L615" s="4661"/>
      <c r="M615" s="4661">
        <f>SUM(M609:S614)+M607+M608</f>
        <v>27816</v>
      </c>
      <c r="N615" s="4661"/>
      <c r="O615" s="4661"/>
      <c r="P615" s="4661"/>
      <c r="Q615" s="4661"/>
      <c r="R615" s="4661"/>
      <c r="S615" s="4661"/>
      <c r="T615" s="4317"/>
      <c r="U615" s="4653"/>
      <c r="V615" s="4322" t="s">
        <v>5276</v>
      </c>
      <c r="W615" s="4317"/>
      <c r="X615" s="4317"/>
      <c r="Y615" s="4653"/>
      <c r="Z615" s="4653"/>
      <c r="AA615" s="4653"/>
      <c r="AB615" s="4317"/>
      <c r="AC615" s="4295"/>
      <c r="AD615" s="4653"/>
      <c r="AE615" s="4653"/>
      <c r="AF615" s="4653"/>
      <c r="AG615" s="4317"/>
      <c r="AH615" s="4317"/>
      <c r="AI615" s="4317"/>
      <c r="AJ615" s="4317"/>
      <c r="AK615" s="4317"/>
      <c r="AL615" s="4317"/>
      <c r="AM615" s="4317"/>
      <c r="AN615" s="4317"/>
      <c r="AO615" s="4317"/>
      <c r="AP615" s="4317"/>
      <c r="AQ615" s="4317"/>
      <c r="AR615" s="4317"/>
      <c r="AS615" s="4317"/>
      <c r="AT615" s="4317"/>
      <c r="AU615" s="4317"/>
      <c r="AV615" s="4317"/>
      <c r="AW615" s="4317"/>
      <c r="AX615" s="4317"/>
      <c r="AY615" s="4317"/>
      <c r="AZ615" s="4317"/>
      <c r="BA615" s="4317"/>
      <c r="BB615" s="4317"/>
      <c r="BC615" s="4317"/>
      <c r="BD615" s="4317"/>
      <c r="BE615" s="4317"/>
      <c r="BF615" s="4317"/>
      <c r="BG615" s="4317"/>
      <c r="BH615" s="4317"/>
      <c r="BI615" s="4317"/>
      <c r="BJ615" s="4317"/>
      <c r="BK615" s="4317"/>
      <c r="BL615" s="4317"/>
      <c r="BM615" s="4317"/>
      <c r="BN615" s="4317"/>
      <c r="BO615" s="4317"/>
      <c r="BP615" s="4317"/>
      <c r="BQ615" s="4317"/>
      <c r="BR615" s="4317"/>
      <c r="BS615" s="4317"/>
      <c r="BT615" s="4317"/>
      <c r="BU615" s="4317"/>
      <c r="BV615" s="4317"/>
      <c r="BW615" s="4317"/>
      <c r="BX615" s="4317"/>
      <c r="BY615" s="4317"/>
      <c r="BZ615" s="4317"/>
      <c r="CA615" s="4317"/>
      <c r="CB615" s="4317"/>
      <c r="CC615" s="4317"/>
      <c r="CD615" s="4317"/>
      <c r="CE615" s="4317"/>
      <c r="CF615" s="4317"/>
      <c r="CG615" s="4317"/>
      <c r="CH615" s="4317"/>
      <c r="CI615" s="4317"/>
      <c r="CJ615" s="4317"/>
      <c r="CK615" s="4317"/>
      <c r="CL615" s="4317"/>
      <c r="CM615" s="4317"/>
      <c r="CN615" s="4317"/>
      <c r="CO615" s="4317"/>
      <c r="CP615" s="4317"/>
      <c r="CQ615" s="4317"/>
      <c r="CR615" s="4317"/>
      <c r="CS615" s="4317"/>
      <c r="CT615" s="4317"/>
      <c r="CU615" s="4317"/>
      <c r="CV615" s="4317"/>
      <c r="CW615" s="4317"/>
      <c r="CX615" s="4317"/>
      <c r="CY615" s="4317"/>
      <c r="CZ615" s="4317"/>
      <c r="DA615" s="4317"/>
      <c r="DB615" s="4317"/>
      <c r="DC615" s="4317"/>
      <c r="DD615" s="4317"/>
      <c r="DE615" s="4317"/>
      <c r="DF615" s="4317"/>
      <c r="DG615" s="4317"/>
      <c r="DH615" s="4317"/>
      <c r="DI615" s="4317"/>
      <c r="DJ615" s="4317"/>
      <c r="DK615" s="4317"/>
      <c r="DL615" s="4317"/>
      <c r="DM615" s="4317"/>
      <c r="DN615" s="4317"/>
      <c r="DO615" s="4317"/>
      <c r="DP615" s="4317"/>
      <c r="DQ615" s="4317"/>
      <c r="DR615" s="4317"/>
      <c r="DS615" s="4317"/>
      <c r="DT615" s="4133"/>
      <c r="DU615" s="4133"/>
      <c r="DV615" s="4133"/>
      <c r="DW615" s="4133"/>
      <c r="DX615" s="4133"/>
      <c r="DY615" s="4133"/>
    </row>
    <row r="616" s="4134" customFormat="1" ht="16.5" customHeight="1" spans="1:129">
      <c r="A616" s="4657" t="s">
        <v>660</v>
      </c>
      <c r="B616" s="4567"/>
      <c r="C616" s="4567"/>
      <c r="D616" s="4567"/>
      <c r="E616" s="4567"/>
      <c r="F616" s="4534"/>
      <c r="G616" s="4535"/>
      <c r="H616" s="4535"/>
      <c r="I616" s="4535"/>
      <c r="J616" s="4535"/>
      <c r="K616" s="4535"/>
      <c r="L616" s="4536"/>
      <c r="M616" s="4534"/>
      <c r="N616" s="4535"/>
      <c r="O616" s="4535"/>
      <c r="P616" s="4535"/>
      <c r="Q616" s="4535"/>
      <c r="R616" s="4535"/>
      <c r="S616" s="4536"/>
      <c r="T616" s="4317"/>
      <c r="U616" s="4653"/>
      <c r="V616" s="4316" t="s">
        <v>5277</v>
      </c>
      <c r="W616" s="4317"/>
      <c r="X616" s="4317"/>
      <c r="Y616" s="4653"/>
      <c r="Z616" s="4653"/>
      <c r="AA616" s="4653"/>
      <c r="AB616" s="4317"/>
      <c r="AC616" s="4295"/>
      <c r="AD616" s="4653"/>
      <c r="AE616" s="4653"/>
      <c r="AF616" s="4653"/>
      <c r="AG616" s="4317"/>
      <c r="AH616" s="4317"/>
      <c r="AI616" s="4317"/>
      <c r="AJ616" s="4317"/>
      <c r="AK616" s="4317"/>
      <c r="AL616" s="4317"/>
      <c r="AM616" s="4317"/>
      <c r="AN616" s="4317"/>
      <c r="AO616" s="4317"/>
      <c r="AP616" s="4317"/>
      <c r="AQ616" s="4317"/>
      <c r="AR616" s="4317"/>
      <c r="AS616" s="4317"/>
      <c r="AT616" s="4317"/>
      <c r="AU616" s="4317"/>
      <c r="AV616" s="4317"/>
      <c r="AW616" s="4317"/>
      <c r="AX616" s="4317"/>
      <c r="AY616" s="4317"/>
      <c r="AZ616" s="4317"/>
      <c r="BA616" s="4317"/>
      <c r="BB616" s="4317"/>
      <c r="BC616" s="4317"/>
      <c r="BD616" s="4317"/>
      <c r="BE616" s="4317"/>
      <c r="BF616" s="4317"/>
      <c r="BG616" s="4317"/>
      <c r="BH616" s="4317"/>
      <c r="BI616" s="4317"/>
      <c r="BJ616" s="4317"/>
      <c r="BK616" s="4317"/>
      <c r="BL616" s="4317"/>
      <c r="BM616" s="4317"/>
      <c r="BN616" s="4317"/>
      <c r="BO616" s="4317"/>
      <c r="BP616" s="4317"/>
      <c r="BQ616" s="4317"/>
      <c r="BR616" s="4317"/>
      <c r="BS616" s="4317"/>
      <c r="BT616" s="4317"/>
      <c r="BU616" s="4317"/>
      <c r="BV616" s="4317"/>
      <c r="BW616" s="4317"/>
      <c r="BX616" s="4317"/>
      <c r="BY616" s="4317"/>
      <c r="BZ616" s="4317"/>
      <c r="CA616" s="4317"/>
      <c r="CB616" s="4317"/>
      <c r="CC616" s="4317"/>
      <c r="CD616" s="4317"/>
      <c r="CE616" s="4317"/>
      <c r="CF616" s="4317"/>
      <c r="CG616" s="4317"/>
      <c r="CH616" s="4317"/>
      <c r="CI616" s="4317"/>
      <c r="CJ616" s="4317"/>
      <c r="CK616" s="4317"/>
      <c r="CL616" s="4317"/>
      <c r="CM616" s="4317"/>
      <c r="CN616" s="4317"/>
      <c r="CO616" s="4317"/>
      <c r="CP616" s="4317"/>
      <c r="CQ616" s="4317"/>
      <c r="CR616" s="4317"/>
      <c r="CS616" s="4317"/>
      <c r="CT616" s="4317"/>
      <c r="CU616" s="4317"/>
      <c r="CV616" s="4317"/>
      <c r="CW616" s="4317"/>
      <c r="CX616" s="4317"/>
      <c r="CY616" s="4317"/>
      <c r="CZ616" s="4317"/>
      <c r="DA616" s="4317"/>
      <c r="DB616" s="4317"/>
      <c r="DC616" s="4317"/>
      <c r="DD616" s="4317"/>
      <c r="DE616" s="4317"/>
      <c r="DF616" s="4317"/>
      <c r="DG616" s="4317"/>
      <c r="DH616" s="4317"/>
      <c r="DI616" s="4317"/>
      <c r="DJ616" s="4317"/>
      <c r="DK616" s="4317"/>
      <c r="DL616" s="4317"/>
      <c r="DM616" s="4317"/>
      <c r="DN616" s="4317"/>
      <c r="DO616" s="4317"/>
      <c r="DP616" s="4317"/>
      <c r="DQ616" s="4317"/>
      <c r="DR616" s="4317"/>
      <c r="DS616" s="4317"/>
      <c r="DT616" s="4133"/>
      <c r="DU616" s="4133"/>
      <c r="DV616" s="4133"/>
      <c r="DW616" s="4133"/>
      <c r="DX616" s="4133"/>
      <c r="DY616" s="4133"/>
    </row>
    <row r="617" s="4134" customFormat="1" ht="16.5" customHeight="1" spans="1:129">
      <c r="A617" s="4657" t="s">
        <v>3941</v>
      </c>
      <c r="B617" s="4567"/>
      <c r="C617" s="4567"/>
      <c r="D617" s="4567"/>
      <c r="E617" s="4567"/>
      <c r="F617" s="4534"/>
      <c r="G617" s="4535"/>
      <c r="H617" s="4535"/>
      <c r="I617" s="4535"/>
      <c r="J617" s="4535"/>
      <c r="K617" s="4535"/>
      <c r="L617" s="4536"/>
      <c r="M617" s="4534"/>
      <c r="N617" s="4535"/>
      <c r="O617" s="4535"/>
      <c r="P617" s="4535"/>
      <c r="Q617" s="4535"/>
      <c r="R617" s="4535"/>
      <c r="S617" s="4536"/>
      <c r="T617" s="4317"/>
      <c r="U617" s="4653"/>
      <c r="V617" s="4316" t="s">
        <v>5278</v>
      </c>
      <c r="W617" s="4317"/>
      <c r="X617" s="4317"/>
      <c r="Y617" s="4653"/>
      <c r="Z617" s="4653"/>
      <c r="AA617" s="4653"/>
      <c r="AB617" s="4317"/>
      <c r="AC617" s="4295"/>
      <c r="AD617" s="4653"/>
      <c r="AE617" s="4653"/>
      <c r="AF617" s="4653"/>
      <c r="AG617" s="4317"/>
      <c r="AH617" s="4317"/>
      <c r="AI617" s="4317"/>
      <c r="AJ617" s="4317"/>
      <c r="AK617" s="4317"/>
      <c r="AL617" s="4317"/>
      <c r="AM617" s="4317"/>
      <c r="AN617" s="4317"/>
      <c r="AO617" s="4317"/>
      <c r="AP617" s="4317"/>
      <c r="AQ617" s="4317"/>
      <c r="AR617" s="4317"/>
      <c r="AS617" s="4317"/>
      <c r="AT617" s="4317"/>
      <c r="AU617" s="4317"/>
      <c r="AV617" s="4317"/>
      <c r="AW617" s="4317"/>
      <c r="AX617" s="4317"/>
      <c r="AY617" s="4317"/>
      <c r="AZ617" s="4317"/>
      <c r="BA617" s="4317"/>
      <c r="BB617" s="4317"/>
      <c r="BC617" s="4317"/>
      <c r="BD617" s="4317"/>
      <c r="BE617" s="4317"/>
      <c r="BF617" s="4317"/>
      <c r="BG617" s="4317"/>
      <c r="BH617" s="4317"/>
      <c r="BI617" s="4317"/>
      <c r="BJ617" s="4317"/>
      <c r="BK617" s="4317"/>
      <c r="BL617" s="4317"/>
      <c r="BM617" s="4317"/>
      <c r="BN617" s="4317"/>
      <c r="BO617" s="4317"/>
      <c r="BP617" s="4317"/>
      <c r="BQ617" s="4317"/>
      <c r="BR617" s="4317"/>
      <c r="BS617" s="4317"/>
      <c r="BT617" s="4317"/>
      <c r="BU617" s="4317"/>
      <c r="BV617" s="4317"/>
      <c r="BW617" s="4317"/>
      <c r="BX617" s="4317"/>
      <c r="BY617" s="4317"/>
      <c r="BZ617" s="4317"/>
      <c r="CA617" s="4317"/>
      <c r="CB617" s="4317"/>
      <c r="CC617" s="4317"/>
      <c r="CD617" s="4317"/>
      <c r="CE617" s="4317"/>
      <c r="CF617" s="4317"/>
      <c r="CG617" s="4317"/>
      <c r="CH617" s="4317"/>
      <c r="CI617" s="4317"/>
      <c r="CJ617" s="4317"/>
      <c r="CK617" s="4317"/>
      <c r="CL617" s="4317"/>
      <c r="CM617" s="4317"/>
      <c r="CN617" s="4317"/>
      <c r="CO617" s="4317"/>
      <c r="CP617" s="4317"/>
      <c r="CQ617" s="4317"/>
      <c r="CR617" s="4317"/>
      <c r="CS617" s="4317"/>
      <c r="CT617" s="4317"/>
      <c r="CU617" s="4317"/>
      <c r="CV617" s="4317"/>
      <c r="CW617" s="4317"/>
      <c r="CX617" s="4317"/>
      <c r="CY617" s="4317"/>
      <c r="CZ617" s="4317"/>
      <c r="DA617" s="4317"/>
      <c r="DB617" s="4317"/>
      <c r="DC617" s="4317"/>
      <c r="DD617" s="4317"/>
      <c r="DE617" s="4317"/>
      <c r="DF617" s="4317"/>
      <c r="DG617" s="4317"/>
      <c r="DH617" s="4317"/>
      <c r="DI617" s="4317"/>
      <c r="DJ617" s="4317"/>
      <c r="DK617" s="4317"/>
      <c r="DL617" s="4317"/>
      <c r="DM617" s="4317"/>
      <c r="DN617" s="4317"/>
      <c r="DO617" s="4317"/>
      <c r="DP617" s="4317"/>
      <c r="DQ617" s="4317"/>
      <c r="DR617" s="4317"/>
      <c r="DS617" s="4317"/>
      <c r="DT617" s="4133"/>
      <c r="DU617" s="4133"/>
      <c r="DV617" s="4133"/>
      <c r="DW617" s="4133"/>
      <c r="DX617" s="4133"/>
      <c r="DY617" s="4133"/>
    </row>
    <row r="618" s="4134" customFormat="1" ht="16.5" customHeight="1" spans="1:129">
      <c r="A618" s="4657" t="s">
        <v>669</v>
      </c>
      <c r="B618" s="4567"/>
      <c r="C618" s="4567"/>
      <c r="D618" s="4567"/>
      <c r="E618" s="4567"/>
      <c r="F618" s="4534"/>
      <c r="G618" s="4535"/>
      <c r="H618" s="4535"/>
      <c r="I618" s="4535"/>
      <c r="J618" s="4535"/>
      <c r="K618" s="4535"/>
      <c r="L618" s="4536"/>
      <c r="M618" s="4534"/>
      <c r="N618" s="4535"/>
      <c r="O618" s="4535"/>
      <c r="P618" s="4535"/>
      <c r="Q618" s="4535"/>
      <c r="R618" s="4535"/>
      <c r="S618" s="4536"/>
      <c r="T618" s="4317"/>
      <c r="U618" s="4653"/>
      <c r="V618" s="4316" t="s">
        <v>5279</v>
      </c>
      <c r="W618" s="4317"/>
      <c r="X618" s="4317"/>
      <c r="Y618" s="4653"/>
      <c r="Z618" s="4653"/>
      <c r="AA618" s="4653"/>
      <c r="AB618" s="4317"/>
      <c r="AC618" s="4295"/>
      <c r="AD618" s="4653"/>
      <c r="AE618" s="4653"/>
      <c r="AF618" s="4653"/>
      <c r="AG618" s="4317"/>
      <c r="AH618" s="4317"/>
      <c r="AI618" s="4317"/>
      <c r="AJ618" s="4317"/>
      <c r="AK618" s="4317"/>
      <c r="AL618" s="4317"/>
      <c r="AM618" s="4317"/>
      <c r="AN618" s="4317"/>
      <c r="AO618" s="4317"/>
      <c r="AP618" s="4317"/>
      <c r="AQ618" s="4317"/>
      <c r="AR618" s="4317"/>
      <c r="AS618" s="4317"/>
      <c r="AT618" s="4317"/>
      <c r="AU618" s="4317"/>
      <c r="AV618" s="4317"/>
      <c r="AW618" s="4317"/>
      <c r="AX618" s="4317"/>
      <c r="AY618" s="4317"/>
      <c r="AZ618" s="4317"/>
      <c r="BA618" s="4317"/>
      <c r="BB618" s="4317"/>
      <c r="BC618" s="4317"/>
      <c r="BD618" s="4317"/>
      <c r="BE618" s="4317"/>
      <c r="BF618" s="4317"/>
      <c r="BG618" s="4317"/>
      <c r="BH618" s="4317"/>
      <c r="BI618" s="4317"/>
      <c r="BJ618" s="4317"/>
      <c r="BK618" s="4317"/>
      <c r="BL618" s="4317"/>
      <c r="BM618" s="4317"/>
      <c r="BN618" s="4317"/>
      <c r="BO618" s="4317"/>
      <c r="BP618" s="4317"/>
      <c r="BQ618" s="4317"/>
      <c r="BR618" s="4317"/>
      <c r="BS618" s="4317"/>
      <c r="BT618" s="4317"/>
      <c r="BU618" s="4317"/>
      <c r="BV618" s="4317"/>
      <c r="BW618" s="4317"/>
      <c r="BX618" s="4317"/>
      <c r="BY618" s="4317"/>
      <c r="BZ618" s="4317"/>
      <c r="CA618" s="4317"/>
      <c r="CB618" s="4317"/>
      <c r="CC618" s="4317"/>
      <c r="CD618" s="4317"/>
      <c r="CE618" s="4317"/>
      <c r="CF618" s="4317"/>
      <c r="CG618" s="4317"/>
      <c r="CH618" s="4317"/>
      <c r="CI618" s="4317"/>
      <c r="CJ618" s="4317"/>
      <c r="CK618" s="4317"/>
      <c r="CL618" s="4317"/>
      <c r="CM618" s="4317"/>
      <c r="CN618" s="4317"/>
      <c r="CO618" s="4317"/>
      <c r="CP618" s="4317"/>
      <c r="CQ618" s="4317"/>
      <c r="CR618" s="4317"/>
      <c r="CS618" s="4317"/>
      <c r="CT618" s="4317"/>
      <c r="CU618" s="4317"/>
      <c r="CV618" s="4317"/>
      <c r="CW618" s="4317"/>
      <c r="CX618" s="4317"/>
      <c r="CY618" s="4317"/>
      <c r="CZ618" s="4317"/>
      <c r="DA618" s="4317"/>
      <c r="DB618" s="4317"/>
      <c r="DC618" s="4317"/>
      <c r="DD618" s="4317"/>
      <c r="DE618" s="4317"/>
      <c r="DF618" s="4317"/>
      <c r="DG618" s="4317"/>
      <c r="DH618" s="4317"/>
      <c r="DI618" s="4317"/>
      <c r="DJ618" s="4317"/>
      <c r="DK618" s="4317"/>
      <c r="DL618" s="4317"/>
      <c r="DM618" s="4317"/>
      <c r="DN618" s="4317"/>
      <c r="DO618" s="4317"/>
      <c r="DP618" s="4317"/>
      <c r="DQ618" s="4317"/>
      <c r="DR618" s="4317"/>
      <c r="DS618" s="4317"/>
      <c r="DT618" s="4133"/>
      <c r="DU618" s="4133"/>
      <c r="DV618" s="4133"/>
      <c r="DW618" s="4133"/>
      <c r="DX618" s="4133"/>
      <c r="DY618" s="4133"/>
    </row>
    <row r="619" s="4134" customFormat="1" ht="16.5" customHeight="1" spans="1:129">
      <c r="A619" s="4657" t="s">
        <v>677</v>
      </c>
      <c r="B619" s="4567"/>
      <c r="C619" s="4567"/>
      <c r="D619" s="4567"/>
      <c r="E619" s="4567"/>
      <c r="F619" s="4534"/>
      <c r="G619" s="4535"/>
      <c r="H619" s="4535"/>
      <c r="I619" s="4535"/>
      <c r="J619" s="4535"/>
      <c r="K619" s="4535"/>
      <c r="L619" s="4536"/>
      <c r="M619" s="4534"/>
      <c r="N619" s="4535"/>
      <c r="O619" s="4535"/>
      <c r="P619" s="4535"/>
      <c r="Q619" s="4535"/>
      <c r="R619" s="4535"/>
      <c r="S619" s="4536"/>
      <c r="T619" s="4317"/>
      <c r="U619" s="4653"/>
      <c r="V619" s="4316" t="s">
        <v>5280</v>
      </c>
      <c r="W619" s="4317"/>
      <c r="X619" s="4317"/>
      <c r="Y619" s="4653"/>
      <c r="Z619" s="4653"/>
      <c r="AA619" s="4653"/>
      <c r="AB619" s="4317"/>
      <c r="AC619" s="4295"/>
      <c r="AD619" s="4653"/>
      <c r="AE619" s="4653"/>
      <c r="AF619" s="4653"/>
      <c r="AG619" s="4317"/>
      <c r="AH619" s="4317"/>
      <c r="AI619" s="4317"/>
      <c r="AJ619" s="4317"/>
      <c r="AK619" s="4317"/>
      <c r="AL619" s="4317"/>
      <c r="AM619" s="4317"/>
      <c r="AN619" s="4317"/>
      <c r="AO619" s="4317"/>
      <c r="AP619" s="4317"/>
      <c r="AQ619" s="4317"/>
      <c r="AR619" s="4317"/>
      <c r="AS619" s="4317"/>
      <c r="AT619" s="4317"/>
      <c r="AU619" s="4317"/>
      <c r="AV619" s="4317"/>
      <c r="AW619" s="4317"/>
      <c r="AX619" s="4317"/>
      <c r="AY619" s="4317"/>
      <c r="AZ619" s="4317"/>
      <c r="BA619" s="4317"/>
      <c r="BB619" s="4317"/>
      <c r="BC619" s="4317"/>
      <c r="BD619" s="4317"/>
      <c r="BE619" s="4317"/>
      <c r="BF619" s="4317"/>
      <c r="BG619" s="4317"/>
      <c r="BH619" s="4317"/>
      <c r="BI619" s="4317"/>
      <c r="BJ619" s="4317"/>
      <c r="BK619" s="4317"/>
      <c r="BL619" s="4317"/>
      <c r="BM619" s="4317"/>
      <c r="BN619" s="4317"/>
      <c r="BO619" s="4317"/>
      <c r="BP619" s="4317"/>
      <c r="BQ619" s="4317"/>
      <c r="BR619" s="4317"/>
      <c r="BS619" s="4317"/>
      <c r="BT619" s="4317"/>
      <c r="BU619" s="4317"/>
      <c r="BV619" s="4317"/>
      <c r="BW619" s="4317"/>
      <c r="BX619" s="4317"/>
      <c r="BY619" s="4317"/>
      <c r="BZ619" s="4317"/>
      <c r="CA619" s="4317"/>
      <c r="CB619" s="4317"/>
      <c r="CC619" s="4317"/>
      <c r="CD619" s="4317"/>
      <c r="CE619" s="4317"/>
      <c r="CF619" s="4317"/>
      <c r="CG619" s="4317"/>
      <c r="CH619" s="4317"/>
      <c r="CI619" s="4317"/>
      <c r="CJ619" s="4317"/>
      <c r="CK619" s="4317"/>
      <c r="CL619" s="4317"/>
      <c r="CM619" s="4317"/>
      <c r="CN619" s="4317"/>
      <c r="CO619" s="4317"/>
      <c r="CP619" s="4317"/>
      <c r="CQ619" s="4317"/>
      <c r="CR619" s="4317"/>
      <c r="CS619" s="4317"/>
      <c r="CT619" s="4317"/>
      <c r="CU619" s="4317"/>
      <c r="CV619" s="4317"/>
      <c r="CW619" s="4317"/>
      <c r="CX619" s="4317"/>
      <c r="CY619" s="4317"/>
      <c r="CZ619" s="4317"/>
      <c r="DA619" s="4317"/>
      <c r="DB619" s="4317"/>
      <c r="DC619" s="4317"/>
      <c r="DD619" s="4317"/>
      <c r="DE619" s="4317"/>
      <c r="DF619" s="4317"/>
      <c r="DG619" s="4317"/>
      <c r="DH619" s="4317"/>
      <c r="DI619" s="4317"/>
      <c r="DJ619" s="4317"/>
      <c r="DK619" s="4317"/>
      <c r="DL619" s="4317"/>
      <c r="DM619" s="4317"/>
      <c r="DN619" s="4317"/>
      <c r="DO619" s="4317"/>
      <c r="DP619" s="4317"/>
      <c r="DQ619" s="4317"/>
      <c r="DR619" s="4317"/>
      <c r="DS619" s="4317"/>
      <c r="DT619" s="4133"/>
      <c r="DU619" s="4133"/>
      <c r="DV619" s="4133"/>
      <c r="DW619" s="4133"/>
      <c r="DX619" s="4133"/>
      <c r="DY619" s="4133"/>
    </row>
    <row r="620" s="4134" customFormat="1" ht="16.5" customHeight="1" spans="1:129">
      <c r="A620" s="4657" t="s">
        <v>695</v>
      </c>
      <c r="B620" s="4567"/>
      <c r="C620" s="4567"/>
      <c r="D620" s="4567"/>
      <c r="E620" s="4567"/>
      <c r="F620" s="4534"/>
      <c r="G620" s="4535"/>
      <c r="H620" s="4535"/>
      <c r="I620" s="4535"/>
      <c r="J620" s="4535"/>
      <c r="K620" s="4535"/>
      <c r="L620" s="4536"/>
      <c r="M620" s="4534"/>
      <c r="N620" s="4535"/>
      <c r="O620" s="4535"/>
      <c r="P620" s="4535"/>
      <c r="Q620" s="4535"/>
      <c r="R620" s="4535"/>
      <c r="S620" s="4536"/>
      <c r="T620" s="4317"/>
      <c r="U620" s="4653"/>
      <c r="V620" s="4316" t="s">
        <v>5281</v>
      </c>
      <c r="W620" s="4317"/>
      <c r="X620" s="4317"/>
      <c r="Y620" s="4653"/>
      <c r="Z620" s="4653"/>
      <c r="AA620" s="4653"/>
      <c r="AB620" s="4317"/>
      <c r="AC620" s="4295"/>
      <c r="AD620" s="4653"/>
      <c r="AE620" s="4653"/>
      <c r="AF620" s="4653"/>
      <c r="AG620" s="4317"/>
      <c r="AH620" s="4317"/>
      <c r="AI620" s="4317"/>
      <c r="AJ620" s="4317"/>
      <c r="AK620" s="4317"/>
      <c r="AL620" s="4317"/>
      <c r="AM620" s="4317"/>
      <c r="AN620" s="4317"/>
      <c r="AO620" s="4317"/>
      <c r="AP620" s="4317"/>
      <c r="AQ620" s="4317"/>
      <c r="AR620" s="4317"/>
      <c r="AS620" s="4317"/>
      <c r="AT620" s="4317"/>
      <c r="AU620" s="4317"/>
      <c r="AV620" s="4317"/>
      <c r="AW620" s="4317"/>
      <c r="AX620" s="4317"/>
      <c r="AY620" s="4317"/>
      <c r="AZ620" s="4317"/>
      <c r="BA620" s="4317"/>
      <c r="BB620" s="4317"/>
      <c r="BC620" s="4317"/>
      <c r="BD620" s="4317"/>
      <c r="BE620" s="4317"/>
      <c r="BF620" s="4317"/>
      <c r="BG620" s="4317"/>
      <c r="BH620" s="4317"/>
      <c r="BI620" s="4317"/>
      <c r="BJ620" s="4317"/>
      <c r="BK620" s="4317"/>
      <c r="BL620" s="4317"/>
      <c r="BM620" s="4317"/>
      <c r="BN620" s="4317"/>
      <c r="BO620" s="4317"/>
      <c r="BP620" s="4317"/>
      <c r="BQ620" s="4317"/>
      <c r="BR620" s="4317"/>
      <c r="BS620" s="4317"/>
      <c r="BT620" s="4317"/>
      <c r="BU620" s="4317"/>
      <c r="BV620" s="4317"/>
      <c r="BW620" s="4317"/>
      <c r="BX620" s="4317"/>
      <c r="BY620" s="4317"/>
      <c r="BZ620" s="4317"/>
      <c r="CA620" s="4317"/>
      <c r="CB620" s="4317"/>
      <c r="CC620" s="4317"/>
      <c r="CD620" s="4317"/>
      <c r="CE620" s="4317"/>
      <c r="CF620" s="4317"/>
      <c r="CG620" s="4317"/>
      <c r="CH620" s="4317"/>
      <c r="CI620" s="4317"/>
      <c r="CJ620" s="4317"/>
      <c r="CK620" s="4317"/>
      <c r="CL620" s="4317"/>
      <c r="CM620" s="4317"/>
      <c r="CN620" s="4317"/>
      <c r="CO620" s="4317"/>
      <c r="CP620" s="4317"/>
      <c r="CQ620" s="4317"/>
      <c r="CR620" s="4317"/>
      <c r="CS620" s="4317"/>
      <c r="CT620" s="4317"/>
      <c r="CU620" s="4317"/>
      <c r="CV620" s="4317"/>
      <c r="CW620" s="4317"/>
      <c r="CX620" s="4317"/>
      <c r="CY620" s="4317"/>
      <c r="CZ620" s="4317"/>
      <c r="DA620" s="4317"/>
      <c r="DB620" s="4317"/>
      <c r="DC620" s="4317"/>
      <c r="DD620" s="4317"/>
      <c r="DE620" s="4317"/>
      <c r="DF620" s="4317"/>
      <c r="DG620" s="4317"/>
      <c r="DH620" s="4317"/>
      <c r="DI620" s="4317"/>
      <c r="DJ620" s="4317"/>
      <c r="DK620" s="4317"/>
      <c r="DL620" s="4317"/>
      <c r="DM620" s="4317"/>
      <c r="DN620" s="4317"/>
      <c r="DO620" s="4317"/>
      <c r="DP620" s="4317"/>
      <c r="DQ620" s="4317"/>
      <c r="DR620" s="4317"/>
      <c r="DS620" s="4317"/>
      <c r="DT620" s="4133"/>
      <c r="DU620" s="4133"/>
      <c r="DV620" s="4133"/>
      <c r="DW620" s="4133"/>
      <c r="DX620" s="4133"/>
      <c r="DY620" s="4133"/>
    </row>
    <row r="621" s="4134" customFormat="1" ht="16.5" customHeight="1" spans="1:129">
      <c r="A621" s="4657" t="s">
        <v>704</v>
      </c>
      <c r="B621" s="4567"/>
      <c r="C621" s="4567"/>
      <c r="D621" s="4567"/>
      <c r="E621" s="4567"/>
      <c r="F621" s="4534"/>
      <c r="G621" s="4535"/>
      <c r="H621" s="4535"/>
      <c r="I621" s="4535"/>
      <c r="J621" s="4535"/>
      <c r="K621" s="4535"/>
      <c r="L621" s="4536"/>
      <c r="M621" s="4534"/>
      <c r="N621" s="4535"/>
      <c r="O621" s="4535"/>
      <c r="P621" s="4535"/>
      <c r="Q621" s="4535"/>
      <c r="R621" s="4535"/>
      <c r="S621" s="4536"/>
      <c r="T621" s="4317"/>
      <c r="U621" s="4653"/>
      <c r="V621" s="4316" t="s">
        <v>5282</v>
      </c>
      <c r="W621" s="4317"/>
      <c r="X621" s="4317"/>
      <c r="Y621" s="4653"/>
      <c r="Z621" s="4653"/>
      <c r="AA621" s="4653"/>
      <c r="AB621" s="4317"/>
      <c r="AC621" s="4295"/>
      <c r="AD621" s="4653"/>
      <c r="AE621" s="4653"/>
      <c r="AF621" s="4653"/>
      <c r="AG621" s="4317"/>
      <c r="AH621" s="4317"/>
      <c r="AI621" s="4317"/>
      <c r="AJ621" s="4317"/>
      <c r="AK621" s="4317"/>
      <c r="AL621" s="4317"/>
      <c r="AM621" s="4317"/>
      <c r="AN621" s="4317"/>
      <c r="AO621" s="4317"/>
      <c r="AP621" s="4317"/>
      <c r="AQ621" s="4317"/>
      <c r="AR621" s="4317"/>
      <c r="AS621" s="4317"/>
      <c r="AT621" s="4317"/>
      <c r="AU621" s="4317"/>
      <c r="AV621" s="4317"/>
      <c r="AW621" s="4317"/>
      <c r="AX621" s="4317"/>
      <c r="AY621" s="4317"/>
      <c r="AZ621" s="4317"/>
      <c r="BA621" s="4317"/>
      <c r="BB621" s="4317"/>
      <c r="BC621" s="4317"/>
      <c r="BD621" s="4317"/>
      <c r="BE621" s="4317"/>
      <c r="BF621" s="4317"/>
      <c r="BG621" s="4317"/>
      <c r="BH621" s="4317"/>
      <c r="BI621" s="4317"/>
      <c r="BJ621" s="4317"/>
      <c r="BK621" s="4317"/>
      <c r="BL621" s="4317"/>
      <c r="BM621" s="4317"/>
      <c r="BN621" s="4317"/>
      <c r="BO621" s="4317"/>
      <c r="BP621" s="4317"/>
      <c r="BQ621" s="4317"/>
      <c r="BR621" s="4317"/>
      <c r="BS621" s="4317"/>
      <c r="BT621" s="4317"/>
      <c r="BU621" s="4317"/>
      <c r="BV621" s="4317"/>
      <c r="BW621" s="4317"/>
      <c r="BX621" s="4317"/>
      <c r="BY621" s="4317"/>
      <c r="BZ621" s="4317"/>
      <c r="CA621" s="4317"/>
      <c r="CB621" s="4317"/>
      <c r="CC621" s="4317"/>
      <c r="CD621" s="4317"/>
      <c r="CE621" s="4317"/>
      <c r="CF621" s="4317"/>
      <c r="CG621" s="4317"/>
      <c r="CH621" s="4317"/>
      <c r="CI621" s="4317"/>
      <c r="CJ621" s="4317"/>
      <c r="CK621" s="4317"/>
      <c r="CL621" s="4317"/>
      <c r="CM621" s="4317"/>
      <c r="CN621" s="4317"/>
      <c r="CO621" s="4317"/>
      <c r="CP621" s="4317"/>
      <c r="CQ621" s="4317"/>
      <c r="CR621" s="4317"/>
      <c r="CS621" s="4317"/>
      <c r="CT621" s="4317"/>
      <c r="CU621" s="4317"/>
      <c r="CV621" s="4317"/>
      <c r="CW621" s="4317"/>
      <c r="CX621" s="4317"/>
      <c r="CY621" s="4317"/>
      <c r="CZ621" s="4317"/>
      <c r="DA621" s="4317"/>
      <c r="DB621" s="4317"/>
      <c r="DC621" s="4317"/>
      <c r="DD621" s="4317"/>
      <c r="DE621" s="4317"/>
      <c r="DF621" s="4317"/>
      <c r="DG621" s="4317"/>
      <c r="DH621" s="4317"/>
      <c r="DI621" s="4317"/>
      <c r="DJ621" s="4317"/>
      <c r="DK621" s="4317"/>
      <c r="DL621" s="4317"/>
      <c r="DM621" s="4317"/>
      <c r="DN621" s="4317"/>
      <c r="DO621" s="4317"/>
      <c r="DP621" s="4317"/>
      <c r="DQ621" s="4317"/>
      <c r="DR621" s="4317"/>
      <c r="DS621" s="4317"/>
      <c r="DT621" s="4133"/>
      <c r="DU621" s="4133"/>
      <c r="DV621" s="4133"/>
      <c r="DW621" s="4133"/>
      <c r="DX621" s="4133"/>
      <c r="DY621" s="4133"/>
    </row>
    <row r="622" s="4134" customFormat="1" ht="16.5" customHeight="1" spans="1:129">
      <c r="A622" s="4657" t="s">
        <v>712</v>
      </c>
      <c r="B622" s="4567"/>
      <c r="C622" s="4567"/>
      <c r="D622" s="4567"/>
      <c r="E622" s="4567"/>
      <c r="F622" s="4534"/>
      <c r="G622" s="4535"/>
      <c r="H622" s="4535"/>
      <c r="I622" s="4535"/>
      <c r="J622" s="4535"/>
      <c r="K622" s="4535"/>
      <c r="L622" s="4536"/>
      <c r="M622" s="4534"/>
      <c r="N622" s="4535"/>
      <c r="O622" s="4535"/>
      <c r="P622" s="4535"/>
      <c r="Q622" s="4535"/>
      <c r="R622" s="4535"/>
      <c r="S622" s="4536"/>
      <c r="T622" s="4317"/>
      <c r="U622" s="4653"/>
      <c r="V622" s="4316" t="s">
        <v>5283</v>
      </c>
      <c r="W622" s="4317"/>
      <c r="X622" s="4317"/>
      <c r="Y622" s="4653"/>
      <c r="Z622" s="4653"/>
      <c r="AA622" s="4653"/>
      <c r="AB622" s="4317"/>
      <c r="AC622" s="4295"/>
      <c r="AD622" s="4653"/>
      <c r="AE622" s="4653"/>
      <c r="AF622" s="4653"/>
      <c r="AG622" s="4317"/>
      <c r="AH622" s="4317"/>
      <c r="AI622" s="4317"/>
      <c r="AJ622" s="4317"/>
      <c r="AK622" s="4317"/>
      <c r="AL622" s="4317"/>
      <c r="AM622" s="4317"/>
      <c r="AN622" s="4317"/>
      <c r="AO622" s="4317"/>
      <c r="AP622" s="4317"/>
      <c r="AQ622" s="4317"/>
      <c r="AR622" s="4317"/>
      <c r="AS622" s="4317"/>
      <c r="AT622" s="4317"/>
      <c r="AU622" s="4317"/>
      <c r="AV622" s="4317"/>
      <c r="AW622" s="4317"/>
      <c r="AX622" s="4317"/>
      <c r="AY622" s="4317"/>
      <c r="AZ622" s="4317"/>
      <c r="BA622" s="4317"/>
      <c r="BB622" s="4317"/>
      <c r="BC622" s="4317"/>
      <c r="BD622" s="4317"/>
      <c r="BE622" s="4317"/>
      <c r="BF622" s="4317"/>
      <c r="BG622" s="4317"/>
      <c r="BH622" s="4317"/>
      <c r="BI622" s="4317"/>
      <c r="BJ622" s="4317"/>
      <c r="BK622" s="4317"/>
      <c r="BL622" s="4317"/>
      <c r="BM622" s="4317"/>
      <c r="BN622" s="4317"/>
      <c r="BO622" s="4317"/>
      <c r="BP622" s="4317"/>
      <c r="BQ622" s="4317"/>
      <c r="BR622" s="4317"/>
      <c r="BS622" s="4317"/>
      <c r="BT622" s="4317"/>
      <c r="BU622" s="4317"/>
      <c r="BV622" s="4317"/>
      <c r="BW622" s="4317"/>
      <c r="BX622" s="4317"/>
      <c r="BY622" s="4317"/>
      <c r="BZ622" s="4317"/>
      <c r="CA622" s="4317"/>
      <c r="CB622" s="4317"/>
      <c r="CC622" s="4317"/>
      <c r="CD622" s="4317"/>
      <c r="CE622" s="4317"/>
      <c r="CF622" s="4317"/>
      <c r="CG622" s="4317"/>
      <c r="CH622" s="4317"/>
      <c r="CI622" s="4317"/>
      <c r="CJ622" s="4317"/>
      <c r="CK622" s="4317"/>
      <c r="CL622" s="4317"/>
      <c r="CM622" s="4317"/>
      <c r="CN622" s="4317"/>
      <c r="CO622" s="4317"/>
      <c r="CP622" s="4317"/>
      <c r="CQ622" s="4317"/>
      <c r="CR622" s="4317"/>
      <c r="CS622" s="4317"/>
      <c r="CT622" s="4317"/>
      <c r="CU622" s="4317"/>
      <c r="CV622" s="4317"/>
      <c r="CW622" s="4317"/>
      <c r="CX622" s="4317"/>
      <c r="CY622" s="4317"/>
      <c r="CZ622" s="4317"/>
      <c r="DA622" s="4317"/>
      <c r="DB622" s="4317"/>
      <c r="DC622" s="4317"/>
      <c r="DD622" s="4317"/>
      <c r="DE622" s="4317"/>
      <c r="DF622" s="4317"/>
      <c r="DG622" s="4317"/>
      <c r="DH622" s="4317"/>
      <c r="DI622" s="4317"/>
      <c r="DJ622" s="4317"/>
      <c r="DK622" s="4317"/>
      <c r="DL622" s="4317"/>
      <c r="DM622" s="4317"/>
      <c r="DN622" s="4317"/>
      <c r="DO622" s="4317"/>
      <c r="DP622" s="4317"/>
      <c r="DQ622" s="4317"/>
      <c r="DR622" s="4317"/>
      <c r="DS622" s="4317"/>
      <c r="DT622" s="4133"/>
      <c r="DU622" s="4133"/>
      <c r="DV622" s="4133"/>
      <c r="DW622" s="4133"/>
      <c r="DX622" s="4133"/>
      <c r="DY622" s="4133"/>
    </row>
    <row r="623" s="4134" customFormat="1" ht="16.5" customHeight="1" spans="1:129">
      <c r="A623" s="4659" t="s">
        <v>5284</v>
      </c>
      <c r="B623" s="4660"/>
      <c r="C623" s="4660"/>
      <c r="D623" s="4660"/>
      <c r="E623" s="4660"/>
      <c r="F623" s="4661">
        <f>SUM(F616:L622)</f>
        <v>0</v>
      </c>
      <c r="G623" s="4661"/>
      <c r="H623" s="4661"/>
      <c r="I623" s="4661"/>
      <c r="J623" s="4661"/>
      <c r="K623" s="4661"/>
      <c r="L623" s="4661"/>
      <c r="M623" s="4661">
        <f>SUM(M616:S622)</f>
        <v>0</v>
      </c>
      <c r="N623" s="4661"/>
      <c r="O623" s="4661"/>
      <c r="P623" s="4661"/>
      <c r="Q623" s="4661"/>
      <c r="R623" s="4661"/>
      <c r="S623" s="4661"/>
      <c r="T623" s="4317"/>
      <c r="U623" s="4653"/>
      <c r="V623" s="4322" t="s">
        <v>5285</v>
      </c>
      <c r="W623" s="4317"/>
      <c r="X623" s="4317"/>
      <c r="Y623" s="4653"/>
      <c r="Z623" s="4653"/>
      <c r="AA623" s="4653"/>
      <c r="AB623" s="4317"/>
      <c r="AC623" s="4295"/>
      <c r="AD623" s="4653"/>
      <c r="AE623" s="4653"/>
      <c r="AF623" s="4653"/>
      <c r="AG623" s="4317"/>
      <c r="AH623" s="4317"/>
      <c r="AI623" s="4317"/>
      <c r="AJ623" s="4317"/>
      <c r="AK623" s="4317"/>
      <c r="AL623" s="4317"/>
      <c r="AM623" s="4317"/>
      <c r="AN623" s="4317"/>
      <c r="AO623" s="4317"/>
      <c r="AP623" s="4317"/>
      <c r="AQ623" s="4317"/>
      <c r="AR623" s="4317"/>
      <c r="AS623" s="4317"/>
      <c r="AT623" s="4317"/>
      <c r="AU623" s="4317"/>
      <c r="AV623" s="4317"/>
      <c r="AW623" s="4317"/>
      <c r="AX623" s="4317"/>
      <c r="AY623" s="4317"/>
      <c r="AZ623" s="4317"/>
      <c r="BA623" s="4317"/>
      <c r="BB623" s="4317"/>
      <c r="BC623" s="4317"/>
      <c r="BD623" s="4317"/>
      <c r="BE623" s="4317"/>
      <c r="BF623" s="4317"/>
      <c r="BG623" s="4317"/>
      <c r="BH623" s="4317"/>
      <c r="BI623" s="4317"/>
      <c r="BJ623" s="4317"/>
      <c r="BK623" s="4317"/>
      <c r="BL623" s="4317"/>
      <c r="BM623" s="4317"/>
      <c r="BN623" s="4317"/>
      <c r="BO623" s="4317"/>
      <c r="BP623" s="4317"/>
      <c r="BQ623" s="4317"/>
      <c r="BR623" s="4317"/>
      <c r="BS623" s="4317"/>
      <c r="BT623" s="4317"/>
      <c r="BU623" s="4317"/>
      <c r="BV623" s="4317"/>
      <c r="BW623" s="4317"/>
      <c r="BX623" s="4317"/>
      <c r="BY623" s="4317"/>
      <c r="BZ623" s="4317"/>
      <c r="CA623" s="4317"/>
      <c r="CB623" s="4317"/>
      <c r="CC623" s="4317"/>
      <c r="CD623" s="4317"/>
      <c r="CE623" s="4317"/>
      <c r="CF623" s="4317"/>
      <c r="CG623" s="4317"/>
      <c r="CH623" s="4317"/>
      <c r="CI623" s="4317"/>
      <c r="CJ623" s="4317"/>
      <c r="CK623" s="4317"/>
      <c r="CL623" s="4317"/>
      <c r="CM623" s="4317"/>
      <c r="CN623" s="4317"/>
      <c r="CO623" s="4317"/>
      <c r="CP623" s="4317"/>
      <c r="CQ623" s="4317"/>
      <c r="CR623" s="4317"/>
      <c r="CS623" s="4317"/>
      <c r="CT623" s="4317"/>
      <c r="CU623" s="4317"/>
      <c r="CV623" s="4317"/>
      <c r="CW623" s="4317"/>
      <c r="CX623" s="4317"/>
      <c r="CY623" s="4317"/>
      <c r="CZ623" s="4317"/>
      <c r="DA623" s="4317"/>
      <c r="DB623" s="4317"/>
      <c r="DC623" s="4317"/>
      <c r="DD623" s="4317"/>
      <c r="DE623" s="4317"/>
      <c r="DF623" s="4317"/>
      <c r="DG623" s="4317"/>
      <c r="DH623" s="4317"/>
      <c r="DI623" s="4317"/>
      <c r="DJ623" s="4317"/>
      <c r="DK623" s="4317"/>
      <c r="DL623" s="4317"/>
      <c r="DM623" s="4317"/>
      <c r="DN623" s="4317"/>
      <c r="DO623" s="4317"/>
      <c r="DP623" s="4317"/>
      <c r="DQ623" s="4317"/>
      <c r="DR623" s="4317"/>
      <c r="DS623" s="4317"/>
      <c r="DT623" s="4133"/>
      <c r="DU623" s="4133"/>
      <c r="DV623" s="4133"/>
      <c r="DW623" s="4133"/>
      <c r="DX623" s="4133"/>
      <c r="DY623" s="4133"/>
    </row>
    <row r="624" s="4134" customFormat="1" ht="16.5" customHeight="1" spans="1:129">
      <c r="A624" s="4657" t="s">
        <v>735</v>
      </c>
      <c r="B624" s="4567"/>
      <c r="C624" s="4567"/>
      <c r="D624" s="4567"/>
      <c r="E624" s="4567"/>
      <c r="F624" s="4534"/>
      <c r="G624" s="4535"/>
      <c r="H624" s="4535"/>
      <c r="I624" s="4535"/>
      <c r="J624" s="4535"/>
      <c r="K624" s="4535"/>
      <c r="L624" s="4536"/>
      <c r="M624" s="4534"/>
      <c r="N624" s="4535"/>
      <c r="O624" s="4535"/>
      <c r="P624" s="4535"/>
      <c r="Q624" s="4535"/>
      <c r="R624" s="4535"/>
      <c r="S624" s="4536"/>
      <c r="T624" s="4317"/>
      <c r="U624" s="4653"/>
      <c r="V624" s="4316" t="s">
        <v>5286</v>
      </c>
      <c r="W624" s="4317"/>
      <c r="X624" s="4317"/>
      <c r="Y624" s="4653"/>
      <c r="Z624" s="4653"/>
      <c r="AA624" s="4653"/>
      <c r="AB624" s="4317"/>
      <c r="AC624" s="4295"/>
      <c r="AD624" s="4653"/>
      <c r="AE624" s="4653"/>
      <c r="AF624" s="4653"/>
      <c r="AG624" s="4317"/>
      <c r="AH624" s="4317"/>
      <c r="AI624" s="4317"/>
      <c r="AJ624" s="4317"/>
      <c r="AK624" s="4317"/>
      <c r="AL624" s="4317"/>
      <c r="AM624" s="4317"/>
      <c r="AN624" s="4317"/>
      <c r="AO624" s="4317"/>
      <c r="AP624" s="4317"/>
      <c r="AQ624" s="4317"/>
      <c r="AR624" s="4317"/>
      <c r="AS624" s="4317"/>
      <c r="AT624" s="4317"/>
      <c r="AU624" s="4317"/>
      <c r="AV624" s="4317"/>
      <c r="AW624" s="4317"/>
      <c r="AX624" s="4317"/>
      <c r="AY624" s="4317"/>
      <c r="AZ624" s="4317"/>
      <c r="BA624" s="4317"/>
      <c r="BB624" s="4317"/>
      <c r="BC624" s="4317"/>
      <c r="BD624" s="4317"/>
      <c r="BE624" s="4317"/>
      <c r="BF624" s="4317"/>
      <c r="BG624" s="4317"/>
      <c r="BH624" s="4317"/>
      <c r="BI624" s="4317"/>
      <c r="BJ624" s="4317"/>
      <c r="BK624" s="4317"/>
      <c r="BL624" s="4317"/>
      <c r="BM624" s="4317"/>
      <c r="BN624" s="4317"/>
      <c r="BO624" s="4317"/>
      <c r="BP624" s="4317"/>
      <c r="BQ624" s="4317"/>
      <c r="BR624" s="4317"/>
      <c r="BS624" s="4317"/>
      <c r="BT624" s="4317"/>
      <c r="BU624" s="4317"/>
      <c r="BV624" s="4317"/>
      <c r="BW624" s="4317"/>
      <c r="BX624" s="4317"/>
      <c r="BY624" s="4317"/>
      <c r="BZ624" s="4317"/>
      <c r="CA624" s="4317"/>
      <c r="CB624" s="4317"/>
      <c r="CC624" s="4317"/>
      <c r="CD624" s="4317"/>
      <c r="CE624" s="4317"/>
      <c r="CF624" s="4317"/>
      <c r="CG624" s="4317"/>
      <c r="CH624" s="4317"/>
      <c r="CI624" s="4317"/>
      <c r="CJ624" s="4317"/>
      <c r="CK624" s="4317"/>
      <c r="CL624" s="4317"/>
      <c r="CM624" s="4317"/>
      <c r="CN624" s="4317"/>
      <c r="CO624" s="4317"/>
      <c r="CP624" s="4317"/>
      <c r="CQ624" s="4317"/>
      <c r="CR624" s="4317"/>
      <c r="CS624" s="4317"/>
      <c r="CT624" s="4317"/>
      <c r="CU624" s="4317"/>
      <c r="CV624" s="4317"/>
      <c r="CW624" s="4317"/>
      <c r="CX624" s="4317"/>
      <c r="CY624" s="4317"/>
      <c r="CZ624" s="4317"/>
      <c r="DA624" s="4317"/>
      <c r="DB624" s="4317"/>
      <c r="DC624" s="4317"/>
      <c r="DD624" s="4317"/>
      <c r="DE624" s="4317"/>
      <c r="DF624" s="4317"/>
      <c r="DG624" s="4317"/>
      <c r="DH624" s="4317"/>
      <c r="DI624" s="4317"/>
      <c r="DJ624" s="4317"/>
      <c r="DK624" s="4317"/>
      <c r="DL624" s="4317"/>
      <c r="DM624" s="4317"/>
      <c r="DN624" s="4317"/>
      <c r="DO624" s="4317"/>
      <c r="DP624" s="4317"/>
      <c r="DQ624" s="4317"/>
      <c r="DR624" s="4317"/>
      <c r="DS624" s="4317"/>
      <c r="DT624" s="4133"/>
      <c r="DU624" s="4133"/>
      <c r="DV624" s="4133"/>
      <c r="DW624" s="4133"/>
      <c r="DX624" s="4133"/>
      <c r="DY624" s="4133"/>
    </row>
    <row r="625" s="4134" customFormat="1" ht="16.5" customHeight="1" spans="1:129">
      <c r="A625" s="4657" t="s">
        <v>742</v>
      </c>
      <c r="B625" s="4567"/>
      <c r="C625" s="4567"/>
      <c r="D625" s="4567"/>
      <c r="E625" s="4567"/>
      <c r="F625" s="4534"/>
      <c r="G625" s="4535"/>
      <c r="H625" s="4535"/>
      <c r="I625" s="4535"/>
      <c r="J625" s="4535"/>
      <c r="K625" s="4535"/>
      <c r="L625" s="4536"/>
      <c r="M625" s="4534"/>
      <c r="N625" s="4535"/>
      <c r="O625" s="4535"/>
      <c r="P625" s="4535"/>
      <c r="Q625" s="4535"/>
      <c r="R625" s="4535"/>
      <c r="S625" s="4536"/>
      <c r="T625" s="4317"/>
      <c r="U625" s="4653"/>
      <c r="V625" s="4316" t="s">
        <v>5287</v>
      </c>
      <c r="W625" s="4317"/>
      <c r="X625" s="4317"/>
      <c r="Y625" s="4653"/>
      <c r="Z625" s="4653"/>
      <c r="AA625" s="4653"/>
      <c r="AB625" s="4317"/>
      <c r="AC625" s="4295"/>
      <c r="AD625" s="4653"/>
      <c r="AE625" s="4653"/>
      <c r="AF625" s="4653"/>
      <c r="AG625" s="4317"/>
      <c r="AH625" s="4317"/>
      <c r="AI625" s="4317"/>
      <c r="AJ625" s="4317"/>
      <c r="AK625" s="4317"/>
      <c r="AL625" s="4317"/>
      <c r="AM625" s="4317"/>
      <c r="AN625" s="4317"/>
      <c r="AO625" s="4317"/>
      <c r="AP625" s="4317"/>
      <c r="AQ625" s="4317"/>
      <c r="AR625" s="4317"/>
      <c r="AS625" s="4317"/>
      <c r="AT625" s="4317"/>
      <c r="AU625" s="4317"/>
      <c r="AV625" s="4317"/>
      <c r="AW625" s="4317"/>
      <c r="AX625" s="4317"/>
      <c r="AY625" s="4317"/>
      <c r="AZ625" s="4317"/>
      <c r="BA625" s="4317"/>
      <c r="BB625" s="4317"/>
      <c r="BC625" s="4317"/>
      <c r="BD625" s="4317"/>
      <c r="BE625" s="4317"/>
      <c r="BF625" s="4317"/>
      <c r="BG625" s="4317"/>
      <c r="BH625" s="4317"/>
      <c r="BI625" s="4317"/>
      <c r="BJ625" s="4317"/>
      <c r="BK625" s="4317"/>
      <c r="BL625" s="4317"/>
      <c r="BM625" s="4317"/>
      <c r="BN625" s="4317"/>
      <c r="BO625" s="4317"/>
      <c r="BP625" s="4317"/>
      <c r="BQ625" s="4317"/>
      <c r="BR625" s="4317"/>
      <c r="BS625" s="4317"/>
      <c r="BT625" s="4317"/>
      <c r="BU625" s="4317"/>
      <c r="BV625" s="4317"/>
      <c r="BW625" s="4317"/>
      <c r="BX625" s="4317"/>
      <c r="BY625" s="4317"/>
      <c r="BZ625" s="4317"/>
      <c r="CA625" s="4317"/>
      <c r="CB625" s="4317"/>
      <c r="CC625" s="4317"/>
      <c r="CD625" s="4317"/>
      <c r="CE625" s="4317"/>
      <c r="CF625" s="4317"/>
      <c r="CG625" s="4317"/>
      <c r="CH625" s="4317"/>
      <c r="CI625" s="4317"/>
      <c r="CJ625" s="4317"/>
      <c r="CK625" s="4317"/>
      <c r="CL625" s="4317"/>
      <c r="CM625" s="4317"/>
      <c r="CN625" s="4317"/>
      <c r="CO625" s="4317"/>
      <c r="CP625" s="4317"/>
      <c r="CQ625" s="4317"/>
      <c r="CR625" s="4317"/>
      <c r="CS625" s="4317"/>
      <c r="CT625" s="4317"/>
      <c r="CU625" s="4317"/>
      <c r="CV625" s="4317"/>
      <c r="CW625" s="4317"/>
      <c r="CX625" s="4317"/>
      <c r="CY625" s="4317"/>
      <c r="CZ625" s="4317"/>
      <c r="DA625" s="4317"/>
      <c r="DB625" s="4317"/>
      <c r="DC625" s="4317"/>
      <c r="DD625" s="4317"/>
      <c r="DE625" s="4317"/>
      <c r="DF625" s="4317"/>
      <c r="DG625" s="4317"/>
      <c r="DH625" s="4317"/>
      <c r="DI625" s="4317"/>
      <c r="DJ625" s="4317"/>
      <c r="DK625" s="4317"/>
      <c r="DL625" s="4317"/>
      <c r="DM625" s="4317"/>
      <c r="DN625" s="4317"/>
      <c r="DO625" s="4317"/>
      <c r="DP625" s="4317"/>
      <c r="DQ625" s="4317"/>
      <c r="DR625" s="4317"/>
      <c r="DS625" s="4317"/>
      <c r="DT625" s="4133"/>
      <c r="DU625" s="4133"/>
      <c r="DV625" s="4133"/>
      <c r="DW625" s="4133"/>
      <c r="DX625" s="4133"/>
      <c r="DY625" s="4133"/>
    </row>
    <row r="626" s="4134" customFormat="1" ht="16.5" customHeight="1" spans="1:129">
      <c r="A626" s="4657" t="s">
        <v>750</v>
      </c>
      <c r="B626" s="4567"/>
      <c r="C626" s="4567"/>
      <c r="D626" s="4567"/>
      <c r="E626" s="4567"/>
      <c r="F626" s="4534"/>
      <c r="G626" s="4535"/>
      <c r="H626" s="4535"/>
      <c r="I626" s="4535"/>
      <c r="J626" s="4535"/>
      <c r="K626" s="4535"/>
      <c r="L626" s="4536"/>
      <c r="M626" s="4534"/>
      <c r="N626" s="4535"/>
      <c r="O626" s="4535"/>
      <c r="P626" s="4535"/>
      <c r="Q626" s="4535"/>
      <c r="R626" s="4535"/>
      <c r="S626" s="4536"/>
      <c r="T626" s="4317"/>
      <c r="U626" s="4653"/>
      <c r="V626" s="4316" t="s">
        <v>5288</v>
      </c>
      <c r="W626" s="4317"/>
      <c r="X626" s="4317"/>
      <c r="Y626" s="4653"/>
      <c r="Z626" s="4653"/>
      <c r="AA626" s="4653"/>
      <c r="AB626" s="4317"/>
      <c r="AC626" s="4295"/>
      <c r="AD626" s="4653"/>
      <c r="AE626" s="4653"/>
      <c r="AF626" s="4653"/>
      <c r="AG626" s="4317"/>
      <c r="AH626" s="4317"/>
      <c r="AI626" s="4317"/>
      <c r="AJ626" s="4317"/>
      <c r="AK626" s="4317"/>
      <c r="AL626" s="4317"/>
      <c r="AM626" s="4317"/>
      <c r="AN626" s="4317"/>
      <c r="AO626" s="4317"/>
      <c r="AP626" s="4317"/>
      <c r="AQ626" s="4317"/>
      <c r="AR626" s="4317"/>
      <c r="AS626" s="4317"/>
      <c r="AT626" s="4317"/>
      <c r="AU626" s="4317"/>
      <c r="AV626" s="4317"/>
      <c r="AW626" s="4317"/>
      <c r="AX626" s="4317"/>
      <c r="AY626" s="4317"/>
      <c r="AZ626" s="4317"/>
      <c r="BA626" s="4317"/>
      <c r="BB626" s="4317"/>
      <c r="BC626" s="4317"/>
      <c r="BD626" s="4317"/>
      <c r="BE626" s="4317"/>
      <c r="BF626" s="4317"/>
      <c r="BG626" s="4317"/>
      <c r="BH626" s="4317"/>
      <c r="BI626" s="4317"/>
      <c r="BJ626" s="4317"/>
      <c r="BK626" s="4317"/>
      <c r="BL626" s="4317"/>
      <c r="BM626" s="4317"/>
      <c r="BN626" s="4317"/>
      <c r="BO626" s="4317"/>
      <c r="BP626" s="4317"/>
      <c r="BQ626" s="4317"/>
      <c r="BR626" s="4317"/>
      <c r="BS626" s="4317"/>
      <c r="BT626" s="4317"/>
      <c r="BU626" s="4317"/>
      <c r="BV626" s="4317"/>
      <c r="BW626" s="4317"/>
      <c r="BX626" s="4317"/>
      <c r="BY626" s="4317"/>
      <c r="BZ626" s="4317"/>
      <c r="CA626" s="4317"/>
      <c r="CB626" s="4317"/>
      <c r="CC626" s="4317"/>
      <c r="CD626" s="4317"/>
      <c r="CE626" s="4317"/>
      <c r="CF626" s="4317"/>
      <c r="CG626" s="4317"/>
      <c r="CH626" s="4317"/>
      <c r="CI626" s="4317"/>
      <c r="CJ626" s="4317"/>
      <c r="CK626" s="4317"/>
      <c r="CL626" s="4317"/>
      <c r="CM626" s="4317"/>
      <c r="CN626" s="4317"/>
      <c r="CO626" s="4317"/>
      <c r="CP626" s="4317"/>
      <c r="CQ626" s="4317"/>
      <c r="CR626" s="4317"/>
      <c r="CS626" s="4317"/>
      <c r="CT626" s="4317"/>
      <c r="CU626" s="4317"/>
      <c r="CV626" s="4317"/>
      <c r="CW626" s="4317"/>
      <c r="CX626" s="4317"/>
      <c r="CY626" s="4317"/>
      <c r="CZ626" s="4317"/>
      <c r="DA626" s="4317"/>
      <c r="DB626" s="4317"/>
      <c r="DC626" s="4317"/>
      <c r="DD626" s="4317"/>
      <c r="DE626" s="4317"/>
      <c r="DF626" s="4317"/>
      <c r="DG626" s="4317"/>
      <c r="DH626" s="4317"/>
      <c r="DI626" s="4317"/>
      <c r="DJ626" s="4317"/>
      <c r="DK626" s="4317"/>
      <c r="DL626" s="4317"/>
      <c r="DM626" s="4317"/>
      <c r="DN626" s="4317"/>
      <c r="DO626" s="4317"/>
      <c r="DP626" s="4317"/>
      <c r="DQ626" s="4317"/>
      <c r="DR626" s="4317"/>
      <c r="DS626" s="4317"/>
      <c r="DT626" s="4133"/>
      <c r="DU626" s="4133"/>
      <c r="DV626" s="4133"/>
      <c r="DW626" s="4133"/>
      <c r="DX626" s="4133"/>
      <c r="DY626" s="4133"/>
    </row>
    <row r="627" s="4134" customFormat="1" ht="16.5" customHeight="1" spans="1:129">
      <c r="A627" s="4657" t="s">
        <v>3962</v>
      </c>
      <c r="B627" s="4567"/>
      <c r="C627" s="4567"/>
      <c r="D627" s="4567"/>
      <c r="E627" s="4567"/>
      <c r="F627" s="4534"/>
      <c r="G627" s="4535"/>
      <c r="H627" s="4535"/>
      <c r="I627" s="4535"/>
      <c r="J627" s="4535"/>
      <c r="K627" s="4535"/>
      <c r="L627" s="4536"/>
      <c r="M627" s="4534"/>
      <c r="N627" s="4535"/>
      <c r="O627" s="4535"/>
      <c r="P627" s="4535"/>
      <c r="Q627" s="4535"/>
      <c r="R627" s="4535"/>
      <c r="S627" s="4536"/>
      <c r="T627" s="4317"/>
      <c r="U627" s="4653"/>
      <c r="V627" s="4316" t="s">
        <v>5289</v>
      </c>
      <c r="W627" s="4317"/>
      <c r="X627" s="4317"/>
      <c r="Y627" s="4653"/>
      <c r="Z627" s="4653"/>
      <c r="AA627" s="4653"/>
      <c r="AB627" s="4317"/>
      <c r="AC627" s="4295"/>
      <c r="AD627" s="4653"/>
      <c r="AE627" s="4653"/>
      <c r="AF627" s="4653"/>
      <c r="AG627" s="4317"/>
      <c r="AH627" s="4317"/>
      <c r="AI627" s="4317"/>
      <c r="AJ627" s="4317"/>
      <c r="AK627" s="4317"/>
      <c r="AL627" s="4317"/>
      <c r="AM627" s="4317"/>
      <c r="AN627" s="4317"/>
      <c r="AO627" s="4317"/>
      <c r="AP627" s="4317"/>
      <c r="AQ627" s="4317"/>
      <c r="AR627" s="4317"/>
      <c r="AS627" s="4317"/>
      <c r="AT627" s="4317"/>
      <c r="AU627" s="4317"/>
      <c r="AV627" s="4317"/>
      <c r="AW627" s="4317"/>
      <c r="AX627" s="4317"/>
      <c r="AY627" s="4317"/>
      <c r="AZ627" s="4317"/>
      <c r="BA627" s="4317"/>
      <c r="BB627" s="4317"/>
      <c r="BC627" s="4317"/>
      <c r="BD627" s="4317"/>
      <c r="BE627" s="4317"/>
      <c r="BF627" s="4317"/>
      <c r="BG627" s="4317"/>
      <c r="BH627" s="4317"/>
      <c r="BI627" s="4317"/>
      <c r="BJ627" s="4317"/>
      <c r="BK627" s="4317"/>
      <c r="BL627" s="4317"/>
      <c r="BM627" s="4317"/>
      <c r="BN627" s="4317"/>
      <c r="BO627" s="4317"/>
      <c r="BP627" s="4317"/>
      <c r="BQ627" s="4317"/>
      <c r="BR627" s="4317"/>
      <c r="BS627" s="4317"/>
      <c r="BT627" s="4317"/>
      <c r="BU627" s="4317"/>
      <c r="BV627" s="4317"/>
      <c r="BW627" s="4317"/>
      <c r="BX627" s="4317"/>
      <c r="BY627" s="4317"/>
      <c r="BZ627" s="4317"/>
      <c r="CA627" s="4317"/>
      <c r="CB627" s="4317"/>
      <c r="CC627" s="4317"/>
      <c r="CD627" s="4317"/>
      <c r="CE627" s="4317"/>
      <c r="CF627" s="4317"/>
      <c r="CG627" s="4317"/>
      <c r="CH627" s="4317"/>
      <c r="CI627" s="4317"/>
      <c r="CJ627" s="4317"/>
      <c r="CK627" s="4317"/>
      <c r="CL627" s="4317"/>
      <c r="CM627" s="4317"/>
      <c r="CN627" s="4317"/>
      <c r="CO627" s="4317"/>
      <c r="CP627" s="4317"/>
      <c r="CQ627" s="4317"/>
      <c r="CR627" s="4317"/>
      <c r="CS627" s="4317"/>
      <c r="CT627" s="4317"/>
      <c r="CU627" s="4317"/>
      <c r="CV627" s="4317"/>
      <c r="CW627" s="4317"/>
      <c r="CX627" s="4317"/>
      <c r="CY627" s="4317"/>
      <c r="CZ627" s="4317"/>
      <c r="DA627" s="4317"/>
      <c r="DB627" s="4317"/>
      <c r="DC627" s="4317"/>
      <c r="DD627" s="4317"/>
      <c r="DE627" s="4317"/>
      <c r="DF627" s="4317"/>
      <c r="DG627" s="4317"/>
      <c r="DH627" s="4317"/>
      <c r="DI627" s="4317"/>
      <c r="DJ627" s="4317"/>
      <c r="DK627" s="4317"/>
      <c r="DL627" s="4317"/>
      <c r="DM627" s="4317"/>
      <c r="DN627" s="4317"/>
      <c r="DO627" s="4317"/>
      <c r="DP627" s="4317"/>
      <c r="DQ627" s="4317"/>
      <c r="DR627" s="4317"/>
      <c r="DS627" s="4317"/>
      <c r="DT627" s="4133"/>
      <c r="DU627" s="4133"/>
      <c r="DV627" s="4133"/>
      <c r="DW627" s="4133"/>
      <c r="DX627" s="4133"/>
      <c r="DY627" s="4133"/>
    </row>
    <row r="628" s="4134" customFormat="1" ht="16.5" customHeight="1" spans="1:129">
      <c r="A628" s="4657" t="s">
        <v>771</v>
      </c>
      <c r="B628" s="4567"/>
      <c r="C628" s="4567"/>
      <c r="D628" s="4567"/>
      <c r="E628" s="4567"/>
      <c r="F628" s="4534"/>
      <c r="G628" s="4535"/>
      <c r="H628" s="4535"/>
      <c r="I628" s="4535"/>
      <c r="J628" s="4535"/>
      <c r="K628" s="4535"/>
      <c r="L628" s="4536"/>
      <c r="M628" s="4534"/>
      <c r="N628" s="4535"/>
      <c r="O628" s="4535"/>
      <c r="P628" s="4535"/>
      <c r="Q628" s="4535"/>
      <c r="R628" s="4535"/>
      <c r="S628" s="4536"/>
      <c r="T628" s="4317"/>
      <c r="U628" s="4653"/>
      <c r="V628" s="4316" t="s">
        <v>5290</v>
      </c>
      <c r="W628" s="4317"/>
      <c r="X628" s="4317"/>
      <c r="Y628" s="4653"/>
      <c r="Z628" s="4653"/>
      <c r="AA628" s="4653"/>
      <c r="AB628" s="4317"/>
      <c r="AC628" s="4295"/>
      <c r="AD628" s="4653"/>
      <c r="AE628" s="4653"/>
      <c r="AF628" s="4653"/>
      <c r="AG628" s="4317"/>
      <c r="AH628" s="4317"/>
      <c r="AI628" s="4317"/>
      <c r="AJ628" s="4317"/>
      <c r="AK628" s="4317"/>
      <c r="AL628" s="4317"/>
      <c r="AM628" s="4317"/>
      <c r="AN628" s="4317"/>
      <c r="AO628" s="4317"/>
      <c r="AP628" s="4317"/>
      <c r="AQ628" s="4317"/>
      <c r="AR628" s="4317"/>
      <c r="AS628" s="4317"/>
      <c r="AT628" s="4317"/>
      <c r="AU628" s="4317"/>
      <c r="AV628" s="4317"/>
      <c r="AW628" s="4317"/>
      <c r="AX628" s="4317"/>
      <c r="AY628" s="4317"/>
      <c r="AZ628" s="4317"/>
      <c r="BA628" s="4317"/>
      <c r="BB628" s="4317"/>
      <c r="BC628" s="4317"/>
      <c r="BD628" s="4317"/>
      <c r="BE628" s="4317"/>
      <c r="BF628" s="4317"/>
      <c r="BG628" s="4317"/>
      <c r="BH628" s="4317"/>
      <c r="BI628" s="4317"/>
      <c r="BJ628" s="4317"/>
      <c r="BK628" s="4317"/>
      <c r="BL628" s="4317"/>
      <c r="BM628" s="4317"/>
      <c r="BN628" s="4317"/>
      <c r="BO628" s="4317"/>
      <c r="BP628" s="4317"/>
      <c r="BQ628" s="4317"/>
      <c r="BR628" s="4317"/>
      <c r="BS628" s="4317"/>
      <c r="BT628" s="4317"/>
      <c r="BU628" s="4317"/>
      <c r="BV628" s="4317"/>
      <c r="BW628" s="4317"/>
      <c r="BX628" s="4317"/>
      <c r="BY628" s="4317"/>
      <c r="BZ628" s="4317"/>
      <c r="CA628" s="4317"/>
      <c r="CB628" s="4317"/>
      <c r="CC628" s="4317"/>
      <c r="CD628" s="4317"/>
      <c r="CE628" s="4317"/>
      <c r="CF628" s="4317"/>
      <c r="CG628" s="4317"/>
      <c r="CH628" s="4317"/>
      <c r="CI628" s="4317"/>
      <c r="CJ628" s="4317"/>
      <c r="CK628" s="4317"/>
      <c r="CL628" s="4317"/>
      <c r="CM628" s="4317"/>
      <c r="CN628" s="4317"/>
      <c r="CO628" s="4317"/>
      <c r="CP628" s="4317"/>
      <c r="CQ628" s="4317"/>
      <c r="CR628" s="4317"/>
      <c r="CS628" s="4317"/>
      <c r="CT628" s="4317"/>
      <c r="CU628" s="4317"/>
      <c r="CV628" s="4317"/>
      <c r="CW628" s="4317"/>
      <c r="CX628" s="4317"/>
      <c r="CY628" s="4317"/>
      <c r="CZ628" s="4317"/>
      <c r="DA628" s="4317"/>
      <c r="DB628" s="4317"/>
      <c r="DC628" s="4317"/>
      <c r="DD628" s="4317"/>
      <c r="DE628" s="4317"/>
      <c r="DF628" s="4317"/>
      <c r="DG628" s="4317"/>
      <c r="DH628" s="4317"/>
      <c r="DI628" s="4317"/>
      <c r="DJ628" s="4317"/>
      <c r="DK628" s="4317"/>
      <c r="DL628" s="4317"/>
      <c r="DM628" s="4317"/>
      <c r="DN628" s="4317"/>
      <c r="DO628" s="4317"/>
      <c r="DP628" s="4317"/>
      <c r="DQ628" s="4317"/>
      <c r="DR628" s="4317"/>
      <c r="DS628" s="4317"/>
      <c r="DT628" s="4133"/>
      <c r="DU628" s="4133"/>
      <c r="DV628" s="4133"/>
      <c r="DW628" s="4133"/>
      <c r="DX628" s="4133"/>
      <c r="DY628" s="4133"/>
    </row>
    <row r="629" s="4134" customFormat="1" ht="16.5" customHeight="1" spans="1:129">
      <c r="A629" s="4657" t="s">
        <v>779</v>
      </c>
      <c r="B629" s="4567"/>
      <c r="C629" s="4567"/>
      <c r="D629" s="4567"/>
      <c r="E629" s="4567"/>
      <c r="F629" s="4534"/>
      <c r="G629" s="4535"/>
      <c r="H629" s="4535"/>
      <c r="I629" s="4535"/>
      <c r="J629" s="4535"/>
      <c r="K629" s="4535"/>
      <c r="L629" s="4536"/>
      <c r="M629" s="4534"/>
      <c r="N629" s="4535"/>
      <c r="O629" s="4535"/>
      <c r="P629" s="4535"/>
      <c r="Q629" s="4535"/>
      <c r="R629" s="4535"/>
      <c r="S629" s="4536"/>
      <c r="T629" s="4317"/>
      <c r="U629" s="4653"/>
      <c r="V629" s="4316" t="s">
        <v>5291</v>
      </c>
      <c r="W629" s="4317"/>
      <c r="X629" s="4317"/>
      <c r="Y629" s="4653"/>
      <c r="Z629" s="4653"/>
      <c r="AA629" s="4653"/>
      <c r="AB629" s="4317"/>
      <c r="AC629" s="4295"/>
      <c r="AD629" s="4653"/>
      <c r="AE629" s="4653"/>
      <c r="AF629" s="4653"/>
      <c r="AG629" s="4317"/>
      <c r="AH629" s="4317"/>
      <c r="AI629" s="4317"/>
      <c r="AJ629" s="4317"/>
      <c r="AK629" s="4317"/>
      <c r="AL629" s="4317"/>
      <c r="AM629" s="4317"/>
      <c r="AN629" s="4317"/>
      <c r="AO629" s="4317"/>
      <c r="AP629" s="4317"/>
      <c r="AQ629" s="4317"/>
      <c r="AR629" s="4317"/>
      <c r="AS629" s="4317"/>
      <c r="AT629" s="4317"/>
      <c r="AU629" s="4317"/>
      <c r="AV629" s="4317"/>
      <c r="AW629" s="4317"/>
      <c r="AX629" s="4317"/>
      <c r="AY629" s="4317"/>
      <c r="AZ629" s="4317"/>
      <c r="BA629" s="4317"/>
      <c r="BB629" s="4317"/>
      <c r="BC629" s="4317"/>
      <c r="BD629" s="4317"/>
      <c r="BE629" s="4317"/>
      <c r="BF629" s="4317"/>
      <c r="BG629" s="4317"/>
      <c r="BH629" s="4317"/>
      <c r="BI629" s="4317"/>
      <c r="BJ629" s="4317"/>
      <c r="BK629" s="4317"/>
      <c r="BL629" s="4317"/>
      <c r="BM629" s="4317"/>
      <c r="BN629" s="4317"/>
      <c r="BO629" s="4317"/>
      <c r="BP629" s="4317"/>
      <c r="BQ629" s="4317"/>
      <c r="BR629" s="4317"/>
      <c r="BS629" s="4317"/>
      <c r="BT629" s="4317"/>
      <c r="BU629" s="4317"/>
      <c r="BV629" s="4317"/>
      <c r="BW629" s="4317"/>
      <c r="BX629" s="4317"/>
      <c r="BY629" s="4317"/>
      <c r="BZ629" s="4317"/>
      <c r="CA629" s="4317"/>
      <c r="CB629" s="4317"/>
      <c r="CC629" s="4317"/>
      <c r="CD629" s="4317"/>
      <c r="CE629" s="4317"/>
      <c r="CF629" s="4317"/>
      <c r="CG629" s="4317"/>
      <c r="CH629" s="4317"/>
      <c r="CI629" s="4317"/>
      <c r="CJ629" s="4317"/>
      <c r="CK629" s="4317"/>
      <c r="CL629" s="4317"/>
      <c r="CM629" s="4317"/>
      <c r="CN629" s="4317"/>
      <c r="CO629" s="4317"/>
      <c r="CP629" s="4317"/>
      <c r="CQ629" s="4317"/>
      <c r="CR629" s="4317"/>
      <c r="CS629" s="4317"/>
      <c r="CT629" s="4317"/>
      <c r="CU629" s="4317"/>
      <c r="CV629" s="4317"/>
      <c r="CW629" s="4317"/>
      <c r="CX629" s="4317"/>
      <c r="CY629" s="4317"/>
      <c r="CZ629" s="4317"/>
      <c r="DA629" s="4317"/>
      <c r="DB629" s="4317"/>
      <c r="DC629" s="4317"/>
      <c r="DD629" s="4317"/>
      <c r="DE629" s="4317"/>
      <c r="DF629" s="4317"/>
      <c r="DG629" s="4317"/>
      <c r="DH629" s="4317"/>
      <c r="DI629" s="4317"/>
      <c r="DJ629" s="4317"/>
      <c r="DK629" s="4317"/>
      <c r="DL629" s="4317"/>
      <c r="DM629" s="4317"/>
      <c r="DN629" s="4317"/>
      <c r="DO629" s="4317"/>
      <c r="DP629" s="4317"/>
      <c r="DQ629" s="4317"/>
      <c r="DR629" s="4317"/>
      <c r="DS629" s="4317"/>
      <c r="DT629" s="4133"/>
      <c r="DU629" s="4133"/>
      <c r="DV629" s="4133"/>
      <c r="DW629" s="4133"/>
      <c r="DX629" s="4133"/>
      <c r="DY629" s="4133"/>
    </row>
    <row r="630" s="4134" customFormat="1" ht="16.5" customHeight="1" spans="1:129">
      <c r="A630" s="4659" t="s">
        <v>5292</v>
      </c>
      <c r="B630" s="4660"/>
      <c r="C630" s="4660"/>
      <c r="D630" s="4660"/>
      <c r="E630" s="4660"/>
      <c r="F630" s="4661">
        <f>SUM(F624:L629)</f>
        <v>0</v>
      </c>
      <c r="G630" s="4661"/>
      <c r="H630" s="4661"/>
      <c r="I630" s="4661"/>
      <c r="J630" s="4661"/>
      <c r="K630" s="4661"/>
      <c r="L630" s="4661"/>
      <c r="M630" s="4661">
        <f>SUM(M624:S629)</f>
        <v>0</v>
      </c>
      <c r="N630" s="4661"/>
      <c r="O630" s="4661"/>
      <c r="P630" s="4661"/>
      <c r="Q630" s="4661"/>
      <c r="R630" s="4661"/>
      <c r="S630" s="4661"/>
      <c r="T630" s="4317"/>
      <c r="U630" s="4653"/>
      <c r="V630" s="4322" t="s">
        <v>2881</v>
      </c>
      <c r="W630" s="4317"/>
      <c r="X630" s="4317"/>
      <c r="Y630" s="4653"/>
      <c r="Z630" s="4653"/>
      <c r="AA630" s="4653"/>
      <c r="AB630" s="4317"/>
      <c r="AC630" s="4295"/>
      <c r="AD630" s="4653"/>
      <c r="AE630" s="4653"/>
      <c r="AF630" s="4653"/>
      <c r="AG630" s="4317"/>
      <c r="AH630" s="4317"/>
      <c r="AI630" s="4317"/>
      <c r="AJ630" s="4317"/>
      <c r="AK630" s="4317"/>
      <c r="AL630" s="4317"/>
      <c r="AM630" s="4317"/>
      <c r="AN630" s="4317"/>
      <c r="AO630" s="4317"/>
      <c r="AP630" s="4317"/>
      <c r="AQ630" s="4317"/>
      <c r="AR630" s="4317"/>
      <c r="AS630" s="4317"/>
      <c r="AT630" s="4317"/>
      <c r="AU630" s="4317"/>
      <c r="AV630" s="4317"/>
      <c r="AW630" s="4317"/>
      <c r="AX630" s="4317"/>
      <c r="AY630" s="4317"/>
      <c r="AZ630" s="4317"/>
      <c r="BA630" s="4317"/>
      <c r="BB630" s="4317"/>
      <c r="BC630" s="4317"/>
      <c r="BD630" s="4317"/>
      <c r="BE630" s="4317"/>
      <c r="BF630" s="4317"/>
      <c r="BG630" s="4317"/>
      <c r="BH630" s="4317"/>
      <c r="BI630" s="4317"/>
      <c r="BJ630" s="4317"/>
      <c r="BK630" s="4317"/>
      <c r="BL630" s="4317"/>
      <c r="BM630" s="4317"/>
      <c r="BN630" s="4317"/>
      <c r="BO630" s="4317"/>
      <c r="BP630" s="4317"/>
      <c r="BQ630" s="4317"/>
      <c r="BR630" s="4317"/>
      <c r="BS630" s="4317"/>
      <c r="BT630" s="4317"/>
      <c r="BU630" s="4317"/>
      <c r="BV630" s="4317"/>
      <c r="BW630" s="4317"/>
      <c r="BX630" s="4317"/>
      <c r="BY630" s="4317"/>
      <c r="BZ630" s="4317"/>
      <c r="CA630" s="4317"/>
      <c r="CB630" s="4317"/>
      <c r="CC630" s="4317"/>
      <c r="CD630" s="4317"/>
      <c r="CE630" s="4317"/>
      <c r="CF630" s="4317"/>
      <c r="CG630" s="4317"/>
      <c r="CH630" s="4317"/>
      <c r="CI630" s="4317"/>
      <c r="CJ630" s="4317"/>
      <c r="CK630" s="4317"/>
      <c r="CL630" s="4317"/>
      <c r="CM630" s="4317"/>
      <c r="CN630" s="4317"/>
      <c r="CO630" s="4317"/>
      <c r="CP630" s="4317"/>
      <c r="CQ630" s="4317"/>
      <c r="CR630" s="4317"/>
      <c r="CS630" s="4317"/>
      <c r="CT630" s="4317"/>
      <c r="CU630" s="4317"/>
      <c r="CV630" s="4317"/>
      <c r="CW630" s="4317"/>
      <c r="CX630" s="4317"/>
      <c r="CY630" s="4317"/>
      <c r="CZ630" s="4317"/>
      <c r="DA630" s="4317"/>
      <c r="DB630" s="4317"/>
      <c r="DC630" s="4317"/>
      <c r="DD630" s="4317"/>
      <c r="DE630" s="4317"/>
      <c r="DF630" s="4317"/>
      <c r="DG630" s="4317"/>
      <c r="DH630" s="4317"/>
      <c r="DI630" s="4317"/>
      <c r="DJ630" s="4317"/>
      <c r="DK630" s="4317"/>
      <c r="DL630" s="4317"/>
      <c r="DM630" s="4317"/>
      <c r="DN630" s="4317"/>
      <c r="DO630" s="4317"/>
      <c r="DP630" s="4317"/>
      <c r="DQ630" s="4317"/>
      <c r="DR630" s="4317"/>
      <c r="DS630" s="4317"/>
      <c r="DT630" s="4133"/>
      <c r="DU630" s="4133"/>
      <c r="DV630" s="4133"/>
      <c r="DW630" s="4133"/>
      <c r="DX630" s="4133"/>
      <c r="DY630" s="4133"/>
    </row>
    <row r="631" s="4134" customFormat="1" ht="16.5" customHeight="1" spans="1:129">
      <c r="A631" s="4657" t="s">
        <v>604</v>
      </c>
      <c r="B631" s="4567"/>
      <c r="C631" s="4567"/>
      <c r="D631" s="4567"/>
      <c r="E631" s="4567"/>
      <c r="F631" s="4534"/>
      <c r="G631" s="4535"/>
      <c r="H631" s="4535"/>
      <c r="I631" s="4535"/>
      <c r="J631" s="4535"/>
      <c r="K631" s="4535"/>
      <c r="L631" s="4536"/>
      <c r="M631" s="4534"/>
      <c r="N631" s="4535"/>
      <c r="O631" s="4535"/>
      <c r="P631" s="4535"/>
      <c r="Q631" s="4535"/>
      <c r="R631" s="4535"/>
      <c r="S631" s="4536"/>
      <c r="T631" s="4317"/>
      <c r="U631" s="4653"/>
      <c r="V631" s="4316" t="s">
        <v>3056</v>
      </c>
      <c r="W631" s="4317"/>
      <c r="X631" s="4317"/>
      <c r="Y631" s="4653"/>
      <c r="Z631" s="4653"/>
      <c r="AA631" s="4653"/>
      <c r="AB631" s="4317"/>
      <c r="AC631" s="4295"/>
      <c r="AD631" s="4653"/>
      <c r="AE631" s="4653"/>
      <c r="AF631" s="4653"/>
      <c r="AG631" s="4317"/>
      <c r="AH631" s="4317"/>
      <c r="AI631" s="4317"/>
      <c r="AJ631" s="4317"/>
      <c r="AK631" s="4317"/>
      <c r="AL631" s="4317"/>
      <c r="AM631" s="4317"/>
      <c r="AN631" s="4317"/>
      <c r="AO631" s="4317"/>
      <c r="AP631" s="4317"/>
      <c r="AQ631" s="4317"/>
      <c r="AR631" s="4317"/>
      <c r="AS631" s="4317"/>
      <c r="AT631" s="4317"/>
      <c r="AU631" s="4317"/>
      <c r="AV631" s="4317"/>
      <c r="AW631" s="4317"/>
      <c r="AX631" s="4317"/>
      <c r="AY631" s="4317"/>
      <c r="AZ631" s="4317"/>
      <c r="BA631" s="4317"/>
      <c r="BB631" s="4317"/>
      <c r="BC631" s="4317"/>
      <c r="BD631" s="4317"/>
      <c r="BE631" s="4317"/>
      <c r="BF631" s="4317"/>
      <c r="BG631" s="4317"/>
      <c r="BH631" s="4317"/>
      <c r="BI631" s="4317"/>
      <c r="BJ631" s="4317"/>
      <c r="BK631" s="4317"/>
      <c r="BL631" s="4317"/>
      <c r="BM631" s="4317"/>
      <c r="BN631" s="4317"/>
      <c r="BO631" s="4317"/>
      <c r="BP631" s="4317"/>
      <c r="BQ631" s="4317"/>
      <c r="BR631" s="4317"/>
      <c r="BS631" s="4317"/>
      <c r="BT631" s="4317"/>
      <c r="BU631" s="4317"/>
      <c r="BV631" s="4317"/>
      <c r="BW631" s="4317"/>
      <c r="BX631" s="4317"/>
      <c r="BY631" s="4317"/>
      <c r="BZ631" s="4317"/>
      <c r="CA631" s="4317"/>
      <c r="CB631" s="4317"/>
      <c r="CC631" s="4317"/>
      <c r="CD631" s="4317"/>
      <c r="CE631" s="4317"/>
      <c r="CF631" s="4317"/>
      <c r="CG631" s="4317"/>
      <c r="CH631" s="4317"/>
      <c r="CI631" s="4317"/>
      <c r="CJ631" s="4317"/>
      <c r="CK631" s="4317"/>
      <c r="CL631" s="4317"/>
      <c r="CM631" s="4317"/>
      <c r="CN631" s="4317"/>
      <c r="CO631" s="4317"/>
      <c r="CP631" s="4317"/>
      <c r="CQ631" s="4317"/>
      <c r="CR631" s="4317"/>
      <c r="CS631" s="4317"/>
      <c r="CT631" s="4317"/>
      <c r="CU631" s="4317"/>
      <c r="CV631" s="4317"/>
      <c r="CW631" s="4317"/>
      <c r="CX631" s="4317"/>
      <c r="CY631" s="4317"/>
      <c r="CZ631" s="4317"/>
      <c r="DA631" s="4317"/>
      <c r="DB631" s="4317"/>
      <c r="DC631" s="4317"/>
      <c r="DD631" s="4317"/>
      <c r="DE631" s="4317"/>
      <c r="DF631" s="4317"/>
      <c r="DG631" s="4317"/>
      <c r="DH631" s="4317"/>
      <c r="DI631" s="4317"/>
      <c r="DJ631" s="4317"/>
      <c r="DK631" s="4317"/>
      <c r="DL631" s="4317"/>
      <c r="DM631" s="4317"/>
      <c r="DN631" s="4317"/>
      <c r="DO631" s="4317"/>
      <c r="DP631" s="4317"/>
      <c r="DQ631" s="4317"/>
      <c r="DR631" s="4317"/>
      <c r="DS631" s="4317"/>
      <c r="DT631" s="4133"/>
      <c r="DU631" s="4133"/>
      <c r="DV631" s="4133"/>
      <c r="DW631" s="4133"/>
      <c r="DX631" s="4133"/>
      <c r="DY631" s="4133"/>
    </row>
    <row r="632" s="4134" customFormat="1" ht="16.5" customHeight="1" spans="1:129">
      <c r="A632" s="4657" t="s">
        <v>801</v>
      </c>
      <c r="B632" s="4567"/>
      <c r="C632" s="4567"/>
      <c r="D632" s="4567"/>
      <c r="E632" s="4567"/>
      <c r="F632" s="4534"/>
      <c r="G632" s="4535"/>
      <c r="H632" s="4535"/>
      <c r="I632" s="4535"/>
      <c r="J632" s="4535"/>
      <c r="K632" s="4535"/>
      <c r="L632" s="4536"/>
      <c r="M632" s="4534"/>
      <c r="N632" s="4535"/>
      <c r="O632" s="4535"/>
      <c r="P632" s="4535"/>
      <c r="Q632" s="4535"/>
      <c r="R632" s="4535"/>
      <c r="S632" s="4536"/>
      <c r="T632" s="4317"/>
      <c r="U632" s="4653"/>
      <c r="V632" s="4316" t="s">
        <v>3058</v>
      </c>
      <c r="W632" s="4317"/>
      <c r="X632" s="4317"/>
      <c r="Y632" s="4653"/>
      <c r="Z632" s="4653"/>
      <c r="AA632" s="4653"/>
      <c r="AB632" s="4317"/>
      <c r="AC632" s="4295"/>
      <c r="AD632" s="4653"/>
      <c r="AE632" s="4653"/>
      <c r="AF632" s="4653"/>
      <c r="AG632" s="4317"/>
      <c r="AH632" s="4317"/>
      <c r="AI632" s="4317"/>
      <c r="AJ632" s="4317"/>
      <c r="AK632" s="4317"/>
      <c r="AL632" s="4317"/>
      <c r="AM632" s="4317"/>
      <c r="AN632" s="4317"/>
      <c r="AO632" s="4317"/>
      <c r="AP632" s="4317"/>
      <c r="AQ632" s="4317"/>
      <c r="AR632" s="4317"/>
      <c r="AS632" s="4317"/>
      <c r="AT632" s="4317"/>
      <c r="AU632" s="4317"/>
      <c r="AV632" s="4317"/>
      <c r="AW632" s="4317"/>
      <c r="AX632" s="4317"/>
      <c r="AY632" s="4317"/>
      <c r="AZ632" s="4317"/>
      <c r="BA632" s="4317"/>
      <c r="BB632" s="4317"/>
      <c r="BC632" s="4317"/>
      <c r="BD632" s="4317"/>
      <c r="BE632" s="4317"/>
      <c r="BF632" s="4317"/>
      <c r="BG632" s="4317"/>
      <c r="BH632" s="4317"/>
      <c r="BI632" s="4317"/>
      <c r="BJ632" s="4317"/>
      <c r="BK632" s="4317"/>
      <c r="BL632" s="4317"/>
      <c r="BM632" s="4317"/>
      <c r="BN632" s="4317"/>
      <c r="BO632" s="4317"/>
      <c r="BP632" s="4317"/>
      <c r="BQ632" s="4317"/>
      <c r="BR632" s="4317"/>
      <c r="BS632" s="4317"/>
      <c r="BT632" s="4317"/>
      <c r="BU632" s="4317"/>
      <c r="BV632" s="4317"/>
      <c r="BW632" s="4317"/>
      <c r="BX632" s="4317"/>
      <c r="BY632" s="4317"/>
      <c r="BZ632" s="4317"/>
      <c r="CA632" s="4317"/>
      <c r="CB632" s="4317"/>
      <c r="CC632" s="4317"/>
      <c r="CD632" s="4317"/>
      <c r="CE632" s="4317"/>
      <c r="CF632" s="4317"/>
      <c r="CG632" s="4317"/>
      <c r="CH632" s="4317"/>
      <c r="CI632" s="4317"/>
      <c r="CJ632" s="4317"/>
      <c r="CK632" s="4317"/>
      <c r="CL632" s="4317"/>
      <c r="CM632" s="4317"/>
      <c r="CN632" s="4317"/>
      <c r="CO632" s="4317"/>
      <c r="CP632" s="4317"/>
      <c r="CQ632" s="4317"/>
      <c r="CR632" s="4317"/>
      <c r="CS632" s="4317"/>
      <c r="CT632" s="4317"/>
      <c r="CU632" s="4317"/>
      <c r="CV632" s="4317"/>
      <c r="CW632" s="4317"/>
      <c r="CX632" s="4317"/>
      <c r="CY632" s="4317"/>
      <c r="CZ632" s="4317"/>
      <c r="DA632" s="4317"/>
      <c r="DB632" s="4317"/>
      <c r="DC632" s="4317"/>
      <c r="DD632" s="4317"/>
      <c r="DE632" s="4317"/>
      <c r="DF632" s="4317"/>
      <c r="DG632" s="4317"/>
      <c r="DH632" s="4317"/>
      <c r="DI632" s="4317"/>
      <c r="DJ632" s="4317"/>
      <c r="DK632" s="4317"/>
      <c r="DL632" s="4317"/>
      <c r="DM632" s="4317"/>
      <c r="DN632" s="4317"/>
      <c r="DO632" s="4317"/>
      <c r="DP632" s="4317"/>
      <c r="DQ632" s="4317"/>
      <c r="DR632" s="4317"/>
      <c r="DS632" s="4317"/>
      <c r="DT632" s="4133"/>
      <c r="DU632" s="4133"/>
      <c r="DV632" s="4133"/>
      <c r="DW632" s="4133"/>
      <c r="DX632" s="4133"/>
      <c r="DY632" s="4133"/>
    </row>
    <row r="633" s="4134" customFormat="1" ht="16.5" customHeight="1" spans="1:129">
      <c r="A633" s="4657" t="s">
        <v>806</v>
      </c>
      <c r="B633" s="4567"/>
      <c r="C633" s="4567"/>
      <c r="D633" s="4567"/>
      <c r="E633" s="4567"/>
      <c r="F633" s="4534"/>
      <c r="G633" s="4535"/>
      <c r="H633" s="4535"/>
      <c r="I633" s="4535"/>
      <c r="J633" s="4535"/>
      <c r="K633" s="4535"/>
      <c r="L633" s="4536"/>
      <c r="M633" s="4534"/>
      <c r="N633" s="4535"/>
      <c r="O633" s="4535"/>
      <c r="P633" s="4535"/>
      <c r="Q633" s="4535"/>
      <c r="R633" s="4535"/>
      <c r="S633" s="4536"/>
      <c r="T633" s="4317"/>
      <c r="U633" s="4653"/>
      <c r="V633" s="4316" t="s">
        <v>5293</v>
      </c>
      <c r="W633" s="4317"/>
      <c r="X633" s="4317"/>
      <c r="Y633" s="4653"/>
      <c r="Z633" s="4653"/>
      <c r="AA633" s="4653"/>
      <c r="AB633" s="4317"/>
      <c r="AC633" s="4295"/>
      <c r="AD633" s="4653"/>
      <c r="AE633" s="4653"/>
      <c r="AF633" s="4653"/>
      <c r="AG633" s="4317"/>
      <c r="AH633" s="4317"/>
      <c r="AI633" s="4317"/>
      <c r="AJ633" s="4317"/>
      <c r="AK633" s="4317"/>
      <c r="AL633" s="4317"/>
      <c r="AM633" s="4317"/>
      <c r="AN633" s="4317"/>
      <c r="AO633" s="4317"/>
      <c r="AP633" s="4317"/>
      <c r="AQ633" s="4317"/>
      <c r="AR633" s="4317"/>
      <c r="AS633" s="4317"/>
      <c r="AT633" s="4317"/>
      <c r="AU633" s="4317"/>
      <c r="AV633" s="4317"/>
      <c r="AW633" s="4317"/>
      <c r="AX633" s="4317"/>
      <c r="AY633" s="4317"/>
      <c r="AZ633" s="4317"/>
      <c r="BA633" s="4317"/>
      <c r="BB633" s="4317"/>
      <c r="BC633" s="4317"/>
      <c r="BD633" s="4317"/>
      <c r="BE633" s="4317"/>
      <c r="BF633" s="4317"/>
      <c r="BG633" s="4317"/>
      <c r="BH633" s="4317"/>
      <c r="BI633" s="4317"/>
      <c r="BJ633" s="4317"/>
      <c r="BK633" s="4317"/>
      <c r="BL633" s="4317"/>
      <c r="BM633" s="4317"/>
      <c r="BN633" s="4317"/>
      <c r="BO633" s="4317"/>
      <c r="BP633" s="4317"/>
      <c r="BQ633" s="4317"/>
      <c r="BR633" s="4317"/>
      <c r="BS633" s="4317"/>
      <c r="BT633" s="4317"/>
      <c r="BU633" s="4317"/>
      <c r="BV633" s="4317"/>
      <c r="BW633" s="4317"/>
      <c r="BX633" s="4317"/>
      <c r="BY633" s="4317"/>
      <c r="BZ633" s="4317"/>
      <c r="CA633" s="4317"/>
      <c r="CB633" s="4317"/>
      <c r="CC633" s="4317"/>
      <c r="CD633" s="4317"/>
      <c r="CE633" s="4317"/>
      <c r="CF633" s="4317"/>
      <c r="CG633" s="4317"/>
      <c r="CH633" s="4317"/>
      <c r="CI633" s="4317"/>
      <c r="CJ633" s="4317"/>
      <c r="CK633" s="4317"/>
      <c r="CL633" s="4317"/>
      <c r="CM633" s="4317"/>
      <c r="CN633" s="4317"/>
      <c r="CO633" s="4317"/>
      <c r="CP633" s="4317"/>
      <c r="CQ633" s="4317"/>
      <c r="CR633" s="4317"/>
      <c r="CS633" s="4317"/>
      <c r="CT633" s="4317"/>
      <c r="CU633" s="4317"/>
      <c r="CV633" s="4317"/>
      <c r="CW633" s="4317"/>
      <c r="CX633" s="4317"/>
      <c r="CY633" s="4317"/>
      <c r="CZ633" s="4317"/>
      <c r="DA633" s="4317"/>
      <c r="DB633" s="4317"/>
      <c r="DC633" s="4317"/>
      <c r="DD633" s="4317"/>
      <c r="DE633" s="4317"/>
      <c r="DF633" s="4317"/>
      <c r="DG633" s="4317"/>
      <c r="DH633" s="4317"/>
      <c r="DI633" s="4317"/>
      <c r="DJ633" s="4317"/>
      <c r="DK633" s="4317"/>
      <c r="DL633" s="4317"/>
      <c r="DM633" s="4317"/>
      <c r="DN633" s="4317"/>
      <c r="DO633" s="4317"/>
      <c r="DP633" s="4317"/>
      <c r="DQ633" s="4317"/>
      <c r="DR633" s="4317"/>
      <c r="DS633" s="4317"/>
      <c r="DT633" s="4133"/>
      <c r="DU633" s="4133"/>
      <c r="DV633" s="4133"/>
      <c r="DW633" s="4133"/>
      <c r="DX633" s="4133"/>
      <c r="DY633" s="4133"/>
    </row>
    <row r="634" s="4134" customFormat="1" ht="16.5" customHeight="1" spans="1:129">
      <c r="A634" s="4657" t="s">
        <v>3974</v>
      </c>
      <c r="B634" s="4567"/>
      <c r="C634" s="4567"/>
      <c r="D634" s="4567"/>
      <c r="E634" s="4567"/>
      <c r="F634" s="4534"/>
      <c r="G634" s="4535"/>
      <c r="H634" s="4535"/>
      <c r="I634" s="4535"/>
      <c r="J634" s="4535"/>
      <c r="K634" s="4535"/>
      <c r="L634" s="4536"/>
      <c r="M634" s="4534"/>
      <c r="N634" s="4535"/>
      <c r="O634" s="4535"/>
      <c r="P634" s="4535"/>
      <c r="Q634" s="4535"/>
      <c r="R634" s="4535"/>
      <c r="S634" s="4536"/>
      <c r="T634" s="4317"/>
      <c r="U634" s="4653"/>
      <c r="V634" s="4316" t="s">
        <v>2880</v>
      </c>
      <c r="W634" s="4317"/>
      <c r="X634" s="4317"/>
      <c r="Y634" s="4653"/>
      <c r="Z634" s="4653"/>
      <c r="AA634" s="4653"/>
      <c r="AB634" s="4317"/>
      <c r="AC634" s="4295"/>
      <c r="AD634" s="4653"/>
      <c r="AE634" s="4653"/>
      <c r="AF634" s="4653"/>
      <c r="AG634" s="4317"/>
      <c r="AH634" s="4317"/>
      <c r="AI634" s="4317"/>
      <c r="AJ634" s="4317"/>
      <c r="AK634" s="4317"/>
      <c r="AL634" s="4317"/>
      <c r="AM634" s="4317"/>
      <c r="AN634" s="4317"/>
      <c r="AO634" s="4317"/>
      <c r="AP634" s="4317"/>
      <c r="AQ634" s="4317"/>
      <c r="AR634" s="4317"/>
      <c r="AS634" s="4317"/>
      <c r="AT634" s="4317"/>
      <c r="AU634" s="4317"/>
      <c r="AV634" s="4317"/>
      <c r="AW634" s="4317"/>
      <c r="AX634" s="4317"/>
      <c r="AY634" s="4317"/>
      <c r="AZ634" s="4317"/>
      <c r="BA634" s="4317"/>
      <c r="BB634" s="4317"/>
      <c r="BC634" s="4317"/>
      <c r="BD634" s="4317"/>
      <c r="BE634" s="4317"/>
      <c r="BF634" s="4317"/>
      <c r="BG634" s="4317"/>
      <c r="BH634" s="4317"/>
      <c r="BI634" s="4317"/>
      <c r="BJ634" s="4317"/>
      <c r="BK634" s="4317"/>
      <c r="BL634" s="4317"/>
      <c r="BM634" s="4317"/>
      <c r="BN634" s="4317"/>
      <c r="BO634" s="4317"/>
      <c r="BP634" s="4317"/>
      <c r="BQ634" s="4317"/>
      <c r="BR634" s="4317"/>
      <c r="BS634" s="4317"/>
      <c r="BT634" s="4317"/>
      <c r="BU634" s="4317"/>
      <c r="BV634" s="4317"/>
      <c r="BW634" s="4317"/>
      <c r="BX634" s="4317"/>
      <c r="BY634" s="4317"/>
      <c r="BZ634" s="4317"/>
      <c r="CA634" s="4317"/>
      <c r="CB634" s="4317"/>
      <c r="CC634" s="4317"/>
      <c r="CD634" s="4317"/>
      <c r="CE634" s="4317"/>
      <c r="CF634" s="4317"/>
      <c r="CG634" s="4317"/>
      <c r="CH634" s="4317"/>
      <c r="CI634" s="4317"/>
      <c r="CJ634" s="4317"/>
      <c r="CK634" s="4317"/>
      <c r="CL634" s="4317"/>
      <c r="CM634" s="4317"/>
      <c r="CN634" s="4317"/>
      <c r="CO634" s="4317"/>
      <c r="CP634" s="4317"/>
      <c r="CQ634" s="4317"/>
      <c r="CR634" s="4317"/>
      <c r="CS634" s="4317"/>
      <c r="CT634" s="4317"/>
      <c r="CU634" s="4317"/>
      <c r="CV634" s="4317"/>
      <c r="CW634" s="4317"/>
      <c r="CX634" s="4317"/>
      <c r="CY634" s="4317"/>
      <c r="CZ634" s="4317"/>
      <c r="DA634" s="4317"/>
      <c r="DB634" s="4317"/>
      <c r="DC634" s="4317"/>
      <c r="DD634" s="4317"/>
      <c r="DE634" s="4317"/>
      <c r="DF634" s="4317"/>
      <c r="DG634" s="4317"/>
      <c r="DH634" s="4317"/>
      <c r="DI634" s="4317"/>
      <c r="DJ634" s="4317"/>
      <c r="DK634" s="4317"/>
      <c r="DL634" s="4317"/>
      <c r="DM634" s="4317"/>
      <c r="DN634" s="4317"/>
      <c r="DO634" s="4317"/>
      <c r="DP634" s="4317"/>
      <c r="DQ634" s="4317"/>
      <c r="DR634" s="4317"/>
      <c r="DS634" s="4317"/>
      <c r="DT634" s="4133"/>
      <c r="DU634" s="4133"/>
      <c r="DV634" s="4133"/>
      <c r="DW634" s="4133"/>
      <c r="DX634" s="4133"/>
      <c r="DY634" s="4133"/>
    </row>
    <row r="635" s="4134" customFormat="1" ht="16.5" customHeight="1" spans="1:129">
      <c r="A635" s="4659" t="s">
        <v>5294</v>
      </c>
      <c r="B635" s="4660"/>
      <c r="C635" s="4660"/>
      <c r="D635" s="4660"/>
      <c r="E635" s="4660"/>
      <c r="F635" s="4661">
        <f>SUM(F631:L634)</f>
        <v>0</v>
      </c>
      <c r="G635" s="4661"/>
      <c r="H635" s="4661"/>
      <c r="I635" s="4661"/>
      <c r="J635" s="4661"/>
      <c r="K635" s="4661"/>
      <c r="L635" s="4661"/>
      <c r="M635" s="4661">
        <f>SUM(M631:S634)</f>
        <v>0</v>
      </c>
      <c r="N635" s="4661"/>
      <c r="O635" s="4661"/>
      <c r="P635" s="4661"/>
      <c r="Q635" s="4661"/>
      <c r="R635" s="4661"/>
      <c r="S635" s="4661"/>
      <c r="T635" s="4317"/>
      <c r="U635" s="4653"/>
      <c r="V635" s="4322" t="s">
        <v>2879</v>
      </c>
      <c r="W635" s="4317"/>
      <c r="X635" s="4317"/>
      <c r="Y635" s="4653"/>
      <c r="Z635" s="4653"/>
      <c r="AA635" s="4653"/>
      <c r="AB635" s="4317"/>
      <c r="AC635" s="4295"/>
      <c r="AD635" s="4653"/>
      <c r="AE635" s="4653"/>
      <c r="AF635" s="4653"/>
      <c r="AG635" s="4317"/>
      <c r="AH635" s="4317"/>
      <c r="AI635" s="4317"/>
      <c r="AJ635" s="4317"/>
      <c r="AK635" s="4317"/>
      <c r="AL635" s="4317"/>
      <c r="AM635" s="4317"/>
      <c r="AN635" s="4317"/>
      <c r="AO635" s="4317"/>
      <c r="AP635" s="4317"/>
      <c r="AQ635" s="4317"/>
      <c r="AR635" s="4317"/>
      <c r="AS635" s="4317"/>
      <c r="AT635" s="4317"/>
      <c r="AU635" s="4317"/>
      <c r="AV635" s="4317"/>
      <c r="AW635" s="4317"/>
      <c r="AX635" s="4317"/>
      <c r="AY635" s="4317"/>
      <c r="AZ635" s="4317"/>
      <c r="BA635" s="4317"/>
      <c r="BB635" s="4317"/>
      <c r="BC635" s="4317"/>
      <c r="BD635" s="4317"/>
      <c r="BE635" s="4317"/>
      <c r="BF635" s="4317"/>
      <c r="BG635" s="4317"/>
      <c r="BH635" s="4317"/>
      <c r="BI635" s="4317"/>
      <c r="BJ635" s="4317"/>
      <c r="BK635" s="4317"/>
      <c r="BL635" s="4317"/>
      <c r="BM635" s="4317"/>
      <c r="BN635" s="4317"/>
      <c r="BO635" s="4317"/>
      <c r="BP635" s="4317"/>
      <c r="BQ635" s="4317"/>
      <c r="BR635" s="4317"/>
      <c r="BS635" s="4317"/>
      <c r="BT635" s="4317"/>
      <c r="BU635" s="4317"/>
      <c r="BV635" s="4317"/>
      <c r="BW635" s="4317"/>
      <c r="BX635" s="4317"/>
      <c r="BY635" s="4317"/>
      <c r="BZ635" s="4317"/>
      <c r="CA635" s="4317"/>
      <c r="CB635" s="4317"/>
      <c r="CC635" s="4317"/>
      <c r="CD635" s="4317"/>
      <c r="CE635" s="4317"/>
      <c r="CF635" s="4317"/>
      <c r="CG635" s="4317"/>
      <c r="CH635" s="4317"/>
      <c r="CI635" s="4317"/>
      <c r="CJ635" s="4317"/>
      <c r="CK635" s="4317"/>
      <c r="CL635" s="4317"/>
      <c r="CM635" s="4317"/>
      <c r="CN635" s="4317"/>
      <c r="CO635" s="4317"/>
      <c r="CP635" s="4317"/>
      <c r="CQ635" s="4317"/>
      <c r="CR635" s="4317"/>
      <c r="CS635" s="4317"/>
      <c r="CT635" s="4317"/>
      <c r="CU635" s="4317"/>
      <c r="CV635" s="4317"/>
      <c r="CW635" s="4317"/>
      <c r="CX635" s="4317"/>
      <c r="CY635" s="4317"/>
      <c r="CZ635" s="4317"/>
      <c r="DA635" s="4317"/>
      <c r="DB635" s="4317"/>
      <c r="DC635" s="4317"/>
      <c r="DD635" s="4317"/>
      <c r="DE635" s="4317"/>
      <c r="DF635" s="4317"/>
      <c r="DG635" s="4317"/>
      <c r="DH635" s="4317"/>
      <c r="DI635" s="4317"/>
      <c r="DJ635" s="4317"/>
      <c r="DK635" s="4317"/>
      <c r="DL635" s="4317"/>
      <c r="DM635" s="4317"/>
      <c r="DN635" s="4317"/>
      <c r="DO635" s="4317"/>
      <c r="DP635" s="4317"/>
      <c r="DQ635" s="4317"/>
      <c r="DR635" s="4317"/>
      <c r="DS635" s="4317"/>
      <c r="DT635" s="4133"/>
      <c r="DU635" s="4133"/>
      <c r="DV635" s="4133"/>
      <c r="DW635" s="4133"/>
      <c r="DX635" s="4133"/>
      <c r="DY635" s="4133"/>
    </row>
    <row r="636" s="4134" customFormat="1" ht="16.5" customHeight="1" spans="1:129">
      <c r="A636" s="4662" t="s">
        <v>5295</v>
      </c>
      <c r="B636" s="4663"/>
      <c r="C636" s="4663"/>
      <c r="D636" s="4663"/>
      <c r="E636" s="4663"/>
      <c r="F636" s="4534"/>
      <c r="G636" s="4535"/>
      <c r="H636" s="4535"/>
      <c r="I636" s="4535"/>
      <c r="J636" s="4535"/>
      <c r="K636" s="4535"/>
      <c r="L636" s="4536"/>
      <c r="M636" s="4534"/>
      <c r="N636" s="4535"/>
      <c r="O636" s="4535"/>
      <c r="P636" s="4535"/>
      <c r="Q636" s="4535"/>
      <c r="R636" s="4535"/>
      <c r="S636" s="4536"/>
      <c r="T636" s="4317"/>
      <c r="U636" s="4653"/>
      <c r="V636" s="4316" t="s">
        <v>5296</v>
      </c>
      <c r="W636" s="4317"/>
      <c r="X636" s="4317"/>
      <c r="Y636" s="4653"/>
      <c r="Z636" s="4653"/>
      <c r="AA636" s="4653"/>
      <c r="AB636" s="4317"/>
      <c r="AC636" s="4295"/>
      <c r="AD636" s="4653"/>
      <c r="AE636" s="4653"/>
      <c r="AF636" s="4653"/>
      <c r="AG636" s="4317"/>
      <c r="AH636" s="4317"/>
      <c r="AI636" s="4317"/>
      <c r="AJ636" s="4317"/>
      <c r="AK636" s="4317"/>
      <c r="AL636" s="4317"/>
      <c r="AM636" s="4317"/>
      <c r="AN636" s="4317"/>
      <c r="AO636" s="4317"/>
      <c r="AP636" s="4317"/>
      <c r="AQ636" s="4317"/>
      <c r="AR636" s="4317"/>
      <c r="AS636" s="4317"/>
      <c r="AT636" s="4317"/>
      <c r="AU636" s="4317"/>
      <c r="AV636" s="4317"/>
      <c r="AW636" s="4317"/>
      <c r="AX636" s="4317"/>
      <c r="AY636" s="4317"/>
      <c r="AZ636" s="4317"/>
      <c r="BA636" s="4317"/>
      <c r="BB636" s="4317"/>
      <c r="BC636" s="4317"/>
      <c r="BD636" s="4317"/>
      <c r="BE636" s="4317"/>
      <c r="BF636" s="4317"/>
      <c r="BG636" s="4317"/>
      <c r="BH636" s="4317"/>
      <c r="BI636" s="4317"/>
      <c r="BJ636" s="4317"/>
      <c r="BK636" s="4317"/>
      <c r="BL636" s="4317"/>
      <c r="BM636" s="4317"/>
      <c r="BN636" s="4317"/>
      <c r="BO636" s="4317"/>
      <c r="BP636" s="4317"/>
      <c r="BQ636" s="4317"/>
      <c r="BR636" s="4317"/>
      <c r="BS636" s="4317"/>
      <c r="BT636" s="4317"/>
      <c r="BU636" s="4317"/>
      <c r="BV636" s="4317"/>
      <c r="BW636" s="4317"/>
      <c r="BX636" s="4317"/>
      <c r="BY636" s="4317"/>
      <c r="BZ636" s="4317"/>
      <c r="CA636" s="4317"/>
      <c r="CB636" s="4317"/>
      <c r="CC636" s="4317"/>
      <c r="CD636" s="4317"/>
      <c r="CE636" s="4317"/>
      <c r="CF636" s="4317"/>
      <c r="CG636" s="4317"/>
      <c r="CH636" s="4317"/>
      <c r="CI636" s="4317"/>
      <c r="CJ636" s="4317"/>
      <c r="CK636" s="4317"/>
      <c r="CL636" s="4317"/>
      <c r="CM636" s="4317"/>
      <c r="CN636" s="4317"/>
      <c r="CO636" s="4317"/>
      <c r="CP636" s="4317"/>
      <c r="CQ636" s="4317"/>
      <c r="CR636" s="4317"/>
      <c r="CS636" s="4317"/>
      <c r="CT636" s="4317"/>
      <c r="CU636" s="4317"/>
      <c r="CV636" s="4317"/>
      <c r="CW636" s="4317"/>
      <c r="CX636" s="4317"/>
      <c r="CY636" s="4317"/>
      <c r="CZ636" s="4317"/>
      <c r="DA636" s="4317"/>
      <c r="DB636" s="4317"/>
      <c r="DC636" s="4317"/>
      <c r="DD636" s="4317"/>
      <c r="DE636" s="4317"/>
      <c r="DF636" s="4317"/>
      <c r="DG636" s="4317"/>
      <c r="DH636" s="4317"/>
      <c r="DI636" s="4317"/>
      <c r="DJ636" s="4317"/>
      <c r="DK636" s="4317"/>
      <c r="DL636" s="4317"/>
      <c r="DM636" s="4317"/>
      <c r="DN636" s="4317"/>
      <c r="DO636" s="4317"/>
      <c r="DP636" s="4317"/>
      <c r="DQ636" s="4317"/>
      <c r="DR636" s="4317"/>
      <c r="DS636" s="4317"/>
      <c r="DT636" s="4133"/>
      <c r="DU636" s="4133"/>
      <c r="DV636" s="4133"/>
      <c r="DW636" s="4133"/>
      <c r="DX636" s="4133"/>
      <c r="DY636" s="4133"/>
    </row>
    <row r="637" s="4134" customFormat="1" ht="16.5" customHeight="1" spans="1:129">
      <c r="A637" s="4662" t="s">
        <v>5297</v>
      </c>
      <c r="B637" s="4663"/>
      <c r="C637" s="4663"/>
      <c r="D637" s="4663"/>
      <c r="E637" s="4663"/>
      <c r="F637" s="4534"/>
      <c r="G637" s="4535"/>
      <c r="H637" s="4535"/>
      <c r="I637" s="4535"/>
      <c r="J637" s="4535"/>
      <c r="K637" s="4535"/>
      <c r="L637" s="4536"/>
      <c r="M637" s="4534"/>
      <c r="N637" s="4535"/>
      <c r="O637" s="4535"/>
      <c r="P637" s="4535"/>
      <c r="Q637" s="4535"/>
      <c r="R637" s="4535"/>
      <c r="S637" s="4536"/>
      <c r="T637" s="4317"/>
      <c r="U637" s="4653"/>
      <c r="V637" s="4316" t="s">
        <v>5298</v>
      </c>
      <c r="W637" s="4317"/>
      <c r="X637" s="4317"/>
      <c r="Y637" s="4653"/>
      <c r="Z637" s="4653"/>
      <c r="AA637" s="4653"/>
      <c r="AB637" s="4317"/>
      <c r="AC637" s="4295"/>
      <c r="AD637" s="4653"/>
      <c r="AE637" s="4653"/>
      <c r="AF637" s="4653"/>
      <c r="AG637" s="4317"/>
      <c r="AH637" s="4317"/>
      <c r="AI637" s="4317"/>
      <c r="AJ637" s="4317"/>
      <c r="AK637" s="4317"/>
      <c r="AL637" s="4317"/>
      <c r="AM637" s="4317"/>
      <c r="AN637" s="4317"/>
      <c r="AO637" s="4317"/>
      <c r="AP637" s="4317"/>
      <c r="AQ637" s="4317"/>
      <c r="AR637" s="4317"/>
      <c r="AS637" s="4317"/>
      <c r="AT637" s="4317"/>
      <c r="AU637" s="4317"/>
      <c r="AV637" s="4317"/>
      <c r="AW637" s="4317"/>
      <c r="AX637" s="4317"/>
      <c r="AY637" s="4317"/>
      <c r="AZ637" s="4317"/>
      <c r="BA637" s="4317"/>
      <c r="BB637" s="4317"/>
      <c r="BC637" s="4317"/>
      <c r="BD637" s="4317"/>
      <c r="BE637" s="4317"/>
      <c r="BF637" s="4317"/>
      <c r="BG637" s="4317"/>
      <c r="BH637" s="4317"/>
      <c r="BI637" s="4317"/>
      <c r="BJ637" s="4317"/>
      <c r="BK637" s="4317"/>
      <c r="BL637" s="4317"/>
      <c r="BM637" s="4317"/>
      <c r="BN637" s="4317"/>
      <c r="BO637" s="4317"/>
      <c r="BP637" s="4317"/>
      <c r="BQ637" s="4317"/>
      <c r="BR637" s="4317"/>
      <c r="BS637" s="4317"/>
      <c r="BT637" s="4317"/>
      <c r="BU637" s="4317"/>
      <c r="BV637" s="4317"/>
      <c r="BW637" s="4317"/>
      <c r="BX637" s="4317"/>
      <c r="BY637" s="4317"/>
      <c r="BZ637" s="4317"/>
      <c r="CA637" s="4317"/>
      <c r="CB637" s="4317"/>
      <c r="CC637" s="4317"/>
      <c r="CD637" s="4317"/>
      <c r="CE637" s="4317"/>
      <c r="CF637" s="4317"/>
      <c r="CG637" s="4317"/>
      <c r="CH637" s="4317"/>
      <c r="CI637" s="4317"/>
      <c r="CJ637" s="4317"/>
      <c r="CK637" s="4317"/>
      <c r="CL637" s="4317"/>
      <c r="CM637" s="4317"/>
      <c r="CN637" s="4317"/>
      <c r="CO637" s="4317"/>
      <c r="CP637" s="4317"/>
      <c r="CQ637" s="4317"/>
      <c r="CR637" s="4317"/>
      <c r="CS637" s="4317"/>
      <c r="CT637" s="4317"/>
      <c r="CU637" s="4317"/>
      <c r="CV637" s="4317"/>
      <c r="CW637" s="4317"/>
      <c r="CX637" s="4317"/>
      <c r="CY637" s="4317"/>
      <c r="CZ637" s="4317"/>
      <c r="DA637" s="4317"/>
      <c r="DB637" s="4317"/>
      <c r="DC637" s="4317"/>
      <c r="DD637" s="4317"/>
      <c r="DE637" s="4317"/>
      <c r="DF637" s="4317"/>
      <c r="DG637" s="4317"/>
      <c r="DH637" s="4317"/>
      <c r="DI637" s="4317"/>
      <c r="DJ637" s="4317"/>
      <c r="DK637" s="4317"/>
      <c r="DL637" s="4317"/>
      <c r="DM637" s="4317"/>
      <c r="DN637" s="4317"/>
      <c r="DO637" s="4317"/>
      <c r="DP637" s="4317"/>
      <c r="DQ637" s="4317"/>
      <c r="DR637" s="4317"/>
      <c r="DS637" s="4317"/>
      <c r="DT637" s="4133"/>
      <c r="DU637" s="4133"/>
      <c r="DV637" s="4133"/>
      <c r="DW637" s="4133"/>
      <c r="DX637" s="4133"/>
      <c r="DY637" s="4133"/>
    </row>
    <row r="638" s="4134" customFormat="1" ht="16.5" customHeight="1" spans="1:129">
      <c r="A638" s="4662" t="s">
        <v>5299</v>
      </c>
      <c r="B638" s="4663"/>
      <c r="C638" s="4663"/>
      <c r="D638" s="4663"/>
      <c r="E638" s="4663"/>
      <c r="F638" s="4534"/>
      <c r="G638" s="4535"/>
      <c r="H638" s="4535"/>
      <c r="I638" s="4535"/>
      <c r="J638" s="4535"/>
      <c r="K638" s="4535"/>
      <c r="L638" s="4536"/>
      <c r="M638" s="4534"/>
      <c r="N638" s="4535"/>
      <c r="O638" s="4535"/>
      <c r="P638" s="4535"/>
      <c r="Q638" s="4535"/>
      <c r="R638" s="4535"/>
      <c r="S638" s="4536"/>
      <c r="T638" s="4317"/>
      <c r="U638" s="4653"/>
      <c r="V638" s="4316" t="s">
        <v>3086</v>
      </c>
      <c r="W638" s="4317"/>
      <c r="X638" s="4317"/>
      <c r="Y638" s="4653"/>
      <c r="Z638" s="4653"/>
      <c r="AA638" s="4653"/>
      <c r="AB638" s="4317"/>
      <c r="AC638" s="4295"/>
      <c r="AD638" s="4653"/>
      <c r="AE638" s="4653"/>
      <c r="AF638" s="4653"/>
      <c r="AG638" s="4317"/>
      <c r="AH638" s="4317"/>
      <c r="AI638" s="4317"/>
      <c r="AJ638" s="4317"/>
      <c r="AK638" s="4317"/>
      <c r="AL638" s="4317"/>
      <c r="AM638" s="4317"/>
      <c r="AN638" s="4317"/>
      <c r="AO638" s="4317"/>
      <c r="AP638" s="4317"/>
      <c r="AQ638" s="4317"/>
      <c r="AR638" s="4317"/>
      <c r="AS638" s="4317"/>
      <c r="AT638" s="4317"/>
      <c r="AU638" s="4317"/>
      <c r="AV638" s="4317"/>
      <c r="AW638" s="4317"/>
      <c r="AX638" s="4317"/>
      <c r="AY638" s="4317"/>
      <c r="AZ638" s="4317"/>
      <c r="BA638" s="4317"/>
      <c r="BB638" s="4317"/>
      <c r="BC638" s="4317"/>
      <c r="BD638" s="4317"/>
      <c r="BE638" s="4317"/>
      <c r="BF638" s="4317"/>
      <c r="BG638" s="4317"/>
      <c r="BH638" s="4317"/>
      <c r="BI638" s="4317"/>
      <c r="BJ638" s="4317"/>
      <c r="BK638" s="4317"/>
      <c r="BL638" s="4317"/>
      <c r="BM638" s="4317"/>
      <c r="BN638" s="4317"/>
      <c r="BO638" s="4317"/>
      <c r="BP638" s="4317"/>
      <c r="BQ638" s="4317"/>
      <c r="BR638" s="4317"/>
      <c r="BS638" s="4317"/>
      <c r="BT638" s="4317"/>
      <c r="BU638" s="4317"/>
      <c r="BV638" s="4317"/>
      <c r="BW638" s="4317"/>
      <c r="BX638" s="4317"/>
      <c r="BY638" s="4317"/>
      <c r="BZ638" s="4317"/>
      <c r="CA638" s="4317"/>
      <c r="CB638" s="4317"/>
      <c r="CC638" s="4317"/>
      <c r="CD638" s="4317"/>
      <c r="CE638" s="4317"/>
      <c r="CF638" s="4317"/>
      <c r="CG638" s="4317"/>
      <c r="CH638" s="4317"/>
      <c r="CI638" s="4317"/>
      <c r="CJ638" s="4317"/>
      <c r="CK638" s="4317"/>
      <c r="CL638" s="4317"/>
      <c r="CM638" s="4317"/>
      <c r="CN638" s="4317"/>
      <c r="CO638" s="4317"/>
      <c r="CP638" s="4317"/>
      <c r="CQ638" s="4317"/>
      <c r="CR638" s="4317"/>
      <c r="CS638" s="4317"/>
      <c r="CT638" s="4317"/>
      <c r="CU638" s="4317"/>
      <c r="CV638" s="4317"/>
      <c r="CW638" s="4317"/>
      <c r="CX638" s="4317"/>
      <c r="CY638" s="4317"/>
      <c r="CZ638" s="4317"/>
      <c r="DA638" s="4317"/>
      <c r="DB638" s="4317"/>
      <c r="DC638" s="4317"/>
      <c r="DD638" s="4317"/>
      <c r="DE638" s="4317"/>
      <c r="DF638" s="4317"/>
      <c r="DG638" s="4317"/>
      <c r="DH638" s="4317"/>
      <c r="DI638" s="4317"/>
      <c r="DJ638" s="4317"/>
      <c r="DK638" s="4317"/>
      <c r="DL638" s="4317"/>
      <c r="DM638" s="4317"/>
      <c r="DN638" s="4317"/>
      <c r="DO638" s="4317"/>
      <c r="DP638" s="4317"/>
      <c r="DQ638" s="4317"/>
      <c r="DR638" s="4317"/>
      <c r="DS638" s="4317"/>
      <c r="DT638" s="4133"/>
      <c r="DU638" s="4133"/>
      <c r="DV638" s="4133"/>
      <c r="DW638" s="4133"/>
      <c r="DX638" s="4133"/>
      <c r="DY638" s="4133"/>
    </row>
    <row r="639" s="4134" customFormat="1" ht="16.5" customHeight="1" spans="1:129">
      <c r="A639" s="4657" t="s">
        <v>826</v>
      </c>
      <c r="B639" s="4567"/>
      <c r="C639" s="4567"/>
      <c r="D639" s="4567"/>
      <c r="E639" s="4567"/>
      <c r="F639" s="4664">
        <f>SUM(F636:L638)</f>
        <v>0</v>
      </c>
      <c r="G639" s="4664"/>
      <c r="H639" s="4664"/>
      <c r="I639" s="4664"/>
      <c r="J639" s="4664"/>
      <c r="K639" s="4664"/>
      <c r="L639" s="4664"/>
      <c r="M639" s="4664">
        <f>SUM(M636:S638)</f>
        <v>0</v>
      </c>
      <c r="N639" s="4664"/>
      <c r="O639" s="4664"/>
      <c r="P639" s="4664"/>
      <c r="Q639" s="4664"/>
      <c r="R639" s="4664"/>
      <c r="S639" s="4664"/>
      <c r="T639" s="4317"/>
      <c r="U639" s="4653"/>
      <c r="V639" s="4316" t="s">
        <v>5300</v>
      </c>
      <c r="W639" s="4317"/>
      <c r="X639" s="4317"/>
      <c r="Y639" s="4653"/>
      <c r="Z639" s="4653"/>
      <c r="AA639" s="4653"/>
      <c r="AB639" s="4317"/>
      <c r="AC639" s="4295"/>
      <c r="AD639" s="4653"/>
      <c r="AE639" s="4653"/>
      <c r="AF639" s="4653"/>
      <c r="AG639" s="4317"/>
      <c r="AH639" s="4317"/>
      <c r="AI639" s="4317"/>
      <c r="AJ639" s="4317"/>
      <c r="AK639" s="4317"/>
      <c r="AL639" s="4317"/>
      <c r="AM639" s="4317"/>
      <c r="AN639" s="4317"/>
      <c r="AO639" s="4317"/>
      <c r="AP639" s="4317"/>
      <c r="AQ639" s="4317"/>
      <c r="AR639" s="4317"/>
      <c r="AS639" s="4317"/>
      <c r="AT639" s="4317"/>
      <c r="AU639" s="4317"/>
      <c r="AV639" s="4317"/>
      <c r="AW639" s="4317"/>
      <c r="AX639" s="4317"/>
      <c r="AY639" s="4317"/>
      <c r="AZ639" s="4317"/>
      <c r="BA639" s="4317"/>
      <c r="BB639" s="4317"/>
      <c r="BC639" s="4317"/>
      <c r="BD639" s="4317"/>
      <c r="BE639" s="4317"/>
      <c r="BF639" s="4317"/>
      <c r="BG639" s="4317"/>
      <c r="BH639" s="4317"/>
      <c r="BI639" s="4317"/>
      <c r="BJ639" s="4317"/>
      <c r="BK639" s="4317"/>
      <c r="BL639" s="4317"/>
      <c r="BM639" s="4317"/>
      <c r="BN639" s="4317"/>
      <c r="BO639" s="4317"/>
      <c r="BP639" s="4317"/>
      <c r="BQ639" s="4317"/>
      <c r="BR639" s="4317"/>
      <c r="BS639" s="4317"/>
      <c r="BT639" s="4317"/>
      <c r="BU639" s="4317"/>
      <c r="BV639" s="4317"/>
      <c r="BW639" s="4317"/>
      <c r="BX639" s="4317"/>
      <c r="BY639" s="4317"/>
      <c r="BZ639" s="4317"/>
      <c r="CA639" s="4317"/>
      <c r="CB639" s="4317"/>
      <c r="CC639" s="4317"/>
      <c r="CD639" s="4317"/>
      <c r="CE639" s="4317"/>
      <c r="CF639" s="4317"/>
      <c r="CG639" s="4317"/>
      <c r="CH639" s="4317"/>
      <c r="CI639" s="4317"/>
      <c r="CJ639" s="4317"/>
      <c r="CK639" s="4317"/>
      <c r="CL639" s="4317"/>
      <c r="CM639" s="4317"/>
      <c r="CN639" s="4317"/>
      <c r="CO639" s="4317"/>
      <c r="CP639" s="4317"/>
      <c r="CQ639" s="4317"/>
      <c r="CR639" s="4317"/>
      <c r="CS639" s="4317"/>
      <c r="CT639" s="4317"/>
      <c r="CU639" s="4317"/>
      <c r="CV639" s="4317"/>
      <c r="CW639" s="4317"/>
      <c r="CX639" s="4317"/>
      <c r="CY639" s="4317"/>
      <c r="CZ639" s="4317"/>
      <c r="DA639" s="4317"/>
      <c r="DB639" s="4317"/>
      <c r="DC639" s="4317"/>
      <c r="DD639" s="4317"/>
      <c r="DE639" s="4317"/>
      <c r="DF639" s="4317"/>
      <c r="DG639" s="4317"/>
      <c r="DH639" s="4317"/>
      <c r="DI639" s="4317"/>
      <c r="DJ639" s="4317"/>
      <c r="DK639" s="4317"/>
      <c r="DL639" s="4317"/>
      <c r="DM639" s="4317"/>
      <c r="DN639" s="4317"/>
      <c r="DO639" s="4317"/>
      <c r="DP639" s="4317"/>
      <c r="DQ639" s="4317"/>
      <c r="DR639" s="4317"/>
      <c r="DS639" s="4317"/>
      <c r="DT639" s="4133"/>
      <c r="DU639" s="4133"/>
      <c r="DV639" s="4133"/>
      <c r="DW639" s="4133"/>
      <c r="DX639" s="4133"/>
      <c r="DY639" s="4133"/>
    </row>
    <row r="640" s="4134" customFormat="1" ht="16.5" customHeight="1" spans="1:129">
      <c r="A640" s="4662" t="s">
        <v>5301</v>
      </c>
      <c r="B640" s="4663"/>
      <c r="C640" s="4663"/>
      <c r="D640" s="4663"/>
      <c r="E640" s="4663"/>
      <c r="F640" s="4534"/>
      <c r="G640" s="4535"/>
      <c r="H640" s="4535"/>
      <c r="I640" s="4535"/>
      <c r="J640" s="4535"/>
      <c r="K640" s="4535"/>
      <c r="L640" s="4536"/>
      <c r="M640" s="4534"/>
      <c r="N640" s="4535"/>
      <c r="O640" s="4535"/>
      <c r="P640" s="4535"/>
      <c r="Q640" s="4535"/>
      <c r="R640" s="4535"/>
      <c r="S640" s="4536"/>
      <c r="T640" s="4317"/>
      <c r="U640" s="4653"/>
      <c r="V640" s="4316" t="s">
        <v>5302</v>
      </c>
      <c r="W640" s="4317"/>
      <c r="X640" s="4317"/>
      <c r="Y640" s="4653"/>
      <c r="Z640" s="4653"/>
      <c r="AA640" s="4653"/>
      <c r="AB640" s="4317"/>
      <c r="AC640" s="4295"/>
      <c r="AD640" s="4653"/>
      <c r="AE640" s="4653"/>
      <c r="AF640" s="4653"/>
      <c r="AG640" s="4317"/>
      <c r="AH640" s="4317"/>
      <c r="AI640" s="4317"/>
      <c r="AJ640" s="4317"/>
      <c r="AK640" s="4317"/>
      <c r="AL640" s="4317"/>
      <c r="AM640" s="4317"/>
      <c r="AN640" s="4317"/>
      <c r="AO640" s="4317"/>
      <c r="AP640" s="4317"/>
      <c r="AQ640" s="4317"/>
      <c r="AR640" s="4317"/>
      <c r="AS640" s="4317"/>
      <c r="AT640" s="4317"/>
      <c r="AU640" s="4317"/>
      <c r="AV640" s="4317"/>
      <c r="AW640" s="4317"/>
      <c r="AX640" s="4317"/>
      <c r="AY640" s="4317"/>
      <c r="AZ640" s="4317"/>
      <c r="BA640" s="4317"/>
      <c r="BB640" s="4317"/>
      <c r="BC640" s="4317"/>
      <c r="BD640" s="4317"/>
      <c r="BE640" s="4317"/>
      <c r="BF640" s="4317"/>
      <c r="BG640" s="4317"/>
      <c r="BH640" s="4317"/>
      <c r="BI640" s="4317"/>
      <c r="BJ640" s="4317"/>
      <c r="BK640" s="4317"/>
      <c r="BL640" s="4317"/>
      <c r="BM640" s="4317"/>
      <c r="BN640" s="4317"/>
      <c r="BO640" s="4317"/>
      <c r="BP640" s="4317"/>
      <c r="BQ640" s="4317"/>
      <c r="BR640" s="4317"/>
      <c r="BS640" s="4317"/>
      <c r="BT640" s="4317"/>
      <c r="BU640" s="4317"/>
      <c r="BV640" s="4317"/>
      <c r="BW640" s="4317"/>
      <c r="BX640" s="4317"/>
      <c r="BY640" s="4317"/>
      <c r="BZ640" s="4317"/>
      <c r="CA640" s="4317"/>
      <c r="CB640" s="4317"/>
      <c r="CC640" s="4317"/>
      <c r="CD640" s="4317"/>
      <c r="CE640" s="4317"/>
      <c r="CF640" s="4317"/>
      <c r="CG640" s="4317"/>
      <c r="CH640" s="4317"/>
      <c r="CI640" s="4317"/>
      <c r="CJ640" s="4317"/>
      <c r="CK640" s="4317"/>
      <c r="CL640" s="4317"/>
      <c r="CM640" s="4317"/>
      <c r="CN640" s="4317"/>
      <c r="CO640" s="4317"/>
      <c r="CP640" s="4317"/>
      <c r="CQ640" s="4317"/>
      <c r="CR640" s="4317"/>
      <c r="CS640" s="4317"/>
      <c r="CT640" s="4317"/>
      <c r="CU640" s="4317"/>
      <c r="CV640" s="4317"/>
      <c r="CW640" s="4317"/>
      <c r="CX640" s="4317"/>
      <c r="CY640" s="4317"/>
      <c r="CZ640" s="4317"/>
      <c r="DA640" s="4317"/>
      <c r="DB640" s="4317"/>
      <c r="DC640" s="4317"/>
      <c r="DD640" s="4317"/>
      <c r="DE640" s="4317"/>
      <c r="DF640" s="4317"/>
      <c r="DG640" s="4317"/>
      <c r="DH640" s="4317"/>
      <c r="DI640" s="4317"/>
      <c r="DJ640" s="4317"/>
      <c r="DK640" s="4317"/>
      <c r="DL640" s="4317"/>
      <c r="DM640" s="4317"/>
      <c r="DN640" s="4317"/>
      <c r="DO640" s="4317"/>
      <c r="DP640" s="4317"/>
      <c r="DQ640" s="4317"/>
      <c r="DR640" s="4317"/>
      <c r="DS640" s="4317"/>
      <c r="DT640" s="4133"/>
      <c r="DU640" s="4133"/>
      <c r="DV640" s="4133"/>
      <c r="DW640" s="4133"/>
      <c r="DX640" s="4133"/>
      <c r="DY640" s="4133"/>
    </row>
    <row r="641" s="4134" customFormat="1" ht="16.5" customHeight="1" spans="1:129">
      <c r="A641" s="4662" t="s">
        <v>5303</v>
      </c>
      <c r="B641" s="4663"/>
      <c r="C641" s="4663"/>
      <c r="D641" s="4663"/>
      <c r="E641" s="4663"/>
      <c r="F641" s="4534"/>
      <c r="G641" s="4535"/>
      <c r="H641" s="4535"/>
      <c r="I641" s="4535"/>
      <c r="J641" s="4535"/>
      <c r="K641" s="4535"/>
      <c r="L641" s="4536"/>
      <c r="M641" s="4534"/>
      <c r="N641" s="4535"/>
      <c r="O641" s="4535"/>
      <c r="P641" s="4535"/>
      <c r="Q641" s="4535"/>
      <c r="R641" s="4535"/>
      <c r="S641" s="4536"/>
      <c r="T641" s="4317"/>
      <c r="U641" s="4653"/>
      <c r="V641" s="4316" t="s">
        <v>5304</v>
      </c>
      <c r="W641" s="4317"/>
      <c r="X641" s="4317"/>
      <c r="Y641" s="4653"/>
      <c r="Z641" s="4653"/>
      <c r="AA641" s="4653"/>
      <c r="AB641" s="4317"/>
      <c r="AC641" s="4295"/>
      <c r="AD641" s="4653"/>
      <c r="AE641" s="4653"/>
      <c r="AF641" s="4653"/>
      <c r="AG641" s="4317"/>
      <c r="AH641" s="4317"/>
      <c r="AI641" s="4317"/>
      <c r="AJ641" s="4317"/>
      <c r="AK641" s="4317"/>
      <c r="AL641" s="4317"/>
      <c r="AM641" s="4317"/>
      <c r="AN641" s="4317"/>
      <c r="AO641" s="4317"/>
      <c r="AP641" s="4317"/>
      <c r="AQ641" s="4317"/>
      <c r="AR641" s="4317"/>
      <c r="AS641" s="4317"/>
      <c r="AT641" s="4317"/>
      <c r="AU641" s="4317"/>
      <c r="AV641" s="4317"/>
      <c r="AW641" s="4317"/>
      <c r="AX641" s="4317"/>
      <c r="AY641" s="4317"/>
      <c r="AZ641" s="4317"/>
      <c r="BA641" s="4317"/>
      <c r="BB641" s="4317"/>
      <c r="BC641" s="4317"/>
      <c r="BD641" s="4317"/>
      <c r="BE641" s="4317"/>
      <c r="BF641" s="4317"/>
      <c r="BG641" s="4317"/>
      <c r="BH641" s="4317"/>
      <c r="BI641" s="4317"/>
      <c r="BJ641" s="4317"/>
      <c r="BK641" s="4317"/>
      <c r="BL641" s="4317"/>
      <c r="BM641" s="4317"/>
      <c r="BN641" s="4317"/>
      <c r="BO641" s="4317"/>
      <c r="BP641" s="4317"/>
      <c r="BQ641" s="4317"/>
      <c r="BR641" s="4317"/>
      <c r="BS641" s="4317"/>
      <c r="BT641" s="4317"/>
      <c r="BU641" s="4317"/>
      <c r="BV641" s="4317"/>
      <c r="BW641" s="4317"/>
      <c r="BX641" s="4317"/>
      <c r="BY641" s="4317"/>
      <c r="BZ641" s="4317"/>
      <c r="CA641" s="4317"/>
      <c r="CB641" s="4317"/>
      <c r="CC641" s="4317"/>
      <c r="CD641" s="4317"/>
      <c r="CE641" s="4317"/>
      <c r="CF641" s="4317"/>
      <c r="CG641" s="4317"/>
      <c r="CH641" s="4317"/>
      <c r="CI641" s="4317"/>
      <c r="CJ641" s="4317"/>
      <c r="CK641" s="4317"/>
      <c r="CL641" s="4317"/>
      <c r="CM641" s="4317"/>
      <c r="CN641" s="4317"/>
      <c r="CO641" s="4317"/>
      <c r="CP641" s="4317"/>
      <c r="CQ641" s="4317"/>
      <c r="CR641" s="4317"/>
      <c r="CS641" s="4317"/>
      <c r="CT641" s="4317"/>
      <c r="CU641" s="4317"/>
      <c r="CV641" s="4317"/>
      <c r="CW641" s="4317"/>
      <c r="CX641" s="4317"/>
      <c r="CY641" s="4317"/>
      <c r="CZ641" s="4317"/>
      <c r="DA641" s="4317"/>
      <c r="DB641" s="4317"/>
      <c r="DC641" s="4317"/>
      <c r="DD641" s="4317"/>
      <c r="DE641" s="4317"/>
      <c r="DF641" s="4317"/>
      <c r="DG641" s="4317"/>
      <c r="DH641" s="4317"/>
      <c r="DI641" s="4317"/>
      <c r="DJ641" s="4317"/>
      <c r="DK641" s="4317"/>
      <c r="DL641" s="4317"/>
      <c r="DM641" s="4317"/>
      <c r="DN641" s="4317"/>
      <c r="DO641" s="4317"/>
      <c r="DP641" s="4317"/>
      <c r="DQ641" s="4317"/>
      <c r="DR641" s="4317"/>
      <c r="DS641" s="4317"/>
      <c r="DT641" s="4133"/>
      <c r="DU641" s="4133"/>
      <c r="DV641" s="4133"/>
      <c r="DW641" s="4133"/>
      <c r="DX641" s="4133"/>
      <c r="DY641" s="4133"/>
    </row>
    <row r="642" s="4134" customFormat="1" ht="16.5" customHeight="1" spans="1:129">
      <c r="A642" s="4662" t="s">
        <v>5305</v>
      </c>
      <c r="B642" s="4663"/>
      <c r="C642" s="4663"/>
      <c r="D642" s="4663"/>
      <c r="E642" s="4663"/>
      <c r="F642" s="4534"/>
      <c r="G642" s="4535"/>
      <c r="H642" s="4535"/>
      <c r="I642" s="4535"/>
      <c r="J642" s="4535"/>
      <c r="K642" s="4535"/>
      <c r="L642" s="4536"/>
      <c r="M642" s="4534"/>
      <c r="N642" s="4535"/>
      <c r="O642" s="4535"/>
      <c r="P642" s="4535"/>
      <c r="Q642" s="4535"/>
      <c r="R642" s="4535"/>
      <c r="S642" s="4536"/>
      <c r="T642" s="4317"/>
      <c r="U642" s="4653"/>
      <c r="V642" s="4316" t="s">
        <v>5306</v>
      </c>
      <c r="W642" s="4317"/>
      <c r="X642" s="4317"/>
      <c r="Y642" s="4653"/>
      <c r="Z642" s="4653"/>
      <c r="AA642" s="4653"/>
      <c r="AB642" s="4317"/>
      <c r="AC642" s="4295"/>
      <c r="AD642" s="4653"/>
      <c r="AE642" s="4653"/>
      <c r="AF642" s="4653"/>
      <c r="AG642" s="4317"/>
      <c r="AH642" s="4317"/>
      <c r="AI642" s="4317"/>
      <c r="AJ642" s="4317"/>
      <c r="AK642" s="4317"/>
      <c r="AL642" s="4317"/>
      <c r="AM642" s="4317"/>
      <c r="AN642" s="4317"/>
      <c r="AO642" s="4317"/>
      <c r="AP642" s="4317"/>
      <c r="AQ642" s="4317"/>
      <c r="AR642" s="4317"/>
      <c r="AS642" s="4317"/>
      <c r="AT642" s="4317"/>
      <c r="AU642" s="4317"/>
      <c r="AV642" s="4317"/>
      <c r="AW642" s="4317"/>
      <c r="AX642" s="4317"/>
      <c r="AY642" s="4317"/>
      <c r="AZ642" s="4317"/>
      <c r="BA642" s="4317"/>
      <c r="BB642" s="4317"/>
      <c r="BC642" s="4317"/>
      <c r="BD642" s="4317"/>
      <c r="BE642" s="4317"/>
      <c r="BF642" s="4317"/>
      <c r="BG642" s="4317"/>
      <c r="BH642" s="4317"/>
      <c r="BI642" s="4317"/>
      <c r="BJ642" s="4317"/>
      <c r="BK642" s="4317"/>
      <c r="BL642" s="4317"/>
      <c r="BM642" s="4317"/>
      <c r="BN642" s="4317"/>
      <c r="BO642" s="4317"/>
      <c r="BP642" s="4317"/>
      <c r="BQ642" s="4317"/>
      <c r="BR642" s="4317"/>
      <c r="BS642" s="4317"/>
      <c r="BT642" s="4317"/>
      <c r="BU642" s="4317"/>
      <c r="BV642" s="4317"/>
      <c r="BW642" s="4317"/>
      <c r="BX642" s="4317"/>
      <c r="BY642" s="4317"/>
      <c r="BZ642" s="4317"/>
      <c r="CA642" s="4317"/>
      <c r="CB642" s="4317"/>
      <c r="CC642" s="4317"/>
      <c r="CD642" s="4317"/>
      <c r="CE642" s="4317"/>
      <c r="CF642" s="4317"/>
      <c r="CG642" s="4317"/>
      <c r="CH642" s="4317"/>
      <c r="CI642" s="4317"/>
      <c r="CJ642" s="4317"/>
      <c r="CK642" s="4317"/>
      <c r="CL642" s="4317"/>
      <c r="CM642" s="4317"/>
      <c r="CN642" s="4317"/>
      <c r="CO642" s="4317"/>
      <c r="CP642" s="4317"/>
      <c r="CQ642" s="4317"/>
      <c r="CR642" s="4317"/>
      <c r="CS642" s="4317"/>
      <c r="CT642" s="4317"/>
      <c r="CU642" s="4317"/>
      <c r="CV642" s="4317"/>
      <c r="CW642" s="4317"/>
      <c r="CX642" s="4317"/>
      <c r="CY642" s="4317"/>
      <c r="CZ642" s="4317"/>
      <c r="DA642" s="4317"/>
      <c r="DB642" s="4317"/>
      <c r="DC642" s="4317"/>
      <c r="DD642" s="4317"/>
      <c r="DE642" s="4317"/>
      <c r="DF642" s="4317"/>
      <c r="DG642" s="4317"/>
      <c r="DH642" s="4317"/>
      <c r="DI642" s="4317"/>
      <c r="DJ642" s="4317"/>
      <c r="DK642" s="4317"/>
      <c r="DL642" s="4317"/>
      <c r="DM642" s="4317"/>
      <c r="DN642" s="4317"/>
      <c r="DO642" s="4317"/>
      <c r="DP642" s="4317"/>
      <c r="DQ642" s="4317"/>
      <c r="DR642" s="4317"/>
      <c r="DS642" s="4317"/>
      <c r="DT642" s="4133"/>
      <c r="DU642" s="4133"/>
      <c r="DV642" s="4133"/>
      <c r="DW642" s="4133"/>
      <c r="DX642" s="4133"/>
      <c r="DY642" s="4133"/>
    </row>
    <row r="643" s="4134" customFormat="1" ht="16.5" customHeight="1" spans="1:129">
      <c r="A643" s="4662" t="s">
        <v>5307</v>
      </c>
      <c r="B643" s="4663"/>
      <c r="C643" s="4663"/>
      <c r="D643" s="4663"/>
      <c r="E643" s="4663"/>
      <c r="F643" s="4534"/>
      <c r="G643" s="4535"/>
      <c r="H643" s="4535"/>
      <c r="I643" s="4535"/>
      <c r="J643" s="4535"/>
      <c r="K643" s="4535"/>
      <c r="L643" s="4536"/>
      <c r="M643" s="4534"/>
      <c r="N643" s="4535"/>
      <c r="O643" s="4535"/>
      <c r="P643" s="4535"/>
      <c r="Q643" s="4535"/>
      <c r="R643" s="4535"/>
      <c r="S643" s="4536"/>
      <c r="T643" s="4317"/>
      <c r="U643" s="4653"/>
      <c r="V643" s="4316" t="s">
        <v>5308</v>
      </c>
      <c r="W643" s="4317"/>
      <c r="X643" s="4317"/>
      <c r="Y643" s="4653"/>
      <c r="Z643" s="4653"/>
      <c r="AA643" s="4653"/>
      <c r="AB643" s="4317"/>
      <c r="AC643" s="4295"/>
      <c r="AD643" s="4653"/>
      <c r="AE643" s="4653"/>
      <c r="AF643" s="4653"/>
      <c r="AG643" s="4317"/>
      <c r="AH643" s="4317"/>
      <c r="AI643" s="4317"/>
      <c r="AJ643" s="4317"/>
      <c r="AK643" s="4317"/>
      <c r="AL643" s="4317"/>
      <c r="AM643" s="4317"/>
      <c r="AN643" s="4317"/>
      <c r="AO643" s="4317"/>
      <c r="AP643" s="4317"/>
      <c r="AQ643" s="4317"/>
      <c r="AR643" s="4317"/>
      <c r="AS643" s="4317"/>
      <c r="AT643" s="4317"/>
      <c r="AU643" s="4317"/>
      <c r="AV643" s="4317"/>
      <c r="AW643" s="4317"/>
      <c r="AX643" s="4317"/>
      <c r="AY643" s="4317"/>
      <c r="AZ643" s="4317"/>
      <c r="BA643" s="4317"/>
      <c r="BB643" s="4317"/>
      <c r="BC643" s="4317"/>
      <c r="BD643" s="4317"/>
      <c r="BE643" s="4317"/>
      <c r="BF643" s="4317"/>
      <c r="BG643" s="4317"/>
      <c r="BH643" s="4317"/>
      <c r="BI643" s="4317"/>
      <c r="BJ643" s="4317"/>
      <c r="BK643" s="4317"/>
      <c r="BL643" s="4317"/>
      <c r="BM643" s="4317"/>
      <c r="BN643" s="4317"/>
      <c r="BO643" s="4317"/>
      <c r="BP643" s="4317"/>
      <c r="BQ643" s="4317"/>
      <c r="BR643" s="4317"/>
      <c r="BS643" s="4317"/>
      <c r="BT643" s="4317"/>
      <c r="BU643" s="4317"/>
      <c r="BV643" s="4317"/>
      <c r="BW643" s="4317"/>
      <c r="BX643" s="4317"/>
      <c r="BY643" s="4317"/>
      <c r="BZ643" s="4317"/>
      <c r="CA643" s="4317"/>
      <c r="CB643" s="4317"/>
      <c r="CC643" s="4317"/>
      <c r="CD643" s="4317"/>
      <c r="CE643" s="4317"/>
      <c r="CF643" s="4317"/>
      <c r="CG643" s="4317"/>
      <c r="CH643" s="4317"/>
      <c r="CI643" s="4317"/>
      <c r="CJ643" s="4317"/>
      <c r="CK643" s="4317"/>
      <c r="CL643" s="4317"/>
      <c r="CM643" s="4317"/>
      <c r="CN643" s="4317"/>
      <c r="CO643" s="4317"/>
      <c r="CP643" s="4317"/>
      <c r="CQ643" s="4317"/>
      <c r="CR643" s="4317"/>
      <c r="CS643" s="4317"/>
      <c r="CT643" s="4317"/>
      <c r="CU643" s="4317"/>
      <c r="CV643" s="4317"/>
      <c r="CW643" s="4317"/>
      <c r="CX643" s="4317"/>
      <c r="CY643" s="4317"/>
      <c r="CZ643" s="4317"/>
      <c r="DA643" s="4317"/>
      <c r="DB643" s="4317"/>
      <c r="DC643" s="4317"/>
      <c r="DD643" s="4317"/>
      <c r="DE643" s="4317"/>
      <c r="DF643" s="4317"/>
      <c r="DG643" s="4317"/>
      <c r="DH643" s="4317"/>
      <c r="DI643" s="4317"/>
      <c r="DJ643" s="4317"/>
      <c r="DK643" s="4317"/>
      <c r="DL643" s="4317"/>
      <c r="DM643" s="4317"/>
      <c r="DN643" s="4317"/>
      <c r="DO643" s="4317"/>
      <c r="DP643" s="4317"/>
      <c r="DQ643" s="4317"/>
      <c r="DR643" s="4317"/>
      <c r="DS643" s="4317"/>
      <c r="DT643" s="4133"/>
      <c r="DU643" s="4133"/>
      <c r="DV643" s="4133"/>
      <c r="DW643" s="4133"/>
      <c r="DX643" s="4133"/>
      <c r="DY643" s="4133"/>
    </row>
    <row r="644" s="4134" customFormat="1" ht="16.5" customHeight="1" spans="1:129">
      <c r="A644" s="4657" t="s">
        <v>842</v>
      </c>
      <c r="B644" s="4567"/>
      <c r="C644" s="4567"/>
      <c r="D644" s="4567"/>
      <c r="E644" s="4567"/>
      <c r="F644" s="4664">
        <f>SUM(F640:L643)</f>
        <v>0</v>
      </c>
      <c r="G644" s="4664"/>
      <c r="H644" s="4664"/>
      <c r="I644" s="4664"/>
      <c r="J644" s="4664"/>
      <c r="K644" s="4664"/>
      <c r="L644" s="4664"/>
      <c r="M644" s="4664">
        <f>SUM(M640:S643)</f>
        <v>0</v>
      </c>
      <c r="N644" s="4664"/>
      <c r="O644" s="4664"/>
      <c r="P644" s="4664"/>
      <c r="Q644" s="4664"/>
      <c r="R644" s="4664"/>
      <c r="S644" s="4664"/>
      <c r="T644" s="4317"/>
      <c r="U644" s="4653"/>
      <c r="V644" s="4316" t="s">
        <v>5309</v>
      </c>
      <c r="W644" s="4317"/>
      <c r="X644" s="4317"/>
      <c r="Y644" s="4653"/>
      <c r="Z644" s="4653"/>
      <c r="AA644" s="4653"/>
      <c r="AB644" s="4317"/>
      <c r="AC644" s="4295"/>
      <c r="AD644" s="4653"/>
      <c r="AE644" s="4653"/>
      <c r="AF644" s="4653"/>
      <c r="AG644" s="4317"/>
      <c r="AH644" s="4317"/>
      <c r="AI644" s="4317"/>
      <c r="AJ644" s="4317"/>
      <c r="AK644" s="4317"/>
      <c r="AL644" s="4317"/>
      <c r="AM644" s="4317"/>
      <c r="AN644" s="4317"/>
      <c r="AO644" s="4317"/>
      <c r="AP644" s="4317"/>
      <c r="AQ644" s="4317"/>
      <c r="AR644" s="4317"/>
      <c r="AS644" s="4317"/>
      <c r="AT644" s="4317"/>
      <c r="AU644" s="4317"/>
      <c r="AV644" s="4317"/>
      <c r="AW644" s="4317"/>
      <c r="AX644" s="4317"/>
      <c r="AY644" s="4317"/>
      <c r="AZ644" s="4317"/>
      <c r="BA644" s="4317"/>
      <c r="BB644" s="4317"/>
      <c r="BC644" s="4317"/>
      <c r="BD644" s="4317"/>
      <c r="BE644" s="4317"/>
      <c r="BF644" s="4317"/>
      <c r="BG644" s="4317"/>
      <c r="BH644" s="4317"/>
      <c r="BI644" s="4317"/>
      <c r="BJ644" s="4317"/>
      <c r="BK644" s="4317"/>
      <c r="BL644" s="4317"/>
      <c r="BM644" s="4317"/>
      <c r="BN644" s="4317"/>
      <c r="BO644" s="4317"/>
      <c r="BP644" s="4317"/>
      <c r="BQ644" s="4317"/>
      <c r="BR644" s="4317"/>
      <c r="BS644" s="4317"/>
      <c r="BT644" s="4317"/>
      <c r="BU644" s="4317"/>
      <c r="BV644" s="4317"/>
      <c r="BW644" s="4317"/>
      <c r="BX644" s="4317"/>
      <c r="BY644" s="4317"/>
      <c r="BZ644" s="4317"/>
      <c r="CA644" s="4317"/>
      <c r="CB644" s="4317"/>
      <c r="CC644" s="4317"/>
      <c r="CD644" s="4317"/>
      <c r="CE644" s="4317"/>
      <c r="CF644" s="4317"/>
      <c r="CG644" s="4317"/>
      <c r="CH644" s="4317"/>
      <c r="CI644" s="4317"/>
      <c r="CJ644" s="4317"/>
      <c r="CK644" s="4317"/>
      <c r="CL644" s="4317"/>
      <c r="CM644" s="4317"/>
      <c r="CN644" s="4317"/>
      <c r="CO644" s="4317"/>
      <c r="CP644" s="4317"/>
      <c r="CQ644" s="4317"/>
      <c r="CR644" s="4317"/>
      <c r="CS644" s="4317"/>
      <c r="CT644" s="4317"/>
      <c r="CU644" s="4317"/>
      <c r="CV644" s="4317"/>
      <c r="CW644" s="4317"/>
      <c r="CX644" s="4317"/>
      <c r="CY644" s="4317"/>
      <c r="CZ644" s="4317"/>
      <c r="DA644" s="4317"/>
      <c r="DB644" s="4317"/>
      <c r="DC644" s="4317"/>
      <c r="DD644" s="4317"/>
      <c r="DE644" s="4317"/>
      <c r="DF644" s="4317"/>
      <c r="DG644" s="4317"/>
      <c r="DH644" s="4317"/>
      <c r="DI644" s="4317"/>
      <c r="DJ644" s="4317"/>
      <c r="DK644" s="4317"/>
      <c r="DL644" s="4317"/>
      <c r="DM644" s="4317"/>
      <c r="DN644" s="4317"/>
      <c r="DO644" s="4317"/>
      <c r="DP644" s="4317"/>
      <c r="DQ644" s="4317"/>
      <c r="DR644" s="4317"/>
      <c r="DS644" s="4317"/>
      <c r="DT644" s="4133"/>
      <c r="DU644" s="4133"/>
      <c r="DV644" s="4133"/>
      <c r="DW644" s="4133"/>
      <c r="DX644" s="4133"/>
      <c r="DY644" s="4133"/>
    </row>
    <row r="645" s="4134" customFormat="1" ht="16.5" customHeight="1" spans="1:129">
      <c r="A645" s="4662" t="s">
        <v>5310</v>
      </c>
      <c r="B645" s="4663"/>
      <c r="C645" s="4663"/>
      <c r="D645" s="4663"/>
      <c r="E645" s="4663"/>
      <c r="F645" s="4534"/>
      <c r="G645" s="4535"/>
      <c r="H645" s="4535"/>
      <c r="I645" s="4535"/>
      <c r="J645" s="4535"/>
      <c r="K645" s="4535"/>
      <c r="L645" s="4536"/>
      <c r="M645" s="4534"/>
      <c r="N645" s="4535"/>
      <c r="O645" s="4535"/>
      <c r="P645" s="4535"/>
      <c r="Q645" s="4535"/>
      <c r="R645" s="4535"/>
      <c r="S645" s="4536"/>
      <c r="T645" s="4317"/>
      <c r="U645" s="4653"/>
      <c r="V645" s="4316" t="s">
        <v>3098</v>
      </c>
      <c r="W645" s="4317"/>
      <c r="X645" s="4317"/>
      <c r="Y645" s="4653"/>
      <c r="Z645" s="4653"/>
      <c r="AA645" s="4653"/>
      <c r="AB645" s="4317"/>
      <c r="AC645" s="4295"/>
      <c r="AD645" s="4653"/>
      <c r="AE645" s="4653"/>
      <c r="AF645" s="4653"/>
      <c r="AG645" s="4317"/>
      <c r="AH645" s="4317"/>
      <c r="AI645" s="4317"/>
      <c r="AJ645" s="4317"/>
      <c r="AK645" s="4317"/>
      <c r="AL645" s="4317"/>
      <c r="AM645" s="4317"/>
      <c r="AN645" s="4317"/>
      <c r="AO645" s="4317"/>
      <c r="AP645" s="4317"/>
      <c r="AQ645" s="4317"/>
      <c r="AR645" s="4317"/>
      <c r="AS645" s="4317"/>
      <c r="AT645" s="4317"/>
      <c r="AU645" s="4317"/>
      <c r="AV645" s="4317"/>
      <c r="AW645" s="4317"/>
      <c r="AX645" s="4317"/>
      <c r="AY645" s="4317"/>
      <c r="AZ645" s="4317"/>
      <c r="BA645" s="4317"/>
      <c r="BB645" s="4317"/>
      <c r="BC645" s="4317"/>
      <c r="BD645" s="4317"/>
      <c r="BE645" s="4317"/>
      <c r="BF645" s="4317"/>
      <c r="BG645" s="4317"/>
      <c r="BH645" s="4317"/>
      <c r="BI645" s="4317"/>
      <c r="BJ645" s="4317"/>
      <c r="BK645" s="4317"/>
      <c r="BL645" s="4317"/>
      <c r="BM645" s="4317"/>
      <c r="BN645" s="4317"/>
      <c r="BO645" s="4317"/>
      <c r="BP645" s="4317"/>
      <c r="BQ645" s="4317"/>
      <c r="BR645" s="4317"/>
      <c r="BS645" s="4317"/>
      <c r="BT645" s="4317"/>
      <c r="BU645" s="4317"/>
      <c r="BV645" s="4317"/>
      <c r="BW645" s="4317"/>
      <c r="BX645" s="4317"/>
      <c r="BY645" s="4317"/>
      <c r="BZ645" s="4317"/>
      <c r="CA645" s="4317"/>
      <c r="CB645" s="4317"/>
      <c r="CC645" s="4317"/>
      <c r="CD645" s="4317"/>
      <c r="CE645" s="4317"/>
      <c r="CF645" s="4317"/>
      <c r="CG645" s="4317"/>
      <c r="CH645" s="4317"/>
      <c r="CI645" s="4317"/>
      <c r="CJ645" s="4317"/>
      <c r="CK645" s="4317"/>
      <c r="CL645" s="4317"/>
      <c r="CM645" s="4317"/>
      <c r="CN645" s="4317"/>
      <c r="CO645" s="4317"/>
      <c r="CP645" s="4317"/>
      <c r="CQ645" s="4317"/>
      <c r="CR645" s="4317"/>
      <c r="CS645" s="4317"/>
      <c r="CT645" s="4317"/>
      <c r="CU645" s="4317"/>
      <c r="CV645" s="4317"/>
      <c r="CW645" s="4317"/>
      <c r="CX645" s="4317"/>
      <c r="CY645" s="4317"/>
      <c r="CZ645" s="4317"/>
      <c r="DA645" s="4317"/>
      <c r="DB645" s="4317"/>
      <c r="DC645" s="4317"/>
      <c r="DD645" s="4317"/>
      <c r="DE645" s="4317"/>
      <c r="DF645" s="4317"/>
      <c r="DG645" s="4317"/>
      <c r="DH645" s="4317"/>
      <c r="DI645" s="4317"/>
      <c r="DJ645" s="4317"/>
      <c r="DK645" s="4317"/>
      <c r="DL645" s="4317"/>
      <c r="DM645" s="4317"/>
      <c r="DN645" s="4317"/>
      <c r="DO645" s="4317"/>
      <c r="DP645" s="4317"/>
      <c r="DQ645" s="4317"/>
      <c r="DR645" s="4317"/>
      <c r="DS645" s="4317"/>
      <c r="DT645" s="4133"/>
      <c r="DU645" s="4133"/>
      <c r="DV645" s="4133"/>
      <c r="DW645" s="4133"/>
      <c r="DX645" s="4133"/>
      <c r="DY645" s="4133"/>
    </row>
    <row r="646" s="4134" customFormat="1" ht="16.5" customHeight="1" spans="1:129">
      <c r="A646" s="4662" t="s">
        <v>5311</v>
      </c>
      <c r="B646" s="4663"/>
      <c r="C646" s="4663"/>
      <c r="D646" s="4663"/>
      <c r="E646" s="4663"/>
      <c r="F646" s="4534"/>
      <c r="G646" s="4535"/>
      <c r="H646" s="4535"/>
      <c r="I646" s="4535"/>
      <c r="J646" s="4535"/>
      <c r="K646" s="4535"/>
      <c r="L646" s="4536"/>
      <c r="M646" s="4534"/>
      <c r="N646" s="4535"/>
      <c r="O646" s="4535"/>
      <c r="P646" s="4535"/>
      <c r="Q646" s="4535"/>
      <c r="R646" s="4535"/>
      <c r="S646" s="4536"/>
      <c r="T646" s="4317"/>
      <c r="U646" s="4653"/>
      <c r="V646" s="4316" t="s">
        <v>5312</v>
      </c>
      <c r="W646" s="4317"/>
      <c r="X646" s="4317"/>
      <c r="Y646" s="4653"/>
      <c r="Z646" s="4653"/>
      <c r="AA646" s="4653"/>
      <c r="AB646" s="4317"/>
      <c r="AC646" s="4295"/>
      <c r="AD646" s="4653"/>
      <c r="AE646" s="4653"/>
      <c r="AF646" s="4653"/>
      <c r="AG646" s="4317"/>
      <c r="AH646" s="4317"/>
      <c r="AI646" s="4317"/>
      <c r="AJ646" s="4317"/>
      <c r="AK646" s="4317"/>
      <c r="AL646" s="4317"/>
      <c r="AM646" s="4317"/>
      <c r="AN646" s="4317"/>
      <c r="AO646" s="4317"/>
      <c r="AP646" s="4317"/>
      <c r="AQ646" s="4317"/>
      <c r="AR646" s="4317"/>
      <c r="AS646" s="4317"/>
      <c r="AT646" s="4317"/>
      <c r="AU646" s="4317"/>
      <c r="AV646" s="4317"/>
      <c r="AW646" s="4317"/>
      <c r="AX646" s="4317"/>
      <c r="AY646" s="4317"/>
      <c r="AZ646" s="4317"/>
      <c r="BA646" s="4317"/>
      <c r="BB646" s="4317"/>
      <c r="BC646" s="4317"/>
      <c r="BD646" s="4317"/>
      <c r="BE646" s="4317"/>
      <c r="BF646" s="4317"/>
      <c r="BG646" s="4317"/>
      <c r="BH646" s="4317"/>
      <c r="BI646" s="4317"/>
      <c r="BJ646" s="4317"/>
      <c r="BK646" s="4317"/>
      <c r="BL646" s="4317"/>
      <c r="BM646" s="4317"/>
      <c r="BN646" s="4317"/>
      <c r="BO646" s="4317"/>
      <c r="BP646" s="4317"/>
      <c r="BQ646" s="4317"/>
      <c r="BR646" s="4317"/>
      <c r="BS646" s="4317"/>
      <c r="BT646" s="4317"/>
      <c r="BU646" s="4317"/>
      <c r="BV646" s="4317"/>
      <c r="BW646" s="4317"/>
      <c r="BX646" s="4317"/>
      <c r="BY646" s="4317"/>
      <c r="BZ646" s="4317"/>
      <c r="CA646" s="4317"/>
      <c r="CB646" s="4317"/>
      <c r="CC646" s="4317"/>
      <c r="CD646" s="4317"/>
      <c r="CE646" s="4317"/>
      <c r="CF646" s="4317"/>
      <c r="CG646" s="4317"/>
      <c r="CH646" s="4317"/>
      <c r="CI646" s="4317"/>
      <c r="CJ646" s="4317"/>
      <c r="CK646" s="4317"/>
      <c r="CL646" s="4317"/>
      <c r="CM646" s="4317"/>
      <c r="CN646" s="4317"/>
      <c r="CO646" s="4317"/>
      <c r="CP646" s="4317"/>
      <c r="CQ646" s="4317"/>
      <c r="CR646" s="4317"/>
      <c r="CS646" s="4317"/>
      <c r="CT646" s="4317"/>
      <c r="CU646" s="4317"/>
      <c r="CV646" s="4317"/>
      <c r="CW646" s="4317"/>
      <c r="CX646" s="4317"/>
      <c r="CY646" s="4317"/>
      <c r="CZ646" s="4317"/>
      <c r="DA646" s="4317"/>
      <c r="DB646" s="4317"/>
      <c r="DC646" s="4317"/>
      <c r="DD646" s="4317"/>
      <c r="DE646" s="4317"/>
      <c r="DF646" s="4317"/>
      <c r="DG646" s="4317"/>
      <c r="DH646" s="4317"/>
      <c r="DI646" s="4317"/>
      <c r="DJ646" s="4317"/>
      <c r="DK646" s="4317"/>
      <c r="DL646" s="4317"/>
      <c r="DM646" s="4317"/>
      <c r="DN646" s="4317"/>
      <c r="DO646" s="4317"/>
      <c r="DP646" s="4317"/>
      <c r="DQ646" s="4317"/>
      <c r="DR646" s="4317"/>
      <c r="DS646" s="4317"/>
      <c r="DT646" s="4133"/>
      <c r="DU646" s="4133"/>
      <c r="DV646" s="4133"/>
      <c r="DW646" s="4133"/>
      <c r="DX646" s="4133"/>
      <c r="DY646" s="4133"/>
    </row>
    <row r="647" s="4134" customFormat="1" ht="16.5" customHeight="1" spans="1:129">
      <c r="A647" s="4662" t="s">
        <v>5313</v>
      </c>
      <c r="B647" s="4663"/>
      <c r="C647" s="4663"/>
      <c r="D647" s="4663"/>
      <c r="E647" s="4663"/>
      <c r="F647" s="4534"/>
      <c r="G647" s="4535"/>
      <c r="H647" s="4535"/>
      <c r="I647" s="4535"/>
      <c r="J647" s="4535"/>
      <c r="K647" s="4535"/>
      <c r="L647" s="4536"/>
      <c r="M647" s="4534"/>
      <c r="N647" s="4535"/>
      <c r="O647" s="4535"/>
      <c r="P647" s="4535"/>
      <c r="Q647" s="4535"/>
      <c r="R647" s="4535"/>
      <c r="S647" s="4536"/>
      <c r="T647" s="4317"/>
      <c r="U647" s="4653"/>
      <c r="V647" s="4316" t="s">
        <v>3102</v>
      </c>
      <c r="W647" s="4317"/>
      <c r="X647" s="4317"/>
      <c r="Y647" s="4653"/>
      <c r="Z647" s="4653"/>
      <c r="AA647" s="4653"/>
      <c r="AB647" s="4317"/>
      <c r="AC647" s="4295"/>
      <c r="AD647" s="4653"/>
      <c r="AE647" s="4653"/>
      <c r="AF647" s="4653"/>
      <c r="AG647" s="4317"/>
      <c r="AH647" s="4317"/>
      <c r="AI647" s="4317"/>
      <c r="AJ647" s="4317"/>
      <c r="AK647" s="4317"/>
      <c r="AL647" s="4317"/>
      <c r="AM647" s="4317"/>
      <c r="AN647" s="4317"/>
      <c r="AO647" s="4317"/>
      <c r="AP647" s="4317"/>
      <c r="AQ647" s="4317"/>
      <c r="AR647" s="4317"/>
      <c r="AS647" s="4317"/>
      <c r="AT647" s="4317"/>
      <c r="AU647" s="4317"/>
      <c r="AV647" s="4317"/>
      <c r="AW647" s="4317"/>
      <c r="AX647" s="4317"/>
      <c r="AY647" s="4317"/>
      <c r="AZ647" s="4317"/>
      <c r="BA647" s="4317"/>
      <c r="BB647" s="4317"/>
      <c r="BC647" s="4317"/>
      <c r="BD647" s="4317"/>
      <c r="BE647" s="4317"/>
      <c r="BF647" s="4317"/>
      <c r="BG647" s="4317"/>
      <c r="BH647" s="4317"/>
      <c r="BI647" s="4317"/>
      <c r="BJ647" s="4317"/>
      <c r="BK647" s="4317"/>
      <c r="BL647" s="4317"/>
      <c r="BM647" s="4317"/>
      <c r="BN647" s="4317"/>
      <c r="BO647" s="4317"/>
      <c r="BP647" s="4317"/>
      <c r="BQ647" s="4317"/>
      <c r="BR647" s="4317"/>
      <c r="BS647" s="4317"/>
      <c r="BT647" s="4317"/>
      <c r="BU647" s="4317"/>
      <c r="BV647" s="4317"/>
      <c r="BW647" s="4317"/>
      <c r="BX647" s="4317"/>
      <c r="BY647" s="4317"/>
      <c r="BZ647" s="4317"/>
      <c r="CA647" s="4317"/>
      <c r="CB647" s="4317"/>
      <c r="CC647" s="4317"/>
      <c r="CD647" s="4317"/>
      <c r="CE647" s="4317"/>
      <c r="CF647" s="4317"/>
      <c r="CG647" s="4317"/>
      <c r="CH647" s="4317"/>
      <c r="CI647" s="4317"/>
      <c r="CJ647" s="4317"/>
      <c r="CK647" s="4317"/>
      <c r="CL647" s="4317"/>
      <c r="CM647" s="4317"/>
      <c r="CN647" s="4317"/>
      <c r="CO647" s="4317"/>
      <c r="CP647" s="4317"/>
      <c r="CQ647" s="4317"/>
      <c r="CR647" s="4317"/>
      <c r="CS647" s="4317"/>
      <c r="CT647" s="4317"/>
      <c r="CU647" s="4317"/>
      <c r="CV647" s="4317"/>
      <c r="CW647" s="4317"/>
      <c r="CX647" s="4317"/>
      <c r="CY647" s="4317"/>
      <c r="CZ647" s="4317"/>
      <c r="DA647" s="4317"/>
      <c r="DB647" s="4317"/>
      <c r="DC647" s="4317"/>
      <c r="DD647" s="4317"/>
      <c r="DE647" s="4317"/>
      <c r="DF647" s="4317"/>
      <c r="DG647" s="4317"/>
      <c r="DH647" s="4317"/>
      <c r="DI647" s="4317"/>
      <c r="DJ647" s="4317"/>
      <c r="DK647" s="4317"/>
      <c r="DL647" s="4317"/>
      <c r="DM647" s="4317"/>
      <c r="DN647" s="4317"/>
      <c r="DO647" s="4317"/>
      <c r="DP647" s="4317"/>
      <c r="DQ647" s="4317"/>
      <c r="DR647" s="4317"/>
      <c r="DS647" s="4317"/>
      <c r="DT647" s="4133"/>
      <c r="DU647" s="4133"/>
      <c r="DV647" s="4133"/>
      <c r="DW647" s="4133"/>
      <c r="DX647" s="4133"/>
      <c r="DY647" s="4133"/>
    </row>
    <row r="648" s="4134" customFormat="1" ht="16.5" customHeight="1" spans="1:129">
      <c r="A648" s="4662" t="s">
        <v>5314</v>
      </c>
      <c r="B648" s="4663"/>
      <c r="C648" s="4663"/>
      <c r="D648" s="4663"/>
      <c r="E648" s="4663"/>
      <c r="F648" s="4534"/>
      <c r="G648" s="4535"/>
      <c r="H648" s="4535"/>
      <c r="I648" s="4535"/>
      <c r="J648" s="4535"/>
      <c r="K648" s="4535"/>
      <c r="L648" s="4536"/>
      <c r="M648" s="4534"/>
      <c r="N648" s="4535"/>
      <c r="O648" s="4535"/>
      <c r="P648" s="4535"/>
      <c r="Q648" s="4535"/>
      <c r="R648" s="4535"/>
      <c r="S648" s="4536"/>
      <c r="T648" s="4317"/>
      <c r="U648" s="4653"/>
      <c r="V648" s="4316" t="s">
        <v>3104</v>
      </c>
      <c r="W648" s="4317"/>
      <c r="X648" s="4317"/>
      <c r="Y648" s="4653"/>
      <c r="Z648" s="4653"/>
      <c r="AA648" s="4653"/>
      <c r="AB648" s="4317"/>
      <c r="AC648" s="4295"/>
      <c r="AD648" s="4653"/>
      <c r="AE648" s="4653"/>
      <c r="AF648" s="4653"/>
      <c r="AG648" s="4317"/>
      <c r="AH648" s="4317"/>
      <c r="AI648" s="4317"/>
      <c r="AJ648" s="4317"/>
      <c r="AK648" s="4317"/>
      <c r="AL648" s="4317"/>
      <c r="AM648" s="4317"/>
      <c r="AN648" s="4317"/>
      <c r="AO648" s="4317"/>
      <c r="AP648" s="4317"/>
      <c r="AQ648" s="4317"/>
      <c r="AR648" s="4317"/>
      <c r="AS648" s="4317"/>
      <c r="AT648" s="4317"/>
      <c r="AU648" s="4317"/>
      <c r="AV648" s="4317"/>
      <c r="AW648" s="4317"/>
      <c r="AX648" s="4317"/>
      <c r="AY648" s="4317"/>
      <c r="AZ648" s="4317"/>
      <c r="BA648" s="4317"/>
      <c r="BB648" s="4317"/>
      <c r="BC648" s="4317"/>
      <c r="BD648" s="4317"/>
      <c r="BE648" s="4317"/>
      <c r="BF648" s="4317"/>
      <c r="BG648" s="4317"/>
      <c r="BH648" s="4317"/>
      <c r="BI648" s="4317"/>
      <c r="BJ648" s="4317"/>
      <c r="BK648" s="4317"/>
      <c r="BL648" s="4317"/>
      <c r="BM648" s="4317"/>
      <c r="BN648" s="4317"/>
      <c r="BO648" s="4317"/>
      <c r="BP648" s="4317"/>
      <c r="BQ648" s="4317"/>
      <c r="BR648" s="4317"/>
      <c r="BS648" s="4317"/>
      <c r="BT648" s="4317"/>
      <c r="BU648" s="4317"/>
      <c r="BV648" s="4317"/>
      <c r="BW648" s="4317"/>
      <c r="BX648" s="4317"/>
      <c r="BY648" s="4317"/>
      <c r="BZ648" s="4317"/>
      <c r="CA648" s="4317"/>
      <c r="CB648" s="4317"/>
      <c r="CC648" s="4317"/>
      <c r="CD648" s="4317"/>
      <c r="CE648" s="4317"/>
      <c r="CF648" s="4317"/>
      <c r="CG648" s="4317"/>
      <c r="CH648" s="4317"/>
      <c r="CI648" s="4317"/>
      <c r="CJ648" s="4317"/>
      <c r="CK648" s="4317"/>
      <c r="CL648" s="4317"/>
      <c r="CM648" s="4317"/>
      <c r="CN648" s="4317"/>
      <c r="CO648" s="4317"/>
      <c r="CP648" s="4317"/>
      <c r="CQ648" s="4317"/>
      <c r="CR648" s="4317"/>
      <c r="CS648" s="4317"/>
      <c r="CT648" s="4317"/>
      <c r="CU648" s="4317"/>
      <c r="CV648" s="4317"/>
      <c r="CW648" s="4317"/>
      <c r="CX648" s="4317"/>
      <c r="CY648" s="4317"/>
      <c r="CZ648" s="4317"/>
      <c r="DA648" s="4317"/>
      <c r="DB648" s="4317"/>
      <c r="DC648" s="4317"/>
      <c r="DD648" s="4317"/>
      <c r="DE648" s="4317"/>
      <c r="DF648" s="4317"/>
      <c r="DG648" s="4317"/>
      <c r="DH648" s="4317"/>
      <c r="DI648" s="4317"/>
      <c r="DJ648" s="4317"/>
      <c r="DK648" s="4317"/>
      <c r="DL648" s="4317"/>
      <c r="DM648" s="4317"/>
      <c r="DN648" s="4317"/>
      <c r="DO648" s="4317"/>
      <c r="DP648" s="4317"/>
      <c r="DQ648" s="4317"/>
      <c r="DR648" s="4317"/>
      <c r="DS648" s="4317"/>
      <c r="DT648" s="4133"/>
      <c r="DU648" s="4133"/>
      <c r="DV648" s="4133"/>
      <c r="DW648" s="4133"/>
      <c r="DX648" s="4133"/>
      <c r="DY648" s="4133"/>
    </row>
    <row r="649" s="4134" customFormat="1" ht="16.5" customHeight="1" spans="1:129">
      <c r="A649" s="4657" t="s">
        <v>848</v>
      </c>
      <c r="B649" s="4567"/>
      <c r="C649" s="4567"/>
      <c r="D649" s="4567"/>
      <c r="E649" s="4567"/>
      <c r="F649" s="4665">
        <f>SUM(F645:L648)</f>
        <v>0</v>
      </c>
      <c r="G649" s="4665"/>
      <c r="H649" s="4665"/>
      <c r="I649" s="4665"/>
      <c r="J649" s="4665"/>
      <c r="K649" s="4665"/>
      <c r="L649" s="4665"/>
      <c r="M649" s="4665">
        <f>SUM(M645:S648)</f>
        <v>0</v>
      </c>
      <c r="N649" s="4665"/>
      <c r="O649" s="4665"/>
      <c r="P649" s="4665"/>
      <c r="Q649" s="4665"/>
      <c r="R649" s="4665"/>
      <c r="S649" s="4665"/>
      <c r="T649" s="4317"/>
      <c r="U649" s="4653"/>
      <c r="V649" s="4316" t="s">
        <v>3935</v>
      </c>
      <c r="W649" s="4317"/>
      <c r="X649" s="4317"/>
      <c r="Y649" s="4653"/>
      <c r="Z649" s="4653"/>
      <c r="AA649" s="4653"/>
      <c r="AB649" s="4317"/>
      <c r="AC649" s="4295"/>
      <c r="AD649" s="4653"/>
      <c r="AE649" s="4653"/>
      <c r="AF649" s="4653"/>
      <c r="AG649" s="4317"/>
      <c r="AH649" s="4317"/>
      <c r="AI649" s="4317"/>
      <c r="AJ649" s="4317"/>
      <c r="AK649" s="4317"/>
      <c r="AL649" s="4317"/>
      <c r="AM649" s="4317"/>
      <c r="AN649" s="4317"/>
      <c r="AO649" s="4317"/>
      <c r="AP649" s="4317"/>
      <c r="AQ649" s="4317"/>
      <c r="AR649" s="4317"/>
      <c r="AS649" s="4317"/>
      <c r="AT649" s="4317"/>
      <c r="AU649" s="4317"/>
      <c r="AV649" s="4317"/>
      <c r="AW649" s="4317"/>
      <c r="AX649" s="4317"/>
      <c r="AY649" s="4317"/>
      <c r="AZ649" s="4317"/>
      <c r="BA649" s="4317"/>
      <c r="BB649" s="4317"/>
      <c r="BC649" s="4317"/>
      <c r="BD649" s="4317"/>
      <c r="BE649" s="4317"/>
      <c r="BF649" s="4317"/>
      <c r="BG649" s="4317"/>
      <c r="BH649" s="4317"/>
      <c r="BI649" s="4317"/>
      <c r="BJ649" s="4317"/>
      <c r="BK649" s="4317"/>
      <c r="BL649" s="4317"/>
      <c r="BM649" s="4317"/>
      <c r="BN649" s="4317"/>
      <c r="BO649" s="4317"/>
      <c r="BP649" s="4317"/>
      <c r="BQ649" s="4317"/>
      <c r="BR649" s="4317"/>
      <c r="BS649" s="4317"/>
      <c r="BT649" s="4317"/>
      <c r="BU649" s="4317"/>
      <c r="BV649" s="4317"/>
      <c r="BW649" s="4317"/>
      <c r="BX649" s="4317"/>
      <c r="BY649" s="4317"/>
      <c r="BZ649" s="4317"/>
      <c r="CA649" s="4317"/>
      <c r="CB649" s="4317"/>
      <c r="CC649" s="4317"/>
      <c r="CD649" s="4317"/>
      <c r="CE649" s="4317"/>
      <c r="CF649" s="4317"/>
      <c r="CG649" s="4317"/>
      <c r="CH649" s="4317"/>
      <c r="CI649" s="4317"/>
      <c r="CJ649" s="4317"/>
      <c r="CK649" s="4317"/>
      <c r="CL649" s="4317"/>
      <c r="CM649" s="4317"/>
      <c r="CN649" s="4317"/>
      <c r="CO649" s="4317"/>
      <c r="CP649" s="4317"/>
      <c r="CQ649" s="4317"/>
      <c r="CR649" s="4317"/>
      <c r="CS649" s="4317"/>
      <c r="CT649" s="4317"/>
      <c r="CU649" s="4317"/>
      <c r="CV649" s="4317"/>
      <c r="CW649" s="4317"/>
      <c r="CX649" s="4317"/>
      <c r="CY649" s="4317"/>
      <c r="CZ649" s="4317"/>
      <c r="DA649" s="4317"/>
      <c r="DB649" s="4317"/>
      <c r="DC649" s="4317"/>
      <c r="DD649" s="4317"/>
      <c r="DE649" s="4317"/>
      <c r="DF649" s="4317"/>
      <c r="DG649" s="4317"/>
      <c r="DH649" s="4317"/>
      <c r="DI649" s="4317"/>
      <c r="DJ649" s="4317"/>
      <c r="DK649" s="4317"/>
      <c r="DL649" s="4317"/>
      <c r="DM649" s="4317"/>
      <c r="DN649" s="4317"/>
      <c r="DO649" s="4317"/>
      <c r="DP649" s="4317"/>
      <c r="DQ649" s="4317"/>
      <c r="DR649" s="4317"/>
      <c r="DS649" s="4317"/>
      <c r="DT649" s="4133"/>
      <c r="DU649" s="4133"/>
      <c r="DV649" s="4133"/>
      <c r="DW649" s="4133"/>
      <c r="DX649" s="4133"/>
      <c r="DY649" s="4133"/>
    </row>
    <row r="650" s="4134" customFormat="1" ht="16.5" customHeight="1" spans="1:129">
      <c r="A650" s="4662" t="s">
        <v>5315</v>
      </c>
      <c r="B650" s="4663"/>
      <c r="C650" s="4663"/>
      <c r="D650" s="4663"/>
      <c r="E650" s="4663"/>
      <c r="F650" s="4534"/>
      <c r="G650" s="4535"/>
      <c r="H650" s="4535"/>
      <c r="I650" s="4535"/>
      <c r="J650" s="4535"/>
      <c r="K650" s="4535"/>
      <c r="L650" s="4536"/>
      <c r="M650" s="4534"/>
      <c r="N650" s="4535"/>
      <c r="O650" s="4535"/>
      <c r="P650" s="4535"/>
      <c r="Q650" s="4535"/>
      <c r="R650" s="4535"/>
      <c r="S650" s="4536"/>
      <c r="T650" s="4317"/>
      <c r="U650" s="4653"/>
      <c r="V650" s="4316" t="s">
        <v>5316</v>
      </c>
      <c r="W650" s="4317"/>
      <c r="X650" s="4317"/>
      <c r="Y650" s="4653"/>
      <c r="Z650" s="4653"/>
      <c r="AA650" s="4653"/>
      <c r="AB650" s="4317"/>
      <c r="AC650" s="4295"/>
      <c r="AD650" s="4653"/>
      <c r="AE650" s="4653"/>
      <c r="AF650" s="4653"/>
      <c r="AG650" s="4317"/>
      <c r="AH650" s="4317"/>
      <c r="AI650" s="4317"/>
      <c r="AJ650" s="4317"/>
      <c r="AK650" s="4317"/>
      <c r="AL650" s="4317"/>
      <c r="AM650" s="4317"/>
      <c r="AN650" s="4317"/>
      <c r="AO650" s="4317"/>
      <c r="AP650" s="4317"/>
      <c r="AQ650" s="4317"/>
      <c r="AR650" s="4317"/>
      <c r="AS650" s="4317"/>
      <c r="AT650" s="4317"/>
      <c r="AU650" s="4317"/>
      <c r="AV650" s="4317"/>
      <c r="AW650" s="4317"/>
      <c r="AX650" s="4317"/>
      <c r="AY650" s="4317"/>
      <c r="AZ650" s="4317"/>
      <c r="BA650" s="4317"/>
      <c r="BB650" s="4317"/>
      <c r="BC650" s="4317"/>
      <c r="BD650" s="4317"/>
      <c r="BE650" s="4317"/>
      <c r="BF650" s="4317"/>
      <c r="BG650" s="4317"/>
      <c r="BH650" s="4317"/>
      <c r="BI650" s="4317"/>
      <c r="BJ650" s="4317"/>
      <c r="BK650" s="4317"/>
      <c r="BL650" s="4317"/>
      <c r="BM650" s="4317"/>
      <c r="BN650" s="4317"/>
      <c r="BO650" s="4317"/>
      <c r="BP650" s="4317"/>
      <c r="BQ650" s="4317"/>
      <c r="BR650" s="4317"/>
      <c r="BS650" s="4317"/>
      <c r="BT650" s="4317"/>
      <c r="BU650" s="4317"/>
      <c r="BV650" s="4317"/>
      <c r="BW650" s="4317"/>
      <c r="BX650" s="4317"/>
      <c r="BY650" s="4317"/>
      <c r="BZ650" s="4317"/>
      <c r="CA650" s="4317"/>
      <c r="CB650" s="4317"/>
      <c r="CC650" s="4317"/>
      <c r="CD650" s="4317"/>
      <c r="CE650" s="4317"/>
      <c r="CF650" s="4317"/>
      <c r="CG650" s="4317"/>
      <c r="CH650" s="4317"/>
      <c r="CI650" s="4317"/>
      <c r="CJ650" s="4317"/>
      <c r="CK650" s="4317"/>
      <c r="CL650" s="4317"/>
      <c r="CM650" s="4317"/>
      <c r="CN650" s="4317"/>
      <c r="CO650" s="4317"/>
      <c r="CP650" s="4317"/>
      <c r="CQ650" s="4317"/>
      <c r="CR650" s="4317"/>
      <c r="CS650" s="4317"/>
      <c r="CT650" s="4317"/>
      <c r="CU650" s="4317"/>
      <c r="CV650" s="4317"/>
      <c r="CW650" s="4317"/>
      <c r="CX650" s="4317"/>
      <c r="CY650" s="4317"/>
      <c r="CZ650" s="4317"/>
      <c r="DA650" s="4317"/>
      <c r="DB650" s="4317"/>
      <c r="DC650" s="4317"/>
      <c r="DD650" s="4317"/>
      <c r="DE650" s="4317"/>
      <c r="DF650" s="4317"/>
      <c r="DG650" s="4317"/>
      <c r="DH650" s="4317"/>
      <c r="DI650" s="4317"/>
      <c r="DJ650" s="4317"/>
      <c r="DK650" s="4317"/>
      <c r="DL650" s="4317"/>
      <c r="DM650" s="4317"/>
      <c r="DN650" s="4317"/>
      <c r="DO650" s="4317"/>
      <c r="DP650" s="4317"/>
      <c r="DQ650" s="4317"/>
      <c r="DR650" s="4317"/>
      <c r="DS650" s="4317"/>
      <c r="DT650" s="4133"/>
      <c r="DU650" s="4133"/>
      <c r="DV650" s="4133"/>
      <c r="DW650" s="4133"/>
      <c r="DX650" s="4133"/>
      <c r="DY650" s="4133"/>
    </row>
    <row r="651" s="4134" customFormat="1" ht="16.5" customHeight="1" spans="1:129">
      <c r="A651" s="4657" t="s">
        <v>852</v>
      </c>
      <c r="B651" s="4567"/>
      <c r="C651" s="4567"/>
      <c r="D651" s="4567"/>
      <c r="E651" s="4567"/>
      <c r="F651" s="4664">
        <f>SUM(F650)</f>
        <v>0</v>
      </c>
      <c r="G651" s="4664"/>
      <c r="H651" s="4664"/>
      <c r="I651" s="4664"/>
      <c r="J651" s="4664"/>
      <c r="K651" s="4664"/>
      <c r="L651" s="4664"/>
      <c r="M651" s="4664">
        <f>SUM(M650)</f>
        <v>0</v>
      </c>
      <c r="N651" s="4664"/>
      <c r="O651" s="4664"/>
      <c r="P651" s="4664"/>
      <c r="Q651" s="4664"/>
      <c r="R651" s="4664"/>
      <c r="S651" s="4664"/>
      <c r="T651" s="4317"/>
      <c r="U651" s="4653"/>
      <c r="V651" s="4316" t="s">
        <v>5317</v>
      </c>
      <c r="W651" s="4317"/>
      <c r="X651" s="4317"/>
      <c r="Y651" s="4653"/>
      <c r="Z651" s="4653"/>
      <c r="AA651" s="4653"/>
      <c r="AB651" s="4317"/>
      <c r="AC651" s="4295"/>
      <c r="AD651" s="4653"/>
      <c r="AE651" s="4653"/>
      <c r="AF651" s="4653"/>
      <c r="AG651" s="4317"/>
      <c r="AH651" s="4317"/>
      <c r="AI651" s="4317"/>
      <c r="AJ651" s="4317"/>
      <c r="AK651" s="4317"/>
      <c r="AL651" s="4317"/>
      <c r="AM651" s="4317"/>
      <c r="AN651" s="4317"/>
      <c r="AO651" s="4317"/>
      <c r="AP651" s="4317"/>
      <c r="AQ651" s="4317"/>
      <c r="AR651" s="4317"/>
      <c r="AS651" s="4317"/>
      <c r="AT651" s="4317"/>
      <c r="AU651" s="4317"/>
      <c r="AV651" s="4317"/>
      <c r="AW651" s="4317"/>
      <c r="AX651" s="4317"/>
      <c r="AY651" s="4317"/>
      <c r="AZ651" s="4317"/>
      <c r="BA651" s="4317"/>
      <c r="BB651" s="4317"/>
      <c r="BC651" s="4317"/>
      <c r="BD651" s="4317"/>
      <c r="BE651" s="4317"/>
      <c r="BF651" s="4317"/>
      <c r="BG651" s="4317"/>
      <c r="BH651" s="4317"/>
      <c r="BI651" s="4317"/>
      <c r="BJ651" s="4317"/>
      <c r="BK651" s="4317"/>
      <c r="BL651" s="4317"/>
      <c r="BM651" s="4317"/>
      <c r="BN651" s="4317"/>
      <c r="BO651" s="4317"/>
      <c r="BP651" s="4317"/>
      <c r="BQ651" s="4317"/>
      <c r="BR651" s="4317"/>
      <c r="BS651" s="4317"/>
      <c r="BT651" s="4317"/>
      <c r="BU651" s="4317"/>
      <c r="BV651" s="4317"/>
      <c r="BW651" s="4317"/>
      <c r="BX651" s="4317"/>
      <c r="BY651" s="4317"/>
      <c r="BZ651" s="4317"/>
      <c r="CA651" s="4317"/>
      <c r="CB651" s="4317"/>
      <c r="CC651" s="4317"/>
      <c r="CD651" s="4317"/>
      <c r="CE651" s="4317"/>
      <c r="CF651" s="4317"/>
      <c r="CG651" s="4317"/>
      <c r="CH651" s="4317"/>
      <c r="CI651" s="4317"/>
      <c r="CJ651" s="4317"/>
      <c r="CK651" s="4317"/>
      <c r="CL651" s="4317"/>
      <c r="CM651" s="4317"/>
      <c r="CN651" s="4317"/>
      <c r="CO651" s="4317"/>
      <c r="CP651" s="4317"/>
      <c r="CQ651" s="4317"/>
      <c r="CR651" s="4317"/>
      <c r="CS651" s="4317"/>
      <c r="CT651" s="4317"/>
      <c r="CU651" s="4317"/>
      <c r="CV651" s="4317"/>
      <c r="CW651" s="4317"/>
      <c r="CX651" s="4317"/>
      <c r="CY651" s="4317"/>
      <c r="CZ651" s="4317"/>
      <c r="DA651" s="4317"/>
      <c r="DB651" s="4317"/>
      <c r="DC651" s="4317"/>
      <c r="DD651" s="4317"/>
      <c r="DE651" s="4317"/>
      <c r="DF651" s="4317"/>
      <c r="DG651" s="4317"/>
      <c r="DH651" s="4317"/>
      <c r="DI651" s="4317"/>
      <c r="DJ651" s="4317"/>
      <c r="DK651" s="4317"/>
      <c r="DL651" s="4317"/>
      <c r="DM651" s="4317"/>
      <c r="DN651" s="4317"/>
      <c r="DO651" s="4317"/>
      <c r="DP651" s="4317"/>
      <c r="DQ651" s="4317"/>
      <c r="DR651" s="4317"/>
      <c r="DS651" s="4317"/>
      <c r="DT651" s="4133"/>
      <c r="DU651" s="4133"/>
      <c r="DV651" s="4133"/>
      <c r="DW651" s="4133"/>
      <c r="DX651" s="4133"/>
      <c r="DY651" s="4133"/>
    </row>
    <row r="652" s="4134" customFormat="1" ht="16.5" customHeight="1" spans="1:129">
      <c r="A652" s="4659" t="s">
        <v>5318</v>
      </c>
      <c r="B652" s="4660"/>
      <c r="C652" s="4660"/>
      <c r="D652" s="4660"/>
      <c r="E652" s="4660"/>
      <c r="F652" s="4661">
        <f>F639+F644+F649+F651</f>
        <v>0</v>
      </c>
      <c r="G652" s="4661"/>
      <c r="H652" s="4661"/>
      <c r="I652" s="4661"/>
      <c r="J652" s="4661"/>
      <c r="K652" s="4661"/>
      <c r="L652" s="4661"/>
      <c r="M652" s="4661">
        <f>M639+M644+M649+M651</f>
        <v>0</v>
      </c>
      <c r="N652" s="4661"/>
      <c r="O652" s="4661"/>
      <c r="P652" s="4661"/>
      <c r="Q652" s="4661"/>
      <c r="R652" s="4661"/>
      <c r="S652" s="4661"/>
      <c r="T652" s="4317"/>
      <c r="U652" s="4653"/>
      <c r="V652" s="4322" t="s">
        <v>5319</v>
      </c>
      <c r="W652" s="4317"/>
      <c r="X652" s="4317"/>
      <c r="Y652" s="4653"/>
      <c r="Z652" s="4653"/>
      <c r="AA652" s="4653"/>
      <c r="AB652" s="4317"/>
      <c r="AC652" s="4295"/>
      <c r="AD652" s="4653"/>
      <c r="AE652" s="4653"/>
      <c r="AF652" s="4653"/>
      <c r="AG652" s="4317"/>
      <c r="AH652" s="4317"/>
      <c r="AI652" s="4317"/>
      <c r="AJ652" s="4317"/>
      <c r="AK652" s="4317"/>
      <c r="AL652" s="4317"/>
      <c r="AM652" s="4317"/>
      <c r="AN652" s="4317"/>
      <c r="AO652" s="4317"/>
      <c r="AP652" s="4317"/>
      <c r="AQ652" s="4317"/>
      <c r="AR652" s="4317"/>
      <c r="AS652" s="4317"/>
      <c r="AT652" s="4317"/>
      <c r="AU652" s="4317"/>
      <c r="AV652" s="4317"/>
      <c r="AW652" s="4317"/>
      <c r="AX652" s="4317"/>
      <c r="AY652" s="4317"/>
      <c r="AZ652" s="4317"/>
      <c r="BA652" s="4317"/>
      <c r="BB652" s="4317"/>
      <c r="BC652" s="4317"/>
      <c r="BD652" s="4317"/>
      <c r="BE652" s="4317"/>
      <c r="BF652" s="4317"/>
      <c r="BG652" s="4317"/>
      <c r="BH652" s="4317"/>
      <c r="BI652" s="4317"/>
      <c r="BJ652" s="4317"/>
      <c r="BK652" s="4317"/>
      <c r="BL652" s="4317"/>
      <c r="BM652" s="4317"/>
      <c r="BN652" s="4317"/>
      <c r="BO652" s="4317"/>
      <c r="BP652" s="4317"/>
      <c r="BQ652" s="4317"/>
      <c r="BR652" s="4317"/>
      <c r="BS652" s="4317"/>
      <c r="BT652" s="4317"/>
      <c r="BU652" s="4317"/>
      <c r="BV652" s="4317"/>
      <c r="BW652" s="4317"/>
      <c r="BX652" s="4317"/>
      <c r="BY652" s="4317"/>
      <c r="BZ652" s="4317"/>
      <c r="CA652" s="4317"/>
      <c r="CB652" s="4317"/>
      <c r="CC652" s="4317"/>
      <c r="CD652" s="4317"/>
      <c r="CE652" s="4317"/>
      <c r="CF652" s="4317"/>
      <c r="CG652" s="4317"/>
      <c r="CH652" s="4317"/>
      <c r="CI652" s="4317"/>
      <c r="CJ652" s="4317"/>
      <c r="CK652" s="4317"/>
      <c r="CL652" s="4317"/>
      <c r="CM652" s="4317"/>
      <c r="CN652" s="4317"/>
      <c r="CO652" s="4317"/>
      <c r="CP652" s="4317"/>
      <c r="CQ652" s="4317"/>
      <c r="CR652" s="4317"/>
      <c r="CS652" s="4317"/>
      <c r="CT652" s="4317"/>
      <c r="CU652" s="4317"/>
      <c r="CV652" s="4317"/>
      <c r="CW652" s="4317"/>
      <c r="CX652" s="4317"/>
      <c r="CY652" s="4317"/>
      <c r="CZ652" s="4317"/>
      <c r="DA652" s="4317"/>
      <c r="DB652" s="4317"/>
      <c r="DC652" s="4317"/>
      <c r="DD652" s="4317"/>
      <c r="DE652" s="4317"/>
      <c r="DF652" s="4317"/>
      <c r="DG652" s="4317"/>
      <c r="DH652" s="4317"/>
      <c r="DI652" s="4317"/>
      <c r="DJ652" s="4317"/>
      <c r="DK652" s="4317"/>
      <c r="DL652" s="4317"/>
      <c r="DM652" s="4317"/>
      <c r="DN652" s="4317"/>
      <c r="DO652" s="4317"/>
      <c r="DP652" s="4317"/>
      <c r="DQ652" s="4317"/>
      <c r="DR652" s="4317"/>
      <c r="DS652" s="4317"/>
      <c r="DT652" s="4133"/>
      <c r="DU652" s="4133"/>
      <c r="DV652" s="4133"/>
      <c r="DW652" s="4133"/>
      <c r="DX652" s="4133"/>
      <c r="DY652" s="4133"/>
    </row>
    <row r="653" s="4134" customFormat="1" ht="16.5" customHeight="1" spans="1:129">
      <c r="A653" s="4657" t="s">
        <v>868</v>
      </c>
      <c r="B653" s="4567"/>
      <c r="C653" s="4567"/>
      <c r="D653" s="4567"/>
      <c r="E653" s="4567"/>
      <c r="F653" s="4534"/>
      <c r="G653" s="4535"/>
      <c r="H653" s="4535"/>
      <c r="I653" s="4535"/>
      <c r="J653" s="4535"/>
      <c r="K653" s="4535"/>
      <c r="L653" s="4536"/>
      <c r="M653" s="4534"/>
      <c r="N653" s="4535"/>
      <c r="O653" s="4535"/>
      <c r="P653" s="4535"/>
      <c r="Q653" s="4535"/>
      <c r="R653" s="4535"/>
      <c r="S653" s="4536"/>
      <c r="T653" s="4317"/>
      <c r="U653" s="4653"/>
      <c r="V653" s="4316" t="s">
        <v>5320</v>
      </c>
      <c r="W653" s="4317"/>
      <c r="X653" s="4317"/>
      <c r="Y653" s="4653"/>
      <c r="Z653" s="4653"/>
      <c r="AA653" s="4653"/>
      <c r="AB653" s="4317"/>
      <c r="AC653" s="4295"/>
      <c r="AD653" s="4653"/>
      <c r="AE653" s="4653"/>
      <c r="AF653" s="4653"/>
      <c r="AG653" s="4317"/>
      <c r="AH653" s="4317"/>
      <c r="AI653" s="4317"/>
      <c r="AJ653" s="4317"/>
      <c r="AK653" s="4317"/>
      <c r="AL653" s="4317"/>
      <c r="AM653" s="4317"/>
      <c r="AN653" s="4317"/>
      <c r="AO653" s="4317"/>
      <c r="AP653" s="4317"/>
      <c r="AQ653" s="4317"/>
      <c r="AR653" s="4317"/>
      <c r="AS653" s="4317"/>
      <c r="AT653" s="4317"/>
      <c r="AU653" s="4317"/>
      <c r="AV653" s="4317"/>
      <c r="AW653" s="4317"/>
      <c r="AX653" s="4317"/>
      <c r="AY653" s="4317"/>
      <c r="AZ653" s="4317"/>
      <c r="BA653" s="4317"/>
      <c r="BB653" s="4317"/>
      <c r="BC653" s="4317"/>
      <c r="BD653" s="4317"/>
      <c r="BE653" s="4317"/>
      <c r="BF653" s="4317"/>
      <c r="BG653" s="4317"/>
      <c r="BH653" s="4317"/>
      <c r="BI653" s="4317"/>
      <c r="BJ653" s="4317"/>
      <c r="BK653" s="4317"/>
      <c r="BL653" s="4317"/>
      <c r="BM653" s="4317"/>
      <c r="BN653" s="4317"/>
      <c r="BO653" s="4317"/>
      <c r="BP653" s="4317"/>
      <c r="BQ653" s="4317"/>
      <c r="BR653" s="4317"/>
      <c r="BS653" s="4317"/>
      <c r="BT653" s="4317"/>
      <c r="BU653" s="4317"/>
      <c r="BV653" s="4317"/>
      <c r="BW653" s="4317"/>
      <c r="BX653" s="4317"/>
      <c r="BY653" s="4317"/>
      <c r="BZ653" s="4317"/>
      <c r="CA653" s="4317"/>
      <c r="CB653" s="4317"/>
      <c r="CC653" s="4317"/>
      <c r="CD653" s="4317"/>
      <c r="CE653" s="4317"/>
      <c r="CF653" s="4317"/>
      <c r="CG653" s="4317"/>
      <c r="CH653" s="4317"/>
      <c r="CI653" s="4317"/>
      <c r="CJ653" s="4317"/>
      <c r="CK653" s="4317"/>
      <c r="CL653" s="4317"/>
      <c r="CM653" s="4317"/>
      <c r="CN653" s="4317"/>
      <c r="CO653" s="4317"/>
      <c r="CP653" s="4317"/>
      <c r="CQ653" s="4317"/>
      <c r="CR653" s="4317"/>
      <c r="CS653" s="4317"/>
      <c r="CT653" s="4317"/>
      <c r="CU653" s="4317"/>
      <c r="CV653" s="4317"/>
      <c r="CW653" s="4317"/>
      <c r="CX653" s="4317"/>
      <c r="CY653" s="4317"/>
      <c r="CZ653" s="4317"/>
      <c r="DA653" s="4317"/>
      <c r="DB653" s="4317"/>
      <c r="DC653" s="4317"/>
      <c r="DD653" s="4317"/>
      <c r="DE653" s="4317"/>
      <c r="DF653" s="4317"/>
      <c r="DG653" s="4317"/>
      <c r="DH653" s="4317"/>
      <c r="DI653" s="4317"/>
      <c r="DJ653" s="4317"/>
      <c r="DK653" s="4317"/>
      <c r="DL653" s="4317"/>
      <c r="DM653" s="4317"/>
      <c r="DN653" s="4317"/>
      <c r="DO653" s="4317"/>
      <c r="DP653" s="4317"/>
      <c r="DQ653" s="4317"/>
      <c r="DR653" s="4317"/>
      <c r="DS653" s="4317"/>
      <c r="DT653" s="4133"/>
      <c r="DU653" s="4133"/>
      <c r="DV653" s="4133"/>
      <c r="DW653" s="4133"/>
      <c r="DX653" s="4133"/>
      <c r="DY653" s="4133"/>
    </row>
    <row r="654" s="4134" customFormat="1" ht="16.5" customHeight="1" spans="1:129">
      <c r="A654" s="4657" t="s">
        <v>5321</v>
      </c>
      <c r="B654" s="4567"/>
      <c r="C654" s="4567"/>
      <c r="D654" s="4567"/>
      <c r="E654" s="4567"/>
      <c r="F654" s="4534"/>
      <c r="G654" s="4535"/>
      <c r="H654" s="4535"/>
      <c r="I654" s="4535"/>
      <c r="J654" s="4535"/>
      <c r="K654" s="4535"/>
      <c r="L654" s="4536"/>
      <c r="M654" s="4534"/>
      <c r="N654" s="4535"/>
      <c r="O654" s="4535"/>
      <c r="P654" s="4535"/>
      <c r="Q654" s="4535"/>
      <c r="R654" s="4535"/>
      <c r="S654" s="4536"/>
      <c r="T654" s="4317"/>
      <c r="U654" s="4653"/>
      <c r="V654" s="4316" t="s">
        <v>5322</v>
      </c>
      <c r="W654" s="4317"/>
      <c r="X654" s="4317"/>
      <c r="Y654" s="4653"/>
      <c r="Z654" s="4653"/>
      <c r="AA654" s="4653"/>
      <c r="AB654" s="4317"/>
      <c r="AC654" s="4295"/>
      <c r="AD654" s="4653"/>
      <c r="AE654" s="4653"/>
      <c r="AF654" s="4653"/>
      <c r="AG654" s="4317"/>
      <c r="AH654" s="4317"/>
      <c r="AI654" s="4317"/>
      <c r="AJ654" s="4317"/>
      <c r="AK654" s="4317"/>
      <c r="AL654" s="4317"/>
      <c r="AM654" s="4317"/>
      <c r="AN654" s="4317"/>
      <c r="AO654" s="4317"/>
      <c r="AP654" s="4317"/>
      <c r="AQ654" s="4317"/>
      <c r="AR654" s="4317"/>
      <c r="AS654" s="4317"/>
      <c r="AT654" s="4317"/>
      <c r="AU654" s="4317"/>
      <c r="AV654" s="4317"/>
      <c r="AW654" s="4317"/>
      <c r="AX654" s="4317"/>
      <c r="AY654" s="4317"/>
      <c r="AZ654" s="4317"/>
      <c r="BA654" s="4317"/>
      <c r="BB654" s="4317"/>
      <c r="BC654" s="4317"/>
      <c r="BD654" s="4317"/>
      <c r="BE654" s="4317"/>
      <c r="BF654" s="4317"/>
      <c r="BG654" s="4317"/>
      <c r="BH654" s="4317"/>
      <c r="BI654" s="4317"/>
      <c r="BJ654" s="4317"/>
      <c r="BK654" s="4317"/>
      <c r="BL654" s="4317"/>
      <c r="BM654" s="4317"/>
      <c r="BN654" s="4317"/>
      <c r="BO654" s="4317"/>
      <c r="BP654" s="4317"/>
      <c r="BQ654" s="4317"/>
      <c r="BR654" s="4317"/>
      <c r="BS654" s="4317"/>
      <c r="BT654" s="4317"/>
      <c r="BU654" s="4317"/>
      <c r="BV654" s="4317"/>
      <c r="BW654" s="4317"/>
      <c r="BX654" s="4317"/>
      <c r="BY654" s="4317"/>
      <c r="BZ654" s="4317"/>
      <c r="CA654" s="4317"/>
      <c r="CB654" s="4317"/>
      <c r="CC654" s="4317"/>
      <c r="CD654" s="4317"/>
      <c r="CE654" s="4317"/>
      <c r="CF654" s="4317"/>
      <c r="CG654" s="4317"/>
      <c r="CH654" s="4317"/>
      <c r="CI654" s="4317"/>
      <c r="CJ654" s="4317"/>
      <c r="CK654" s="4317"/>
      <c r="CL654" s="4317"/>
      <c r="CM654" s="4317"/>
      <c r="CN654" s="4317"/>
      <c r="CO654" s="4317"/>
      <c r="CP654" s="4317"/>
      <c r="CQ654" s="4317"/>
      <c r="CR654" s="4317"/>
      <c r="CS654" s="4317"/>
      <c r="CT654" s="4317"/>
      <c r="CU654" s="4317"/>
      <c r="CV654" s="4317"/>
      <c r="CW654" s="4317"/>
      <c r="CX654" s="4317"/>
      <c r="CY654" s="4317"/>
      <c r="CZ654" s="4317"/>
      <c r="DA654" s="4317"/>
      <c r="DB654" s="4317"/>
      <c r="DC654" s="4317"/>
      <c r="DD654" s="4317"/>
      <c r="DE654" s="4317"/>
      <c r="DF654" s="4317"/>
      <c r="DG654" s="4317"/>
      <c r="DH654" s="4317"/>
      <c r="DI654" s="4317"/>
      <c r="DJ654" s="4317"/>
      <c r="DK654" s="4317"/>
      <c r="DL654" s="4317"/>
      <c r="DM654" s="4317"/>
      <c r="DN654" s="4317"/>
      <c r="DO654" s="4317"/>
      <c r="DP654" s="4317"/>
      <c r="DQ654" s="4317"/>
      <c r="DR654" s="4317"/>
      <c r="DS654" s="4317"/>
      <c r="DT654" s="4133"/>
      <c r="DU654" s="4133"/>
      <c r="DV654" s="4133"/>
      <c r="DW654" s="4133"/>
      <c r="DX654" s="4133"/>
      <c r="DY654" s="4133"/>
    </row>
    <row r="655" s="4134" customFormat="1" ht="16.5" customHeight="1" spans="1:129">
      <c r="A655" s="4657" t="s">
        <v>727</v>
      </c>
      <c r="B655" s="4567"/>
      <c r="C655" s="4567"/>
      <c r="D655" s="4567"/>
      <c r="E655" s="4567"/>
      <c r="F655" s="4534"/>
      <c r="G655" s="4535"/>
      <c r="H655" s="4535"/>
      <c r="I655" s="4535"/>
      <c r="J655" s="4535"/>
      <c r="K655" s="4535"/>
      <c r="L655" s="4536"/>
      <c r="M655" s="4534"/>
      <c r="N655" s="4535"/>
      <c r="O655" s="4535"/>
      <c r="P655" s="4535"/>
      <c r="Q655" s="4535"/>
      <c r="R655" s="4535"/>
      <c r="S655" s="4536"/>
      <c r="T655" s="4317"/>
      <c r="U655" s="4653"/>
      <c r="V655" s="4316" t="s">
        <v>5323</v>
      </c>
      <c r="W655" s="4317"/>
      <c r="X655" s="4317"/>
      <c r="Y655" s="4653"/>
      <c r="Z655" s="4653"/>
      <c r="AA655" s="4653"/>
      <c r="AB655" s="4317"/>
      <c r="AC655" s="4295"/>
      <c r="AD655" s="4653"/>
      <c r="AE655" s="4653"/>
      <c r="AF655" s="4653"/>
      <c r="AG655" s="4317"/>
      <c r="AH655" s="4317"/>
      <c r="AI655" s="4317"/>
      <c r="AJ655" s="4317"/>
      <c r="AK655" s="4317"/>
      <c r="AL655" s="4317"/>
      <c r="AM655" s="4317"/>
      <c r="AN655" s="4317"/>
      <c r="AO655" s="4317"/>
      <c r="AP655" s="4317"/>
      <c r="AQ655" s="4317"/>
      <c r="AR655" s="4317"/>
      <c r="AS655" s="4317"/>
      <c r="AT655" s="4317"/>
      <c r="AU655" s="4317"/>
      <c r="AV655" s="4317"/>
      <c r="AW655" s="4317"/>
      <c r="AX655" s="4317"/>
      <c r="AY655" s="4317"/>
      <c r="AZ655" s="4317"/>
      <c r="BA655" s="4317"/>
      <c r="BB655" s="4317"/>
      <c r="BC655" s="4317"/>
      <c r="BD655" s="4317"/>
      <c r="BE655" s="4317"/>
      <c r="BF655" s="4317"/>
      <c r="BG655" s="4317"/>
      <c r="BH655" s="4317"/>
      <c r="BI655" s="4317"/>
      <c r="BJ655" s="4317"/>
      <c r="BK655" s="4317"/>
      <c r="BL655" s="4317"/>
      <c r="BM655" s="4317"/>
      <c r="BN655" s="4317"/>
      <c r="BO655" s="4317"/>
      <c r="BP655" s="4317"/>
      <c r="BQ655" s="4317"/>
      <c r="BR655" s="4317"/>
      <c r="BS655" s="4317"/>
      <c r="BT655" s="4317"/>
      <c r="BU655" s="4317"/>
      <c r="BV655" s="4317"/>
      <c r="BW655" s="4317"/>
      <c r="BX655" s="4317"/>
      <c r="BY655" s="4317"/>
      <c r="BZ655" s="4317"/>
      <c r="CA655" s="4317"/>
      <c r="CB655" s="4317"/>
      <c r="CC655" s="4317"/>
      <c r="CD655" s="4317"/>
      <c r="CE655" s="4317"/>
      <c r="CF655" s="4317"/>
      <c r="CG655" s="4317"/>
      <c r="CH655" s="4317"/>
      <c r="CI655" s="4317"/>
      <c r="CJ655" s="4317"/>
      <c r="CK655" s="4317"/>
      <c r="CL655" s="4317"/>
      <c r="CM655" s="4317"/>
      <c r="CN655" s="4317"/>
      <c r="CO655" s="4317"/>
      <c r="CP655" s="4317"/>
      <c r="CQ655" s="4317"/>
      <c r="CR655" s="4317"/>
      <c r="CS655" s="4317"/>
      <c r="CT655" s="4317"/>
      <c r="CU655" s="4317"/>
      <c r="CV655" s="4317"/>
      <c r="CW655" s="4317"/>
      <c r="CX655" s="4317"/>
      <c r="CY655" s="4317"/>
      <c r="CZ655" s="4317"/>
      <c r="DA655" s="4317"/>
      <c r="DB655" s="4317"/>
      <c r="DC655" s="4317"/>
      <c r="DD655" s="4317"/>
      <c r="DE655" s="4317"/>
      <c r="DF655" s="4317"/>
      <c r="DG655" s="4317"/>
      <c r="DH655" s="4317"/>
      <c r="DI655" s="4317"/>
      <c r="DJ655" s="4317"/>
      <c r="DK655" s="4317"/>
      <c r="DL655" s="4317"/>
      <c r="DM655" s="4317"/>
      <c r="DN655" s="4317"/>
      <c r="DO655" s="4317"/>
      <c r="DP655" s="4317"/>
      <c r="DQ655" s="4317"/>
      <c r="DR655" s="4317"/>
      <c r="DS655" s="4317"/>
      <c r="DT655" s="4133"/>
      <c r="DU655" s="4133"/>
      <c r="DV655" s="4133"/>
      <c r="DW655" s="4133"/>
      <c r="DX655" s="4133"/>
      <c r="DY655" s="4133"/>
    </row>
    <row r="656" s="4134" customFormat="1" ht="16.5" customHeight="1" spans="1:129">
      <c r="A656" s="4659" t="s">
        <v>5324</v>
      </c>
      <c r="B656" s="4660"/>
      <c r="C656" s="4660"/>
      <c r="D656" s="4660"/>
      <c r="E656" s="4660"/>
      <c r="F656" s="4661">
        <f>SUM(F653:L655)</f>
        <v>0</v>
      </c>
      <c r="G656" s="4661"/>
      <c r="H656" s="4661"/>
      <c r="I656" s="4661"/>
      <c r="J656" s="4661"/>
      <c r="K656" s="4661"/>
      <c r="L656" s="4661"/>
      <c r="M656" s="4661">
        <f>SUM(M653:S655)</f>
        <v>0</v>
      </c>
      <c r="N656" s="4661"/>
      <c r="O656" s="4661"/>
      <c r="P656" s="4661"/>
      <c r="Q656" s="4661"/>
      <c r="R656" s="4661"/>
      <c r="S656" s="4661"/>
      <c r="T656" s="4317"/>
      <c r="U656" s="4653"/>
      <c r="V656" s="4322" t="s">
        <v>5323</v>
      </c>
      <c r="W656" s="4317"/>
      <c r="X656" s="4317"/>
      <c r="Y656" s="4653"/>
      <c r="Z656" s="4653"/>
      <c r="AA656" s="4653"/>
      <c r="AB656" s="4317"/>
      <c r="AC656" s="4295"/>
      <c r="AD656" s="4653"/>
      <c r="AE656" s="4653"/>
      <c r="AF656" s="4653"/>
      <c r="AG656" s="4317"/>
      <c r="AH656" s="4317"/>
      <c r="AI656" s="4317"/>
      <c r="AJ656" s="4317"/>
      <c r="AK656" s="4317"/>
      <c r="AL656" s="4317"/>
      <c r="AM656" s="4317"/>
      <c r="AN656" s="4317"/>
      <c r="AO656" s="4317"/>
      <c r="AP656" s="4317"/>
      <c r="AQ656" s="4317"/>
      <c r="AR656" s="4317"/>
      <c r="AS656" s="4317"/>
      <c r="AT656" s="4317"/>
      <c r="AU656" s="4317"/>
      <c r="AV656" s="4317"/>
      <c r="AW656" s="4317"/>
      <c r="AX656" s="4317"/>
      <c r="AY656" s="4317"/>
      <c r="AZ656" s="4317"/>
      <c r="BA656" s="4317"/>
      <c r="BB656" s="4317"/>
      <c r="BC656" s="4317"/>
      <c r="BD656" s="4317"/>
      <c r="BE656" s="4317"/>
      <c r="BF656" s="4317"/>
      <c r="BG656" s="4317"/>
      <c r="BH656" s="4317"/>
      <c r="BI656" s="4317"/>
      <c r="BJ656" s="4317"/>
      <c r="BK656" s="4317"/>
      <c r="BL656" s="4317"/>
      <c r="BM656" s="4317"/>
      <c r="BN656" s="4317"/>
      <c r="BO656" s="4317"/>
      <c r="BP656" s="4317"/>
      <c r="BQ656" s="4317"/>
      <c r="BR656" s="4317"/>
      <c r="BS656" s="4317"/>
      <c r="BT656" s="4317"/>
      <c r="BU656" s="4317"/>
      <c r="BV656" s="4317"/>
      <c r="BW656" s="4317"/>
      <c r="BX656" s="4317"/>
      <c r="BY656" s="4317"/>
      <c r="BZ656" s="4317"/>
      <c r="CA656" s="4317"/>
      <c r="CB656" s="4317"/>
      <c r="CC656" s="4317"/>
      <c r="CD656" s="4317"/>
      <c r="CE656" s="4317"/>
      <c r="CF656" s="4317"/>
      <c r="CG656" s="4317"/>
      <c r="CH656" s="4317"/>
      <c r="CI656" s="4317"/>
      <c r="CJ656" s="4317"/>
      <c r="CK656" s="4317"/>
      <c r="CL656" s="4317"/>
      <c r="CM656" s="4317"/>
      <c r="CN656" s="4317"/>
      <c r="CO656" s="4317"/>
      <c r="CP656" s="4317"/>
      <c r="CQ656" s="4317"/>
      <c r="CR656" s="4317"/>
      <c r="CS656" s="4317"/>
      <c r="CT656" s="4317"/>
      <c r="CU656" s="4317"/>
      <c r="CV656" s="4317"/>
      <c r="CW656" s="4317"/>
      <c r="CX656" s="4317"/>
      <c r="CY656" s="4317"/>
      <c r="CZ656" s="4317"/>
      <c r="DA656" s="4317"/>
      <c r="DB656" s="4317"/>
      <c r="DC656" s="4317"/>
      <c r="DD656" s="4317"/>
      <c r="DE656" s="4317"/>
      <c r="DF656" s="4317"/>
      <c r="DG656" s="4317"/>
      <c r="DH656" s="4317"/>
      <c r="DI656" s="4317"/>
      <c r="DJ656" s="4317"/>
      <c r="DK656" s="4317"/>
      <c r="DL656" s="4317"/>
      <c r="DM656" s="4317"/>
      <c r="DN656" s="4317"/>
      <c r="DO656" s="4317"/>
      <c r="DP656" s="4317"/>
      <c r="DQ656" s="4317"/>
      <c r="DR656" s="4317"/>
      <c r="DS656" s="4317"/>
      <c r="DT656" s="4133"/>
      <c r="DU656" s="4133"/>
      <c r="DV656" s="4133"/>
      <c r="DW656" s="4133"/>
      <c r="DX656" s="4133"/>
      <c r="DY656" s="4133"/>
    </row>
    <row r="657" s="4134" customFormat="1" ht="16.5" customHeight="1" spans="1:129">
      <c r="A657" s="4657" t="s">
        <v>940</v>
      </c>
      <c r="B657" s="4567"/>
      <c r="C657" s="4567"/>
      <c r="D657" s="4567"/>
      <c r="E657" s="4567"/>
      <c r="F657" s="4534"/>
      <c r="G657" s="4535"/>
      <c r="H657" s="4535"/>
      <c r="I657" s="4535"/>
      <c r="J657" s="4535"/>
      <c r="K657" s="4535"/>
      <c r="L657" s="4536"/>
      <c r="M657" s="4534"/>
      <c r="N657" s="4535"/>
      <c r="O657" s="4535"/>
      <c r="P657" s="4535"/>
      <c r="Q657" s="4535"/>
      <c r="R657" s="4535"/>
      <c r="S657" s="4536"/>
      <c r="T657" s="4317"/>
      <c r="U657" s="4653"/>
      <c r="V657" s="4316" t="s">
        <v>3110</v>
      </c>
      <c r="W657" s="4317"/>
      <c r="X657" s="4317"/>
      <c r="Y657" s="4653"/>
      <c r="Z657" s="4653"/>
      <c r="AA657" s="4653"/>
      <c r="AB657" s="4317"/>
      <c r="AC657" s="4295"/>
      <c r="AD657" s="4653"/>
      <c r="AE657" s="4653"/>
      <c r="AF657" s="4653"/>
      <c r="AG657" s="4317"/>
      <c r="AH657" s="4317"/>
      <c r="AI657" s="4317"/>
      <c r="AJ657" s="4317"/>
      <c r="AK657" s="4317"/>
      <c r="AL657" s="4317"/>
      <c r="AM657" s="4317"/>
      <c r="AN657" s="4317"/>
      <c r="AO657" s="4317"/>
      <c r="AP657" s="4317"/>
      <c r="AQ657" s="4317"/>
      <c r="AR657" s="4317"/>
      <c r="AS657" s="4317"/>
      <c r="AT657" s="4317"/>
      <c r="AU657" s="4317"/>
      <c r="AV657" s="4317"/>
      <c r="AW657" s="4317"/>
      <c r="AX657" s="4317"/>
      <c r="AY657" s="4317"/>
      <c r="AZ657" s="4317"/>
      <c r="BA657" s="4317"/>
      <c r="BB657" s="4317"/>
      <c r="BC657" s="4317"/>
      <c r="BD657" s="4317"/>
      <c r="BE657" s="4317"/>
      <c r="BF657" s="4317"/>
      <c r="BG657" s="4317"/>
      <c r="BH657" s="4317"/>
      <c r="BI657" s="4317"/>
      <c r="BJ657" s="4317"/>
      <c r="BK657" s="4317"/>
      <c r="BL657" s="4317"/>
      <c r="BM657" s="4317"/>
      <c r="BN657" s="4317"/>
      <c r="BO657" s="4317"/>
      <c r="BP657" s="4317"/>
      <c r="BQ657" s="4317"/>
      <c r="BR657" s="4317"/>
      <c r="BS657" s="4317"/>
      <c r="BT657" s="4317"/>
      <c r="BU657" s="4317"/>
      <c r="BV657" s="4317"/>
      <c r="BW657" s="4317"/>
      <c r="BX657" s="4317"/>
      <c r="BY657" s="4317"/>
      <c r="BZ657" s="4317"/>
      <c r="CA657" s="4317"/>
      <c r="CB657" s="4317"/>
      <c r="CC657" s="4317"/>
      <c r="CD657" s="4317"/>
      <c r="CE657" s="4317"/>
      <c r="CF657" s="4317"/>
      <c r="CG657" s="4317"/>
      <c r="CH657" s="4317"/>
      <c r="CI657" s="4317"/>
      <c r="CJ657" s="4317"/>
      <c r="CK657" s="4317"/>
      <c r="CL657" s="4317"/>
      <c r="CM657" s="4317"/>
      <c r="CN657" s="4317"/>
      <c r="CO657" s="4317"/>
      <c r="CP657" s="4317"/>
      <c r="CQ657" s="4317"/>
      <c r="CR657" s="4317"/>
      <c r="CS657" s="4317"/>
      <c r="CT657" s="4317"/>
      <c r="CU657" s="4317"/>
      <c r="CV657" s="4317"/>
      <c r="CW657" s="4317"/>
      <c r="CX657" s="4317"/>
      <c r="CY657" s="4317"/>
      <c r="CZ657" s="4317"/>
      <c r="DA657" s="4317"/>
      <c r="DB657" s="4317"/>
      <c r="DC657" s="4317"/>
      <c r="DD657" s="4317"/>
      <c r="DE657" s="4317"/>
      <c r="DF657" s="4317"/>
      <c r="DG657" s="4317"/>
      <c r="DH657" s="4317"/>
      <c r="DI657" s="4317"/>
      <c r="DJ657" s="4317"/>
      <c r="DK657" s="4317"/>
      <c r="DL657" s="4317"/>
      <c r="DM657" s="4317"/>
      <c r="DN657" s="4317"/>
      <c r="DO657" s="4317"/>
      <c r="DP657" s="4317"/>
      <c r="DQ657" s="4317"/>
      <c r="DR657" s="4317"/>
      <c r="DS657" s="4317"/>
      <c r="DT657" s="4133"/>
      <c r="DU657" s="4133"/>
      <c r="DV657" s="4133"/>
      <c r="DW657" s="4133"/>
      <c r="DX657" s="4133"/>
      <c r="DY657" s="4133"/>
    </row>
    <row r="658" s="4134" customFormat="1" ht="16.5" customHeight="1" spans="1:129">
      <c r="A658" s="4657" t="s">
        <v>951</v>
      </c>
      <c r="B658" s="4567"/>
      <c r="C658" s="4567"/>
      <c r="D658" s="4567"/>
      <c r="E658" s="4567"/>
      <c r="F658" s="4534"/>
      <c r="G658" s="4535"/>
      <c r="H658" s="4535"/>
      <c r="I658" s="4535"/>
      <c r="J658" s="4535"/>
      <c r="K658" s="4535"/>
      <c r="L658" s="4536"/>
      <c r="M658" s="4534"/>
      <c r="N658" s="4535"/>
      <c r="O658" s="4535"/>
      <c r="P658" s="4535"/>
      <c r="Q658" s="4535"/>
      <c r="R658" s="4535"/>
      <c r="S658" s="4536"/>
      <c r="T658" s="4317"/>
      <c r="U658" s="4653"/>
      <c r="V658" s="4316" t="s">
        <v>5325</v>
      </c>
      <c r="W658" s="4317"/>
      <c r="X658" s="4317"/>
      <c r="Y658" s="4653"/>
      <c r="Z658" s="4653"/>
      <c r="AA658" s="4653"/>
      <c r="AB658" s="4317"/>
      <c r="AC658" s="4295"/>
      <c r="AD658" s="4653"/>
      <c r="AE658" s="4653"/>
      <c r="AF658" s="4653"/>
      <c r="AG658" s="4317"/>
      <c r="AH658" s="4317"/>
      <c r="AI658" s="4317"/>
      <c r="AJ658" s="4317"/>
      <c r="AK658" s="4317"/>
      <c r="AL658" s="4317"/>
      <c r="AM658" s="4317"/>
      <c r="AN658" s="4317"/>
      <c r="AO658" s="4317"/>
      <c r="AP658" s="4317"/>
      <c r="AQ658" s="4317"/>
      <c r="AR658" s="4317"/>
      <c r="AS658" s="4317"/>
      <c r="AT658" s="4317"/>
      <c r="AU658" s="4317"/>
      <c r="AV658" s="4317"/>
      <c r="AW658" s="4317"/>
      <c r="AX658" s="4317"/>
      <c r="AY658" s="4317"/>
      <c r="AZ658" s="4317"/>
      <c r="BA658" s="4317"/>
      <c r="BB658" s="4317"/>
      <c r="BC658" s="4317"/>
      <c r="BD658" s="4317"/>
      <c r="BE658" s="4317"/>
      <c r="BF658" s="4317"/>
      <c r="BG658" s="4317"/>
      <c r="BH658" s="4317"/>
      <c r="BI658" s="4317"/>
      <c r="BJ658" s="4317"/>
      <c r="BK658" s="4317"/>
      <c r="BL658" s="4317"/>
      <c r="BM658" s="4317"/>
      <c r="BN658" s="4317"/>
      <c r="BO658" s="4317"/>
      <c r="BP658" s="4317"/>
      <c r="BQ658" s="4317"/>
      <c r="BR658" s="4317"/>
      <c r="BS658" s="4317"/>
      <c r="BT658" s="4317"/>
      <c r="BU658" s="4317"/>
      <c r="BV658" s="4317"/>
      <c r="BW658" s="4317"/>
      <c r="BX658" s="4317"/>
      <c r="BY658" s="4317"/>
      <c r="BZ658" s="4317"/>
      <c r="CA658" s="4317"/>
      <c r="CB658" s="4317"/>
      <c r="CC658" s="4317"/>
      <c r="CD658" s="4317"/>
      <c r="CE658" s="4317"/>
      <c r="CF658" s="4317"/>
      <c r="CG658" s="4317"/>
      <c r="CH658" s="4317"/>
      <c r="CI658" s="4317"/>
      <c r="CJ658" s="4317"/>
      <c r="CK658" s="4317"/>
      <c r="CL658" s="4317"/>
      <c r="CM658" s="4317"/>
      <c r="CN658" s="4317"/>
      <c r="CO658" s="4317"/>
      <c r="CP658" s="4317"/>
      <c r="CQ658" s="4317"/>
      <c r="CR658" s="4317"/>
      <c r="CS658" s="4317"/>
      <c r="CT658" s="4317"/>
      <c r="CU658" s="4317"/>
      <c r="CV658" s="4317"/>
      <c r="CW658" s="4317"/>
      <c r="CX658" s="4317"/>
      <c r="CY658" s="4317"/>
      <c r="CZ658" s="4317"/>
      <c r="DA658" s="4317"/>
      <c r="DB658" s="4317"/>
      <c r="DC658" s="4317"/>
      <c r="DD658" s="4317"/>
      <c r="DE658" s="4317"/>
      <c r="DF658" s="4317"/>
      <c r="DG658" s="4317"/>
      <c r="DH658" s="4317"/>
      <c r="DI658" s="4317"/>
      <c r="DJ658" s="4317"/>
      <c r="DK658" s="4317"/>
      <c r="DL658" s="4317"/>
      <c r="DM658" s="4317"/>
      <c r="DN658" s="4317"/>
      <c r="DO658" s="4317"/>
      <c r="DP658" s="4317"/>
      <c r="DQ658" s="4317"/>
      <c r="DR658" s="4317"/>
      <c r="DS658" s="4317"/>
      <c r="DT658" s="4133"/>
      <c r="DU658" s="4133"/>
      <c r="DV658" s="4133"/>
      <c r="DW658" s="4133"/>
      <c r="DX658" s="4133"/>
      <c r="DY658" s="4133"/>
    </row>
    <row r="659" s="4134" customFormat="1" ht="16.5" customHeight="1" spans="1:129">
      <c r="A659" s="4657" t="s">
        <v>983</v>
      </c>
      <c r="B659" s="4567"/>
      <c r="C659" s="4567"/>
      <c r="D659" s="4567"/>
      <c r="E659" s="4567"/>
      <c r="F659" s="4534"/>
      <c r="G659" s="4535"/>
      <c r="H659" s="4535"/>
      <c r="I659" s="4535"/>
      <c r="J659" s="4535"/>
      <c r="K659" s="4535"/>
      <c r="L659" s="4536"/>
      <c r="M659" s="4534"/>
      <c r="N659" s="4535"/>
      <c r="O659" s="4535"/>
      <c r="P659" s="4535"/>
      <c r="Q659" s="4535"/>
      <c r="R659" s="4535"/>
      <c r="S659" s="4536"/>
      <c r="T659" s="4317"/>
      <c r="U659" s="4653"/>
      <c r="V659" s="4316" t="s">
        <v>5326</v>
      </c>
      <c r="W659" s="4317"/>
      <c r="X659" s="4317"/>
      <c r="Y659" s="4653"/>
      <c r="Z659" s="4653"/>
      <c r="AA659" s="4653"/>
      <c r="AB659" s="4317"/>
      <c r="AC659" s="4295"/>
      <c r="AD659" s="4653"/>
      <c r="AE659" s="4653"/>
      <c r="AF659" s="4653"/>
      <c r="AG659" s="4317"/>
      <c r="AH659" s="4317"/>
      <c r="AI659" s="4317"/>
      <c r="AJ659" s="4317"/>
      <c r="AK659" s="4317"/>
      <c r="AL659" s="4317"/>
      <c r="AM659" s="4317"/>
      <c r="AN659" s="4317"/>
      <c r="AO659" s="4317"/>
      <c r="AP659" s="4317"/>
      <c r="AQ659" s="4317"/>
      <c r="AR659" s="4317"/>
      <c r="AS659" s="4317"/>
      <c r="AT659" s="4317"/>
      <c r="AU659" s="4317"/>
      <c r="AV659" s="4317"/>
      <c r="AW659" s="4317"/>
      <c r="AX659" s="4317"/>
      <c r="AY659" s="4317"/>
      <c r="AZ659" s="4317"/>
      <c r="BA659" s="4317"/>
      <c r="BB659" s="4317"/>
      <c r="BC659" s="4317"/>
      <c r="BD659" s="4317"/>
      <c r="BE659" s="4317"/>
      <c r="BF659" s="4317"/>
      <c r="BG659" s="4317"/>
      <c r="BH659" s="4317"/>
      <c r="BI659" s="4317"/>
      <c r="BJ659" s="4317"/>
      <c r="BK659" s="4317"/>
      <c r="BL659" s="4317"/>
      <c r="BM659" s="4317"/>
      <c r="BN659" s="4317"/>
      <c r="BO659" s="4317"/>
      <c r="BP659" s="4317"/>
      <c r="BQ659" s="4317"/>
      <c r="BR659" s="4317"/>
      <c r="BS659" s="4317"/>
      <c r="BT659" s="4317"/>
      <c r="BU659" s="4317"/>
      <c r="BV659" s="4317"/>
      <c r="BW659" s="4317"/>
      <c r="BX659" s="4317"/>
      <c r="BY659" s="4317"/>
      <c r="BZ659" s="4317"/>
      <c r="CA659" s="4317"/>
      <c r="CB659" s="4317"/>
      <c r="CC659" s="4317"/>
      <c r="CD659" s="4317"/>
      <c r="CE659" s="4317"/>
      <c r="CF659" s="4317"/>
      <c r="CG659" s="4317"/>
      <c r="CH659" s="4317"/>
      <c r="CI659" s="4317"/>
      <c r="CJ659" s="4317"/>
      <c r="CK659" s="4317"/>
      <c r="CL659" s="4317"/>
      <c r="CM659" s="4317"/>
      <c r="CN659" s="4317"/>
      <c r="CO659" s="4317"/>
      <c r="CP659" s="4317"/>
      <c r="CQ659" s="4317"/>
      <c r="CR659" s="4317"/>
      <c r="CS659" s="4317"/>
      <c r="CT659" s="4317"/>
      <c r="CU659" s="4317"/>
      <c r="CV659" s="4317"/>
      <c r="CW659" s="4317"/>
      <c r="CX659" s="4317"/>
      <c r="CY659" s="4317"/>
      <c r="CZ659" s="4317"/>
      <c r="DA659" s="4317"/>
      <c r="DB659" s="4317"/>
      <c r="DC659" s="4317"/>
      <c r="DD659" s="4317"/>
      <c r="DE659" s="4317"/>
      <c r="DF659" s="4317"/>
      <c r="DG659" s="4317"/>
      <c r="DH659" s="4317"/>
      <c r="DI659" s="4317"/>
      <c r="DJ659" s="4317"/>
      <c r="DK659" s="4317"/>
      <c r="DL659" s="4317"/>
      <c r="DM659" s="4317"/>
      <c r="DN659" s="4317"/>
      <c r="DO659" s="4317"/>
      <c r="DP659" s="4317"/>
      <c r="DQ659" s="4317"/>
      <c r="DR659" s="4317"/>
      <c r="DS659" s="4317"/>
      <c r="DT659" s="4133"/>
      <c r="DU659" s="4133"/>
      <c r="DV659" s="4133"/>
      <c r="DW659" s="4133"/>
      <c r="DX659" s="4133"/>
      <c r="DY659" s="4133"/>
    </row>
    <row r="660" s="4134" customFormat="1" ht="16.5" customHeight="1" spans="1:129">
      <c r="A660" s="4666" t="s">
        <v>5327</v>
      </c>
      <c r="B660" s="4667"/>
      <c r="C660" s="4667"/>
      <c r="D660" s="4667"/>
      <c r="E660" s="4667"/>
      <c r="F660" s="4668">
        <f>SUM(F657:L659)</f>
        <v>0</v>
      </c>
      <c r="G660" s="4668"/>
      <c r="H660" s="4668"/>
      <c r="I660" s="4668"/>
      <c r="J660" s="4668"/>
      <c r="K660" s="4668"/>
      <c r="L660" s="4668"/>
      <c r="M660" s="4668">
        <f>SUM(M657:S659)</f>
        <v>0</v>
      </c>
      <c r="N660" s="4668"/>
      <c r="O660" s="4668"/>
      <c r="P660" s="4668"/>
      <c r="Q660" s="4668"/>
      <c r="R660" s="4668"/>
      <c r="S660" s="4668"/>
      <c r="T660" s="4317"/>
      <c r="U660" s="4653"/>
      <c r="V660" s="4322" t="s">
        <v>5328</v>
      </c>
      <c r="W660" s="4317"/>
      <c r="X660" s="4317"/>
      <c r="Y660" s="4653"/>
      <c r="Z660" s="4653"/>
      <c r="AA660" s="4653"/>
      <c r="AB660" s="4317"/>
      <c r="AC660" s="4295"/>
      <c r="AD660" s="4653"/>
      <c r="AE660" s="4653"/>
      <c r="AF660" s="4653"/>
      <c r="AG660" s="4317"/>
      <c r="AH660" s="4317"/>
      <c r="AI660" s="4317"/>
      <c r="AJ660" s="4317"/>
      <c r="AK660" s="4317"/>
      <c r="AL660" s="4317"/>
      <c r="AM660" s="4317"/>
      <c r="AN660" s="4317"/>
      <c r="AO660" s="4317"/>
      <c r="AP660" s="4317"/>
      <c r="AQ660" s="4317"/>
      <c r="AR660" s="4317"/>
      <c r="AS660" s="4317"/>
      <c r="AT660" s="4317"/>
      <c r="AU660" s="4317"/>
      <c r="AV660" s="4317"/>
      <c r="AW660" s="4317"/>
      <c r="AX660" s="4317"/>
      <c r="AY660" s="4317"/>
      <c r="AZ660" s="4317"/>
      <c r="BA660" s="4317"/>
      <c r="BB660" s="4317"/>
      <c r="BC660" s="4317"/>
      <c r="BD660" s="4317"/>
      <c r="BE660" s="4317"/>
      <c r="BF660" s="4317"/>
      <c r="BG660" s="4317"/>
      <c r="BH660" s="4317"/>
      <c r="BI660" s="4317"/>
      <c r="BJ660" s="4317"/>
      <c r="BK660" s="4317"/>
      <c r="BL660" s="4317"/>
      <c r="BM660" s="4317"/>
      <c r="BN660" s="4317"/>
      <c r="BO660" s="4317"/>
      <c r="BP660" s="4317"/>
      <c r="BQ660" s="4317"/>
      <c r="BR660" s="4317"/>
      <c r="BS660" s="4317"/>
      <c r="BT660" s="4317"/>
      <c r="BU660" s="4317"/>
      <c r="BV660" s="4317"/>
      <c r="BW660" s="4317"/>
      <c r="BX660" s="4317"/>
      <c r="BY660" s="4317"/>
      <c r="BZ660" s="4317"/>
      <c r="CA660" s="4317"/>
      <c r="CB660" s="4317"/>
      <c r="CC660" s="4317"/>
      <c r="CD660" s="4317"/>
      <c r="CE660" s="4317"/>
      <c r="CF660" s="4317"/>
      <c r="CG660" s="4317"/>
      <c r="CH660" s="4317"/>
      <c r="CI660" s="4317"/>
      <c r="CJ660" s="4317"/>
      <c r="CK660" s="4317"/>
      <c r="CL660" s="4317"/>
      <c r="CM660" s="4317"/>
      <c r="CN660" s="4317"/>
      <c r="CO660" s="4317"/>
      <c r="CP660" s="4317"/>
      <c r="CQ660" s="4317"/>
      <c r="CR660" s="4317"/>
      <c r="CS660" s="4317"/>
      <c r="CT660" s="4317"/>
      <c r="CU660" s="4317"/>
      <c r="CV660" s="4317"/>
      <c r="CW660" s="4317"/>
      <c r="CX660" s="4317"/>
      <c r="CY660" s="4317"/>
      <c r="CZ660" s="4317"/>
      <c r="DA660" s="4317"/>
      <c r="DB660" s="4317"/>
      <c r="DC660" s="4317"/>
      <c r="DD660" s="4317"/>
      <c r="DE660" s="4317"/>
      <c r="DF660" s="4317"/>
      <c r="DG660" s="4317"/>
      <c r="DH660" s="4317"/>
      <c r="DI660" s="4317"/>
      <c r="DJ660" s="4317"/>
      <c r="DK660" s="4317"/>
      <c r="DL660" s="4317"/>
      <c r="DM660" s="4317"/>
      <c r="DN660" s="4317"/>
      <c r="DO660" s="4317"/>
      <c r="DP660" s="4317"/>
      <c r="DQ660" s="4317"/>
      <c r="DR660" s="4317"/>
      <c r="DS660" s="4317"/>
      <c r="DT660" s="4133"/>
      <c r="DU660" s="4133"/>
      <c r="DV660" s="4133"/>
      <c r="DW660" s="4133"/>
      <c r="DX660" s="4133"/>
      <c r="DY660" s="4133"/>
    </row>
    <row r="661" s="4136" customFormat="1" ht="23.25" customHeight="1" spans="1:129">
      <c r="A661" s="4669" t="s">
        <v>5329</v>
      </c>
      <c r="B661" s="4670"/>
      <c r="C661" s="4670"/>
      <c r="D661" s="4670"/>
      <c r="E661" s="4670"/>
      <c r="F661" s="4671">
        <f>F606+F615+F623+F630+F635+F652+F656+F660</f>
        <v>58422</v>
      </c>
      <c r="G661" s="4671"/>
      <c r="H661" s="4671"/>
      <c r="I661" s="4671"/>
      <c r="J661" s="4671"/>
      <c r="K661" s="4671"/>
      <c r="L661" s="4671"/>
      <c r="M661" s="4671">
        <f>M606+M615+M623+M630+M635+M652+M656+M660</f>
        <v>36315</v>
      </c>
      <c r="N661" s="4671"/>
      <c r="O661" s="4671"/>
      <c r="P661" s="4671"/>
      <c r="Q661" s="4671"/>
      <c r="R661" s="4671"/>
      <c r="S661" s="4671"/>
      <c r="T661" s="4317"/>
      <c r="U661" s="4653"/>
      <c r="V661" s="4672" t="s">
        <v>5330</v>
      </c>
      <c r="W661" s="4317"/>
      <c r="X661" s="4317"/>
      <c r="Y661" s="4653"/>
      <c r="Z661" s="4653"/>
      <c r="AA661" s="4653"/>
      <c r="AB661" s="4181"/>
      <c r="AC661" s="4295"/>
      <c r="AD661" s="4653"/>
      <c r="AE661" s="4653"/>
      <c r="AF661" s="4653"/>
      <c r="AG661" s="4317"/>
      <c r="AH661" s="4317"/>
      <c r="AI661" s="4317"/>
      <c r="AJ661" s="4317"/>
      <c r="AK661" s="4317"/>
      <c r="AL661" s="4317"/>
      <c r="AM661" s="4317"/>
      <c r="AN661" s="4317"/>
      <c r="AO661" s="4317"/>
      <c r="AP661" s="4317"/>
      <c r="AQ661" s="4317"/>
      <c r="AR661" s="4317"/>
      <c r="AS661" s="4317"/>
      <c r="AT661" s="4317"/>
      <c r="AU661" s="4317"/>
      <c r="AV661" s="4317"/>
      <c r="AW661" s="4317"/>
      <c r="AX661" s="4317"/>
      <c r="AY661" s="4317"/>
      <c r="AZ661" s="4317"/>
      <c r="BA661" s="4317"/>
      <c r="BB661" s="4317"/>
      <c r="BC661" s="4317"/>
      <c r="BD661" s="4317"/>
      <c r="BE661" s="4317"/>
      <c r="BF661" s="4317"/>
      <c r="BG661" s="4317"/>
      <c r="BH661" s="4317"/>
      <c r="BI661" s="4317"/>
      <c r="BJ661" s="4317"/>
      <c r="BK661" s="4317"/>
      <c r="BL661" s="4317"/>
      <c r="BM661" s="4317"/>
      <c r="BN661" s="4317"/>
      <c r="BO661" s="4317"/>
      <c r="BP661" s="4317"/>
      <c r="BQ661" s="4317"/>
      <c r="BR661" s="4317"/>
      <c r="BS661" s="4317"/>
      <c r="BT661" s="4317"/>
      <c r="BU661" s="4317"/>
      <c r="BV661" s="4317"/>
      <c r="BW661" s="4317"/>
      <c r="BX661" s="4317"/>
      <c r="BY661" s="4317"/>
      <c r="BZ661" s="4317"/>
      <c r="CA661" s="4317"/>
      <c r="CB661" s="4317"/>
      <c r="CC661" s="4317"/>
      <c r="CD661" s="4317"/>
      <c r="CE661" s="4317"/>
      <c r="CF661" s="4317"/>
      <c r="CG661" s="4317"/>
      <c r="CH661" s="4317"/>
      <c r="CI661" s="4317"/>
      <c r="CJ661" s="4317"/>
      <c r="CK661" s="4317"/>
      <c r="CL661" s="4317"/>
      <c r="CM661" s="4317"/>
      <c r="CN661" s="4317"/>
      <c r="CO661" s="4317"/>
      <c r="CP661" s="4317"/>
      <c r="CQ661" s="4317"/>
      <c r="CR661" s="4317"/>
      <c r="CS661" s="4317"/>
      <c r="CT661" s="4317"/>
      <c r="CU661" s="4317"/>
      <c r="CV661" s="4317"/>
      <c r="CW661" s="4317"/>
      <c r="CX661" s="4317"/>
      <c r="CY661" s="4317"/>
      <c r="CZ661" s="4317"/>
      <c r="DA661" s="4317"/>
      <c r="DB661" s="4317"/>
      <c r="DC661" s="4317"/>
      <c r="DD661" s="4317"/>
      <c r="DE661" s="4317"/>
      <c r="DF661" s="4317"/>
      <c r="DG661" s="4317"/>
      <c r="DH661" s="4317"/>
      <c r="DI661" s="4317"/>
      <c r="DJ661" s="4317"/>
      <c r="DK661" s="4317"/>
      <c r="DL661" s="4317"/>
      <c r="DM661" s="4317"/>
      <c r="DN661" s="4317"/>
      <c r="DO661" s="4317"/>
      <c r="DP661" s="4317"/>
      <c r="DQ661" s="4317"/>
      <c r="DR661" s="4317"/>
      <c r="DS661" s="4317"/>
      <c r="DT661" s="4133"/>
      <c r="DU661" s="4133"/>
      <c r="DV661" s="4133"/>
      <c r="DW661" s="4133"/>
      <c r="DX661" s="4133"/>
      <c r="DY661" s="4133"/>
    </row>
    <row r="662" s="4134" customFormat="1" ht="16.5" customHeight="1" spans="1:129">
      <c r="A662" s="4673" t="s">
        <v>301</v>
      </c>
      <c r="B662" s="4673"/>
      <c r="C662" s="4673"/>
      <c r="D662" s="4673"/>
      <c r="E662" s="4673"/>
      <c r="F662" s="4534"/>
      <c r="G662" s="4535"/>
      <c r="H662" s="4535"/>
      <c r="I662" s="4535"/>
      <c r="J662" s="4535"/>
      <c r="K662" s="4535"/>
      <c r="L662" s="4536"/>
      <c r="M662" s="4674"/>
      <c r="N662" s="4675"/>
      <c r="O662" s="4675"/>
      <c r="P662" s="4675"/>
      <c r="Q662" s="4675"/>
      <c r="R662" s="4675"/>
      <c r="S662" s="4676"/>
      <c r="T662" s="4317"/>
      <c r="U662" s="4653"/>
      <c r="V662" s="4319" t="s">
        <v>5331</v>
      </c>
      <c r="W662" s="4317"/>
      <c r="X662" s="4317"/>
      <c r="Y662" s="4653"/>
      <c r="Z662" s="4653"/>
      <c r="AA662" s="4653"/>
      <c r="AB662" s="4317"/>
      <c r="AC662" s="4295"/>
      <c r="AD662" s="4653"/>
      <c r="AE662" s="4653"/>
      <c r="AF662" s="4653"/>
      <c r="AG662" s="4317"/>
      <c r="AH662" s="4317"/>
      <c r="AI662" s="4317"/>
      <c r="AJ662" s="4317"/>
      <c r="AK662" s="4317"/>
      <c r="AL662" s="4317"/>
      <c r="AM662" s="4317"/>
      <c r="AN662" s="4317"/>
      <c r="AO662" s="4317"/>
      <c r="AP662" s="4317"/>
      <c r="AQ662" s="4317"/>
      <c r="AR662" s="4317"/>
      <c r="AS662" s="4317"/>
      <c r="AT662" s="4317"/>
      <c r="AU662" s="4317"/>
      <c r="AV662" s="4317"/>
      <c r="AW662" s="4317"/>
      <c r="AX662" s="4317"/>
      <c r="AY662" s="4317"/>
      <c r="AZ662" s="4317"/>
      <c r="BA662" s="4317"/>
      <c r="BB662" s="4317"/>
      <c r="BC662" s="4317"/>
      <c r="BD662" s="4317"/>
      <c r="BE662" s="4317"/>
      <c r="BF662" s="4317"/>
      <c r="BG662" s="4317"/>
      <c r="BH662" s="4317"/>
      <c r="BI662" s="4317"/>
      <c r="BJ662" s="4317"/>
      <c r="BK662" s="4317"/>
      <c r="BL662" s="4317"/>
      <c r="BM662" s="4317"/>
      <c r="BN662" s="4317"/>
      <c r="BO662" s="4317"/>
      <c r="BP662" s="4317"/>
      <c r="BQ662" s="4317"/>
      <c r="BR662" s="4317"/>
      <c r="BS662" s="4317"/>
      <c r="BT662" s="4317"/>
      <c r="BU662" s="4317"/>
      <c r="BV662" s="4317"/>
      <c r="BW662" s="4317"/>
      <c r="BX662" s="4317"/>
      <c r="BY662" s="4317"/>
      <c r="BZ662" s="4317"/>
      <c r="CA662" s="4317"/>
      <c r="CB662" s="4317"/>
      <c r="CC662" s="4317"/>
      <c r="CD662" s="4317"/>
      <c r="CE662" s="4317"/>
      <c r="CF662" s="4317"/>
      <c r="CG662" s="4317"/>
      <c r="CH662" s="4317"/>
      <c r="CI662" s="4317"/>
      <c r="CJ662" s="4317"/>
      <c r="CK662" s="4317"/>
      <c r="CL662" s="4317"/>
      <c r="CM662" s="4317"/>
      <c r="CN662" s="4317"/>
      <c r="CO662" s="4317"/>
      <c r="CP662" s="4317"/>
      <c r="CQ662" s="4317"/>
      <c r="CR662" s="4317"/>
      <c r="CS662" s="4317"/>
      <c r="CT662" s="4317"/>
      <c r="CU662" s="4317"/>
      <c r="CV662" s="4317"/>
      <c r="CW662" s="4317"/>
      <c r="CX662" s="4317"/>
      <c r="CY662" s="4317"/>
      <c r="CZ662" s="4317"/>
      <c r="DA662" s="4317"/>
      <c r="DB662" s="4317"/>
      <c r="DC662" s="4317"/>
      <c r="DD662" s="4317"/>
      <c r="DE662" s="4317"/>
      <c r="DF662" s="4317"/>
      <c r="DG662" s="4317"/>
      <c r="DH662" s="4317"/>
      <c r="DI662" s="4317"/>
      <c r="DJ662" s="4317"/>
      <c r="DK662" s="4317"/>
      <c r="DL662" s="4317"/>
      <c r="DM662" s="4317"/>
      <c r="DN662" s="4317"/>
      <c r="DO662" s="4317"/>
      <c r="DP662" s="4317"/>
      <c r="DQ662" s="4317"/>
      <c r="DR662" s="4317"/>
      <c r="DS662" s="4317"/>
      <c r="DT662" s="4133"/>
      <c r="DU662" s="4133"/>
      <c r="DV662" s="4133"/>
      <c r="DW662" s="4133"/>
      <c r="DX662" s="4133"/>
      <c r="DY662" s="4133"/>
    </row>
    <row r="663" s="4134" customFormat="1" ht="16.5" customHeight="1" spans="1:129">
      <c r="A663" s="4657" t="s">
        <v>303</v>
      </c>
      <c r="B663" s="4657"/>
      <c r="C663" s="4657"/>
      <c r="D663" s="4657"/>
      <c r="E663" s="4657"/>
      <c r="F663" s="4534"/>
      <c r="G663" s="4535"/>
      <c r="H663" s="4535"/>
      <c r="I663" s="4535"/>
      <c r="J663" s="4535"/>
      <c r="K663" s="4535"/>
      <c r="L663" s="4536"/>
      <c r="M663" s="4534"/>
      <c r="N663" s="4535"/>
      <c r="O663" s="4535"/>
      <c r="P663" s="4535"/>
      <c r="Q663" s="4535"/>
      <c r="R663" s="4535"/>
      <c r="S663" s="4536"/>
      <c r="T663" s="4317"/>
      <c r="U663" s="4653"/>
      <c r="V663" s="4319" t="s">
        <v>5332</v>
      </c>
      <c r="W663" s="4317"/>
      <c r="X663" s="4317"/>
      <c r="Y663" s="4653"/>
      <c r="Z663" s="4653"/>
      <c r="AA663" s="4653"/>
      <c r="AB663" s="4317"/>
      <c r="AC663" s="4295"/>
      <c r="AD663" s="4653"/>
      <c r="AE663" s="4653"/>
      <c r="AF663" s="4653"/>
      <c r="AG663" s="4317"/>
      <c r="AH663" s="4317"/>
      <c r="AI663" s="4317"/>
      <c r="AJ663" s="4317"/>
      <c r="AK663" s="4317"/>
      <c r="AL663" s="4317"/>
      <c r="AM663" s="4317"/>
      <c r="AN663" s="4317"/>
      <c r="AO663" s="4317"/>
      <c r="AP663" s="4317"/>
      <c r="AQ663" s="4317"/>
      <c r="AR663" s="4317"/>
      <c r="AS663" s="4317"/>
      <c r="AT663" s="4317"/>
      <c r="AU663" s="4317"/>
      <c r="AV663" s="4317"/>
      <c r="AW663" s="4317"/>
      <c r="AX663" s="4317"/>
      <c r="AY663" s="4317"/>
      <c r="AZ663" s="4317"/>
      <c r="BA663" s="4317"/>
      <c r="BB663" s="4317"/>
      <c r="BC663" s="4317"/>
      <c r="BD663" s="4317"/>
      <c r="BE663" s="4317"/>
      <c r="BF663" s="4317"/>
      <c r="BG663" s="4317"/>
      <c r="BH663" s="4317"/>
      <c r="BI663" s="4317"/>
      <c r="BJ663" s="4317"/>
      <c r="BK663" s="4317"/>
      <c r="BL663" s="4317"/>
      <c r="BM663" s="4317"/>
      <c r="BN663" s="4317"/>
      <c r="BO663" s="4317"/>
      <c r="BP663" s="4317"/>
      <c r="BQ663" s="4317"/>
      <c r="BR663" s="4317"/>
      <c r="BS663" s="4317"/>
      <c r="BT663" s="4317"/>
      <c r="BU663" s="4317"/>
      <c r="BV663" s="4317"/>
      <c r="BW663" s="4317"/>
      <c r="BX663" s="4317"/>
      <c r="BY663" s="4317"/>
      <c r="BZ663" s="4317"/>
      <c r="CA663" s="4317"/>
      <c r="CB663" s="4317"/>
      <c r="CC663" s="4317"/>
      <c r="CD663" s="4317"/>
      <c r="CE663" s="4317"/>
      <c r="CF663" s="4317"/>
      <c r="CG663" s="4317"/>
      <c r="CH663" s="4317"/>
      <c r="CI663" s="4317"/>
      <c r="CJ663" s="4317"/>
      <c r="CK663" s="4317"/>
      <c r="CL663" s="4317"/>
      <c r="CM663" s="4317"/>
      <c r="CN663" s="4317"/>
      <c r="CO663" s="4317"/>
      <c r="CP663" s="4317"/>
      <c r="CQ663" s="4317"/>
      <c r="CR663" s="4317"/>
      <c r="CS663" s="4317"/>
      <c r="CT663" s="4317"/>
      <c r="CU663" s="4317"/>
      <c r="CV663" s="4317"/>
      <c r="CW663" s="4317"/>
      <c r="CX663" s="4317"/>
      <c r="CY663" s="4317"/>
      <c r="CZ663" s="4317"/>
      <c r="DA663" s="4317"/>
      <c r="DB663" s="4317"/>
      <c r="DC663" s="4317"/>
      <c r="DD663" s="4317"/>
      <c r="DE663" s="4317"/>
      <c r="DF663" s="4317"/>
      <c r="DG663" s="4317"/>
      <c r="DH663" s="4317"/>
      <c r="DI663" s="4317"/>
      <c r="DJ663" s="4317"/>
      <c r="DK663" s="4317"/>
      <c r="DL663" s="4317"/>
      <c r="DM663" s="4317"/>
      <c r="DN663" s="4317"/>
      <c r="DO663" s="4317"/>
      <c r="DP663" s="4317"/>
      <c r="DQ663" s="4317"/>
      <c r="DR663" s="4317"/>
      <c r="DS663" s="4317"/>
      <c r="DT663" s="4133"/>
      <c r="DU663" s="4133"/>
      <c r="DV663" s="4133"/>
      <c r="DW663" s="4133"/>
      <c r="DX663" s="4133"/>
      <c r="DY663" s="4133"/>
    </row>
    <row r="664" s="4134" customFormat="1" ht="16.5" customHeight="1" spans="1:129">
      <c r="A664" s="4657" t="s">
        <v>305</v>
      </c>
      <c r="B664" s="4657"/>
      <c r="C664" s="4657"/>
      <c r="D664" s="4657"/>
      <c r="E664" s="4657"/>
      <c r="F664" s="4534"/>
      <c r="G664" s="4535"/>
      <c r="H664" s="4535"/>
      <c r="I664" s="4535"/>
      <c r="J664" s="4535"/>
      <c r="K664" s="4535"/>
      <c r="L664" s="4536"/>
      <c r="M664" s="4534"/>
      <c r="N664" s="4535"/>
      <c r="O664" s="4535"/>
      <c r="P664" s="4535"/>
      <c r="Q664" s="4535"/>
      <c r="R664" s="4535"/>
      <c r="S664" s="4536"/>
      <c r="T664" s="4317"/>
      <c r="U664" s="4653"/>
      <c r="V664" s="4319" t="s">
        <v>5333</v>
      </c>
      <c r="W664" s="4317"/>
      <c r="X664" s="4317"/>
      <c r="Y664" s="4653"/>
      <c r="Z664" s="4653"/>
      <c r="AA664" s="4653"/>
      <c r="AB664" s="4317"/>
      <c r="AC664" s="4295"/>
      <c r="AD664" s="4653"/>
      <c r="AE664" s="4653"/>
      <c r="AF664" s="4653"/>
      <c r="AG664" s="4317"/>
      <c r="AH664" s="4317"/>
      <c r="AI664" s="4317"/>
      <c r="AJ664" s="4317"/>
      <c r="AK664" s="4317"/>
      <c r="AL664" s="4317"/>
      <c r="AM664" s="4317"/>
      <c r="AN664" s="4317"/>
      <c r="AO664" s="4317"/>
      <c r="AP664" s="4317"/>
      <c r="AQ664" s="4317"/>
      <c r="AR664" s="4317"/>
      <c r="AS664" s="4317"/>
      <c r="AT664" s="4317"/>
      <c r="AU664" s="4317"/>
      <c r="AV664" s="4317"/>
      <c r="AW664" s="4317"/>
      <c r="AX664" s="4317"/>
      <c r="AY664" s="4317"/>
      <c r="AZ664" s="4317"/>
      <c r="BA664" s="4317"/>
      <c r="BB664" s="4317"/>
      <c r="BC664" s="4317"/>
      <c r="BD664" s="4317"/>
      <c r="BE664" s="4317"/>
      <c r="BF664" s="4317"/>
      <c r="BG664" s="4317"/>
      <c r="BH664" s="4317"/>
      <c r="BI664" s="4317"/>
      <c r="BJ664" s="4317"/>
      <c r="BK664" s="4317"/>
      <c r="BL664" s="4317"/>
      <c r="BM664" s="4317"/>
      <c r="BN664" s="4317"/>
      <c r="BO664" s="4317"/>
      <c r="BP664" s="4317"/>
      <c r="BQ664" s="4317"/>
      <c r="BR664" s="4317"/>
      <c r="BS664" s="4317"/>
      <c r="BT664" s="4317"/>
      <c r="BU664" s="4317"/>
      <c r="BV664" s="4317"/>
      <c r="BW664" s="4317"/>
      <c r="BX664" s="4317"/>
      <c r="BY664" s="4317"/>
      <c r="BZ664" s="4317"/>
      <c r="CA664" s="4317"/>
      <c r="CB664" s="4317"/>
      <c r="CC664" s="4317"/>
      <c r="CD664" s="4317"/>
      <c r="CE664" s="4317"/>
      <c r="CF664" s="4317"/>
      <c r="CG664" s="4317"/>
      <c r="CH664" s="4317"/>
      <c r="CI664" s="4317"/>
      <c r="CJ664" s="4317"/>
      <c r="CK664" s="4317"/>
      <c r="CL664" s="4317"/>
      <c r="CM664" s="4317"/>
      <c r="CN664" s="4317"/>
      <c r="CO664" s="4317"/>
      <c r="CP664" s="4317"/>
      <c r="CQ664" s="4317"/>
      <c r="CR664" s="4317"/>
      <c r="CS664" s="4317"/>
      <c r="CT664" s="4317"/>
      <c r="CU664" s="4317"/>
      <c r="CV664" s="4317"/>
      <c r="CW664" s="4317"/>
      <c r="CX664" s="4317"/>
      <c r="CY664" s="4317"/>
      <c r="CZ664" s="4317"/>
      <c r="DA664" s="4317"/>
      <c r="DB664" s="4317"/>
      <c r="DC664" s="4317"/>
      <c r="DD664" s="4317"/>
      <c r="DE664" s="4317"/>
      <c r="DF664" s="4317"/>
      <c r="DG664" s="4317"/>
      <c r="DH664" s="4317"/>
      <c r="DI664" s="4317"/>
      <c r="DJ664" s="4317"/>
      <c r="DK664" s="4317"/>
      <c r="DL664" s="4317"/>
      <c r="DM664" s="4317"/>
      <c r="DN664" s="4317"/>
      <c r="DO664" s="4317"/>
      <c r="DP664" s="4317"/>
      <c r="DQ664" s="4317"/>
      <c r="DR664" s="4317"/>
      <c r="DS664" s="4317"/>
      <c r="DT664" s="4133"/>
      <c r="DU664" s="4133"/>
      <c r="DV664" s="4133"/>
      <c r="DW664" s="4133"/>
      <c r="DX664" s="4133"/>
      <c r="DY664" s="4133"/>
    </row>
    <row r="665" s="4134" customFormat="1" ht="16.5" customHeight="1" spans="1:129">
      <c r="A665" s="4657" t="s">
        <v>307</v>
      </c>
      <c r="B665" s="4657"/>
      <c r="C665" s="4657"/>
      <c r="D665" s="4657"/>
      <c r="E665" s="4657"/>
      <c r="F665" s="4534"/>
      <c r="G665" s="4535"/>
      <c r="H665" s="4535"/>
      <c r="I665" s="4535"/>
      <c r="J665" s="4535"/>
      <c r="K665" s="4535"/>
      <c r="L665" s="4536"/>
      <c r="M665" s="4534"/>
      <c r="N665" s="4535"/>
      <c r="O665" s="4535"/>
      <c r="P665" s="4535"/>
      <c r="Q665" s="4535"/>
      <c r="R665" s="4535"/>
      <c r="S665" s="4536"/>
      <c r="T665" s="4317"/>
      <c r="U665" s="4653"/>
      <c r="V665" s="4319" t="s">
        <v>5334</v>
      </c>
      <c r="W665" s="4317"/>
      <c r="X665" s="4317"/>
      <c r="Y665" s="4653"/>
      <c r="Z665" s="4653"/>
      <c r="AA665" s="4653"/>
      <c r="AB665" s="4317"/>
      <c r="AC665" s="4295"/>
      <c r="AD665" s="4653"/>
      <c r="AE665" s="4653"/>
      <c r="AF665" s="4653"/>
      <c r="AG665" s="4317"/>
      <c r="AH665" s="4317"/>
      <c r="AI665" s="4317"/>
      <c r="AJ665" s="4317"/>
      <c r="AK665" s="4317"/>
      <c r="AL665" s="4317"/>
      <c r="AM665" s="4317"/>
      <c r="AN665" s="4317"/>
      <c r="AO665" s="4317"/>
      <c r="AP665" s="4317"/>
      <c r="AQ665" s="4317"/>
      <c r="AR665" s="4317"/>
      <c r="AS665" s="4317"/>
      <c r="AT665" s="4317"/>
      <c r="AU665" s="4317"/>
      <c r="AV665" s="4317"/>
      <c r="AW665" s="4317"/>
      <c r="AX665" s="4317"/>
      <c r="AY665" s="4317"/>
      <c r="AZ665" s="4317"/>
      <c r="BA665" s="4317"/>
      <c r="BB665" s="4317"/>
      <c r="BC665" s="4317"/>
      <c r="BD665" s="4317"/>
      <c r="BE665" s="4317"/>
      <c r="BF665" s="4317"/>
      <c r="BG665" s="4317"/>
      <c r="BH665" s="4317"/>
      <c r="BI665" s="4317"/>
      <c r="BJ665" s="4317"/>
      <c r="BK665" s="4317"/>
      <c r="BL665" s="4317"/>
      <c r="BM665" s="4317"/>
      <c r="BN665" s="4317"/>
      <c r="BO665" s="4317"/>
      <c r="BP665" s="4317"/>
      <c r="BQ665" s="4317"/>
      <c r="BR665" s="4317"/>
      <c r="BS665" s="4317"/>
      <c r="BT665" s="4317"/>
      <c r="BU665" s="4317"/>
      <c r="BV665" s="4317"/>
      <c r="BW665" s="4317"/>
      <c r="BX665" s="4317"/>
      <c r="BY665" s="4317"/>
      <c r="BZ665" s="4317"/>
      <c r="CA665" s="4317"/>
      <c r="CB665" s="4317"/>
      <c r="CC665" s="4317"/>
      <c r="CD665" s="4317"/>
      <c r="CE665" s="4317"/>
      <c r="CF665" s="4317"/>
      <c r="CG665" s="4317"/>
      <c r="CH665" s="4317"/>
      <c r="CI665" s="4317"/>
      <c r="CJ665" s="4317"/>
      <c r="CK665" s="4317"/>
      <c r="CL665" s="4317"/>
      <c r="CM665" s="4317"/>
      <c r="CN665" s="4317"/>
      <c r="CO665" s="4317"/>
      <c r="CP665" s="4317"/>
      <c r="CQ665" s="4317"/>
      <c r="CR665" s="4317"/>
      <c r="CS665" s="4317"/>
      <c r="CT665" s="4317"/>
      <c r="CU665" s="4317"/>
      <c r="CV665" s="4317"/>
      <c r="CW665" s="4317"/>
      <c r="CX665" s="4317"/>
      <c r="CY665" s="4317"/>
      <c r="CZ665" s="4317"/>
      <c r="DA665" s="4317"/>
      <c r="DB665" s="4317"/>
      <c r="DC665" s="4317"/>
      <c r="DD665" s="4317"/>
      <c r="DE665" s="4317"/>
      <c r="DF665" s="4317"/>
      <c r="DG665" s="4317"/>
      <c r="DH665" s="4317"/>
      <c r="DI665" s="4317"/>
      <c r="DJ665" s="4317"/>
      <c r="DK665" s="4317"/>
      <c r="DL665" s="4317"/>
      <c r="DM665" s="4317"/>
      <c r="DN665" s="4317"/>
      <c r="DO665" s="4317"/>
      <c r="DP665" s="4317"/>
      <c r="DQ665" s="4317"/>
      <c r="DR665" s="4317"/>
      <c r="DS665" s="4317"/>
      <c r="DT665" s="4133"/>
      <c r="DU665" s="4133"/>
      <c r="DV665" s="4133"/>
      <c r="DW665" s="4133"/>
      <c r="DX665" s="4133"/>
      <c r="DY665" s="4133"/>
    </row>
    <row r="666" s="4134" customFormat="1" ht="16.5" customHeight="1" spans="1:129">
      <c r="A666" s="4657" t="s">
        <v>309</v>
      </c>
      <c r="B666" s="4657"/>
      <c r="C666" s="4657"/>
      <c r="D666" s="4657"/>
      <c r="E666" s="4657"/>
      <c r="F666" s="4534"/>
      <c r="G666" s="4535"/>
      <c r="H666" s="4535"/>
      <c r="I666" s="4535"/>
      <c r="J666" s="4535"/>
      <c r="K666" s="4535"/>
      <c r="L666" s="4536"/>
      <c r="M666" s="4534"/>
      <c r="N666" s="4535"/>
      <c r="O666" s="4535"/>
      <c r="P666" s="4535"/>
      <c r="Q666" s="4535"/>
      <c r="R666" s="4535"/>
      <c r="S666" s="4536"/>
      <c r="T666" s="4317"/>
      <c r="U666" s="4653"/>
      <c r="V666" s="4319" t="s">
        <v>2669</v>
      </c>
      <c r="W666" s="4317"/>
      <c r="X666" s="4317"/>
      <c r="Y666" s="4653"/>
      <c r="Z666" s="4653"/>
      <c r="AA666" s="4653"/>
      <c r="AB666" s="4317"/>
      <c r="AC666" s="4295"/>
      <c r="AD666" s="4653"/>
      <c r="AE666" s="4653"/>
      <c r="AF666" s="4653"/>
      <c r="AG666" s="4317"/>
      <c r="AH666" s="4317"/>
      <c r="AI666" s="4317"/>
      <c r="AJ666" s="4317"/>
      <c r="AK666" s="4317"/>
      <c r="AL666" s="4317"/>
      <c r="AM666" s="4317"/>
      <c r="AN666" s="4317"/>
      <c r="AO666" s="4317"/>
      <c r="AP666" s="4317"/>
      <c r="AQ666" s="4317"/>
      <c r="AR666" s="4317"/>
      <c r="AS666" s="4317"/>
      <c r="AT666" s="4317"/>
      <c r="AU666" s="4317"/>
      <c r="AV666" s="4317"/>
      <c r="AW666" s="4317"/>
      <c r="AX666" s="4317"/>
      <c r="AY666" s="4317"/>
      <c r="AZ666" s="4317"/>
      <c r="BA666" s="4317"/>
      <c r="BB666" s="4317"/>
      <c r="BC666" s="4317"/>
      <c r="BD666" s="4317"/>
      <c r="BE666" s="4317"/>
      <c r="BF666" s="4317"/>
      <c r="BG666" s="4317"/>
      <c r="BH666" s="4317"/>
      <c r="BI666" s="4317"/>
      <c r="BJ666" s="4317"/>
      <c r="BK666" s="4317"/>
      <c r="BL666" s="4317"/>
      <c r="BM666" s="4317"/>
      <c r="BN666" s="4317"/>
      <c r="BO666" s="4317"/>
      <c r="BP666" s="4317"/>
      <c r="BQ666" s="4317"/>
      <c r="BR666" s="4317"/>
      <c r="BS666" s="4317"/>
      <c r="BT666" s="4317"/>
      <c r="BU666" s="4317"/>
      <c r="BV666" s="4317"/>
      <c r="BW666" s="4317"/>
      <c r="BX666" s="4317"/>
      <c r="BY666" s="4317"/>
      <c r="BZ666" s="4317"/>
      <c r="CA666" s="4317"/>
      <c r="CB666" s="4317"/>
      <c r="CC666" s="4317"/>
      <c r="CD666" s="4317"/>
      <c r="CE666" s="4317"/>
      <c r="CF666" s="4317"/>
      <c r="CG666" s="4317"/>
      <c r="CH666" s="4317"/>
      <c r="CI666" s="4317"/>
      <c r="CJ666" s="4317"/>
      <c r="CK666" s="4317"/>
      <c r="CL666" s="4317"/>
      <c r="CM666" s="4317"/>
      <c r="CN666" s="4317"/>
      <c r="CO666" s="4317"/>
      <c r="CP666" s="4317"/>
      <c r="CQ666" s="4317"/>
      <c r="CR666" s="4317"/>
      <c r="CS666" s="4317"/>
      <c r="CT666" s="4317"/>
      <c r="CU666" s="4317"/>
      <c r="CV666" s="4317"/>
      <c r="CW666" s="4317"/>
      <c r="CX666" s="4317"/>
      <c r="CY666" s="4317"/>
      <c r="CZ666" s="4317"/>
      <c r="DA666" s="4317"/>
      <c r="DB666" s="4317"/>
      <c r="DC666" s="4317"/>
      <c r="DD666" s="4317"/>
      <c r="DE666" s="4317"/>
      <c r="DF666" s="4317"/>
      <c r="DG666" s="4317"/>
      <c r="DH666" s="4317"/>
      <c r="DI666" s="4317"/>
      <c r="DJ666" s="4317"/>
      <c r="DK666" s="4317"/>
      <c r="DL666" s="4317"/>
      <c r="DM666" s="4317"/>
      <c r="DN666" s="4317"/>
      <c r="DO666" s="4317"/>
      <c r="DP666" s="4317"/>
      <c r="DQ666" s="4317"/>
      <c r="DR666" s="4317"/>
      <c r="DS666" s="4317"/>
      <c r="DT666" s="4133"/>
      <c r="DU666" s="4133"/>
      <c r="DV666" s="4133"/>
      <c r="DW666" s="4133"/>
      <c r="DX666" s="4133"/>
      <c r="DY666" s="4133"/>
    </row>
    <row r="667" s="4134" customFormat="1" ht="16.5" customHeight="1" spans="1:129">
      <c r="A667" s="4677" t="s">
        <v>311</v>
      </c>
      <c r="B667" s="4677"/>
      <c r="C667" s="4677"/>
      <c r="D667" s="4677"/>
      <c r="E667" s="4677"/>
      <c r="F667" s="4534"/>
      <c r="G667" s="4535"/>
      <c r="H667" s="4535"/>
      <c r="I667" s="4535"/>
      <c r="J667" s="4535"/>
      <c r="K667" s="4535"/>
      <c r="L667" s="4536"/>
      <c r="M667" s="4678"/>
      <c r="N667" s="4679"/>
      <c r="O667" s="4679"/>
      <c r="P667" s="4679"/>
      <c r="Q667" s="4679"/>
      <c r="R667" s="4679"/>
      <c r="S667" s="4680"/>
      <c r="T667" s="4317"/>
      <c r="U667" s="4653"/>
      <c r="V667" s="4319" t="s">
        <v>5335</v>
      </c>
      <c r="W667" s="4317"/>
      <c r="X667" s="4317"/>
      <c r="Y667" s="4653"/>
      <c r="Z667" s="4653"/>
      <c r="AA667" s="4653"/>
      <c r="AB667" s="4317"/>
      <c r="AC667" s="4295"/>
      <c r="AD667" s="4653"/>
      <c r="AE667" s="4653"/>
      <c r="AF667" s="4653"/>
      <c r="AG667" s="4317"/>
      <c r="AH667" s="4317"/>
      <c r="AI667" s="4317"/>
      <c r="AJ667" s="4317"/>
      <c r="AK667" s="4317"/>
      <c r="AL667" s="4317"/>
      <c r="AM667" s="4317"/>
      <c r="AN667" s="4317"/>
      <c r="AO667" s="4317"/>
      <c r="AP667" s="4317"/>
      <c r="AQ667" s="4317"/>
      <c r="AR667" s="4317"/>
      <c r="AS667" s="4317"/>
      <c r="AT667" s="4317"/>
      <c r="AU667" s="4317"/>
      <c r="AV667" s="4317"/>
      <c r="AW667" s="4317"/>
      <c r="AX667" s="4317"/>
      <c r="AY667" s="4317"/>
      <c r="AZ667" s="4317"/>
      <c r="BA667" s="4317"/>
      <c r="BB667" s="4317"/>
      <c r="BC667" s="4317"/>
      <c r="BD667" s="4317"/>
      <c r="BE667" s="4317"/>
      <c r="BF667" s="4317"/>
      <c r="BG667" s="4317"/>
      <c r="BH667" s="4317"/>
      <c r="BI667" s="4317"/>
      <c r="BJ667" s="4317"/>
      <c r="BK667" s="4317"/>
      <c r="BL667" s="4317"/>
      <c r="BM667" s="4317"/>
      <c r="BN667" s="4317"/>
      <c r="BO667" s="4317"/>
      <c r="BP667" s="4317"/>
      <c r="BQ667" s="4317"/>
      <c r="BR667" s="4317"/>
      <c r="BS667" s="4317"/>
      <c r="BT667" s="4317"/>
      <c r="BU667" s="4317"/>
      <c r="BV667" s="4317"/>
      <c r="BW667" s="4317"/>
      <c r="BX667" s="4317"/>
      <c r="BY667" s="4317"/>
      <c r="BZ667" s="4317"/>
      <c r="CA667" s="4317"/>
      <c r="CB667" s="4317"/>
      <c r="CC667" s="4317"/>
      <c r="CD667" s="4317"/>
      <c r="CE667" s="4317"/>
      <c r="CF667" s="4317"/>
      <c r="CG667" s="4317"/>
      <c r="CH667" s="4317"/>
      <c r="CI667" s="4317"/>
      <c r="CJ667" s="4317"/>
      <c r="CK667" s="4317"/>
      <c r="CL667" s="4317"/>
      <c r="CM667" s="4317"/>
      <c r="CN667" s="4317"/>
      <c r="CO667" s="4317"/>
      <c r="CP667" s="4317"/>
      <c r="CQ667" s="4317"/>
      <c r="CR667" s="4317"/>
      <c r="CS667" s="4317"/>
      <c r="CT667" s="4317"/>
      <c r="CU667" s="4317"/>
      <c r="CV667" s="4317"/>
      <c r="CW667" s="4317"/>
      <c r="CX667" s="4317"/>
      <c r="CY667" s="4317"/>
      <c r="CZ667" s="4317"/>
      <c r="DA667" s="4317"/>
      <c r="DB667" s="4317"/>
      <c r="DC667" s="4317"/>
      <c r="DD667" s="4317"/>
      <c r="DE667" s="4317"/>
      <c r="DF667" s="4317"/>
      <c r="DG667" s="4317"/>
      <c r="DH667" s="4317"/>
      <c r="DI667" s="4317"/>
      <c r="DJ667" s="4317"/>
      <c r="DK667" s="4317"/>
      <c r="DL667" s="4317"/>
      <c r="DM667" s="4317"/>
      <c r="DN667" s="4317"/>
      <c r="DO667" s="4317"/>
      <c r="DP667" s="4317"/>
      <c r="DQ667" s="4317"/>
      <c r="DR667" s="4317"/>
      <c r="DS667" s="4317"/>
      <c r="DT667" s="4133"/>
      <c r="DU667" s="4133"/>
      <c r="DV667" s="4133"/>
      <c r="DW667" s="4133"/>
      <c r="DX667" s="4133"/>
      <c r="DY667" s="4133"/>
    </row>
    <row r="668" s="4137" customFormat="1" ht="20.25" customHeight="1" spans="1:129">
      <c r="A668" s="4669" t="s">
        <v>5336</v>
      </c>
      <c r="B668" s="4669"/>
      <c r="C668" s="4669"/>
      <c r="D668" s="4669"/>
      <c r="E668" s="4669"/>
      <c r="F668" s="4671">
        <f>SUM(F662:L667)</f>
        <v>0</v>
      </c>
      <c r="G668" s="4671"/>
      <c r="H668" s="4671"/>
      <c r="I668" s="4671"/>
      <c r="J668" s="4671"/>
      <c r="K668" s="4671"/>
      <c r="L668" s="4671"/>
      <c r="M668" s="4671">
        <f>SUM(M662:S667)</f>
        <v>0</v>
      </c>
      <c r="N668" s="4671"/>
      <c r="O668" s="4671"/>
      <c r="P668" s="4671"/>
      <c r="Q668" s="4671"/>
      <c r="R668" s="4671"/>
      <c r="S668" s="4671"/>
      <c r="T668" s="4317"/>
      <c r="U668" s="4653"/>
      <c r="V668" s="4681" t="s">
        <v>5337</v>
      </c>
      <c r="W668" s="4317"/>
      <c r="X668" s="4317"/>
      <c r="Y668" s="4653"/>
      <c r="Z668" s="4653"/>
      <c r="AA668" s="4653"/>
      <c r="AB668" s="4682"/>
      <c r="AC668" s="4295"/>
      <c r="AD668" s="4653"/>
      <c r="AE668" s="4653"/>
      <c r="AF668" s="4653"/>
      <c r="AG668" s="4317"/>
      <c r="AH668" s="4317"/>
      <c r="AI668" s="4317"/>
      <c r="AJ668" s="4317"/>
      <c r="AK668" s="4317"/>
      <c r="AL668" s="4317"/>
      <c r="AM668" s="4317"/>
      <c r="AN668" s="4317"/>
      <c r="AO668" s="4317"/>
      <c r="AP668" s="4317"/>
      <c r="AQ668" s="4317"/>
      <c r="AR668" s="4317"/>
      <c r="AS668" s="4317"/>
      <c r="AT668" s="4317"/>
      <c r="AU668" s="4317"/>
      <c r="AV668" s="4317"/>
      <c r="AW668" s="4317"/>
      <c r="AX668" s="4317"/>
      <c r="AY668" s="4317"/>
      <c r="AZ668" s="4317"/>
      <c r="BA668" s="4317"/>
      <c r="BB668" s="4317"/>
      <c r="BC668" s="4317"/>
      <c r="BD668" s="4317"/>
      <c r="BE668" s="4317"/>
      <c r="BF668" s="4317"/>
      <c r="BG668" s="4317"/>
      <c r="BH668" s="4317"/>
      <c r="BI668" s="4317"/>
      <c r="BJ668" s="4317"/>
      <c r="BK668" s="4317"/>
      <c r="BL668" s="4317"/>
      <c r="BM668" s="4317"/>
      <c r="BN668" s="4317"/>
      <c r="BO668" s="4317"/>
      <c r="BP668" s="4317"/>
      <c r="BQ668" s="4317"/>
      <c r="BR668" s="4317"/>
      <c r="BS668" s="4317"/>
      <c r="BT668" s="4317"/>
      <c r="BU668" s="4317"/>
      <c r="BV668" s="4317"/>
      <c r="BW668" s="4317"/>
      <c r="BX668" s="4317"/>
      <c r="BY668" s="4317"/>
      <c r="BZ668" s="4317"/>
      <c r="CA668" s="4317"/>
      <c r="CB668" s="4317"/>
      <c r="CC668" s="4317"/>
      <c r="CD668" s="4317"/>
      <c r="CE668" s="4317"/>
      <c r="CF668" s="4317"/>
      <c r="CG668" s="4317"/>
      <c r="CH668" s="4317"/>
      <c r="CI668" s="4317"/>
      <c r="CJ668" s="4317"/>
      <c r="CK668" s="4317"/>
      <c r="CL668" s="4317"/>
      <c r="CM668" s="4317"/>
      <c r="CN668" s="4317"/>
      <c r="CO668" s="4317"/>
      <c r="CP668" s="4317"/>
      <c r="CQ668" s="4317"/>
      <c r="CR668" s="4317"/>
      <c r="CS668" s="4317"/>
      <c r="CT668" s="4317"/>
      <c r="CU668" s="4317"/>
      <c r="CV668" s="4317"/>
      <c r="CW668" s="4317"/>
      <c r="CX668" s="4317"/>
      <c r="CY668" s="4317"/>
      <c r="CZ668" s="4317"/>
      <c r="DA668" s="4317"/>
      <c r="DB668" s="4317"/>
      <c r="DC668" s="4317"/>
      <c r="DD668" s="4317"/>
      <c r="DE668" s="4317"/>
      <c r="DF668" s="4317"/>
      <c r="DG668" s="4317"/>
      <c r="DH668" s="4317"/>
      <c r="DI668" s="4317"/>
      <c r="DJ668" s="4317"/>
      <c r="DK668" s="4317"/>
      <c r="DL668" s="4317"/>
      <c r="DM668" s="4317"/>
      <c r="DN668" s="4317"/>
      <c r="DO668" s="4317"/>
      <c r="DP668" s="4317"/>
      <c r="DQ668" s="4317"/>
      <c r="DR668" s="4317"/>
      <c r="DS668" s="4317"/>
      <c r="DT668" s="4133"/>
      <c r="DU668" s="4133"/>
      <c r="DV668" s="4133"/>
      <c r="DW668" s="4133"/>
      <c r="DX668" s="4133"/>
      <c r="DY668" s="4133"/>
    </row>
    <row r="669" s="4134" customFormat="1" ht="16.5" customHeight="1" spans="1:129">
      <c r="A669" s="4673" t="s">
        <v>5338</v>
      </c>
      <c r="B669" s="4673"/>
      <c r="C669" s="4673"/>
      <c r="D669" s="4673"/>
      <c r="E669" s="4673"/>
      <c r="F669" s="4534">
        <v>477</v>
      </c>
      <c r="G669" s="4535"/>
      <c r="H669" s="4535"/>
      <c r="I669" s="4535"/>
      <c r="J669" s="4535"/>
      <c r="K669" s="4535"/>
      <c r="L669" s="4536"/>
      <c r="M669" s="4674"/>
      <c r="N669" s="4675"/>
      <c r="O669" s="4675"/>
      <c r="P669" s="4675"/>
      <c r="Q669" s="4675"/>
      <c r="R669" s="4675"/>
      <c r="S669" s="4676"/>
      <c r="T669" s="4317"/>
      <c r="U669" s="4653"/>
      <c r="V669" s="4319" t="s">
        <v>5339</v>
      </c>
      <c r="W669" s="4317"/>
      <c r="X669" s="4317"/>
      <c r="Y669" s="4653"/>
      <c r="Z669" s="4653"/>
      <c r="AA669" s="4653"/>
      <c r="AB669" s="4317"/>
      <c r="AC669" s="4295"/>
      <c r="AD669" s="4653"/>
      <c r="AE669" s="4653"/>
      <c r="AF669" s="4653"/>
      <c r="AG669" s="4317"/>
      <c r="AH669" s="4317"/>
      <c r="AI669" s="4317"/>
      <c r="AJ669" s="4317"/>
      <c r="AK669" s="4317"/>
      <c r="AL669" s="4317"/>
      <c r="AM669" s="4317"/>
      <c r="AN669" s="4317"/>
      <c r="AO669" s="4317"/>
      <c r="AP669" s="4317"/>
      <c r="AQ669" s="4317"/>
      <c r="AR669" s="4317"/>
      <c r="AS669" s="4317"/>
      <c r="AT669" s="4317"/>
      <c r="AU669" s="4317"/>
      <c r="AV669" s="4317"/>
      <c r="AW669" s="4317"/>
      <c r="AX669" s="4317"/>
      <c r="AY669" s="4317"/>
      <c r="AZ669" s="4317"/>
      <c r="BA669" s="4317"/>
      <c r="BB669" s="4317"/>
      <c r="BC669" s="4317"/>
      <c r="BD669" s="4317"/>
      <c r="BE669" s="4317"/>
      <c r="BF669" s="4317"/>
      <c r="BG669" s="4317"/>
      <c r="BH669" s="4317"/>
      <c r="BI669" s="4317"/>
      <c r="BJ669" s="4317"/>
      <c r="BK669" s="4317"/>
      <c r="BL669" s="4317"/>
      <c r="BM669" s="4317"/>
      <c r="BN669" s="4317"/>
      <c r="BO669" s="4317"/>
      <c r="BP669" s="4317"/>
      <c r="BQ669" s="4317"/>
      <c r="BR669" s="4317"/>
      <c r="BS669" s="4317"/>
      <c r="BT669" s="4317"/>
      <c r="BU669" s="4317"/>
      <c r="BV669" s="4317"/>
      <c r="BW669" s="4317"/>
      <c r="BX669" s="4317"/>
      <c r="BY669" s="4317"/>
      <c r="BZ669" s="4317"/>
      <c r="CA669" s="4317"/>
      <c r="CB669" s="4317"/>
      <c r="CC669" s="4317"/>
      <c r="CD669" s="4317"/>
      <c r="CE669" s="4317"/>
      <c r="CF669" s="4317"/>
      <c r="CG669" s="4317"/>
      <c r="CH669" s="4317"/>
      <c r="CI669" s="4317"/>
      <c r="CJ669" s="4317"/>
      <c r="CK669" s="4317"/>
      <c r="CL669" s="4317"/>
      <c r="CM669" s="4317"/>
      <c r="CN669" s="4317"/>
      <c r="CO669" s="4317"/>
      <c r="CP669" s="4317"/>
      <c r="CQ669" s="4317"/>
      <c r="CR669" s="4317"/>
      <c r="CS669" s="4317"/>
      <c r="CT669" s="4317"/>
      <c r="CU669" s="4317"/>
      <c r="CV669" s="4317"/>
      <c r="CW669" s="4317"/>
      <c r="CX669" s="4317"/>
      <c r="CY669" s="4317"/>
      <c r="CZ669" s="4317"/>
      <c r="DA669" s="4317"/>
      <c r="DB669" s="4317"/>
      <c r="DC669" s="4317"/>
      <c r="DD669" s="4317"/>
      <c r="DE669" s="4317"/>
      <c r="DF669" s="4317"/>
      <c r="DG669" s="4317"/>
      <c r="DH669" s="4317"/>
      <c r="DI669" s="4317"/>
      <c r="DJ669" s="4317"/>
      <c r="DK669" s="4317"/>
      <c r="DL669" s="4317"/>
      <c r="DM669" s="4317"/>
      <c r="DN669" s="4317"/>
      <c r="DO669" s="4317"/>
      <c r="DP669" s="4317"/>
      <c r="DQ669" s="4317"/>
      <c r="DR669" s="4317"/>
      <c r="DS669" s="4317"/>
      <c r="DT669" s="4133"/>
      <c r="DU669" s="4133"/>
      <c r="DV669" s="4133"/>
      <c r="DW669" s="4133"/>
      <c r="DX669" s="4133"/>
      <c r="DY669" s="4133"/>
    </row>
    <row r="670" s="4134" customFormat="1" ht="16.5" customHeight="1" spans="1:129">
      <c r="A670" s="4657" t="s">
        <v>5340</v>
      </c>
      <c r="B670" s="4657"/>
      <c r="C670" s="4657"/>
      <c r="D670" s="4657"/>
      <c r="E670" s="4657"/>
      <c r="F670" s="4534"/>
      <c r="G670" s="4535"/>
      <c r="H670" s="4535"/>
      <c r="I670" s="4535"/>
      <c r="J670" s="4535"/>
      <c r="K670" s="4535"/>
      <c r="L670" s="4536"/>
      <c r="M670" s="4534"/>
      <c r="N670" s="4535"/>
      <c r="O670" s="4535"/>
      <c r="P670" s="4535"/>
      <c r="Q670" s="4535"/>
      <c r="R670" s="4535"/>
      <c r="S670" s="4536"/>
      <c r="T670" s="4317"/>
      <c r="U670" s="4653"/>
      <c r="V670" s="4319" t="s">
        <v>5341</v>
      </c>
      <c r="W670" s="4317"/>
      <c r="X670" s="4317"/>
      <c r="Y670" s="4653"/>
      <c r="Z670" s="4653"/>
      <c r="AA670" s="4653"/>
      <c r="AB670" s="4317"/>
      <c r="AC670" s="4295"/>
      <c r="AD670" s="4653"/>
      <c r="AE670" s="4653"/>
      <c r="AF670" s="4653"/>
      <c r="AG670" s="4317"/>
      <c r="AH670" s="4317"/>
      <c r="AI670" s="4317"/>
      <c r="AJ670" s="4317"/>
      <c r="AK670" s="4317"/>
      <c r="AL670" s="4317"/>
      <c r="AM670" s="4317"/>
      <c r="AN670" s="4317"/>
      <c r="AO670" s="4317"/>
      <c r="AP670" s="4317"/>
      <c r="AQ670" s="4317"/>
      <c r="AR670" s="4317"/>
      <c r="AS670" s="4317"/>
      <c r="AT670" s="4317"/>
      <c r="AU670" s="4317"/>
      <c r="AV670" s="4317"/>
      <c r="AW670" s="4317"/>
      <c r="AX670" s="4317"/>
      <c r="AY670" s="4317"/>
      <c r="AZ670" s="4317"/>
      <c r="BA670" s="4317"/>
      <c r="BB670" s="4317"/>
      <c r="BC670" s="4317"/>
      <c r="BD670" s="4317"/>
      <c r="BE670" s="4317"/>
      <c r="BF670" s="4317"/>
      <c r="BG670" s="4317"/>
      <c r="BH670" s="4317"/>
      <c r="BI670" s="4317"/>
      <c r="BJ670" s="4317"/>
      <c r="BK670" s="4317"/>
      <c r="BL670" s="4317"/>
      <c r="BM670" s="4317"/>
      <c r="BN670" s="4317"/>
      <c r="BO670" s="4317"/>
      <c r="BP670" s="4317"/>
      <c r="BQ670" s="4317"/>
      <c r="BR670" s="4317"/>
      <c r="BS670" s="4317"/>
      <c r="BT670" s="4317"/>
      <c r="BU670" s="4317"/>
      <c r="BV670" s="4317"/>
      <c r="BW670" s="4317"/>
      <c r="BX670" s="4317"/>
      <c r="BY670" s="4317"/>
      <c r="BZ670" s="4317"/>
      <c r="CA670" s="4317"/>
      <c r="CB670" s="4317"/>
      <c r="CC670" s="4317"/>
      <c r="CD670" s="4317"/>
      <c r="CE670" s="4317"/>
      <c r="CF670" s="4317"/>
      <c r="CG670" s="4317"/>
      <c r="CH670" s="4317"/>
      <c r="CI670" s="4317"/>
      <c r="CJ670" s="4317"/>
      <c r="CK670" s="4317"/>
      <c r="CL670" s="4317"/>
      <c r="CM670" s="4317"/>
      <c r="CN670" s="4317"/>
      <c r="CO670" s="4317"/>
      <c r="CP670" s="4317"/>
      <c r="CQ670" s="4317"/>
      <c r="CR670" s="4317"/>
      <c r="CS670" s="4317"/>
      <c r="CT670" s="4317"/>
      <c r="CU670" s="4317"/>
      <c r="CV670" s="4317"/>
      <c r="CW670" s="4317"/>
      <c r="CX670" s="4317"/>
      <c r="CY670" s="4317"/>
      <c r="CZ670" s="4317"/>
      <c r="DA670" s="4317"/>
      <c r="DB670" s="4317"/>
      <c r="DC670" s="4317"/>
      <c r="DD670" s="4317"/>
      <c r="DE670" s="4317"/>
      <c r="DF670" s="4317"/>
      <c r="DG670" s="4317"/>
      <c r="DH670" s="4317"/>
      <c r="DI670" s="4317"/>
      <c r="DJ670" s="4317"/>
      <c r="DK670" s="4317"/>
      <c r="DL670" s="4317"/>
      <c r="DM670" s="4317"/>
      <c r="DN670" s="4317"/>
      <c r="DO670" s="4317"/>
      <c r="DP670" s="4317"/>
      <c r="DQ670" s="4317"/>
      <c r="DR670" s="4317"/>
      <c r="DS670" s="4317"/>
      <c r="DT670" s="4133"/>
      <c r="DU670" s="4133"/>
      <c r="DV670" s="4133"/>
      <c r="DW670" s="4133"/>
      <c r="DX670" s="4133"/>
      <c r="DY670" s="4133"/>
    </row>
    <row r="671" s="4134" customFormat="1" ht="16.5" customHeight="1" spans="1:129">
      <c r="A671" s="4657" t="s">
        <v>5342</v>
      </c>
      <c r="B671" s="4657"/>
      <c r="C671" s="4657"/>
      <c r="D671" s="4657"/>
      <c r="E671" s="4657"/>
      <c r="F671" s="4534"/>
      <c r="G671" s="4535"/>
      <c r="H671" s="4535"/>
      <c r="I671" s="4535"/>
      <c r="J671" s="4535"/>
      <c r="K671" s="4535"/>
      <c r="L671" s="4536"/>
      <c r="M671" s="4534"/>
      <c r="N671" s="4535"/>
      <c r="O671" s="4535"/>
      <c r="P671" s="4535"/>
      <c r="Q671" s="4535"/>
      <c r="R671" s="4535"/>
      <c r="S671" s="4536"/>
      <c r="T671" s="4317"/>
      <c r="U671" s="4653"/>
      <c r="V671" s="4319" t="s">
        <v>5343</v>
      </c>
      <c r="W671" s="4317"/>
      <c r="X671" s="4317"/>
      <c r="Y671" s="4653"/>
      <c r="Z671" s="4653"/>
      <c r="AA671" s="4653"/>
      <c r="AB671" s="4317"/>
      <c r="AC671" s="4295"/>
      <c r="AD671" s="4653"/>
      <c r="AE671" s="4653"/>
      <c r="AF671" s="4653"/>
      <c r="AG671" s="4317"/>
      <c r="AH671" s="4317"/>
      <c r="AI671" s="4317"/>
      <c r="AJ671" s="4317"/>
      <c r="AK671" s="4317"/>
      <c r="AL671" s="4317"/>
      <c r="AM671" s="4317"/>
      <c r="AN671" s="4317"/>
      <c r="AO671" s="4317"/>
      <c r="AP671" s="4317"/>
      <c r="AQ671" s="4317"/>
      <c r="AR671" s="4317"/>
      <c r="AS671" s="4317"/>
      <c r="AT671" s="4317"/>
      <c r="AU671" s="4317"/>
      <c r="AV671" s="4317"/>
      <c r="AW671" s="4317"/>
      <c r="AX671" s="4317"/>
      <c r="AY671" s="4317"/>
      <c r="AZ671" s="4317"/>
      <c r="BA671" s="4317"/>
      <c r="BB671" s="4317"/>
      <c r="BC671" s="4317"/>
      <c r="BD671" s="4317"/>
      <c r="BE671" s="4317"/>
      <c r="BF671" s="4317"/>
      <c r="BG671" s="4317"/>
      <c r="BH671" s="4317"/>
      <c r="BI671" s="4317"/>
      <c r="BJ671" s="4317"/>
      <c r="BK671" s="4317"/>
      <c r="BL671" s="4317"/>
      <c r="BM671" s="4317"/>
      <c r="BN671" s="4317"/>
      <c r="BO671" s="4317"/>
      <c r="BP671" s="4317"/>
      <c r="BQ671" s="4317"/>
      <c r="BR671" s="4317"/>
      <c r="BS671" s="4317"/>
      <c r="BT671" s="4317"/>
      <c r="BU671" s="4317"/>
      <c r="BV671" s="4317"/>
      <c r="BW671" s="4317"/>
      <c r="BX671" s="4317"/>
      <c r="BY671" s="4317"/>
      <c r="BZ671" s="4317"/>
      <c r="CA671" s="4317"/>
      <c r="CB671" s="4317"/>
      <c r="CC671" s="4317"/>
      <c r="CD671" s="4317"/>
      <c r="CE671" s="4317"/>
      <c r="CF671" s="4317"/>
      <c r="CG671" s="4317"/>
      <c r="CH671" s="4317"/>
      <c r="CI671" s="4317"/>
      <c r="CJ671" s="4317"/>
      <c r="CK671" s="4317"/>
      <c r="CL671" s="4317"/>
      <c r="CM671" s="4317"/>
      <c r="CN671" s="4317"/>
      <c r="CO671" s="4317"/>
      <c r="CP671" s="4317"/>
      <c r="CQ671" s="4317"/>
      <c r="CR671" s="4317"/>
      <c r="CS671" s="4317"/>
      <c r="CT671" s="4317"/>
      <c r="CU671" s="4317"/>
      <c r="CV671" s="4317"/>
      <c r="CW671" s="4317"/>
      <c r="CX671" s="4317"/>
      <c r="CY671" s="4317"/>
      <c r="CZ671" s="4317"/>
      <c r="DA671" s="4317"/>
      <c r="DB671" s="4317"/>
      <c r="DC671" s="4317"/>
      <c r="DD671" s="4317"/>
      <c r="DE671" s="4317"/>
      <c r="DF671" s="4317"/>
      <c r="DG671" s="4317"/>
      <c r="DH671" s="4317"/>
      <c r="DI671" s="4317"/>
      <c r="DJ671" s="4317"/>
      <c r="DK671" s="4317"/>
      <c r="DL671" s="4317"/>
      <c r="DM671" s="4317"/>
      <c r="DN671" s="4317"/>
      <c r="DO671" s="4317"/>
      <c r="DP671" s="4317"/>
      <c r="DQ671" s="4317"/>
      <c r="DR671" s="4317"/>
      <c r="DS671" s="4317"/>
      <c r="DT671" s="4133"/>
      <c r="DU671" s="4133"/>
      <c r="DV671" s="4133"/>
      <c r="DW671" s="4133"/>
      <c r="DX671" s="4133"/>
      <c r="DY671" s="4133"/>
    </row>
    <row r="672" s="4134" customFormat="1" ht="16.5" customHeight="1" spans="1:129">
      <c r="A672" s="4657" t="s">
        <v>5344</v>
      </c>
      <c r="B672" s="4657"/>
      <c r="C672" s="4657"/>
      <c r="D672" s="4657"/>
      <c r="E672" s="4657"/>
      <c r="F672" s="4534"/>
      <c r="G672" s="4535"/>
      <c r="H672" s="4535"/>
      <c r="I672" s="4535"/>
      <c r="J672" s="4535"/>
      <c r="K672" s="4535"/>
      <c r="L672" s="4536"/>
      <c r="M672" s="4534"/>
      <c r="N672" s="4535"/>
      <c r="O672" s="4535"/>
      <c r="P672" s="4535"/>
      <c r="Q672" s="4535"/>
      <c r="R672" s="4535"/>
      <c r="S672" s="4536"/>
      <c r="T672" s="4317"/>
      <c r="U672" s="4653"/>
      <c r="V672" s="4319" t="s">
        <v>5345</v>
      </c>
      <c r="W672" s="4317"/>
      <c r="X672" s="4317"/>
      <c r="Y672" s="4653"/>
      <c r="Z672" s="4653"/>
      <c r="AA672" s="4653"/>
      <c r="AB672" s="4317"/>
      <c r="AC672" s="4295"/>
      <c r="AD672" s="4653"/>
      <c r="AE672" s="4653"/>
      <c r="AF672" s="4653"/>
      <c r="AG672" s="4317"/>
      <c r="AH672" s="4317"/>
      <c r="AI672" s="4317"/>
      <c r="AJ672" s="4317"/>
      <c r="AK672" s="4317"/>
      <c r="AL672" s="4317"/>
      <c r="AM672" s="4317"/>
      <c r="AN672" s="4317"/>
      <c r="AO672" s="4317"/>
      <c r="AP672" s="4317"/>
      <c r="AQ672" s="4317"/>
      <c r="AR672" s="4317"/>
      <c r="AS672" s="4317"/>
      <c r="AT672" s="4317"/>
      <c r="AU672" s="4317"/>
      <c r="AV672" s="4317"/>
      <c r="AW672" s="4317"/>
      <c r="AX672" s="4317"/>
      <c r="AY672" s="4317"/>
      <c r="AZ672" s="4317"/>
      <c r="BA672" s="4317"/>
      <c r="BB672" s="4317"/>
      <c r="BC672" s="4317"/>
      <c r="BD672" s="4317"/>
      <c r="BE672" s="4317"/>
      <c r="BF672" s="4317"/>
      <c r="BG672" s="4317"/>
      <c r="BH672" s="4317"/>
      <c r="BI672" s="4317"/>
      <c r="BJ672" s="4317"/>
      <c r="BK672" s="4317"/>
      <c r="BL672" s="4317"/>
      <c r="BM672" s="4317"/>
      <c r="BN672" s="4317"/>
      <c r="BO672" s="4317"/>
      <c r="BP672" s="4317"/>
      <c r="BQ672" s="4317"/>
      <c r="BR672" s="4317"/>
      <c r="BS672" s="4317"/>
      <c r="BT672" s="4317"/>
      <c r="BU672" s="4317"/>
      <c r="BV672" s="4317"/>
      <c r="BW672" s="4317"/>
      <c r="BX672" s="4317"/>
      <c r="BY672" s="4317"/>
      <c r="BZ672" s="4317"/>
      <c r="CA672" s="4317"/>
      <c r="CB672" s="4317"/>
      <c r="CC672" s="4317"/>
      <c r="CD672" s="4317"/>
      <c r="CE672" s="4317"/>
      <c r="CF672" s="4317"/>
      <c r="CG672" s="4317"/>
      <c r="CH672" s="4317"/>
      <c r="CI672" s="4317"/>
      <c r="CJ672" s="4317"/>
      <c r="CK672" s="4317"/>
      <c r="CL672" s="4317"/>
      <c r="CM672" s="4317"/>
      <c r="CN672" s="4317"/>
      <c r="CO672" s="4317"/>
      <c r="CP672" s="4317"/>
      <c r="CQ672" s="4317"/>
      <c r="CR672" s="4317"/>
      <c r="CS672" s="4317"/>
      <c r="CT672" s="4317"/>
      <c r="CU672" s="4317"/>
      <c r="CV672" s="4317"/>
      <c r="CW672" s="4317"/>
      <c r="CX672" s="4317"/>
      <c r="CY672" s="4317"/>
      <c r="CZ672" s="4317"/>
      <c r="DA672" s="4317"/>
      <c r="DB672" s="4317"/>
      <c r="DC672" s="4317"/>
      <c r="DD672" s="4317"/>
      <c r="DE672" s="4317"/>
      <c r="DF672" s="4317"/>
      <c r="DG672" s="4317"/>
      <c r="DH672" s="4317"/>
      <c r="DI672" s="4317"/>
      <c r="DJ672" s="4317"/>
      <c r="DK672" s="4317"/>
      <c r="DL672" s="4317"/>
      <c r="DM672" s="4317"/>
      <c r="DN672" s="4317"/>
      <c r="DO672" s="4317"/>
      <c r="DP672" s="4317"/>
      <c r="DQ672" s="4317"/>
      <c r="DR672" s="4317"/>
      <c r="DS672" s="4317"/>
      <c r="DT672" s="4133"/>
      <c r="DU672" s="4133"/>
      <c r="DV672" s="4133"/>
      <c r="DW672" s="4133"/>
      <c r="DX672" s="4133"/>
      <c r="DY672" s="4133"/>
    </row>
    <row r="673" s="4134" customFormat="1" ht="16.5" customHeight="1" spans="1:129">
      <c r="A673" s="4657" t="s">
        <v>5346</v>
      </c>
      <c r="B673" s="4657"/>
      <c r="C673" s="4657"/>
      <c r="D673" s="4657"/>
      <c r="E673" s="4657"/>
      <c r="F673" s="4534"/>
      <c r="G673" s="4535"/>
      <c r="H673" s="4535"/>
      <c r="I673" s="4535"/>
      <c r="J673" s="4535"/>
      <c r="K673" s="4535"/>
      <c r="L673" s="4536"/>
      <c r="M673" s="4534"/>
      <c r="N673" s="4535"/>
      <c r="O673" s="4535"/>
      <c r="P673" s="4535"/>
      <c r="Q673" s="4535"/>
      <c r="R673" s="4535"/>
      <c r="S673" s="4536"/>
      <c r="T673" s="4317"/>
      <c r="U673" s="4653"/>
      <c r="V673" s="4319" t="s">
        <v>5347</v>
      </c>
      <c r="W673" s="4317"/>
      <c r="X673" s="4317"/>
      <c r="Y673" s="4653"/>
      <c r="Z673" s="4653"/>
      <c r="AA673" s="4653"/>
      <c r="AB673" s="4317"/>
      <c r="AC673" s="4295"/>
      <c r="AD673" s="4653"/>
      <c r="AE673" s="4653"/>
      <c r="AF673" s="4653"/>
      <c r="AG673" s="4317"/>
      <c r="AH673" s="4317"/>
      <c r="AI673" s="4317"/>
      <c r="AJ673" s="4317"/>
      <c r="AK673" s="4317"/>
      <c r="AL673" s="4317"/>
      <c r="AM673" s="4317"/>
      <c r="AN673" s="4317"/>
      <c r="AO673" s="4317"/>
      <c r="AP673" s="4317"/>
      <c r="AQ673" s="4317"/>
      <c r="AR673" s="4317"/>
      <c r="AS673" s="4317"/>
      <c r="AT673" s="4317"/>
      <c r="AU673" s="4317"/>
      <c r="AV673" s="4317"/>
      <c r="AW673" s="4317"/>
      <c r="AX673" s="4317"/>
      <c r="AY673" s="4317"/>
      <c r="AZ673" s="4317"/>
      <c r="BA673" s="4317"/>
      <c r="BB673" s="4317"/>
      <c r="BC673" s="4317"/>
      <c r="BD673" s="4317"/>
      <c r="BE673" s="4317"/>
      <c r="BF673" s="4317"/>
      <c r="BG673" s="4317"/>
      <c r="BH673" s="4317"/>
      <c r="BI673" s="4317"/>
      <c r="BJ673" s="4317"/>
      <c r="BK673" s="4317"/>
      <c r="BL673" s="4317"/>
      <c r="BM673" s="4317"/>
      <c r="BN673" s="4317"/>
      <c r="BO673" s="4317"/>
      <c r="BP673" s="4317"/>
      <c r="BQ673" s="4317"/>
      <c r="BR673" s="4317"/>
      <c r="BS673" s="4317"/>
      <c r="BT673" s="4317"/>
      <c r="BU673" s="4317"/>
      <c r="BV673" s="4317"/>
      <c r="BW673" s="4317"/>
      <c r="BX673" s="4317"/>
      <c r="BY673" s="4317"/>
      <c r="BZ673" s="4317"/>
      <c r="CA673" s="4317"/>
      <c r="CB673" s="4317"/>
      <c r="CC673" s="4317"/>
      <c r="CD673" s="4317"/>
      <c r="CE673" s="4317"/>
      <c r="CF673" s="4317"/>
      <c r="CG673" s="4317"/>
      <c r="CH673" s="4317"/>
      <c r="CI673" s="4317"/>
      <c r="CJ673" s="4317"/>
      <c r="CK673" s="4317"/>
      <c r="CL673" s="4317"/>
      <c r="CM673" s="4317"/>
      <c r="CN673" s="4317"/>
      <c r="CO673" s="4317"/>
      <c r="CP673" s="4317"/>
      <c r="CQ673" s="4317"/>
      <c r="CR673" s="4317"/>
      <c r="CS673" s="4317"/>
      <c r="CT673" s="4317"/>
      <c r="CU673" s="4317"/>
      <c r="CV673" s="4317"/>
      <c r="CW673" s="4317"/>
      <c r="CX673" s="4317"/>
      <c r="CY673" s="4317"/>
      <c r="CZ673" s="4317"/>
      <c r="DA673" s="4317"/>
      <c r="DB673" s="4317"/>
      <c r="DC673" s="4317"/>
      <c r="DD673" s="4317"/>
      <c r="DE673" s="4317"/>
      <c r="DF673" s="4317"/>
      <c r="DG673" s="4317"/>
      <c r="DH673" s="4317"/>
      <c r="DI673" s="4317"/>
      <c r="DJ673" s="4317"/>
      <c r="DK673" s="4317"/>
      <c r="DL673" s="4317"/>
      <c r="DM673" s="4317"/>
      <c r="DN673" s="4317"/>
      <c r="DO673" s="4317"/>
      <c r="DP673" s="4317"/>
      <c r="DQ673" s="4317"/>
      <c r="DR673" s="4317"/>
      <c r="DS673" s="4317"/>
      <c r="DT673" s="4133"/>
      <c r="DU673" s="4133"/>
      <c r="DV673" s="4133"/>
      <c r="DW673" s="4133"/>
      <c r="DX673" s="4133"/>
      <c r="DY673" s="4133"/>
    </row>
    <row r="674" s="4134" customFormat="1" ht="16.5" customHeight="1" spans="1:129">
      <c r="A674" s="4657" t="s">
        <v>5348</v>
      </c>
      <c r="B674" s="4657"/>
      <c r="C674" s="4657"/>
      <c r="D674" s="4657"/>
      <c r="E674" s="4657"/>
      <c r="F674" s="4534">
        <v>1850</v>
      </c>
      <c r="G674" s="4535"/>
      <c r="H674" s="4535"/>
      <c r="I674" s="4535"/>
      <c r="J674" s="4535"/>
      <c r="K674" s="4535"/>
      <c r="L674" s="4536"/>
      <c r="M674" s="4534"/>
      <c r="N674" s="4535"/>
      <c r="O674" s="4535"/>
      <c r="P674" s="4535"/>
      <c r="Q674" s="4535"/>
      <c r="R674" s="4535"/>
      <c r="S674" s="4536"/>
      <c r="T674" s="4317"/>
      <c r="U674" s="4653"/>
      <c r="V674" s="4319" t="s">
        <v>5349</v>
      </c>
      <c r="W674" s="4317"/>
      <c r="X674" s="4317"/>
      <c r="Y674" s="4653"/>
      <c r="Z674" s="4653"/>
      <c r="AA674" s="4653"/>
      <c r="AB674" s="4317"/>
      <c r="AC674" s="4295"/>
      <c r="AD674" s="4653"/>
      <c r="AE674" s="4653"/>
      <c r="AF674" s="4653"/>
      <c r="AG674" s="4317"/>
      <c r="AH674" s="4317"/>
      <c r="AI674" s="4317"/>
      <c r="AJ674" s="4317"/>
      <c r="AK674" s="4317"/>
      <c r="AL674" s="4317"/>
      <c r="AM674" s="4317"/>
      <c r="AN674" s="4317"/>
      <c r="AO674" s="4317"/>
      <c r="AP674" s="4317"/>
      <c r="AQ674" s="4317"/>
      <c r="AR674" s="4317"/>
      <c r="AS674" s="4317"/>
      <c r="AT674" s="4317"/>
      <c r="AU674" s="4317"/>
      <c r="AV674" s="4317"/>
      <c r="AW674" s="4317"/>
      <c r="AX674" s="4317"/>
      <c r="AY674" s="4317"/>
      <c r="AZ674" s="4317"/>
      <c r="BA674" s="4317"/>
      <c r="BB674" s="4317"/>
      <c r="BC674" s="4317"/>
      <c r="BD674" s="4317"/>
      <c r="BE674" s="4317"/>
      <c r="BF674" s="4317"/>
      <c r="BG674" s="4317"/>
      <c r="BH674" s="4317"/>
      <c r="BI674" s="4317"/>
      <c r="BJ674" s="4317"/>
      <c r="BK674" s="4317"/>
      <c r="BL674" s="4317"/>
      <c r="BM674" s="4317"/>
      <c r="BN674" s="4317"/>
      <c r="BO674" s="4317"/>
      <c r="BP674" s="4317"/>
      <c r="BQ674" s="4317"/>
      <c r="BR674" s="4317"/>
      <c r="BS674" s="4317"/>
      <c r="BT674" s="4317"/>
      <c r="BU674" s="4317"/>
      <c r="BV674" s="4317"/>
      <c r="BW674" s="4317"/>
      <c r="BX674" s="4317"/>
      <c r="BY674" s="4317"/>
      <c r="BZ674" s="4317"/>
      <c r="CA674" s="4317"/>
      <c r="CB674" s="4317"/>
      <c r="CC674" s="4317"/>
      <c r="CD674" s="4317"/>
      <c r="CE674" s="4317"/>
      <c r="CF674" s="4317"/>
      <c r="CG674" s="4317"/>
      <c r="CH674" s="4317"/>
      <c r="CI674" s="4317"/>
      <c r="CJ674" s="4317"/>
      <c r="CK674" s="4317"/>
      <c r="CL674" s="4317"/>
      <c r="CM674" s="4317"/>
      <c r="CN674" s="4317"/>
      <c r="CO674" s="4317"/>
      <c r="CP674" s="4317"/>
      <c r="CQ674" s="4317"/>
      <c r="CR674" s="4317"/>
      <c r="CS674" s="4317"/>
      <c r="CT674" s="4317"/>
      <c r="CU674" s="4317"/>
      <c r="CV674" s="4317"/>
      <c r="CW674" s="4317"/>
      <c r="CX674" s="4317"/>
      <c r="CY674" s="4317"/>
      <c r="CZ674" s="4317"/>
      <c r="DA674" s="4317"/>
      <c r="DB674" s="4317"/>
      <c r="DC674" s="4317"/>
      <c r="DD674" s="4317"/>
      <c r="DE674" s="4317"/>
      <c r="DF674" s="4317"/>
      <c r="DG674" s="4317"/>
      <c r="DH674" s="4317"/>
      <c r="DI674" s="4317"/>
      <c r="DJ674" s="4317"/>
      <c r="DK674" s="4317"/>
      <c r="DL674" s="4317"/>
      <c r="DM674" s="4317"/>
      <c r="DN674" s="4317"/>
      <c r="DO674" s="4317"/>
      <c r="DP674" s="4317"/>
      <c r="DQ674" s="4317"/>
      <c r="DR674" s="4317"/>
      <c r="DS674" s="4317"/>
      <c r="DT674" s="4133"/>
      <c r="DU674" s="4133"/>
      <c r="DV674" s="4133"/>
      <c r="DW674" s="4133"/>
      <c r="DX674" s="4133"/>
      <c r="DY674" s="4133"/>
    </row>
    <row r="675" s="4134" customFormat="1" ht="16.5" customHeight="1" spans="1:129">
      <c r="A675" s="4657" t="s">
        <v>5350</v>
      </c>
      <c r="B675" s="4657"/>
      <c r="C675" s="4657"/>
      <c r="D675" s="4657"/>
      <c r="E675" s="4657"/>
      <c r="F675" s="4534"/>
      <c r="G675" s="4535"/>
      <c r="H675" s="4535"/>
      <c r="I675" s="4535"/>
      <c r="J675" s="4535"/>
      <c r="K675" s="4535"/>
      <c r="L675" s="4536"/>
      <c r="M675" s="4534"/>
      <c r="N675" s="4535"/>
      <c r="O675" s="4535"/>
      <c r="P675" s="4535"/>
      <c r="Q675" s="4535"/>
      <c r="R675" s="4535"/>
      <c r="S675" s="4536"/>
      <c r="T675" s="4317"/>
      <c r="U675" s="4653"/>
      <c r="V675" s="4319" t="s">
        <v>5351</v>
      </c>
      <c r="W675" s="4317"/>
      <c r="X675" s="4317"/>
      <c r="Y675" s="4653"/>
      <c r="Z675" s="4653"/>
      <c r="AA675" s="4653"/>
      <c r="AB675" s="4317"/>
      <c r="AC675" s="4295"/>
      <c r="AD675" s="4653"/>
      <c r="AE675" s="4653"/>
      <c r="AF675" s="4653"/>
      <c r="AG675" s="4317"/>
      <c r="AH675" s="4317"/>
      <c r="AI675" s="4317"/>
      <c r="AJ675" s="4317"/>
      <c r="AK675" s="4317"/>
      <c r="AL675" s="4317"/>
      <c r="AM675" s="4317"/>
      <c r="AN675" s="4317"/>
      <c r="AO675" s="4317"/>
      <c r="AP675" s="4317"/>
      <c r="AQ675" s="4317"/>
      <c r="AR675" s="4317"/>
      <c r="AS675" s="4317"/>
      <c r="AT675" s="4317"/>
      <c r="AU675" s="4317"/>
      <c r="AV675" s="4317"/>
      <c r="AW675" s="4317"/>
      <c r="AX675" s="4317"/>
      <c r="AY675" s="4317"/>
      <c r="AZ675" s="4317"/>
      <c r="BA675" s="4317"/>
      <c r="BB675" s="4317"/>
      <c r="BC675" s="4317"/>
      <c r="BD675" s="4317"/>
      <c r="BE675" s="4317"/>
      <c r="BF675" s="4317"/>
      <c r="BG675" s="4317"/>
      <c r="BH675" s="4317"/>
      <c r="BI675" s="4317"/>
      <c r="BJ675" s="4317"/>
      <c r="BK675" s="4317"/>
      <c r="BL675" s="4317"/>
      <c r="BM675" s="4317"/>
      <c r="BN675" s="4317"/>
      <c r="BO675" s="4317"/>
      <c r="BP675" s="4317"/>
      <c r="BQ675" s="4317"/>
      <c r="BR675" s="4317"/>
      <c r="BS675" s="4317"/>
      <c r="BT675" s="4317"/>
      <c r="BU675" s="4317"/>
      <c r="BV675" s="4317"/>
      <c r="BW675" s="4317"/>
      <c r="BX675" s="4317"/>
      <c r="BY675" s="4317"/>
      <c r="BZ675" s="4317"/>
      <c r="CA675" s="4317"/>
      <c r="CB675" s="4317"/>
      <c r="CC675" s="4317"/>
      <c r="CD675" s="4317"/>
      <c r="CE675" s="4317"/>
      <c r="CF675" s="4317"/>
      <c r="CG675" s="4317"/>
      <c r="CH675" s="4317"/>
      <c r="CI675" s="4317"/>
      <c r="CJ675" s="4317"/>
      <c r="CK675" s="4317"/>
      <c r="CL675" s="4317"/>
      <c r="CM675" s="4317"/>
      <c r="CN675" s="4317"/>
      <c r="CO675" s="4317"/>
      <c r="CP675" s="4317"/>
      <c r="CQ675" s="4317"/>
      <c r="CR675" s="4317"/>
      <c r="CS675" s="4317"/>
      <c r="CT675" s="4317"/>
      <c r="CU675" s="4317"/>
      <c r="CV675" s="4317"/>
      <c r="CW675" s="4317"/>
      <c r="CX675" s="4317"/>
      <c r="CY675" s="4317"/>
      <c r="CZ675" s="4317"/>
      <c r="DA675" s="4317"/>
      <c r="DB675" s="4317"/>
      <c r="DC675" s="4317"/>
      <c r="DD675" s="4317"/>
      <c r="DE675" s="4317"/>
      <c r="DF675" s="4317"/>
      <c r="DG675" s="4317"/>
      <c r="DH675" s="4317"/>
      <c r="DI675" s="4317"/>
      <c r="DJ675" s="4317"/>
      <c r="DK675" s="4317"/>
      <c r="DL675" s="4317"/>
      <c r="DM675" s="4317"/>
      <c r="DN675" s="4317"/>
      <c r="DO675" s="4317"/>
      <c r="DP675" s="4317"/>
      <c r="DQ675" s="4317"/>
      <c r="DR675" s="4317"/>
      <c r="DS675" s="4317"/>
      <c r="DT675" s="4133"/>
      <c r="DU675" s="4133"/>
      <c r="DV675" s="4133"/>
      <c r="DW675" s="4133"/>
      <c r="DX675" s="4133"/>
      <c r="DY675" s="4133"/>
    </row>
    <row r="676" s="4134" customFormat="1" ht="16.5" customHeight="1" spans="1:129">
      <c r="A676" s="4657" t="s">
        <v>879</v>
      </c>
      <c r="B676" s="4657"/>
      <c r="C676" s="4657"/>
      <c r="D676" s="4657"/>
      <c r="E676" s="4657"/>
      <c r="F676" s="4534"/>
      <c r="G676" s="4535"/>
      <c r="H676" s="4535"/>
      <c r="I676" s="4535"/>
      <c r="J676" s="4535"/>
      <c r="K676" s="4535"/>
      <c r="L676" s="4536"/>
      <c r="M676" s="4534"/>
      <c r="N676" s="4535"/>
      <c r="O676" s="4535"/>
      <c r="P676" s="4535"/>
      <c r="Q676" s="4535"/>
      <c r="R676" s="4535"/>
      <c r="S676" s="4536"/>
      <c r="T676" s="4317"/>
      <c r="U676" s="4653"/>
      <c r="V676" s="4319" t="s">
        <v>5352</v>
      </c>
      <c r="W676" s="4317"/>
      <c r="X676" s="4317"/>
      <c r="Y676" s="4653"/>
      <c r="Z676" s="4653"/>
      <c r="AA676" s="4653"/>
      <c r="AB676" s="4317"/>
      <c r="AC676" s="4295"/>
      <c r="AD676" s="4653"/>
      <c r="AE676" s="4653"/>
      <c r="AF676" s="4653"/>
      <c r="AG676" s="4317"/>
      <c r="AH676" s="4317"/>
      <c r="AI676" s="4317"/>
      <c r="AJ676" s="4317"/>
      <c r="AK676" s="4317"/>
      <c r="AL676" s="4317"/>
      <c r="AM676" s="4317"/>
      <c r="AN676" s="4317"/>
      <c r="AO676" s="4317"/>
      <c r="AP676" s="4317"/>
      <c r="AQ676" s="4317"/>
      <c r="AR676" s="4317"/>
      <c r="AS676" s="4317"/>
      <c r="AT676" s="4317"/>
      <c r="AU676" s="4317"/>
      <c r="AV676" s="4317"/>
      <c r="AW676" s="4317"/>
      <c r="AX676" s="4317"/>
      <c r="AY676" s="4317"/>
      <c r="AZ676" s="4317"/>
      <c r="BA676" s="4317"/>
      <c r="BB676" s="4317"/>
      <c r="BC676" s="4317"/>
      <c r="BD676" s="4317"/>
      <c r="BE676" s="4317"/>
      <c r="BF676" s="4317"/>
      <c r="BG676" s="4317"/>
      <c r="BH676" s="4317"/>
      <c r="BI676" s="4317"/>
      <c r="BJ676" s="4317"/>
      <c r="BK676" s="4317"/>
      <c r="BL676" s="4317"/>
      <c r="BM676" s="4317"/>
      <c r="BN676" s="4317"/>
      <c r="BO676" s="4317"/>
      <c r="BP676" s="4317"/>
      <c r="BQ676" s="4317"/>
      <c r="BR676" s="4317"/>
      <c r="BS676" s="4317"/>
      <c r="BT676" s="4317"/>
      <c r="BU676" s="4317"/>
      <c r="BV676" s="4317"/>
      <c r="BW676" s="4317"/>
      <c r="BX676" s="4317"/>
      <c r="BY676" s="4317"/>
      <c r="BZ676" s="4317"/>
      <c r="CA676" s="4317"/>
      <c r="CB676" s="4317"/>
      <c r="CC676" s="4317"/>
      <c r="CD676" s="4317"/>
      <c r="CE676" s="4317"/>
      <c r="CF676" s="4317"/>
      <c r="CG676" s="4317"/>
      <c r="CH676" s="4317"/>
      <c r="CI676" s="4317"/>
      <c r="CJ676" s="4317"/>
      <c r="CK676" s="4317"/>
      <c r="CL676" s="4317"/>
      <c r="CM676" s="4317"/>
      <c r="CN676" s="4317"/>
      <c r="CO676" s="4317"/>
      <c r="CP676" s="4317"/>
      <c r="CQ676" s="4317"/>
      <c r="CR676" s="4317"/>
      <c r="CS676" s="4317"/>
      <c r="CT676" s="4317"/>
      <c r="CU676" s="4317"/>
      <c r="CV676" s="4317"/>
      <c r="CW676" s="4317"/>
      <c r="CX676" s="4317"/>
      <c r="CY676" s="4317"/>
      <c r="CZ676" s="4317"/>
      <c r="DA676" s="4317"/>
      <c r="DB676" s="4317"/>
      <c r="DC676" s="4317"/>
      <c r="DD676" s="4317"/>
      <c r="DE676" s="4317"/>
      <c r="DF676" s="4317"/>
      <c r="DG676" s="4317"/>
      <c r="DH676" s="4317"/>
      <c r="DI676" s="4317"/>
      <c r="DJ676" s="4317"/>
      <c r="DK676" s="4317"/>
      <c r="DL676" s="4317"/>
      <c r="DM676" s="4317"/>
      <c r="DN676" s="4317"/>
      <c r="DO676" s="4317"/>
      <c r="DP676" s="4317"/>
      <c r="DQ676" s="4317"/>
      <c r="DR676" s="4317"/>
      <c r="DS676" s="4317"/>
      <c r="DT676" s="4133"/>
      <c r="DU676" s="4133"/>
      <c r="DV676" s="4133"/>
      <c r="DW676" s="4133"/>
      <c r="DX676" s="4133"/>
      <c r="DY676" s="4133"/>
    </row>
    <row r="677" s="4134" customFormat="1" ht="16.5" customHeight="1" spans="1:129">
      <c r="A677" s="4657" t="s">
        <v>5353</v>
      </c>
      <c r="B677" s="4657"/>
      <c r="C677" s="4657"/>
      <c r="D677" s="4657"/>
      <c r="E677" s="4657"/>
      <c r="F677" s="4534"/>
      <c r="G677" s="4535"/>
      <c r="H677" s="4535"/>
      <c r="I677" s="4535"/>
      <c r="J677" s="4535"/>
      <c r="K677" s="4535"/>
      <c r="L677" s="4536"/>
      <c r="M677" s="4534"/>
      <c r="N677" s="4535"/>
      <c r="O677" s="4535"/>
      <c r="P677" s="4535"/>
      <c r="Q677" s="4535"/>
      <c r="R677" s="4535"/>
      <c r="S677" s="4536"/>
      <c r="T677" s="4317"/>
      <c r="U677" s="4653"/>
      <c r="V677" s="4319" t="s">
        <v>5354</v>
      </c>
      <c r="W677" s="4317"/>
      <c r="X677" s="4317"/>
      <c r="Y677" s="4653"/>
      <c r="Z677" s="4653"/>
      <c r="AA677" s="4653"/>
      <c r="AB677" s="4317"/>
      <c r="AC677" s="4295"/>
      <c r="AD677" s="4653"/>
      <c r="AE677" s="4653"/>
      <c r="AF677" s="4653"/>
      <c r="AG677" s="4317"/>
      <c r="AH677" s="4317"/>
      <c r="AI677" s="4317"/>
      <c r="AJ677" s="4317"/>
      <c r="AK677" s="4317"/>
      <c r="AL677" s="4317"/>
      <c r="AM677" s="4317"/>
      <c r="AN677" s="4317"/>
      <c r="AO677" s="4317"/>
      <c r="AP677" s="4317"/>
      <c r="AQ677" s="4317"/>
      <c r="AR677" s="4317"/>
      <c r="AS677" s="4317"/>
      <c r="AT677" s="4317"/>
      <c r="AU677" s="4317"/>
      <c r="AV677" s="4317"/>
      <c r="AW677" s="4317"/>
      <c r="AX677" s="4317"/>
      <c r="AY677" s="4317"/>
      <c r="AZ677" s="4317"/>
      <c r="BA677" s="4317"/>
      <c r="BB677" s="4317"/>
      <c r="BC677" s="4317"/>
      <c r="BD677" s="4317"/>
      <c r="BE677" s="4317"/>
      <c r="BF677" s="4317"/>
      <c r="BG677" s="4317"/>
      <c r="BH677" s="4317"/>
      <c r="BI677" s="4317"/>
      <c r="BJ677" s="4317"/>
      <c r="BK677" s="4317"/>
      <c r="BL677" s="4317"/>
      <c r="BM677" s="4317"/>
      <c r="BN677" s="4317"/>
      <c r="BO677" s="4317"/>
      <c r="BP677" s="4317"/>
      <c r="BQ677" s="4317"/>
      <c r="BR677" s="4317"/>
      <c r="BS677" s="4317"/>
      <c r="BT677" s="4317"/>
      <c r="BU677" s="4317"/>
      <c r="BV677" s="4317"/>
      <c r="BW677" s="4317"/>
      <c r="BX677" s="4317"/>
      <c r="BY677" s="4317"/>
      <c r="BZ677" s="4317"/>
      <c r="CA677" s="4317"/>
      <c r="CB677" s="4317"/>
      <c r="CC677" s="4317"/>
      <c r="CD677" s="4317"/>
      <c r="CE677" s="4317"/>
      <c r="CF677" s="4317"/>
      <c r="CG677" s="4317"/>
      <c r="CH677" s="4317"/>
      <c r="CI677" s="4317"/>
      <c r="CJ677" s="4317"/>
      <c r="CK677" s="4317"/>
      <c r="CL677" s="4317"/>
      <c r="CM677" s="4317"/>
      <c r="CN677" s="4317"/>
      <c r="CO677" s="4317"/>
      <c r="CP677" s="4317"/>
      <c r="CQ677" s="4317"/>
      <c r="CR677" s="4317"/>
      <c r="CS677" s="4317"/>
      <c r="CT677" s="4317"/>
      <c r="CU677" s="4317"/>
      <c r="CV677" s="4317"/>
      <c r="CW677" s="4317"/>
      <c r="CX677" s="4317"/>
      <c r="CY677" s="4317"/>
      <c r="CZ677" s="4317"/>
      <c r="DA677" s="4317"/>
      <c r="DB677" s="4317"/>
      <c r="DC677" s="4317"/>
      <c r="DD677" s="4317"/>
      <c r="DE677" s="4317"/>
      <c r="DF677" s="4317"/>
      <c r="DG677" s="4317"/>
      <c r="DH677" s="4317"/>
      <c r="DI677" s="4317"/>
      <c r="DJ677" s="4317"/>
      <c r="DK677" s="4317"/>
      <c r="DL677" s="4317"/>
      <c r="DM677" s="4317"/>
      <c r="DN677" s="4317"/>
      <c r="DO677" s="4317"/>
      <c r="DP677" s="4317"/>
      <c r="DQ677" s="4317"/>
      <c r="DR677" s="4317"/>
      <c r="DS677" s="4317"/>
      <c r="DT677" s="4133"/>
      <c r="DU677" s="4133"/>
      <c r="DV677" s="4133"/>
      <c r="DW677" s="4133"/>
      <c r="DX677" s="4133"/>
      <c r="DY677" s="4133"/>
    </row>
    <row r="678" s="4134" customFormat="1" ht="16.5" customHeight="1" spans="1:129">
      <c r="A678" s="4659" t="s">
        <v>550</v>
      </c>
      <c r="B678" s="4660"/>
      <c r="C678" s="4660"/>
      <c r="D678" s="4660"/>
      <c r="E678" s="4660"/>
      <c r="F678" s="4661">
        <f>SUM(F669:L677)</f>
        <v>2327</v>
      </c>
      <c r="G678" s="4661"/>
      <c r="H678" s="4661"/>
      <c r="I678" s="4661"/>
      <c r="J678" s="4661"/>
      <c r="K678" s="4661"/>
      <c r="L678" s="4661"/>
      <c r="M678" s="4661">
        <f>SUM(M669:S677)</f>
        <v>0</v>
      </c>
      <c r="N678" s="4661"/>
      <c r="O678" s="4661"/>
      <c r="P678" s="4661"/>
      <c r="Q678" s="4661"/>
      <c r="R678" s="4661"/>
      <c r="S678" s="4661"/>
      <c r="T678" s="4317"/>
      <c r="U678" s="4653"/>
      <c r="V678" s="4323" t="s">
        <v>5355</v>
      </c>
      <c r="W678" s="4317"/>
      <c r="X678" s="4317"/>
      <c r="Y678" s="4653"/>
      <c r="Z678" s="4653"/>
      <c r="AA678" s="4653"/>
      <c r="AB678" s="4317"/>
      <c r="AC678" s="4295"/>
      <c r="AD678" s="4653"/>
      <c r="AE678" s="4653"/>
      <c r="AF678" s="4653"/>
      <c r="AG678" s="4317"/>
      <c r="AH678" s="4317"/>
      <c r="AI678" s="4317"/>
      <c r="AJ678" s="4317"/>
      <c r="AK678" s="4317"/>
      <c r="AL678" s="4317"/>
      <c r="AM678" s="4317"/>
      <c r="AN678" s="4317"/>
      <c r="AO678" s="4317"/>
      <c r="AP678" s="4317"/>
      <c r="AQ678" s="4317"/>
      <c r="AR678" s="4317"/>
      <c r="AS678" s="4317"/>
      <c r="AT678" s="4317"/>
      <c r="AU678" s="4317"/>
      <c r="AV678" s="4317"/>
      <c r="AW678" s="4317"/>
      <c r="AX678" s="4317"/>
      <c r="AY678" s="4317"/>
      <c r="AZ678" s="4317"/>
      <c r="BA678" s="4317"/>
      <c r="BB678" s="4317"/>
      <c r="BC678" s="4317"/>
      <c r="BD678" s="4317"/>
      <c r="BE678" s="4317"/>
      <c r="BF678" s="4317"/>
      <c r="BG678" s="4317"/>
      <c r="BH678" s="4317"/>
      <c r="BI678" s="4317"/>
      <c r="BJ678" s="4317"/>
      <c r="BK678" s="4317"/>
      <c r="BL678" s="4317"/>
      <c r="BM678" s="4317"/>
      <c r="BN678" s="4317"/>
      <c r="BO678" s="4317"/>
      <c r="BP678" s="4317"/>
      <c r="BQ678" s="4317"/>
      <c r="BR678" s="4317"/>
      <c r="BS678" s="4317"/>
      <c r="BT678" s="4317"/>
      <c r="BU678" s="4317"/>
      <c r="BV678" s="4317"/>
      <c r="BW678" s="4317"/>
      <c r="BX678" s="4317"/>
      <c r="BY678" s="4317"/>
      <c r="BZ678" s="4317"/>
      <c r="CA678" s="4317"/>
      <c r="CB678" s="4317"/>
      <c r="CC678" s="4317"/>
      <c r="CD678" s="4317"/>
      <c r="CE678" s="4317"/>
      <c r="CF678" s="4317"/>
      <c r="CG678" s="4317"/>
      <c r="CH678" s="4317"/>
      <c r="CI678" s="4317"/>
      <c r="CJ678" s="4317"/>
      <c r="CK678" s="4317"/>
      <c r="CL678" s="4317"/>
      <c r="CM678" s="4317"/>
      <c r="CN678" s="4317"/>
      <c r="CO678" s="4317"/>
      <c r="CP678" s="4317"/>
      <c r="CQ678" s="4317"/>
      <c r="CR678" s="4317"/>
      <c r="CS678" s="4317"/>
      <c r="CT678" s="4317"/>
      <c r="CU678" s="4317"/>
      <c r="CV678" s="4317"/>
      <c r="CW678" s="4317"/>
      <c r="CX678" s="4317"/>
      <c r="CY678" s="4317"/>
      <c r="CZ678" s="4317"/>
      <c r="DA678" s="4317"/>
      <c r="DB678" s="4317"/>
      <c r="DC678" s="4317"/>
      <c r="DD678" s="4317"/>
      <c r="DE678" s="4317"/>
      <c r="DF678" s="4317"/>
      <c r="DG678" s="4317"/>
      <c r="DH678" s="4317"/>
      <c r="DI678" s="4317"/>
      <c r="DJ678" s="4317"/>
      <c r="DK678" s="4317"/>
      <c r="DL678" s="4317"/>
      <c r="DM678" s="4317"/>
      <c r="DN678" s="4317"/>
      <c r="DO678" s="4317"/>
      <c r="DP678" s="4317"/>
      <c r="DQ678" s="4317"/>
      <c r="DR678" s="4317"/>
      <c r="DS678" s="4317"/>
      <c r="DT678" s="4133"/>
      <c r="DU678" s="4133"/>
      <c r="DV678" s="4133"/>
      <c r="DW678" s="4133"/>
      <c r="DX678" s="4133"/>
      <c r="DY678" s="4133"/>
    </row>
    <row r="679" s="4134" customFormat="1" ht="16.5" customHeight="1" spans="1:129">
      <c r="A679" s="4657" t="s">
        <v>5356</v>
      </c>
      <c r="B679" s="4567"/>
      <c r="C679" s="4567"/>
      <c r="D679" s="4567"/>
      <c r="E679" s="4567"/>
      <c r="F679" s="4534"/>
      <c r="G679" s="4535"/>
      <c r="H679" s="4535"/>
      <c r="I679" s="4535"/>
      <c r="J679" s="4535"/>
      <c r="K679" s="4535"/>
      <c r="L679" s="4536"/>
      <c r="M679" s="4534"/>
      <c r="N679" s="4535"/>
      <c r="O679" s="4535"/>
      <c r="P679" s="4535"/>
      <c r="Q679" s="4535"/>
      <c r="R679" s="4535"/>
      <c r="S679" s="4536"/>
      <c r="T679" s="4317"/>
      <c r="U679" s="4653"/>
      <c r="V679" s="4319" t="s">
        <v>3133</v>
      </c>
      <c r="W679" s="4317"/>
      <c r="X679" s="4317"/>
      <c r="Y679" s="4653"/>
      <c r="Z679" s="4653"/>
      <c r="AA679" s="4653"/>
      <c r="AB679" s="4317"/>
      <c r="AC679" s="4295"/>
      <c r="AD679" s="4653"/>
      <c r="AE679" s="4653"/>
      <c r="AF679" s="4653"/>
      <c r="AG679" s="4317"/>
      <c r="AH679" s="4317"/>
      <c r="AI679" s="4317"/>
      <c r="AJ679" s="4317"/>
      <c r="AK679" s="4317"/>
      <c r="AL679" s="4317"/>
      <c r="AM679" s="4317"/>
      <c r="AN679" s="4317"/>
      <c r="AO679" s="4317"/>
      <c r="AP679" s="4317"/>
      <c r="AQ679" s="4317"/>
      <c r="AR679" s="4317"/>
      <c r="AS679" s="4317"/>
      <c r="AT679" s="4317"/>
      <c r="AU679" s="4317"/>
      <c r="AV679" s="4317"/>
      <c r="AW679" s="4317"/>
      <c r="AX679" s="4317"/>
      <c r="AY679" s="4317"/>
      <c r="AZ679" s="4317"/>
      <c r="BA679" s="4317"/>
      <c r="BB679" s="4317"/>
      <c r="BC679" s="4317"/>
      <c r="BD679" s="4317"/>
      <c r="BE679" s="4317"/>
      <c r="BF679" s="4317"/>
      <c r="BG679" s="4317"/>
      <c r="BH679" s="4317"/>
      <c r="BI679" s="4317"/>
      <c r="BJ679" s="4317"/>
      <c r="BK679" s="4317"/>
      <c r="BL679" s="4317"/>
      <c r="BM679" s="4317"/>
      <c r="BN679" s="4317"/>
      <c r="BO679" s="4317"/>
      <c r="BP679" s="4317"/>
      <c r="BQ679" s="4317"/>
      <c r="BR679" s="4317"/>
      <c r="BS679" s="4317"/>
      <c r="BT679" s="4317"/>
      <c r="BU679" s="4317"/>
      <c r="BV679" s="4317"/>
      <c r="BW679" s="4317"/>
      <c r="BX679" s="4317"/>
      <c r="BY679" s="4317"/>
      <c r="BZ679" s="4317"/>
      <c r="CA679" s="4317"/>
      <c r="CB679" s="4317"/>
      <c r="CC679" s="4317"/>
      <c r="CD679" s="4317"/>
      <c r="CE679" s="4317"/>
      <c r="CF679" s="4317"/>
      <c r="CG679" s="4317"/>
      <c r="CH679" s="4317"/>
      <c r="CI679" s="4317"/>
      <c r="CJ679" s="4317"/>
      <c r="CK679" s="4317"/>
      <c r="CL679" s="4317"/>
      <c r="CM679" s="4317"/>
      <c r="CN679" s="4317"/>
      <c r="CO679" s="4317"/>
      <c r="CP679" s="4317"/>
      <c r="CQ679" s="4317"/>
      <c r="CR679" s="4317"/>
      <c r="CS679" s="4317"/>
      <c r="CT679" s="4317"/>
      <c r="CU679" s="4317"/>
      <c r="CV679" s="4317"/>
      <c r="CW679" s="4317"/>
      <c r="CX679" s="4317"/>
      <c r="CY679" s="4317"/>
      <c r="CZ679" s="4317"/>
      <c r="DA679" s="4317"/>
      <c r="DB679" s="4317"/>
      <c r="DC679" s="4317"/>
      <c r="DD679" s="4317"/>
      <c r="DE679" s="4317"/>
      <c r="DF679" s="4317"/>
      <c r="DG679" s="4317"/>
      <c r="DH679" s="4317"/>
      <c r="DI679" s="4317"/>
      <c r="DJ679" s="4317"/>
      <c r="DK679" s="4317"/>
      <c r="DL679" s="4317"/>
      <c r="DM679" s="4317"/>
      <c r="DN679" s="4317"/>
      <c r="DO679" s="4317"/>
      <c r="DP679" s="4317"/>
      <c r="DQ679" s="4317"/>
      <c r="DR679" s="4317"/>
      <c r="DS679" s="4317"/>
      <c r="DT679" s="4133"/>
      <c r="DU679" s="4133"/>
      <c r="DV679" s="4133"/>
      <c r="DW679" s="4133"/>
      <c r="DX679" s="4133"/>
      <c r="DY679" s="4133"/>
    </row>
    <row r="680" s="4134" customFormat="1" ht="16.5" customHeight="1" spans="1:129">
      <c r="A680" s="4657" t="s">
        <v>5357</v>
      </c>
      <c r="B680" s="4567"/>
      <c r="C680" s="4567"/>
      <c r="D680" s="4567"/>
      <c r="E680" s="4567"/>
      <c r="F680" s="4534">
        <v>20312</v>
      </c>
      <c r="G680" s="4535"/>
      <c r="H680" s="4535"/>
      <c r="I680" s="4535"/>
      <c r="J680" s="4535"/>
      <c r="K680" s="4535"/>
      <c r="L680" s="4536"/>
      <c r="M680" s="4534"/>
      <c r="N680" s="4535"/>
      <c r="O680" s="4535"/>
      <c r="P680" s="4535"/>
      <c r="Q680" s="4535"/>
      <c r="R680" s="4535"/>
      <c r="S680" s="4536"/>
      <c r="T680" s="4317"/>
      <c r="U680" s="4653"/>
      <c r="V680" s="4319" t="s">
        <v>5358</v>
      </c>
      <c r="W680" s="4317"/>
      <c r="X680" s="4317"/>
      <c r="Y680" s="4653"/>
      <c r="Z680" s="4653"/>
      <c r="AA680" s="4653"/>
      <c r="AB680" s="4317"/>
      <c r="AC680" s="4295"/>
      <c r="AD680" s="4653"/>
      <c r="AE680" s="4653"/>
      <c r="AF680" s="4653"/>
      <c r="AG680" s="4317"/>
      <c r="AH680" s="4317"/>
      <c r="AI680" s="4317"/>
      <c r="AJ680" s="4317"/>
      <c r="AK680" s="4317"/>
      <c r="AL680" s="4317"/>
      <c r="AM680" s="4317"/>
      <c r="AN680" s="4317"/>
      <c r="AO680" s="4317"/>
      <c r="AP680" s="4317"/>
      <c r="AQ680" s="4317"/>
      <c r="AR680" s="4317"/>
      <c r="AS680" s="4317"/>
      <c r="AT680" s="4317"/>
      <c r="AU680" s="4317"/>
      <c r="AV680" s="4317"/>
      <c r="AW680" s="4317"/>
      <c r="AX680" s="4317"/>
      <c r="AY680" s="4317"/>
      <c r="AZ680" s="4317"/>
      <c r="BA680" s="4317"/>
      <c r="BB680" s="4317"/>
      <c r="BC680" s="4317"/>
      <c r="BD680" s="4317"/>
      <c r="BE680" s="4317"/>
      <c r="BF680" s="4317"/>
      <c r="BG680" s="4317"/>
      <c r="BH680" s="4317"/>
      <c r="BI680" s="4317"/>
      <c r="BJ680" s="4317"/>
      <c r="BK680" s="4317"/>
      <c r="BL680" s="4317"/>
      <c r="BM680" s="4317"/>
      <c r="BN680" s="4317"/>
      <c r="BO680" s="4317"/>
      <c r="BP680" s="4317"/>
      <c r="BQ680" s="4317"/>
      <c r="BR680" s="4317"/>
      <c r="BS680" s="4317"/>
      <c r="BT680" s="4317"/>
      <c r="BU680" s="4317"/>
      <c r="BV680" s="4317"/>
      <c r="BW680" s="4317"/>
      <c r="BX680" s="4317"/>
      <c r="BY680" s="4317"/>
      <c r="BZ680" s="4317"/>
      <c r="CA680" s="4317"/>
      <c r="CB680" s="4317"/>
      <c r="CC680" s="4317"/>
      <c r="CD680" s="4317"/>
      <c r="CE680" s="4317"/>
      <c r="CF680" s="4317"/>
      <c r="CG680" s="4317"/>
      <c r="CH680" s="4317"/>
      <c r="CI680" s="4317"/>
      <c r="CJ680" s="4317"/>
      <c r="CK680" s="4317"/>
      <c r="CL680" s="4317"/>
      <c r="CM680" s="4317"/>
      <c r="CN680" s="4317"/>
      <c r="CO680" s="4317"/>
      <c r="CP680" s="4317"/>
      <c r="CQ680" s="4317"/>
      <c r="CR680" s="4317"/>
      <c r="CS680" s="4317"/>
      <c r="CT680" s="4317"/>
      <c r="CU680" s="4317"/>
      <c r="CV680" s="4317"/>
      <c r="CW680" s="4317"/>
      <c r="CX680" s="4317"/>
      <c r="CY680" s="4317"/>
      <c r="CZ680" s="4317"/>
      <c r="DA680" s="4317"/>
      <c r="DB680" s="4317"/>
      <c r="DC680" s="4317"/>
      <c r="DD680" s="4317"/>
      <c r="DE680" s="4317"/>
      <c r="DF680" s="4317"/>
      <c r="DG680" s="4317"/>
      <c r="DH680" s="4317"/>
      <c r="DI680" s="4317"/>
      <c r="DJ680" s="4317"/>
      <c r="DK680" s="4317"/>
      <c r="DL680" s="4317"/>
      <c r="DM680" s="4317"/>
      <c r="DN680" s="4317"/>
      <c r="DO680" s="4317"/>
      <c r="DP680" s="4317"/>
      <c r="DQ680" s="4317"/>
      <c r="DR680" s="4317"/>
      <c r="DS680" s="4317"/>
      <c r="DT680" s="4133"/>
      <c r="DU680" s="4133"/>
      <c r="DV680" s="4133"/>
      <c r="DW680" s="4133"/>
      <c r="DX680" s="4133"/>
      <c r="DY680" s="4133"/>
    </row>
    <row r="681" s="4134" customFormat="1" ht="16.5" customHeight="1" spans="1:129">
      <c r="A681" s="4657" t="s">
        <v>5359</v>
      </c>
      <c r="B681" s="4567"/>
      <c r="C681" s="4567"/>
      <c r="D681" s="4567"/>
      <c r="E681" s="4567"/>
      <c r="F681" s="4534"/>
      <c r="G681" s="4535"/>
      <c r="H681" s="4535"/>
      <c r="I681" s="4535"/>
      <c r="J681" s="4535"/>
      <c r="K681" s="4535"/>
      <c r="L681" s="4536"/>
      <c r="M681" s="4534"/>
      <c r="N681" s="4535"/>
      <c r="O681" s="4535"/>
      <c r="P681" s="4535"/>
      <c r="Q681" s="4535"/>
      <c r="R681" s="4535"/>
      <c r="S681" s="4536"/>
      <c r="T681" s="4317"/>
      <c r="U681" s="4653"/>
      <c r="V681" s="4319" t="s">
        <v>5360</v>
      </c>
      <c r="W681" s="4317"/>
      <c r="X681" s="4317"/>
      <c r="Y681" s="4653"/>
      <c r="Z681" s="4653"/>
      <c r="AA681" s="4653"/>
      <c r="AB681" s="4317"/>
      <c r="AC681" s="4295"/>
      <c r="AD681" s="4653"/>
      <c r="AE681" s="4653"/>
      <c r="AF681" s="4653"/>
      <c r="AG681" s="4317"/>
      <c r="AH681" s="4317"/>
      <c r="AI681" s="4317"/>
      <c r="AJ681" s="4317"/>
      <c r="AK681" s="4317"/>
      <c r="AL681" s="4317"/>
      <c r="AM681" s="4317"/>
      <c r="AN681" s="4317"/>
      <c r="AO681" s="4317"/>
      <c r="AP681" s="4317"/>
      <c r="AQ681" s="4317"/>
      <c r="AR681" s="4317"/>
      <c r="AS681" s="4317"/>
      <c r="AT681" s="4317"/>
      <c r="AU681" s="4317"/>
      <c r="AV681" s="4317"/>
      <c r="AW681" s="4317"/>
      <c r="AX681" s="4317"/>
      <c r="AY681" s="4317"/>
      <c r="AZ681" s="4317"/>
      <c r="BA681" s="4317"/>
      <c r="BB681" s="4317"/>
      <c r="BC681" s="4317"/>
      <c r="BD681" s="4317"/>
      <c r="BE681" s="4317"/>
      <c r="BF681" s="4317"/>
      <c r="BG681" s="4317"/>
      <c r="BH681" s="4317"/>
      <c r="BI681" s="4317"/>
      <c r="BJ681" s="4317"/>
      <c r="BK681" s="4317"/>
      <c r="BL681" s="4317"/>
      <c r="BM681" s="4317"/>
      <c r="BN681" s="4317"/>
      <c r="BO681" s="4317"/>
      <c r="BP681" s="4317"/>
      <c r="BQ681" s="4317"/>
      <c r="BR681" s="4317"/>
      <c r="BS681" s="4317"/>
      <c r="BT681" s="4317"/>
      <c r="BU681" s="4317"/>
      <c r="BV681" s="4317"/>
      <c r="BW681" s="4317"/>
      <c r="BX681" s="4317"/>
      <c r="BY681" s="4317"/>
      <c r="BZ681" s="4317"/>
      <c r="CA681" s="4317"/>
      <c r="CB681" s="4317"/>
      <c r="CC681" s="4317"/>
      <c r="CD681" s="4317"/>
      <c r="CE681" s="4317"/>
      <c r="CF681" s="4317"/>
      <c r="CG681" s="4317"/>
      <c r="CH681" s="4317"/>
      <c r="CI681" s="4317"/>
      <c r="CJ681" s="4317"/>
      <c r="CK681" s="4317"/>
      <c r="CL681" s="4317"/>
      <c r="CM681" s="4317"/>
      <c r="CN681" s="4317"/>
      <c r="CO681" s="4317"/>
      <c r="CP681" s="4317"/>
      <c r="CQ681" s="4317"/>
      <c r="CR681" s="4317"/>
      <c r="CS681" s="4317"/>
      <c r="CT681" s="4317"/>
      <c r="CU681" s="4317"/>
      <c r="CV681" s="4317"/>
      <c r="CW681" s="4317"/>
      <c r="CX681" s="4317"/>
      <c r="CY681" s="4317"/>
      <c r="CZ681" s="4317"/>
      <c r="DA681" s="4317"/>
      <c r="DB681" s="4317"/>
      <c r="DC681" s="4317"/>
      <c r="DD681" s="4317"/>
      <c r="DE681" s="4317"/>
      <c r="DF681" s="4317"/>
      <c r="DG681" s="4317"/>
      <c r="DH681" s="4317"/>
      <c r="DI681" s="4317"/>
      <c r="DJ681" s="4317"/>
      <c r="DK681" s="4317"/>
      <c r="DL681" s="4317"/>
      <c r="DM681" s="4317"/>
      <c r="DN681" s="4317"/>
      <c r="DO681" s="4317"/>
      <c r="DP681" s="4317"/>
      <c r="DQ681" s="4317"/>
      <c r="DR681" s="4317"/>
      <c r="DS681" s="4317"/>
      <c r="DT681" s="4133"/>
      <c r="DU681" s="4133"/>
      <c r="DV681" s="4133"/>
      <c r="DW681" s="4133"/>
      <c r="DX681" s="4133"/>
      <c r="DY681" s="4133"/>
    </row>
    <row r="682" s="4134" customFormat="1" ht="16.5" customHeight="1" spans="1:129">
      <c r="A682" s="4659" t="s">
        <v>563</v>
      </c>
      <c r="B682" s="4660"/>
      <c r="C682" s="4660"/>
      <c r="D682" s="4660"/>
      <c r="E682" s="4660"/>
      <c r="F682" s="4661">
        <f>SUM(F679:L681)</f>
        <v>20312</v>
      </c>
      <c r="G682" s="4661"/>
      <c r="H682" s="4661"/>
      <c r="I682" s="4661"/>
      <c r="J682" s="4661"/>
      <c r="K682" s="4661"/>
      <c r="L682" s="4661"/>
      <c r="M682" s="4661">
        <f>SUM(M679:S681)</f>
        <v>0</v>
      </c>
      <c r="N682" s="4661"/>
      <c r="O682" s="4661"/>
      <c r="P682" s="4661"/>
      <c r="Q682" s="4661"/>
      <c r="R682" s="4661"/>
      <c r="S682" s="4661"/>
      <c r="T682" s="4317"/>
      <c r="U682" s="4653"/>
      <c r="V682" s="4323" t="s">
        <v>5361</v>
      </c>
      <c r="W682" s="4317"/>
      <c r="X682" s="4317"/>
      <c r="Y682" s="4653"/>
      <c r="Z682" s="4653"/>
      <c r="AA682" s="4653"/>
      <c r="AB682" s="4317"/>
      <c r="AC682" s="4295"/>
      <c r="AD682" s="4653"/>
      <c r="AE682" s="4653"/>
      <c r="AF682" s="4653"/>
      <c r="AG682" s="4317"/>
      <c r="AH682" s="4317"/>
      <c r="AI682" s="4317"/>
      <c r="AJ682" s="4317"/>
      <c r="AK682" s="4317"/>
      <c r="AL682" s="4317"/>
      <c r="AM682" s="4317"/>
      <c r="AN682" s="4317"/>
      <c r="AO682" s="4317"/>
      <c r="AP682" s="4317"/>
      <c r="AQ682" s="4317"/>
      <c r="AR682" s="4317"/>
      <c r="AS682" s="4317"/>
      <c r="AT682" s="4317"/>
      <c r="AU682" s="4317"/>
      <c r="AV682" s="4317"/>
      <c r="AW682" s="4317"/>
      <c r="AX682" s="4317"/>
      <c r="AY682" s="4317"/>
      <c r="AZ682" s="4317"/>
      <c r="BA682" s="4317"/>
      <c r="BB682" s="4317"/>
      <c r="BC682" s="4317"/>
      <c r="BD682" s="4317"/>
      <c r="BE682" s="4317"/>
      <c r="BF682" s="4317"/>
      <c r="BG682" s="4317"/>
      <c r="BH682" s="4317"/>
      <c r="BI682" s="4317"/>
      <c r="BJ682" s="4317"/>
      <c r="BK682" s="4317"/>
      <c r="BL682" s="4317"/>
      <c r="BM682" s="4317"/>
      <c r="BN682" s="4317"/>
      <c r="BO682" s="4317"/>
      <c r="BP682" s="4317"/>
      <c r="BQ682" s="4317"/>
      <c r="BR682" s="4317"/>
      <c r="BS682" s="4317"/>
      <c r="BT682" s="4317"/>
      <c r="BU682" s="4317"/>
      <c r="BV682" s="4317"/>
      <c r="BW682" s="4317"/>
      <c r="BX682" s="4317"/>
      <c r="BY682" s="4317"/>
      <c r="BZ682" s="4317"/>
      <c r="CA682" s="4317"/>
      <c r="CB682" s="4317"/>
      <c r="CC682" s="4317"/>
      <c r="CD682" s="4317"/>
      <c r="CE682" s="4317"/>
      <c r="CF682" s="4317"/>
      <c r="CG682" s="4317"/>
      <c r="CH682" s="4317"/>
      <c r="CI682" s="4317"/>
      <c r="CJ682" s="4317"/>
      <c r="CK682" s="4317"/>
      <c r="CL682" s="4317"/>
      <c r="CM682" s="4317"/>
      <c r="CN682" s="4317"/>
      <c r="CO682" s="4317"/>
      <c r="CP682" s="4317"/>
      <c r="CQ682" s="4317"/>
      <c r="CR682" s="4317"/>
      <c r="CS682" s="4317"/>
      <c r="CT682" s="4317"/>
      <c r="CU682" s="4317"/>
      <c r="CV682" s="4317"/>
      <c r="CW682" s="4317"/>
      <c r="CX682" s="4317"/>
      <c r="CY682" s="4317"/>
      <c r="CZ682" s="4317"/>
      <c r="DA682" s="4317"/>
      <c r="DB682" s="4317"/>
      <c r="DC682" s="4317"/>
      <c r="DD682" s="4317"/>
      <c r="DE682" s="4317"/>
      <c r="DF682" s="4317"/>
      <c r="DG682" s="4317"/>
      <c r="DH682" s="4317"/>
      <c r="DI682" s="4317"/>
      <c r="DJ682" s="4317"/>
      <c r="DK682" s="4317"/>
      <c r="DL682" s="4317"/>
      <c r="DM682" s="4317"/>
      <c r="DN682" s="4317"/>
      <c r="DO682" s="4317"/>
      <c r="DP682" s="4317"/>
      <c r="DQ682" s="4317"/>
      <c r="DR682" s="4317"/>
      <c r="DS682" s="4317"/>
      <c r="DT682" s="4133"/>
      <c r="DU682" s="4133"/>
      <c r="DV682" s="4133"/>
      <c r="DW682" s="4133"/>
      <c r="DX682" s="4133"/>
      <c r="DY682" s="4133"/>
    </row>
    <row r="683" s="4134" customFormat="1" ht="16.5" customHeight="1" spans="1:129">
      <c r="A683" s="4657" t="s">
        <v>5362</v>
      </c>
      <c r="B683" s="4657"/>
      <c r="C683" s="4657"/>
      <c r="D683" s="4657"/>
      <c r="E683" s="4657"/>
      <c r="F683" s="4534"/>
      <c r="G683" s="4535"/>
      <c r="H683" s="4535"/>
      <c r="I683" s="4535"/>
      <c r="J683" s="4535"/>
      <c r="K683" s="4535"/>
      <c r="L683" s="4536"/>
      <c r="M683" s="4534"/>
      <c r="N683" s="4535"/>
      <c r="O683" s="4535"/>
      <c r="P683" s="4535"/>
      <c r="Q683" s="4535"/>
      <c r="R683" s="4535"/>
      <c r="S683" s="4536"/>
      <c r="T683" s="4317"/>
      <c r="U683" s="4653"/>
      <c r="V683" s="4319" t="s">
        <v>5363</v>
      </c>
      <c r="W683" s="4317"/>
      <c r="X683" s="4317"/>
      <c r="Y683" s="4653"/>
      <c r="Z683" s="4653"/>
      <c r="AA683" s="4653"/>
      <c r="AB683" s="4317"/>
      <c r="AC683" s="4295"/>
      <c r="AD683" s="4653"/>
      <c r="AE683" s="4653"/>
      <c r="AF683" s="4653"/>
      <c r="AG683" s="4317"/>
      <c r="AH683" s="4317"/>
      <c r="AI683" s="4317"/>
      <c r="AJ683" s="4317"/>
      <c r="AK683" s="4317"/>
      <c r="AL683" s="4317"/>
      <c r="AM683" s="4317"/>
      <c r="AN683" s="4317"/>
      <c r="AO683" s="4317"/>
      <c r="AP683" s="4317"/>
      <c r="AQ683" s="4317"/>
      <c r="AR683" s="4317"/>
      <c r="AS683" s="4317"/>
      <c r="AT683" s="4317"/>
      <c r="AU683" s="4317"/>
      <c r="AV683" s="4317"/>
      <c r="AW683" s="4317"/>
      <c r="AX683" s="4317"/>
      <c r="AY683" s="4317"/>
      <c r="AZ683" s="4317"/>
      <c r="BA683" s="4317"/>
      <c r="BB683" s="4317"/>
      <c r="BC683" s="4317"/>
      <c r="BD683" s="4317"/>
      <c r="BE683" s="4317"/>
      <c r="BF683" s="4317"/>
      <c r="BG683" s="4317"/>
      <c r="BH683" s="4317"/>
      <c r="BI683" s="4317"/>
      <c r="BJ683" s="4317"/>
      <c r="BK683" s="4317"/>
      <c r="BL683" s="4317"/>
      <c r="BM683" s="4317"/>
      <c r="BN683" s="4317"/>
      <c r="BO683" s="4317"/>
      <c r="BP683" s="4317"/>
      <c r="BQ683" s="4317"/>
      <c r="BR683" s="4317"/>
      <c r="BS683" s="4317"/>
      <c r="BT683" s="4317"/>
      <c r="BU683" s="4317"/>
      <c r="BV683" s="4317"/>
      <c r="BW683" s="4317"/>
      <c r="BX683" s="4317"/>
      <c r="BY683" s="4317"/>
      <c r="BZ683" s="4317"/>
      <c r="CA683" s="4317"/>
      <c r="CB683" s="4317"/>
      <c r="CC683" s="4317"/>
      <c r="CD683" s="4317"/>
      <c r="CE683" s="4317"/>
      <c r="CF683" s="4317"/>
      <c r="CG683" s="4317"/>
      <c r="CH683" s="4317"/>
      <c r="CI683" s="4317"/>
      <c r="CJ683" s="4317"/>
      <c r="CK683" s="4317"/>
      <c r="CL683" s="4317"/>
      <c r="CM683" s="4317"/>
      <c r="CN683" s="4317"/>
      <c r="CO683" s="4317"/>
      <c r="CP683" s="4317"/>
      <c r="CQ683" s="4317"/>
      <c r="CR683" s="4317"/>
      <c r="CS683" s="4317"/>
      <c r="CT683" s="4317"/>
      <c r="CU683" s="4317"/>
      <c r="CV683" s="4317"/>
      <c r="CW683" s="4317"/>
      <c r="CX683" s="4317"/>
      <c r="CY683" s="4317"/>
      <c r="CZ683" s="4317"/>
      <c r="DA683" s="4317"/>
      <c r="DB683" s="4317"/>
      <c r="DC683" s="4317"/>
      <c r="DD683" s="4317"/>
      <c r="DE683" s="4317"/>
      <c r="DF683" s="4317"/>
      <c r="DG683" s="4317"/>
      <c r="DH683" s="4317"/>
      <c r="DI683" s="4317"/>
      <c r="DJ683" s="4317"/>
      <c r="DK683" s="4317"/>
      <c r="DL683" s="4317"/>
      <c r="DM683" s="4317"/>
      <c r="DN683" s="4317"/>
      <c r="DO683" s="4317"/>
      <c r="DP683" s="4317"/>
      <c r="DQ683" s="4317"/>
      <c r="DR683" s="4317"/>
      <c r="DS683" s="4317"/>
      <c r="DT683" s="4133"/>
      <c r="DU683" s="4133"/>
      <c r="DV683" s="4133"/>
      <c r="DW683" s="4133"/>
      <c r="DX683" s="4133"/>
      <c r="DY683" s="4133"/>
    </row>
    <row r="684" s="4134" customFormat="1" ht="16.5" customHeight="1" spans="1:129">
      <c r="A684" s="4657" t="s">
        <v>5364</v>
      </c>
      <c r="B684" s="4657"/>
      <c r="C684" s="4657"/>
      <c r="D684" s="4657"/>
      <c r="E684" s="4657"/>
      <c r="F684" s="4534"/>
      <c r="G684" s="4535"/>
      <c r="H684" s="4535"/>
      <c r="I684" s="4535"/>
      <c r="J684" s="4535"/>
      <c r="K684" s="4535"/>
      <c r="L684" s="4536"/>
      <c r="M684" s="4534"/>
      <c r="N684" s="4535"/>
      <c r="O684" s="4535"/>
      <c r="P684" s="4535"/>
      <c r="Q684" s="4535"/>
      <c r="R684" s="4535"/>
      <c r="S684" s="4536"/>
      <c r="T684" s="4317"/>
      <c r="U684" s="4653"/>
      <c r="V684" s="4319" t="s">
        <v>5365</v>
      </c>
      <c r="W684" s="4317"/>
      <c r="X684" s="4317"/>
      <c r="Y684" s="4653"/>
      <c r="Z684" s="4653"/>
      <c r="AA684" s="4653"/>
      <c r="AB684" s="4317"/>
      <c r="AC684" s="4295"/>
      <c r="AD684" s="4653"/>
      <c r="AE684" s="4653"/>
      <c r="AF684" s="4653"/>
      <c r="AG684" s="4317"/>
      <c r="AH684" s="4317"/>
      <c r="AI684" s="4317"/>
      <c r="AJ684" s="4317"/>
      <c r="AK684" s="4317"/>
      <c r="AL684" s="4317"/>
      <c r="AM684" s="4317"/>
      <c r="AN684" s="4317"/>
      <c r="AO684" s="4317"/>
      <c r="AP684" s="4317"/>
      <c r="AQ684" s="4317"/>
      <c r="AR684" s="4317"/>
      <c r="AS684" s="4317"/>
      <c r="AT684" s="4317"/>
      <c r="AU684" s="4317"/>
      <c r="AV684" s="4317"/>
      <c r="AW684" s="4317"/>
      <c r="AX684" s="4317"/>
      <c r="AY684" s="4317"/>
      <c r="AZ684" s="4317"/>
      <c r="BA684" s="4317"/>
      <c r="BB684" s="4317"/>
      <c r="BC684" s="4317"/>
      <c r="BD684" s="4317"/>
      <c r="BE684" s="4317"/>
      <c r="BF684" s="4317"/>
      <c r="BG684" s="4317"/>
      <c r="BH684" s="4317"/>
      <c r="BI684" s="4317"/>
      <c r="BJ684" s="4317"/>
      <c r="BK684" s="4317"/>
      <c r="BL684" s="4317"/>
      <c r="BM684" s="4317"/>
      <c r="BN684" s="4317"/>
      <c r="BO684" s="4317"/>
      <c r="BP684" s="4317"/>
      <c r="BQ684" s="4317"/>
      <c r="BR684" s="4317"/>
      <c r="BS684" s="4317"/>
      <c r="BT684" s="4317"/>
      <c r="BU684" s="4317"/>
      <c r="BV684" s="4317"/>
      <c r="BW684" s="4317"/>
      <c r="BX684" s="4317"/>
      <c r="BY684" s="4317"/>
      <c r="BZ684" s="4317"/>
      <c r="CA684" s="4317"/>
      <c r="CB684" s="4317"/>
      <c r="CC684" s="4317"/>
      <c r="CD684" s="4317"/>
      <c r="CE684" s="4317"/>
      <c r="CF684" s="4317"/>
      <c r="CG684" s="4317"/>
      <c r="CH684" s="4317"/>
      <c r="CI684" s="4317"/>
      <c r="CJ684" s="4317"/>
      <c r="CK684" s="4317"/>
      <c r="CL684" s="4317"/>
      <c r="CM684" s="4317"/>
      <c r="CN684" s="4317"/>
      <c r="CO684" s="4317"/>
      <c r="CP684" s="4317"/>
      <c r="CQ684" s="4317"/>
      <c r="CR684" s="4317"/>
      <c r="CS684" s="4317"/>
      <c r="CT684" s="4317"/>
      <c r="CU684" s="4317"/>
      <c r="CV684" s="4317"/>
      <c r="CW684" s="4317"/>
      <c r="CX684" s="4317"/>
      <c r="CY684" s="4317"/>
      <c r="CZ684" s="4317"/>
      <c r="DA684" s="4317"/>
      <c r="DB684" s="4317"/>
      <c r="DC684" s="4317"/>
      <c r="DD684" s="4317"/>
      <c r="DE684" s="4317"/>
      <c r="DF684" s="4317"/>
      <c r="DG684" s="4317"/>
      <c r="DH684" s="4317"/>
      <c r="DI684" s="4317"/>
      <c r="DJ684" s="4317"/>
      <c r="DK684" s="4317"/>
      <c r="DL684" s="4317"/>
      <c r="DM684" s="4317"/>
      <c r="DN684" s="4317"/>
      <c r="DO684" s="4317"/>
      <c r="DP684" s="4317"/>
      <c r="DQ684" s="4317"/>
      <c r="DR684" s="4317"/>
      <c r="DS684" s="4317"/>
      <c r="DT684" s="4133"/>
      <c r="DU684" s="4133"/>
      <c r="DV684" s="4133"/>
      <c r="DW684" s="4133"/>
      <c r="DX684" s="4133"/>
      <c r="DY684" s="4133"/>
    </row>
    <row r="685" s="4134" customFormat="1" ht="16.5" customHeight="1" spans="1:129">
      <c r="A685" s="4659" t="s">
        <v>575</v>
      </c>
      <c r="B685" s="4660"/>
      <c r="C685" s="4660"/>
      <c r="D685" s="4660"/>
      <c r="E685" s="4660"/>
      <c r="F685" s="4661">
        <f>SUM(F683:L684)</f>
        <v>0</v>
      </c>
      <c r="G685" s="4661"/>
      <c r="H685" s="4661"/>
      <c r="I685" s="4661"/>
      <c r="J685" s="4661"/>
      <c r="K685" s="4661"/>
      <c r="L685" s="4661"/>
      <c r="M685" s="4661">
        <f>SUM(M683:S684)</f>
        <v>0</v>
      </c>
      <c r="N685" s="4661"/>
      <c r="O685" s="4661"/>
      <c r="P685" s="4661"/>
      <c r="Q685" s="4661"/>
      <c r="R685" s="4661"/>
      <c r="S685" s="4661"/>
      <c r="T685" s="4317"/>
      <c r="U685" s="4653"/>
      <c r="V685" s="4323" t="s">
        <v>5366</v>
      </c>
      <c r="W685" s="4317"/>
      <c r="X685" s="4317"/>
      <c r="Y685" s="4653"/>
      <c r="Z685" s="4653"/>
      <c r="AA685" s="4653"/>
      <c r="AB685" s="4317"/>
      <c r="AC685" s="4295"/>
      <c r="AD685" s="4653"/>
      <c r="AE685" s="4653"/>
      <c r="AF685" s="4653"/>
      <c r="AG685" s="4317"/>
      <c r="AH685" s="4317"/>
      <c r="AI685" s="4317"/>
      <c r="AJ685" s="4317"/>
      <c r="AK685" s="4317"/>
      <c r="AL685" s="4317"/>
      <c r="AM685" s="4317"/>
      <c r="AN685" s="4317"/>
      <c r="AO685" s="4317"/>
      <c r="AP685" s="4317"/>
      <c r="AQ685" s="4317"/>
      <c r="AR685" s="4317"/>
      <c r="AS685" s="4317"/>
      <c r="AT685" s="4317"/>
      <c r="AU685" s="4317"/>
      <c r="AV685" s="4317"/>
      <c r="AW685" s="4317"/>
      <c r="AX685" s="4317"/>
      <c r="AY685" s="4317"/>
      <c r="AZ685" s="4317"/>
      <c r="BA685" s="4317"/>
      <c r="BB685" s="4317"/>
      <c r="BC685" s="4317"/>
      <c r="BD685" s="4317"/>
      <c r="BE685" s="4317"/>
      <c r="BF685" s="4317"/>
      <c r="BG685" s="4317"/>
      <c r="BH685" s="4317"/>
      <c r="BI685" s="4317"/>
      <c r="BJ685" s="4317"/>
      <c r="BK685" s="4317"/>
      <c r="BL685" s="4317"/>
      <c r="BM685" s="4317"/>
      <c r="BN685" s="4317"/>
      <c r="BO685" s="4317"/>
      <c r="BP685" s="4317"/>
      <c r="BQ685" s="4317"/>
      <c r="BR685" s="4317"/>
      <c r="BS685" s="4317"/>
      <c r="BT685" s="4317"/>
      <c r="BU685" s="4317"/>
      <c r="BV685" s="4317"/>
      <c r="BW685" s="4317"/>
      <c r="BX685" s="4317"/>
      <c r="BY685" s="4317"/>
      <c r="BZ685" s="4317"/>
      <c r="CA685" s="4317"/>
      <c r="CB685" s="4317"/>
      <c r="CC685" s="4317"/>
      <c r="CD685" s="4317"/>
      <c r="CE685" s="4317"/>
      <c r="CF685" s="4317"/>
      <c r="CG685" s="4317"/>
      <c r="CH685" s="4317"/>
      <c r="CI685" s="4317"/>
      <c r="CJ685" s="4317"/>
      <c r="CK685" s="4317"/>
      <c r="CL685" s="4317"/>
      <c r="CM685" s="4317"/>
      <c r="CN685" s="4317"/>
      <c r="CO685" s="4317"/>
      <c r="CP685" s="4317"/>
      <c r="CQ685" s="4317"/>
      <c r="CR685" s="4317"/>
      <c r="CS685" s="4317"/>
      <c r="CT685" s="4317"/>
      <c r="CU685" s="4317"/>
      <c r="CV685" s="4317"/>
      <c r="CW685" s="4317"/>
      <c r="CX685" s="4317"/>
      <c r="CY685" s="4317"/>
      <c r="CZ685" s="4317"/>
      <c r="DA685" s="4317"/>
      <c r="DB685" s="4317"/>
      <c r="DC685" s="4317"/>
      <c r="DD685" s="4317"/>
      <c r="DE685" s="4317"/>
      <c r="DF685" s="4317"/>
      <c r="DG685" s="4317"/>
      <c r="DH685" s="4317"/>
      <c r="DI685" s="4317"/>
      <c r="DJ685" s="4317"/>
      <c r="DK685" s="4317"/>
      <c r="DL685" s="4317"/>
      <c r="DM685" s="4317"/>
      <c r="DN685" s="4317"/>
      <c r="DO685" s="4317"/>
      <c r="DP685" s="4317"/>
      <c r="DQ685" s="4317"/>
      <c r="DR685" s="4317"/>
      <c r="DS685" s="4317"/>
      <c r="DT685" s="4133"/>
      <c r="DU685" s="4133"/>
      <c r="DV685" s="4133"/>
      <c r="DW685" s="4133"/>
      <c r="DX685" s="4133"/>
      <c r="DY685" s="4133"/>
    </row>
    <row r="686" s="4134" customFormat="1" ht="16.5" customHeight="1" spans="1:129">
      <c r="A686" s="4657" t="s">
        <v>5367</v>
      </c>
      <c r="B686" s="4567"/>
      <c r="C686" s="4567"/>
      <c r="D686" s="4567"/>
      <c r="E686" s="4567"/>
      <c r="F686" s="4534"/>
      <c r="G686" s="4535"/>
      <c r="H686" s="4535"/>
      <c r="I686" s="4535"/>
      <c r="J686" s="4535"/>
      <c r="K686" s="4535"/>
      <c r="L686" s="4536"/>
      <c r="M686" s="4534"/>
      <c r="N686" s="4535"/>
      <c r="O686" s="4535"/>
      <c r="P686" s="4535"/>
      <c r="Q686" s="4535"/>
      <c r="R686" s="4535"/>
      <c r="S686" s="4536"/>
      <c r="T686" s="4317"/>
      <c r="U686" s="4653"/>
      <c r="V686" s="4319" t="s">
        <v>5368</v>
      </c>
      <c r="W686" s="4317"/>
      <c r="X686" s="4317"/>
      <c r="Y686" s="4653"/>
      <c r="Z686" s="4653"/>
      <c r="AA686" s="4653"/>
      <c r="AB686" s="4317"/>
      <c r="AC686" s="4295"/>
      <c r="AD686" s="4653"/>
      <c r="AE686" s="4653"/>
      <c r="AF686" s="4653"/>
      <c r="AG686" s="4317"/>
      <c r="AH686" s="4317"/>
      <c r="AI686" s="4317"/>
      <c r="AJ686" s="4317"/>
      <c r="AK686" s="4317"/>
      <c r="AL686" s="4317"/>
      <c r="AM686" s="4317"/>
      <c r="AN686" s="4317"/>
      <c r="AO686" s="4317"/>
      <c r="AP686" s="4317"/>
      <c r="AQ686" s="4317"/>
      <c r="AR686" s="4317"/>
      <c r="AS686" s="4317"/>
      <c r="AT686" s="4317"/>
      <c r="AU686" s="4317"/>
      <c r="AV686" s="4317"/>
      <c r="AW686" s="4317"/>
      <c r="AX686" s="4317"/>
      <c r="AY686" s="4317"/>
      <c r="AZ686" s="4317"/>
      <c r="BA686" s="4317"/>
      <c r="BB686" s="4317"/>
      <c r="BC686" s="4317"/>
      <c r="BD686" s="4317"/>
      <c r="BE686" s="4317"/>
      <c r="BF686" s="4317"/>
      <c r="BG686" s="4317"/>
      <c r="BH686" s="4317"/>
      <c r="BI686" s="4317"/>
      <c r="BJ686" s="4317"/>
      <c r="BK686" s="4317"/>
      <c r="BL686" s="4317"/>
      <c r="BM686" s="4317"/>
      <c r="BN686" s="4317"/>
      <c r="BO686" s="4317"/>
      <c r="BP686" s="4317"/>
      <c r="BQ686" s="4317"/>
      <c r="BR686" s="4317"/>
      <c r="BS686" s="4317"/>
      <c r="BT686" s="4317"/>
      <c r="BU686" s="4317"/>
      <c r="BV686" s="4317"/>
      <c r="BW686" s="4317"/>
      <c r="BX686" s="4317"/>
      <c r="BY686" s="4317"/>
      <c r="BZ686" s="4317"/>
      <c r="CA686" s="4317"/>
      <c r="CB686" s="4317"/>
      <c r="CC686" s="4317"/>
      <c r="CD686" s="4317"/>
      <c r="CE686" s="4317"/>
      <c r="CF686" s="4317"/>
      <c r="CG686" s="4317"/>
      <c r="CH686" s="4317"/>
      <c r="CI686" s="4317"/>
      <c r="CJ686" s="4317"/>
      <c r="CK686" s="4317"/>
      <c r="CL686" s="4317"/>
      <c r="CM686" s="4317"/>
      <c r="CN686" s="4317"/>
      <c r="CO686" s="4317"/>
      <c r="CP686" s="4317"/>
      <c r="CQ686" s="4317"/>
      <c r="CR686" s="4317"/>
      <c r="CS686" s="4317"/>
      <c r="CT686" s="4317"/>
      <c r="CU686" s="4317"/>
      <c r="CV686" s="4317"/>
      <c r="CW686" s="4317"/>
      <c r="CX686" s="4317"/>
      <c r="CY686" s="4317"/>
      <c r="CZ686" s="4317"/>
      <c r="DA686" s="4317"/>
      <c r="DB686" s="4317"/>
      <c r="DC686" s="4317"/>
      <c r="DD686" s="4317"/>
      <c r="DE686" s="4317"/>
      <c r="DF686" s="4317"/>
      <c r="DG686" s="4317"/>
      <c r="DH686" s="4317"/>
      <c r="DI686" s="4317"/>
      <c r="DJ686" s="4317"/>
      <c r="DK686" s="4317"/>
      <c r="DL686" s="4317"/>
      <c r="DM686" s="4317"/>
      <c r="DN686" s="4317"/>
      <c r="DO686" s="4317"/>
      <c r="DP686" s="4317"/>
      <c r="DQ686" s="4317"/>
      <c r="DR686" s="4317"/>
      <c r="DS686" s="4317"/>
      <c r="DT686" s="4133"/>
      <c r="DU686" s="4133"/>
      <c r="DV686" s="4133"/>
      <c r="DW686" s="4133"/>
      <c r="DX686" s="4133"/>
      <c r="DY686" s="4133"/>
    </row>
    <row r="687" s="4134" customFormat="1" ht="16.5" customHeight="1" spans="1:129">
      <c r="A687" s="4662" t="s">
        <v>5369</v>
      </c>
      <c r="B687" s="4663"/>
      <c r="C687" s="4663"/>
      <c r="D687" s="4663"/>
      <c r="E687" s="4663"/>
      <c r="F687" s="4534"/>
      <c r="G687" s="4535"/>
      <c r="H687" s="4535"/>
      <c r="I687" s="4535"/>
      <c r="J687" s="4535"/>
      <c r="K687" s="4535"/>
      <c r="L687" s="4536"/>
      <c r="M687" s="4534"/>
      <c r="N687" s="4535"/>
      <c r="O687" s="4535"/>
      <c r="P687" s="4535"/>
      <c r="Q687" s="4535"/>
      <c r="R687" s="4535"/>
      <c r="S687" s="4536"/>
      <c r="T687" s="4317"/>
      <c r="U687" s="4653"/>
      <c r="V687" s="4316" t="s">
        <v>5370</v>
      </c>
      <c r="W687" s="4317"/>
      <c r="X687" s="4317"/>
      <c r="Y687" s="4653"/>
      <c r="Z687" s="4653"/>
      <c r="AA687" s="4653"/>
      <c r="AB687" s="4317"/>
      <c r="AC687" s="4295"/>
      <c r="AD687" s="4653"/>
      <c r="AE687" s="4653"/>
      <c r="AF687" s="4653"/>
      <c r="AG687" s="4317"/>
      <c r="AH687" s="4317"/>
      <c r="AI687" s="4317"/>
      <c r="AJ687" s="4317"/>
      <c r="AK687" s="4317"/>
      <c r="AL687" s="4317"/>
      <c r="AM687" s="4317"/>
      <c r="AN687" s="4317"/>
      <c r="AO687" s="4317"/>
      <c r="AP687" s="4317"/>
      <c r="AQ687" s="4317"/>
      <c r="AR687" s="4317"/>
      <c r="AS687" s="4317"/>
      <c r="AT687" s="4317"/>
      <c r="AU687" s="4317"/>
      <c r="AV687" s="4317"/>
      <c r="AW687" s="4317"/>
      <c r="AX687" s="4317"/>
      <c r="AY687" s="4317"/>
      <c r="AZ687" s="4317"/>
      <c r="BA687" s="4317"/>
      <c r="BB687" s="4317"/>
      <c r="BC687" s="4317"/>
      <c r="BD687" s="4317"/>
      <c r="BE687" s="4317"/>
      <c r="BF687" s="4317"/>
      <c r="BG687" s="4317"/>
      <c r="BH687" s="4317"/>
      <c r="BI687" s="4317"/>
      <c r="BJ687" s="4317"/>
      <c r="BK687" s="4317"/>
      <c r="BL687" s="4317"/>
      <c r="BM687" s="4317"/>
      <c r="BN687" s="4317"/>
      <c r="BO687" s="4317"/>
      <c r="BP687" s="4317"/>
      <c r="BQ687" s="4317"/>
      <c r="BR687" s="4317"/>
      <c r="BS687" s="4317"/>
      <c r="BT687" s="4317"/>
      <c r="BU687" s="4317"/>
      <c r="BV687" s="4317"/>
      <c r="BW687" s="4317"/>
      <c r="BX687" s="4317"/>
      <c r="BY687" s="4317"/>
      <c r="BZ687" s="4317"/>
      <c r="CA687" s="4317"/>
      <c r="CB687" s="4317"/>
      <c r="CC687" s="4317"/>
      <c r="CD687" s="4317"/>
      <c r="CE687" s="4317"/>
      <c r="CF687" s="4317"/>
      <c r="CG687" s="4317"/>
      <c r="CH687" s="4317"/>
      <c r="CI687" s="4317"/>
      <c r="CJ687" s="4317"/>
      <c r="CK687" s="4317"/>
      <c r="CL687" s="4317"/>
      <c r="CM687" s="4317"/>
      <c r="CN687" s="4317"/>
      <c r="CO687" s="4317"/>
      <c r="CP687" s="4317"/>
      <c r="CQ687" s="4317"/>
      <c r="CR687" s="4317"/>
      <c r="CS687" s="4317"/>
      <c r="CT687" s="4317"/>
      <c r="CU687" s="4317"/>
      <c r="CV687" s="4317"/>
      <c r="CW687" s="4317"/>
      <c r="CX687" s="4317"/>
      <c r="CY687" s="4317"/>
      <c r="CZ687" s="4317"/>
      <c r="DA687" s="4317"/>
      <c r="DB687" s="4317"/>
      <c r="DC687" s="4317"/>
      <c r="DD687" s="4317"/>
      <c r="DE687" s="4317"/>
      <c r="DF687" s="4317"/>
      <c r="DG687" s="4317"/>
      <c r="DH687" s="4317"/>
      <c r="DI687" s="4317"/>
      <c r="DJ687" s="4317"/>
      <c r="DK687" s="4317"/>
      <c r="DL687" s="4317"/>
      <c r="DM687" s="4317"/>
      <c r="DN687" s="4317"/>
      <c r="DO687" s="4317"/>
      <c r="DP687" s="4317"/>
      <c r="DQ687" s="4317"/>
      <c r="DR687" s="4317"/>
      <c r="DS687" s="4317"/>
      <c r="DT687" s="4133"/>
      <c r="DU687" s="4133"/>
      <c r="DV687" s="4133"/>
      <c r="DW687" s="4133"/>
      <c r="DX687" s="4133"/>
      <c r="DY687" s="4133"/>
    </row>
    <row r="688" s="4134" customFormat="1" ht="16.5" customHeight="1" spans="1:129">
      <c r="A688" s="4662" t="s">
        <v>5371</v>
      </c>
      <c r="B688" s="4663"/>
      <c r="C688" s="4663"/>
      <c r="D688" s="4663"/>
      <c r="E688" s="4663"/>
      <c r="F688" s="4534"/>
      <c r="G688" s="4535"/>
      <c r="H688" s="4535"/>
      <c r="I688" s="4535"/>
      <c r="J688" s="4535"/>
      <c r="K688" s="4535"/>
      <c r="L688" s="4536"/>
      <c r="M688" s="4534"/>
      <c r="N688" s="4535"/>
      <c r="O688" s="4535"/>
      <c r="P688" s="4535"/>
      <c r="Q688" s="4535"/>
      <c r="R688" s="4535"/>
      <c r="S688" s="4536"/>
      <c r="T688" s="4317"/>
      <c r="U688" s="4653"/>
      <c r="V688" s="4316" t="s">
        <v>5372</v>
      </c>
      <c r="W688" s="4317"/>
      <c r="X688" s="4317"/>
      <c r="Y688" s="4653"/>
      <c r="Z688" s="4653"/>
      <c r="AA688" s="4653"/>
      <c r="AB688" s="4317"/>
      <c r="AC688" s="4295"/>
      <c r="AD688" s="4653"/>
      <c r="AE688" s="4653"/>
      <c r="AF688" s="4653"/>
      <c r="AG688" s="4317"/>
      <c r="AH688" s="4317"/>
      <c r="AI688" s="4317"/>
      <c r="AJ688" s="4317"/>
      <c r="AK688" s="4317"/>
      <c r="AL688" s="4317"/>
      <c r="AM688" s="4317"/>
      <c r="AN688" s="4317"/>
      <c r="AO688" s="4317"/>
      <c r="AP688" s="4317"/>
      <c r="AQ688" s="4317"/>
      <c r="AR688" s="4317"/>
      <c r="AS688" s="4317"/>
      <c r="AT688" s="4317"/>
      <c r="AU688" s="4317"/>
      <c r="AV688" s="4317"/>
      <c r="AW688" s="4317"/>
      <c r="AX688" s="4317"/>
      <c r="AY688" s="4317"/>
      <c r="AZ688" s="4317"/>
      <c r="BA688" s="4317"/>
      <c r="BB688" s="4317"/>
      <c r="BC688" s="4317"/>
      <c r="BD688" s="4317"/>
      <c r="BE688" s="4317"/>
      <c r="BF688" s="4317"/>
      <c r="BG688" s="4317"/>
      <c r="BH688" s="4317"/>
      <c r="BI688" s="4317"/>
      <c r="BJ688" s="4317"/>
      <c r="BK688" s="4317"/>
      <c r="BL688" s="4317"/>
      <c r="BM688" s="4317"/>
      <c r="BN688" s="4317"/>
      <c r="BO688" s="4317"/>
      <c r="BP688" s="4317"/>
      <c r="BQ688" s="4317"/>
      <c r="BR688" s="4317"/>
      <c r="BS688" s="4317"/>
      <c r="BT688" s="4317"/>
      <c r="BU688" s="4317"/>
      <c r="BV688" s="4317"/>
      <c r="BW688" s="4317"/>
      <c r="BX688" s="4317"/>
      <c r="BY688" s="4317"/>
      <c r="BZ688" s="4317"/>
      <c r="CA688" s="4317"/>
      <c r="CB688" s="4317"/>
      <c r="CC688" s="4317"/>
      <c r="CD688" s="4317"/>
      <c r="CE688" s="4317"/>
      <c r="CF688" s="4317"/>
      <c r="CG688" s="4317"/>
      <c r="CH688" s="4317"/>
      <c r="CI688" s="4317"/>
      <c r="CJ688" s="4317"/>
      <c r="CK688" s="4317"/>
      <c r="CL688" s="4317"/>
      <c r="CM688" s="4317"/>
      <c r="CN688" s="4317"/>
      <c r="CO688" s="4317"/>
      <c r="CP688" s="4317"/>
      <c r="CQ688" s="4317"/>
      <c r="CR688" s="4317"/>
      <c r="CS688" s="4317"/>
      <c r="CT688" s="4317"/>
      <c r="CU688" s="4317"/>
      <c r="CV688" s="4317"/>
      <c r="CW688" s="4317"/>
      <c r="CX688" s="4317"/>
      <c r="CY688" s="4317"/>
      <c r="CZ688" s="4317"/>
      <c r="DA688" s="4317"/>
      <c r="DB688" s="4317"/>
      <c r="DC688" s="4317"/>
      <c r="DD688" s="4317"/>
      <c r="DE688" s="4317"/>
      <c r="DF688" s="4317"/>
      <c r="DG688" s="4317"/>
      <c r="DH688" s="4317"/>
      <c r="DI688" s="4317"/>
      <c r="DJ688" s="4317"/>
      <c r="DK688" s="4317"/>
      <c r="DL688" s="4317"/>
      <c r="DM688" s="4317"/>
      <c r="DN688" s="4317"/>
      <c r="DO688" s="4317"/>
      <c r="DP688" s="4317"/>
      <c r="DQ688" s="4317"/>
      <c r="DR688" s="4317"/>
      <c r="DS688" s="4317"/>
      <c r="DT688" s="4133"/>
      <c r="DU688" s="4133"/>
      <c r="DV688" s="4133"/>
      <c r="DW688" s="4133"/>
      <c r="DX688" s="4133"/>
      <c r="DY688" s="4133"/>
    </row>
    <row r="689" s="4134" customFormat="1" ht="16.5" customHeight="1" spans="1:129">
      <c r="A689" s="4662" t="s">
        <v>5373</v>
      </c>
      <c r="B689" s="4663"/>
      <c r="C689" s="4663"/>
      <c r="D689" s="4663"/>
      <c r="E689" s="4663"/>
      <c r="F689" s="4534"/>
      <c r="G689" s="4535"/>
      <c r="H689" s="4535"/>
      <c r="I689" s="4535"/>
      <c r="J689" s="4535"/>
      <c r="K689" s="4535"/>
      <c r="L689" s="4536"/>
      <c r="M689" s="4534"/>
      <c r="N689" s="4535"/>
      <c r="O689" s="4535"/>
      <c r="P689" s="4535"/>
      <c r="Q689" s="4535"/>
      <c r="R689" s="4535"/>
      <c r="S689" s="4536"/>
      <c r="T689" s="4317"/>
      <c r="U689" s="4653"/>
      <c r="V689" s="4316" t="s">
        <v>5374</v>
      </c>
      <c r="W689" s="4317"/>
      <c r="X689" s="4317"/>
      <c r="Y689" s="4653"/>
      <c r="Z689" s="4653"/>
      <c r="AA689" s="4653"/>
      <c r="AB689" s="4317"/>
      <c r="AC689" s="4295"/>
      <c r="AD689" s="4653"/>
      <c r="AE689" s="4653"/>
      <c r="AF689" s="4653"/>
      <c r="AG689" s="4317"/>
      <c r="AH689" s="4317"/>
      <c r="AI689" s="4317"/>
      <c r="AJ689" s="4317"/>
      <c r="AK689" s="4317"/>
      <c r="AL689" s="4317"/>
      <c r="AM689" s="4317"/>
      <c r="AN689" s="4317"/>
      <c r="AO689" s="4317"/>
      <c r="AP689" s="4317"/>
      <c r="AQ689" s="4317"/>
      <c r="AR689" s="4317"/>
      <c r="AS689" s="4317"/>
      <c r="AT689" s="4317"/>
      <c r="AU689" s="4317"/>
      <c r="AV689" s="4317"/>
      <c r="AW689" s="4317"/>
      <c r="AX689" s="4317"/>
      <c r="AY689" s="4317"/>
      <c r="AZ689" s="4317"/>
      <c r="BA689" s="4317"/>
      <c r="BB689" s="4317"/>
      <c r="BC689" s="4317"/>
      <c r="BD689" s="4317"/>
      <c r="BE689" s="4317"/>
      <c r="BF689" s="4317"/>
      <c r="BG689" s="4317"/>
      <c r="BH689" s="4317"/>
      <c r="BI689" s="4317"/>
      <c r="BJ689" s="4317"/>
      <c r="BK689" s="4317"/>
      <c r="BL689" s="4317"/>
      <c r="BM689" s="4317"/>
      <c r="BN689" s="4317"/>
      <c r="BO689" s="4317"/>
      <c r="BP689" s="4317"/>
      <c r="BQ689" s="4317"/>
      <c r="BR689" s="4317"/>
      <c r="BS689" s="4317"/>
      <c r="BT689" s="4317"/>
      <c r="BU689" s="4317"/>
      <c r="BV689" s="4317"/>
      <c r="BW689" s="4317"/>
      <c r="BX689" s="4317"/>
      <c r="BY689" s="4317"/>
      <c r="BZ689" s="4317"/>
      <c r="CA689" s="4317"/>
      <c r="CB689" s="4317"/>
      <c r="CC689" s="4317"/>
      <c r="CD689" s="4317"/>
      <c r="CE689" s="4317"/>
      <c r="CF689" s="4317"/>
      <c r="CG689" s="4317"/>
      <c r="CH689" s="4317"/>
      <c r="CI689" s="4317"/>
      <c r="CJ689" s="4317"/>
      <c r="CK689" s="4317"/>
      <c r="CL689" s="4317"/>
      <c r="CM689" s="4317"/>
      <c r="CN689" s="4317"/>
      <c r="CO689" s="4317"/>
      <c r="CP689" s="4317"/>
      <c r="CQ689" s="4317"/>
      <c r="CR689" s="4317"/>
      <c r="CS689" s="4317"/>
      <c r="CT689" s="4317"/>
      <c r="CU689" s="4317"/>
      <c r="CV689" s="4317"/>
      <c r="CW689" s="4317"/>
      <c r="CX689" s="4317"/>
      <c r="CY689" s="4317"/>
      <c r="CZ689" s="4317"/>
      <c r="DA689" s="4317"/>
      <c r="DB689" s="4317"/>
      <c r="DC689" s="4317"/>
      <c r="DD689" s="4317"/>
      <c r="DE689" s="4317"/>
      <c r="DF689" s="4317"/>
      <c r="DG689" s="4317"/>
      <c r="DH689" s="4317"/>
      <c r="DI689" s="4317"/>
      <c r="DJ689" s="4317"/>
      <c r="DK689" s="4317"/>
      <c r="DL689" s="4317"/>
      <c r="DM689" s="4317"/>
      <c r="DN689" s="4317"/>
      <c r="DO689" s="4317"/>
      <c r="DP689" s="4317"/>
      <c r="DQ689" s="4317"/>
      <c r="DR689" s="4317"/>
      <c r="DS689" s="4317"/>
      <c r="DT689" s="4133"/>
      <c r="DU689" s="4133"/>
      <c r="DV689" s="4133"/>
      <c r="DW689" s="4133"/>
      <c r="DX689" s="4133"/>
      <c r="DY689" s="4133"/>
    </row>
    <row r="690" s="4134" customFormat="1" ht="16.5" customHeight="1" spans="1:129">
      <c r="A690" s="4662" t="s">
        <v>5375</v>
      </c>
      <c r="B690" s="4663"/>
      <c r="C690" s="4663"/>
      <c r="D690" s="4663"/>
      <c r="E690" s="4663"/>
      <c r="F690" s="4534"/>
      <c r="G690" s="4535"/>
      <c r="H690" s="4535"/>
      <c r="I690" s="4535"/>
      <c r="J690" s="4535"/>
      <c r="K690" s="4535"/>
      <c r="L690" s="4536"/>
      <c r="M690" s="4534"/>
      <c r="N690" s="4535"/>
      <c r="O690" s="4535"/>
      <c r="P690" s="4535"/>
      <c r="Q690" s="4535"/>
      <c r="R690" s="4535"/>
      <c r="S690" s="4536"/>
      <c r="T690" s="4317"/>
      <c r="U690" s="4653"/>
      <c r="V690" s="4316" t="s">
        <v>5376</v>
      </c>
      <c r="W690" s="4317"/>
      <c r="X690" s="4317"/>
      <c r="Y690" s="4653"/>
      <c r="Z690" s="4653"/>
      <c r="AA690" s="4653"/>
      <c r="AB690" s="4317"/>
      <c r="AC690" s="4295"/>
      <c r="AD690" s="4653"/>
      <c r="AE690" s="4653"/>
      <c r="AF690" s="4653"/>
      <c r="AG690" s="4317"/>
      <c r="AH690" s="4317"/>
      <c r="AI690" s="4317"/>
      <c r="AJ690" s="4317"/>
      <c r="AK690" s="4317"/>
      <c r="AL690" s="4317"/>
      <c r="AM690" s="4317"/>
      <c r="AN690" s="4317"/>
      <c r="AO690" s="4317"/>
      <c r="AP690" s="4317"/>
      <c r="AQ690" s="4317"/>
      <c r="AR690" s="4317"/>
      <c r="AS690" s="4317"/>
      <c r="AT690" s="4317"/>
      <c r="AU690" s="4317"/>
      <c r="AV690" s="4317"/>
      <c r="AW690" s="4317"/>
      <c r="AX690" s="4317"/>
      <c r="AY690" s="4317"/>
      <c r="AZ690" s="4317"/>
      <c r="BA690" s="4317"/>
      <c r="BB690" s="4317"/>
      <c r="BC690" s="4317"/>
      <c r="BD690" s="4317"/>
      <c r="BE690" s="4317"/>
      <c r="BF690" s="4317"/>
      <c r="BG690" s="4317"/>
      <c r="BH690" s="4317"/>
      <c r="BI690" s="4317"/>
      <c r="BJ690" s="4317"/>
      <c r="BK690" s="4317"/>
      <c r="BL690" s="4317"/>
      <c r="BM690" s="4317"/>
      <c r="BN690" s="4317"/>
      <c r="BO690" s="4317"/>
      <c r="BP690" s="4317"/>
      <c r="BQ690" s="4317"/>
      <c r="BR690" s="4317"/>
      <c r="BS690" s="4317"/>
      <c r="BT690" s="4317"/>
      <c r="BU690" s="4317"/>
      <c r="BV690" s="4317"/>
      <c r="BW690" s="4317"/>
      <c r="BX690" s="4317"/>
      <c r="BY690" s="4317"/>
      <c r="BZ690" s="4317"/>
      <c r="CA690" s="4317"/>
      <c r="CB690" s="4317"/>
      <c r="CC690" s="4317"/>
      <c r="CD690" s="4317"/>
      <c r="CE690" s="4317"/>
      <c r="CF690" s="4317"/>
      <c r="CG690" s="4317"/>
      <c r="CH690" s="4317"/>
      <c r="CI690" s="4317"/>
      <c r="CJ690" s="4317"/>
      <c r="CK690" s="4317"/>
      <c r="CL690" s="4317"/>
      <c r="CM690" s="4317"/>
      <c r="CN690" s="4317"/>
      <c r="CO690" s="4317"/>
      <c r="CP690" s="4317"/>
      <c r="CQ690" s="4317"/>
      <c r="CR690" s="4317"/>
      <c r="CS690" s="4317"/>
      <c r="CT690" s="4317"/>
      <c r="CU690" s="4317"/>
      <c r="CV690" s="4317"/>
      <c r="CW690" s="4317"/>
      <c r="CX690" s="4317"/>
      <c r="CY690" s="4317"/>
      <c r="CZ690" s="4317"/>
      <c r="DA690" s="4317"/>
      <c r="DB690" s="4317"/>
      <c r="DC690" s="4317"/>
      <c r="DD690" s="4317"/>
      <c r="DE690" s="4317"/>
      <c r="DF690" s="4317"/>
      <c r="DG690" s="4317"/>
      <c r="DH690" s="4317"/>
      <c r="DI690" s="4317"/>
      <c r="DJ690" s="4317"/>
      <c r="DK690" s="4317"/>
      <c r="DL690" s="4317"/>
      <c r="DM690" s="4317"/>
      <c r="DN690" s="4317"/>
      <c r="DO690" s="4317"/>
      <c r="DP690" s="4317"/>
      <c r="DQ690" s="4317"/>
      <c r="DR690" s="4317"/>
      <c r="DS690" s="4317"/>
      <c r="DT690" s="4133"/>
      <c r="DU690" s="4133"/>
      <c r="DV690" s="4133"/>
      <c r="DW690" s="4133"/>
      <c r="DX690" s="4133"/>
      <c r="DY690" s="4133"/>
    </row>
    <row r="691" s="4134" customFormat="1" ht="16.5" customHeight="1" spans="1:129">
      <c r="A691" s="4662" t="s">
        <v>5377</v>
      </c>
      <c r="B691" s="4663"/>
      <c r="C691" s="4663"/>
      <c r="D691" s="4663"/>
      <c r="E691" s="4663"/>
      <c r="F691" s="4534"/>
      <c r="G691" s="4535"/>
      <c r="H691" s="4535"/>
      <c r="I691" s="4535"/>
      <c r="J691" s="4535"/>
      <c r="K691" s="4535"/>
      <c r="L691" s="4536"/>
      <c r="M691" s="4534"/>
      <c r="N691" s="4535"/>
      <c r="O691" s="4535"/>
      <c r="P691" s="4535"/>
      <c r="Q691" s="4535"/>
      <c r="R691" s="4535"/>
      <c r="S691" s="4536"/>
      <c r="T691" s="4317"/>
      <c r="U691" s="4653"/>
      <c r="V691" s="4316" t="s">
        <v>5378</v>
      </c>
      <c r="W691" s="4317"/>
      <c r="X691" s="4317"/>
      <c r="Y691" s="4653"/>
      <c r="Z691" s="4653"/>
      <c r="AA691" s="4653"/>
      <c r="AB691" s="4317"/>
      <c r="AC691" s="4295"/>
      <c r="AD691" s="4653"/>
      <c r="AE691" s="4653"/>
      <c r="AF691" s="4653"/>
      <c r="AG691" s="4317"/>
      <c r="AH691" s="4317"/>
      <c r="AI691" s="4317"/>
      <c r="AJ691" s="4317"/>
      <c r="AK691" s="4317"/>
      <c r="AL691" s="4317"/>
      <c r="AM691" s="4317"/>
      <c r="AN691" s="4317"/>
      <c r="AO691" s="4317"/>
      <c r="AP691" s="4317"/>
      <c r="AQ691" s="4317"/>
      <c r="AR691" s="4317"/>
      <c r="AS691" s="4317"/>
      <c r="AT691" s="4317"/>
      <c r="AU691" s="4317"/>
      <c r="AV691" s="4317"/>
      <c r="AW691" s="4317"/>
      <c r="AX691" s="4317"/>
      <c r="AY691" s="4317"/>
      <c r="AZ691" s="4317"/>
      <c r="BA691" s="4317"/>
      <c r="BB691" s="4317"/>
      <c r="BC691" s="4317"/>
      <c r="BD691" s="4317"/>
      <c r="BE691" s="4317"/>
      <c r="BF691" s="4317"/>
      <c r="BG691" s="4317"/>
      <c r="BH691" s="4317"/>
      <c r="BI691" s="4317"/>
      <c r="BJ691" s="4317"/>
      <c r="BK691" s="4317"/>
      <c r="BL691" s="4317"/>
      <c r="BM691" s="4317"/>
      <c r="BN691" s="4317"/>
      <c r="BO691" s="4317"/>
      <c r="BP691" s="4317"/>
      <c r="BQ691" s="4317"/>
      <c r="BR691" s="4317"/>
      <c r="BS691" s="4317"/>
      <c r="BT691" s="4317"/>
      <c r="BU691" s="4317"/>
      <c r="BV691" s="4317"/>
      <c r="BW691" s="4317"/>
      <c r="BX691" s="4317"/>
      <c r="BY691" s="4317"/>
      <c r="BZ691" s="4317"/>
      <c r="CA691" s="4317"/>
      <c r="CB691" s="4317"/>
      <c r="CC691" s="4317"/>
      <c r="CD691" s="4317"/>
      <c r="CE691" s="4317"/>
      <c r="CF691" s="4317"/>
      <c r="CG691" s="4317"/>
      <c r="CH691" s="4317"/>
      <c r="CI691" s="4317"/>
      <c r="CJ691" s="4317"/>
      <c r="CK691" s="4317"/>
      <c r="CL691" s="4317"/>
      <c r="CM691" s="4317"/>
      <c r="CN691" s="4317"/>
      <c r="CO691" s="4317"/>
      <c r="CP691" s="4317"/>
      <c r="CQ691" s="4317"/>
      <c r="CR691" s="4317"/>
      <c r="CS691" s="4317"/>
      <c r="CT691" s="4317"/>
      <c r="CU691" s="4317"/>
      <c r="CV691" s="4317"/>
      <c r="CW691" s="4317"/>
      <c r="CX691" s="4317"/>
      <c r="CY691" s="4317"/>
      <c r="CZ691" s="4317"/>
      <c r="DA691" s="4317"/>
      <c r="DB691" s="4317"/>
      <c r="DC691" s="4317"/>
      <c r="DD691" s="4317"/>
      <c r="DE691" s="4317"/>
      <c r="DF691" s="4317"/>
      <c r="DG691" s="4317"/>
      <c r="DH691" s="4317"/>
      <c r="DI691" s="4317"/>
      <c r="DJ691" s="4317"/>
      <c r="DK691" s="4317"/>
      <c r="DL691" s="4317"/>
      <c r="DM691" s="4317"/>
      <c r="DN691" s="4317"/>
      <c r="DO691" s="4317"/>
      <c r="DP691" s="4317"/>
      <c r="DQ691" s="4317"/>
      <c r="DR691" s="4317"/>
      <c r="DS691" s="4317"/>
      <c r="DT691" s="4133"/>
      <c r="DU691" s="4133"/>
      <c r="DV691" s="4133"/>
      <c r="DW691" s="4133"/>
      <c r="DX691" s="4133"/>
      <c r="DY691" s="4133"/>
    </row>
    <row r="692" s="4134" customFormat="1" ht="16.5" customHeight="1" spans="1:129">
      <c r="A692" s="4657" t="s">
        <v>5379</v>
      </c>
      <c r="B692" s="4567"/>
      <c r="C692" s="4567"/>
      <c r="D692" s="4567"/>
      <c r="E692" s="4567"/>
      <c r="F692" s="4664">
        <f>SUM(F687:L691)</f>
        <v>0</v>
      </c>
      <c r="G692" s="4664"/>
      <c r="H692" s="4664"/>
      <c r="I692" s="4664"/>
      <c r="J692" s="4664"/>
      <c r="K692" s="4664"/>
      <c r="L692" s="4664"/>
      <c r="M692" s="4664">
        <f>SUM(M687:S691)</f>
        <v>0</v>
      </c>
      <c r="N692" s="4664"/>
      <c r="O692" s="4664"/>
      <c r="P692" s="4664"/>
      <c r="Q692" s="4664"/>
      <c r="R692" s="4664"/>
      <c r="S692" s="4664"/>
      <c r="T692" s="4317"/>
      <c r="U692" s="4653"/>
      <c r="V692" s="4319" t="s">
        <v>5380</v>
      </c>
      <c r="W692" s="4317"/>
      <c r="X692" s="4317"/>
      <c r="Y692" s="4653"/>
      <c r="Z692" s="4653"/>
      <c r="AA692" s="4653"/>
      <c r="AB692" s="4317"/>
      <c r="AC692" s="4295"/>
      <c r="AD692" s="4653"/>
      <c r="AE692" s="4653"/>
      <c r="AF692" s="4653"/>
      <c r="AG692" s="4317"/>
      <c r="AH692" s="4317"/>
      <c r="AI692" s="4317"/>
      <c r="AJ692" s="4317"/>
      <c r="AK692" s="4317"/>
      <c r="AL692" s="4317"/>
      <c r="AM692" s="4317"/>
      <c r="AN692" s="4317"/>
      <c r="AO692" s="4317"/>
      <c r="AP692" s="4317"/>
      <c r="AQ692" s="4317"/>
      <c r="AR692" s="4317"/>
      <c r="AS692" s="4317"/>
      <c r="AT692" s="4317"/>
      <c r="AU692" s="4317"/>
      <c r="AV692" s="4317"/>
      <c r="AW692" s="4317"/>
      <c r="AX692" s="4317"/>
      <c r="AY692" s="4317"/>
      <c r="AZ692" s="4317"/>
      <c r="BA692" s="4317"/>
      <c r="BB692" s="4317"/>
      <c r="BC692" s="4317"/>
      <c r="BD692" s="4317"/>
      <c r="BE692" s="4317"/>
      <c r="BF692" s="4317"/>
      <c r="BG692" s="4317"/>
      <c r="BH692" s="4317"/>
      <c r="BI692" s="4317"/>
      <c r="BJ692" s="4317"/>
      <c r="BK692" s="4317"/>
      <c r="BL692" s="4317"/>
      <c r="BM692" s="4317"/>
      <c r="BN692" s="4317"/>
      <c r="BO692" s="4317"/>
      <c r="BP692" s="4317"/>
      <c r="BQ692" s="4317"/>
      <c r="BR692" s="4317"/>
      <c r="BS692" s="4317"/>
      <c r="BT692" s="4317"/>
      <c r="BU692" s="4317"/>
      <c r="BV692" s="4317"/>
      <c r="BW692" s="4317"/>
      <c r="BX692" s="4317"/>
      <c r="BY692" s="4317"/>
      <c r="BZ692" s="4317"/>
      <c r="CA692" s="4317"/>
      <c r="CB692" s="4317"/>
      <c r="CC692" s="4317"/>
      <c r="CD692" s="4317"/>
      <c r="CE692" s="4317"/>
      <c r="CF692" s="4317"/>
      <c r="CG692" s="4317"/>
      <c r="CH692" s="4317"/>
      <c r="CI692" s="4317"/>
      <c r="CJ692" s="4317"/>
      <c r="CK692" s="4317"/>
      <c r="CL692" s="4317"/>
      <c r="CM692" s="4317"/>
      <c r="CN692" s="4317"/>
      <c r="CO692" s="4317"/>
      <c r="CP692" s="4317"/>
      <c r="CQ692" s="4317"/>
      <c r="CR692" s="4317"/>
      <c r="CS692" s="4317"/>
      <c r="CT692" s="4317"/>
      <c r="CU692" s="4317"/>
      <c r="CV692" s="4317"/>
      <c r="CW692" s="4317"/>
      <c r="CX692" s="4317"/>
      <c r="CY692" s="4317"/>
      <c r="CZ692" s="4317"/>
      <c r="DA692" s="4317"/>
      <c r="DB692" s="4317"/>
      <c r="DC692" s="4317"/>
      <c r="DD692" s="4317"/>
      <c r="DE692" s="4317"/>
      <c r="DF692" s="4317"/>
      <c r="DG692" s="4317"/>
      <c r="DH692" s="4317"/>
      <c r="DI692" s="4317"/>
      <c r="DJ692" s="4317"/>
      <c r="DK692" s="4317"/>
      <c r="DL692" s="4317"/>
      <c r="DM692" s="4317"/>
      <c r="DN692" s="4317"/>
      <c r="DO692" s="4317"/>
      <c r="DP692" s="4317"/>
      <c r="DQ692" s="4317"/>
      <c r="DR692" s="4317"/>
      <c r="DS692" s="4317"/>
      <c r="DT692" s="4133"/>
      <c r="DU692" s="4133"/>
      <c r="DV692" s="4133"/>
      <c r="DW692" s="4133"/>
      <c r="DX692" s="4133"/>
      <c r="DY692" s="4133"/>
    </row>
    <row r="693" s="4134" customFormat="1" ht="16.5" customHeight="1" spans="1:129">
      <c r="A693" s="4657" t="s">
        <v>5381</v>
      </c>
      <c r="B693" s="4567"/>
      <c r="C693" s="4567"/>
      <c r="D693" s="4567"/>
      <c r="E693" s="4567"/>
      <c r="F693" s="4534">
        <v>126871</v>
      </c>
      <c r="G693" s="4535"/>
      <c r="H693" s="4535"/>
      <c r="I693" s="4535"/>
      <c r="J693" s="4535"/>
      <c r="K693" s="4535"/>
      <c r="L693" s="4536"/>
      <c r="M693" s="4534"/>
      <c r="N693" s="4535"/>
      <c r="O693" s="4535"/>
      <c r="P693" s="4535"/>
      <c r="Q693" s="4535"/>
      <c r="R693" s="4535"/>
      <c r="S693" s="4536"/>
      <c r="T693" s="4317"/>
      <c r="U693" s="4653"/>
      <c r="V693" s="4319" t="s">
        <v>5382</v>
      </c>
      <c r="W693" s="4317"/>
      <c r="X693" s="4317"/>
      <c r="Y693" s="4653"/>
      <c r="Z693" s="4653"/>
      <c r="AA693" s="4653"/>
      <c r="AB693" s="4317"/>
      <c r="AC693" s="4295"/>
      <c r="AD693" s="4653"/>
      <c r="AE693" s="4653"/>
      <c r="AF693" s="4653"/>
      <c r="AG693" s="4317"/>
      <c r="AH693" s="4317"/>
      <c r="AI693" s="4317"/>
      <c r="AJ693" s="4317"/>
      <c r="AK693" s="4317"/>
      <c r="AL693" s="4317"/>
      <c r="AM693" s="4317"/>
      <c r="AN693" s="4317"/>
      <c r="AO693" s="4317"/>
      <c r="AP693" s="4317"/>
      <c r="AQ693" s="4317"/>
      <c r="AR693" s="4317"/>
      <c r="AS693" s="4317"/>
      <c r="AT693" s="4317"/>
      <c r="AU693" s="4317"/>
      <c r="AV693" s="4317"/>
      <c r="AW693" s="4317"/>
      <c r="AX693" s="4317"/>
      <c r="AY693" s="4317"/>
      <c r="AZ693" s="4317"/>
      <c r="BA693" s="4317"/>
      <c r="BB693" s="4317"/>
      <c r="BC693" s="4317"/>
      <c r="BD693" s="4317"/>
      <c r="BE693" s="4317"/>
      <c r="BF693" s="4317"/>
      <c r="BG693" s="4317"/>
      <c r="BH693" s="4317"/>
      <c r="BI693" s="4317"/>
      <c r="BJ693" s="4317"/>
      <c r="BK693" s="4317"/>
      <c r="BL693" s="4317"/>
      <c r="BM693" s="4317"/>
      <c r="BN693" s="4317"/>
      <c r="BO693" s="4317"/>
      <c r="BP693" s="4317"/>
      <c r="BQ693" s="4317"/>
      <c r="BR693" s="4317"/>
      <c r="BS693" s="4317"/>
      <c r="BT693" s="4317"/>
      <c r="BU693" s="4317"/>
      <c r="BV693" s="4317"/>
      <c r="BW693" s="4317"/>
      <c r="BX693" s="4317"/>
      <c r="BY693" s="4317"/>
      <c r="BZ693" s="4317"/>
      <c r="CA693" s="4317"/>
      <c r="CB693" s="4317"/>
      <c r="CC693" s="4317"/>
      <c r="CD693" s="4317"/>
      <c r="CE693" s="4317"/>
      <c r="CF693" s="4317"/>
      <c r="CG693" s="4317"/>
      <c r="CH693" s="4317"/>
      <c r="CI693" s="4317"/>
      <c r="CJ693" s="4317"/>
      <c r="CK693" s="4317"/>
      <c r="CL693" s="4317"/>
      <c r="CM693" s="4317"/>
      <c r="CN693" s="4317"/>
      <c r="CO693" s="4317"/>
      <c r="CP693" s="4317"/>
      <c r="CQ693" s="4317"/>
      <c r="CR693" s="4317"/>
      <c r="CS693" s="4317"/>
      <c r="CT693" s="4317"/>
      <c r="CU693" s="4317"/>
      <c r="CV693" s="4317"/>
      <c r="CW693" s="4317"/>
      <c r="CX693" s="4317"/>
      <c r="CY693" s="4317"/>
      <c r="CZ693" s="4317"/>
      <c r="DA693" s="4317"/>
      <c r="DB693" s="4317"/>
      <c r="DC693" s="4317"/>
      <c r="DD693" s="4317"/>
      <c r="DE693" s="4317"/>
      <c r="DF693" s="4317"/>
      <c r="DG693" s="4317"/>
      <c r="DH693" s="4317"/>
      <c r="DI693" s="4317"/>
      <c r="DJ693" s="4317"/>
      <c r="DK693" s="4317"/>
      <c r="DL693" s="4317"/>
      <c r="DM693" s="4317"/>
      <c r="DN693" s="4317"/>
      <c r="DO693" s="4317"/>
      <c r="DP693" s="4317"/>
      <c r="DQ693" s="4317"/>
      <c r="DR693" s="4317"/>
      <c r="DS693" s="4317"/>
      <c r="DT693" s="4133"/>
      <c r="DU693" s="4133"/>
      <c r="DV693" s="4133"/>
      <c r="DW693" s="4133"/>
      <c r="DX693" s="4133"/>
      <c r="DY693" s="4133"/>
    </row>
    <row r="694" s="4134" customFormat="1" ht="16.5" customHeight="1" spans="1:129">
      <c r="A694" s="4657" t="s">
        <v>5383</v>
      </c>
      <c r="B694" s="4567"/>
      <c r="C694" s="4567"/>
      <c r="D694" s="4567"/>
      <c r="E694" s="4567"/>
      <c r="F694" s="4534"/>
      <c r="G694" s="4535"/>
      <c r="H694" s="4535"/>
      <c r="I694" s="4535"/>
      <c r="J694" s="4535"/>
      <c r="K694" s="4535"/>
      <c r="L694" s="4536"/>
      <c r="M694" s="4534"/>
      <c r="N694" s="4535"/>
      <c r="O694" s="4535"/>
      <c r="P694" s="4535"/>
      <c r="Q694" s="4535"/>
      <c r="R694" s="4535"/>
      <c r="S694" s="4536"/>
      <c r="T694" s="4317"/>
      <c r="U694" s="4653"/>
      <c r="V694" s="4311" t="s">
        <v>5384</v>
      </c>
      <c r="W694" s="4317"/>
      <c r="X694" s="4317"/>
      <c r="Y694" s="4653"/>
      <c r="Z694" s="4653"/>
      <c r="AA694" s="4653"/>
      <c r="AB694" s="4317"/>
      <c r="AC694" s="4295"/>
      <c r="AD694" s="4653"/>
      <c r="AE694" s="4653"/>
      <c r="AF694" s="4653"/>
      <c r="AG694" s="4317"/>
      <c r="AH694" s="4317"/>
      <c r="AI694" s="4317"/>
      <c r="AJ694" s="4317"/>
      <c r="AK694" s="4317"/>
      <c r="AL694" s="4317"/>
      <c r="AM694" s="4317"/>
      <c r="AN694" s="4317"/>
      <c r="AO694" s="4317"/>
      <c r="AP694" s="4317"/>
      <c r="AQ694" s="4317"/>
      <c r="AR694" s="4317"/>
      <c r="AS694" s="4317"/>
      <c r="AT694" s="4317"/>
      <c r="AU694" s="4317"/>
      <c r="AV694" s="4317"/>
      <c r="AW694" s="4317"/>
      <c r="AX694" s="4317"/>
      <c r="AY694" s="4317"/>
      <c r="AZ694" s="4317"/>
      <c r="BA694" s="4317"/>
      <c r="BB694" s="4317"/>
      <c r="BC694" s="4317"/>
      <c r="BD694" s="4317"/>
      <c r="BE694" s="4317"/>
      <c r="BF694" s="4317"/>
      <c r="BG694" s="4317"/>
      <c r="BH694" s="4317"/>
      <c r="BI694" s="4317"/>
      <c r="BJ694" s="4317"/>
      <c r="BK694" s="4317"/>
      <c r="BL694" s="4317"/>
      <c r="BM694" s="4317"/>
      <c r="BN694" s="4317"/>
      <c r="BO694" s="4317"/>
      <c r="BP694" s="4317"/>
      <c r="BQ694" s="4317"/>
      <c r="BR694" s="4317"/>
      <c r="BS694" s="4317"/>
      <c r="BT694" s="4317"/>
      <c r="BU694" s="4317"/>
      <c r="BV694" s="4317"/>
      <c r="BW694" s="4317"/>
      <c r="BX694" s="4317"/>
      <c r="BY694" s="4317"/>
      <c r="BZ694" s="4317"/>
      <c r="CA694" s="4317"/>
      <c r="CB694" s="4317"/>
      <c r="CC694" s="4317"/>
      <c r="CD694" s="4317"/>
      <c r="CE694" s="4317"/>
      <c r="CF694" s="4317"/>
      <c r="CG694" s="4317"/>
      <c r="CH694" s="4317"/>
      <c r="CI694" s="4317"/>
      <c r="CJ694" s="4317"/>
      <c r="CK694" s="4317"/>
      <c r="CL694" s="4317"/>
      <c r="CM694" s="4317"/>
      <c r="CN694" s="4317"/>
      <c r="CO694" s="4317"/>
      <c r="CP694" s="4317"/>
      <c r="CQ694" s="4317"/>
      <c r="CR694" s="4317"/>
      <c r="CS694" s="4317"/>
      <c r="CT694" s="4317"/>
      <c r="CU694" s="4317"/>
      <c r="CV694" s="4317"/>
      <c r="CW694" s="4317"/>
      <c r="CX694" s="4317"/>
      <c r="CY694" s="4317"/>
      <c r="CZ694" s="4317"/>
      <c r="DA694" s="4317"/>
      <c r="DB694" s="4317"/>
      <c r="DC694" s="4317"/>
      <c r="DD694" s="4317"/>
      <c r="DE694" s="4317"/>
      <c r="DF694" s="4317"/>
      <c r="DG694" s="4317"/>
      <c r="DH694" s="4317"/>
      <c r="DI694" s="4317"/>
      <c r="DJ694" s="4317"/>
      <c r="DK694" s="4317"/>
      <c r="DL694" s="4317"/>
      <c r="DM694" s="4317"/>
      <c r="DN694" s="4317"/>
      <c r="DO694" s="4317"/>
      <c r="DP694" s="4317"/>
      <c r="DQ694" s="4317"/>
      <c r="DR694" s="4317"/>
      <c r="DS694" s="4317"/>
      <c r="DT694" s="4133"/>
      <c r="DU694" s="4133"/>
      <c r="DV694" s="4133"/>
      <c r="DW694" s="4133"/>
      <c r="DX694" s="4133"/>
      <c r="DY694" s="4133"/>
    </row>
    <row r="695" s="4134" customFormat="1" ht="16.5" customHeight="1" spans="1:129">
      <c r="A695" s="4657" t="s">
        <v>5385</v>
      </c>
      <c r="B695" s="4567"/>
      <c r="C695" s="4567"/>
      <c r="D695" s="4567"/>
      <c r="E695" s="4567"/>
      <c r="F695" s="4534"/>
      <c r="G695" s="4535"/>
      <c r="H695" s="4535"/>
      <c r="I695" s="4535"/>
      <c r="J695" s="4535"/>
      <c r="K695" s="4535"/>
      <c r="L695" s="4536"/>
      <c r="M695" s="4534"/>
      <c r="N695" s="4535"/>
      <c r="O695" s="4535"/>
      <c r="P695" s="4535"/>
      <c r="Q695" s="4535"/>
      <c r="R695" s="4535"/>
      <c r="S695" s="4536"/>
      <c r="T695" s="4317"/>
      <c r="U695" s="4653"/>
      <c r="V695" s="4311" t="s">
        <v>5386</v>
      </c>
      <c r="W695" s="4317"/>
      <c r="X695" s="4317"/>
      <c r="Y695" s="4653"/>
      <c r="Z695" s="4653"/>
      <c r="AA695" s="4653"/>
      <c r="AB695" s="4317"/>
      <c r="AC695" s="4295"/>
      <c r="AD695" s="4653"/>
      <c r="AE695" s="4653"/>
      <c r="AF695" s="4653"/>
      <c r="AG695" s="4317"/>
      <c r="AH695" s="4317"/>
      <c r="AI695" s="4317"/>
      <c r="AJ695" s="4317"/>
      <c r="AK695" s="4317"/>
      <c r="AL695" s="4317"/>
      <c r="AM695" s="4317"/>
      <c r="AN695" s="4317"/>
      <c r="AO695" s="4317"/>
      <c r="AP695" s="4317"/>
      <c r="AQ695" s="4317"/>
      <c r="AR695" s="4317"/>
      <c r="AS695" s="4317"/>
      <c r="AT695" s="4317"/>
      <c r="AU695" s="4317"/>
      <c r="AV695" s="4317"/>
      <c r="AW695" s="4317"/>
      <c r="AX695" s="4317"/>
      <c r="AY695" s="4317"/>
      <c r="AZ695" s="4317"/>
      <c r="BA695" s="4317"/>
      <c r="BB695" s="4317"/>
      <c r="BC695" s="4317"/>
      <c r="BD695" s="4317"/>
      <c r="BE695" s="4317"/>
      <c r="BF695" s="4317"/>
      <c r="BG695" s="4317"/>
      <c r="BH695" s="4317"/>
      <c r="BI695" s="4317"/>
      <c r="BJ695" s="4317"/>
      <c r="BK695" s="4317"/>
      <c r="BL695" s="4317"/>
      <c r="BM695" s="4317"/>
      <c r="BN695" s="4317"/>
      <c r="BO695" s="4317"/>
      <c r="BP695" s="4317"/>
      <c r="BQ695" s="4317"/>
      <c r="BR695" s="4317"/>
      <c r="BS695" s="4317"/>
      <c r="BT695" s="4317"/>
      <c r="BU695" s="4317"/>
      <c r="BV695" s="4317"/>
      <c r="BW695" s="4317"/>
      <c r="BX695" s="4317"/>
      <c r="BY695" s="4317"/>
      <c r="BZ695" s="4317"/>
      <c r="CA695" s="4317"/>
      <c r="CB695" s="4317"/>
      <c r="CC695" s="4317"/>
      <c r="CD695" s="4317"/>
      <c r="CE695" s="4317"/>
      <c r="CF695" s="4317"/>
      <c r="CG695" s="4317"/>
      <c r="CH695" s="4317"/>
      <c r="CI695" s="4317"/>
      <c r="CJ695" s="4317"/>
      <c r="CK695" s="4317"/>
      <c r="CL695" s="4317"/>
      <c r="CM695" s="4317"/>
      <c r="CN695" s="4317"/>
      <c r="CO695" s="4317"/>
      <c r="CP695" s="4317"/>
      <c r="CQ695" s="4317"/>
      <c r="CR695" s="4317"/>
      <c r="CS695" s="4317"/>
      <c r="CT695" s="4317"/>
      <c r="CU695" s="4317"/>
      <c r="CV695" s="4317"/>
      <c r="CW695" s="4317"/>
      <c r="CX695" s="4317"/>
      <c r="CY695" s="4317"/>
      <c r="CZ695" s="4317"/>
      <c r="DA695" s="4317"/>
      <c r="DB695" s="4317"/>
      <c r="DC695" s="4317"/>
      <c r="DD695" s="4317"/>
      <c r="DE695" s="4317"/>
      <c r="DF695" s="4317"/>
      <c r="DG695" s="4317"/>
      <c r="DH695" s="4317"/>
      <c r="DI695" s="4317"/>
      <c r="DJ695" s="4317"/>
      <c r="DK695" s="4317"/>
      <c r="DL695" s="4317"/>
      <c r="DM695" s="4317"/>
      <c r="DN695" s="4317"/>
      <c r="DO695" s="4317"/>
      <c r="DP695" s="4317"/>
      <c r="DQ695" s="4317"/>
      <c r="DR695" s="4317"/>
      <c r="DS695" s="4317"/>
      <c r="DT695" s="4133"/>
      <c r="DU695" s="4133"/>
      <c r="DV695" s="4133"/>
      <c r="DW695" s="4133"/>
      <c r="DX695" s="4133"/>
      <c r="DY695" s="4133"/>
    </row>
    <row r="696" s="4134" customFormat="1" ht="16.5" customHeight="1" spans="1:129">
      <c r="A696" s="4657" t="s">
        <v>5387</v>
      </c>
      <c r="B696" s="4567"/>
      <c r="C696" s="4567"/>
      <c r="D696" s="4567"/>
      <c r="E696" s="4567"/>
      <c r="F696" s="4534"/>
      <c r="G696" s="4535"/>
      <c r="H696" s="4535"/>
      <c r="I696" s="4535"/>
      <c r="J696" s="4535"/>
      <c r="K696" s="4535"/>
      <c r="L696" s="4536"/>
      <c r="M696" s="4534"/>
      <c r="N696" s="4535"/>
      <c r="O696" s="4535"/>
      <c r="P696" s="4535"/>
      <c r="Q696" s="4535"/>
      <c r="R696" s="4535"/>
      <c r="S696" s="4536"/>
      <c r="T696" s="4317"/>
      <c r="U696" s="4653"/>
      <c r="V696" s="4319" t="s">
        <v>5388</v>
      </c>
      <c r="W696" s="4317"/>
      <c r="X696" s="4317"/>
      <c r="Y696" s="4653"/>
      <c r="Z696" s="4653"/>
      <c r="AA696" s="4653"/>
      <c r="AB696" s="4317"/>
      <c r="AC696" s="4295"/>
      <c r="AD696" s="4653"/>
      <c r="AE696" s="4653"/>
      <c r="AF696" s="4653"/>
      <c r="AG696" s="4317"/>
      <c r="AH696" s="4317"/>
      <c r="AI696" s="4317"/>
      <c r="AJ696" s="4317"/>
      <c r="AK696" s="4317"/>
      <c r="AL696" s="4317"/>
      <c r="AM696" s="4317"/>
      <c r="AN696" s="4317"/>
      <c r="AO696" s="4317"/>
      <c r="AP696" s="4317"/>
      <c r="AQ696" s="4317"/>
      <c r="AR696" s="4317"/>
      <c r="AS696" s="4317"/>
      <c r="AT696" s="4317"/>
      <c r="AU696" s="4317"/>
      <c r="AV696" s="4317"/>
      <c r="AW696" s="4317"/>
      <c r="AX696" s="4317"/>
      <c r="AY696" s="4317"/>
      <c r="AZ696" s="4317"/>
      <c r="BA696" s="4317"/>
      <c r="BB696" s="4317"/>
      <c r="BC696" s="4317"/>
      <c r="BD696" s="4317"/>
      <c r="BE696" s="4317"/>
      <c r="BF696" s="4317"/>
      <c r="BG696" s="4317"/>
      <c r="BH696" s="4317"/>
      <c r="BI696" s="4317"/>
      <c r="BJ696" s="4317"/>
      <c r="BK696" s="4317"/>
      <c r="BL696" s="4317"/>
      <c r="BM696" s="4317"/>
      <c r="BN696" s="4317"/>
      <c r="BO696" s="4317"/>
      <c r="BP696" s="4317"/>
      <c r="BQ696" s="4317"/>
      <c r="BR696" s="4317"/>
      <c r="BS696" s="4317"/>
      <c r="BT696" s="4317"/>
      <c r="BU696" s="4317"/>
      <c r="BV696" s="4317"/>
      <c r="BW696" s="4317"/>
      <c r="BX696" s="4317"/>
      <c r="BY696" s="4317"/>
      <c r="BZ696" s="4317"/>
      <c r="CA696" s="4317"/>
      <c r="CB696" s="4317"/>
      <c r="CC696" s="4317"/>
      <c r="CD696" s="4317"/>
      <c r="CE696" s="4317"/>
      <c r="CF696" s="4317"/>
      <c r="CG696" s="4317"/>
      <c r="CH696" s="4317"/>
      <c r="CI696" s="4317"/>
      <c r="CJ696" s="4317"/>
      <c r="CK696" s="4317"/>
      <c r="CL696" s="4317"/>
      <c r="CM696" s="4317"/>
      <c r="CN696" s="4317"/>
      <c r="CO696" s="4317"/>
      <c r="CP696" s="4317"/>
      <c r="CQ696" s="4317"/>
      <c r="CR696" s="4317"/>
      <c r="CS696" s="4317"/>
      <c r="CT696" s="4317"/>
      <c r="CU696" s="4317"/>
      <c r="CV696" s="4317"/>
      <c r="CW696" s="4317"/>
      <c r="CX696" s="4317"/>
      <c r="CY696" s="4317"/>
      <c r="CZ696" s="4317"/>
      <c r="DA696" s="4317"/>
      <c r="DB696" s="4317"/>
      <c r="DC696" s="4317"/>
      <c r="DD696" s="4317"/>
      <c r="DE696" s="4317"/>
      <c r="DF696" s="4317"/>
      <c r="DG696" s="4317"/>
      <c r="DH696" s="4317"/>
      <c r="DI696" s="4317"/>
      <c r="DJ696" s="4317"/>
      <c r="DK696" s="4317"/>
      <c r="DL696" s="4317"/>
      <c r="DM696" s="4317"/>
      <c r="DN696" s="4317"/>
      <c r="DO696" s="4317"/>
      <c r="DP696" s="4317"/>
      <c r="DQ696" s="4317"/>
      <c r="DR696" s="4317"/>
      <c r="DS696" s="4317"/>
      <c r="DT696" s="4133"/>
      <c r="DU696" s="4133"/>
      <c r="DV696" s="4133"/>
      <c r="DW696" s="4133"/>
      <c r="DX696" s="4133"/>
      <c r="DY696" s="4133"/>
    </row>
    <row r="697" s="4134" customFormat="1" ht="16.5" customHeight="1" spans="1:129">
      <c r="A697" s="4657" t="s">
        <v>5389</v>
      </c>
      <c r="B697" s="4567"/>
      <c r="C697" s="4567"/>
      <c r="D697" s="4567"/>
      <c r="E697" s="4567"/>
      <c r="F697" s="4534"/>
      <c r="G697" s="4535"/>
      <c r="H697" s="4535"/>
      <c r="I697" s="4535"/>
      <c r="J697" s="4535"/>
      <c r="K697" s="4535"/>
      <c r="L697" s="4536"/>
      <c r="M697" s="4534"/>
      <c r="N697" s="4535"/>
      <c r="O697" s="4535"/>
      <c r="P697" s="4535"/>
      <c r="Q697" s="4535"/>
      <c r="R697" s="4535"/>
      <c r="S697" s="4536"/>
      <c r="T697" s="4317"/>
      <c r="U697" s="4653"/>
      <c r="V697" s="4319" t="s">
        <v>5390</v>
      </c>
      <c r="W697" s="4317"/>
      <c r="X697" s="4317"/>
      <c r="Y697" s="4653"/>
      <c r="Z697" s="4653"/>
      <c r="AA697" s="4653"/>
      <c r="AB697" s="4317"/>
      <c r="AC697" s="4295"/>
      <c r="AD697" s="4653"/>
      <c r="AE697" s="4653"/>
      <c r="AF697" s="4653"/>
      <c r="AG697" s="4317"/>
      <c r="AH697" s="4317"/>
      <c r="AI697" s="4317"/>
      <c r="AJ697" s="4317"/>
      <c r="AK697" s="4317"/>
      <c r="AL697" s="4317"/>
      <c r="AM697" s="4317"/>
      <c r="AN697" s="4317"/>
      <c r="AO697" s="4317"/>
      <c r="AP697" s="4317"/>
      <c r="AQ697" s="4317"/>
      <c r="AR697" s="4317"/>
      <c r="AS697" s="4317"/>
      <c r="AT697" s="4317"/>
      <c r="AU697" s="4317"/>
      <c r="AV697" s="4317"/>
      <c r="AW697" s="4317"/>
      <c r="AX697" s="4317"/>
      <c r="AY697" s="4317"/>
      <c r="AZ697" s="4317"/>
      <c r="BA697" s="4317"/>
      <c r="BB697" s="4317"/>
      <c r="BC697" s="4317"/>
      <c r="BD697" s="4317"/>
      <c r="BE697" s="4317"/>
      <c r="BF697" s="4317"/>
      <c r="BG697" s="4317"/>
      <c r="BH697" s="4317"/>
      <c r="BI697" s="4317"/>
      <c r="BJ697" s="4317"/>
      <c r="BK697" s="4317"/>
      <c r="BL697" s="4317"/>
      <c r="BM697" s="4317"/>
      <c r="BN697" s="4317"/>
      <c r="BO697" s="4317"/>
      <c r="BP697" s="4317"/>
      <c r="BQ697" s="4317"/>
      <c r="BR697" s="4317"/>
      <c r="BS697" s="4317"/>
      <c r="BT697" s="4317"/>
      <c r="BU697" s="4317"/>
      <c r="BV697" s="4317"/>
      <c r="BW697" s="4317"/>
      <c r="BX697" s="4317"/>
      <c r="BY697" s="4317"/>
      <c r="BZ697" s="4317"/>
      <c r="CA697" s="4317"/>
      <c r="CB697" s="4317"/>
      <c r="CC697" s="4317"/>
      <c r="CD697" s="4317"/>
      <c r="CE697" s="4317"/>
      <c r="CF697" s="4317"/>
      <c r="CG697" s="4317"/>
      <c r="CH697" s="4317"/>
      <c r="CI697" s="4317"/>
      <c r="CJ697" s="4317"/>
      <c r="CK697" s="4317"/>
      <c r="CL697" s="4317"/>
      <c r="CM697" s="4317"/>
      <c r="CN697" s="4317"/>
      <c r="CO697" s="4317"/>
      <c r="CP697" s="4317"/>
      <c r="CQ697" s="4317"/>
      <c r="CR697" s="4317"/>
      <c r="CS697" s="4317"/>
      <c r="CT697" s="4317"/>
      <c r="CU697" s="4317"/>
      <c r="CV697" s="4317"/>
      <c r="CW697" s="4317"/>
      <c r="CX697" s="4317"/>
      <c r="CY697" s="4317"/>
      <c r="CZ697" s="4317"/>
      <c r="DA697" s="4317"/>
      <c r="DB697" s="4317"/>
      <c r="DC697" s="4317"/>
      <c r="DD697" s="4317"/>
      <c r="DE697" s="4317"/>
      <c r="DF697" s="4317"/>
      <c r="DG697" s="4317"/>
      <c r="DH697" s="4317"/>
      <c r="DI697" s="4317"/>
      <c r="DJ697" s="4317"/>
      <c r="DK697" s="4317"/>
      <c r="DL697" s="4317"/>
      <c r="DM697" s="4317"/>
      <c r="DN697" s="4317"/>
      <c r="DO697" s="4317"/>
      <c r="DP697" s="4317"/>
      <c r="DQ697" s="4317"/>
      <c r="DR697" s="4317"/>
      <c r="DS697" s="4317"/>
      <c r="DT697" s="4133"/>
      <c r="DU697" s="4133"/>
      <c r="DV697" s="4133"/>
      <c r="DW697" s="4133"/>
      <c r="DX697" s="4133"/>
      <c r="DY697" s="4133"/>
    </row>
    <row r="698" s="4134" customFormat="1" ht="16.5" customHeight="1" spans="1:129">
      <c r="A698" s="4657" t="s">
        <v>5391</v>
      </c>
      <c r="B698" s="4567"/>
      <c r="C698" s="4567"/>
      <c r="D698" s="4567"/>
      <c r="E698" s="4567"/>
      <c r="F698" s="4534"/>
      <c r="G698" s="4535"/>
      <c r="H698" s="4535"/>
      <c r="I698" s="4535"/>
      <c r="J698" s="4535"/>
      <c r="K698" s="4535"/>
      <c r="L698" s="4536"/>
      <c r="M698" s="4534"/>
      <c r="N698" s="4535"/>
      <c r="O698" s="4535"/>
      <c r="P698" s="4535"/>
      <c r="Q698" s="4535"/>
      <c r="R698" s="4535"/>
      <c r="S698" s="4536"/>
      <c r="T698" s="4317"/>
      <c r="U698" s="4653"/>
      <c r="V698" s="4319" t="s">
        <v>5392</v>
      </c>
      <c r="W698" s="4317"/>
      <c r="X698" s="4317"/>
      <c r="Y698" s="4653"/>
      <c r="Z698" s="4653"/>
      <c r="AA698" s="4653"/>
      <c r="AB698" s="4317"/>
      <c r="AC698" s="4295"/>
      <c r="AD698" s="4653"/>
      <c r="AE698" s="4653"/>
      <c r="AF698" s="4653"/>
      <c r="AG698" s="4317"/>
      <c r="AH698" s="4317"/>
      <c r="AI698" s="4317"/>
      <c r="AJ698" s="4317"/>
      <c r="AK698" s="4317"/>
      <c r="AL698" s="4317"/>
      <c r="AM698" s="4317"/>
      <c r="AN698" s="4317"/>
      <c r="AO698" s="4317"/>
      <c r="AP698" s="4317"/>
      <c r="AQ698" s="4317"/>
      <c r="AR698" s="4317"/>
      <c r="AS698" s="4317"/>
      <c r="AT698" s="4317"/>
      <c r="AU698" s="4317"/>
      <c r="AV698" s="4317"/>
      <c r="AW698" s="4317"/>
      <c r="AX698" s="4317"/>
      <c r="AY698" s="4317"/>
      <c r="AZ698" s="4317"/>
      <c r="BA698" s="4317"/>
      <c r="BB698" s="4317"/>
      <c r="BC698" s="4317"/>
      <c r="BD698" s="4317"/>
      <c r="BE698" s="4317"/>
      <c r="BF698" s="4317"/>
      <c r="BG698" s="4317"/>
      <c r="BH698" s="4317"/>
      <c r="BI698" s="4317"/>
      <c r="BJ698" s="4317"/>
      <c r="BK698" s="4317"/>
      <c r="BL698" s="4317"/>
      <c r="BM698" s="4317"/>
      <c r="BN698" s="4317"/>
      <c r="BO698" s="4317"/>
      <c r="BP698" s="4317"/>
      <c r="BQ698" s="4317"/>
      <c r="BR698" s="4317"/>
      <c r="BS698" s="4317"/>
      <c r="BT698" s="4317"/>
      <c r="BU698" s="4317"/>
      <c r="BV698" s="4317"/>
      <c r="BW698" s="4317"/>
      <c r="BX698" s="4317"/>
      <c r="BY698" s="4317"/>
      <c r="BZ698" s="4317"/>
      <c r="CA698" s="4317"/>
      <c r="CB698" s="4317"/>
      <c r="CC698" s="4317"/>
      <c r="CD698" s="4317"/>
      <c r="CE698" s="4317"/>
      <c r="CF698" s="4317"/>
      <c r="CG698" s="4317"/>
      <c r="CH698" s="4317"/>
      <c r="CI698" s="4317"/>
      <c r="CJ698" s="4317"/>
      <c r="CK698" s="4317"/>
      <c r="CL698" s="4317"/>
      <c r="CM698" s="4317"/>
      <c r="CN698" s="4317"/>
      <c r="CO698" s="4317"/>
      <c r="CP698" s="4317"/>
      <c r="CQ698" s="4317"/>
      <c r="CR698" s="4317"/>
      <c r="CS698" s="4317"/>
      <c r="CT698" s="4317"/>
      <c r="CU698" s="4317"/>
      <c r="CV698" s="4317"/>
      <c r="CW698" s="4317"/>
      <c r="CX698" s="4317"/>
      <c r="CY698" s="4317"/>
      <c r="CZ698" s="4317"/>
      <c r="DA698" s="4317"/>
      <c r="DB698" s="4317"/>
      <c r="DC698" s="4317"/>
      <c r="DD698" s="4317"/>
      <c r="DE698" s="4317"/>
      <c r="DF698" s="4317"/>
      <c r="DG698" s="4317"/>
      <c r="DH698" s="4317"/>
      <c r="DI698" s="4317"/>
      <c r="DJ698" s="4317"/>
      <c r="DK698" s="4317"/>
      <c r="DL698" s="4317"/>
      <c r="DM698" s="4317"/>
      <c r="DN698" s="4317"/>
      <c r="DO698" s="4317"/>
      <c r="DP698" s="4317"/>
      <c r="DQ698" s="4317"/>
      <c r="DR698" s="4317"/>
      <c r="DS698" s="4317"/>
      <c r="DT698" s="4133"/>
      <c r="DU698" s="4133"/>
      <c r="DV698" s="4133"/>
      <c r="DW698" s="4133"/>
      <c r="DX698" s="4133"/>
      <c r="DY698" s="4133"/>
    </row>
    <row r="699" s="4134" customFormat="1" ht="16.5" customHeight="1" spans="1:129">
      <c r="A699" s="4659" t="s">
        <v>588</v>
      </c>
      <c r="B699" s="4660"/>
      <c r="C699" s="4660"/>
      <c r="D699" s="4660"/>
      <c r="E699" s="4660"/>
      <c r="F699" s="4661">
        <f>SUM(F692:L698)+F686</f>
        <v>126871</v>
      </c>
      <c r="G699" s="4661"/>
      <c r="H699" s="4661"/>
      <c r="I699" s="4661"/>
      <c r="J699" s="4661"/>
      <c r="K699" s="4661"/>
      <c r="L699" s="4661"/>
      <c r="M699" s="4661">
        <f>SUM(M692:S698)+M686</f>
        <v>0</v>
      </c>
      <c r="N699" s="4661"/>
      <c r="O699" s="4661"/>
      <c r="P699" s="4661"/>
      <c r="Q699" s="4661"/>
      <c r="R699" s="4661"/>
      <c r="S699" s="4661"/>
      <c r="T699" s="4317"/>
      <c r="U699" s="4653"/>
      <c r="V699" s="4323" t="s">
        <v>5392</v>
      </c>
      <c r="W699" s="4317"/>
      <c r="X699" s="4317"/>
      <c r="Y699" s="4653"/>
      <c r="Z699" s="4653"/>
      <c r="AA699" s="4653"/>
      <c r="AB699" s="4317"/>
      <c r="AC699" s="4295"/>
      <c r="AD699" s="4653"/>
      <c r="AE699" s="4653"/>
      <c r="AF699" s="4653"/>
      <c r="AG699" s="4317"/>
      <c r="AH699" s="4317"/>
      <c r="AI699" s="4317"/>
      <c r="AJ699" s="4317"/>
      <c r="AK699" s="4317"/>
      <c r="AL699" s="4317"/>
      <c r="AM699" s="4317"/>
      <c r="AN699" s="4317"/>
      <c r="AO699" s="4317"/>
      <c r="AP699" s="4317"/>
      <c r="AQ699" s="4317"/>
      <c r="AR699" s="4317"/>
      <c r="AS699" s="4317"/>
      <c r="AT699" s="4317"/>
      <c r="AU699" s="4317"/>
      <c r="AV699" s="4317"/>
      <c r="AW699" s="4317"/>
      <c r="AX699" s="4317"/>
      <c r="AY699" s="4317"/>
      <c r="AZ699" s="4317"/>
      <c r="BA699" s="4317"/>
      <c r="BB699" s="4317"/>
      <c r="BC699" s="4317"/>
      <c r="BD699" s="4317"/>
      <c r="BE699" s="4317"/>
      <c r="BF699" s="4317"/>
      <c r="BG699" s="4317"/>
      <c r="BH699" s="4317"/>
      <c r="BI699" s="4317"/>
      <c r="BJ699" s="4317"/>
      <c r="BK699" s="4317"/>
      <c r="BL699" s="4317"/>
      <c r="BM699" s="4317"/>
      <c r="BN699" s="4317"/>
      <c r="BO699" s="4317"/>
      <c r="BP699" s="4317"/>
      <c r="BQ699" s="4317"/>
      <c r="BR699" s="4317"/>
      <c r="BS699" s="4317"/>
      <c r="BT699" s="4317"/>
      <c r="BU699" s="4317"/>
      <c r="BV699" s="4317"/>
      <c r="BW699" s="4317"/>
      <c r="BX699" s="4317"/>
      <c r="BY699" s="4317"/>
      <c r="BZ699" s="4317"/>
      <c r="CA699" s="4317"/>
      <c r="CB699" s="4317"/>
      <c r="CC699" s="4317"/>
      <c r="CD699" s="4317"/>
      <c r="CE699" s="4317"/>
      <c r="CF699" s="4317"/>
      <c r="CG699" s="4317"/>
      <c r="CH699" s="4317"/>
      <c r="CI699" s="4317"/>
      <c r="CJ699" s="4317"/>
      <c r="CK699" s="4317"/>
      <c r="CL699" s="4317"/>
      <c r="CM699" s="4317"/>
      <c r="CN699" s="4317"/>
      <c r="CO699" s="4317"/>
      <c r="CP699" s="4317"/>
      <c r="CQ699" s="4317"/>
      <c r="CR699" s="4317"/>
      <c r="CS699" s="4317"/>
      <c r="CT699" s="4317"/>
      <c r="CU699" s="4317"/>
      <c r="CV699" s="4317"/>
      <c r="CW699" s="4317"/>
      <c r="CX699" s="4317"/>
      <c r="CY699" s="4317"/>
      <c r="CZ699" s="4317"/>
      <c r="DA699" s="4317"/>
      <c r="DB699" s="4317"/>
      <c r="DC699" s="4317"/>
      <c r="DD699" s="4317"/>
      <c r="DE699" s="4317"/>
      <c r="DF699" s="4317"/>
      <c r="DG699" s="4317"/>
      <c r="DH699" s="4317"/>
      <c r="DI699" s="4317"/>
      <c r="DJ699" s="4317"/>
      <c r="DK699" s="4317"/>
      <c r="DL699" s="4317"/>
      <c r="DM699" s="4317"/>
      <c r="DN699" s="4317"/>
      <c r="DO699" s="4317"/>
      <c r="DP699" s="4317"/>
      <c r="DQ699" s="4317"/>
      <c r="DR699" s="4317"/>
      <c r="DS699" s="4317"/>
      <c r="DT699" s="4133"/>
      <c r="DU699" s="4133"/>
      <c r="DV699" s="4133"/>
      <c r="DW699" s="4133"/>
      <c r="DX699" s="4133"/>
      <c r="DY699" s="4133"/>
    </row>
    <row r="700" s="4134" customFormat="1" ht="16.5" customHeight="1" spans="1:129">
      <c r="A700" s="4662" t="s">
        <v>5393</v>
      </c>
      <c r="B700" s="4663"/>
      <c r="C700" s="4663"/>
      <c r="D700" s="4663"/>
      <c r="E700" s="4663"/>
      <c r="F700" s="4534"/>
      <c r="G700" s="4535"/>
      <c r="H700" s="4535"/>
      <c r="I700" s="4535"/>
      <c r="J700" s="4535"/>
      <c r="K700" s="4535"/>
      <c r="L700" s="4536"/>
      <c r="M700" s="4534"/>
      <c r="N700" s="4535"/>
      <c r="O700" s="4535"/>
      <c r="P700" s="4535"/>
      <c r="Q700" s="4535"/>
      <c r="R700" s="4535"/>
      <c r="S700" s="4536"/>
      <c r="T700" s="4317"/>
      <c r="U700" s="4653"/>
      <c r="V700" s="4316" t="s">
        <v>3098</v>
      </c>
      <c r="W700" s="4317"/>
      <c r="X700" s="4317"/>
      <c r="Y700" s="4653"/>
      <c r="Z700" s="4653"/>
      <c r="AA700" s="4653"/>
      <c r="AB700" s="4317"/>
      <c r="AC700" s="4295"/>
      <c r="AD700" s="4653"/>
      <c r="AE700" s="4653"/>
      <c r="AF700" s="4653"/>
      <c r="AG700" s="4317"/>
      <c r="AH700" s="4317"/>
      <c r="AI700" s="4317"/>
      <c r="AJ700" s="4317"/>
      <c r="AK700" s="4317"/>
      <c r="AL700" s="4317"/>
      <c r="AM700" s="4317"/>
      <c r="AN700" s="4317"/>
      <c r="AO700" s="4317"/>
      <c r="AP700" s="4317"/>
      <c r="AQ700" s="4317"/>
      <c r="AR700" s="4317"/>
      <c r="AS700" s="4317"/>
      <c r="AT700" s="4317"/>
      <c r="AU700" s="4317"/>
      <c r="AV700" s="4317"/>
      <c r="AW700" s="4317"/>
      <c r="AX700" s="4317"/>
      <c r="AY700" s="4317"/>
      <c r="AZ700" s="4317"/>
      <c r="BA700" s="4317"/>
      <c r="BB700" s="4317"/>
      <c r="BC700" s="4317"/>
      <c r="BD700" s="4317"/>
      <c r="BE700" s="4317"/>
      <c r="BF700" s="4317"/>
      <c r="BG700" s="4317"/>
      <c r="BH700" s="4317"/>
      <c r="BI700" s="4317"/>
      <c r="BJ700" s="4317"/>
      <c r="BK700" s="4317"/>
      <c r="BL700" s="4317"/>
      <c r="BM700" s="4317"/>
      <c r="BN700" s="4317"/>
      <c r="BO700" s="4317"/>
      <c r="BP700" s="4317"/>
      <c r="BQ700" s="4317"/>
      <c r="BR700" s="4317"/>
      <c r="BS700" s="4317"/>
      <c r="BT700" s="4317"/>
      <c r="BU700" s="4317"/>
      <c r="BV700" s="4317"/>
      <c r="BW700" s="4317"/>
      <c r="BX700" s="4317"/>
      <c r="BY700" s="4317"/>
      <c r="BZ700" s="4317"/>
      <c r="CA700" s="4317"/>
      <c r="CB700" s="4317"/>
      <c r="CC700" s="4317"/>
      <c r="CD700" s="4317"/>
      <c r="CE700" s="4317"/>
      <c r="CF700" s="4317"/>
      <c r="CG700" s="4317"/>
      <c r="CH700" s="4317"/>
      <c r="CI700" s="4317"/>
      <c r="CJ700" s="4317"/>
      <c r="CK700" s="4317"/>
      <c r="CL700" s="4317"/>
      <c r="CM700" s="4317"/>
      <c r="CN700" s="4317"/>
      <c r="CO700" s="4317"/>
      <c r="CP700" s="4317"/>
      <c r="CQ700" s="4317"/>
      <c r="CR700" s="4317"/>
      <c r="CS700" s="4317"/>
      <c r="CT700" s="4317"/>
      <c r="CU700" s="4317"/>
      <c r="CV700" s="4317"/>
      <c r="CW700" s="4317"/>
      <c r="CX700" s="4317"/>
      <c r="CY700" s="4317"/>
      <c r="CZ700" s="4317"/>
      <c r="DA700" s="4317"/>
      <c r="DB700" s="4317"/>
      <c r="DC700" s="4317"/>
      <c r="DD700" s="4317"/>
      <c r="DE700" s="4317"/>
      <c r="DF700" s="4317"/>
      <c r="DG700" s="4317"/>
      <c r="DH700" s="4317"/>
      <c r="DI700" s="4317"/>
      <c r="DJ700" s="4317"/>
      <c r="DK700" s="4317"/>
      <c r="DL700" s="4317"/>
      <c r="DM700" s="4317"/>
      <c r="DN700" s="4317"/>
      <c r="DO700" s="4317"/>
      <c r="DP700" s="4317"/>
      <c r="DQ700" s="4317"/>
      <c r="DR700" s="4317"/>
      <c r="DS700" s="4317"/>
      <c r="DT700" s="4133"/>
      <c r="DU700" s="4133"/>
      <c r="DV700" s="4133"/>
      <c r="DW700" s="4133"/>
      <c r="DX700" s="4133"/>
      <c r="DY700" s="4133"/>
    </row>
    <row r="701" s="4134" customFormat="1" ht="16.5" customHeight="1" spans="1:129">
      <c r="A701" s="4662" t="s">
        <v>5394</v>
      </c>
      <c r="B701" s="4663"/>
      <c r="C701" s="4663"/>
      <c r="D701" s="4663"/>
      <c r="E701" s="4663"/>
      <c r="F701" s="4534">
        <v>427682</v>
      </c>
      <c r="G701" s="4535"/>
      <c r="H701" s="4535"/>
      <c r="I701" s="4535"/>
      <c r="J701" s="4535"/>
      <c r="K701" s="4535"/>
      <c r="L701" s="4536"/>
      <c r="M701" s="4534"/>
      <c r="N701" s="4535"/>
      <c r="O701" s="4535"/>
      <c r="P701" s="4535"/>
      <c r="Q701" s="4535"/>
      <c r="R701" s="4535"/>
      <c r="S701" s="4536"/>
      <c r="T701" s="4317"/>
      <c r="U701" s="4653"/>
      <c r="V701" s="4316" t="s">
        <v>5395</v>
      </c>
      <c r="W701" s="4317"/>
      <c r="X701" s="4317"/>
      <c r="Y701" s="4653"/>
      <c r="Z701" s="4653"/>
      <c r="AA701" s="4653"/>
      <c r="AB701" s="4317"/>
      <c r="AC701" s="4295"/>
      <c r="AD701" s="4653"/>
      <c r="AE701" s="4653"/>
      <c r="AF701" s="4653"/>
      <c r="AG701" s="4317"/>
      <c r="AH701" s="4317"/>
      <c r="AI701" s="4317"/>
      <c r="AJ701" s="4317"/>
      <c r="AK701" s="4317"/>
      <c r="AL701" s="4317"/>
      <c r="AM701" s="4317"/>
      <c r="AN701" s="4317"/>
      <c r="AO701" s="4317"/>
      <c r="AP701" s="4317"/>
      <c r="AQ701" s="4317"/>
      <c r="AR701" s="4317"/>
      <c r="AS701" s="4317"/>
      <c r="AT701" s="4317"/>
      <c r="AU701" s="4317"/>
      <c r="AV701" s="4317"/>
      <c r="AW701" s="4317"/>
      <c r="AX701" s="4317"/>
      <c r="AY701" s="4317"/>
      <c r="AZ701" s="4317"/>
      <c r="BA701" s="4317"/>
      <c r="BB701" s="4317"/>
      <c r="BC701" s="4317"/>
      <c r="BD701" s="4317"/>
      <c r="BE701" s="4317"/>
      <c r="BF701" s="4317"/>
      <c r="BG701" s="4317"/>
      <c r="BH701" s="4317"/>
      <c r="BI701" s="4317"/>
      <c r="BJ701" s="4317"/>
      <c r="BK701" s="4317"/>
      <c r="BL701" s="4317"/>
      <c r="BM701" s="4317"/>
      <c r="BN701" s="4317"/>
      <c r="BO701" s="4317"/>
      <c r="BP701" s="4317"/>
      <c r="BQ701" s="4317"/>
      <c r="BR701" s="4317"/>
      <c r="BS701" s="4317"/>
      <c r="BT701" s="4317"/>
      <c r="BU701" s="4317"/>
      <c r="BV701" s="4317"/>
      <c r="BW701" s="4317"/>
      <c r="BX701" s="4317"/>
      <c r="BY701" s="4317"/>
      <c r="BZ701" s="4317"/>
      <c r="CA701" s="4317"/>
      <c r="CB701" s="4317"/>
      <c r="CC701" s="4317"/>
      <c r="CD701" s="4317"/>
      <c r="CE701" s="4317"/>
      <c r="CF701" s="4317"/>
      <c r="CG701" s="4317"/>
      <c r="CH701" s="4317"/>
      <c r="CI701" s="4317"/>
      <c r="CJ701" s="4317"/>
      <c r="CK701" s="4317"/>
      <c r="CL701" s="4317"/>
      <c r="CM701" s="4317"/>
      <c r="CN701" s="4317"/>
      <c r="CO701" s="4317"/>
      <c r="CP701" s="4317"/>
      <c r="CQ701" s="4317"/>
      <c r="CR701" s="4317"/>
      <c r="CS701" s="4317"/>
      <c r="CT701" s="4317"/>
      <c r="CU701" s="4317"/>
      <c r="CV701" s="4317"/>
      <c r="CW701" s="4317"/>
      <c r="CX701" s="4317"/>
      <c r="CY701" s="4317"/>
      <c r="CZ701" s="4317"/>
      <c r="DA701" s="4317"/>
      <c r="DB701" s="4317"/>
      <c r="DC701" s="4317"/>
      <c r="DD701" s="4317"/>
      <c r="DE701" s="4317"/>
      <c r="DF701" s="4317"/>
      <c r="DG701" s="4317"/>
      <c r="DH701" s="4317"/>
      <c r="DI701" s="4317"/>
      <c r="DJ701" s="4317"/>
      <c r="DK701" s="4317"/>
      <c r="DL701" s="4317"/>
      <c r="DM701" s="4317"/>
      <c r="DN701" s="4317"/>
      <c r="DO701" s="4317"/>
      <c r="DP701" s="4317"/>
      <c r="DQ701" s="4317"/>
      <c r="DR701" s="4317"/>
      <c r="DS701" s="4317"/>
      <c r="DT701" s="4133"/>
      <c r="DU701" s="4133"/>
      <c r="DV701" s="4133"/>
      <c r="DW701" s="4133"/>
      <c r="DX701" s="4133"/>
      <c r="DY701" s="4133"/>
    </row>
    <row r="702" s="4134" customFormat="1" ht="16.5" customHeight="1" spans="1:129">
      <c r="A702" s="4662" t="s">
        <v>5396</v>
      </c>
      <c r="B702" s="4663"/>
      <c r="C702" s="4663"/>
      <c r="D702" s="4663"/>
      <c r="E702" s="4663"/>
      <c r="F702" s="4534"/>
      <c r="G702" s="4535"/>
      <c r="H702" s="4535"/>
      <c r="I702" s="4535"/>
      <c r="J702" s="4535"/>
      <c r="K702" s="4535"/>
      <c r="L702" s="4536"/>
      <c r="M702" s="4534"/>
      <c r="N702" s="4535"/>
      <c r="O702" s="4535"/>
      <c r="P702" s="4535"/>
      <c r="Q702" s="4535"/>
      <c r="R702" s="4535"/>
      <c r="S702" s="4536"/>
      <c r="T702" s="4317"/>
      <c r="U702" s="4653"/>
      <c r="V702" s="4316" t="s">
        <v>3102</v>
      </c>
      <c r="W702" s="4317"/>
      <c r="X702" s="4317"/>
      <c r="Y702" s="4653"/>
      <c r="Z702" s="4653"/>
      <c r="AA702" s="4653"/>
      <c r="AB702" s="4317"/>
      <c r="AC702" s="4295"/>
      <c r="AD702" s="4653"/>
      <c r="AE702" s="4653"/>
      <c r="AF702" s="4653"/>
      <c r="AG702" s="4317"/>
      <c r="AH702" s="4317"/>
      <c r="AI702" s="4317"/>
      <c r="AJ702" s="4317"/>
      <c r="AK702" s="4317"/>
      <c r="AL702" s="4317"/>
      <c r="AM702" s="4317"/>
      <c r="AN702" s="4317"/>
      <c r="AO702" s="4317"/>
      <c r="AP702" s="4317"/>
      <c r="AQ702" s="4317"/>
      <c r="AR702" s="4317"/>
      <c r="AS702" s="4317"/>
      <c r="AT702" s="4317"/>
      <c r="AU702" s="4317"/>
      <c r="AV702" s="4317"/>
      <c r="AW702" s="4317"/>
      <c r="AX702" s="4317"/>
      <c r="AY702" s="4317"/>
      <c r="AZ702" s="4317"/>
      <c r="BA702" s="4317"/>
      <c r="BB702" s="4317"/>
      <c r="BC702" s="4317"/>
      <c r="BD702" s="4317"/>
      <c r="BE702" s="4317"/>
      <c r="BF702" s="4317"/>
      <c r="BG702" s="4317"/>
      <c r="BH702" s="4317"/>
      <c r="BI702" s="4317"/>
      <c r="BJ702" s="4317"/>
      <c r="BK702" s="4317"/>
      <c r="BL702" s="4317"/>
      <c r="BM702" s="4317"/>
      <c r="BN702" s="4317"/>
      <c r="BO702" s="4317"/>
      <c r="BP702" s="4317"/>
      <c r="BQ702" s="4317"/>
      <c r="BR702" s="4317"/>
      <c r="BS702" s="4317"/>
      <c r="BT702" s="4317"/>
      <c r="BU702" s="4317"/>
      <c r="BV702" s="4317"/>
      <c r="BW702" s="4317"/>
      <c r="BX702" s="4317"/>
      <c r="BY702" s="4317"/>
      <c r="BZ702" s="4317"/>
      <c r="CA702" s="4317"/>
      <c r="CB702" s="4317"/>
      <c r="CC702" s="4317"/>
      <c r="CD702" s="4317"/>
      <c r="CE702" s="4317"/>
      <c r="CF702" s="4317"/>
      <c r="CG702" s="4317"/>
      <c r="CH702" s="4317"/>
      <c r="CI702" s="4317"/>
      <c r="CJ702" s="4317"/>
      <c r="CK702" s="4317"/>
      <c r="CL702" s="4317"/>
      <c r="CM702" s="4317"/>
      <c r="CN702" s="4317"/>
      <c r="CO702" s="4317"/>
      <c r="CP702" s="4317"/>
      <c r="CQ702" s="4317"/>
      <c r="CR702" s="4317"/>
      <c r="CS702" s="4317"/>
      <c r="CT702" s="4317"/>
      <c r="CU702" s="4317"/>
      <c r="CV702" s="4317"/>
      <c r="CW702" s="4317"/>
      <c r="CX702" s="4317"/>
      <c r="CY702" s="4317"/>
      <c r="CZ702" s="4317"/>
      <c r="DA702" s="4317"/>
      <c r="DB702" s="4317"/>
      <c r="DC702" s="4317"/>
      <c r="DD702" s="4317"/>
      <c r="DE702" s="4317"/>
      <c r="DF702" s="4317"/>
      <c r="DG702" s="4317"/>
      <c r="DH702" s="4317"/>
      <c r="DI702" s="4317"/>
      <c r="DJ702" s="4317"/>
      <c r="DK702" s="4317"/>
      <c r="DL702" s="4317"/>
      <c r="DM702" s="4317"/>
      <c r="DN702" s="4317"/>
      <c r="DO702" s="4317"/>
      <c r="DP702" s="4317"/>
      <c r="DQ702" s="4317"/>
      <c r="DR702" s="4317"/>
      <c r="DS702" s="4317"/>
      <c r="DT702" s="4133"/>
      <c r="DU702" s="4133"/>
      <c r="DV702" s="4133"/>
      <c r="DW702" s="4133"/>
      <c r="DX702" s="4133"/>
      <c r="DY702" s="4133"/>
    </row>
    <row r="703" s="4134" customFormat="1" ht="16.5" customHeight="1" spans="1:129">
      <c r="A703" s="4662" t="s">
        <v>5397</v>
      </c>
      <c r="B703" s="4663"/>
      <c r="C703" s="4663"/>
      <c r="D703" s="4663"/>
      <c r="E703" s="4663"/>
      <c r="F703" s="4534"/>
      <c r="G703" s="4535"/>
      <c r="H703" s="4535"/>
      <c r="I703" s="4535"/>
      <c r="J703" s="4535"/>
      <c r="K703" s="4535"/>
      <c r="L703" s="4536"/>
      <c r="M703" s="4534"/>
      <c r="N703" s="4535"/>
      <c r="O703" s="4535"/>
      <c r="P703" s="4535"/>
      <c r="Q703" s="4535"/>
      <c r="R703" s="4535"/>
      <c r="S703" s="4536"/>
      <c r="T703" s="4317"/>
      <c r="U703" s="4653"/>
      <c r="V703" s="4316" t="s">
        <v>3104</v>
      </c>
      <c r="W703" s="4317"/>
      <c r="X703" s="4317"/>
      <c r="Y703" s="4653"/>
      <c r="Z703" s="4653"/>
      <c r="AA703" s="4653"/>
      <c r="AB703" s="4317"/>
      <c r="AC703" s="4295"/>
      <c r="AD703" s="4653"/>
      <c r="AE703" s="4653"/>
      <c r="AF703" s="4653"/>
      <c r="AG703" s="4317"/>
      <c r="AH703" s="4317"/>
      <c r="AI703" s="4317"/>
      <c r="AJ703" s="4317"/>
      <c r="AK703" s="4317"/>
      <c r="AL703" s="4317"/>
      <c r="AM703" s="4317"/>
      <c r="AN703" s="4317"/>
      <c r="AO703" s="4317"/>
      <c r="AP703" s="4317"/>
      <c r="AQ703" s="4317"/>
      <c r="AR703" s="4317"/>
      <c r="AS703" s="4317"/>
      <c r="AT703" s="4317"/>
      <c r="AU703" s="4317"/>
      <c r="AV703" s="4317"/>
      <c r="AW703" s="4317"/>
      <c r="AX703" s="4317"/>
      <c r="AY703" s="4317"/>
      <c r="AZ703" s="4317"/>
      <c r="BA703" s="4317"/>
      <c r="BB703" s="4317"/>
      <c r="BC703" s="4317"/>
      <c r="BD703" s="4317"/>
      <c r="BE703" s="4317"/>
      <c r="BF703" s="4317"/>
      <c r="BG703" s="4317"/>
      <c r="BH703" s="4317"/>
      <c r="BI703" s="4317"/>
      <c r="BJ703" s="4317"/>
      <c r="BK703" s="4317"/>
      <c r="BL703" s="4317"/>
      <c r="BM703" s="4317"/>
      <c r="BN703" s="4317"/>
      <c r="BO703" s="4317"/>
      <c r="BP703" s="4317"/>
      <c r="BQ703" s="4317"/>
      <c r="BR703" s="4317"/>
      <c r="BS703" s="4317"/>
      <c r="BT703" s="4317"/>
      <c r="BU703" s="4317"/>
      <c r="BV703" s="4317"/>
      <c r="BW703" s="4317"/>
      <c r="BX703" s="4317"/>
      <c r="BY703" s="4317"/>
      <c r="BZ703" s="4317"/>
      <c r="CA703" s="4317"/>
      <c r="CB703" s="4317"/>
      <c r="CC703" s="4317"/>
      <c r="CD703" s="4317"/>
      <c r="CE703" s="4317"/>
      <c r="CF703" s="4317"/>
      <c r="CG703" s="4317"/>
      <c r="CH703" s="4317"/>
      <c r="CI703" s="4317"/>
      <c r="CJ703" s="4317"/>
      <c r="CK703" s="4317"/>
      <c r="CL703" s="4317"/>
      <c r="CM703" s="4317"/>
      <c r="CN703" s="4317"/>
      <c r="CO703" s="4317"/>
      <c r="CP703" s="4317"/>
      <c r="CQ703" s="4317"/>
      <c r="CR703" s="4317"/>
      <c r="CS703" s="4317"/>
      <c r="CT703" s="4317"/>
      <c r="CU703" s="4317"/>
      <c r="CV703" s="4317"/>
      <c r="CW703" s="4317"/>
      <c r="CX703" s="4317"/>
      <c r="CY703" s="4317"/>
      <c r="CZ703" s="4317"/>
      <c r="DA703" s="4317"/>
      <c r="DB703" s="4317"/>
      <c r="DC703" s="4317"/>
      <c r="DD703" s="4317"/>
      <c r="DE703" s="4317"/>
      <c r="DF703" s="4317"/>
      <c r="DG703" s="4317"/>
      <c r="DH703" s="4317"/>
      <c r="DI703" s="4317"/>
      <c r="DJ703" s="4317"/>
      <c r="DK703" s="4317"/>
      <c r="DL703" s="4317"/>
      <c r="DM703" s="4317"/>
      <c r="DN703" s="4317"/>
      <c r="DO703" s="4317"/>
      <c r="DP703" s="4317"/>
      <c r="DQ703" s="4317"/>
      <c r="DR703" s="4317"/>
      <c r="DS703" s="4317"/>
      <c r="DT703" s="4133"/>
      <c r="DU703" s="4133"/>
      <c r="DV703" s="4133"/>
      <c r="DW703" s="4133"/>
      <c r="DX703" s="4133"/>
      <c r="DY703" s="4133"/>
    </row>
    <row r="704" s="4134" customFormat="1" ht="16.5" customHeight="1" spans="1:129">
      <c r="A704" s="4657" t="s">
        <v>5398</v>
      </c>
      <c r="B704" s="4567"/>
      <c r="C704" s="4567"/>
      <c r="D704" s="4567"/>
      <c r="E704" s="4567"/>
      <c r="F704" s="4664">
        <f>SUM(F700:L703)</f>
        <v>427682</v>
      </c>
      <c r="G704" s="4664"/>
      <c r="H704" s="4664"/>
      <c r="I704" s="4664"/>
      <c r="J704" s="4664"/>
      <c r="K704" s="4664"/>
      <c r="L704" s="4664"/>
      <c r="M704" s="4664">
        <f>SUM(M700:S703)</f>
        <v>0</v>
      </c>
      <c r="N704" s="4664"/>
      <c r="O704" s="4664"/>
      <c r="P704" s="4664"/>
      <c r="Q704" s="4664"/>
      <c r="R704" s="4664"/>
      <c r="S704" s="4664"/>
      <c r="T704" s="4317"/>
      <c r="U704" s="4653"/>
      <c r="V704" s="4319" t="s">
        <v>3935</v>
      </c>
      <c r="W704" s="4317"/>
      <c r="X704" s="4317"/>
      <c r="Y704" s="4653"/>
      <c r="Z704" s="4653"/>
      <c r="AA704" s="4653"/>
      <c r="AB704" s="4317"/>
      <c r="AC704" s="4295"/>
      <c r="AD704" s="4653"/>
      <c r="AE704" s="4653"/>
      <c r="AF704" s="4653"/>
      <c r="AG704" s="4317"/>
      <c r="AH704" s="4317"/>
      <c r="AI704" s="4317"/>
      <c r="AJ704" s="4317"/>
      <c r="AK704" s="4317"/>
      <c r="AL704" s="4317"/>
      <c r="AM704" s="4317"/>
      <c r="AN704" s="4317"/>
      <c r="AO704" s="4317"/>
      <c r="AP704" s="4317"/>
      <c r="AQ704" s="4317"/>
      <c r="AR704" s="4317"/>
      <c r="AS704" s="4317"/>
      <c r="AT704" s="4317"/>
      <c r="AU704" s="4317"/>
      <c r="AV704" s="4317"/>
      <c r="AW704" s="4317"/>
      <c r="AX704" s="4317"/>
      <c r="AY704" s="4317"/>
      <c r="AZ704" s="4317"/>
      <c r="BA704" s="4317"/>
      <c r="BB704" s="4317"/>
      <c r="BC704" s="4317"/>
      <c r="BD704" s="4317"/>
      <c r="BE704" s="4317"/>
      <c r="BF704" s="4317"/>
      <c r="BG704" s="4317"/>
      <c r="BH704" s="4317"/>
      <c r="BI704" s="4317"/>
      <c r="BJ704" s="4317"/>
      <c r="BK704" s="4317"/>
      <c r="BL704" s="4317"/>
      <c r="BM704" s="4317"/>
      <c r="BN704" s="4317"/>
      <c r="BO704" s="4317"/>
      <c r="BP704" s="4317"/>
      <c r="BQ704" s="4317"/>
      <c r="BR704" s="4317"/>
      <c r="BS704" s="4317"/>
      <c r="BT704" s="4317"/>
      <c r="BU704" s="4317"/>
      <c r="BV704" s="4317"/>
      <c r="BW704" s="4317"/>
      <c r="BX704" s="4317"/>
      <c r="BY704" s="4317"/>
      <c r="BZ704" s="4317"/>
      <c r="CA704" s="4317"/>
      <c r="CB704" s="4317"/>
      <c r="CC704" s="4317"/>
      <c r="CD704" s="4317"/>
      <c r="CE704" s="4317"/>
      <c r="CF704" s="4317"/>
      <c r="CG704" s="4317"/>
      <c r="CH704" s="4317"/>
      <c r="CI704" s="4317"/>
      <c r="CJ704" s="4317"/>
      <c r="CK704" s="4317"/>
      <c r="CL704" s="4317"/>
      <c r="CM704" s="4317"/>
      <c r="CN704" s="4317"/>
      <c r="CO704" s="4317"/>
      <c r="CP704" s="4317"/>
      <c r="CQ704" s="4317"/>
      <c r="CR704" s="4317"/>
      <c r="CS704" s="4317"/>
      <c r="CT704" s="4317"/>
      <c r="CU704" s="4317"/>
      <c r="CV704" s="4317"/>
      <c r="CW704" s="4317"/>
      <c r="CX704" s="4317"/>
      <c r="CY704" s="4317"/>
      <c r="CZ704" s="4317"/>
      <c r="DA704" s="4317"/>
      <c r="DB704" s="4317"/>
      <c r="DC704" s="4317"/>
      <c r="DD704" s="4317"/>
      <c r="DE704" s="4317"/>
      <c r="DF704" s="4317"/>
      <c r="DG704" s="4317"/>
      <c r="DH704" s="4317"/>
      <c r="DI704" s="4317"/>
      <c r="DJ704" s="4317"/>
      <c r="DK704" s="4317"/>
      <c r="DL704" s="4317"/>
      <c r="DM704" s="4317"/>
      <c r="DN704" s="4317"/>
      <c r="DO704" s="4317"/>
      <c r="DP704" s="4317"/>
      <c r="DQ704" s="4317"/>
      <c r="DR704" s="4317"/>
      <c r="DS704" s="4317"/>
      <c r="DT704" s="4133"/>
      <c r="DU704" s="4133"/>
      <c r="DV704" s="4133"/>
      <c r="DW704" s="4133"/>
      <c r="DX704" s="4133"/>
      <c r="DY704" s="4133"/>
    </row>
    <row r="705" s="4134" customFormat="1" ht="16.5" customHeight="1" spans="1:129">
      <c r="A705" s="4657" t="s">
        <v>5399</v>
      </c>
      <c r="B705" s="4567"/>
      <c r="C705" s="4567"/>
      <c r="D705" s="4567"/>
      <c r="E705" s="4567"/>
      <c r="F705" s="4534"/>
      <c r="G705" s="4535"/>
      <c r="H705" s="4535"/>
      <c r="I705" s="4535"/>
      <c r="J705" s="4535"/>
      <c r="K705" s="4535"/>
      <c r="L705" s="4536"/>
      <c r="M705" s="4534"/>
      <c r="N705" s="4535"/>
      <c r="O705" s="4535"/>
      <c r="P705" s="4535"/>
      <c r="Q705" s="4535"/>
      <c r="R705" s="4535"/>
      <c r="S705" s="4536"/>
      <c r="T705" s="4317"/>
      <c r="U705" s="4653"/>
      <c r="V705" s="4319" t="s">
        <v>3143</v>
      </c>
      <c r="W705" s="4317"/>
      <c r="X705" s="4317"/>
      <c r="Y705" s="4653"/>
      <c r="Z705" s="4653"/>
      <c r="AA705" s="4653"/>
      <c r="AB705" s="4317"/>
      <c r="AC705" s="4295"/>
      <c r="AD705" s="4653"/>
      <c r="AE705" s="4653"/>
      <c r="AF705" s="4653"/>
      <c r="AG705" s="4317"/>
      <c r="AH705" s="4317"/>
      <c r="AI705" s="4317"/>
      <c r="AJ705" s="4317"/>
      <c r="AK705" s="4317"/>
      <c r="AL705" s="4317"/>
      <c r="AM705" s="4317"/>
      <c r="AN705" s="4317"/>
      <c r="AO705" s="4317"/>
      <c r="AP705" s="4317"/>
      <c r="AQ705" s="4317"/>
      <c r="AR705" s="4317"/>
      <c r="AS705" s="4317"/>
      <c r="AT705" s="4317"/>
      <c r="AU705" s="4317"/>
      <c r="AV705" s="4317"/>
      <c r="AW705" s="4317"/>
      <c r="AX705" s="4317"/>
      <c r="AY705" s="4317"/>
      <c r="AZ705" s="4317"/>
      <c r="BA705" s="4317"/>
      <c r="BB705" s="4317"/>
      <c r="BC705" s="4317"/>
      <c r="BD705" s="4317"/>
      <c r="BE705" s="4317"/>
      <c r="BF705" s="4317"/>
      <c r="BG705" s="4317"/>
      <c r="BH705" s="4317"/>
      <c r="BI705" s="4317"/>
      <c r="BJ705" s="4317"/>
      <c r="BK705" s="4317"/>
      <c r="BL705" s="4317"/>
      <c r="BM705" s="4317"/>
      <c r="BN705" s="4317"/>
      <c r="BO705" s="4317"/>
      <c r="BP705" s="4317"/>
      <c r="BQ705" s="4317"/>
      <c r="BR705" s="4317"/>
      <c r="BS705" s="4317"/>
      <c r="BT705" s="4317"/>
      <c r="BU705" s="4317"/>
      <c r="BV705" s="4317"/>
      <c r="BW705" s="4317"/>
      <c r="BX705" s="4317"/>
      <c r="BY705" s="4317"/>
      <c r="BZ705" s="4317"/>
      <c r="CA705" s="4317"/>
      <c r="CB705" s="4317"/>
      <c r="CC705" s="4317"/>
      <c r="CD705" s="4317"/>
      <c r="CE705" s="4317"/>
      <c r="CF705" s="4317"/>
      <c r="CG705" s="4317"/>
      <c r="CH705" s="4317"/>
      <c r="CI705" s="4317"/>
      <c r="CJ705" s="4317"/>
      <c r="CK705" s="4317"/>
      <c r="CL705" s="4317"/>
      <c r="CM705" s="4317"/>
      <c r="CN705" s="4317"/>
      <c r="CO705" s="4317"/>
      <c r="CP705" s="4317"/>
      <c r="CQ705" s="4317"/>
      <c r="CR705" s="4317"/>
      <c r="CS705" s="4317"/>
      <c r="CT705" s="4317"/>
      <c r="CU705" s="4317"/>
      <c r="CV705" s="4317"/>
      <c r="CW705" s="4317"/>
      <c r="CX705" s="4317"/>
      <c r="CY705" s="4317"/>
      <c r="CZ705" s="4317"/>
      <c r="DA705" s="4317"/>
      <c r="DB705" s="4317"/>
      <c r="DC705" s="4317"/>
      <c r="DD705" s="4317"/>
      <c r="DE705" s="4317"/>
      <c r="DF705" s="4317"/>
      <c r="DG705" s="4317"/>
      <c r="DH705" s="4317"/>
      <c r="DI705" s="4317"/>
      <c r="DJ705" s="4317"/>
      <c r="DK705" s="4317"/>
      <c r="DL705" s="4317"/>
      <c r="DM705" s="4317"/>
      <c r="DN705" s="4317"/>
      <c r="DO705" s="4317"/>
      <c r="DP705" s="4317"/>
      <c r="DQ705" s="4317"/>
      <c r="DR705" s="4317"/>
      <c r="DS705" s="4317"/>
      <c r="DT705" s="4133"/>
      <c r="DU705" s="4133"/>
      <c r="DV705" s="4133"/>
      <c r="DW705" s="4133"/>
      <c r="DX705" s="4133"/>
      <c r="DY705" s="4133"/>
    </row>
    <row r="706" s="4134" customFormat="1" ht="16.5" customHeight="1" spans="1:129">
      <c r="A706" s="4657" t="s">
        <v>5400</v>
      </c>
      <c r="B706" s="4567"/>
      <c r="C706" s="4567"/>
      <c r="D706" s="4567"/>
      <c r="E706" s="4567"/>
      <c r="F706" s="4534"/>
      <c r="G706" s="4535"/>
      <c r="H706" s="4535"/>
      <c r="I706" s="4535"/>
      <c r="J706" s="4535"/>
      <c r="K706" s="4535"/>
      <c r="L706" s="4536"/>
      <c r="M706" s="4534"/>
      <c r="N706" s="4535"/>
      <c r="O706" s="4535"/>
      <c r="P706" s="4535"/>
      <c r="Q706" s="4535"/>
      <c r="R706" s="4535"/>
      <c r="S706" s="4536"/>
      <c r="T706" s="4317"/>
      <c r="U706" s="4653"/>
      <c r="V706" s="4319" t="s">
        <v>5401</v>
      </c>
      <c r="W706" s="4317"/>
      <c r="X706" s="4317"/>
      <c r="Y706" s="4653"/>
      <c r="Z706" s="4653"/>
      <c r="AA706" s="4653"/>
      <c r="AB706" s="4317"/>
      <c r="AC706" s="4295"/>
      <c r="AD706" s="4653"/>
      <c r="AE706" s="4653"/>
      <c r="AF706" s="4653"/>
      <c r="AG706" s="4317"/>
      <c r="AH706" s="4317"/>
      <c r="AI706" s="4317"/>
      <c r="AJ706" s="4317"/>
      <c r="AK706" s="4317"/>
      <c r="AL706" s="4317"/>
      <c r="AM706" s="4317"/>
      <c r="AN706" s="4317"/>
      <c r="AO706" s="4317"/>
      <c r="AP706" s="4317"/>
      <c r="AQ706" s="4317"/>
      <c r="AR706" s="4317"/>
      <c r="AS706" s="4317"/>
      <c r="AT706" s="4317"/>
      <c r="AU706" s="4317"/>
      <c r="AV706" s="4317"/>
      <c r="AW706" s="4317"/>
      <c r="AX706" s="4317"/>
      <c r="AY706" s="4317"/>
      <c r="AZ706" s="4317"/>
      <c r="BA706" s="4317"/>
      <c r="BB706" s="4317"/>
      <c r="BC706" s="4317"/>
      <c r="BD706" s="4317"/>
      <c r="BE706" s="4317"/>
      <c r="BF706" s="4317"/>
      <c r="BG706" s="4317"/>
      <c r="BH706" s="4317"/>
      <c r="BI706" s="4317"/>
      <c r="BJ706" s="4317"/>
      <c r="BK706" s="4317"/>
      <c r="BL706" s="4317"/>
      <c r="BM706" s="4317"/>
      <c r="BN706" s="4317"/>
      <c r="BO706" s="4317"/>
      <c r="BP706" s="4317"/>
      <c r="BQ706" s="4317"/>
      <c r="BR706" s="4317"/>
      <c r="BS706" s="4317"/>
      <c r="BT706" s="4317"/>
      <c r="BU706" s="4317"/>
      <c r="BV706" s="4317"/>
      <c r="BW706" s="4317"/>
      <c r="BX706" s="4317"/>
      <c r="BY706" s="4317"/>
      <c r="BZ706" s="4317"/>
      <c r="CA706" s="4317"/>
      <c r="CB706" s="4317"/>
      <c r="CC706" s="4317"/>
      <c r="CD706" s="4317"/>
      <c r="CE706" s="4317"/>
      <c r="CF706" s="4317"/>
      <c r="CG706" s="4317"/>
      <c r="CH706" s="4317"/>
      <c r="CI706" s="4317"/>
      <c r="CJ706" s="4317"/>
      <c r="CK706" s="4317"/>
      <c r="CL706" s="4317"/>
      <c r="CM706" s="4317"/>
      <c r="CN706" s="4317"/>
      <c r="CO706" s="4317"/>
      <c r="CP706" s="4317"/>
      <c r="CQ706" s="4317"/>
      <c r="CR706" s="4317"/>
      <c r="CS706" s="4317"/>
      <c r="CT706" s="4317"/>
      <c r="CU706" s="4317"/>
      <c r="CV706" s="4317"/>
      <c r="CW706" s="4317"/>
      <c r="CX706" s="4317"/>
      <c r="CY706" s="4317"/>
      <c r="CZ706" s="4317"/>
      <c r="DA706" s="4317"/>
      <c r="DB706" s="4317"/>
      <c r="DC706" s="4317"/>
      <c r="DD706" s="4317"/>
      <c r="DE706" s="4317"/>
      <c r="DF706" s="4317"/>
      <c r="DG706" s="4317"/>
      <c r="DH706" s="4317"/>
      <c r="DI706" s="4317"/>
      <c r="DJ706" s="4317"/>
      <c r="DK706" s="4317"/>
      <c r="DL706" s="4317"/>
      <c r="DM706" s="4317"/>
      <c r="DN706" s="4317"/>
      <c r="DO706" s="4317"/>
      <c r="DP706" s="4317"/>
      <c r="DQ706" s="4317"/>
      <c r="DR706" s="4317"/>
      <c r="DS706" s="4317"/>
      <c r="DT706" s="4133"/>
      <c r="DU706" s="4133"/>
      <c r="DV706" s="4133"/>
      <c r="DW706" s="4133"/>
      <c r="DX706" s="4133"/>
      <c r="DY706" s="4133"/>
    </row>
    <row r="707" s="4134" customFormat="1" ht="16.5" customHeight="1" spans="1:129">
      <c r="A707" s="4659" t="s">
        <v>601</v>
      </c>
      <c r="B707" s="4660"/>
      <c r="C707" s="4660"/>
      <c r="D707" s="4660"/>
      <c r="E707" s="4660"/>
      <c r="F707" s="4661">
        <f>F706+F705+F704</f>
        <v>427682</v>
      </c>
      <c r="G707" s="4661"/>
      <c r="H707" s="4661"/>
      <c r="I707" s="4661"/>
      <c r="J707" s="4661"/>
      <c r="K707" s="4661"/>
      <c r="L707" s="4661"/>
      <c r="M707" s="4661">
        <f>M706+M705+M704</f>
        <v>0</v>
      </c>
      <c r="N707" s="4661"/>
      <c r="O707" s="4661"/>
      <c r="P707" s="4661"/>
      <c r="Q707" s="4661"/>
      <c r="R707" s="4661"/>
      <c r="S707" s="4661"/>
      <c r="T707" s="4317"/>
      <c r="U707" s="4653"/>
      <c r="V707" s="4323" t="s">
        <v>5402</v>
      </c>
      <c r="W707" s="4317"/>
      <c r="X707" s="4317"/>
      <c r="Y707" s="4653"/>
      <c r="Z707" s="4653"/>
      <c r="AA707" s="4653"/>
      <c r="AB707" s="4317"/>
      <c r="AC707" s="4295"/>
      <c r="AD707" s="4653"/>
      <c r="AE707" s="4653"/>
      <c r="AF707" s="4653"/>
      <c r="AG707" s="4317"/>
      <c r="AH707" s="4317"/>
      <c r="AI707" s="4317"/>
      <c r="AJ707" s="4317"/>
      <c r="AK707" s="4317"/>
      <c r="AL707" s="4317"/>
      <c r="AM707" s="4317"/>
      <c r="AN707" s="4317"/>
      <c r="AO707" s="4317"/>
      <c r="AP707" s="4317"/>
      <c r="AQ707" s="4317"/>
      <c r="AR707" s="4317"/>
      <c r="AS707" s="4317"/>
      <c r="AT707" s="4317"/>
      <c r="AU707" s="4317"/>
      <c r="AV707" s="4317"/>
      <c r="AW707" s="4317"/>
      <c r="AX707" s="4317"/>
      <c r="AY707" s="4317"/>
      <c r="AZ707" s="4317"/>
      <c r="BA707" s="4317"/>
      <c r="BB707" s="4317"/>
      <c r="BC707" s="4317"/>
      <c r="BD707" s="4317"/>
      <c r="BE707" s="4317"/>
      <c r="BF707" s="4317"/>
      <c r="BG707" s="4317"/>
      <c r="BH707" s="4317"/>
      <c r="BI707" s="4317"/>
      <c r="BJ707" s="4317"/>
      <c r="BK707" s="4317"/>
      <c r="BL707" s="4317"/>
      <c r="BM707" s="4317"/>
      <c r="BN707" s="4317"/>
      <c r="BO707" s="4317"/>
      <c r="BP707" s="4317"/>
      <c r="BQ707" s="4317"/>
      <c r="BR707" s="4317"/>
      <c r="BS707" s="4317"/>
      <c r="BT707" s="4317"/>
      <c r="BU707" s="4317"/>
      <c r="BV707" s="4317"/>
      <c r="BW707" s="4317"/>
      <c r="BX707" s="4317"/>
      <c r="BY707" s="4317"/>
      <c r="BZ707" s="4317"/>
      <c r="CA707" s="4317"/>
      <c r="CB707" s="4317"/>
      <c r="CC707" s="4317"/>
      <c r="CD707" s="4317"/>
      <c r="CE707" s="4317"/>
      <c r="CF707" s="4317"/>
      <c r="CG707" s="4317"/>
      <c r="CH707" s="4317"/>
      <c r="CI707" s="4317"/>
      <c r="CJ707" s="4317"/>
      <c r="CK707" s="4317"/>
      <c r="CL707" s="4317"/>
      <c r="CM707" s="4317"/>
      <c r="CN707" s="4317"/>
      <c r="CO707" s="4317"/>
      <c r="CP707" s="4317"/>
      <c r="CQ707" s="4317"/>
      <c r="CR707" s="4317"/>
      <c r="CS707" s="4317"/>
      <c r="CT707" s="4317"/>
      <c r="CU707" s="4317"/>
      <c r="CV707" s="4317"/>
      <c r="CW707" s="4317"/>
      <c r="CX707" s="4317"/>
      <c r="CY707" s="4317"/>
      <c r="CZ707" s="4317"/>
      <c r="DA707" s="4317"/>
      <c r="DB707" s="4317"/>
      <c r="DC707" s="4317"/>
      <c r="DD707" s="4317"/>
      <c r="DE707" s="4317"/>
      <c r="DF707" s="4317"/>
      <c r="DG707" s="4317"/>
      <c r="DH707" s="4317"/>
      <c r="DI707" s="4317"/>
      <c r="DJ707" s="4317"/>
      <c r="DK707" s="4317"/>
      <c r="DL707" s="4317"/>
      <c r="DM707" s="4317"/>
      <c r="DN707" s="4317"/>
      <c r="DO707" s="4317"/>
      <c r="DP707" s="4317"/>
      <c r="DQ707" s="4317"/>
      <c r="DR707" s="4317"/>
      <c r="DS707" s="4317"/>
      <c r="DT707" s="4133"/>
      <c r="DU707" s="4133"/>
      <c r="DV707" s="4133"/>
      <c r="DW707" s="4133"/>
      <c r="DX707" s="4133"/>
      <c r="DY707" s="4133"/>
    </row>
    <row r="708" s="4134" customFormat="1" ht="16.5" customHeight="1" spans="1:129">
      <c r="A708" s="4657" t="s">
        <v>5403</v>
      </c>
      <c r="B708" s="4567"/>
      <c r="C708" s="4567"/>
      <c r="D708" s="4567"/>
      <c r="E708" s="4567"/>
      <c r="F708" s="4534"/>
      <c r="G708" s="4535"/>
      <c r="H708" s="4535"/>
      <c r="I708" s="4535"/>
      <c r="J708" s="4535"/>
      <c r="K708" s="4535"/>
      <c r="L708" s="4536"/>
      <c r="M708" s="4534"/>
      <c r="N708" s="4535"/>
      <c r="O708" s="4535"/>
      <c r="P708" s="4535"/>
      <c r="Q708" s="4535"/>
      <c r="R708" s="4535"/>
      <c r="S708" s="4536"/>
      <c r="T708" s="4317"/>
      <c r="U708" s="4653"/>
      <c r="V708" s="4319" t="s">
        <v>5404</v>
      </c>
      <c r="W708" s="4317"/>
      <c r="X708" s="4317"/>
      <c r="Y708" s="4653"/>
      <c r="Z708" s="4653"/>
      <c r="AA708" s="4653"/>
      <c r="AB708" s="4317"/>
      <c r="AC708" s="4295"/>
      <c r="AD708" s="4653"/>
      <c r="AE708" s="4653"/>
      <c r="AF708" s="4653"/>
      <c r="AG708" s="4317"/>
      <c r="AH708" s="4317"/>
      <c r="AI708" s="4317"/>
      <c r="AJ708" s="4317"/>
      <c r="AK708" s="4317"/>
      <c r="AL708" s="4317"/>
      <c r="AM708" s="4317"/>
      <c r="AN708" s="4317"/>
      <c r="AO708" s="4317"/>
      <c r="AP708" s="4317"/>
      <c r="AQ708" s="4317"/>
      <c r="AR708" s="4317"/>
      <c r="AS708" s="4317"/>
      <c r="AT708" s="4317"/>
      <c r="AU708" s="4317"/>
      <c r="AV708" s="4317"/>
      <c r="AW708" s="4317"/>
      <c r="AX708" s="4317"/>
      <c r="AY708" s="4317"/>
      <c r="AZ708" s="4317"/>
      <c r="BA708" s="4317"/>
      <c r="BB708" s="4317"/>
      <c r="BC708" s="4317"/>
      <c r="BD708" s="4317"/>
      <c r="BE708" s="4317"/>
      <c r="BF708" s="4317"/>
      <c r="BG708" s="4317"/>
      <c r="BH708" s="4317"/>
      <c r="BI708" s="4317"/>
      <c r="BJ708" s="4317"/>
      <c r="BK708" s="4317"/>
      <c r="BL708" s="4317"/>
      <c r="BM708" s="4317"/>
      <c r="BN708" s="4317"/>
      <c r="BO708" s="4317"/>
      <c r="BP708" s="4317"/>
      <c r="BQ708" s="4317"/>
      <c r="BR708" s="4317"/>
      <c r="BS708" s="4317"/>
      <c r="BT708" s="4317"/>
      <c r="BU708" s="4317"/>
      <c r="BV708" s="4317"/>
      <c r="BW708" s="4317"/>
      <c r="BX708" s="4317"/>
      <c r="BY708" s="4317"/>
      <c r="BZ708" s="4317"/>
      <c r="CA708" s="4317"/>
      <c r="CB708" s="4317"/>
      <c r="CC708" s="4317"/>
      <c r="CD708" s="4317"/>
      <c r="CE708" s="4317"/>
      <c r="CF708" s="4317"/>
      <c r="CG708" s="4317"/>
      <c r="CH708" s="4317"/>
      <c r="CI708" s="4317"/>
      <c r="CJ708" s="4317"/>
      <c r="CK708" s="4317"/>
      <c r="CL708" s="4317"/>
      <c r="CM708" s="4317"/>
      <c r="CN708" s="4317"/>
      <c r="CO708" s="4317"/>
      <c r="CP708" s="4317"/>
      <c r="CQ708" s="4317"/>
      <c r="CR708" s="4317"/>
      <c r="CS708" s="4317"/>
      <c r="CT708" s="4317"/>
      <c r="CU708" s="4317"/>
      <c r="CV708" s="4317"/>
      <c r="CW708" s="4317"/>
      <c r="CX708" s="4317"/>
      <c r="CY708" s="4317"/>
      <c r="CZ708" s="4317"/>
      <c r="DA708" s="4317"/>
      <c r="DB708" s="4317"/>
      <c r="DC708" s="4317"/>
      <c r="DD708" s="4317"/>
      <c r="DE708" s="4317"/>
      <c r="DF708" s="4317"/>
      <c r="DG708" s="4317"/>
      <c r="DH708" s="4317"/>
      <c r="DI708" s="4317"/>
      <c r="DJ708" s="4317"/>
      <c r="DK708" s="4317"/>
      <c r="DL708" s="4317"/>
      <c r="DM708" s="4317"/>
      <c r="DN708" s="4317"/>
      <c r="DO708" s="4317"/>
      <c r="DP708" s="4317"/>
      <c r="DQ708" s="4317"/>
      <c r="DR708" s="4317"/>
      <c r="DS708" s="4317"/>
      <c r="DT708" s="4133"/>
      <c r="DU708" s="4133"/>
      <c r="DV708" s="4133"/>
      <c r="DW708" s="4133"/>
      <c r="DX708" s="4133"/>
      <c r="DY708" s="4133"/>
    </row>
    <row r="709" s="4134" customFormat="1" ht="16.5" customHeight="1" spans="1:129">
      <c r="A709" s="4657" t="s">
        <v>5405</v>
      </c>
      <c r="B709" s="4567"/>
      <c r="C709" s="4567"/>
      <c r="D709" s="4567"/>
      <c r="E709" s="4567"/>
      <c r="F709" s="4534"/>
      <c r="G709" s="4535"/>
      <c r="H709" s="4535"/>
      <c r="I709" s="4535"/>
      <c r="J709" s="4535"/>
      <c r="K709" s="4535"/>
      <c r="L709" s="4536"/>
      <c r="M709" s="4534"/>
      <c r="N709" s="4535"/>
      <c r="O709" s="4535"/>
      <c r="P709" s="4535"/>
      <c r="Q709" s="4535"/>
      <c r="R709" s="4535"/>
      <c r="S709" s="4536"/>
      <c r="T709" s="4317"/>
      <c r="U709" s="4653"/>
      <c r="V709" s="4319" t="s">
        <v>5406</v>
      </c>
      <c r="W709" s="4317"/>
      <c r="X709" s="4317"/>
      <c r="Y709" s="4653"/>
      <c r="Z709" s="4653"/>
      <c r="AA709" s="4653"/>
      <c r="AB709" s="4317"/>
      <c r="AC709" s="4295"/>
      <c r="AD709" s="4653"/>
      <c r="AE709" s="4653"/>
      <c r="AF709" s="4653"/>
      <c r="AG709" s="4317"/>
      <c r="AH709" s="4317"/>
      <c r="AI709" s="4317"/>
      <c r="AJ709" s="4317"/>
      <c r="AK709" s="4317"/>
      <c r="AL709" s="4317"/>
      <c r="AM709" s="4317"/>
      <c r="AN709" s="4317"/>
      <c r="AO709" s="4317"/>
      <c r="AP709" s="4317"/>
      <c r="AQ709" s="4317"/>
      <c r="AR709" s="4317"/>
      <c r="AS709" s="4317"/>
      <c r="AT709" s="4317"/>
      <c r="AU709" s="4317"/>
      <c r="AV709" s="4317"/>
      <c r="AW709" s="4317"/>
      <c r="AX709" s="4317"/>
      <c r="AY709" s="4317"/>
      <c r="AZ709" s="4317"/>
      <c r="BA709" s="4317"/>
      <c r="BB709" s="4317"/>
      <c r="BC709" s="4317"/>
      <c r="BD709" s="4317"/>
      <c r="BE709" s="4317"/>
      <c r="BF709" s="4317"/>
      <c r="BG709" s="4317"/>
      <c r="BH709" s="4317"/>
      <c r="BI709" s="4317"/>
      <c r="BJ709" s="4317"/>
      <c r="BK709" s="4317"/>
      <c r="BL709" s="4317"/>
      <c r="BM709" s="4317"/>
      <c r="BN709" s="4317"/>
      <c r="BO709" s="4317"/>
      <c r="BP709" s="4317"/>
      <c r="BQ709" s="4317"/>
      <c r="BR709" s="4317"/>
      <c r="BS709" s="4317"/>
      <c r="BT709" s="4317"/>
      <c r="BU709" s="4317"/>
      <c r="BV709" s="4317"/>
      <c r="BW709" s="4317"/>
      <c r="BX709" s="4317"/>
      <c r="BY709" s="4317"/>
      <c r="BZ709" s="4317"/>
      <c r="CA709" s="4317"/>
      <c r="CB709" s="4317"/>
      <c r="CC709" s="4317"/>
      <c r="CD709" s="4317"/>
      <c r="CE709" s="4317"/>
      <c r="CF709" s="4317"/>
      <c r="CG709" s="4317"/>
      <c r="CH709" s="4317"/>
      <c r="CI709" s="4317"/>
      <c r="CJ709" s="4317"/>
      <c r="CK709" s="4317"/>
      <c r="CL709" s="4317"/>
      <c r="CM709" s="4317"/>
      <c r="CN709" s="4317"/>
      <c r="CO709" s="4317"/>
      <c r="CP709" s="4317"/>
      <c r="CQ709" s="4317"/>
      <c r="CR709" s="4317"/>
      <c r="CS709" s="4317"/>
      <c r="CT709" s="4317"/>
      <c r="CU709" s="4317"/>
      <c r="CV709" s="4317"/>
      <c r="CW709" s="4317"/>
      <c r="CX709" s="4317"/>
      <c r="CY709" s="4317"/>
      <c r="CZ709" s="4317"/>
      <c r="DA709" s="4317"/>
      <c r="DB709" s="4317"/>
      <c r="DC709" s="4317"/>
      <c r="DD709" s="4317"/>
      <c r="DE709" s="4317"/>
      <c r="DF709" s="4317"/>
      <c r="DG709" s="4317"/>
      <c r="DH709" s="4317"/>
      <c r="DI709" s="4317"/>
      <c r="DJ709" s="4317"/>
      <c r="DK709" s="4317"/>
      <c r="DL709" s="4317"/>
      <c r="DM709" s="4317"/>
      <c r="DN709" s="4317"/>
      <c r="DO709" s="4317"/>
      <c r="DP709" s="4317"/>
      <c r="DQ709" s="4317"/>
      <c r="DR709" s="4317"/>
      <c r="DS709" s="4317"/>
      <c r="DT709" s="4133"/>
      <c r="DU709" s="4133"/>
      <c r="DV709" s="4133"/>
      <c r="DW709" s="4133"/>
      <c r="DX709" s="4133"/>
      <c r="DY709" s="4133"/>
    </row>
    <row r="710" s="4134" customFormat="1" ht="16.5" customHeight="1" spans="1:129">
      <c r="A710" s="4657" t="s">
        <v>5407</v>
      </c>
      <c r="B710" s="4567"/>
      <c r="C710" s="4567"/>
      <c r="D710" s="4567"/>
      <c r="E710" s="4567"/>
      <c r="F710" s="4534"/>
      <c r="G710" s="4535"/>
      <c r="H710" s="4535"/>
      <c r="I710" s="4535"/>
      <c r="J710" s="4535"/>
      <c r="K710" s="4535"/>
      <c r="L710" s="4536"/>
      <c r="M710" s="4534"/>
      <c r="N710" s="4535"/>
      <c r="O710" s="4535"/>
      <c r="P710" s="4535"/>
      <c r="Q710" s="4535"/>
      <c r="R710" s="4535"/>
      <c r="S710" s="4536"/>
      <c r="T710" s="4317"/>
      <c r="U710" s="4653"/>
      <c r="V710" s="4319" t="s">
        <v>5408</v>
      </c>
      <c r="W710" s="4317"/>
      <c r="X710" s="4317"/>
      <c r="Y710" s="4653"/>
      <c r="Z710" s="4653"/>
      <c r="AA710" s="4653"/>
      <c r="AB710" s="4317"/>
      <c r="AC710" s="4295"/>
      <c r="AD710" s="4653"/>
      <c r="AE710" s="4653"/>
      <c r="AF710" s="4653"/>
      <c r="AG710" s="4317"/>
      <c r="AH710" s="4317"/>
      <c r="AI710" s="4317"/>
      <c r="AJ710" s="4317"/>
      <c r="AK710" s="4317"/>
      <c r="AL710" s="4317"/>
      <c r="AM710" s="4317"/>
      <c r="AN710" s="4317"/>
      <c r="AO710" s="4317"/>
      <c r="AP710" s="4317"/>
      <c r="AQ710" s="4317"/>
      <c r="AR710" s="4317"/>
      <c r="AS710" s="4317"/>
      <c r="AT710" s="4317"/>
      <c r="AU710" s="4317"/>
      <c r="AV710" s="4317"/>
      <c r="AW710" s="4317"/>
      <c r="AX710" s="4317"/>
      <c r="AY710" s="4317"/>
      <c r="AZ710" s="4317"/>
      <c r="BA710" s="4317"/>
      <c r="BB710" s="4317"/>
      <c r="BC710" s="4317"/>
      <c r="BD710" s="4317"/>
      <c r="BE710" s="4317"/>
      <c r="BF710" s="4317"/>
      <c r="BG710" s="4317"/>
      <c r="BH710" s="4317"/>
      <c r="BI710" s="4317"/>
      <c r="BJ710" s="4317"/>
      <c r="BK710" s="4317"/>
      <c r="BL710" s="4317"/>
      <c r="BM710" s="4317"/>
      <c r="BN710" s="4317"/>
      <c r="BO710" s="4317"/>
      <c r="BP710" s="4317"/>
      <c r="BQ710" s="4317"/>
      <c r="BR710" s="4317"/>
      <c r="BS710" s="4317"/>
      <c r="BT710" s="4317"/>
      <c r="BU710" s="4317"/>
      <c r="BV710" s="4317"/>
      <c r="BW710" s="4317"/>
      <c r="BX710" s="4317"/>
      <c r="BY710" s="4317"/>
      <c r="BZ710" s="4317"/>
      <c r="CA710" s="4317"/>
      <c r="CB710" s="4317"/>
      <c r="CC710" s="4317"/>
      <c r="CD710" s="4317"/>
      <c r="CE710" s="4317"/>
      <c r="CF710" s="4317"/>
      <c r="CG710" s="4317"/>
      <c r="CH710" s="4317"/>
      <c r="CI710" s="4317"/>
      <c r="CJ710" s="4317"/>
      <c r="CK710" s="4317"/>
      <c r="CL710" s="4317"/>
      <c r="CM710" s="4317"/>
      <c r="CN710" s="4317"/>
      <c r="CO710" s="4317"/>
      <c r="CP710" s="4317"/>
      <c r="CQ710" s="4317"/>
      <c r="CR710" s="4317"/>
      <c r="CS710" s="4317"/>
      <c r="CT710" s="4317"/>
      <c r="CU710" s="4317"/>
      <c r="CV710" s="4317"/>
      <c r="CW710" s="4317"/>
      <c r="CX710" s="4317"/>
      <c r="CY710" s="4317"/>
      <c r="CZ710" s="4317"/>
      <c r="DA710" s="4317"/>
      <c r="DB710" s="4317"/>
      <c r="DC710" s="4317"/>
      <c r="DD710" s="4317"/>
      <c r="DE710" s="4317"/>
      <c r="DF710" s="4317"/>
      <c r="DG710" s="4317"/>
      <c r="DH710" s="4317"/>
      <c r="DI710" s="4317"/>
      <c r="DJ710" s="4317"/>
      <c r="DK710" s="4317"/>
      <c r="DL710" s="4317"/>
      <c r="DM710" s="4317"/>
      <c r="DN710" s="4317"/>
      <c r="DO710" s="4317"/>
      <c r="DP710" s="4317"/>
      <c r="DQ710" s="4317"/>
      <c r="DR710" s="4317"/>
      <c r="DS710" s="4317"/>
      <c r="DT710" s="4133"/>
      <c r="DU710" s="4133"/>
      <c r="DV710" s="4133"/>
      <c r="DW710" s="4133"/>
      <c r="DX710" s="4133"/>
      <c r="DY710" s="4133"/>
    </row>
    <row r="711" s="4134" customFormat="1" ht="16.5" customHeight="1" spans="1:129">
      <c r="A711" s="4657" t="s">
        <v>5409</v>
      </c>
      <c r="B711" s="4567"/>
      <c r="C711" s="4567"/>
      <c r="D711" s="4567"/>
      <c r="E711" s="4567"/>
      <c r="F711" s="4534"/>
      <c r="G711" s="4535"/>
      <c r="H711" s="4535"/>
      <c r="I711" s="4535"/>
      <c r="J711" s="4535"/>
      <c r="K711" s="4535"/>
      <c r="L711" s="4536"/>
      <c r="M711" s="4534"/>
      <c r="N711" s="4535"/>
      <c r="O711" s="4535"/>
      <c r="P711" s="4535"/>
      <c r="Q711" s="4535"/>
      <c r="R711" s="4535"/>
      <c r="S711" s="4536"/>
      <c r="T711" s="4317"/>
      <c r="U711" s="4653"/>
      <c r="V711" s="4319" t="s">
        <v>5410</v>
      </c>
      <c r="W711" s="4317"/>
      <c r="X711" s="4317"/>
      <c r="Y711" s="4653"/>
      <c r="Z711" s="4653"/>
      <c r="AA711" s="4653"/>
      <c r="AB711" s="4317"/>
      <c r="AC711" s="4295"/>
      <c r="AD711" s="4653"/>
      <c r="AE711" s="4653"/>
      <c r="AF711" s="4653"/>
      <c r="AG711" s="4317"/>
      <c r="AH711" s="4317"/>
      <c r="AI711" s="4317"/>
      <c r="AJ711" s="4317"/>
      <c r="AK711" s="4317"/>
      <c r="AL711" s="4317"/>
      <c r="AM711" s="4317"/>
      <c r="AN711" s="4317"/>
      <c r="AO711" s="4317"/>
      <c r="AP711" s="4317"/>
      <c r="AQ711" s="4317"/>
      <c r="AR711" s="4317"/>
      <c r="AS711" s="4317"/>
      <c r="AT711" s="4317"/>
      <c r="AU711" s="4317"/>
      <c r="AV711" s="4317"/>
      <c r="AW711" s="4317"/>
      <c r="AX711" s="4317"/>
      <c r="AY711" s="4317"/>
      <c r="AZ711" s="4317"/>
      <c r="BA711" s="4317"/>
      <c r="BB711" s="4317"/>
      <c r="BC711" s="4317"/>
      <c r="BD711" s="4317"/>
      <c r="BE711" s="4317"/>
      <c r="BF711" s="4317"/>
      <c r="BG711" s="4317"/>
      <c r="BH711" s="4317"/>
      <c r="BI711" s="4317"/>
      <c r="BJ711" s="4317"/>
      <c r="BK711" s="4317"/>
      <c r="BL711" s="4317"/>
      <c r="BM711" s="4317"/>
      <c r="BN711" s="4317"/>
      <c r="BO711" s="4317"/>
      <c r="BP711" s="4317"/>
      <c r="BQ711" s="4317"/>
      <c r="BR711" s="4317"/>
      <c r="BS711" s="4317"/>
      <c r="BT711" s="4317"/>
      <c r="BU711" s="4317"/>
      <c r="BV711" s="4317"/>
      <c r="BW711" s="4317"/>
      <c r="BX711" s="4317"/>
      <c r="BY711" s="4317"/>
      <c r="BZ711" s="4317"/>
      <c r="CA711" s="4317"/>
      <c r="CB711" s="4317"/>
      <c r="CC711" s="4317"/>
      <c r="CD711" s="4317"/>
      <c r="CE711" s="4317"/>
      <c r="CF711" s="4317"/>
      <c r="CG711" s="4317"/>
      <c r="CH711" s="4317"/>
      <c r="CI711" s="4317"/>
      <c r="CJ711" s="4317"/>
      <c r="CK711" s="4317"/>
      <c r="CL711" s="4317"/>
      <c r="CM711" s="4317"/>
      <c r="CN711" s="4317"/>
      <c r="CO711" s="4317"/>
      <c r="CP711" s="4317"/>
      <c r="CQ711" s="4317"/>
      <c r="CR711" s="4317"/>
      <c r="CS711" s="4317"/>
      <c r="CT711" s="4317"/>
      <c r="CU711" s="4317"/>
      <c r="CV711" s="4317"/>
      <c r="CW711" s="4317"/>
      <c r="CX711" s="4317"/>
      <c r="CY711" s="4317"/>
      <c r="CZ711" s="4317"/>
      <c r="DA711" s="4317"/>
      <c r="DB711" s="4317"/>
      <c r="DC711" s="4317"/>
      <c r="DD711" s="4317"/>
      <c r="DE711" s="4317"/>
      <c r="DF711" s="4317"/>
      <c r="DG711" s="4317"/>
      <c r="DH711" s="4317"/>
      <c r="DI711" s="4317"/>
      <c r="DJ711" s="4317"/>
      <c r="DK711" s="4317"/>
      <c r="DL711" s="4317"/>
      <c r="DM711" s="4317"/>
      <c r="DN711" s="4317"/>
      <c r="DO711" s="4317"/>
      <c r="DP711" s="4317"/>
      <c r="DQ711" s="4317"/>
      <c r="DR711" s="4317"/>
      <c r="DS711" s="4317"/>
      <c r="DT711" s="4133"/>
      <c r="DU711" s="4133"/>
      <c r="DV711" s="4133"/>
      <c r="DW711" s="4133"/>
      <c r="DX711" s="4133"/>
      <c r="DY711" s="4133"/>
    </row>
    <row r="712" s="4134" customFormat="1" ht="16.5" customHeight="1" spans="1:129">
      <c r="A712" s="4657" t="s">
        <v>5411</v>
      </c>
      <c r="B712" s="4567"/>
      <c r="C712" s="4567"/>
      <c r="D712" s="4567"/>
      <c r="E712" s="4567"/>
      <c r="F712" s="4534"/>
      <c r="G712" s="4535"/>
      <c r="H712" s="4535"/>
      <c r="I712" s="4535"/>
      <c r="J712" s="4535"/>
      <c r="K712" s="4535"/>
      <c r="L712" s="4536"/>
      <c r="M712" s="4534"/>
      <c r="N712" s="4535"/>
      <c r="O712" s="4535"/>
      <c r="P712" s="4535"/>
      <c r="Q712" s="4535"/>
      <c r="R712" s="4535"/>
      <c r="S712" s="4536"/>
      <c r="T712" s="4317"/>
      <c r="U712" s="4653"/>
      <c r="V712" s="4319" t="s">
        <v>5412</v>
      </c>
      <c r="W712" s="4317"/>
      <c r="X712" s="4317"/>
      <c r="Y712" s="4653"/>
      <c r="Z712" s="4653"/>
      <c r="AA712" s="4653"/>
      <c r="AB712" s="4317"/>
      <c r="AC712" s="4295"/>
      <c r="AD712" s="4653"/>
      <c r="AE712" s="4653"/>
      <c r="AF712" s="4653"/>
      <c r="AG712" s="4317"/>
      <c r="AH712" s="4317"/>
      <c r="AI712" s="4317"/>
      <c r="AJ712" s="4317"/>
      <c r="AK712" s="4317"/>
      <c r="AL712" s="4317"/>
      <c r="AM712" s="4317"/>
      <c r="AN712" s="4317"/>
      <c r="AO712" s="4317"/>
      <c r="AP712" s="4317"/>
      <c r="AQ712" s="4317"/>
      <c r="AR712" s="4317"/>
      <c r="AS712" s="4317"/>
      <c r="AT712" s="4317"/>
      <c r="AU712" s="4317"/>
      <c r="AV712" s="4317"/>
      <c r="AW712" s="4317"/>
      <c r="AX712" s="4317"/>
      <c r="AY712" s="4317"/>
      <c r="AZ712" s="4317"/>
      <c r="BA712" s="4317"/>
      <c r="BB712" s="4317"/>
      <c r="BC712" s="4317"/>
      <c r="BD712" s="4317"/>
      <c r="BE712" s="4317"/>
      <c r="BF712" s="4317"/>
      <c r="BG712" s="4317"/>
      <c r="BH712" s="4317"/>
      <c r="BI712" s="4317"/>
      <c r="BJ712" s="4317"/>
      <c r="BK712" s="4317"/>
      <c r="BL712" s="4317"/>
      <c r="BM712" s="4317"/>
      <c r="BN712" s="4317"/>
      <c r="BO712" s="4317"/>
      <c r="BP712" s="4317"/>
      <c r="BQ712" s="4317"/>
      <c r="BR712" s="4317"/>
      <c r="BS712" s="4317"/>
      <c r="BT712" s="4317"/>
      <c r="BU712" s="4317"/>
      <c r="BV712" s="4317"/>
      <c r="BW712" s="4317"/>
      <c r="BX712" s="4317"/>
      <c r="BY712" s="4317"/>
      <c r="BZ712" s="4317"/>
      <c r="CA712" s="4317"/>
      <c r="CB712" s="4317"/>
      <c r="CC712" s="4317"/>
      <c r="CD712" s="4317"/>
      <c r="CE712" s="4317"/>
      <c r="CF712" s="4317"/>
      <c r="CG712" s="4317"/>
      <c r="CH712" s="4317"/>
      <c r="CI712" s="4317"/>
      <c r="CJ712" s="4317"/>
      <c r="CK712" s="4317"/>
      <c r="CL712" s="4317"/>
      <c r="CM712" s="4317"/>
      <c r="CN712" s="4317"/>
      <c r="CO712" s="4317"/>
      <c r="CP712" s="4317"/>
      <c r="CQ712" s="4317"/>
      <c r="CR712" s="4317"/>
      <c r="CS712" s="4317"/>
      <c r="CT712" s="4317"/>
      <c r="CU712" s="4317"/>
      <c r="CV712" s="4317"/>
      <c r="CW712" s="4317"/>
      <c r="CX712" s="4317"/>
      <c r="CY712" s="4317"/>
      <c r="CZ712" s="4317"/>
      <c r="DA712" s="4317"/>
      <c r="DB712" s="4317"/>
      <c r="DC712" s="4317"/>
      <c r="DD712" s="4317"/>
      <c r="DE712" s="4317"/>
      <c r="DF712" s="4317"/>
      <c r="DG712" s="4317"/>
      <c r="DH712" s="4317"/>
      <c r="DI712" s="4317"/>
      <c r="DJ712" s="4317"/>
      <c r="DK712" s="4317"/>
      <c r="DL712" s="4317"/>
      <c r="DM712" s="4317"/>
      <c r="DN712" s="4317"/>
      <c r="DO712" s="4317"/>
      <c r="DP712" s="4317"/>
      <c r="DQ712" s="4317"/>
      <c r="DR712" s="4317"/>
      <c r="DS712" s="4317"/>
      <c r="DT712" s="4133"/>
      <c r="DU712" s="4133"/>
      <c r="DV712" s="4133"/>
      <c r="DW712" s="4133"/>
      <c r="DX712" s="4133"/>
      <c r="DY712" s="4133"/>
    </row>
    <row r="713" s="4134" customFormat="1" ht="16.5" customHeight="1" spans="1:129">
      <c r="A713" s="4657" t="s">
        <v>5413</v>
      </c>
      <c r="B713" s="4567"/>
      <c r="C713" s="4567"/>
      <c r="D713" s="4567"/>
      <c r="E713" s="4567"/>
      <c r="F713" s="4534"/>
      <c r="G713" s="4535"/>
      <c r="H713" s="4535"/>
      <c r="I713" s="4535"/>
      <c r="J713" s="4535"/>
      <c r="K713" s="4535"/>
      <c r="L713" s="4536"/>
      <c r="M713" s="4534"/>
      <c r="N713" s="4535"/>
      <c r="O713" s="4535"/>
      <c r="P713" s="4535"/>
      <c r="Q713" s="4535"/>
      <c r="R713" s="4535"/>
      <c r="S713" s="4536"/>
      <c r="T713" s="4317"/>
      <c r="U713" s="4653"/>
      <c r="V713" s="4319" t="s">
        <v>5414</v>
      </c>
      <c r="W713" s="4317"/>
      <c r="X713" s="4317"/>
      <c r="Y713" s="4653"/>
      <c r="Z713" s="4653"/>
      <c r="AA713" s="4653"/>
      <c r="AB713" s="4317"/>
      <c r="AC713" s="4295"/>
      <c r="AD713" s="4653"/>
      <c r="AE713" s="4653"/>
      <c r="AF713" s="4653"/>
      <c r="AG713" s="4317"/>
      <c r="AH713" s="4317"/>
      <c r="AI713" s="4317"/>
      <c r="AJ713" s="4317"/>
      <c r="AK713" s="4317"/>
      <c r="AL713" s="4317"/>
      <c r="AM713" s="4317"/>
      <c r="AN713" s="4317"/>
      <c r="AO713" s="4317"/>
      <c r="AP713" s="4317"/>
      <c r="AQ713" s="4317"/>
      <c r="AR713" s="4317"/>
      <c r="AS713" s="4317"/>
      <c r="AT713" s="4317"/>
      <c r="AU713" s="4317"/>
      <c r="AV713" s="4317"/>
      <c r="AW713" s="4317"/>
      <c r="AX713" s="4317"/>
      <c r="AY713" s="4317"/>
      <c r="AZ713" s="4317"/>
      <c r="BA713" s="4317"/>
      <c r="BB713" s="4317"/>
      <c r="BC713" s="4317"/>
      <c r="BD713" s="4317"/>
      <c r="BE713" s="4317"/>
      <c r="BF713" s="4317"/>
      <c r="BG713" s="4317"/>
      <c r="BH713" s="4317"/>
      <c r="BI713" s="4317"/>
      <c r="BJ713" s="4317"/>
      <c r="BK713" s="4317"/>
      <c r="BL713" s="4317"/>
      <c r="BM713" s="4317"/>
      <c r="BN713" s="4317"/>
      <c r="BO713" s="4317"/>
      <c r="BP713" s="4317"/>
      <c r="BQ713" s="4317"/>
      <c r="BR713" s="4317"/>
      <c r="BS713" s="4317"/>
      <c r="BT713" s="4317"/>
      <c r="BU713" s="4317"/>
      <c r="BV713" s="4317"/>
      <c r="BW713" s="4317"/>
      <c r="BX713" s="4317"/>
      <c r="BY713" s="4317"/>
      <c r="BZ713" s="4317"/>
      <c r="CA713" s="4317"/>
      <c r="CB713" s="4317"/>
      <c r="CC713" s="4317"/>
      <c r="CD713" s="4317"/>
      <c r="CE713" s="4317"/>
      <c r="CF713" s="4317"/>
      <c r="CG713" s="4317"/>
      <c r="CH713" s="4317"/>
      <c r="CI713" s="4317"/>
      <c r="CJ713" s="4317"/>
      <c r="CK713" s="4317"/>
      <c r="CL713" s="4317"/>
      <c r="CM713" s="4317"/>
      <c r="CN713" s="4317"/>
      <c r="CO713" s="4317"/>
      <c r="CP713" s="4317"/>
      <c r="CQ713" s="4317"/>
      <c r="CR713" s="4317"/>
      <c r="CS713" s="4317"/>
      <c r="CT713" s="4317"/>
      <c r="CU713" s="4317"/>
      <c r="CV713" s="4317"/>
      <c r="CW713" s="4317"/>
      <c r="CX713" s="4317"/>
      <c r="CY713" s="4317"/>
      <c r="CZ713" s="4317"/>
      <c r="DA713" s="4317"/>
      <c r="DB713" s="4317"/>
      <c r="DC713" s="4317"/>
      <c r="DD713" s="4317"/>
      <c r="DE713" s="4317"/>
      <c r="DF713" s="4317"/>
      <c r="DG713" s="4317"/>
      <c r="DH713" s="4317"/>
      <c r="DI713" s="4317"/>
      <c r="DJ713" s="4317"/>
      <c r="DK713" s="4317"/>
      <c r="DL713" s="4317"/>
      <c r="DM713" s="4317"/>
      <c r="DN713" s="4317"/>
      <c r="DO713" s="4317"/>
      <c r="DP713" s="4317"/>
      <c r="DQ713" s="4317"/>
      <c r="DR713" s="4317"/>
      <c r="DS713" s="4317"/>
      <c r="DT713" s="4133"/>
      <c r="DU713" s="4133"/>
      <c r="DV713" s="4133"/>
      <c r="DW713" s="4133"/>
      <c r="DX713" s="4133"/>
      <c r="DY713" s="4133"/>
    </row>
    <row r="714" s="4134" customFormat="1" ht="16.5" customHeight="1" spans="1:129">
      <c r="A714" s="4657" t="s">
        <v>5415</v>
      </c>
      <c r="B714" s="4567"/>
      <c r="C714" s="4567"/>
      <c r="D714" s="4567"/>
      <c r="E714" s="4567"/>
      <c r="F714" s="4534"/>
      <c r="G714" s="4535"/>
      <c r="H714" s="4535"/>
      <c r="I714" s="4535"/>
      <c r="J714" s="4535"/>
      <c r="K714" s="4535"/>
      <c r="L714" s="4536"/>
      <c r="M714" s="4534"/>
      <c r="N714" s="4535"/>
      <c r="O714" s="4535"/>
      <c r="P714" s="4535"/>
      <c r="Q714" s="4535"/>
      <c r="R714" s="4535"/>
      <c r="S714" s="4536"/>
      <c r="T714" s="4317"/>
      <c r="U714" s="4653"/>
      <c r="V714" s="4319" t="s">
        <v>5416</v>
      </c>
      <c r="W714" s="4317"/>
      <c r="X714" s="4317"/>
      <c r="Y714" s="4653"/>
      <c r="Z714" s="4653"/>
      <c r="AA714" s="4653"/>
      <c r="AB714" s="4317"/>
      <c r="AC714" s="4295"/>
      <c r="AD714" s="4653"/>
      <c r="AE714" s="4653"/>
      <c r="AF714" s="4653"/>
      <c r="AG714" s="4317"/>
      <c r="AH714" s="4317"/>
      <c r="AI714" s="4317"/>
      <c r="AJ714" s="4317"/>
      <c r="AK714" s="4317"/>
      <c r="AL714" s="4317"/>
      <c r="AM714" s="4317"/>
      <c r="AN714" s="4317"/>
      <c r="AO714" s="4317"/>
      <c r="AP714" s="4317"/>
      <c r="AQ714" s="4317"/>
      <c r="AR714" s="4317"/>
      <c r="AS714" s="4317"/>
      <c r="AT714" s="4317"/>
      <c r="AU714" s="4317"/>
      <c r="AV714" s="4317"/>
      <c r="AW714" s="4317"/>
      <c r="AX714" s="4317"/>
      <c r="AY714" s="4317"/>
      <c r="AZ714" s="4317"/>
      <c r="BA714" s="4317"/>
      <c r="BB714" s="4317"/>
      <c r="BC714" s="4317"/>
      <c r="BD714" s="4317"/>
      <c r="BE714" s="4317"/>
      <c r="BF714" s="4317"/>
      <c r="BG714" s="4317"/>
      <c r="BH714" s="4317"/>
      <c r="BI714" s="4317"/>
      <c r="BJ714" s="4317"/>
      <c r="BK714" s="4317"/>
      <c r="BL714" s="4317"/>
      <c r="BM714" s="4317"/>
      <c r="BN714" s="4317"/>
      <c r="BO714" s="4317"/>
      <c r="BP714" s="4317"/>
      <c r="BQ714" s="4317"/>
      <c r="BR714" s="4317"/>
      <c r="BS714" s="4317"/>
      <c r="BT714" s="4317"/>
      <c r="BU714" s="4317"/>
      <c r="BV714" s="4317"/>
      <c r="BW714" s="4317"/>
      <c r="BX714" s="4317"/>
      <c r="BY714" s="4317"/>
      <c r="BZ714" s="4317"/>
      <c r="CA714" s="4317"/>
      <c r="CB714" s="4317"/>
      <c r="CC714" s="4317"/>
      <c r="CD714" s="4317"/>
      <c r="CE714" s="4317"/>
      <c r="CF714" s="4317"/>
      <c r="CG714" s="4317"/>
      <c r="CH714" s="4317"/>
      <c r="CI714" s="4317"/>
      <c r="CJ714" s="4317"/>
      <c r="CK714" s="4317"/>
      <c r="CL714" s="4317"/>
      <c r="CM714" s="4317"/>
      <c r="CN714" s="4317"/>
      <c r="CO714" s="4317"/>
      <c r="CP714" s="4317"/>
      <c r="CQ714" s="4317"/>
      <c r="CR714" s="4317"/>
      <c r="CS714" s="4317"/>
      <c r="CT714" s="4317"/>
      <c r="CU714" s="4317"/>
      <c r="CV714" s="4317"/>
      <c r="CW714" s="4317"/>
      <c r="CX714" s="4317"/>
      <c r="CY714" s="4317"/>
      <c r="CZ714" s="4317"/>
      <c r="DA714" s="4317"/>
      <c r="DB714" s="4317"/>
      <c r="DC714" s="4317"/>
      <c r="DD714" s="4317"/>
      <c r="DE714" s="4317"/>
      <c r="DF714" s="4317"/>
      <c r="DG714" s="4317"/>
      <c r="DH714" s="4317"/>
      <c r="DI714" s="4317"/>
      <c r="DJ714" s="4317"/>
      <c r="DK714" s="4317"/>
      <c r="DL714" s="4317"/>
      <c r="DM714" s="4317"/>
      <c r="DN714" s="4317"/>
      <c r="DO714" s="4317"/>
      <c r="DP714" s="4317"/>
      <c r="DQ714" s="4317"/>
      <c r="DR714" s="4317"/>
      <c r="DS714" s="4317"/>
      <c r="DT714" s="4133"/>
      <c r="DU714" s="4133"/>
      <c r="DV714" s="4133"/>
      <c r="DW714" s="4133"/>
      <c r="DX714" s="4133"/>
      <c r="DY714" s="4133"/>
    </row>
    <row r="715" s="4134" customFormat="1" ht="16.5" customHeight="1" spans="1:129">
      <c r="A715" s="4657" t="s">
        <v>5417</v>
      </c>
      <c r="B715" s="4567"/>
      <c r="C715" s="4567"/>
      <c r="D715" s="4567"/>
      <c r="E715" s="4567"/>
      <c r="F715" s="4534"/>
      <c r="G715" s="4535"/>
      <c r="H715" s="4535"/>
      <c r="I715" s="4535"/>
      <c r="J715" s="4535"/>
      <c r="K715" s="4535"/>
      <c r="L715" s="4536"/>
      <c r="M715" s="4534"/>
      <c r="N715" s="4535"/>
      <c r="O715" s="4535"/>
      <c r="P715" s="4535"/>
      <c r="Q715" s="4535"/>
      <c r="R715" s="4535"/>
      <c r="S715" s="4536"/>
      <c r="T715" s="4317"/>
      <c r="U715" s="4653"/>
      <c r="V715" s="4319" t="s">
        <v>5418</v>
      </c>
      <c r="W715" s="4317"/>
      <c r="X715" s="4317"/>
      <c r="Y715" s="4653"/>
      <c r="Z715" s="4653"/>
      <c r="AA715" s="4653"/>
      <c r="AB715" s="4317"/>
      <c r="AC715" s="4295"/>
      <c r="AD715" s="4653"/>
      <c r="AE715" s="4653"/>
      <c r="AF715" s="4653"/>
      <c r="AG715" s="4317"/>
      <c r="AH715" s="4317"/>
      <c r="AI715" s="4317"/>
      <c r="AJ715" s="4317"/>
      <c r="AK715" s="4317"/>
      <c r="AL715" s="4317"/>
      <c r="AM715" s="4317"/>
      <c r="AN715" s="4317"/>
      <c r="AO715" s="4317"/>
      <c r="AP715" s="4317"/>
      <c r="AQ715" s="4317"/>
      <c r="AR715" s="4317"/>
      <c r="AS715" s="4317"/>
      <c r="AT715" s="4317"/>
      <c r="AU715" s="4317"/>
      <c r="AV715" s="4317"/>
      <c r="AW715" s="4317"/>
      <c r="AX715" s="4317"/>
      <c r="AY715" s="4317"/>
      <c r="AZ715" s="4317"/>
      <c r="BA715" s="4317"/>
      <c r="BB715" s="4317"/>
      <c r="BC715" s="4317"/>
      <c r="BD715" s="4317"/>
      <c r="BE715" s="4317"/>
      <c r="BF715" s="4317"/>
      <c r="BG715" s="4317"/>
      <c r="BH715" s="4317"/>
      <c r="BI715" s="4317"/>
      <c r="BJ715" s="4317"/>
      <c r="BK715" s="4317"/>
      <c r="BL715" s="4317"/>
      <c r="BM715" s="4317"/>
      <c r="BN715" s="4317"/>
      <c r="BO715" s="4317"/>
      <c r="BP715" s="4317"/>
      <c r="BQ715" s="4317"/>
      <c r="BR715" s="4317"/>
      <c r="BS715" s="4317"/>
      <c r="BT715" s="4317"/>
      <c r="BU715" s="4317"/>
      <c r="BV715" s="4317"/>
      <c r="BW715" s="4317"/>
      <c r="BX715" s="4317"/>
      <c r="BY715" s="4317"/>
      <c r="BZ715" s="4317"/>
      <c r="CA715" s="4317"/>
      <c r="CB715" s="4317"/>
      <c r="CC715" s="4317"/>
      <c r="CD715" s="4317"/>
      <c r="CE715" s="4317"/>
      <c r="CF715" s="4317"/>
      <c r="CG715" s="4317"/>
      <c r="CH715" s="4317"/>
      <c r="CI715" s="4317"/>
      <c r="CJ715" s="4317"/>
      <c r="CK715" s="4317"/>
      <c r="CL715" s="4317"/>
      <c r="CM715" s="4317"/>
      <c r="CN715" s="4317"/>
      <c r="CO715" s="4317"/>
      <c r="CP715" s="4317"/>
      <c r="CQ715" s="4317"/>
      <c r="CR715" s="4317"/>
      <c r="CS715" s="4317"/>
      <c r="CT715" s="4317"/>
      <c r="CU715" s="4317"/>
      <c r="CV715" s="4317"/>
      <c r="CW715" s="4317"/>
      <c r="CX715" s="4317"/>
      <c r="CY715" s="4317"/>
      <c r="CZ715" s="4317"/>
      <c r="DA715" s="4317"/>
      <c r="DB715" s="4317"/>
      <c r="DC715" s="4317"/>
      <c r="DD715" s="4317"/>
      <c r="DE715" s="4317"/>
      <c r="DF715" s="4317"/>
      <c r="DG715" s="4317"/>
      <c r="DH715" s="4317"/>
      <c r="DI715" s="4317"/>
      <c r="DJ715" s="4317"/>
      <c r="DK715" s="4317"/>
      <c r="DL715" s="4317"/>
      <c r="DM715" s="4317"/>
      <c r="DN715" s="4317"/>
      <c r="DO715" s="4317"/>
      <c r="DP715" s="4317"/>
      <c r="DQ715" s="4317"/>
      <c r="DR715" s="4317"/>
      <c r="DS715" s="4317"/>
      <c r="DT715" s="4133"/>
      <c r="DU715" s="4133"/>
      <c r="DV715" s="4133"/>
      <c r="DW715" s="4133"/>
      <c r="DX715" s="4133"/>
      <c r="DY715" s="4133"/>
    </row>
    <row r="716" s="4134" customFormat="1" ht="16.5" customHeight="1" spans="1:129">
      <c r="A716" s="4657" t="s">
        <v>5419</v>
      </c>
      <c r="B716" s="4567"/>
      <c r="C716" s="4567"/>
      <c r="D716" s="4567"/>
      <c r="E716" s="4567"/>
      <c r="F716" s="4534"/>
      <c r="G716" s="4535"/>
      <c r="H716" s="4535"/>
      <c r="I716" s="4535"/>
      <c r="J716" s="4535"/>
      <c r="K716" s="4535"/>
      <c r="L716" s="4536"/>
      <c r="M716" s="4534"/>
      <c r="N716" s="4535"/>
      <c r="O716" s="4535"/>
      <c r="P716" s="4535"/>
      <c r="Q716" s="4535"/>
      <c r="R716" s="4535"/>
      <c r="S716" s="4536"/>
      <c r="T716" s="4317"/>
      <c r="U716" s="4653"/>
      <c r="V716" s="4319" t="s">
        <v>5420</v>
      </c>
      <c r="W716" s="4317"/>
      <c r="X716" s="4317"/>
      <c r="Y716" s="4653"/>
      <c r="Z716" s="4653"/>
      <c r="AA716" s="4653"/>
      <c r="AB716" s="4317"/>
      <c r="AC716" s="4295"/>
      <c r="AD716" s="4653"/>
      <c r="AE716" s="4653"/>
      <c r="AF716" s="4653"/>
      <c r="AG716" s="4317"/>
      <c r="AH716" s="4317"/>
      <c r="AI716" s="4317"/>
      <c r="AJ716" s="4317"/>
      <c r="AK716" s="4317"/>
      <c r="AL716" s="4317"/>
      <c r="AM716" s="4317"/>
      <c r="AN716" s="4317"/>
      <c r="AO716" s="4317"/>
      <c r="AP716" s="4317"/>
      <c r="AQ716" s="4317"/>
      <c r="AR716" s="4317"/>
      <c r="AS716" s="4317"/>
      <c r="AT716" s="4317"/>
      <c r="AU716" s="4317"/>
      <c r="AV716" s="4317"/>
      <c r="AW716" s="4317"/>
      <c r="AX716" s="4317"/>
      <c r="AY716" s="4317"/>
      <c r="AZ716" s="4317"/>
      <c r="BA716" s="4317"/>
      <c r="BB716" s="4317"/>
      <c r="BC716" s="4317"/>
      <c r="BD716" s="4317"/>
      <c r="BE716" s="4317"/>
      <c r="BF716" s="4317"/>
      <c r="BG716" s="4317"/>
      <c r="BH716" s="4317"/>
      <c r="BI716" s="4317"/>
      <c r="BJ716" s="4317"/>
      <c r="BK716" s="4317"/>
      <c r="BL716" s="4317"/>
      <c r="BM716" s="4317"/>
      <c r="BN716" s="4317"/>
      <c r="BO716" s="4317"/>
      <c r="BP716" s="4317"/>
      <c r="BQ716" s="4317"/>
      <c r="BR716" s="4317"/>
      <c r="BS716" s="4317"/>
      <c r="BT716" s="4317"/>
      <c r="BU716" s="4317"/>
      <c r="BV716" s="4317"/>
      <c r="BW716" s="4317"/>
      <c r="BX716" s="4317"/>
      <c r="BY716" s="4317"/>
      <c r="BZ716" s="4317"/>
      <c r="CA716" s="4317"/>
      <c r="CB716" s="4317"/>
      <c r="CC716" s="4317"/>
      <c r="CD716" s="4317"/>
      <c r="CE716" s="4317"/>
      <c r="CF716" s="4317"/>
      <c r="CG716" s="4317"/>
      <c r="CH716" s="4317"/>
      <c r="CI716" s="4317"/>
      <c r="CJ716" s="4317"/>
      <c r="CK716" s="4317"/>
      <c r="CL716" s="4317"/>
      <c r="CM716" s="4317"/>
      <c r="CN716" s="4317"/>
      <c r="CO716" s="4317"/>
      <c r="CP716" s="4317"/>
      <c r="CQ716" s="4317"/>
      <c r="CR716" s="4317"/>
      <c r="CS716" s="4317"/>
      <c r="CT716" s="4317"/>
      <c r="CU716" s="4317"/>
      <c r="CV716" s="4317"/>
      <c r="CW716" s="4317"/>
      <c r="CX716" s="4317"/>
      <c r="CY716" s="4317"/>
      <c r="CZ716" s="4317"/>
      <c r="DA716" s="4317"/>
      <c r="DB716" s="4317"/>
      <c r="DC716" s="4317"/>
      <c r="DD716" s="4317"/>
      <c r="DE716" s="4317"/>
      <c r="DF716" s="4317"/>
      <c r="DG716" s="4317"/>
      <c r="DH716" s="4317"/>
      <c r="DI716" s="4317"/>
      <c r="DJ716" s="4317"/>
      <c r="DK716" s="4317"/>
      <c r="DL716" s="4317"/>
      <c r="DM716" s="4317"/>
      <c r="DN716" s="4317"/>
      <c r="DO716" s="4317"/>
      <c r="DP716" s="4317"/>
      <c r="DQ716" s="4317"/>
      <c r="DR716" s="4317"/>
      <c r="DS716" s="4317"/>
      <c r="DT716" s="4133"/>
      <c r="DU716" s="4133"/>
      <c r="DV716" s="4133"/>
      <c r="DW716" s="4133"/>
      <c r="DX716" s="4133"/>
      <c r="DY716" s="4133"/>
    </row>
    <row r="717" s="4134" customFormat="1" ht="16.5" customHeight="1" spans="1:129">
      <c r="A717" s="4659" t="s">
        <v>636</v>
      </c>
      <c r="B717" s="4660"/>
      <c r="C717" s="4660"/>
      <c r="D717" s="4660"/>
      <c r="E717" s="4660"/>
      <c r="F717" s="4661">
        <f>SUM(F708:L716)</f>
        <v>0</v>
      </c>
      <c r="G717" s="4661"/>
      <c r="H717" s="4661"/>
      <c r="I717" s="4661"/>
      <c r="J717" s="4661"/>
      <c r="K717" s="4661"/>
      <c r="L717" s="4661"/>
      <c r="M717" s="4661">
        <f>SUM(M708:S716)</f>
        <v>0</v>
      </c>
      <c r="N717" s="4661"/>
      <c r="O717" s="4661"/>
      <c r="P717" s="4661"/>
      <c r="Q717" s="4661"/>
      <c r="R717" s="4661"/>
      <c r="S717" s="4661"/>
      <c r="T717" s="4317"/>
      <c r="U717" s="4653"/>
      <c r="V717" s="4323" t="s">
        <v>5421</v>
      </c>
      <c r="W717" s="4317"/>
      <c r="X717" s="4317"/>
      <c r="Y717" s="4653"/>
      <c r="Z717" s="4653"/>
      <c r="AA717" s="4653"/>
      <c r="AB717" s="4317"/>
      <c r="AC717" s="4295"/>
      <c r="AD717" s="4653"/>
      <c r="AE717" s="4653"/>
      <c r="AF717" s="4653"/>
      <c r="AG717" s="4317"/>
      <c r="AH717" s="4317"/>
      <c r="AI717" s="4317"/>
      <c r="AJ717" s="4317"/>
      <c r="AK717" s="4317"/>
      <c r="AL717" s="4317"/>
      <c r="AM717" s="4317"/>
      <c r="AN717" s="4317"/>
      <c r="AO717" s="4317"/>
      <c r="AP717" s="4317"/>
      <c r="AQ717" s="4317"/>
      <c r="AR717" s="4317"/>
      <c r="AS717" s="4317"/>
      <c r="AT717" s="4317"/>
      <c r="AU717" s="4317"/>
      <c r="AV717" s="4317"/>
      <c r="AW717" s="4317"/>
      <c r="AX717" s="4317"/>
      <c r="AY717" s="4317"/>
      <c r="AZ717" s="4317"/>
      <c r="BA717" s="4317"/>
      <c r="BB717" s="4317"/>
      <c r="BC717" s="4317"/>
      <c r="BD717" s="4317"/>
      <c r="BE717" s="4317"/>
      <c r="BF717" s="4317"/>
      <c r="BG717" s="4317"/>
      <c r="BH717" s="4317"/>
      <c r="BI717" s="4317"/>
      <c r="BJ717" s="4317"/>
      <c r="BK717" s="4317"/>
      <c r="BL717" s="4317"/>
      <c r="BM717" s="4317"/>
      <c r="BN717" s="4317"/>
      <c r="BO717" s="4317"/>
      <c r="BP717" s="4317"/>
      <c r="BQ717" s="4317"/>
      <c r="BR717" s="4317"/>
      <c r="BS717" s="4317"/>
      <c r="BT717" s="4317"/>
      <c r="BU717" s="4317"/>
      <c r="BV717" s="4317"/>
      <c r="BW717" s="4317"/>
      <c r="BX717" s="4317"/>
      <c r="BY717" s="4317"/>
      <c r="BZ717" s="4317"/>
      <c r="CA717" s="4317"/>
      <c r="CB717" s="4317"/>
      <c r="CC717" s="4317"/>
      <c r="CD717" s="4317"/>
      <c r="CE717" s="4317"/>
      <c r="CF717" s="4317"/>
      <c r="CG717" s="4317"/>
      <c r="CH717" s="4317"/>
      <c r="CI717" s="4317"/>
      <c r="CJ717" s="4317"/>
      <c r="CK717" s="4317"/>
      <c r="CL717" s="4317"/>
      <c r="CM717" s="4317"/>
      <c r="CN717" s="4317"/>
      <c r="CO717" s="4317"/>
      <c r="CP717" s="4317"/>
      <c r="CQ717" s="4317"/>
      <c r="CR717" s="4317"/>
      <c r="CS717" s="4317"/>
      <c r="CT717" s="4317"/>
      <c r="CU717" s="4317"/>
      <c r="CV717" s="4317"/>
      <c r="CW717" s="4317"/>
      <c r="CX717" s="4317"/>
      <c r="CY717" s="4317"/>
      <c r="CZ717" s="4317"/>
      <c r="DA717" s="4317"/>
      <c r="DB717" s="4317"/>
      <c r="DC717" s="4317"/>
      <c r="DD717" s="4317"/>
      <c r="DE717" s="4317"/>
      <c r="DF717" s="4317"/>
      <c r="DG717" s="4317"/>
      <c r="DH717" s="4317"/>
      <c r="DI717" s="4317"/>
      <c r="DJ717" s="4317"/>
      <c r="DK717" s="4317"/>
      <c r="DL717" s="4317"/>
      <c r="DM717" s="4317"/>
      <c r="DN717" s="4317"/>
      <c r="DO717" s="4317"/>
      <c r="DP717" s="4317"/>
      <c r="DQ717" s="4317"/>
      <c r="DR717" s="4317"/>
      <c r="DS717" s="4317"/>
      <c r="DT717" s="4133"/>
      <c r="DU717" s="4133"/>
      <c r="DV717" s="4133"/>
      <c r="DW717" s="4133"/>
      <c r="DX717" s="4133"/>
      <c r="DY717" s="4133"/>
    </row>
    <row r="718" s="4134" customFormat="1" ht="16.5" customHeight="1" spans="1:129">
      <c r="A718" s="4657" t="s">
        <v>5422</v>
      </c>
      <c r="B718" s="4567"/>
      <c r="C718" s="4567"/>
      <c r="D718" s="4567"/>
      <c r="E718" s="4567"/>
      <c r="F718" s="4534"/>
      <c r="G718" s="4535"/>
      <c r="H718" s="4535"/>
      <c r="I718" s="4535"/>
      <c r="J718" s="4535"/>
      <c r="K718" s="4535"/>
      <c r="L718" s="4536"/>
      <c r="M718" s="4534"/>
      <c r="N718" s="4535"/>
      <c r="O718" s="4535"/>
      <c r="P718" s="4535"/>
      <c r="Q718" s="4535"/>
      <c r="R718" s="4535"/>
      <c r="S718" s="4536"/>
      <c r="T718" s="4317"/>
      <c r="U718" s="4653"/>
      <c r="V718" s="4319" t="s">
        <v>5325</v>
      </c>
      <c r="W718" s="4317"/>
      <c r="X718" s="4317"/>
      <c r="Y718" s="4653"/>
      <c r="Z718" s="4653"/>
      <c r="AA718" s="4653"/>
      <c r="AB718" s="4317"/>
      <c r="AC718" s="4295"/>
      <c r="AD718" s="4653"/>
      <c r="AE718" s="4653"/>
      <c r="AF718" s="4653"/>
      <c r="AG718" s="4317"/>
      <c r="AH718" s="4317"/>
      <c r="AI718" s="4317"/>
      <c r="AJ718" s="4317"/>
      <c r="AK718" s="4317"/>
      <c r="AL718" s="4317"/>
      <c r="AM718" s="4317"/>
      <c r="AN718" s="4317"/>
      <c r="AO718" s="4317"/>
      <c r="AP718" s="4317"/>
      <c r="AQ718" s="4317"/>
      <c r="AR718" s="4317"/>
      <c r="AS718" s="4317"/>
      <c r="AT718" s="4317"/>
      <c r="AU718" s="4317"/>
      <c r="AV718" s="4317"/>
      <c r="AW718" s="4317"/>
      <c r="AX718" s="4317"/>
      <c r="AY718" s="4317"/>
      <c r="AZ718" s="4317"/>
      <c r="BA718" s="4317"/>
      <c r="BB718" s="4317"/>
      <c r="BC718" s="4317"/>
      <c r="BD718" s="4317"/>
      <c r="BE718" s="4317"/>
      <c r="BF718" s="4317"/>
      <c r="BG718" s="4317"/>
      <c r="BH718" s="4317"/>
      <c r="BI718" s="4317"/>
      <c r="BJ718" s="4317"/>
      <c r="BK718" s="4317"/>
      <c r="BL718" s="4317"/>
      <c r="BM718" s="4317"/>
      <c r="BN718" s="4317"/>
      <c r="BO718" s="4317"/>
      <c r="BP718" s="4317"/>
      <c r="BQ718" s="4317"/>
      <c r="BR718" s="4317"/>
      <c r="BS718" s="4317"/>
      <c r="BT718" s="4317"/>
      <c r="BU718" s="4317"/>
      <c r="BV718" s="4317"/>
      <c r="BW718" s="4317"/>
      <c r="BX718" s="4317"/>
      <c r="BY718" s="4317"/>
      <c r="BZ718" s="4317"/>
      <c r="CA718" s="4317"/>
      <c r="CB718" s="4317"/>
      <c r="CC718" s="4317"/>
      <c r="CD718" s="4317"/>
      <c r="CE718" s="4317"/>
      <c r="CF718" s="4317"/>
      <c r="CG718" s="4317"/>
      <c r="CH718" s="4317"/>
      <c r="CI718" s="4317"/>
      <c r="CJ718" s="4317"/>
      <c r="CK718" s="4317"/>
      <c r="CL718" s="4317"/>
      <c r="CM718" s="4317"/>
      <c r="CN718" s="4317"/>
      <c r="CO718" s="4317"/>
      <c r="CP718" s="4317"/>
      <c r="CQ718" s="4317"/>
      <c r="CR718" s="4317"/>
      <c r="CS718" s="4317"/>
      <c r="CT718" s="4317"/>
      <c r="CU718" s="4317"/>
      <c r="CV718" s="4317"/>
      <c r="CW718" s="4317"/>
      <c r="CX718" s="4317"/>
      <c r="CY718" s="4317"/>
      <c r="CZ718" s="4317"/>
      <c r="DA718" s="4317"/>
      <c r="DB718" s="4317"/>
      <c r="DC718" s="4317"/>
      <c r="DD718" s="4317"/>
      <c r="DE718" s="4317"/>
      <c r="DF718" s="4317"/>
      <c r="DG718" s="4317"/>
      <c r="DH718" s="4317"/>
      <c r="DI718" s="4317"/>
      <c r="DJ718" s="4317"/>
      <c r="DK718" s="4317"/>
      <c r="DL718" s="4317"/>
      <c r="DM718" s="4317"/>
      <c r="DN718" s="4317"/>
      <c r="DO718" s="4317"/>
      <c r="DP718" s="4317"/>
      <c r="DQ718" s="4317"/>
      <c r="DR718" s="4317"/>
      <c r="DS718" s="4317"/>
      <c r="DT718" s="4133"/>
      <c r="DU718" s="4133"/>
      <c r="DV718" s="4133"/>
      <c r="DW718" s="4133"/>
      <c r="DX718" s="4133"/>
      <c r="DY718" s="4133"/>
    </row>
    <row r="719" s="4134" customFormat="1" ht="16.5" customHeight="1" spans="1:129">
      <c r="A719" s="4657" t="s">
        <v>5423</v>
      </c>
      <c r="B719" s="4567"/>
      <c r="C719" s="4567"/>
      <c r="D719" s="4567"/>
      <c r="E719" s="4567"/>
      <c r="F719" s="4534"/>
      <c r="G719" s="4535"/>
      <c r="H719" s="4535"/>
      <c r="I719" s="4535"/>
      <c r="J719" s="4535"/>
      <c r="K719" s="4535"/>
      <c r="L719" s="4536"/>
      <c r="M719" s="4534"/>
      <c r="N719" s="4535"/>
      <c r="O719" s="4535"/>
      <c r="P719" s="4535"/>
      <c r="Q719" s="4535"/>
      <c r="R719" s="4535"/>
      <c r="S719" s="4536"/>
      <c r="T719" s="4317"/>
      <c r="U719" s="4653"/>
      <c r="V719" s="4319" t="s">
        <v>5424</v>
      </c>
      <c r="W719" s="4317"/>
      <c r="X719" s="4317"/>
      <c r="Y719" s="4653"/>
      <c r="Z719" s="4653"/>
      <c r="AA719" s="4653"/>
      <c r="AB719" s="4317"/>
      <c r="AC719" s="4295"/>
      <c r="AD719" s="4653"/>
      <c r="AE719" s="4653"/>
      <c r="AF719" s="4653"/>
      <c r="AG719" s="4317"/>
      <c r="AH719" s="4317"/>
      <c r="AI719" s="4317"/>
      <c r="AJ719" s="4317"/>
      <c r="AK719" s="4317"/>
      <c r="AL719" s="4317"/>
      <c r="AM719" s="4317"/>
      <c r="AN719" s="4317"/>
      <c r="AO719" s="4317"/>
      <c r="AP719" s="4317"/>
      <c r="AQ719" s="4317"/>
      <c r="AR719" s="4317"/>
      <c r="AS719" s="4317"/>
      <c r="AT719" s="4317"/>
      <c r="AU719" s="4317"/>
      <c r="AV719" s="4317"/>
      <c r="AW719" s="4317"/>
      <c r="AX719" s="4317"/>
      <c r="AY719" s="4317"/>
      <c r="AZ719" s="4317"/>
      <c r="BA719" s="4317"/>
      <c r="BB719" s="4317"/>
      <c r="BC719" s="4317"/>
      <c r="BD719" s="4317"/>
      <c r="BE719" s="4317"/>
      <c r="BF719" s="4317"/>
      <c r="BG719" s="4317"/>
      <c r="BH719" s="4317"/>
      <c r="BI719" s="4317"/>
      <c r="BJ719" s="4317"/>
      <c r="BK719" s="4317"/>
      <c r="BL719" s="4317"/>
      <c r="BM719" s="4317"/>
      <c r="BN719" s="4317"/>
      <c r="BO719" s="4317"/>
      <c r="BP719" s="4317"/>
      <c r="BQ719" s="4317"/>
      <c r="BR719" s="4317"/>
      <c r="BS719" s="4317"/>
      <c r="BT719" s="4317"/>
      <c r="BU719" s="4317"/>
      <c r="BV719" s="4317"/>
      <c r="BW719" s="4317"/>
      <c r="BX719" s="4317"/>
      <c r="BY719" s="4317"/>
      <c r="BZ719" s="4317"/>
      <c r="CA719" s="4317"/>
      <c r="CB719" s="4317"/>
      <c r="CC719" s="4317"/>
      <c r="CD719" s="4317"/>
      <c r="CE719" s="4317"/>
      <c r="CF719" s="4317"/>
      <c r="CG719" s="4317"/>
      <c r="CH719" s="4317"/>
      <c r="CI719" s="4317"/>
      <c r="CJ719" s="4317"/>
      <c r="CK719" s="4317"/>
      <c r="CL719" s="4317"/>
      <c r="CM719" s="4317"/>
      <c r="CN719" s="4317"/>
      <c r="CO719" s="4317"/>
      <c r="CP719" s="4317"/>
      <c r="CQ719" s="4317"/>
      <c r="CR719" s="4317"/>
      <c r="CS719" s="4317"/>
      <c r="CT719" s="4317"/>
      <c r="CU719" s="4317"/>
      <c r="CV719" s="4317"/>
      <c r="CW719" s="4317"/>
      <c r="CX719" s="4317"/>
      <c r="CY719" s="4317"/>
      <c r="CZ719" s="4317"/>
      <c r="DA719" s="4317"/>
      <c r="DB719" s="4317"/>
      <c r="DC719" s="4317"/>
      <c r="DD719" s="4317"/>
      <c r="DE719" s="4317"/>
      <c r="DF719" s="4317"/>
      <c r="DG719" s="4317"/>
      <c r="DH719" s="4317"/>
      <c r="DI719" s="4317"/>
      <c r="DJ719" s="4317"/>
      <c r="DK719" s="4317"/>
      <c r="DL719" s="4317"/>
      <c r="DM719" s="4317"/>
      <c r="DN719" s="4317"/>
      <c r="DO719" s="4317"/>
      <c r="DP719" s="4317"/>
      <c r="DQ719" s="4317"/>
      <c r="DR719" s="4317"/>
      <c r="DS719" s="4317"/>
      <c r="DT719" s="4133"/>
      <c r="DU719" s="4133"/>
      <c r="DV719" s="4133"/>
      <c r="DW719" s="4133"/>
      <c r="DX719" s="4133"/>
      <c r="DY719" s="4133"/>
    </row>
    <row r="720" s="4134" customFormat="1" ht="16.5" customHeight="1" spans="1:129">
      <c r="A720" s="4657" t="s">
        <v>5425</v>
      </c>
      <c r="B720" s="4567"/>
      <c r="C720" s="4567"/>
      <c r="D720" s="4567"/>
      <c r="E720" s="4567"/>
      <c r="F720" s="4534"/>
      <c r="G720" s="4535"/>
      <c r="H720" s="4535"/>
      <c r="I720" s="4535"/>
      <c r="J720" s="4535"/>
      <c r="K720" s="4535"/>
      <c r="L720" s="4536"/>
      <c r="M720" s="4534"/>
      <c r="N720" s="4535"/>
      <c r="O720" s="4535"/>
      <c r="P720" s="4535"/>
      <c r="Q720" s="4535"/>
      <c r="R720" s="4535"/>
      <c r="S720" s="4536"/>
      <c r="T720" s="4317"/>
      <c r="U720" s="4653"/>
      <c r="V720" s="4319" t="s">
        <v>5426</v>
      </c>
      <c r="W720" s="4317"/>
      <c r="X720" s="4317"/>
      <c r="Y720" s="4653"/>
      <c r="Z720" s="4653"/>
      <c r="AA720" s="4653"/>
      <c r="AB720" s="4317"/>
      <c r="AC720" s="4295"/>
      <c r="AD720" s="4653"/>
      <c r="AE720" s="4653"/>
      <c r="AF720" s="4653"/>
      <c r="AG720" s="4317"/>
      <c r="AH720" s="4317"/>
      <c r="AI720" s="4317"/>
      <c r="AJ720" s="4317"/>
      <c r="AK720" s="4317"/>
      <c r="AL720" s="4317"/>
      <c r="AM720" s="4317"/>
      <c r="AN720" s="4317"/>
      <c r="AO720" s="4317"/>
      <c r="AP720" s="4317"/>
      <c r="AQ720" s="4317"/>
      <c r="AR720" s="4317"/>
      <c r="AS720" s="4317"/>
      <c r="AT720" s="4317"/>
      <c r="AU720" s="4317"/>
      <c r="AV720" s="4317"/>
      <c r="AW720" s="4317"/>
      <c r="AX720" s="4317"/>
      <c r="AY720" s="4317"/>
      <c r="AZ720" s="4317"/>
      <c r="BA720" s="4317"/>
      <c r="BB720" s="4317"/>
      <c r="BC720" s="4317"/>
      <c r="BD720" s="4317"/>
      <c r="BE720" s="4317"/>
      <c r="BF720" s="4317"/>
      <c r="BG720" s="4317"/>
      <c r="BH720" s="4317"/>
      <c r="BI720" s="4317"/>
      <c r="BJ720" s="4317"/>
      <c r="BK720" s="4317"/>
      <c r="BL720" s="4317"/>
      <c r="BM720" s="4317"/>
      <c r="BN720" s="4317"/>
      <c r="BO720" s="4317"/>
      <c r="BP720" s="4317"/>
      <c r="BQ720" s="4317"/>
      <c r="BR720" s="4317"/>
      <c r="BS720" s="4317"/>
      <c r="BT720" s="4317"/>
      <c r="BU720" s="4317"/>
      <c r="BV720" s="4317"/>
      <c r="BW720" s="4317"/>
      <c r="BX720" s="4317"/>
      <c r="BY720" s="4317"/>
      <c r="BZ720" s="4317"/>
      <c r="CA720" s="4317"/>
      <c r="CB720" s="4317"/>
      <c r="CC720" s="4317"/>
      <c r="CD720" s="4317"/>
      <c r="CE720" s="4317"/>
      <c r="CF720" s="4317"/>
      <c r="CG720" s="4317"/>
      <c r="CH720" s="4317"/>
      <c r="CI720" s="4317"/>
      <c r="CJ720" s="4317"/>
      <c r="CK720" s="4317"/>
      <c r="CL720" s="4317"/>
      <c r="CM720" s="4317"/>
      <c r="CN720" s="4317"/>
      <c r="CO720" s="4317"/>
      <c r="CP720" s="4317"/>
      <c r="CQ720" s="4317"/>
      <c r="CR720" s="4317"/>
      <c r="CS720" s="4317"/>
      <c r="CT720" s="4317"/>
      <c r="CU720" s="4317"/>
      <c r="CV720" s="4317"/>
      <c r="CW720" s="4317"/>
      <c r="CX720" s="4317"/>
      <c r="CY720" s="4317"/>
      <c r="CZ720" s="4317"/>
      <c r="DA720" s="4317"/>
      <c r="DB720" s="4317"/>
      <c r="DC720" s="4317"/>
      <c r="DD720" s="4317"/>
      <c r="DE720" s="4317"/>
      <c r="DF720" s="4317"/>
      <c r="DG720" s="4317"/>
      <c r="DH720" s="4317"/>
      <c r="DI720" s="4317"/>
      <c r="DJ720" s="4317"/>
      <c r="DK720" s="4317"/>
      <c r="DL720" s="4317"/>
      <c r="DM720" s="4317"/>
      <c r="DN720" s="4317"/>
      <c r="DO720" s="4317"/>
      <c r="DP720" s="4317"/>
      <c r="DQ720" s="4317"/>
      <c r="DR720" s="4317"/>
      <c r="DS720" s="4317"/>
      <c r="DT720" s="4133"/>
      <c r="DU720" s="4133"/>
      <c r="DV720" s="4133"/>
      <c r="DW720" s="4133"/>
      <c r="DX720" s="4133"/>
      <c r="DY720" s="4133"/>
    </row>
    <row r="721" s="4134" customFormat="1" ht="16.5" customHeight="1" spans="1:129">
      <c r="A721" s="4659" t="s">
        <v>647</v>
      </c>
      <c r="B721" s="4660"/>
      <c r="C721" s="4660"/>
      <c r="D721" s="4660"/>
      <c r="E721" s="4660"/>
      <c r="F721" s="4661">
        <f>SUM(F718:L720)</f>
        <v>0</v>
      </c>
      <c r="G721" s="4661"/>
      <c r="H721" s="4661"/>
      <c r="I721" s="4661"/>
      <c r="J721" s="4661"/>
      <c r="K721" s="4661"/>
      <c r="L721" s="4661"/>
      <c r="M721" s="4661">
        <f>SUM(M718:S720)</f>
        <v>0</v>
      </c>
      <c r="N721" s="4661"/>
      <c r="O721" s="4661"/>
      <c r="P721" s="4661"/>
      <c r="Q721" s="4661"/>
      <c r="R721" s="4661"/>
      <c r="S721" s="4661"/>
      <c r="T721" s="4317"/>
      <c r="U721" s="4653"/>
      <c r="V721" s="4319" t="s">
        <v>5427</v>
      </c>
      <c r="W721" s="4317"/>
      <c r="X721" s="4317"/>
      <c r="Y721" s="4653"/>
      <c r="Z721" s="4653"/>
      <c r="AA721" s="4653"/>
      <c r="AB721" s="4317"/>
      <c r="AC721" s="4295"/>
      <c r="AD721" s="4653"/>
      <c r="AE721" s="4653"/>
      <c r="AF721" s="4653"/>
      <c r="AG721" s="4317"/>
      <c r="AH721" s="4317"/>
      <c r="AI721" s="4317"/>
      <c r="AJ721" s="4317"/>
      <c r="AK721" s="4317"/>
      <c r="AL721" s="4317"/>
      <c r="AM721" s="4317"/>
      <c r="AN721" s="4317"/>
      <c r="AO721" s="4317"/>
      <c r="AP721" s="4317"/>
      <c r="AQ721" s="4317"/>
      <c r="AR721" s="4317"/>
      <c r="AS721" s="4317"/>
      <c r="AT721" s="4317"/>
      <c r="AU721" s="4317"/>
      <c r="AV721" s="4317"/>
      <c r="AW721" s="4317"/>
      <c r="AX721" s="4317"/>
      <c r="AY721" s="4317"/>
      <c r="AZ721" s="4317"/>
      <c r="BA721" s="4317"/>
      <c r="BB721" s="4317"/>
      <c r="BC721" s="4317"/>
      <c r="BD721" s="4317"/>
      <c r="BE721" s="4317"/>
      <c r="BF721" s="4317"/>
      <c r="BG721" s="4317"/>
      <c r="BH721" s="4317"/>
      <c r="BI721" s="4317"/>
      <c r="BJ721" s="4317"/>
      <c r="BK721" s="4317"/>
      <c r="BL721" s="4317"/>
      <c r="BM721" s="4317"/>
      <c r="BN721" s="4317"/>
      <c r="BO721" s="4317"/>
      <c r="BP721" s="4317"/>
      <c r="BQ721" s="4317"/>
      <c r="BR721" s="4317"/>
      <c r="BS721" s="4317"/>
      <c r="BT721" s="4317"/>
      <c r="BU721" s="4317"/>
      <c r="BV721" s="4317"/>
      <c r="BW721" s="4317"/>
      <c r="BX721" s="4317"/>
      <c r="BY721" s="4317"/>
      <c r="BZ721" s="4317"/>
      <c r="CA721" s="4317"/>
      <c r="CB721" s="4317"/>
      <c r="CC721" s="4317"/>
      <c r="CD721" s="4317"/>
      <c r="CE721" s="4317"/>
      <c r="CF721" s="4317"/>
      <c r="CG721" s="4317"/>
      <c r="CH721" s="4317"/>
      <c r="CI721" s="4317"/>
      <c r="CJ721" s="4317"/>
      <c r="CK721" s="4317"/>
      <c r="CL721" s="4317"/>
      <c r="CM721" s="4317"/>
      <c r="CN721" s="4317"/>
      <c r="CO721" s="4317"/>
      <c r="CP721" s="4317"/>
      <c r="CQ721" s="4317"/>
      <c r="CR721" s="4317"/>
      <c r="CS721" s="4317"/>
      <c r="CT721" s="4317"/>
      <c r="CU721" s="4317"/>
      <c r="CV721" s="4317"/>
      <c r="CW721" s="4317"/>
      <c r="CX721" s="4317"/>
      <c r="CY721" s="4317"/>
      <c r="CZ721" s="4317"/>
      <c r="DA721" s="4317"/>
      <c r="DB721" s="4317"/>
      <c r="DC721" s="4317"/>
      <c r="DD721" s="4317"/>
      <c r="DE721" s="4317"/>
      <c r="DF721" s="4317"/>
      <c r="DG721" s="4317"/>
      <c r="DH721" s="4317"/>
      <c r="DI721" s="4317"/>
      <c r="DJ721" s="4317"/>
      <c r="DK721" s="4317"/>
      <c r="DL721" s="4317"/>
      <c r="DM721" s="4317"/>
      <c r="DN721" s="4317"/>
      <c r="DO721" s="4317"/>
      <c r="DP721" s="4317"/>
      <c r="DQ721" s="4317"/>
      <c r="DR721" s="4317"/>
      <c r="DS721" s="4317"/>
      <c r="DT721" s="4133"/>
      <c r="DU721" s="4133"/>
      <c r="DV721" s="4133"/>
      <c r="DW721" s="4133"/>
      <c r="DX721" s="4133"/>
      <c r="DY721" s="4133"/>
    </row>
    <row r="722" s="4136" customFormat="1" ht="16.5" customHeight="1" spans="1:129">
      <c r="A722" s="4683" t="s">
        <v>5428</v>
      </c>
      <c r="B722" s="4684"/>
      <c r="C722" s="4684"/>
      <c r="D722" s="4684"/>
      <c r="E722" s="4684"/>
      <c r="F722" s="4685">
        <f>F678+F682+F685+F699+F707+F717+F721</f>
        <v>577192</v>
      </c>
      <c r="G722" s="4685"/>
      <c r="H722" s="4685"/>
      <c r="I722" s="4685"/>
      <c r="J722" s="4685"/>
      <c r="K722" s="4685"/>
      <c r="L722" s="4685"/>
      <c r="M722" s="4685">
        <f>M678+M682+M685+M699+M707+M717+M721</f>
        <v>0</v>
      </c>
      <c r="N722" s="4685"/>
      <c r="O722" s="4685"/>
      <c r="P722" s="4685"/>
      <c r="Q722" s="4685"/>
      <c r="R722" s="4685"/>
      <c r="S722" s="4685"/>
      <c r="T722" s="4317"/>
      <c r="U722" s="4653"/>
      <c r="V722" s="4681" t="s">
        <v>5429</v>
      </c>
      <c r="W722" s="4317"/>
      <c r="X722" s="4317"/>
      <c r="Y722" s="4653"/>
      <c r="Z722" s="4653"/>
      <c r="AA722" s="4653"/>
      <c r="AB722" s="4181"/>
      <c r="AC722" s="4295"/>
      <c r="AD722" s="4653"/>
      <c r="AE722" s="4653"/>
      <c r="AF722" s="4653"/>
      <c r="AG722" s="4317"/>
      <c r="AH722" s="4317"/>
      <c r="AI722" s="4317"/>
      <c r="AJ722" s="4317"/>
      <c r="AK722" s="4317"/>
      <c r="AL722" s="4317"/>
      <c r="AM722" s="4317"/>
      <c r="AN722" s="4317"/>
      <c r="AO722" s="4317"/>
      <c r="AP722" s="4317"/>
      <c r="AQ722" s="4317"/>
      <c r="AR722" s="4317"/>
      <c r="AS722" s="4317"/>
      <c r="AT722" s="4317"/>
      <c r="AU722" s="4317"/>
      <c r="AV722" s="4317"/>
      <c r="AW722" s="4317"/>
      <c r="AX722" s="4317"/>
      <c r="AY722" s="4317"/>
      <c r="AZ722" s="4317"/>
      <c r="BA722" s="4317"/>
      <c r="BB722" s="4317"/>
      <c r="BC722" s="4317"/>
      <c r="BD722" s="4317"/>
      <c r="BE722" s="4317"/>
      <c r="BF722" s="4317"/>
      <c r="BG722" s="4317"/>
      <c r="BH722" s="4317"/>
      <c r="BI722" s="4317"/>
      <c r="BJ722" s="4317"/>
      <c r="BK722" s="4317"/>
      <c r="BL722" s="4317"/>
      <c r="BM722" s="4317"/>
      <c r="BN722" s="4317"/>
      <c r="BO722" s="4317"/>
      <c r="BP722" s="4317"/>
      <c r="BQ722" s="4317"/>
      <c r="BR722" s="4317"/>
      <c r="BS722" s="4317"/>
      <c r="BT722" s="4317"/>
      <c r="BU722" s="4317"/>
      <c r="BV722" s="4317"/>
      <c r="BW722" s="4317"/>
      <c r="BX722" s="4317"/>
      <c r="BY722" s="4317"/>
      <c r="BZ722" s="4317"/>
      <c r="CA722" s="4317"/>
      <c r="CB722" s="4317"/>
      <c r="CC722" s="4317"/>
      <c r="CD722" s="4317"/>
      <c r="CE722" s="4317"/>
      <c r="CF722" s="4317"/>
      <c r="CG722" s="4317"/>
      <c r="CH722" s="4317"/>
      <c r="CI722" s="4317"/>
      <c r="CJ722" s="4317"/>
      <c r="CK722" s="4317"/>
      <c r="CL722" s="4317"/>
      <c r="CM722" s="4317"/>
      <c r="CN722" s="4317"/>
      <c r="CO722" s="4317"/>
      <c r="CP722" s="4317"/>
      <c r="CQ722" s="4317"/>
      <c r="CR722" s="4317"/>
      <c r="CS722" s="4317"/>
      <c r="CT722" s="4317"/>
      <c r="CU722" s="4317"/>
      <c r="CV722" s="4317"/>
      <c r="CW722" s="4317"/>
      <c r="CX722" s="4317"/>
      <c r="CY722" s="4317"/>
      <c r="CZ722" s="4317"/>
      <c r="DA722" s="4317"/>
      <c r="DB722" s="4317"/>
      <c r="DC722" s="4317"/>
      <c r="DD722" s="4317"/>
      <c r="DE722" s="4317"/>
      <c r="DF722" s="4317"/>
      <c r="DG722" s="4317"/>
      <c r="DH722" s="4317"/>
      <c r="DI722" s="4317"/>
      <c r="DJ722" s="4317"/>
      <c r="DK722" s="4317"/>
      <c r="DL722" s="4317"/>
      <c r="DM722" s="4317"/>
      <c r="DN722" s="4317"/>
      <c r="DO722" s="4317"/>
      <c r="DP722" s="4317"/>
      <c r="DQ722" s="4317"/>
      <c r="DR722" s="4317"/>
      <c r="DS722" s="4317"/>
      <c r="DT722" s="4133"/>
      <c r="DU722" s="4133"/>
      <c r="DV722" s="4133"/>
      <c r="DW722" s="4133"/>
      <c r="DX722" s="4133"/>
      <c r="DY722" s="4133"/>
    </row>
    <row r="723" s="4134" customFormat="1" ht="16.5" customHeight="1" spans="1:129">
      <c r="A723" s="4686"/>
      <c r="B723" s="4686"/>
      <c r="C723" s="4686"/>
      <c r="D723" s="4686"/>
      <c r="E723" s="4686"/>
      <c r="F723" s="4686"/>
      <c r="G723" s="4686"/>
      <c r="H723" s="4686"/>
      <c r="I723" s="4686"/>
      <c r="J723" s="4686"/>
      <c r="K723" s="4686"/>
      <c r="L723" s="4686"/>
      <c r="M723" s="4686"/>
      <c r="N723" s="4686"/>
      <c r="O723" s="4686"/>
      <c r="P723" s="4686"/>
      <c r="Q723" s="4686"/>
      <c r="R723" s="4686"/>
      <c r="S723" s="4686"/>
      <c r="T723" s="4317"/>
      <c r="U723" s="4317"/>
      <c r="V723" s="4317"/>
      <c r="W723" s="4317"/>
      <c r="X723" s="4317"/>
      <c r="Y723" s="4653"/>
      <c r="Z723" s="4653"/>
      <c r="AA723" s="4653"/>
      <c r="AB723" s="4317"/>
      <c r="AC723" s="4295"/>
      <c r="AD723" s="4653"/>
      <c r="AE723" s="4653"/>
      <c r="AF723" s="4653"/>
      <c r="AG723" s="4317"/>
      <c r="AH723" s="4317"/>
      <c r="AI723" s="4317"/>
      <c r="AJ723" s="4317"/>
      <c r="AK723" s="4317"/>
      <c r="AL723" s="4317"/>
      <c r="AM723" s="4317"/>
      <c r="AN723" s="4317"/>
      <c r="AO723" s="4317"/>
      <c r="AP723" s="4317"/>
      <c r="AQ723" s="4317"/>
      <c r="AR723" s="4317"/>
      <c r="AS723" s="4317"/>
      <c r="AT723" s="4317"/>
      <c r="AU723" s="4317"/>
      <c r="AV723" s="4317"/>
      <c r="AW723" s="4317"/>
      <c r="AX723" s="4317"/>
      <c r="AY723" s="4317"/>
      <c r="AZ723" s="4317"/>
      <c r="BA723" s="4317"/>
      <c r="BB723" s="4317"/>
      <c r="BC723" s="4317"/>
      <c r="BD723" s="4317"/>
      <c r="BE723" s="4317"/>
      <c r="BF723" s="4317"/>
      <c r="BG723" s="4317"/>
      <c r="BH723" s="4317"/>
      <c r="BI723" s="4317"/>
      <c r="BJ723" s="4317"/>
      <c r="BK723" s="4317"/>
      <c r="BL723" s="4317"/>
      <c r="BM723" s="4317"/>
      <c r="BN723" s="4317"/>
      <c r="BO723" s="4317"/>
      <c r="BP723" s="4317"/>
      <c r="BQ723" s="4317"/>
      <c r="BR723" s="4317"/>
      <c r="BS723" s="4317"/>
      <c r="BT723" s="4317"/>
      <c r="BU723" s="4317"/>
      <c r="BV723" s="4317"/>
      <c r="BW723" s="4317"/>
      <c r="BX723" s="4317"/>
      <c r="BY723" s="4317"/>
      <c r="BZ723" s="4317"/>
      <c r="CA723" s="4317"/>
      <c r="CB723" s="4317"/>
      <c r="CC723" s="4317"/>
      <c r="CD723" s="4317"/>
      <c r="CE723" s="4317"/>
      <c r="CF723" s="4317"/>
      <c r="CG723" s="4317"/>
      <c r="CH723" s="4317"/>
      <c r="CI723" s="4317"/>
      <c r="CJ723" s="4317"/>
      <c r="CK723" s="4317"/>
      <c r="CL723" s="4317"/>
      <c r="CM723" s="4317"/>
      <c r="CN723" s="4317"/>
      <c r="CO723" s="4317"/>
      <c r="CP723" s="4317"/>
      <c r="CQ723" s="4317"/>
      <c r="CR723" s="4317"/>
      <c r="CS723" s="4317"/>
      <c r="CT723" s="4317"/>
      <c r="CU723" s="4317"/>
      <c r="CV723" s="4317"/>
      <c r="CW723" s="4317"/>
      <c r="CX723" s="4317"/>
      <c r="CY723" s="4317"/>
      <c r="CZ723" s="4317"/>
      <c r="DA723" s="4317"/>
      <c r="DB723" s="4317"/>
      <c r="DC723" s="4317"/>
      <c r="DD723" s="4317"/>
      <c r="DE723" s="4317"/>
      <c r="DF723" s="4317"/>
      <c r="DG723" s="4317"/>
      <c r="DH723" s="4317"/>
      <c r="DI723" s="4317"/>
      <c r="DJ723" s="4317"/>
      <c r="DK723" s="4317"/>
      <c r="DL723" s="4317"/>
      <c r="DM723" s="4317"/>
      <c r="DN723" s="4317"/>
      <c r="DO723" s="4317"/>
      <c r="DP723" s="4317"/>
      <c r="DQ723" s="4317"/>
      <c r="DR723" s="4317"/>
      <c r="DS723" s="4317"/>
      <c r="DT723" s="4133"/>
      <c r="DU723" s="4133"/>
      <c r="DV723" s="4133"/>
      <c r="DW723" s="4133"/>
      <c r="DX723" s="4133"/>
      <c r="DY723" s="4133"/>
    </row>
    <row r="724" s="4134" customFormat="1" ht="19.5" customHeight="1" spans="1:129">
      <c r="A724" s="4687" t="s">
        <v>5430</v>
      </c>
      <c r="B724" s="4687"/>
      <c r="C724" s="4687"/>
      <c r="D724" s="4687"/>
      <c r="E724" s="4687"/>
      <c r="F724" s="4661">
        <f>F661+F668+F722</f>
        <v>635614</v>
      </c>
      <c r="G724" s="4661"/>
      <c r="H724" s="4661"/>
      <c r="I724" s="4661"/>
      <c r="J724" s="4661"/>
      <c r="K724" s="4661"/>
      <c r="L724" s="4661"/>
      <c r="M724" s="4661">
        <f>M661+M668+M722</f>
        <v>36315</v>
      </c>
      <c r="N724" s="4661"/>
      <c r="O724" s="4661"/>
      <c r="P724" s="4661"/>
      <c r="Q724" s="4661"/>
      <c r="R724" s="4661"/>
      <c r="S724" s="4661"/>
      <c r="T724" s="4317"/>
      <c r="U724" s="4653"/>
      <c r="V724" s="4317"/>
      <c r="W724" s="4317"/>
      <c r="X724" s="4317"/>
      <c r="Y724" s="4653"/>
      <c r="Z724" s="4653"/>
      <c r="AA724" s="4653"/>
      <c r="AB724" s="4317"/>
      <c r="AC724" s="4295"/>
      <c r="AD724" s="4653"/>
      <c r="AE724" s="4653"/>
      <c r="AF724" s="4653"/>
      <c r="AG724" s="4317"/>
      <c r="AH724" s="4317"/>
      <c r="AI724" s="4317"/>
      <c r="AJ724" s="4317"/>
      <c r="AK724" s="4317"/>
      <c r="AL724" s="4317"/>
      <c r="AM724" s="4317"/>
      <c r="AN724" s="4317"/>
      <c r="AO724" s="4317"/>
      <c r="AP724" s="4317"/>
      <c r="AQ724" s="4317"/>
      <c r="AR724" s="4317"/>
      <c r="AS724" s="4317"/>
      <c r="AT724" s="4317"/>
      <c r="AU724" s="4317"/>
      <c r="AV724" s="4317"/>
      <c r="AW724" s="4317"/>
      <c r="AX724" s="4317"/>
      <c r="AY724" s="4317"/>
      <c r="AZ724" s="4317"/>
      <c r="BA724" s="4317"/>
      <c r="BB724" s="4317"/>
      <c r="BC724" s="4317"/>
      <c r="BD724" s="4317"/>
      <c r="BE724" s="4317"/>
      <c r="BF724" s="4317"/>
      <c r="BG724" s="4317"/>
      <c r="BH724" s="4317"/>
      <c r="BI724" s="4317"/>
      <c r="BJ724" s="4317"/>
      <c r="BK724" s="4317"/>
      <c r="BL724" s="4317"/>
      <c r="BM724" s="4317"/>
      <c r="BN724" s="4317"/>
      <c r="BO724" s="4317"/>
      <c r="BP724" s="4317"/>
      <c r="BQ724" s="4317"/>
      <c r="BR724" s="4317"/>
      <c r="BS724" s="4317"/>
      <c r="BT724" s="4317"/>
      <c r="BU724" s="4317"/>
      <c r="BV724" s="4317"/>
      <c r="BW724" s="4317"/>
      <c r="BX724" s="4317"/>
      <c r="BY724" s="4317"/>
      <c r="BZ724" s="4317"/>
      <c r="CA724" s="4317"/>
      <c r="CB724" s="4317"/>
      <c r="CC724" s="4317"/>
      <c r="CD724" s="4317"/>
      <c r="CE724" s="4317"/>
      <c r="CF724" s="4317"/>
      <c r="CG724" s="4317"/>
      <c r="CH724" s="4317"/>
      <c r="CI724" s="4317"/>
      <c r="CJ724" s="4317"/>
      <c r="CK724" s="4317"/>
      <c r="CL724" s="4317"/>
      <c r="CM724" s="4317"/>
      <c r="CN724" s="4317"/>
      <c r="CO724" s="4317"/>
      <c r="CP724" s="4317"/>
      <c r="CQ724" s="4317"/>
      <c r="CR724" s="4317"/>
      <c r="CS724" s="4317"/>
      <c r="CT724" s="4317"/>
      <c r="CU724" s="4317"/>
      <c r="CV724" s="4317"/>
      <c r="CW724" s="4317"/>
      <c r="CX724" s="4317"/>
      <c r="CY724" s="4317"/>
      <c r="CZ724" s="4317"/>
      <c r="DA724" s="4317"/>
      <c r="DB724" s="4317"/>
      <c r="DC724" s="4317"/>
      <c r="DD724" s="4317"/>
      <c r="DE724" s="4317"/>
      <c r="DF724" s="4317"/>
      <c r="DG724" s="4317"/>
      <c r="DH724" s="4317"/>
      <c r="DI724" s="4317"/>
      <c r="DJ724" s="4317"/>
      <c r="DK724" s="4317"/>
      <c r="DL724" s="4317"/>
      <c r="DM724" s="4317"/>
      <c r="DN724" s="4317"/>
      <c r="DO724" s="4317"/>
      <c r="DP724" s="4317"/>
      <c r="DQ724" s="4317"/>
      <c r="DR724" s="4317"/>
      <c r="DS724" s="4317"/>
      <c r="DT724" s="4133"/>
      <c r="DU724" s="4133"/>
      <c r="DV724" s="4133"/>
      <c r="DW724" s="4133"/>
      <c r="DX724" s="4133"/>
      <c r="DY724" s="4133"/>
    </row>
    <row r="725" s="4134" customFormat="1" ht="19.5" customHeight="1" spans="1:129">
      <c r="A725" s="4657" t="s">
        <v>5431</v>
      </c>
      <c r="B725" s="4657"/>
      <c r="C725" s="4657"/>
      <c r="D725" s="4657"/>
      <c r="E725" s="4657"/>
      <c r="F725" s="4534"/>
      <c r="G725" s="4535"/>
      <c r="H725" s="4535"/>
      <c r="I725" s="4535"/>
      <c r="J725" s="4535"/>
      <c r="K725" s="4535"/>
      <c r="L725" s="4536"/>
      <c r="M725" s="4534"/>
      <c r="N725" s="4535"/>
      <c r="O725" s="4535"/>
      <c r="P725" s="4535"/>
      <c r="Q725" s="4535"/>
      <c r="R725" s="4535"/>
      <c r="S725" s="4536"/>
      <c r="T725" s="4317"/>
      <c r="U725" s="4653"/>
      <c r="V725" s="4340" t="s">
        <v>5432</v>
      </c>
      <c r="W725" s="4317"/>
      <c r="X725" s="4317"/>
      <c r="Y725" s="4653"/>
      <c r="Z725" s="4653"/>
      <c r="AA725" s="4653"/>
      <c r="AB725" s="4317"/>
      <c r="AC725" s="4295"/>
      <c r="AD725" s="4653"/>
      <c r="AE725" s="4653"/>
      <c r="AF725" s="4653"/>
      <c r="AG725" s="4317"/>
      <c r="AH725" s="4317"/>
      <c r="AI725" s="4317"/>
      <c r="AJ725" s="4317"/>
      <c r="AK725" s="4317"/>
      <c r="AL725" s="4317"/>
      <c r="AM725" s="4317"/>
      <c r="AN725" s="4317"/>
      <c r="AO725" s="4317"/>
      <c r="AP725" s="4317"/>
      <c r="AQ725" s="4317"/>
      <c r="AR725" s="4317"/>
      <c r="AS725" s="4317"/>
      <c r="AT725" s="4317"/>
      <c r="AU725" s="4317"/>
      <c r="AV725" s="4317"/>
      <c r="AW725" s="4317"/>
      <c r="AX725" s="4317"/>
      <c r="AY725" s="4317"/>
      <c r="AZ725" s="4317"/>
      <c r="BA725" s="4317"/>
      <c r="BB725" s="4317"/>
      <c r="BC725" s="4317"/>
      <c r="BD725" s="4317"/>
      <c r="BE725" s="4317"/>
      <c r="BF725" s="4317"/>
      <c r="BG725" s="4317"/>
      <c r="BH725" s="4317"/>
      <c r="BI725" s="4317"/>
      <c r="BJ725" s="4317"/>
      <c r="BK725" s="4317"/>
      <c r="BL725" s="4317"/>
      <c r="BM725" s="4317"/>
      <c r="BN725" s="4317"/>
      <c r="BO725" s="4317"/>
      <c r="BP725" s="4317"/>
      <c r="BQ725" s="4317"/>
      <c r="BR725" s="4317"/>
      <c r="BS725" s="4317"/>
      <c r="BT725" s="4317"/>
      <c r="BU725" s="4317"/>
      <c r="BV725" s="4317"/>
      <c r="BW725" s="4317"/>
      <c r="BX725" s="4317"/>
      <c r="BY725" s="4317"/>
      <c r="BZ725" s="4317"/>
      <c r="CA725" s="4317"/>
      <c r="CB725" s="4317"/>
      <c r="CC725" s="4317"/>
      <c r="CD725" s="4317"/>
      <c r="CE725" s="4317"/>
      <c r="CF725" s="4317"/>
      <c r="CG725" s="4317"/>
      <c r="CH725" s="4317"/>
      <c r="CI725" s="4317"/>
      <c r="CJ725" s="4317"/>
      <c r="CK725" s="4317"/>
      <c r="CL725" s="4317"/>
      <c r="CM725" s="4317"/>
      <c r="CN725" s="4317"/>
      <c r="CO725" s="4317"/>
      <c r="CP725" s="4317"/>
      <c r="CQ725" s="4317"/>
      <c r="CR725" s="4317"/>
      <c r="CS725" s="4317"/>
      <c r="CT725" s="4317"/>
      <c r="CU725" s="4317"/>
      <c r="CV725" s="4317"/>
      <c r="CW725" s="4317"/>
      <c r="CX725" s="4317"/>
      <c r="CY725" s="4317"/>
      <c r="CZ725" s="4317"/>
      <c r="DA725" s="4317"/>
      <c r="DB725" s="4317"/>
      <c r="DC725" s="4317"/>
      <c r="DD725" s="4317"/>
      <c r="DE725" s="4317"/>
      <c r="DF725" s="4317"/>
      <c r="DG725" s="4317"/>
      <c r="DH725" s="4317"/>
      <c r="DI725" s="4317"/>
      <c r="DJ725" s="4317"/>
      <c r="DK725" s="4317"/>
      <c r="DL725" s="4317"/>
      <c r="DM725" s="4317"/>
      <c r="DN725" s="4317"/>
      <c r="DO725" s="4317"/>
      <c r="DP725" s="4317"/>
      <c r="DQ725" s="4317"/>
      <c r="DR725" s="4317"/>
      <c r="DS725" s="4317"/>
      <c r="DT725" s="4133"/>
      <c r="DU725" s="4133"/>
      <c r="DV725" s="4133"/>
      <c r="DW725" s="4133"/>
      <c r="DX725" s="4133"/>
      <c r="DY725" s="4133"/>
    </row>
    <row r="726" s="4134" customFormat="1" ht="19.5" customHeight="1" spans="1:129">
      <c r="A726" s="4687" t="s">
        <v>5433</v>
      </c>
      <c r="B726" s="4687"/>
      <c r="C726" s="4687"/>
      <c r="D726" s="4687"/>
      <c r="E726" s="4687"/>
      <c r="F726" s="4661">
        <f>SUM(F724:L725)</f>
        <v>635614</v>
      </c>
      <c r="G726" s="4661"/>
      <c r="H726" s="4661"/>
      <c r="I726" s="4661"/>
      <c r="J726" s="4661"/>
      <c r="K726" s="4661"/>
      <c r="L726" s="4661"/>
      <c r="M726" s="4661">
        <f>SUM(M724:S725)</f>
        <v>36315</v>
      </c>
      <c r="N726" s="4661"/>
      <c r="O726" s="4661"/>
      <c r="P726" s="4661"/>
      <c r="Q726" s="4661"/>
      <c r="R726" s="4661"/>
      <c r="S726" s="4661"/>
      <c r="T726" s="4317"/>
      <c r="U726" s="4653"/>
      <c r="V726" s="4317"/>
      <c r="W726" s="4317"/>
      <c r="X726" s="4317"/>
      <c r="Y726" s="4653"/>
      <c r="Z726" s="4653"/>
      <c r="AA726" s="4653"/>
      <c r="AB726" s="4317"/>
      <c r="AC726" s="4295"/>
      <c r="AD726" s="4653"/>
      <c r="AE726" s="4653"/>
      <c r="AF726" s="4653"/>
      <c r="AG726" s="4317"/>
      <c r="AH726" s="4317"/>
      <c r="AI726" s="4317"/>
      <c r="AJ726" s="4317"/>
      <c r="AK726" s="4317"/>
      <c r="AL726" s="4317"/>
      <c r="AM726" s="4317"/>
      <c r="AN726" s="4317"/>
      <c r="AO726" s="4317"/>
      <c r="AP726" s="4317"/>
      <c r="AQ726" s="4317"/>
      <c r="AR726" s="4317"/>
      <c r="AS726" s="4317"/>
      <c r="AT726" s="4317"/>
      <c r="AU726" s="4317"/>
      <c r="AV726" s="4317"/>
      <c r="AW726" s="4317"/>
      <c r="AX726" s="4317"/>
      <c r="AY726" s="4317"/>
      <c r="AZ726" s="4317"/>
      <c r="BA726" s="4317"/>
      <c r="BB726" s="4317"/>
      <c r="BC726" s="4317"/>
      <c r="BD726" s="4317"/>
      <c r="BE726" s="4317"/>
      <c r="BF726" s="4317"/>
      <c r="BG726" s="4317"/>
      <c r="BH726" s="4317"/>
      <c r="BI726" s="4317"/>
      <c r="BJ726" s="4317"/>
      <c r="BK726" s="4317"/>
      <c r="BL726" s="4317"/>
      <c r="BM726" s="4317"/>
      <c r="BN726" s="4317"/>
      <c r="BO726" s="4317"/>
      <c r="BP726" s="4317"/>
      <c r="BQ726" s="4317"/>
      <c r="BR726" s="4317"/>
      <c r="BS726" s="4317"/>
      <c r="BT726" s="4317"/>
      <c r="BU726" s="4317"/>
      <c r="BV726" s="4317"/>
      <c r="BW726" s="4317"/>
      <c r="BX726" s="4317"/>
      <c r="BY726" s="4317"/>
      <c r="BZ726" s="4317"/>
      <c r="CA726" s="4317"/>
      <c r="CB726" s="4317"/>
      <c r="CC726" s="4317"/>
      <c r="CD726" s="4317"/>
      <c r="CE726" s="4317"/>
      <c r="CF726" s="4317"/>
      <c r="CG726" s="4317"/>
      <c r="CH726" s="4317"/>
      <c r="CI726" s="4317"/>
      <c r="CJ726" s="4317"/>
      <c r="CK726" s="4317"/>
      <c r="CL726" s="4317"/>
      <c r="CM726" s="4317"/>
      <c r="CN726" s="4317"/>
      <c r="CO726" s="4317"/>
      <c r="CP726" s="4317"/>
      <c r="CQ726" s="4317"/>
      <c r="CR726" s="4317"/>
      <c r="CS726" s="4317"/>
      <c r="CT726" s="4317"/>
      <c r="CU726" s="4317"/>
      <c r="CV726" s="4317"/>
      <c r="CW726" s="4317"/>
      <c r="CX726" s="4317"/>
      <c r="CY726" s="4317"/>
      <c r="CZ726" s="4317"/>
      <c r="DA726" s="4317"/>
      <c r="DB726" s="4317"/>
      <c r="DC726" s="4317"/>
      <c r="DD726" s="4317"/>
      <c r="DE726" s="4317"/>
      <c r="DF726" s="4317"/>
      <c r="DG726" s="4317"/>
      <c r="DH726" s="4317"/>
      <c r="DI726" s="4317"/>
      <c r="DJ726" s="4317"/>
      <c r="DK726" s="4317"/>
      <c r="DL726" s="4317"/>
      <c r="DM726" s="4317"/>
      <c r="DN726" s="4317"/>
      <c r="DO726" s="4317"/>
      <c r="DP726" s="4317"/>
      <c r="DQ726" s="4317"/>
      <c r="DR726" s="4317"/>
      <c r="DS726" s="4317"/>
      <c r="DT726" s="4133"/>
      <c r="DU726" s="4133"/>
      <c r="DV726" s="4133"/>
      <c r="DW726" s="4133"/>
      <c r="DX726" s="4133"/>
      <c r="DY726" s="4133"/>
    </row>
    <row r="727" s="4134" customFormat="1" ht="16.5" customHeight="1" spans="1:129">
      <c r="A727" s="4317"/>
      <c r="B727" s="4317"/>
      <c r="C727" s="4317"/>
      <c r="D727" s="4317"/>
      <c r="E727" s="4317"/>
      <c r="F727" s="4317"/>
      <c r="G727" s="4317"/>
      <c r="H727" s="4317"/>
      <c r="I727" s="4317"/>
      <c r="J727" s="4317"/>
      <c r="K727" s="4317"/>
      <c r="L727" s="4317"/>
      <c r="M727" s="4317"/>
      <c r="N727" s="4317"/>
      <c r="O727" s="4317"/>
      <c r="P727" s="4317"/>
      <c r="Q727" s="4317"/>
      <c r="R727" s="4317"/>
      <c r="S727" s="4317"/>
      <c r="T727" s="4317"/>
      <c r="U727" s="4653"/>
      <c r="V727" s="4317"/>
      <c r="W727" s="4317"/>
      <c r="X727" s="4317"/>
      <c r="Y727" s="4653"/>
      <c r="Z727" s="4653"/>
      <c r="AA727" s="4653"/>
      <c r="AB727" s="4317"/>
      <c r="AC727" s="4295"/>
      <c r="AD727" s="4653"/>
      <c r="AE727" s="4653"/>
      <c r="AF727" s="4653"/>
      <c r="AG727" s="4317"/>
      <c r="AH727" s="4317"/>
      <c r="AI727" s="4317"/>
      <c r="AJ727" s="4317"/>
      <c r="AK727" s="4317"/>
      <c r="AL727" s="4317"/>
      <c r="AM727" s="4317"/>
      <c r="AN727" s="4317"/>
      <c r="AO727" s="4317"/>
      <c r="AP727" s="4317"/>
      <c r="AQ727" s="4317"/>
      <c r="AR727" s="4317"/>
      <c r="AS727" s="4317"/>
      <c r="AT727" s="4317"/>
      <c r="AU727" s="4317"/>
      <c r="AV727" s="4317"/>
      <c r="AW727" s="4317"/>
      <c r="AX727" s="4317"/>
      <c r="AY727" s="4317"/>
      <c r="AZ727" s="4317"/>
      <c r="BA727" s="4317"/>
      <c r="BB727" s="4317"/>
      <c r="BC727" s="4317"/>
      <c r="BD727" s="4317"/>
      <c r="BE727" s="4317"/>
      <c r="BF727" s="4317"/>
      <c r="BG727" s="4317"/>
      <c r="BH727" s="4317"/>
      <c r="BI727" s="4317"/>
      <c r="BJ727" s="4317"/>
      <c r="BK727" s="4317"/>
      <c r="BL727" s="4317"/>
      <c r="BM727" s="4317"/>
      <c r="BN727" s="4317"/>
      <c r="BO727" s="4317"/>
      <c r="BP727" s="4317"/>
      <c r="BQ727" s="4317"/>
      <c r="BR727" s="4317"/>
      <c r="BS727" s="4317"/>
      <c r="BT727" s="4317"/>
      <c r="BU727" s="4317"/>
      <c r="BV727" s="4317"/>
      <c r="BW727" s="4317"/>
      <c r="BX727" s="4317"/>
      <c r="BY727" s="4317"/>
      <c r="BZ727" s="4317"/>
      <c r="CA727" s="4317"/>
      <c r="CB727" s="4317"/>
      <c r="CC727" s="4317"/>
      <c r="CD727" s="4317"/>
      <c r="CE727" s="4317"/>
      <c r="CF727" s="4317"/>
      <c r="CG727" s="4317"/>
      <c r="CH727" s="4317"/>
      <c r="CI727" s="4317"/>
      <c r="CJ727" s="4317"/>
      <c r="CK727" s="4317"/>
      <c r="CL727" s="4317"/>
      <c r="CM727" s="4317"/>
      <c r="CN727" s="4317"/>
      <c r="CO727" s="4317"/>
      <c r="CP727" s="4317"/>
      <c r="CQ727" s="4317"/>
      <c r="CR727" s="4317"/>
      <c r="CS727" s="4317"/>
      <c r="CT727" s="4317"/>
      <c r="CU727" s="4317"/>
      <c r="CV727" s="4317"/>
      <c r="CW727" s="4317"/>
      <c r="CX727" s="4317"/>
      <c r="CY727" s="4317"/>
      <c r="CZ727" s="4317"/>
      <c r="DA727" s="4317"/>
      <c r="DB727" s="4317"/>
      <c r="DC727" s="4317"/>
      <c r="DD727" s="4317"/>
      <c r="DE727" s="4317"/>
      <c r="DF727" s="4317"/>
      <c r="DG727" s="4317"/>
      <c r="DH727" s="4317"/>
      <c r="DI727" s="4317"/>
      <c r="DJ727" s="4317"/>
      <c r="DK727" s="4317"/>
      <c r="DL727" s="4317"/>
      <c r="DM727" s="4317"/>
      <c r="DN727" s="4317"/>
      <c r="DO727" s="4317"/>
      <c r="DP727" s="4317"/>
      <c r="DQ727" s="4317"/>
      <c r="DR727" s="4317"/>
      <c r="DS727" s="4317"/>
      <c r="DT727" s="4133"/>
      <c r="DU727" s="4133"/>
      <c r="DV727" s="4133"/>
      <c r="DW727" s="4133"/>
      <c r="DX727" s="4133"/>
      <c r="DY727" s="4133"/>
    </row>
    <row r="728" s="4133" customFormat="1" ht="21" spans="1:129">
      <c r="A728" s="4295"/>
      <c r="B728" s="4295"/>
      <c r="C728" s="4295"/>
      <c r="D728" s="4295"/>
      <c r="E728" s="4295"/>
      <c r="F728" s="4295"/>
      <c r="G728" s="4295"/>
      <c r="H728" s="4295"/>
      <c r="I728" s="4295"/>
      <c r="J728" s="4295"/>
      <c r="K728" s="4295"/>
      <c r="L728" s="4295"/>
      <c r="M728" s="4295"/>
      <c r="N728" s="4295"/>
      <c r="O728" s="4295"/>
      <c r="P728" s="4295"/>
      <c r="Q728" s="4295"/>
      <c r="R728" s="4295"/>
      <c r="S728" s="4295"/>
      <c r="T728" s="4295"/>
      <c r="U728" s="4653"/>
      <c r="V728" s="4295"/>
      <c r="W728" s="4653"/>
      <c r="X728" s="4653"/>
      <c r="Y728" s="4653"/>
      <c r="Z728" s="4653"/>
      <c r="AA728" s="4653"/>
      <c r="AB728" s="4653"/>
      <c r="AC728" s="4295"/>
      <c r="AD728" s="4653"/>
      <c r="AE728" s="4653"/>
      <c r="AF728" s="4653"/>
      <c r="AG728" s="4653"/>
      <c r="AH728" s="4653"/>
      <c r="AI728" s="4653"/>
      <c r="AJ728" s="4653"/>
      <c r="AK728" s="4653"/>
      <c r="AL728" s="4653"/>
      <c r="AM728" s="4653"/>
      <c r="AN728" s="4295"/>
      <c r="AO728" s="4295"/>
      <c r="AP728" s="4295"/>
      <c r="AQ728" s="4295"/>
      <c r="AR728" s="4295"/>
      <c r="AS728" s="4295"/>
      <c r="AT728" s="4295"/>
      <c r="AU728" s="4295"/>
      <c r="AV728" s="4295"/>
      <c r="AW728" s="4295"/>
      <c r="AX728" s="4295"/>
      <c r="AY728" s="4317"/>
      <c r="AZ728" s="4317"/>
      <c r="BA728" s="4317"/>
      <c r="BB728" s="4317"/>
      <c r="BC728" s="4317"/>
      <c r="BD728" s="4317"/>
      <c r="BE728" s="4317"/>
      <c r="BF728" s="4317"/>
      <c r="BG728" s="4317"/>
      <c r="BH728" s="4317"/>
      <c r="BI728" s="4317"/>
      <c r="BJ728" s="4317"/>
      <c r="BK728" s="4317"/>
      <c r="BL728" s="4317"/>
      <c r="BM728" s="4317"/>
      <c r="BN728" s="4317"/>
      <c r="BO728" s="4317"/>
      <c r="BP728" s="4317"/>
      <c r="BQ728" s="4317"/>
      <c r="BR728" s="4317"/>
      <c r="BS728" s="4317"/>
      <c r="BT728" s="4317"/>
      <c r="BU728" s="4317"/>
      <c r="BV728" s="4317"/>
      <c r="BW728" s="4317"/>
      <c r="BX728" s="4317"/>
      <c r="BY728" s="4317"/>
      <c r="BZ728" s="4317"/>
      <c r="CA728" s="4317"/>
      <c r="CB728" s="4317"/>
      <c r="CC728" s="4317"/>
      <c r="CD728" s="4317"/>
      <c r="CE728" s="4317"/>
      <c r="CF728" s="4317"/>
      <c r="CG728" s="4317"/>
      <c r="CH728" s="4317"/>
      <c r="CI728" s="4317"/>
      <c r="CJ728" s="4317"/>
      <c r="CK728" s="4317"/>
      <c r="CL728" s="4317"/>
      <c r="CM728" s="4317"/>
      <c r="CN728" s="4317"/>
      <c r="CO728" s="4317"/>
      <c r="CP728" s="4317"/>
      <c r="CQ728" s="4317"/>
      <c r="CR728" s="4317"/>
      <c r="CS728" s="4317"/>
      <c r="CT728" s="4317"/>
      <c r="CU728" s="4317"/>
      <c r="CV728" s="4317"/>
      <c r="CW728" s="4317"/>
      <c r="CX728" s="4317"/>
      <c r="CY728" s="4317"/>
      <c r="CZ728" s="4317"/>
      <c r="DA728" s="4317"/>
      <c r="DB728" s="4317"/>
      <c r="DC728" s="4317"/>
      <c r="DD728" s="4317"/>
      <c r="DE728" s="4317"/>
      <c r="DF728" s="4317"/>
      <c r="DG728" s="4317"/>
      <c r="DH728" s="4317"/>
      <c r="DI728" s="4317"/>
      <c r="DJ728" s="4317"/>
      <c r="DK728" s="4317"/>
      <c r="DL728" s="4317"/>
      <c r="DM728" s="4317"/>
      <c r="DN728" s="4317"/>
      <c r="DO728" s="4317"/>
      <c r="DP728" s="4317"/>
      <c r="DQ728" s="4317"/>
      <c r="DR728" s="4317"/>
      <c r="DS728" s="4317"/>
    </row>
    <row r="729" s="4133" customFormat="1" ht="23.25" spans="1:129">
      <c r="A729" s="4652" t="s">
        <v>198</v>
      </c>
      <c r="B729" s="4652"/>
      <c r="C729" s="4652"/>
      <c r="D729" s="4652"/>
      <c r="E729" s="4652"/>
      <c r="F729" s="4652">
        <f ca="1">PoslGod</f>
        <v>2025</v>
      </c>
      <c r="G729" s="4652"/>
      <c r="H729" s="4652"/>
      <c r="I729" s="4652"/>
      <c r="J729" s="4652"/>
      <c r="K729" s="4652"/>
      <c r="L729" s="4652"/>
      <c r="M729" s="4295"/>
      <c r="N729" s="4295"/>
      <c r="O729" s="4295"/>
      <c r="P729" s="4295"/>
      <c r="Q729" s="4295"/>
      <c r="R729" s="4295"/>
      <c r="S729" s="4295"/>
      <c r="T729" s="4295"/>
      <c r="U729" s="4653"/>
      <c r="V729" s="4295"/>
      <c r="W729" s="4295"/>
      <c r="X729" s="4295"/>
      <c r="Y729" s="4653"/>
      <c r="Z729" s="4653"/>
      <c r="AA729" s="4653"/>
      <c r="AB729" s="4295"/>
      <c r="AC729" s="4295"/>
      <c r="AD729" s="4653"/>
      <c r="AE729" s="4653"/>
      <c r="AF729" s="4653"/>
      <c r="AG729" s="4295"/>
      <c r="AH729" s="4295"/>
      <c r="AI729" s="4295"/>
      <c r="AJ729" s="4295"/>
      <c r="AK729" s="4295"/>
      <c r="AL729" s="4295"/>
      <c r="AM729" s="4295"/>
      <c r="AN729" s="4295"/>
      <c r="AO729" s="4295"/>
      <c r="AP729" s="4295"/>
      <c r="AQ729" s="4295"/>
      <c r="AR729" s="4295"/>
      <c r="AS729" s="4295"/>
      <c r="AT729" s="4295"/>
      <c r="AU729" s="4295"/>
      <c r="AV729" s="4295"/>
      <c r="AW729" s="4295"/>
      <c r="AX729" s="4295"/>
      <c r="AY729" s="4317"/>
      <c r="AZ729" s="4317"/>
      <c r="BA729" s="4317"/>
      <c r="BB729" s="4317"/>
      <c r="BC729" s="4317"/>
      <c r="BD729" s="4317"/>
      <c r="BE729" s="4317"/>
      <c r="BF729" s="4317"/>
      <c r="BG729" s="4317"/>
      <c r="BH729" s="4317"/>
      <c r="BI729" s="4317"/>
      <c r="BJ729" s="4317"/>
      <c r="BK729" s="4317"/>
      <c r="BL729" s="4317"/>
      <c r="BM729" s="4317"/>
      <c r="BN729" s="4317"/>
      <c r="BO729" s="4317"/>
      <c r="BP729" s="4317"/>
      <c r="BQ729" s="4317"/>
      <c r="BR729" s="4317"/>
      <c r="BS729" s="4317"/>
      <c r="BT729" s="4317"/>
      <c r="BU729" s="4317"/>
      <c r="BV729" s="4317"/>
      <c r="BW729" s="4317"/>
      <c r="BX729" s="4317"/>
      <c r="BY729" s="4317"/>
      <c r="BZ729" s="4317"/>
      <c r="CA729" s="4317"/>
      <c r="CB729" s="4317"/>
      <c r="CC729" s="4317"/>
      <c r="CD729" s="4317"/>
      <c r="CE729" s="4317"/>
      <c r="CF729" s="4317"/>
      <c r="CG729" s="4317"/>
      <c r="CH729" s="4317"/>
      <c r="CI729" s="4317"/>
      <c r="CJ729" s="4317"/>
      <c r="CK729" s="4317"/>
      <c r="CL729" s="4317"/>
      <c r="CM729" s="4317"/>
      <c r="CN729" s="4317"/>
      <c r="CO729" s="4317"/>
      <c r="CP729" s="4317"/>
      <c r="CQ729" s="4317"/>
      <c r="CR729" s="4317"/>
      <c r="CS729" s="4317"/>
      <c r="CT729" s="4317"/>
      <c r="CU729" s="4317"/>
      <c r="CV729" s="4317"/>
      <c r="CW729" s="4317"/>
      <c r="CX729" s="4317"/>
      <c r="CY729" s="4317"/>
      <c r="CZ729" s="4317"/>
      <c r="DA729" s="4317"/>
      <c r="DB729" s="4317"/>
      <c r="DC729" s="4317"/>
      <c r="DD729" s="4317"/>
      <c r="DE729" s="4317"/>
      <c r="DF729" s="4317"/>
      <c r="DG729" s="4317"/>
      <c r="DH729" s="4317"/>
      <c r="DI729" s="4317"/>
      <c r="DJ729" s="4317"/>
      <c r="DK729" s="4317"/>
      <c r="DL729" s="4317"/>
      <c r="DM729" s="4317"/>
      <c r="DN729" s="4317"/>
      <c r="DO729" s="4317"/>
      <c r="DP729" s="4317"/>
      <c r="DQ729" s="4317"/>
      <c r="DR729" s="4317"/>
      <c r="DS729" s="4317"/>
    </row>
    <row r="730" s="4133" customFormat="1" ht="18.75" customHeight="1" spans="1:129">
      <c r="A730" s="4688" t="s">
        <v>5152</v>
      </c>
      <c r="B730" s="4689"/>
      <c r="C730" s="4689"/>
      <c r="D730" s="4689"/>
      <c r="E730" s="4690"/>
      <c r="F730" s="4691" t="str">
        <f ca="1">PeriodDo</f>
        <v>31.12.2025</v>
      </c>
      <c r="G730" s="4691"/>
      <c r="H730" s="4691"/>
      <c r="I730" s="4691"/>
      <c r="J730" s="4691"/>
      <c r="K730" s="4691"/>
      <c r="L730" s="4691"/>
      <c r="M730" s="4295"/>
      <c r="N730" s="4295"/>
      <c r="O730" s="4295"/>
      <c r="P730" s="4295"/>
      <c r="Q730" s="4295"/>
      <c r="R730" s="4295"/>
      <c r="S730" s="4295"/>
      <c r="T730" s="4295"/>
      <c r="U730" s="4653"/>
      <c r="V730" s="4295"/>
      <c r="W730" s="4295"/>
      <c r="X730" s="4295"/>
      <c r="Y730" s="4653"/>
      <c r="Z730" s="4653"/>
      <c r="AA730" s="4653"/>
      <c r="AB730" s="4295"/>
      <c r="AC730" s="4295"/>
      <c r="AD730" s="4653"/>
      <c r="AE730" s="4653"/>
      <c r="AF730" s="4653"/>
      <c r="AG730" s="4295"/>
      <c r="AH730" s="4295"/>
      <c r="AI730" s="4295"/>
      <c r="AJ730" s="4295"/>
      <c r="AK730" s="4295"/>
      <c r="AL730" s="4295"/>
      <c r="AM730" s="4295"/>
      <c r="AN730" s="4295"/>
      <c r="AO730" s="4295"/>
      <c r="AP730" s="4295"/>
      <c r="AQ730" s="4295"/>
      <c r="AR730" s="4295"/>
      <c r="AS730" s="4295"/>
      <c r="AT730" s="4295"/>
      <c r="AU730" s="4295"/>
      <c r="AV730" s="4295"/>
      <c r="AW730" s="4295"/>
      <c r="AX730" s="4295"/>
      <c r="AY730" s="4295"/>
      <c r="AZ730" s="4295"/>
      <c r="BA730" s="4295"/>
      <c r="BB730" s="4295"/>
      <c r="BC730" s="4295"/>
      <c r="BD730" s="4295"/>
      <c r="BE730" s="4295"/>
      <c r="BF730" s="4295"/>
      <c r="BG730" s="4295"/>
      <c r="BH730" s="4295"/>
      <c r="BI730" s="4295"/>
      <c r="BJ730" s="4295"/>
      <c r="BK730" s="4295"/>
      <c r="BL730" s="4295"/>
      <c r="BM730" s="4295"/>
      <c r="BN730" s="4295"/>
      <c r="BO730" s="4295"/>
      <c r="BP730" s="4295"/>
      <c r="BQ730" s="4295"/>
      <c r="BR730" s="4295"/>
      <c r="BS730" s="4295"/>
      <c r="BT730" s="4295"/>
      <c r="BU730" s="4295"/>
      <c r="BV730" s="4295"/>
      <c r="BW730" s="4295"/>
      <c r="BX730" s="4295"/>
      <c r="BY730" s="4295"/>
      <c r="BZ730" s="4295"/>
      <c r="CA730" s="4295"/>
      <c r="CB730" s="4295"/>
      <c r="CC730" s="4295"/>
      <c r="CD730" s="4295"/>
      <c r="CE730" s="4295"/>
      <c r="CF730" s="4295"/>
      <c r="CG730" s="4295"/>
      <c r="CH730" s="4295"/>
      <c r="CI730" s="4295"/>
      <c r="CJ730" s="4295"/>
      <c r="CK730" s="4295"/>
      <c r="CL730" s="4295"/>
      <c r="CM730" s="4295"/>
      <c r="CN730" s="4295"/>
      <c r="CO730" s="4295"/>
      <c r="CP730" s="4295"/>
      <c r="CQ730" s="4295"/>
      <c r="CR730" s="4295"/>
      <c r="CS730" s="4295"/>
      <c r="CT730" s="4295"/>
      <c r="CU730" s="4295"/>
      <c r="CV730" s="4295"/>
      <c r="CW730" s="4295"/>
      <c r="CX730" s="4295"/>
      <c r="CY730" s="4295"/>
      <c r="CZ730" s="4295"/>
      <c r="DA730" s="4295"/>
      <c r="DB730" s="4295"/>
      <c r="DC730" s="4295"/>
      <c r="DD730" s="4295"/>
      <c r="DE730" s="4295"/>
      <c r="DF730" s="4295"/>
      <c r="DG730" s="4295"/>
      <c r="DH730" s="4295"/>
      <c r="DI730" s="4295"/>
      <c r="DJ730" s="4295"/>
      <c r="DK730" s="4295"/>
      <c r="DL730" s="4295"/>
      <c r="DM730" s="4295"/>
      <c r="DN730" s="4295"/>
      <c r="DO730" s="4295"/>
      <c r="DP730" s="4295"/>
      <c r="DQ730" s="4295"/>
      <c r="DR730" s="4295"/>
      <c r="DS730" s="4295"/>
    </row>
    <row r="731" s="4133" customFormat="1" ht="15" customHeight="1" spans="1:129">
      <c r="A731" s="4692"/>
      <c r="B731" s="4693"/>
      <c r="C731" s="4693"/>
      <c r="D731" s="4693"/>
      <c r="E731" s="4694"/>
      <c r="F731" s="4525" t="s">
        <v>5434</v>
      </c>
      <c r="G731" s="4525"/>
      <c r="H731" s="4525"/>
      <c r="I731" s="4525"/>
      <c r="J731" s="4525"/>
      <c r="K731" s="4525"/>
      <c r="L731" s="4525"/>
      <c r="M731" s="4295"/>
      <c r="N731" s="4295"/>
      <c r="O731" s="4295"/>
      <c r="P731" s="4295"/>
      <c r="Q731" s="4295"/>
      <c r="R731" s="4295"/>
      <c r="S731" s="4295"/>
      <c r="T731" s="4295"/>
      <c r="U731" s="4653"/>
      <c r="V731" s="4295"/>
      <c r="W731" s="4295"/>
      <c r="X731" s="4295"/>
      <c r="Y731" s="4653"/>
      <c r="Z731" s="4653"/>
      <c r="AA731" s="4653"/>
      <c r="AB731" s="4295"/>
      <c r="AC731" s="4295"/>
      <c r="AD731" s="4653"/>
      <c r="AE731" s="4653"/>
      <c r="AF731" s="4653"/>
      <c r="AG731" s="4295"/>
      <c r="AH731" s="4295"/>
      <c r="AI731" s="4295"/>
      <c r="AJ731" s="4295"/>
      <c r="AK731" s="4295"/>
      <c r="AL731" s="4295"/>
      <c r="AM731" s="4295"/>
      <c r="AN731" s="4295"/>
      <c r="AO731" s="4295"/>
      <c r="AP731" s="4295"/>
      <c r="AQ731" s="4295"/>
      <c r="AR731" s="4295"/>
      <c r="AS731" s="4295"/>
      <c r="AT731" s="4295"/>
      <c r="AU731" s="4295"/>
      <c r="AV731" s="4295"/>
      <c r="AW731" s="4295"/>
      <c r="AX731" s="4295"/>
      <c r="AY731" s="4295"/>
      <c r="AZ731" s="4295"/>
      <c r="BA731" s="4295"/>
      <c r="BB731" s="4295"/>
      <c r="BC731" s="4295"/>
      <c r="BD731" s="4295"/>
      <c r="BE731" s="4295"/>
      <c r="BF731" s="4295"/>
      <c r="BG731" s="4295"/>
      <c r="BH731" s="4295"/>
      <c r="BI731" s="4295"/>
      <c r="BJ731" s="4295"/>
      <c r="BK731" s="4295"/>
      <c r="BL731" s="4295"/>
      <c r="BM731" s="4295"/>
      <c r="BN731" s="4295"/>
      <c r="BO731" s="4295"/>
      <c r="BP731" s="4295"/>
      <c r="BQ731" s="4295"/>
      <c r="BR731" s="4295"/>
      <c r="BS731" s="4295"/>
      <c r="BT731" s="4295"/>
      <c r="BU731" s="4295"/>
      <c r="BV731" s="4295"/>
      <c r="BW731" s="4295"/>
      <c r="BX731" s="4295"/>
      <c r="BY731" s="4295"/>
      <c r="BZ731" s="4295"/>
      <c r="CA731" s="4295"/>
      <c r="CB731" s="4295"/>
      <c r="CC731" s="4295"/>
      <c r="CD731" s="4295"/>
      <c r="CE731" s="4295"/>
      <c r="CF731" s="4295"/>
      <c r="CG731" s="4295"/>
      <c r="CH731" s="4295"/>
      <c r="CI731" s="4295"/>
      <c r="CJ731" s="4295"/>
      <c r="CK731" s="4295"/>
      <c r="CL731" s="4295"/>
      <c r="CM731" s="4295"/>
      <c r="CN731" s="4295"/>
      <c r="CO731" s="4295"/>
      <c r="CP731" s="4295"/>
      <c r="CQ731" s="4295"/>
      <c r="CR731" s="4295"/>
      <c r="CS731" s="4295"/>
      <c r="CT731" s="4295"/>
      <c r="CU731" s="4295"/>
      <c r="CV731" s="4295"/>
      <c r="CW731" s="4295"/>
      <c r="CX731" s="4295"/>
      <c r="CY731" s="4295"/>
      <c r="CZ731" s="4295"/>
      <c r="DA731" s="4295"/>
      <c r="DB731" s="4295"/>
      <c r="DC731" s="4295"/>
      <c r="DD731" s="4295"/>
      <c r="DE731" s="4295"/>
      <c r="DF731" s="4295"/>
      <c r="DG731" s="4295"/>
      <c r="DH731" s="4295"/>
      <c r="DI731" s="4295"/>
      <c r="DJ731" s="4295"/>
      <c r="DK731" s="4295"/>
      <c r="DL731" s="4295"/>
      <c r="DM731" s="4295"/>
      <c r="DN731" s="4295"/>
      <c r="DO731" s="4295"/>
      <c r="DP731" s="4295"/>
      <c r="DQ731" s="4295"/>
      <c r="DR731" s="4295"/>
      <c r="DS731" s="4295"/>
    </row>
    <row r="732" s="4134" customFormat="1" ht="17.25" customHeight="1" spans="1:129">
      <c r="A732" s="4657" t="s">
        <v>5435</v>
      </c>
      <c r="B732" s="4567"/>
      <c r="C732" s="4567"/>
      <c r="D732" s="4567"/>
      <c r="E732" s="4567"/>
      <c r="F732" s="4534"/>
      <c r="G732" s="4535"/>
      <c r="H732" s="4535"/>
      <c r="I732" s="4535"/>
      <c r="J732" s="4535"/>
      <c r="K732" s="4535"/>
      <c r="L732" s="4536"/>
      <c r="M732" s="4317"/>
      <c r="N732" s="4317"/>
      <c r="O732" s="4317"/>
      <c r="P732" s="4317"/>
      <c r="Q732" s="4317"/>
      <c r="R732" s="4317"/>
      <c r="S732" s="4317"/>
      <c r="T732" s="4319" t="s">
        <v>5436</v>
      </c>
      <c r="U732" s="4653"/>
      <c r="V732" s="4295"/>
      <c r="W732" s="4295"/>
      <c r="X732" s="4295"/>
      <c r="Y732" s="4653"/>
      <c r="Z732" s="4653"/>
      <c r="AA732" s="4653"/>
      <c r="AB732" s="4317"/>
      <c r="AC732" s="4295"/>
      <c r="AD732" s="4653"/>
      <c r="AE732" s="4653"/>
      <c r="AF732" s="4653"/>
      <c r="AG732" s="4317"/>
      <c r="AH732" s="4317"/>
      <c r="AI732" s="4317"/>
      <c r="AJ732" s="4317"/>
      <c r="AK732" s="4317"/>
      <c r="AL732" s="4317"/>
      <c r="AM732" s="4317"/>
      <c r="AN732" s="4317"/>
      <c r="AO732" s="4317"/>
      <c r="AP732" s="4317"/>
      <c r="AQ732" s="4317"/>
      <c r="AR732" s="4317"/>
      <c r="AS732" s="4317"/>
      <c r="AT732" s="4317"/>
      <c r="AU732" s="4317"/>
      <c r="AV732" s="4317"/>
      <c r="AW732" s="4317"/>
      <c r="AX732" s="4317"/>
      <c r="AY732" s="4317"/>
      <c r="AZ732" s="4317"/>
      <c r="BA732" s="4317"/>
      <c r="BB732" s="4317"/>
      <c r="BC732" s="4317"/>
      <c r="BD732" s="4317"/>
      <c r="BE732" s="4317"/>
      <c r="BF732" s="4317"/>
      <c r="BG732" s="4317"/>
      <c r="BH732" s="4317"/>
      <c r="BI732" s="4317"/>
      <c r="BJ732" s="4317"/>
      <c r="BK732" s="4317"/>
      <c r="BL732" s="4317"/>
      <c r="BM732" s="4317"/>
      <c r="BN732" s="4317"/>
      <c r="BO732" s="4317"/>
      <c r="BP732" s="4317"/>
      <c r="BQ732" s="4317"/>
      <c r="BR732" s="4317"/>
      <c r="BS732" s="4317"/>
      <c r="BT732" s="4317"/>
      <c r="BU732" s="4317"/>
      <c r="BV732" s="4317"/>
      <c r="BW732" s="4317"/>
      <c r="BX732" s="4317"/>
      <c r="BY732" s="4317"/>
      <c r="BZ732" s="4317"/>
      <c r="CA732" s="4317"/>
      <c r="CB732" s="4317"/>
      <c r="CC732" s="4317"/>
      <c r="CD732" s="4317"/>
      <c r="CE732" s="4317"/>
      <c r="CF732" s="4317"/>
      <c r="CG732" s="4317"/>
      <c r="CH732" s="4317"/>
      <c r="CI732" s="4317"/>
      <c r="CJ732" s="4317"/>
      <c r="CK732" s="4317"/>
      <c r="CL732" s="4317"/>
      <c r="CM732" s="4317"/>
      <c r="CN732" s="4317"/>
      <c r="CO732" s="4317"/>
      <c r="CP732" s="4317"/>
      <c r="CQ732" s="4317"/>
      <c r="CR732" s="4317"/>
      <c r="CS732" s="4317"/>
      <c r="CT732" s="4317"/>
      <c r="CU732" s="4317"/>
      <c r="CV732" s="4317"/>
      <c r="CW732" s="4317"/>
      <c r="CX732" s="4317"/>
      <c r="CY732" s="4317"/>
      <c r="CZ732" s="4317"/>
      <c r="DA732" s="4317"/>
      <c r="DB732" s="4317"/>
      <c r="DC732" s="4317"/>
      <c r="DD732" s="4317"/>
      <c r="DE732" s="4317"/>
      <c r="DF732" s="4317"/>
      <c r="DG732" s="4317"/>
      <c r="DH732" s="4317"/>
      <c r="DI732" s="4317"/>
      <c r="DJ732" s="4317"/>
      <c r="DK732" s="4317"/>
      <c r="DL732" s="4317"/>
      <c r="DM732" s="4317"/>
      <c r="DN732" s="4317"/>
      <c r="DO732" s="4317"/>
      <c r="DP732" s="4317"/>
      <c r="DQ732" s="4317"/>
      <c r="DR732" s="4317"/>
      <c r="DS732" s="4317"/>
      <c r="DT732" s="4133"/>
      <c r="DU732" s="4133"/>
      <c r="DV732" s="4133"/>
      <c r="DW732" s="4133"/>
      <c r="DX732" s="4133"/>
      <c r="DY732" s="4133"/>
    </row>
    <row r="733" s="4134" customFormat="1" ht="17.25" customHeight="1" spans="1:129">
      <c r="A733" s="4657" t="s">
        <v>5437</v>
      </c>
      <c r="B733" s="4567"/>
      <c r="C733" s="4567"/>
      <c r="D733" s="4567"/>
      <c r="E733" s="4567"/>
      <c r="F733" s="4534">
        <v>350000</v>
      </c>
      <c r="G733" s="4535"/>
      <c r="H733" s="4535"/>
      <c r="I733" s="4535"/>
      <c r="J733" s="4535"/>
      <c r="K733" s="4535"/>
      <c r="L733" s="4536"/>
      <c r="M733" s="4317"/>
      <c r="N733" s="4317"/>
      <c r="O733" s="4317"/>
      <c r="P733" s="4317"/>
      <c r="Q733" s="4317"/>
      <c r="R733" s="4317"/>
      <c r="S733" s="4317"/>
      <c r="T733" s="4319" t="s">
        <v>5438</v>
      </c>
      <c r="U733" s="4653"/>
      <c r="V733" s="4295"/>
      <c r="W733" s="4295"/>
      <c r="X733" s="4295"/>
      <c r="Y733" s="4653"/>
      <c r="Z733" s="4653"/>
      <c r="AA733" s="4653"/>
      <c r="AB733" s="4317"/>
      <c r="AC733" s="4295"/>
      <c r="AD733" s="4653"/>
      <c r="AE733" s="4653"/>
      <c r="AF733" s="4653"/>
      <c r="AG733" s="4317"/>
      <c r="AH733" s="4317"/>
      <c r="AI733" s="4317"/>
      <c r="AJ733" s="4317"/>
      <c r="AK733" s="4317"/>
      <c r="AL733" s="4317"/>
      <c r="AM733" s="4317"/>
      <c r="AN733" s="4317"/>
      <c r="AO733" s="4317"/>
      <c r="AP733" s="4317"/>
      <c r="AQ733" s="4317"/>
      <c r="AR733" s="4317"/>
      <c r="AS733" s="4317"/>
      <c r="AT733" s="4317"/>
      <c r="AU733" s="4317"/>
      <c r="AV733" s="4317"/>
      <c r="AW733" s="4317"/>
      <c r="AX733" s="4317"/>
      <c r="AY733" s="4317"/>
      <c r="AZ733" s="4317"/>
      <c r="BA733" s="4317"/>
      <c r="BB733" s="4317"/>
      <c r="BC733" s="4317"/>
      <c r="BD733" s="4317"/>
      <c r="BE733" s="4317"/>
      <c r="BF733" s="4317"/>
      <c r="BG733" s="4317"/>
      <c r="BH733" s="4317"/>
      <c r="BI733" s="4317"/>
      <c r="BJ733" s="4317"/>
      <c r="BK733" s="4317"/>
      <c r="BL733" s="4317"/>
      <c r="BM733" s="4317"/>
      <c r="BN733" s="4317"/>
      <c r="BO733" s="4317"/>
      <c r="BP733" s="4317"/>
      <c r="BQ733" s="4317"/>
      <c r="BR733" s="4317"/>
      <c r="BS733" s="4317"/>
      <c r="BT733" s="4317"/>
      <c r="BU733" s="4317"/>
      <c r="BV733" s="4317"/>
      <c r="BW733" s="4317"/>
      <c r="BX733" s="4317"/>
      <c r="BY733" s="4317"/>
      <c r="BZ733" s="4317"/>
      <c r="CA733" s="4317"/>
      <c r="CB733" s="4317"/>
      <c r="CC733" s="4317"/>
      <c r="CD733" s="4317"/>
      <c r="CE733" s="4317"/>
      <c r="CF733" s="4317"/>
      <c r="CG733" s="4317"/>
      <c r="CH733" s="4317"/>
      <c r="CI733" s="4317"/>
      <c r="CJ733" s="4317"/>
      <c r="CK733" s="4317"/>
      <c r="CL733" s="4317"/>
      <c r="CM733" s="4317"/>
      <c r="CN733" s="4317"/>
      <c r="CO733" s="4317"/>
      <c r="CP733" s="4317"/>
      <c r="CQ733" s="4317"/>
      <c r="CR733" s="4317"/>
      <c r="CS733" s="4317"/>
      <c r="CT733" s="4317"/>
      <c r="CU733" s="4317"/>
      <c r="CV733" s="4317"/>
      <c r="CW733" s="4317"/>
      <c r="CX733" s="4317"/>
      <c r="CY733" s="4317"/>
      <c r="CZ733" s="4317"/>
      <c r="DA733" s="4317"/>
      <c r="DB733" s="4317"/>
      <c r="DC733" s="4317"/>
      <c r="DD733" s="4317"/>
      <c r="DE733" s="4317"/>
      <c r="DF733" s="4317"/>
      <c r="DG733" s="4317"/>
      <c r="DH733" s="4317"/>
      <c r="DI733" s="4317"/>
      <c r="DJ733" s="4317"/>
      <c r="DK733" s="4317"/>
      <c r="DL733" s="4317"/>
      <c r="DM733" s="4317"/>
      <c r="DN733" s="4317"/>
      <c r="DO733" s="4317"/>
      <c r="DP733" s="4317"/>
      <c r="DQ733" s="4317"/>
      <c r="DR733" s="4317"/>
      <c r="DS733" s="4317"/>
      <c r="DT733" s="4133"/>
      <c r="DU733" s="4133"/>
      <c r="DV733" s="4133"/>
      <c r="DW733" s="4133"/>
      <c r="DX733" s="4133"/>
      <c r="DY733" s="4133"/>
    </row>
    <row r="734" s="4134" customFormat="1" ht="17.25" customHeight="1" spans="1:129">
      <c r="A734" s="4657" t="s">
        <v>5439</v>
      </c>
      <c r="B734" s="4567"/>
      <c r="C734" s="4567"/>
      <c r="D734" s="4567"/>
      <c r="E734" s="4567"/>
      <c r="F734" s="4534"/>
      <c r="G734" s="4535"/>
      <c r="H734" s="4535"/>
      <c r="I734" s="4535"/>
      <c r="J734" s="4535"/>
      <c r="K734" s="4535"/>
      <c r="L734" s="4536"/>
      <c r="M734" s="4317"/>
      <c r="N734" s="4317"/>
      <c r="O734" s="4317"/>
      <c r="P734" s="4317"/>
      <c r="Q734" s="4317"/>
      <c r="R734" s="4317"/>
      <c r="S734" s="4317"/>
      <c r="T734" s="4319" t="s">
        <v>5440</v>
      </c>
      <c r="U734" s="4653"/>
      <c r="V734" s="4295"/>
      <c r="W734" s="4295"/>
      <c r="X734" s="4295"/>
      <c r="Y734" s="4653"/>
      <c r="Z734" s="4653"/>
      <c r="AA734" s="4653"/>
      <c r="AB734" s="4317"/>
      <c r="AC734" s="4295"/>
      <c r="AD734" s="4653"/>
      <c r="AE734" s="4653"/>
      <c r="AF734" s="4653"/>
      <c r="AG734" s="4317"/>
      <c r="AH734" s="4317"/>
      <c r="AI734" s="4317"/>
      <c r="AJ734" s="4317"/>
      <c r="AK734" s="4317"/>
      <c r="AL734" s="4317"/>
      <c r="AM734" s="4317"/>
      <c r="AN734" s="4317"/>
      <c r="AO734" s="4317"/>
      <c r="AP734" s="4317"/>
      <c r="AQ734" s="4317"/>
      <c r="AR734" s="4317"/>
      <c r="AS734" s="4317"/>
      <c r="AT734" s="4317"/>
      <c r="AU734" s="4317"/>
      <c r="AV734" s="4317"/>
      <c r="AW734" s="4317"/>
      <c r="AX734" s="4317"/>
      <c r="AY734" s="4317"/>
      <c r="AZ734" s="4317"/>
      <c r="BA734" s="4317"/>
      <c r="BB734" s="4317"/>
      <c r="BC734" s="4317"/>
      <c r="BD734" s="4317"/>
      <c r="BE734" s="4317"/>
      <c r="BF734" s="4317"/>
      <c r="BG734" s="4317"/>
      <c r="BH734" s="4317"/>
      <c r="BI734" s="4317"/>
      <c r="BJ734" s="4317"/>
      <c r="BK734" s="4317"/>
      <c r="BL734" s="4317"/>
      <c r="BM734" s="4317"/>
      <c r="BN734" s="4317"/>
      <c r="BO734" s="4317"/>
      <c r="BP734" s="4317"/>
      <c r="BQ734" s="4317"/>
      <c r="BR734" s="4317"/>
      <c r="BS734" s="4317"/>
      <c r="BT734" s="4317"/>
      <c r="BU734" s="4317"/>
      <c r="BV734" s="4317"/>
      <c r="BW734" s="4317"/>
      <c r="BX734" s="4317"/>
      <c r="BY734" s="4317"/>
      <c r="BZ734" s="4317"/>
      <c r="CA734" s="4317"/>
      <c r="CB734" s="4317"/>
      <c r="CC734" s="4317"/>
      <c r="CD734" s="4317"/>
      <c r="CE734" s="4317"/>
      <c r="CF734" s="4317"/>
      <c r="CG734" s="4317"/>
      <c r="CH734" s="4317"/>
      <c r="CI734" s="4317"/>
      <c r="CJ734" s="4317"/>
      <c r="CK734" s="4317"/>
      <c r="CL734" s="4317"/>
      <c r="CM734" s="4317"/>
      <c r="CN734" s="4317"/>
      <c r="CO734" s="4317"/>
      <c r="CP734" s="4317"/>
      <c r="CQ734" s="4317"/>
      <c r="CR734" s="4317"/>
      <c r="CS734" s="4317"/>
      <c r="CT734" s="4317"/>
      <c r="CU734" s="4317"/>
      <c r="CV734" s="4317"/>
      <c r="CW734" s="4317"/>
      <c r="CX734" s="4317"/>
      <c r="CY734" s="4317"/>
      <c r="CZ734" s="4317"/>
      <c r="DA734" s="4317"/>
      <c r="DB734" s="4317"/>
      <c r="DC734" s="4317"/>
      <c r="DD734" s="4317"/>
      <c r="DE734" s="4317"/>
      <c r="DF734" s="4317"/>
      <c r="DG734" s="4317"/>
      <c r="DH734" s="4317"/>
      <c r="DI734" s="4317"/>
      <c r="DJ734" s="4317"/>
      <c r="DK734" s="4317"/>
      <c r="DL734" s="4317"/>
      <c r="DM734" s="4317"/>
      <c r="DN734" s="4317"/>
      <c r="DO734" s="4317"/>
      <c r="DP734" s="4317"/>
      <c r="DQ734" s="4317"/>
      <c r="DR734" s="4317"/>
      <c r="DS734" s="4317"/>
      <c r="DT734" s="4133"/>
      <c r="DU734" s="4133"/>
      <c r="DV734" s="4133"/>
      <c r="DW734" s="4133"/>
      <c r="DX734" s="4133"/>
      <c r="DY734" s="4133"/>
    </row>
    <row r="735" s="4134" customFormat="1" ht="17.25" customHeight="1" spans="1:129">
      <c r="A735" s="4657" t="s">
        <v>5441</v>
      </c>
      <c r="B735" s="4567"/>
      <c r="C735" s="4567"/>
      <c r="D735" s="4567"/>
      <c r="E735" s="4567"/>
      <c r="F735" s="4534"/>
      <c r="G735" s="4535"/>
      <c r="H735" s="4535"/>
      <c r="I735" s="4535"/>
      <c r="J735" s="4535"/>
      <c r="K735" s="4535"/>
      <c r="L735" s="4536"/>
      <c r="M735" s="4317"/>
      <c r="N735" s="4317"/>
      <c r="O735" s="4317"/>
      <c r="P735" s="4317"/>
      <c r="Q735" s="4317"/>
      <c r="R735" s="4317"/>
      <c r="S735" s="4317"/>
      <c r="T735" s="4319" t="s">
        <v>3167</v>
      </c>
      <c r="U735" s="4653"/>
      <c r="V735" s="4295"/>
      <c r="W735" s="4295"/>
      <c r="X735" s="4295"/>
      <c r="Y735" s="4653"/>
      <c r="Z735" s="4653"/>
      <c r="AA735" s="4653"/>
      <c r="AB735" s="4317"/>
      <c r="AC735" s="4295"/>
      <c r="AD735" s="4653"/>
      <c r="AE735" s="4653"/>
      <c r="AF735" s="4653"/>
      <c r="AG735" s="4317"/>
      <c r="AH735" s="4317"/>
      <c r="AI735" s="4317"/>
      <c r="AJ735" s="4317"/>
      <c r="AK735" s="4317"/>
      <c r="AL735" s="4317"/>
      <c r="AM735" s="4317"/>
      <c r="AN735" s="4317"/>
      <c r="AO735" s="4317"/>
      <c r="AP735" s="4317"/>
      <c r="AQ735" s="4317"/>
      <c r="AR735" s="4317"/>
      <c r="AS735" s="4317"/>
      <c r="AT735" s="4317"/>
      <c r="AU735" s="4317"/>
      <c r="AV735" s="4317"/>
      <c r="AW735" s="4317"/>
      <c r="AX735" s="4317"/>
      <c r="AY735" s="4317"/>
      <c r="AZ735" s="4317"/>
      <c r="BA735" s="4317"/>
      <c r="BB735" s="4317"/>
      <c r="BC735" s="4317"/>
      <c r="BD735" s="4317"/>
      <c r="BE735" s="4317"/>
      <c r="BF735" s="4317"/>
      <c r="BG735" s="4317"/>
      <c r="BH735" s="4317"/>
      <c r="BI735" s="4317"/>
      <c r="BJ735" s="4317"/>
      <c r="BK735" s="4317"/>
      <c r="BL735" s="4317"/>
      <c r="BM735" s="4317"/>
      <c r="BN735" s="4317"/>
      <c r="BO735" s="4317"/>
      <c r="BP735" s="4317"/>
      <c r="BQ735" s="4317"/>
      <c r="BR735" s="4317"/>
      <c r="BS735" s="4317"/>
      <c r="BT735" s="4317"/>
      <c r="BU735" s="4317"/>
      <c r="BV735" s="4317"/>
      <c r="BW735" s="4317"/>
      <c r="BX735" s="4317"/>
      <c r="BY735" s="4317"/>
      <c r="BZ735" s="4317"/>
      <c r="CA735" s="4317"/>
      <c r="CB735" s="4317"/>
      <c r="CC735" s="4317"/>
      <c r="CD735" s="4317"/>
      <c r="CE735" s="4317"/>
      <c r="CF735" s="4317"/>
      <c r="CG735" s="4317"/>
      <c r="CH735" s="4317"/>
      <c r="CI735" s="4317"/>
      <c r="CJ735" s="4317"/>
      <c r="CK735" s="4317"/>
      <c r="CL735" s="4317"/>
      <c r="CM735" s="4317"/>
      <c r="CN735" s="4317"/>
      <c r="CO735" s="4317"/>
      <c r="CP735" s="4317"/>
      <c r="CQ735" s="4317"/>
      <c r="CR735" s="4317"/>
      <c r="CS735" s="4317"/>
      <c r="CT735" s="4317"/>
      <c r="CU735" s="4317"/>
      <c r="CV735" s="4317"/>
      <c r="CW735" s="4317"/>
      <c r="CX735" s="4317"/>
      <c r="CY735" s="4317"/>
      <c r="CZ735" s="4317"/>
      <c r="DA735" s="4317"/>
      <c r="DB735" s="4317"/>
      <c r="DC735" s="4317"/>
      <c r="DD735" s="4317"/>
      <c r="DE735" s="4317"/>
      <c r="DF735" s="4317"/>
      <c r="DG735" s="4317"/>
      <c r="DH735" s="4317"/>
      <c r="DI735" s="4317"/>
      <c r="DJ735" s="4317"/>
      <c r="DK735" s="4317"/>
      <c r="DL735" s="4317"/>
      <c r="DM735" s="4317"/>
      <c r="DN735" s="4317"/>
      <c r="DO735" s="4317"/>
      <c r="DP735" s="4317"/>
      <c r="DQ735" s="4317"/>
      <c r="DR735" s="4317"/>
      <c r="DS735" s="4317"/>
      <c r="DT735" s="4133"/>
      <c r="DU735" s="4133"/>
      <c r="DV735" s="4133"/>
      <c r="DW735" s="4133"/>
      <c r="DX735" s="4133"/>
      <c r="DY735" s="4133"/>
    </row>
    <row r="736" s="4134" customFormat="1" ht="17.25" customHeight="1" spans="1:129">
      <c r="A736" s="4659" t="s">
        <v>665</v>
      </c>
      <c r="B736" s="4660"/>
      <c r="C736" s="4660"/>
      <c r="D736" s="4660"/>
      <c r="E736" s="4660"/>
      <c r="F736" s="4661">
        <f>SUM(F732:L735)</f>
        <v>350000</v>
      </c>
      <c r="G736" s="4661"/>
      <c r="H736" s="4661"/>
      <c r="I736" s="4661"/>
      <c r="J736" s="4661"/>
      <c r="K736" s="4661"/>
      <c r="L736" s="4661"/>
      <c r="M736" s="4317"/>
      <c r="N736" s="4317"/>
      <c r="O736" s="4317"/>
      <c r="P736" s="4317"/>
      <c r="Q736" s="4317"/>
      <c r="R736" s="4317"/>
      <c r="S736" s="4317"/>
      <c r="T736" s="4323" t="s">
        <v>5442</v>
      </c>
      <c r="U736" s="4653"/>
      <c r="V736" s="4295"/>
      <c r="W736" s="4295"/>
      <c r="X736" s="4295"/>
      <c r="Y736" s="4653"/>
      <c r="Z736" s="4653"/>
      <c r="AA736" s="4653"/>
      <c r="AB736" s="4317"/>
      <c r="AC736" s="4295"/>
      <c r="AD736" s="4653"/>
      <c r="AE736" s="4653"/>
      <c r="AF736" s="4653"/>
      <c r="AG736" s="4317"/>
      <c r="AH736" s="4317"/>
      <c r="AI736" s="4317"/>
      <c r="AJ736" s="4317"/>
      <c r="AK736" s="4317"/>
      <c r="AL736" s="4317"/>
      <c r="AM736" s="4317"/>
      <c r="AN736" s="4317"/>
      <c r="AO736" s="4317"/>
      <c r="AP736" s="4317"/>
      <c r="AQ736" s="4317"/>
      <c r="AR736" s="4317"/>
      <c r="AS736" s="4317"/>
      <c r="AT736" s="4317"/>
      <c r="AU736" s="4317"/>
      <c r="AV736" s="4317"/>
      <c r="AW736" s="4317"/>
      <c r="AX736" s="4317"/>
      <c r="AY736" s="4317"/>
      <c r="AZ736" s="4317"/>
      <c r="BA736" s="4317"/>
      <c r="BB736" s="4317"/>
      <c r="BC736" s="4317"/>
      <c r="BD736" s="4317"/>
      <c r="BE736" s="4317"/>
      <c r="BF736" s="4317"/>
      <c r="BG736" s="4317"/>
      <c r="BH736" s="4317"/>
      <c r="BI736" s="4317"/>
      <c r="BJ736" s="4317"/>
      <c r="BK736" s="4317"/>
      <c r="BL736" s="4317"/>
      <c r="BM736" s="4317"/>
      <c r="BN736" s="4317"/>
      <c r="BO736" s="4317"/>
      <c r="BP736" s="4317"/>
      <c r="BQ736" s="4317"/>
      <c r="BR736" s="4317"/>
      <c r="BS736" s="4317"/>
      <c r="BT736" s="4317"/>
      <c r="BU736" s="4317"/>
      <c r="BV736" s="4317"/>
      <c r="BW736" s="4317"/>
      <c r="BX736" s="4317"/>
      <c r="BY736" s="4317"/>
      <c r="BZ736" s="4317"/>
      <c r="CA736" s="4317"/>
      <c r="CB736" s="4317"/>
      <c r="CC736" s="4317"/>
      <c r="CD736" s="4317"/>
      <c r="CE736" s="4317"/>
      <c r="CF736" s="4317"/>
      <c r="CG736" s="4317"/>
      <c r="CH736" s="4317"/>
      <c r="CI736" s="4317"/>
      <c r="CJ736" s="4317"/>
      <c r="CK736" s="4317"/>
      <c r="CL736" s="4317"/>
      <c r="CM736" s="4317"/>
      <c r="CN736" s="4317"/>
      <c r="CO736" s="4317"/>
      <c r="CP736" s="4317"/>
      <c r="CQ736" s="4317"/>
      <c r="CR736" s="4317"/>
      <c r="CS736" s="4317"/>
      <c r="CT736" s="4317"/>
      <c r="CU736" s="4317"/>
      <c r="CV736" s="4317"/>
      <c r="CW736" s="4317"/>
      <c r="CX736" s="4317"/>
      <c r="CY736" s="4317"/>
      <c r="CZ736" s="4317"/>
      <c r="DA736" s="4317"/>
      <c r="DB736" s="4317"/>
      <c r="DC736" s="4317"/>
      <c r="DD736" s="4317"/>
      <c r="DE736" s="4317"/>
      <c r="DF736" s="4317"/>
      <c r="DG736" s="4317"/>
      <c r="DH736" s="4317"/>
      <c r="DI736" s="4317"/>
      <c r="DJ736" s="4317"/>
      <c r="DK736" s="4317"/>
      <c r="DL736" s="4317"/>
      <c r="DM736" s="4317"/>
      <c r="DN736" s="4317"/>
      <c r="DO736" s="4317"/>
      <c r="DP736" s="4317"/>
      <c r="DQ736" s="4317"/>
      <c r="DR736" s="4317"/>
      <c r="DS736" s="4317"/>
    </row>
    <row r="737" s="4134" customFormat="1" ht="17.25" customHeight="1" spans="1:123">
      <c r="A737" s="4662" t="s">
        <v>5443</v>
      </c>
      <c r="B737" s="4663"/>
      <c r="C737" s="4663"/>
      <c r="D737" s="4663"/>
      <c r="E737" s="4663"/>
      <c r="F737" s="4534"/>
      <c r="G737" s="4535"/>
      <c r="H737" s="4535"/>
      <c r="I737" s="4535"/>
      <c r="J737" s="4535"/>
      <c r="K737" s="4535"/>
      <c r="L737" s="4536"/>
      <c r="M737" s="4317"/>
      <c r="N737" s="4317"/>
      <c r="O737" s="4317"/>
      <c r="P737" s="4317"/>
      <c r="Q737" s="4317"/>
      <c r="R737" s="4317"/>
      <c r="S737" s="4317"/>
      <c r="T737" s="4319" t="s">
        <v>5444</v>
      </c>
      <c r="U737" s="4653"/>
      <c r="V737" s="4295"/>
      <c r="W737" s="4295"/>
      <c r="X737" s="4295"/>
      <c r="Y737" s="4653"/>
      <c r="Z737" s="4653"/>
      <c r="AA737" s="4653"/>
      <c r="AB737" s="4317"/>
      <c r="AC737" s="4295"/>
      <c r="AD737" s="4653"/>
      <c r="AE737" s="4653"/>
      <c r="AF737" s="4653"/>
      <c r="AG737" s="4317"/>
      <c r="AH737" s="4317"/>
      <c r="AI737" s="4317"/>
      <c r="AJ737" s="4317"/>
      <c r="AK737" s="4317"/>
      <c r="AL737" s="4317"/>
      <c r="AM737" s="4317"/>
      <c r="AN737" s="4317"/>
      <c r="AO737" s="4317"/>
      <c r="AP737" s="4317"/>
      <c r="AQ737" s="4317"/>
      <c r="AR737" s="4317"/>
      <c r="AS737" s="4317"/>
      <c r="AT737" s="4317"/>
      <c r="AU737" s="4317"/>
      <c r="AV737" s="4317"/>
      <c r="AW737" s="4317"/>
      <c r="AX737" s="4317"/>
      <c r="AY737" s="4317"/>
      <c r="AZ737" s="4317"/>
      <c r="BA737" s="4317"/>
      <c r="BB737" s="4317"/>
      <c r="BC737" s="4317"/>
      <c r="BD737" s="4317"/>
      <c r="BE737" s="4317"/>
      <c r="BF737" s="4317"/>
      <c r="BG737" s="4317"/>
      <c r="BH737" s="4317"/>
      <c r="BI737" s="4317"/>
      <c r="BJ737" s="4317"/>
      <c r="BK737" s="4317"/>
      <c r="BL737" s="4317"/>
      <c r="BM737" s="4317"/>
      <c r="BN737" s="4317"/>
      <c r="BO737" s="4317"/>
      <c r="BP737" s="4317"/>
      <c r="BQ737" s="4317"/>
      <c r="BR737" s="4317"/>
      <c r="BS737" s="4317"/>
      <c r="BT737" s="4317"/>
      <c r="BU737" s="4317"/>
      <c r="BV737" s="4317"/>
      <c r="BW737" s="4317"/>
      <c r="BX737" s="4317"/>
      <c r="BY737" s="4317"/>
      <c r="BZ737" s="4317"/>
      <c r="CA737" s="4317"/>
      <c r="CB737" s="4317"/>
      <c r="CC737" s="4317"/>
      <c r="CD737" s="4317"/>
      <c r="CE737" s="4317"/>
      <c r="CF737" s="4317"/>
      <c r="CG737" s="4317"/>
      <c r="CH737" s="4317"/>
      <c r="CI737" s="4317"/>
      <c r="CJ737" s="4317"/>
      <c r="CK737" s="4317"/>
      <c r="CL737" s="4317"/>
      <c r="CM737" s="4317"/>
      <c r="CN737" s="4317"/>
      <c r="CO737" s="4317"/>
      <c r="CP737" s="4317"/>
      <c r="CQ737" s="4317"/>
      <c r="CR737" s="4317"/>
      <c r="CS737" s="4317"/>
      <c r="CT737" s="4317"/>
      <c r="CU737" s="4317"/>
      <c r="CV737" s="4317"/>
      <c r="CW737" s="4317"/>
      <c r="CX737" s="4317"/>
      <c r="CY737" s="4317"/>
      <c r="CZ737" s="4317"/>
      <c r="DA737" s="4317"/>
      <c r="DB737" s="4317"/>
      <c r="DC737" s="4317"/>
      <c r="DD737" s="4317"/>
      <c r="DE737" s="4317"/>
      <c r="DF737" s="4317"/>
      <c r="DG737" s="4317"/>
      <c r="DH737" s="4317"/>
      <c r="DI737" s="4317"/>
      <c r="DJ737" s="4317"/>
      <c r="DK737" s="4317"/>
      <c r="DL737" s="4317"/>
      <c r="DM737" s="4317"/>
      <c r="DN737" s="4317"/>
      <c r="DO737" s="4317"/>
      <c r="DP737" s="4317"/>
      <c r="DQ737" s="4317"/>
      <c r="DR737" s="4317"/>
      <c r="DS737" s="4317"/>
    </row>
    <row r="738" s="4134" customFormat="1" ht="17.25" customHeight="1" spans="1:123">
      <c r="A738" s="4662" t="s">
        <v>5445</v>
      </c>
      <c r="B738" s="4663"/>
      <c r="C738" s="4663"/>
      <c r="D738" s="4663"/>
      <c r="E738" s="4663"/>
      <c r="F738" s="4534"/>
      <c r="G738" s="4535"/>
      <c r="H738" s="4535"/>
      <c r="I738" s="4535"/>
      <c r="J738" s="4535"/>
      <c r="K738" s="4535"/>
      <c r="L738" s="4536"/>
      <c r="M738" s="4317"/>
      <c r="N738" s="4317"/>
      <c r="O738" s="4317"/>
      <c r="P738" s="4317"/>
      <c r="Q738" s="4317"/>
      <c r="R738" s="4317"/>
      <c r="S738" s="4317"/>
      <c r="T738" s="4319" t="s">
        <v>5446</v>
      </c>
      <c r="U738" s="4653"/>
      <c r="V738" s="4295"/>
      <c r="W738" s="4295"/>
      <c r="X738" s="4295"/>
      <c r="Y738" s="4653"/>
      <c r="Z738" s="4653"/>
      <c r="AA738" s="4653"/>
      <c r="AB738" s="4317"/>
      <c r="AC738" s="4295"/>
      <c r="AD738" s="4653"/>
      <c r="AE738" s="4653"/>
      <c r="AF738" s="4653"/>
      <c r="AG738" s="4317"/>
      <c r="AH738" s="4317"/>
      <c r="AI738" s="4317"/>
      <c r="AJ738" s="4317"/>
      <c r="AK738" s="4317"/>
      <c r="AL738" s="4317"/>
      <c r="AM738" s="4317"/>
      <c r="AN738" s="4317"/>
      <c r="AO738" s="4317"/>
      <c r="AP738" s="4317"/>
      <c r="AQ738" s="4317"/>
      <c r="AR738" s="4317"/>
      <c r="AS738" s="4317"/>
      <c r="AT738" s="4317"/>
      <c r="AU738" s="4317"/>
      <c r="AV738" s="4317"/>
      <c r="AW738" s="4317"/>
      <c r="AX738" s="4317"/>
      <c r="AY738" s="4317"/>
      <c r="AZ738" s="4317"/>
      <c r="BA738" s="4317"/>
      <c r="BB738" s="4317"/>
      <c r="BC738" s="4317"/>
      <c r="BD738" s="4317"/>
      <c r="BE738" s="4317"/>
      <c r="BF738" s="4317"/>
      <c r="BG738" s="4317"/>
      <c r="BH738" s="4317"/>
      <c r="BI738" s="4317"/>
      <c r="BJ738" s="4317"/>
      <c r="BK738" s="4317"/>
      <c r="BL738" s="4317"/>
      <c r="BM738" s="4317"/>
      <c r="BN738" s="4317"/>
      <c r="BO738" s="4317"/>
      <c r="BP738" s="4317"/>
      <c r="BQ738" s="4317"/>
      <c r="BR738" s="4317"/>
      <c r="BS738" s="4317"/>
      <c r="BT738" s="4317"/>
      <c r="BU738" s="4317"/>
      <c r="BV738" s="4317"/>
      <c r="BW738" s="4317"/>
      <c r="BX738" s="4317"/>
      <c r="BY738" s="4317"/>
      <c r="BZ738" s="4317"/>
      <c r="CA738" s="4317"/>
      <c r="CB738" s="4317"/>
      <c r="CC738" s="4317"/>
      <c r="CD738" s="4317"/>
      <c r="CE738" s="4317"/>
      <c r="CF738" s="4317"/>
      <c r="CG738" s="4317"/>
      <c r="CH738" s="4317"/>
      <c r="CI738" s="4317"/>
      <c r="CJ738" s="4317"/>
      <c r="CK738" s="4317"/>
      <c r="CL738" s="4317"/>
      <c r="CM738" s="4317"/>
      <c r="CN738" s="4317"/>
      <c r="CO738" s="4317"/>
      <c r="CP738" s="4317"/>
      <c r="CQ738" s="4317"/>
      <c r="CR738" s="4317"/>
      <c r="CS738" s="4317"/>
      <c r="CT738" s="4317"/>
      <c r="CU738" s="4317"/>
      <c r="CV738" s="4317"/>
      <c r="CW738" s="4317"/>
      <c r="CX738" s="4317"/>
      <c r="CY738" s="4317"/>
      <c r="CZ738" s="4317"/>
      <c r="DA738" s="4317"/>
      <c r="DB738" s="4317"/>
      <c r="DC738" s="4317"/>
      <c r="DD738" s="4317"/>
      <c r="DE738" s="4317"/>
      <c r="DF738" s="4317"/>
      <c r="DG738" s="4317"/>
      <c r="DH738" s="4317"/>
      <c r="DI738" s="4317"/>
      <c r="DJ738" s="4317"/>
      <c r="DK738" s="4317"/>
      <c r="DL738" s="4317"/>
      <c r="DM738" s="4317"/>
      <c r="DN738" s="4317"/>
      <c r="DO738" s="4317"/>
      <c r="DP738" s="4317"/>
      <c r="DQ738" s="4317"/>
      <c r="DR738" s="4317"/>
      <c r="DS738" s="4317"/>
    </row>
    <row r="739" s="4134" customFormat="1" ht="17.25" customHeight="1" spans="1:123">
      <c r="A739" s="4657" t="s">
        <v>5447</v>
      </c>
      <c r="B739" s="4567"/>
      <c r="C739" s="4567"/>
      <c r="D739" s="4567"/>
      <c r="E739" s="4567"/>
      <c r="F739" s="4664">
        <f>SUM(F737:L738)</f>
        <v>0</v>
      </c>
      <c r="G739" s="4664"/>
      <c r="H739" s="4664"/>
      <c r="I739" s="4664"/>
      <c r="J739" s="4664"/>
      <c r="K739" s="4664"/>
      <c r="L739" s="4664"/>
      <c r="M739" s="4317"/>
      <c r="N739" s="4317"/>
      <c r="O739" s="4317"/>
      <c r="P739" s="4317"/>
      <c r="Q739" s="4317"/>
      <c r="R739" s="4317"/>
      <c r="S739" s="4317"/>
      <c r="T739" s="4319" t="s">
        <v>2694</v>
      </c>
      <c r="U739" s="4653"/>
      <c r="V739" s="4295"/>
      <c r="W739" s="4295"/>
      <c r="X739" s="4295"/>
      <c r="Y739" s="4653"/>
      <c r="Z739" s="4653"/>
      <c r="AA739" s="4653"/>
      <c r="AB739" s="4317"/>
      <c r="AC739" s="4295"/>
      <c r="AD739" s="4653"/>
      <c r="AE739" s="4653"/>
      <c r="AF739" s="4653"/>
      <c r="AG739" s="4317"/>
      <c r="AH739" s="4317"/>
      <c r="AI739" s="4317"/>
      <c r="AJ739" s="4317"/>
      <c r="AK739" s="4317"/>
      <c r="AL739" s="4317"/>
      <c r="AM739" s="4317"/>
      <c r="AN739" s="4317"/>
      <c r="AO739" s="4317"/>
      <c r="AP739" s="4317"/>
      <c r="AQ739" s="4317"/>
      <c r="AR739" s="4317"/>
      <c r="AS739" s="4317"/>
      <c r="AT739" s="4317"/>
      <c r="AU739" s="4317"/>
      <c r="AV739" s="4317"/>
      <c r="AW739" s="4317"/>
      <c r="AX739" s="4317"/>
      <c r="AY739" s="4317"/>
      <c r="AZ739" s="4317"/>
      <c r="BA739" s="4317"/>
      <c r="BB739" s="4317"/>
      <c r="BC739" s="4317"/>
      <c r="BD739" s="4317"/>
      <c r="BE739" s="4317"/>
      <c r="BF739" s="4317"/>
      <c r="BG739" s="4317"/>
      <c r="BH739" s="4317"/>
      <c r="BI739" s="4317"/>
      <c r="BJ739" s="4317"/>
      <c r="BK739" s="4317"/>
      <c r="BL739" s="4317"/>
      <c r="BM739" s="4317"/>
      <c r="BN739" s="4317"/>
      <c r="BO739" s="4317"/>
      <c r="BP739" s="4317"/>
      <c r="BQ739" s="4317"/>
      <c r="BR739" s="4317"/>
      <c r="BS739" s="4317"/>
      <c r="BT739" s="4317"/>
      <c r="BU739" s="4317"/>
      <c r="BV739" s="4317"/>
      <c r="BW739" s="4317"/>
      <c r="BX739" s="4317"/>
      <c r="BY739" s="4317"/>
      <c r="BZ739" s="4317"/>
      <c r="CA739" s="4317"/>
      <c r="CB739" s="4317"/>
      <c r="CC739" s="4317"/>
      <c r="CD739" s="4317"/>
      <c r="CE739" s="4317"/>
      <c r="CF739" s="4317"/>
      <c r="CG739" s="4317"/>
      <c r="CH739" s="4317"/>
      <c r="CI739" s="4317"/>
      <c r="CJ739" s="4317"/>
      <c r="CK739" s="4317"/>
      <c r="CL739" s="4317"/>
      <c r="CM739" s="4317"/>
      <c r="CN739" s="4317"/>
      <c r="CO739" s="4317"/>
      <c r="CP739" s="4317"/>
      <c r="CQ739" s="4317"/>
      <c r="CR739" s="4317"/>
      <c r="CS739" s="4317"/>
      <c r="CT739" s="4317"/>
      <c r="CU739" s="4317"/>
      <c r="CV739" s="4317"/>
      <c r="CW739" s="4317"/>
      <c r="CX739" s="4317"/>
      <c r="CY739" s="4317"/>
      <c r="CZ739" s="4317"/>
      <c r="DA739" s="4317"/>
      <c r="DB739" s="4317"/>
      <c r="DC739" s="4317"/>
      <c r="DD739" s="4317"/>
      <c r="DE739" s="4317"/>
      <c r="DF739" s="4317"/>
      <c r="DG739" s="4317"/>
      <c r="DH739" s="4317"/>
      <c r="DI739" s="4317"/>
      <c r="DJ739" s="4317"/>
      <c r="DK739" s="4317"/>
      <c r="DL739" s="4317"/>
      <c r="DM739" s="4317"/>
      <c r="DN739" s="4317"/>
      <c r="DO739" s="4317"/>
      <c r="DP739" s="4317"/>
      <c r="DQ739" s="4317"/>
      <c r="DR739" s="4317"/>
      <c r="DS739" s="4317"/>
    </row>
    <row r="740" s="4134" customFormat="1" ht="17.25" customHeight="1" spans="1:123">
      <c r="A740" s="4657" t="s">
        <v>5448</v>
      </c>
      <c r="B740" s="4567"/>
      <c r="C740" s="4567"/>
      <c r="D740" s="4567"/>
      <c r="E740" s="4567"/>
      <c r="F740" s="4534"/>
      <c r="G740" s="4535"/>
      <c r="H740" s="4535"/>
      <c r="I740" s="4535"/>
      <c r="J740" s="4535"/>
      <c r="K740" s="4535"/>
      <c r="L740" s="4536"/>
      <c r="M740" s="4317"/>
      <c r="N740" s="4317"/>
      <c r="O740" s="4317"/>
      <c r="P740" s="4317"/>
      <c r="Q740" s="4317"/>
      <c r="R740" s="4317"/>
      <c r="S740" s="4317"/>
      <c r="T740" s="4319" t="s">
        <v>5449</v>
      </c>
      <c r="U740" s="4653"/>
      <c r="V740" s="4295"/>
      <c r="W740" s="4295"/>
      <c r="X740" s="4295"/>
      <c r="Y740" s="4653"/>
      <c r="Z740" s="4653"/>
      <c r="AA740" s="4653"/>
      <c r="AB740" s="4317"/>
      <c r="AC740" s="4295"/>
      <c r="AD740" s="4653"/>
      <c r="AE740" s="4653"/>
      <c r="AF740" s="4653"/>
      <c r="AG740" s="4317"/>
      <c r="AH740" s="4317"/>
      <c r="AI740" s="4317"/>
      <c r="AJ740" s="4317"/>
      <c r="AK740" s="4317"/>
      <c r="AL740" s="4317"/>
      <c r="AM740" s="4317"/>
      <c r="AN740" s="4317"/>
      <c r="AO740" s="4317"/>
      <c r="AP740" s="4317"/>
      <c r="AQ740" s="4317"/>
      <c r="AR740" s="4317"/>
      <c r="AS740" s="4317"/>
      <c r="AT740" s="4317"/>
      <c r="AU740" s="4317"/>
      <c r="AV740" s="4317"/>
      <c r="AW740" s="4317"/>
      <c r="AX740" s="4317"/>
      <c r="AY740" s="4317"/>
      <c r="AZ740" s="4317"/>
      <c r="BA740" s="4317"/>
      <c r="BB740" s="4317"/>
      <c r="BC740" s="4317"/>
      <c r="BD740" s="4317"/>
      <c r="BE740" s="4317"/>
      <c r="BF740" s="4317"/>
      <c r="BG740" s="4317"/>
      <c r="BH740" s="4317"/>
      <c r="BI740" s="4317"/>
      <c r="BJ740" s="4317"/>
      <c r="BK740" s="4317"/>
      <c r="BL740" s="4317"/>
      <c r="BM740" s="4317"/>
      <c r="BN740" s="4317"/>
      <c r="BO740" s="4317"/>
      <c r="BP740" s="4317"/>
      <c r="BQ740" s="4317"/>
      <c r="BR740" s="4317"/>
      <c r="BS740" s="4317"/>
      <c r="BT740" s="4317"/>
      <c r="BU740" s="4317"/>
      <c r="BV740" s="4317"/>
      <c r="BW740" s="4317"/>
      <c r="BX740" s="4317"/>
      <c r="BY740" s="4317"/>
      <c r="BZ740" s="4317"/>
      <c r="CA740" s="4317"/>
      <c r="CB740" s="4317"/>
      <c r="CC740" s="4317"/>
      <c r="CD740" s="4317"/>
      <c r="CE740" s="4317"/>
      <c r="CF740" s="4317"/>
      <c r="CG740" s="4317"/>
      <c r="CH740" s="4317"/>
      <c r="CI740" s="4317"/>
      <c r="CJ740" s="4317"/>
      <c r="CK740" s="4317"/>
      <c r="CL740" s="4317"/>
      <c r="CM740" s="4317"/>
      <c r="CN740" s="4317"/>
      <c r="CO740" s="4317"/>
      <c r="CP740" s="4317"/>
      <c r="CQ740" s="4317"/>
      <c r="CR740" s="4317"/>
      <c r="CS740" s="4317"/>
      <c r="CT740" s="4317"/>
      <c r="CU740" s="4317"/>
      <c r="CV740" s="4317"/>
      <c r="CW740" s="4317"/>
      <c r="CX740" s="4317"/>
      <c r="CY740" s="4317"/>
      <c r="CZ740" s="4317"/>
      <c r="DA740" s="4317"/>
      <c r="DB740" s="4317"/>
      <c r="DC740" s="4317"/>
      <c r="DD740" s="4317"/>
      <c r="DE740" s="4317"/>
      <c r="DF740" s="4317"/>
      <c r="DG740" s="4317"/>
      <c r="DH740" s="4317"/>
      <c r="DI740" s="4317"/>
      <c r="DJ740" s="4317"/>
      <c r="DK740" s="4317"/>
      <c r="DL740" s="4317"/>
      <c r="DM740" s="4317"/>
      <c r="DN740" s="4317"/>
      <c r="DO740" s="4317"/>
      <c r="DP740" s="4317"/>
      <c r="DQ740" s="4317"/>
      <c r="DR740" s="4317"/>
      <c r="DS740" s="4317"/>
    </row>
    <row r="741" s="4134" customFormat="1" ht="17.25" customHeight="1" spans="1:123">
      <c r="A741" s="4657" t="s">
        <v>5450</v>
      </c>
      <c r="B741" s="4567"/>
      <c r="C741" s="4567"/>
      <c r="D741" s="4567"/>
      <c r="E741" s="4567"/>
      <c r="F741" s="4534">
        <v>18462</v>
      </c>
      <c r="G741" s="4535"/>
      <c r="H741" s="4535"/>
      <c r="I741" s="4535"/>
      <c r="J741" s="4535"/>
      <c r="K741" s="4535"/>
      <c r="L741" s="4536"/>
      <c r="M741" s="4317"/>
      <c r="N741" s="4317"/>
      <c r="O741" s="4317"/>
      <c r="P741" s="4317"/>
      <c r="Q741" s="4317"/>
      <c r="R741" s="4317"/>
      <c r="S741" s="4317"/>
      <c r="T741" s="4319" t="s">
        <v>3173</v>
      </c>
      <c r="U741" s="4653"/>
      <c r="V741" s="4295"/>
      <c r="W741" s="4295"/>
      <c r="X741" s="4295"/>
      <c r="Y741" s="4653"/>
      <c r="Z741" s="4653"/>
      <c r="AA741" s="4653"/>
      <c r="AB741" s="4317"/>
      <c r="AC741" s="4295"/>
      <c r="AD741" s="4653"/>
      <c r="AE741" s="4653"/>
      <c r="AF741" s="4653"/>
      <c r="AG741" s="4317"/>
      <c r="AH741" s="4317"/>
      <c r="AI741" s="4317"/>
      <c r="AJ741" s="4317"/>
      <c r="AK741" s="4317"/>
      <c r="AL741" s="4317"/>
      <c r="AM741" s="4317"/>
      <c r="AN741" s="4317"/>
      <c r="AO741" s="4317"/>
      <c r="AP741" s="4317"/>
      <c r="AQ741" s="4317"/>
      <c r="AR741" s="4317"/>
      <c r="AS741" s="4317"/>
      <c r="AT741" s="4317"/>
      <c r="AU741" s="4317"/>
      <c r="AV741" s="4317"/>
      <c r="AW741" s="4317"/>
      <c r="AX741" s="4317"/>
      <c r="AY741" s="4317"/>
      <c r="AZ741" s="4317"/>
      <c r="BA741" s="4317"/>
      <c r="BB741" s="4317"/>
      <c r="BC741" s="4317"/>
      <c r="BD741" s="4317"/>
      <c r="BE741" s="4317"/>
      <c r="BF741" s="4317"/>
      <c r="BG741" s="4317"/>
      <c r="BH741" s="4317"/>
      <c r="BI741" s="4317"/>
      <c r="BJ741" s="4317"/>
      <c r="BK741" s="4317"/>
      <c r="BL741" s="4317"/>
      <c r="BM741" s="4317"/>
      <c r="BN741" s="4317"/>
      <c r="BO741" s="4317"/>
      <c r="BP741" s="4317"/>
      <c r="BQ741" s="4317"/>
      <c r="BR741" s="4317"/>
      <c r="BS741" s="4317"/>
      <c r="BT741" s="4317"/>
      <c r="BU741" s="4317"/>
      <c r="BV741" s="4317"/>
      <c r="BW741" s="4317"/>
      <c r="BX741" s="4317"/>
      <c r="BY741" s="4317"/>
      <c r="BZ741" s="4317"/>
      <c r="CA741" s="4317"/>
      <c r="CB741" s="4317"/>
      <c r="CC741" s="4317"/>
      <c r="CD741" s="4317"/>
      <c r="CE741" s="4317"/>
      <c r="CF741" s="4317"/>
      <c r="CG741" s="4317"/>
      <c r="CH741" s="4317"/>
      <c r="CI741" s="4317"/>
      <c r="CJ741" s="4317"/>
      <c r="CK741" s="4317"/>
      <c r="CL741" s="4317"/>
      <c r="CM741" s="4317"/>
      <c r="CN741" s="4317"/>
      <c r="CO741" s="4317"/>
      <c r="CP741" s="4317"/>
      <c r="CQ741" s="4317"/>
      <c r="CR741" s="4317"/>
      <c r="CS741" s="4317"/>
      <c r="CT741" s="4317"/>
      <c r="CU741" s="4317"/>
      <c r="CV741" s="4317"/>
      <c r="CW741" s="4317"/>
      <c r="CX741" s="4317"/>
      <c r="CY741" s="4317"/>
      <c r="CZ741" s="4317"/>
      <c r="DA741" s="4317"/>
      <c r="DB741" s="4317"/>
      <c r="DC741" s="4317"/>
      <c r="DD741" s="4317"/>
      <c r="DE741" s="4317"/>
      <c r="DF741" s="4317"/>
      <c r="DG741" s="4317"/>
      <c r="DH741" s="4317"/>
      <c r="DI741" s="4317"/>
      <c r="DJ741" s="4317"/>
      <c r="DK741" s="4317"/>
      <c r="DL741" s="4317"/>
      <c r="DM741" s="4317"/>
      <c r="DN741" s="4317"/>
      <c r="DO741" s="4317"/>
      <c r="DP741" s="4317"/>
      <c r="DQ741" s="4317"/>
      <c r="DR741" s="4317"/>
      <c r="DS741" s="4317"/>
    </row>
    <row r="742" s="4134" customFormat="1" ht="17.25" customHeight="1" spans="1:123">
      <c r="A742" s="4659" t="s">
        <v>683</v>
      </c>
      <c r="B742" s="4660"/>
      <c r="C742" s="4660"/>
      <c r="D742" s="4660"/>
      <c r="E742" s="4660"/>
      <c r="F742" s="4661">
        <f>SUM(F739:L741)</f>
        <v>18462</v>
      </c>
      <c r="G742" s="4661"/>
      <c r="H742" s="4661"/>
      <c r="I742" s="4661"/>
      <c r="J742" s="4661"/>
      <c r="K742" s="4661"/>
      <c r="L742" s="4661"/>
      <c r="M742" s="4317"/>
      <c r="N742" s="4317"/>
      <c r="O742" s="4317"/>
      <c r="P742" s="4317"/>
      <c r="Q742" s="4317"/>
      <c r="R742" s="4317"/>
      <c r="S742" s="4317"/>
      <c r="T742" s="4323" t="s">
        <v>5451</v>
      </c>
      <c r="U742" s="4653"/>
      <c r="V742" s="4295"/>
      <c r="W742" s="4295"/>
      <c r="X742" s="4295"/>
      <c r="Y742" s="4653"/>
      <c r="Z742" s="4653"/>
      <c r="AA742" s="4653"/>
      <c r="AB742" s="4317"/>
      <c r="AC742" s="4295"/>
      <c r="AD742" s="4653"/>
      <c r="AE742" s="4653"/>
      <c r="AF742" s="4653"/>
      <c r="AG742" s="4317"/>
      <c r="AH742" s="4317"/>
      <c r="AI742" s="4317"/>
      <c r="AJ742" s="4317"/>
      <c r="AK742" s="4317"/>
      <c r="AL742" s="4317"/>
      <c r="AM742" s="4317"/>
      <c r="AN742" s="4317"/>
      <c r="AO742" s="4317"/>
      <c r="AP742" s="4317"/>
      <c r="AQ742" s="4317"/>
      <c r="AR742" s="4317"/>
      <c r="AS742" s="4317"/>
      <c r="AT742" s="4317"/>
      <c r="AU742" s="4317"/>
      <c r="AV742" s="4317"/>
      <c r="AW742" s="4317"/>
      <c r="AX742" s="4317"/>
      <c r="AY742" s="4317"/>
      <c r="AZ742" s="4317"/>
      <c r="BA742" s="4317"/>
      <c r="BB742" s="4317"/>
      <c r="BC742" s="4317"/>
      <c r="BD742" s="4317"/>
      <c r="BE742" s="4317"/>
      <c r="BF742" s="4317"/>
      <c r="BG742" s="4317"/>
      <c r="BH742" s="4317"/>
      <c r="BI742" s="4317"/>
      <c r="BJ742" s="4317"/>
      <c r="BK742" s="4317"/>
      <c r="BL742" s="4317"/>
      <c r="BM742" s="4317"/>
      <c r="BN742" s="4317"/>
      <c r="BO742" s="4317"/>
      <c r="BP742" s="4317"/>
      <c r="BQ742" s="4317"/>
      <c r="BR742" s="4317"/>
      <c r="BS742" s="4317"/>
      <c r="BT742" s="4317"/>
      <c r="BU742" s="4317"/>
      <c r="BV742" s="4317"/>
      <c r="BW742" s="4317"/>
      <c r="BX742" s="4317"/>
      <c r="BY742" s="4317"/>
      <c r="BZ742" s="4317"/>
      <c r="CA742" s="4317"/>
      <c r="CB742" s="4317"/>
      <c r="CC742" s="4317"/>
      <c r="CD742" s="4317"/>
      <c r="CE742" s="4317"/>
      <c r="CF742" s="4317"/>
      <c r="CG742" s="4317"/>
      <c r="CH742" s="4317"/>
      <c r="CI742" s="4317"/>
      <c r="CJ742" s="4317"/>
      <c r="CK742" s="4317"/>
      <c r="CL742" s="4317"/>
      <c r="CM742" s="4317"/>
      <c r="CN742" s="4317"/>
      <c r="CO742" s="4317"/>
      <c r="CP742" s="4317"/>
      <c r="CQ742" s="4317"/>
      <c r="CR742" s="4317"/>
      <c r="CS742" s="4317"/>
      <c r="CT742" s="4317"/>
      <c r="CU742" s="4317"/>
      <c r="CV742" s="4317"/>
      <c r="CW742" s="4317"/>
      <c r="CX742" s="4317"/>
      <c r="CY742" s="4317"/>
      <c r="CZ742" s="4317"/>
      <c r="DA742" s="4317"/>
      <c r="DB742" s="4317"/>
      <c r="DC742" s="4317"/>
      <c r="DD742" s="4317"/>
      <c r="DE742" s="4317"/>
      <c r="DF742" s="4317"/>
      <c r="DG742" s="4317"/>
      <c r="DH742" s="4317"/>
      <c r="DI742" s="4317"/>
      <c r="DJ742" s="4317"/>
      <c r="DK742" s="4317"/>
      <c r="DL742" s="4317"/>
      <c r="DM742" s="4317"/>
      <c r="DN742" s="4317"/>
      <c r="DO742" s="4317"/>
      <c r="DP742" s="4317"/>
      <c r="DQ742" s="4317"/>
      <c r="DR742" s="4317"/>
      <c r="DS742" s="4317"/>
    </row>
    <row r="743" s="4134" customFormat="1" ht="17.25" customHeight="1" spans="1:123">
      <c r="A743" s="4657" t="s">
        <v>5101</v>
      </c>
      <c r="B743" s="4567"/>
      <c r="C743" s="4567"/>
      <c r="D743" s="4567"/>
      <c r="E743" s="4567"/>
      <c r="F743" s="4534"/>
      <c r="G743" s="4535"/>
      <c r="H743" s="4535"/>
      <c r="I743" s="4535"/>
      <c r="J743" s="4535"/>
      <c r="K743" s="4535"/>
      <c r="L743" s="4536"/>
      <c r="M743" s="4317"/>
      <c r="N743" s="4317"/>
      <c r="O743" s="4317"/>
      <c r="P743" s="4317"/>
      <c r="Q743" s="4317"/>
      <c r="R743" s="4317"/>
      <c r="S743" s="4317"/>
      <c r="T743" s="4319" t="s">
        <v>5452</v>
      </c>
      <c r="U743" s="4653"/>
      <c r="V743" s="4295"/>
      <c r="W743" s="4295"/>
      <c r="X743" s="4295"/>
      <c r="Y743" s="4653"/>
      <c r="Z743" s="4653"/>
      <c r="AA743" s="4653"/>
      <c r="AB743" s="4317"/>
      <c r="AC743" s="4295"/>
      <c r="AD743" s="4653"/>
      <c r="AE743" s="4653"/>
      <c r="AF743" s="4653"/>
      <c r="AG743" s="4317"/>
      <c r="AH743" s="4317"/>
      <c r="AI743" s="4317"/>
      <c r="AJ743" s="4317"/>
      <c r="AK743" s="4317"/>
      <c r="AL743" s="4317"/>
      <c r="AM743" s="4317"/>
      <c r="AN743" s="4317"/>
      <c r="AO743" s="4317"/>
      <c r="AP743" s="4317"/>
      <c r="AQ743" s="4317"/>
      <c r="AR743" s="4317"/>
      <c r="AS743" s="4317"/>
      <c r="AT743" s="4317"/>
      <c r="AU743" s="4317"/>
      <c r="AV743" s="4317"/>
      <c r="AW743" s="4317"/>
      <c r="AX743" s="4317"/>
      <c r="AY743" s="4317"/>
      <c r="AZ743" s="4317"/>
      <c r="BA743" s="4317"/>
      <c r="BB743" s="4317"/>
      <c r="BC743" s="4317"/>
      <c r="BD743" s="4317"/>
      <c r="BE743" s="4317"/>
      <c r="BF743" s="4317"/>
      <c r="BG743" s="4317"/>
      <c r="BH743" s="4317"/>
      <c r="BI743" s="4317"/>
      <c r="BJ743" s="4317"/>
      <c r="BK743" s="4317"/>
      <c r="BL743" s="4317"/>
      <c r="BM743" s="4317"/>
      <c r="BN743" s="4317"/>
      <c r="BO743" s="4317"/>
      <c r="BP743" s="4317"/>
      <c r="BQ743" s="4317"/>
      <c r="BR743" s="4317"/>
      <c r="BS743" s="4317"/>
      <c r="BT743" s="4317"/>
      <c r="BU743" s="4317"/>
      <c r="BV743" s="4317"/>
      <c r="BW743" s="4317"/>
      <c r="BX743" s="4317"/>
      <c r="BY743" s="4317"/>
      <c r="BZ743" s="4317"/>
      <c r="CA743" s="4317"/>
      <c r="CB743" s="4317"/>
      <c r="CC743" s="4317"/>
      <c r="CD743" s="4317"/>
      <c r="CE743" s="4317"/>
      <c r="CF743" s="4317"/>
      <c r="CG743" s="4317"/>
      <c r="CH743" s="4317"/>
      <c r="CI743" s="4317"/>
      <c r="CJ743" s="4317"/>
      <c r="CK743" s="4317"/>
      <c r="CL743" s="4317"/>
      <c r="CM743" s="4317"/>
      <c r="CN743" s="4317"/>
      <c r="CO743" s="4317"/>
      <c r="CP743" s="4317"/>
      <c r="CQ743" s="4317"/>
      <c r="CR743" s="4317"/>
      <c r="CS743" s="4317"/>
      <c r="CT743" s="4317"/>
      <c r="CU743" s="4317"/>
      <c r="CV743" s="4317"/>
      <c r="CW743" s="4317"/>
      <c r="CX743" s="4317"/>
      <c r="CY743" s="4317"/>
      <c r="CZ743" s="4317"/>
      <c r="DA743" s="4317"/>
      <c r="DB743" s="4317"/>
      <c r="DC743" s="4317"/>
      <c r="DD743" s="4317"/>
      <c r="DE743" s="4317"/>
      <c r="DF743" s="4317"/>
      <c r="DG743" s="4317"/>
      <c r="DH743" s="4317"/>
      <c r="DI743" s="4317"/>
      <c r="DJ743" s="4317"/>
      <c r="DK743" s="4317"/>
      <c r="DL743" s="4317"/>
      <c r="DM743" s="4317"/>
      <c r="DN743" s="4317"/>
      <c r="DO743" s="4317"/>
      <c r="DP743" s="4317"/>
      <c r="DQ743" s="4317"/>
      <c r="DR743" s="4317"/>
      <c r="DS743" s="4317"/>
    </row>
    <row r="744" s="4134" customFormat="1" ht="17.25" customHeight="1" spans="1:123">
      <c r="A744" s="4657" t="s">
        <v>5453</v>
      </c>
      <c r="B744" s="4567"/>
      <c r="C744" s="4567"/>
      <c r="D744" s="4567"/>
      <c r="E744" s="4567"/>
      <c r="F744" s="4534"/>
      <c r="G744" s="4535"/>
      <c r="H744" s="4535"/>
      <c r="I744" s="4535"/>
      <c r="J744" s="4535"/>
      <c r="K744" s="4535"/>
      <c r="L744" s="4536"/>
      <c r="M744" s="4317"/>
      <c r="N744" s="4317"/>
      <c r="O744" s="4317"/>
      <c r="P744" s="4317"/>
      <c r="Q744" s="4317"/>
      <c r="R744" s="4317"/>
      <c r="S744" s="4317"/>
      <c r="T744" s="4319" t="s">
        <v>5454</v>
      </c>
      <c r="U744" s="4653"/>
      <c r="V744" s="4295"/>
      <c r="W744" s="4295"/>
      <c r="X744" s="4295"/>
      <c r="Y744" s="4653"/>
      <c r="Z744" s="4653"/>
      <c r="AA744" s="4653"/>
      <c r="AB744" s="4317"/>
      <c r="AC744" s="4295"/>
      <c r="AD744" s="4653"/>
      <c r="AE744" s="4653"/>
      <c r="AF744" s="4653"/>
      <c r="AG744" s="4317"/>
      <c r="AH744" s="4317"/>
      <c r="AI744" s="4317"/>
      <c r="AJ744" s="4317"/>
      <c r="AK744" s="4317"/>
      <c r="AL744" s="4317"/>
      <c r="AM744" s="4317"/>
      <c r="AN744" s="4317"/>
      <c r="AO744" s="4317"/>
      <c r="AP744" s="4317"/>
      <c r="AQ744" s="4317"/>
      <c r="AR744" s="4317"/>
      <c r="AS744" s="4317"/>
      <c r="AT744" s="4317"/>
      <c r="AU744" s="4317"/>
      <c r="AV744" s="4317"/>
      <c r="AW744" s="4317"/>
      <c r="AX744" s="4317"/>
      <c r="AY744" s="4317"/>
      <c r="AZ744" s="4317"/>
      <c r="BA744" s="4317"/>
      <c r="BB744" s="4317"/>
      <c r="BC744" s="4317"/>
      <c r="BD744" s="4317"/>
      <c r="BE744" s="4317"/>
      <c r="BF744" s="4317"/>
      <c r="BG744" s="4317"/>
      <c r="BH744" s="4317"/>
      <c r="BI744" s="4317"/>
      <c r="BJ744" s="4317"/>
      <c r="BK744" s="4317"/>
      <c r="BL744" s="4317"/>
      <c r="BM744" s="4317"/>
      <c r="BN744" s="4317"/>
      <c r="BO744" s="4317"/>
      <c r="BP744" s="4317"/>
      <c r="BQ744" s="4317"/>
      <c r="BR744" s="4317"/>
      <c r="BS744" s="4317"/>
      <c r="BT744" s="4317"/>
      <c r="BU744" s="4317"/>
      <c r="BV744" s="4317"/>
      <c r="BW744" s="4317"/>
      <c r="BX744" s="4317"/>
      <c r="BY744" s="4317"/>
      <c r="BZ744" s="4317"/>
      <c r="CA744" s="4317"/>
      <c r="CB744" s="4317"/>
      <c r="CC744" s="4317"/>
      <c r="CD744" s="4317"/>
      <c r="CE744" s="4317"/>
      <c r="CF744" s="4317"/>
      <c r="CG744" s="4317"/>
      <c r="CH744" s="4317"/>
      <c r="CI744" s="4317"/>
      <c r="CJ744" s="4317"/>
      <c r="CK744" s="4317"/>
      <c r="CL744" s="4317"/>
      <c r="CM744" s="4317"/>
      <c r="CN744" s="4317"/>
      <c r="CO744" s="4317"/>
      <c r="CP744" s="4317"/>
      <c r="CQ744" s="4317"/>
      <c r="CR744" s="4317"/>
      <c r="CS744" s="4317"/>
      <c r="CT744" s="4317"/>
      <c r="CU744" s="4317"/>
      <c r="CV744" s="4317"/>
      <c r="CW744" s="4317"/>
      <c r="CX744" s="4317"/>
      <c r="CY744" s="4317"/>
      <c r="CZ744" s="4317"/>
      <c r="DA744" s="4317"/>
      <c r="DB744" s="4317"/>
      <c r="DC744" s="4317"/>
      <c r="DD744" s="4317"/>
      <c r="DE744" s="4317"/>
      <c r="DF744" s="4317"/>
      <c r="DG744" s="4317"/>
      <c r="DH744" s="4317"/>
      <c r="DI744" s="4317"/>
      <c r="DJ744" s="4317"/>
      <c r="DK744" s="4317"/>
      <c r="DL744" s="4317"/>
      <c r="DM744" s="4317"/>
      <c r="DN744" s="4317"/>
      <c r="DO744" s="4317"/>
      <c r="DP744" s="4317"/>
      <c r="DQ744" s="4317"/>
      <c r="DR744" s="4317"/>
      <c r="DS744" s="4317"/>
    </row>
    <row r="745" s="4134" customFormat="1" ht="17.25" customHeight="1" spans="1:123">
      <c r="A745" s="4657" t="s">
        <v>5455</v>
      </c>
      <c r="B745" s="4567"/>
      <c r="C745" s="4567"/>
      <c r="D745" s="4567"/>
      <c r="E745" s="4567"/>
      <c r="F745" s="4534"/>
      <c r="G745" s="4535"/>
      <c r="H745" s="4535"/>
      <c r="I745" s="4535"/>
      <c r="J745" s="4535"/>
      <c r="K745" s="4535"/>
      <c r="L745" s="4536"/>
      <c r="M745" s="4317"/>
      <c r="N745" s="4317"/>
      <c r="O745" s="4317"/>
      <c r="P745" s="4317"/>
      <c r="Q745" s="4317"/>
      <c r="R745" s="4317"/>
      <c r="S745" s="4317"/>
      <c r="T745" s="4319" t="s">
        <v>5456</v>
      </c>
      <c r="U745" s="4653"/>
      <c r="V745" s="4295"/>
      <c r="W745" s="4295"/>
      <c r="X745" s="4295"/>
      <c r="Y745" s="4653"/>
      <c r="Z745" s="4653"/>
      <c r="AA745" s="4653"/>
      <c r="AB745" s="4317"/>
      <c r="AC745" s="4295"/>
      <c r="AD745" s="4653"/>
      <c r="AE745" s="4653"/>
      <c r="AF745" s="4653"/>
      <c r="AG745" s="4317"/>
      <c r="AH745" s="4317"/>
      <c r="AI745" s="4317"/>
      <c r="AJ745" s="4317"/>
      <c r="AK745" s="4317"/>
      <c r="AL745" s="4317"/>
      <c r="AM745" s="4317"/>
      <c r="AN745" s="4317"/>
      <c r="AO745" s="4317"/>
      <c r="AP745" s="4317"/>
      <c r="AQ745" s="4317"/>
      <c r="AR745" s="4317"/>
      <c r="AS745" s="4317"/>
      <c r="AT745" s="4317"/>
      <c r="AU745" s="4317"/>
      <c r="AV745" s="4317"/>
      <c r="AW745" s="4317"/>
      <c r="AX745" s="4317"/>
      <c r="AY745" s="4317"/>
      <c r="AZ745" s="4317"/>
      <c r="BA745" s="4317"/>
      <c r="BB745" s="4317"/>
      <c r="BC745" s="4317"/>
      <c r="BD745" s="4317"/>
      <c r="BE745" s="4317"/>
      <c r="BF745" s="4317"/>
      <c r="BG745" s="4317"/>
      <c r="BH745" s="4317"/>
      <c r="BI745" s="4317"/>
      <c r="BJ745" s="4317"/>
      <c r="BK745" s="4317"/>
      <c r="BL745" s="4317"/>
      <c r="BM745" s="4317"/>
      <c r="BN745" s="4317"/>
      <c r="BO745" s="4317"/>
      <c r="BP745" s="4317"/>
      <c r="BQ745" s="4317"/>
      <c r="BR745" s="4317"/>
      <c r="BS745" s="4317"/>
      <c r="BT745" s="4317"/>
      <c r="BU745" s="4317"/>
      <c r="BV745" s="4317"/>
      <c r="BW745" s="4317"/>
      <c r="BX745" s="4317"/>
      <c r="BY745" s="4317"/>
      <c r="BZ745" s="4317"/>
      <c r="CA745" s="4317"/>
      <c r="CB745" s="4317"/>
      <c r="CC745" s="4317"/>
      <c r="CD745" s="4317"/>
      <c r="CE745" s="4317"/>
      <c r="CF745" s="4317"/>
      <c r="CG745" s="4317"/>
      <c r="CH745" s="4317"/>
      <c r="CI745" s="4317"/>
      <c r="CJ745" s="4317"/>
      <c r="CK745" s="4317"/>
      <c r="CL745" s="4317"/>
      <c r="CM745" s="4317"/>
      <c r="CN745" s="4317"/>
      <c r="CO745" s="4317"/>
      <c r="CP745" s="4317"/>
      <c r="CQ745" s="4317"/>
      <c r="CR745" s="4317"/>
      <c r="CS745" s="4317"/>
      <c r="CT745" s="4317"/>
      <c r="CU745" s="4317"/>
      <c r="CV745" s="4317"/>
      <c r="CW745" s="4317"/>
      <c r="CX745" s="4317"/>
      <c r="CY745" s="4317"/>
      <c r="CZ745" s="4317"/>
      <c r="DA745" s="4317"/>
      <c r="DB745" s="4317"/>
      <c r="DC745" s="4317"/>
      <c r="DD745" s="4317"/>
      <c r="DE745" s="4317"/>
      <c r="DF745" s="4317"/>
      <c r="DG745" s="4317"/>
      <c r="DH745" s="4317"/>
      <c r="DI745" s="4317"/>
      <c r="DJ745" s="4317"/>
      <c r="DK745" s="4317"/>
      <c r="DL745" s="4317"/>
      <c r="DM745" s="4317"/>
      <c r="DN745" s="4317"/>
      <c r="DO745" s="4317"/>
      <c r="DP745" s="4317"/>
      <c r="DQ745" s="4317"/>
      <c r="DR745" s="4317"/>
      <c r="DS745" s="4317"/>
    </row>
    <row r="746" s="4134" customFormat="1" ht="17.25" customHeight="1" spans="1:123">
      <c r="A746" s="4657" t="s">
        <v>5457</v>
      </c>
      <c r="B746" s="4567"/>
      <c r="C746" s="4567"/>
      <c r="D746" s="4567"/>
      <c r="E746" s="4567"/>
      <c r="F746" s="4534"/>
      <c r="G746" s="4535"/>
      <c r="H746" s="4535"/>
      <c r="I746" s="4535"/>
      <c r="J746" s="4535"/>
      <c r="K746" s="4535"/>
      <c r="L746" s="4536"/>
      <c r="M746" s="4317"/>
      <c r="N746" s="4317"/>
      <c r="O746" s="4317"/>
      <c r="P746" s="4317"/>
      <c r="Q746" s="4317"/>
      <c r="R746" s="4317"/>
      <c r="S746" s="4317"/>
      <c r="T746" s="4319" t="s">
        <v>3183</v>
      </c>
      <c r="U746" s="4653"/>
      <c r="V746" s="4295"/>
      <c r="W746" s="4295"/>
      <c r="X746" s="4295"/>
      <c r="Y746" s="4653"/>
      <c r="Z746" s="4653"/>
      <c r="AA746" s="4653"/>
      <c r="AB746" s="4317"/>
      <c r="AC746" s="4295"/>
      <c r="AD746" s="4653"/>
      <c r="AE746" s="4653"/>
      <c r="AF746" s="4653"/>
      <c r="AG746" s="4317"/>
      <c r="AH746" s="4317"/>
      <c r="AI746" s="4317"/>
      <c r="AJ746" s="4317"/>
      <c r="AK746" s="4317"/>
      <c r="AL746" s="4317"/>
      <c r="AM746" s="4317"/>
      <c r="AN746" s="4317"/>
      <c r="AO746" s="4317"/>
      <c r="AP746" s="4317"/>
      <c r="AQ746" s="4317"/>
      <c r="AR746" s="4317"/>
      <c r="AS746" s="4317"/>
      <c r="AT746" s="4317"/>
      <c r="AU746" s="4317"/>
      <c r="AV746" s="4317"/>
      <c r="AW746" s="4317"/>
      <c r="AX746" s="4317"/>
      <c r="AY746" s="4317"/>
      <c r="AZ746" s="4317"/>
      <c r="BA746" s="4317"/>
      <c r="BB746" s="4317"/>
      <c r="BC746" s="4317"/>
      <c r="BD746" s="4317"/>
      <c r="BE746" s="4317"/>
      <c r="BF746" s="4317"/>
      <c r="BG746" s="4317"/>
      <c r="BH746" s="4317"/>
      <c r="BI746" s="4317"/>
      <c r="BJ746" s="4317"/>
      <c r="BK746" s="4317"/>
      <c r="BL746" s="4317"/>
      <c r="BM746" s="4317"/>
      <c r="BN746" s="4317"/>
      <c r="BO746" s="4317"/>
      <c r="BP746" s="4317"/>
      <c r="BQ746" s="4317"/>
      <c r="BR746" s="4317"/>
      <c r="BS746" s="4317"/>
      <c r="BT746" s="4317"/>
      <c r="BU746" s="4317"/>
      <c r="BV746" s="4317"/>
      <c r="BW746" s="4317"/>
      <c r="BX746" s="4317"/>
      <c r="BY746" s="4317"/>
      <c r="BZ746" s="4317"/>
      <c r="CA746" s="4317"/>
      <c r="CB746" s="4317"/>
      <c r="CC746" s="4317"/>
      <c r="CD746" s="4317"/>
      <c r="CE746" s="4317"/>
      <c r="CF746" s="4317"/>
      <c r="CG746" s="4317"/>
      <c r="CH746" s="4317"/>
      <c r="CI746" s="4317"/>
      <c r="CJ746" s="4317"/>
      <c r="CK746" s="4317"/>
      <c r="CL746" s="4317"/>
      <c r="CM746" s="4317"/>
      <c r="CN746" s="4317"/>
      <c r="CO746" s="4317"/>
      <c r="CP746" s="4317"/>
      <c r="CQ746" s="4317"/>
      <c r="CR746" s="4317"/>
      <c r="CS746" s="4317"/>
      <c r="CT746" s="4317"/>
      <c r="CU746" s="4317"/>
      <c r="CV746" s="4317"/>
      <c r="CW746" s="4317"/>
      <c r="CX746" s="4317"/>
      <c r="CY746" s="4317"/>
      <c r="CZ746" s="4317"/>
      <c r="DA746" s="4317"/>
      <c r="DB746" s="4317"/>
      <c r="DC746" s="4317"/>
      <c r="DD746" s="4317"/>
      <c r="DE746" s="4317"/>
      <c r="DF746" s="4317"/>
      <c r="DG746" s="4317"/>
      <c r="DH746" s="4317"/>
      <c r="DI746" s="4317"/>
      <c r="DJ746" s="4317"/>
      <c r="DK746" s="4317"/>
      <c r="DL746" s="4317"/>
      <c r="DM746" s="4317"/>
      <c r="DN746" s="4317"/>
      <c r="DO746" s="4317"/>
      <c r="DP746" s="4317"/>
      <c r="DQ746" s="4317"/>
      <c r="DR746" s="4317"/>
      <c r="DS746" s="4317"/>
    </row>
    <row r="747" s="4134" customFormat="1" ht="17.25" customHeight="1" spans="1:123">
      <c r="A747" s="4659" t="s">
        <v>693</v>
      </c>
      <c r="B747" s="4660"/>
      <c r="C747" s="4660"/>
      <c r="D747" s="4660"/>
      <c r="E747" s="4660"/>
      <c r="F747" s="4661">
        <f>SUM(F743:L746)</f>
        <v>0</v>
      </c>
      <c r="G747" s="4661"/>
      <c r="H747" s="4661"/>
      <c r="I747" s="4661"/>
      <c r="J747" s="4661"/>
      <c r="K747" s="4661"/>
      <c r="L747" s="4661"/>
      <c r="M747" s="4317"/>
      <c r="N747" s="4317"/>
      <c r="O747" s="4317"/>
      <c r="P747" s="4317"/>
      <c r="Q747" s="4317"/>
      <c r="R747" s="4317"/>
      <c r="S747" s="4317"/>
      <c r="T747" s="4323" t="s">
        <v>5458</v>
      </c>
      <c r="U747" s="4653"/>
      <c r="V747" s="4295"/>
      <c r="W747" s="4295"/>
      <c r="X747" s="4295"/>
      <c r="Y747" s="4653"/>
      <c r="Z747" s="4653"/>
      <c r="AA747" s="4653"/>
      <c r="AB747" s="4317"/>
      <c r="AC747" s="4295"/>
      <c r="AD747" s="4653"/>
      <c r="AE747" s="4653"/>
      <c r="AF747" s="4653"/>
      <c r="AG747" s="4317"/>
      <c r="AH747" s="4317"/>
      <c r="AI747" s="4317"/>
      <c r="AJ747" s="4317"/>
      <c r="AK747" s="4317"/>
      <c r="AL747" s="4317"/>
      <c r="AM747" s="4317"/>
      <c r="AN747" s="4317"/>
      <c r="AO747" s="4317"/>
      <c r="AP747" s="4317"/>
      <c r="AQ747" s="4317"/>
      <c r="AR747" s="4317"/>
      <c r="AS747" s="4317"/>
      <c r="AT747" s="4317"/>
      <c r="AU747" s="4317"/>
      <c r="AV747" s="4317"/>
      <c r="AW747" s="4317"/>
      <c r="AX747" s="4317"/>
      <c r="AY747" s="4317"/>
      <c r="AZ747" s="4317"/>
      <c r="BA747" s="4317"/>
      <c r="BB747" s="4317"/>
      <c r="BC747" s="4317"/>
      <c r="BD747" s="4317"/>
      <c r="BE747" s="4317"/>
      <c r="BF747" s="4317"/>
      <c r="BG747" s="4317"/>
      <c r="BH747" s="4317"/>
      <c r="BI747" s="4317"/>
      <c r="BJ747" s="4317"/>
      <c r="BK747" s="4317"/>
      <c r="BL747" s="4317"/>
      <c r="BM747" s="4317"/>
      <c r="BN747" s="4317"/>
      <c r="BO747" s="4317"/>
      <c r="BP747" s="4317"/>
      <c r="BQ747" s="4317"/>
      <c r="BR747" s="4317"/>
      <c r="BS747" s="4317"/>
      <c r="BT747" s="4317"/>
      <c r="BU747" s="4317"/>
      <c r="BV747" s="4317"/>
      <c r="BW747" s="4317"/>
      <c r="BX747" s="4317"/>
      <c r="BY747" s="4317"/>
      <c r="BZ747" s="4317"/>
      <c r="CA747" s="4317"/>
      <c r="CB747" s="4317"/>
      <c r="CC747" s="4317"/>
      <c r="CD747" s="4317"/>
      <c r="CE747" s="4317"/>
      <c r="CF747" s="4317"/>
      <c r="CG747" s="4317"/>
      <c r="CH747" s="4317"/>
      <c r="CI747" s="4317"/>
      <c r="CJ747" s="4317"/>
      <c r="CK747" s="4317"/>
      <c r="CL747" s="4317"/>
      <c r="CM747" s="4317"/>
      <c r="CN747" s="4317"/>
      <c r="CO747" s="4317"/>
      <c r="CP747" s="4317"/>
      <c r="CQ747" s="4317"/>
      <c r="CR747" s="4317"/>
      <c r="CS747" s="4317"/>
      <c r="CT747" s="4317"/>
      <c r="CU747" s="4317"/>
      <c r="CV747" s="4317"/>
      <c r="CW747" s="4317"/>
      <c r="CX747" s="4317"/>
      <c r="CY747" s="4317"/>
      <c r="CZ747" s="4317"/>
      <c r="DA747" s="4317"/>
      <c r="DB747" s="4317"/>
      <c r="DC747" s="4317"/>
      <c r="DD747" s="4317"/>
      <c r="DE747" s="4317"/>
      <c r="DF747" s="4317"/>
      <c r="DG747" s="4317"/>
      <c r="DH747" s="4317"/>
      <c r="DI747" s="4317"/>
      <c r="DJ747" s="4317"/>
      <c r="DK747" s="4317"/>
      <c r="DL747" s="4317"/>
      <c r="DM747" s="4317"/>
      <c r="DN747" s="4317"/>
      <c r="DO747" s="4317"/>
      <c r="DP747" s="4317"/>
      <c r="DQ747" s="4317"/>
      <c r="DR747" s="4317"/>
      <c r="DS747" s="4317"/>
    </row>
    <row r="748" s="4134" customFormat="1" ht="17.25" customHeight="1" spans="1:123">
      <c r="A748" s="4657" t="s">
        <v>5459</v>
      </c>
      <c r="B748" s="4567"/>
      <c r="C748" s="4567"/>
      <c r="D748" s="4567"/>
      <c r="E748" s="4567"/>
      <c r="F748" s="4534"/>
      <c r="G748" s="4535"/>
      <c r="H748" s="4535"/>
      <c r="I748" s="4535"/>
      <c r="J748" s="4535"/>
      <c r="K748" s="4535"/>
      <c r="L748" s="4536"/>
      <c r="M748" s="4317"/>
      <c r="N748" s="4317"/>
      <c r="O748" s="4317"/>
      <c r="P748" s="4317"/>
      <c r="Q748" s="4317"/>
      <c r="R748" s="4317"/>
      <c r="S748" s="4317"/>
      <c r="T748" s="4319" t="s">
        <v>5460</v>
      </c>
      <c r="U748" s="4653"/>
      <c r="V748" s="4295"/>
      <c r="W748" s="4295"/>
      <c r="X748" s="4295"/>
      <c r="Y748" s="4653"/>
      <c r="Z748" s="4653"/>
      <c r="AA748" s="4653"/>
      <c r="AB748" s="4317"/>
      <c r="AC748" s="4295"/>
      <c r="AD748" s="4653"/>
      <c r="AE748" s="4653"/>
      <c r="AF748" s="4653"/>
      <c r="AG748" s="4317"/>
      <c r="AH748" s="4317"/>
      <c r="AI748" s="4317"/>
      <c r="AJ748" s="4317"/>
      <c r="AK748" s="4317"/>
      <c r="AL748" s="4317"/>
      <c r="AM748" s="4317"/>
      <c r="AN748" s="4317"/>
      <c r="AO748" s="4317"/>
      <c r="AP748" s="4317"/>
      <c r="AQ748" s="4317"/>
      <c r="AR748" s="4317"/>
      <c r="AS748" s="4317"/>
      <c r="AT748" s="4317"/>
      <c r="AU748" s="4317"/>
      <c r="AV748" s="4317"/>
      <c r="AW748" s="4317"/>
      <c r="AX748" s="4317"/>
      <c r="AY748" s="4317"/>
      <c r="AZ748" s="4317"/>
      <c r="BA748" s="4317"/>
      <c r="BB748" s="4317"/>
      <c r="BC748" s="4317"/>
      <c r="BD748" s="4317"/>
      <c r="BE748" s="4317"/>
      <c r="BF748" s="4317"/>
      <c r="BG748" s="4317"/>
      <c r="BH748" s="4317"/>
      <c r="BI748" s="4317"/>
      <c r="BJ748" s="4317"/>
      <c r="BK748" s="4317"/>
      <c r="BL748" s="4317"/>
      <c r="BM748" s="4317"/>
      <c r="BN748" s="4317"/>
      <c r="BO748" s="4317"/>
      <c r="BP748" s="4317"/>
      <c r="BQ748" s="4317"/>
      <c r="BR748" s="4317"/>
      <c r="BS748" s="4317"/>
      <c r="BT748" s="4317"/>
      <c r="BU748" s="4317"/>
      <c r="BV748" s="4317"/>
      <c r="BW748" s="4317"/>
      <c r="BX748" s="4317"/>
      <c r="BY748" s="4317"/>
      <c r="BZ748" s="4317"/>
      <c r="CA748" s="4317"/>
      <c r="CB748" s="4317"/>
      <c r="CC748" s="4317"/>
      <c r="CD748" s="4317"/>
      <c r="CE748" s="4317"/>
      <c r="CF748" s="4317"/>
      <c r="CG748" s="4317"/>
      <c r="CH748" s="4317"/>
      <c r="CI748" s="4317"/>
      <c r="CJ748" s="4317"/>
      <c r="CK748" s="4317"/>
      <c r="CL748" s="4317"/>
      <c r="CM748" s="4317"/>
      <c r="CN748" s="4317"/>
      <c r="CO748" s="4317"/>
      <c r="CP748" s="4317"/>
      <c r="CQ748" s="4317"/>
      <c r="CR748" s="4317"/>
      <c r="CS748" s="4317"/>
      <c r="CT748" s="4317"/>
      <c r="CU748" s="4317"/>
      <c r="CV748" s="4317"/>
      <c r="CW748" s="4317"/>
      <c r="CX748" s="4317"/>
      <c r="CY748" s="4317"/>
      <c r="CZ748" s="4317"/>
      <c r="DA748" s="4317"/>
      <c r="DB748" s="4317"/>
      <c r="DC748" s="4317"/>
      <c r="DD748" s="4317"/>
      <c r="DE748" s="4317"/>
      <c r="DF748" s="4317"/>
      <c r="DG748" s="4317"/>
      <c r="DH748" s="4317"/>
      <c r="DI748" s="4317"/>
      <c r="DJ748" s="4317"/>
      <c r="DK748" s="4317"/>
      <c r="DL748" s="4317"/>
      <c r="DM748" s="4317"/>
      <c r="DN748" s="4317"/>
      <c r="DO748" s="4317"/>
      <c r="DP748" s="4317"/>
      <c r="DQ748" s="4317"/>
      <c r="DR748" s="4317"/>
      <c r="DS748" s="4317"/>
    </row>
    <row r="749" s="4134" customFormat="1" ht="17.25" customHeight="1" spans="1:123">
      <c r="A749" s="4657" t="s">
        <v>5461</v>
      </c>
      <c r="B749" s="4567"/>
      <c r="C749" s="4567"/>
      <c r="D749" s="4567"/>
      <c r="E749" s="4567"/>
      <c r="F749" s="4534"/>
      <c r="G749" s="4535"/>
      <c r="H749" s="4535"/>
      <c r="I749" s="4535"/>
      <c r="J749" s="4535"/>
      <c r="K749" s="4535"/>
      <c r="L749" s="4536"/>
      <c r="M749" s="4695">
        <f>B_Uspjeha!AI153-F749</f>
        <v>0</v>
      </c>
      <c r="N749" s="4695"/>
      <c r="O749" s="4695"/>
      <c r="P749" s="4695"/>
      <c r="Q749" s="4695"/>
      <c r="R749" s="4695"/>
      <c r="S749" s="4695"/>
      <c r="T749" s="4319" t="s">
        <v>5462</v>
      </c>
      <c r="U749" s="4653"/>
      <c r="V749" s="4295"/>
      <c r="W749" s="4295"/>
      <c r="X749" s="4295"/>
      <c r="Y749" s="4653"/>
      <c r="Z749" s="4653"/>
      <c r="AA749" s="4653"/>
      <c r="AB749" s="4317"/>
      <c r="AC749" s="4295"/>
      <c r="AD749" s="4653"/>
      <c r="AE749" s="4653"/>
      <c r="AF749" s="4653"/>
      <c r="AG749" s="4317"/>
      <c r="AH749" s="4317"/>
      <c r="AI749" s="4317"/>
      <c r="AJ749" s="4317"/>
      <c r="AK749" s="4317"/>
      <c r="AL749" s="4317"/>
      <c r="AM749" s="4317"/>
      <c r="AN749" s="4317"/>
      <c r="AO749" s="4317"/>
      <c r="AP749" s="4317"/>
      <c r="AQ749" s="4317"/>
      <c r="AR749" s="4317"/>
      <c r="AS749" s="4317"/>
      <c r="AT749" s="4317"/>
      <c r="AU749" s="4317"/>
      <c r="AV749" s="4317"/>
      <c r="AW749" s="4317"/>
      <c r="AX749" s="4317"/>
      <c r="AY749" s="4317"/>
      <c r="AZ749" s="4317"/>
      <c r="BA749" s="4317"/>
      <c r="BB749" s="4317"/>
      <c r="BC749" s="4317"/>
      <c r="BD749" s="4317"/>
      <c r="BE749" s="4317"/>
      <c r="BF749" s="4317"/>
      <c r="BG749" s="4317"/>
      <c r="BH749" s="4317"/>
      <c r="BI749" s="4317"/>
      <c r="BJ749" s="4317"/>
      <c r="BK749" s="4317"/>
      <c r="BL749" s="4317"/>
      <c r="BM749" s="4317"/>
      <c r="BN749" s="4317"/>
      <c r="BO749" s="4317"/>
      <c r="BP749" s="4317"/>
      <c r="BQ749" s="4317"/>
      <c r="BR749" s="4317"/>
      <c r="BS749" s="4317"/>
      <c r="BT749" s="4317"/>
      <c r="BU749" s="4317"/>
      <c r="BV749" s="4317"/>
      <c r="BW749" s="4317"/>
      <c r="BX749" s="4317"/>
      <c r="BY749" s="4317"/>
      <c r="BZ749" s="4317"/>
      <c r="CA749" s="4317"/>
      <c r="CB749" s="4317"/>
      <c r="CC749" s="4317"/>
      <c r="CD749" s="4317"/>
      <c r="CE749" s="4317"/>
      <c r="CF749" s="4317"/>
      <c r="CG749" s="4317"/>
      <c r="CH749" s="4317"/>
      <c r="CI749" s="4317"/>
      <c r="CJ749" s="4317"/>
      <c r="CK749" s="4317"/>
      <c r="CL749" s="4317"/>
      <c r="CM749" s="4317"/>
      <c r="CN749" s="4317"/>
      <c r="CO749" s="4317"/>
      <c r="CP749" s="4317"/>
      <c r="CQ749" s="4317"/>
      <c r="CR749" s="4317"/>
      <c r="CS749" s="4317"/>
      <c r="CT749" s="4317"/>
      <c r="CU749" s="4317"/>
      <c r="CV749" s="4317"/>
      <c r="CW749" s="4317"/>
      <c r="CX749" s="4317"/>
      <c r="CY749" s="4317"/>
      <c r="CZ749" s="4317"/>
      <c r="DA749" s="4317"/>
      <c r="DB749" s="4317"/>
      <c r="DC749" s="4317"/>
      <c r="DD749" s="4317"/>
      <c r="DE749" s="4317"/>
      <c r="DF749" s="4317"/>
      <c r="DG749" s="4317"/>
      <c r="DH749" s="4317"/>
      <c r="DI749" s="4317"/>
      <c r="DJ749" s="4317"/>
      <c r="DK749" s="4317"/>
      <c r="DL749" s="4317"/>
      <c r="DM749" s="4317"/>
      <c r="DN749" s="4317"/>
      <c r="DO749" s="4317"/>
      <c r="DP749" s="4317"/>
      <c r="DQ749" s="4317"/>
      <c r="DR749" s="4317"/>
      <c r="DS749" s="4317"/>
    </row>
    <row r="750" s="4134" customFormat="1" ht="17.25" customHeight="1" spans="1:123">
      <c r="A750" s="4659" t="s">
        <v>702</v>
      </c>
      <c r="B750" s="4660"/>
      <c r="C750" s="4660"/>
      <c r="D750" s="4660"/>
      <c r="E750" s="4660"/>
      <c r="F750" s="4661">
        <f>SUM(F748:L749)</f>
        <v>0</v>
      </c>
      <c r="G750" s="4661"/>
      <c r="H750" s="4661"/>
      <c r="I750" s="4661"/>
      <c r="J750" s="4661"/>
      <c r="K750" s="4661"/>
      <c r="L750" s="4661"/>
      <c r="M750" s="4317"/>
      <c r="N750" s="4317"/>
      <c r="O750" s="4317"/>
      <c r="P750" s="4317"/>
      <c r="Q750" s="4317"/>
      <c r="R750" s="4317"/>
      <c r="S750" s="4317"/>
      <c r="T750" s="4323" t="s">
        <v>5463</v>
      </c>
      <c r="U750" s="4653"/>
      <c r="V750" s="4295"/>
      <c r="W750" s="4295"/>
      <c r="X750" s="4295"/>
      <c r="Y750" s="4653"/>
      <c r="Z750" s="4653"/>
      <c r="AA750" s="4653"/>
      <c r="AB750" s="4317"/>
      <c r="AC750" s="4295"/>
      <c r="AD750" s="4653"/>
      <c r="AE750" s="4653"/>
      <c r="AF750" s="4653"/>
      <c r="AG750" s="4317"/>
      <c r="AH750" s="4317"/>
      <c r="AI750" s="4317"/>
      <c r="AJ750" s="4317"/>
      <c r="AK750" s="4317"/>
      <c r="AL750" s="4317"/>
      <c r="AM750" s="4317"/>
      <c r="AN750" s="4317"/>
      <c r="AO750" s="4317"/>
      <c r="AP750" s="4317"/>
      <c r="AQ750" s="4317"/>
      <c r="AR750" s="4317"/>
      <c r="AS750" s="4317"/>
      <c r="AT750" s="4317"/>
      <c r="AU750" s="4317"/>
      <c r="AV750" s="4317"/>
      <c r="AW750" s="4317"/>
      <c r="AX750" s="4317"/>
      <c r="AY750" s="4317"/>
      <c r="AZ750" s="4317"/>
      <c r="BA750" s="4317"/>
      <c r="BB750" s="4317"/>
      <c r="BC750" s="4317"/>
      <c r="BD750" s="4317"/>
      <c r="BE750" s="4317"/>
      <c r="BF750" s="4317"/>
      <c r="BG750" s="4317"/>
      <c r="BH750" s="4317"/>
      <c r="BI750" s="4317"/>
      <c r="BJ750" s="4317"/>
      <c r="BK750" s="4317"/>
      <c r="BL750" s="4317"/>
      <c r="BM750" s="4317"/>
      <c r="BN750" s="4317"/>
      <c r="BO750" s="4317"/>
      <c r="BP750" s="4317"/>
      <c r="BQ750" s="4317"/>
      <c r="BR750" s="4317"/>
      <c r="BS750" s="4317"/>
      <c r="BT750" s="4317"/>
      <c r="BU750" s="4317"/>
      <c r="BV750" s="4317"/>
      <c r="BW750" s="4317"/>
      <c r="BX750" s="4317"/>
      <c r="BY750" s="4317"/>
      <c r="BZ750" s="4317"/>
      <c r="CA750" s="4317"/>
      <c r="CB750" s="4317"/>
      <c r="CC750" s="4317"/>
      <c r="CD750" s="4317"/>
      <c r="CE750" s="4317"/>
      <c r="CF750" s="4317"/>
      <c r="CG750" s="4317"/>
      <c r="CH750" s="4317"/>
      <c r="CI750" s="4317"/>
      <c r="CJ750" s="4317"/>
      <c r="CK750" s="4317"/>
      <c r="CL750" s="4317"/>
      <c r="CM750" s="4317"/>
      <c r="CN750" s="4317"/>
      <c r="CO750" s="4317"/>
      <c r="CP750" s="4317"/>
      <c r="CQ750" s="4317"/>
      <c r="CR750" s="4317"/>
      <c r="CS750" s="4317"/>
      <c r="CT750" s="4317"/>
      <c r="CU750" s="4317"/>
      <c r="CV750" s="4317"/>
      <c r="CW750" s="4317"/>
      <c r="CX750" s="4317"/>
      <c r="CY750" s="4317"/>
      <c r="CZ750" s="4317"/>
      <c r="DA750" s="4317"/>
      <c r="DB750" s="4317"/>
      <c r="DC750" s="4317"/>
      <c r="DD750" s="4317"/>
      <c r="DE750" s="4317"/>
      <c r="DF750" s="4317"/>
      <c r="DG750" s="4317"/>
      <c r="DH750" s="4317"/>
      <c r="DI750" s="4317"/>
      <c r="DJ750" s="4317"/>
      <c r="DK750" s="4317"/>
      <c r="DL750" s="4317"/>
      <c r="DM750" s="4317"/>
      <c r="DN750" s="4317"/>
      <c r="DO750" s="4317"/>
      <c r="DP750" s="4317"/>
      <c r="DQ750" s="4317"/>
      <c r="DR750" s="4317"/>
      <c r="DS750" s="4317"/>
    </row>
    <row r="751" s="4134" customFormat="1" ht="17.25" customHeight="1" spans="1:123">
      <c r="A751" s="4657" t="s">
        <v>5464</v>
      </c>
      <c r="B751" s="4567"/>
      <c r="C751" s="4567"/>
      <c r="D751" s="4567"/>
      <c r="E751" s="4567"/>
      <c r="F751" s="4534"/>
      <c r="G751" s="4535"/>
      <c r="H751" s="4535"/>
      <c r="I751" s="4535"/>
      <c r="J751" s="4535"/>
      <c r="K751" s="4535"/>
      <c r="L751" s="4536"/>
      <c r="M751" s="4317"/>
      <c r="N751" s="4317"/>
      <c r="O751" s="4317"/>
      <c r="P751" s="4317"/>
      <c r="Q751" s="4317"/>
      <c r="R751" s="4317"/>
      <c r="S751" s="4317"/>
      <c r="T751" s="4319" t="s">
        <v>5465</v>
      </c>
      <c r="U751" s="4653"/>
      <c r="V751" s="4295"/>
      <c r="W751" s="4295"/>
      <c r="X751" s="4295"/>
      <c r="Y751" s="4653"/>
      <c r="Z751" s="4653"/>
      <c r="AA751" s="4653"/>
      <c r="AB751" s="4317"/>
      <c r="AC751" s="4295"/>
      <c r="AD751" s="4653"/>
      <c r="AE751" s="4653"/>
      <c r="AF751" s="4653"/>
      <c r="AG751" s="4317"/>
      <c r="AH751" s="4317"/>
      <c r="AI751" s="4317"/>
      <c r="AJ751" s="4317"/>
      <c r="AK751" s="4317"/>
      <c r="AL751" s="4317"/>
      <c r="AM751" s="4317"/>
      <c r="AN751" s="4317"/>
      <c r="AO751" s="4317"/>
      <c r="AP751" s="4317"/>
      <c r="AQ751" s="4317"/>
      <c r="AR751" s="4317"/>
      <c r="AS751" s="4317"/>
      <c r="AT751" s="4317"/>
      <c r="AU751" s="4317"/>
      <c r="AV751" s="4317"/>
      <c r="AW751" s="4317"/>
      <c r="AX751" s="4317"/>
      <c r="AY751" s="4317"/>
      <c r="AZ751" s="4317"/>
      <c r="BA751" s="4317"/>
      <c r="BB751" s="4317"/>
      <c r="BC751" s="4317"/>
      <c r="BD751" s="4317"/>
      <c r="BE751" s="4317"/>
      <c r="BF751" s="4317"/>
      <c r="BG751" s="4317"/>
      <c r="BH751" s="4317"/>
      <c r="BI751" s="4317"/>
      <c r="BJ751" s="4317"/>
      <c r="BK751" s="4317"/>
      <c r="BL751" s="4317"/>
      <c r="BM751" s="4317"/>
      <c r="BN751" s="4317"/>
      <c r="BO751" s="4317"/>
      <c r="BP751" s="4317"/>
      <c r="BQ751" s="4317"/>
      <c r="BR751" s="4317"/>
      <c r="BS751" s="4317"/>
      <c r="BT751" s="4317"/>
      <c r="BU751" s="4317"/>
      <c r="BV751" s="4317"/>
      <c r="BW751" s="4317"/>
      <c r="BX751" s="4317"/>
      <c r="BY751" s="4317"/>
      <c r="BZ751" s="4317"/>
      <c r="CA751" s="4317"/>
      <c r="CB751" s="4317"/>
      <c r="CC751" s="4317"/>
      <c r="CD751" s="4317"/>
      <c r="CE751" s="4317"/>
      <c r="CF751" s="4317"/>
      <c r="CG751" s="4317"/>
      <c r="CH751" s="4317"/>
      <c r="CI751" s="4317"/>
      <c r="CJ751" s="4317"/>
      <c r="CK751" s="4317"/>
      <c r="CL751" s="4317"/>
      <c r="CM751" s="4317"/>
      <c r="CN751" s="4317"/>
      <c r="CO751" s="4317"/>
      <c r="CP751" s="4317"/>
      <c r="CQ751" s="4317"/>
      <c r="CR751" s="4317"/>
      <c r="CS751" s="4317"/>
      <c r="CT751" s="4317"/>
      <c r="CU751" s="4317"/>
      <c r="CV751" s="4317"/>
      <c r="CW751" s="4317"/>
      <c r="CX751" s="4317"/>
      <c r="CY751" s="4317"/>
      <c r="CZ751" s="4317"/>
      <c r="DA751" s="4317"/>
      <c r="DB751" s="4317"/>
      <c r="DC751" s="4317"/>
      <c r="DD751" s="4317"/>
      <c r="DE751" s="4317"/>
      <c r="DF751" s="4317"/>
      <c r="DG751" s="4317"/>
      <c r="DH751" s="4317"/>
      <c r="DI751" s="4317"/>
      <c r="DJ751" s="4317"/>
      <c r="DK751" s="4317"/>
      <c r="DL751" s="4317"/>
      <c r="DM751" s="4317"/>
      <c r="DN751" s="4317"/>
      <c r="DO751" s="4317"/>
      <c r="DP751" s="4317"/>
      <c r="DQ751" s="4317"/>
      <c r="DR751" s="4317"/>
      <c r="DS751" s="4317"/>
    </row>
    <row r="752" s="4134" customFormat="1" ht="17.25" customHeight="1" spans="1:123">
      <c r="A752" s="4657" t="s">
        <v>5466</v>
      </c>
      <c r="B752" s="4567"/>
      <c r="C752" s="4567"/>
      <c r="D752" s="4567"/>
      <c r="E752" s="4567"/>
      <c r="F752" s="4534">
        <v>59197</v>
      </c>
      <c r="G752" s="4535"/>
      <c r="H752" s="4535"/>
      <c r="I752" s="4535"/>
      <c r="J752" s="4535"/>
      <c r="K752" s="4535"/>
      <c r="L752" s="4536"/>
      <c r="M752" s="4695">
        <f>B_Uspjeha!AI154-F752</f>
        <v>0</v>
      </c>
      <c r="N752" s="4695"/>
      <c r="O752" s="4695"/>
      <c r="P752" s="4695"/>
      <c r="Q752" s="4695"/>
      <c r="R752" s="4695"/>
      <c r="S752" s="4695"/>
      <c r="T752" s="4319" t="s">
        <v>5467</v>
      </c>
      <c r="U752" s="4653"/>
      <c r="V752" s="4295"/>
      <c r="W752" s="4295"/>
      <c r="X752" s="4295"/>
      <c r="Y752" s="4653"/>
      <c r="Z752" s="4653"/>
      <c r="AA752" s="4653"/>
      <c r="AB752" s="4317"/>
      <c r="AC752" s="4295"/>
      <c r="AD752" s="4653"/>
      <c r="AE752" s="4653"/>
      <c r="AF752" s="4653"/>
      <c r="AG752" s="4317"/>
      <c r="AH752" s="4317"/>
      <c r="AI752" s="4317"/>
      <c r="AJ752" s="4317"/>
      <c r="AK752" s="4317"/>
      <c r="AL752" s="4317"/>
      <c r="AM752" s="4317"/>
      <c r="AN752" s="4317"/>
      <c r="AO752" s="4317"/>
      <c r="AP752" s="4317"/>
      <c r="AQ752" s="4317"/>
      <c r="AR752" s="4317"/>
      <c r="AS752" s="4317"/>
      <c r="AT752" s="4317"/>
      <c r="AU752" s="4317"/>
      <c r="AV752" s="4317"/>
      <c r="AW752" s="4317"/>
      <c r="AX752" s="4317"/>
      <c r="AY752" s="4317"/>
      <c r="AZ752" s="4317"/>
      <c r="BA752" s="4317"/>
      <c r="BB752" s="4317"/>
      <c r="BC752" s="4317"/>
      <c r="BD752" s="4317"/>
      <c r="BE752" s="4317"/>
      <c r="BF752" s="4317"/>
      <c r="BG752" s="4317"/>
      <c r="BH752" s="4317"/>
      <c r="BI752" s="4317"/>
      <c r="BJ752" s="4317"/>
      <c r="BK752" s="4317"/>
      <c r="BL752" s="4317"/>
      <c r="BM752" s="4317"/>
      <c r="BN752" s="4317"/>
      <c r="BO752" s="4317"/>
      <c r="BP752" s="4317"/>
      <c r="BQ752" s="4317"/>
      <c r="BR752" s="4317"/>
      <c r="BS752" s="4317"/>
      <c r="BT752" s="4317"/>
      <c r="BU752" s="4317"/>
      <c r="BV752" s="4317"/>
      <c r="BW752" s="4317"/>
      <c r="BX752" s="4317"/>
      <c r="BY752" s="4317"/>
      <c r="BZ752" s="4317"/>
      <c r="CA752" s="4317"/>
      <c r="CB752" s="4317"/>
      <c r="CC752" s="4317"/>
      <c r="CD752" s="4317"/>
      <c r="CE752" s="4317"/>
      <c r="CF752" s="4317"/>
      <c r="CG752" s="4317"/>
      <c r="CH752" s="4317"/>
      <c r="CI752" s="4317"/>
      <c r="CJ752" s="4317"/>
      <c r="CK752" s="4317"/>
      <c r="CL752" s="4317"/>
      <c r="CM752" s="4317"/>
      <c r="CN752" s="4317"/>
      <c r="CO752" s="4317"/>
      <c r="CP752" s="4317"/>
      <c r="CQ752" s="4317"/>
      <c r="CR752" s="4317"/>
      <c r="CS752" s="4317"/>
      <c r="CT752" s="4317"/>
      <c r="CU752" s="4317"/>
      <c r="CV752" s="4317"/>
      <c r="CW752" s="4317"/>
      <c r="CX752" s="4317"/>
      <c r="CY752" s="4317"/>
      <c r="CZ752" s="4317"/>
      <c r="DA752" s="4317"/>
      <c r="DB752" s="4317"/>
      <c r="DC752" s="4317"/>
      <c r="DD752" s="4317"/>
      <c r="DE752" s="4317"/>
      <c r="DF752" s="4317"/>
      <c r="DG752" s="4317"/>
      <c r="DH752" s="4317"/>
      <c r="DI752" s="4317"/>
      <c r="DJ752" s="4317"/>
      <c r="DK752" s="4317"/>
      <c r="DL752" s="4317"/>
      <c r="DM752" s="4317"/>
      <c r="DN752" s="4317"/>
      <c r="DO752" s="4317"/>
      <c r="DP752" s="4317"/>
      <c r="DQ752" s="4317"/>
      <c r="DR752" s="4317"/>
      <c r="DS752" s="4317"/>
    </row>
    <row r="753" s="4134" customFormat="1" ht="17.25" customHeight="1" spans="1:123">
      <c r="A753" s="4659" t="s">
        <v>709</v>
      </c>
      <c r="B753" s="4660"/>
      <c r="C753" s="4660"/>
      <c r="D753" s="4660"/>
      <c r="E753" s="4660"/>
      <c r="F753" s="4661">
        <f>SUM(F751:L752)</f>
        <v>59197</v>
      </c>
      <c r="G753" s="4661"/>
      <c r="H753" s="4661"/>
      <c r="I753" s="4661"/>
      <c r="J753" s="4661"/>
      <c r="K753" s="4661"/>
      <c r="L753" s="4661"/>
      <c r="M753" s="4317"/>
      <c r="N753" s="4317"/>
      <c r="O753" s="4317"/>
      <c r="P753" s="4317"/>
      <c r="Q753" s="4317"/>
      <c r="R753" s="4317"/>
      <c r="S753" s="4317"/>
      <c r="T753" s="4323" t="s">
        <v>4009</v>
      </c>
      <c r="U753" s="4653"/>
      <c r="V753" s="4295"/>
      <c r="W753" s="4295"/>
      <c r="X753" s="4295"/>
      <c r="Y753" s="4653"/>
      <c r="Z753" s="4653"/>
      <c r="AA753" s="4653"/>
      <c r="AB753" s="4317"/>
      <c r="AC753" s="4295"/>
      <c r="AD753" s="4653"/>
      <c r="AE753" s="4653"/>
      <c r="AF753" s="4653"/>
      <c r="AG753" s="4317"/>
      <c r="AH753" s="4317"/>
      <c r="AI753" s="4317"/>
      <c r="AJ753" s="4317"/>
      <c r="AK753" s="4317"/>
      <c r="AL753" s="4317"/>
      <c r="AM753" s="4317"/>
      <c r="AN753" s="4317"/>
      <c r="AO753" s="4317"/>
      <c r="AP753" s="4317"/>
      <c r="AQ753" s="4317"/>
      <c r="AR753" s="4317"/>
      <c r="AS753" s="4317"/>
      <c r="AT753" s="4317"/>
      <c r="AU753" s="4317"/>
      <c r="AV753" s="4317"/>
      <c r="AW753" s="4317"/>
      <c r="AX753" s="4317"/>
      <c r="AY753" s="4317"/>
      <c r="AZ753" s="4317"/>
      <c r="BA753" s="4317"/>
      <c r="BB753" s="4317"/>
      <c r="BC753" s="4317"/>
      <c r="BD753" s="4317"/>
      <c r="BE753" s="4317"/>
      <c r="BF753" s="4317"/>
      <c r="BG753" s="4317"/>
      <c r="BH753" s="4317"/>
      <c r="BI753" s="4317"/>
      <c r="BJ753" s="4317"/>
      <c r="BK753" s="4317"/>
      <c r="BL753" s="4317"/>
      <c r="BM753" s="4317"/>
      <c r="BN753" s="4317"/>
      <c r="BO753" s="4317"/>
      <c r="BP753" s="4317"/>
      <c r="BQ753" s="4317"/>
      <c r="BR753" s="4317"/>
      <c r="BS753" s="4317"/>
      <c r="BT753" s="4317"/>
      <c r="BU753" s="4317"/>
      <c r="BV753" s="4317"/>
      <c r="BW753" s="4317"/>
      <c r="BX753" s="4317"/>
      <c r="BY753" s="4317"/>
      <c r="BZ753" s="4317"/>
      <c r="CA753" s="4317"/>
      <c r="CB753" s="4317"/>
      <c r="CC753" s="4317"/>
      <c r="CD753" s="4317"/>
      <c r="CE753" s="4317"/>
      <c r="CF753" s="4317"/>
      <c r="CG753" s="4317"/>
      <c r="CH753" s="4317"/>
      <c r="CI753" s="4317"/>
      <c r="CJ753" s="4317"/>
      <c r="CK753" s="4317"/>
      <c r="CL753" s="4317"/>
      <c r="CM753" s="4317"/>
      <c r="CN753" s="4317"/>
      <c r="CO753" s="4317"/>
      <c r="CP753" s="4317"/>
      <c r="CQ753" s="4317"/>
      <c r="CR753" s="4317"/>
      <c r="CS753" s="4317"/>
      <c r="CT753" s="4317"/>
      <c r="CU753" s="4317"/>
      <c r="CV753" s="4317"/>
      <c r="CW753" s="4317"/>
      <c r="CX753" s="4317"/>
      <c r="CY753" s="4317"/>
      <c r="CZ753" s="4317"/>
      <c r="DA753" s="4317"/>
      <c r="DB753" s="4317"/>
      <c r="DC753" s="4317"/>
      <c r="DD753" s="4317"/>
      <c r="DE753" s="4317"/>
      <c r="DF753" s="4317"/>
      <c r="DG753" s="4317"/>
      <c r="DH753" s="4317"/>
      <c r="DI753" s="4317"/>
      <c r="DJ753" s="4317"/>
      <c r="DK753" s="4317"/>
      <c r="DL753" s="4317"/>
      <c r="DM753" s="4317"/>
      <c r="DN753" s="4317"/>
      <c r="DO753" s="4317"/>
      <c r="DP753" s="4317"/>
      <c r="DQ753" s="4317"/>
      <c r="DR753" s="4317"/>
      <c r="DS753" s="4317"/>
    </row>
    <row r="754" s="4134" customFormat="1" ht="17.25" customHeight="1" spans="1:123">
      <c r="A754" s="4657" t="s">
        <v>5468</v>
      </c>
      <c r="B754" s="4567"/>
      <c r="C754" s="4567"/>
      <c r="D754" s="4567"/>
      <c r="E754" s="4567"/>
      <c r="F754" s="4534"/>
      <c r="G754" s="4535"/>
      <c r="H754" s="4535"/>
      <c r="I754" s="4535"/>
      <c r="J754" s="4535"/>
      <c r="K754" s="4535"/>
      <c r="L754" s="4536"/>
      <c r="M754" s="4317"/>
      <c r="N754" s="4317"/>
      <c r="O754" s="4317"/>
      <c r="P754" s="4317"/>
      <c r="Q754" s="4317"/>
      <c r="R754" s="4317"/>
      <c r="S754" s="4317"/>
      <c r="T754" s="4319" t="s">
        <v>3160</v>
      </c>
      <c r="U754" s="4653"/>
      <c r="V754" s="4295"/>
      <c r="W754" s="4295"/>
      <c r="X754" s="4295"/>
      <c r="Y754" s="4653"/>
      <c r="Z754" s="4653"/>
      <c r="AA754" s="4653"/>
      <c r="AB754" s="4317"/>
      <c r="AC754" s="4295"/>
      <c r="AD754" s="4653"/>
      <c r="AE754" s="4653"/>
      <c r="AF754" s="4653"/>
      <c r="AG754" s="4317"/>
      <c r="AH754" s="4317"/>
      <c r="AI754" s="4317"/>
      <c r="AJ754" s="4317"/>
      <c r="AK754" s="4317"/>
      <c r="AL754" s="4317"/>
      <c r="AM754" s="4317"/>
      <c r="AN754" s="4317"/>
      <c r="AO754" s="4317"/>
      <c r="AP754" s="4317"/>
      <c r="AQ754" s="4317"/>
      <c r="AR754" s="4317"/>
      <c r="AS754" s="4317"/>
      <c r="AT754" s="4317"/>
      <c r="AU754" s="4317"/>
      <c r="AV754" s="4317"/>
      <c r="AW754" s="4317"/>
      <c r="AX754" s="4317"/>
      <c r="AY754" s="4317"/>
      <c r="AZ754" s="4317"/>
      <c r="BA754" s="4317"/>
      <c r="BB754" s="4317"/>
      <c r="BC754" s="4317"/>
      <c r="BD754" s="4317"/>
      <c r="BE754" s="4317"/>
      <c r="BF754" s="4317"/>
      <c r="BG754" s="4317"/>
      <c r="BH754" s="4317"/>
      <c r="BI754" s="4317"/>
      <c r="BJ754" s="4317"/>
      <c r="BK754" s="4317"/>
      <c r="BL754" s="4317"/>
      <c r="BM754" s="4317"/>
      <c r="BN754" s="4317"/>
      <c r="BO754" s="4317"/>
      <c r="BP754" s="4317"/>
      <c r="BQ754" s="4317"/>
      <c r="BR754" s="4317"/>
      <c r="BS754" s="4317"/>
      <c r="BT754" s="4317"/>
      <c r="BU754" s="4317"/>
      <c r="BV754" s="4317"/>
      <c r="BW754" s="4317"/>
      <c r="BX754" s="4317"/>
      <c r="BY754" s="4317"/>
      <c r="BZ754" s="4317"/>
      <c r="CA754" s="4317"/>
      <c r="CB754" s="4317"/>
      <c r="CC754" s="4317"/>
      <c r="CD754" s="4317"/>
      <c r="CE754" s="4317"/>
      <c r="CF754" s="4317"/>
      <c r="CG754" s="4317"/>
      <c r="CH754" s="4317"/>
      <c r="CI754" s="4317"/>
      <c r="CJ754" s="4317"/>
      <c r="CK754" s="4317"/>
      <c r="CL754" s="4317"/>
      <c r="CM754" s="4317"/>
      <c r="CN754" s="4317"/>
      <c r="CO754" s="4317"/>
      <c r="CP754" s="4317"/>
      <c r="CQ754" s="4317"/>
      <c r="CR754" s="4317"/>
      <c r="CS754" s="4317"/>
      <c r="CT754" s="4317"/>
      <c r="CU754" s="4317"/>
      <c r="CV754" s="4317"/>
      <c r="CW754" s="4317"/>
      <c r="CX754" s="4317"/>
      <c r="CY754" s="4317"/>
      <c r="CZ754" s="4317"/>
      <c r="DA754" s="4317"/>
      <c r="DB754" s="4317"/>
      <c r="DC754" s="4317"/>
      <c r="DD754" s="4317"/>
      <c r="DE754" s="4317"/>
      <c r="DF754" s="4317"/>
      <c r="DG754" s="4317"/>
      <c r="DH754" s="4317"/>
      <c r="DI754" s="4317"/>
      <c r="DJ754" s="4317"/>
      <c r="DK754" s="4317"/>
      <c r="DL754" s="4317"/>
      <c r="DM754" s="4317"/>
      <c r="DN754" s="4317"/>
      <c r="DO754" s="4317"/>
      <c r="DP754" s="4317"/>
      <c r="DQ754" s="4317"/>
      <c r="DR754" s="4317"/>
      <c r="DS754" s="4317"/>
    </row>
    <row r="755" s="4136" customFormat="1" ht="17.25" customHeight="1" spans="1:123">
      <c r="A755" s="4683" t="s">
        <v>5469</v>
      </c>
      <c r="B755" s="4684"/>
      <c r="C755" s="4684"/>
      <c r="D755" s="4684"/>
      <c r="E755" s="4684"/>
      <c r="F755" s="4685">
        <f>F736+F742+F747+F750-F753-F754</f>
        <v>309265</v>
      </c>
      <c r="G755" s="4685"/>
      <c r="H755" s="4685"/>
      <c r="I755" s="4685"/>
      <c r="J755" s="4685"/>
      <c r="K755" s="4685"/>
      <c r="L755" s="4685"/>
      <c r="M755" s="4317"/>
      <c r="N755" s="4317"/>
      <c r="O755" s="4317"/>
      <c r="P755" s="4317"/>
      <c r="Q755" s="4317"/>
      <c r="R755" s="4317"/>
      <c r="S755" s="4317"/>
      <c r="T755" s="4681" t="s">
        <v>5470</v>
      </c>
      <c r="U755" s="4653"/>
      <c r="V755" s="4295"/>
      <c r="W755" s="4295"/>
      <c r="X755" s="4295"/>
      <c r="Y755" s="4653"/>
      <c r="Z755" s="4653"/>
      <c r="AA755" s="4653"/>
      <c r="AB755" s="4181"/>
      <c r="AC755" s="4295"/>
      <c r="AD755" s="4653"/>
      <c r="AE755" s="4653"/>
      <c r="AF755" s="4653"/>
      <c r="AG755" s="4317"/>
      <c r="AH755" s="4317"/>
      <c r="AI755" s="4317"/>
      <c r="AJ755" s="4317"/>
      <c r="AK755" s="4317"/>
      <c r="AL755" s="4317"/>
      <c r="AM755" s="4317"/>
      <c r="AN755" s="4317"/>
      <c r="AO755" s="4317"/>
      <c r="AP755" s="4317"/>
      <c r="AQ755" s="4317"/>
      <c r="AR755" s="4317"/>
      <c r="AS755" s="4317"/>
      <c r="AT755" s="4317"/>
      <c r="AU755" s="4317"/>
      <c r="AV755" s="4317"/>
      <c r="AW755" s="4317"/>
      <c r="AX755" s="4317"/>
      <c r="AY755" s="4317"/>
      <c r="AZ755" s="4317"/>
      <c r="BA755" s="4317"/>
      <c r="BB755" s="4317"/>
      <c r="BC755" s="4317"/>
      <c r="BD755" s="4317"/>
      <c r="BE755" s="4317"/>
      <c r="BF755" s="4317"/>
      <c r="BG755" s="4317"/>
      <c r="BH755" s="4317"/>
      <c r="BI755" s="4317"/>
      <c r="BJ755" s="4317"/>
      <c r="BK755" s="4317"/>
      <c r="BL755" s="4317"/>
      <c r="BM755" s="4317"/>
      <c r="BN755" s="4317"/>
      <c r="BO755" s="4317"/>
      <c r="BP755" s="4317"/>
      <c r="BQ755" s="4317"/>
      <c r="BR755" s="4317"/>
      <c r="BS755" s="4317"/>
      <c r="BT755" s="4317"/>
      <c r="BU755" s="4317"/>
      <c r="BV755" s="4317"/>
      <c r="BW755" s="4317"/>
      <c r="BX755" s="4317"/>
      <c r="BY755" s="4317"/>
      <c r="BZ755" s="4317"/>
      <c r="CA755" s="4317"/>
      <c r="CB755" s="4317"/>
      <c r="CC755" s="4317"/>
      <c r="CD755" s="4317"/>
      <c r="CE755" s="4317"/>
      <c r="CF755" s="4317"/>
      <c r="CG755" s="4317"/>
      <c r="CH755" s="4317"/>
      <c r="CI755" s="4317"/>
      <c r="CJ755" s="4317"/>
      <c r="CK755" s="4317"/>
      <c r="CL755" s="4317"/>
      <c r="CM755" s="4317"/>
      <c r="CN755" s="4317"/>
      <c r="CO755" s="4317"/>
      <c r="CP755" s="4317"/>
      <c r="CQ755" s="4317"/>
      <c r="CR755" s="4317"/>
      <c r="CS755" s="4317"/>
      <c r="CT755" s="4317"/>
      <c r="CU755" s="4317"/>
      <c r="CV755" s="4317"/>
      <c r="CW755" s="4317"/>
      <c r="CX755" s="4317"/>
      <c r="CY755" s="4317"/>
      <c r="CZ755" s="4317"/>
      <c r="DA755" s="4317"/>
      <c r="DB755" s="4317"/>
      <c r="DC755" s="4317"/>
      <c r="DD755" s="4317"/>
      <c r="DE755" s="4317"/>
      <c r="DF755" s="4317"/>
      <c r="DG755" s="4317"/>
      <c r="DH755" s="4317"/>
      <c r="DI755" s="4317"/>
      <c r="DJ755" s="4317"/>
      <c r="DK755" s="4317"/>
      <c r="DL755" s="4317"/>
      <c r="DM755" s="4317"/>
      <c r="DN755" s="4317"/>
      <c r="DO755" s="4317"/>
      <c r="DP755" s="4317"/>
      <c r="DQ755" s="4317"/>
      <c r="DR755" s="4317"/>
      <c r="DS755" s="4317"/>
    </row>
    <row r="756" s="4134" customFormat="1" ht="17.25" customHeight="1" spans="1:123">
      <c r="A756" s="4557"/>
      <c r="B756" s="4557"/>
      <c r="C756" s="4557"/>
      <c r="D756" s="4557"/>
      <c r="E756" s="4557"/>
      <c r="F756" s="4317"/>
      <c r="G756" s="4317"/>
      <c r="H756" s="4317"/>
      <c r="I756" s="4317"/>
      <c r="J756" s="4317"/>
      <c r="K756" s="4317"/>
      <c r="L756" s="4317"/>
      <c r="M756" s="4317"/>
      <c r="N756" s="4317"/>
      <c r="O756" s="4317"/>
      <c r="P756" s="4317"/>
      <c r="Q756" s="4317"/>
      <c r="R756" s="4317"/>
      <c r="S756" s="4317"/>
      <c r="T756" s="4317"/>
      <c r="U756" s="4653"/>
      <c r="V756" s="4317"/>
      <c r="W756" s="4317"/>
      <c r="X756" s="4317"/>
      <c r="Y756" s="4653"/>
      <c r="Z756" s="4653"/>
      <c r="AA756" s="4653"/>
      <c r="AB756" s="4317"/>
      <c r="AC756" s="4295"/>
      <c r="AD756" s="4653"/>
      <c r="AE756" s="4653"/>
      <c r="AF756" s="4653"/>
      <c r="AG756" s="4317"/>
      <c r="AH756" s="4317"/>
      <c r="AI756" s="4317"/>
      <c r="AJ756" s="4317"/>
      <c r="AK756" s="4317"/>
      <c r="AL756" s="4317"/>
      <c r="AM756" s="4317"/>
      <c r="AN756" s="4317"/>
      <c r="AO756" s="4317"/>
      <c r="AP756" s="4317"/>
      <c r="AQ756" s="4317"/>
      <c r="AR756" s="4317"/>
      <c r="AS756" s="4317"/>
      <c r="AT756" s="4317"/>
      <c r="AU756" s="4317"/>
      <c r="AV756" s="4317"/>
      <c r="AW756" s="4317"/>
      <c r="AX756" s="4317"/>
      <c r="AY756" s="4317"/>
      <c r="AZ756" s="4317"/>
      <c r="BA756" s="4317"/>
      <c r="BB756" s="4317"/>
      <c r="BC756" s="4317"/>
      <c r="BD756" s="4317"/>
      <c r="BE756" s="4317"/>
      <c r="BF756" s="4317"/>
      <c r="BG756" s="4317"/>
      <c r="BH756" s="4317"/>
      <c r="BI756" s="4317"/>
      <c r="BJ756" s="4317"/>
      <c r="BK756" s="4317"/>
      <c r="BL756" s="4317"/>
      <c r="BM756" s="4317"/>
      <c r="BN756" s="4317"/>
      <c r="BO756" s="4317"/>
      <c r="BP756" s="4317"/>
      <c r="BQ756" s="4317"/>
      <c r="BR756" s="4317"/>
      <c r="BS756" s="4317"/>
      <c r="BT756" s="4317"/>
      <c r="BU756" s="4317"/>
      <c r="BV756" s="4317"/>
      <c r="BW756" s="4317"/>
      <c r="BX756" s="4317"/>
      <c r="BY756" s="4317"/>
      <c r="BZ756" s="4317"/>
      <c r="CA756" s="4317"/>
      <c r="CB756" s="4317"/>
      <c r="CC756" s="4317"/>
      <c r="CD756" s="4317"/>
      <c r="CE756" s="4317"/>
      <c r="CF756" s="4317"/>
      <c r="CG756" s="4317"/>
      <c r="CH756" s="4317"/>
      <c r="CI756" s="4317"/>
      <c r="CJ756" s="4317"/>
      <c r="CK756" s="4317"/>
      <c r="CL756" s="4317"/>
      <c r="CM756" s="4317"/>
      <c r="CN756" s="4317"/>
      <c r="CO756" s="4317"/>
      <c r="CP756" s="4317"/>
      <c r="CQ756" s="4317"/>
      <c r="CR756" s="4317"/>
      <c r="CS756" s="4317"/>
      <c r="CT756" s="4317"/>
      <c r="CU756" s="4317"/>
      <c r="CV756" s="4317"/>
      <c r="CW756" s="4317"/>
      <c r="CX756" s="4317"/>
      <c r="CY756" s="4317"/>
      <c r="CZ756" s="4317"/>
      <c r="DA756" s="4317"/>
      <c r="DB756" s="4317"/>
      <c r="DC756" s="4317"/>
      <c r="DD756" s="4317"/>
      <c r="DE756" s="4317"/>
      <c r="DF756" s="4317"/>
      <c r="DG756" s="4317"/>
      <c r="DH756" s="4317"/>
      <c r="DI756" s="4317"/>
      <c r="DJ756" s="4317"/>
      <c r="DK756" s="4317"/>
      <c r="DL756" s="4317"/>
      <c r="DM756" s="4317"/>
      <c r="DN756" s="4317"/>
      <c r="DO756" s="4317"/>
      <c r="DP756" s="4317"/>
      <c r="DQ756" s="4317"/>
      <c r="DR756" s="4317"/>
      <c r="DS756" s="4317"/>
    </row>
    <row r="757" s="4134" customFormat="1" ht="17.25" customHeight="1" spans="1:123">
      <c r="A757" s="4557"/>
      <c r="B757" s="4557"/>
      <c r="C757" s="4557"/>
      <c r="D757" s="4557"/>
      <c r="E757" s="4557"/>
      <c r="F757" s="4317"/>
      <c r="G757" s="4317"/>
      <c r="H757" s="4317"/>
      <c r="I757" s="4317"/>
      <c r="J757" s="4317"/>
      <c r="K757" s="4317"/>
      <c r="L757" s="4317"/>
      <c r="M757" s="4317"/>
      <c r="N757" s="4317"/>
      <c r="O757" s="4317"/>
      <c r="P757" s="4317"/>
      <c r="Q757" s="4317"/>
      <c r="R757" s="4317"/>
      <c r="S757" s="4317"/>
      <c r="T757" s="4317"/>
      <c r="U757" s="4653"/>
      <c r="V757" s="4317"/>
      <c r="W757" s="4317"/>
      <c r="X757" s="4317"/>
      <c r="Y757" s="4653"/>
      <c r="Z757" s="4653"/>
      <c r="AA757" s="4653"/>
      <c r="AB757" s="4317"/>
      <c r="AC757" s="4295"/>
      <c r="AD757" s="4653"/>
      <c r="AE757" s="4653"/>
      <c r="AF757" s="4653"/>
      <c r="AG757" s="4317"/>
      <c r="AH757" s="4317"/>
      <c r="AI757" s="4317"/>
      <c r="AJ757" s="4317"/>
      <c r="AK757" s="4317"/>
      <c r="AL757" s="4317"/>
      <c r="AM757" s="4317"/>
      <c r="AN757" s="4317"/>
      <c r="AO757" s="4317"/>
      <c r="AP757" s="4317"/>
      <c r="AQ757" s="4317"/>
      <c r="AR757" s="4317"/>
      <c r="AS757" s="4317"/>
      <c r="AT757" s="4317"/>
      <c r="AU757" s="4317"/>
      <c r="AV757" s="4317"/>
      <c r="AW757" s="4317"/>
      <c r="AX757" s="4317"/>
      <c r="AY757" s="4317"/>
      <c r="AZ757" s="4317"/>
      <c r="BA757" s="4317"/>
      <c r="BB757" s="4317"/>
      <c r="BC757" s="4317"/>
      <c r="BD757" s="4317"/>
      <c r="BE757" s="4317"/>
      <c r="BF757" s="4317"/>
      <c r="BG757" s="4317"/>
      <c r="BH757" s="4317"/>
      <c r="BI757" s="4317"/>
      <c r="BJ757" s="4317"/>
      <c r="BK757" s="4317"/>
      <c r="BL757" s="4317"/>
      <c r="BM757" s="4317"/>
      <c r="BN757" s="4317"/>
      <c r="BO757" s="4317"/>
      <c r="BP757" s="4317"/>
      <c r="BQ757" s="4317"/>
      <c r="BR757" s="4317"/>
      <c r="BS757" s="4317"/>
      <c r="BT757" s="4317"/>
      <c r="BU757" s="4317"/>
      <c r="BV757" s="4317"/>
      <c r="BW757" s="4317"/>
      <c r="BX757" s="4317"/>
      <c r="BY757" s="4317"/>
      <c r="BZ757" s="4317"/>
      <c r="CA757" s="4317"/>
      <c r="CB757" s="4317"/>
      <c r="CC757" s="4317"/>
      <c r="CD757" s="4317"/>
      <c r="CE757" s="4317"/>
      <c r="CF757" s="4317"/>
      <c r="CG757" s="4317"/>
      <c r="CH757" s="4317"/>
      <c r="CI757" s="4317"/>
      <c r="CJ757" s="4317"/>
      <c r="CK757" s="4317"/>
      <c r="CL757" s="4317"/>
      <c r="CM757" s="4317"/>
      <c r="CN757" s="4317"/>
      <c r="CO757" s="4317"/>
      <c r="CP757" s="4317"/>
      <c r="CQ757" s="4317"/>
      <c r="CR757" s="4317"/>
      <c r="CS757" s="4317"/>
      <c r="CT757" s="4317"/>
      <c r="CU757" s="4317"/>
      <c r="CV757" s="4317"/>
      <c r="CW757" s="4317"/>
      <c r="CX757" s="4317"/>
      <c r="CY757" s="4317"/>
      <c r="CZ757" s="4317"/>
      <c r="DA757" s="4317"/>
      <c r="DB757" s="4317"/>
      <c r="DC757" s="4317"/>
      <c r="DD757" s="4317"/>
      <c r="DE757" s="4317"/>
      <c r="DF757" s="4317"/>
      <c r="DG757" s="4317"/>
      <c r="DH757" s="4317"/>
      <c r="DI757" s="4317"/>
      <c r="DJ757" s="4317"/>
      <c r="DK757" s="4317"/>
      <c r="DL757" s="4317"/>
      <c r="DM757" s="4317"/>
      <c r="DN757" s="4317"/>
      <c r="DO757" s="4317"/>
      <c r="DP757" s="4317"/>
      <c r="DQ757" s="4317"/>
      <c r="DR757" s="4317"/>
      <c r="DS757" s="4317"/>
    </row>
    <row r="758" s="4134" customFormat="1" ht="17.25" customHeight="1" spans="1:123">
      <c r="A758" s="4696" t="s">
        <v>5471</v>
      </c>
      <c r="B758" s="4697"/>
      <c r="C758" s="4697"/>
      <c r="D758" s="4697"/>
      <c r="E758" s="4697"/>
      <c r="F758" s="4534"/>
      <c r="G758" s="4535"/>
      <c r="H758" s="4535"/>
      <c r="I758" s="4535"/>
      <c r="J758" s="4535"/>
      <c r="K758" s="4535"/>
      <c r="L758" s="4536"/>
      <c r="M758" s="4317"/>
      <c r="N758" s="4317"/>
      <c r="O758" s="4317"/>
      <c r="P758" s="4317"/>
      <c r="Q758" s="4317"/>
      <c r="R758" s="4317"/>
      <c r="S758" s="4317"/>
      <c r="T758" s="4319" t="s">
        <v>5472</v>
      </c>
      <c r="U758" s="4317"/>
      <c r="V758" s="4317"/>
      <c r="W758" s="4317"/>
      <c r="X758" s="4317"/>
      <c r="Y758" s="4653"/>
      <c r="Z758" s="4653"/>
      <c r="AA758" s="4653"/>
      <c r="AB758" s="4317"/>
      <c r="AC758" s="4295"/>
      <c r="AD758" s="4653"/>
      <c r="AE758" s="4653"/>
      <c r="AF758" s="4653"/>
      <c r="AG758" s="4319"/>
      <c r="AH758" s="4317"/>
      <c r="AI758" s="4317"/>
      <c r="AJ758" s="4317"/>
      <c r="AK758" s="4317"/>
      <c r="AL758" s="4317"/>
      <c r="AM758" s="4317"/>
      <c r="AN758" s="4317"/>
      <c r="AO758" s="4317"/>
      <c r="AP758" s="4317"/>
      <c r="AQ758" s="4317"/>
      <c r="AR758" s="4317"/>
      <c r="AS758" s="4317"/>
      <c r="AT758" s="4317"/>
      <c r="AU758" s="4317"/>
      <c r="AV758" s="4317"/>
      <c r="AW758" s="4317"/>
      <c r="AX758" s="4317"/>
      <c r="AY758" s="4317"/>
      <c r="AZ758" s="4317"/>
      <c r="BA758" s="4317"/>
      <c r="BB758" s="4317"/>
      <c r="BC758" s="4317"/>
      <c r="BD758" s="4317"/>
      <c r="BE758" s="4317"/>
      <c r="BF758" s="4317"/>
      <c r="BG758" s="4317"/>
      <c r="BH758" s="4317"/>
      <c r="BI758" s="4317"/>
      <c r="BJ758" s="4317"/>
      <c r="BK758" s="4317"/>
      <c r="BL758" s="4317"/>
      <c r="BM758" s="4317"/>
      <c r="BN758" s="4317"/>
      <c r="BO758" s="4317"/>
      <c r="BP758" s="4317"/>
      <c r="BQ758" s="4317"/>
      <c r="BR758" s="4317"/>
      <c r="BS758" s="4317"/>
      <c r="BT758" s="4317"/>
      <c r="BU758" s="4317"/>
      <c r="BV758" s="4317"/>
      <c r="BW758" s="4317"/>
      <c r="BX758" s="4317"/>
      <c r="BY758" s="4317"/>
      <c r="BZ758" s="4317"/>
      <c r="CA758" s="4317"/>
      <c r="CB758" s="4317"/>
      <c r="CC758" s="4317"/>
      <c r="CD758" s="4317"/>
      <c r="CE758" s="4317"/>
      <c r="CF758" s="4317"/>
      <c r="CG758" s="4317"/>
      <c r="CH758" s="4317"/>
      <c r="CI758" s="4317"/>
      <c r="CJ758" s="4317"/>
      <c r="CK758" s="4317"/>
      <c r="CL758" s="4317"/>
      <c r="CM758" s="4317"/>
      <c r="CN758" s="4317"/>
      <c r="CO758" s="4317"/>
      <c r="CP758" s="4317"/>
      <c r="CQ758" s="4317"/>
      <c r="CR758" s="4317"/>
      <c r="CS758" s="4317"/>
      <c r="CT758" s="4317"/>
      <c r="CU758" s="4317"/>
      <c r="CV758" s="4317"/>
      <c r="CW758" s="4317"/>
      <c r="CX758" s="4317"/>
      <c r="CY758" s="4317"/>
      <c r="CZ758" s="4317"/>
      <c r="DA758" s="4317"/>
      <c r="DB758" s="4317"/>
      <c r="DC758" s="4317"/>
      <c r="DD758" s="4317"/>
      <c r="DE758" s="4317"/>
      <c r="DF758" s="4317"/>
      <c r="DG758" s="4317"/>
      <c r="DH758" s="4317"/>
      <c r="DI758" s="4317"/>
      <c r="DJ758" s="4317"/>
      <c r="DK758" s="4317"/>
      <c r="DL758" s="4317"/>
      <c r="DM758" s="4317"/>
      <c r="DN758" s="4317"/>
      <c r="DO758" s="4317"/>
      <c r="DP758" s="4317"/>
      <c r="DQ758" s="4317"/>
      <c r="DR758" s="4317"/>
      <c r="DS758" s="4317"/>
    </row>
    <row r="759" s="4134" customFormat="1" ht="17.25" customHeight="1" spans="1:123">
      <c r="A759" s="4696" t="s">
        <v>4565</v>
      </c>
      <c r="B759" s="4697"/>
      <c r="C759" s="4697"/>
      <c r="D759" s="4697"/>
      <c r="E759" s="4697"/>
      <c r="F759" s="4534"/>
      <c r="G759" s="4535"/>
      <c r="H759" s="4535"/>
      <c r="I759" s="4535"/>
      <c r="J759" s="4535"/>
      <c r="K759" s="4535"/>
      <c r="L759" s="4536"/>
      <c r="M759" s="4317"/>
      <c r="N759" s="4317"/>
      <c r="O759" s="4317"/>
      <c r="P759" s="4317"/>
      <c r="Q759" s="4317"/>
      <c r="R759" s="4317"/>
      <c r="S759" s="4317"/>
      <c r="T759" s="4319" t="s">
        <v>5473</v>
      </c>
      <c r="U759" s="4317"/>
      <c r="V759" s="4317"/>
      <c r="W759" s="4317"/>
      <c r="X759" s="4317"/>
      <c r="Y759" s="4653"/>
      <c r="Z759" s="4653"/>
      <c r="AA759" s="4653"/>
      <c r="AB759" s="4317"/>
      <c r="AC759" s="4295"/>
      <c r="AD759" s="4653"/>
      <c r="AE759" s="4653"/>
      <c r="AF759" s="4653"/>
      <c r="AG759" s="4319"/>
      <c r="AH759" s="4317"/>
      <c r="AI759" s="4317"/>
      <c r="AJ759" s="4317"/>
      <c r="AK759" s="4317"/>
      <c r="AL759" s="4317"/>
      <c r="AM759" s="4317"/>
      <c r="AN759" s="4317"/>
      <c r="AO759" s="4317"/>
      <c r="AP759" s="4317"/>
      <c r="AQ759" s="4317"/>
      <c r="AR759" s="4317"/>
      <c r="AS759" s="4317"/>
      <c r="AT759" s="4317"/>
      <c r="AU759" s="4317"/>
      <c r="AV759" s="4317"/>
      <c r="AW759" s="4317"/>
      <c r="AX759" s="4317"/>
      <c r="AY759" s="4317"/>
      <c r="AZ759" s="4317"/>
      <c r="BA759" s="4317"/>
      <c r="BB759" s="4317"/>
      <c r="BC759" s="4317"/>
      <c r="BD759" s="4317"/>
      <c r="BE759" s="4317"/>
      <c r="BF759" s="4317"/>
      <c r="BG759" s="4317"/>
      <c r="BH759" s="4317"/>
      <c r="BI759" s="4317"/>
      <c r="BJ759" s="4317"/>
      <c r="BK759" s="4317"/>
      <c r="BL759" s="4317"/>
      <c r="BM759" s="4317"/>
      <c r="BN759" s="4317"/>
      <c r="BO759" s="4317"/>
      <c r="BP759" s="4317"/>
      <c r="BQ759" s="4317"/>
      <c r="BR759" s="4317"/>
      <c r="BS759" s="4317"/>
      <c r="BT759" s="4317"/>
      <c r="BU759" s="4317"/>
      <c r="BV759" s="4317"/>
      <c r="BW759" s="4317"/>
      <c r="BX759" s="4317"/>
      <c r="BY759" s="4317"/>
      <c r="BZ759" s="4317"/>
      <c r="CA759" s="4317"/>
      <c r="CB759" s="4317"/>
      <c r="CC759" s="4317"/>
      <c r="CD759" s="4317"/>
      <c r="CE759" s="4317"/>
      <c r="CF759" s="4317"/>
      <c r="CG759" s="4317"/>
      <c r="CH759" s="4317"/>
      <c r="CI759" s="4317"/>
      <c r="CJ759" s="4317"/>
      <c r="CK759" s="4317"/>
      <c r="CL759" s="4317"/>
      <c r="CM759" s="4317"/>
      <c r="CN759" s="4317"/>
      <c r="CO759" s="4317"/>
      <c r="CP759" s="4317"/>
      <c r="CQ759" s="4317"/>
      <c r="CR759" s="4317"/>
      <c r="CS759" s="4317"/>
      <c r="CT759" s="4317"/>
      <c r="CU759" s="4317"/>
      <c r="CV759" s="4317"/>
      <c r="CW759" s="4317"/>
      <c r="CX759" s="4317"/>
      <c r="CY759" s="4317"/>
      <c r="CZ759" s="4317"/>
      <c r="DA759" s="4317"/>
      <c r="DB759" s="4317"/>
      <c r="DC759" s="4317"/>
      <c r="DD759" s="4317"/>
      <c r="DE759" s="4317"/>
      <c r="DF759" s="4317"/>
      <c r="DG759" s="4317"/>
      <c r="DH759" s="4317"/>
      <c r="DI759" s="4317"/>
      <c r="DJ759" s="4317"/>
      <c r="DK759" s="4317"/>
      <c r="DL759" s="4317"/>
      <c r="DM759" s="4317"/>
      <c r="DN759" s="4317"/>
      <c r="DO759" s="4317"/>
      <c r="DP759" s="4317"/>
      <c r="DQ759" s="4317"/>
      <c r="DR759" s="4317"/>
      <c r="DS759" s="4317"/>
    </row>
    <row r="760" s="4134" customFormat="1" ht="17.25" customHeight="1" spans="1:123">
      <c r="A760" s="4696" t="s">
        <v>4566</v>
      </c>
      <c r="B760" s="4697"/>
      <c r="C760" s="4697"/>
      <c r="D760" s="4697"/>
      <c r="E760" s="4697"/>
      <c r="F760" s="4534"/>
      <c r="G760" s="4535"/>
      <c r="H760" s="4535"/>
      <c r="I760" s="4535"/>
      <c r="J760" s="4535"/>
      <c r="K760" s="4535"/>
      <c r="L760" s="4536"/>
      <c r="M760" s="4317"/>
      <c r="N760" s="4317"/>
      <c r="O760" s="4317"/>
      <c r="P760" s="4317"/>
      <c r="Q760" s="4317"/>
      <c r="R760" s="4317"/>
      <c r="S760" s="4317"/>
      <c r="T760" s="4319" t="s">
        <v>5474</v>
      </c>
      <c r="U760" s="4317"/>
      <c r="V760" s="4317"/>
      <c r="W760" s="4317"/>
      <c r="X760" s="4317"/>
      <c r="Y760" s="4653"/>
      <c r="Z760" s="4653"/>
      <c r="AA760" s="4653"/>
      <c r="AB760" s="4317"/>
      <c r="AC760" s="4295"/>
      <c r="AD760" s="4653"/>
      <c r="AE760" s="4653"/>
      <c r="AF760" s="4653"/>
      <c r="AG760" s="4319"/>
      <c r="AH760" s="4317"/>
      <c r="AI760" s="4317"/>
      <c r="AJ760" s="4317"/>
      <c r="AK760" s="4317"/>
      <c r="AL760" s="4317"/>
      <c r="AM760" s="4317"/>
      <c r="AN760" s="4317"/>
      <c r="AO760" s="4317"/>
      <c r="AP760" s="4317"/>
      <c r="AQ760" s="4317"/>
      <c r="AR760" s="4317"/>
      <c r="AS760" s="4317"/>
      <c r="AT760" s="4317"/>
      <c r="AU760" s="4317"/>
      <c r="AV760" s="4317"/>
      <c r="AW760" s="4317"/>
      <c r="AX760" s="4317"/>
      <c r="AY760" s="4317"/>
      <c r="AZ760" s="4317"/>
      <c r="BA760" s="4317"/>
      <c r="BB760" s="4317"/>
      <c r="BC760" s="4317"/>
      <c r="BD760" s="4317"/>
      <c r="BE760" s="4317"/>
      <c r="BF760" s="4317"/>
      <c r="BG760" s="4317"/>
      <c r="BH760" s="4317"/>
      <c r="BI760" s="4317"/>
      <c r="BJ760" s="4317"/>
      <c r="BK760" s="4317"/>
      <c r="BL760" s="4317"/>
      <c r="BM760" s="4317"/>
      <c r="BN760" s="4317"/>
      <c r="BO760" s="4317"/>
      <c r="BP760" s="4317"/>
      <c r="BQ760" s="4317"/>
      <c r="BR760" s="4317"/>
      <c r="BS760" s="4317"/>
      <c r="BT760" s="4317"/>
      <c r="BU760" s="4317"/>
      <c r="BV760" s="4317"/>
      <c r="BW760" s="4317"/>
      <c r="BX760" s="4317"/>
      <c r="BY760" s="4317"/>
      <c r="BZ760" s="4317"/>
      <c r="CA760" s="4317"/>
      <c r="CB760" s="4317"/>
      <c r="CC760" s="4317"/>
      <c r="CD760" s="4317"/>
      <c r="CE760" s="4317"/>
      <c r="CF760" s="4317"/>
      <c r="CG760" s="4317"/>
      <c r="CH760" s="4317"/>
      <c r="CI760" s="4317"/>
      <c r="CJ760" s="4317"/>
      <c r="CK760" s="4317"/>
      <c r="CL760" s="4317"/>
      <c r="CM760" s="4317"/>
      <c r="CN760" s="4317"/>
      <c r="CO760" s="4317"/>
      <c r="CP760" s="4317"/>
      <c r="CQ760" s="4317"/>
      <c r="CR760" s="4317"/>
      <c r="CS760" s="4317"/>
      <c r="CT760" s="4317"/>
      <c r="CU760" s="4317"/>
      <c r="CV760" s="4317"/>
      <c r="CW760" s="4317"/>
      <c r="CX760" s="4317"/>
      <c r="CY760" s="4317"/>
      <c r="CZ760" s="4317"/>
      <c r="DA760" s="4317"/>
      <c r="DB760" s="4317"/>
      <c r="DC760" s="4317"/>
      <c r="DD760" s="4317"/>
      <c r="DE760" s="4317"/>
      <c r="DF760" s="4317"/>
      <c r="DG760" s="4317"/>
      <c r="DH760" s="4317"/>
      <c r="DI760" s="4317"/>
      <c r="DJ760" s="4317"/>
      <c r="DK760" s="4317"/>
      <c r="DL760" s="4317"/>
      <c r="DM760" s="4317"/>
      <c r="DN760" s="4317"/>
      <c r="DO760" s="4317"/>
      <c r="DP760" s="4317"/>
      <c r="DQ760" s="4317"/>
      <c r="DR760" s="4317"/>
      <c r="DS760" s="4317"/>
    </row>
    <row r="761" s="4134" customFormat="1" ht="17.25" customHeight="1" spans="1:123">
      <c r="A761" s="4696" t="s">
        <v>4567</v>
      </c>
      <c r="B761" s="4697"/>
      <c r="C761" s="4697"/>
      <c r="D761" s="4697"/>
      <c r="E761" s="4697"/>
      <c r="F761" s="4534"/>
      <c r="G761" s="4535"/>
      <c r="H761" s="4535"/>
      <c r="I761" s="4535"/>
      <c r="J761" s="4535"/>
      <c r="K761" s="4535"/>
      <c r="L761" s="4536"/>
      <c r="M761" s="4317"/>
      <c r="N761" s="4317"/>
      <c r="O761" s="4317"/>
      <c r="P761" s="4317"/>
      <c r="Q761" s="4317"/>
      <c r="R761" s="4317"/>
      <c r="S761" s="4317"/>
      <c r="T761" s="4319" t="s">
        <v>5475</v>
      </c>
      <c r="U761" s="4317"/>
      <c r="V761" s="4317"/>
      <c r="W761" s="4317"/>
      <c r="X761" s="4317"/>
      <c r="Y761" s="4653"/>
      <c r="Z761" s="4653"/>
      <c r="AA761" s="4653"/>
      <c r="AB761" s="4317"/>
      <c r="AC761" s="4295"/>
      <c r="AD761" s="4653"/>
      <c r="AE761" s="4653"/>
      <c r="AF761" s="4653"/>
      <c r="AG761" s="4319"/>
      <c r="AH761" s="4317"/>
      <c r="AI761" s="4317"/>
      <c r="AJ761" s="4317"/>
      <c r="AK761" s="4317"/>
      <c r="AL761" s="4317"/>
      <c r="AM761" s="4317"/>
      <c r="AN761" s="4317"/>
      <c r="AO761" s="4317"/>
      <c r="AP761" s="4317"/>
      <c r="AQ761" s="4317"/>
      <c r="AR761" s="4317"/>
      <c r="AS761" s="4317"/>
      <c r="AT761" s="4317"/>
      <c r="AU761" s="4317"/>
      <c r="AV761" s="4317"/>
      <c r="AW761" s="4317"/>
      <c r="AX761" s="4317"/>
      <c r="AY761" s="4317"/>
      <c r="AZ761" s="4317"/>
      <c r="BA761" s="4317"/>
      <c r="BB761" s="4317"/>
      <c r="BC761" s="4317"/>
      <c r="BD761" s="4317"/>
      <c r="BE761" s="4317"/>
      <c r="BF761" s="4317"/>
      <c r="BG761" s="4317"/>
      <c r="BH761" s="4317"/>
      <c r="BI761" s="4317"/>
      <c r="BJ761" s="4317"/>
      <c r="BK761" s="4317"/>
      <c r="BL761" s="4317"/>
      <c r="BM761" s="4317"/>
      <c r="BN761" s="4317"/>
      <c r="BO761" s="4317"/>
      <c r="BP761" s="4317"/>
      <c r="BQ761" s="4317"/>
      <c r="BR761" s="4317"/>
      <c r="BS761" s="4317"/>
      <c r="BT761" s="4317"/>
      <c r="BU761" s="4317"/>
      <c r="BV761" s="4317"/>
      <c r="BW761" s="4317"/>
      <c r="BX761" s="4317"/>
      <c r="BY761" s="4317"/>
      <c r="BZ761" s="4317"/>
      <c r="CA761" s="4317"/>
      <c r="CB761" s="4317"/>
      <c r="CC761" s="4317"/>
      <c r="CD761" s="4317"/>
      <c r="CE761" s="4317"/>
      <c r="CF761" s="4317"/>
      <c r="CG761" s="4317"/>
      <c r="CH761" s="4317"/>
      <c r="CI761" s="4317"/>
      <c r="CJ761" s="4317"/>
      <c r="CK761" s="4317"/>
      <c r="CL761" s="4317"/>
      <c r="CM761" s="4317"/>
      <c r="CN761" s="4317"/>
      <c r="CO761" s="4317"/>
      <c r="CP761" s="4317"/>
      <c r="CQ761" s="4317"/>
      <c r="CR761" s="4317"/>
      <c r="CS761" s="4317"/>
      <c r="CT761" s="4317"/>
      <c r="CU761" s="4317"/>
      <c r="CV761" s="4317"/>
      <c r="CW761" s="4317"/>
      <c r="CX761" s="4317"/>
      <c r="CY761" s="4317"/>
      <c r="CZ761" s="4317"/>
      <c r="DA761" s="4317"/>
      <c r="DB761" s="4317"/>
      <c r="DC761" s="4317"/>
      <c r="DD761" s="4317"/>
      <c r="DE761" s="4317"/>
      <c r="DF761" s="4317"/>
      <c r="DG761" s="4317"/>
      <c r="DH761" s="4317"/>
      <c r="DI761" s="4317"/>
      <c r="DJ761" s="4317"/>
      <c r="DK761" s="4317"/>
      <c r="DL761" s="4317"/>
      <c r="DM761" s="4317"/>
      <c r="DN761" s="4317"/>
      <c r="DO761" s="4317"/>
      <c r="DP761" s="4317"/>
      <c r="DQ761" s="4317"/>
      <c r="DR761" s="4317"/>
      <c r="DS761" s="4317"/>
    </row>
    <row r="762" s="4134" customFormat="1" ht="17.25" customHeight="1" spans="1:123">
      <c r="A762" s="4696" t="s">
        <v>4568</v>
      </c>
      <c r="B762" s="4697"/>
      <c r="C762" s="4697"/>
      <c r="D762" s="4697"/>
      <c r="E762" s="4697"/>
      <c r="F762" s="4534"/>
      <c r="G762" s="4535"/>
      <c r="H762" s="4535"/>
      <c r="I762" s="4535"/>
      <c r="J762" s="4535"/>
      <c r="K762" s="4535"/>
      <c r="L762" s="4536"/>
      <c r="M762" s="4317"/>
      <c r="N762" s="4317"/>
      <c r="O762" s="4317"/>
      <c r="P762" s="4317"/>
      <c r="Q762" s="4317"/>
      <c r="R762" s="4317"/>
      <c r="S762" s="4317"/>
      <c r="T762" s="4319" t="s">
        <v>5476</v>
      </c>
      <c r="U762" s="4317"/>
      <c r="V762" s="4317"/>
      <c r="W762" s="4317"/>
      <c r="X762" s="4317"/>
      <c r="Y762" s="4653"/>
      <c r="Z762" s="4653"/>
      <c r="AA762" s="4653"/>
      <c r="AB762" s="4317"/>
      <c r="AC762" s="4295"/>
      <c r="AD762" s="4653"/>
      <c r="AE762" s="4653"/>
      <c r="AF762" s="4653"/>
      <c r="AG762" s="4319"/>
      <c r="AH762" s="4317"/>
      <c r="AI762" s="4317"/>
      <c r="AJ762" s="4317"/>
      <c r="AK762" s="4317"/>
      <c r="AL762" s="4317"/>
      <c r="AM762" s="4317"/>
      <c r="AN762" s="4317"/>
      <c r="AO762" s="4317"/>
      <c r="AP762" s="4317"/>
      <c r="AQ762" s="4317"/>
      <c r="AR762" s="4317"/>
      <c r="AS762" s="4317"/>
      <c r="AT762" s="4317"/>
      <c r="AU762" s="4317"/>
      <c r="AV762" s="4317"/>
      <c r="AW762" s="4317"/>
      <c r="AX762" s="4317"/>
      <c r="AY762" s="4317"/>
      <c r="AZ762" s="4317"/>
      <c r="BA762" s="4317"/>
      <c r="BB762" s="4317"/>
      <c r="BC762" s="4317"/>
      <c r="BD762" s="4317"/>
      <c r="BE762" s="4317"/>
      <c r="BF762" s="4317"/>
      <c r="BG762" s="4317"/>
      <c r="BH762" s="4317"/>
      <c r="BI762" s="4317"/>
      <c r="BJ762" s="4317"/>
      <c r="BK762" s="4317"/>
      <c r="BL762" s="4317"/>
      <c r="BM762" s="4317"/>
      <c r="BN762" s="4317"/>
      <c r="BO762" s="4317"/>
      <c r="BP762" s="4317"/>
      <c r="BQ762" s="4317"/>
      <c r="BR762" s="4317"/>
      <c r="BS762" s="4317"/>
      <c r="BT762" s="4317"/>
      <c r="BU762" s="4317"/>
      <c r="BV762" s="4317"/>
      <c r="BW762" s="4317"/>
      <c r="BX762" s="4317"/>
      <c r="BY762" s="4317"/>
      <c r="BZ762" s="4317"/>
      <c r="CA762" s="4317"/>
      <c r="CB762" s="4317"/>
      <c r="CC762" s="4317"/>
      <c r="CD762" s="4317"/>
      <c r="CE762" s="4317"/>
      <c r="CF762" s="4317"/>
      <c r="CG762" s="4317"/>
      <c r="CH762" s="4317"/>
      <c r="CI762" s="4317"/>
      <c r="CJ762" s="4317"/>
      <c r="CK762" s="4317"/>
      <c r="CL762" s="4317"/>
      <c r="CM762" s="4317"/>
      <c r="CN762" s="4317"/>
      <c r="CO762" s="4317"/>
      <c r="CP762" s="4317"/>
      <c r="CQ762" s="4317"/>
      <c r="CR762" s="4317"/>
      <c r="CS762" s="4317"/>
      <c r="CT762" s="4317"/>
      <c r="CU762" s="4317"/>
      <c r="CV762" s="4317"/>
      <c r="CW762" s="4317"/>
      <c r="CX762" s="4317"/>
      <c r="CY762" s="4317"/>
      <c r="CZ762" s="4317"/>
      <c r="DA762" s="4317"/>
      <c r="DB762" s="4317"/>
      <c r="DC762" s="4317"/>
      <c r="DD762" s="4317"/>
      <c r="DE762" s="4317"/>
      <c r="DF762" s="4317"/>
      <c r="DG762" s="4317"/>
      <c r="DH762" s="4317"/>
      <c r="DI762" s="4317"/>
      <c r="DJ762" s="4317"/>
      <c r="DK762" s="4317"/>
      <c r="DL762" s="4317"/>
      <c r="DM762" s="4317"/>
      <c r="DN762" s="4317"/>
      <c r="DO762" s="4317"/>
      <c r="DP762" s="4317"/>
      <c r="DQ762" s="4317"/>
      <c r="DR762" s="4317"/>
      <c r="DS762" s="4317"/>
    </row>
    <row r="763" s="4134" customFormat="1" ht="17.25" customHeight="1" spans="1:123">
      <c r="A763" s="4696" t="s">
        <v>4569</v>
      </c>
      <c r="B763" s="4697"/>
      <c r="C763" s="4697"/>
      <c r="D763" s="4697"/>
      <c r="E763" s="4697"/>
      <c r="F763" s="4534"/>
      <c r="G763" s="4535"/>
      <c r="H763" s="4535"/>
      <c r="I763" s="4535"/>
      <c r="J763" s="4535"/>
      <c r="K763" s="4535"/>
      <c r="L763" s="4536"/>
      <c r="M763" s="4317"/>
      <c r="N763" s="4317"/>
      <c r="O763" s="4317"/>
      <c r="P763" s="4317"/>
      <c r="Q763" s="4317"/>
      <c r="R763" s="4317"/>
      <c r="S763" s="4317"/>
      <c r="T763" s="4319" t="s">
        <v>5477</v>
      </c>
      <c r="U763" s="4317"/>
      <c r="V763" s="4317"/>
      <c r="W763" s="4317"/>
      <c r="X763" s="4317"/>
      <c r="Y763" s="4653"/>
      <c r="Z763" s="4653"/>
      <c r="AA763" s="4653"/>
      <c r="AB763" s="4317"/>
      <c r="AC763" s="4295"/>
      <c r="AD763" s="4653"/>
      <c r="AE763" s="4653"/>
      <c r="AF763" s="4653"/>
      <c r="AG763" s="4319"/>
      <c r="AH763" s="4317"/>
      <c r="AI763" s="4317"/>
      <c r="AJ763" s="4317"/>
      <c r="AK763" s="4317"/>
      <c r="AL763" s="4317"/>
      <c r="AM763" s="4317"/>
      <c r="AN763" s="4317"/>
      <c r="AO763" s="4317"/>
      <c r="AP763" s="4317"/>
      <c r="AQ763" s="4317"/>
      <c r="AR763" s="4317"/>
      <c r="AS763" s="4317"/>
      <c r="AT763" s="4317"/>
      <c r="AU763" s="4317"/>
      <c r="AV763" s="4317"/>
      <c r="AW763" s="4317"/>
      <c r="AX763" s="4317"/>
      <c r="AY763" s="4317"/>
      <c r="AZ763" s="4317"/>
      <c r="BA763" s="4317"/>
      <c r="BB763" s="4317"/>
      <c r="BC763" s="4317"/>
      <c r="BD763" s="4317"/>
      <c r="BE763" s="4317"/>
      <c r="BF763" s="4317"/>
      <c r="BG763" s="4317"/>
      <c r="BH763" s="4317"/>
      <c r="BI763" s="4317"/>
      <c r="BJ763" s="4317"/>
      <c r="BK763" s="4317"/>
      <c r="BL763" s="4317"/>
      <c r="BM763" s="4317"/>
      <c r="BN763" s="4317"/>
      <c r="BO763" s="4317"/>
      <c r="BP763" s="4317"/>
      <c r="BQ763" s="4317"/>
      <c r="BR763" s="4317"/>
      <c r="BS763" s="4317"/>
      <c r="BT763" s="4317"/>
      <c r="BU763" s="4317"/>
      <c r="BV763" s="4317"/>
      <c r="BW763" s="4317"/>
      <c r="BX763" s="4317"/>
      <c r="BY763" s="4317"/>
      <c r="BZ763" s="4317"/>
      <c r="CA763" s="4317"/>
      <c r="CB763" s="4317"/>
      <c r="CC763" s="4317"/>
      <c r="CD763" s="4317"/>
      <c r="CE763" s="4317"/>
      <c r="CF763" s="4317"/>
      <c r="CG763" s="4317"/>
      <c r="CH763" s="4317"/>
      <c r="CI763" s="4317"/>
      <c r="CJ763" s="4317"/>
      <c r="CK763" s="4317"/>
      <c r="CL763" s="4317"/>
      <c r="CM763" s="4317"/>
      <c r="CN763" s="4317"/>
      <c r="CO763" s="4317"/>
      <c r="CP763" s="4317"/>
      <c r="CQ763" s="4317"/>
      <c r="CR763" s="4317"/>
      <c r="CS763" s="4317"/>
      <c r="CT763" s="4317"/>
      <c r="CU763" s="4317"/>
      <c r="CV763" s="4317"/>
      <c r="CW763" s="4317"/>
      <c r="CX763" s="4317"/>
      <c r="CY763" s="4317"/>
      <c r="CZ763" s="4317"/>
      <c r="DA763" s="4317"/>
      <c r="DB763" s="4317"/>
      <c r="DC763" s="4317"/>
      <c r="DD763" s="4317"/>
      <c r="DE763" s="4317"/>
      <c r="DF763" s="4317"/>
      <c r="DG763" s="4317"/>
      <c r="DH763" s="4317"/>
      <c r="DI763" s="4317"/>
      <c r="DJ763" s="4317"/>
      <c r="DK763" s="4317"/>
      <c r="DL763" s="4317"/>
      <c r="DM763" s="4317"/>
      <c r="DN763" s="4317"/>
      <c r="DO763" s="4317"/>
      <c r="DP763" s="4317"/>
      <c r="DQ763" s="4317"/>
      <c r="DR763" s="4317"/>
      <c r="DS763" s="4317"/>
    </row>
    <row r="764" s="4134" customFormat="1" ht="17.25" customHeight="1" spans="1:123">
      <c r="A764" s="4696" t="s">
        <v>4570</v>
      </c>
      <c r="B764" s="4697"/>
      <c r="C764" s="4697"/>
      <c r="D764" s="4697"/>
      <c r="E764" s="4697"/>
      <c r="F764" s="4534"/>
      <c r="G764" s="4535"/>
      <c r="H764" s="4535"/>
      <c r="I764" s="4535"/>
      <c r="J764" s="4535"/>
      <c r="K764" s="4535"/>
      <c r="L764" s="4536"/>
      <c r="M764" s="4317"/>
      <c r="N764" s="4317"/>
      <c r="O764" s="4317"/>
      <c r="P764" s="4317"/>
      <c r="Q764" s="4317"/>
      <c r="R764" s="4317"/>
      <c r="S764" s="4317"/>
      <c r="T764" s="4319" t="s">
        <v>5478</v>
      </c>
      <c r="U764" s="4317"/>
      <c r="V764" s="4317"/>
      <c r="W764" s="4317"/>
      <c r="X764" s="4317"/>
      <c r="Y764" s="4653"/>
      <c r="Z764" s="4653"/>
      <c r="AA764" s="4653"/>
      <c r="AB764" s="4317"/>
      <c r="AC764" s="4295"/>
      <c r="AD764" s="4653"/>
      <c r="AE764" s="4653"/>
      <c r="AF764" s="4653"/>
      <c r="AG764" s="4319"/>
      <c r="AH764" s="4317"/>
      <c r="AI764" s="4317"/>
      <c r="AJ764" s="4317"/>
      <c r="AK764" s="4317"/>
      <c r="AL764" s="4317"/>
      <c r="AM764" s="4317"/>
      <c r="AN764" s="4317"/>
      <c r="AO764" s="4317"/>
      <c r="AP764" s="4317"/>
      <c r="AQ764" s="4317"/>
      <c r="AR764" s="4317"/>
      <c r="AS764" s="4317"/>
      <c r="AT764" s="4317"/>
      <c r="AU764" s="4317"/>
      <c r="AV764" s="4317"/>
      <c r="AW764" s="4317"/>
      <c r="AX764" s="4317"/>
      <c r="AY764" s="4317"/>
      <c r="AZ764" s="4317"/>
      <c r="BA764" s="4317"/>
      <c r="BB764" s="4317"/>
      <c r="BC764" s="4317"/>
      <c r="BD764" s="4317"/>
      <c r="BE764" s="4317"/>
      <c r="BF764" s="4317"/>
      <c r="BG764" s="4317"/>
      <c r="BH764" s="4317"/>
      <c r="BI764" s="4317"/>
      <c r="BJ764" s="4317"/>
      <c r="BK764" s="4317"/>
      <c r="BL764" s="4317"/>
      <c r="BM764" s="4317"/>
      <c r="BN764" s="4317"/>
      <c r="BO764" s="4317"/>
      <c r="BP764" s="4317"/>
      <c r="BQ764" s="4317"/>
      <c r="BR764" s="4317"/>
      <c r="BS764" s="4317"/>
      <c r="BT764" s="4317"/>
      <c r="BU764" s="4317"/>
      <c r="BV764" s="4317"/>
      <c r="BW764" s="4317"/>
      <c r="BX764" s="4317"/>
      <c r="BY764" s="4317"/>
      <c r="BZ764" s="4317"/>
      <c r="CA764" s="4317"/>
      <c r="CB764" s="4317"/>
      <c r="CC764" s="4317"/>
      <c r="CD764" s="4317"/>
      <c r="CE764" s="4317"/>
      <c r="CF764" s="4317"/>
      <c r="CG764" s="4317"/>
      <c r="CH764" s="4317"/>
      <c r="CI764" s="4317"/>
      <c r="CJ764" s="4317"/>
      <c r="CK764" s="4317"/>
      <c r="CL764" s="4317"/>
      <c r="CM764" s="4317"/>
      <c r="CN764" s="4317"/>
      <c r="CO764" s="4317"/>
      <c r="CP764" s="4317"/>
      <c r="CQ764" s="4317"/>
      <c r="CR764" s="4317"/>
      <c r="CS764" s="4317"/>
      <c r="CT764" s="4317"/>
      <c r="CU764" s="4317"/>
      <c r="CV764" s="4317"/>
      <c r="CW764" s="4317"/>
      <c r="CX764" s="4317"/>
      <c r="CY764" s="4317"/>
      <c r="CZ764" s="4317"/>
      <c r="DA764" s="4317"/>
      <c r="DB764" s="4317"/>
      <c r="DC764" s="4317"/>
      <c r="DD764" s="4317"/>
      <c r="DE764" s="4317"/>
      <c r="DF764" s="4317"/>
      <c r="DG764" s="4317"/>
      <c r="DH764" s="4317"/>
      <c r="DI764" s="4317"/>
      <c r="DJ764" s="4317"/>
      <c r="DK764" s="4317"/>
      <c r="DL764" s="4317"/>
      <c r="DM764" s="4317"/>
      <c r="DN764" s="4317"/>
      <c r="DO764" s="4317"/>
      <c r="DP764" s="4317"/>
      <c r="DQ764" s="4317"/>
      <c r="DR764" s="4317"/>
      <c r="DS764" s="4317"/>
    </row>
    <row r="765" s="4134" customFormat="1" ht="17.25" customHeight="1" spans="1:123">
      <c r="A765" s="4696" t="s">
        <v>4571</v>
      </c>
      <c r="B765" s="4697"/>
      <c r="C765" s="4697"/>
      <c r="D765" s="4697"/>
      <c r="E765" s="4697"/>
      <c r="F765" s="4534"/>
      <c r="G765" s="4535"/>
      <c r="H765" s="4535"/>
      <c r="I765" s="4535"/>
      <c r="J765" s="4535"/>
      <c r="K765" s="4535"/>
      <c r="L765" s="4536"/>
      <c r="M765" s="4317"/>
      <c r="N765" s="4317"/>
      <c r="O765" s="4317"/>
      <c r="P765" s="4317"/>
      <c r="Q765" s="4317"/>
      <c r="R765" s="4317"/>
      <c r="S765" s="4317"/>
      <c r="T765" s="4319" t="s">
        <v>5479</v>
      </c>
      <c r="U765" s="4317"/>
      <c r="V765" s="4317"/>
      <c r="W765" s="4317"/>
      <c r="X765" s="4317"/>
      <c r="Y765" s="4653"/>
      <c r="Z765" s="4653"/>
      <c r="AA765" s="4653"/>
      <c r="AB765" s="4317"/>
      <c r="AC765" s="4295"/>
      <c r="AD765" s="4653"/>
      <c r="AE765" s="4653"/>
      <c r="AF765" s="4653"/>
      <c r="AG765" s="4319"/>
      <c r="AH765" s="4317"/>
      <c r="AI765" s="4317"/>
      <c r="AJ765" s="4317"/>
      <c r="AK765" s="4317"/>
      <c r="AL765" s="4317"/>
      <c r="AM765" s="4317"/>
      <c r="AN765" s="4317"/>
      <c r="AO765" s="4317"/>
      <c r="AP765" s="4317"/>
      <c r="AQ765" s="4317"/>
      <c r="AR765" s="4317"/>
      <c r="AS765" s="4317"/>
      <c r="AT765" s="4317"/>
      <c r="AU765" s="4317"/>
      <c r="AV765" s="4317"/>
      <c r="AW765" s="4317"/>
      <c r="AX765" s="4317"/>
      <c r="AY765" s="4317"/>
      <c r="AZ765" s="4317"/>
      <c r="BA765" s="4317"/>
      <c r="BB765" s="4317"/>
      <c r="BC765" s="4317"/>
      <c r="BD765" s="4317"/>
      <c r="BE765" s="4317"/>
      <c r="BF765" s="4317"/>
      <c r="BG765" s="4317"/>
      <c r="BH765" s="4317"/>
      <c r="BI765" s="4317"/>
      <c r="BJ765" s="4317"/>
      <c r="BK765" s="4317"/>
      <c r="BL765" s="4317"/>
      <c r="BM765" s="4317"/>
      <c r="BN765" s="4317"/>
      <c r="BO765" s="4317"/>
      <c r="BP765" s="4317"/>
      <c r="BQ765" s="4317"/>
      <c r="BR765" s="4317"/>
      <c r="BS765" s="4317"/>
      <c r="BT765" s="4317"/>
      <c r="BU765" s="4317"/>
      <c r="BV765" s="4317"/>
      <c r="BW765" s="4317"/>
      <c r="BX765" s="4317"/>
      <c r="BY765" s="4317"/>
      <c r="BZ765" s="4317"/>
      <c r="CA765" s="4317"/>
      <c r="CB765" s="4317"/>
      <c r="CC765" s="4317"/>
      <c r="CD765" s="4317"/>
      <c r="CE765" s="4317"/>
      <c r="CF765" s="4317"/>
      <c r="CG765" s="4317"/>
      <c r="CH765" s="4317"/>
      <c r="CI765" s="4317"/>
      <c r="CJ765" s="4317"/>
      <c r="CK765" s="4317"/>
      <c r="CL765" s="4317"/>
      <c r="CM765" s="4317"/>
      <c r="CN765" s="4317"/>
      <c r="CO765" s="4317"/>
      <c r="CP765" s="4317"/>
      <c r="CQ765" s="4317"/>
      <c r="CR765" s="4317"/>
      <c r="CS765" s="4317"/>
      <c r="CT765" s="4317"/>
      <c r="CU765" s="4317"/>
      <c r="CV765" s="4317"/>
      <c r="CW765" s="4317"/>
      <c r="CX765" s="4317"/>
      <c r="CY765" s="4317"/>
      <c r="CZ765" s="4317"/>
      <c r="DA765" s="4317"/>
      <c r="DB765" s="4317"/>
      <c r="DC765" s="4317"/>
      <c r="DD765" s="4317"/>
      <c r="DE765" s="4317"/>
      <c r="DF765" s="4317"/>
      <c r="DG765" s="4317"/>
      <c r="DH765" s="4317"/>
      <c r="DI765" s="4317"/>
      <c r="DJ765" s="4317"/>
      <c r="DK765" s="4317"/>
      <c r="DL765" s="4317"/>
      <c r="DM765" s="4317"/>
      <c r="DN765" s="4317"/>
      <c r="DO765" s="4317"/>
      <c r="DP765" s="4317"/>
      <c r="DQ765" s="4317"/>
      <c r="DR765" s="4317"/>
      <c r="DS765" s="4317"/>
    </row>
    <row r="766" s="4134" customFormat="1" ht="17.25" customHeight="1" spans="1:123">
      <c r="A766" s="4696" t="s">
        <v>4572</v>
      </c>
      <c r="B766" s="4697"/>
      <c r="C766" s="4697"/>
      <c r="D766" s="4697"/>
      <c r="E766" s="4697"/>
      <c r="F766" s="4534"/>
      <c r="G766" s="4535"/>
      <c r="H766" s="4535"/>
      <c r="I766" s="4535"/>
      <c r="J766" s="4535"/>
      <c r="K766" s="4535"/>
      <c r="L766" s="4536"/>
      <c r="M766" s="4317"/>
      <c r="N766" s="4317"/>
      <c r="O766" s="4317"/>
      <c r="P766" s="4317"/>
      <c r="Q766" s="4317"/>
      <c r="R766" s="4317"/>
      <c r="S766" s="4317"/>
      <c r="T766" s="4319" t="s">
        <v>5480</v>
      </c>
      <c r="U766" s="4317"/>
      <c r="V766" s="4317"/>
      <c r="W766" s="4317"/>
      <c r="X766" s="4317"/>
      <c r="Y766" s="4653"/>
      <c r="Z766" s="4653"/>
      <c r="AA766" s="4653"/>
      <c r="AB766" s="4317"/>
      <c r="AC766" s="4295"/>
      <c r="AD766" s="4653"/>
      <c r="AE766" s="4653"/>
      <c r="AF766" s="4653"/>
      <c r="AG766" s="4317"/>
      <c r="AH766" s="4317"/>
      <c r="AI766" s="4317"/>
      <c r="AJ766" s="4317"/>
      <c r="AK766" s="4317"/>
      <c r="AL766" s="4317"/>
      <c r="AM766" s="4317"/>
      <c r="AN766" s="4317"/>
      <c r="AO766" s="4317"/>
      <c r="AP766" s="4317"/>
      <c r="AQ766" s="4317"/>
      <c r="AR766" s="4317"/>
      <c r="AS766" s="4317"/>
      <c r="AT766" s="4317"/>
      <c r="AU766" s="4317"/>
      <c r="AV766" s="4317"/>
      <c r="AW766" s="4317"/>
      <c r="AX766" s="4317"/>
      <c r="AY766" s="4317"/>
      <c r="AZ766" s="4317"/>
      <c r="BA766" s="4317"/>
      <c r="BB766" s="4317"/>
      <c r="BC766" s="4317"/>
      <c r="BD766" s="4317"/>
      <c r="BE766" s="4317"/>
      <c r="BF766" s="4317"/>
      <c r="BG766" s="4317"/>
      <c r="BH766" s="4317"/>
      <c r="BI766" s="4317"/>
      <c r="BJ766" s="4317"/>
      <c r="BK766" s="4317"/>
      <c r="BL766" s="4317"/>
      <c r="BM766" s="4317"/>
      <c r="BN766" s="4317"/>
      <c r="BO766" s="4317"/>
      <c r="BP766" s="4317"/>
      <c r="BQ766" s="4317"/>
      <c r="BR766" s="4317"/>
      <c r="BS766" s="4317"/>
      <c r="BT766" s="4317"/>
      <c r="BU766" s="4317"/>
      <c r="BV766" s="4317"/>
      <c r="BW766" s="4317"/>
      <c r="BX766" s="4317"/>
      <c r="BY766" s="4317"/>
      <c r="BZ766" s="4317"/>
      <c r="CA766" s="4317"/>
      <c r="CB766" s="4317"/>
      <c r="CC766" s="4317"/>
      <c r="CD766" s="4317"/>
      <c r="CE766" s="4317"/>
      <c r="CF766" s="4317"/>
      <c r="CG766" s="4317"/>
      <c r="CH766" s="4317"/>
      <c r="CI766" s="4317"/>
      <c r="CJ766" s="4317"/>
      <c r="CK766" s="4317"/>
      <c r="CL766" s="4317"/>
      <c r="CM766" s="4317"/>
      <c r="CN766" s="4317"/>
      <c r="CO766" s="4317"/>
      <c r="CP766" s="4317"/>
      <c r="CQ766" s="4317"/>
      <c r="CR766" s="4317"/>
      <c r="CS766" s="4317"/>
      <c r="CT766" s="4317"/>
      <c r="CU766" s="4317"/>
      <c r="CV766" s="4317"/>
      <c r="CW766" s="4317"/>
      <c r="CX766" s="4317"/>
      <c r="CY766" s="4317"/>
      <c r="CZ766" s="4317"/>
      <c r="DA766" s="4317"/>
      <c r="DB766" s="4317"/>
      <c r="DC766" s="4317"/>
      <c r="DD766" s="4317"/>
      <c r="DE766" s="4317"/>
      <c r="DF766" s="4317"/>
      <c r="DG766" s="4317"/>
      <c r="DH766" s="4317"/>
      <c r="DI766" s="4317"/>
      <c r="DJ766" s="4317"/>
      <c r="DK766" s="4317"/>
      <c r="DL766" s="4317"/>
      <c r="DM766" s="4317"/>
      <c r="DN766" s="4317"/>
      <c r="DO766" s="4317"/>
      <c r="DP766" s="4317"/>
      <c r="DQ766" s="4317"/>
      <c r="DR766" s="4317"/>
      <c r="DS766" s="4317"/>
    </row>
    <row r="767" s="4134" customFormat="1" ht="17.25" customHeight="1" spans="1:123">
      <c r="A767" s="4698" t="s">
        <v>5481</v>
      </c>
      <c r="B767" s="4699"/>
      <c r="C767" s="4699"/>
      <c r="D767" s="4699"/>
      <c r="E767" s="4699"/>
      <c r="F767" s="4534"/>
      <c r="G767" s="4535"/>
      <c r="H767" s="4535"/>
      <c r="I767" s="4535"/>
      <c r="J767" s="4535"/>
      <c r="K767" s="4535"/>
      <c r="L767" s="4536"/>
      <c r="M767" s="4317"/>
      <c r="N767" s="4317"/>
      <c r="O767" s="4317"/>
      <c r="P767" s="4317"/>
      <c r="Q767" s="4317"/>
      <c r="R767" s="4317"/>
      <c r="S767" s="4317"/>
      <c r="T767" s="4319" t="s">
        <v>5482</v>
      </c>
      <c r="U767" s="4317"/>
      <c r="V767" s="4317"/>
      <c r="W767" s="4317"/>
      <c r="X767" s="4317"/>
      <c r="Y767" s="4653"/>
      <c r="Z767" s="4653"/>
      <c r="AA767" s="4653"/>
      <c r="AB767" s="4317"/>
      <c r="AC767" s="4295"/>
      <c r="AD767" s="4653"/>
      <c r="AE767" s="4653"/>
      <c r="AF767" s="4653"/>
      <c r="AG767" s="4317"/>
      <c r="AH767" s="4317"/>
      <c r="AI767" s="4317"/>
      <c r="AJ767" s="4317"/>
      <c r="AK767" s="4317"/>
      <c r="AL767" s="4317"/>
      <c r="AM767" s="4317"/>
      <c r="AN767" s="4317"/>
      <c r="AO767" s="4317"/>
      <c r="AP767" s="4317"/>
      <c r="AQ767" s="4317"/>
      <c r="AR767" s="4317"/>
      <c r="AS767" s="4317"/>
      <c r="AT767" s="4317"/>
      <c r="AU767" s="4317"/>
      <c r="AV767" s="4317"/>
      <c r="AW767" s="4317"/>
      <c r="AX767" s="4317"/>
      <c r="AY767" s="4317"/>
      <c r="AZ767" s="4317"/>
      <c r="BA767" s="4317"/>
      <c r="BB767" s="4317"/>
      <c r="BC767" s="4317"/>
      <c r="BD767" s="4317"/>
      <c r="BE767" s="4317"/>
      <c r="BF767" s="4317"/>
      <c r="BG767" s="4317"/>
      <c r="BH767" s="4317"/>
      <c r="BI767" s="4317"/>
      <c r="BJ767" s="4317"/>
      <c r="BK767" s="4317"/>
      <c r="BL767" s="4317"/>
      <c r="BM767" s="4317"/>
      <c r="BN767" s="4317"/>
      <c r="BO767" s="4317"/>
      <c r="BP767" s="4317"/>
      <c r="BQ767" s="4317"/>
      <c r="BR767" s="4317"/>
      <c r="BS767" s="4317"/>
      <c r="BT767" s="4317"/>
      <c r="BU767" s="4317"/>
      <c r="BV767" s="4317"/>
      <c r="BW767" s="4317"/>
      <c r="BX767" s="4317"/>
      <c r="BY767" s="4317"/>
      <c r="BZ767" s="4317"/>
      <c r="CA767" s="4317"/>
      <c r="CB767" s="4317"/>
      <c r="CC767" s="4317"/>
      <c r="CD767" s="4317"/>
      <c r="CE767" s="4317"/>
      <c r="CF767" s="4317"/>
      <c r="CG767" s="4317"/>
      <c r="CH767" s="4317"/>
      <c r="CI767" s="4317"/>
      <c r="CJ767" s="4317"/>
      <c r="CK767" s="4317"/>
      <c r="CL767" s="4317"/>
      <c r="CM767" s="4317"/>
      <c r="CN767" s="4317"/>
      <c r="CO767" s="4317"/>
      <c r="CP767" s="4317"/>
      <c r="CQ767" s="4317"/>
      <c r="CR767" s="4317"/>
      <c r="CS767" s="4317"/>
      <c r="CT767" s="4317"/>
      <c r="CU767" s="4317"/>
      <c r="CV767" s="4317"/>
      <c r="CW767" s="4317"/>
      <c r="CX767" s="4317"/>
      <c r="CY767" s="4317"/>
      <c r="CZ767" s="4317"/>
      <c r="DA767" s="4317"/>
      <c r="DB767" s="4317"/>
      <c r="DC767" s="4317"/>
      <c r="DD767" s="4317"/>
      <c r="DE767" s="4317"/>
      <c r="DF767" s="4317"/>
      <c r="DG767" s="4317"/>
      <c r="DH767" s="4317"/>
      <c r="DI767" s="4317"/>
      <c r="DJ767" s="4317"/>
      <c r="DK767" s="4317"/>
      <c r="DL767" s="4317"/>
      <c r="DM767" s="4317"/>
      <c r="DN767" s="4317"/>
      <c r="DO767" s="4317"/>
      <c r="DP767" s="4317"/>
      <c r="DQ767" s="4317"/>
      <c r="DR767" s="4317"/>
      <c r="DS767" s="4317"/>
    </row>
    <row r="768" s="4134" customFormat="1" ht="17.25" customHeight="1" spans="1:123">
      <c r="A768" s="4698" t="s">
        <v>5483</v>
      </c>
      <c r="B768" s="4699"/>
      <c r="C768" s="4699"/>
      <c r="D768" s="4699"/>
      <c r="E768" s="4699"/>
      <c r="F768" s="4534"/>
      <c r="G768" s="4535"/>
      <c r="H768" s="4535"/>
      <c r="I768" s="4535"/>
      <c r="J768" s="4535"/>
      <c r="K768" s="4535"/>
      <c r="L768" s="4536"/>
      <c r="M768" s="4317"/>
      <c r="N768" s="4317"/>
      <c r="O768" s="4317"/>
      <c r="P768" s="4317"/>
      <c r="Q768" s="4317"/>
      <c r="R768" s="4317"/>
      <c r="S768" s="4317"/>
      <c r="T768" s="4319" t="s">
        <v>5326</v>
      </c>
      <c r="U768" s="4317"/>
      <c r="V768" s="4317"/>
      <c r="W768" s="4317"/>
      <c r="X768" s="4317"/>
      <c r="Y768" s="4653"/>
      <c r="Z768" s="4653"/>
      <c r="AA768" s="4653"/>
      <c r="AB768" s="4317"/>
      <c r="AC768" s="4295"/>
      <c r="AD768" s="4653"/>
      <c r="AE768" s="4653"/>
      <c r="AF768" s="4653"/>
      <c r="AG768" s="4317"/>
      <c r="AH768" s="4317"/>
      <c r="AI768" s="4317"/>
      <c r="AJ768" s="4317"/>
      <c r="AK768" s="4317"/>
      <c r="AL768" s="4317"/>
      <c r="AM768" s="4317"/>
      <c r="AN768" s="4317"/>
      <c r="AO768" s="4317"/>
      <c r="AP768" s="4317"/>
      <c r="AQ768" s="4317"/>
      <c r="AR768" s="4317"/>
      <c r="AS768" s="4317"/>
      <c r="AT768" s="4317"/>
      <c r="AU768" s="4317"/>
      <c r="AV768" s="4317"/>
      <c r="AW768" s="4317"/>
      <c r="AX768" s="4317"/>
      <c r="AY768" s="4317"/>
      <c r="AZ768" s="4317"/>
      <c r="BA768" s="4317"/>
      <c r="BB768" s="4317"/>
      <c r="BC768" s="4317"/>
      <c r="BD768" s="4317"/>
      <c r="BE768" s="4317"/>
      <c r="BF768" s="4317"/>
      <c r="BG768" s="4317"/>
      <c r="BH768" s="4317"/>
      <c r="BI768" s="4317"/>
      <c r="BJ768" s="4317"/>
      <c r="BK768" s="4317"/>
      <c r="BL768" s="4317"/>
      <c r="BM768" s="4317"/>
      <c r="BN768" s="4317"/>
      <c r="BO768" s="4317"/>
      <c r="BP768" s="4317"/>
      <c r="BQ768" s="4317"/>
      <c r="BR768" s="4317"/>
      <c r="BS768" s="4317"/>
      <c r="BT768" s="4317"/>
      <c r="BU768" s="4317"/>
      <c r="BV768" s="4317"/>
      <c r="BW768" s="4317"/>
      <c r="BX768" s="4317"/>
      <c r="BY768" s="4317"/>
      <c r="BZ768" s="4317"/>
      <c r="CA768" s="4317"/>
      <c r="CB768" s="4317"/>
      <c r="CC768" s="4317"/>
      <c r="CD768" s="4317"/>
      <c r="CE768" s="4317"/>
      <c r="CF768" s="4317"/>
      <c r="CG768" s="4317"/>
      <c r="CH768" s="4317"/>
      <c r="CI768" s="4317"/>
      <c r="CJ768" s="4317"/>
      <c r="CK768" s="4317"/>
      <c r="CL768" s="4317"/>
      <c r="CM768" s="4317"/>
      <c r="CN768" s="4317"/>
      <c r="CO768" s="4317"/>
      <c r="CP768" s="4317"/>
      <c r="CQ768" s="4317"/>
      <c r="CR768" s="4317"/>
      <c r="CS768" s="4317"/>
      <c r="CT768" s="4317"/>
      <c r="CU768" s="4317"/>
      <c r="CV768" s="4317"/>
      <c r="CW768" s="4317"/>
      <c r="CX768" s="4317"/>
      <c r="CY768" s="4317"/>
      <c r="CZ768" s="4317"/>
      <c r="DA768" s="4317"/>
      <c r="DB768" s="4317"/>
      <c r="DC768" s="4317"/>
      <c r="DD768" s="4317"/>
      <c r="DE768" s="4317"/>
      <c r="DF768" s="4317"/>
      <c r="DG768" s="4317"/>
      <c r="DH768" s="4317"/>
      <c r="DI768" s="4317"/>
      <c r="DJ768" s="4317"/>
      <c r="DK768" s="4317"/>
      <c r="DL768" s="4317"/>
      <c r="DM768" s="4317"/>
      <c r="DN768" s="4317"/>
      <c r="DO768" s="4317"/>
      <c r="DP768" s="4317"/>
      <c r="DQ768" s="4317"/>
      <c r="DR768" s="4317"/>
      <c r="DS768" s="4317"/>
    </row>
    <row r="769" s="4134" customFormat="1" ht="17.25" customHeight="1" spans="1:123">
      <c r="A769" s="4696" t="s">
        <v>4573</v>
      </c>
      <c r="B769" s="4697"/>
      <c r="C769" s="4697"/>
      <c r="D769" s="4697"/>
      <c r="E769" s="4697"/>
      <c r="F769" s="4700">
        <f>SUM(F767:L768)</f>
        <v>0</v>
      </c>
      <c r="G769" s="4700"/>
      <c r="H769" s="4700"/>
      <c r="I769" s="4700"/>
      <c r="J769" s="4700"/>
      <c r="K769" s="4700"/>
      <c r="L769" s="4700"/>
      <c r="M769" s="4317"/>
      <c r="N769" s="4317"/>
      <c r="O769" s="4317"/>
      <c r="P769" s="4317"/>
      <c r="Q769" s="4317"/>
      <c r="R769" s="4317"/>
      <c r="S769" s="4317"/>
      <c r="T769" s="4319" t="s">
        <v>5484</v>
      </c>
      <c r="U769" s="4317"/>
      <c r="V769" s="4317"/>
      <c r="W769" s="4317"/>
      <c r="X769" s="4317"/>
      <c r="Y769" s="4653"/>
      <c r="Z769" s="4653"/>
      <c r="AA769" s="4653"/>
      <c r="AB769" s="4317"/>
      <c r="AC769" s="4295"/>
      <c r="AD769" s="4653"/>
      <c r="AE769" s="4653"/>
      <c r="AF769" s="4653"/>
      <c r="AG769" s="4317"/>
      <c r="AH769" s="4317"/>
      <c r="AI769" s="4317"/>
      <c r="AJ769" s="4317"/>
      <c r="AK769" s="4317"/>
      <c r="AL769" s="4317"/>
      <c r="AM769" s="4317"/>
      <c r="AN769" s="4317"/>
      <c r="AO769" s="4317"/>
      <c r="AP769" s="4317"/>
      <c r="AQ769" s="4317"/>
      <c r="AR769" s="4317"/>
      <c r="AS769" s="4317"/>
      <c r="AT769" s="4317"/>
      <c r="AU769" s="4317"/>
      <c r="AV769" s="4317"/>
      <c r="AW769" s="4317"/>
      <c r="AX769" s="4317"/>
      <c r="AY769" s="4317"/>
      <c r="AZ769" s="4317"/>
      <c r="BA769" s="4317"/>
      <c r="BB769" s="4317"/>
      <c r="BC769" s="4317"/>
      <c r="BD769" s="4317"/>
      <c r="BE769" s="4317"/>
      <c r="BF769" s="4317"/>
      <c r="BG769" s="4317"/>
      <c r="BH769" s="4317"/>
      <c r="BI769" s="4317"/>
      <c r="BJ769" s="4317"/>
      <c r="BK769" s="4317"/>
      <c r="BL769" s="4317"/>
      <c r="BM769" s="4317"/>
      <c r="BN769" s="4317"/>
      <c r="BO769" s="4317"/>
      <c r="BP769" s="4317"/>
      <c r="BQ769" s="4317"/>
      <c r="BR769" s="4317"/>
      <c r="BS769" s="4317"/>
      <c r="BT769" s="4317"/>
      <c r="BU769" s="4317"/>
      <c r="BV769" s="4317"/>
      <c r="BW769" s="4317"/>
      <c r="BX769" s="4317"/>
      <c r="BY769" s="4317"/>
      <c r="BZ769" s="4317"/>
      <c r="CA769" s="4317"/>
      <c r="CB769" s="4317"/>
      <c r="CC769" s="4317"/>
      <c r="CD769" s="4317"/>
      <c r="CE769" s="4317"/>
      <c r="CF769" s="4317"/>
      <c r="CG769" s="4317"/>
      <c r="CH769" s="4317"/>
      <c r="CI769" s="4317"/>
      <c r="CJ769" s="4317"/>
      <c r="CK769" s="4317"/>
      <c r="CL769" s="4317"/>
      <c r="CM769" s="4317"/>
      <c r="CN769" s="4317"/>
      <c r="CO769" s="4317"/>
      <c r="CP769" s="4317"/>
      <c r="CQ769" s="4317"/>
      <c r="CR769" s="4317"/>
      <c r="CS769" s="4317"/>
      <c r="CT769" s="4317"/>
      <c r="CU769" s="4317"/>
      <c r="CV769" s="4317"/>
      <c r="CW769" s="4317"/>
      <c r="CX769" s="4317"/>
      <c r="CY769" s="4317"/>
      <c r="CZ769" s="4317"/>
      <c r="DA769" s="4317"/>
      <c r="DB769" s="4317"/>
      <c r="DC769" s="4317"/>
      <c r="DD769" s="4317"/>
      <c r="DE769" s="4317"/>
      <c r="DF769" s="4317"/>
      <c r="DG769" s="4317"/>
      <c r="DH769" s="4317"/>
      <c r="DI769" s="4317"/>
      <c r="DJ769" s="4317"/>
      <c r="DK769" s="4317"/>
      <c r="DL769" s="4317"/>
      <c r="DM769" s="4317"/>
      <c r="DN769" s="4317"/>
      <c r="DO769" s="4317"/>
      <c r="DP769" s="4317"/>
      <c r="DQ769" s="4317"/>
      <c r="DR769" s="4317"/>
      <c r="DS769" s="4317"/>
    </row>
    <row r="770" s="4134" customFormat="1" ht="17.25" customHeight="1" spans="1:123">
      <c r="A770" s="4701" t="s">
        <v>748</v>
      </c>
      <c r="B770" s="4702"/>
      <c r="C770" s="4702"/>
      <c r="D770" s="4702"/>
      <c r="E770" s="4702"/>
      <c r="F770" s="4703">
        <f>SUM(F758:L768)</f>
        <v>0</v>
      </c>
      <c r="G770" s="4703"/>
      <c r="H770" s="4703"/>
      <c r="I770" s="4703"/>
      <c r="J770" s="4703"/>
      <c r="K770" s="4703"/>
      <c r="L770" s="4703"/>
      <c r="M770" s="4317"/>
      <c r="N770" s="4317"/>
      <c r="O770" s="4317"/>
      <c r="P770" s="4317"/>
      <c r="Q770" s="4317"/>
      <c r="R770" s="4317"/>
      <c r="S770" s="4317"/>
      <c r="T770" s="4323" t="s">
        <v>5485</v>
      </c>
      <c r="U770" s="4317"/>
      <c r="V770" s="4317"/>
      <c r="W770" s="4317"/>
      <c r="X770" s="4317"/>
      <c r="Y770" s="4653"/>
      <c r="Z770" s="4653"/>
      <c r="AA770" s="4653"/>
      <c r="AB770" s="4317"/>
      <c r="AC770" s="4295"/>
      <c r="AD770" s="4653"/>
      <c r="AE770" s="4653"/>
      <c r="AF770" s="4653"/>
      <c r="AG770" s="4317"/>
      <c r="AH770" s="4317"/>
      <c r="AI770" s="4317"/>
      <c r="AJ770" s="4317"/>
      <c r="AK770" s="4317"/>
      <c r="AL770" s="4317"/>
      <c r="AM770" s="4317"/>
      <c r="AN770" s="4317"/>
      <c r="AO770" s="4317"/>
      <c r="AP770" s="4317"/>
      <c r="AQ770" s="4317"/>
      <c r="AR770" s="4317"/>
      <c r="AS770" s="4317"/>
      <c r="AT770" s="4317"/>
      <c r="AU770" s="4317"/>
      <c r="AV770" s="4317"/>
      <c r="AW770" s="4317"/>
      <c r="AX770" s="4317"/>
      <c r="AY770" s="4317"/>
      <c r="AZ770" s="4317"/>
      <c r="BA770" s="4317"/>
      <c r="BB770" s="4317"/>
      <c r="BC770" s="4317"/>
      <c r="BD770" s="4317"/>
      <c r="BE770" s="4317"/>
      <c r="BF770" s="4317"/>
      <c r="BG770" s="4317"/>
      <c r="BH770" s="4317"/>
      <c r="BI770" s="4317"/>
      <c r="BJ770" s="4317"/>
      <c r="BK770" s="4317"/>
      <c r="BL770" s="4317"/>
      <c r="BM770" s="4317"/>
      <c r="BN770" s="4317"/>
      <c r="BO770" s="4317"/>
      <c r="BP770" s="4317"/>
      <c r="BQ770" s="4317"/>
      <c r="BR770" s="4317"/>
      <c r="BS770" s="4317"/>
      <c r="BT770" s="4317"/>
      <c r="BU770" s="4317"/>
      <c r="BV770" s="4317"/>
      <c r="BW770" s="4317"/>
      <c r="BX770" s="4317"/>
      <c r="BY770" s="4317"/>
      <c r="BZ770" s="4317"/>
      <c r="CA770" s="4317"/>
      <c r="CB770" s="4317"/>
      <c r="CC770" s="4317"/>
      <c r="CD770" s="4317"/>
      <c r="CE770" s="4317"/>
      <c r="CF770" s="4317"/>
      <c r="CG770" s="4317"/>
      <c r="CH770" s="4317"/>
      <c r="CI770" s="4317"/>
      <c r="CJ770" s="4317"/>
      <c r="CK770" s="4317"/>
      <c r="CL770" s="4317"/>
      <c r="CM770" s="4317"/>
      <c r="CN770" s="4317"/>
      <c r="CO770" s="4317"/>
      <c r="CP770" s="4317"/>
      <c r="CQ770" s="4317"/>
      <c r="CR770" s="4317"/>
      <c r="CS770" s="4317"/>
      <c r="CT770" s="4317"/>
      <c r="CU770" s="4317"/>
      <c r="CV770" s="4317"/>
      <c r="CW770" s="4317"/>
      <c r="CX770" s="4317"/>
      <c r="CY770" s="4317"/>
      <c r="CZ770" s="4317"/>
      <c r="DA770" s="4317"/>
      <c r="DB770" s="4317"/>
      <c r="DC770" s="4317"/>
      <c r="DD770" s="4317"/>
      <c r="DE770" s="4317"/>
      <c r="DF770" s="4317"/>
      <c r="DG770" s="4317"/>
      <c r="DH770" s="4317"/>
      <c r="DI770" s="4317"/>
      <c r="DJ770" s="4317"/>
      <c r="DK770" s="4317"/>
      <c r="DL770" s="4317"/>
      <c r="DM770" s="4317"/>
      <c r="DN770" s="4317"/>
      <c r="DO770" s="4317"/>
      <c r="DP770" s="4317"/>
      <c r="DQ770" s="4317"/>
      <c r="DR770" s="4317"/>
      <c r="DS770" s="4317"/>
    </row>
    <row r="771" s="4134" customFormat="1" ht="17.25" customHeight="1" spans="1:123">
      <c r="A771" s="4696" t="s">
        <v>4574</v>
      </c>
      <c r="B771" s="4697"/>
      <c r="C771" s="4697"/>
      <c r="D771" s="4697"/>
      <c r="E771" s="4697"/>
      <c r="F771" s="4534"/>
      <c r="G771" s="4535"/>
      <c r="H771" s="4535"/>
      <c r="I771" s="4535"/>
      <c r="J771" s="4535"/>
      <c r="K771" s="4535"/>
      <c r="L771" s="4536"/>
      <c r="M771" s="4317"/>
      <c r="N771" s="4317"/>
      <c r="O771" s="4317"/>
      <c r="P771" s="4317"/>
      <c r="Q771" s="4317"/>
      <c r="R771" s="4317"/>
      <c r="S771" s="4317"/>
      <c r="T771" s="4319" t="s">
        <v>5486</v>
      </c>
      <c r="U771" s="4317"/>
      <c r="V771" s="4317"/>
      <c r="W771" s="4317"/>
      <c r="X771" s="4317"/>
      <c r="Y771" s="4653"/>
      <c r="Z771" s="4653"/>
      <c r="AA771" s="4653"/>
      <c r="AB771" s="4317"/>
      <c r="AC771" s="4295"/>
      <c r="AD771" s="4653"/>
      <c r="AE771" s="4653"/>
      <c r="AF771" s="4653"/>
      <c r="AG771" s="4319"/>
      <c r="AH771" s="4317"/>
      <c r="AI771" s="4317"/>
      <c r="AJ771" s="4317"/>
      <c r="AK771" s="4317"/>
      <c r="AL771" s="4317"/>
      <c r="AM771" s="4317"/>
      <c r="AN771" s="4317"/>
      <c r="AO771" s="4317"/>
      <c r="AP771" s="4317"/>
      <c r="AQ771" s="4317"/>
      <c r="AR771" s="4317"/>
      <c r="AS771" s="4317"/>
      <c r="AT771" s="4317"/>
      <c r="AU771" s="4317"/>
      <c r="AV771" s="4317"/>
      <c r="AW771" s="4317"/>
      <c r="AX771" s="4317"/>
      <c r="AY771" s="4317"/>
      <c r="AZ771" s="4317"/>
      <c r="BA771" s="4317"/>
      <c r="BB771" s="4317"/>
      <c r="BC771" s="4317"/>
      <c r="BD771" s="4317"/>
      <c r="BE771" s="4317"/>
      <c r="BF771" s="4317"/>
      <c r="BG771" s="4317"/>
      <c r="BH771" s="4317"/>
      <c r="BI771" s="4317"/>
      <c r="BJ771" s="4317"/>
      <c r="BK771" s="4317"/>
      <c r="BL771" s="4317"/>
      <c r="BM771" s="4317"/>
      <c r="BN771" s="4317"/>
      <c r="BO771" s="4317"/>
      <c r="BP771" s="4317"/>
      <c r="BQ771" s="4317"/>
      <c r="BR771" s="4317"/>
      <c r="BS771" s="4317"/>
      <c r="BT771" s="4317"/>
      <c r="BU771" s="4317"/>
      <c r="BV771" s="4317"/>
      <c r="BW771" s="4317"/>
      <c r="BX771" s="4317"/>
      <c r="BY771" s="4317"/>
      <c r="BZ771" s="4317"/>
      <c r="CA771" s="4317"/>
      <c r="CB771" s="4317"/>
      <c r="CC771" s="4317"/>
      <c r="CD771" s="4317"/>
      <c r="CE771" s="4317"/>
      <c r="CF771" s="4317"/>
      <c r="CG771" s="4317"/>
      <c r="CH771" s="4317"/>
      <c r="CI771" s="4317"/>
      <c r="CJ771" s="4317"/>
      <c r="CK771" s="4317"/>
      <c r="CL771" s="4317"/>
      <c r="CM771" s="4317"/>
      <c r="CN771" s="4317"/>
      <c r="CO771" s="4317"/>
      <c r="CP771" s="4317"/>
      <c r="CQ771" s="4317"/>
      <c r="CR771" s="4317"/>
      <c r="CS771" s="4317"/>
      <c r="CT771" s="4317"/>
      <c r="CU771" s="4317"/>
      <c r="CV771" s="4317"/>
      <c r="CW771" s="4317"/>
      <c r="CX771" s="4317"/>
      <c r="CY771" s="4317"/>
      <c r="CZ771" s="4317"/>
      <c r="DA771" s="4317"/>
      <c r="DB771" s="4317"/>
      <c r="DC771" s="4317"/>
      <c r="DD771" s="4317"/>
      <c r="DE771" s="4317"/>
      <c r="DF771" s="4317"/>
      <c r="DG771" s="4317"/>
      <c r="DH771" s="4317"/>
      <c r="DI771" s="4317"/>
      <c r="DJ771" s="4317"/>
      <c r="DK771" s="4317"/>
      <c r="DL771" s="4317"/>
      <c r="DM771" s="4317"/>
      <c r="DN771" s="4317"/>
      <c r="DO771" s="4317"/>
      <c r="DP771" s="4317"/>
      <c r="DQ771" s="4317"/>
      <c r="DR771" s="4317"/>
      <c r="DS771" s="4317"/>
    </row>
    <row r="772" s="4134" customFormat="1" ht="17.25" customHeight="1" spans="1:123">
      <c r="A772" s="4696" t="s">
        <v>4576</v>
      </c>
      <c r="B772" s="4697"/>
      <c r="C772" s="4697"/>
      <c r="D772" s="4697"/>
      <c r="E772" s="4697"/>
      <c r="F772" s="4534"/>
      <c r="G772" s="4535"/>
      <c r="H772" s="4535"/>
      <c r="I772" s="4535"/>
      <c r="J772" s="4535"/>
      <c r="K772" s="4535"/>
      <c r="L772" s="4536"/>
      <c r="M772" s="4317"/>
      <c r="N772" s="4317"/>
      <c r="O772" s="4317"/>
      <c r="P772" s="4317"/>
      <c r="Q772" s="4317"/>
      <c r="R772" s="4317"/>
      <c r="S772" s="4317"/>
      <c r="T772" s="4319" t="s">
        <v>3207</v>
      </c>
      <c r="U772" s="4317"/>
      <c r="V772" s="4317"/>
      <c r="W772" s="4317"/>
      <c r="X772" s="4317"/>
      <c r="Y772" s="4653"/>
      <c r="Z772" s="4653"/>
      <c r="AA772" s="4653"/>
      <c r="AB772" s="4317"/>
      <c r="AC772" s="4295"/>
      <c r="AD772" s="4653"/>
      <c r="AE772" s="4653"/>
      <c r="AF772" s="4653"/>
      <c r="AG772" s="4319"/>
      <c r="AH772" s="4317"/>
      <c r="AI772" s="4317"/>
      <c r="AJ772" s="4317"/>
      <c r="AK772" s="4317"/>
      <c r="AL772" s="4317"/>
      <c r="AM772" s="4317"/>
      <c r="AN772" s="4317"/>
      <c r="AO772" s="4317"/>
      <c r="AP772" s="4317"/>
      <c r="AQ772" s="4317"/>
      <c r="AR772" s="4317"/>
      <c r="AS772" s="4317"/>
      <c r="AT772" s="4317"/>
      <c r="AU772" s="4317"/>
      <c r="AV772" s="4317"/>
      <c r="AW772" s="4317"/>
      <c r="AX772" s="4317"/>
      <c r="AY772" s="4317"/>
      <c r="AZ772" s="4317"/>
      <c r="BA772" s="4317"/>
      <c r="BB772" s="4317"/>
      <c r="BC772" s="4317"/>
      <c r="BD772" s="4317"/>
      <c r="BE772" s="4317"/>
      <c r="BF772" s="4317"/>
      <c r="BG772" s="4317"/>
      <c r="BH772" s="4317"/>
      <c r="BI772" s="4317"/>
      <c r="BJ772" s="4317"/>
      <c r="BK772" s="4317"/>
      <c r="BL772" s="4317"/>
      <c r="BM772" s="4317"/>
      <c r="BN772" s="4317"/>
      <c r="BO772" s="4317"/>
      <c r="BP772" s="4317"/>
      <c r="BQ772" s="4317"/>
      <c r="BR772" s="4317"/>
      <c r="BS772" s="4317"/>
      <c r="BT772" s="4317"/>
      <c r="BU772" s="4317"/>
      <c r="BV772" s="4317"/>
      <c r="BW772" s="4317"/>
      <c r="BX772" s="4317"/>
      <c r="BY772" s="4317"/>
      <c r="BZ772" s="4317"/>
      <c r="CA772" s="4317"/>
      <c r="CB772" s="4317"/>
      <c r="CC772" s="4317"/>
      <c r="CD772" s="4317"/>
      <c r="CE772" s="4317"/>
      <c r="CF772" s="4317"/>
      <c r="CG772" s="4317"/>
      <c r="CH772" s="4317"/>
      <c r="CI772" s="4317"/>
      <c r="CJ772" s="4317"/>
      <c r="CK772" s="4317"/>
      <c r="CL772" s="4317"/>
      <c r="CM772" s="4317"/>
      <c r="CN772" s="4317"/>
      <c r="CO772" s="4317"/>
      <c r="CP772" s="4317"/>
      <c r="CQ772" s="4317"/>
      <c r="CR772" s="4317"/>
      <c r="CS772" s="4317"/>
      <c r="CT772" s="4317"/>
      <c r="CU772" s="4317"/>
      <c r="CV772" s="4317"/>
      <c r="CW772" s="4317"/>
      <c r="CX772" s="4317"/>
      <c r="CY772" s="4317"/>
      <c r="CZ772" s="4317"/>
      <c r="DA772" s="4317"/>
      <c r="DB772" s="4317"/>
      <c r="DC772" s="4317"/>
      <c r="DD772" s="4317"/>
      <c r="DE772" s="4317"/>
      <c r="DF772" s="4317"/>
      <c r="DG772" s="4317"/>
      <c r="DH772" s="4317"/>
      <c r="DI772" s="4317"/>
      <c r="DJ772" s="4317"/>
      <c r="DK772" s="4317"/>
      <c r="DL772" s="4317"/>
      <c r="DM772" s="4317"/>
      <c r="DN772" s="4317"/>
      <c r="DO772" s="4317"/>
      <c r="DP772" s="4317"/>
      <c r="DQ772" s="4317"/>
      <c r="DR772" s="4317"/>
      <c r="DS772" s="4317"/>
    </row>
    <row r="773" s="4134" customFormat="1" ht="17.25" customHeight="1" spans="1:123">
      <c r="A773" s="4696" t="s">
        <v>4577</v>
      </c>
      <c r="B773" s="4697"/>
      <c r="C773" s="4697"/>
      <c r="D773" s="4697"/>
      <c r="E773" s="4697"/>
      <c r="F773" s="4534"/>
      <c r="G773" s="4535"/>
      <c r="H773" s="4535"/>
      <c r="I773" s="4535"/>
      <c r="J773" s="4535"/>
      <c r="K773" s="4535"/>
      <c r="L773" s="4536"/>
      <c r="M773" s="4380"/>
      <c r="N773" s="4317"/>
      <c r="O773" s="4317"/>
      <c r="P773" s="4317"/>
      <c r="Q773" s="4317"/>
      <c r="R773" s="4317"/>
      <c r="S773" s="4317"/>
      <c r="T773" s="4319" t="s">
        <v>5487</v>
      </c>
      <c r="U773" s="4317"/>
      <c r="V773" s="4317"/>
      <c r="W773" s="4317"/>
      <c r="X773" s="4317"/>
      <c r="Y773" s="4653"/>
      <c r="Z773" s="4653"/>
      <c r="AA773" s="4653"/>
      <c r="AB773" s="4317"/>
      <c r="AC773" s="4295"/>
      <c r="AD773" s="4653"/>
      <c r="AE773" s="4653"/>
      <c r="AF773" s="4653"/>
      <c r="AG773" s="4319"/>
      <c r="AH773" s="4317"/>
      <c r="AI773" s="4317"/>
      <c r="AJ773" s="4317"/>
      <c r="AK773" s="4317"/>
      <c r="AL773" s="4317"/>
      <c r="AM773" s="4317"/>
      <c r="AN773" s="4317"/>
      <c r="AO773" s="4317"/>
      <c r="AP773" s="4317"/>
      <c r="AQ773" s="4317"/>
      <c r="AR773" s="4317"/>
      <c r="AS773" s="4317"/>
      <c r="AT773" s="4317"/>
      <c r="AU773" s="4317"/>
      <c r="AV773" s="4317"/>
      <c r="AW773" s="4317"/>
      <c r="AX773" s="4317"/>
      <c r="AY773" s="4317"/>
      <c r="AZ773" s="4317"/>
      <c r="BA773" s="4317"/>
      <c r="BB773" s="4317"/>
      <c r="BC773" s="4317"/>
      <c r="BD773" s="4317"/>
      <c r="BE773" s="4317"/>
      <c r="BF773" s="4317"/>
      <c r="BG773" s="4317"/>
      <c r="BH773" s="4317"/>
      <c r="BI773" s="4317"/>
      <c r="BJ773" s="4317"/>
      <c r="BK773" s="4317"/>
      <c r="BL773" s="4317"/>
      <c r="BM773" s="4317"/>
      <c r="BN773" s="4317"/>
      <c r="BO773" s="4317"/>
      <c r="BP773" s="4317"/>
      <c r="BQ773" s="4317"/>
      <c r="BR773" s="4317"/>
      <c r="BS773" s="4317"/>
      <c r="BT773" s="4317"/>
      <c r="BU773" s="4317"/>
      <c r="BV773" s="4317"/>
      <c r="BW773" s="4317"/>
      <c r="BX773" s="4317"/>
      <c r="BY773" s="4317"/>
      <c r="BZ773" s="4317"/>
      <c r="CA773" s="4317"/>
      <c r="CB773" s="4317"/>
      <c r="CC773" s="4317"/>
      <c r="CD773" s="4317"/>
      <c r="CE773" s="4317"/>
      <c r="CF773" s="4317"/>
      <c r="CG773" s="4317"/>
      <c r="CH773" s="4317"/>
      <c r="CI773" s="4317"/>
      <c r="CJ773" s="4317"/>
      <c r="CK773" s="4317"/>
      <c r="CL773" s="4317"/>
      <c r="CM773" s="4317"/>
      <c r="CN773" s="4317"/>
      <c r="CO773" s="4317"/>
      <c r="CP773" s="4317"/>
      <c r="CQ773" s="4317"/>
      <c r="CR773" s="4317"/>
      <c r="CS773" s="4317"/>
      <c r="CT773" s="4317"/>
      <c r="CU773" s="4317"/>
      <c r="CV773" s="4317"/>
      <c r="CW773" s="4317"/>
      <c r="CX773" s="4317"/>
      <c r="CY773" s="4317"/>
      <c r="CZ773" s="4317"/>
      <c r="DA773" s="4317"/>
      <c r="DB773" s="4317"/>
      <c r="DC773" s="4317"/>
      <c r="DD773" s="4317"/>
      <c r="DE773" s="4317"/>
      <c r="DF773" s="4317"/>
      <c r="DG773" s="4317"/>
      <c r="DH773" s="4317"/>
      <c r="DI773" s="4317"/>
      <c r="DJ773" s="4317"/>
      <c r="DK773" s="4317"/>
      <c r="DL773" s="4317"/>
      <c r="DM773" s="4317"/>
      <c r="DN773" s="4317"/>
      <c r="DO773" s="4317"/>
      <c r="DP773" s="4317"/>
      <c r="DQ773" s="4317"/>
      <c r="DR773" s="4317"/>
      <c r="DS773" s="4317"/>
    </row>
    <row r="774" s="4134" customFormat="1" ht="17.25" customHeight="1" spans="1:123">
      <c r="A774" s="4696" t="s">
        <v>4578</v>
      </c>
      <c r="B774" s="4697"/>
      <c r="C774" s="4697"/>
      <c r="D774" s="4697"/>
      <c r="E774" s="4697"/>
      <c r="F774" s="4534"/>
      <c r="G774" s="4535"/>
      <c r="H774" s="4535"/>
      <c r="I774" s="4535"/>
      <c r="J774" s="4535"/>
      <c r="K774" s="4535"/>
      <c r="L774" s="4536"/>
      <c r="M774" s="4317"/>
      <c r="N774" s="4317"/>
      <c r="O774" s="4317"/>
      <c r="P774" s="4317"/>
      <c r="Q774" s="4317"/>
      <c r="R774" s="4317"/>
      <c r="S774" s="4317"/>
      <c r="T774" s="4319" t="s">
        <v>5488</v>
      </c>
      <c r="U774" s="4317"/>
      <c r="V774" s="4317"/>
      <c r="W774" s="4317"/>
      <c r="X774" s="4317"/>
      <c r="Y774" s="4653"/>
      <c r="Z774" s="4653"/>
      <c r="AA774" s="4653"/>
      <c r="AB774" s="4317"/>
      <c r="AC774" s="4295"/>
      <c r="AD774" s="4653"/>
      <c r="AE774" s="4653"/>
      <c r="AF774" s="4653"/>
      <c r="AG774" s="4319"/>
      <c r="AH774" s="4317"/>
      <c r="AI774" s="4317"/>
      <c r="AJ774" s="4317"/>
      <c r="AK774" s="4317"/>
      <c r="AL774" s="4317"/>
      <c r="AM774" s="4317"/>
      <c r="AN774" s="4317"/>
      <c r="AO774" s="4317"/>
      <c r="AP774" s="4317"/>
      <c r="AQ774" s="4317"/>
      <c r="AR774" s="4317"/>
      <c r="AS774" s="4317"/>
      <c r="AT774" s="4317"/>
      <c r="AU774" s="4317"/>
      <c r="AV774" s="4317"/>
      <c r="AW774" s="4317"/>
      <c r="AX774" s="4317"/>
      <c r="AY774" s="4317"/>
      <c r="AZ774" s="4317"/>
      <c r="BA774" s="4317"/>
      <c r="BB774" s="4317"/>
      <c r="BC774" s="4317"/>
      <c r="BD774" s="4317"/>
      <c r="BE774" s="4317"/>
      <c r="BF774" s="4317"/>
      <c r="BG774" s="4317"/>
      <c r="BH774" s="4317"/>
      <c r="BI774" s="4317"/>
      <c r="BJ774" s="4317"/>
      <c r="BK774" s="4317"/>
      <c r="BL774" s="4317"/>
      <c r="BM774" s="4317"/>
      <c r="BN774" s="4317"/>
      <c r="BO774" s="4317"/>
      <c r="BP774" s="4317"/>
      <c r="BQ774" s="4317"/>
      <c r="BR774" s="4317"/>
      <c r="BS774" s="4317"/>
      <c r="BT774" s="4317"/>
      <c r="BU774" s="4317"/>
      <c r="BV774" s="4317"/>
      <c r="BW774" s="4317"/>
      <c r="BX774" s="4317"/>
      <c r="BY774" s="4317"/>
      <c r="BZ774" s="4317"/>
      <c r="CA774" s="4317"/>
      <c r="CB774" s="4317"/>
      <c r="CC774" s="4317"/>
      <c r="CD774" s="4317"/>
      <c r="CE774" s="4317"/>
      <c r="CF774" s="4317"/>
      <c r="CG774" s="4317"/>
      <c r="CH774" s="4317"/>
      <c r="CI774" s="4317"/>
      <c r="CJ774" s="4317"/>
      <c r="CK774" s="4317"/>
      <c r="CL774" s="4317"/>
      <c r="CM774" s="4317"/>
      <c r="CN774" s="4317"/>
      <c r="CO774" s="4317"/>
      <c r="CP774" s="4317"/>
      <c r="CQ774" s="4317"/>
      <c r="CR774" s="4317"/>
      <c r="CS774" s="4317"/>
      <c r="CT774" s="4317"/>
      <c r="CU774" s="4317"/>
      <c r="CV774" s="4317"/>
      <c r="CW774" s="4317"/>
      <c r="CX774" s="4317"/>
      <c r="CY774" s="4317"/>
      <c r="CZ774" s="4317"/>
      <c r="DA774" s="4317"/>
      <c r="DB774" s="4317"/>
      <c r="DC774" s="4317"/>
      <c r="DD774" s="4317"/>
      <c r="DE774" s="4317"/>
      <c r="DF774" s="4317"/>
      <c r="DG774" s="4317"/>
      <c r="DH774" s="4317"/>
      <c r="DI774" s="4317"/>
      <c r="DJ774" s="4317"/>
      <c r="DK774" s="4317"/>
      <c r="DL774" s="4317"/>
      <c r="DM774" s="4317"/>
      <c r="DN774" s="4317"/>
      <c r="DO774" s="4317"/>
      <c r="DP774" s="4317"/>
      <c r="DQ774" s="4317"/>
      <c r="DR774" s="4317"/>
      <c r="DS774" s="4317"/>
    </row>
    <row r="775" s="4134" customFormat="1" ht="17.25" customHeight="1" spans="1:123">
      <c r="A775" s="4696" t="s">
        <v>4579</v>
      </c>
      <c r="B775" s="4697"/>
      <c r="C775" s="4697"/>
      <c r="D775" s="4697"/>
      <c r="E775" s="4697"/>
      <c r="F775" s="4534"/>
      <c r="G775" s="4535"/>
      <c r="H775" s="4535"/>
      <c r="I775" s="4535"/>
      <c r="J775" s="4535"/>
      <c r="K775" s="4535"/>
      <c r="L775" s="4536"/>
      <c r="M775" s="4317"/>
      <c r="N775" s="4317"/>
      <c r="O775" s="4317"/>
      <c r="P775" s="4317"/>
      <c r="Q775" s="4317"/>
      <c r="R775" s="4317"/>
      <c r="S775" s="4317"/>
      <c r="T775" s="4319" t="s">
        <v>5489</v>
      </c>
      <c r="U775" s="4317"/>
      <c r="V775" s="4317"/>
      <c r="W775" s="4317"/>
      <c r="X775" s="4317"/>
      <c r="Y775" s="4653"/>
      <c r="Z775" s="4653"/>
      <c r="AA775" s="4653"/>
      <c r="AB775" s="4317"/>
      <c r="AC775" s="4295"/>
      <c r="AD775" s="4653"/>
      <c r="AE775" s="4653"/>
      <c r="AF775" s="4653"/>
      <c r="AG775" s="4319"/>
      <c r="AH775" s="4317"/>
      <c r="AI775" s="4317"/>
      <c r="AJ775" s="4317"/>
      <c r="AK775" s="4317"/>
      <c r="AL775" s="4317"/>
      <c r="AM775" s="4317"/>
      <c r="AN775" s="4317"/>
      <c r="AO775" s="4317"/>
      <c r="AP775" s="4317"/>
      <c r="AQ775" s="4317"/>
      <c r="AR775" s="4317"/>
      <c r="AS775" s="4317"/>
      <c r="AT775" s="4317"/>
      <c r="AU775" s="4317"/>
      <c r="AV775" s="4317"/>
      <c r="AW775" s="4317"/>
      <c r="AX775" s="4317"/>
      <c r="AY775" s="4317"/>
      <c r="AZ775" s="4317"/>
      <c r="BA775" s="4317"/>
      <c r="BB775" s="4317"/>
      <c r="BC775" s="4317"/>
      <c r="BD775" s="4317"/>
      <c r="BE775" s="4317"/>
      <c r="BF775" s="4317"/>
      <c r="BG775" s="4317"/>
      <c r="BH775" s="4317"/>
      <c r="BI775" s="4317"/>
      <c r="BJ775" s="4317"/>
      <c r="BK775" s="4317"/>
      <c r="BL775" s="4317"/>
      <c r="BM775" s="4317"/>
      <c r="BN775" s="4317"/>
      <c r="BO775" s="4317"/>
      <c r="BP775" s="4317"/>
      <c r="BQ775" s="4317"/>
      <c r="BR775" s="4317"/>
      <c r="BS775" s="4317"/>
      <c r="BT775" s="4317"/>
      <c r="BU775" s="4317"/>
      <c r="BV775" s="4317"/>
      <c r="BW775" s="4317"/>
      <c r="BX775" s="4317"/>
      <c r="BY775" s="4317"/>
      <c r="BZ775" s="4317"/>
      <c r="CA775" s="4317"/>
      <c r="CB775" s="4317"/>
      <c r="CC775" s="4317"/>
      <c r="CD775" s="4317"/>
      <c r="CE775" s="4317"/>
      <c r="CF775" s="4317"/>
      <c r="CG775" s="4317"/>
      <c r="CH775" s="4317"/>
      <c r="CI775" s="4317"/>
      <c r="CJ775" s="4317"/>
      <c r="CK775" s="4317"/>
      <c r="CL775" s="4317"/>
      <c r="CM775" s="4317"/>
      <c r="CN775" s="4317"/>
      <c r="CO775" s="4317"/>
      <c r="CP775" s="4317"/>
      <c r="CQ775" s="4317"/>
      <c r="CR775" s="4317"/>
      <c r="CS775" s="4317"/>
      <c r="CT775" s="4317"/>
      <c r="CU775" s="4317"/>
      <c r="CV775" s="4317"/>
      <c r="CW775" s="4317"/>
      <c r="CX775" s="4317"/>
      <c r="CY775" s="4317"/>
      <c r="CZ775" s="4317"/>
      <c r="DA775" s="4317"/>
      <c r="DB775" s="4317"/>
      <c r="DC775" s="4317"/>
      <c r="DD775" s="4317"/>
      <c r="DE775" s="4317"/>
      <c r="DF775" s="4317"/>
      <c r="DG775" s="4317"/>
      <c r="DH775" s="4317"/>
      <c r="DI775" s="4317"/>
      <c r="DJ775" s="4317"/>
      <c r="DK775" s="4317"/>
      <c r="DL775" s="4317"/>
      <c r="DM775" s="4317"/>
      <c r="DN775" s="4317"/>
      <c r="DO775" s="4317"/>
      <c r="DP775" s="4317"/>
      <c r="DQ775" s="4317"/>
      <c r="DR775" s="4317"/>
      <c r="DS775" s="4317"/>
    </row>
    <row r="776" s="4134" customFormat="1" ht="17.25" customHeight="1" spans="1:123">
      <c r="A776" s="4696" t="s">
        <v>4580</v>
      </c>
      <c r="B776" s="4697"/>
      <c r="C776" s="4697"/>
      <c r="D776" s="4697"/>
      <c r="E776" s="4697"/>
      <c r="F776" s="4534"/>
      <c r="G776" s="4535"/>
      <c r="H776" s="4535"/>
      <c r="I776" s="4535"/>
      <c r="J776" s="4535"/>
      <c r="K776" s="4535"/>
      <c r="L776" s="4536"/>
      <c r="M776" s="4317"/>
      <c r="N776" s="4317"/>
      <c r="O776" s="4317"/>
      <c r="P776" s="4317"/>
      <c r="Q776" s="4317"/>
      <c r="R776" s="4317"/>
      <c r="S776" s="4317"/>
      <c r="T776" s="4319" t="s">
        <v>5490</v>
      </c>
      <c r="U776" s="4317"/>
      <c r="V776" s="4317"/>
      <c r="W776" s="4317"/>
      <c r="X776" s="4317"/>
      <c r="Y776" s="4653"/>
      <c r="Z776" s="4653"/>
      <c r="AA776" s="4653"/>
      <c r="AB776" s="4317"/>
      <c r="AC776" s="4295"/>
      <c r="AD776" s="4653"/>
      <c r="AE776" s="4653"/>
      <c r="AF776" s="4653"/>
      <c r="AG776" s="4319"/>
      <c r="AH776" s="4317"/>
      <c r="AI776" s="4317"/>
      <c r="AJ776" s="4317"/>
      <c r="AK776" s="4317"/>
      <c r="AL776" s="4317"/>
      <c r="AM776" s="4317"/>
      <c r="AN776" s="4317"/>
      <c r="AO776" s="4317"/>
      <c r="AP776" s="4317"/>
      <c r="AQ776" s="4317"/>
      <c r="AR776" s="4317"/>
      <c r="AS776" s="4317"/>
      <c r="AT776" s="4317"/>
      <c r="AU776" s="4317"/>
      <c r="AV776" s="4317"/>
      <c r="AW776" s="4317"/>
      <c r="AX776" s="4317"/>
      <c r="AY776" s="4317"/>
      <c r="AZ776" s="4317"/>
      <c r="BA776" s="4317"/>
      <c r="BB776" s="4317"/>
      <c r="BC776" s="4317"/>
      <c r="BD776" s="4317"/>
      <c r="BE776" s="4317"/>
      <c r="BF776" s="4317"/>
      <c r="BG776" s="4317"/>
      <c r="BH776" s="4317"/>
      <c r="BI776" s="4317"/>
      <c r="BJ776" s="4317"/>
      <c r="BK776" s="4317"/>
      <c r="BL776" s="4317"/>
      <c r="BM776" s="4317"/>
      <c r="BN776" s="4317"/>
      <c r="BO776" s="4317"/>
      <c r="BP776" s="4317"/>
      <c r="BQ776" s="4317"/>
      <c r="BR776" s="4317"/>
      <c r="BS776" s="4317"/>
      <c r="BT776" s="4317"/>
      <c r="BU776" s="4317"/>
      <c r="BV776" s="4317"/>
      <c r="BW776" s="4317"/>
      <c r="BX776" s="4317"/>
      <c r="BY776" s="4317"/>
      <c r="BZ776" s="4317"/>
      <c r="CA776" s="4317"/>
      <c r="CB776" s="4317"/>
      <c r="CC776" s="4317"/>
      <c r="CD776" s="4317"/>
      <c r="CE776" s="4317"/>
      <c r="CF776" s="4317"/>
      <c r="CG776" s="4317"/>
      <c r="CH776" s="4317"/>
      <c r="CI776" s="4317"/>
      <c r="CJ776" s="4317"/>
      <c r="CK776" s="4317"/>
      <c r="CL776" s="4317"/>
      <c r="CM776" s="4317"/>
      <c r="CN776" s="4317"/>
      <c r="CO776" s="4317"/>
      <c r="CP776" s="4317"/>
      <c r="CQ776" s="4317"/>
      <c r="CR776" s="4317"/>
      <c r="CS776" s="4317"/>
      <c r="CT776" s="4317"/>
      <c r="CU776" s="4317"/>
      <c r="CV776" s="4317"/>
      <c r="CW776" s="4317"/>
      <c r="CX776" s="4317"/>
      <c r="CY776" s="4317"/>
      <c r="CZ776" s="4317"/>
      <c r="DA776" s="4317"/>
      <c r="DB776" s="4317"/>
      <c r="DC776" s="4317"/>
      <c r="DD776" s="4317"/>
      <c r="DE776" s="4317"/>
      <c r="DF776" s="4317"/>
      <c r="DG776" s="4317"/>
      <c r="DH776" s="4317"/>
      <c r="DI776" s="4317"/>
      <c r="DJ776" s="4317"/>
      <c r="DK776" s="4317"/>
      <c r="DL776" s="4317"/>
      <c r="DM776" s="4317"/>
      <c r="DN776" s="4317"/>
      <c r="DO776" s="4317"/>
      <c r="DP776" s="4317"/>
      <c r="DQ776" s="4317"/>
      <c r="DR776" s="4317"/>
      <c r="DS776" s="4317"/>
    </row>
    <row r="777" s="4134" customFormat="1" ht="17.25" customHeight="1" spans="1:123">
      <c r="A777" s="4696" t="s">
        <v>4582</v>
      </c>
      <c r="B777" s="4697"/>
      <c r="C777" s="4697"/>
      <c r="D777" s="4697"/>
      <c r="E777" s="4697"/>
      <c r="F777" s="4534"/>
      <c r="G777" s="4535"/>
      <c r="H777" s="4535"/>
      <c r="I777" s="4535"/>
      <c r="J777" s="4535"/>
      <c r="K777" s="4535"/>
      <c r="L777" s="4536"/>
      <c r="M777" s="4317"/>
      <c r="N777" s="4317"/>
      <c r="O777" s="4317"/>
      <c r="P777" s="4317"/>
      <c r="Q777" s="4317"/>
      <c r="R777" s="4317"/>
      <c r="S777" s="4317"/>
      <c r="T777" s="4319" t="s">
        <v>5491</v>
      </c>
      <c r="U777" s="4317"/>
      <c r="V777" s="4317"/>
      <c r="W777" s="4317"/>
      <c r="X777" s="4317"/>
      <c r="Y777" s="4653"/>
      <c r="Z777" s="4653"/>
      <c r="AA777" s="4653"/>
      <c r="AB777" s="4317"/>
      <c r="AC777" s="4295"/>
      <c r="AD777" s="4653"/>
      <c r="AE777" s="4653"/>
      <c r="AF777" s="4653"/>
      <c r="AG777" s="4319"/>
      <c r="AH777" s="4317"/>
      <c r="AI777" s="4317"/>
      <c r="AJ777" s="4317"/>
      <c r="AK777" s="4317"/>
      <c r="AL777" s="4317"/>
      <c r="AM777" s="4317"/>
      <c r="AN777" s="4317"/>
      <c r="AO777" s="4317"/>
      <c r="AP777" s="4317"/>
      <c r="AQ777" s="4317"/>
      <c r="AR777" s="4317"/>
      <c r="AS777" s="4317"/>
      <c r="AT777" s="4317"/>
      <c r="AU777" s="4317"/>
      <c r="AV777" s="4317"/>
      <c r="AW777" s="4317"/>
      <c r="AX777" s="4317"/>
      <c r="AY777" s="4317"/>
      <c r="AZ777" s="4317"/>
      <c r="BA777" s="4317"/>
      <c r="BB777" s="4317"/>
      <c r="BC777" s="4317"/>
      <c r="BD777" s="4317"/>
      <c r="BE777" s="4317"/>
      <c r="BF777" s="4317"/>
      <c r="BG777" s="4317"/>
      <c r="BH777" s="4317"/>
      <c r="BI777" s="4317"/>
      <c r="BJ777" s="4317"/>
      <c r="BK777" s="4317"/>
      <c r="BL777" s="4317"/>
      <c r="BM777" s="4317"/>
      <c r="BN777" s="4317"/>
      <c r="BO777" s="4317"/>
      <c r="BP777" s="4317"/>
      <c r="BQ777" s="4317"/>
      <c r="BR777" s="4317"/>
      <c r="BS777" s="4317"/>
      <c r="BT777" s="4317"/>
      <c r="BU777" s="4317"/>
      <c r="BV777" s="4317"/>
      <c r="BW777" s="4317"/>
      <c r="BX777" s="4317"/>
      <c r="BY777" s="4317"/>
      <c r="BZ777" s="4317"/>
      <c r="CA777" s="4317"/>
      <c r="CB777" s="4317"/>
      <c r="CC777" s="4317"/>
      <c r="CD777" s="4317"/>
      <c r="CE777" s="4317"/>
      <c r="CF777" s="4317"/>
      <c r="CG777" s="4317"/>
      <c r="CH777" s="4317"/>
      <c r="CI777" s="4317"/>
      <c r="CJ777" s="4317"/>
      <c r="CK777" s="4317"/>
      <c r="CL777" s="4317"/>
      <c r="CM777" s="4317"/>
      <c r="CN777" s="4317"/>
      <c r="CO777" s="4317"/>
      <c r="CP777" s="4317"/>
      <c r="CQ777" s="4317"/>
      <c r="CR777" s="4317"/>
      <c r="CS777" s="4317"/>
      <c r="CT777" s="4317"/>
      <c r="CU777" s="4317"/>
      <c r="CV777" s="4317"/>
      <c r="CW777" s="4317"/>
      <c r="CX777" s="4317"/>
      <c r="CY777" s="4317"/>
      <c r="CZ777" s="4317"/>
      <c r="DA777" s="4317"/>
      <c r="DB777" s="4317"/>
      <c r="DC777" s="4317"/>
      <c r="DD777" s="4317"/>
      <c r="DE777" s="4317"/>
      <c r="DF777" s="4317"/>
      <c r="DG777" s="4317"/>
      <c r="DH777" s="4317"/>
      <c r="DI777" s="4317"/>
      <c r="DJ777" s="4317"/>
      <c r="DK777" s="4317"/>
      <c r="DL777" s="4317"/>
      <c r="DM777" s="4317"/>
      <c r="DN777" s="4317"/>
      <c r="DO777" s="4317"/>
      <c r="DP777" s="4317"/>
      <c r="DQ777" s="4317"/>
      <c r="DR777" s="4317"/>
      <c r="DS777" s="4317"/>
    </row>
    <row r="778" s="4134" customFormat="1" ht="17.25" customHeight="1" spans="1:123">
      <c r="A778" s="4696" t="s">
        <v>4583</v>
      </c>
      <c r="B778" s="4697"/>
      <c r="C778" s="4697"/>
      <c r="D778" s="4697"/>
      <c r="E778" s="4697"/>
      <c r="F778" s="4704"/>
      <c r="G778" s="4704"/>
      <c r="H778" s="4704"/>
      <c r="I778" s="4704"/>
      <c r="J778" s="4704"/>
      <c r="K778" s="4704"/>
      <c r="L778" s="4704"/>
      <c r="M778" s="4317"/>
      <c r="N778" s="4317"/>
      <c r="O778" s="4317"/>
      <c r="P778" s="4317"/>
      <c r="Q778" s="4317"/>
      <c r="R778" s="4317"/>
      <c r="S778" s="4317"/>
      <c r="T778" s="4319" t="s">
        <v>5492</v>
      </c>
      <c r="U778" s="4317"/>
      <c r="V778" s="4317"/>
      <c r="W778" s="4317"/>
      <c r="X778" s="4317"/>
      <c r="Y778" s="4653"/>
      <c r="Z778" s="4653"/>
      <c r="AA778" s="4653"/>
      <c r="AB778" s="4317"/>
      <c r="AC778" s="4295"/>
      <c r="AD778" s="4653"/>
      <c r="AE778" s="4653"/>
      <c r="AF778" s="4653"/>
      <c r="AG778" s="4319"/>
      <c r="AH778" s="4317"/>
      <c r="AI778" s="4317"/>
      <c r="AJ778" s="4317"/>
      <c r="AK778" s="4317"/>
      <c r="AL778" s="4317"/>
      <c r="AM778" s="4317"/>
      <c r="AN778" s="4317"/>
      <c r="AO778" s="4317"/>
      <c r="AP778" s="4317"/>
      <c r="AQ778" s="4317"/>
      <c r="AR778" s="4317"/>
      <c r="AS778" s="4317"/>
      <c r="AT778" s="4317"/>
      <c r="AU778" s="4317"/>
      <c r="AV778" s="4317"/>
      <c r="AW778" s="4317"/>
      <c r="AX778" s="4317"/>
      <c r="AY778" s="4317"/>
      <c r="AZ778" s="4317"/>
      <c r="BA778" s="4317"/>
      <c r="BB778" s="4317"/>
      <c r="BC778" s="4317"/>
      <c r="BD778" s="4317"/>
      <c r="BE778" s="4317"/>
      <c r="BF778" s="4317"/>
      <c r="BG778" s="4317"/>
      <c r="BH778" s="4317"/>
      <c r="BI778" s="4317"/>
      <c r="BJ778" s="4317"/>
      <c r="BK778" s="4317"/>
      <c r="BL778" s="4317"/>
      <c r="BM778" s="4317"/>
      <c r="BN778" s="4317"/>
      <c r="BO778" s="4317"/>
      <c r="BP778" s="4317"/>
      <c r="BQ778" s="4317"/>
      <c r="BR778" s="4317"/>
      <c r="BS778" s="4317"/>
      <c r="BT778" s="4317"/>
      <c r="BU778" s="4317"/>
      <c r="BV778" s="4317"/>
      <c r="BW778" s="4317"/>
      <c r="BX778" s="4317"/>
      <c r="BY778" s="4317"/>
      <c r="BZ778" s="4317"/>
      <c r="CA778" s="4317"/>
      <c r="CB778" s="4317"/>
      <c r="CC778" s="4317"/>
      <c r="CD778" s="4317"/>
      <c r="CE778" s="4317"/>
      <c r="CF778" s="4317"/>
      <c r="CG778" s="4317"/>
      <c r="CH778" s="4317"/>
      <c r="CI778" s="4317"/>
      <c r="CJ778" s="4317"/>
      <c r="CK778" s="4317"/>
      <c r="CL778" s="4317"/>
      <c r="CM778" s="4317"/>
      <c r="CN778" s="4317"/>
      <c r="CO778" s="4317"/>
      <c r="CP778" s="4317"/>
      <c r="CQ778" s="4317"/>
      <c r="CR778" s="4317"/>
      <c r="CS778" s="4317"/>
      <c r="CT778" s="4317"/>
      <c r="CU778" s="4317"/>
      <c r="CV778" s="4317"/>
      <c r="CW778" s="4317"/>
      <c r="CX778" s="4317"/>
      <c r="CY778" s="4317"/>
      <c r="CZ778" s="4317"/>
      <c r="DA778" s="4317"/>
      <c r="DB778" s="4317"/>
      <c r="DC778" s="4317"/>
      <c r="DD778" s="4317"/>
      <c r="DE778" s="4317"/>
      <c r="DF778" s="4317"/>
      <c r="DG778" s="4317"/>
      <c r="DH778" s="4317"/>
      <c r="DI778" s="4317"/>
      <c r="DJ778" s="4317"/>
      <c r="DK778" s="4317"/>
      <c r="DL778" s="4317"/>
      <c r="DM778" s="4317"/>
      <c r="DN778" s="4317"/>
      <c r="DO778" s="4317"/>
      <c r="DP778" s="4317"/>
      <c r="DQ778" s="4317"/>
      <c r="DR778" s="4317"/>
      <c r="DS778" s="4317"/>
    </row>
    <row r="779" s="4134" customFormat="1" ht="17.25" customHeight="1" spans="1:123">
      <c r="A779" s="4701" t="s">
        <v>755</v>
      </c>
      <c r="B779" s="4702"/>
      <c r="C779" s="4702"/>
      <c r="D779" s="4702"/>
      <c r="E779" s="4702"/>
      <c r="F779" s="4703">
        <f>SUM(F771:L778)</f>
        <v>0</v>
      </c>
      <c r="G779" s="4703"/>
      <c r="H779" s="4703"/>
      <c r="I779" s="4703"/>
      <c r="J779" s="4703"/>
      <c r="K779" s="4703"/>
      <c r="L779" s="4703"/>
      <c r="M779" s="4317"/>
      <c r="N779" s="4317"/>
      <c r="O779" s="4317"/>
      <c r="P779" s="4317"/>
      <c r="Q779" s="4317"/>
      <c r="R779" s="4317"/>
      <c r="S779" s="4317"/>
      <c r="T779" s="4323" t="s">
        <v>5493</v>
      </c>
      <c r="U779" s="4317"/>
      <c r="V779" s="4317"/>
      <c r="W779" s="4317"/>
      <c r="X779" s="4317"/>
      <c r="Y779" s="4653"/>
      <c r="Z779" s="4653"/>
      <c r="AA779" s="4653"/>
      <c r="AB779" s="4317"/>
      <c r="AC779" s="4295"/>
      <c r="AD779" s="4653"/>
      <c r="AE779" s="4653"/>
      <c r="AF779" s="4653"/>
      <c r="AG779" s="4319"/>
      <c r="AH779" s="4317"/>
      <c r="AI779" s="4317"/>
      <c r="AJ779" s="4317"/>
      <c r="AK779" s="4317"/>
      <c r="AL779" s="4317"/>
      <c r="AM779" s="4317"/>
      <c r="AN779" s="4317"/>
      <c r="AO779" s="4317"/>
      <c r="AP779" s="4317"/>
      <c r="AQ779" s="4317"/>
      <c r="AR779" s="4317"/>
      <c r="AS779" s="4317"/>
      <c r="AT779" s="4317"/>
      <c r="AU779" s="4317"/>
      <c r="AV779" s="4317"/>
      <c r="AW779" s="4317"/>
      <c r="AX779" s="4317"/>
      <c r="AY779" s="4317"/>
      <c r="AZ779" s="4317"/>
      <c r="BA779" s="4317"/>
      <c r="BB779" s="4317"/>
      <c r="BC779" s="4317"/>
      <c r="BD779" s="4317"/>
      <c r="BE779" s="4317"/>
      <c r="BF779" s="4317"/>
      <c r="BG779" s="4317"/>
      <c r="BH779" s="4317"/>
      <c r="BI779" s="4317"/>
      <c r="BJ779" s="4317"/>
      <c r="BK779" s="4317"/>
      <c r="BL779" s="4317"/>
      <c r="BM779" s="4317"/>
      <c r="BN779" s="4317"/>
      <c r="BO779" s="4317"/>
      <c r="BP779" s="4317"/>
      <c r="BQ779" s="4317"/>
      <c r="BR779" s="4317"/>
      <c r="BS779" s="4317"/>
      <c r="BT779" s="4317"/>
      <c r="BU779" s="4317"/>
      <c r="BV779" s="4317"/>
      <c r="BW779" s="4317"/>
      <c r="BX779" s="4317"/>
      <c r="BY779" s="4317"/>
      <c r="BZ779" s="4317"/>
      <c r="CA779" s="4317"/>
      <c r="CB779" s="4317"/>
      <c r="CC779" s="4317"/>
      <c r="CD779" s="4317"/>
      <c r="CE779" s="4317"/>
      <c r="CF779" s="4317"/>
      <c r="CG779" s="4317"/>
      <c r="CH779" s="4317"/>
      <c r="CI779" s="4317"/>
      <c r="CJ779" s="4317"/>
      <c r="CK779" s="4317"/>
      <c r="CL779" s="4317"/>
      <c r="CM779" s="4317"/>
      <c r="CN779" s="4317"/>
      <c r="CO779" s="4317"/>
      <c r="CP779" s="4317"/>
      <c r="CQ779" s="4317"/>
      <c r="CR779" s="4317"/>
      <c r="CS779" s="4317"/>
      <c r="CT779" s="4317"/>
      <c r="CU779" s="4317"/>
      <c r="CV779" s="4317"/>
      <c r="CW779" s="4317"/>
      <c r="CX779" s="4317"/>
      <c r="CY779" s="4317"/>
      <c r="CZ779" s="4317"/>
      <c r="DA779" s="4317"/>
      <c r="DB779" s="4317"/>
      <c r="DC779" s="4317"/>
      <c r="DD779" s="4317"/>
      <c r="DE779" s="4317"/>
      <c r="DF779" s="4317"/>
      <c r="DG779" s="4317"/>
      <c r="DH779" s="4317"/>
      <c r="DI779" s="4317"/>
      <c r="DJ779" s="4317"/>
      <c r="DK779" s="4317"/>
      <c r="DL779" s="4317"/>
      <c r="DM779" s="4317"/>
      <c r="DN779" s="4317"/>
      <c r="DO779" s="4317"/>
      <c r="DP779" s="4317"/>
      <c r="DQ779" s="4317"/>
      <c r="DR779" s="4317"/>
      <c r="DS779" s="4317"/>
    </row>
    <row r="780" s="4134" customFormat="1" ht="17.25" customHeight="1" spans="1:123">
      <c r="A780" s="4696" t="s">
        <v>4585</v>
      </c>
      <c r="B780" s="4697"/>
      <c r="C780" s="4697"/>
      <c r="D780" s="4697"/>
      <c r="E780" s="4697"/>
      <c r="F780" s="4534"/>
      <c r="G780" s="4535"/>
      <c r="H780" s="4535"/>
      <c r="I780" s="4535"/>
      <c r="J780" s="4535"/>
      <c r="K780" s="4535"/>
      <c r="L780" s="4536"/>
      <c r="M780" s="4317"/>
      <c r="N780" s="4317"/>
      <c r="O780" s="4317"/>
      <c r="P780" s="4317"/>
      <c r="Q780" s="4317"/>
      <c r="R780" s="4317"/>
      <c r="S780" s="4317"/>
      <c r="T780" s="4319" t="s">
        <v>5494</v>
      </c>
      <c r="U780" s="4317"/>
      <c r="V780" s="4317"/>
      <c r="W780" s="4317"/>
      <c r="X780" s="4317"/>
      <c r="Y780" s="4653"/>
      <c r="Z780" s="4653"/>
      <c r="AA780" s="4653"/>
      <c r="AB780" s="4317"/>
      <c r="AC780" s="4295"/>
      <c r="AD780" s="4653"/>
      <c r="AE780" s="4653"/>
      <c r="AF780" s="4653"/>
      <c r="AG780" s="4319"/>
      <c r="AH780" s="4317"/>
      <c r="AI780" s="4317"/>
      <c r="AJ780" s="4317"/>
      <c r="AK780" s="4317"/>
      <c r="AL780" s="4317"/>
      <c r="AM780" s="4317"/>
      <c r="AN780" s="4317"/>
      <c r="AO780" s="4317"/>
      <c r="AP780" s="4317"/>
      <c r="AQ780" s="4317"/>
      <c r="AR780" s="4317"/>
      <c r="AS780" s="4317"/>
      <c r="AT780" s="4317"/>
      <c r="AU780" s="4317"/>
      <c r="AV780" s="4317"/>
      <c r="AW780" s="4317"/>
      <c r="AX780" s="4317"/>
      <c r="AY780" s="4317"/>
      <c r="AZ780" s="4317"/>
      <c r="BA780" s="4317"/>
      <c r="BB780" s="4317"/>
      <c r="BC780" s="4317"/>
      <c r="BD780" s="4317"/>
      <c r="BE780" s="4317"/>
      <c r="BF780" s="4317"/>
      <c r="BG780" s="4317"/>
      <c r="BH780" s="4317"/>
      <c r="BI780" s="4317"/>
      <c r="BJ780" s="4317"/>
      <c r="BK780" s="4317"/>
      <c r="BL780" s="4317"/>
      <c r="BM780" s="4317"/>
      <c r="BN780" s="4317"/>
      <c r="BO780" s="4317"/>
      <c r="BP780" s="4317"/>
      <c r="BQ780" s="4317"/>
      <c r="BR780" s="4317"/>
      <c r="BS780" s="4317"/>
      <c r="BT780" s="4317"/>
      <c r="BU780" s="4317"/>
      <c r="BV780" s="4317"/>
      <c r="BW780" s="4317"/>
      <c r="BX780" s="4317"/>
      <c r="BY780" s="4317"/>
      <c r="BZ780" s="4317"/>
      <c r="CA780" s="4317"/>
      <c r="CB780" s="4317"/>
      <c r="CC780" s="4317"/>
      <c r="CD780" s="4317"/>
      <c r="CE780" s="4317"/>
      <c r="CF780" s="4317"/>
      <c r="CG780" s="4317"/>
      <c r="CH780" s="4317"/>
      <c r="CI780" s="4317"/>
      <c r="CJ780" s="4317"/>
      <c r="CK780" s="4317"/>
      <c r="CL780" s="4317"/>
      <c r="CM780" s="4317"/>
      <c r="CN780" s="4317"/>
      <c r="CO780" s="4317"/>
      <c r="CP780" s="4317"/>
      <c r="CQ780" s="4317"/>
      <c r="CR780" s="4317"/>
      <c r="CS780" s="4317"/>
      <c r="CT780" s="4317"/>
      <c r="CU780" s="4317"/>
      <c r="CV780" s="4317"/>
      <c r="CW780" s="4317"/>
      <c r="CX780" s="4317"/>
      <c r="CY780" s="4317"/>
      <c r="CZ780" s="4317"/>
      <c r="DA780" s="4317"/>
      <c r="DB780" s="4317"/>
      <c r="DC780" s="4317"/>
      <c r="DD780" s="4317"/>
      <c r="DE780" s="4317"/>
      <c r="DF780" s="4317"/>
      <c r="DG780" s="4317"/>
      <c r="DH780" s="4317"/>
      <c r="DI780" s="4317"/>
      <c r="DJ780" s="4317"/>
      <c r="DK780" s="4317"/>
      <c r="DL780" s="4317"/>
      <c r="DM780" s="4317"/>
      <c r="DN780" s="4317"/>
      <c r="DO780" s="4317"/>
      <c r="DP780" s="4317"/>
      <c r="DQ780" s="4317"/>
      <c r="DR780" s="4317"/>
      <c r="DS780" s="4317"/>
    </row>
    <row r="781" s="4134" customFormat="1" ht="17.25" customHeight="1" spans="1:123">
      <c r="A781" s="4696" t="s">
        <v>4586</v>
      </c>
      <c r="B781" s="4697"/>
      <c r="C781" s="4697"/>
      <c r="D781" s="4697"/>
      <c r="E781" s="4697"/>
      <c r="F781" s="4534"/>
      <c r="G781" s="4535"/>
      <c r="H781" s="4535"/>
      <c r="I781" s="4535"/>
      <c r="J781" s="4535"/>
      <c r="K781" s="4535"/>
      <c r="L781" s="4536"/>
      <c r="M781" s="4380"/>
      <c r="N781" s="4317"/>
      <c r="O781" s="4317"/>
      <c r="P781" s="4317"/>
      <c r="Q781" s="4317"/>
      <c r="R781" s="4317"/>
      <c r="S781" s="4317"/>
      <c r="T781" s="4319" t="s">
        <v>5495</v>
      </c>
      <c r="U781" s="4317"/>
      <c r="V781" s="4317"/>
      <c r="W781" s="4317"/>
      <c r="X781" s="4317"/>
      <c r="Y781" s="4653"/>
      <c r="Z781" s="4653"/>
      <c r="AA781" s="4653"/>
      <c r="AB781" s="4317"/>
      <c r="AC781" s="4295"/>
      <c r="AD781" s="4653"/>
      <c r="AE781" s="4653"/>
      <c r="AF781" s="4653"/>
      <c r="AG781" s="4319"/>
      <c r="AH781" s="4317"/>
      <c r="AI781" s="4317"/>
      <c r="AJ781" s="4317"/>
      <c r="AK781" s="4317"/>
      <c r="AL781" s="4317"/>
      <c r="AM781" s="4317"/>
      <c r="AN781" s="4317"/>
      <c r="AO781" s="4317"/>
      <c r="AP781" s="4317"/>
      <c r="AQ781" s="4317"/>
      <c r="AR781" s="4317"/>
      <c r="AS781" s="4317"/>
      <c r="AT781" s="4317"/>
      <c r="AU781" s="4317"/>
      <c r="AV781" s="4317"/>
      <c r="AW781" s="4317"/>
      <c r="AX781" s="4317"/>
      <c r="AY781" s="4317"/>
      <c r="AZ781" s="4317"/>
      <c r="BA781" s="4317"/>
      <c r="BB781" s="4317"/>
      <c r="BC781" s="4317"/>
      <c r="BD781" s="4317"/>
      <c r="BE781" s="4317"/>
      <c r="BF781" s="4317"/>
      <c r="BG781" s="4317"/>
      <c r="BH781" s="4317"/>
      <c r="BI781" s="4317"/>
      <c r="BJ781" s="4317"/>
      <c r="BK781" s="4317"/>
      <c r="BL781" s="4317"/>
      <c r="BM781" s="4317"/>
      <c r="BN781" s="4317"/>
      <c r="BO781" s="4317"/>
      <c r="BP781" s="4317"/>
      <c r="BQ781" s="4317"/>
      <c r="BR781" s="4317"/>
      <c r="BS781" s="4317"/>
      <c r="BT781" s="4317"/>
      <c r="BU781" s="4317"/>
      <c r="BV781" s="4317"/>
      <c r="BW781" s="4317"/>
      <c r="BX781" s="4317"/>
      <c r="BY781" s="4317"/>
      <c r="BZ781" s="4317"/>
      <c r="CA781" s="4317"/>
      <c r="CB781" s="4317"/>
      <c r="CC781" s="4317"/>
      <c r="CD781" s="4317"/>
      <c r="CE781" s="4317"/>
      <c r="CF781" s="4317"/>
      <c r="CG781" s="4317"/>
      <c r="CH781" s="4317"/>
      <c r="CI781" s="4317"/>
      <c r="CJ781" s="4317"/>
      <c r="CK781" s="4317"/>
      <c r="CL781" s="4317"/>
      <c r="CM781" s="4317"/>
      <c r="CN781" s="4317"/>
      <c r="CO781" s="4317"/>
      <c r="CP781" s="4317"/>
      <c r="CQ781" s="4317"/>
      <c r="CR781" s="4317"/>
      <c r="CS781" s="4317"/>
      <c r="CT781" s="4317"/>
      <c r="CU781" s="4317"/>
      <c r="CV781" s="4317"/>
      <c r="CW781" s="4317"/>
      <c r="CX781" s="4317"/>
      <c r="CY781" s="4317"/>
      <c r="CZ781" s="4317"/>
      <c r="DA781" s="4317"/>
      <c r="DB781" s="4317"/>
      <c r="DC781" s="4317"/>
      <c r="DD781" s="4317"/>
      <c r="DE781" s="4317"/>
      <c r="DF781" s="4317"/>
      <c r="DG781" s="4317"/>
      <c r="DH781" s="4317"/>
      <c r="DI781" s="4317"/>
      <c r="DJ781" s="4317"/>
      <c r="DK781" s="4317"/>
      <c r="DL781" s="4317"/>
      <c r="DM781" s="4317"/>
      <c r="DN781" s="4317"/>
      <c r="DO781" s="4317"/>
      <c r="DP781" s="4317"/>
      <c r="DQ781" s="4317"/>
      <c r="DR781" s="4317"/>
      <c r="DS781" s="4317"/>
    </row>
    <row r="782" s="4134" customFormat="1" ht="17.25" customHeight="1" spans="1:123">
      <c r="A782" s="4696" t="s">
        <v>4587</v>
      </c>
      <c r="B782" s="4697"/>
      <c r="C782" s="4697"/>
      <c r="D782" s="4697"/>
      <c r="E782" s="4697"/>
      <c r="F782" s="4534"/>
      <c r="G782" s="4535"/>
      <c r="H782" s="4535"/>
      <c r="I782" s="4535"/>
      <c r="J782" s="4535"/>
      <c r="K782" s="4535"/>
      <c r="L782" s="4536"/>
      <c r="M782" s="4317"/>
      <c r="N782" s="4317"/>
      <c r="O782" s="4317"/>
      <c r="P782" s="4317"/>
      <c r="Q782" s="4317"/>
      <c r="R782" s="4317"/>
      <c r="S782" s="4317"/>
      <c r="T782" s="4319" t="s">
        <v>5496</v>
      </c>
      <c r="U782" s="4317"/>
      <c r="V782" s="4317"/>
      <c r="W782" s="4317"/>
      <c r="X782" s="4317"/>
      <c r="Y782" s="4653"/>
      <c r="Z782" s="4653"/>
      <c r="AA782" s="4653"/>
      <c r="AB782" s="4317"/>
      <c r="AC782" s="4295"/>
      <c r="AD782" s="4653"/>
      <c r="AE782" s="4653"/>
      <c r="AF782" s="4653"/>
      <c r="AG782" s="4319"/>
      <c r="AH782" s="4317"/>
      <c r="AI782" s="4317"/>
      <c r="AJ782" s="4317"/>
      <c r="AK782" s="4317"/>
      <c r="AL782" s="4317"/>
      <c r="AM782" s="4317"/>
      <c r="AN782" s="4317"/>
      <c r="AO782" s="4317"/>
      <c r="AP782" s="4317"/>
      <c r="AQ782" s="4317"/>
      <c r="AR782" s="4317"/>
      <c r="AS782" s="4317"/>
      <c r="AT782" s="4317"/>
      <c r="AU782" s="4317"/>
      <c r="AV782" s="4317"/>
      <c r="AW782" s="4317"/>
      <c r="AX782" s="4317"/>
      <c r="AY782" s="4317"/>
      <c r="AZ782" s="4317"/>
      <c r="BA782" s="4317"/>
      <c r="BB782" s="4317"/>
      <c r="BC782" s="4317"/>
      <c r="BD782" s="4317"/>
      <c r="BE782" s="4317"/>
      <c r="BF782" s="4317"/>
      <c r="BG782" s="4317"/>
      <c r="BH782" s="4317"/>
      <c r="BI782" s="4317"/>
      <c r="BJ782" s="4317"/>
      <c r="BK782" s="4317"/>
      <c r="BL782" s="4317"/>
      <c r="BM782" s="4317"/>
      <c r="BN782" s="4317"/>
      <c r="BO782" s="4317"/>
      <c r="BP782" s="4317"/>
      <c r="BQ782" s="4317"/>
      <c r="BR782" s="4317"/>
      <c r="BS782" s="4317"/>
      <c r="BT782" s="4317"/>
      <c r="BU782" s="4317"/>
      <c r="BV782" s="4317"/>
      <c r="BW782" s="4317"/>
      <c r="BX782" s="4317"/>
      <c r="BY782" s="4317"/>
      <c r="BZ782" s="4317"/>
      <c r="CA782" s="4317"/>
      <c r="CB782" s="4317"/>
      <c r="CC782" s="4317"/>
      <c r="CD782" s="4317"/>
      <c r="CE782" s="4317"/>
      <c r="CF782" s="4317"/>
      <c r="CG782" s="4317"/>
      <c r="CH782" s="4317"/>
      <c r="CI782" s="4317"/>
      <c r="CJ782" s="4317"/>
      <c r="CK782" s="4317"/>
      <c r="CL782" s="4317"/>
      <c r="CM782" s="4317"/>
      <c r="CN782" s="4317"/>
      <c r="CO782" s="4317"/>
      <c r="CP782" s="4317"/>
      <c r="CQ782" s="4317"/>
      <c r="CR782" s="4317"/>
      <c r="CS782" s="4317"/>
      <c r="CT782" s="4317"/>
      <c r="CU782" s="4317"/>
      <c r="CV782" s="4317"/>
      <c r="CW782" s="4317"/>
      <c r="CX782" s="4317"/>
      <c r="CY782" s="4317"/>
      <c r="CZ782" s="4317"/>
      <c r="DA782" s="4317"/>
      <c r="DB782" s="4317"/>
      <c r="DC782" s="4317"/>
      <c r="DD782" s="4317"/>
      <c r="DE782" s="4317"/>
      <c r="DF782" s="4317"/>
      <c r="DG782" s="4317"/>
      <c r="DH782" s="4317"/>
      <c r="DI782" s="4317"/>
      <c r="DJ782" s="4317"/>
      <c r="DK782" s="4317"/>
      <c r="DL782" s="4317"/>
      <c r="DM782" s="4317"/>
      <c r="DN782" s="4317"/>
      <c r="DO782" s="4317"/>
      <c r="DP782" s="4317"/>
      <c r="DQ782" s="4317"/>
      <c r="DR782" s="4317"/>
      <c r="DS782" s="4317"/>
    </row>
    <row r="783" s="4134" customFormat="1" ht="17.25" customHeight="1" spans="1:123">
      <c r="A783" s="4696" t="s">
        <v>4588</v>
      </c>
      <c r="B783" s="4697"/>
      <c r="C783" s="4697"/>
      <c r="D783" s="4697"/>
      <c r="E783" s="4697"/>
      <c r="F783" s="4534"/>
      <c r="G783" s="4535"/>
      <c r="H783" s="4535"/>
      <c r="I783" s="4535"/>
      <c r="J783" s="4535"/>
      <c r="K783" s="4535"/>
      <c r="L783" s="4536"/>
      <c r="M783" s="4317"/>
      <c r="N783" s="4317"/>
      <c r="O783" s="4317"/>
      <c r="P783" s="4317"/>
      <c r="Q783" s="4317"/>
      <c r="R783" s="4317"/>
      <c r="S783" s="4317"/>
      <c r="T783" s="4319" t="s">
        <v>5497</v>
      </c>
      <c r="U783" s="4317"/>
      <c r="V783" s="4317"/>
      <c r="W783" s="4317"/>
      <c r="X783" s="4317"/>
      <c r="Y783" s="4653"/>
      <c r="Z783" s="4653"/>
      <c r="AA783" s="4653"/>
      <c r="AB783" s="4317"/>
      <c r="AC783" s="4295"/>
      <c r="AD783" s="4653"/>
      <c r="AE783" s="4653"/>
      <c r="AF783" s="4653"/>
      <c r="AG783" s="4319"/>
      <c r="AH783" s="4317"/>
      <c r="AI783" s="4317"/>
      <c r="AJ783" s="4317"/>
      <c r="AK783" s="4317"/>
      <c r="AL783" s="4317"/>
      <c r="AM783" s="4317"/>
      <c r="AN783" s="4317"/>
      <c r="AO783" s="4317"/>
      <c r="AP783" s="4317"/>
      <c r="AQ783" s="4317"/>
      <c r="AR783" s="4317"/>
      <c r="AS783" s="4317"/>
      <c r="AT783" s="4317"/>
      <c r="AU783" s="4317"/>
      <c r="AV783" s="4317"/>
      <c r="AW783" s="4317"/>
      <c r="AX783" s="4317"/>
      <c r="AY783" s="4317"/>
      <c r="AZ783" s="4317"/>
      <c r="BA783" s="4317"/>
      <c r="BB783" s="4317"/>
      <c r="BC783" s="4317"/>
      <c r="BD783" s="4317"/>
      <c r="BE783" s="4317"/>
      <c r="BF783" s="4317"/>
      <c r="BG783" s="4317"/>
      <c r="BH783" s="4317"/>
      <c r="BI783" s="4317"/>
      <c r="BJ783" s="4317"/>
      <c r="BK783" s="4317"/>
      <c r="BL783" s="4317"/>
      <c r="BM783" s="4317"/>
      <c r="BN783" s="4317"/>
      <c r="BO783" s="4317"/>
      <c r="BP783" s="4317"/>
      <c r="BQ783" s="4317"/>
      <c r="BR783" s="4317"/>
      <c r="BS783" s="4317"/>
      <c r="BT783" s="4317"/>
      <c r="BU783" s="4317"/>
      <c r="BV783" s="4317"/>
      <c r="BW783" s="4317"/>
      <c r="BX783" s="4317"/>
      <c r="BY783" s="4317"/>
      <c r="BZ783" s="4317"/>
      <c r="CA783" s="4317"/>
      <c r="CB783" s="4317"/>
      <c r="CC783" s="4317"/>
      <c r="CD783" s="4317"/>
      <c r="CE783" s="4317"/>
      <c r="CF783" s="4317"/>
      <c r="CG783" s="4317"/>
      <c r="CH783" s="4317"/>
      <c r="CI783" s="4317"/>
      <c r="CJ783" s="4317"/>
      <c r="CK783" s="4317"/>
      <c r="CL783" s="4317"/>
      <c r="CM783" s="4317"/>
      <c r="CN783" s="4317"/>
      <c r="CO783" s="4317"/>
      <c r="CP783" s="4317"/>
      <c r="CQ783" s="4317"/>
      <c r="CR783" s="4317"/>
      <c r="CS783" s="4317"/>
      <c r="CT783" s="4317"/>
      <c r="CU783" s="4317"/>
      <c r="CV783" s="4317"/>
      <c r="CW783" s="4317"/>
      <c r="CX783" s="4317"/>
      <c r="CY783" s="4317"/>
      <c r="CZ783" s="4317"/>
      <c r="DA783" s="4317"/>
      <c r="DB783" s="4317"/>
      <c r="DC783" s="4317"/>
      <c r="DD783" s="4317"/>
      <c r="DE783" s="4317"/>
      <c r="DF783" s="4317"/>
      <c r="DG783" s="4317"/>
      <c r="DH783" s="4317"/>
      <c r="DI783" s="4317"/>
      <c r="DJ783" s="4317"/>
      <c r="DK783" s="4317"/>
      <c r="DL783" s="4317"/>
      <c r="DM783" s="4317"/>
      <c r="DN783" s="4317"/>
      <c r="DO783" s="4317"/>
      <c r="DP783" s="4317"/>
      <c r="DQ783" s="4317"/>
      <c r="DR783" s="4317"/>
      <c r="DS783" s="4317"/>
    </row>
    <row r="784" s="4134" customFormat="1" ht="17.25" customHeight="1" spans="1:123">
      <c r="A784" s="4696" t="s">
        <v>4589</v>
      </c>
      <c r="B784" s="4697"/>
      <c r="C784" s="4697"/>
      <c r="D784" s="4697"/>
      <c r="E784" s="4697"/>
      <c r="F784" s="4534"/>
      <c r="G784" s="4535"/>
      <c r="H784" s="4535"/>
      <c r="I784" s="4535"/>
      <c r="J784" s="4535"/>
      <c r="K784" s="4535"/>
      <c r="L784" s="4536"/>
      <c r="M784" s="4317"/>
      <c r="N784" s="4317"/>
      <c r="O784" s="4317"/>
      <c r="P784" s="4317"/>
      <c r="Q784" s="4317"/>
      <c r="R784" s="4317"/>
      <c r="S784" s="4317"/>
      <c r="T784" s="4319" t="s">
        <v>5498</v>
      </c>
      <c r="U784" s="4317"/>
      <c r="V784" s="4317"/>
      <c r="W784" s="4317"/>
      <c r="X784" s="4317"/>
      <c r="Y784" s="4653"/>
      <c r="Z784" s="4653"/>
      <c r="AA784" s="4653"/>
      <c r="AB784" s="4317"/>
      <c r="AC784" s="4295"/>
      <c r="AD784" s="4653"/>
      <c r="AE784" s="4653"/>
      <c r="AF784" s="4653"/>
      <c r="AG784" s="4319"/>
      <c r="AH784" s="4317"/>
      <c r="AI784" s="4317"/>
      <c r="AJ784" s="4317"/>
      <c r="AK784" s="4317"/>
      <c r="AL784" s="4317"/>
      <c r="AM784" s="4317"/>
      <c r="AN784" s="4317"/>
      <c r="AO784" s="4317"/>
      <c r="AP784" s="4317"/>
      <c r="AQ784" s="4317"/>
      <c r="AR784" s="4317"/>
      <c r="AS784" s="4317"/>
      <c r="AT784" s="4317"/>
      <c r="AU784" s="4317"/>
      <c r="AV784" s="4317"/>
      <c r="AW784" s="4317"/>
      <c r="AX784" s="4317"/>
      <c r="AY784" s="4317"/>
      <c r="AZ784" s="4317"/>
      <c r="BA784" s="4317"/>
      <c r="BB784" s="4317"/>
      <c r="BC784" s="4317"/>
      <c r="BD784" s="4317"/>
      <c r="BE784" s="4317"/>
      <c r="BF784" s="4317"/>
      <c r="BG784" s="4317"/>
      <c r="BH784" s="4317"/>
      <c r="BI784" s="4317"/>
      <c r="BJ784" s="4317"/>
      <c r="BK784" s="4317"/>
      <c r="BL784" s="4317"/>
      <c r="BM784" s="4317"/>
      <c r="BN784" s="4317"/>
      <c r="BO784" s="4317"/>
      <c r="BP784" s="4317"/>
      <c r="BQ784" s="4317"/>
      <c r="BR784" s="4317"/>
      <c r="BS784" s="4317"/>
      <c r="BT784" s="4317"/>
      <c r="BU784" s="4317"/>
      <c r="BV784" s="4317"/>
      <c r="BW784" s="4317"/>
      <c r="BX784" s="4317"/>
      <c r="BY784" s="4317"/>
      <c r="BZ784" s="4317"/>
      <c r="CA784" s="4317"/>
      <c r="CB784" s="4317"/>
      <c r="CC784" s="4317"/>
      <c r="CD784" s="4317"/>
      <c r="CE784" s="4317"/>
      <c r="CF784" s="4317"/>
      <c r="CG784" s="4317"/>
      <c r="CH784" s="4317"/>
      <c r="CI784" s="4317"/>
      <c r="CJ784" s="4317"/>
      <c r="CK784" s="4317"/>
      <c r="CL784" s="4317"/>
      <c r="CM784" s="4317"/>
      <c r="CN784" s="4317"/>
      <c r="CO784" s="4317"/>
      <c r="CP784" s="4317"/>
      <c r="CQ784" s="4317"/>
      <c r="CR784" s="4317"/>
      <c r="CS784" s="4317"/>
      <c r="CT784" s="4317"/>
      <c r="CU784" s="4317"/>
      <c r="CV784" s="4317"/>
      <c r="CW784" s="4317"/>
      <c r="CX784" s="4317"/>
      <c r="CY784" s="4317"/>
      <c r="CZ784" s="4317"/>
      <c r="DA784" s="4317"/>
      <c r="DB784" s="4317"/>
      <c r="DC784" s="4317"/>
      <c r="DD784" s="4317"/>
      <c r="DE784" s="4317"/>
      <c r="DF784" s="4317"/>
      <c r="DG784" s="4317"/>
      <c r="DH784" s="4317"/>
      <c r="DI784" s="4317"/>
      <c r="DJ784" s="4317"/>
      <c r="DK784" s="4317"/>
      <c r="DL784" s="4317"/>
      <c r="DM784" s="4317"/>
      <c r="DN784" s="4317"/>
      <c r="DO784" s="4317"/>
      <c r="DP784" s="4317"/>
      <c r="DQ784" s="4317"/>
      <c r="DR784" s="4317"/>
      <c r="DS784" s="4317"/>
    </row>
    <row r="785" s="4134" customFormat="1" ht="17.25" customHeight="1" spans="1:123">
      <c r="A785" s="4696" t="s">
        <v>4590</v>
      </c>
      <c r="B785" s="4697"/>
      <c r="C785" s="4697"/>
      <c r="D785" s="4697"/>
      <c r="E785" s="4697"/>
      <c r="F785" s="4534"/>
      <c r="G785" s="4535"/>
      <c r="H785" s="4535"/>
      <c r="I785" s="4535"/>
      <c r="J785" s="4535"/>
      <c r="K785" s="4535"/>
      <c r="L785" s="4536"/>
      <c r="M785" s="4317"/>
      <c r="N785" s="4317"/>
      <c r="O785" s="4317"/>
      <c r="P785" s="4317"/>
      <c r="Q785" s="4317"/>
      <c r="R785" s="4317"/>
      <c r="S785" s="4317"/>
      <c r="T785" s="4319" t="s">
        <v>5499</v>
      </c>
      <c r="U785" s="4317"/>
      <c r="V785" s="4317"/>
      <c r="W785" s="4317"/>
      <c r="X785" s="4317"/>
      <c r="Y785" s="4653"/>
      <c r="Z785" s="4653"/>
      <c r="AA785" s="4653"/>
      <c r="AB785" s="4317"/>
      <c r="AC785" s="4295"/>
      <c r="AD785" s="4653"/>
      <c r="AE785" s="4653"/>
      <c r="AF785" s="4653"/>
      <c r="AG785" s="4319"/>
      <c r="AH785" s="4317"/>
      <c r="AI785" s="4317"/>
      <c r="AJ785" s="4317"/>
      <c r="AK785" s="4317"/>
      <c r="AL785" s="4317"/>
      <c r="AM785" s="4317"/>
      <c r="AN785" s="4317"/>
      <c r="AO785" s="4317"/>
      <c r="AP785" s="4317"/>
      <c r="AQ785" s="4317"/>
      <c r="AR785" s="4317"/>
      <c r="AS785" s="4317"/>
      <c r="AT785" s="4317"/>
      <c r="AU785" s="4317"/>
      <c r="AV785" s="4317"/>
      <c r="AW785" s="4317"/>
      <c r="AX785" s="4317"/>
      <c r="AY785" s="4317"/>
      <c r="AZ785" s="4317"/>
      <c r="BA785" s="4317"/>
      <c r="BB785" s="4317"/>
      <c r="BC785" s="4317"/>
      <c r="BD785" s="4317"/>
      <c r="BE785" s="4317"/>
      <c r="BF785" s="4317"/>
      <c r="BG785" s="4317"/>
      <c r="BH785" s="4317"/>
      <c r="BI785" s="4317"/>
      <c r="BJ785" s="4317"/>
      <c r="BK785" s="4317"/>
      <c r="BL785" s="4317"/>
      <c r="BM785" s="4317"/>
      <c r="BN785" s="4317"/>
      <c r="BO785" s="4317"/>
      <c r="BP785" s="4317"/>
      <c r="BQ785" s="4317"/>
      <c r="BR785" s="4317"/>
      <c r="BS785" s="4317"/>
      <c r="BT785" s="4317"/>
      <c r="BU785" s="4317"/>
      <c r="BV785" s="4317"/>
      <c r="BW785" s="4317"/>
      <c r="BX785" s="4317"/>
      <c r="BY785" s="4317"/>
      <c r="BZ785" s="4317"/>
      <c r="CA785" s="4317"/>
      <c r="CB785" s="4317"/>
      <c r="CC785" s="4317"/>
      <c r="CD785" s="4317"/>
      <c r="CE785" s="4317"/>
      <c r="CF785" s="4317"/>
      <c r="CG785" s="4317"/>
      <c r="CH785" s="4317"/>
      <c r="CI785" s="4317"/>
      <c r="CJ785" s="4317"/>
      <c r="CK785" s="4317"/>
      <c r="CL785" s="4317"/>
      <c r="CM785" s="4317"/>
      <c r="CN785" s="4317"/>
      <c r="CO785" s="4317"/>
      <c r="CP785" s="4317"/>
      <c r="CQ785" s="4317"/>
      <c r="CR785" s="4317"/>
      <c r="CS785" s="4317"/>
      <c r="CT785" s="4317"/>
      <c r="CU785" s="4317"/>
      <c r="CV785" s="4317"/>
      <c r="CW785" s="4317"/>
      <c r="CX785" s="4317"/>
      <c r="CY785" s="4317"/>
      <c r="CZ785" s="4317"/>
      <c r="DA785" s="4317"/>
      <c r="DB785" s="4317"/>
      <c r="DC785" s="4317"/>
      <c r="DD785" s="4317"/>
      <c r="DE785" s="4317"/>
      <c r="DF785" s="4317"/>
      <c r="DG785" s="4317"/>
      <c r="DH785" s="4317"/>
      <c r="DI785" s="4317"/>
      <c r="DJ785" s="4317"/>
      <c r="DK785" s="4317"/>
      <c r="DL785" s="4317"/>
      <c r="DM785" s="4317"/>
      <c r="DN785" s="4317"/>
      <c r="DO785" s="4317"/>
      <c r="DP785" s="4317"/>
      <c r="DQ785" s="4317"/>
      <c r="DR785" s="4317"/>
      <c r="DS785" s="4317"/>
    </row>
    <row r="786" s="4134" customFormat="1" ht="17.25" customHeight="1" spans="1:123">
      <c r="A786" s="4696" t="s">
        <v>4591</v>
      </c>
      <c r="B786" s="4697"/>
      <c r="C786" s="4697"/>
      <c r="D786" s="4697"/>
      <c r="E786" s="4697"/>
      <c r="F786" s="4534"/>
      <c r="G786" s="4535"/>
      <c r="H786" s="4535"/>
      <c r="I786" s="4535"/>
      <c r="J786" s="4535"/>
      <c r="K786" s="4535"/>
      <c r="L786" s="4536"/>
      <c r="M786" s="4317"/>
      <c r="N786" s="4317"/>
      <c r="O786" s="4317"/>
      <c r="P786" s="4317"/>
      <c r="Q786" s="4317"/>
      <c r="R786" s="4317"/>
      <c r="S786" s="4317"/>
      <c r="T786" s="4319" t="s">
        <v>5500</v>
      </c>
      <c r="U786" s="4317"/>
      <c r="V786" s="4317"/>
      <c r="W786" s="4317"/>
      <c r="X786" s="4317"/>
      <c r="Y786" s="4653"/>
      <c r="Z786" s="4653"/>
      <c r="AA786" s="4653"/>
      <c r="AB786" s="4317"/>
      <c r="AC786" s="4295"/>
      <c r="AD786" s="4653"/>
      <c r="AE786" s="4653"/>
      <c r="AF786" s="4653"/>
      <c r="AG786" s="4319"/>
      <c r="AH786" s="4317"/>
      <c r="AI786" s="4317"/>
      <c r="AJ786" s="4317"/>
      <c r="AK786" s="4317"/>
      <c r="AL786" s="4317"/>
      <c r="AM786" s="4317"/>
      <c r="AN786" s="4317"/>
      <c r="AO786" s="4317"/>
      <c r="AP786" s="4317"/>
      <c r="AQ786" s="4317"/>
      <c r="AR786" s="4317"/>
      <c r="AS786" s="4317"/>
      <c r="AT786" s="4317"/>
      <c r="AU786" s="4317"/>
      <c r="AV786" s="4317"/>
      <c r="AW786" s="4317"/>
      <c r="AX786" s="4317"/>
      <c r="AY786" s="4317"/>
      <c r="AZ786" s="4317"/>
      <c r="BA786" s="4317"/>
      <c r="BB786" s="4317"/>
      <c r="BC786" s="4317"/>
      <c r="BD786" s="4317"/>
      <c r="BE786" s="4317"/>
      <c r="BF786" s="4317"/>
      <c r="BG786" s="4317"/>
      <c r="BH786" s="4317"/>
      <c r="BI786" s="4317"/>
      <c r="BJ786" s="4317"/>
      <c r="BK786" s="4317"/>
      <c r="BL786" s="4317"/>
      <c r="BM786" s="4317"/>
      <c r="BN786" s="4317"/>
      <c r="BO786" s="4317"/>
      <c r="BP786" s="4317"/>
      <c r="BQ786" s="4317"/>
      <c r="BR786" s="4317"/>
      <c r="BS786" s="4317"/>
      <c r="BT786" s="4317"/>
      <c r="BU786" s="4317"/>
      <c r="BV786" s="4317"/>
      <c r="BW786" s="4317"/>
      <c r="BX786" s="4317"/>
      <c r="BY786" s="4317"/>
      <c r="BZ786" s="4317"/>
      <c r="CA786" s="4317"/>
      <c r="CB786" s="4317"/>
      <c r="CC786" s="4317"/>
      <c r="CD786" s="4317"/>
      <c r="CE786" s="4317"/>
      <c r="CF786" s="4317"/>
      <c r="CG786" s="4317"/>
      <c r="CH786" s="4317"/>
      <c r="CI786" s="4317"/>
      <c r="CJ786" s="4317"/>
      <c r="CK786" s="4317"/>
      <c r="CL786" s="4317"/>
      <c r="CM786" s="4317"/>
      <c r="CN786" s="4317"/>
      <c r="CO786" s="4317"/>
      <c r="CP786" s="4317"/>
      <c r="CQ786" s="4317"/>
      <c r="CR786" s="4317"/>
      <c r="CS786" s="4317"/>
      <c r="CT786" s="4317"/>
      <c r="CU786" s="4317"/>
      <c r="CV786" s="4317"/>
      <c r="CW786" s="4317"/>
      <c r="CX786" s="4317"/>
      <c r="CY786" s="4317"/>
      <c r="CZ786" s="4317"/>
      <c r="DA786" s="4317"/>
      <c r="DB786" s="4317"/>
      <c r="DC786" s="4317"/>
      <c r="DD786" s="4317"/>
      <c r="DE786" s="4317"/>
      <c r="DF786" s="4317"/>
      <c r="DG786" s="4317"/>
      <c r="DH786" s="4317"/>
      <c r="DI786" s="4317"/>
      <c r="DJ786" s="4317"/>
      <c r="DK786" s="4317"/>
      <c r="DL786" s="4317"/>
      <c r="DM786" s="4317"/>
      <c r="DN786" s="4317"/>
      <c r="DO786" s="4317"/>
      <c r="DP786" s="4317"/>
      <c r="DQ786" s="4317"/>
      <c r="DR786" s="4317"/>
      <c r="DS786" s="4317"/>
    </row>
    <row r="787" s="4134" customFormat="1" ht="17.25" customHeight="1" spans="1:123">
      <c r="A787" s="4696" t="s">
        <v>4592</v>
      </c>
      <c r="B787" s="4697"/>
      <c r="C787" s="4697"/>
      <c r="D787" s="4697"/>
      <c r="E787" s="4697"/>
      <c r="F787" s="4534"/>
      <c r="G787" s="4535"/>
      <c r="H787" s="4535"/>
      <c r="I787" s="4535"/>
      <c r="J787" s="4535"/>
      <c r="K787" s="4535"/>
      <c r="L787" s="4536"/>
      <c r="M787" s="4317"/>
      <c r="N787" s="4317"/>
      <c r="O787" s="4317"/>
      <c r="P787" s="4317"/>
      <c r="Q787" s="4317"/>
      <c r="R787" s="4317"/>
      <c r="S787" s="4317"/>
      <c r="T787" s="4319" t="s">
        <v>5501</v>
      </c>
      <c r="U787" s="4317"/>
      <c r="V787" s="4317"/>
      <c r="W787" s="4317"/>
      <c r="X787" s="4317"/>
      <c r="Y787" s="4653"/>
      <c r="Z787" s="4653"/>
      <c r="AA787" s="4653"/>
      <c r="AB787" s="4317"/>
      <c r="AC787" s="4295"/>
      <c r="AD787" s="4653"/>
      <c r="AE787" s="4653"/>
      <c r="AF787" s="4653"/>
      <c r="AG787" s="4319"/>
      <c r="AH787" s="4317"/>
      <c r="AI787" s="4317"/>
      <c r="AJ787" s="4317"/>
      <c r="AK787" s="4317"/>
      <c r="AL787" s="4317"/>
      <c r="AM787" s="4317"/>
      <c r="AN787" s="4317"/>
      <c r="AO787" s="4317"/>
      <c r="AP787" s="4317"/>
      <c r="AQ787" s="4317"/>
      <c r="AR787" s="4317"/>
      <c r="AS787" s="4317"/>
      <c r="AT787" s="4317"/>
      <c r="AU787" s="4317"/>
      <c r="AV787" s="4317"/>
      <c r="AW787" s="4317"/>
      <c r="AX787" s="4317"/>
      <c r="AY787" s="4317"/>
      <c r="AZ787" s="4317"/>
      <c r="BA787" s="4317"/>
      <c r="BB787" s="4317"/>
      <c r="BC787" s="4317"/>
      <c r="BD787" s="4317"/>
      <c r="BE787" s="4317"/>
      <c r="BF787" s="4317"/>
      <c r="BG787" s="4317"/>
      <c r="BH787" s="4317"/>
      <c r="BI787" s="4317"/>
      <c r="BJ787" s="4317"/>
      <c r="BK787" s="4317"/>
      <c r="BL787" s="4317"/>
      <c r="BM787" s="4317"/>
      <c r="BN787" s="4317"/>
      <c r="BO787" s="4317"/>
      <c r="BP787" s="4317"/>
      <c r="BQ787" s="4317"/>
      <c r="BR787" s="4317"/>
      <c r="BS787" s="4317"/>
      <c r="BT787" s="4317"/>
      <c r="BU787" s="4317"/>
      <c r="BV787" s="4317"/>
      <c r="BW787" s="4317"/>
      <c r="BX787" s="4317"/>
      <c r="BY787" s="4317"/>
      <c r="BZ787" s="4317"/>
      <c r="CA787" s="4317"/>
      <c r="CB787" s="4317"/>
      <c r="CC787" s="4317"/>
      <c r="CD787" s="4317"/>
      <c r="CE787" s="4317"/>
      <c r="CF787" s="4317"/>
      <c r="CG787" s="4317"/>
      <c r="CH787" s="4317"/>
      <c r="CI787" s="4317"/>
      <c r="CJ787" s="4317"/>
      <c r="CK787" s="4317"/>
      <c r="CL787" s="4317"/>
      <c r="CM787" s="4317"/>
      <c r="CN787" s="4317"/>
      <c r="CO787" s="4317"/>
      <c r="CP787" s="4317"/>
      <c r="CQ787" s="4317"/>
      <c r="CR787" s="4317"/>
      <c r="CS787" s="4317"/>
      <c r="CT787" s="4317"/>
      <c r="CU787" s="4317"/>
      <c r="CV787" s="4317"/>
      <c r="CW787" s="4317"/>
      <c r="CX787" s="4317"/>
      <c r="CY787" s="4317"/>
      <c r="CZ787" s="4317"/>
      <c r="DA787" s="4317"/>
      <c r="DB787" s="4317"/>
      <c r="DC787" s="4317"/>
      <c r="DD787" s="4317"/>
      <c r="DE787" s="4317"/>
      <c r="DF787" s="4317"/>
      <c r="DG787" s="4317"/>
      <c r="DH787" s="4317"/>
      <c r="DI787" s="4317"/>
      <c r="DJ787" s="4317"/>
      <c r="DK787" s="4317"/>
      <c r="DL787" s="4317"/>
      <c r="DM787" s="4317"/>
      <c r="DN787" s="4317"/>
      <c r="DO787" s="4317"/>
      <c r="DP787" s="4317"/>
      <c r="DQ787" s="4317"/>
      <c r="DR787" s="4317"/>
      <c r="DS787" s="4317"/>
    </row>
    <row r="788" s="4134" customFormat="1" ht="17.25" customHeight="1" spans="1:123">
      <c r="A788" s="4701" t="s">
        <v>763</v>
      </c>
      <c r="B788" s="4702"/>
      <c r="C788" s="4702"/>
      <c r="D788" s="4702"/>
      <c r="E788" s="4702"/>
      <c r="F788" s="4703">
        <f>SUM(F780:L787)</f>
        <v>0</v>
      </c>
      <c r="G788" s="4703"/>
      <c r="H788" s="4703"/>
      <c r="I788" s="4703"/>
      <c r="J788" s="4703"/>
      <c r="K788" s="4703"/>
      <c r="L788" s="4703"/>
      <c r="M788" s="4317"/>
      <c r="N788" s="4317"/>
      <c r="O788" s="4317"/>
      <c r="P788" s="4317"/>
      <c r="Q788" s="4317"/>
      <c r="R788" s="4317"/>
      <c r="S788" s="4317"/>
      <c r="T788" s="4323" t="s">
        <v>5502</v>
      </c>
      <c r="U788" s="4317"/>
      <c r="V788" s="4317"/>
      <c r="W788" s="4317"/>
      <c r="X788" s="4317"/>
      <c r="Y788" s="4653"/>
      <c r="Z788" s="4653"/>
      <c r="AA788" s="4653"/>
      <c r="AB788" s="4317"/>
      <c r="AC788" s="4295"/>
      <c r="AD788" s="4653"/>
      <c r="AE788" s="4653"/>
      <c r="AF788" s="4653"/>
      <c r="AG788" s="4319"/>
      <c r="AH788" s="4317"/>
      <c r="AI788" s="4317"/>
      <c r="AJ788" s="4317"/>
      <c r="AK788" s="4317"/>
      <c r="AL788" s="4317"/>
      <c r="AM788" s="4317"/>
      <c r="AN788" s="4317"/>
      <c r="AO788" s="4317"/>
      <c r="AP788" s="4317"/>
      <c r="AQ788" s="4317"/>
      <c r="AR788" s="4317"/>
      <c r="AS788" s="4317"/>
      <c r="AT788" s="4317"/>
      <c r="AU788" s="4317"/>
      <c r="AV788" s="4317"/>
      <c r="AW788" s="4317"/>
      <c r="AX788" s="4317"/>
      <c r="AY788" s="4317"/>
      <c r="AZ788" s="4317"/>
      <c r="BA788" s="4317"/>
      <c r="BB788" s="4317"/>
      <c r="BC788" s="4317"/>
      <c r="BD788" s="4317"/>
      <c r="BE788" s="4317"/>
      <c r="BF788" s="4317"/>
      <c r="BG788" s="4317"/>
      <c r="BH788" s="4317"/>
      <c r="BI788" s="4317"/>
      <c r="BJ788" s="4317"/>
      <c r="BK788" s="4317"/>
      <c r="BL788" s="4317"/>
      <c r="BM788" s="4317"/>
      <c r="BN788" s="4317"/>
      <c r="BO788" s="4317"/>
      <c r="BP788" s="4317"/>
      <c r="BQ788" s="4317"/>
      <c r="BR788" s="4317"/>
      <c r="BS788" s="4317"/>
      <c r="BT788" s="4317"/>
      <c r="BU788" s="4317"/>
      <c r="BV788" s="4317"/>
      <c r="BW788" s="4317"/>
      <c r="BX788" s="4317"/>
      <c r="BY788" s="4317"/>
      <c r="BZ788" s="4317"/>
      <c r="CA788" s="4317"/>
      <c r="CB788" s="4317"/>
      <c r="CC788" s="4317"/>
      <c r="CD788" s="4317"/>
      <c r="CE788" s="4317"/>
      <c r="CF788" s="4317"/>
      <c r="CG788" s="4317"/>
      <c r="CH788" s="4317"/>
      <c r="CI788" s="4317"/>
      <c r="CJ788" s="4317"/>
      <c r="CK788" s="4317"/>
      <c r="CL788" s="4317"/>
      <c r="CM788" s="4317"/>
      <c r="CN788" s="4317"/>
      <c r="CO788" s="4317"/>
      <c r="CP788" s="4317"/>
      <c r="CQ788" s="4317"/>
      <c r="CR788" s="4317"/>
      <c r="CS788" s="4317"/>
      <c r="CT788" s="4317"/>
      <c r="CU788" s="4317"/>
      <c r="CV788" s="4317"/>
      <c r="CW788" s="4317"/>
      <c r="CX788" s="4317"/>
      <c r="CY788" s="4317"/>
      <c r="CZ788" s="4317"/>
      <c r="DA788" s="4317"/>
      <c r="DB788" s="4317"/>
      <c r="DC788" s="4317"/>
      <c r="DD788" s="4317"/>
      <c r="DE788" s="4317"/>
      <c r="DF788" s="4317"/>
      <c r="DG788" s="4317"/>
      <c r="DH788" s="4317"/>
      <c r="DI788" s="4317"/>
      <c r="DJ788" s="4317"/>
      <c r="DK788" s="4317"/>
      <c r="DL788" s="4317"/>
      <c r="DM788" s="4317"/>
      <c r="DN788" s="4317"/>
      <c r="DO788" s="4317"/>
      <c r="DP788" s="4317"/>
      <c r="DQ788" s="4317"/>
      <c r="DR788" s="4317"/>
      <c r="DS788" s="4317"/>
    </row>
    <row r="789" s="4134" customFormat="1" ht="17.25" customHeight="1" spans="1:123">
      <c r="A789" s="4696" t="s">
        <v>4594</v>
      </c>
      <c r="B789" s="4697"/>
      <c r="C789" s="4697"/>
      <c r="D789" s="4697"/>
      <c r="E789" s="4697"/>
      <c r="F789" s="4534"/>
      <c r="G789" s="4535"/>
      <c r="H789" s="4535"/>
      <c r="I789" s="4535"/>
      <c r="J789" s="4535"/>
      <c r="K789" s="4535"/>
      <c r="L789" s="4536"/>
      <c r="M789" s="4317"/>
      <c r="N789" s="4317"/>
      <c r="O789" s="4317"/>
      <c r="P789" s="4317"/>
      <c r="Q789" s="4317"/>
      <c r="R789" s="4317"/>
      <c r="S789" s="4317"/>
      <c r="T789" s="4319" t="s">
        <v>5503</v>
      </c>
      <c r="U789" s="4317"/>
      <c r="V789" s="4317"/>
      <c r="W789" s="4317"/>
      <c r="X789" s="4317"/>
      <c r="Y789" s="4653"/>
      <c r="Z789" s="4653"/>
      <c r="AA789" s="4653"/>
      <c r="AB789" s="4317"/>
      <c r="AC789" s="4295"/>
      <c r="AD789" s="4653"/>
      <c r="AE789" s="4653"/>
      <c r="AF789" s="4653"/>
      <c r="AG789" s="4319"/>
      <c r="AH789" s="4317"/>
      <c r="AI789" s="4317"/>
      <c r="AJ789" s="4317"/>
      <c r="AK789" s="4317"/>
      <c r="AL789" s="4317"/>
      <c r="AM789" s="4317"/>
      <c r="AN789" s="4317"/>
      <c r="AO789" s="4317"/>
      <c r="AP789" s="4317"/>
      <c r="AQ789" s="4317"/>
      <c r="AR789" s="4317"/>
      <c r="AS789" s="4317"/>
      <c r="AT789" s="4317"/>
      <c r="AU789" s="4317"/>
      <c r="AV789" s="4317"/>
      <c r="AW789" s="4317"/>
      <c r="AX789" s="4317"/>
      <c r="AY789" s="4317"/>
      <c r="AZ789" s="4317"/>
      <c r="BA789" s="4317"/>
      <c r="BB789" s="4317"/>
      <c r="BC789" s="4317"/>
      <c r="BD789" s="4317"/>
      <c r="BE789" s="4317"/>
      <c r="BF789" s="4317"/>
      <c r="BG789" s="4317"/>
      <c r="BH789" s="4317"/>
      <c r="BI789" s="4317"/>
      <c r="BJ789" s="4317"/>
      <c r="BK789" s="4317"/>
      <c r="BL789" s="4317"/>
      <c r="BM789" s="4317"/>
      <c r="BN789" s="4317"/>
      <c r="BO789" s="4317"/>
      <c r="BP789" s="4317"/>
      <c r="BQ789" s="4317"/>
      <c r="BR789" s="4317"/>
      <c r="BS789" s="4317"/>
      <c r="BT789" s="4317"/>
      <c r="BU789" s="4317"/>
      <c r="BV789" s="4317"/>
      <c r="BW789" s="4317"/>
      <c r="BX789" s="4317"/>
      <c r="BY789" s="4317"/>
      <c r="BZ789" s="4317"/>
      <c r="CA789" s="4317"/>
      <c r="CB789" s="4317"/>
      <c r="CC789" s="4317"/>
      <c r="CD789" s="4317"/>
      <c r="CE789" s="4317"/>
      <c r="CF789" s="4317"/>
      <c r="CG789" s="4317"/>
      <c r="CH789" s="4317"/>
      <c r="CI789" s="4317"/>
      <c r="CJ789" s="4317"/>
      <c r="CK789" s="4317"/>
      <c r="CL789" s="4317"/>
      <c r="CM789" s="4317"/>
      <c r="CN789" s="4317"/>
      <c r="CO789" s="4317"/>
      <c r="CP789" s="4317"/>
      <c r="CQ789" s="4317"/>
      <c r="CR789" s="4317"/>
      <c r="CS789" s="4317"/>
      <c r="CT789" s="4317"/>
      <c r="CU789" s="4317"/>
      <c r="CV789" s="4317"/>
      <c r="CW789" s="4317"/>
      <c r="CX789" s="4317"/>
      <c r="CY789" s="4317"/>
      <c r="CZ789" s="4317"/>
      <c r="DA789" s="4317"/>
      <c r="DB789" s="4317"/>
      <c r="DC789" s="4317"/>
      <c r="DD789" s="4317"/>
      <c r="DE789" s="4317"/>
      <c r="DF789" s="4317"/>
      <c r="DG789" s="4317"/>
      <c r="DH789" s="4317"/>
      <c r="DI789" s="4317"/>
      <c r="DJ789" s="4317"/>
      <c r="DK789" s="4317"/>
      <c r="DL789" s="4317"/>
      <c r="DM789" s="4317"/>
      <c r="DN789" s="4317"/>
      <c r="DO789" s="4317"/>
      <c r="DP789" s="4317"/>
      <c r="DQ789" s="4317"/>
      <c r="DR789" s="4317"/>
      <c r="DS789" s="4317"/>
    </row>
    <row r="790" s="4134" customFormat="1" ht="17.25" customHeight="1" spans="1:123">
      <c r="A790" s="4696" t="s">
        <v>4595</v>
      </c>
      <c r="B790" s="4697"/>
      <c r="C790" s="4697"/>
      <c r="D790" s="4697"/>
      <c r="E790" s="4697"/>
      <c r="F790" s="4534"/>
      <c r="G790" s="4535"/>
      <c r="H790" s="4535"/>
      <c r="I790" s="4535"/>
      <c r="J790" s="4535"/>
      <c r="K790" s="4535"/>
      <c r="L790" s="4536"/>
      <c r="M790" s="4317"/>
      <c r="N790" s="4317"/>
      <c r="O790" s="4317"/>
      <c r="P790" s="4317"/>
      <c r="Q790" s="4317"/>
      <c r="R790" s="4317"/>
      <c r="S790" s="4317"/>
      <c r="T790" s="4319" t="s">
        <v>5504</v>
      </c>
      <c r="U790" s="4317"/>
      <c r="V790" s="4317"/>
      <c r="W790" s="4317"/>
      <c r="X790" s="4317"/>
      <c r="Y790" s="4653"/>
      <c r="Z790" s="4653"/>
      <c r="AA790" s="4653"/>
      <c r="AB790" s="4317"/>
      <c r="AC790" s="4295"/>
      <c r="AD790" s="4653"/>
      <c r="AE790" s="4653"/>
      <c r="AF790" s="4653"/>
      <c r="AG790" s="4319"/>
      <c r="AH790" s="4317"/>
      <c r="AI790" s="4317"/>
      <c r="AJ790" s="4317"/>
      <c r="AK790" s="4317"/>
      <c r="AL790" s="4317"/>
      <c r="AM790" s="4317"/>
      <c r="AN790" s="4317"/>
      <c r="AO790" s="4317"/>
      <c r="AP790" s="4317"/>
      <c r="AQ790" s="4317"/>
      <c r="AR790" s="4317"/>
      <c r="AS790" s="4317"/>
      <c r="AT790" s="4317"/>
      <c r="AU790" s="4317"/>
      <c r="AV790" s="4317"/>
      <c r="AW790" s="4317"/>
      <c r="AX790" s="4317"/>
      <c r="AY790" s="4317"/>
      <c r="AZ790" s="4317"/>
      <c r="BA790" s="4317"/>
      <c r="BB790" s="4317"/>
      <c r="BC790" s="4317"/>
      <c r="BD790" s="4317"/>
      <c r="BE790" s="4317"/>
      <c r="BF790" s="4317"/>
      <c r="BG790" s="4317"/>
      <c r="BH790" s="4317"/>
      <c r="BI790" s="4317"/>
      <c r="BJ790" s="4317"/>
      <c r="BK790" s="4317"/>
      <c r="BL790" s="4317"/>
      <c r="BM790" s="4317"/>
      <c r="BN790" s="4317"/>
      <c r="BO790" s="4317"/>
      <c r="BP790" s="4317"/>
      <c r="BQ790" s="4317"/>
      <c r="BR790" s="4317"/>
      <c r="BS790" s="4317"/>
      <c r="BT790" s="4317"/>
      <c r="BU790" s="4317"/>
      <c r="BV790" s="4317"/>
      <c r="BW790" s="4317"/>
      <c r="BX790" s="4317"/>
      <c r="BY790" s="4317"/>
      <c r="BZ790" s="4317"/>
      <c r="CA790" s="4317"/>
      <c r="CB790" s="4317"/>
      <c r="CC790" s="4317"/>
      <c r="CD790" s="4317"/>
      <c r="CE790" s="4317"/>
      <c r="CF790" s="4317"/>
      <c r="CG790" s="4317"/>
      <c r="CH790" s="4317"/>
      <c r="CI790" s="4317"/>
      <c r="CJ790" s="4317"/>
      <c r="CK790" s="4317"/>
      <c r="CL790" s="4317"/>
      <c r="CM790" s="4317"/>
      <c r="CN790" s="4317"/>
      <c r="CO790" s="4317"/>
      <c r="CP790" s="4317"/>
      <c r="CQ790" s="4317"/>
      <c r="CR790" s="4317"/>
      <c r="CS790" s="4317"/>
      <c r="CT790" s="4317"/>
      <c r="CU790" s="4317"/>
      <c r="CV790" s="4317"/>
      <c r="CW790" s="4317"/>
      <c r="CX790" s="4317"/>
      <c r="CY790" s="4317"/>
      <c r="CZ790" s="4317"/>
      <c r="DA790" s="4317"/>
      <c r="DB790" s="4317"/>
      <c r="DC790" s="4317"/>
      <c r="DD790" s="4317"/>
      <c r="DE790" s="4317"/>
      <c r="DF790" s="4317"/>
      <c r="DG790" s="4317"/>
      <c r="DH790" s="4317"/>
      <c r="DI790" s="4317"/>
      <c r="DJ790" s="4317"/>
      <c r="DK790" s="4317"/>
      <c r="DL790" s="4317"/>
      <c r="DM790" s="4317"/>
      <c r="DN790" s="4317"/>
      <c r="DO790" s="4317"/>
      <c r="DP790" s="4317"/>
      <c r="DQ790" s="4317"/>
      <c r="DR790" s="4317"/>
      <c r="DS790" s="4317"/>
    </row>
    <row r="791" s="4134" customFormat="1" ht="17.25" customHeight="1" spans="1:123">
      <c r="A791" s="4696" t="s">
        <v>4596</v>
      </c>
      <c r="B791" s="4697"/>
      <c r="C791" s="4697"/>
      <c r="D791" s="4697"/>
      <c r="E791" s="4697"/>
      <c r="F791" s="4534">
        <v>22856</v>
      </c>
      <c r="G791" s="4535"/>
      <c r="H791" s="4535"/>
      <c r="I791" s="4535"/>
      <c r="J791" s="4535"/>
      <c r="K791" s="4535"/>
      <c r="L791" s="4536"/>
      <c r="M791" s="4317"/>
      <c r="N791" s="4317"/>
      <c r="O791" s="4317"/>
      <c r="P791" s="4317"/>
      <c r="Q791" s="4317"/>
      <c r="R791" s="4317"/>
      <c r="S791" s="4317"/>
      <c r="T791" s="4319" t="s">
        <v>5505</v>
      </c>
      <c r="U791" s="4317"/>
      <c r="V791" s="4317"/>
      <c r="W791" s="4317"/>
      <c r="X791" s="4317"/>
      <c r="Y791" s="4653"/>
      <c r="Z791" s="4653"/>
      <c r="AA791" s="4653"/>
      <c r="AB791" s="4317"/>
      <c r="AC791" s="4295"/>
      <c r="AD791" s="4653"/>
      <c r="AE791" s="4653"/>
      <c r="AF791" s="4653"/>
      <c r="AG791" s="4319"/>
      <c r="AH791" s="4317"/>
      <c r="AI791" s="4317"/>
      <c r="AJ791" s="4317"/>
      <c r="AK791" s="4317"/>
      <c r="AL791" s="4317"/>
      <c r="AM791" s="4317"/>
      <c r="AN791" s="4317"/>
      <c r="AO791" s="4317"/>
      <c r="AP791" s="4317"/>
      <c r="AQ791" s="4317"/>
      <c r="AR791" s="4317"/>
      <c r="AS791" s="4317"/>
      <c r="AT791" s="4317"/>
      <c r="AU791" s="4317"/>
      <c r="AV791" s="4317"/>
      <c r="AW791" s="4317"/>
      <c r="AX791" s="4317"/>
      <c r="AY791" s="4317"/>
      <c r="AZ791" s="4317"/>
      <c r="BA791" s="4317"/>
      <c r="BB791" s="4317"/>
      <c r="BC791" s="4317"/>
      <c r="BD791" s="4317"/>
      <c r="BE791" s="4317"/>
      <c r="BF791" s="4317"/>
      <c r="BG791" s="4317"/>
      <c r="BH791" s="4317"/>
      <c r="BI791" s="4317"/>
      <c r="BJ791" s="4317"/>
      <c r="BK791" s="4317"/>
      <c r="BL791" s="4317"/>
      <c r="BM791" s="4317"/>
      <c r="BN791" s="4317"/>
      <c r="BO791" s="4317"/>
      <c r="BP791" s="4317"/>
      <c r="BQ791" s="4317"/>
      <c r="BR791" s="4317"/>
      <c r="BS791" s="4317"/>
      <c r="BT791" s="4317"/>
      <c r="BU791" s="4317"/>
      <c r="BV791" s="4317"/>
      <c r="BW791" s="4317"/>
      <c r="BX791" s="4317"/>
      <c r="BY791" s="4317"/>
      <c r="BZ791" s="4317"/>
      <c r="CA791" s="4317"/>
      <c r="CB791" s="4317"/>
      <c r="CC791" s="4317"/>
      <c r="CD791" s="4317"/>
      <c r="CE791" s="4317"/>
      <c r="CF791" s="4317"/>
      <c r="CG791" s="4317"/>
      <c r="CH791" s="4317"/>
      <c r="CI791" s="4317"/>
      <c r="CJ791" s="4317"/>
      <c r="CK791" s="4317"/>
      <c r="CL791" s="4317"/>
      <c r="CM791" s="4317"/>
      <c r="CN791" s="4317"/>
      <c r="CO791" s="4317"/>
      <c r="CP791" s="4317"/>
      <c r="CQ791" s="4317"/>
      <c r="CR791" s="4317"/>
      <c r="CS791" s="4317"/>
      <c r="CT791" s="4317"/>
      <c r="CU791" s="4317"/>
      <c r="CV791" s="4317"/>
      <c r="CW791" s="4317"/>
      <c r="CX791" s="4317"/>
      <c r="CY791" s="4317"/>
      <c r="CZ791" s="4317"/>
      <c r="DA791" s="4317"/>
      <c r="DB791" s="4317"/>
      <c r="DC791" s="4317"/>
      <c r="DD791" s="4317"/>
      <c r="DE791" s="4317"/>
      <c r="DF791" s="4317"/>
      <c r="DG791" s="4317"/>
      <c r="DH791" s="4317"/>
      <c r="DI791" s="4317"/>
      <c r="DJ791" s="4317"/>
      <c r="DK791" s="4317"/>
      <c r="DL791" s="4317"/>
      <c r="DM791" s="4317"/>
      <c r="DN791" s="4317"/>
      <c r="DO791" s="4317"/>
      <c r="DP791" s="4317"/>
      <c r="DQ791" s="4317"/>
      <c r="DR791" s="4317"/>
      <c r="DS791" s="4317"/>
    </row>
    <row r="792" s="4134" customFormat="1" ht="17.25" customHeight="1" spans="1:123">
      <c r="A792" s="4696" t="s">
        <v>4597</v>
      </c>
      <c r="B792" s="4697"/>
      <c r="C792" s="4697"/>
      <c r="D792" s="4697"/>
      <c r="E792" s="4697"/>
      <c r="F792" s="4534"/>
      <c r="G792" s="4535"/>
      <c r="H792" s="4535"/>
      <c r="I792" s="4535"/>
      <c r="J792" s="4535"/>
      <c r="K792" s="4535"/>
      <c r="L792" s="4536"/>
      <c r="M792" s="4317"/>
      <c r="N792" s="4317"/>
      <c r="O792" s="4317"/>
      <c r="P792" s="4317"/>
      <c r="Q792" s="4317"/>
      <c r="R792" s="4317"/>
      <c r="S792" s="4317"/>
      <c r="T792" s="4319" t="s">
        <v>5506</v>
      </c>
      <c r="U792" s="4317"/>
      <c r="V792" s="4317"/>
      <c r="W792" s="4317"/>
      <c r="X792" s="4317"/>
      <c r="Y792" s="4653"/>
      <c r="Z792" s="4653"/>
      <c r="AA792" s="4653"/>
      <c r="AB792" s="4317"/>
      <c r="AC792" s="4295"/>
      <c r="AD792" s="4653"/>
      <c r="AE792" s="4653"/>
      <c r="AF792" s="4653"/>
      <c r="AG792" s="4319"/>
      <c r="AH792" s="4317"/>
      <c r="AI792" s="4317"/>
      <c r="AJ792" s="4317"/>
      <c r="AK792" s="4317"/>
      <c r="AL792" s="4317"/>
      <c r="AM792" s="4317"/>
      <c r="AN792" s="4317"/>
      <c r="AO792" s="4317"/>
      <c r="AP792" s="4317"/>
      <c r="AQ792" s="4317"/>
      <c r="AR792" s="4317"/>
      <c r="AS792" s="4317"/>
      <c r="AT792" s="4317"/>
      <c r="AU792" s="4317"/>
      <c r="AV792" s="4317"/>
      <c r="AW792" s="4317"/>
      <c r="AX792" s="4317"/>
      <c r="AY792" s="4317"/>
      <c r="AZ792" s="4317"/>
      <c r="BA792" s="4317"/>
      <c r="BB792" s="4317"/>
      <c r="BC792" s="4317"/>
      <c r="BD792" s="4317"/>
      <c r="BE792" s="4317"/>
      <c r="BF792" s="4317"/>
      <c r="BG792" s="4317"/>
      <c r="BH792" s="4317"/>
      <c r="BI792" s="4317"/>
      <c r="BJ792" s="4317"/>
      <c r="BK792" s="4317"/>
      <c r="BL792" s="4317"/>
      <c r="BM792" s="4317"/>
      <c r="BN792" s="4317"/>
      <c r="BO792" s="4317"/>
      <c r="BP792" s="4317"/>
      <c r="BQ792" s="4317"/>
      <c r="BR792" s="4317"/>
      <c r="BS792" s="4317"/>
      <c r="BT792" s="4317"/>
      <c r="BU792" s="4317"/>
      <c r="BV792" s="4317"/>
      <c r="BW792" s="4317"/>
      <c r="BX792" s="4317"/>
      <c r="BY792" s="4317"/>
      <c r="BZ792" s="4317"/>
      <c r="CA792" s="4317"/>
      <c r="CB792" s="4317"/>
      <c r="CC792" s="4317"/>
      <c r="CD792" s="4317"/>
      <c r="CE792" s="4317"/>
      <c r="CF792" s="4317"/>
      <c r="CG792" s="4317"/>
      <c r="CH792" s="4317"/>
      <c r="CI792" s="4317"/>
      <c r="CJ792" s="4317"/>
      <c r="CK792" s="4317"/>
      <c r="CL792" s="4317"/>
      <c r="CM792" s="4317"/>
      <c r="CN792" s="4317"/>
      <c r="CO792" s="4317"/>
      <c r="CP792" s="4317"/>
      <c r="CQ792" s="4317"/>
      <c r="CR792" s="4317"/>
      <c r="CS792" s="4317"/>
      <c r="CT792" s="4317"/>
      <c r="CU792" s="4317"/>
      <c r="CV792" s="4317"/>
      <c r="CW792" s="4317"/>
      <c r="CX792" s="4317"/>
      <c r="CY792" s="4317"/>
      <c r="CZ792" s="4317"/>
      <c r="DA792" s="4317"/>
      <c r="DB792" s="4317"/>
      <c r="DC792" s="4317"/>
      <c r="DD792" s="4317"/>
      <c r="DE792" s="4317"/>
      <c r="DF792" s="4317"/>
      <c r="DG792" s="4317"/>
      <c r="DH792" s="4317"/>
      <c r="DI792" s="4317"/>
      <c r="DJ792" s="4317"/>
      <c r="DK792" s="4317"/>
      <c r="DL792" s="4317"/>
      <c r="DM792" s="4317"/>
      <c r="DN792" s="4317"/>
      <c r="DO792" s="4317"/>
      <c r="DP792" s="4317"/>
      <c r="DQ792" s="4317"/>
      <c r="DR792" s="4317"/>
      <c r="DS792" s="4317"/>
    </row>
    <row r="793" s="4134" customFormat="1" ht="17.25" customHeight="1" spans="1:123">
      <c r="A793" s="4696" t="s">
        <v>4598</v>
      </c>
      <c r="B793" s="4697"/>
      <c r="C793" s="4697"/>
      <c r="D793" s="4697"/>
      <c r="E793" s="4697"/>
      <c r="F793" s="4534"/>
      <c r="G793" s="4535"/>
      <c r="H793" s="4535"/>
      <c r="I793" s="4535"/>
      <c r="J793" s="4535"/>
      <c r="K793" s="4535"/>
      <c r="L793" s="4536"/>
      <c r="M793" s="4317"/>
      <c r="N793" s="4317"/>
      <c r="O793" s="4317"/>
      <c r="P793" s="4317"/>
      <c r="Q793" s="4317"/>
      <c r="R793" s="4317"/>
      <c r="S793" s="4317"/>
      <c r="T793" s="4319" t="s">
        <v>5507</v>
      </c>
      <c r="U793" s="4317"/>
      <c r="V793" s="4317"/>
      <c r="W793" s="4317"/>
      <c r="X793" s="4317"/>
      <c r="Y793" s="4653"/>
      <c r="Z793" s="4653"/>
      <c r="AA793" s="4653"/>
      <c r="AB793" s="4317"/>
      <c r="AC793" s="4295"/>
      <c r="AD793" s="4653"/>
      <c r="AE793" s="4653"/>
      <c r="AF793" s="4653"/>
      <c r="AG793" s="4319"/>
      <c r="AH793" s="4317"/>
      <c r="AI793" s="4317"/>
      <c r="AJ793" s="4317"/>
      <c r="AK793" s="4317"/>
      <c r="AL793" s="4317"/>
      <c r="AM793" s="4317"/>
      <c r="AN793" s="4317"/>
      <c r="AO793" s="4317"/>
      <c r="AP793" s="4317"/>
      <c r="AQ793" s="4317"/>
      <c r="AR793" s="4317"/>
      <c r="AS793" s="4317"/>
      <c r="AT793" s="4317"/>
      <c r="AU793" s="4317"/>
      <c r="AV793" s="4317"/>
      <c r="AW793" s="4317"/>
      <c r="AX793" s="4317"/>
      <c r="AY793" s="4317"/>
      <c r="AZ793" s="4317"/>
      <c r="BA793" s="4317"/>
      <c r="BB793" s="4317"/>
      <c r="BC793" s="4317"/>
      <c r="BD793" s="4317"/>
      <c r="BE793" s="4317"/>
      <c r="BF793" s="4317"/>
      <c r="BG793" s="4317"/>
      <c r="BH793" s="4317"/>
      <c r="BI793" s="4317"/>
      <c r="BJ793" s="4317"/>
      <c r="BK793" s="4317"/>
      <c r="BL793" s="4317"/>
      <c r="BM793" s="4317"/>
      <c r="BN793" s="4317"/>
      <c r="BO793" s="4317"/>
      <c r="BP793" s="4317"/>
      <c r="BQ793" s="4317"/>
      <c r="BR793" s="4317"/>
      <c r="BS793" s="4317"/>
      <c r="BT793" s="4317"/>
      <c r="BU793" s="4317"/>
      <c r="BV793" s="4317"/>
      <c r="BW793" s="4317"/>
      <c r="BX793" s="4317"/>
      <c r="BY793" s="4317"/>
      <c r="BZ793" s="4317"/>
      <c r="CA793" s="4317"/>
      <c r="CB793" s="4317"/>
      <c r="CC793" s="4317"/>
      <c r="CD793" s="4317"/>
      <c r="CE793" s="4317"/>
      <c r="CF793" s="4317"/>
      <c r="CG793" s="4317"/>
      <c r="CH793" s="4317"/>
      <c r="CI793" s="4317"/>
      <c r="CJ793" s="4317"/>
      <c r="CK793" s="4317"/>
      <c r="CL793" s="4317"/>
      <c r="CM793" s="4317"/>
      <c r="CN793" s="4317"/>
      <c r="CO793" s="4317"/>
      <c r="CP793" s="4317"/>
      <c r="CQ793" s="4317"/>
      <c r="CR793" s="4317"/>
      <c r="CS793" s="4317"/>
      <c r="CT793" s="4317"/>
      <c r="CU793" s="4317"/>
      <c r="CV793" s="4317"/>
      <c r="CW793" s="4317"/>
      <c r="CX793" s="4317"/>
      <c r="CY793" s="4317"/>
      <c r="CZ793" s="4317"/>
      <c r="DA793" s="4317"/>
      <c r="DB793" s="4317"/>
      <c r="DC793" s="4317"/>
      <c r="DD793" s="4317"/>
      <c r="DE793" s="4317"/>
      <c r="DF793" s="4317"/>
      <c r="DG793" s="4317"/>
      <c r="DH793" s="4317"/>
      <c r="DI793" s="4317"/>
      <c r="DJ793" s="4317"/>
      <c r="DK793" s="4317"/>
      <c r="DL793" s="4317"/>
      <c r="DM793" s="4317"/>
      <c r="DN793" s="4317"/>
      <c r="DO793" s="4317"/>
      <c r="DP793" s="4317"/>
      <c r="DQ793" s="4317"/>
      <c r="DR793" s="4317"/>
      <c r="DS793" s="4317"/>
    </row>
    <row r="794" s="4134" customFormat="1" ht="17.25" customHeight="1" spans="1:123">
      <c r="A794" s="4696" t="s">
        <v>4599</v>
      </c>
      <c r="B794" s="4697"/>
      <c r="C794" s="4697"/>
      <c r="D794" s="4697"/>
      <c r="E794" s="4697"/>
      <c r="F794" s="4534"/>
      <c r="G794" s="4535"/>
      <c r="H794" s="4535"/>
      <c r="I794" s="4535"/>
      <c r="J794" s="4535"/>
      <c r="K794" s="4535"/>
      <c r="L794" s="4536"/>
      <c r="M794" s="4317"/>
      <c r="N794" s="4317"/>
      <c r="O794" s="4317"/>
      <c r="P794" s="4317"/>
      <c r="Q794" s="4317"/>
      <c r="R794" s="4317"/>
      <c r="S794" s="4317"/>
      <c r="T794" s="4319" t="s">
        <v>5508</v>
      </c>
      <c r="U794" s="4317"/>
      <c r="V794" s="4317"/>
      <c r="W794" s="4317"/>
      <c r="X794" s="4317"/>
      <c r="Y794" s="4653"/>
      <c r="Z794" s="4653"/>
      <c r="AA794" s="4653"/>
      <c r="AB794" s="4317"/>
      <c r="AC794" s="4295"/>
      <c r="AD794" s="4653"/>
      <c r="AE794" s="4653"/>
      <c r="AF794" s="4653"/>
      <c r="AG794" s="4319"/>
      <c r="AH794" s="4317"/>
      <c r="AI794" s="4317"/>
      <c r="AJ794" s="4317"/>
      <c r="AK794" s="4317"/>
      <c r="AL794" s="4317"/>
      <c r="AM794" s="4317"/>
      <c r="AN794" s="4317"/>
      <c r="AO794" s="4317"/>
      <c r="AP794" s="4317"/>
      <c r="AQ794" s="4317"/>
      <c r="AR794" s="4317"/>
      <c r="AS794" s="4317"/>
      <c r="AT794" s="4317"/>
      <c r="AU794" s="4317"/>
      <c r="AV794" s="4317"/>
      <c r="AW794" s="4317"/>
      <c r="AX794" s="4317"/>
      <c r="AY794" s="4317"/>
      <c r="AZ794" s="4317"/>
      <c r="BA794" s="4317"/>
      <c r="BB794" s="4317"/>
      <c r="BC794" s="4317"/>
      <c r="BD794" s="4317"/>
      <c r="BE794" s="4317"/>
      <c r="BF794" s="4317"/>
      <c r="BG794" s="4317"/>
      <c r="BH794" s="4317"/>
      <c r="BI794" s="4317"/>
      <c r="BJ794" s="4317"/>
      <c r="BK794" s="4317"/>
      <c r="BL794" s="4317"/>
      <c r="BM794" s="4317"/>
      <c r="BN794" s="4317"/>
      <c r="BO794" s="4317"/>
      <c r="BP794" s="4317"/>
      <c r="BQ794" s="4317"/>
      <c r="BR794" s="4317"/>
      <c r="BS794" s="4317"/>
      <c r="BT794" s="4317"/>
      <c r="BU794" s="4317"/>
      <c r="BV794" s="4317"/>
      <c r="BW794" s="4317"/>
      <c r="BX794" s="4317"/>
      <c r="BY794" s="4317"/>
      <c r="BZ794" s="4317"/>
      <c r="CA794" s="4317"/>
      <c r="CB794" s="4317"/>
      <c r="CC794" s="4317"/>
      <c r="CD794" s="4317"/>
      <c r="CE794" s="4317"/>
      <c r="CF794" s="4317"/>
      <c r="CG794" s="4317"/>
      <c r="CH794" s="4317"/>
      <c r="CI794" s="4317"/>
      <c r="CJ794" s="4317"/>
      <c r="CK794" s="4317"/>
      <c r="CL794" s="4317"/>
      <c r="CM794" s="4317"/>
      <c r="CN794" s="4317"/>
      <c r="CO794" s="4317"/>
      <c r="CP794" s="4317"/>
      <c r="CQ794" s="4317"/>
      <c r="CR794" s="4317"/>
      <c r="CS794" s="4317"/>
      <c r="CT794" s="4317"/>
      <c r="CU794" s="4317"/>
      <c r="CV794" s="4317"/>
      <c r="CW794" s="4317"/>
      <c r="CX794" s="4317"/>
      <c r="CY794" s="4317"/>
      <c r="CZ794" s="4317"/>
      <c r="DA794" s="4317"/>
      <c r="DB794" s="4317"/>
      <c r="DC794" s="4317"/>
      <c r="DD794" s="4317"/>
      <c r="DE794" s="4317"/>
      <c r="DF794" s="4317"/>
      <c r="DG794" s="4317"/>
      <c r="DH794" s="4317"/>
      <c r="DI794" s="4317"/>
      <c r="DJ794" s="4317"/>
      <c r="DK794" s="4317"/>
      <c r="DL794" s="4317"/>
      <c r="DM794" s="4317"/>
      <c r="DN794" s="4317"/>
      <c r="DO794" s="4317"/>
      <c r="DP794" s="4317"/>
      <c r="DQ794" s="4317"/>
      <c r="DR794" s="4317"/>
      <c r="DS794" s="4317"/>
    </row>
    <row r="795" s="4134" customFormat="1" ht="17.25" customHeight="1" spans="1:123">
      <c r="A795" s="4696" t="s">
        <v>4601</v>
      </c>
      <c r="B795" s="4697"/>
      <c r="C795" s="4697"/>
      <c r="D795" s="4697"/>
      <c r="E795" s="4697"/>
      <c r="F795" s="4534"/>
      <c r="G795" s="4535"/>
      <c r="H795" s="4535"/>
      <c r="I795" s="4535"/>
      <c r="J795" s="4535"/>
      <c r="K795" s="4535"/>
      <c r="L795" s="4536"/>
      <c r="M795" s="4317"/>
      <c r="N795" s="4317"/>
      <c r="O795" s="4317"/>
      <c r="P795" s="4317"/>
      <c r="Q795" s="4317"/>
      <c r="R795" s="4317"/>
      <c r="S795" s="4317"/>
      <c r="T795" s="4319" t="s">
        <v>5509</v>
      </c>
      <c r="U795" s="4317"/>
      <c r="V795" s="4317"/>
      <c r="W795" s="4317"/>
      <c r="X795" s="4317"/>
      <c r="Y795" s="4653"/>
      <c r="Z795" s="4653"/>
      <c r="AA795" s="4653"/>
      <c r="AB795" s="4317"/>
      <c r="AC795" s="4295"/>
      <c r="AD795" s="4653"/>
      <c r="AE795" s="4653"/>
      <c r="AF795" s="4653"/>
      <c r="AG795" s="4319"/>
      <c r="AH795" s="4317"/>
      <c r="AI795" s="4317"/>
      <c r="AJ795" s="4317"/>
      <c r="AK795" s="4317"/>
      <c r="AL795" s="4317"/>
      <c r="AM795" s="4317"/>
      <c r="AN795" s="4317"/>
      <c r="AO795" s="4317"/>
      <c r="AP795" s="4317"/>
      <c r="AQ795" s="4317"/>
      <c r="AR795" s="4317"/>
      <c r="AS795" s="4317"/>
      <c r="AT795" s="4317"/>
      <c r="AU795" s="4317"/>
      <c r="AV795" s="4317"/>
      <c r="AW795" s="4317"/>
      <c r="AX795" s="4317"/>
      <c r="AY795" s="4317"/>
      <c r="AZ795" s="4317"/>
      <c r="BA795" s="4317"/>
      <c r="BB795" s="4317"/>
      <c r="BC795" s="4317"/>
      <c r="BD795" s="4317"/>
      <c r="BE795" s="4317"/>
      <c r="BF795" s="4317"/>
      <c r="BG795" s="4317"/>
      <c r="BH795" s="4317"/>
      <c r="BI795" s="4317"/>
      <c r="BJ795" s="4317"/>
      <c r="BK795" s="4317"/>
      <c r="BL795" s="4317"/>
      <c r="BM795" s="4317"/>
      <c r="BN795" s="4317"/>
      <c r="BO795" s="4317"/>
      <c r="BP795" s="4317"/>
      <c r="BQ795" s="4317"/>
      <c r="BR795" s="4317"/>
      <c r="BS795" s="4317"/>
      <c r="BT795" s="4317"/>
      <c r="BU795" s="4317"/>
      <c r="BV795" s="4317"/>
      <c r="BW795" s="4317"/>
      <c r="BX795" s="4317"/>
      <c r="BY795" s="4317"/>
      <c r="BZ795" s="4317"/>
      <c r="CA795" s="4317"/>
      <c r="CB795" s="4317"/>
      <c r="CC795" s="4317"/>
      <c r="CD795" s="4317"/>
      <c r="CE795" s="4317"/>
      <c r="CF795" s="4317"/>
      <c r="CG795" s="4317"/>
      <c r="CH795" s="4317"/>
      <c r="CI795" s="4317"/>
      <c r="CJ795" s="4317"/>
      <c r="CK795" s="4317"/>
      <c r="CL795" s="4317"/>
      <c r="CM795" s="4317"/>
      <c r="CN795" s="4317"/>
      <c r="CO795" s="4317"/>
      <c r="CP795" s="4317"/>
      <c r="CQ795" s="4317"/>
      <c r="CR795" s="4317"/>
      <c r="CS795" s="4317"/>
      <c r="CT795" s="4317"/>
      <c r="CU795" s="4317"/>
      <c r="CV795" s="4317"/>
      <c r="CW795" s="4317"/>
      <c r="CX795" s="4317"/>
      <c r="CY795" s="4317"/>
      <c r="CZ795" s="4317"/>
      <c r="DA795" s="4317"/>
      <c r="DB795" s="4317"/>
      <c r="DC795" s="4317"/>
      <c r="DD795" s="4317"/>
      <c r="DE795" s="4317"/>
      <c r="DF795" s="4317"/>
      <c r="DG795" s="4317"/>
      <c r="DH795" s="4317"/>
      <c r="DI795" s="4317"/>
      <c r="DJ795" s="4317"/>
      <c r="DK795" s="4317"/>
      <c r="DL795" s="4317"/>
      <c r="DM795" s="4317"/>
      <c r="DN795" s="4317"/>
      <c r="DO795" s="4317"/>
      <c r="DP795" s="4317"/>
      <c r="DQ795" s="4317"/>
      <c r="DR795" s="4317"/>
      <c r="DS795" s="4317"/>
    </row>
    <row r="796" s="4134" customFormat="1" ht="17.25" customHeight="1" spans="1:123">
      <c r="A796" s="4696" t="s">
        <v>4603</v>
      </c>
      <c r="B796" s="4697"/>
      <c r="C796" s="4697"/>
      <c r="D796" s="4697"/>
      <c r="E796" s="4697"/>
      <c r="F796" s="4534"/>
      <c r="G796" s="4535"/>
      <c r="H796" s="4535"/>
      <c r="I796" s="4535"/>
      <c r="J796" s="4535"/>
      <c r="K796" s="4535"/>
      <c r="L796" s="4536"/>
      <c r="M796" s="4317"/>
      <c r="N796" s="4317"/>
      <c r="O796" s="4317"/>
      <c r="P796" s="4317"/>
      <c r="Q796" s="4317"/>
      <c r="R796" s="4317"/>
      <c r="S796" s="4317"/>
      <c r="T796" s="4319" t="s">
        <v>5510</v>
      </c>
      <c r="U796" s="4317"/>
      <c r="V796" s="4317"/>
      <c r="W796" s="4317"/>
      <c r="X796" s="4317"/>
      <c r="Y796" s="4653"/>
      <c r="Z796" s="4653"/>
      <c r="AA796" s="4653"/>
      <c r="AB796" s="4317"/>
      <c r="AC796" s="4295"/>
      <c r="AD796" s="4653"/>
      <c r="AE796" s="4653"/>
      <c r="AF796" s="4653"/>
      <c r="AG796" s="4319"/>
      <c r="AH796" s="4317"/>
      <c r="AI796" s="4317"/>
      <c r="AJ796" s="4317"/>
      <c r="AK796" s="4317"/>
      <c r="AL796" s="4317"/>
      <c r="AM796" s="4317"/>
      <c r="AN796" s="4317"/>
      <c r="AO796" s="4317"/>
      <c r="AP796" s="4317"/>
      <c r="AQ796" s="4317"/>
      <c r="AR796" s="4317"/>
      <c r="AS796" s="4317"/>
      <c r="AT796" s="4317"/>
      <c r="AU796" s="4317"/>
      <c r="AV796" s="4317"/>
      <c r="AW796" s="4317"/>
      <c r="AX796" s="4317"/>
      <c r="AY796" s="4317"/>
      <c r="AZ796" s="4317"/>
      <c r="BA796" s="4317"/>
      <c r="BB796" s="4317"/>
      <c r="BC796" s="4317"/>
      <c r="BD796" s="4317"/>
      <c r="BE796" s="4317"/>
      <c r="BF796" s="4317"/>
      <c r="BG796" s="4317"/>
      <c r="BH796" s="4317"/>
      <c r="BI796" s="4317"/>
      <c r="BJ796" s="4317"/>
      <c r="BK796" s="4317"/>
      <c r="BL796" s="4317"/>
      <c r="BM796" s="4317"/>
      <c r="BN796" s="4317"/>
      <c r="BO796" s="4317"/>
      <c r="BP796" s="4317"/>
      <c r="BQ796" s="4317"/>
      <c r="BR796" s="4317"/>
      <c r="BS796" s="4317"/>
      <c r="BT796" s="4317"/>
      <c r="BU796" s="4317"/>
      <c r="BV796" s="4317"/>
      <c r="BW796" s="4317"/>
      <c r="BX796" s="4317"/>
      <c r="BY796" s="4317"/>
      <c r="BZ796" s="4317"/>
      <c r="CA796" s="4317"/>
      <c r="CB796" s="4317"/>
      <c r="CC796" s="4317"/>
      <c r="CD796" s="4317"/>
      <c r="CE796" s="4317"/>
      <c r="CF796" s="4317"/>
      <c r="CG796" s="4317"/>
      <c r="CH796" s="4317"/>
      <c r="CI796" s="4317"/>
      <c r="CJ796" s="4317"/>
      <c r="CK796" s="4317"/>
      <c r="CL796" s="4317"/>
      <c r="CM796" s="4317"/>
      <c r="CN796" s="4317"/>
      <c r="CO796" s="4317"/>
      <c r="CP796" s="4317"/>
      <c r="CQ796" s="4317"/>
      <c r="CR796" s="4317"/>
      <c r="CS796" s="4317"/>
      <c r="CT796" s="4317"/>
      <c r="CU796" s="4317"/>
      <c r="CV796" s="4317"/>
      <c r="CW796" s="4317"/>
      <c r="CX796" s="4317"/>
      <c r="CY796" s="4317"/>
      <c r="CZ796" s="4317"/>
      <c r="DA796" s="4317"/>
      <c r="DB796" s="4317"/>
      <c r="DC796" s="4317"/>
      <c r="DD796" s="4317"/>
      <c r="DE796" s="4317"/>
      <c r="DF796" s="4317"/>
      <c r="DG796" s="4317"/>
      <c r="DH796" s="4317"/>
      <c r="DI796" s="4317"/>
      <c r="DJ796" s="4317"/>
      <c r="DK796" s="4317"/>
      <c r="DL796" s="4317"/>
      <c r="DM796" s="4317"/>
      <c r="DN796" s="4317"/>
      <c r="DO796" s="4317"/>
      <c r="DP796" s="4317"/>
      <c r="DQ796" s="4317"/>
      <c r="DR796" s="4317"/>
      <c r="DS796" s="4317"/>
    </row>
    <row r="797" s="4134" customFormat="1" ht="17.25" customHeight="1" spans="1:123">
      <c r="A797" s="4701" t="s">
        <v>770</v>
      </c>
      <c r="B797" s="4702"/>
      <c r="C797" s="4702"/>
      <c r="D797" s="4702"/>
      <c r="E797" s="4702"/>
      <c r="F797" s="4703">
        <f>SUM(F789:L796)</f>
        <v>22856</v>
      </c>
      <c r="G797" s="4703"/>
      <c r="H797" s="4703"/>
      <c r="I797" s="4703"/>
      <c r="J797" s="4703"/>
      <c r="K797" s="4703"/>
      <c r="L797" s="4703"/>
      <c r="M797" s="4317"/>
      <c r="N797" s="4317"/>
      <c r="O797" s="4317"/>
      <c r="P797" s="4317"/>
      <c r="Q797" s="4317"/>
      <c r="R797" s="4317"/>
      <c r="S797" s="4317"/>
      <c r="T797" s="4323" t="s">
        <v>5511</v>
      </c>
      <c r="U797" s="4317"/>
      <c r="V797" s="4317"/>
      <c r="W797" s="4317"/>
      <c r="X797" s="4317"/>
      <c r="Y797" s="4653"/>
      <c r="Z797" s="4653"/>
      <c r="AA797" s="4653"/>
      <c r="AB797" s="4317"/>
      <c r="AC797" s="4295"/>
      <c r="AD797" s="4653"/>
      <c r="AE797" s="4653"/>
      <c r="AF797" s="4653"/>
      <c r="AG797" s="4319"/>
      <c r="AH797" s="4317"/>
      <c r="AI797" s="4317"/>
      <c r="AJ797" s="4317"/>
      <c r="AK797" s="4317"/>
      <c r="AL797" s="4317"/>
      <c r="AM797" s="4317"/>
      <c r="AN797" s="4317"/>
      <c r="AO797" s="4317"/>
      <c r="AP797" s="4317"/>
      <c r="AQ797" s="4317"/>
      <c r="AR797" s="4317"/>
      <c r="AS797" s="4317"/>
      <c r="AT797" s="4317"/>
      <c r="AU797" s="4317"/>
      <c r="AV797" s="4317"/>
      <c r="AW797" s="4317"/>
      <c r="AX797" s="4317"/>
      <c r="AY797" s="4317"/>
      <c r="AZ797" s="4317"/>
      <c r="BA797" s="4317"/>
      <c r="BB797" s="4317"/>
      <c r="BC797" s="4317"/>
      <c r="BD797" s="4317"/>
      <c r="BE797" s="4317"/>
      <c r="BF797" s="4317"/>
      <c r="BG797" s="4317"/>
      <c r="BH797" s="4317"/>
      <c r="BI797" s="4317"/>
      <c r="BJ797" s="4317"/>
      <c r="BK797" s="4317"/>
      <c r="BL797" s="4317"/>
      <c r="BM797" s="4317"/>
      <c r="BN797" s="4317"/>
      <c r="BO797" s="4317"/>
      <c r="BP797" s="4317"/>
      <c r="BQ797" s="4317"/>
      <c r="BR797" s="4317"/>
      <c r="BS797" s="4317"/>
      <c r="BT797" s="4317"/>
      <c r="BU797" s="4317"/>
      <c r="BV797" s="4317"/>
      <c r="BW797" s="4317"/>
      <c r="BX797" s="4317"/>
      <c r="BY797" s="4317"/>
      <c r="BZ797" s="4317"/>
      <c r="CA797" s="4317"/>
      <c r="CB797" s="4317"/>
      <c r="CC797" s="4317"/>
      <c r="CD797" s="4317"/>
      <c r="CE797" s="4317"/>
      <c r="CF797" s="4317"/>
      <c r="CG797" s="4317"/>
      <c r="CH797" s="4317"/>
      <c r="CI797" s="4317"/>
      <c r="CJ797" s="4317"/>
      <c r="CK797" s="4317"/>
      <c r="CL797" s="4317"/>
      <c r="CM797" s="4317"/>
      <c r="CN797" s="4317"/>
      <c r="CO797" s="4317"/>
      <c r="CP797" s="4317"/>
      <c r="CQ797" s="4317"/>
      <c r="CR797" s="4317"/>
      <c r="CS797" s="4317"/>
      <c r="CT797" s="4317"/>
      <c r="CU797" s="4317"/>
      <c r="CV797" s="4317"/>
      <c r="CW797" s="4317"/>
      <c r="CX797" s="4317"/>
      <c r="CY797" s="4317"/>
      <c r="CZ797" s="4317"/>
      <c r="DA797" s="4317"/>
      <c r="DB797" s="4317"/>
      <c r="DC797" s="4317"/>
      <c r="DD797" s="4317"/>
      <c r="DE797" s="4317"/>
      <c r="DF797" s="4317"/>
      <c r="DG797" s="4317"/>
      <c r="DH797" s="4317"/>
      <c r="DI797" s="4317"/>
      <c r="DJ797" s="4317"/>
      <c r="DK797" s="4317"/>
      <c r="DL797" s="4317"/>
      <c r="DM797" s="4317"/>
      <c r="DN797" s="4317"/>
      <c r="DO797" s="4317"/>
      <c r="DP797" s="4317"/>
      <c r="DQ797" s="4317"/>
      <c r="DR797" s="4317"/>
      <c r="DS797" s="4317"/>
    </row>
    <row r="798" s="4134" customFormat="1" ht="17.25" customHeight="1" spans="1:123">
      <c r="A798" s="4696" t="s">
        <v>4604</v>
      </c>
      <c r="B798" s="4697"/>
      <c r="C798" s="4697"/>
      <c r="D798" s="4697"/>
      <c r="E798" s="4697"/>
      <c r="F798" s="4534"/>
      <c r="G798" s="4535"/>
      <c r="H798" s="4535"/>
      <c r="I798" s="4535"/>
      <c r="J798" s="4535"/>
      <c r="K798" s="4535"/>
      <c r="L798" s="4536"/>
      <c r="M798" s="4317"/>
      <c r="N798" s="4317"/>
      <c r="O798" s="4317"/>
      <c r="P798" s="4317"/>
      <c r="Q798" s="4317"/>
      <c r="R798" s="4317"/>
      <c r="S798" s="4317"/>
      <c r="T798" s="4319" t="s">
        <v>5512</v>
      </c>
      <c r="U798" s="4317"/>
      <c r="V798" s="4317"/>
      <c r="W798" s="4317"/>
      <c r="X798" s="4317"/>
      <c r="Y798" s="4653"/>
      <c r="Z798" s="4653"/>
      <c r="AA798" s="4653"/>
      <c r="AB798" s="4317"/>
      <c r="AC798" s="4295"/>
      <c r="AD798" s="4653"/>
      <c r="AE798" s="4653"/>
      <c r="AF798" s="4653"/>
      <c r="AG798" s="4319"/>
      <c r="AH798" s="4317"/>
      <c r="AI798" s="4317"/>
      <c r="AJ798" s="4317"/>
      <c r="AK798" s="4317"/>
      <c r="AL798" s="4317"/>
      <c r="AM798" s="4317"/>
      <c r="AN798" s="4317"/>
      <c r="AO798" s="4317"/>
      <c r="AP798" s="4317"/>
      <c r="AQ798" s="4317"/>
      <c r="AR798" s="4317"/>
      <c r="AS798" s="4317"/>
      <c r="AT798" s="4317"/>
      <c r="AU798" s="4317"/>
      <c r="AV798" s="4317"/>
      <c r="AW798" s="4317"/>
      <c r="AX798" s="4317"/>
      <c r="AY798" s="4317"/>
      <c r="AZ798" s="4317"/>
      <c r="BA798" s="4317"/>
      <c r="BB798" s="4317"/>
      <c r="BC798" s="4317"/>
      <c r="BD798" s="4317"/>
      <c r="BE798" s="4317"/>
      <c r="BF798" s="4317"/>
      <c r="BG798" s="4317"/>
      <c r="BH798" s="4317"/>
      <c r="BI798" s="4317"/>
      <c r="BJ798" s="4317"/>
      <c r="BK798" s="4317"/>
      <c r="BL798" s="4317"/>
      <c r="BM798" s="4317"/>
      <c r="BN798" s="4317"/>
      <c r="BO798" s="4317"/>
      <c r="BP798" s="4317"/>
      <c r="BQ798" s="4317"/>
      <c r="BR798" s="4317"/>
      <c r="BS798" s="4317"/>
      <c r="BT798" s="4317"/>
      <c r="BU798" s="4317"/>
      <c r="BV798" s="4317"/>
      <c r="BW798" s="4317"/>
      <c r="BX798" s="4317"/>
      <c r="BY798" s="4317"/>
      <c r="BZ798" s="4317"/>
      <c r="CA798" s="4317"/>
      <c r="CB798" s="4317"/>
      <c r="CC798" s="4317"/>
      <c r="CD798" s="4317"/>
      <c r="CE798" s="4317"/>
      <c r="CF798" s="4317"/>
      <c r="CG798" s="4317"/>
      <c r="CH798" s="4317"/>
      <c r="CI798" s="4317"/>
      <c r="CJ798" s="4317"/>
      <c r="CK798" s="4317"/>
      <c r="CL798" s="4317"/>
      <c r="CM798" s="4317"/>
      <c r="CN798" s="4317"/>
      <c r="CO798" s="4317"/>
      <c r="CP798" s="4317"/>
      <c r="CQ798" s="4317"/>
      <c r="CR798" s="4317"/>
      <c r="CS798" s="4317"/>
      <c r="CT798" s="4317"/>
      <c r="CU798" s="4317"/>
      <c r="CV798" s="4317"/>
      <c r="CW798" s="4317"/>
      <c r="CX798" s="4317"/>
      <c r="CY798" s="4317"/>
      <c r="CZ798" s="4317"/>
      <c r="DA798" s="4317"/>
      <c r="DB798" s="4317"/>
      <c r="DC798" s="4317"/>
      <c r="DD798" s="4317"/>
      <c r="DE798" s="4317"/>
      <c r="DF798" s="4317"/>
      <c r="DG798" s="4317"/>
      <c r="DH798" s="4317"/>
      <c r="DI798" s="4317"/>
      <c r="DJ798" s="4317"/>
      <c r="DK798" s="4317"/>
      <c r="DL798" s="4317"/>
      <c r="DM798" s="4317"/>
      <c r="DN798" s="4317"/>
      <c r="DO798" s="4317"/>
      <c r="DP798" s="4317"/>
      <c r="DQ798" s="4317"/>
      <c r="DR798" s="4317"/>
      <c r="DS798" s="4317"/>
    </row>
    <row r="799" s="4134" customFormat="1" ht="17.25" customHeight="1" spans="1:123">
      <c r="A799" s="4696" t="s">
        <v>4605</v>
      </c>
      <c r="B799" s="4697"/>
      <c r="C799" s="4697"/>
      <c r="D799" s="4697"/>
      <c r="E799" s="4697"/>
      <c r="F799" s="4704"/>
      <c r="G799" s="4704"/>
      <c r="H799" s="4704"/>
      <c r="I799" s="4704"/>
      <c r="J799" s="4704"/>
      <c r="K799" s="4704"/>
      <c r="L799" s="4704"/>
      <c r="M799" s="4317"/>
      <c r="N799" s="4317"/>
      <c r="O799" s="4317"/>
      <c r="P799" s="4317"/>
      <c r="Q799" s="4317"/>
      <c r="R799" s="4317"/>
      <c r="S799" s="4317"/>
      <c r="T799" s="4319" t="s">
        <v>5513</v>
      </c>
      <c r="U799" s="4317"/>
      <c r="V799" s="4317"/>
      <c r="W799" s="4317"/>
      <c r="X799" s="4317"/>
      <c r="Y799" s="4653"/>
      <c r="Z799" s="4653"/>
      <c r="AA799" s="4653"/>
      <c r="AB799" s="4317"/>
      <c r="AC799" s="4295"/>
      <c r="AD799" s="4653"/>
      <c r="AE799" s="4653"/>
      <c r="AF799" s="4653"/>
      <c r="AG799" s="4319"/>
      <c r="AH799" s="4317"/>
      <c r="AI799" s="4317"/>
      <c r="AJ799" s="4317"/>
      <c r="AK799" s="4317"/>
      <c r="AL799" s="4317"/>
      <c r="AM799" s="4317"/>
      <c r="AN799" s="4317"/>
      <c r="AO799" s="4317"/>
      <c r="AP799" s="4317"/>
      <c r="AQ799" s="4317"/>
      <c r="AR799" s="4317"/>
      <c r="AS799" s="4317"/>
      <c r="AT799" s="4317"/>
      <c r="AU799" s="4317"/>
      <c r="AV799" s="4317"/>
      <c r="AW799" s="4317"/>
      <c r="AX799" s="4317"/>
      <c r="AY799" s="4317"/>
      <c r="AZ799" s="4317"/>
      <c r="BA799" s="4317"/>
      <c r="BB799" s="4317"/>
      <c r="BC799" s="4317"/>
      <c r="BD799" s="4317"/>
      <c r="BE799" s="4317"/>
      <c r="BF799" s="4317"/>
      <c r="BG799" s="4317"/>
      <c r="BH799" s="4317"/>
      <c r="BI799" s="4317"/>
      <c r="BJ799" s="4317"/>
      <c r="BK799" s="4317"/>
      <c r="BL799" s="4317"/>
      <c r="BM799" s="4317"/>
      <c r="BN799" s="4317"/>
      <c r="BO799" s="4317"/>
      <c r="BP799" s="4317"/>
      <c r="BQ799" s="4317"/>
      <c r="BR799" s="4317"/>
      <c r="BS799" s="4317"/>
      <c r="BT799" s="4317"/>
      <c r="BU799" s="4317"/>
      <c r="BV799" s="4317"/>
      <c r="BW799" s="4317"/>
      <c r="BX799" s="4317"/>
      <c r="BY799" s="4317"/>
      <c r="BZ799" s="4317"/>
      <c r="CA799" s="4317"/>
      <c r="CB799" s="4317"/>
      <c r="CC799" s="4317"/>
      <c r="CD799" s="4317"/>
      <c r="CE799" s="4317"/>
      <c r="CF799" s="4317"/>
      <c r="CG799" s="4317"/>
      <c r="CH799" s="4317"/>
      <c r="CI799" s="4317"/>
      <c r="CJ799" s="4317"/>
      <c r="CK799" s="4317"/>
      <c r="CL799" s="4317"/>
      <c r="CM799" s="4317"/>
      <c r="CN799" s="4317"/>
      <c r="CO799" s="4317"/>
      <c r="CP799" s="4317"/>
      <c r="CQ799" s="4317"/>
      <c r="CR799" s="4317"/>
      <c r="CS799" s="4317"/>
      <c r="CT799" s="4317"/>
      <c r="CU799" s="4317"/>
      <c r="CV799" s="4317"/>
      <c r="CW799" s="4317"/>
      <c r="CX799" s="4317"/>
      <c r="CY799" s="4317"/>
      <c r="CZ799" s="4317"/>
      <c r="DA799" s="4317"/>
      <c r="DB799" s="4317"/>
      <c r="DC799" s="4317"/>
      <c r="DD799" s="4317"/>
      <c r="DE799" s="4317"/>
      <c r="DF799" s="4317"/>
      <c r="DG799" s="4317"/>
      <c r="DH799" s="4317"/>
      <c r="DI799" s="4317"/>
      <c r="DJ799" s="4317"/>
      <c r="DK799" s="4317"/>
      <c r="DL799" s="4317"/>
      <c r="DM799" s="4317"/>
      <c r="DN799" s="4317"/>
      <c r="DO799" s="4317"/>
      <c r="DP799" s="4317"/>
      <c r="DQ799" s="4317"/>
      <c r="DR799" s="4317"/>
      <c r="DS799" s="4317"/>
    </row>
    <row r="800" s="4134" customFormat="1" ht="17.25" customHeight="1" spans="1:123">
      <c r="A800" s="4701" t="s">
        <v>777</v>
      </c>
      <c r="B800" s="4702"/>
      <c r="C800" s="4702"/>
      <c r="D800" s="4702"/>
      <c r="E800" s="4702"/>
      <c r="F800" s="4703">
        <f>SUM(F798:L799)</f>
        <v>0</v>
      </c>
      <c r="G800" s="4703"/>
      <c r="H800" s="4703"/>
      <c r="I800" s="4703"/>
      <c r="J800" s="4703"/>
      <c r="K800" s="4703"/>
      <c r="L800" s="4703"/>
      <c r="M800" s="4317"/>
      <c r="N800" s="4317"/>
      <c r="O800" s="4317"/>
      <c r="P800" s="4317"/>
      <c r="Q800" s="4317"/>
      <c r="R800" s="4317"/>
      <c r="S800" s="4317"/>
      <c r="T800" s="4323" t="s">
        <v>5514</v>
      </c>
      <c r="U800" s="4317"/>
      <c r="V800" s="4317"/>
      <c r="W800" s="4317"/>
      <c r="X800" s="4317"/>
      <c r="Y800" s="4653"/>
      <c r="Z800" s="4653"/>
      <c r="AA800" s="4653"/>
      <c r="AB800" s="4317"/>
      <c r="AC800" s="4295"/>
      <c r="AD800" s="4653"/>
      <c r="AE800" s="4653"/>
      <c r="AF800" s="4653"/>
      <c r="AG800" s="4319"/>
      <c r="AH800" s="4317"/>
      <c r="AI800" s="4317"/>
      <c r="AJ800" s="4317"/>
      <c r="AK800" s="4317"/>
      <c r="AL800" s="4317"/>
      <c r="AM800" s="4317"/>
      <c r="AN800" s="4317"/>
      <c r="AO800" s="4317"/>
      <c r="AP800" s="4317"/>
      <c r="AQ800" s="4317"/>
      <c r="AR800" s="4317"/>
      <c r="AS800" s="4317"/>
      <c r="AT800" s="4317"/>
      <c r="AU800" s="4317"/>
      <c r="AV800" s="4317"/>
      <c r="AW800" s="4317"/>
      <c r="AX800" s="4317"/>
      <c r="AY800" s="4317"/>
      <c r="AZ800" s="4317"/>
      <c r="BA800" s="4317"/>
      <c r="BB800" s="4317"/>
      <c r="BC800" s="4317"/>
      <c r="BD800" s="4317"/>
      <c r="BE800" s="4317"/>
      <c r="BF800" s="4317"/>
      <c r="BG800" s="4317"/>
      <c r="BH800" s="4317"/>
      <c r="BI800" s="4317"/>
      <c r="BJ800" s="4317"/>
      <c r="BK800" s="4317"/>
      <c r="BL800" s="4317"/>
      <c r="BM800" s="4317"/>
      <c r="BN800" s="4317"/>
      <c r="BO800" s="4317"/>
      <c r="BP800" s="4317"/>
      <c r="BQ800" s="4317"/>
      <c r="BR800" s="4317"/>
      <c r="BS800" s="4317"/>
      <c r="BT800" s="4317"/>
      <c r="BU800" s="4317"/>
      <c r="BV800" s="4317"/>
      <c r="BW800" s="4317"/>
      <c r="BX800" s="4317"/>
      <c r="BY800" s="4317"/>
      <c r="BZ800" s="4317"/>
      <c r="CA800" s="4317"/>
      <c r="CB800" s="4317"/>
      <c r="CC800" s="4317"/>
      <c r="CD800" s="4317"/>
      <c r="CE800" s="4317"/>
      <c r="CF800" s="4317"/>
      <c r="CG800" s="4317"/>
      <c r="CH800" s="4317"/>
      <c r="CI800" s="4317"/>
      <c r="CJ800" s="4317"/>
      <c r="CK800" s="4317"/>
      <c r="CL800" s="4317"/>
      <c r="CM800" s="4317"/>
      <c r="CN800" s="4317"/>
      <c r="CO800" s="4317"/>
      <c r="CP800" s="4317"/>
      <c r="CQ800" s="4317"/>
      <c r="CR800" s="4317"/>
      <c r="CS800" s="4317"/>
      <c r="CT800" s="4317"/>
      <c r="CU800" s="4317"/>
      <c r="CV800" s="4317"/>
      <c r="CW800" s="4317"/>
      <c r="CX800" s="4317"/>
      <c r="CY800" s="4317"/>
      <c r="CZ800" s="4317"/>
      <c r="DA800" s="4317"/>
      <c r="DB800" s="4317"/>
      <c r="DC800" s="4317"/>
      <c r="DD800" s="4317"/>
      <c r="DE800" s="4317"/>
      <c r="DF800" s="4317"/>
      <c r="DG800" s="4317"/>
      <c r="DH800" s="4317"/>
      <c r="DI800" s="4317"/>
      <c r="DJ800" s="4317"/>
      <c r="DK800" s="4317"/>
      <c r="DL800" s="4317"/>
      <c r="DM800" s="4317"/>
      <c r="DN800" s="4317"/>
      <c r="DO800" s="4317"/>
      <c r="DP800" s="4317"/>
      <c r="DQ800" s="4317"/>
      <c r="DR800" s="4317"/>
      <c r="DS800" s="4317"/>
    </row>
    <row r="801" s="4134" customFormat="1" ht="17.25" customHeight="1" spans="1:123">
      <c r="A801" s="4696" t="s">
        <v>4614</v>
      </c>
      <c r="B801" s="4697"/>
      <c r="C801" s="4697"/>
      <c r="D801" s="4697"/>
      <c r="E801" s="4697"/>
      <c r="F801" s="4534">
        <v>6824</v>
      </c>
      <c r="G801" s="4535"/>
      <c r="H801" s="4535"/>
      <c r="I801" s="4535"/>
      <c r="J801" s="4535"/>
      <c r="K801" s="4535"/>
      <c r="L801" s="4536"/>
      <c r="M801" s="4317"/>
      <c r="N801" s="4317"/>
      <c r="O801" s="4317"/>
      <c r="P801" s="4317"/>
      <c r="Q801" s="4317"/>
      <c r="R801" s="4317"/>
      <c r="S801" s="4317"/>
      <c r="T801" s="4319" t="s">
        <v>5515</v>
      </c>
      <c r="U801" s="4317"/>
      <c r="V801" s="4317"/>
      <c r="W801" s="4317"/>
      <c r="X801" s="4317"/>
      <c r="Y801" s="4653"/>
      <c r="Z801" s="4653"/>
      <c r="AA801" s="4653"/>
      <c r="AB801" s="4317"/>
      <c r="AC801" s="4295"/>
      <c r="AD801" s="4653"/>
      <c r="AE801" s="4653"/>
      <c r="AF801" s="4653"/>
      <c r="AG801" s="4319"/>
      <c r="AH801" s="4317"/>
      <c r="AI801" s="4317"/>
      <c r="AJ801" s="4317"/>
      <c r="AK801" s="4317"/>
      <c r="AL801" s="4317"/>
      <c r="AM801" s="4317"/>
      <c r="AN801" s="4317"/>
      <c r="AO801" s="4317"/>
      <c r="AP801" s="4317"/>
      <c r="AQ801" s="4317"/>
      <c r="AR801" s="4317"/>
      <c r="AS801" s="4317"/>
      <c r="AT801" s="4317"/>
      <c r="AU801" s="4317"/>
      <c r="AV801" s="4317"/>
      <c r="AW801" s="4317"/>
      <c r="AX801" s="4317"/>
      <c r="AY801" s="4317"/>
      <c r="AZ801" s="4317"/>
      <c r="BA801" s="4317"/>
      <c r="BB801" s="4317"/>
      <c r="BC801" s="4317"/>
      <c r="BD801" s="4317"/>
      <c r="BE801" s="4317"/>
      <c r="BF801" s="4317"/>
      <c r="BG801" s="4317"/>
      <c r="BH801" s="4317"/>
      <c r="BI801" s="4317"/>
      <c r="BJ801" s="4317"/>
      <c r="BK801" s="4317"/>
      <c r="BL801" s="4317"/>
      <c r="BM801" s="4317"/>
      <c r="BN801" s="4317"/>
      <c r="BO801" s="4317"/>
      <c r="BP801" s="4317"/>
      <c r="BQ801" s="4317"/>
      <c r="BR801" s="4317"/>
      <c r="BS801" s="4317"/>
      <c r="BT801" s="4317"/>
      <c r="BU801" s="4317"/>
      <c r="BV801" s="4317"/>
      <c r="BW801" s="4317"/>
      <c r="BX801" s="4317"/>
      <c r="BY801" s="4317"/>
      <c r="BZ801" s="4317"/>
      <c r="CA801" s="4317"/>
      <c r="CB801" s="4317"/>
      <c r="CC801" s="4317"/>
      <c r="CD801" s="4317"/>
      <c r="CE801" s="4317"/>
      <c r="CF801" s="4317"/>
      <c r="CG801" s="4317"/>
      <c r="CH801" s="4317"/>
      <c r="CI801" s="4317"/>
      <c r="CJ801" s="4317"/>
      <c r="CK801" s="4317"/>
      <c r="CL801" s="4317"/>
      <c r="CM801" s="4317"/>
      <c r="CN801" s="4317"/>
      <c r="CO801" s="4317"/>
      <c r="CP801" s="4317"/>
      <c r="CQ801" s="4317"/>
      <c r="CR801" s="4317"/>
      <c r="CS801" s="4317"/>
      <c r="CT801" s="4317"/>
      <c r="CU801" s="4317"/>
      <c r="CV801" s="4317"/>
      <c r="CW801" s="4317"/>
      <c r="CX801" s="4317"/>
      <c r="CY801" s="4317"/>
      <c r="CZ801" s="4317"/>
      <c r="DA801" s="4317"/>
      <c r="DB801" s="4317"/>
      <c r="DC801" s="4317"/>
      <c r="DD801" s="4317"/>
      <c r="DE801" s="4317"/>
      <c r="DF801" s="4317"/>
      <c r="DG801" s="4317"/>
      <c r="DH801" s="4317"/>
      <c r="DI801" s="4317"/>
      <c r="DJ801" s="4317"/>
      <c r="DK801" s="4317"/>
      <c r="DL801" s="4317"/>
      <c r="DM801" s="4317"/>
      <c r="DN801" s="4317"/>
      <c r="DO801" s="4317"/>
      <c r="DP801" s="4317"/>
      <c r="DQ801" s="4317"/>
      <c r="DR801" s="4317"/>
      <c r="DS801" s="4317"/>
    </row>
    <row r="802" s="4134" customFormat="1" ht="17.25" customHeight="1" spans="1:123">
      <c r="A802" s="4696" t="s">
        <v>4615</v>
      </c>
      <c r="B802" s="4697"/>
      <c r="C802" s="4697"/>
      <c r="D802" s="4697"/>
      <c r="E802" s="4697"/>
      <c r="F802" s="4534">
        <v>22164</v>
      </c>
      <c r="G802" s="4535"/>
      <c r="H802" s="4535"/>
      <c r="I802" s="4535"/>
      <c r="J802" s="4535"/>
      <c r="K802" s="4535"/>
      <c r="L802" s="4536"/>
      <c r="M802" s="4317"/>
      <c r="N802" s="4317"/>
      <c r="O802" s="4317"/>
      <c r="P802" s="4317"/>
      <c r="Q802" s="4317"/>
      <c r="R802" s="4317"/>
      <c r="S802" s="4317"/>
      <c r="T802" s="4319" t="s">
        <v>5516</v>
      </c>
      <c r="U802" s="4317"/>
      <c r="V802" s="4317"/>
      <c r="W802" s="4317"/>
      <c r="X802" s="4317"/>
      <c r="Y802" s="4653"/>
      <c r="Z802" s="4653"/>
      <c r="AA802" s="4653"/>
      <c r="AB802" s="4317"/>
      <c r="AC802" s="4295"/>
      <c r="AD802" s="4653"/>
      <c r="AE802" s="4653"/>
      <c r="AF802" s="4653"/>
      <c r="AG802" s="4319"/>
      <c r="AH802" s="4317"/>
      <c r="AI802" s="4317"/>
      <c r="AJ802" s="4317"/>
      <c r="AK802" s="4317"/>
      <c r="AL802" s="4317"/>
      <c r="AM802" s="4317"/>
      <c r="AN802" s="4317"/>
      <c r="AO802" s="4317"/>
      <c r="AP802" s="4317"/>
      <c r="AQ802" s="4317"/>
      <c r="AR802" s="4317"/>
      <c r="AS802" s="4317"/>
      <c r="AT802" s="4317"/>
      <c r="AU802" s="4317"/>
      <c r="AV802" s="4317"/>
      <c r="AW802" s="4317"/>
      <c r="AX802" s="4317"/>
      <c r="AY802" s="4317"/>
      <c r="AZ802" s="4317"/>
      <c r="BA802" s="4317"/>
      <c r="BB802" s="4317"/>
      <c r="BC802" s="4317"/>
      <c r="BD802" s="4317"/>
      <c r="BE802" s="4317"/>
      <c r="BF802" s="4317"/>
      <c r="BG802" s="4317"/>
      <c r="BH802" s="4317"/>
      <c r="BI802" s="4317"/>
      <c r="BJ802" s="4317"/>
      <c r="BK802" s="4317"/>
      <c r="BL802" s="4317"/>
      <c r="BM802" s="4317"/>
      <c r="BN802" s="4317"/>
      <c r="BO802" s="4317"/>
      <c r="BP802" s="4317"/>
      <c r="BQ802" s="4317"/>
      <c r="BR802" s="4317"/>
      <c r="BS802" s="4317"/>
      <c r="BT802" s="4317"/>
      <c r="BU802" s="4317"/>
      <c r="BV802" s="4317"/>
      <c r="BW802" s="4317"/>
      <c r="BX802" s="4317"/>
      <c r="BY802" s="4317"/>
      <c r="BZ802" s="4317"/>
      <c r="CA802" s="4317"/>
      <c r="CB802" s="4317"/>
      <c r="CC802" s="4317"/>
      <c r="CD802" s="4317"/>
      <c r="CE802" s="4317"/>
      <c r="CF802" s="4317"/>
      <c r="CG802" s="4317"/>
      <c r="CH802" s="4317"/>
      <c r="CI802" s="4317"/>
      <c r="CJ802" s="4317"/>
      <c r="CK802" s="4317"/>
      <c r="CL802" s="4317"/>
      <c r="CM802" s="4317"/>
      <c r="CN802" s="4317"/>
      <c r="CO802" s="4317"/>
      <c r="CP802" s="4317"/>
      <c r="CQ802" s="4317"/>
      <c r="CR802" s="4317"/>
      <c r="CS802" s="4317"/>
      <c r="CT802" s="4317"/>
      <c r="CU802" s="4317"/>
      <c r="CV802" s="4317"/>
      <c r="CW802" s="4317"/>
      <c r="CX802" s="4317"/>
      <c r="CY802" s="4317"/>
      <c r="CZ802" s="4317"/>
      <c r="DA802" s="4317"/>
      <c r="DB802" s="4317"/>
      <c r="DC802" s="4317"/>
      <c r="DD802" s="4317"/>
      <c r="DE802" s="4317"/>
      <c r="DF802" s="4317"/>
      <c r="DG802" s="4317"/>
      <c r="DH802" s="4317"/>
      <c r="DI802" s="4317"/>
      <c r="DJ802" s="4317"/>
      <c r="DK802" s="4317"/>
      <c r="DL802" s="4317"/>
      <c r="DM802" s="4317"/>
      <c r="DN802" s="4317"/>
      <c r="DO802" s="4317"/>
      <c r="DP802" s="4317"/>
      <c r="DQ802" s="4317"/>
      <c r="DR802" s="4317"/>
      <c r="DS802" s="4317"/>
    </row>
    <row r="803" s="4134" customFormat="1" ht="17.25" customHeight="1" spans="1:123">
      <c r="A803" s="4696" t="s">
        <v>4616</v>
      </c>
      <c r="B803" s="4697"/>
      <c r="C803" s="4697"/>
      <c r="D803" s="4697"/>
      <c r="E803" s="4697"/>
      <c r="F803" s="4534">
        <v>166544</v>
      </c>
      <c r="G803" s="4535"/>
      <c r="H803" s="4535"/>
      <c r="I803" s="4535"/>
      <c r="J803" s="4535"/>
      <c r="K803" s="4535"/>
      <c r="L803" s="4536"/>
      <c r="M803" s="4317"/>
      <c r="N803" s="4317"/>
      <c r="O803" s="4317"/>
      <c r="P803" s="4317"/>
      <c r="Q803" s="4317"/>
      <c r="R803" s="4317"/>
      <c r="S803" s="4317"/>
      <c r="T803" s="4319" t="s">
        <v>5517</v>
      </c>
      <c r="U803" s="4317"/>
      <c r="V803" s="4317"/>
      <c r="W803" s="4317"/>
      <c r="X803" s="4317"/>
      <c r="Y803" s="4653"/>
      <c r="Z803" s="4653"/>
      <c r="AA803" s="4653"/>
      <c r="AB803" s="4317"/>
      <c r="AC803" s="4295"/>
      <c r="AD803" s="4653"/>
      <c r="AE803" s="4653"/>
      <c r="AF803" s="4653"/>
      <c r="AG803" s="4319"/>
      <c r="AH803" s="4317"/>
      <c r="AI803" s="4317"/>
      <c r="AJ803" s="4317"/>
      <c r="AK803" s="4317"/>
      <c r="AL803" s="4317"/>
      <c r="AM803" s="4317"/>
      <c r="AN803" s="4317"/>
      <c r="AO803" s="4317"/>
      <c r="AP803" s="4317"/>
      <c r="AQ803" s="4317"/>
      <c r="AR803" s="4317"/>
      <c r="AS803" s="4317"/>
      <c r="AT803" s="4317"/>
      <c r="AU803" s="4317"/>
      <c r="AV803" s="4317"/>
      <c r="AW803" s="4317"/>
      <c r="AX803" s="4317"/>
      <c r="AY803" s="4317"/>
      <c r="AZ803" s="4317"/>
      <c r="BA803" s="4317"/>
      <c r="BB803" s="4317"/>
      <c r="BC803" s="4317"/>
      <c r="BD803" s="4317"/>
      <c r="BE803" s="4317"/>
      <c r="BF803" s="4317"/>
      <c r="BG803" s="4317"/>
      <c r="BH803" s="4317"/>
      <c r="BI803" s="4317"/>
      <c r="BJ803" s="4317"/>
      <c r="BK803" s="4317"/>
      <c r="BL803" s="4317"/>
      <c r="BM803" s="4317"/>
      <c r="BN803" s="4317"/>
      <c r="BO803" s="4317"/>
      <c r="BP803" s="4317"/>
      <c r="BQ803" s="4317"/>
      <c r="BR803" s="4317"/>
      <c r="BS803" s="4317"/>
      <c r="BT803" s="4317"/>
      <c r="BU803" s="4317"/>
      <c r="BV803" s="4317"/>
      <c r="BW803" s="4317"/>
      <c r="BX803" s="4317"/>
      <c r="BY803" s="4317"/>
      <c r="BZ803" s="4317"/>
      <c r="CA803" s="4317"/>
      <c r="CB803" s="4317"/>
      <c r="CC803" s="4317"/>
      <c r="CD803" s="4317"/>
      <c r="CE803" s="4317"/>
      <c r="CF803" s="4317"/>
      <c r="CG803" s="4317"/>
      <c r="CH803" s="4317"/>
      <c r="CI803" s="4317"/>
      <c r="CJ803" s="4317"/>
      <c r="CK803" s="4317"/>
      <c r="CL803" s="4317"/>
      <c r="CM803" s="4317"/>
      <c r="CN803" s="4317"/>
      <c r="CO803" s="4317"/>
      <c r="CP803" s="4317"/>
      <c r="CQ803" s="4317"/>
      <c r="CR803" s="4317"/>
      <c r="CS803" s="4317"/>
      <c r="CT803" s="4317"/>
      <c r="CU803" s="4317"/>
      <c r="CV803" s="4317"/>
      <c r="CW803" s="4317"/>
      <c r="CX803" s="4317"/>
      <c r="CY803" s="4317"/>
      <c r="CZ803" s="4317"/>
      <c r="DA803" s="4317"/>
      <c r="DB803" s="4317"/>
      <c r="DC803" s="4317"/>
      <c r="DD803" s="4317"/>
      <c r="DE803" s="4317"/>
      <c r="DF803" s="4317"/>
      <c r="DG803" s="4317"/>
      <c r="DH803" s="4317"/>
      <c r="DI803" s="4317"/>
      <c r="DJ803" s="4317"/>
      <c r="DK803" s="4317"/>
      <c r="DL803" s="4317"/>
      <c r="DM803" s="4317"/>
      <c r="DN803" s="4317"/>
      <c r="DO803" s="4317"/>
      <c r="DP803" s="4317"/>
      <c r="DQ803" s="4317"/>
      <c r="DR803" s="4317"/>
      <c r="DS803" s="4317"/>
    </row>
    <row r="804" s="4134" customFormat="1" ht="17.25" customHeight="1" spans="1:123">
      <c r="A804" s="4696" t="s">
        <v>4617</v>
      </c>
      <c r="B804" s="4697"/>
      <c r="C804" s="4697"/>
      <c r="D804" s="4697"/>
      <c r="E804" s="4697"/>
      <c r="F804" s="4534"/>
      <c r="G804" s="4535"/>
      <c r="H804" s="4535"/>
      <c r="I804" s="4535"/>
      <c r="J804" s="4535"/>
      <c r="K804" s="4535"/>
      <c r="L804" s="4536"/>
      <c r="M804" s="4317"/>
      <c r="N804" s="4317"/>
      <c r="O804" s="4317"/>
      <c r="P804" s="4317"/>
      <c r="Q804" s="4317"/>
      <c r="R804" s="4317"/>
      <c r="S804" s="4317"/>
      <c r="T804" s="4319" t="s">
        <v>5518</v>
      </c>
      <c r="U804" s="4317"/>
      <c r="V804" s="4317"/>
      <c r="W804" s="4317"/>
      <c r="X804" s="4317"/>
      <c r="Y804" s="4653"/>
      <c r="Z804" s="4653"/>
      <c r="AA804" s="4653"/>
      <c r="AB804" s="4317"/>
      <c r="AC804" s="4295"/>
      <c r="AD804" s="4653"/>
      <c r="AE804" s="4653"/>
      <c r="AF804" s="4653"/>
      <c r="AG804" s="4319"/>
      <c r="AH804" s="4317"/>
      <c r="AI804" s="4317"/>
      <c r="AJ804" s="4317"/>
      <c r="AK804" s="4317"/>
      <c r="AL804" s="4317"/>
      <c r="AM804" s="4317"/>
      <c r="AN804" s="4317"/>
      <c r="AO804" s="4317"/>
      <c r="AP804" s="4317"/>
      <c r="AQ804" s="4317"/>
      <c r="AR804" s="4317"/>
      <c r="AS804" s="4317"/>
      <c r="AT804" s="4317"/>
      <c r="AU804" s="4317"/>
      <c r="AV804" s="4317"/>
      <c r="AW804" s="4317"/>
      <c r="AX804" s="4317"/>
      <c r="AY804" s="4317"/>
      <c r="AZ804" s="4317"/>
      <c r="BA804" s="4317"/>
      <c r="BB804" s="4317"/>
      <c r="BC804" s="4317"/>
      <c r="BD804" s="4317"/>
      <c r="BE804" s="4317"/>
      <c r="BF804" s="4317"/>
      <c r="BG804" s="4317"/>
      <c r="BH804" s="4317"/>
      <c r="BI804" s="4317"/>
      <c r="BJ804" s="4317"/>
      <c r="BK804" s="4317"/>
      <c r="BL804" s="4317"/>
      <c r="BM804" s="4317"/>
      <c r="BN804" s="4317"/>
      <c r="BO804" s="4317"/>
      <c r="BP804" s="4317"/>
      <c r="BQ804" s="4317"/>
      <c r="BR804" s="4317"/>
      <c r="BS804" s="4317"/>
      <c r="BT804" s="4317"/>
      <c r="BU804" s="4317"/>
      <c r="BV804" s="4317"/>
      <c r="BW804" s="4317"/>
      <c r="BX804" s="4317"/>
      <c r="BY804" s="4317"/>
      <c r="BZ804" s="4317"/>
      <c r="CA804" s="4317"/>
      <c r="CB804" s="4317"/>
      <c r="CC804" s="4317"/>
      <c r="CD804" s="4317"/>
      <c r="CE804" s="4317"/>
      <c r="CF804" s="4317"/>
      <c r="CG804" s="4317"/>
      <c r="CH804" s="4317"/>
      <c r="CI804" s="4317"/>
      <c r="CJ804" s="4317"/>
      <c r="CK804" s="4317"/>
      <c r="CL804" s="4317"/>
      <c r="CM804" s="4317"/>
      <c r="CN804" s="4317"/>
      <c r="CO804" s="4317"/>
      <c r="CP804" s="4317"/>
      <c r="CQ804" s="4317"/>
      <c r="CR804" s="4317"/>
      <c r="CS804" s="4317"/>
      <c r="CT804" s="4317"/>
      <c r="CU804" s="4317"/>
      <c r="CV804" s="4317"/>
      <c r="CW804" s="4317"/>
      <c r="CX804" s="4317"/>
      <c r="CY804" s="4317"/>
      <c r="CZ804" s="4317"/>
      <c r="DA804" s="4317"/>
      <c r="DB804" s="4317"/>
      <c r="DC804" s="4317"/>
      <c r="DD804" s="4317"/>
      <c r="DE804" s="4317"/>
      <c r="DF804" s="4317"/>
      <c r="DG804" s="4317"/>
      <c r="DH804" s="4317"/>
      <c r="DI804" s="4317"/>
      <c r="DJ804" s="4317"/>
      <c r="DK804" s="4317"/>
      <c r="DL804" s="4317"/>
      <c r="DM804" s="4317"/>
      <c r="DN804" s="4317"/>
      <c r="DO804" s="4317"/>
      <c r="DP804" s="4317"/>
      <c r="DQ804" s="4317"/>
      <c r="DR804" s="4317"/>
      <c r="DS804" s="4317"/>
    </row>
    <row r="805" s="4134" customFormat="1" ht="17.25" customHeight="1" spans="1:123">
      <c r="A805" s="4696" t="s">
        <v>4618</v>
      </c>
      <c r="B805" s="4697"/>
      <c r="C805" s="4697"/>
      <c r="D805" s="4697"/>
      <c r="E805" s="4697"/>
      <c r="F805" s="4534"/>
      <c r="G805" s="4535"/>
      <c r="H805" s="4535"/>
      <c r="I805" s="4535"/>
      <c r="J805" s="4535"/>
      <c r="K805" s="4535"/>
      <c r="L805" s="4536"/>
      <c r="M805" s="4317"/>
      <c r="N805" s="4317"/>
      <c r="O805" s="4317"/>
      <c r="P805" s="4317"/>
      <c r="Q805" s="4317"/>
      <c r="R805" s="4317"/>
      <c r="S805" s="4317"/>
      <c r="T805" s="4319" t="s">
        <v>5519</v>
      </c>
      <c r="U805" s="4317"/>
      <c r="V805" s="4317"/>
      <c r="W805" s="4317"/>
      <c r="X805" s="4317"/>
      <c r="Y805" s="4653"/>
      <c r="Z805" s="4653"/>
      <c r="AA805" s="4653"/>
      <c r="AB805" s="4317"/>
      <c r="AC805" s="4295"/>
      <c r="AD805" s="4653"/>
      <c r="AE805" s="4653"/>
      <c r="AF805" s="4653"/>
      <c r="AG805" s="4319"/>
      <c r="AH805" s="4317"/>
      <c r="AI805" s="4317"/>
      <c r="AJ805" s="4317"/>
      <c r="AK805" s="4317"/>
      <c r="AL805" s="4317"/>
      <c r="AM805" s="4317"/>
      <c r="AN805" s="4317"/>
      <c r="AO805" s="4317"/>
      <c r="AP805" s="4317"/>
      <c r="AQ805" s="4317"/>
      <c r="AR805" s="4317"/>
      <c r="AS805" s="4317"/>
      <c r="AT805" s="4317"/>
      <c r="AU805" s="4317"/>
      <c r="AV805" s="4317"/>
      <c r="AW805" s="4317"/>
      <c r="AX805" s="4317"/>
      <c r="AY805" s="4317"/>
      <c r="AZ805" s="4317"/>
      <c r="BA805" s="4317"/>
      <c r="BB805" s="4317"/>
      <c r="BC805" s="4317"/>
      <c r="BD805" s="4317"/>
      <c r="BE805" s="4317"/>
      <c r="BF805" s="4317"/>
      <c r="BG805" s="4317"/>
      <c r="BH805" s="4317"/>
      <c r="BI805" s="4317"/>
      <c r="BJ805" s="4317"/>
      <c r="BK805" s="4317"/>
      <c r="BL805" s="4317"/>
      <c r="BM805" s="4317"/>
      <c r="BN805" s="4317"/>
      <c r="BO805" s="4317"/>
      <c r="BP805" s="4317"/>
      <c r="BQ805" s="4317"/>
      <c r="BR805" s="4317"/>
      <c r="BS805" s="4317"/>
      <c r="BT805" s="4317"/>
      <c r="BU805" s="4317"/>
      <c r="BV805" s="4317"/>
      <c r="BW805" s="4317"/>
      <c r="BX805" s="4317"/>
      <c r="BY805" s="4317"/>
      <c r="BZ805" s="4317"/>
      <c r="CA805" s="4317"/>
      <c r="CB805" s="4317"/>
      <c r="CC805" s="4317"/>
      <c r="CD805" s="4317"/>
      <c r="CE805" s="4317"/>
      <c r="CF805" s="4317"/>
      <c r="CG805" s="4317"/>
      <c r="CH805" s="4317"/>
      <c r="CI805" s="4317"/>
      <c r="CJ805" s="4317"/>
      <c r="CK805" s="4317"/>
      <c r="CL805" s="4317"/>
      <c r="CM805" s="4317"/>
      <c r="CN805" s="4317"/>
      <c r="CO805" s="4317"/>
      <c r="CP805" s="4317"/>
      <c r="CQ805" s="4317"/>
      <c r="CR805" s="4317"/>
      <c r="CS805" s="4317"/>
      <c r="CT805" s="4317"/>
      <c r="CU805" s="4317"/>
      <c r="CV805" s="4317"/>
      <c r="CW805" s="4317"/>
      <c r="CX805" s="4317"/>
      <c r="CY805" s="4317"/>
      <c r="CZ805" s="4317"/>
      <c r="DA805" s="4317"/>
      <c r="DB805" s="4317"/>
      <c r="DC805" s="4317"/>
      <c r="DD805" s="4317"/>
      <c r="DE805" s="4317"/>
      <c r="DF805" s="4317"/>
      <c r="DG805" s="4317"/>
      <c r="DH805" s="4317"/>
      <c r="DI805" s="4317"/>
      <c r="DJ805" s="4317"/>
      <c r="DK805" s="4317"/>
      <c r="DL805" s="4317"/>
      <c r="DM805" s="4317"/>
      <c r="DN805" s="4317"/>
      <c r="DO805" s="4317"/>
      <c r="DP805" s="4317"/>
      <c r="DQ805" s="4317"/>
      <c r="DR805" s="4317"/>
      <c r="DS805" s="4317"/>
    </row>
    <row r="806" s="4134" customFormat="1" ht="17.25" customHeight="1" spans="1:123">
      <c r="A806" s="4696" t="s">
        <v>4619</v>
      </c>
      <c r="B806" s="4697"/>
      <c r="C806" s="4697"/>
      <c r="D806" s="4697"/>
      <c r="E806" s="4697"/>
      <c r="F806" s="4534"/>
      <c r="G806" s="4535"/>
      <c r="H806" s="4535"/>
      <c r="I806" s="4535"/>
      <c r="J806" s="4535"/>
      <c r="K806" s="4535"/>
      <c r="L806" s="4536"/>
      <c r="M806" s="4317"/>
      <c r="N806" s="4317"/>
      <c r="O806" s="4317"/>
      <c r="P806" s="4317"/>
      <c r="Q806" s="4317"/>
      <c r="R806" s="4317"/>
      <c r="S806" s="4317"/>
      <c r="T806" s="4319" t="s">
        <v>5520</v>
      </c>
      <c r="U806" s="4317"/>
      <c r="V806" s="4317"/>
      <c r="W806" s="4317"/>
      <c r="X806" s="4317"/>
      <c r="Y806" s="4653"/>
      <c r="Z806" s="4653"/>
      <c r="AA806" s="4653"/>
      <c r="AB806" s="4317"/>
      <c r="AC806" s="4295"/>
      <c r="AD806" s="4653"/>
      <c r="AE806" s="4653"/>
      <c r="AF806" s="4653"/>
      <c r="AG806" s="4319"/>
      <c r="AH806" s="4317"/>
      <c r="AI806" s="4317"/>
      <c r="AJ806" s="4317"/>
      <c r="AK806" s="4317"/>
      <c r="AL806" s="4317"/>
      <c r="AM806" s="4317"/>
      <c r="AN806" s="4317"/>
      <c r="AO806" s="4317"/>
      <c r="AP806" s="4317"/>
      <c r="AQ806" s="4317"/>
      <c r="AR806" s="4317"/>
      <c r="AS806" s="4317"/>
      <c r="AT806" s="4317"/>
      <c r="AU806" s="4317"/>
      <c r="AV806" s="4317"/>
      <c r="AW806" s="4317"/>
      <c r="AX806" s="4317"/>
      <c r="AY806" s="4317"/>
      <c r="AZ806" s="4317"/>
      <c r="BA806" s="4317"/>
      <c r="BB806" s="4317"/>
      <c r="BC806" s="4317"/>
      <c r="BD806" s="4317"/>
      <c r="BE806" s="4317"/>
      <c r="BF806" s="4317"/>
      <c r="BG806" s="4317"/>
      <c r="BH806" s="4317"/>
      <c r="BI806" s="4317"/>
      <c r="BJ806" s="4317"/>
      <c r="BK806" s="4317"/>
      <c r="BL806" s="4317"/>
      <c r="BM806" s="4317"/>
      <c r="BN806" s="4317"/>
      <c r="BO806" s="4317"/>
      <c r="BP806" s="4317"/>
      <c r="BQ806" s="4317"/>
      <c r="BR806" s="4317"/>
      <c r="BS806" s="4317"/>
      <c r="BT806" s="4317"/>
      <c r="BU806" s="4317"/>
      <c r="BV806" s="4317"/>
      <c r="BW806" s="4317"/>
      <c r="BX806" s="4317"/>
      <c r="BY806" s="4317"/>
      <c r="BZ806" s="4317"/>
      <c r="CA806" s="4317"/>
      <c r="CB806" s="4317"/>
      <c r="CC806" s="4317"/>
      <c r="CD806" s="4317"/>
      <c r="CE806" s="4317"/>
      <c r="CF806" s="4317"/>
      <c r="CG806" s="4317"/>
      <c r="CH806" s="4317"/>
      <c r="CI806" s="4317"/>
      <c r="CJ806" s="4317"/>
      <c r="CK806" s="4317"/>
      <c r="CL806" s="4317"/>
      <c r="CM806" s="4317"/>
      <c r="CN806" s="4317"/>
      <c r="CO806" s="4317"/>
      <c r="CP806" s="4317"/>
      <c r="CQ806" s="4317"/>
      <c r="CR806" s="4317"/>
      <c r="CS806" s="4317"/>
      <c r="CT806" s="4317"/>
      <c r="CU806" s="4317"/>
      <c r="CV806" s="4317"/>
      <c r="CW806" s="4317"/>
      <c r="CX806" s="4317"/>
      <c r="CY806" s="4317"/>
      <c r="CZ806" s="4317"/>
      <c r="DA806" s="4317"/>
      <c r="DB806" s="4317"/>
      <c r="DC806" s="4317"/>
      <c r="DD806" s="4317"/>
      <c r="DE806" s="4317"/>
      <c r="DF806" s="4317"/>
      <c r="DG806" s="4317"/>
      <c r="DH806" s="4317"/>
      <c r="DI806" s="4317"/>
      <c r="DJ806" s="4317"/>
      <c r="DK806" s="4317"/>
      <c r="DL806" s="4317"/>
      <c r="DM806" s="4317"/>
      <c r="DN806" s="4317"/>
      <c r="DO806" s="4317"/>
      <c r="DP806" s="4317"/>
      <c r="DQ806" s="4317"/>
      <c r="DR806" s="4317"/>
      <c r="DS806" s="4317"/>
    </row>
    <row r="807" s="4134" customFormat="1" ht="17.25" customHeight="1" spans="1:123">
      <c r="A807" s="4696" t="s">
        <v>4620</v>
      </c>
      <c r="B807" s="4697"/>
      <c r="C807" s="4697"/>
      <c r="D807" s="4697"/>
      <c r="E807" s="4697"/>
      <c r="F807" s="4534">
        <v>1725</v>
      </c>
      <c r="G807" s="4535"/>
      <c r="H807" s="4535"/>
      <c r="I807" s="4535"/>
      <c r="J807" s="4535"/>
      <c r="K807" s="4535"/>
      <c r="L807" s="4536"/>
      <c r="M807" s="4317"/>
      <c r="N807" s="4317"/>
      <c r="O807" s="4317"/>
      <c r="P807" s="4317"/>
      <c r="Q807" s="4317"/>
      <c r="R807" s="4317"/>
      <c r="S807" s="4317"/>
      <c r="T807" s="4319" t="s">
        <v>5521</v>
      </c>
      <c r="U807" s="4317"/>
      <c r="V807" s="4317"/>
      <c r="W807" s="4317"/>
      <c r="X807" s="4317"/>
      <c r="Y807" s="4653"/>
      <c r="Z807" s="4653"/>
      <c r="AA807" s="4653"/>
      <c r="AB807" s="4317"/>
      <c r="AC807" s="4295"/>
      <c r="AD807" s="4653"/>
      <c r="AE807" s="4653"/>
      <c r="AF807" s="4653"/>
      <c r="AG807" s="4319"/>
      <c r="AH807" s="4317"/>
      <c r="AI807" s="4317"/>
      <c r="AJ807" s="4317"/>
      <c r="AK807" s="4317"/>
      <c r="AL807" s="4317"/>
      <c r="AM807" s="4317"/>
      <c r="AN807" s="4317"/>
      <c r="AO807" s="4317"/>
      <c r="AP807" s="4317"/>
      <c r="AQ807" s="4317"/>
      <c r="AR807" s="4317"/>
      <c r="AS807" s="4317"/>
      <c r="AT807" s="4317"/>
      <c r="AU807" s="4317"/>
      <c r="AV807" s="4317"/>
      <c r="AW807" s="4317"/>
      <c r="AX807" s="4317"/>
      <c r="AY807" s="4317"/>
      <c r="AZ807" s="4317"/>
      <c r="BA807" s="4317"/>
      <c r="BB807" s="4317"/>
      <c r="BC807" s="4317"/>
      <c r="BD807" s="4317"/>
      <c r="BE807" s="4317"/>
      <c r="BF807" s="4317"/>
      <c r="BG807" s="4317"/>
      <c r="BH807" s="4317"/>
      <c r="BI807" s="4317"/>
      <c r="BJ807" s="4317"/>
      <c r="BK807" s="4317"/>
      <c r="BL807" s="4317"/>
      <c r="BM807" s="4317"/>
      <c r="BN807" s="4317"/>
      <c r="BO807" s="4317"/>
      <c r="BP807" s="4317"/>
      <c r="BQ807" s="4317"/>
      <c r="BR807" s="4317"/>
      <c r="BS807" s="4317"/>
      <c r="BT807" s="4317"/>
      <c r="BU807" s="4317"/>
      <c r="BV807" s="4317"/>
      <c r="BW807" s="4317"/>
      <c r="BX807" s="4317"/>
      <c r="BY807" s="4317"/>
      <c r="BZ807" s="4317"/>
      <c r="CA807" s="4317"/>
      <c r="CB807" s="4317"/>
      <c r="CC807" s="4317"/>
      <c r="CD807" s="4317"/>
      <c r="CE807" s="4317"/>
      <c r="CF807" s="4317"/>
      <c r="CG807" s="4317"/>
      <c r="CH807" s="4317"/>
      <c r="CI807" s="4317"/>
      <c r="CJ807" s="4317"/>
      <c r="CK807" s="4317"/>
      <c r="CL807" s="4317"/>
      <c r="CM807" s="4317"/>
      <c r="CN807" s="4317"/>
      <c r="CO807" s="4317"/>
      <c r="CP807" s="4317"/>
      <c r="CQ807" s="4317"/>
      <c r="CR807" s="4317"/>
      <c r="CS807" s="4317"/>
      <c r="CT807" s="4317"/>
      <c r="CU807" s="4317"/>
      <c r="CV807" s="4317"/>
      <c r="CW807" s="4317"/>
      <c r="CX807" s="4317"/>
      <c r="CY807" s="4317"/>
      <c r="CZ807" s="4317"/>
      <c r="DA807" s="4317"/>
      <c r="DB807" s="4317"/>
      <c r="DC807" s="4317"/>
      <c r="DD807" s="4317"/>
      <c r="DE807" s="4317"/>
      <c r="DF807" s="4317"/>
      <c r="DG807" s="4317"/>
      <c r="DH807" s="4317"/>
      <c r="DI807" s="4317"/>
      <c r="DJ807" s="4317"/>
      <c r="DK807" s="4317"/>
      <c r="DL807" s="4317"/>
      <c r="DM807" s="4317"/>
      <c r="DN807" s="4317"/>
      <c r="DO807" s="4317"/>
      <c r="DP807" s="4317"/>
      <c r="DQ807" s="4317"/>
      <c r="DR807" s="4317"/>
      <c r="DS807" s="4317"/>
    </row>
    <row r="808" s="4134" customFormat="1" ht="17.25" customHeight="1" spans="1:123">
      <c r="A808" s="4696" t="s">
        <v>5522</v>
      </c>
      <c r="B808" s="4697"/>
      <c r="C808" s="4697"/>
      <c r="D808" s="4697"/>
      <c r="E808" s="4697"/>
      <c r="F808" s="4534"/>
      <c r="G808" s="4535"/>
      <c r="H808" s="4535"/>
      <c r="I808" s="4535"/>
      <c r="J808" s="4535"/>
      <c r="K808" s="4535"/>
      <c r="L808" s="4536"/>
      <c r="M808" s="4317"/>
      <c r="N808" s="4317"/>
      <c r="O808" s="4317"/>
      <c r="P808" s="4317"/>
      <c r="Q808" s="4317"/>
      <c r="R808" s="4317"/>
      <c r="S808" s="4317"/>
      <c r="T808" s="4319" t="s">
        <v>5523</v>
      </c>
      <c r="U808" s="4317"/>
      <c r="V808" s="4317"/>
      <c r="W808" s="4317"/>
      <c r="X808" s="4317"/>
      <c r="Y808" s="4653"/>
      <c r="Z808" s="4653"/>
      <c r="AA808" s="4653"/>
      <c r="AB808" s="4317"/>
      <c r="AC808" s="4295"/>
      <c r="AD808" s="4653"/>
      <c r="AE808" s="4653"/>
      <c r="AF808" s="4653"/>
      <c r="AG808" s="4319"/>
      <c r="AH808" s="4317"/>
      <c r="AI808" s="4317"/>
      <c r="AJ808" s="4317"/>
      <c r="AK808" s="4317"/>
      <c r="AL808" s="4317"/>
      <c r="AM808" s="4317"/>
      <c r="AN808" s="4317"/>
      <c r="AO808" s="4317"/>
      <c r="AP808" s="4317"/>
      <c r="AQ808" s="4317"/>
      <c r="AR808" s="4317"/>
      <c r="AS808" s="4317"/>
      <c r="AT808" s="4317"/>
      <c r="AU808" s="4317"/>
      <c r="AV808" s="4317"/>
      <c r="AW808" s="4317"/>
      <c r="AX808" s="4317"/>
      <c r="AY808" s="4317"/>
      <c r="AZ808" s="4317"/>
      <c r="BA808" s="4317"/>
      <c r="BB808" s="4317"/>
      <c r="BC808" s="4317"/>
      <c r="BD808" s="4317"/>
      <c r="BE808" s="4317"/>
      <c r="BF808" s="4317"/>
      <c r="BG808" s="4317"/>
      <c r="BH808" s="4317"/>
      <c r="BI808" s="4317"/>
      <c r="BJ808" s="4317"/>
      <c r="BK808" s="4317"/>
      <c r="BL808" s="4317"/>
      <c r="BM808" s="4317"/>
      <c r="BN808" s="4317"/>
      <c r="BO808" s="4317"/>
      <c r="BP808" s="4317"/>
      <c r="BQ808" s="4317"/>
      <c r="BR808" s="4317"/>
      <c r="BS808" s="4317"/>
      <c r="BT808" s="4317"/>
      <c r="BU808" s="4317"/>
      <c r="BV808" s="4317"/>
      <c r="BW808" s="4317"/>
      <c r="BX808" s="4317"/>
      <c r="BY808" s="4317"/>
      <c r="BZ808" s="4317"/>
      <c r="CA808" s="4317"/>
      <c r="CB808" s="4317"/>
      <c r="CC808" s="4317"/>
      <c r="CD808" s="4317"/>
      <c r="CE808" s="4317"/>
      <c r="CF808" s="4317"/>
      <c r="CG808" s="4317"/>
      <c r="CH808" s="4317"/>
      <c r="CI808" s="4317"/>
      <c r="CJ808" s="4317"/>
      <c r="CK808" s="4317"/>
      <c r="CL808" s="4317"/>
      <c r="CM808" s="4317"/>
      <c r="CN808" s="4317"/>
      <c r="CO808" s="4317"/>
      <c r="CP808" s="4317"/>
      <c r="CQ808" s="4317"/>
      <c r="CR808" s="4317"/>
      <c r="CS808" s="4317"/>
      <c r="CT808" s="4317"/>
      <c r="CU808" s="4317"/>
      <c r="CV808" s="4317"/>
      <c r="CW808" s="4317"/>
      <c r="CX808" s="4317"/>
      <c r="CY808" s="4317"/>
      <c r="CZ808" s="4317"/>
      <c r="DA808" s="4317"/>
      <c r="DB808" s="4317"/>
      <c r="DC808" s="4317"/>
      <c r="DD808" s="4317"/>
      <c r="DE808" s="4317"/>
      <c r="DF808" s="4317"/>
      <c r="DG808" s="4317"/>
      <c r="DH808" s="4317"/>
      <c r="DI808" s="4317"/>
      <c r="DJ808" s="4317"/>
      <c r="DK808" s="4317"/>
      <c r="DL808" s="4317"/>
      <c r="DM808" s="4317"/>
      <c r="DN808" s="4317"/>
      <c r="DO808" s="4317"/>
      <c r="DP808" s="4317"/>
      <c r="DQ808" s="4317"/>
      <c r="DR808" s="4317"/>
      <c r="DS808" s="4317"/>
    </row>
    <row r="809" s="4134" customFormat="1" ht="17.25" customHeight="1" spans="1:123">
      <c r="A809" s="4696" t="s">
        <v>5524</v>
      </c>
      <c r="B809" s="4697"/>
      <c r="C809" s="4697"/>
      <c r="D809" s="4697"/>
      <c r="E809" s="4697"/>
      <c r="F809" s="4534"/>
      <c r="G809" s="4535"/>
      <c r="H809" s="4535"/>
      <c r="I809" s="4535"/>
      <c r="J809" s="4535"/>
      <c r="K809" s="4535"/>
      <c r="L809" s="4536"/>
      <c r="M809" s="4317"/>
      <c r="N809" s="4317"/>
      <c r="O809" s="4317"/>
      <c r="P809" s="4317"/>
      <c r="Q809" s="4317"/>
      <c r="R809" s="4317"/>
      <c r="S809" s="4317"/>
      <c r="T809" s="4319" t="s">
        <v>5525</v>
      </c>
      <c r="U809" s="4317"/>
      <c r="V809" s="4317"/>
      <c r="W809" s="4317"/>
      <c r="X809" s="4317"/>
      <c r="Y809" s="4653"/>
      <c r="Z809" s="4653"/>
      <c r="AA809" s="4653"/>
      <c r="AB809" s="4317"/>
      <c r="AC809" s="4295"/>
      <c r="AD809" s="4653"/>
      <c r="AE809" s="4653"/>
      <c r="AF809" s="4653"/>
      <c r="AG809" s="4319"/>
      <c r="AH809" s="4317"/>
      <c r="AI809" s="4317"/>
      <c r="AJ809" s="4317"/>
      <c r="AK809" s="4317"/>
      <c r="AL809" s="4317"/>
      <c r="AM809" s="4317"/>
      <c r="AN809" s="4317"/>
      <c r="AO809" s="4317"/>
      <c r="AP809" s="4317"/>
      <c r="AQ809" s="4317"/>
      <c r="AR809" s="4317"/>
      <c r="AS809" s="4317"/>
      <c r="AT809" s="4317"/>
      <c r="AU809" s="4317"/>
      <c r="AV809" s="4317"/>
      <c r="AW809" s="4317"/>
      <c r="AX809" s="4317"/>
      <c r="AY809" s="4317"/>
      <c r="AZ809" s="4317"/>
      <c r="BA809" s="4317"/>
      <c r="BB809" s="4317"/>
      <c r="BC809" s="4317"/>
      <c r="BD809" s="4317"/>
      <c r="BE809" s="4317"/>
      <c r="BF809" s="4317"/>
      <c r="BG809" s="4317"/>
      <c r="BH809" s="4317"/>
      <c r="BI809" s="4317"/>
      <c r="BJ809" s="4317"/>
      <c r="BK809" s="4317"/>
      <c r="BL809" s="4317"/>
      <c r="BM809" s="4317"/>
      <c r="BN809" s="4317"/>
      <c r="BO809" s="4317"/>
      <c r="BP809" s="4317"/>
      <c r="BQ809" s="4317"/>
      <c r="BR809" s="4317"/>
      <c r="BS809" s="4317"/>
      <c r="BT809" s="4317"/>
      <c r="BU809" s="4317"/>
      <c r="BV809" s="4317"/>
      <c r="BW809" s="4317"/>
      <c r="BX809" s="4317"/>
      <c r="BY809" s="4317"/>
      <c r="BZ809" s="4317"/>
      <c r="CA809" s="4317"/>
      <c r="CB809" s="4317"/>
      <c r="CC809" s="4317"/>
      <c r="CD809" s="4317"/>
      <c r="CE809" s="4317"/>
      <c r="CF809" s="4317"/>
      <c r="CG809" s="4317"/>
      <c r="CH809" s="4317"/>
      <c r="CI809" s="4317"/>
      <c r="CJ809" s="4317"/>
      <c r="CK809" s="4317"/>
      <c r="CL809" s="4317"/>
      <c r="CM809" s="4317"/>
      <c r="CN809" s="4317"/>
      <c r="CO809" s="4317"/>
      <c r="CP809" s="4317"/>
      <c r="CQ809" s="4317"/>
      <c r="CR809" s="4317"/>
      <c r="CS809" s="4317"/>
      <c r="CT809" s="4317"/>
      <c r="CU809" s="4317"/>
      <c r="CV809" s="4317"/>
      <c r="CW809" s="4317"/>
      <c r="CX809" s="4317"/>
      <c r="CY809" s="4317"/>
      <c r="CZ809" s="4317"/>
      <c r="DA809" s="4317"/>
      <c r="DB809" s="4317"/>
      <c r="DC809" s="4317"/>
      <c r="DD809" s="4317"/>
      <c r="DE809" s="4317"/>
      <c r="DF809" s="4317"/>
      <c r="DG809" s="4317"/>
      <c r="DH809" s="4317"/>
      <c r="DI809" s="4317"/>
      <c r="DJ809" s="4317"/>
      <c r="DK809" s="4317"/>
      <c r="DL809" s="4317"/>
      <c r="DM809" s="4317"/>
      <c r="DN809" s="4317"/>
      <c r="DO809" s="4317"/>
      <c r="DP809" s="4317"/>
      <c r="DQ809" s="4317"/>
      <c r="DR809" s="4317"/>
      <c r="DS809" s="4317"/>
    </row>
    <row r="810" s="4134" customFormat="1" ht="17.25" customHeight="1" spans="1:123">
      <c r="A810" s="4701" t="s">
        <v>784</v>
      </c>
      <c r="B810" s="4702"/>
      <c r="C810" s="4702"/>
      <c r="D810" s="4702"/>
      <c r="E810" s="4702"/>
      <c r="F810" s="4703">
        <f>SUM(F801:L809)</f>
        <v>197257</v>
      </c>
      <c r="G810" s="4703"/>
      <c r="H810" s="4703"/>
      <c r="I810" s="4703"/>
      <c r="J810" s="4703"/>
      <c r="K810" s="4703"/>
      <c r="L810" s="4703"/>
      <c r="M810" s="4317"/>
      <c r="N810" s="4317"/>
      <c r="O810" s="4317"/>
      <c r="P810" s="4317"/>
      <c r="Q810" s="4317"/>
      <c r="R810" s="4317"/>
      <c r="S810" s="4317"/>
      <c r="T810" s="4323" t="s">
        <v>5526</v>
      </c>
      <c r="U810" s="4317"/>
      <c r="V810" s="4317"/>
      <c r="W810" s="4317"/>
      <c r="X810" s="4317"/>
      <c r="Y810" s="4653"/>
      <c r="Z810" s="4653"/>
      <c r="AA810" s="4653"/>
      <c r="AB810" s="4317"/>
      <c r="AC810" s="4295"/>
      <c r="AD810" s="4653"/>
      <c r="AE810" s="4653"/>
      <c r="AF810" s="4653"/>
      <c r="AG810" s="4319"/>
      <c r="AH810" s="4317"/>
      <c r="AI810" s="4317"/>
      <c r="AJ810" s="4317"/>
      <c r="AK810" s="4317"/>
      <c r="AL810" s="4317"/>
      <c r="AM810" s="4317"/>
      <c r="AN810" s="4317"/>
      <c r="AO810" s="4317"/>
      <c r="AP810" s="4317"/>
      <c r="AQ810" s="4317"/>
      <c r="AR810" s="4317"/>
      <c r="AS810" s="4317"/>
      <c r="AT810" s="4317"/>
      <c r="AU810" s="4317"/>
      <c r="AV810" s="4317"/>
      <c r="AW810" s="4317"/>
      <c r="AX810" s="4317"/>
      <c r="AY810" s="4317"/>
      <c r="AZ810" s="4317"/>
      <c r="BA810" s="4317"/>
      <c r="BB810" s="4317"/>
      <c r="BC810" s="4317"/>
      <c r="BD810" s="4317"/>
      <c r="BE810" s="4317"/>
      <c r="BF810" s="4317"/>
      <c r="BG810" s="4317"/>
      <c r="BH810" s="4317"/>
      <c r="BI810" s="4317"/>
      <c r="BJ810" s="4317"/>
      <c r="BK810" s="4317"/>
      <c r="BL810" s="4317"/>
      <c r="BM810" s="4317"/>
      <c r="BN810" s="4317"/>
      <c r="BO810" s="4317"/>
      <c r="BP810" s="4317"/>
      <c r="BQ810" s="4317"/>
      <c r="BR810" s="4317"/>
      <c r="BS810" s="4317"/>
      <c r="BT810" s="4317"/>
      <c r="BU810" s="4317"/>
      <c r="BV810" s="4317"/>
      <c r="BW810" s="4317"/>
      <c r="BX810" s="4317"/>
      <c r="BY810" s="4317"/>
      <c r="BZ810" s="4317"/>
      <c r="CA810" s="4317"/>
      <c r="CB810" s="4317"/>
      <c r="CC810" s="4317"/>
      <c r="CD810" s="4317"/>
      <c r="CE810" s="4317"/>
      <c r="CF810" s="4317"/>
      <c r="CG810" s="4317"/>
      <c r="CH810" s="4317"/>
      <c r="CI810" s="4317"/>
      <c r="CJ810" s="4317"/>
      <c r="CK810" s="4317"/>
      <c r="CL810" s="4317"/>
      <c r="CM810" s="4317"/>
      <c r="CN810" s="4317"/>
      <c r="CO810" s="4317"/>
      <c r="CP810" s="4317"/>
      <c r="CQ810" s="4317"/>
      <c r="CR810" s="4317"/>
      <c r="CS810" s="4317"/>
      <c r="CT810" s="4317"/>
      <c r="CU810" s="4317"/>
      <c r="CV810" s="4317"/>
      <c r="CW810" s="4317"/>
      <c r="CX810" s="4317"/>
      <c r="CY810" s="4317"/>
      <c r="CZ810" s="4317"/>
      <c r="DA810" s="4317"/>
      <c r="DB810" s="4317"/>
      <c r="DC810" s="4317"/>
      <c r="DD810" s="4317"/>
      <c r="DE810" s="4317"/>
      <c r="DF810" s="4317"/>
      <c r="DG810" s="4317"/>
      <c r="DH810" s="4317"/>
      <c r="DI810" s="4317"/>
      <c r="DJ810" s="4317"/>
      <c r="DK810" s="4317"/>
      <c r="DL810" s="4317"/>
      <c r="DM810" s="4317"/>
      <c r="DN810" s="4317"/>
      <c r="DO810" s="4317"/>
      <c r="DP810" s="4317"/>
      <c r="DQ810" s="4317"/>
      <c r="DR810" s="4317"/>
      <c r="DS810" s="4317"/>
    </row>
    <row r="811" s="4134" customFormat="1" ht="17.25" customHeight="1" spans="1:123">
      <c r="A811" s="4698" t="s">
        <v>5527</v>
      </c>
      <c r="B811" s="4699"/>
      <c r="C811" s="4699"/>
      <c r="D811" s="4699"/>
      <c r="E811" s="4699"/>
      <c r="F811" s="4534"/>
      <c r="G811" s="4535"/>
      <c r="H811" s="4535"/>
      <c r="I811" s="4535"/>
      <c r="J811" s="4535"/>
      <c r="K811" s="4535"/>
      <c r="L811" s="4536"/>
      <c r="M811" s="4317"/>
      <c r="N811" s="4317"/>
      <c r="O811" s="4317"/>
      <c r="P811" s="4317"/>
      <c r="Q811" s="4317"/>
      <c r="R811" s="4317"/>
      <c r="S811" s="4317"/>
      <c r="T811" s="4316" t="s">
        <v>5528</v>
      </c>
      <c r="U811" s="4317"/>
      <c r="V811" s="4317"/>
      <c r="W811" s="4317"/>
      <c r="X811" s="4317"/>
      <c r="Y811" s="4653"/>
      <c r="Z811" s="4653"/>
      <c r="AA811" s="4653"/>
      <c r="AB811" s="4317"/>
      <c r="AC811" s="4295"/>
      <c r="AD811" s="4653"/>
      <c r="AE811" s="4653"/>
      <c r="AF811" s="4653"/>
      <c r="AG811" s="4319"/>
      <c r="AH811" s="4317"/>
      <c r="AI811" s="4317"/>
      <c r="AJ811" s="4317"/>
      <c r="AK811" s="4317"/>
      <c r="AL811" s="4317"/>
      <c r="AM811" s="4317"/>
      <c r="AN811" s="4317"/>
      <c r="AO811" s="4317"/>
      <c r="AP811" s="4317"/>
      <c r="AQ811" s="4317"/>
      <c r="AR811" s="4317"/>
      <c r="AS811" s="4317"/>
      <c r="AT811" s="4317"/>
      <c r="AU811" s="4317"/>
      <c r="AV811" s="4317"/>
      <c r="AW811" s="4317"/>
      <c r="AX811" s="4317"/>
      <c r="AY811" s="4317"/>
      <c r="AZ811" s="4317"/>
      <c r="BA811" s="4317"/>
      <c r="BB811" s="4317"/>
      <c r="BC811" s="4317"/>
      <c r="BD811" s="4317"/>
      <c r="BE811" s="4317"/>
      <c r="BF811" s="4317"/>
      <c r="BG811" s="4317"/>
      <c r="BH811" s="4317"/>
      <c r="BI811" s="4317"/>
      <c r="BJ811" s="4317"/>
      <c r="BK811" s="4317"/>
      <c r="BL811" s="4317"/>
      <c r="BM811" s="4317"/>
      <c r="BN811" s="4317"/>
      <c r="BO811" s="4317"/>
      <c r="BP811" s="4317"/>
      <c r="BQ811" s="4317"/>
      <c r="BR811" s="4317"/>
      <c r="BS811" s="4317"/>
      <c r="BT811" s="4317"/>
      <c r="BU811" s="4317"/>
      <c r="BV811" s="4317"/>
      <c r="BW811" s="4317"/>
      <c r="BX811" s="4317"/>
      <c r="BY811" s="4317"/>
      <c r="BZ811" s="4317"/>
      <c r="CA811" s="4317"/>
      <c r="CB811" s="4317"/>
      <c r="CC811" s="4317"/>
      <c r="CD811" s="4317"/>
      <c r="CE811" s="4317"/>
      <c r="CF811" s="4317"/>
      <c r="CG811" s="4317"/>
      <c r="CH811" s="4317"/>
      <c r="CI811" s="4317"/>
      <c r="CJ811" s="4317"/>
      <c r="CK811" s="4317"/>
      <c r="CL811" s="4317"/>
      <c r="CM811" s="4317"/>
      <c r="CN811" s="4317"/>
      <c r="CO811" s="4317"/>
      <c r="CP811" s="4317"/>
      <c r="CQ811" s="4317"/>
      <c r="CR811" s="4317"/>
      <c r="CS811" s="4317"/>
      <c r="CT811" s="4317"/>
      <c r="CU811" s="4317"/>
      <c r="CV811" s="4317"/>
      <c r="CW811" s="4317"/>
      <c r="CX811" s="4317"/>
      <c r="CY811" s="4317"/>
      <c r="CZ811" s="4317"/>
      <c r="DA811" s="4317"/>
      <c r="DB811" s="4317"/>
      <c r="DC811" s="4317"/>
      <c r="DD811" s="4317"/>
      <c r="DE811" s="4317"/>
      <c r="DF811" s="4317"/>
      <c r="DG811" s="4317"/>
      <c r="DH811" s="4317"/>
      <c r="DI811" s="4317"/>
      <c r="DJ811" s="4317"/>
      <c r="DK811" s="4317"/>
      <c r="DL811" s="4317"/>
      <c r="DM811" s="4317"/>
      <c r="DN811" s="4317"/>
      <c r="DO811" s="4317"/>
      <c r="DP811" s="4317"/>
      <c r="DQ811" s="4317"/>
      <c r="DR811" s="4317"/>
      <c r="DS811" s="4317"/>
    </row>
    <row r="812" s="4134" customFormat="1" ht="17.25" customHeight="1" spans="1:123">
      <c r="A812" s="4698" t="s">
        <v>5529</v>
      </c>
      <c r="B812" s="4699"/>
      <c r="C812" s="4699"/>
      <c r="D812" s="4699"/>
      <c r="E812" s="4699"/>
      <c r="F812" s="4534"/>
      <c r="G812" s="4535"/>
      <c r="H812" s="4535"/>
      <c r="I812" s="4535"/>
      <c r="J812" s="4535"/>
      <c r="K812" s="4535"/>
      <c r="L812" s="4536"/>
      <c r="M812" s="4317"/>
      <c r="N812" s="4317"/>
      <c r="O812" s="4317"/>
      <c r="P812" s="4317"/>
      <c r="Q812" s="4317"/>
      <c r="R812" s="4317"/>
      <c r="S812" s="4317"/>
      <c r="T812" s="4316" t="s">
        <v>5530</v>
      </c>
      <c r="U812" s="4317"/>
      <c r="V812" s="4317"/>
      <c r="W812" s="4317"/>
      <c r="X812" s="4317"/>
      <c r="Y812" s="4653"/>
      <c r="Z812" s="4653"/>
      <c r="AA812" s="4653"/>
      <c r="AB812" s="4317"/>
      <c r="AC812" s="4295"/>
      <c r="AD812" s="4653"/>
      <c r="AE812" s="4653"/>
      <c r="AF812" s="4653"/>
      <c r="AG812" s="4319"/>
      <c r="AH812" s="4317"/>
      <c r="AI812" s="4317"/>
      <c r="AJ812" s="4317"/>
      <c r="AK812" s="4317"/>
      <c r="AL812" s="4317"/>
      <c r="AM812" s="4317"/>
      <c r="AN812" s="4317"/>
      <c r="AO812" s="4317"/>
      <c r="AP812" s="4317"/>
      <c r="AQ812" s="4317"/>
      <c r="AR812" s="4317"/>
      <c r="AS812" s="4317"/>
      <c r="AT812" s="4317"/>
      <c r="AU812" s="4317"/>
      <c r="AV812" s="4317"/>
      <c r="AW812" s="4317"/>
      <c r="AX812" s="4317"/>
      <c r="AY812" s="4317"/>
      <c r="AZ812" s="4317"/>
      <c r="BA812" s="4317"/>
      <c r="BB812" s="4317"/>
      <c r="BC812" s="4317"/>
      <c r="BD812" s="4317"/>
      <c r="BE812" s="4317"/>
      <c r="BF812" s="4317"/>
      <c r="BG812" s="4317"/>
      <c r="BH812" s="4317"/>
      <c r="BI812" s="4317"/>
      <c r="BJ812" s="4317"/>
      <c r="BK812" s="4317"/>
      <c r="BL812" s="4317"/>
      <c r="BM812" s="4317"/>
      <c r="BN812" s="4317"/>
      <c r="BO812" s="4317"/>
      <c r="BP812" s="4317"/>
      <c r="BQ812" s="4317"/>
      <c r="BR812" s="4317"/>
      <c r="BS812" s="4317"/>
      <c r="BT812" s="4317"/>
      <c r="BU812" s="4317"/>
      <c r="BV812" s="4317"/>
      <c r="BW812" s="4317"/>
      <c r="BX812" s="4317"/>
      <c r="BY812" s="4317"/>
      <c r="BZ812" s="4317"/>
      <c r="CA812" s="4317"/>
      <c r="CB812" s="4317"/>
      <c r="CC812" s="4317"/>
      <c r="CD812" s="4317"/>
      <c r="CE812" s="4317"/>
      <c r="CF812" s="4317"/>
      <c r="CG812" s="4317"/>
      <c r="CH812" s="4317"/>
      <c r="CI812" s="4317"/>
      <c r="CJ812" s="4317"/>
      <c r="CK812" s="4317"/>
      <c r="CL812" s="4317"/>
      <c r="CM812" s="4317"/>
      <c r="CN812" s="4317"/>
      <c r="CO812" s="4317"/>
      <c r="CP812" s="4317"/>
      <c r="CQ812" s="4317"/>
      <c r="CR812" s="4317"/>
      <c r="CS812" s="4317"/>
      <c r="CT812" s="4317"/>
      <c r="CU812" s="4317"/>
      <c r="CV812" s="4317"/>
      <c r="CW812" s="4317"/>
      <c r="CX812" s="4317"/>
      <c r="CY812" s="4317"/>
      <c r="CZ812" s="4317"/>
      <c r="DA812" s="4317"/>
      <c r="DB812" s="4317"/>
      <c r="DC812" s="4317"/>
      <c r="DD812" s="4317"/>
      <c r="DE812" s="4317"/>
      <c r="DF812" s="4317"/>
      <c r="DG812" s="4317"/>
      <c r="DH812" s="4317"/>
      <c r="DI812" s="4317"/>
      <c r="DJ812" s="4317"/>
      <c r="DK812" s="4317"/>
      <c r="DL812" s="4317"/>
      <c r="DM812" s="4317"/>
      <c r="DN812" s="4317"/>
      <c r="DO812" s="4317"/>
      <c r="DP812" s="4317"/>
      <c r="DQ812" s="4317"/>
      <c r="DR812" s="4317"/>
      <c r="DS812" s="4317"/>
    </row>
    <row r="813" s="4134" customFormat="1" ht="17.25" customHeight="1" spans="1:123">
      <c r="A813" s="4698" t="s">
        <v>5531</v>
      </c>
      <c r="B813" s="4699"/>
      <c r="C813" s="4699"/>
      <c r="D813" s="4699"/>
      <c r="E813" s="4699"/>
      <c r="F813" s="4534"/>
      <c r="G813" s="4535"/>
      <c r="H813" s="4535"/>
      <c r="I813" s="4535"/>
      <c r="J813" s="4535"/>
      <c r="K813" s="4535"/>
      <c r="L813" s="4536"/>
      <c r="M813" s="4317"/>
      <c r="N813" s="4317"/>
      <c r="O813" s="4317"/>
      <c r="P813" s="4317"/>
      <c r="Q813" s="4317"/>
      <c r="R813" s="4317"/>
      <c r="S813" s="4317"/>
      <c r="T813" s="4316" t="s">
        <v>5532</v>
      </c>
      <c r="U813" s="4317"/>
      <c r="V813" s="4317"/>
      <c r="W813" s="4317"/>
      <c r="X813" s="4317"/>
      <c r="Y813" s="4653"/>
      <c r="Z813" s="4653"/>
      <c r="AA813" s="4653"/>
      <c r="AB813" s="4317"/>
      <c r="AC813" s="4295"/>
      <c r="AD813" s="4653"/>
      <c r="AE813" s="4653"/>
      <c r="AF813" s="4653"/>
      <c r="AG813" s="4319"/>
      <c r="AH813" s="4317"/>
      <c r="AI813" s="4317"/>
      <c r="AJ813" s="4317"/>
      <c r="AK813" s="4317"/>
      <c r="AL813" s="4317"/>
      <c r="AM813" s="4317"/>
      <c r="AN813" s="4317"/>
      <c r="AO813" s="4317"/>
      <c r="AP813" s="4317"/>
      <c r="AQ813" s="4317"/>
      <c r="AR813" s="4317"/>
      <c r="AS813" s="4317"/>
      <c r="AT813" s="4317"/>
      <c r="AU813" s="4317"/>
      <c r="AV813" s="4317"/>
      <c r="AW813" s="4317"/>
      <c r="AX813" s="4317"/>
      <c r="AY813" s="4317"/>
      <c r="AZ813" s="4317"/>
      <c r="BA813" s="4317"/>
      <c r="BB813" s="4317"/>
      <c r="BC813" s="4317"/>
      <c r="BD813" s="4317"/>
      <c r="BE813" s="4317"/>
      <c r="BF813" s="4317"/>
      <c r="BG813" s="4317"/>
      <c r="BH813" s="4317"/>
      <c r="BI813" s="4317"/>
      <c r="BJ813" s="4317"/>
      <c r="BK813" s="4317"/>
      <c r="BL813" s="4317"/>
      <c r="BM813" s="4317"/>
      <c r="BN813" s="4317"/>
      <c r="BO813" s="4317"/>
      <c r="BP813" s="4317"/>
      <c r="BQ813" s="4317"/>
      <c r="BR813" s="4317"/>
      <c r="BS813" s="4317"/>
      <c r="BT813" s="4317"/>
      <c r="BU813" s="4317"/>
      <c r="BV813" s="4317"/>
      <c r="BW813" s="4317"/>
      <c r="BX813" s="4317"/>
      <c r="BY813" s="4317"/>
      <c r="BZ813" s="4317"/>
      <c r="CA813" s="4317"/>
      <c r="CB813" s="4317"/>
      <c r="CC813" s="4317"/>
      <c r="CD813" s="4317"/>
      <c r="CE813" s="4317"/>
      <c r="CF813" s="4317"/>
      <c r="CG813" s="4317"/>
      <c r="CH813" s="4317"/>
      <c r="CI813" s="4317"/>
      <c r="CJ813" s="4317"/>
      <c r="CK813" s="4317"/>
      <c r="CL813" s="4317"/>
      <c r="CM813" s="4317"/>
      <c r="CN813" s="4317"/>
      <c r="CO813" s="4317"/>
      <c r="CP813" s="4317"/>
      <c r="CQ813" s="4317"/>
      <c r="CR813" s="4317"/>
      <c r="CS813" s="4317"/>
      <c r="CT813" s="4317"/>
      <c r="CU813" s="4317"/>
      <c r="CV813" s="4317"/>
      <c r="CW813" s="4317"/>
      <c r="CX813" s="4317"/>
      <c r="CY813" s="4317"/>
      <c r="CZ813" s="4317"/>
      <c r="DA813" s="4317"/>
      <c r="DB813" s="4317"/>
      <c r="DC813" s="4317"/>
      <c r="DD813" s="4317"/>
      <c r="DE813" s="4317"/>
      <c r="DF813" s="4317"/>
      <c r="DG813" s="4317"/>
      <c r="DH813" s="4317"/>
      <c r="DI813" s="4317"/>
      <c r="DJ813" s="4317"/>
      <c r="DK813" s="4317"/>
      <c r="DL813" s="4317"/>
      <c r="DM813" s="4317"/>
      <c r="DN813" s="4317"/>
      <c r="DO813" s="4317"/>
      <c r="DP813" s="4317"/>
      <c r="DQ813" s="4317"/>
      <c r="DR813" s="4317"/>
      <c r="DS813" s="4317"/>
    </row>
    <row r="814" s="4134" customFormat="1" ht="17.25" customHeight="1" spans="1:123">
      <c r="A814" s="4698" t="s">
        <v>5533</v>
      </c>
      <c r="B814" s="4699"/>
      <c r="C814" s="4699"/>
      <c r="D814" s="4699"/>
      <c r="E814" s="4699"/>
      <c r="F814" s="4534"/>
      <c r="G814" s="4535"/>
      <c r="H814" s="4535"/>
      <c r="I814" s="4535"/>
      <c r="J814" s="4535"/>
      <c r="K814" s="4535"/>
      <c r="L814" s="4536"/>
      <c r="M814" s="4317"/>
      <c r="N814" s="4317"/>
      <c r="O814" s="4317"/>
      <c r="P814" s="4317"/>
      <c r="Q814" s="4317"/>
      <c r="R814" s="4317"/>
      <c r="S814" s="4317"/>
      <c r="T814" s="4316" t="s">
        <v>5534</v>
      </c>
      <c r="U814" s="4317"/>
      <c r="V814" s="4317"/>
      <c r="W814" s="4317"/>
      <c r="X814" s="4317"/>
      <c r="Y814" s="4653"/>
      <c r="Z814" s="4653"/>
      <c r="AA814" s="4653"/>
      <c r="AB814" s="4317"/>
      <c r="AC814" s="4295"/>
      <c r="AD814" s="4653"/>
      <c r="AE814" s="4653"/>
      <c r="AF814" s="4653"/>
      <c r="AG814" s="4319"/>
      <c r="AH814" s="4317"/>
      <c r="AI814" s="4317"/>
      <c r="AJ814" s="4317"/>
      <c r="AK814" s="4317"/>
      <c r="AL814" s="4317"/>
      <c r="AM814" s="4317"/>
      <c r="AN814" s="4317"/>
      <c r="AO814" s="4317"/>
      <c r="AP814" s="4317"/>
      <c r="AQ814" s="4317"/>
      <c r="AR814" s="4317"/>
      <c r="AS814" s="4317"/>
      <c r="AT814" s="4317"/>
      <c r="AU814" s="4317"/>
      <c r="AV814" s="4317"/>
      <c r="AW814" s="4317"/>
      <c r="AX814" s="4317"/>
      <c r="AY814" s="4317"/>
      <c r="AZ814" s="4317"/>
      <c r="BA814" s="4317"/>
      <c r="BB814" s="4317"/>
      <c r="BC814" s="4317"/>
      <c r="BD814" s="4317"/>
      <c r="BE814" s="4317"/>
      <c r="BF814" s="4317"/>
      <c r="BG814" s="4317"/>
      <c r="BH814" s="4317"/>
      <c r="BI814" s="4317"/>
      <c r="BJ814" s="4317"/>
      <c r="BK814" s="4317"/>
      <c r="BL814" s="4317"/>
      <c r="BM814" s="4317"/>
      <c r="BN814" s="4317"/>
      <c r="BO814" s="4317"/>
      <c r="BP814" s="4317"/>
      <c r="BQ814" s="4317"/>
      <c r="BR814" s="4317"/>
      <c r="BS814" s="4317"/>
      <c r="BT814" s="4317"/>
      <c r="BU814" s="4317"/>
      <c r="BV814" s="4317"/>
      <c r="BW814" s="4317"/>
      <c r="BX814" s="4317"/>
      <c r="BY814" s="4317"/>
      <c r="BZ814" s="4317"/>
      <c r="CA814" s="4317"/>
      <c r="CB814" s="4317"/>
      <c r="CC814" s="4317"/>
      <c r="CD814" s="4317"/>
      <c r="CE814" s="4317"/>
      <c r="CF814" s="4317"/>
      <c r="CG814" s="4317"/>
      <c r="CH814" s="4317"/>
      <c r="CI814" s="4317"/>
      <c r="CJ814" s="4317"/>
      <c r="CK814" s="4317"/>
      <c r="CL814" s="4317"/>
      <c r="CM814" s="4317"/>
      <c r="CN814" s="4317"/>
      <c r="CO814" s="4317"/>
      <c r="CP814" s="4317"/>
      <c r="CQ814" s="4317"/>
      <c r="CR814" s="4317"/>
      <c r="CS814" s="4317"/>
      <c r="CT814" s="4317"/>
      <c r="CU814" s="4317"/>
      <c r="CV814" s="4317"/>
      <c r="CW814" s="4317"/>
      <c r="CX814" s="4317"/>
      <c r="CY814" s="4317"/>
      <c r="CZ814" s="4317"/>
      <c r="DA814" s="4317"/>
      <c r="DB814" s="4317"/>
      <c r="DC814" s="4317"/>
      <c r="DD814" s="4317"/>
      <c r="DE814" s="4317"/>
      <c r="DF814" s="4317"/>
      <c r="DG814" s="4317"/>
      <c r="DH814" s="4317"/>
      <c r="DI814" s="4317"/>
      <c r="DJ814" s="4317"/>
      <c r="DK814" s="4317"/>
      <c r="DL814" s="4317"/>
      <c r="DM814" s="4317"/>
      <c r="DN814" s="4317"/>
      <c r="DO814" s="4317"/>
      <c r="DP814" s="4317"/>
      <c r="DQ814" s="4317"/>
      <c r="DR814" s="4317"/>
      <c r="DS814" s="4317"/>
    </row>
    <row r="815" s="4134" customFormat="1" ht="17.25" customHeight="1" spans="1:123">
      <c r="A815" s="4696" t="s">
        <v>5535</v>
      </c>
      <c r="B815" s="4697"/>
      <c r="C815" s="4697"/>
      <c r="D815" s="4697"/>
      <c r="E815" s="4697"/>
      <c r="F815" s="4700">
        <f>SUM(F811:L814)</f>
        <v>0</v>
      </c>
      <c r="G815" s="4700"/>
      <c r="H815" s="4700"/>
      <c r="I815" s="4700"/>
      <c r="J815" s="4700"/>
      <c r="K815" s="4700"/>
      <c r="L815" s="4700"/>
      <c r="M815" s="4317"/>
      <c r="N815" s="4317"/>
      <c r="O815" s="4317"/>
      <c r="P815" s="4317"/>
      <c r="Q815" s="4317"/>
      <c r="R815" s="4317"/>
      <c r="S815" s="4317"/>
      <c r="T815" s="4319" t="s">
        <v>5536</v>
      </c>
      <c r="U815" s="4317"/>
      <c r="V815" s="4317"/>
      <c r="W815" s="4317"/>
      <c r="X815" s="4317"/>
      <c r="Y815" s="4653"/>
      <c r="Z815" s="4653"/>
      <c r="AA815" s="4653"/>
      <c r="AB815" s="4317"/>
      <c r="AC815" s="4295"/>
      <c r="AD815" s="4653"/>
      <c r="AE815" s="4653"/>
      <c r="AF815" s="4653"/>
      <c r="AG815" s="4319"/>
      <c r="AH815" s="4317"/>
      <c r="AI815" s="4317"/>
      <c r="AJ815" s="4317"/>
      <c r="AK815" s="4317"/>
      <c r="AL815" s="4317"/>
      <c r="AM815" s="4317"/>
      <c r="AN815" s="4317"/>
      <c r="AO815" s="4317"/>
      <c r="AP815" s="4317"/>
      <c r="AQ815" s="4317"/>
      <c r="AR815" s="4317"/>
      <c r="AS815" s="4317"/>
      <c r="AT815" s="4317"/>
      <c r="AU815" s="4317"/>
      <c r="AV815" s="4317"/>
      <c r="AW815" s="4317"/>
      <c r="AX815" s="4317"/>
      <c r="AY815" s="4317"/>
      <c r="AZ815" s="4317"/>
      <c r="BA815" s="4317"/>
      <c r="BB815" s="4317"/>
      <c r="BC815" s="4317"/>
      <c r="BD815" s="4317"/>
      <c r="BE815" s="4317"/>
      <c r="BF815" s="4317"/>
      <c r="BG815" s="4317"/>
      <c r="BH815" s="4317"/>
      <c r="BI815" s="4317"/>
      <c r="BJ815" s="4317"/>
      <c r="BK815" s="4317"/>
      <c r="BL815" s="4317"/>
      <c r="BM815" s="4317"/>
      <c r="BN815" s="4317"/>
      <c r="BO815" s="4317"/>
      <c r="BP815" s="4317"/>
      <c r="BQ815" s="4317"/>
      <c r="BR815" s="4317"/>
      <c r="BS815" s="4317"/>
      <c r="BT815" s="4317"/>
      <c r="BU815" s="4317"/>
      <c r="BV815" s="4317"/>
      <c r="BW815" s="4317"/>
      <c r="BX815" s="4317"/>
      <c r="BY815" s="4317"/>
      <c r="BZ815" s="4317"/>
      <c r="CA815" s="4317"/>
      <c r="CB815" s="4317"/>
      <c r="CC815" s="4317"/>
      <c r="CD815" s="4317"/>
      <c r="CE815" s="4317"/>
      <c r="CF815" s="4317"/>
      <c r="CG815" s="4317"/>
      <c r="CH815" s="4317"/>
      <c r="CI815" s="4317"/>
      <c r="CJ815" s="4317"/>
      <c r="CK815" s="4317"/>
      <c r="CL815" s="4317"/>
      <c r="CM815" s="4317"/>
      <c r="CN815" s="4317"/>
      <c r="CO815" s="4317"/>
      <c r="CP815" s="4317"/>
      <c r="CQ815" s="4317"/>
      <c r="CR815" s="4317"/>
      <c r="CS815" s="4317"/>
      <c r="CT815" s="4317"/>
      <c r="CU815" s="4317"/>
      <c r="CV815" s="4317"/>
      <c r="CW815" s="4317"/>
      <c r="CX815" s="4317"/>
      <c r="CY815" s="4317"/>
      <c r="CZ815" s="4317"/>
      <c r="DA815" s="4317"/>
      <c r="DB815" s="4317"/>
      <c r="DC815" s="4317"/>
      <c r="DD815" s="4317"/>
      <c r="DE815" s="4317"/>
      <c r="DF815" s="4317"/>
      <c r="DG815" s="4317"/>
      <c r="DH815" s="4317"/>
      <c r="DI815" s="4317"/>
      <c r="DJ815" s="4317"/>
      <c r="DK815" s="4317"/>
      <c r="DL815" s="4317"/>
      <c r="DM815" s="4317"/>
      <c r="DN815" s="4317"/>
      <c r="DO815" s="4317"/>
      <c r="DP815" s="4317"/>
      <c r="DQ815" s="4317"/>
      <c r="DR815" s="4317"/>
      <c r="DS815" s="4317"/>
    </row>
    <row r="816" s="4134" customFormat="1" ht="17.25" customHeight="1" spans="1:123">
      <c r="A816" s="4696" t="s">
        <v>5537</v>
      </c>
      <c r="B816" s="4697"/>
      <c r="C816" s="4697"/>
      <c r="D816" s="4697"/>
      <c r="E816" s="4697"/>
      <c r="F816" s="4534"/>
      <c r="G816" s="4535"/>
      <c r="H816" s="4535"/>
      <c r="I816" s="4535"/>
      <c r="J816" s="4535"/>
      <c r="K816" s="4535"/>
      <c r="L816" s="4536"/>
      <c r="M816" s="4317"/>
      <c r="N816" s="4317"/>
      <c r="O816" s="4317"/>
      <c r="P816" s="4317"/>
      <c r="Q816" s="4317"/>
      <c r="R816" s="4317"/>
      <c r="S816" s="4317"/>
      <c r="T816" s="4319" t="s">
        <v>5538</v>
      </c>
      <c r="U816" s="4317"/>
      <c r="V816" s="4317"/>
      <c r="W816" s="4317"/>
      <c r="X816" s="4317"/>
      <c r="Y816" s="4653"/>
      <c r="Z816" s="4653"/>
      <c r="AA816" s="4653"/>
      <c r="AB816" s="4317"/>
      <c r="AC816" s="4295"/>
      <c r="AD816" s="4653"/>
      <c r="AE816" s="4653"/>
      <c r="AF816" s="4653"/>
      <c r="AG816" s="4319"/>
      <c r="AH816" s="4317"/>
      <c r="AI816" s="4317"/>
      <c r="AJ816" s="4317"/>
      <c r="AK816" s="4317"/>
      <c r="AL816" s="4317"/>
      <c r="AM816" s="4317"/>
      <c r="AN816" s="4317"/>
      <c r="AO816" s="4317"/>
      <c r="AP816" s="4317"/>
      <c r="AQ816" s="4317"/>
      <c r="AR816" s="4317"/>
      <c r="AS816" s="4317"/>
      <c r="AT816" s="4317"/>
      <c r="AU816" s="4317"/>
      <c r="AV816" s="4317"/>
      <c r="AW816" s="4317"/>
      <c r="AX816" s="4317"/>
      <c r="AY816" s="4317"/>
      <c r="AZ816" s="4317"/>
      <c r="BA816" s="4317"/>
      <c r="BB816" s="4317"/>
      <c r="BC816" s="4317"/>
      <c r="BD816" s="4317"/>
      <c r="BE816" s="4317"/>
      <c r="BF816" s="4317"/>
      <c r="BG816" s="4317"/>
      <c r="BH816" s="4317"/>
      <c r="BI816" s="4317"/>
      <c r="BJ816" s="4317"/>
      <c r="BK816" s="4317"/>
      <c r="BL816" s="4317"/>
      <c r="BM816" s="4317"/>
      <c r="BN816" s="4317"/>
      <c r="BO816" s="4317"/>
      <c r="BP816" s="4317"/>
      <c r="BQ816" s="4317"/>
      <c r="BR816" s="4317"/>
      <c r="BS816" s="4317"/>
      <c r="BT816" s="4317"/>
      <c r="BU816" s="4317"/>
      <c r="BV816" s="4317"/>
      <c r="BW816" s="4317"/>
      <c r="BX816" s="4317"/>
      <c r="BY816" s="4317"/>
      <c r="BZ816" s="4317"/>
      <c r="CA816" s="4317"/>
      <c r="CB816" s="4317"/>
      <c r="CC816" s="4317"/>
      <c r="CD816" s="4317"/>
      <c r="CE816" s="4317"/>
      <c r="CF816" s="4317"/>
      <c r="CG816" s="4317"/>
      <c r="CH816" s="4317"/>
      <c r="CI816" s="4317"/>
      <c r="CJ816" s="4317"/>
      <c r="CK816" s="4317"/>
      <c r="CL816" s="4317"/>
      <c r="CM816" s="4317"/>
      <c r="CN816" s="4317"/>
      <c r="CO816" s="4317"/>
      <c r="CP816" s="4317"/>
      <c r="CQ816" s="4317"/>
      <c r="CR816" s="4317"/>
      <c r="CS816" s="4317"/>
      <c r="CT816" s="4317"/>
      <c r="CU816" s="4317"/>
      <c r="CV816" s="4317"/>
      <c r="CW816" s="4317"/>
      <c r="CX816" s="4317"/>
      <c r="CY816" s="4317"/>
      <c r="CZ816" s="4317"/>
      <c r="DA816" s="4317"/>
      <c r="DB816" s="4317"/>
      <c r="DC816" s="4317"/>
      <c r="DD816" s="4317"/>
      <c r="DE816" s="4317"/>
      <c r="DF816" s="4317"/>
      <c r="DG816" s="4317"/>
      <c r="DH816" s="4317"/>
      <c r="DI816" s="4317"/>
      <c r="DJ816" s="4317"/>
      <c r="DK816" s="4317"/>
      <c r="DL816" s="4317"/>
      <c r="DM816" s="4317"/>
      <c r="DN816" s="4317"/>
      <c r="DO816" s="4317"/>
      <c r="DP816" s="4317"/>
      <c r="DQ816" s="4317"/>
      <c r="DR816" s="4317"/>
      <c r="DS816" s="4317"/>
    </row>
    <row r="817" s="4134" customFormat="1" ht="17.25" customHeight="1" spans="1:123">
      <c r="A817" s="4696" t="s">
        <v>5539</v>
      </c>
      <c r="B817" s="4697"/>
      <c r="C817" s="4697"/>
      <c r="D817" s="4697"/>
      <c r="E817" s="4697"/>
      <c r="F817" s="4534"/>
      <c r="G817" s="4535"/>
      <c r="H817" s="4535"/>
      <c r="I817" s="4535"/>
      <c r="J817" s="4535"/>
      <c r="K817" s="4535"/>
      <c r="L817" s="4536"/>
      <c r="M817" s="4317"/>
      <c r="N817" s="4317"/>
      <c r="O817" s="4317"/>
      <c r="P817" s="4317"/>
      <c r="Q817" s="4317"/>
      <c r="R817" s="4317"/>
      <c r="S817" s="4317"/>
      <c r="T817" s="4319" t="s">
        <v>5540</v>
      </c>
      <c r="U817" s="4317"/>
      <c r="V817" s="4317"/>
      <c r="W817" s="4317"/>
      <c r="X817" s="4317"/>
      <c r="Y817" s="4653"/>
      <c r="Z817" s="4653"/>
      <c r="AA817" s="4653"/>
      <c r="AB817" s="4317"/>
      <c r="AC817" s="4295"/>
      <c r="AD817" s="4653"/>
      <c r="AE817" s="4653"/>
      <c r="AF817" s="4653"/>
      <c r="AG817" s="4319"/>
      <c r="AH817" s="4317"/>
      <c r="AI817" s="4317"/>
      <c r="AJ817" s="4317"/>
      <c r="AK817" s="4317"/>
      <c r="AL817" s="4317"/>
      <c r="AM817" s="4317"/>
      <c r="AN817" s="4317"/>
      <c r="AO817" s="4317"/>
      <c r="AP817" s="4317"/>
      <c r="AQ817" s="4317"/>
      <c r="AR817" s="4317"/>
      <c r="AS817" s="4317"/>
      <c r="AT817" s="4317"/>
      <c r="AU817" s="4317"/>
      <c r="AV817" s="4317"/>
      <c r="AW817" s="4317"/>
      <c r="AX817" s="4317"/>
      <c r="AY817" s="4317"/>
      <c r="AZ817" s="4317"/>
      <c r="BA817" s="4317"/>
      <c r="BB817" s="4317"/>
      <c r="BC817" s="4317"/>
      <c r="BD817" s="4317"/>
      <c r="BE817" s="4317"/>
      <c r="BF817" s="4317"/>
      <c r="BG817" s="4317"/>
      <c r="BH817" s="4317"/>
      <c r="BI817" s="4317"/>
      <c r="BJ817" s="4317"/>
      <c r="BK817" s="4317"/>
      <c r="BL817" s="4317"/>
      <c r="BM817" s="4317"/>
      <c r="BN817" s="4317"/>
      <c r="BO817" s="4317"/>
      <c r="BP817" s="4317"/>
      <c r="BQ817" s="4317"/>
      <c r="BR817" s="4317"/>
      <c r="BS817" s="4317"/>
      <c r="BT817" s="4317"/>
      <c r="BU817" s="4317"/>
      <c r="BV817" s="4317"/>
      <c r="BW817" s="4317"/>
      <c r="BX817" s="4317"/>
      <c r="BY817" s="4317"/>
      <c r="BZ817" s="4317"/>
      <c r="CA817" s="4317"/>
      <c r="CB817" s="4317"/>
      <c r="CC817" s="4317"/>
      <c r="CD817" s="4317"/>
      <c r="CE817" s="4317"/>
      <c r="CF817" s="4317"/>
      <c r="CG817" s="4317"/>
      <c r="CH817" s="4317"/>
      <c r="CI817" s="4317"/>
      <c r="CJ817" s="4317"/>
      <c r="CK817" s="4317"/>
      <c r="CL817" s="4317"/>
      <c r="CM817" s="4317"/>
      <c r="CN817" s="4317"/>
      <c r="CO817" s="4317"/>
      <c r="CP817" s="4317"/>
      <c r="CQ817" s="4317"/>
      <c r="CR817" s="4317"/>
      <c r="CS817" s="4317"/>
      <c r="CT817" s="4317"/>
      <c r="CU817" s="4317"/>
      <c r="CV817" s="4317"/>
      <c r="CW817" s="4317"/>
      <c r="CX817" s="4317"/>
      <c r="CY817" s="4317"/>
      <c r="CZ817" s="4317"/>
      <c r="DA817" s="4317"/>
      <c r="DB817" s="4317"/>
      <c r="DC817" s="4317"/>
      <c r="DD817" s="4317"/>
      <c r="DE817" s="4317"/>
      <c r="DF817" s="4317"/>
      <c r="DG817" s="4317"/>
      <c r="DH817" s="4317"/>
      <c r="DI817" s="4317"/>
      <c r="DJ817" s="4317"/>
      <c r="DK817" s="4317"/>
      <c r="DL817" s="4317"/>
      <c r="DM817" s="4317"/>
      <c r="DN817" s="4317"/>
      <c r="DO817" s="4317"/>
      <c r="DP817" s="4317"/>
      <c r="DQ817" s="4317"/>
      <c r="DR817" s="4317"/>
      <c r="DS817" s="4317"/>
    </row>
    <row r="818" s="4134" customFormat="1" ht="17.25" customHeight="1" spans="1:123">
      <c r="A818" s="4696" t="s">
        <v>5541</v>
      </c>
      <c r="B818" s="4697"/>
      <c r="C818" s="4697"/>
      <c r="D818" s="4697"/>
      <c r="E818" s="4697"/>
      <c r="F818" s="4534">
        <v>7050</v>
      </c>
      <c r="G818" s="4535"/>
      <c r="H818" s="4535"/>
      <c r="I818" s="4535"/>
      <c r="J818" s="4535"/>
      <c r="K818" s="4535"/>
      <c r="L818" s="4536"/>
      <c r="M818" s="4317"/>
      <c r="N818" s="4317"/>
      <c r="O818" s="4317"/>
      <c r="P818" s="4317"/>
      <c r="Q818" s="4317"/>
      <c r="R818" s="4317"/>
      <c r="S818" s="4317"/>
      <c r="T818" s="4319" t="s">
        <v>5542</v>
      </c>
      <c r="U818" s="4317"/>
      <c r="V818" s="4317"/>
      <c r="W818" s="4317"/>
      <c r="X818" s="4317"/>
      <c r="Y818" s="4653"/>
      <c r="Z818" s="4653"/>
      <c r="AA818" s="4653"/>
      <c r="AB818" s="4317"/>
      <c r="AC818" s="4295"/>
      <c r="AD818" s="4653"/>
      <c r="AE818" s="4653"/>
      <c r="AF818" s="4653"/>
      <c r="AG818" s="4319"/>
      <c r="AH818" s="4317"/>
      <c r="AI818" s="4317"/>
      <c r="AJ818" s="4317"/>
      <c r="AK818" s="4317"/>
      <c r="AL818" s="4317"/>
      <c r="AM818" s="4317"/>
      <c r="AN818" s="4317"/>
      <c r="AO818" s="4317"/>
      <c r="AP818" s="4317"/>
      <c r="AQ818" s="4317"/>
      <c r="AR818" s="4317"/>
      <c r="AS818" s="4317"/>
      <c r="AT818" s="4317"/>
      <c r="AU818" s="4317"/>
      <c r="AV818" s="4317"/>
      <c r="AW818" s="4317"/>
      <c r="AX818" s="4317"/>
      <c r="AY818" s="4317"/>
      <c r="AZ818" s="4317"/>
      <c r="BA818" s="4317"/>
      <c r="BB818" s="4317"/>
      <c r="BC818" s="4317"/>
      <c r="BD818" s="4317"/>
      <c r="BE818" s="4317"/>
      <c r="BF818" s="4317"/>
      <c r="BG818" s="4317"/>
      <c r="BH818" s="4317"/>
      <c r="BI818" s="4317"/>
      <c r="BJ818" s="4317"/>
      <c r="BK818" s="4317"/>
      <c r="BL818" s="4317"/>
      <c r="BM818" s="4317"/>
      <c r="BN818" s="4317"/>
      <c r="BO818" s="4317"/>
      <c r="BP818" s="4317"/>
      <c r="BQ818" s="4317"/>
      <c r="BR818" s="4317"/>
      <c r="BS818" s="4317"/>
      <c r="BT818" s="4317"/>
      <c r="BU818" s="4317"/>
      <c r="BV818" s="4317"/>
      <c r="BW818" s="4317"/>
      <c r="BX818" s="4317"/>
      <c r="BY818" s="4317"/>
      <c r="BZ818" s="4317"/>
      <c r="CA818" s="4317"/>
      <c r="CB818" s="4317"/>
      <c r="CC818" s="4317"/>
      <c r="CD818" s="4317"/>
      <c r="CE818" s="4317"/>
      <c r="CF818" s="4317"/>
      <c r="CG818" s="4317"/>
      <c r="CH818" s="4317"/>
      <c r="CI818" s="4317"/>
      <c r="CJ818" s="4317"/>
      <c r="CK818" s="4317"/>
      <c r="CL818" s="4317"/>
      <c r="CM818" s="4317"/>
      <c r="CN818" s="4317"/>
      <c r="CO818" s="4317"/>
      <c r="CP818" s="4317"/>
      <c r="CQ818" s="4317"/>
      <c r="CR818" s="4317"/>
      <c r="CS818" s="4317"/>
      <c r="CT818" s="4317"/>
      <c r="CU818" s="4317"/>
      <c r="CV818" s="4317"/>
      <c r="CW818" s="4317"/>
      <c r="CX818" s="4317"/>
      <c r="CY818" s="4317"/>
      <c r="CZ818" s="4317"/>
      <c r="DA818" s="4317"/>
      <c r="DB818" s="4317"/>
      <c r="DC818" s="4317"/>
      <c r="DD818" s="4317"/>
      <c r="DE818" s="4317"/>
      <c r="DF818" s="4317"/>
      <c r="DG818" s="4317"/>
      <c r="DH818" s="4317"/>
      <c r="DI818" s="4317"/>
      <c r="DJ818" s="4317"/>
      <c r="DK818" s="4317"/>
      <c r="DL818" s="4317"/>
      <c r="DM818" s="4317"/>
      <c r="DN818" s="4317"/>
      <c r="DO818" s="4317"/>
      <c r="DP818" s="4317"/>
      <c r="DQ818" s="4317"/>
      <c r="DR818" s="4317"/>
      <c r="DS818" s="4317"/>
    </row>
    <row r="819" s="4134" customFormat="1" ht="17.25" customHeight="1" spans="1:123">
      <c r="A819" s="4696" t="s">
        <v>5543</v>
      </c>
      <c r="B819" s="4697"/>
      <c r="C819" s="4697"/>
      <c r="D819" s="4697"/>
      <c r="E819" s="4697"/>
      <c r="F819" s="4534">
        <v>6867</v>
      </c>
      <c r="G819" s="4535"/>
      <c r="H819" s="4535"/>
      <c r="I819" s="4535"/>
      <c r="J819" s="4535"/>
      <c r="K819" s="4535"/>
      <c r="L819" s="4536"/>
      <c r="M819" s="4317"/>
      <c r="N819" s="4317"/>
      <c r="O819" s="4317"/>
      <c r="P819" s="4317"/>
      <c r="Q819" s="4317"/>
      <c r="R819" s="4317"/>
      <c r="S819" s="4317"/>
      <c r="T819" s="4319" t="s">
        <v>5544</v>
      </c>
      <c r="U819" s="4317"/>
      <c r="V819" s="4317"/>
      <c r="W819" s="4317"/>
      <c r="X819" s="4317"/>
      <c r="Y819" s="4653"/>
      <c r="Z819" s="4653"/>
      <c r="AA819" s="4653"/>
      <c r="AB819" s="4317"/>
      <c r="AC819" s="4295"/>
      <c r="AD819" s="4653"/>
      <c r="AE819" s="4653"/>
      <c r="AF819" s="4653"/>
      <c r="AG819" s="4319"/>
      <c r="AH819" s="4317"/>
      <c r="AI819" s="4317"/>
      <c r="AJ819" s="4317"/>
      <c r="AK819" s="4317"/>
      <c r="AL819" s="4317"/>
      <c r="AM819" s="4317"/>
      <c r="AN819" s="4317"/>
      <c r="AO819" s="4317"/>
      <c r="AP819" s="4317"/>
      <c r="AQ819" s="4317"/>
      <c r="AR819" s="4317"/>
      <c r="AS819" s="4317"/>
      <c r="AT819" s="4317"/>
      <c r="AU819" s="4317"/>
      <c r="AV819" s="4317"/>
      <c r="AW819" s="4317"/>
      <c r="AX819" s="4317"/>
      <c r="AY819" s="4317"/>
      <c r="AZ819" s="4317"/>
      <c r="BA819" s="4317"/>
      <c r="BB819" s="4317"/>
      <c r="BC819" s="4317"/>
      <c r="BD819" s="4317"/>
      <c r="BE819" s="4317"/>
      <c r="BF819" s="4317"/>
      <c r="BG819" s="4317"/>
      <c r="BH819" s="4317"/>
      <c r="BI819" s="4317"/>
      <c r="BJ819" s="4317"/>
      <c r="BK819" s="4317"/>
      <c r="BL819" s="4317"/>
      <c r="BM819" s="4317"/>
      <c r="BN819" s="4317"/>
      <c r="BO819" s="4317"/>
      <c r="BP819" s="4317"/>
      <c r="BQ819" s="4317"/>
      <c r="BR819" s="4317"/>
      <c r="BS819" s="4317"/>
      <c r="BT819" s="4317"/>
      <c r="BU819" s="4317"/>
      <c r="BV819" s="4317"/>
      <c r="BW819" s="4317"/>
      <c r="BX819" s="4317"/>
      <c r="BY819" s="4317"/>
      <c r="BZ819" s="4317"/>
      <c r="CA819" s="4317"/>
      <c r="CB819" s="4317"/>
      <c r="CC819" s="4317"/>
      <c r="CD819" s="4317"/>
      <c r="CE819" s="4317"/>
      <c r="CF819" s="4317"/>
      <c r="CG819" s="4317"/>
      <c r="CH819" s="4317"/>
      <c r="CI819" s="4317"/>
      <c r="CJ819" s="4317"/>
      <c r="CK819" s="4317"/>
      <c r="CL819" s="4317"/>
      <c r="CM819" s="4317"/>
      <c r="CN819" s="4317"/>
      <c r="CO819" s="4317"/>
      <c r="CP819" s="4317"/>
      <c r="CQ819" s="4317"/>
      <c r="CR819" s="4317"/>
      <c r="CS819" s="4317"/>
      <c r="CT819" s="4317"/>
      <c r="CU819" s="4317"/>
      <c r="CV819" s="4317"/>
      <c r="CW819" s="4317"/>
      <c r="CX819" s="4317"/>
      <c r="CY819" s="4317"/>
      <c r="CZ819" s="4317"/>
      <c r="DA819" s="4317"/>
      <c r="DB819" s="4317"/>
      <c r="DC819" s="4317"/>
      <c r="DD819" s="4317"/>
      <c r="DE819" s="4317"/>
      <c r="DF819" s="4317"/>
      <c r="DG819" s="4317"/>
      <c r="DH819" s="4317"/>
      <c r="DI819" s="4317"/>
      <c r="DJ819" s="4317"/>
      <c r="DK819" s="4317"/>
      <c r="DL819" s="4317"/>
      <c r="DM819" s="4317"/>
      <c r="DN819" s="4317"/>
      <c r="DO819" s="4317"/>
      <c r="DP819" s="4317"/>
      <c r="DQ819" s="4317"/>
      <c r="DR819" s="4317"/>
      <c r="DS819" s="4317"/>
    </row>
    <row r="820" s="4134" customFormat="1" ht="17.25" customHeight="1" spans="1:123">
      <c r="A820" s="4696" t="s">
        <v>5545</v>
      </c>
      <c r="B820" s="4697"/>
      <c r="C820" s="4697"/>
      <c r="D820" s="4697"/>
      <c r="E820" s="4697"/>
      <c r="F820" s="4534">
        <v>6403</v>
      </c>
      <c r="G820" s="4535"/>
      <c r="H820" s="4535"/>
      <c r="I820" s="4535"/>
      <c r="J820" s="4535"/>
      <c r="K820" s="4535"/>
      <c r="L820" s="4536"/>
      <c r="M820" s="4317"/>
      <c r="N820" s="4317"/>
      <c r="O820" s="4317"/>
      <c r="P820" s="4317"/>
      <c r="Q820" s="4317"/>
      <c r="R820" s="4317"/>
      <c r="S820" s="4317"/>
      <c r="T820" s="4319" t="s">
        <v>5546</v>
      </c>
      <c r="U820" s="4317"/>
      <c r="V820" s="4317"/>
      <c r="W820" s="4317"/>
      <c r="X820" s="4317"/>
      <c r="Y820" s="4653"/>
      <c r="Z820" s="4653"/>
      <c r="AA820" s="4653"/>
      <c r="AB820" s="4317"/>
      <c r="AC820" s="4295"/>
      <c r="AD820" s="4653"/>
      <c r="AE820" s="4653"/>
      <c r="AF820" s="4653"/>
      <c r="AG820" s="4319"/>
      <c r="AH820" s="4317"/>
      <c r="AI820" s="4317"/>
      <c r="AJ820" s="4317"/>
      <c r="AK820" s="4317"/>
      <c r="AL820" s="4317"/>
      <c r="AM820" s="4317"/>
      <c r="AN820" s="4317"/>
      <c r="AO820" s="4317"/>
      <c r="AP820" s="4317"/>
      <c r="AQ820" s="4317"/>
      <c r="AR820" s="4317"/>
      <c r="AS820" s="4317"/>
      <c r="AT820" s="4317"/>
      <c r="AU820" s="4317"/>
      <c r="AV820" s="4317"/>
      <c r="AW820" s="4317"/>
      <c r="AX820" s="4317"/>
      <c r="AY820" s="4317"/>
      <c r="AZ820" s="4317"/>
      <c r="BA820" s="4317"/>
      <c r="BB820" s="4317"/>
      <c r="BC820" s="4317"/>
      <c r="BD820" s="4317"/>
      <c r="BE820" s="4317"/>
      <c r="BF820" s="4317"/>
      <c r="BG820" s="4317"/>
      <c r="BH820" s="4317"/>
      <c r="BI820" s="4317"/>
      <c r="BJ820" s="4317"/>
      <c r="BK820" s="4317"/>
      <c r="BL820" s="4317"/>
      <c r="BM820" s="4317"/>
      <c r="BN820" s="4317"/>
      <c r="BO820" s="4317"/>
      <c r="BP820" s="4317"/>
      <c r="BQ820" s="4317"/>
      <c r="BR820" s="4317"/>
      <c r="BS820" s="4317"/>
      <c r="BT820" s="4317"/>
      <c r="BU820" s="4317"/>
      <c r="BV820" s="4317"/>
      <c r="BW820" s="4317"/>
      <c r="BX820" s="4317"/>
      <c r="BY820" s="4317"/>
      <c r="BZ820" s="4317"/>
      <c r="CA820" s="4317"/>
      <c r="CB820" s="4317"/>
      <c r="CC820" s="4317"/>
      <c r="CD820" s="4317"/>
      <c r="CE820" s="4317"/>
      <c r="CF820" s="4317"/>
      <c r="CG820" s="4317"/>
      <c r="CH820" s="4317"/>
      <c r="CI820" s="4317"/>
      <c r="CJ820" s="4317"/>
      <c r="CK820" s="4317"/>
      <c r="CL820" s="4317"/>
      <c r="CM820" s="4317"/>
      <c r="CN820" s="4317"/>
      <c r="CO820" s="4317"/>
      <c r="CP820" s="4317"/>
      <c r="CQ820" s="4317"/>
      <c r="CR820" s="4317"/>
      <c r="CS820" s="4317"/>
      <c r="CT820" s="4317"/>
      <c r="CU820" s="4317"/>
      <c r="CV820" s="4317"/>
      <c r="CW820" s="4317"/>
      <c r="CX820" s="4317"/>
      <c r="CY820" s="4317"/>
      <c r="CZ820" s="4317"/>
      <c r="DA820" s="4317"/>
      <c r="DB820" s="4317"/>
      <c r="DC820" s="4317"/>
      <c r="DD820" s="4317"/>
      <c r="DE820" s="4317"/>
      <c r="DF820" s="4317"/>
      <c r="DG820" s="4317"/>
      <c r="DH820" s="4317"/>
      <c r="DI820" s="4317"/>
      <c r="DJ820" s="4317"/>
      <c r="DK820" s="4317"/>
      <c r="DL820" s="4317"/>
      <c r="DM820" s="4317"/>
      <c r="DN820" s="4317"/>
      <c r="DO820" s="4317"/>
      <c r="DP820" s="4317"/>
      <c r="DQ820" s="4317"/>
      <c r="DR820" s="4317"/>
      <c r="DS820" s="4317"/>
    </row>
    <row r="821" s="4134" customFormat="1" ht="17.25" customHeight="1" spans="1:123">
      <c r="A821" s="4696" t="s">
        <v>5547</v>
      </c>
      <c r="B821" s="4697"/>
      <c r="C821" s="4697"/>
      <c r="D821" s="4697"/>
      <c r="E821" s="4697"/>
      <c r="F821" s="4534"/>
      <c r="G821" s="4535"/>
      <c r="H821" s="4535"/>
      <c r="I821" s="4535"/>
      <c r="J821" s="4535"/>
      <c r="K821" s="4535"/>
      <c r="L821" s="4536"/>
      <c r="M821" s="4317"/>
      <c r="N821" s="4317"/>
      <c r="O821" s="4317"/>
      <c r="P821" s="4317"/>
      <c r="Q821" s="4317"/>
      <c r="R821" s="4317"/>
      <c r="S821" s="4317"/>
      <c r="T821" s="4319" t="s">
        <v>5548</v>
      </c>
      <c r="U821" s="4317"/>
      <c r="V821" s="4317"/>
      <c r="W821" s="4317"/>
      <c r="X821" s="4317"/>
      <c r="Y821" s="4653"/>
      <c r="Z821" s="4653"/>
      <c r="AA821" s="4653"/>
      <c r="AB821" s="4317"/>
      <c r="AC821" s="4295"/>
      <c r="AD821" s="4653"/>
      <c r="AE821" s="4653"/>
      <c r="AF821" s="4653"/>
      <c r="AG821" s="4319"/>
      <c r="AH821" s="4317"/>
      <c r="AI821" s="4317"/>
      <c r="AJ821" s="4317"/>
      <c r="AK821" s="4317"/>
      <c r="AL821" s="4317"/>
      <c r="AM821" s="4317"/>
      <c r="AN821" s="4317"/>
      <c r="AO821" s="4317"/>
      <c r="AP821" s="4317"/>
      <c r="AQ821" s="4317"/>
      <c r="AR821" s="4317"/>
      <c r="AS821" s="4317"/>
      <c r="AT821" s="4317"/>
      <c r="AU821" s="4317"/>
      <c r="AV821" s="4317"/>
      <c r="AW821" s="4317"/>
      <c r="AX821" s="4317"/>
      <c r="AY821" s="4317"/>
      <c r="AZ821" s="4317"/>
      <c r="BA821" s="4317"/>
      <c r="BB821" s="4317"/>
      <c r="BC821" s="4317"/>
      <c r="BD821" s="4317"/>
      <c r="BE821" s="4317"/>
      <c r="BF821" s="4317"/>
      <c r="BG821" s="4317"/>
      <c r="BH821" s="4317"/>
      <c r="BI821" s="4317"/>
      <c r="BJ821" s="4317"/>
      <c r="BK821" s="4317"/>
      <c r="BL821" s="4317"/>
      <c r="BM821" s="4317"/>
      <c r="BN821" s="4317"/>
      <c r="BO821" s="4317"/>
      <c r="BP821" s="4317"/>
      <c r="BQ821" s="4317"/>
      <c r="BR821" s="4317"/>
      <c r="BS821" s="4317"/>
      <c r="BT821" s="4317"/>
      <c r="BU821" s="4317"/>
      <c r="BV821" s="4317"/>
      <c r="BW821" s="4317"/>
      <c r="BX821" s="4317"/>
      <c r="BY821" s="4317"/>
      <c r="BZ821" s="4317"/>
      <c r="CA821" s="4317"/>
      <c r="CB821" s="4317"/>
      <c r="CC821" s="4317"/>
      <c r="CD821" s="4317"/>
      <c r="CE821" s="4317"/>
      <c r="CF821" s="4317"/>
      <c r="CG821" s="4317"/>
      <c r="CH821" s="4317"/>
      <c r="CI821" s="4317"/>
      <c r="CJ821" s="4317"/>
      <c r="CK821" s="4317"/>
      <c r="CL821" s="4317"/>
      <c r="CM821" s="4317"/>
      <c r="CN821" s="4317"/>
      <c r="CO821" s="4317"/>
      <c r="CP821" s="4317"/>
      <c r="CQ821" s="4317"/>
      <c r="CR821" s="4317"/>
      <c r="CS821" s="4317"/>
      <c r="CT821" s="4317"/>
      <c r="CU821" s="4317"/>
      <c r="CV821" s="4317"/>
      <c r="CW821" s="4317"/>
      <c r="CX821" s="4317"/>
      <c r="CY821" s="4317"/>
      <c r="CZ821" s="4317"/>
      <c r="DA821" s="4317"/>
      <c r="DB821" s="4317"/>
      <c r="DC821" s="4317"/>
      <c r="DD821" s="4317"/>
      <c r="DE821" s="4317"/>
      <c r="DF821" s="4317"/>
      <c r="DG821" s="4317"/>
      <c r="DH821" s="4317"/>
      <c r="DI821" s="4317"/>
      <c r="DJ821" s="4317"/>
      <c r="DK821" s="4317"/>
      <c r="DL821" s="4317"/>
      <c r="DM821" s="4317"/>
      <c r="DN821" s="4317"/>
      <c r="DO821" s="4317"/>
      <c r="DP821" s="4317"/>
      <c r="DQ821" s="4317"/>
      <c r="DR821" s="4317"/>
      <c r="DS821" s="4317"/>
    </row>
    <row r="822" s="4134" customFormat="1" ht="17.25" customHeight="1" spans="1:123">
      <c r="A822" s="4696" t="s">
        <v>5549</v>
      </c>
      <c r="B822" s="4697"/>
      <c r="C822" s="4697"/>
      <c r="D822" s="4697"/>
      <c r="E822" s="4697"/>
      <c r="F822" s="4534"/>
      <c r="G822" s="4535"/>
      <c r="H822" s="4535"/>
      <c r="I822" s="4535"/>
      <c r="J822" s="4535"/>
      <c r="K822" s="4535"/>
      <c r="L822" s="4536"/>
      <c r="M822" s="4317"/>
      <c r="N822" s="4317"/>
      <c r="O822" s="4317"/>
      <c r="P822" s="4317"/>
      <c r="Q822" s="4317"/>
      <c r="R822" s="4317"/>
      <c r="S822" s="4317"/>
      <c r="T822" s="4319" t="s">
        <v>5550</v>
      </c>
      <c r="U822" s="4317"/>
      <c r="V822" s="4317"/>
      <c r="W822" s="4317"/>
      <c r="X822" s="4317"/>
      <c r="Y822" s="4653"/>
      <c r="Z822" s="4653"/>
      <c r="AA822" s="4653"/>
      <c r="AB822" s="4317"/>
      <c r="AC822" s="4295"/>
      <c r="AD822" s="4653"/>
      <c r="AE822" s="4653"/>
      <c r="AF822" s="4653"/>
      <c r="AG822" s="4319"/>
      <c r="AH822" s="4317"/>
      <c r="AI822" s="4317"/>
      <c r="AJ822" s="4317"/>
      <c r="AK822" s="4317"/>
      <c r="AL822" s="4317"/>
      <c r="AM822" s="4317"/>
      <c r="AN822" s="4317"/>
      <c r="AO822" s="4317"/>
      <c r="AP822" s="4317"/>
      <c r="AQ822" s="4317"/>
      <c r="AR822" s="4317"/>
      <c r="AS822" s="4317"/>
      <c r="AT822" s="4317"/>
      <c r="AU822" s="4317"/>
      <c r="AV822" s="4317"/>
      <c r="AW822" s="4317"/>
      <c r="AX822" s="4317"/>
      <c r="AY822" s="4317"/>
      <c r="AZ822" s="4317"/>
      <c r="BA822" s="4317"/>
      <c r="BB822" s="4317"/>
      <c r="BC822" s="4317"/>
      <c r="BD822" s="4317"/>
      <c r="BE822" s="4317"/>
      <c r="BF822" s="4317"/>
      <c r="BG822" s="4317"/>
      <c r="BH822" s="4317"/>
      <c r="BI822" s="4317"/>
      <c r="BJ822" s="4317"/>
      <c r="BK822" s="4317"/>
      <c r="BL822" s="4317"/>
      <c r="BM822" s="4317"/>
      <c r="BN822" s="4317"/>
      <c r="BO822" s="4317"/>
      <c r="BP822" s="4317"/>
      <c r="BQ822" s="4317"/>
      <c r="BR822" s="4317"/>
      <c r="BS822" s="4317"/>
      <c r="BT822" s="4317"/>
      <c r="BU822" s="4317"/>
      <c r="BV822" s="4317"/>
      <c r="BW822" s="4317"/>
      <c r="BX822" s="4317"/>
      <c r="BY822" s="4317"/>
      <c r="BZ822" s="4317"/>
      <c r="CA822" s="4317"/>
      <c r="CB822" s="4317"/>
      <c r="CC822" s="4317"/>
      <c r="CD822" s="4317"/>
      <c r="CE822" s="4317"/>
      <c r="CF822" s="4317"/>
      <c r="CG822" s="4317"/>
      <c r="CH822" s="4317"/>
      <c r="CI822" s="4317"/>
      <c r="CJ822" s="4317"/>
      <c r="CK822" s="4317"/>
      <c r="CL822" s="4317"/>
      <c r="CM822" s="4317"/>
      <c r="CN822" s="4317"/>
      <c r="CO822" s="4317"/>
      <c r="CP822" s="4317"/>
      <c r="CQ822" s="4317"/>
      <c r="CR822" s="4317"/>
      <c r="CS822" s="4317"/>
      <c r="CT822" s="4317"/>
      <c r="CU822" s="4317"/>
      <c r="CV822" s="4317"/>
      <c r="CW822" s="4317"/>
      <c r="CX822" s="4317"/>
      <c r="CY822" s="4317"/>
      <c r="CZ822" s="4317"/>
      <c r="DA822" s="4317"/>
      <c r="DB822" s="4317"/>
      <c r="DC822" s="4317"/>
      <c r="DD822" s="4317"/>
      <c r="DE822" s="4317"/>
      <c r="DF822" s="4317"/>
      <c r="DG822" s="4317"/>
      <c r="DH822" s="4317"/>
      <c r="DI822" s="4317"/>
      <c r="DJ822" s="4317"/>
      <c r="DK822" s="4317"/>
      <c r="DL822" s="4317"/>
      <c r="DM822" s="4317"/>
      <c r="DN822" s="4317"/>
      <c r="DO822" s="4317"/>
      <c r="DP822" s="4317"/>
      <c r="DQ822" s="4317"/>
      <c r="DR822" s="4317"/>
      <c r="DS822" s="4317"/>
    </row>
    <row r="823" s="4134" customFormat="1" ht="17.25" customHeight="1" spans="1:123">
      <c r="A823" s="4696" t="s">
        <v>5551</v>
      </c>
      <c r="B823" s="4697"/>
      <c r="C823" s="4697"/>
      <c r="D823" s="4697"/>
      <c r="E823" s="4697"/>
      <c r="F823" s="4534"/>
      <c r="G823" s="4535"/>
      <c r="H823" s="4535"/>
      <c r="I823" s="4535"/>
      <c r="J823" s="4535"/>
      <c r="K823" s="4535"/>
      <c r="L823" s="4536"/>
      <c r="M823" s="4317"/>
      <c r="N823" s="4317"/>
      <c r="O823" s="4317"/>
      <c r="P823" s="4317"/>
      <c r="Q823" s="4317"/>
      <c r="R823" s="4317"/>
      <c r="S823" s="4317"/>
      <c r="T823" s="4319" t="s">
        <v>5552</v>
      </c>
      <c r="U823" s="4317"/>
      <c r="V823" s="4317"/>
      <c r="W823" s="4317"/>
      <c r="X823" s="4317"/>
      <c r="Y823" s="4653"/>
      <c r="Z823" s="4653"/>
      <c r="AA823" s="4653"/>
      <c r="AB823" s="4317"/>
      <c r="AC823" s="4295"/>
      <c r="AD823" s="4653"/>
      <c r="AE823" s="4653"/>
      <c r="AF823" s="4653"/>
      <c r="AG823" s="4319"/>
      <c r="AH823" s="4317"/>
      <c r="AI823" s="4317"/>
      <c r="AJ823" s="4317"/>
      <c r="AK823" s="4317"/>
      <c r="AL823" s="4317"/>
      <c r="AM823" s="4317"/>
      <c r="AN823" s="4317"/>
      <c r="AO823" s="4317"/>
      <c r="AP823" s="4317"/>
      <c r="AQ823" s="4317"/>
      <c r="AR823" s="4317"/>
      <c r="AS823" s="4317"/>
      <c r="AT823" s="4317"/>
      <c r="AU823" s="4317"/>
      <c r="AV823" s="4317"/>
      <c r="AW823" s="4317"/>
      <c r="AX823" s="4317"/>
      <c r="AY823" s="4317"/>
      <c r="AZ823" s="4317"/>
      <c r="BA823" s="4317"/>
      <c r="BB823" s="4317"/>
      <c r="BC823" s="4317"/>
      <c r="BD823" s="4317"/>
      <c r="BE823" s="4317"/>
      <c r="BF823" s="4317"/>
      <c r="BG823" s="4317"/>
      <c r="BH823" s="4317"/>
      <c r="BI823" s="4317"/>
      <c r="BJ823" s="4317"/>
      <c r="BK823" s="4317"/>
      <c r="BL823" s="4317"/>
      <c r="BM823" s="4317"/>
      <c r="BN823" s="4317"/>
      <c r="BO823" s="4317"/>
      <c r="BP823" s="4317"/>
      <c r="BQ823" s="4317"/>
      <c r="BR823" s="4317"/>
      <c r="BS823" s="4317"/>
      <c r="BT823" s="4317"/>
      <c r="BU823" s="4317"/>
      <c r="BV823" s="4317"/>
      <c r="BW823" s="4317"/>
      <c r="BX823" s="4317"/>
      <c r="BY823" s="4317"/>
      <c r="BZ823" s="4317"/>
      <c r="CA823" s="4317"/>
      <c r="CB823" s="4317"/>
      <c r="CC823" s="4317"/>
      <c r="CD823" s="4317"/>
      <c r="CE823" s="4317"/>
      <c r="CF823" s="4317"/>
      <c r="CG823" s="4317"/>
      <c r="CH823" s="4317"/>
      <c r="CI823" s="4317"/>
      <c r="CJ823" s="4317"/>
      <c r="CK823" s="4317"/>
      <c r="CL823" s="4317"/>
      <c r="CM823" s="4317"/>
      <c r="CN823" s="4317"/>
      <c r="CO823" s="4317"/>
      <c r="CP823" s="4317"/>
      <c r="CQ823" s="4317"/>
      <c r="CR823" s="4317"/>
      <c r="CS823" s="4317"/>
      <c r="CT823" s="4317"/>
      <c r="CU823" s="4317"/>
      <c r="CV823" s="4317"/>
      <c r="CW823" s="4317"/>
      <c r="CX823" s="4317"/>
      <c r="CY823" s="4317"/>
      <c r="CZ823" s="4317"/>
      <c r="DA823" s="4317"/>
      <c r="DB823" s="4317"/>
      <c r="DC823" s="4317"/>
      <c r="DD823" s="4317"/>
      <c r="DE823" s="4317"/>
      <c r="DF823" s="4317"/>
      <c r="DG823" s="4317"/>
      <c r="DH823" s="4317"/>
      <c r="DI823" s="4317"/>
      <c r="DJ823" s="4317"/>
      <c r="DK823" s="4317"/>
      <c r="DL823" s="4317"/>
      <c r="DM823" s="4317"/>
      <c r="DN823" s="4317"/>
      <c r="DO823" s="4317"/>
      <c r="DP823" s="4317"/>
      <c r="DQ823" s="4317"/>
      <c r="DR823" s="4317"/>
      <c r="DS823" s="4317"/>
    </row>
    <row r="824" s="4134" customFormat="1" ht="17.25" customHeight="1" spans="1:123">
      <c r="A824" s="4696" t="s">
        <v>5553</v>
      </c>
      <c r="B824" s="4697"/>
      <c r="C824" s="4697"/>
      <c r="D824" s="4697"/>
      <c r="E824" s="4697"/>
      <c r="F824" s="4534">
        <v>25214</v>
      </c>
      <c r="G824" s="4535"/>
      <c r="H824" s="4535"/>
      <c r="I824" s="4535"/>
      <c r="J824" s="4535"/>
      <c r="K824" s="4535"/>
      <c r="L824" s="4536"/>
      <c r="M824" s="4317"/>
      <c r="N824" s="4317"/>
      <c r="O824" s="4317"/>
      <c r="P824" s="4317"/>
      <c r="Q824" s="4317"/>
      <c r="R824" s="4317"/>
      <c r="S824" s="4317"/>
      <c r="T824" s="4319" t="s">
        <v>5554</v>
      </c>
      <c r="U824" s="4317"/>
      <c r="V824" s="4317"/>
      <c r="W824" s="4317"/>
      <c r="X824" s="4317"/>
      <c r="Y824" s="4653"/>
      <c r="Z824" s="4653"/>
      <c r="AA824" s="4653"/>
      <c r="AB824" s="4317"/>
      <c r="AC824" s="4295"/>
      <c r="AD824" s="4653"/>
      <c r="AE824" s="4653"/>
      <c r="AF824" s="4653"/>
      <c r="AG824" s="4319"/>
      <c r="AH824" s="4317"/>
      <c r="AI824" s="4317"/>
      <c r="AJ824" s="4317"/>
      <c r="AK824" s="4317"/>
      <c r="AL824" s="4317"/>
      <c r="AM824" s="4317"/>
      <c r="AN824" s="4317"/>
      <c r="AO824" s="4317"/>
      <c r="AP824" s="4317"/>
      <c r="AQ824" s="4317"/>
      <c r="AR824" s="4317"/>
      <c r="AS824" s="4317"/>
      <c r="AT824" s="4317"/>
      <c r="AU824" s="4317"/>
      <c r="AV824" s="4317"/>
      <c r="AW824" s="4317"/>
      <c r="AX824" s="4317"/>
      <c r="AY824" s="4317"/>
      <c r="AZ824" s="4317"/>
      <c r="BA824" s="4317"/>
      <c r="BB824" s="4317"/>
      <c r="BC824" s="4317"/>
      <c r="BD824" s="4317"/>
      <c r="BE824" s="4317"/>
      <c r="BF824" s="4317"/>
      <c r="BG824" s="4317"/>
      <c r="BH824" s="4317"/>
      <c r="BI824" s="4317"/>
      <c r="BJ824" s="4317"/>
      <c r="BK824" s="4317"/>
      <c r="BL824" s="4317"/>
      <c r="BM824" s="4317"/>
      <c r="BN824" s="4317"/>
      <c r="BO824" s="4317"/>
      <c r="BP824" s="4317"/>
      <c r="BQ824" s="4317"/>
      <c r="BR824" s="4317"/>
      <c r="BS824" s="4317"/>
      <c r="BT824" s="4317"/>
      <c r="BU824" s="4317"/>
      <c r="BV824" s="4317"/>
      <c r="BW824" s="4317"/>
      <c r="BX824" s="4317"/>
      <c r="BY824" s="4317"/>
      <c r="BZ824" s="4317"/>
      <c r="CA824" s="4317"/>
      <c r="CB824" s="4317"/>
      <c r="CC824" s="4317"/>
      <c r="CD824" s="4317"/>
      <c r="CE824" s="4317"/>
      <c r="CF824" s="4317"/>
      <c r="CG824" s="4317"/>
      <c r="CH824" s="4317"/>
      <c r="CI824" s="4317"/>
      <c r="CJ824" s="4317"/>
      <c r="CK824" s="4317"/>
      <c r="CL824" s="4317"/>
      <c r="CM824" s="4317"/>
      <c r="CN824" s="4317"/>
      <c r="CO824" s="4317"/>
      <c r="CP824" s="4317"/>
      <c r="CQ824" s="4317"/>
      <c r="CR824" s="4317"/>
      <c r="CS824" s="4317"/>
      <c r="CT824" s="4317"/>
      <c r="CU824" s="4317"/>
      <c r="CV824" s="4317"/>
      <c r="CW824" s="4317"/>
      <c r="CX824" s="4317"/>
      <c r="CY824" s="4317"/>
      <c r="CZ824" s="4317"/>
      <c r="DA824" s="4317"/>
      <c r="DB824" s="4317"/>
      <c r="DC824" s="4317"/>
      <c r="DD824" s="4317"/>
      <c r="DE824" s="4317"/>
      <c r="DF824" s="4317"/>
      <c r="DG824" s="4317"/>
      <c r="DH824" s="4317"/>
      <c r="DI824" s="4317"/>
      <c r="DJ824" s="4317"/>
      <c r="DK824" s="4317"/>
      <c r="DL824" s="4317"/>
      <c r="DM824" s="4317"/>
      <c r="DN824" s="4317"/>
      <c r="DO824" s="4317"/>
      <c r="DP824" s="4317"/>
      <c r="DQ824" s="4317"/>
      <c r="DR824" s="4317"/>
      <c r="DS824" s="4317"/>
    </row>
    <row r="825" s="4134" customFormat="1" ht="17.25" customHeight="1" spans="1:123">
      <c r="A825" s="4701" t="s">
        <v>792</v>
      </c>
      <c r="B825" s="4702"/>
      <c r="C825" s="4702"/>
      <c r="D825" s="4702"/>
      <c r="E825" s="4702"/>
      <c r="F825" s="4703">
        <f>SUM(F815:L824)</f>
        <v>45534</v>
      </c>
      <c r="G825" s="4703"/>
      <c r="H825" s="4703"/>
      <c r="I825" s="4703"/>
      <c r="J825" s="4703"/>
      <c r="K825" s="4703"/>
      <c r="L825" s="4703"/>
      <c r="M825" s="4317"/>
      <c r="N825" s="4317"/>
      <c r="O825" s="4317"/>
      <c r="P825" s="4317"/>
      <c r="Q825" s="4317"/>
      <c r="R825" s="4317"/>
      <c r="S825" s="4317"/>
      <c r="T825" s="4323" t="s">
        <v>5555</v>
      </c>
      <c r="U825" s="4317"/>
      <c r="V825" s="4317"/>
      <c r="W825" s="4317"/>
      <c r="X825" s="4317"/>
      <c r="Y825" s="4653"/>
      <c r="Z825" s="4653"/>
      <c r="AA825" s="4653"/>
      <c r="AB825" s="4317"/>
      <c r="AC825" s="4295"/>
      <c r="AD825" s="4653"/>
      <c r="AE825" s="4653"/>
      <c r="AF825" s="4653"/>
      <c r="AG825" s="4319"/>
      <c r="AH825" s="4317"/>
      <c r="AI825" s="4317"/>
      <c r="AJ825" s="4317"/>
      <c r="AK825" s="4317"/>
      <c r="AL825" s="4317"/>
      <c r="AM825" s="4317"/>
      <c r="AN825" s="4317"/>
      <c r="AO825" s="4317"/>
      <c r="AP825" s="4317"/>
      <c r="AQ825" s="4317"/>
      <c r="AR825" s="4317"/>
      <c r="AS825" s="4317"/>
      <c r="AT825" s="4317"/>
      <c r="AU825" s="4317"/>
      <c r="AV825" s="4317"/>
      <c r="AW825" s="4317"/>
      <c r="AX825" s="4317"/>
      <c r="AY825" s="4317"/>
      <c r="AZ825" s="4317"/>
      <c r="BA825" s="4317"/>
      <c r="BB825" s="4317"/>
      <c r="BC825" s="4317"/>
      <c r="BD825" s="4317"/>
      <c r="BE825" s="4317"/>
      <c r="BF825" s="4317"/>
      <c r="BG825" s="4317"/>
      <c r="BH825" s="4317"/>
      <c r="BI825" s="4317"/>
      <c r="BJ825" s="4317"/>
      <c r="BK825" s="4317"/>
      <c r="BL825" s="4317"/>
      <c r="BM825" s="4317"/>
      <c r="BN825" s="4317"/>
      <c r="BO825" s="4317"/>
      <c r="BP825" s="4317"/>
      <c r="BQ825" s="4317"/>
      <c r="BR825" s="4317"/>
      <c r="BS825" s="4317"/>
      <c r="BT825" s="4317"/>
      <c r="BU825" s="4317"/>
      <c r="BV825" s="4317"/>
      <c r="BW825" s="4317"/>
      <c r="BX825" s="4317"/>
      <c r="BY825" s="4317"/>
      <c r="BZ825" s="4317"/>
      <c r="CA825" s="4317"/>
      <c r="CB825" s="4317"/>
      <c r="CC825" s="4317"/>
      <c r="CD825" s="4317"/>
      <c r="CE825" s="4317"/>
      <c r="CF825" s="4317"/>
      <c r="CG825" s="4317"/>
      <c r="CH825" s="4317"/>
      <c r="CI825" s="4317"/>
      <c r="CJ825" s="4317"/>
      <c r="CK825" s="4317"/>
      <c r="CL825" s="4317"/>
      <c r="CM825" s="4317"/>
      <c r="CN825" s="4317"/>
      <c r="CO825" s="4317"/>
      <c r="CP825" s="4317"/>
      <c r="CQ825" s="4317"/>
      <c r="CR825" s="4317"/>
      <c r="CS825" s="4317"/>
      <c r="CT825" s="4317"/>
      <c r="CU825" s="4317"/>
      <c r="CV825" s="4317"/>
      <c r="CW825" s="4317"/>
      <c r="CX825" s="4317"/>
      <c r="CY825" s="4317"/>
      <c r="CZ825" s="4317"/>
      <c r="DA825" s="4317"/>
      <c r="DB825" s="4317"/>
      <c r="DC825" s="4317"/>
      <c r="DD825" s="4317"/>
      <c r="DE825" s="4317"/>
      <c r="DF825" s="4317"/>
      <c r="DG825" s="4317"/>
      <c r="DH825" s="4317"/>
      <c r="DI825" s="4317"/>
      <c r="DJ825" s="4317"/>
      <c r="DK825" s="4317"/>
      <c r="DL825" s="4317"/>
      <c r="DM825" s="4317"/>
      <c r="DN825" s="4317"/>
      <c r="DO825" s="4317"/>
      <c r="DP825" s="4317"/>
      <c r="DQ825" s="4317"/>
      <c r="DR825" s="4317"/>
      <c r="DS825" s="4317"/>
    </row>
    <row r="826" s="4134" customFormat="1" ht="17.25" customHeight="1" spans="1:123">
      <c r="A826" s="4696" t="s">
        <v>5556</v>
      </c>
      <c r="B826" s="4697"/>
      <c r="C826" s="4697"/>
      <c r="D826" s="4697"/>
      <c r="E826" s="4697"/>
      <c r="F826" s="4534"/>
      <c r="G826" s="4535"/>
      <c r="H826" s="4535"/>
      <c r="I826" s="4535"/>
      <c r="J826" s="4535"/>
      <c r="K826" s="4535"/>
      <c r="L826" s="4536"/>
      <c r="M826" s="4317"/>
      <c r="N826" s="4317"/>
      <c r="O826" s="4317"/>
      <c r="P826" s="4317"/>
      <c r="Q826" s="4317"/>
      <c r="R826" s="4317"/>
      <c r="S826" s="4317"/>
      <c r="T826" s="4319" t="s">
        <v>5557</v>
      </c>
      <c r="U826" s="4317"/>
      <c r="V826" s="4317"/>
      <c r="W826" s="4317"/>
      <c r="X826" s="4317"/>
      <c r="Y826" s="4653"/>
      <c r="Z826" s="4653"/>
      <c r="AA826" s="4653"/>
      <c r="AB826" s="4317"/>
      <c r="AC826" s="4295"/>
      <c r="AD826" s="4653"/>
      <c r="AE826" s="4653"/>
      <c r="AF826" s="4653"/>
      <c r="AG826" s="4319"/>
      <c r="AH826" s="4317"/>
      <c r="AI826" s="4317"/>
      <c r="AJ826" s="4317"/>
      <c r="AK826" s="4317"/>
      <c r="AL826" s="4317"/>
      <c r="AM826" s="4317"/>
      <c r="AN826" s="4317"/>
      <c r="AO826" s="4317"/>
      <c r="AP826" s="4317"/>
      <c r="AQ826" s="4317"/>
      <c r="AR826" s="4317"/>
      <c r="AS826" s="4317"/>
      <c r="AT826" s="4317"/>
      <c r="AU826" s="4317"/>
      <c r="AV826" s="4317"/>
      <c r="AW826" s="4317"/>
      <c r="AX826" s="4317"/>
      <c r="AY826" s="4317"/>
      <c r="AZ826" s="4317"/>
      <c r="BA826" s="4317"/>
      <c r="BB826" s="4317"/>
      <c r="BC826" s="4317"/>
      <c r="BD826" s="4317"/>
      <c r="BE826" s="4317"/>
      <c r="BF826" s="4317"/>
      <c r="BG826" s="4317"/>
      <c r="BH826" s="4317"/>
      <c r="BI826" s="4317"/>
      <c r="BJ826" s="4317"/>
      <c r="BK826" s="4317"/>
      <c r="BL826" s="4317"/>
      <c r="BM826" s="4317"/>
      <c r="BN826" s="4317"/>
      <c r="BO826" s="4317"/>
      <c r="BP826" s="4317"/>
      <c r="BQ826" s="4317"/>
      <c r="BR826" s="4317"/>
      <c r="BS826" s="4317"/>
      <c r="BT826" s="4317"/>
      <c r="BU826" s="4317"/>
      <c r="BV826" s="4317"/>
      <c r="BW826" s="4317"/>
      <c r="BX826" s="4317"/>
      <c r="BY826" s="4317"/>
      <c r="BZ826" s="4317"/>
      <c r="CA826" s="4317"/>
      <c r="CB826" s="4317"/>
      <c r="CC826" s="4317"/>
      <c r="CD826" s="4317"/>
      <c r="CE826" s="4317"/>
      <c r="CF826" s="4317"/>
      <c r="CG826" s="4317"/>
      <c r="CH826" s="4317"/>
      <c r="CI826" s="4317"/>
      <c r="CJ826" s="4317"/>
      <c r="CK826" s="4317"/>
      <c r="CL826" s="4317"/>
      <c r="CM826" s="4317"/>
      <c r="CN826" s="4317"/>
      <c r="CO826" s="4317"/>
      <c r="CP826" s="4317"/>
      <c r="CQ826" s="4317"/>
      <c r="CR826" s="4317"/>
      <c r="CS826" s="4317"/>
      <c r="CT826" s="4317"/>
      <c r="CU826" s="4317"/>
      <c r="CV826" s="4317"/>
      <c r="CW826" s="4317"/>
      <c r="CX826" s="4317"/>
      <c r="CY826" s="4317"/>
      <c r="CZ826" s="4317"/>
      <c r="DA826" s="4317"/>
      <c r="DB826" s="4317"/>
      <c r="DC826" s="4317"/>
      <c r="DD826" s="4317"/>
      <c r="DE826" s="4317"/>
      <c r="DF826" s="4317"/>
      <c r="DG826" s="4317"/>
      <c r="DH826" s="4317"/>
      <c r="DI826" s="4317"/>
      <c r="DJ826" s="4317"/>
      <c r="DK826" s="4317"/>
      <c r="DL826" s="4317"/>
      <c r="DM826" s="4317"/>
      <c r="DN826" s="4317"/>
      <c r="DO826" s="4317"/>
      <c r="DP826" s="4317"/>
      <c r="DQ826" s="4317"/>
      <c r="DR826" s="4317"/>
      <c r="DS826" s="4317"/>
    </row>
    <row r="827" s="4134" customFormat="1" ht="17.25" customHeight="1" spans="1:123">
      <c r="A827" s="4696" t="s">
        <v>5558</v>
      </c>
      <c r="B827" s="4697"/>
      <c r="C827" s="4697"/>
      <c r="D827" s="4697"/>
      <c r="E827" s="4697"/>
      <c r="F827" s="4534"/>
      <c r="G827" s="4535"/>
      <c r="H827" s="4535"/>
      <c r="I827" s="4535"/>
      <c r="J827" s="4535"/>
      <c r="K827" s="4535"/>
      <c r="L827" s="4536"/>
      <c r="M827" s="4317"/>
      <c r="N827" s="4317"/>
      <c r="O827" s="4317"/>
      <c r="P827" s="4317"/>
      <c r="Q827" s="4317"/>
      <c r="R827" s="4317"/>
      <c r="S827" s="4317"/>
      <c r="T827" s="4319" t="s">
        <v>5559</v>
      </c>
      <c r="U827" s="4317"/>
      <c r="V827" s="4317"/>
      <c r="W827" s="4317"/>
      <c r="X827" s="4317"/>
      <c r="Y827" s="4653"/>
      <c r="Z827" s="4653"/>
      <c r="AA827" s="4653"/>
      <c r="AB827" s="4317"/>
      <c r="AC827" s="4295"/>
      <c r="AD827" s="4653"/>
      <c r="AE827" s="4653"/>
      <c r="AF827" s="4653"/>
      <c r="AG827" s="4319"/>
      <c r="AH827" s="4317"/>
      <c r="AI827" s="4317"/>
      <c r="AJ827" s="4317"/>
      <c r="AK827" s="4317"/>
      <c r="AL827" s="4317"/>
      <c r="AM827" s="4317"/>
      <c r="AN827" s="4317"/>
      <c r="AO827" s="4317"/>
      <c r="AP827" s="4317"/>
      <c r="AQ827" s="4317"/>
      <c r="AR827" s="4317"/>
      <c r="AS827" s="4317"/>
      <c r="AT827" s="4317"/>
      <c r="AU827" s="4317"/>
      <c r="AV827" s="4317"/>
      <c r="AW827" s="4317"/>
      <c r="AX827" s="4317"/>
      <c r="AY827" s="4317"/>
      <c r="AZ827" s="4317"/>
      <c r="BA827" s="4317"/>
      <c r="BB827" s="4317"/>
      <c r="BC827" s="4317"/>
      <c r="BD827" s="4317"/>
      <c r="BE827" s="4317"/>
      <c r="BF827" s="4317"/>
      <c r="BG827" s="4317"/>
      <c r="BH827" s="4317"/>
      <c r="BI827" s="4317"/>
      <c r="BJ827" s="4317"/>
      <c r="BK827" s="4317"/>
      <c r="BL827" s="4317"/>
      <c r="BM827" s="4317"/>
      <c r="BN827" s="4317"/>
      <c r="BO827" s="4317"/>
      <c r="BP827" s="4317"/>
      <c r="BQ827" s="4317"/>
      <c r="BR827" s="4317"/>
      <c r="BS827" s="4317"/>
      <c r="BT827" s="4317"/>
      <c r="BU827" s="4317"/>
      <c r="BV827" s="4317"/>
      <c r="BW827" s="4317"/>
      <c r="BX827" s="4317"/>
      <c r="BY827" s="4317"/>
      <c r="BZ827" s="4317"/>
      <c r="CA827" s="4317"/>
      <c r="CB827" s="4317"/>
      <c r="CC827" s="4317"/>
      <c r="CD827" s="4317"/>
      <c r="CE827" s="4317"/>
      <c r="CF827" s="4317"/>
      <c r="CG827" s="4317"/>
      <c r="CH827" s="4317"/>
      <c r="CI827" s="4317"/>
      <c r="CJ827" s="4317"/>
      <c r="CK827" s="4317"/>
      <c r="CL827" s="4317"/>
      <c r="CM827" s="4317"/>
      <c r="CN827" s="4317"/>
      <c r="CO827" s="4317"/>
      <c r="CP827" s="4317"/>
      <c r="CQ827" s="4317"/>
      <c r="CR827" s="4317"/>
      <c r="CS827" s="4317"/>
      <c r="CT827" s="4317"/>
      <c r="CU827" s="4317"/>
      <c r="CV827" s="4317"/>
      <c r="CW827" s="4317"/>
      <c r="CX827" s="4317"/>
      <c r="CY827" s="4317"/>
      <c r="CZ827" s="4317"/>
      <c r="DA827" s="4317"/>
      <c r="DB827" s="4317"/>
      <c r="DC827" s="4317"/>
      <c r="DD827" s="4317"/>
      <c r="DE827" s="4317"/>
      <c r="DF827" s="4317"/>
      <c r="DG827" s="4317"/>
      <c r="DH827" s="4317"/>
      <c r="DI827" s="4317"/>
      <c r="DJ827" s="4317"/>
      <c r="DK827" s="4317"/>
      <c r="DL827" s="4317"/>
      <c r="DM827" s="4317"/>
      <c r="DN827" s="4317"/>
      <c r="DO827" s="4317"/>
      <c r="DP827" s="4317"/>
      <c r="DQ827" s="4317"/>
      <c r="DR827" s="4317"/>
      <c r="DS827" s="4317"/>
    </row>
    <row r="828" s="4134" customFormat="1" ht="17.25" customHeight="1" spans="1:123">
      <c r="A828" s="4696" t="s">
        <v>5560</v>
      </c>
      <c r="B828" s="4697"/>
      <c r="C828" s="4697"/>
      <c r="D828" s="4697"/>
      <c r="E828" s="4697"/>
      <c r="F828" s="4534"/>
      <c r="G828" s="4535"/>
      <c r="H828" s="4535"/>
      <c r="I828" s="4535"/>
      <c r="J828" s="4535"/>
      <c r="K828" s="4535"/>
      <c r="L828" s="4536"/>
      <c r="M828" s="4317"/>
      <c r="N828" s="4317"/>
      <c r="O828" s="4317"/>
      <c r="P828" s="4317"/>
      <c r="Q828" s="4317"/>
      <c r="R828" s="4317"/>
      <c r="S828" s="4317"/>
      <c r="T828" s="4319" t="s">
        <v>5561</v>
      </c>
      <c r="U828" s="4317"/>
      <c r="V828" s="4317"/>
      <c r="W828" s="4317"/>
      <c r="X828" s="4317"/>
      <c r="Y828" s="4653"/>
      <c r="Z828" s="4653"/>
      <c r="AA828" s="4653"/>
      <c r="AB828" s="4317"/>
      <c r="AC828" s="4295"/>
      <c r="AD828" s="4653"/>
      <c r="AE828" s="4653"/>
      <c r="AF828" s="4653"/>
      <c r="AG828" s="4319"/>
      <c r="AH828" s="4317"/>
      <c r="AI828" s="4317"/>
      <c r="AJ828" s="4317"/>
      <c r="AK828" s="4317"/>
      <c r="AL828" s="4317"/>
      <c r="AM828" s="4317"/>
      <c r="AN828" s="4317"/>
      <c r="AO828" s="4317"/>
      <c r="AP828" s="4317"/>
      <c r="AQ828" s="4317"/>
      <c r="AR828" s="4317"/>
      <c r="AS828" s="4317"/>
      <c r="AT828" s="4317"/>
      <c r="AU828" s="4317"/>
      <c r="AV828" s="4317"/>
      <c r="AW828" s="4317"/>
      <c r="AX828" s="4317"/>
      <c r="AY828" s="4317"/>
      <c r="AZ828" s="4317"/>
      <c r="BA828" s="4317"/>
      <c r="BB828" s="4317"/>
      <c r="BC828" s="4317"/>
      <c r="BD828" s="4317"/>
      <c r="BE828" s="4317"/>
      <c r="BF828" s="4317"/>
      <c r="BG828" s="4317"/>
      <c r="BH828" s="4317"/>
      <c r="BI828" s="4317"/>
      <c r="BJ828" s="4317"/>
      <c r="BK828" s="4317"/>
      <c r="BL828" s="4317"/>
      <c r="BM828" s="4317"/>
      <c r="BN828" s="4317"/>
      <c r="BO828" s="4317"/>
      <c r="BP828" s="4317"/>
      <c r="BQ828" s="4317"/>
      <c r="BR828" s="4317"/>
      <c r="BS828" s="4317"/>
      <c r="BT828" s="4317"/>
      <c r="BU828" s="4317"/>
      <c r="BV828" s="4317"/>
      <c r="BW828" s="4317"/>
      <c r="BX828" s="4317"/>
      <c r="BY828" s="4317"/>
      <c r="BZ828" s="4317"/>
      <c r="CA828" s="4317"/>
      <c r="CB828" s="4317"/>
      <c r="CC828" s="4317"/>
      <c r="CD828" s="4317"/>
      <c r="CE828" s="4317"/>
      <c r="CF828" s="4317"/>
      <c r="CG828" s="4317"/>
      <c r="CH828" s="4317"/>
      <c r="CI828" s="4317"/>
      <c r="CJ828" s="4317"/>
      <c r="CK828" s="4317"/>
      <c r="CL828" s="4317"/>
      <c r="CM828" s="4317"/>
      <c r="CN828" s="4317"/>
      <c r="CO828" s="4317"/>
      <c r="CP828" s="4317"/>
      <c r="CQ828" s="4317"/>
      <c r="CR828" s="4317"/>
      <c r="CS828" s="4317"/>
      <c r="CT828" s="4317"/>
      <c r="CU828" s="4317"/>
      <c r="CV828" s="4317"/>
      <c r="CW828" s="4317"/>
      <c r="CX828" s="4317"/>
      <c r="CY828" s="4317"/>
      <c r="CZ828" s="4317"/>
      <c r="DA828" s="4317"/>
      <c r="DB828" s="4317"/>
      <c r="DC828" s="4317"/>
      <c r="DD828" s="4317"/>
      <c r="DE828" s="4317"/>
      <c r="DF828" s="4317"/>
      <c r="DG828" s="4317"/>
      <c r="DH828" s="4317"/>
      <c r="DI828" s="4317"/>
      <c r="DJ828" s="4317"/>
      <c r="DK828" s="4317"/>
      <c r="DL828" s="4317"/>
      <c r="DM828" s="4317"/>
      <c r="DN828" s="4317"/>
      <c r="DO828" s="4317"/>
      <c r="DP828" s="4317"/>
      <c r="DQ828" s="4317"/>
      <c r="DR828" s="4317"/>
      <c r="DS828" s="4317"/>
    </row>
    <row r="829" s="4134" customFormat="1" ht="17.25" customHeight="1" spans="1:123">
      <c r="A829" s="4696" t="s">
        <v>5562</v>
      </c>
      <c r="B829" s="4697"/>
      <c r="C829" s="4697"/>
      <c r="D829" s="4697"/>
      <c r="E829" s="4697"/>
      <c r="F829" s="4534"/>
      <c r="G829" s="4535"/>
      <c r="H829" s="4535"/>
      <c r="I829" s="4535"/>
      <c r="J829" s="4535"/>
      <c r="K829" s="4535"/>
      <c r="L829" s="4536"/>
      <c r="M829" s="4317"/>
      <c r="N829" s="4317"/>
      <c r="O829" s="4317"/>
      <c r="P829" s="4317"/>
      <c r="Q829" s="4317"/>
      <c r="R829" s="4317"/>
      <c r="S829" s="4317"/>
      <c r="T829" s="4319" t="s">
        <v>5563</v>
      </c>
      <c r="U829" s="4317"/>
      <c r="V829" s="4317"/>
      <c r="W829" s="4317"/>
      <c r="X829" s="4317"/>
      <c r="Y829" s="4653"/>
      <c r="Z829" s="4653"/>
      <c r="AA829" s="4653"/>
      <c r="AB829" s="4317"/>
      <c r="AC829" s="4295"/>
      <c r="AD829" s="4653"/>
      <c r="AE829" s="4653"/>
      <c r="AF829" s="4653"/>
      <c r="AG829" s="4319"/>
      <c r="AH829" s="4317"/>
      <c r="AI829" s="4317"/>
      <c r="AJ829" s="4317"/>
      <c r="AK829" s="4317"/>
      <c r="AL829" s="4317"/>
      <c r="AM829" s="4317"/>
      <c r="AN829" s="4317"/>
      <c r="AO829" s="4317"/>
      <c r="AP829" s="4317"/>
      <c r="AQ829" s="4317"/>
      <c r="AR829" s="4317"/>
      <c r="AS829" s="4317"/>
      <c r="AT829" s="4317"/>
      <c r="AU829" s="4317"/>
      <c r="AV829" s="4317"/>
      <c r="AW829" s="4317"/>
      <c r="AX829" s="4317"/>
      <c r="AY829" s="4317"/>
      <c r="AZ829" s="4317"/>
      <c r="BA829" s="4317"/>
      <c r="BB829" s="4317"/>
      <c r="BC829" s="4317"/>
      <c r="BD829" s="4317"/>
      <c r="BE829" s="4317"/>
      <c r="BF829" s="4317"/>
      <c r="BG829" s="4317"/>
      <c r="BH829" s="4317"/>
      <c r="BI829" s="4317"/>
      <c r="BJ829" s="4317"/>
      <c r="BK829" s="4317"/>
      <c r="BL829" s="4317"/>
      <c r="BM829" s="4317"/>
      <c r="BN829" s="4317"/>
      <c r="BO829" s="4317"/>
      <c r="BP829" s="4317"/>
      <c r="BQ829" s="4317"/>
      <c r="BR829" s="4317"/>
      <c r="BS829" s="4317"/>
      <c r="BT829" s="4317"/>
      <c r="BU829" s="4317"/>
      <c r="BV829" s="4317"/>
      <c r="BW829" s="4317"/>
      <c r="BX829" s="4317"/>
      <c r="BY829" s="4317"/>
      <c r="BZ829" s="4317"/>
      <c r="CA829" s="4317"/>
      <c r="CB829" s="4317"/>
      <c r="CC829" s="4317"/>
      <c r="CD829" s="4317"/>
      <c r="CE829" s="4317"/>
      <c r="CF829" s="4317"/>
      <c r="CG829" s="4317"/>
      <c r="CH829" s="4317"/>
      <c r="CI829" s="4317"/>
      <c r="CJ829" s="4317"/>
      <c r="CK829" s="4317"/>
      <c r="CL829" s="4317"/>
      <c r="CM829" s="4317"/>
      <c r="CN829" s="4317"/>
      <c r="CO829" s="4317"/>
      <c r="CP829" s="4317"/>
      <c r="CQ829" s="4317"/>
      <c r="CR829" s="4317"/>
      <c r="CS829" s="4317"/>
      <c r="CT829" s="4317"/>
      <c r="CU829" s="4317"/>
      <c r="CV829" s="4317"/>
      <c r="CW829" s="4317"/>
      <c r="CX829" s="4317"/>
      <c r="CY829" s="4317"/>
      <c r="CZ829" s="4317"/>
      <c r="DA829" s="4317"/>
      <c r="DB829" s="4317"/>
      <c r="DC829" s="4317"/>
      <c r="DD829" s="4317"/>
      <c r="DE829" s="4317"/>
      <c r="DF829" s="4317"/>
      <c r="DG829" s="4317"/>
      <c r="DH829" s="4317"/>
      <c r="DI829" s="4317"/>
      <c r="DJ829" s="4317"/>
      <c r="DK829" s="4317"/>
      <c r="DL829" s="4317"/>
      <c r="DM829" s="4317"/>
      <c r="DN829" s="4317"/>
      <c r="DO829" s="4317"/>
      <c r="DP829" s="4317"/>
      <c r="DQ829" s="4317"/>
      <c r="DR829" s="4317"/>
      <c r="DS829" s="4317"/>
    </row>
    <row r="830" s="4134" customFormat="1" ht="17.25" customHeight="1" spans="1:123">
      <c r="A830" s="4696" t="s">
        <v>5564</v>
      </c>
      <c r="B830" s="4697"/>
      <c r="C830" s="4697"/>
      <c r="D830" s="4697"/>
      <c r="E830" s="4697"/>
      <c r="F830" s="4534"/>
      <c r="G830" s="4535"/>
      <c r="H830" s="4535"/>
      <c r="I830" s="4535"/>
      <c r="J830" s="4535"/>
      <c r="K830" s="4535"/>
      <c r="L830" s="4536"/>
      <c r="M830" s="4317"/>
      <c r="N830" s="4317"/>
      <c r="O830" s="4317"/>
      <c r="P830" s="4317"/>
      <c r="Q830" s="4317"/>
      <c r="R830" s="4317"/>
      <c r="S830" s="4317"/>
      <c r="T830" s="4319" t="s">
        <v>5410</v>
      </c>
      <c r="U830" s="4317"/>
      <c r="V830" s="4317"/>
      <c r="W830" s="4317"/>
      <c r="X830" s="4317"/>
      <c r="Y830" s="4653"/>
      <c r="Z830" s="4653"/>
      <c r="AA830" s="4653"/>
      <c r="AB830" s="4317"/>
      <c r="AC830" s="4295"/>
      <c r="AD830" s="4653"/>
      <c r="AE830" s="4653"/>
      <c r="AF830" s="4653"/>
      <c r="AG830" s="4319"/>
      <c r="AH830" s="4317"/>
      <c r="AI830" s="4317"/>
      <c r="AJ830" s="4317"/>
      <c r="AK830" s="4317"/>
      <c r="AL830" s="4317"/>
      <c r="AM830" s="4317"/>
      <c r="AN830" s="4317"/>
      <c r="AO830" s="4317"/>
      <c r="AP830" s="4317"/>
      <c r="AQ830" s="4317"/>
      <c r="AR830" s="4317"/>
      <c r="AS830" s="4317"/>
      <c r="AT830" s="4317"/>
      <c r="AU830" s="4317"/>
      <c r="AV830" s="4317"/>
      <c r="AW830" s="4317"/>
      <c r="AX830" s="4317"/>
      <c r="AY830" s="4317"/>
      <c r="AZ830" s="4317"/>
      <c r="BA830" s="4317"/>
      <c r="BB830" s="4317"/>
      <c r="BC830" s="4317"/>
      <c r="BD830" s="4317"/>
      <c r="BE830" s="4317"/>
      <c r="BF830" s="4317"/>
      <c r="BG830" s="4317"/>
      <c r="BH830" s="4317"/>
      <c r="BI830" s="4317"/>
      <c r="BJ830" s="4317"/>
      <c r="BK830" s="4317"/>
      <c r="BL830" s="4317"/>
      <c r="BM830" s="4317"/>
      <c r="BN830" s="4317"/>
      <c r="BO830" s="4317"/>
      <c r="BP830" s="4317"/>
      <c r="BQ830" s="4317"/>
      <c r="BR830" s="4317"/>
      <c r="BS830" s="4317"/>
      <c r="BT830" s="4317"/>
      <c r="BU830" s="4317"/>
      <c r="BV830" s="4317"/>
      <c r="BW830" s="4317"/>
      <c r="BX830" s="4317"/>
      <c r="BY830" s="4317"/>
      <c r="BZ830" s="4317"/>
      <c r="CA830" s="4317"/>
      <c r="CB830" s="4317"/>
      <c r="CC830" s="4317"/>
      <c r="CD830" s="4317"/>
      <c r="CE830" s="4317"/>
      <c r="CF830" s="4317"/>
      <c r="CG830" s="4317"/>
      <c r="CH830" s="4317"/>
      <c r="CI830" s="4317"/>
      <c r="CJ830" s="4317"/>
      <c r="CK830" s="4317"/>
      <c r="CL830" s="4317"/>
      <c r="CM830" s="4317"/>
      <c r="CN830" s="4317"/>
      <c r="CO830" s="4317"/>
      <c r="CP830" s="4317"/>
      <c r="CQ830" s="4317"/>
      <c r="CR830" s="4317"/>
      <c r="CS830" s="4317"/>
      <c r="CT830" s="4317"/>
      <c r="CU830" s="4317"/>
      <c r="CV830" s="4317"/>
      <c r="CW830" s="4317"/>
      <c r="CX830" s="4317"/>
      <c r="CY830" s="4317"/>
      <c r="CZ830" s="4317"/>
      <c r="DA830" s="4317"/>
      <c r="DB830" s="4317"/>
      <c r="DC830" s="4317"/>
      <c r="DD830" s="4317"/>
      <c r="DE830" s="4317"/>
      <c r="DF830" s="4317"/>
      <c r="DG830" s="4317"/>
      <c r="DH830" s="4317"/>
      <c r="DI830" s="4317"/>
      <c r="DJ830" s="4317"/>
      <c r="DK830" s="4317"/>
      <c r="DL830" s="4317"/>
      <c r="DM830" s="4317"/>
      <c r="DN830" s="4317"/>
      <c r="DO830" s="4317"/>
      <c r="DP830" s="4317"/>
      <c r="DQ830" s="4317"/>
      <c r="DR830" s="4317"/>
      <c r="DS830" s="4317"/>
    </row>
    <row r="831" s="4134" customFormat="1" ht="17.25" customHeight="1" spans="1:123">
      <c r="A831" s="4696" t="s">
        <v>5565</v>
      </c>
      <c r="B831" s="4697"/>
      <c r="C831" s="4697"/>
      <c r="D831" s="4697"/>
      <c r="E831" s="4697"/>
      <c r="F831" s="4534"/>
      <c r="G831" s="4535"/>
      <c r="H831" s="4535"/>
      <c r="I831" s="4535"/>
      <c r="J831" s="4535"/>
      <c r="K831" s="4535"/>
      <c r="L831" s="4536"/>
      <c r="M831" s="4317"/>
      <c r="N831" s="4317"/>
      <c r="O831" s="4317"/>
      <c r="P831" s="4317"/>
      <c r="Q831" s="4317"/>
      <c r="R831" s="4317"/>
      <c r="S831" s="4317"/>
      <c r="T831" s="4319" t="s">
        <v>5566</v>
      </c>
      <c r="U831" s="4317"/>
      <c r="V831" s="4317"/>
      <c r="W831" s="4317"/>
      <c r="X831" s="4317"/>
      <c r="Y831" s="4653"/>
      <c r="Z831" s="4653"/>
      <c r="AA831" s="4653"/>
      <c r="AB831" s="4317"/>
      <c r="AC831" s="4295"/>
      <c r="AD831" s="4653"/>
      <c r="AE831" s="4653"/>
      <c r="AF831" s="4653"/>
      <c r="AG831" s="4319"/>
      <c r="AH831" s="4317"/>
      <c r="AI831" s="4317"/>
      <c r="AJ831" s="4317"/>
      <c r="AK831" s="4317"/>
      <c r="AL831" s="4317"/>
      <c r="AM831" s="4317"/>
      <c r="AN831" s="4317"/>
      <c r="AO831" s="4317"/>
      <c r="AP831" s="4317"/>
      <c r="AQ831" s="4317"/>
      <c r="AR831" s="4317"/>
      <c r="AS831" s="4317"/>
      <c r="AT831" s="4317"/>
      <c r="AU831" s="4317"/>
      <c r="AV831" s="4317"/>
      <c r="AW831" s="4317"/>
      <c r="AX831" s="4317"/>
      <c r="AY831" s="4317"/>
      <c r="AZ831" s="4317"/>
      <c r="BA831" s="4317"/>
      <c r="BB831" s="4317"/>
      <c r="BC831" s="4317"/>
      <c r="BD831" s="4317"/>
      <c r="BE831" s="4317"/>
      <c r="BF831" s="4317"/>
      <c r="BG831" s="4317"/>
      <c r="BH831" s="4317"/>
      <c r="BI831" s="4317"/>
      <c r="BJ831" s="4317"/>
      <c r="BK831" s="4317"/>
      <c r="BL831" s="4317"/>
      <c r="BM831" s="4317"/>
      <c r="BN831" s="4317"/>
      <c r="BO831" s="4317"/>
      <c r="BP831" s="4317"/>
      <c r="BQ831" s="4317"/>
      <c r="BR831" s="4317"/>
      <c r="BS831" s="4317"/>
      <c r="BT831" s="4317"/>
      <c r="BU831" s="4317"/>
      <c r="BV831" s="4317"/>
      <c r="BW831" s="4317"/>
      <c r="BX831" s="4317"/>
      <c r="BY831" s="4317"/>
      <c r="BZ831" s="4317"/>
      <c r="CA831" s="4317"/>
      <c r="CB831" s="4317"/>
      <c r="CC831" s="4317"/>
      <c r="CD831" s="4317"/>
      <c r="CE831" s="4317"/>
      <c r="CF831" s="4317"/>
      <c r="CG831" s="4317"/>
      <c r="CH831" s="4317"/>
      <c r="CI831" s="4317"/>
      <c r="CJ831" s="4317"/>
      <c r="CK831" s="4317"/>
      <c r="CL831" s="4317"/>
      <c r="CM831" s="4317"/>
      <c r="CN831" s="4317"/>
      <c r="CO831" s="4317"/>
      <c r="CP831" s="4317"/>
      <c r="CQ831" s="4317"/>
      <c r="CR831" s="4317"/>
      <c r="CS831" s="4317"/>
      <c r="CT831" s="4317"/>
      <c r="CU831" s="4317"/>
      <c r="CV831" s="4317"/>
      <c r="CW831" s="4317"/>
      <c r="CX831" s="4317"/>
      <c r="CY831" s="4317"/>
      <c r="CZ831" s="4317"/>
      <c r="DA831" s="4317"/>
      <c r="DB831" s="4317"/>
      <c r="DC831" s="4317"/>
      <c r="DD831" s="4317"/>
      <c r="DE831" s="4317"/>
      <c r="DF831" s="4317"/>
      <c r="DG831" s="4317"/>
      <c r="DH831" s="4317"/>
      <c r="DI831" s="4317"/>
      <c r="DJ831" s="4317"/>
      <c r="DK831" s="4317"/>
      <c r="DL831" s="4317"/>
      <c r="DM831" s="4317"/>
      <c r="DN831" s="4317"/>
      <c r="DO831" s="4317"/>
      <c r="DP831" s="4317"/>
      <c r="DQ831" s="4317"/>
      <c r="DR831" s="4317"/>
      <c r="DS831" s="4317"/>
    </row>
    <row r="832" s="4134" customFormat="1" ht="17.25" customHeight="1" spans="1:123">
      <c r="A832" s="4696" t="s">
        <v>5567</v>
      </c>
      <c r="B832" s="4697"/>
      <c r="C832" s="4697"/>
      <c r="D832" s="4697"/>
      <c r="E832" s="4697"/>
      <c r="F832" s="4534"/>
      <c r="G832" s="4535"/>
      <c r="H832" s="4535"/>
      <c r="I832" s="4535"/>
      <c r="J832" s="4535"/>
      <c r="K832" s="4535"/>
      <c r="L832" s="4536"/>
      <c r="M832" s="4317"/>
      <c r="N832" s="4317"/>
      <c r="O832" s="4317"/>
      <c r="P832" s="4317"/>
      <c r="Q832" s="4317"/>
      <c r="R832" s="4317"/>
      <c r="S832" s="4317"/>
      <c r="T832" s="4319" t="s">
        <v>5568</v>
      </c>
      <c r="U832" s="4317"/>
      <c r="V832" s="4317"/>
      <c r="W832" s="4317"/>
      <c r="X832" s="4317"/>
      <c r="Y832" s="4653"/>
      <c r="Z832" s="4653"/>
      <c r="AA832" s="4653"/>
      <c r="AB832" s="4317"/>
      <c r="AC832" s="4295"/>
      <c r="AD832" s="4653"/>
      <c r="AE832" s="4653"/>
      <c r="AF832" s="4653"/>
      <c r="AG832" s="4319"/>
      <c r="AH832" s="4317"/>
      <c r="AI832" s="4317"/>
      <c r="AJ832" s="4317"/>
      <c r="AK832" s="4317"/>
      <c r="AL832" s="4317"/>
      <c r="AM832" s="4317"/>
      <c r="AN832" s="4317"/>
      <c r="AO832" s="4317"/>
      <c r="AP832" s="4317"/>
      <c r="AQ832" s="4317"/>
      <c r="AR832" s="4317"/>
      <c r="AS832" s="4317"/>
      <c r="AT832" s="4317"/>
      <c r="AU832" s="4317"/>
      <c r="AV832" s="4317"/>
      <c r="AW832" s="4317"/>
      <c r="AX832" s="4317"/>
      <c r="AY832" s="4317"/>
      <c r="AZ832" s="4317"/>
      <c r="BA832" s="4317"/>
      <c r="BB832" s="4317"/>
      <c r="BC832" s="4317"/>
      <c r="BD832" s="4317"/>
      <c r="BE832" s="4317"/>
      <c r="BF832" s="4317"/>
      <c r="BG832" s="4317"/>
      <c r="BH832" s="4317"/>
      <c r="BI832" s="4317"/>
      <c r="BJ832" s="4317"/>
      <c r="BK832" s="4317"/>
      <c r="BL832" s="4317"/>
      <c r="BM832" s="4317"/>
      <c r="BN832" s="4317"/>
      <c r="BO832" s="4317"/>
      <c r="BP832" s="4317"/>
      <c r="BQ832" s="4317"/>
      <c r="BR832" s="4317"/>
      <c r="BS832" s="4317"/>
      <c r="BT832" s="4317"/>
      <c r="BU832" s="4317"/>
      <c r="BV832" s="4317"/>
      <c r="BW832" s="4317"/>
      <c r="BX832" s="4317"/>
      <c r="BY832" s="4317"/>
      <c r="BZ832" s="4317"/>
      <c r="CA832" s="4317"/>
      <c r="CB832" s="4317"/>
      <c r="CC832" s="4317"/>
      <c r="CD832" s="4317"/>
      <c r="CE832" s="4317"/>
      <c r="CF832" s="4317"/>
      <c r="CG832" s="4317"/>
      <c r="CH832" s="4317"/>
      <c r="CI832" s="4317"/>
      <c r="CJ832" s="4317"/>
      <c r="CK832" s="4317"/>
      <c r="CL832" s="4317"/>
      <c r="CM832" s="4317"/>
      <c r="CN832" s="4317"/>
      <c r="CO832" s="4317"/>
      <c r="CP832" s="4317"/>
      <c r="CQ832" s="4317"/>
      <c r="CR832" s="4317"/>
      <c r="CS832" s="4317"/>
      <c r="CT832" s="4317"/>
      <c r="CU832" s="4317"/>
      <c r="CV832" s="4317"/>
      <c r="CW832" s="4317"/>
      <c r="CX832" s="4317"/>
      <c r="CY832" s="4317"/>
      <c r="CZ832" s="4317"/>
      <c r="DA832" s="4317"/>
      <c r="DB832" s="4317"/>
      <c r="DC832" s="4317"/>
      <c r="DD832" s="4317"/>
      <c r="DE832" s="4317"/>
      <c r="DF832" s="4317"/>
      <c r="DG832" s="4317"/>
      <c r="DH832" s="4317"/>
      <c r="DI832" s="4317"/>
      <c r="DJ832" s="4317"/>
      <c r="DK832" s="4317"/>
      <c r="DL832" s="4317"/>
      <c r="DM832" s="4317"/>
      <c r="DN832" s="4317"/>
      <c r="DO832" s="4317"/>
      <c r="DP832" s="4317"/>
      <c r="DQ832" s="4317"/>
      <c r="DR832" s="4317"/>
      <c r="DS832" s="4317"/>
    </row>
    <row r="833" s="4134" customFormat="1" ht="17.25" customHeight="1" spans="1:123">
      <c r="A833" s="4696" t="s">
        <v>5569</v>
      </c>
      <c r="B833" s="4697"/>
      <c r="C833" s="4697"/>
      <c r="D833" s="4697"/>
      <c r="E833" s="4697"/>
      <c r="F833" s="4534"/>
      <c r="G833" s="4535"/>
      <c r="H833" s="4535"/>
      <c r="I833" s="4535"/>
      <c r="J833" s="4535"/>
      <c r="K833" s="4535"/>
      <c r="L833" s="4536"/>
      <c r="M833" s="4317"/>
      <c r="N833" s="4317"/>
      <c r="O833" s="4317"/>
      <c r="P833" s="4317"/>
      <c r="Q833" s="4317"/>
      <c r="R833" s="4317"/>
      <c r="S833" s="4317"/>
      <c r="T833" s="4319" t="s">
        <v>5570</v>
      </c>
      <c r="U833" s="4317"/>
      <c r="V833" s="4317"/>
      <c r="W833" s="4317"/>
      <c r="X833" s="4317"/>
      <c r="Y833" s="4653"/>
      <c r="Z833" s="4653"/>
      <c r="AA833" s="4653"/>
      <c r="AB833" s="4317"/>
      <c r="AC833" s="4295"/>
      <c r="AD833" s="4653"/>
      <c r="AE833" s="4653"/>
      <c r="AF833" s="4653"/>
      <c r="AG833" s="4319"/>
      <c r="AH833" s="4317"/>
      <c r="AI833" s="4317"/>
      <c r="AJ833" s="4317"/>
      <c r="AK833" s="4317"/>
      <c r="AL833" s="4317"/>
      <c r="AM833" s="4317"/>
      <c r="AN833" s="4317"/>
      <c r="AO833" s="4317"/>
      <c r="AP833" s="4317"/>
      <c r="AQ833" s="4317"/>
      <c r="AR833" s="4317"/>
      <c r="AS833" s="4317"/>
      <c r="AT833" s="4317"/>
      <c r="AU833" s="4317"/>
      <c r="AV833" s="4317"/>
      <c r="AW833" s="4317"/>
      <c r="AX833" s="4317"/>
      <c r="AY833" s="4317"/>
      <c r="AZ833" s="4317"/>
      <c r="BA833" s="4317"/>
      <c r="BB833" s="4317"/>
      <c r="BC833" s="4317"/>
      <c r="BD833" s="4317"/>
      <c r="BE833" s="4317"/>
      <c r="BF833" s="4317"/>
      <c r="BG833" s="4317"/>
      <c r="BH833" s="4317"/>
      <c r="BI833" s="4317"/>
      <c r="BJ833" s="4317"/>
      <c r="BK833" s="4317"/>
      <c r="BL833" s="4317"/>
      <c r="BM833" s="4317"/>
      <c r="BN833" s="4317"/>
      <c r="BO833" s="4317"/>
      <c r="BP833" s="4317"/>
      <c r="BQ833" s="4317"/>
      <c r="BR833" s="4317"/>
      <c r="BS833" s="4317"/>
      <c r="BT833" s="4317"/>
      <c r="BU833" s="4317"/>
      <c r="BV833" s="4317"/>
      <c r="BW833" s="4317"/>
      <c r="BX833" s="4317"/>
      <c r="BY833" s="4317"/>
      <c r="BZ833" s="4317"/>
      <c r="CA833" s="4317"/>
      <c r="CB833" s="4317"/>
      <c r="CC833" s="4317"/>
      <c r="CD833" s="4317"/>
      <c r="CE833" s="4317"/>
      <c r="CF833" s="4317"/>
      <c r="CG833" s="4317"/>
      <c r="CH833" s="4317"/>
      <c r="CI833" s="4317"/>
      <c r="CJ833" s="4317"/>
      <c r="CK833" s="4317"/>
      <c r="CL833" s="4317"/>
      <c r="CM833" s="4317"/>
      <c r="CN833" s="4317"/>
      <c r="CO833" s="4317"/>
      <c r="CP833" s="4317"/>
      <c r="CQ833" s="4317"/>
      <c r="CR833" s="4317"/>
      <c r="CS833" s="4317"/>
      <c r="CT833" s="4317"/>
      <c r="CU833" s="4317"/>
      <c r="CV833" s="4317"/>
      <c r="CW833" s="4317"/>
      <c r="CX833" s="4317"/>
      <c r="CY833" s="4317"/>
      <c r="CZ833" s="4317"/>
      <c r="DA833" s="4317"/>
      <c r="DB833" s="4317"/>
      <c r="DC833" s="4317"/>
      <c r="DD833" s="4317"/>
      <c r="DE833" s="4317"/>
      <c r="DF833" s="4317"/>
      <c r="DG833" s="4317"/>
      <c r="DH833" s="4317"/>
      <c r="DI833" s="4317"/>
      <c r="DJ833" s="4317"/>
      <c r="DK833" s="4317"/>
      <c r="DL833" s="4317"/>
      <c r="DM833" s="4317"/>
      <c r="DN833" s="4317"/>
      <c r="DO833" s="4317"/>
      <c r="DP833" s="4317"/>
      <c r="DQ833" s="4317"/>
      <c r="DR833" s="4317"/>
      <c r="DS833" s="4317"/>
    </row>
    <row r="834" s="4134" customFormat="1" ht="17.25" customHeight="1" spans="1:123">
      <c r="A834" s="4701" t="s">
        <v>799</v>
      </c>
      <c r="B834" s="4702"/>
      <c r="C834" s="4702"/>
      <c r="D834" s="4702"/>
      <c r="E834" s="4702"/>
      <c r="F834" s="4703">
        <f>SUM(F826:L833)</f>
        <v>0</v>
      </c>
      <c r="G834" s="4703"/>
      <c r="H834" s="4703"/>
      <c r="I834" s="4703"/>
      <c r="J834" s="4703"/>
      <c r="K834" s="4703"/>
      <c r="L834" s="4703"/>
      <c r="M834" s="4317"/>
      <c r="N834" s="4317"/>
      <c r="O834" s="4317"/>
      <c r="P834" s="4317"/>
      <c r="Q834" s="4317"/>
      <c r="R834" s="4317"/>
      <c r="S834" s="4317"/>
      <c r="T834" s="4323" t="s">
        <v>5571</v>
      </c>
      <c r="U834" s="4317"/>
      <c r="V834" s="4317"/>
      <c r="W834" s="4317"/>
      <c r="X834" s="4317"/>
      <c r="Y834" s="4653"/>
      <c r="Z834" s="4653"/>
      <c r="AA834" s="4653"/>
      <c r="AB834" s="4317"/>
      <c r="AC834" s="4295"/>
      <c r="AD834" s="4653"/>
      <c r="AE834" s="4653"/>
      <c r="AF834" s="4653"/>
      <c r="AG834" s="4319"/>
      <c r="AH834" s="4317"/>
      <c r="AI834" s="4317"/>
      <c r="AJ834" s="4317"/>
      <c r="AK834" s="4317"/>
      <c r="AL834" s="4317"/>
      <c r="AM834" s="4317"/>
      <c r="AN834" s="4317"/>
      <c r="AO834" s="4317"/>
      <c r="AP834" s="4317"/>
      <c r="AQ834" s="4317"/>
      <c r="AR834" s="4317"/>
      <c r="AS834" s="4317"/>
      <c r="AT834" s="4317"/>
      <c r="AU834" s="4317"/>
      <c r="AV834" s="4317"/>
      <c r="AW834" s="4317"/>
      <c r="AX834" s="4317"/>
      <c r="AY834" s="4317"/>
      <c r="AZ834" s="4317"/>
      <c r="BA834" s="4317"/>
      <c r="BB834" s="4317"/>
      <c r="BC834" s="4317"/>
      <c r="BD834" s="4317"/>
      <c r="BE834" s="4317"/>
      <c r="BF834" s="4317"/>
      <c r="BG834" s="4317"/>
      <c r="BH834" s="4317"/>
      <c r="BI834" s="4317"/>
      <c r="BJ834" s="4317"/>
      <c r="BK834" s="4317"/>
      <c r="BL834" s="4317"/>
      <c r="BM834" s="4317"/>
      <c r="BN834" s="4317"/>
      <c r="BO834" s="4317"/>
      <c r="BP834" s="4317"/>
      <c r="BQ834" s="4317"/>
      <c r="BR834" s="4317"/>
      <c r="BS834" s="4317"/>
      <c r="BT834" s="4317"/>
      <c r="BU834" s="4317"/>
      <c r="BV834" s="4317"/>
      <c r="BW834" s="4317"/>
      <c r="BX834" s="4317"/>
      <c r="BY834" s="4317"/>
      <c r="BZ834" s="4317"/>
      <c r="CA834" s="4317"/>
      <c r="CB834" s="4317"/>
      <c r="CC834" s="4317"/>
      <c r="CD834" s="4317"/>
      <c r="CE834" s="4317"/>
      <c r="CF834" s="4317"/>
      <c r="CG834" s="4317"/>
      <c r="CH834" s="4317"/>
      <c r="CI834" s="4317"/>
      <c r="CJ834" s="4317"/>
      <c r="CK834" s="4317"/>
      <c r="CL834" s="4317"/>
      <c r="CM834" s="4317"/>
      <c r="CN834" s="4317"/>
      <c r="CO834" s="4317"/>
      <c r="CP834" s="4317"/>
      <c r="CQ834" s="4317"/>
      <c r="CR834" s="4317"/>
      <c r="CS834" s="4317"/>
      <c r="CT834" s="4317"/>
      <c r="CU834" s="4317"/>
      <c r="CV834" s="4317"/>
      <c r="CW834" s="4317"/>
      <c r="CX834" s="4317"/>
      <c r="CY834" s="4317"/>
      <c r="CZ834" s="4317"/>
      <c r="DA834" s="4317"/>
      <c r="DB834" s="4317"/>
      <c r="DC834" s="4317"/>
      <c r="DD834" s="4317"/>
      <c r="DE834" s="4317"/>
      <c r="DF834" s="4317"/>
      <c r="DG834" s="4317"/>
      <c r="DH834" s="4317"/>
      <c r="DI834" s="4317"/>
      <c r="DJ834" s="4317"/>
      <c r="DK834" s="4317"/>
      <c r="DL834" s="4317"/>
      <c r="DM834" s="4317"/>
      <c r="DN834" s="4317"/>
      <c r="DO834" s="4317"/>
      <c r="DP834" s="4317"/>
      <c r="DQ834" s="4317"/>
      <c r="DR834" s="4317"/>
      <c r="DS834" s="4317"/>
    </row>
    <row r="835" s="4134" customFormat="1" ht="17.25" customHeight="1" spans="1:123">
      <c r="A835" s="4696" t="s">
        <v>5572</v>
      </c>
      <c r="B835" s="4697"/>
      <c r="C835" s="4697"/>
      <c r="D835" s="4697"/>
      <c r="E835" s="4697"/>
      <c r="F835" s="4704"/>
      <c r="G835" s="4704"/>
      <c r="H835" s="4704"/>
      <c r="I835" s="4704"/>
      <c r="J835" s="4704"/>
      <c r="K835" s="4704"/>
      <c r="L835" s="4704"/>
      <c r="M835" s="4317"/>
      <c r="N835" s="4317"/>
      <c r="O835" s="4317"/>
      <c r="P835" s="4317"/>
      <c r="Q835" s="4317"/>
      <c r="R835" s="4317"/>
      <c r="S835" s="4317"/>
      <c r="T835" s="4319" t="s">
        <v>5573</v>
      </c>
      <c r="U835" s="4317"/>
      <c r="V835" s="4317"/>
      <c r="W835" s="4317"/>
      <c r="X835" s="4317"/>
      <c r="Y835" s="4653"/>
      <c r="Z835" s="4653"/>
      <c r="AA835" s="4653"/>
      <c r="AB835" s="4317"/>
      <c r="AC835" s="4295"/>
      <c r="AD835" s="4653"/>
      <c r="AE835" s="4653"/>
      <c r="AF835" s="4653"/>
      <c r="AG835" s="4319"/>
      <c r="AH835" s="4317"/>
      <c r="AI835" s="4317"/>
      <c r="AJ835" s="4317"/>
      <c r="AK835" s="4317"/>
      <c r="AL835" s="4317"/>
      <c r="AM835" s="4317"/>
      <c r="AN835" s="4317"/>
      <c r="AO835" s="4317"/>
      <c r="AP835" s="4317"/>
      <c r="AQ835" s="4317"/>
      <c r="AR835" s="4317"/>
      <c r="AS835" s="4317"/>
      <c r="AT835" s="4317"/>
      <c r="AU835" s="4317"/>
      <c r="AV835" s="4317"/>
      <c r="AW835" s="4317"/>
      <c r="AX835" s="4317"/>
      <c r="AY835" s="4317"/>
      <c r="AZ835" s="4317"/>
      <c r="BA835" s="4317"/>
      <c r="BB835" s="4317"/>
      <c r="BC835" s="4317"/>
      <c r="BD835" s="4317"/>
      <c r="BE835" s="4317"/>
      <c r="BF835" s="4317"/>
      <c r="BG835" s="4317"/>
      <c r="BH835" s="4317"/>
      <c r="BI835" s="4317"/>
      <c r="BJ835" s="4317"/>
      <c r="BK835" s="4317"/>
      <c r="BL835" s="4317"/>
      <c r="BM835" s="4317"/>
      <c r="BN835" s="4317"/>
      <c r="BO835" s="4317"/>
      <c r="BP835" s="4317"/>
      <c r="BQ835" s="4317"/>
      <c r="BR835" s="4317"/>
      <c r="BS835" s="4317"/>
      <c r="BT835" s="4317"/>
      <c r="BU835" s="4317"/>
      <c r="BV835" s="4317"/>
      <c r="BW835" s="4317"/>
      <c r="BX835" s="4317"/>
      <c r="BY835" s="4317"/>
      <c r="BZ835" s="4317"/>
      <c r="CA835" s="4317"/>
      <c r="CB835" s="4317"/>
      <c r="CC835" s="4317"/>
      <c r="CD835" s="4317"/>
      <c r="CE835" s="4317"/>
      <c r="CF835" s="4317"/>
      <c r="CG835" s="4317"/>
      <c r="CH835" s="4317"/>
      <c r="CI835" s="4317"/>
      <c r="CJ835" s="4317"/>
      <c r="CK835" s="4317"/>
      <c r="CL835" s="4317"/>
      <c r="CM835" s="4317"/>
      <c r="CN835" s="4317"/>
      <c r="CO835" s="4317"/>
      <c r="CP835" s="4317"/>
      <c r="CQ835" s="4317"/>
      <c r="CR835" s="4317"/>
      <c r="CS835" s="4317"/>
      <c r="CT835" s="4317"/>
      <c r="CU835" s="4317"/>
      <c r="CV835" s="4317"/>
      <c r="CW835" s="4317"/>
      <c r="CX835" s="4317"/>
      <c r="CY835" s="4317"/>
      <c r="CZ835" s="4317"/>
      <c r="DA835" s="4317"/>
      <c r="DB835" s="4317"/>
      <c r="DC835" s="4317"/>
      <c r="DD835" s="4317"/>
      <c r="DE835" s="4317"/>
      <c r="DF835" s="4317"/>
      <c r="DG835" s="4317"/>
      <c r="DH835" s="4317"/>
      <c r="DI835" s="4317"/>
      <c r="DJ835" s="4317"/>
      <c r="DK835" s="4317"/>
      <c r="DL835" s="4317"/>
      <c r="DM835" s="4317"/>
      <c r="DN835" s="4317"/>
      <c r="DO835" s="4317"/>
      <c r="DP835" s="4317"/>
      <c r="DQ835" s="4317"/>
      <c r="DR835" s="4317"/>
      <c r="DS835" s="4317"/>
    </row>
    <row r="836" s="4134" customFormat="1" ht="17.25" customHeight="1" spans="1:123">
      <c r="A836" s="4696" t="s">
        <v>5574</v>
      </c>
      <c r="B836" s="4697"/>
      <c r="C836" s="4697"/>
      <c r="D836" s="4697"/>
      <c r="E836" s="4697"/>
      <c r="F836" s="4534">
        <v>22437</v>
      </c>
      <c r="G836" s="4535"/>
      <c r="H836" s="4535"/>
      <c r="I836" s="4535"/>
      <c r="J836" s="4535"/>
      <c r="K836" s="4535"/>
      <c r="L836" s="4536"/>
      <c r="M836" s="4695">
        <f>B_Uspjeha!AI143</f>
        <v>0</v>
      </c>
      <c r="N836" s="4695"/>
      <c r="O836" s="4695"/>
      <c r="P836" s="4695"/>
      <c r="Q836" s="4695"/>
      <c r="R836" s="4695"/>
      <c r="S836" s="4695"/>
      <c r="T836" s="4319" t="s">
        <v>5575</v>
      </c>
      <c r="U836" s="4317"/>
      <c r="V836" s="4317"/>
      <c r="W836" s="4317"/>
      <c r="X836" s="4317"/>
      <c r="Y836" s="4653"/>
      <c r="Z836" s="4653"/>
      <c r="AA836" s="4653"/>
      <c r="AB836" s="4317"/>
      <c r="AC836" s="4295"/>
      <c r="AD836" s="4653"/>
      <c r="AE836" s="4653"/>
      <c r="AF836" s="4653"/>
      <c r="AG836" s="4319"/>
      <c r="AH836" s="4317"/>
      <c r="AI836" s="4317"/>
      <c r="AJ836" s="4317"/>
      <c r="AK836" s="4317"/>
      <c r="AL836" s="4317"/>
      <c r="AM836" s="4317"/>
      <c r="AN836" s="4317"/>
      <c r="AO836" s="4317"/>
      <c r="AP836" s="4317"/>
      <c r="AQ836" s="4317"/>
      <c r="AR836" s="4317"/>
      <c r="AS836" s="4317"/>
      <c r="AT836" s="4317"/>
      <c r="AU836" s="4317"/>
      <c r="AV836" s="4317"/>
      <c r="AW836" s="4317"/>
      <c r="AX836" s="4317"/>
      <c r="AY836" s="4317"/>
      <c r="AZ836" s="4317"/>
      <c r="BA836" s="4317"/>
      <c r="BB836" s="4317"/>
      <c r="BC836" s="4317"/>
      <c r="BD836" s="4317"/>
      <c r="BE836" s="4317"/>
      <c r="BF836" s="4317"/>
      <c r="BG836" s="4317"/>
      <c r="BH836" s="4317"/>
      <c r="BI836" s="4317"/>
      <c r="BJ836" s="4317"/>
      <c r="BK836" s="4317"/>
      <c r="BL836" s="4317"/>
      <c r="BM836" s="4317"/>
      <c r="BN836" s="4317"/>
      <c r="BO836" s="4317"/>
      <c r="BP836" s="4317"/>
      <c r="BQ836" s="4317"/>
      <c r="BR836" s="4317"/>
      <c r="BS836" s="4317"/>
      <c r="BT836" s="4317"/>
      <c r="BU836" s="4317"/>
      <c r="BV836" s="4317"/>
      <c r="BW836" s="4317"/>
      <c r="BX836" s="4317"/>
      <c r="BY836" s="4317"/>
      <c r="BZ836" s="4317"/>
      <c r="CA836" s="4317"/>
      <c r="CB836" s="4317"/>
      <c r="CC836" s="4317"/>
      <c r="CD836" s="4317"/>
      <c r="CE836" s="4317"/>
      <c r="CF836" s="4317"/>
      <c r="CG836" s="4317"/>
      <c r="CH836" s="4317"/>
      <c r="CI836" s="4317"/>
      <c r="CJ836" s="4317"/>
      <c r="CK836" s="4317"/>
      <c r="CL836" s="4317"/>
      <c r="CM836" s="4317"/>
      <c r="CN836" s="4317"/>
      <c r="CO836" s="4317"/>
      <c r="CP836" s="4317"/>
      <c r="CQ836" s="4317"/>
      <c r="CR836" s="4317"/>
      <c r="CS836" s="4317"/>
      <c r="CT836" s="4317"/>
      <c r="CU836" s="4317"/>
      <c r="CV836" s="4317"/>
      <c r="CW836" s="4317"/>
      <c r="CX836" s="4317"/>
      <c r="CY836" s="4317"/>
      <c r="CZ836" s="4317"/>
      <c r="DA836" s="4317"/>
      <c r="DB836" s="4317"/>
      <c r="DC836" s="4317"/>
      <c r="DD836" s="4317"/>
      <c r="DE836" s="4317"/>
      <c r="DF836" s="4317"/>
      <c r="DG836" s="4317"/>
      <c r="DH836" s="4317"/>
      <c r="DI836" s="4317"/>
      <c r="DJ836" s="4317"/>
      <c r="DK836" s="4317"/>
      <c r="DL836" s="4317"/>
      <c r="DM836" s="4317"/>
      <c r="DN836" s="4317"/>
      <c r="DO836" s="4317"/>
      <c r="DP836" s="4317"/>
      <c r="DQ836" s="4317"/>
      <c r="DR836" s="4317"/>
      <c r="DS836" s="4317"/>
    </row>
    <row r="837" s="4134" customFormat="1" ht="17.25" customHeight="1" spans="1:123">
      <c r="A837" s="4696" t="s">
        <v>5576</v>
      </c>
      <c r="B837" s="4697"/>
      <c r="C837" s="4697"/>
      <c r="D837" s="4697"/>
      <c r="E837" s="4697"/>
      <c r="F837" s="4534"/>
      <c r="G837" s="4535"/>
      <c r="H837" s="4535"/>
      <c r="I837" s="4535"/>
      <c r="J837" s="4535"/>
      <c r="K837" s="4535"/>
      <c r="L837" s="4536"/>
      <c r="M837" s="4317"/>
      <c r="N837" s="4317"/>
      <c r="O837" s="4317"/>
      <c r="P837" s="4317"/>
      <c r="Q837" s="4317"/>
      <c r="R837" s="4317"/>
      <c r="S837" s="4317"/>
      <c r="T837" s="4319" t="s">
        <v>5577</v>
      </c>
      <c r="U837" s="4317"/>
      <c r="V837" s="4317"/>
      <c r="W837" s="4317"/>
      <c r="X837" s="4317"/>
      <c r="Y837" s="4653"/>
      <c r="Z837" s="4653"/>
      <c r="AA837" s="4653"/>
      <c r="AB837" s="4317"/>
      <c r="AC837" s="4295"/>
      <c r="AD837" s="4653"/>
      <c r="AE837" s="4653"/>
      <c r="AF837" s="4653"/>
      <c r="AG837" s="4319"/>
      <c r="AH837" s="4317"/>
      <c r="AI837" s="4317"/>
      <c r="AJ837" s="4317"/>
      <c r="AK837" s="4317"/>
      <c r="AL837" s="4317"/>
      <c r="AM837" s="4317"/>
      <c r="AN837" s="4317"/>
      <c r="AO837" s="4317"/>
      <c r="AP837" s="4317"/>
      <c r="AQ837" s="4317"/>
      <c r="AR837" s="4317"/>
      <c r="AS837" s="4317"/>
      <c r="AT837" s="4317"/>
      <c r="AU837" s="4317"/>
      <c r="AV837" s="4317"/>
      <c r="AW837" s="4317"/>
      <c r="AX837" s="4317"/>
      <c r="AY837" s="4317"/>
      <c r="AZ837" s="4317"/>
      <c r="BA837" s="4317"/>
      <c r="BB837" s="4317"/>
      <c r="BC837" s="4317"/>
      <c r="BD837" s="4317"/>
      <c r="BE837" s="4317"/>
      <c r="BF837" s="4317"/>
      <c r="BG837" s="4317"/>
      <c r="BH837" s="4317"/>
      <c r="BI837" s="4317"/>
      <c r="BJ837" s="4317"/>
      <c r="BK837" s="4317"/>
      <c r="BL837" s="4317"/>
      <c r="BM837" s="4317"/>
      <c r="BN837" s="4317"/>
      <c r="BO837" s="4317"/>
      <c r="BP837" s="4317"/>
      <c r="BQ837" s="4317"/>
      <c r="BR837" s="4317"/>
      <c r="BS837" s="4317"/>
      <c r="BT837" s="4317"/>
      <c r="BU837" s="4317"/>
      <c r="BV837" s="4317"/>
      <c r="BW837" s="4317"/>
      <c r="BX837" s="4317"/>
      <c r="BY837" s="4317"/>
      <c r="BZ837" s="4317"/>
      <c r="CA837" s="4317"/>
      <c r="CB837" s="4317"/>
      <c r="CC837" s="4317"/>
      <c r="CD837" s="4317"/>
      <c r="CE837" s="4317"/>
      <c r="CF837" s="4317"/>
      <c r="CG837" s="4317"/>
      <c r="CH837" s="4317"/>
      <c r="CI837" s="4317"/>
      <c r="CJ837" s="4317"/>
      <c r="CK837" s="4317"/>
      <c r="CL837" s="4317"/>
      <c r="CM837" s="4317"/>
      <c r="CN837" s="4317"/>
      <c r="CO837" s="4317"/>
      <c r="CP837" s="4317"/>
      <c r="CQ837" s="4317"/>
      <c r="CR837" s="4317"/>
      <c r="CS837" s="4317"/>
      <c r="CT837" s="4317"/>
      <c r="CU837" s="4317"/>
      <c r="CV837" s="4317"/>
      <c r="CW837" s="4317"/>
      <c r="CX837" s="4317"/>
      <c r="CY837" s="4317"/>
      <c r="CZ837" s="4317"/>
      <c r="DA837" s="4317"/>
      <c r="DB837" s="4317"/>
      <c r="DC837" s="4317"/>
      <c r="DD837" s="4317"/>
      <c r="DE837" s="4317"/>
      <c r="DF837" s="4317"/>
      <c r="DG837" s="4317"/>
      <c r="DH837" s="4317"/>
      <c r="DI837" s="4317"/>
      <c r="DJ837" s="4317"/>
      <c r="DK837" s="4317"/>
      <c r="DL837" s="4317"/>
      <c r="DM837" s="4317"/>
      <c r="DN837" s="4317"/>
      <c r="DO837" s="4317"/>
      <c r="DP837" s="4317"/>
      <c r="DQ837" s="4317"/>
      <c r="DR837" s="4317"/>
      <c r="DS837" s="4317"/>
    </row>
    <row r="838" s="4134" customFormat="1" ht="17.25" customHeight="1" spans="1:123">
      <c r="A838" s="4696" t="s">
        <v>5578</v>
      </c>
      <c r="B838" s="4697"/>
      <c r="C838" s="4697"/>
      <c r="D838" s="4697"/>
      <c r="E838" s="4697"/>
      <c r="F838" s="4534">
        <v>1950</v>
      </c>
      <c r="G838" s="4535"/>
      <c r="H838" s="4535"/>
      <c r="I838" s="4535"/>
      <c r="J838" s="4535"/>
      <c r="K838" s="4535"/>
      <c r="L838" s="4536"/>
      <c r="M838" s="4317"/>
      <c r="N838" s="4317"/>
      <c r="O838" s="4317"/>
      <c r="P838" s="4317"/>
      <c r="Q838" s="4317"/>
      <c r="R838" s="4317"/>
      <c r="S838" s="4317"/>
      <c r="T838" s="4319" t="s">
        <v>5579</v>
      </c>
      <c r="U838" s="4317"/>
      <c r="V838" s="4317"/>
      <c r="W838" s="4317"/>
      <c r="X838" s="4317"/>
      <c r="Y838" s="4653"/>
      <c r="Z838" s="4653"/>
      <c r="AA838" s="4653"/>
      <c r="AB838" s="4317"/>
      <c r="AC838" s="4295"/>
      <c r="AD838" s="4653"/>
      <c r="AE838" s="4653"/>
      <c r="AF838" s="4653"/>
      <c r="AG838" s="4319"/>
      <c r="AH838" s="4317"/>
      <c r="AI838" s="4317"/>
      <c r="AJ838" s="4317"/>
      <c r="AK838" s="4317"/>
      <c r="AL838" s="4317"/>
      <c r="AM838" s="4317"/>
      <c r="AN838" s="4317"/>
      <c r="AO838" s="4317"/>
      <c r="AP838" s="4317"/>
      <c r="AQ838" s="4317"/>
      <c r="AR838" s="4317"/>
      <c r="AS838" s="4317"/>
      <c r="AT838" s="4317"/>
      <c r="AU838" s="4317"/>
      <c r="AV838" s="4317"/>
      <c r="AW838" s="4317"/>
      <c r="AX838" s="4317"/>
      <c r="AY838" s="4317"/>
      <c r="AZ838" s="4317"/>
      <c r="BA838" s="4317"/>
      <c r="BB838" s="4317"/>
      <c r="BC838" s="4317"/>
      <c r="BD838" s="4317"/>
      <c r="BE838" s="4317"/>
      <c r="BF838" s="4317"/>
      <c r="BG838" s="4317"/>
      <c r="BH838" s="4317"/>
      <c r="BI838" s="4317"/>
      <c r="BJ838" s="4317"/>
      <c r="BK838" s="4317"/>
      <c r="BL838" s="4317"/>
      <c r="BM838" s="4317"/>
      <c r="BN838" s="4317"/>
      <c r="BO838" s="4317"/>
      <c r="BP838" s="4317"/>
      <c r="BQ838" s="4317"/>
      <c r="BR838" s="4317"/>
      <c r="BS838" s="4317"/>
      <c r="BT838" s="4317"/>
      <c r="BU838" s="4317"/>
      <c r="BV838" s="4317"/>
      <c r="BW838" s="4317"/>
      <c r="BX838" s="4317"/>
      <c r="BY838" s="4317"/>
      <c r="BZ838" s="4317"/>
      <c r="CA838" s="4317"/>
      <c r="CB838" s="4317"/>
      <c r="CC838" s="4317"/>
      <c r="CD838" s="4317"/>
      <c r="CE838" s="4317"/>
      <c r="CF838" s="4317"/>
      <c r="CG838" s="4317"/>
      <c r="CH838" s="4317"/>
      <c r="CI838" s="4317"/>
      <c r="CJ838" s="4317"/>
      <c r="CK838" s="4317"/>
      <c r="CL838" s="4317"/>
      <c r="CM838" s="4317"/>
      <c r="CN838" s="4317"/>
      <c r="CO838" s="4317"/>
      <c r="CP838" s="4317"/>
      <c r="CQ838" s="4317"/>
      <c r="CR838" s="4317"/>
      <c r="CS838" s="4317"/>
      <c r="CT838" s="4317"/>
      <c r="CU838" s="4317"/>
      <c r="CV838" s="4317"/>
      <c r="CW838" s="4317"/>
      <c r="CX838" s="4317"/>
      <c r="CY838" s="4317"/>
      <c r="CZ838" s="4317"/>
      <c r="DA838" s="4317"/>
      <c r="DB838" s="4317"/>
      <c r="DC838" s="4317"/>
      <c r="DD838" s="4317"/>
      <c r="DE838" s="4317"/>
      <c r="DF838" s="4317"/>
      <c r="DG838" s="4317"/>
      <c r="DH838" s="4317"/>
      <c r="DI838" s="4317"/>
      <c r="DJ838" s="4317"/>
      <c r="DK838" s="4317"/>
      <c r="DL838" s="4317"/>
      <c r="DM838" s="4317"/>
      <c r="DN838" s="4317"/>
      <c r="DO838" s="4317"/>
      <c r="DP838" s="4317"/>
      <c r="DQ838" s="4317"/>
      <c r="DR838" s="4317"/>
      <c r="DS838" s="4317"/>
    </row>
    <row r="839" s="4134" customFormat="1" ht="17.25" customHeight="1" spans="1:123">
      <c r="A839" s="4696" t="s">
        <v>5580</v>
      </c>
      <c r="B839" s="4697"/>
      <c r="C839" s="4697"/>
      <c r="D839" s="4697"/>
      <c r="E839" s="4697"/>
      <c r="F839" s="4534"/>
      <c r="G839" s="4535"/>
      <c r="H839" s="4535"/>
      <c r="I839" s="4535"/>
      <c r="J839" s="4535"/>
      <c r="K839" s="4535"/>
      <c r="L839" s="4536"/>
      <c r="M839" s="4317"/>
      <c r="N839" s="4317"/>
      <c r="O839" s="4317"/>
      <c r="P839" s="4317"/>
      <c r="Q839" s="4317"/>
      <c r="R839" s="4317"/>
      <c r="S839" s="4317"/>
      <c r="T839" s="4319" t="s">
        <v>5581</v>
      </c>
      <c r="U839" s="4317"/>
      <c r="V839" s="4317"/>
      <c r="W839" s="4317"/>
      <c r="X839" s="4317"/>
      <c r="Y839" s="4653"/>
      <c r="Z839" s="4653"/>
      <c r="AA839" s="4653"/>
      <c r="AB839" s="4317"/>
      <c r="AC839" s="4295"/>
      <c r="AD839" s="4653"/>
      <c r="AE839" s="4653"/>
      <c r="AF839" s="4653"/>
      <c r="AG839" s="4319"/>
      <c r="AH839" s="4317"/>
      <c r="AI839" s="4317"/>
      <c r="AJ839" s="4317"/>
      <c r="AK839" s="4317"/>
      <c r="AL839" s="4317"/>
      <c r="AM839" s="4317"/>
      <c r="AN839" s="4317"/>
      <c r="AO839" s="4317"/>
      <c r="AP839" s="4317"/>
      <c r="AQ839" s="4317"/>
      <c r="AR839" s="4317"/>
      <c r="AS839" s="4317"/>
      <c r="AT839" s="4317"/>
      <c r="AU839" s="4317"/>
      <c r="AV839" s="4317"/>
      <c r="AW839" s="4317"/>
      <c r="AX839" s="4317"/>
      <c r="AY839" s="4317"/>
      <c r="AZ839" s="4317"/>
      <c r="BA839" s="4317"/>
      <c r="BB839" s="4317"/>
      <c r="BC839" s="4317"/>
      <c r="BD839" s="4317"/>
      <c r="BE839" s="4317"/>
      <c r="BF839" s="4317"/>
      <c r="BG839" s="4317"/>
      <c r="BH839" s="4317"/>
      <c r="BI839" s="4317"/>
      <c r="BJ839" s="4317"/>
      <c r="BK839" s="4317"/>
      <c r="BL839" s="4317"/>
      <c r="BM839" s="4317"/>
      <c r="BN839" s="4317"/>
      <c r="BO839" s="4317"/>
      <c r="BP839" s="4317"/>
      <c r="BQ839" s="4317"/>
      <c r="BR839" s="4317"/>
      <c r="BS839" s="4317"/>
      <c r="BT839" s="4317"/>
      <c r="BU839" s="4317"/>
      <c r="BV839" s="4317"/>
      <c r="BW839" s="4317"/>
      <c r="BX839" s="4317"/>
      <c r="BY839" s="4317"/>
      <c r="BZ839" s="4317"/>
      <c r="CA839" s="4317"/>
      <c r="CB839" s="4317"/>
      <c r="CC839" s="4317"/>
      <c r="CD839" s="4317"/>
      <c r="CE839" s="4317"/>
      <c r="CF839" s="4317"/>
      <c r="CG839" s="4317"/>
      <c r="CH839" s="4317"/>
      <c r="CI839" s="4317"/>
      <c r="CJ839" s="4317"/>
      <c r="CK839" s="4317"/>
      <c r="CL839" s="4317"/>
      <c r="CM839" s="4317"/>
      <c r="CN839" s="4317"/>
      <c r="CO839" s="4317"/>
      <c r="CP839" s="4317"/>
      <c r="CQ839" s="4317"/>
      <c r="CR839" s="4317"/>
      <c r="CS839" s="4317"/>
      <c r="CT839" s="4317"/>
      <c r="CU839" s="4317"/>
      <c r="CV839" s="4317"/>
      <c r="CW839" s="4317"/>
      <c r="CX839" s="4317"/>
      <c r="CY839" s="4317"/>
      <c r="CZ839" s="4317"/>
      <c r="DA839" s="4317"/>
      <c r="DB839" s="4317"/>
      <c r="DC839" s="4317"/>
      <c r="DD839" s="4317"/>
      <c r="DE839" s="4317"/>
      <c r="DF839" s="4317"/>
      <c r="DG839" s="4317"/>
      <c r="DH839" s="4317"/>
      <c r="DI839" s="4317"/>
      <c r="DJ839" s="4317"/>
      <c r="DK839" s="4317"/>
      <c r="DL839" s="4317"/>
      <c r="DM839" s="4317"/>
      <c r="DN839" s="4317"/>
      <c r="DO839" s="4317"/>
      <c r="DP839" s="4317"/>
      <c r="DQ839" s="4317"/>
      <c r="DR839" s="4317"/>
      <c r="DS839" s="4317"/>
    </row>
    <row r="840" s="4134" customFormat="1" ht="17.25" customHeight="1" spans="1:123">
      <c r="A840" s="4696" t="s">
        <v>5582</v>
      </c>
      <c r="B840" s="4697"/>
      <c r="C840" s="4697"/>
      <c r="D840" s="4697"/>
      <c r="E840" s="4697"/>
      <c r="F840" s="4534"/>
      <c r="G840" s="4535"/>
      <c r="H840" s="4535"/>
      <c r="I840" s="4535"/>
      <c r="J840" s="4535"/>
      <c r="K840" s="4535"/>
      <c r="L840" s="4536"/>
      <c r="M840" s="4317"/>
      <c r="N840" s="4317"/>
      <c r="O840" s="4317"/>
      <c r="P840" s="4317"/>
      <c r="Q840" s="4317"/>
      <c r="R840" s="4317"/>
      <c r="S840" s="4317"/>
      <c r="T840" s="4319" t="s">
        <v>5583</v>
      </c>
      <c r="U840" s="4317"/>
      <c r="V840" s="4317"/>
      <c r="W840" s="4317"/>
      <c r="X840" s="4317"/>
      <c r="Y840" s="4653"/>
      <c r="Z840" s="4653"/>
      <c r="AA840" s="4653"/>
      <c r="AB840" s="4317"/>
      <c r="AC840" s="4295"/>
      <c r="AD840" s="4653"/>
      <c r="AE840" s="4653"/>
      <c r="AF840" s="4653"/>
      <c r="AG840" s="4319"/>
      <c r="AH840" s="4317"/>
      <c r="AI840" s="4317"/>
      <c r="AJ840" s="4317"/>
      <c r="AK840" s="4317"/>
      <c r="AL840" s="4317"/>
      <c r="AM840" s="4317"/>
      <c r="AN840" s="4317"/>
      <c r="AO840" s="4317"/>
      <c r="AP840" s="4317"/>
      <c r="AQ840" s="4317"/>
      <c r="AR840" s="4317"/>
      <c r="AS840" s="4317"/>
      <c r="AT840" s="4317"/>
      <c r="AU840" s="4317"/>
      <c r="AV840" s="4317"/>
      <c r="AW840" s="4317"/>
      <c r="AX840" s="4317"/>
      <c r="AY840" s="4317"/>
      <c r="AZ840" s="4317"/>
      <c r="BA840" s="4317"/>
      <c r="BB840" s="4317"/>
      <c r="BC840" s="4317"/>
      <c r="BD840" s="4317"/>
      <c r="BE840" s="4317"/>
      <c r="BF840" s="4317"/>
      <c r="BG840" s="4317"/>
      <c r="BH840" s="4317"/>
      <c r="BI840" s="4317"/>
      <c r="BJ840" s="4317"/>
      <c r="BK840" s="4317"/>
      <c r="BL840" s="4317"/>
      <c r="BM840" s="4317"/>
      <c r="BN840" s="4317"/>
      <c r="BO840" s="4317"/>
      <c r="BP840" s="4317"/>
      <c r="BQ840" s="4317"/>
      <c r="BR840" s="4317"/>
      <c r="BS840" s="4317"/>
      <c r="BT840" s="4317"/>
      <c r="BU840" s="4317"/>
      <c r="BV840" s="4317"/>
      <c r="BW840" s="4317"/>
      <c r="BX840" s="4317"/>
      <c r="BY840" s="4317"/>
      <c r="BZ840" s="4317"/>
      <c r="CA840" s="4317"/>
      <c r="CB840" s="4317"/>
      <c r="CC840" s="4317"/>
      <c r="CD840" s="4317"/>
      <c r="CE840" s="4317"/>
      <c r="CF840" s="4317"/>
      <c r="CG840" s="4317"/>
      <c r="CH840" s="4317"/>
      <c r="CI840" s="4317"/>
      <c r="CJ840" s="4317"/>
      <c r="CK840" s="4317"/>
      <c r="CL840" s="4317"/>
      <c r="CM840" s="4317"/>
      <c r="CN840" s="4317"/>
      <c r="CO840" s="4317"/>
      <c r="CP840" s="4317"/>
      <c r="CQ840" s="4317"/>
      <c r="CR840" s="4317"/>
      <c r="CS840" s="4317"/>
      <c r="CT840" s="4317"/>
      <c r="CU840" s="4317"/>
      <c r="CV840" s="4317"/>
      <c r="CW840" s="4317"/>
      <c r="CX840" s="4317"/>
      <c r="CY840" s="4317"/>
      <c r="CZ840" s="4317"/>
      <c r="DA840" s="4317"/>
      <c r="DB840" s="4317"/>
      <c r="DC840" s="4317"/>
      <c r="DD840" s="4317"/>
      <c r="DE840" s="4317"/>
      <c r="DF840" s="4317"/>
      <c r="DG840" s="4317"/>
      <c r="DH840" s="4317"/>
      <c r="DI840" s="4317"/>
      <c r="DJ840" s="4317"/>
      <c r="DK840" s="4317"/>
      <c r="DL840" s="4317"/>
      <c r="DM840" s="4317"/>
      <c r="DN840" s="4317"/>
      <c r="DO840" s="4317"/>
      <c r="DP840" s="4317"/>
      <c r="DQ840" s="4317"/>
      <c r="DR840" s="4317"/>
      <c r="DS840" s="4317"/>
    </row>
    <row r="841" s="4134" customFormat="1" ht="17.25" customHeight="1" spans="1:123">
      <c r="A841" s="4701" t="s">
        <v>5584</v>
      </c>
      <c r="B841" s="4702"/>
      <c r="C841" s="4702"/>
      <c r="D841" s="4702"/>
      <c r="E841" s="4702"/>
      <c r="F841" s="4703">
        <f>SUM(F835:L840)</f>
        <v>24387</v>
      </c>
      <c r="G841" s="4703"/>
      <c r="H841" s="4703"/>
      <c r="I841" s="4703"/>
      <c r="J841" s="4703"/>
      <c r="K841" s="4703"/>
      <c r="L841" s="4703"/>
      <c r="M841" s="4317"/>
      <c r="N841" s="4317"/>
      <c r="O841" s="4317"/>
      <c r="P841" s="4317"/>
      <c r="Q841" s="4317"/>
      <c r="R841" s="4317"/>
      <c r="S841" s="4317"/>
      <c r="T841" s="4323" t="s">
        <v>5585</v>
      </c>
      <c r="U841" s="4317"/>
      <c r="V841" s="4317"/>
      <c r="W841" s="4317"/>
      <c r="X841" s="4317"/>
      <c r="Y841" s="4653"/>
      <c r="Z841" s="4653"/>
      <c r="AA841" s="4653"/>
      <c r="AB841" s="4317"/>
      <c r="AC841" s="4295"/>
      <c r="AD841" s="4653"/>
      <c r="AE841" s="4653"/>
      <c r="AF841" s="4653"/>
      <c r="AG841" s="4319"/>
      <c r="AH841" s="4317"/>
      <c r="AI841" s="4317"/>
      <c r="AJ841" s="4317"/>
      <c r="AK841" s="4317"/>
      <c r="AL841" s="4317"/>
      <c r="AM841" s="4317"/>
      <c r="AN841" s="4317"/>
      <c r="AO841" s="4317"/>
      <c r="AP841" s="4317"/>
      <c r="AQ841" s="4317"/>
      <c r="AR841" s="4317"/>
      <c r="AS841" s="4317"/>
      <c r="AT841" s="4317"/>
      <c r="AU841" s="4317"/>
      <c r="AV841" s="4317"/>
      <c r="AW841" s="4317"/>
      <c r="AX841" s="4317"/>
      <c r="AY841" s="4317"/>
      <c r="AZ841" s="4317"/>
      <c r="BA841" s="4317"/>
      <c r="BB841" s="4317"/>
      <c r="BC841" s="4317"/>
      <c r="BD841" s="4317"/>
      <c r="BE841" s="4317"/>
      <c r="BF841" s="4317"/>
      <c r="BG841" s="4317"/>
      <c r="BH841" s="4317"/>
      <c r="BI841" s="4317"/>
      <c r="BJ841" s="4317"/>
      <c r="BK841" s="4317"/>
      <c r="BL841" s="4317"/>
      <c r="BM841" s="4317"/>
      <c r="BN841" s="4317"/>
      <c r="BO841" s="4317"/>
      <c r="BP841" s="4317"/>
      <c r="BQ841" s="4317"/>
      <c r="BR841" s="4317"/>
      <c r="BS841" s="4317"/>
      <c r="BT841" s="4317"/>
      <c r="BU841" s="4317"/>
      <c r="BV841" s="4317"/>
      <c r="BW841" s="4317"/>
      <c r="BX841" s="4317"/>
      <c r="BY841" s="4317"/>
      <c r="BZ841" s="4317"/>
      <c r="CA841" s="4317"/>
      <c r="CB841" s="4317"/>
      <c r="CC841" s="4317"/>
      <c r="CD841" s="4317"/>
      <c r="CE841" s="4317"/>
      <c r="CF841" s="4317"/>
      <c r="CG841" s="4317"/>
      <c r="CH841" s="4317"/>
      <c r="CI841" s="4317"/>
      <c r="CJ841" s="4317"/>
      <c r="CK841" s="4317"/>
      <c r="CL841" s="4317"/>
      <c r="CM841" s="4317"/>
      <c r="CN841" s="4317"/>
      <c r="CO841" s="4317"/>
      <c r="CP841" s="4317"/>
      <c r="CQ841" s="4317"/>
      <c r="CR841" s="4317"/>
      <c r="CS841" s="4317"/>
      <c r="CT841" s="4317"/>
      <c r="CU841" s="4317"/>
      <c r="CV841" s="4317"/>
      <c r="CW841" s="4317"/>
      <c r="CX841" s="4317"/>
      <c r="CY841" s="4317"/>
      <c r="CZ841" s="4317"/>
      <c r="DA841" s="4317"/>
      <c r="DB841" s="4317"/>
      <c r="DC841" s="4317"/>
      <c r="DD841" s="4317"/>
      <c r="DE841" s="4317"/>
      <c r="DF841" s="4317"/>
      <c r="DG841" s="4317"/>
      <c r="DH841" s="4317"/>
      <c r="DI841" s="4317"/>
      <c r="DJ841" s="4317"/>
      <c r="DK841" s="4317"/>
      <c r="DL841" s="4317"/>
      <c r="DM841" s="4317"/>
      <c r="DN841" s="4317"/>
      <c r="DO841" s="4317"/>
      <c r="DP841" s="4317"/>
      <c r="DQ841" s="4317"/>
      <c r="DR841" s="4317"/>
      <c r="DS841" s="4317"/>
    </row>
    <row r="842" s="4134" customFormat="1" ht="17.25" customHeight="1" spans="1:123">
      <c r="A842" s="4696" t="s">
        <v>5586</v>
      </c>
      <c r="B842" s="4697"/>
      <c r="C842" s="4697"/>
      <c r="D842" s="4697"/>
      <c r="E842" s="4697"/>
      <c r="F842" s="4534"/>
      <c r="G842" s="4535"/>
      <c r="H842" s="4535"/>
      <c r="I842" s="4535"/>
      <c r="J842" s="4535"/>
      <c r="K842" s="4535"/>
      <c r="L842" s="4536"/>
      <c r="M842" s="4317"/>
      <c r="N842" s="4317"/>
      <c r="O842" s="4317"/>
      <c r="P842" s="4317"/>
      <c r="Q842" s="4317"/>
      <c r="R842" s="4317"/>
      <c r="S842" s="4317"/>
      <c r="T842" s="4319" t="s">
        <v>5587</v>
      </c>
      <c r="U842" s="4317"/>
      <c r="V842" s="4317"/>
      <c r="W842" s="4317"/>
      <c r="X842" s="4317"/>
      <c r="Y842" s="4653"/>
      <c r="Z842" s="4653"/>
      <c r="AA842" s="4653"/>
      <c r="AB842" s="4317"/>
      <c r="AC842" s="4295"/>
      <c r="AD842" s="4653"/>
      <c r="AE842" s="4653"/>
      <c r="AF842" s="4653"/>
      <c r="AG842" s="4319"/>
      <c r="AH842" s="4317"/>
      <c r="AI842" s="4317"/>
      <c r="AJ842" s="4317"/>
      <c r="AK842" s="4317"/>
      <c r="AL842" s="4317"/>
      <c r="AM842" s="4317"/>
      <c r="AN842" s="4317"/>
      <c r="AO842" s="4317"/>
      <c r="AP842" s="4317"/>
      <c r="AQ842" s="4317"/>
      <c r="AR842" s="4317"/>
      <c r="AS842" s="4317"/>
      <c r="AT842" s="4317"/>
      <c r="AU842" s="4317"/>
      <c r="AV842" s="4317"/>
      <c r="AW842" s="4317"/>
      <c r="AX842" s="4317"/>
      <c r="AY842" s="4317"/>
      <c r="AZ842" s="4317"/>
      <c r="BA842" s="4317"/>
      <c r="BB842" s="4317"/>
      <c r="BC842" s="4317"/>
      <c r="BD842" s="4317"/>
      <c r="BE842" s="4317"/>
      <c r="BF842" s="4317"/>
      <c r="BG842" s="4317"/>
      <c r="BH842" s="4317"/>
      <c r="BI842" s="4317"/>
      <c r="BJ842" s="4317"/>
      <c r="BK842" s="4317"/>
      <c r="BL842" s="4317"/>
      <c r="BM842" s="4317"/>
      <c r="BN842" s="4317"/>
      <c r="BO842" s="4317"/>
      <c r="BP842" s="4317"/>
      <c r="BQ842" s="4317"/>
      <c r="BR842" s="4317"/>
      <c r="BS842" s="4317"/>
      <c r="BT842" s="4317"/>
      <c r="BU842" s="4317"/>
      <c r="BV842" s="4317"/>
      <c r="BW842" s="4317"/>
      <c r="BX842" s="4317"/>
      <c r="BY842" s="4317"/>
      <c r="BZ842" s="4317"/>
      <c r="CA842" s="4317"/>
      <c r="CB842" s="4317"/>
      <c r="CC842" s="4317"/>
      <c r="CD842" s="4317"/>
      <c r="CE842" s="4317"/>
      <c r="CF842" s="4317"/>
      <c r="CG842" s="4317"/>
      <c r="CH842" s="4317"/>
      <c r="CI842" s="4317"/>
      <c r="CJ842" s="4317"/>
      <c r="CK842" s="4317"/>
      <c r="CL842" s="4317"/>
      <c r="CM842" s="4317"/>
      <c r="CN842" s="4317"/>
      <c r="CO842" s="4317"/>
      <c r="CP842" s="4317"/>
      <c r="CQ842" s="4317"/>
      <c r="CR842" s="4317"/>
      <c r="CS842" s="4317"/>
      <c r="CT842" s="4317"/>
      <c r="CU842" s="4317"/>
      <c r="CV842" s="4317"/>
      <c r="CW842" s="4317"/>
      <c r="CX842" s="4317"/>
      <c r="CY842" s="4317"/>
      <c r="CZ842" s="4317"/>
      <c r="DA842" s="4317"/>
      <c r="DB842" s="4317"/>
      <c r="DC842" s="4317"/>
      <c r="DD842" s="4317"/>
      <c r="DE842" s="4317"/>
      <c r="DF842" s="4317"/>
      <c r="DG842" s="4317"/>
      <c r="DH842" s="4317"/>
      <c r="DI842" s="4317"/>
      <c r="DJ842" s="4317"/>
      <c r="DK842" s="4317"/>
      <c r="DL842" s="4317"/>
      <c r="DM842" s="4317"/>
      <c r="DN842" s="4317"/>
      <c r="DO842" s="4317"/>
      <c r="DP842" s="4317"/>
      <c r="DQ842" s="4317"/>
      <c r="DR842" s="4317"/>
      <c r="DS842" s="4317"/>
    </row>
    <row r="843" s="4134" customFormat="1" ht="17.25" customHeight="1" spans="1:123">
      <c r="A843" s="4696" t="s">
        <v>5588</v>
      </c>
      <c r="B843" s="4697"/>
      <c r="C843" s="4697"/>
      <c r="D843" s="4697"/>
      <c r="E843" s="4697"/>
      <c r="F843" s="4704"/>
      <c r="G843" s="4704"/>
      <c r="H843" s="4704"/>
      <c r="I843" s="4704"/>
      <c r="J843" s="4704"/>
      <c r="K843" s="4704"/>
      <c r="L843" s="4704"/>
      <c r="M843" s="4317"/>
      <c r="N843" s="4317"/>
      <c r="O843" s="4317"/>
      <c r="P843" s="4317"/>
      <c r="Q843" s="4317"/>
      <c r="R843" s="4317"/>
      <c r="S843" s="4317"/>
      <c r="T843" s="4319" t="s">
        <v>5589</v>
      </c>
      <c r="U843" s="4317"/>
      <c r="V843" s="4317"/>
      <c r="W843" s="4317"/>
      <c r="X843" s="4317"/>
      <c r="Y843" s="4653"/>
      <c r="Z843" s="4653"/>
      <c r="AA843" s="4653"/>
      <c r="AB843" s="4317"/>
      <c r="AC843" s="4295"/>
      <c r="AD843" s="4653"/>
      <c r="AE843" s="4653"/>
      <c r="AF843" s="4653"/>
      <c r="AG843" s="4319"/>
      <c r="AH843" s="4317"/>
      <c r="AI843" s="4317"/>
      <c r="AJ843" s="4317"/>
      <c r="AK843" s="4317"/>
      <c r="AL843" s="4317"/>
      <c r="AM843" s="4317"/>
      <c r="AN843" s="4317"/>
      <c r="AO843" s="4317"/>
      <c r="AP843" s="4317"/>
      <c r="AQ843" s="4317"/>
      <c r="AR843" s="4317"/>
      <c r="AS843" s="4317"/>
      <c r="AT843" s="4317"/>
      <c r="AU843" s="4317"/>
      <c r="AV843" s="4317"/>
      <c r="AW843" s="4317"/>
      <c r="AX843" s="4317"/>
      <c r="AY843" s="4317"/>
      <c r="AZ843" s="4317"/>
      <c r="BA843" s="4317"/>
      <c r="BB843" s="4317"/>
      <c r="BC843" s="4317"/>
      <c r="BD843" s="4317"/>
      <c r="BE843" s="4317"/>
      <c r="BF843" s="4317"/>
      <c r="BG843" s="4317"/>
      <c r="BH843" s="4317"/>
      <c r="BI843" s="4317"/>
      <c r="BJ843" s="4317"/>
      <c r="BK843" s="4317"/>
      <c r="BL843" s="4317"/>
      <c r="BM843" s="4317"/>
      <c r="BN843" s="4317"/>
      <c r="BO843" s="4317"/>
      <c r="BP843" s="4317"/>
      <c r="BQ843" s="4317"/>
      <c r="BR843" s="4317"/>
      <c r="BS843" s="4317"/>
      <c r="BT843" s="4317"/>
      <c r="BU843" s="4317"/>
      <c r="BV843" s="4317"/>
      <c r="BW843" s="4317"/>
      <c r="BX843" s="4317"/>
      <c r="BY843" s="4317"/>
      <c r="BZ843" s="4317"/>
      <c r="CA843" s="4317"/>
      <c r="CB843" s="4317"/>
      <c r="CC843" s="4317"/>
      <c r="CD843" s="4317"/>
      <c r="CE843" s="4317"/>
      <c r="CF843" s="4317"/>
      <c r="CG843" s="4317"/>
      <c r="CH843" s="4317"/>
      <c r="CI843" s="4317"/>
      <c r="CJ843" s="4317"/>
      <c r="CK843" s="4317"/>
      <c r="CL843" s="4317"/>
      <c r="CM843" s="4317"/>
      <c r="CN843" s="4317"/>
      <c r="CO843" s="4317"/>
      <c r="CP843" s="4317"/>
      <c r="CQ843" s="4317"/>
      <c r="CR843" s="4317"/>
      <c r="CS843" s="4317"/>
      <c r="CT843" s="4317"/>
      <c r="CU843" s="4317"/>
      <c r="CV843" s="4317"/>
      <c r="CW843" s="4317"/>
      <c r="CX843" s="4317"/>
      <c r="CY843" s="4317"/>
      <c r="CZ843" s="4317"/>
      <c r="DA843" s="4317"/>
      <c r="DB843" s="4317"/>
      <c r="DC843" s="4317"/>
      <c r="DD843" s="4317"/>
      <c r="DE843" s="4317"/>
      <c r="DF843" s="4317"/>
      <c r="DG843" s="4317"/>
      <c r="DH843" s="4317"/>
      <c r="DI843" s="4317"/>
      <c r="DJ843" s="4317"/>
      <c r="DK843" s="4317"/>
      <c r="DL843" s="4317"/>
      <c r="DM843" s="4317"/>
      <c r="DN843" s="4317"/>
      <c r="DO843" s="4317"/>
      <c r="DP843" s="4317"/>
      <c r="DQ843" s="4317"/>
      <c r="DR843" s="4317"/>
      <c r="DS843" s="4317"/>
    </row>
    <row r="844" s="4134" customFormat="1" ht="17.25" customHeight="1" spans="1:123">
      <c r="A844" s="4696" t="s">
        <v>5590</v>
      </c>
      <c r="B844" s="4697"/>
      <c r="C844" s="4697"/>
      <c r="D844" s="4697"/>
      <c r="E844" s="4697"/>
      <c r="F844" s="4704"/>
      <c r="G844" s="4704"/>
      <c r="H844" s="4704"/>
      <c r="I844" s="4704"/>
      <c r="J844" s="4704"/>
      <c r="K844" s="4704"/>
      <c r="L844" s="4704"/>
      <c r="M844" s="4317"/>
      <c r="N844" s="4317"/>
      <c r="O844" s="4317"/>
      <c r="P844" s="4317"/>
      <c r="Q844" s="4317"/>
      <c r="R844" s="4317"/>
      <c r="S844" s="4317"/>
      <c r="T844" s="4319" t="s">
        <v>5591</v>
      </c>
      <c r="U844" s="4317"/>
      <c r="V844" s="4317"/>
      <c r="W844" s="4317"/>
      <c r="X844" s="4317"/>
      <c r="Y844" s="4653"/>
      <c r="Z844" s="4653"/>
      <c r="AA844" s="4653"/>
      <c r="AB844" s="4317"/>
      <c r="AC844" s="4295"/>
      <c r="AD844" s="4653"/>
      <c r="AE844" s="4653"/>
      <c r="AF844" s="4653"/>
      <c r="AG844" s="4319"/>
      <c r="AH844" s="4317"/>
      <c r="AI844" s="4317"/>
      <c r="AJ844" s="4317"/>
      <c r="AK844" s="4317"/>
      <c r="AL844" s="4317"/>
      <c r="AM844" s="4317"/>
      <c r="AN844" s="4317"/>
      <c r="AO844" s="4317"/>
      <c r="AP844" s="4317"/>
      <c r="AQ844" s="4317"/>
      <c r="AR844" s="4317"/>
      <c r="AS844" s="4317"/>
      <c r="AT844" s="4317"/>
      <c r="AU844" s="4317"/>
      <c r="AV844" s="4317"/>
      <c r="AW844" s="4317"/>
      <c r="AX844" s="4317"/>
      <c r="AY844" s="4317"/>
      <c r="AZ844" s="4317"/>
      <c r="BA844" s="4317"/>
      <c r="BB844" s="4317"/>
      <c r="BC844" s="4317"/>
      <c r="BD844" s="4317"/>
      <c r="BE844" s="4317"/>
      <c r="BF844" s="4317"/>
      <c r="BG844" s="4317"/>
      <c r="BH844" s="4317"/>
      <c r="BI844" s="4317"/>
      <c r="BJ844" s="4317"/>
      <c r="BK844" s="4317"/>
      <c r="BL844" s="4317"/>
      <c r="BM844" s="4317"/>
      <c r="BN844" s="4317"/>
      <c r="BO844" s="4317"/>
      <c r="BP844" s="4317"/>
      <c r="BQ844" s="4317"/>
      <c r="BR844" s="4317"/>
      <c r="BS844" s="4317"/>
      <c r="BT844" s="4317"/>
      <c r="BU844" s="4317"/>
      <c r="BV844" s="4317"/>
      <c r="BW844" s="4317"/>
      <c r="BX844" s="4317"/>
      <c r="BY844" s="4317"/>
      <c r="BZ844" s="4317"/>
      <c r="CA844" s="4317"/>
      <c r="CB844" s="4317"/>
      <c r="CC844" s="4317"/>
      <c r="CD844" s="4317"/>
      <c r="CE844" s="4317"/>
      <c r="CF844" s="4317"/>
      <c r="CG844" s="4317"/>
      <c r="CH844" s="4317"/>
      <c r="CI844" s="4317"/>
      <c r="CJ844" s="4317"/>
      <c r="CK844" s="4317"/>
      <c r="CL844" s="4317"/>
      <c r="CM844" s="4317"/>
      <c r="CN844" s="4317"/>
      <c r="CO844" s="4317"/>
      <c r="CP844" s="4317"/>
      <c r="CQ844" s="4317"/>
      <c r="CR844" s="4317"/>
      <c r="CS844" s="4317"/>
      <c r="CT844" s="4317"/>
      <c r="CU844" s="4317"/>
      <c r="CV844" s="4317"/>
      <c r="CW844" s="4317"/>
      <c r="CX844" s="4317"/>
      <c r="CY844" s="4317"/>
      <c r="CZ844" s="4317"/>
      <c r="DA844" s="4317"/>
      <c r="DB844" s="4317"/>
      <c r="DC844" s="4317"/>
      <c r="DD844" s="4317"/>
      <c r="DE844" s="4317"/>
      <c r="DF844" s="4317"/>
      <c r="DG844" s="4317"/>
      <c r="DH844" s="4317"/>
      <c r="DI844" s="4317"/>
      <c r="DJ844" s="4317"/>
      <c r="DK844" s="4317"/>
      <c r="DL844" s="4317"/>
      <c r="DM844" s="4317"/>
      <c r="DN844" s="4317"/>
      <c r="DO844" s="4317"/>
      <c r="DP844" s="4317"/>
      <c r="DQ844" s="4317"/>
      <c r="DR844" s="4317"/>
      <c r="DS844" s="4317"/>
    </row>
    <row r="845" s="4134" customFormat="1" ht="17.25" customHeight="1" spans="1:123">
      <c r="A845" s="4696" t="s">
        <v>5592</v>
      </c>
      <c r="B845" s="4697"/>
      <c r="C845" s="4697"/>
      <c r="D845" s="4697"/>
      <c r="E845" s="4697"/>
      <c r="F845" s="4704"/>
      <c r="G845" s="4704"/>
      <c r="H845" s="4704"/>
      <c r="I845" s="4704"/>
      <c r="J845" s="4704"/>
      <c r="K845" s="4704"/>
      <c r="L845" s="4704"/>
      <c r="M845" s="4317"/>
      <c r="N845" s="4317"/>
      <c r="O845" s="4317"/>
      <c r="P845" s="4317"/>
      <c r="Q845" s="4317"/>
      <c r="R845" s="4317"/>
      <c r="S845" s="4317"/>
      <c r="T845" s="4319" t="s">
        <v>5593</v>
      </c>
      <c r="U845" s="4317"/>
      <c r="V845" s="4317"/>
      <c r="W845" s="4317"/>
      <c r="X845" s="4317"/>
      <c r="Y845" s="4653"/>
      <c r="Z845" s="4653"/>
      <c r="AA845" s="4653"/>
      <c r="AB845" s="4317"/>
      <c r="AC845" s="4295"/>
      <c r="AD845" s="4653"/>
      <c r="AE845" s="4653"/>
      <c r="AF845" s="4653"/>
      <c r="AG845" s="4319"/>
      <c r="AH845" s="4317"/>
      <c r="AI845" s="4317"/>
      <c r="AJ845" s="4317"/>
      <c r="AK845" s="4317"/>
      <c r="AL845" s="4317"/>
      <c r="AM845" s="4317"/>
      <c r="AN845" s="4317"/>
      <c r="AO845" s="4317"/>
      <c r="AP845" s="4317"/>
      <c r="AQ845" s="4317"/>
      <c r="AR845" s="4317"/>
      <c r="AS845" s="4317"/>
      <c r="AT845" s="4317"/>
      <c r="AU845" s="4317"/>
      <c r="AV845" s="4317"/>
      <c r="AW845" s="4317"/>
      <c r="AX845" s="4317"/>
      <c r="AY845" s="4317"/>
      <c r="AZ845" s="4317"/>
      <c r="BA845" s="4317"/>
      <c r="BB845" s="4317"/>
      <c r="BC845" s="4317"/>
      <c r="BD845" s="4317"/>
      <c r="BE845" s="4317"/>
      <c r="BF845" s="4317"/>
      <c r="BG845" s="4317"/>
      <c r="BH845" s="4317"/>
      <c r="BI845" s="4317"/>
      <c r="BJ845" s="4317"/>
      <c r="BK845" s="4317"/>
      <c r="BL845" s="4317"/>
      <c r="BM845" s="4317"/>
      <c r="BN845" s="4317"/>
      <c r="BO845" s="4317"/>
      <c r="BP845" s="4317"/>
      <c r="BQ845" s="4317"/>
      <c r="BR845" s="4317"/>
      <c r="BS845" s="4317"/>
      <c r="BT845" s="4317"/>
      <c r="BU845" s="4317"/>
      <c r="BV845" s="4317"/>
      <c r="BW845" s="4317"/>
      <c r="BX845" s="4317"/>
      <c r="BY845" s="4317"/>
      <c r="BZ845" s="4317"/>
      <c r="CA845" s="4317"/>
      <c r="CB845" s="4317"/>
      <c r="CC845" s="4317"/>
      <c r="CD845" s="4317"/>
      <c r="CE845" s="4317"/>
      <c r="CF845" s="4317"/>
      <c r="CG845" s="4317"/>
      <c r="CH845" s="4317"/>
      <c r="CI845" s="4317"/>
      <c r="CJ845" s="4317"/>
      <c r="CK845" s="4317"/>
      <c r="CL845" s="4317"/>
      <c r="CM845" s="4317"/>
      <c r="CN845" s="4317"/>
      <c r="CO845" s="4317"/>
      <c r="CP845" s="4317"/>
      <c r="CQ845" s="4317"/>
      <c r="CR845" s="4317"/>
      <c r="CS845" s="4317"/>
      <c r="CT845" s="4317"/>
      <c r="CU845" s="4317"/>
      <c r="CV845" s="4317"/>
      <c r="CW845" s="4317"/>
      <c r="CX845" s="4317"/>
      <c r="CY845" s="4317"/>
      <c r="CZ845" s="4317"/>
      <c r="DA845" s="4317"/>
      <c r="DB845" s="4317"/>
      <c r="DC845" s="4317"/>
      <c r="DD845" s="4317"/>
      <c r="DE845" s="4317"/>
      <c r="DF845" s="4317"/>
      <c r="DG845" s="4317"/>
      <c r="DH845" s="4317"/>
      <c r="DI845" s="4317"/>
      <c r="DJ845" s="4317"/>
      <c r="DK845" s="4317"/>
      <c r="DL845" s="4317"/>
      <c r="DM845" s="4317"/>
      <c r="DN845" s="4317"/>
      <c r="DO845" s="4317"/>
      <c r="DP845" s="4317"/>
      <c r="DQ845" s="4317"/>
      <c r="DR845" s="4317"/>
      <c r="DS845" s="4317"/>
    </row>
    <row r="846" s="4134" customFormat="1" ht="17.25" customHeight="1" spans="1:123">
      <c r="A846" s="4698" t="s">
        <v>5594</v>
      </c>
      <c r="B846" s="4699"/>
      <c r="C846" s="4699"/>
      <c r="D846" s="4699"/>
      <c r="E846" s="4699"/>
      <c r="F846" s="4704"/>
      <c r="G846" s="4704"/>
      <c r="H846" s="4704"/>
      <c r="I846" s="4704"/>
      <c r="J846" s="4704"/>
      <c r="K846" s="4704"/>
      <c r="L846" s="4704"/>
      <c r="M846" s="4317"/>
      <c r="N846" s="4317"/>
      <c r="O846" s="4317"/>
      <c r="P846" s="4317"/>
      <c r="Q846" s="4317"/>
      <c r="R846" s="4317"/>
      <c r="S846" s="4317"/>
      <c r="T846" s="4319" t="s">
        <v>5595</v>
      </c>
      <c r="U846" s="4317"/>
      <c r="V846" s="4317"/>
      <c r="W846" s="4317"/>
      <c r="X846" s="4317"/>
      <c r="Y846" s="4653"/>
      <c r="Z846" s="4653"/>
      <c r="AA846" s="4653"/>
      <c r="AB846" s="4317"/>
      <c r="AC846" s="4295"/>
      <c r="AD846" s="4653"/>
      <c r="AE846" s="4653"/>
      <c r="AF846" s="4653"/>
      <c r="AG846" s="4319"/>
      <c r="AH846" s="4317"/>
      <c r="AI846" s="4317"/>
      <c r="AJ846" s="4317"/>
      <c r="AK846" s="4317"/>
      <c r="AL846" s="4317"/>
      <c r="AM846" s="4317"/>
      <c r="AN846" s="4317"/>
      <c r="AO846" s="4317"/>
      <c r="AP846" s="4317"/>
      <c r="AQ846" s="4317"/>
      <c r="AR846" s="4317"/>
      <c r="AS846" s="4317"/>
      <c r="AT846" s="4317"/>
      <c r="AU846" s="4317"/>
      <c r="AV846" s="4317"/>
      <c r="AW846" s="4317"/>
      <c r="AX846" s="4317"/>
      <c r="AY846" s="4317"/>
      <c r="AZ846" s="4317"/>
      <c r="BA846" s="4317"/>
      <c r="BB846" s="4317"/>
      <c r="BC846" s="4317"/>
      <c r="BD846" s="4317"/>
      <c r="BE846" s="4317"/>
      <c r="BF846" s="4317"/>
      <c r="BG846" s="4317"/>
      <c r="BH846" s="4317"/>
      <c r="BI846" s="4317"/>
      <c r="BJ846" s="4317"/>
      <c r="BK846" s="4317"/>
      <c r="BL846" s="4317"/>
      <c r="BM846" s="4317"/>
      <c r="BN846" s="4317"/>
      <c r="BO846" s="4317"/>
      <c r="BP846" s="4317"/>
      <c r="BQ846" s="4317"/>
      <c r="BR846" s="4317"/>
      <c r="BS846" s="4317"/>
      <c r="BT846" s="4317"/>
      <c r="BU846" s="4317"/>
      <c r="BV846" s="4317"/>
      <c r="BW846" s="4317"/>
      <c r="BX846" s="4317"/>
      <c r="BY846" s="4317"/>
      <c r="BZ846" s="4317"/>
      <c r="CA846" s="4317"/>
      <c r="CB846" s="4317"/>
      <c r="CC846" s="4317"/>
      <c r="CD846" s="4317"/>
      <c r="CE846" s="4317"/>
      <c r="CF846" s="4317"/>
      <c r="CG846" s="4317"/>
      <c r="CH846" s="4317"/>
      <c r="CI846" s="4317"/>
      <c r="CJ846" s="4317"/>
      <c r="CK846" s="4317"/>
      <c r="CL846" s="4317"/>
      <c r="CM846" s="4317"/>
      <c r="CN846" s="4317"/>
      <c r="CO846" s="4317"/>
      <c r="CP846" s="4317"/>
      <c r="CQ846" s="4317"/>
      <c r="CR846" s="4317"/>
      <c r="CS846" s="4317"/>
      <c r="CT846" s="4317"/>
      <c r="CU846" s="4317"/>
      <c r="CV846" s="4317"/>
      <c r="CW846" s="4317"/>
      <c r="CX846" s="4317"/>
      <c r="CY846" s="4317"/>
      <c r="CZ846" s="4317"/>
      <c r="DA846" s="4317"/>
      <c r="DB846" s="4317"/>
      <c r="DC846" s="4317"/>
      <c r="DD846" s="4317"/>
      <c r="DE846" s="4317"/>
      <c r="DF846" s="4317"/>
      <c r="DG846" s="4317"/>
      <c r="DH846" s="4317"/>
      <c r="DI846" s="4317"/>
      <c r="DJ846" s="4317"/>
      <c r="DK846" s="4317"/>
      <c r="DL846" s="4317"/>
      <c r="DM846" s="4317"/>
      <c r="DN846" s="4317"/>
      <c r="DO846" s="4317"/>
      <c r="DP846" s="4317"/>
      <c r="DQ846" s="4317"/>
      <c r="DR846" s="4317"/>
      <c r="DS846" s="4317"/>
    </row>
    <row r="847" s="4134" customFormat="1" ht="17.25" customHeight="1" spans="1:123">
      <c r="A847" s="4698" t="s">
        <v>5596</v>
      </c>
      <c r="B847" s="4699"/>
      <c r="C847" s="4699"/>
      <c r="D847" s="4699"/>
      <c r="E847" s="4699"/>
      <c r="F847" s="4704"/>
      <c r="G847" s="4704"/>
      <c r="H847" s="4704"/>
      <c r="I847" s="4704"/>
      <c r="J847" s="4704"/>
      <c r="K847" s="4704"/>
      <c r="L847" s="4704"/>
      <c r="M847" s="4317"/>
      <c r="N847" s="4317"/>
      <c r="O847" s="4317"/>
      <c r="P847" s="4317"/>
      <c r="Q847" s="4317"/>
      <c r="R847" s="4317"/>
      <c r="S847" s="4317"/>
      <c r="T847" s="4319" t="s">
        <v>5426</v>
      </c>
      <c r="U847" s="4317"/>
      <c r="V847" s="4317"/>
      <c r="W847" s="4317"/>
      <c r="X847" s="4317"/>
      <c r="Y847" s="4653"/>
      <c r="Z847" s="4653"/>
      <c r="AA847" s="4653"/>
      <c r="AB847" s="4317"/>
      <c r="AC847" s="4295"/>
      <c r="AD847" s="4653"/>
      <c r="AE847" s="4653"/>
      <c r="AF847" s="4653"/>
      <c r="AG847" s="4319"/>
      <c r="AH847" s="4317"/>
      <c r="AI847" s="4317"/>
      <c r="AJ847" s="4317"/>
      <c r="AK847" s="4317"/>
      <c r="AL847" s="4317"/>
      <c r="AM847" s="4317"/>
      <c r="AN847" s="4317"/>
      <c r="AO847" s="4317"/>
      <c r="AP847" s="4317"/>
      <c r="AQ847" s="4317"/>
      <c r="AR847" s="4317"/>
      <c r="AS847" s="4317"/>
      <c r="AT847" s="4317"/>
      <c r="AU847" s="4317"/>
      <c r="AV847" s="4317"/>
      <c r="AW847" s="4317"/>
      <c r="AX847" s="4317"/>
      <c r="AY847" s="4317"/>
      <c r="AZ847" s="4317"/>
      <c r="BA847" s="4317"/>
      <c r="BB847" s="4317"/>
      <c r="BC847" s="4317"/>
      <c r="BD847" s="4317"/>
      <c r="BE847" s="4317"/>
      <c r="BF847" s="4317"/>
      <c r="BG847" s="4317"/>
      <c r="BH847" s="4317"/>
      <c r="BI847" s="4317"/>
      <c r="BJ847" s="4317"/>
      <c r="BK847" s="4317"/>
      <c r="BL847" s="4317"/>
      <c r="BM847" s="4317"/>
      <c r="BN847" s="4317"/>
      <c r="BO847" s="4317"/>
      <c r="BP847" s="4317"/>
      <c r="BQ847" s="4317"/>
      <c r="BR847" s="4317"/>
      <c r="BS847" s="4317"/>
      <c r="BT847" s="4317"/>
      <c r="BU847" s="4317"/>
      <c r="BV847" s="4317"/>
      <c r="BW847" s="4317"/>
      <c r="BX847" s="4317"/>
      <c r="BY847" s="4317"/>
      <c r="BZ847" s="4317"/>
      <c r="CA847" s="4317"/>
      <c r="CB847" s="4317"/>
      <c r="CC847" s="4317"/>
      <c r="CD847" s="4317"/>
      <c r="CE847" s="4317"/>
      <c r="CF847" s="4317"/>
      <c r="CG847" s="4317"/>
      <c r="CH847" s="4317"/>
      <c r="CI847" s="4317"/>
      <c r="CJ847" s="4317"/>
      <c r="CK847" s="4317"/>
      <c r="CL847" s="4317"/>
      <c r="CM847" s="4317"/>
      <c r="CN847" s="4317"/>
      <c r="CO847" s="4317"/>
      <c r="CP847" s="4317"/>
      <c r="CQ847" s="4317"/>
      <c r="CR847" s="4317"/>
      <c r="CS847" s="4317"/>
      <c r="CT847" s="4317"/>
      <c r="CU847" s="4317"/>
      <c r="CV847" s="4317"/>
      <c r="CW847" s="4317"/>
      <c r="CX847" s="4317"/>
      <c r="CY847" s="4317"/>
      <c r="CZ847" s="4317"/>
      <c r="DA847" s="4317"/>
      <c r="DB847" s="4317"/>
      <c r="DC847" s="4317"/>
      <c r="DD847" s="4317"/>
      <c r="DE847" s="4317"/>
      <c r="DF847" s="4317"/>
      <c r="DG847" s="4317"/>
      <c r="DH847" s="4317"/>
      <c r="DI847" s="4317"/>
      <c r="DJ847" s="4317"/>
      <c r="DK847" s="4317"/>
      <c r="DL847" s="4317"/>
      <c r="DM847" s="4317"/>
      <c r="DN847" s="4317"/>
      <c r="DO847" s="4317"/>
      <c r="DP847" s="4317"/>
      <c r="DQ847" s="4317"/>
      <c r="DR847" s="4317"/>
      <c r="DS847" s="4317"/>
    </row>
    <row r="848" s="4134" customFormat="1" ht="17.25" customHeight="1" spans="1:123">
      <c r="A848" s="4696" t="s">
        <v>5597</v>
      </c>
      <c r="B848" s="4697"/>
      <c r="C848" s="4697"/>
      <c r="D848" s="4697"/>
      <c r="E848" s="4697"/>
      <c r="F848" s="4700">
        <f>SUM(F846:L847)</f>
        <v>0</v>
      </c>
      <c r="G848" s="4700"/>
      <c r="H848" s="4700"/>
      <c r="I848" s="4700"/>
      <c r="J848" s="4700"/>
      <c r="K848" s="4700"/>
      <c r="L848" s="4700"/>
      <c r="M848" s="4317"/>
      <c r="N848" s="4317"/>
      <c r="O848" s="4317"/>
      <c r="P848" s="4317"/>
      <c r="Q848" s="4317"/>
      <c r="R848" s="4317"/>
      <c r="S848" s="4317"/>
      <c r="T848" s="4319" t="s">
        <v>5426</v>
      </c>
      <c r="U848" s="4317"/>
      <c r="V848" s="4317"/>
      <c r="W848" s="4317"/>
      <c r="X848" s="4317"/>
      <c r="Y848" s="4653"/>
      <c r="Z848" s="4653"/>
      <c r="AA848" s="4653"/>
      <c r="AB848" s="4317"/>
      <c r="AC848" s="4295"/>
      <c r="AD848" s="4653"/>
      <c r="AE848" s="4653"/>
      <c r="AF848" s="4653"/>
      <c r="AG848" s="4319"/>
      <c r="AH848" s="4317"/>
      <c r="AI848" s="4317"/>
      <c r="AJ848" s="4317"/>
      <c r="AK848" s="4317"/>
      <c r="AL848" s="4317"/>
      <c r="AM848" s="4317"/>
      <c r="AN848" s="4317"/>
      <c r="AO848" s="4317"/>
      <c r="AP848" s="4317"/>
      <c r="AQ848" s="4317"/>
      <c r="AR848" s="4317"/>
      <c r="AS848" s="4317"/>
      <c r="AT848" s="4317"/>
      <c r="AU848" s="4317"/>
      <c r="AV848" s="4317"/>
      <c r="AW848" s="4317"/>
      <c r="AX848" s="4317"/>
      <c r="AY848" s="4317"/>
      <c r="AZ848" s="4317"/>
      <c r="BA848" s="4317"/>
      <c r="BB848" s="4317"/>
      <c r="BC848" s="4317"/>
      <c r="BD848" s="4317"/>
      <c r="BE848" s="4317"/>
      <c r="BF848" s="4317"/>
      <c r="BG848" s="4317"/>
      <c r="BH848" s="4317"/>
      <c r="BI848" s="4317"/>
      <c r="BJ848" s="4317"/>
      <c r="BK848" s="4317"/>
      <c r="BL848" s="4317"/>
      <c r="BM848" s="4317"/>
      <c r="BN848" s="4317"/>
      <c r="BO848" s="4317"/>
      <c r="BP848" s="4317"/>
      <c r="BQ848" s="4317"/>
      <c r="BR848" s="4317"/>
      <c r="BS848" s="4317"/>
      <c r="BT848" s="4317"/>
      <c r="BU848" s="4317"/>
      <c r="BV848" s="4317"/>
      <c r="BW848" s="4317"/>
      <c r="BX848" s="4317"/>
      <c r="BY848" s="4317"/>
      <c r="BZ848" s="4317"/>
      <c r="CA848" s="4317"/>
      <c r="CB848" s="4317"/>
      <c r="CC848" s="4317"/>
      <c r="CD848" s="4317"/>
      <c r="CE848" s="4317"/>
      <c r="CF848" s="4317"/>
      <c r="CG848" s="4317"/>
      <c r="CH848" s="4317"/>
      <c r="CI848" s="4317"/>
      <c r="CJ848" s="4317"/>
      <c r="CK848" s="4317"/>
      <c r="CL848" s="4317"/>
      <c r="CM848" s="4317"/>
      <c r="CN848" s="4317"/>
      <c r="CO848" s="4317"/>
      <c r="CP848" s="4317"/>
      <c r="CQ848" s="4317"/>
      <c r="CR848" s="4317"/>
      <c r="CS848" s="4317"/>
      <c r="CT848" s="4317"/>
      <c r="CU848" s="4317"/>
      <c r="CV848" s="4317"/>
      <c r="CW848" s="4317"/>
      <c r="CX848" s="4317"/>
      <c r="CY848" s="4317"/>
      <c r="CZ848" s="4317"/>
      <c r="DA848" s="4317"/>
      <c r="DB848" s="4317"/>
      <c r="DC848" s="4317"/>
      <c r="DD848" s="4317"/>
      <c r="DE848" s="4317"/>
      <c r="DF848" s="4317"/>
      <c r="DG848" s="4317"/>
      <c r="DH848" s="4317"/>
      <c r="DI848" s="4317"/>
      <c r="DJ848" s="4317"/>
      <c r="DK848" s="4317"/>
      <c r="DL848" s="4317"/>
      <c r="DM848" s="4317"/>
      <c r="DN848" s="4317"/>
      <c r="DO848" s="4317"/>
      <c r="DP848" s="4317"/>
      <c r="DQ848" s="4317"/>
      <c r="DR848" s="4317"/>
      <c r="DS848" s="4317"/>
    </row>
    <row r="849" s="4134" customFormat="1" ht="17.25" customHeight="1" spans="1:125">
      <c r="A849" s="4701" t="s">
        <v>5598</v>
      </c>
      <c r="B849" s="4702"/>
      <c r="C849" s="4702"/>
      <c r="D849" s="4702"/>
      <c r="E849" s="4702"/>
      <c r="F849" s="4703">
        <f>SUM(F842:L847)</f>
        <v>0</v>
      </c>
      <c r="G849" s="4703"/>
      <c r="H849" s="4703"/>
      <c r="I849" s="4703"/>
      <c r="J849" s="4703"/>
      <c r="K849" s="4703"/>
      <c r="L849" s="4703"/>
      <c r="M849" s="4317"/>
      <c r="N849" s="4317"/>
      <c r="O849" s="4317"/>
      <c r="P849" s="4317"/>
      <c r="Q849" s="4317"/>
      <c r="R849" s="4317"/>
      <c r="S849" s="4317"/>
      <c r="T849" s="4323" t="s">
        <v>5599</v>
      </c>
      <c r="U849" s="4317"/>
      <c r="V849" s="4317"/>
      <c r="W849" s="4317"/>
      <c r="X849" s="4317"/>
      <c r="Y849" s="4653"/>
      <c r="Z849" s="4653"/>
      <c r="AA849" s="4653"/>
      <c r="AB849" s="4317"/>
      <c r="AC849" s="4295"/>
      <c r="AD849" s="4653"/>
      <c r="AE849" s="4653"/>
      <c r="AF849" s="4653"/>
      <c r="AG849" s="4319"/>
      <c r="AH849" s="4317"/>
      <c r="AI849" s="4317"/>
      <c r="AJ849" s="4317"/>
      <c r="AK849" s="4317"/>
      <c r="AL849" s="4317"/>
      <c r="AM849" s="4317"/>
      <c r="AN849" s="4317"/>
      <c r="AO849" s="4317"/>
      <c r="AP849" s="4317"/>
      <c r="AQ849" s="4317"/>
      <c r="AR849" s="4317"/>
      <c r="AS849" s="4317"/>
      <c r="AT849" s="4317"/>
      <c r="AU849" s="4317"/>
      <c r="AV849" s="4317"/>
      <c r="AW849" s="4317"/>
      <c r="AX849" s="4317"/>
      <c r="AY849" s="4317"/>
      <c r="AZ849" s="4317"/>
      <c r="BA849" s="4317"/>
      <c r="BB849" s="4317"/>
      <c r="BC849" s="4317"/>
      <c r="BD849" s="4317"/>
      <c r="BE849" s="4317"/>
      <c r="BF849" s="4317"/>
      <c r="BG849" s="4317"/>
      <c r="BH849" s="4317"/>
      <c r="BI849" s="4317"/>
      <c r="BJ849" s="4317"/>
      <c r="BK849" s="4317"/>
      <c r="BL849" s="4317"/>
      <c r="BM849" s="4317"/>
      <c r="BN849" s="4317"/>
      <c r="BO849" s="4317"/>
      <c r="BP849" s="4317"/>
      <c r="BQ849" s="4317"/>
      <c r="BR849" s="4317"/>
      <c r="BS849" s="4317"/>
      <c r="BT849" s="4317"/>
      <c r="BU849" s="4317"/>
      <c r="BV849" s="4317"/>
      <c r="BW849" s="4317"/>
      <c r="BX849" s="4317"/>
      <c r="BY849" s="4317"/>
      <c r="BZ849" s="4317"/>
      <c r="CA849" s="4317"/>
      <c r="CB849" s="4317"/>
      <c r="CC849" s="4317"/>
      <c r="CD849" s="4317"/>
      <c r="CE849" s="4317"/>
      <c r="CF849" s="4317"/>
      <c r="CG849" s="4317"/>
      <c r="CH849" s="4317"/>
      <c r="CI849" s="4317"/>
      <c r="CJ849" s="4317"/>
      <c r="CK849" s="4317"/>
      <c r="CL849" s="4317"/>
      <c r="CM849" s="4317"/>
      <c r="CN849" s="4317"/>
      <c r="CO849" s="4317"/>
      <c r="CP849" s="4317"/>
      <c r="CQ849" s="4317"/>
      <c r="CR849" s="4317"/>
      <c r="CS849" s="4317"/>
      <c r="CT849" s="4317"/>
      <c r="CU849" s="4317"/>
      <c r="CV849" s="4317"/>
      <c r="CW849" s="4317"/>
      <c r="CX849" s="4317"/>
      <c r="CY849" s="4317"/>
      <c r="CZ849" s="4317"/>
      <c r="DA849" s="4317"/>
      <c r="DB849" s="4317"/>
      <c r="DC849" s="4317"/>
      <c r="DD849" s="4317"/>
      <c r="DE849" s="4317"/>
      <c r="DF849" s="4317"/>
      <c r="DG849" s="4317"/>
      <c r="DH849" s="4317"/>
      <c r="DI849" s="4317"/>
      <c r="DJ849" s="4317"/>
      <c r="DK849" s="4317"/>
      <c r="DL849" s="4317"/>
      <c r="DM849" s="4317"/>
      <c r="DN849" s="4317"/>
      <c r="DO849" s="4317"/>
      <c r="DP849" s="4317"/>
      <c r="DQ849" s="4317"/>
      <c r="DR849" s="4317"/>
      <c r="DS849" s="4317"/>
    </row>
    <row r="850" s="4136" customFormat="1" ht="17.25" customHeight="1" spans="1:125">
      <c r="A850" s="4705" t="s">
        <v>5600</v>
      </c>
      <c r="B850" s="4706"/>
      <c r="C850" s="4706"/>
      <c r="D850" s="4706"/>
      <c r="E850" s="4706"/>
      <c r="F850" s="4707">
        <f>F770+F779+F788+F797+F800+F810+F825+F834+F841+F849</f>
        <v>290034</v>
      </c>
      <c r="G850" s="4707"/>
      <c r="H850" s="4707"/>
      <c r="I850" s="4707"/>
      <c r="J850" s="4707"/>
      <c r="K850" s="4707"/>
      <c r="L850" s="4707"/>
      <c r="M850" s="4317"/>
      <c r="N850" s="4317"/>
      <c r="O850" s="4317"/>
      <c r="P850" s="4317"/>
      <c r="Q850" s="4317"/>
      <c r="R850" s="4317"/>
      <c r="S850" s="4317"/>
      <c r="T850" s="4681" t="s">
        <v>5601</v>
      </c>
      <c r="U850" s="4181"/>
      <c r="V850" s="4181"/>
      <c r="W850" s="4181"/>
      <c r="X850" s="4181"/>
      <c r="Y850" s="4653"/>
      <c r="Z850" s="4653"/>
      <c r="AA850" s="4653"/>
      <c r="AB850" s="4181"/>
      <c r="AC850" s="4295"/>
      <c r="AD850" s="4653"/>
      <c r="AE850" s="4653"/>
      <c r="AF850" s="4653"/>
      <c r="AG850" s="4181"/>
      <c r="AH850" s="4181"/>
      <c r="AI850" s="4181"/>
      <c r="AJ850" s="4181"/>
      <c r="AK850" s="4181"/>
      <c r="AL850" s="4181"/>
      <c r="AM850" s="4181"/>
      <c r="AN850" s="4181"/>
      <c r="AO850" s="4181"/>
      <c r="AP850" s="4181"/>
      <c r="AQ850" s="4181"/>
      <c r="AR850" s="4181"/>
      <c r="AS850" s="4181"/>
      <c r="AT850" s="4181"/>
      <c r="AU850" s="4181"/>
      <c r="AV850" s="4181"/>
      <c r="AW850" s="4181"/>
      <c r="AX850" s="4181"/>
      <c r="AY850" s="4181"/>
      <c r="AZ850" s="4181"/>
      <c r="BA850" s="4181"/>
      <c r="BB850" s="4181"/>
      <c r="BC850" s="4181"/>
      <c r="BD850" s="4181"/>
      <c r="BE850" s="4181"/>
      <c r="BF850" s="4181"/>
      <c r="BG850" s="4181"/>
      <c r="BH850" s="4181"/>
      <c r="BI850" s="4181"/>
      <c r="BJ850" s="4181"/>
      <c r="BK850" s="4181"/>
      <c r="BL850" s="4181"/>
      <c r="BM850" s="4181"/>
      <c r="BN850" s="4181"/>
      <c r="BO850" s="4181"/>
      <c r="BP850" s="4181"/>
      <c r="BQ850" s="4181"/>
      <c r="BR850" s="4317"/>
      <c r="BS850" s="4317"/>
      <c r="BT850" s="4317"/>
      <c r="BU850" s="4317"/>
      <c r="BV850" s="4317"/>
      <c r="BW850" s="4317"/>
      <c r="BX850" s="4317"/>
      <c r="BY850" s="4317"/>
      <c r="BZ850" s="4317"/>
      <c r="CA850" s="4317"/>
      <c r="CB850" s="4317"/>
      <c r="CC850" s="4317"/>
      <c r="CD850" s="4317"/>
      <c r="CE850" s="4317"/>
      <c r="CF850" s="4317"/>
      <c r="CG850" s="4317"/>
      <c r="CH850" s="4317"/>
      <c r="CI850" s="4317"/>
      <c r="CJ850" s="4317"/>
      <c r="CK850" s="4317"/>
      <c r="CL850" s="4317"/>
      <c r="CM850" s="4317"/>
      <c r="CN850" s="4317"/>
      <c r="CO850" s="4317"/>
      <c r="CP850" s="4317"/>
      <c r="CQ850" s="4317"/>
      <c r="CR850" s="4317"/>
      <c r="CS850" s="4317"/>
      <c r="CT850" s="4317"/>
      <c r="CU850" s="4317"/>
      <c r="CV850" s="4317"/>
      <c r="CW850" s="4317"/>
      <c r="CX850" s="4317"/>
      <c r="CY850" s="4317"/>
      <c r="CZ850" s="4317"/>
      <c r="DA850" s="4317"/>
      <c r="DB850" s="4317"/>
      <c r="DC850" s="4317"/>
      <c r="DD850" s="4317"/>
      <c r="DE850" s="4317"/>
      <c r="DF850" s="4317"/>
      <c r="DG850" s="4317"/>
      <c r="DH850" s="4317"/>
      <c r="DI850" s="4317"/>
      <c r="DJ850" s="4317"/>
      <c r="DK850" s="4317"/>
      <c r="DL850" s="4317"/>
      <c r="DM850" s="4317"/>
      <c r="DN850" s="4317"/>
      <c r="DO850" s="4317"/>
      <c r="DP850" s="4317"/>
      <c r="DQ850" s="4317"/>
      <c r="DR850" s="4317"/>
      <c r="DS850" s="4317"/>
    </row>
    <row r="851" s="4134" customFormat="1" ht="17.25" customHeight="1" spans="1:125">
      <c r="A851" s="4317"/>
      <c r="B851" s="4317"/>
      <c r="C851" s="4317"/>
      <c r="D851" s="4317"/>
      <c r="E851" s="4317"/>
      <c r="F851" s="4317"/>
      <c r="G851" s="4317"/>
      <c r="H851" s="4317"/>
      <c r="I851" s="4317"/>
      <c r="J851" s="4317"/>
      <c r="K851" s="4317"/>
      <c r="L851" s="4317"/>
      <c r="M851" s="4317"/>
      <c r="N851" s="4317"/>
      <c r="O851" s="4317"/>
      <c r="P851" s="4317"/>
      <c r="Q851" s="4317"/>
      <c r="R851" s="4317"/>
      <c r="S851" s="4317"/>
      <c r="T851" s="4317"/>
      <c r="U851" s="4653"/>
      <c r="V851" s="4653"/>
      <c r="W851" s="4653"/>
      <c r="X851" s="4653"/>
      <c r="Y851" s="4653"/>
      <c r="Z851" s="4653"/>
      <c r="AA851" s="4653"/>
      <c r="AB851" s="4317"/>
      <c r="AC851" s="4295"/>
      <c r="AD851" s="4653"/>
      <c r="AE851" s="4653"/>
      <c r="AF851" s="4653"/>
      <c r="AG851" s="4317"/>
      <c r="AH851" s="4317"/>
      <c r="AI851" s="4317"/>
      <c r="AJ851" s="4317"/>
      <c r="AK851" s="4317"/>
      <c r="AL851" s="4317"/>
      <c r="AM851" s="4317"/>
      <c r="AN851" s="4317"/>
      <c r="AO851" s="4317"/>
      <c r="AP851" s="4317"/>
      <c r="AQ851" s="4317"/>
      <c r="AR851" s="4317"/>
      <c r="AS851" s="4317"/>
      <c r="AT851" s="4317"/>
      <c r="AU851" s="4317"/>
      <c r="AV851" s="4317"/>
      <c r="AW851" s="4317"/>
      <c r="AX851" s="4317"/>
      <c r="AY851" s="4317"/>
      <c r="AZ851" s="4317"/>
      <c r="BA851" s="4317"/>
      <c r="BB851" s="4317"/>
      <c r="BC851" s="4317"/>
      <c r="BD851" s="4317"/>
      <c r="BE851" s="4317"/>
      <c r="BF851" s="4317"/>
      <c r="BG851" s="4317"/>
      <c r="BH851" s="4317"/>
      <c r="BI851" s="4317"/>
      <c r="BJ851" s="4317"/>
      <c r="BK851" s="4317"/>
      <c r="BL851" s="4317"/>
      <c r="BM851" s="4317"/>
      <c r="BN851" s="4317"/>
      <c r="BO851" s="4317"/>
      <c r="BP851" s="4317"/>
      <c r="BQ851" s="4317"/>
      <c r="BR851" s="4317"/>
      <c r="BS851" s="4317"/>
      <c r="BT851" s="4317"/>
      <c r="BU851" s="4317"/>
      <c r="BV851" s="4317"/>
      <c r="BW851" s="4317"/>
      <c r="BX851" s="4317"/>
      <c r="BY851" s="4317"/>
      <c r="BZ851" s="4317"/>
      <c r="CA851" s="4317"/>
      <c r="CB851" s="4317"/>
      <c r="CC851" s="4317"/>
      <c r="CD851" s="4317"/>
      <c r="CE851" s="4317"/>
      <c r="CF851" s="4317"/>
      <c r="CG851" s="4317"/>
      <c r="CH851" s="4317"/>
      <c r="CI851" s="4317"/>
      <c r="CJ851" s="4317"/>
      <c r="CK851" s="4317"/>
      <c r="CL851" s="4317"/>
      <c r="CM851" s="4317"/>
      <c r="CN851" s="4317"/>
      <c r="CO851" s="4317"/>
      <c r="CP851" s="4317"/>
      <c r="CQ851" s="4317"/>
      <c r="CR851" s="4317"/>
      <c r="CS851" s="4317"/>
      <c r="CT851" s="4317"/>
      <c r="CU851" s="4317"/>
      <c r="CV851" s="4317"/>
      <c r="CW851" s="4317"/>
      <c r="CX851" s="4317"/>
      <c r="CY851" s="4317"/>
      <c r="CZ851" s="4317"/>
      <c r="DA851" s="4317"/>
      <c r="DB851" s="4317"/>
      <c r="DC851" s="4317"/>
      <c r="DD851" s="4317"/>
      <c r="DE851" s="4317"/>
      <c r="DF851" s="4317"/>
      <c r="DG851" s="4317"/>
      <c r="DH851" s="4317"/>
      <c r="DI851" s="4317"/>
      <c r="DJ851" s="4317"/>
      <c r="DK851" s="4317"/>
      <c r="DL851" s="4317"/>
      <c r="DM851" s="4317"/>
      <c r="DN851" s="4317"/>
      <c r="DO851" s="4317"/>
      <c r="DP851" s="4317"/>
      <c r="DQ851" s="4317"/>
      <c r="DR851" s="4317"/>
      <c r="DS851" s="4317"/>
    </row>
    <row r="852" s="4134" customFormat="1" ht="17.25" customHeight="1" spans="1:125">
      <c r="A852" s="4687" t="s">
        <v>5602</v>
      </c>
      <c r="B852" s="4687"/>
      <c r="C852" s="4687"/>
      <c r="D852" s="4687"/>
      <c r="E852" s="4687"/>
      <c r="F852" s="4661">
        <f>F755+F850</f>
        <v>599299</v>
      </c>
      <c r="G852" s="4661"/>
      <c r="H852" s="4661"/>
      <c r="I852" s="4661"/>
      <c r="J852" s="4661"/>
      <c r="K852" s="4661"/>
      <c r="L852" s="4661"/>
      <c r="M852" s="4317"/>
      <c r="N852" s="4317"/>
      <c r="O852" s="4317"/>
      <c r="P852" s="4317"/>
      <c r="Q852" s="4317"/>
      <c r="R852" s="4317"/>
      <c r="S852" s="4317"/>
      <c r="T852" s="4317"/>
      <c r="U852" s="4653"/>
      <c r="V852" s="4653"/>
      <c r="W852" s="4653"/>
      <c r="X852" s="4653"/>
      <c r="Y852" s="4653"/>
      <c r="Z852" s="4653"/>
      <c r="AA852" s="4653"/>
      <c r="AB852" s="4317"/>
      <c r="AC852" s="4317"/>
      <c r="AD852" s="4317"/>
      <c r="AE852" s="4317"/>
      <c r="AF852" s="4317"/>
      <c r="AG852" s="4317"/>
      <c r="AH852" s="4317"/>
      <c r="AI852" s="4317"/>
      <c r="AJ852" s="4317"/>
      <c r="AK852" s="4317"/>
      <c r="AL852" s="4317"/>
      <c r="AM852" s="4317"/>
      <c r="AN852" s="4317"/>
      <c r="AO852" s="4317"/>
      <c r="AP852" s="4317"/>
      <c r="AQ852" s="4317"/>
      <c r="AR852" s="4317"/>
      <c r="AS852" s="4317"/>
      <c r="AT852" s="4317"/>
      <c r="AU852" s="4317"/>
      <c r="AV852" s="4317"/>
      <c r="AW852" s="4317"/>
      <c r="AX852" s="4317"/>
      <c r="AY852" s="4317"/>
      <c r="AZ852" s="4317"/>
      <c r="BA852" s="4317"/>
      <c r="BB852" s="4317"/>
      <c r="BC852" s="4317"/>
      <c r="BD852" s="4317"/>
      <c r="BE852" s="4317"/>
      <c r="BF852" s="4317"/>
      <c r="BG852" s="4317"/>
      <c r="BH852" s="4317"/>
      <c r="BI852" s="4317"/>
      <c r="BJ852" s="4317"/>
      <c r="BK852" s="4317"/>
      <c r="BL852" s="4317"/>
      <c r="BM852" s="4317"/>
      <c r="BN852" s="4317"/>
      <c r="BO852" s="4317"/>
      <c r="BP852" s="4317"/>
      <c r="BQ852" s="4317"/>
      <c r="BR852" s="4317"/>
      <c r="BS852" s="4317"/>
      <c r="BT852" s="4317"/>
      <c r="BU852" s="4317"/>
      <c r="BV852" s="4317"/>
      <c r="BW852" s="4317"/>
      <c r="BX852" s="4317"/>
      <c r="BY852" s="4317"/>
      <c r="BZ852" s="4317"/>
      <c r="CA852" s="4317"/>
      <c r="CB852" s="4317"/>
      <c r="CC852" s="4317"/>
      <c r="CD852" s="4317"/>
      <c r="CE852" s="4317"/>
      <c r="CF852" s="4317"/>
      <c r="CG852" s="4317"/>
      <c r="CH852" s="4317"/>
      <c r="CI852" s="4317"/>
      <c r="CJ852" s="4317"/>
      <c r="CK852" s="4317"/>
      <c r="CL852" s="4317"/>
      <c r="CM852" s="4317"/>
      <c r="CN852" s="4317"/>
      <c r="CO852" s="4317"/>
      <c r="CP852" s="4317"/>
      <c r="CQ852" s="4317"/>
      <c r="CR852" s="4317"/>
      <c r="CS852" s="4317"/>
      <c r="CT852" s="4317"/>
      <c r="CU852" s="4317"/>
      <c r="CV852" s="4317"/>
      <c r="CW852" s="4317"/>
      <c r="CX852" s="4317"/>
      <c r="CY852" s="4317"/>
      <c r="CZ852" s="4317"/>
      <c r="DA852" s="4317"/>
      <c r="DB852" s="4317"/>
      <c r="DC852" s="4317"/>
      <c r="DD852" s="4317"/>
      <c r="DE852" s="4317"/>
      <c r="DF852" s="4317"/>
      <c r="DG852" s="4317"/>
      <c r="DH852" s="4317"/>
      <c r="DI852" s="4317"/>
      <c r="DJ852" s="4317"/>
      <c r="DK852" s="4317"/>
      <c r="DL852" s="4317"/>
      <c r="DM852" s="4317"/>
      <c r="DN852" s="4317"/>
      <c r="DO852" s="4317"/>
      <c r="DP852" s="4317"/>
      <c r="DQ852" s="4317"/>
      <c r="DR852" s="4317"/>
      <c r="DS852" s="4317"/>
    </row>
    <row r="853" s="4134" customFormat="1" ht="17.25" customHeight="1" spans="1:125">
      <c r="A853" s="4657" t="s">
        <v>5603</v>
      </c>
      <c r="B853" s="4657"/>
      <c r="C853" s="4657"/>
      <c r="D853" s="4657"/>
      <c r="E853" s="4657"/>
      <c r="F853" s="4708"/>
      <c r="G853" s="4708"/>
      <c r="H853" s="4708"/>
      <c r="I853" s="4708"/>
      <c r="J853" s="4708"/>
      <c r="K853" s="4708"/>
      <c r="L853" s="4708"/>
      <c r="M853" s="4317"/>
      <c r="N853" s="4317"/>
      <c r="O853" s="4317"/>
      <c r="P853" s="4317"/>
      <c r="Q853" s="4317"/>
      <c r="R853" s="4317"/>
      <c r="S853" s="4317"/>
      <c r="T853" s="4317"/>
      <c r="U853" s="4653"/>
      <c r="V853" s="4653"/>
      <c r="W853" s="4653"/>
      <c r="X853" s="4653"/>
      <c r="Y853" s="4653"/>
      <c r="Z853" s="4653"/>
      <c r="AA853" s="4653"/>
      <c r="AB853" s="4317"/>
      <c r="AC853" s="4317"/>
      <c r="AD853" s="4317"/>
      <c r="AE853" s="4317"/>
      <c r="AF853" s="4317"/>
      <c r="AG853" s="4317"/>
      <c r="AH853" s="4317"/>
      <c r="AI853" s="4317"/>
      <c r="AJ853" s="4317"/>
      <c r="AK853" s="4317"/>
      <c r="AL853" s="4317"/>
      <c r="AM853" s="4317"/>
      <c r="AN853" s="4317"/>
      <c r="AO853" s="4317"/>
      <c r="AP853" s="4317"/>
      <c r="AQ853" s="4317"/>
      <c r="AR853" s="4317"/>
      <c r="AS853" s="4317"/>
      <c r="AT853" s="4317"/>
      <c r="AU853" s="4317"/>
      <c r="AV853" s="4317"/>
      <c r="AW853" s="4317"/>
      <c r="AX853" s="4317"/>
      <c r="AY853" s="4317"/>
      <c r="AZ853" s="4317"/>
      <c r="BA853" s="4317"/>
      <c r="BB853" s="4317"/>
      <c r="BC853" s="4317"/>
      <c r="BD853" s="4317"/>
      <c r="BE853" s="4317"/>
      <c r="BF853" s="4317"/>
      <c r="BG853" s="4317"/>
      <c r="BH853" s="4317"/>
      <c r="BI853" s="4317"/>
      <c r="BJ853" s="4317"/>
      <c r="BK853" s="4317"/>
      <c r="BL853" s="4317"/>
      <c r="BM853" s="4317"/>
      <c r="BN853" s="4317"/>
      <c r="BO853" s="4317"/>
      <c r="BP853" s="4317"/>
      <c r="BQ853" s="4317"/>
      <c r="BR853" s="4317"/>
      <c r="BS853" s="4317"/>
      <c r="BT853" s="4317"/>
      <c r="BU853" s="4317"/>
      <c r="BV853" s="4317"/>
      <c r="BW853" s="4317"/>
      <c r="BX853" s="4317"/>
      <c r="BY853" s="4317"/>
      <c r="BZ853" s="4317"/>
      <c r="CA853" s="4317"/>
      <c r="CB853" s="4317"/>
      <c r="CC853" s="4317"/>
      <c r="CD853" s="4317"/>
      <c r="CE853" s="4317"/>
      <c r="CF853" s="4317"/>
      <c r="CG853" s="4317"/>
      <c r="CH853" s="4317"/>
      <c r="CI853" s="4317"/>
      <c r="CJ853" s="4317"/>
      <c r="CK853" s="4317"/>
      <c r="CL853" s="4317"/>
      <c r="CM853" s="4317"/>
      <c r="CN853" s="4317"/>
      <c r="CO853" s="4317"/>
      <c r="CP853" s="4317"/>
      <c r="CQ853" s="4317"/>
      <c r="CR853" s="4317"/>
      <c r="CS853" s="4317"/>
      <c r="CT853" s="4317"/>
      <c r="CU853" s="4317"/>
      <c r="CV853" s="4317"/>
      <c r="CW853" s="4317"/>
      <c r="CX853" s="4317"/>
      <c r="CY853" s="4317"/>
      <c r="CZ853" s="4317"/>
      <c r="DA853" s="4317"/>
      <c r="DB853" s="4317"/>
      <c r="DC853" s="4317"/>
      <c r="DD853" s="4317"/>
      <c r="DE853" s="4317"/>
      <c r="DF853" s="4317"/>
      <c r="DG853" s="4317"/>
      <c r="DH853" s="4317"/>
      <c r="DI853" s="4317"/>
      <c r="DJ853" s="4317"/>
      <c r="DK853" s="4317"/>
      <c r="DL853" s="4317"/>
      <c r="DM853" s="4317"/>
      <c r="DN853" s="4317"/>
      <c r="DO853" s="4317"/>
      <c r="DP853" s="4317"/>
      <c r="DQ853" s="4317"/>
      <c r="DR853" s="4317"/>
      <c r="DS853" s="4317"/>
    </row>
    <row r="854" s="4134" customFormat="1" ht="17.25" customHeight="1" spans="1:125">
      <c r="A854" s="4687" t="s">
        <v>5604</v>
      </c>
      <c r="B854" s="4687"/>
      <c r="C854" s="4687"/>
      <c r="D854" s="4687"/>
      <c r="E854" s="4687"/>
      <c r="F854" s="4661">
        <f>SUM(F852:L853)</f>
        <v>599299</v>
      </c>
      <c r="G854" s="4661"/>
      <c r="H854" s="4661"/>
      <c r="I854" s="4661"/>
      <c r="J854" s="4661"/>
      <c r="K854" s="4661"/>
      <c r="L854" s="4661"/>
      <c r="M854" s="4317"/>
      <c r="N854" s="4317"/>
      <c r="O854" s="4317"/>
      <c r="P854" s="4317"/>
      <c r="Q854" s="4317"/>
      <c r="R854" s="4317"/>
      <c r="S854" s="4317"/>
      <c r="T854" s="4317"/>
      <c r="U854" s="4075">
        <f>B_Stanja!AI153</f>
        <v>0</v>
      </c>
      <c r="V854" s="4076"/>
      <c r="W854" s="4076"/>
      <c r="X854" s="4076"/>
      <c r="Y854" s="4076"/>
      <c r="Z854" s="4076"/>
      <c r="AA854" s="4076"/>
      <c r="AB854" s="4709">
        <f>IF(U854=0,0,"PAŽNJA! Provjerite zbir aktive i pasive za TEKUĆU godinu, razlika = "&amp;TEXT(U854,"#.##0,00 [$KM-141A]"))</f>
        <v>0</v>
      </c>
      <c r="AC854" s="4317"/>
      <c r="AD854" s="4317"/>
      <c r="AE854" s="4317"/>
      <c r="AF854" s="4317"/>
      <c r="AG854" s="4317"/>
      <c r="AH854" s="4317"/>
      <c r="AI854" s="4317"/>
      <c r="AJ854" s="4317"/>
      <c r="AK854" s="4317"/>
      <c r="AL854" s="4317"/>
      <c r="AM854" s="4317"/>
      <c r="AN854" s="4317"/>
      <c r="AO854" s="4317"/>
      <c r="AP854" s="4317"/>
      <c r="AQ854" s="4317"/>
      <c r="AR854" s="4317"/>
      <c r="AS854" s="4317"/>
      <c r="AT854" s="4317"/>
      <c r="AU854" s="4317"/>
      <c r="AV854" s="4317"/>
      <c r="AW854" s="4317"/>
      <c r="AX854" s="4317"/>
      <c r="AY854" s="4317"/>
      <c r="AZ854" s="4317"/>
      <c r="BA854" s="4317"/>
      <c r="BB854" s="4317"/>
      <c r="BC854" s="4317"/>
      <c r="BD854" s="4317"/>
      <c r="BE854" s="4317"/>
      <c r="BF854" s="4317"/>
      <c r="BG854" s="4317"/>
      <c r="BH854" s="4317"/>
      <c r="BI854" s="4317"/>
      <c r="BJ854" s="4317"/>
      <c r="BK854" s="4317"/>
      <c r="BL854" s="4317"/>
      <c r="BM854" s="4317"/>
      <c r="BN854" s="4317"/>
      <c r="BO854" s="4317"/>
      <c r="BP854" s="4317"/>
      <c r="BQ854" s="4317"/>
      <c r="BR854" s="4317"/>
      <c r="BS854" s="4317"/>
      <c r="BT854" s="4317"/>
      <c r="BU854" s="4317"/>
      <c r="BV854" s="4317"/>
      <c r="BW854" s="4317"/>
      <c r="BX854" s="4317"/>
      <c r="BY854" s="4317"/>
      <c r="BZ854" s="4317"/>
      <c r="CA854" s="4317"/>
      <c r="CB854" s="4317"/>
      <c r="CC854" s="4317"/>
      <c r="CD854" s="4317"/>
      <c r="CE854" s="4317"/>
      <c r="CF854" s="4317"/>
      <c r="CG854" s="4317"/>
      <c r="CH854" s="4317"/>
      <c r="CI854" s="4317"/>
      <c r="CJ854" s="4317"/>
      <c r="CK854" s="4317"/>
      <c r="CL854" s="4317"/>
      <c r="CM854" s="4317"/>
      <c r="CN854" s="4317"/>
      <c r="CO854" s="4317"/>
      <c r="CP854" s="4317"/>
      <c r="CQ854" s="4317"/>
      <c r="CR854" s="4317"/>
      <c r="CS854" s="4317"/>
      <c r="CT854" s="4317"/>
      <c r="CU854" s="4317"/>
      <c r="CV854" s="4317"/>
      <c r="CW854" s="4317"/>
      <c r="CX854" s="4317"/>
      <c r="CY854" s="4317"/>
      <c r="CZ854" s="4317"/>
      <c r="DA854" s="4317"/>
      <c r="DB854" s="4317"/>
      <c r="DC854" s="4317"/>
      <c r="DD854" s="4317"/>
      <c r="DE854" s="4317"/>
      <c r="DF854" s="4317"/>
      <c r="DG854" s="4317"/>
      <c r="DH854" s="4317"/>
      <c r="DI854" s="4317"/>
      <c r="DJ854" s="4317"/>
      <c r="DK854" s="4317"/>
      <c r="DL854" s="4317"/>
      <c r="DM854" s="4317"/>
      <c r="DN854" s="4317"/>
      <c r="DO854" s="4317"/>
      <c r="DP854" s="4317"/>
      <c r="DQ854" s="4317"/>
      <c r="DR854" s="4317"/>
      <c r="DS854" s="4317"/>
    </row>
    <row r="855" s="4134" customFormat="1" ht="17.25" customHeight="1" spans="1:125">
      <c r="A855" s="4317"/>
      <c r="B855" s="4317"/>
      <c r="C855" s="4317"/>
      <c r="D855" s="4317"/>
      <c r="E855" s="4317"/>
      <c r="F855" s="4710">
        <f>B_Stanja!AI153</f>
        <v>0</v>
      </c>
      <c r="G855" s="4710"/>
      <c r="H855" s="4710"/>
      <c r="I855" s="4710"/>
      <c r="J855" s="4710"/>
      <c r="K855" s="4710"/>
      <c r="L855" s="4710"/>
      <c r="M855" s="4317"/>
      <c r="N855" s="4317"/>
      <c r="O855" s="4317"/>
      <c r="P855" s="4317"/>
      <c r="Q855" s="4317"/>
      <c r="R855" s="4317"/>
      <c r="S855" s="4317"/>
      <c r="T855" s="4317"/>
      <c r="U855" s="4075">
        <f>B_Stanja!AP153</f>
        <v>0</v>
      </c>
      <c r="V855" s="4076"/>
      <c r="W855" s="4076"/>
      <c r="X855" s="4076"/>
      <c r="Y855" s="4076"/>
      <c r="Z855" s="4076"/>
      <c r="AA855" s="4076"/>
      <c r="AB855" s="4709">
        <f>IF(U855=0,0,"PAŽNJA! Provjerite zbir aktive i pasive za PROŠLA godinu, razlika = "&amp;TEXT(U855,"#.##0,00 [$KM-141A]"))</f>
        <v>0</v>
      </c>
      <c r="AC855" s="4317"/>
      <c r="AD855" s="4317"/>
      <c r="AE855" s="4317"/>
      <c r="AF855" s="4317"/>
      <c r="AG855" s="4317"/>
      <c r="AH855" s="4317"/>
      <c r="AI855" s="4317"/>
      <c r="AJ855" s="4317"/>
      <c r="AK855" s="4317"/>
      <c r="AL855" s="4317"/>
      <c r="AM855" s="4317"/>
      <c r="AN855" s="4317"/>
      <c r="AO855" s="4317"/>
      <c r="AP855" s="4317"/>
      <c r="AQ855" s="4317"/>
      <c r="AR855" s="4317"/>
      <c r="AS855" s="4317"/>
      <c r="AT855" s="4317"/>
      <c r="AU855" s="4317"/>
      <c r="AV855" s="4317"/>
      <c r="AW855" s="4317"/>
      <c r="AX855" s="4317"/>
      <c r="AY855" s="4317"/>
      <c r="AZ855" s="4317"/>
      <c r="BA855" s="4317"/>
      <c r="BB855" s="4317"/>
      <c r="BC855" s="4317"/>
      <c r="BD855" s="4317"/>
      <c r="BE855" s="4317"/>
      <c r="BF855" s="4317"/>
      <c r="BG855" s="4317"/>
      <c r="BH855" s="4317"/>
      <c r="BI855" s="4317"/>
      <c r="BJ855" s="4317"/>
      <c r="BK855" s="4317"/>
      <c r="BL855" s="4317"/>
      <c r="BM855" s="4317"/>
      <c r="BN855" s="4317"/>
      <c r="BO855" s="4317"/>
      <c r="BP855" s="4317"/>
      <c r="BQ855" s="4317"/>
      <c r="BR855" s="4317"/>
      <c r="BS855" s="4317"/>
      <c r="BT855" s="4317"/>
      <c r="BU855" s="4317"/>
      <c r="BV855" s="4317"/>
      <c r="BW855" s="4317"/>
      <c r="BX855" s="4317"/>
      <c r="BY855" s="4317"/>
      <c r="BZ855" s="4317"/>
      <c r="CA855" s="4317"/>
      <c r="CB855" s="4317"/>
      <c r="CC855" s="4317"/>
      <c r="CD855" s="4317"/>
      <c r="CE855" s="4317"/>
      <c r="CF855" s="4317"/>
      <c r="CG855" s="4317"/>
      <c r="CH855" s="4317"/>
      <c r="CI855" s="4317"/>
      <c r="CJ855" s="4317"/>
      <c r="CK855" s="4317"/>
      <c r="CL855" s="4317"/>
      <c r="CM855" s="4317"/>
      <c r="CN855" s="4317"/>
      <c r="CO855" s="4317"/>
      <c r="CP855" s="4317"/>
      <c r="CQ855" s="4317"/>
      <c r="CR855" s="4317"/>
      <c r="CS855" s="4317"/>
      <c r="CT855" s="4317"/>
      <c r="CU855" s="4317"/>
      <c r="CV855" s="4317"/>
      <c r="CW855" s="4317"/>
      <c r="CX855" s="4317"/>
      <c r="CY855" s="4317"/>
      <c r="CZ855" s="4317"/>
      <c r="DA855" s="4317"/>
      <c r="DB855" s="4317"/>
      <c r="DC855" s="4317"/>
      <c r="DD855" s="4317"/>
      <c r="DE855" s="4317"/>
      <c r="DF855" s="4317"/>
      <c r="DG855" s="4317"/>
      <c r="DH855" s="4317"/>
      <c r="DI855" s="4317"/>
      <c r="DJ855" s="4317"/>
      <c r="DK855" s="4317"/>
      <c r="DL855" s="4317"/>
      <c r="DM855" s="4317"/>
      <c r="DN855" s="4317"/>
      <c r="DO855" s="4317"/>
      <c r="DP855" s="4317"/>
      <c r="DQ855" s="4317"/>
      <c r="DR855" s="4317"/>
      <c r="DS855" s="4317"/>
    </row>
    <row r="856" s="4134" customFormat="1" ht="17.25" customHeight="1" spans="1:125">
      <c r="A856" s="4317"/>
      <c r="B856" s="4317"/>
      <c r="C856" s="4317"/>
      <c r="D856" s="4317"/>
      <c r="E856" s="4317"/>
      <c r="F856" s="4317"/>
      <c r="G856" s="4317"/>
      <c r="H856" s="4317"/>
      <c r="I856" s="4317"/>
      <c r="J856" s="4317"/>
      <c r="K856" s="4317"/>
      <c r="L856" s="4317"/>
      <c r="M856" s="4317"/>
      <c r="N856" s="4317"/>
      <c r="O856" s="4317"/>
      <c r="P856" s="4317"/>
      <c r="Q856" s="4317"/>
      <c r="R856" s="4317"/>
      <c r="S856" s="4317"/>
      <c r="T856" s="4317"/>
      <c r="U856" s="4317"/>
      <c r="V856" s="4317"/>
      <c r="W856" s="4317"/>
      <c r="X856" s="4317"/>
      <c r="Y856" s="4317"/>
      <c r="Z856" s="4317"/>
      <c r="AA856" s="4317"/>
      <c r="AB856" s="4317"/>
      <c r="AC856" s="4317"/>
      <c r="AD856" s="4317"/>
      <c r="AE856" s="4317"/>
      <c r="AF856" s="4317"/>
      <c r="AG856" s="4317"/>
      <c r="AH856" s="4317"/>
      <c r="AI856" s="4317"/>
      <c r="AJ856" s="4317"/>
      <c r="AK856" s="4317"/>
      <c r="AL856" s="4317"/>
      <c r="AM856" s="4317"/>
      <c r="AN856" s="4317"/>
      <c r="AO856" s="4317"/>
      <c r="AP856" s="4317"/>
      <c r="AQ856" s="4317"/>
      <c r="AR856" s="4317"/>
      <c r="AS856" s="4317"/>
      <c r="AT856" s="4317"/>
      <c r="AU856" s="4317"/>
      <c r="AV856" s="4317"/>
      <c r="AW856" s="4317"/>
      <c r="AX856" s="4317"/>
      <c r="AY856" s="4317"/>
      <c r="AZ856" s="4317"/>
      <c r="BA856" s="4317"/>
      <c r="BB856" s="4317"/>
      <c r="BC856" s="4317"/>
      <c r="BD856" s="4317"/>
      <c r="BE856" s="4317"/>
      <c r="BF856" s="4317"/>
      <c r="BG856" s="4317"/>
      <c r="BH856" s="4317"/>
      <c r="BI856" s="4317"/>
      <c r="BJ856" s="4317"/>
      <c r="BK856" s="4317"/>
      <c r="BL856" s="4317"/>
      <c r="BM856" s="4317"/>
      <c r="BN856" s="4317"/>
      <c r="BO856" s="4317"/>
      <c r="BP856" s="4317"/>
      <c r="BQ856" s="4317"/>
      <c r="BR856" s="4317"/>
      <c r="BS856" s="4317"/>
      <c r="BT856" s="4317"/>
      <c r="BU856" s="4317"/>
      <c r="BV856" s="4317"/>
      <c r="BW856" s="4317"/>
      <c r="BX856" s="4317"/>
      <c r="BY856" s="4317"/>
      <c r="BZ856" s="4317"/>
      <c r="CA856" s="4317"/>
      <c r="CB856" s="4317"/>
      <c r="CC856" s="4317"/>
      <c r="CD856" s="4317"/>
      <c r="CE856" s="4317"/>
      <c r="CF856" s="4317"/>
      <c r="CG856" s="4317"/>
      <c r="CH856" s="4317"/>
      <c r="CI856" s="4317"/>
      <c r="CJ856" s="4317"/>
      <c r="CK856" s="4317"/>
      <c r="CL856" s="4317"/>
      <c r="CM856" s="4317"/>
      <c r="CN856" s="4317"/>
      <c r="CO856" s="4317"/>
      <c r="CP856" s="4317"/>
      <c r="CQ856" s="4317"/>
      <c r="CR856" s="4317"/>
      <c r="CS856" s="4317"/>
      <c r="CT856" s="4317"/>
      <c r="CU856" s="4317"/>
      <c r="CV856" s="4317"/>
      <c r="CW856" s="4317"/>
      <c r="CX856" s="4317"/>
      <c r="CY856" s="4317"/>
      <c r="CZ856" s="4317"/>
      <c r="DA856" s="4317"/>
      <c r="DB856" s="4317"/>
      <c r="DC856" s="4317"/>
      <c r="DD856" s="4317"/>
      <c r="DE856" s="4317"/>
      <c r="DF856" s="4317"/>
      <c r="DG856" s="4317"/>
      <c r="DH856" s="4317"/>
      <c r="DI856" s="4317"/>
      <c r="DJ856" s="4317"/>
      <c r="DK856" s="4317"/>
      <c r="DL856" s="4317"/>
      <c r="DM856" s="4317"/>
      <c r="DN856" s="4317"/>
      <c r="DO856" s="4317"/>
      <c r="DP856" s="4317"/>
      <c r="DQ856" s="4317"/>
      <c r="DR856" s="4317"/>
      <c r="DS856" s="4317"/>
    </row>
    <row r="857" s="4133" customFormat="1" ht="16.5" customHeight="1" spans="1:125">
      <c r="A857" s="4295"/>
      <c r="B857" s="4295"/>
      <c r="C857" s="4295"/>
      <c r="D857" s="4295"/>
      <c r="E857" s="4295"/>
      <c r="F857" s="4295"/>
      <c r="G857" s="4295"/>
      <c r="H857" s="4295"/>
      <c r="I857" s="4295"/>
      <c r="J857" s="4295"/>
      <c r="K857" s="4295"/>
      <c r="L857" s="4295"/>
      <c r="M857" s="4295"/>
      <c r="N857" s="4295"/>
      <c r="O857" s="4295"/>
      <c r="P857" s="4295"/>
      <c r="Q857" s="4295"/>
      <c r="R857" s="4295"/>
      <c r="S857" s="4295"/>
      <c r="T857" s="4295"/>
      <c r="U857" s="4295"/>
      <c r="V857" s="4295"/>
      <c r="W857" s="4295"/>
      <c r="X857" s="4295"/>
      <c r="Y857" s="4295"/>
      <c r="Z857" s="4295"/>
      <c r="AA857" s="4295"/>
      <c r="AB857" s="4295"/>
      <c r="AC857" s="4295"/>
      <c r="AD857" s="4295"/>
      <c r="AE857" s="4295"/>
      <c r="AF857" s="4295"/>
      <c r="AG857" s="4295"/>
      <c r="AH857" s="4295"/>
      <c r="AI857" s="4295"/>
      <c r="AJ857" s="4295"/>
      <c r="AK857" s="4295"/>
      <c r="AL857" s="4295"/>
      <c r="AM857" s="4295"/>
      <c r="AN857" s="4295"/>
      <c r="AO857" s="4295"/>
      <c r="AP857" s="4295"/>
      <c r="AQ857" s="4295"/>
      <c r="AR857" s="4295"/>
      <c r="AS857" s="4295"/>
      <c r="AT857" s="4295"/>
      <c r="AU857" s="4295"/>
      <c r="AV857" s="4295"/>
      <c r="AW857" s="4295"/>
      <c r="AX857" s="4295"/>
      <c r="AY857" s="4295"/>
      <c r="AZ857" s="4295"/>
      <c r="BA857" s="4295"/>
      <c r="BB857" s="4295"/>
      <c r="BC857" s="4295"/>
      <c r="BD857" s="4295"/>
      <c r="BE857" s="4295"/>
      <c r="BF857" s="4295"/>
      <c r="BG857" s="4295"/>
      <c r="BH857" s="4295"/>
      <c r="BI857" s="4295"/>
      <c r="BJ857" s="4295"/>
      <c r="BK857" s="4295"/>
      <c r="BL857" s="4295"/>
      <c r="BM857" s="4295"/>
      <c r="BN857" s="4295"/>
      <c r="BO857" s="4295"/>
      <c r="BP857" s="4295"/>
      <c r="BQ857" s="4295"/>
      <c r="BR857" s="4295"/>
      <c r="BS857" s="4295"/>
      <c r="BT857" s="4295"/>
      <c r="BU857" s="4295"/>
      <c r="BV857" s="4295"/>
      <c r="BW857" s="4295"/>
      <c r="BX857" s="4295"/>
      <c r="BY857" s="4295"/>
      <c r="BZ857" s="4295"/>
      <c r="CA857" s="4295"/>
      <c r="CB857" s="4295"/>
      <c r="CC857" s="4295"/>
      <c r="CD857" s="4295"/>
      <c r="CE857" s="4295"/>
      <c r="CF857" s="4295"/>
      <c r="CG857" s="4295"/>
      <c r="CH857" s="4295"/>
      <c r="CI857" s="4295"/>
      <c r="CJ857" s="4295"/>
      <c r="CK857" s="4295"/>
      <c r="CL857" s="4295"/>
      <c r="CM857" s="4295"/>
      <c r="CN857" s="4295"/>
      <c r="CO857" s="4295"/>
      <c r="CP857" s="4295"/>
      <c r="CQ857" s="4295"/>
      <c r="CR857" s="4295"/>
      <c r="CS857" s="4295"/>
      <c r="CT857" s="4295"/>
      <c r="CU857" s="4295"/>
      <c r="CV857" s="4295"/>
      <c r="CW857" s="4295"/>
      <c r="CX857" s="4295"/>
      <c r="CY857" s="4295"/>
      <c r="CZ857" s="4295"/>
      <c r="DA857" s="4295"/>
      <c r="DB857" s="4295"/>
      <c r="DC857" s="4295"/>
      <c r="DD857" s="4295"/>
      <c r="DE857" s="4295"/>
      <c r="DF857" s="4295"/>
      <c r="DG857" s="4295"/>
      <c r="DH857" s="4295"/>
      <c r="DI857" s="4295"/>
      <c r="DJ857" s="4295"/>
      <c r="DK857" s="4295"/>
      <c r="DL857" s="4295"/>
      <c r="DM857" s="4295"/>
      <c r="DN857" s="4295"/>
      <c r="DO857" s="4295"/>
      <c r="DP857" s="4295"/>
      <c r="DQ857" s="4295"/>
      <c r="DR857" s="4295"/>
      <c r="DS857" s="4295"/>
    </row>
    <row r="858" s="4133" customFormat="1" ht="16.5" customHeight="1" spans="1:125">
      <c r="A858" s="4295"/>
      <c r="B858" s="4295"/>
      <c r="C858" s="4295"/>
      <c r="D858" s="4295"/>
      <c r="E858" s="4295"/>
      <c r="F858" s="4295"/>
      <c r="G858" s="4295"/>
      <c r="H858" s="4295"/>
      <c r="I858" s="4295"/>
      <c r="J858" s="4295"/>
      <c r="K858" s="4295"/>
      <c r="L858" s="4295"/>
      <c r="M858" s="4295"/>
      <c r="N858" s="4295"/>
      <c r="O858" s="4295"/>
      <c r="P858" s="4295"/>
      <c r="Q858" s="4295"/>
      <c r="R858" s="4295"/>
      <c r="S858" s="4295"/>
      <c r="T858" s="4711"/>
      <c r="U858" s="4295"/>
      <c r="V858" s="4295"/>
      <c r="W858" s="4295"/>
      <c r="X858" s="4295"/>
      <c r="Y858" s="4295"/>
      <c r="Z858" s="4295"/>
      <c r="AA858" s="4295"/>
      <c r="AB858" s="4295"/>
      <c r="AC858" s="4295"/>
      <c r="AD858" s="4295"/>
      <c r="AE858" s="4295"/>
      <c r="AF858" s="4295"/>
      <c r="AG858" s="4295"/>
      <c r="AH858" s="4295"/>
      <c r="AI858" s="4295"/>
      <c r="AJ858" s="4295"/>
      <c r="AK858" s="4295"/>
      <c r="AL858" s="4295"/>
      <c r="AM858" s="4295"/>
      <c r="AN858" s="4295"/>
      <c r="AO858" s="4295"/>
      <c r="AP858" s="4295"/>
      <c r="AQ858" s="4295"/>
      <c r="AR858" s="4295"/>
      <c r="AS858" s="4296"/>
      <c r="AT858" s="4295"/>
      <c r="AU858" s="4295"/>
      <c r="AV858" s="4295"/>
      <c r="AW858" s="4295"/>
      <c r="AX858" s="4295"/>
      <c r="AY858" s="4295"/>
      <c r="AZ858" s="4295"/>
      <c r="BA858" s="4295"/>
      <c r="BB858" s="4295"/>
      <c r="BC858" s="4295"/>
      <c r="BD858" s="4295"/>
      <c r="BE858" s="4295"/>
      <c r="BF858" s="4295"/>
      <c r="BG858" s="4295"/>
      <c r="BH858" s="4295"/>
      <c r="BI858" s="4295"/>
      <c r="BJ858" s="4295"/>
      <c r="BK858" s="4295"/>
      <c r="BL858" s="4295"/>
      <c r="BM858" s="4295"/>
      <c r="BN858" s="4295"/>
      <c r="BO858" s="4295"/>
      <c r="BP858" s="4295"/>
      <c r="BQ858" s="4295"/>
      <c r="BR858" s="4295"/>
      <c r="BS858" s="4295"/>
      <c r="BT858" s="4295"/>
      <c r="BU858" s="4295"/>
      <c r="BV858" s="4295"/>
      <c r="BW858" s="4295"/>
      <c r="BX858" s="4295"/>
      <c r="BY858" s="4295"/>
      <c r="BZ858" s="4295"/>
      <c r="CA858" s="4295"/>
      <c r="CB858" s="4295"/>
      <c r="CC858" s="4295"/>
      <c r="CD858" s="4295"/>
      <c r="CE858" s="4295"/>
      <c r="CF858" s="4295"/>
      <c r="CG858" s="4295"/>
      <c r="CH858" s="4295"/>
      <c r="CI858" s="4295"/>
      <c r="CJ858" s="4295"/>
      <c r="CK858" s="4295"/>
      <c r="CL858" s="4295"/>
      <c r="CM858" s="4295"/>
      <c r="CN858" s="4295"/>
      <c r="CO858" s="4295"/>
      <c r="CP858" s="4295"/>
      <c r="CQ858" s="4295"/>
      <c r="CR858" s="4295"/>
      <c r="CS858" s="4295"/>
      <c r="CT858" s="4295"/>
      <c r="CU858" s="4295"/>
      <c r="CV858" s="4295"/>
      <c r="CW858" s="4295"/>
      <c r="CX858" s="4295"/>
      <c r="CY858" s="4295"/>
      <c r="CZ858" s="4295"/>
      <c r="DA858" s="4295"/>
      <c r="DB858" s="4295"/>
      <c r="DC858" s="4295"/>
      <c r="DD858" s="4295"/>
      <c r="DE858" s="4295"/>
      <c r="DF858" s="4295"/>
      <c r="DG858" s="4295"/>
      <c r="DH858" s="4295"/>
      <c r="DI858" s="4295"/>
      <c r="DJ858" s="4295"/>
      <c r="DK858" s="4295"/>
      <c r="DL858" s="4295"/>
      <c r="DM858" s="4295"/>
      <c r="DN858" s="4295"/>
      <c r="DO858" s="4295"/>
      <c r="DP858" s="4295"/>
      <c r="DQ858" s="4295"/>
      <c r="DR858" s="4295"/>
      <c r="DS858" s="4295"/>
    </row>
    <row r="859" s="4136" customFormat="1" ht="28.5" customHeight="1" spans="1:125">
      <c r="A859" s="4481" t="s">
        <v>5605</v>
      </c>
      <c r="B859" s="4712"/>
      <c r="C859" s="4712"/>
      <c r="D859" s="4712"/>
      <c r="E859" s="4712"/>
      <c r="F859" s="4712"/>
      <c r="G859" s="4712"/>
      <c r="H859" s="4712"/>
      <c r="I859" s="4712"/>
      <c r="J859" s="4712"/>
      <c r="K859" s="4712"/>
      <c r="L859" s="4712"/>
      <c r="M859" s="4712"/>
      <c r="N859" s="4712"/>
      <c r="O859" s="4712"/>
      <c r="P859" s="4712"/>
      <c r="Q859" s="4712"/>
      <c r="R859" s="4712"/>
      <c r="S859" s="4712"/>
      <c r="T859" s="4712"/>
      <c r="U859" s="4712"/>
      <c r="V859" s="4712"/>
      <c r="W859" s="4712"/>
      <c r="X859" s="4712"/>
      <c r="Y859" s="4712"/>
      <c r="Z859" s="4712"/>
      <c r="AA859" s="4712"/>
      <c r="AB859" s="4712"/>
      <c r="AC859" s="4712"/>
      <c r="AD859" s="4712"/>
      <c r="AE859" s="4712"/>
      <c r="AF859" s="4712"/>
      <c r="AG859" s="4712"/>
      <c r="AH859" s="4712"/>
      <c r="AI859" s="4712"/>
      <c r="AJ859" s="4712"/>
      <c r="AK859" s="4712"/>
      <c r="AL859" s="4712"/>
      <c r="AM859" s="4712"/>
      <c r="AN859" s="4712"/>
      <c r="AO859" s="4712"/>
      <c r="AP859" s="4712"/>
      <c r="AQ859" s="4712"/>
      <c r="AR859" s="4712"/>
      <c r="AS859" s="4712"/>
      <c r="AT859" s="4712"/>
      <c r="AU859" s="4712"/>
      <c r="AV859" s="4712"/>
      <c r="AW859" s="4712"/>
      <c r="AX859" s="4712"/>
      <c r="AY859" s="4712"/>
      <c r="AZ859" s="4712"/>
      <c r="BA859" s="4712"/>
      <c r="BB859" s="4712"/>
      <c r="BC859" s="4712"/>
      <c r="BD859" s="4712"/>
      <c r="BE859" s="4712"/>
      <c r="BF859" s="4712"/>
      <c r="BG859" s="4712"/>
      <c r="BH859" s="4712"/>
      <c r="BI859" s="4712"/>
      <c r="BJ859" s="4712"/>
      <c r="BK859" s="4712"/>
      <c r="BL859" s="4712"/>
      <c r="BM859" s="4712"/>
      <c r="BN859" s="4712"/>
      <c r="BO859" s="4712"/>
      <c r="BP859" s="4712"/>
      <c r="BQ859" s="4712"/>
      <c r="BR859" s="4712"/>
      <c r="BS859" s="4712"/>
      <c r="BT859" s="4712"/>
      <c r="BU859" s="4712"/>
      <c r="BV859" s="4712"/>
      <c r="BW859" s="4712"/>
      <c r="BX859" s="4712"/>
      <c r="BY859" s="4712"/>
      <c r="BZ859" s="4712"/>
      <c r="CA859" s="4712"/>
      <c r="CB859" s="4712"/>
      <c r="CC859" s="4712"/>
      <c r="CD859" s="4712"/>
      <c r="CE859" s="4712"/>
      <c r="CF859" s="4712"/>
      <c r="CG859" s="4712"/>
      <c r="CH859" s="4712"/>
      <c r="CI859" s="4712"/>
      <c r="CJ859" s="4712"/>
      <c r="CK859" s="4712"/>
      <c r="CL859" s="4712"/>
      <c r="CM859" s="4712"/>
      <c r="CN859" s="4712"/>
      <c r="CO859" s="4712"/>
      <c r="CP859" s="4712"/>
      <c r="CQ859" s="4712"/>
      <c r="CR859" s="4712"/>
      <c r="CS859" s="4712"/>
      <c r="CT859" s="4712"/>
      <c r="CU859" s="4712"/>
      <c r="CV859" s="4712"/>
      <c r="CW859" s="4712"/>
      <c r="CX859" s="4712"/>
      <c r="CY859" s="4712"/>
      <c r="CZ859" s="4712"/>
      <c r="DA859" s="4712"/>
      <c r="DB859" s="4712"/>
      <c r="DC859" s="4712"/>
      <c r="DD859" s="4712"/>
      <c r="DE859" s="4712"/>
      <c r="DF859" s="4712"/>
      <c r="DG859" s="4712"/>
      <c r="DH859" s="4712"/>
      <c r="DI859" s="4712"/>
      <c r="DJ859" s="4712"/>
      <c r="DK859" s="4712"/>
      <c r="DL859" s="4712"/>
      <c r="DM859" s="4712"/>
      <c r="DN859" s="4712"/>
      <c r="DO859" s="4712"/>
      <c r="DP859" s="4712"/>
      <c r="DQ859" s="4712"/>
      <c r="DR859" s="4712"/>
      <c r="DS859" s="4712"/>
    </row>
    <row r="860" s="4133" customFormat="1" customHeight="1" spans="1:125">
      <c r="A860" s="4713"/>
      <c r="B860" s="4714"/>
      <c r="C860" s="4507"/>
      <c r="D860" s="4507"/>
      <c r="E860" s="4507"/>
      <c r="F860" s="4507"/>
      <c r="G860" s="4507"/>
      <c r="H860" s="4507"/>
      <c r="I860" s="4507"/>
      <c r="J860" s="4507"/>
      <c r="K860" s="4507"/>
      <c r="L860" s="4507"/>
      <c r="M860" s="4507"/>
      <c r="N860" s="4507"/>
      <c r="O860" s="4507"/>
      <c r="P860" s="4507"/>
      <c r="Q860" s="4507"/>
      <c r="R860" s="4507"/>
      <c r="S860" s="4507"/>
      <c r="T860" s="4507"/>
      <c r="U860" s="4507"/>
      <c r="V860" s="4507"/>
      <c r="W860" s="4507"/>
      <c r="X860" s="4507"/>
      <c r="Y860" s="4507"/>
      <c r="Z860" s="4507"/>
      <c r="AA860" s="4507"/>
      <c r="AB860" s="4507"/>
      <c r="AC860" s="4507"/>
      <c r="AD860" s="4507"/>
      <c r="AE860" s="4507"/>
      <c r="AF860" s="4507"/>
      <c r="AG860" s="4507"/>
      <c r="AH860" s="4507"/>
      <c r="AI860" s="4507"/>
      <c r="AJ860" s="4507"/>
      <c r="AK860" s="4507"/>
      <c r="AL860" s="4507"/>
      <c r="AM860" s="4507"/>
      <c r="AN860" s="4507"/>
      <c r="AO860" s="4507"/>
      <c r="AP860" s="4507"/>
      <c r="AQ860" s="4507"/>
      <c r="AR860" s="4507"/>
      <c r="AS860" s="4507"/>
      <c r="AT860" s="4507"/>
      <c r="AU860" s="4507"/>
      <c r="AV860" s="4507"/>
      <c r="AW860" s="4507"/>
      <c r="AX860" s="4507"/>
      <c r="AY860" s="4507"/>
      <c r="AZ860" s="4507"/>
      <c r="BA860" s="4507"/>
      <c r="BB860" s="4507"/>
      <c r="BC860" s="4507"/>
      <c r="BD860" s="4507"/>
      <c r="BE860" s="4507"/>
      <c r="BF860" s="4507"/>
      <c r="BG860" s="4507"/>
      <c r="BH860" s="4507"/>
      <c r="BI860" s="4507"/>
      <c r="BJ860" s="4507"/>
      <c r="BK860" s="4507"/>
      <c r="BL860" s="4507"/>
      <c r="BM860" s="4507"/>
      <c r="BN860" s="4507"/>
      <c r="BO860" s="4507"/>
      <c r="BP860" s="4507"/>
      <c r="BQ860" s="4507"/>
      <c r="BR860" s="4507"/>
      <c r="BS860" s="4507"/>
      <c r="BT860" s="4507"/>
      <c r="BU860" s="4507"/>
      <c r="BV860" s="4507"/>
      <c r="BW860" s="4507"/>
      <c r="BX860" s="4507"/>
      <c r="BY860" s="4507"/>
      <c r="BZ860" s="4507"/>
      <c r="CA860" s="4507"/>
      <c r="CB860" s="4507"/>
      <c r="CC860" s="4507"/>
      <c r="CD860" s="4507"/>
      <c r="CE860" s="4507"/>
      <c r="CF860" s="4507"/>
      <c r="CG860" s="4507"/>
      <c r="CH860" s="4507"/>
      <c r="CI860" s="4507"/>
      <c r="CJ860" s="4507"/>
      <c r="CK860" s="4507"/>
      <c r="CL860" s="4507"/>
      <c r="CM860" s="4507"/>
      <c r="CN860" s="4507"/>
      <c r="CO860" s="4507"/>
      <c r="CP860" s="4507"/>
      <c r="CQ860" s="4507"/>
      <c r="CR860" s="4507"/>
      <c r="CS860" s="4507"/>
      <c r="CT860" s="4507"/>
      <c r="CU860" s="4507"/>
      <c r="CV860" s="4507"/>
      <c r="CW860" s="4507"/>
      <c r="CX860" s="4507"/>
      <c r="CY860" s="4507"/>
      <c r="CZ860" s="4507"/>
      <c r="DA860" s="4507"/>
      <c r="DB860" s="4507"/>
      <c r="DC860" s="4507"/>
      <c r="DD860" s="4507"/>
      <c r="DE860" s="4507"/>
      <c r="DF860" s="4507"/>
      <c r="DG860" s="4507"/>
      <c r="DH860" s="4507"/>
      <c r="DI860" s="4507"/>
      <c r="DJ860" s="4507"/>
      <c r="DK860" s="4507"/>
      <c r="DL860" s="4507"/>
      <c r="DM860" s="4507"/>
      <c r="DN860" s="4507"/>
      <c r="DO860" s="4507"/>
      <c r="DP860" s="4507"/>
      <c r="DQ860" s="4507"/>
      <c r="DR860" s="4507"/>
      <c r="DS860" s="4507"/>
      <c r="DT860" s="4136"/>
      <c r="DU860" s="4136"/>
    </row>
    <row r="861" s="4133" customFormat="1" ht="21" customHeight="1" spans="1:125">
      <c r="A861" s="4715" t="s">
        <v>5606</v>
      </c>
      <c r="B861" s="4714"/>
      <c r="C861" s="4507"/>
      <c r="D861" s="4507"/>
      <c r="E861" s="4507"/>
      <c r="F861" s="4507"/>
      <c r="G861" s="4507"/>
      <c r="H861" s="4507"/>
      <c r="I861" s="4507"/>
      <c r="J861" s="4507"/>
      <c r="K861" s="4507"/>
      <c r="L861" s="4507"/>
      <c r="M861" s="4507"/>
      <c r="N861" s="4507"/>
      <c r="O861" s="4716" t="s">
        <v>5607</v>
      </c>
      <c r="P861" s="4716"/>
      <c r="Q861" s="4716"/>
      <c r="R861" s="4716"/>
      <c r="S861" s="4716"/>
      <c r="T861" s="4716"/>
      <c r="U861" s="4507"/>
      <c r="V861" s="4507"/>
      <c r="W861" s="4507"/>
      <c r="X861" s="4507"/>
      <c r="Y861" s="4507"/>
      <c r="Z861" s="4507"/>
      <c r="AA861" s="4507"/>
      <c r="AB861" s="4507"/>
      <c r="AC861" s="4507"/>
      <c r="AD861" s="4507"/>
      <c r="AE861" s="4507"/>
      <c r="AF861" s="4507"/>
      <c r="AG861" s="4507"/>
      <c r="AH861" s="4507"/>
      <c r="AI861" s="4507"/>
      <c r="AJ861" s="4507"/>
      <c r="AK861" s="4507"/>
      <c r="AL861" s="4507"/>
      <c r="AM861" s="4507"/>
      <c r="AN861" s="4507"/>
      <c r="AO861" s="4507"/>
      <c r="AP861" s="4507"/>
      <c r="AQ861" s="4507"/>
      <c r="AR861" s="4507"/>
      <c r="AS861" s="4507"/>
      <c r="AT861" s="4507"/>
      <c r="AU861" s="4507"/>
      <c r="AV861" s="4507"/>
      <c r="AW861" s="4507"/>
      <c r="AX861" s="4507"/>
      <c r="AY861" s="4507"/>
      <c r="AZ861" s="4507"/>
      <c r="BA861" s="4507"/>
      <c r="BB861" s="4507"/>
      <c r="BC861" s="4507"/>
      <c r="BD861" s="4507"/>
      <c r="BE861" s="4507"/>
      <c r="BF861" s="4507"/>
      <c r="BG861" s="4507"/>
      <c r="BH861" s="4507"/>
      <c r="BI861" s="4507"/>
      <c r="BJ861" s="4507"/>
      <c r="BK861" s="4507"/>
      <c r="BL861" s="4507"/>
      <c r="BM861" s="4507"/>
      <c r="BN861" s="4507"/>
      <c r="BO861" s="4507"/>
      <c r="BP861" s="4507"/>
      <c r="BQ861" s="4507"/>
      <c r="BR861" s="4507"/>
      <c r="BS861" s="4507"/>
      <c r="BT861" s="4507"/>
      <c r="BU861" s="4507"/>
      <c r="BV861" s="4507"/>
      <c r="BW861" s="4507"/>
      <c r="BX861" s="4507"/>
      <c r="BY861" s="4507"/>
      <c r="BZ861" s="4295"/>
      <c r="CA861" s="4295"/>
      <c r="CB861" s="4295"/>
      <c r="CC861" s="4295"/>
      <c r="CD861" s="4295"/>
      <c r="CE861" s="4295"/>
      <c r="CF861" s="4295"/>
      <c r="CG861" s="4295"/>
      <c r="CH861" s="4295"/>
      <c r="CI861" s="4295"/>
      <c r="CJ861" s="4295"/>
      <c r="CK861" s="4295"/>
      <c r="CL861" s="4295"/>
      <c r="CM861" s="4295"/>
      <c r="CN861" s="4295"/>
      <c r="CO861" s="4295"/>
      <c r="CP861" s="4295"/>
      <c r="CQ861" s="4295"/>
      <c r="CR861" s="4295"/>
      <c r="CS861" s="4295"/>
      <c r="CT861" s="4295"/>
      <c r="CU861" s="4295"/>
      <c r="CV861" s="4295"/>
      <c r="CW861" s="4295"/>
      <c r="CX861" s="4295"/>
      <c r="CY861" s="4295"/>
      <c r="CZ861" s="4295"/>
      <c r="DA861" s="4295"/>
      <c r="DB861" s="4295"/>
      <c r="DC861" s="4295"/>
      <c r="DD861" s="4295"/>
      <c r="DE861" s="4295"/>
      <c r="DF861" s="4295"/>
      <c r="DG861" s="4295"/>
      <c r="DH861" s="4295"/>
      <c r="DI861" s="4295"/>
      <c r="DJ861" s="4295"/>
      <c r="DK861" s="4295"/>
      <c r="DL861" s="4295"/>
      <c r="DM861" s="4295"/>
      <c r="DN861" s="4295"/>
      <c r="DO861" s="4295"/>
      <c r="DP861" s="4295"/>
      <c r="DQ861" s="4295"/>
      <c r="DR861" s="4295"/>
      <c r="DS861" s="4295"/>
      <c r="DT861" s="4136"/>
      <c r="DU861" s="4136"/>
    </row>
    <row r="862" s="4133" customFormat="1" ht="15.75" customHeight="1" spans="1:125">
      <c r="A862" s="4717" t="s">
        <v>5608</v>
      </c>
      <c r="B862" s="4714"/>
      <c r="C862" s="4507"/>
      <c r="D862" s="4507"/>
      <c r="E862" s="4507"/>
      <c r="F862" s="4507"/>
      <c r="G862" s="4507"/>
      <c r="H862" s="4507"/>
      <c r="I862" s="4507"/>
      <c r="J862" s="4507"/>
      <c r="K862" s="4507"/>
      <c r="L862" s="4507"/>
      <c r="M862" s="4507"/>
      <c r="N862" s="4507"/>
      <c r="O862" s="4718"/>
      <c r="P862" s="4718"/>
      <c r="Q862" s="4718"/>
      <c r="R862" s="4718"/>
      <c r="S862" s="4718"/>
      <c r="T862" s="4718"/>
      <c r="U862" s="4507"/>
      <c r="V862" s="4507"/>
      <c r="W862" s="4507"/>
      <c r="X862" s="4507"/>
      <c r="Y862" s="4507"/>
      <c r="Z862" s="4507"/>
      <c r="AA862" s="4507"/>
      <c r="AB862" s="4507"/>
      <c r="AC862" s="4507"/>
      <c r="AD862" s="4507"/>
      <c r="AE862" s="4507"/>
      <c r="AF862" s="4507"/>
      <c r="AG862" s="4507"/>
      <c r="AH862" s="4507"/>
      <c r="AI862" s="4507"/>
      <c r="AJ862" s="4507"/>
      <c r="AK862" s="4507"/>
      <c r="AL862" s="4507"/>
      <c r="AM862" s="4507"/>
      <c r="AN862" s="4507"/>
      <c r="AO862" s="4507"/>
      <c r="AP862" s="4507"/>
      <c r="AQ862" s="4507"/>
      <c r="AR862" s="4507"/>
      <c r="AS862" s="4507"/>
      <c r="AT862" s="4507"/>
      <c r="AU862" s="4507"/>
      <c r="AV862" s="4507"/>
      <c r="AW862" s="4507"/>
      <c r="AX862" s="4507"/>
      <c r="AY862" s="4507"/>
      <c r="AZ862" s="4507"/>
      <c r="BA862" s="4507"/>
      <c r="BB862" s="4507"/>
      <c r="BC862" s="4507"/>
      <c r="BD862" s="4507"/>
      <c r="BE862" s="4507"/>
      <c r="BF862" s="4507"/>
      <c r="BG862" s="4507"/>
      <c r="BH862" s="4507"/>
      <c r="BI862" s="4507"/>
      <c r="BJ862" s="4507"/>
      <c r="BK862" s="4507"/>
      <c r="BL862" s="4507"/>
      <c r="BM862" s="4507"/>
      <c r="BN862" s="4507"/>
      <c r="BO862" s="4507"/>
      <c r="BP862" s="4507"/>
      <c r="BQ862" s="4507"/>
      <c r="BR862" s="4507"/>
      <c r="BS862" s="4507"/>
      <c r="BT862" s="4507"/>
      <c r="BU862" s="4507"/>
      <c r="BV862" s="4507"/>
      <c r="BW862" s="4507"/>
      <c r="BX862" s="4507"/>
      <c r="BY862" s="4507"/>
      <c r="BZ862" s="4295"/>
      <c r="CA862" s="4295"/>
      <c r="CB862" s="4295"/>
      <c r="CC862" s="4295"/>
      <c r="CD862" s="4295"/>
      <c r="CE862" s="4295"/>
      <c r="CF862" s="4295"/>
      <c r="CG862" s="4295"/>
      <c r="CH862" s="4295"/>
      <c r="CI862" s="4295"/>
      <c r="CJ862" s="4295"/>
      <c r="CK862" s="4295"/>
      <c r="CL862" s="4295"/>
      <c r="CM862" s="4295"/>
      <c r="CN862" s="4295"/>
      <c r="CO862" s="4295"/>
      <c r="CP862" s="4295"/>
      <c r="CQ862" s="4295"/>
      <c r="CR862" s="4295"/>
      <c r="CS862" s="4295"/>
      <c r="CT862" s="4295"/>
      <c r="CU862" s="4295"/>
      <c r="CV862" s="4295"/>
      <c r="CW862" s="4295"/>
      <c r="CX862" s="4295"/>
      <c r="CY862" s="4295"/>
      <c r="CZ862" s="4295"/>
      <c r="DA862" s="4295"/>
      <c r="DB862" s="4295"/>
      <c r="DC862" s="4295"/>
      <c r="DD862" s="4295"/>
      <c r="DE862" s="4295"/>
      <c r="DF862" s="4295"/>
      <c r="DG862" s="4295"/>
      <c r="DH862" s="4295"/>
      <c r="DI862" s="4295"/>
      <c r="DJ862" s="4295"/>
      <c r="DK862" s="4295"/>
      <c r="DL862" s="4295"/>
      <c r="DM862" s="4295"/>
      <c r="DN862" s="4295"/>
      <c r="DO862" s="4295"/>
      <c r="DP862" s="4295"/>
      <c r="DQ862" s="4295"/>
      <c r="DR862" s="4295"/>
      <c r="DS862" s="4295"/>
      <c r="DT862" s="4136"/>
      <c r="DU862" s="4136"/>
    </row>
    <row r="863" s="4133" customFormat="1" ht="16.5" customHeight="1" spans="1:125">
      <c r="A863" s="4719" t="s">
        <v>5609</v>
      </c>
      <c r="B863" s="4720"/>
      <c r="C863" s="4720"/>
      <c r="D863" s="4720"/>
      <c r="E863" s="4720"/>
      <c r="F863" s="4720"/>
      <c r="G863" s="4720"/>
      <c r="H863" s="4720"/>
      <c r="I863" s="4720"/>
      <c r="J863" s="4720"/>
      <c r="K863" s="4720"/>
      <c r="L863" s="4720"/>
      <c r="M863" s="4720"/>
      <c r="N863" s="4720"/>
      <c r="O863" s="4721"/>
      <c r="P863" s="4722"/>
      <c r="Q863" s="4722"/>
      <c r="R863" s="4722"/>
      <c r="S863" s="4722"/>
      <c r="T863" s="4723"/>
      <c r="U863" s="4295"/>
      <c r="V863" s="4295"/>
      <c r="W863" s="4295"/>
      <c r="X863" s="4295"/>
      <c r="Y863" s="4295"/>
      <c r="Z863" s="4295"/>
      <c r="AA863" s="4295"/>
      <c r="AB863" s="4295"/>
      <c r="AC863" s="4295"/>
      <c r="AD863" s="4295"/>
      <c r="AE863" s="4295"/>
      <c r="AF863" s="4295"/>
      <c r="AG863" s="4295"/>
      <c r="AH863" s="4295"/>
      <c r="AI863" s="4295"/>
      <c r="AJ863" s="4295"/>
      <c r="AK863" s="4295"/>
      <c r="AL863" s="4295"/>
      <c r="AM863" s="4295"/>
      <c r="AN863" s="4295"/>
      <c r="AO863" s="4295"/>
      <c r="AP863" s="4295"/>
      <c r="AQ863" s="4295"/>
      <c r="AR863" s="4295"/>
      <c r="AS863" s="4295"/>
      <c r="AT863" s="4295"/>
      <c r="AU863" s="4295"/>
      <c r="AV863" s="4295"/>
      <c r="AW863" s="4295"/>
      <c r="AX863" s="4295"/>
      <c r="AY863" s="4295"/>
      <c r="AZ863" s="4295"/>
      <c r="BA863" s="4295"/>
      <c r="BB863" s="4295"/>
      <c r="BC863" s="4295"/>
      <c r="BD863" s="4295"/>
      <c r="BE863" s="4295"/>
      <c r="BF863" s="4295"/>
      <c r="BG863" s="4295"/>
      <c r="BH863" s="4295"/>
      <c r="BI863" s="4295"/>
      <c r="BJ863" s="4295"/>
      <c r="BK863" s="4295"/>
      <c r="BL863" s="4295"/>
      <c r="BM863" s="4295"/>
      <c r="BN863" s="4295"/>
      <c r="BO863" s="4295"/>
      <c r="BP863" s="4295"/>
      <c r="BQ863" s="4295"/>
      <c r="BR863" s="4295"/>
      <c r="BS863" s="4295"/>
      <c r="BT863" s="4295"/>
      <c r="BU863" s="4295"/>
      <c r="BV863" s="4295"/>
      <c r="BW863" s="4295"/>
      <c r="BX863" s="4295"/>
      <c r="BY863" s="4295"/>
      <c r="BZ863" s="4295"/>
      <c r="CA863" s="4295"/>
      <c r="CB863" s="4295"/>
      <c r="CC863" s="4295"/>
      <c r="CD863" s="4295"/>
      <c r="CE863" s="4295"/>
      <c r="CF863" s="4295"/>
      <c r="CG863" s="4295"/>
      <c r="CH863" s="4295"/>
      <c r="CI863" s="4295"/>
      <c r="CJ863" s="4295"/>
      <c r="CK863" s="4295"/>
      <c r="CL863" s="4295"/>
      <c r="CM863" s="4295"/>
      <c r="CN863" s="4295"/>
      <c r="CO863" s="4295"/>
      <c r="CP863" s="4295"/>
      <c r="CQ863" s="4295"/>
      <c r="CR863" s="4295"/>
      <c r="CS863" s="4295"/>
      <c r="CT863" s="4295"/>
      <c r="CU863" s="4295"/>
      <c r="CV863" s="4295"/>
      <c r="CW863" s="4295"/>
      <c r="CX863" s="4295"/>
      <c r="CY863" s="4295"/>
      <c r="CZ863" s="4295"/>
      <c r="DA863" s="4295"/>
      <c r="DB863" s="4295"/>
      <c r="DC863" s="4295"/>
      <c r="DD863" s="4295"/>
      <c r="DE863" s="4295"/>
      <c r="DF863" s="4295"/>
      <c r="DG863" s="4295"/>
      <c r="DH863" s="4295"/>
      <c r="DI863" s="4295"/>
      <c r="DJ863" s="4295"/>
      <c r="DK863" s="4295"/>
      <c r="DL863" s="4295"/>
      <c r="DM863" s="4295"/>
      <c r="DN863" s="4295"/>
      <c r="DO863" s="4295"/>
      <c r="DP863" s="4295"/>
      <c r="DQ863" s="4295"/>
      <c r="DR863" s="4295"/>
      <c r="DS863" s="4295"/>
      <c r="DT863" s="4136"/>
      <c r="DU863" s="4136"/>
    </row>
    <row r="864" s="4133" customFormat="1" ht="16.5" customHeight="1" spans="1:125">
      <c r="A864" s="4719" t="s">
        <v>5610</v>
      </c>
      <c r="B864" s="4720"/>
      <c r="C864" s="4720"/>
      <c r="D864" s="4720"/>
      <c r="E864" s="4720"/>
      <c r="F864" s="4720"/>
      <c r="G864" s="4720"/>
      <c r="H864" s="4720"/>
      <c r="I864" s="4720"/>
      <c r="J864" s="4720"/>
      <c r="K864" s="4720"/>
      <c r="L864" s="4720"/>
      <c r="M864" s="4720"/>
      <c r="N864" s="4720"/>
      <c r="O864" s="4724"/>
      <c r="P864" s="4725"/>
      <c r="Q864" s="4725"/>
      <c r="R864" s="4725"/>
      <c r="S864" s="4725"/>
      <c r="T864" s="4726"/>
      <c r="U864" s="4295"/>
      <c r="V864" s="4295"/>
      <c r="W864" s="4295"/>
      <c r="X864" s="4295"/>
      <c r="Y864" s="4295"/>
      <c r="Z864" s="4295"/>
      <c r="AA864" s="4295"/>
      <c r="AB864" s="4295"/>
      <c r="AC864" s="4295"/>
      <c r="AD864" s="4295"/>
      <c r="AE864" s="4295"/>
      <c r="AF864" s="4295"/>
      <c r="AG864" s="4295"/>
      <c r="AH864" s="4295"/>
      <c r="AI864" s="4295"/>
      <c r="AJ864" s="4295"/>
      <c r="AK864" s="4295"/>
      <c r="AL864" s="4295"/>
      <c r="AM864" s="4295"/>
      <c r="AN864" s="4295"/>
      <c r="AO864" s="4295"/>
      <c r="AP864" s="4295"/>
      <c r="AQ864" s="4295"/>
      <c r="AR864" s="4295"/>
      <c r="AS864" s="4295"/>
      <c r="AT864" s="4295"/>
      <c r="AU864" s="4295"/>
      <c r="AV864" s="4295"/>
      <c r="AW864" s="4295"/>
      <c r="AX864" s="4295"/>
      <c r="AY864" s="4295"/>
      <c r="AZ864" s="4295"/>
      <c r="BA864" s="4295"/>
      <c r="BB864" s="4295"/>
      <c r="BC864" s="4295"/>
      <c r="BD864" s="4295"/>
      <c r="BE864" s="4295"/>
      <c r="BF864" s="4295"/>
      <c r="BG864" s="4295"/>
      <c r="BH864" s="4295"/>
      <c r="BI864" s="4295"/>
      <c r="BJ864" s="4295"/>
      <c r="BK864" s="4295"/>
      <c r="BL864" s="4295"/>
      <c r="BM864" s="4295"/>
      <c r="BN864" s="4295"/>
      <c r="BO864" s="4295"/>
      <c r="BP864" s="4295"/>
      <c r="BQ864" s="4295"/>
      <c r="BR864" s="4295"/>
      <c r="BS864" s="4295"/>
      <c r="BT864" s="4295"/>
      <c r="BU864" s="4295"/>
      <c r="BV864" s="4295"/>
      <c r="BW864" s="4295"/>
      <c r="BX864" s="4295"/>
      <c r="BY864" s="4295"/>
      <c r="BZ864" s="4295"/>
      <c r="CA864" s="4295"/>
      <c r="CB864" s="4295"/>
      <c r="CC864" s="4295"/>
      <c r="CD864" s="4295"/>
      <c r="CE864" s="4295"/>
      <c r="CF864" s="4295"/>
      <c r="CG864" s="4295"/>
      <c r="CH864" s="4295"/>
      <c r="CI864" s="4295"/>
      <c r="CJ864" s="4295"/>
      <c r="CK864" s="4295"/>
      <c r="CL864" s="4295"/>
      <c r="CM864" s="4295"/>
      <c r="CN864" s="4295"/>
      <c r="CO864" s="4295"/>
      <c r="CP864" s="4295"/>
      <c r="CQ864" s="4295"/>
      <c r="CR864" s="4295"/>
      <c r="CS864" s="4295"/>
      <c r="CT864" s="4295"/>
      <c r="CU864" s="4295"/>
      <c r="CV864" s="4295"/>
      <c r="CW864" s="4295"/>
      <c r="CX864" s="4295"/>
      <c r="CY864" s="4295"/>
      <c r="CZ864" s="4295"/>
      <c r="DA864" s="4295"/>
      <c r="DB864" s="4295"/>
      <c r="DC864" s="4295"/>
      <c r="DD864" s="4295"/>
      <c r="DE864" s="4295"/>
      <c r="DF864" s="4295"/>
      <c r="DG864" s="4295"/>
      <c r="DH864" s="4295"/>
      <c r="DI864" s="4295"/>
      <c r="DJ864" s="4295"/>
      <c r="DK864" s="4295"/>
      <c r="DL864" s="4295"/>
      <c r="DM864" s="4295"/>
      <c r="DN864" s="4295"/>
      <c r="DO864" s="4295"/>
      <c r="DP864" s="4295"/>
      <c r="DQ864" s="4295"/>
      <c r="DR864" s="4295"/>
      <c r="DS864" s="4295"/>
      <c r="DT864" s="4136"/>
      <c r="DU864" s="4136"/>
    </row>
    <row r="865" s="4133" customFormat="1" ht="16.5" customHeight="1" spans="1:125">
      <c r="A865" s="4719" t="s">
        <v>5611</v>
      </c>
      <c r="B865" s="4720"/>
      <c r="C865" s="4720"/>
      <c r="D865" s="4720"/>
      <c r="E865" s="4720"/>
      <c r="F865" s="4720"/>
      <c r="G865" s="4720"/>
      <c r="H865" s="4720"/>
      <c r="I865" s="4720"/>
      <c r="J865" s="4720"/>
      <c r="K865" s="4720"/>
      <c r="L865" s="4720"/>
      <c r="M865" s="4720"/>
      <c r="N865" s="4720"/>
      <c r="O865" s="4724"/>
      <c r="P865" s="4725"/>
      <c r="Q865" s="4725"/>
      <c r="R865" s="4725"/>
      <c r="S865" s="4725"/>
      <c r="T865" s="4726"/>
      <c r="U865" s="4295"/>
      <c r="V865" s="4295"/>
      <c r="W865" s="4295"/>
      <c r="X865" s="4295"/>
      <c r="Y865" s="4295"/>
      <c r="Z865" s="4295"/>
      <c r="AA865" s="4295"/>
      <c r="AB865" s="4295"/>
      <c r="AC865" s="4295"/>
      <c r="AD865" s="4295"/>
      <c r="AE865" s="4295"/>
      <c r="AF865" s="4295"/>
      <c r="AG865" s="4295"/>
      <c r="AH865" s="4295"/>
      <c r="AI865" s="4295"/>
      <c r="AJ865" s="4295"/>
      <c r="AK865" s="4295"/>
      <c r="AL865" s="4295"/>
      <c r="AM865" s="4295"/>
      <c r="AN865" s="4295"/>
      <c r="AO865" s="4295"/>
      <c r="AP865" s="4295"/>
      <c r="AQ865" s="4295"/>
      <c r="AR865" s="4295"/>
      <c r="AS865" s="4295"/>
      <c r="AT865" s="4295"/>
      <c r="AU865" s="4295"/>
      <c r="AV865" s="4295"/>
      <c r="AW865" s="4295"/>
      <c r="AX865" s="4295"/>
      <c r="AY865" s="4295"/>
      <c r="AZ865" s="4295"/>
      <c r="BA865" s="4295"/>
      <c r="BB865" s="4295"/>
      <c r="BC865" s="4295"/>
      <c r="BD865" s="4295"/>
      <c r="BE865" s="4295"/>
      <c r="BF865" s="4295"/>
      <c r="BG865" s="4295"/>
      <c r="BH865" s="4295"/>
      <c r="BI865" s="4295"/>
      <c r="BJ865" s="4295"/>
      <c r="BK865" s="4295"/>
      <c r="BL865" s="4295"/>
      <c r="BM865" s="4295"/>
      <c r="BN865" s="4295"/>
      <c r="BO865" s="4295"/>
      <c r="BP865" s="4295"/>
      <c r="BQ865" s="4295"/>
      <c r="BR865" s="4295"/>
      <c r="BS865" s="4295"/>
      <c r="BT865" s="4295"/>
      <c r="BU865" s="4295"/>
      <c r="BV865" s="4295"/>
      <c r="BW865" s="4295"/>
      <c r="BX865" s="4295"/>
      <c r="BY865" s="4295"/>
      <c r="BZ865" s="4295"/>
      <c r="CA865" s="4295"/>
      <c r="CB865" s="4295"/>
      <c r="CC865" s="4295"/>
      <c r="CD865" s="4295"/>
      <c r="CE865" s="4295"/>
      <c r="CF865" s="4295"/>
      <c r="CG865" s="4295"/>
      <c r="CH865" s="4295"/>
      <c r="CI865" s="4295"/>
      <c r="CJ865" s="4295"/>
      <c r="CK865" s="4295"/>
      <c r="CL865" s="4295"/>
      <c r="CM865" s="4295"/>
      <c r="CN865" s="4295"/>
      <c r="CO865" s="4295"/>
      <c r="CP865" s="4295"/>
      <c r="CQ865" s="4295"/>
      <c r="CR865" s="4295"/>
      <c r="CS865" s="4295"/>
      <c r="CT865" s="4295"/>
      <c r="CU865" s="4295"/>
      <c r="CV865" s="4295"/>
      <c r="CW865" s="4295"/>
      <c r="CX865" s="4295"/>
      <c r="CY865" s="4295"/>
      <c r="CZ865" s="4295"/>
      <c r="DA865" s="4295"/>
      <c r="DB865" s="4295"/>
      <c r="DC865" s="4295"/>
      <c r="DD865" s="4295"/>
      <c r="DE865" s="4295"/>
      <c r="DF865" s="4295"/>
      <c r="DG865" s="4295"/>
      <c r="DH865" s="4295"/>
      <c r="DI865" s="4295"/>
      <c r="DJ865" s="4295"/>
      <c r="DK865" s="4295"/>
      <c r="DL865" s="4295"/>
      <c r="DM865" s="4295"/>
      <c r="DN865" s="4295"/>
      <c r="DO865" s="4295"/>
      <c r="DP865" s="4295"/>
      <c r="DQ865" s="4295"/>
      <c r="DR865" s="4295"/>
      <c r="DS865" s="4295"/>
      <c r="DT865" s="4136"/>
      <c r="DU865" s="4136"/>
    </row>
    <row r="866" s="4133" customFormat="1" ht="16.5" customHeight="1" spans="1:125">
      <c r="A866" s="4719" t="s">
        <v>5612</v>
      </c>
      <c r="B866" s="4720"/>
      <c r="C866" s="4720"/>
      <c r="D866" s="4720"/>
      <c r="E866" s="4720"/>
      <c r="F866" s="4720"/>
      <c r="G866" s="4720"/>
      <c r="H866" s="4720"/>
      <c r="I866" s="4720"/>
      <c r="J866" s="4720"/>
      <c r="K866" s="4720"/>
      <c r="L866" s="4720"/>
      <c r="M866" s="4720"/>
      <c r="N866" s="4720"/>
      <c r="O866" s="4724"/>
      <c r="P866" s="4725"/>
      <c r="Q866" s="4725"/>
      <c r="R866" s="4725"/>
      <c r="S866" s="4725"/>
      <c r="T866" s="4726"/>
      <c r="U866" s="4295"/>
      <c r="V866" s="4295"/>
      <c r="W866" s="4295"/>
      <c r="X866" s="4295"/>
      <c r="Y866" s="4295"/>
      <c r="Z866" s="4295"/>
      <c r="AA866" s="4295"/>
      <c r="AB866" s="4295"/>
      <c r="AC866" s="4295"/>
      <c r="AD866" s="4295"/>
      <c r="AE866" s="4295"/>
      <c r="AF866" s="4295"/>
      <c r="AG866" s="4295"/>
      <c r="AH866" s="4295"/>
      <c r="AI866" s="4295"/>
      <c r="AJ866" s="4295"/>
      <c r="AK866" s="4295"/>
      <c r="AL866" s="4295"/>
      <c r="AM866" s="4295"/>
      <c r="AN866" s="4295"/>
      <c r="AO866" s="4295"/>
      <c r="AP866" s="4295"/>
      <c r="AQ866" s="4295"/>
      <c r="AR866" s="4295"/>
      <c r="AS866" s="4295"/>
      <c r="AT866" s="4295"/>
      <c r="AU866" s="4295"/>
      <c r="AV866" s="4295"/>
      <c r="AW866" s="4295"/>
      <c r="AX866" s="4295"/>
      <c r="AY866" s="4295"/>
      <c r="AZ866" s="4295"/>
      <c r="BA866" s="4295"/>
      <c r="BB866" s="4295"/>
      <c r="BC866" s="4295"/>
      <c r="BD866" s="4295"/>
      <c r="BE866" s="4295"/>
      <c r="BF866" s="4295"/>
      <c r="BG866" s="4295"/>
      <c r="BH866" s="4295"/>
      <c r="BI866" s="4295"/>
      <c r="BJ866" s="4295"/>
      <c r="BK866" s="4295"/>
      <c r="BL866" s="4295"/>
      <c r="BM866" s="4295"/>
      <c r="BN866" s="4295"/>
      <c r="BO866" s="4295"/>
      <c r="BP866" s="4295"/>
      <c r="BQ866" s="4295"/>
      <c r="BR866" s="4295"/>
      <c r="BS866" s="4295"/>
      <c r="BT866" s="4295"/>
      <c r="BU866" s="4295"/>
      <c r="BV866" s="4295"/>
      <c r="BW866" s="4295"/>
      <c r="BX866" s="4295"/>
      <c r="BY866" s="4295"/>
      <c r="BZ866" s="4295"/>
      <c r="CA866" s="4295"/>
      <c r="CB866" s="4295"/>
      <c r="CC866" s="4295"/>
      <c r="CD866" s="4295"/>
      <c r="CE866" s="4295"/>
      <c r="CF866" s="4295"/>
      <c r="CG866" s="4295"/>
      <c r="CH866" s="4295"/>
      <c r="CI866" s="4295"/>
      <c r="CJ866" s="4295"/>
      <c r="CK866" s="4295"/>
      <c r="CL866" s="4295"/>
      <c r="CM866" s="4295"/>
      <c r="CN866" s="4295"/>
      <c r="CO866" s="4295"/>
      <c r="CP866" s="4295"/>
      <c r="CQ866" s="4295"/>
      <c r="CR866" s="4295"/>
      <c r="CS866" s="4295"/>
      <c r="CT866" s="4295"/>
      <c r="CU866" s="4295"/>
      <c r="CV866" s="4295"/>
      <c r="CW866" s="4295"/>
      <c r="CX866" s="4295"/>
      <c r="CY866" s="4295"/>
      <c r="CZ866" s="4295"/>
      <c r="DA866" s="4295"/>
      <c r="DB866" s="4295"/>
      <c r="DC866" s="4295"/>
      <c r="DD866" s="4295"/>
      <c r="DE866" s="4295"/>
      <c r="DF866" s="4295"/>
      <c r="DG866" s="4295"/>
      <c r="DH866" s="4295"/>
      <c r="DI866" s="4295"/>
      <c r="DJ866" s="4295"/>
      <c r="DK866" s="4295"/>
      <c r="DL866" s="4295"/>
      <c r="DM866" s="4295"/>
      <c r="DN866" s="4295"/>
      <c r="DO866" s="4295"/>
      <c r="DP866" s="4295"/>
      <c r="DQ866" s="4295"/>
      <c r="DR866" s="4295"/>
      <c r="DS866" s="4295"/>
      <c r="DT866" s="4136"/>
      <c r="DU866" s="4136"/>
    </row>
    <row r="867" s="4133" customFormat="1" ht="16.5" customHeight="1" spans="1:125">
      <c r="A867" s="4719" t="s">
        <v>5613</v>
      </c>
      <c r="B867" s="4720"/>
      <c r="C867" s="4720"/>
      <c r="D867" s="4720"/>
      <c r="E867" s="4720"/>
      <c r="F867" s="4720"/>
      <c r="G867" s="4720"/>
      <c r="H867" s="4720"/>
      <c r="I867" s="4720"/>
      <c r="J867" s="4720"/>
      <c r="K867" s="4720"/>
      <c r="L867" s="4720"/>
      <c r="M867" s="4720"/>
      <c r="N867" s="4720"/>
      <c r="O867" s="4724"/>
      <c r="P867" s="4725"/>
      <c r="Q867" s="4725"/>
      <c r="R867" s="4725"/>
      <c r="S867" s="4725"/>
      <c r="T867" s="4726"/>
      <c r="U867" s="4295"/>
      <c r="V867" s="4295"/>
      <c r="W867" s="4295"/>
      <c r="X867" s="4295"/>
      <c r="Y867" s="4295"/>
      <c r="Z867" s="4295"/>
      <c r="AA867" s="4295"/>
      <c r="AB867" s="4295"/>
      <c r="AC867" s="4295"/>
      <c r="AD867" s="4295"/>
      <c r="AE867" s="4295"/>
      <c r="AF867" s="4295"/>
      <c r="AG867" s="4295"/>
      <c r="AH867" s="4295"/>
      <c r="AI867" s="4295"/>
      <c r="AJ867" s="4295"/>
      <c r="AK867" s="4295"/>
      <c r="AL867" s="4295"/>
      <c r="AM867" s="4295"/>
      <c r="AN867" s="4295"/>
      <c r="AO867" s="4295"/>
      <c r="AP867" s="4295"/>
      <c r="AQ867" s="4295"/>
      <c r="AR867" s="4295"/>
      <c r="AS867" s="4295"/>
      <c r="AT867" s="4295"/>
      <c r="AU867" s="4295"/>
      <c r="AV867" s="4295"/>
      <c r="AW867" s="4295"/>
      <c r="AX867" s="4295"/>
      <c r="AY867" s="4295"/>
      <c r="AZ867" s="4295"/>
      <c r="BA867" s="4295"/>
      <c r="BB867" s="4295"/>
      <c r="BC867" s="4295"/>
      <c r="BD867" s="4295"/>
      <c r="BE867" s="4295"/>
      <c r="BF867" s="4295"/>
      <c r="BG867" s="4295"/>
      <c r="BH867" s="4295"/>
      <c r="BI867" s="4295"/>
      <c r="BJ867" s="4295"/>
      <c r="BK867" s="4295"/>
      <c r="BL867" s="4295"/>
      <c r="BM867" s="4295"/>
      <c r="BN867" s="4295"/>
      <c r="BO867" s="4295"/>
      <c r="BP867" s="4295"/>
      <c r="BQ867" s="4295"/>
      <c r="BR867" s="4295"/>
      <c r="BS867" s="4295"/>
      <c r="BT867" s="4295"/>
      <c r="BU867" s="4295"/>
      <c r="BV867" s="4295"/>
      <c r="BW867" s="4295"/>
      <c r="BX867" s="4295"/>
      <c r="BY867" s="4295"/>
      <c r="BZ867" s="4295"/>
      <c r="CA867" s="4295"/>
      <c r="CB867" s="4295"/>
      <c r="CC867" s="4295"/>
      <c r="CD867" s="4295"/>
      <c r="CE867" s="4295"/>
      <c r="CF867" s="4295"/>
      <c r="CG867" s="4295"/>
      <c r="CH867" s="4295"/>
      <c r="CI867" s="4295"/>
      <c r="CJ867" s="4295"/>
      <c r="CK867" s="4295"/>
      <c r="CL867" s="4295"/>
      <c r="CM867" s="4295"/>
      <c r="CN867" s="4295"/>
      <c r="CO867" s="4295"/>
      <c r="CP867" s="4295"/>
      <c r="CQ867" s="4295"/>
      <c r="CR867" s="4295"/>
      <c r="CS867" s="4295"/>
      <c r="CT867" s="4295"/>
      <c r="CU867" s="4295"/>
      <c r="CV867" s="4295"/>
      <c r="CW867" s="4295"/>
      <c r="CX867" s="4295"/>
      <c r="CY867" s="4295"/>
      <c r="CZ867" s="4295"/>
      <c r="DA867" s="4295"/>
      <c r="DB867" s="4295"/>
      <c r="DC867" s="4295"/>
      <c r="DD867" s="4295"/>
      <c r="DE867" s="4295"/>
      <c r="DF867" s="4295"/>
      <c r="DG867" s="4295"/>
      <c r="DH867" s="4295"/>
      <c r="DI867" s="4295"/>
      <c r="DJ867" s="4295"/>
      <c r="DK867" s="4295"/>
      <c r="DL867" s="4295"/>
      <c r="DM867" s="4295"/>
      <c r="DN867" s="4295"/>
      <c r="DO867" s="4295"/>
      <c r="DP867" s="4295"/>
      <c r="DQ867" s="4295"/>
      <c r="DR867" s="4295"/>
      <c r="DS867" s="4295"/>
      <c r="DT867" s="4136"/>
      <c r="DU867" s="4136"/>
    </row>
    <row r="868" s="4133" customFormat="1" ht="16.5" customHeight="1" spans="1:125">
      <c r="A868" s="4719" t="s">
        <v>5614</v>
      </c>
      <c r="B868" s="4720"/>
      <c r="C868" s="4720"/>
      <c r="D868" s="4720"/>
      <c r="E868" s="4720"/>
      <c r="F868" s="4720"/>
      <c r="G868" s="4720"/>
      <c r="H868" s="4720"/>
      <c r="I868" s="4720"/>
      <c r="J868" s="4720"/>
      <c r="K868" s="4720"/>
      <c r="L868" s="4720"/>
      <c r="M868" s="4720"/>
      <c r="N868" s="4720"/>
      <c r="O868" s="4724"/>
      <c r="P868" s="4725"/>
      <c r="Q868" s="4725"/>
      <c r="R868" s="4725"/>
      <c r="S868" s="4725"/>
      <c r="T868" s="4726"/>
      <c r="U868" s="4295"/>
      <c r="V868" s="4295"/>
      <c r="W868" s="4295"/>
      <c r="X868" s="4295"/>
      <c r="Y868" s="4295"/>
      <c r="Z868" s="4295"/>
      <c r="AA868" s="4295"/>
      <c r="AB868" s="4295"/>
      <c r="AC868" s="4295"/>
      <c r="AD868" s="4295"/>
      <c r="AE868" s="4295"/>
      <c r="AF868" s="4295"/>
      <c r="AG868" s="4295"/>
      <c r="AH868" s="4295"/>
      <c r="AI868" s="4295"/>
      <c r="AJ868" s="4295"/>
      <c r="AK868" s="4295"/>
      <c r="AL868" s="4295"/>
      <c r="AM868" s="4295"/>
      <c r="AN868" s="4295"/>
      <c r="AO868" s="4295"/>
      <c r="AP868" s="4295"/>
      <c r="AQ868" s="4295"/>
      <c r="AR868" s="4295"/>
      <c r="AS868" s="4295"/>
      <c r="AT868" s="4295"/>
      <c r="AU868" s="4295"/>
      <c r="AV868" s="4295"/>
      <c r="AW868" s="4295"/>
      <c r="AX868" s="4295"/>
      <c r="AY868" s="4295"/>
      <c r="AZ868" s="4295"/>
      <c r="BA868" s="4295"/>
      <c r="BB868" s="4295"/>
      <c r="BC868" s="4295"/>
      <c r="BD868" s="4295"/>
      <c r="BE868" s="4295"/>
      <c r="BF868" s="4295"/>
      <c r="BG868" s="4295"/>
      <c r="BH868" s="4295"/>
      <c r="BI868" s="4295"/>
      <c r="BJ868" s="4295"/>
      <c r="BK868" s="4295"/>
      <c r="BL868" s="4295"/>
      <c r="BM868" s="4295"/>
      <c r="BN868" s="4295"/>
      <c r="BO868" s="4295"/>
      <c r="BP868" s="4295"/>
      <c r="BQ868" s="4295"/>
      <c r="BR868" s="4295"/>
      <c r="BS868" s="4295"/>
      <c r="BT868" s="4295"/>
      <c r="BU868" s="4295"/>
      <c r="BV868" s="4295"/>
      <c r="BW868" s="4295"/>
      <c r="BX868" s="4295"/>
      <c r="BY868" s="4295"/>
      <c r="BZ868" s="4295"/>
      <c r="CA868" s="4295"/>
      <c r="CB868" s="4295"/>
      <c r="CC868" s="4295"/>
      <c r="CD868" s="4295"/>
      <c r="CE868" s="4295"/>
      <c r="CF868" s="4295"/>
      <c r="CG868" s="4295"/>
      <c r="CH868" s="4295"/>
      <c r="CI868" s="4295"/>
      <c r="CJ868" s="4295"/>
      <c r="CK868" s="4295"/>
      <c r="CL868" s="4295"/>
      <c r="CM868" s="4295"/>
      <c r="CN868" s="4295"/>
      <c r="CO868" s="4295"/>
      <c r="CP868" s="4295"/>
      <c r="CQ868" s="4295"/>
      <c r="CR868" s="4295"/>
      <c r="CS868" s="4295"/>
      <c r="CT868" s="4295"/>
      <c r="CU868" s="4295"/>
      <c r="CV868" s="4295"/>
      <c r="CW868" s="4295"/>
      <c r="CX868" s="4295"/>
      <c r="CY868" s="4295"/>
      <c r="CZ868" s="4295"/>
      <c r="DA868" s="4295"/>
      <c r="DB868" s="4295"/>
      <c r="DC868" s="4295"/>
      <c r="DD868" s="4295"/>
      <c r="DE868" s="4295"/>
      <c r="DF868" s="4295"/>
      <c r="DG868" s="4295"/>
      <c r="DH868" s="4295"/>
      <c r="DI868" s="4295"/>
      <c r="DJ868" s="4295"/>
      <c r="DK868" s="4295"/>
      <c r="DL868" s="4295"/>
      <c r="DM868" s="4295"/>
      <c r="DN868" s="4295"/>
      <c r="DO868" s="4295"/>
      <c r="DP868" s="4295"/>
      <c r="DQ868" s="4295"/>
      <c r="DR868" s="4295"/>
      <c r="DS868" s="4295"/>
      <c r="DT868" s="4136"/>
      <c r="DU868" s="4136"/>
    </row>
    <row r="869" s="4133" customFormat="1" ht="16.5" customHeight="1" spans="1:125">
      <c r="A869" s="4719" t="s">
        <v>5615</v>
      </c>
      <c r="B869" s="4720"/>
      <c r="C869" s="4720"/>
      <c r="D869" s="4720"/>
      <c r="E869" s="4720"/>
      <c r="F869" s="4720"/>
      <c r="G869" s="4720"/>
      <c r="H869" s="4720"/>
      <c r="I869" s="4720"/>
      <c r="J869" s="4720"/>
      <c r="K869" s="4720"/>
      <c r="L869" s="4720"/>
      <c r="M869" s="4720"/>
      <c r="N869" s="4720"/>
      <c r="O869" s="4724"/>
      <c r="P869" s="4725"/>
      <c r="Q869" s="4725"/>
      <c r="R869" s="4725"/>
      <c r="S869" s="4725"/>
      <c r="T869" s="4726"/>
      <c r="U869" s="4295"/>
      <c r="V869" s="4295"/>
      <c r="W869" s="4295"/>
      <c r="X869" s="4295"/>
      <c r="Y869" s="4295"/>
      <c r="Z869" s="4295"/>
      <c r="AA869" s="4295"/>
      <c r="AB869" s="4295"/>
      <c r="AC869" s="4295"/>
      <c r="AD869" s="4295"/>
      <c r="AE869" s="4295"/>
      <c r="AF869" s="4295"/>
      <c r="AG869" s="4295"/>
      <c r="AH869" s="4295"/>
      <c r="AI869" s="4295"/>
      <c r="AJ869" s="4295"/>
      <c r="AK869" s="4295"/>
      <c r="AL869" s="4295"/>
      <c r="AM869" s="4295"/>
      <c r="AN869" s="4295"/>
      <c r="AO869" s="4295"/>
      <c r="AP869" s="4295"/>
      <c r="AQ869" s="4295"/>
      <c r="AR869" s="4295"/>
      <c r="AS869" s="4295"/>
      <c r="AT869" s="4295"/>
      <c r="AU869" s="4295"/>
      <c r="AV869" s="4295"/>
      <c r="AW869" s="4295"/>
      <c r="AX869" s="4295"/>
      <c r="AY869" s="4295"/>
      <c r="AZ869" s="4295"/>
      <c r="BA869" s="4295"/>
      <c r="BB869" s="4295"/>
      <c r="BC869" s="4295"/>
      <c r="BD869" s="4295"/>
      <c r="BE869" s="4295"/>
      <c r="BF869" s="4295"/>
      <c r="BG869" s="4295"/>
      <c r="BH869" s="4295"/>
      <c r="BI869" s="4295"/>
      <c r="BJ869" s="4295"/>
      <c r="BK869" s="4295"/>
      <c r="BL869" s="4295"/>
      <c r="BM869" s="4295"/>
      <c r="BN869" s="4295"/>
      <c r="BO869" s="4295"/>
      <c r="BP869" s="4295"/>
      <c r="BQ869" s="4295"/>
      <c r="BR869" s="4295"/>
      <c r="BS869" s="4295"/>
      <c r="BT869" s="4295"/>
      <c r="BU869" s="4295"/>
      <c r="BV869" s="4295"/>
      <c r="BW869" s="4295"/>
      <c r="BX869" s="4295"/>
      <c r="BY869" s="4295"/>
      <c r="BZ869" s="4295"/>
      <c r="CA869" s="4295"/>
      <c r="CB869" s="4295"/>
      <c r="CC869" s="4295"/>
      <c r="CD869" s="4295"/>
      <c r="CE869" s="4295"/>
      <c r="CF869" s="4295"/>
      <c r="CG869" s="4295"/>
      <c r="CH869" s="4295"/>
      <c r="CI869" s="4295"/>
      <c r="CJ869" s="4295"/>
      <c r="CK869" s="4295"/>
      <c r="CL869" s="4295"/>
      <c r="CM869" s="4295"/>
      <c r="CN869" s="4295"/>
      <c r="CO869" s="4295"/>
      <c r="CP869" s="4295"/>
      <c r="CQ869" s="4295"/>
      <c r="CR869" s="4295"/>
      <c r="CS869" s="4295"/>
      <c r="CT869" s="4295"/>
      <c r="CU869" s="4295"/>
      <c r="CV869" s="4295"/>
      <c r="CW869" s="4295"/>
      <c r="CX869" s="4295"/>
      <c r="CY869" s="4295"/>
      <c r="CZ869" s="4295"/>
      <c r="DA869" s="4295"/>
      <c r="DB869" s="4295"/>
      <c r="DC869" s="4295"/>
      <c r="DD869" s="4295"/>
      <c r="DE869" s="4295"/>
      <c r="DF869" s="4295"/>
      <c r="DG869" s="4295"/>
      <c r="DH869" s="4295"/>
      <c r="DI869" s="4295"/>
      <c r="DJ869" s="4295"/>
      <c r="DK869" s="4295"/>
      <c r="DL869" s="4295"/>
      <c r="DM869" s="4295"/>
      <c r="DN869" s="4295"/>
      <c r="DO869" s="4295"/>
      <c r="DP869" s="4295"/>
      <c r="DQ869" s="4295"/>
      <c r="DR869" s="4295"/>
      <c r="DS869" s="4295"/>
      <c r="DT869" s="4136"/>
      <c r="DU869" s="4136"/>
    </row>
    <row r="870" s="4133" customFormat="1" ht="16.5" customHeight="1" spans="1:125">
      <c r="A870" s="4719" t="s">
        <v>5616</v>
      </c>
      <c r="B870" s="4720"/>
      <c r="C870" s="4720"/>
      <c r="D870" s="4720"/>
      <c r="E870" s="4720"/>
      <c r="F870" s="4720"/>
      <c r="G870" s="4720"/>
      <c r="H870" s="4720"/>
      <c r="I870" s="4720"/>
      <c r="J870" s="4720"/>
      <c r="K870" s="4720"/>
      <c r="L870" s="4720"/>
      <c r="M870" s="4720"/>
      <c r="N870" s="4720"/>
      <c r="O870" s="4724"/>
      <c r="P870" s="4725"/>
      <c r="Q870" s="4725"/>
      <c r="R870" s="4725"/>
      <c r="S870" s="4725"/>
      <c r="T870" s="4726"/>
      <c r="U870" s="4295"/>
      <c r="V870" s="4295"/>
      <c r="W870" s="4295"/>
      <c r="X870" s="4295"/>
      <c r="Y870" s="4295"/>
      <c r="Z870" s="4295"/>
      <c r="AA870" s="4295"/>
      <c r="AB870" s="4295"/>
      <c r="AC870" s="4295"/>
      <c r="AD870" s="4295"/>
      <c r="AE870" s="4295"/>
      <c r="AF870" s="4295"/>
      <c r="AG870" s="4295"/>
      <c r="AH870" s="4295"/>
      <c r="AI870" s="4295"/>
      <c r="AJ870" s="4295"/>
      <c r="AK870" s="4295"/>
      <c r="AL870" s="4295"/>
      <c r="AM870" s="4295"/>
      <c r="AN870" s="4295"/>
      <c r="AO870" s="4295"/>
      <c r="AP870" s="4295"/>
      <c r="AQ870" s="4295"/>
      <c r="AR870" s="4295"/>
      <c r="AS870" s="4295"/>
      <c r="AT870" s="4295"/>
      <c r="AU870" s="4295"/>
      <c r="AV870" s="4295"/>
      <c r="AW870" s="4295"/>
      <c r="AX870" s="4295"/>
      <c r="AY870" s="4295"/>
      <c r="AZ870" s="4295"/>
      <c r="BA870" s="4295"/>
      <c r="BB870" s="4295"/>
      <c r="BC870" s="4295"/>
      <c r="BD870" s="4295"/>
      <c r="BE870" s="4295"/>
      <c r="BF870" s="4295"/>
      <c r="BG870" s="4295"/>
      <c r="BH870" s="4295"/>
      <c r="BI870" s="4295"/>
      <c r="BJ870" s="4295"/>
      <c r="BK870" s="4295"/>
      <c r="BL870" s="4295"/>
      <c r="BM870" s="4295"/>
      <c r="BN870" s="4295"/>
      <c r="BO870" s="4295"/>
      <c r="BP870" s="4295"/>
      <c r="BQ870" s="4295"/>
      <c r="BR870" s="4295"/>
      <c r="BS870" s="4295"/>
      <c r="BT870" s="4295"/>
      <c r="BU870" s="4295"/>
      <c r="BV870" s="4295"/>
      <c r="BW870" s="4295"/>
      <c r="BX870" s="4295"/>
      <c r="BY870" s="4295"/>
      <c r="BZ870" s="4295"/>
      <c r="CA870" s="4295"/>
      <c r="CB870" s="4295"/>
      <c r="CC870" s="4295"/>
      <c r="CD870" s="4295"/>
      <c r="CE870" s="4295"/>
      <c r="CF870" s="4295"/>
      <c r="CG870" s="4295"/>
      <c r="CH870" s="4295"/>
      <c r="CI870" s="4295"/>
      <c r="CJ870" s="4295"/>
      <c r="CK870" s="4295"/>
      <c r="CL870" s="4295"/>
      <c r="CM870" s="4295"/>
      <c r="CN870" s="4295"/>
      <c r="CO870" s="4295"/>
      <c r="CP870" s="4295"/>
      <c r="CQ870" s="4295"/>
      <c r="CR870" s="4295"/>
      <c r="CS870" s="4295"/>
      <c r="CT870" s="4295"/>
      <c r="CU870" s="4295"/>
      <c r="CV870" s="4295"/>
      <c r="CW870" s="4295"/>
      <c r="CX870" s="4295"/>
      <c r="CY870" s="4295"/>
      <c r="CZ870" s="4295"/>
      <c r="DA870" s="4295"/>
      <c r="DB870" s="4295"/>
      <c r="DC870" s="4295"/>
      <c r="DD870" s="4295"/>
      <c r="DE870" s="4295"/>
      <c r="DF870" s="4295"/>
      <c r="DG870" s="4295"/>
      <c r="DH870" s="4295"/>
      <c r="DI870" s="4295"/>
      <c r="DJ870" s="4295"/>
      <c r="DK870" s="4295"/>
      <c r="DL870" s="4295"/>
      <c r="DM870" s="4295"/>
      <c r="DN870" s="4295"/>
      <c r="DO870" s="4295"/>
      <c r="DP870" s="4295"/>
      <c r="DQ870" s="4295"/>
      <c r="DR870" s="4295"/>
      <c r="DS870" s="4295"/>
      <c r="DT870" s="4136"/>
      <c r="DU870" s="4136"/>
    </row>
    <row r="871" s="4133" customFormat="1" ht="16.5" customHeight="1" spans="1:125">
      <c r="A871" s="4719" t="s">
        <v>5617</v>
      </c>
      <c r="B871" s="4720"/>
      <c r="C871" s="4720"/>
      <c r="D871" s="4720"/>
      <c r="E871" s="4720"/>
      <c r="F871" s="4720"/>
      <c r="G871" s="4720"/>
      <c r="H871" s="4720"/>
      <c r="I871" s="4720"/>
      <c r="J871" s="4720"/>
      <c r="K871" s="4720"/>
      <c r="L871" s="4720"/>
      <c r="M871" s="4720"/>
      <c r="N871" s="4720"/>
      <c r="O871" s="4724"/>
      <c r="P871" s="4725"/>
      <c r="Q871" s="4725"/>
      <c r="R871" s="4725"/>
      <c r="S871" s="4725"/>
      <c r="T871" s="4726"/>
      <c r="U871" s="4295"/>
      <c r="V871" s="4295"/>
      <c r="W871" s="4295"/>
      <c r="X871" s="4295"/>
      <c r="Y871" s="4295"/>
      <c r="Z871" s="4295"/>
      <c r="AA871" s="4295"/>
      <c r="AB871" s="4295"/>
      <c r="AC871" s="4295"/>
      <c r="AD871" s="4295"/>
      <c r="AE871" s="4295"/>
      <c r="AF871" s="4295"/>
      <c r="AG871" s="4295"/>
      <c r="AH871" s="4295"/>
      <c r="AI871" s="4295"/>
      <c r="AJ871" s="4295"/>
      <c r="AK871" s="4295"/>
      <c r="AL871" s="4295"/>
      <c r="AM871" s="4295"/>
      <c r="AN871" s="4295"/>
      <c r="AO871" s="4295"/>
      <c r="AP871" s="4295"/>
      <c r="AQ871" s="4295"/>
      <c r="AR871" s="4295"/>
      <c r="AS871" s="4295"/>
      <c r="AT871" s="4295"/>
      <c r="AU871" s="4295"/>
      <c r="AV871" s="4295"/>
      <c r="AW871" s="4295"/>
      <c r="AX871" s="4295"/>
      <c r="AY871" s="4295"/>
      <c r="AZ871" s="4295"/>
      <c r="BA871" s="4295"/>
      <c r="BB871" s="4295"/>
      <c r="BC871" s="4295"/>
      <c r="BD871" s="4295"/>
      <c r="BE871" s="4295"/>
      <c r="BF871" s="4295"/>
      <c r="BG871" s="4295"/>
      <c r="BH871" s="4295"/>
      <c r="BI871" s="4295"/>
      <c r="BJ871" s="4295"/>
      <c r="BK871" s="4295"/>
      <c r="BL871" s="4295"/>
      <c r="BM871" s="4295"/>
      <c r="BN871" s="4295"/>
      <c r="BO871" s="4295"/>
      <c r="BP871" s="4295"/>
      <c r="BQ871" s="4295"/>
      <c r="BR871" s="4295"/>
      <c r="BS871" s="4295"/>
      <c r="BT871" s="4295"/>
      <c r="BU871" s="4295"/>
      <c r="BV871" s="4295"/>
      <c r="BW871" s="4295"/>
      <c r="BX871" s="4295"/>
      <c r="BY871" s="4295"/>
      <c r="BZ871" s="4295"/>
      <c r="CA871" s="4295"/>
      <c r="CB871" s="4295"/>
      <c r="CC871" s="4295"/>
      <c r="CD871" s="4295"/>
      <c r="CE871" s="4295"/>
      <c r="CF871" s="4295"/>
      <c r="CG871" s="4295"/>
      <c r="CH871" s="4295"/>
      <c r="CI871" s="4295"/>
      <c r="CJ871" s="4295"/>
      <c r="CK871" s="4295"/>
      <c r="CL871" s="4295"/>
      <c r="CM871" s="4295"/>
      <c r="CN871" s="4295"/>
      <c r="CO871" s="4295"/>
      <c r="CP871" s="4295"/>
      <c r="CQ871" s="4295"/>
      <c r="CR871" s="4295"/>
      <c r="CS871" s="4295"/>
      <c r="CT871" s="4295"/>
      <c r="CU871" s="4295"/>
      <c r="CV871" s="4295"/>
      <c r="CW871" s="4295"/>
      <c r="CX871" s="4295"/>
      <c r="CY871" s="4295"/>
      <c r="CZ871" s="4295"/>
      <c r="DA871" s="4295"/>
      <c r="DB871" s="4295"/>
      <c r="DC871" s="4295"/>
      <c r="DD871" s="4295"/>
      <c r="DE871" s="4295"/>
      <c r="DF871" s="4295"/>
      <c r="DG871" s="4295"/>
      <c r="DH871" s="4295"/>
      <c r="DI871" s="4295"/>
      <c r="DJ871" s="4295"/>
      <c r="DK871" s="4295"/>
      <c r="DL871" s="4295"/>
      <c r="DM871" s="4295"/>
      <c r="DN871" s="4295"/>
      <c r="DO871" s="4295"/>
      <c r="DP871" s="4295"/>
      <c r="DQ871" s="4295"/>
      <c r="DR871" s="4295"/>
      <c r="DS871" s="4295"/>
      <c r="DT871" s="4136"/>
      <c r="DU871" s="4136"/>
    </row>
    <row r="872" s="4133" customFormat="1" ht="16.5" customHeight="1" spans="1:125">
      <c r="A872" s="4719"/>
      <c r="B872" s="4720" t="s">
        <v>5618</v>
      </c>
      <c r="C872" s="4720"/>
      <c r="D872" s="4720"/>
      <c r="E872" s="4720"/>
      <c r="F872" s="4720"/>
      <c r="G872" s="4720"/>
      <c r="H872" s="4720"/>
      <c r="I872" s="4720"/>
      <c r="J872" s="4720"/>
      <c r="K872" s="4720"/>
      <c r="L872" s="4720"/>
      <c r="M872" s="4720"/>
      <c r="N872" s="4720"/>
      <c r="O872" s="4724"/>
      <c r="P872" s="4725"/>
      <c r="Q872" s="4725"/>
      <c r="R872" s="4725"/>
      <c r="S872" s="4725"/>
      <c r="T872" s="4726"/>
      <c r="U872" s="4295"/>
      <c r="V872" s="4295"/>
      <c r="W872" s="4295"/>
      <c r="X872" s="4295"/>
      <c r="Y872" s="4295"/>
      <c r="Z872" s="4295"/>
      <c r="AA872" s="4295"/>
      <c r="AB872" s="4295"/>
      <c r="AC872" s="4295"/>
      <c r="AD872" s="4295"/>
      <c r="AE872" s="4295"/>
      <c r="AF872" s="4295"/>
      <c r="AG872" s="4295"/>
      <c r="AH872" s="4295"/>
      <c r="AI872" s="4295"/>
      <c r="AJ872" s="4295"/>
      <c r="AK872" s="4295"/>
      <c r="AL872" s="4295"/>
      <c r="AM872" s="4295"/>
      <c r="AN872" s="4295"/>
      <c r="AO872" s="4295"/>
      <c r="AP872" s="4295"/>
      <c r="AQ872" s="4295"/>
      <c r="AR872" s="4295"/>
      <c r="AS872" s="4295"/>
      <c r="AT872" s="4295"/>
      <c r="AU872" s="4295"/>
      <c r="AV872" s="4295"/>
      <c r="AW872" s="4295"/>
      <c r="AX872" s="4295"/>
      <c r="AY872" s="4295"/>
      <c r="AZ872" s="4295"/>
      <c r="BA872" s="4295"/>
      <c r="BB872" s="4295"/>
      <c r="BC872" s="4295"/>
      <c r="BD872" s="4295"/>
      <c r="BE872" s="4295"/>
      <c r="BF872" s="4295"/>
      <c r="BG872" s="4295"/>
      <c r="BH872" s="4295"/>
      <c r="BI872" s="4295"/>
      <c r="BJ872" s="4295"/>
      <c r="BK872" s="4295"/>
      <c r="BL872" s="4295"/>
      <c r="BM872" s="4295"/>
      <c r="BN872" s="4295"/>
      <c r="BO872" s="4295"/>
      <c r="BP872" s="4295"/>
      <c r="BQ872" s="4295"/>
      <c r="BR872" s="4295"/>
      <c r="BS872" s="4295"/>
      <c r="BT872" s="4295"/>
      <c r="BU872" s="4295"/>
      <c r="BV872" s="4295"/>
      <c r="BW872" s="4295"/>
      <c r="BX872" s="4295"/>
      <c r="BY872" s="4295"/>
      <c r="BZ872" s="4295"/>
      <c r="CA872" s="4295"/>
      <c r="CB872" s="4295"/>
      <c r="CC872" s="4295"/>
      <c r="CD872" s="4295"/>
      <c r="CE872" s="4295"/>
      <c r="CF872" s="4295"/>
      <c r="CG872" s="4295"/>
      <c r="CH872" s="4295"/>
      <c r="CI872" s="4295"/>
      <c r="CJ872" s="4295"/>
      <c r="CK872" s="4295"/>
      <c r="CL872" s="4295"/>
      <c r="CM872" s="4295"/>
      <c r="CN872" s="4295"/>
      <c r="CO872" s="4295"/>
      <c r="CP872" s="4295"/>
      <c r="CQ872" s="4295"/>
      <c r="CR872" s="4295"/>
      <c r="CS872" s="4295"/>
      <c r="CT872" s="4295"/>
      <c r="CU872" s="4295"/>
      <c r="CV872" s="4295"/>
      <c r="CW872" s="4295"/>
      <c r="CX872" s="4295"/>
      <c r="CY872" s="4295"/>
      <c r="CZ872" s="4295"/>
      <c r="DA872" s="4295"/>
      <c r="DB872" s="4295"/>
      <c r="DC872" s="4295"/>
      <c r="DD872" s="4295"/>
      <c r="DE872" s="4295"/>
      <c r="DF872" s="4295"/>
      <c r="DG872" s="4295"/>
      <c r="DH872" s="4295"/>
      <c r="DI872" s="4295"/>
      <c r="DJ872" s="4295"/>
      <c r="DK872" s="4295"/>
      <c r="DL872" s="4295"/>
      <c r="DM872" s="4295"/>
      <c r="DN872" s="4295"/>
      <c r="DO872" s="4295"/>
      <c r="DP872" s="4295"/>
      <c r="DQ872" s="4295"/>
      <c r="DR872" s="4295"/>
      <c r="DS872" s="4295"/>
      <c r="DT872" s="4136"/>
      <c r="DU872" s="4136"/>
    </row>
    <row r="873" s="4133" customFormat="1" ht="16.5" customHeight="1" spans="1:125">
      <c r="A873" s="4719"/>
      <c r="B873" s="4720"/>
      <c r="C873" s="4720"/>
      <c r="D873" s="4720"/>
      <c r="E873" s="4720"/>
      <c r="F873" s="4720"/>
      <c r="G873" s="4720" t="s">
        <v>5619</v>
      </c>
      <c r="H873" s="4720"/>
      <c r="I873" s="4720"/>
      <c r="J873" s="4720"/>
      <c r="K873" s="4720"/>
      <c r="L873" s="4720"/>
      <c r="M873" s="4720"/>
      <c r="N873" s="4720"/>
      <c r="O873" s="4727">
        <f>SUM(O863:T872)</f>
        <v>0</v>
      </c>
      <c r="P873" s="4728"/>
      <c r="Q873" s="4728"/>
      <c r="R873" s="4728"/>
      <c r="S873" s="4728"/>
      <c r="T873" s="4729"/>
      <c r="U873" s="4295"/>
      <c r="V873" s="4295"/>
      <c r="W873" s="4295"/>
      <c r="X873" s="4295"/>
      <c r="Y873" s="4295"/>
      <c r="Z873" s="4295"/>
      <c r="AA873" s="4295"/>
      <c r="AB873" s="4295"/>
      <c r="AC873" s="4295"/>
      <c r="AD873" s="4295"/>
      <c r="AE873" s="4295"/>
      <c r="AF873" s="4295"/>
      <c r="AG873" s="4295"/>
      <c r="AH873" s="4295"/>
      <c r="AI873" s="4295"/>
      <c r="AJ873" s="4295"/>
      <c r="AK873" s="4295"/>
      <c r="AL873" s="4295"/>
      <c r="AM873" s="4295"/>
      <c r="AN873" s="4295"/>
      <c r="AO873" s="4295"/>
      <c r="AP873" s="4295"/>
      <c r="AQ873" s="4295"/>
      <c r="AR873" s="4295"/>
      <c r="AS873" s="4295"/>
      <c r="AT873" s="4295"/>
      <c r="AU873" s="4295"/>
      <c r="AV873" s="4295"/>
      <c r="AW873" s="4295"/>
      <c r="AX873" s="4295"/>
      <c r="AY873" s="4295"/>
      <c r="AZ873" s="4295"/>
      <c r="BA873" s="4295"/>
      <c r="BB873" s="4295"/>
      <c r="BC873" s="4295"/>
      <c r="BD873" s="4295"/>
      <c r="BE873" s="4295"/>
      <c r="BF873" s="4295"/>
      <c r="BG873" s="4295"/>
      <c r="BH873" s="4295"/>
      <c r="BI873" s="4295"/>
      <c r="BJ873" s="4295"/>
      <c r="BK873" s="4295"/>
      <c r="BL873" s="4295"/>
      <c r="BM873" s="4295"/>
      <c r="BN873" s="4295"/>
      <c r="BO873" s="4295"/>
      <c r="BP873" s="4295"/>
      <c r="BQ873" s="4295"/>
      <c r="BR873" s="4295"/>
      <c r="BS873" s="4295"/>
      <c r="BT873" s="4295"/>
      <c r="BU873" s="4295"/>
      <c r="BV873" s="4295"/>
      <c r="BW873" s="4295"/>
      <c r="BX873" s="4295"/>
      <c r="BY873" s="4295"/>
      <c r="BZ873" s="4295"/>
      <c r="CA873" s="4295"/>
      <c r="CB873" s="4295"/>
      <c r="CC873" s="4295"/>
      <c r="CD873" s="4295"/>
      <c r="CE873" s="4295"/>
      <c r="CF873" s="4295"/>
      <c r="CG873" s="4295"/>
      <c r="CH873" s="4295"/>
      <c r="CI873" s="4295"/>
      <c r="CJ873" s="4295"/>
      <c r="CK873" s="4295"/>
      <c r="CL873" s="4295"/>
      <c r="CM873" s="4295"/>
      <c r="CN873" s="4295"/>
      <c r="CO873" s="4295"/>
      <c r="CP873" s="4295"/>
      <c r="CQ873" s="4295"/>
      <c r="CR873" s="4295"/>
      <c r="CS873" s="4295"/>
      <c r="CT873" s="4295"/>
      <c r="CU873" s="4295"/>
      <c r="CV873" s="4295"/>
      <c r="CW873" s="4295"/>
      <c r="CX873" s="4295"/>
      <c r="CY873" s="4295"/>
      <c r="CZ873" s="4295"/>
      <c r="DA873" s="4295"/>
      <c r="DB873" s="4295"/>
      <c r="DC873" s="4295"/>
      <c r="DD873" s="4295"/>
      <c r="DE873" s="4295"/>
      <c r="DF873" s="4295"/>
      <c r="DG873" s="4295"/>
      <c r="DH873" s="4295"/>
      <c r="DI873" s="4295"/>
      <c r="DJ873" s="4295"/>
      <c r="DK873" s="4295"/>
      <c r="DL873" s="4295"/>
      <c r="DM873" s="4295"/>
      <c r="DN873" s="4295"/>
      <c r="DO873" s="4295"/>
      <c r="DP873" s="4295"/>
      <c r="DQ873" s="4295"/>
      <c r="DR873" s="4295"/>
      <c r="DS873" s="4295"/>
      <c r="DT873" s="4136"/>
      <c r="DU873" s="4136"/>
    </row>
    <row r="874" s="4133" customFormat="1" customHeight="1" spans="1:125">
      <c r="A874" s="4730"/>
      <c r="B874" s="4317"/>
      <c r="C874" s="4317"/>
      <c r="D874" s="4317"/>
      <c r="E874" s="4317"/>
      <c r="F874" s="4317"/>
      <c r="G874" s="4317"/>
      <c r="H874" s="4317"/>
      <c r="I874" s="4317"/>
      <c r="J874" s="4317"/>
      <c r="K874" s="4317"/>
      <c r="L874" s="4317"/>
      <c r="M874" s="4317"/>
      <c r="N874" s="4317"/>
      <c r="O874" s="4317"/>
      <c r="P874" s="4317"/>
      <c r="Q874" s="4317"/>
      <c r="R874" s="4317"/>
      <c r="S874" s="4317"/>
      <c r="T874" s="4317"/>
      <c r="U874" s="4317"/>
      <c r="V874" s="4317"/>
      <c r="W874" s="4317"/>
      <c r="X874" s="4317"/>
      <c r="Y874" s="4317"/>
      <c r="Z874" s="4317"/>
      <c r="AA874" s="4317"/>
      <c r="AB874" s="4317"/>
      <c r="AC874" s="4317"/>
      <c r="AD874" s="4317"/>
      <c r="AE874" s="4317"/>
      <c r="AF874" s="4317"/>
      <c r="AG874" s="4317"/>
      <c r="AH874" s="4317"/>
      <c r="AI874" s="4317"/>
      <c r="AJ874" s="4317"/>
      <c r="AK874" s="4317"/>
      <c r="AL874" s="4317"/>
      <c r="AM874" s="4317"/>
      <c r="AN874" s="4317"/>
      <c r="AO874" s="4317"/>
      <c r="AP874" s="4317"/>
      <c r="AQ874" s="4317"/>
      <c r="AR874" s="4317"/>
      <c r="AS874" s="4317"/>
      <c r="AT874" s="4317"/>
      <c r="AU874" s="4317"/>
      <c r="AV874" s="4317"/>
      <c r="AW874" s="4317"/>
      <c r="AX874" s="4317"/>
      <c r="AY874" s="4317"/>
      <c r="AZ874" s="4317"/>
      <c r="BA874" s="4317"/>
      <c r="BB874" s="4317"/>
      <c r="BC874" s="4317"/>
      <c r="BD874" s="4317"/>
      <c r="BE874" s="4317"/>
      <c r="BF874" s="4317"/>
      <c r="BG874" s="4317"/>
      <c r="BH874" s="4317"/>
      <c r="BI874" s="4317"/>
      <c r="BJ874" s="4317"/>
      <c r="BK874" s="4317"/>
      <c r="BL874" s="4317"/>
      <c r="BM874" s="4317"/>
      <c r="BN874" s="4317"/>
      <c r="BO874" s="4317"/>
      <c r="BP874" s="4317"/>
      <c r="BQ874" s="4317"/>
      <c r="BR874" s="4317"/>
      <c r="BS874" s="4317"/>
      <c r="BT874" s="4317"/>
      <c r="BU874" s="4317"/>
      <c r="BV874" s="4317"/>
      <c r="BW874" s="4317"/>
      <c r="BX874" s="4317"/>
      <c r="BY874" s="4317"/>
      <c r="BZ874" s="4317"/>
      <c r="CA874" s="4317"/>
      <c r="CB874" s="4317"/>
      <c r="CC874" s="4317"/>
      <c r="CD874" s="4317"/>
      <c r="CE874" s="4317"/>
      <c r="CF874" s="4317"/>
      <c r="CG874" s="4317"/>
      <c r="CH874" s="4317"/>
      <c r="CI874" s="4317"/>
      <c r="CJ874" s="4317"/>
      <c r="CK874" s="4317"/>
      <c r="CL874" s="4317"/>
      <c r="CM874" s="4317"/>
      <c r="CN874" s="4317"/>
      <c r="CO874" s="4317"/>
      <c r="CP874" s="4317"/>
      <c r="CQ874" s="4317"/>
      <c r="CR874" s="4317"/>
      <c r="CS874" s="4317"/>
      <c r="CT874" s="4317"/>
      <c r="CU874" s="4317"/>
      <c r="CV874" s="4317"/>
      <c r="CW874" s="4317"/>
      <c r="CX874" s="4317"/>
      <c r="CY874" s="4317"/>
      <c r="CZ874" s="4317"/>
      <c r="DA874" s="4317"/>
      <c r="DB874" s="4317"/>
      <c r="DC874" s="4317"/>
      <c r="DD874" s="4317"/>
      <c r="DE874" s="4317"/>
      <c r="DF874" s="4317"/>
      <c r="DG874" s="4317"/>
      <c r="DH874" s="4317"/>
      <c r="DI874" s="4317"/>
      <c r="DJ874" s="4317"/>
      <c r="DK874" s="4317"/>
      <c r="DL874" s="4317"/>
      <c r="DM874" s="4317"/>
      <c r="DN874" s="4317"/>
      <c r="DO874" s="4317"/>
      <c r="DP874" s="4317"/>
      <c r="DQ874" s="4295"/>
      <c r="DR874" s="4295"/>
      <c r="DS874" s="4295"/>
      <c r="DT874" s="4136"/>
      <c r="DU874" s="4136"/>
    </row>
    <row r="875" s="4133" customFormat="1" ht="21.75" customHeight="1" spans="1:125">
      <c r="A875" s="4715" t="str">
        <f ca="1">"Isplaćeno za investicije u toku "&amp;Baza!C6&amp;".godine"</f>
        <v>Isplaćeno za investicije u toku 2025.godine</v>
      </c>
      <c r="B875" s="4369"/>
      <c r="C875" s="4317"/>
      <c r="D875" s="4317"/>
      <c r="E875" s="4317"/>
      <c r="F875" s="4317"/>
      <c r="G875" s="4317"/>
      <c r="H875" s="4317"/>
      <c r="I875" s="4317"/>
      <c r="J875" s="4317"/>
      <c r="K875" s="4317"/>
      <c r="L875" s="4317"/>
      <c r="M875" s="4317"/>
      <c r="N875" s="4317"/>
      <c r="O875" s="4716" t="s">
        <v>5620</v>
      </c>
      <c r="P875" s="4716"/>
      <c r="Q875" s="4716"/>
      <c r="R875" s="4716"/>
      <c r="S875" s="4716"/>
      <c r="T875" s="4716"/>
      <c r="U875" s="4317"/>
      <c r="V875" s="4317"/>
      <c r="W875" s="4317"/>
      <c r="X875" s="4317"/>
      <c r="Y875" s="4317"/>
      <c r="Z875" s="4317"/>
      <c r="AA875" s="4317"/>
      <c r="AB875" s="4317"/>
      <c r="AC875" s="4317"/>
      <c r="AD875" s="4317"/>
      <c r="AE875" s="4317"/>
      <c r="AF875" s="4317"/>
      <c r="AG875" s="4317"/>
      <c r="AH875" s="4317"/>
      <c r="AI875" s="4317"/>
      <c r="AJ875" s="4317"/>
      <c r="AK875" s="4317"/>
      <c r="AL875" s="4317"/>
      <c r="AM875" s="4317"/>
      <c r="AN875" s="4317"/>
      <c r="AO875" s="4317"/>
      <c r="AP875" s="4317"/>
      <c r="AQ875" s="4317"/>
      <c r="AR875" s="4317"/>
      <c r="AS875" s="4317"/>
      <c r="AT875" s="4317"/>
      <c r="AU875" s="4317"/>
      <c r="AV875" s="4317"/>
      <c r="AW875" s="4317"/>
      <c r="AX875" s="4317"/>
      <c r="AY875" s="4317"/>
      <c r="AZ875" s="4317"/>
      <c r="BA875" s="4317"/>
      <c r="BB875" s="4317"/>
      <c r="BC875" s="4317"/>
      <c r="BD875" s="4317"/>
      <c r="BE875" s="4317"/>
      <c r="BF875" s="4317"/>
      <c r="BG875" s="4317"/>
      <c r="BH875" s="4317"/>
      <c r="BI875" s="4317"/>
      <c r="BJ875" s="4317"/>
      <c r="BK875" s="4317"/>
      <c r="BL875" s="4317"/>
      <c r="BM875" s="4317"/>
      <c r="BN875" s="4317"/>
      <c r="BO875" s="4317"/>
      <c r="BP875" s="4317"/>
      <c r="BQ875" s="4317"/>
      <c r="BR875" s="4317"/>
      <c r="BS875" s="4317"/>
      <c r="BT875" s="4317"/>
      <c r="BU875" s="4317"/>
      <c r="BV875" s="4317"/>
      <c r="BW875" s="4317"/>
      <c r="BX875" s="4317"/>
      <c r="BY875" s="4317"/>
      <c r="BZ875" s="4317"/>
      <c r="CA875" s="4317"/>
      <c r="CB875" s="4317"/>
      <c r="CC875" s="4317"/>
      <c r="CD875" s="4317"/>
      <c r="CE875" s="4317"/>
      <c r="CF875" s="4317"/>
      <c r="CG875" s="4317"/>
      <c r="CH875" s="4317"/>
      <c r="CI875" s="4317"/>
      <c r="CJ875" s="4317"/>
      <c r="CK875" s="4317"/>
      <c r="CL875" s="4317"/>
      <c r="CM875" s="4317"/>
      <c r="CN875" s="4317"/>
      <c r="CO875" s="4317"/>
      <c r="CP875" s="4317"/>
      <c r="CQ875" s="4317"/>
      <c r="CR875" s="4317"/>
      <c r="CS875" s="4317"/>
      <c r="CT875" s="4317"/>
      <c r="CU875" s="4317"/>
      <c r="CV875" s="4317"/>
      <c r="CW875" s="4317"/>
      <c r="CX875" s="4317"/>
      <c r="CY875" s="4317"/>
      <c r="CZ875" s="4317"/>
      <c r="DA875" s="4317"/>
      <c r="DB875" s="4317"/>
      <c r="DC875" s="4317"/>
      <c r="DD875" s="4317"/>
      <c r="DE875" s="4317"/>
      <c r="DF875" s="4317"/>
      <c r="DG875" s="4317"/>
      <c r="DH875" s="4317"/>
      <c r="DI875" s="4317"/>
      <c r="DJ875" s="4317"/>
      <c r="DK875" s="4317"/>
      <c r="DL875" s="4317"/>
      <c r="DM875" s="4317"/>
      <c r="DN875" s="4317"/>
      <c r="DO875" s="4317"/>
      <c r="DP875" s="4317"/>
      <c r="DQ875" s="4295"/>
      <c r="DR875" s="4295"/>
      <c r="DS875" s="4295"/>
      <c r="DT875" s="4136"/>
      <c r="DU875" s="4136"/>
    </row>
    <row r="876" s="4133" customFormat="1" ht="15.75" customHeight="1" spans="1:125">
      <c r="A876" s="4731" t="s">
        <v>5608</v>
      </c>
      <c r="B876" s="4369"/>
      <c r="C876" s="4317"/>
      <c r="D876" s="4317"/>
      <c r="E876" s="4317"/>
      <c r="F876" s="4317"/>
      <c r="G876" s="4317"/>
      <c r="H876" s="4317"/>
      <c r="I876" s="4317"/>
      <c r="J876" s="4317"/>
      <c r="K876" s="4317"/>
      <c r="L876" s="4317"/>
      <c r="M876" s="4317"/>
      <c r="N876" s="4317"/>
      <c r="O876" s="4732"/>
      <c r="P876" s="4732"/>
      <c r="Q876" s="4732"/>
      <c r="R876" s="4732"/>
      <c r="S876" s="4732"/>
      <c r="T876" s="4732"/>
      <c r="U876" s="4317"/>
      <c r="V876" s="4317"/>
      <c r="W876" s="4317"/>
      <c r="X876" s="4317"/>
      <c r="Y876" s="4317"/>
      <c r="Z876" s="4317"/>
      <c r="AA876" s="4317"/>
      <c r="AB876" s="4317"/>
      <c r="AC876" s="4317"/>
      <c r="AD876" s="4317"/>
      <c r="AE876" s="4317"/>
      <c r="AF876" s="4317"/>
      <c r="AG876" s="4317"/>
      <c r="AH876" s="4317"/>
      <c r="AI876" s="4317"/>
      <c r="AJ876" s="4317"/>
      <c r="AK876" s="4317"/>
      <c r="AL876" s="4317"/>
      <c r="AM876" s="4317"/>
      <c r="AN876" s="4317"/>
      <c r="AO876" s="4317"/>
      <c r="AP876" s="4317"/>
      <c r="AQ876" s="4317"/>
      <c r="AR876" s="4317"/>
      <c r="AS876" s="4317"/>
      <c r="AT876" s="4317"/>
      <c r="AU876" s="4317"/>
      <c r="AV876" s="4317"/>
      <c r="AW876" s="4317"/>
      <c r="AX876" s="4317"/>
      <c r="AY876" s="4317"/>
      <c r="AZ876" s="4317"/>
      <c r="BA876" s="4317"/>
      <c r="BB876" s="4317"/>
      <c r="BC876" s="4317"/>
      <c r="BD876" s="4317"/>
      <c r="BE876" s="4317"/>
      <c r="BF876" s="4317"/>
      <c r="BG876" s="4317"/>
      <c r="BH876" s="4317"/>
      <c r="BI876" s="4317"/>
      <c r="BJ876" s="4317"/>
      <c r="BK876" s="4317"/>
      <c r="BL876" s="4317"/>
      <c r="BM876" s="4317"/>
      <c r="BN876" s="4317"/>
      <c r="BO876" s="4317"/>
      <c r="BP876" s="4317"/>
      <c r="BQ876" s="4317"/>
      <c r="BR876" s="4317"/>
      <c r="BS876" s="4317"/>
      <c r="BT876" s="4317"/>
      <c r="BU876" s="4317"/>
      <c r="BV876" s="4317"/>
      <c r="BW876" s="4317"/>
      <c r="BX876" s="4317"/>
      <c r="BY876" s="4317"/>
      <c r="BZ876" s="4317"/>
      <c r="CA876" s="4317"/>
      <c r="CB876" s="4317"/>
      <c r="CC876" s="4317"/>
      <c r="CD876" s="4317"/>
      <c r="CE876" s="4317"/>
      <c r="CF876" s="4317"/>
      <c r="CG876" s="4317"/>
      <c r="CH876" s="4317"/>
      <c r="CI876" s="4317"/>
      <c r="CJ876" s="4317"/>
      <c r="CK876" s="4317"/>
      <c r="CL876" s="4317"/>
      <c r="CM876" s="4317"/>
      <c r="CN876" s="4317"/>
      <c r="CO876" s="4317"/>
      <c r="CP876" s="4317"/>
      <c r="CQ876" s="4317"/>
      <c r="CR876" s="4317"/>
      <c r="CS876" s="4317"/>
      <c r="CT876" s="4317"/>
      <c r="CU876" s="4317"/>
      <c r="CV876" s="4317"/>
      <c r="CW876" s="4317"/>
      <c r="CX876" s="4317"/>
      <c r="CY876" s="4317"/>
      <c r="CZ876" s="4317"/>
      <c r="DA876" s="4317"/>
      <c r="DB876" s="4317"/>
      <c r="DC876" s="4317"/>
      <c r="DD876" s="4317"/>
      <c r="DE876" s="4317"/>
      <c r="DF876" s="4317"/>
      <c r="DG876" s="4317"/>
      <c r="DH876" s="4317"/>
      <c r="DI876" s="4317"/>
      <c r="DJ876" s="4317"/>
      <c r="DK876" s="4317"/>
      <c r="DL876" s="4317"/>
      <c r="DM876" s="4317"/>
      <c r="DN876" s="4317"/>
      <c r="DO876" s="4317"/>
      <c r="DP876" s="4317"/>
      <c r="DQ876" s="4295"/>
      <c r="DR876" s="4295"/>
      <c r="DS876" s="4295"/>
      <c r="DT876" s="4136"/>
      <c r="DU876" s="4136"/>
    </row>
    <row r="877" s="4133" customFormat="1" ht="17.25" customHeight="1" spans="1:125">
      <c r="A877" s="4719" t="str">
        <f ca="1">"Za radove i nabavke u toku "&amp;Baza!C6&amp;".godine"</f>
        <v>Za radove i nabavke u toku 2025.godine</v>
      </c>
      <c r="B877" s="4720"/>
      <c r="C877" s="4720"/>
      <c r="D877" s="4720"/>
      <c r="E877" s="4720"/>
      <c r="F877" s="4720"/>
      <c r="G877" s="4720"/>
      <c r="H877" s="4720"/>
      <c r="I877" s="4720"/>
      <c r="J877" s="4720"/>
      <c r="K877" s="4720"/>
      <c r="L877" s="4720"/>
      <c r="M877" s="4720"/>
      <c r="N877" s="4720"/>
      <c r="O877" s="4721">
        <f>O873</f>
        <v>0</v>
      </c>
      <c r="P877" s="4722"/>
      <c r="Q877" s="4722"/>
      <c r="R877" s="4722"/>
      <c r="S877" s="4722"/>
      <c r="T877" s="4723"/>
      <c r="U877" s="4295"/>
      <c r="V877" s="4295"/>
      <c r="W877" s="4295"/>
      <c r="X877" s="4295"/>
      <c r="Y877" s="4295"/>
      <c r="Z877" s="4295"/>
      <c r="AA877" s="4295"/>
      <c r="AB877" s="4295"/>
      <c r="AC877" s="4295"/>
      <c r="AD877" s="4295"/>
      <c r="AE877" s="4295"/>
      <c r="AF877" s="4295"/>
      <c r="AG877" s="4295"/>
      <c r="AH877" s="4295"/>
      <c r="AI877" s="4295"/>
      <c r="AJ877" s="4295"/>
      <c r="AK877" s="4295"/>
      <c r="AL877" s="4295"/>
      <c r="AM877" s="4295"/>
      <c r="AN877" s="4295"/>
      <c r="AO877" s="4295"/>
      <c r="AP877" s="4295"/>
      <c r="AQ877" s="4295"/>
      <c r="AR877" s="4295"/>
      <c r="AS877" s="4295"/>
      <c r="AT877" s="4295"/>
      <c r="AU877" s="4295"/>
      <c r="AV877" s="4295"/>
      <c r="AW877" s="4295"/>
      <c r="AX877" s="4295"/>
      <c r="AY877" s="4295"/>
      <c r="AZ877" s="4295"/>
      <c r="BA877" s="4295"/>
      <c r="BB877" s="4295"/>
      <c r="BC877" s="4295"/>
      <c r="BD877" s="4295"/>
      <c r="BE877" s="4295"/>
      <c r="BF877" s="4295"/>
      <c r="BG877" s="4295"/>
      <c r="BH877" s="4295"/>
      <c r="BI877" s="4295"/>
      <c r="BJ877" s="4295"/>
      <c r="BK877" s="4295"/>
      <c r="BL877" s="4295"/>
      <c r="BM877" s="4295"/>
      <c r="BN877" s="4295"/>
      <c r="BO877" s="4295"/>
      <c r="BP877" s="4295"/>
      <c r="BQ877" s="4295"/>
      <c r="BR877" s="4295"/>
      <c r="BS877" s="4295"/>
      <c r="BT877" s="4295"/>
      <c r="BU877" s="4295"/>
      <c r="BV877" s="4295"/>
      <c r="BW877" s="4295"/>
      <c r="BX877" s="4295"/>
      <c r="BY877" s="4295"/>
      <c r="BZ877" s="4295"/>
      <c r="CA877" s="4295"/>
      <c r="CB877" s="4295"/>
      <c r="CC877" s="4295"/>
      <c r="CD877" s="4295"/>
      <c r="CE877" s="4295"/>
      <c r="CF877" s="4295"/>
      <c r="CG877" s="4295"/>
      <c r="CH877" s="4295"/>
      <c r="CI877" s="4295"/>
      <c r="CJ877" s="4295"/>
      <c r="CK877" s="4295"/>
      <c r="CL877" s="4295"/>
      <c r="CM877" s="4295"/>
      <c r="CN877" s="4295"/>
      <c r="CO877" s="4295"/>
      <c r="CP877" s="4295"/>
      <c r="CQ877" s="4295"/>
      <c r="CR877" s="4295"/>
      <c r="CS877" s="4295"/>
      <c r="CT877" s="4295"/>
      <c r="CU877" s="4295"/>
      <c r="CV877" s="4295"/>
      <c r="CW877" s="4295"/>
      <c r="CX877" s="4295"/>
      <c r="CY877" s="4295"/>
      <c r="CZ877" s="4295"/>
      <c r="DA877" s="4295"/>
      <c r="DB877" s="4295"/>
      <c r="DC877" s="4295"/>
      <c r="DD877" s="4295"/>
      <c r="DE877" s="4295"/>
      <c r="DF877" s="4295"/>
      <c r="DG877" s="4295"/>
      <c r="DH877" s="4295"/>
      <c r="DI877" s="4295"/>
      <c r="DJ877" s="4295"/>
      <c r="DK877" s="4295"/>
      <c r="DL877" s="4295"/>
      <c r="DM877" s="4295"/>
      <c r="DN877" s="4295"/>
      <c r="DO877" s="4295"/>
      <c r="DP877" s="4295"/>
      <c r="DQ877" s="4295"/>
      <c r="DR877" s="4295"/>
      <c r="DS877" s="4295"/>
      <c r="DT877" s="4136"/>
      <c r="DU877" s="4136"/>
    </row>
    <row r="878" s="4133" customFormat="1" ht="17.25" customHeight="1" spans="1:125">
      <c r="A878" s="4719" t="str">
        <f ca="1">"Za obaveze po investicijama iz "&amp;Baza!C6-1&amp;".godine"</f>
        <v>Za obaveze po investicijama iz 2024.godine</v>
      </c>
      <c r="B878" s="4720"/>
      <c r="C878" s="4720"/>
      <c r="D878" s="4720"/>
      <c r="E878" s="4720"/>
      <c r="F878" s="4720"/>
      <c r="G878" s="4720"/>
      <c r="H878" s="4720"/>
      <c r="I878" s="4720"/>
      <c r="J878" s="4720"/>
      <c r="K878" s="4720"/>
      <c r="L878" s="4720"/>
      <c r="M878" s="4720"/>
      <c r="N878" s="4720"/>
      <c r="O878" s="4724"/>
      <c r="P878" s="4725"/>
      <c r="Q878" s="4725"/>
      <c r="R878" s="4725"/>
      <c r="S878" s="4725"/>
      <c r="T878" s="4726"/>
      <c r="U878" s="4295"/>
      <c r="V878" s="4295"/>
      <c r="W878" s="4295"/>
      <c r="X878" s="4295"/>
      <c r="Y878" s="4295"/>
      <c r="Z878" s="4295"/>
      <c r="AA878" s="4295"/>
      <c r="AB878" s="4295"/>
      <c r="AC878" s="4295"/>
      <c r="AD878" s="4295"/>
      <c r="AE878" s="4295"/>
      <c r="AF878" s="4295"/>
      <c r="AG878" s="4295"/>
      <c r="AH878" s="4295"/>
      <c r="AI878" s="4295"/>
      <c r="AJ878" s="4295"/>
      <c r="AK878" s="4295"/>
      <c r="AL878" s="4295"/>
      <c r="AM878" s="4295"/>
      <c r="AN878" s="4295"/>
      <c r="AO878" s="4295"/>
      <c r="AP878" s="4295"/>
      <c r="AQ878" s="4295"/>
      <c r="AR878" s="4295"/>
      <c r="AS878" s="4295"/>
      <c r="AT878" s="4295"/>
      <c r="AU878" s="4295"/>
      <c r="AV878" s="4295"/>
      <c r="AW878" s="4295"/>
      <c r="AX878" s="4295"/>
      <c r="AY878" s="4295"/>
      <c r="AZ878" s="4295"/>
      <c r="BA878" s="4295"/>
      <c r="BB878" s="4295"/>
      <c r="BC878" s="4295"/>
      <c r="BD878" s="4295"/>
      <c r="BE878" s="4295"/>
      <c r="BF878" s="4295"/>
      <c r="BG878" s="4295"/>
      <c r="BH878" s="4295"/>
      <c r="BI878" s="4295"/>
      <c r="BJ878" s="4295"/>
      <c r="BK878" s="4295"/>
      <c r="BL878" s="4295"/>
      <c r="BM878" s="4295"/>
      <c r="BN878" s="4295"/>
      <c r="BO878" s="4295"/>
      <c r="BP878" s="4295"/>
      <c r="BQ878" s="4295"/>
      <c r="BR878" s="4295"/>
      <c r="BS878" s="4295"/>
      <c r="BT878" s="4295"/>
      <c r="BU878" s="4295"/>
      <c r="BV878" s="4295"/>
      <c r="BW878" s="4295"/>
      <c r="BX878" s="4295"/>
      <c r="BY878" s="4295"/>
      <c r="BZ878" s="4295"/>
      <c r="CA878" s="4295"/>
      <c r="CB878" s="4295"/>
      <c r="CC878" s="4295"/>
      <c r="CD878" s="4295"/>
      <c r="CE878" s="4295"/>
      <c r="CF878" s="4295"/>
      <c r="CG878" s="4295"/>
      <c r="CH878" s="4295"/>
      <c r="CI878" s="4295"/>
      <c r="CJ878" s="4295"/>
      <c r="CK878" s="4295"/>
      <c r="CL878" s="4295"/>
      <c r="CM878" s="4295"/>
      <c r="CN878" s="4295"/>
      <c r="CO878" s="4295"/>
      <c r="CP878" s="4295"/>
      <c r="CQ878" s="4295"/>
      <c r="CR878" s="4295"/>
      <c r="CS878" s="4295"/>
      <c r="CT878" s="4295"/>
      <c r="CU878" s="4295"/>
      <c r="CV878" s="4295"/>
      <c r="CW878" s="4295"/>
      <c r="CX878" s="4295"/>
      <c r="CY878" s="4295"/>
      <c r="CZ878" s="4295"/>
      <c r="DA878" s="4295"/>
      <c r="DB878" s="4295"/>
      <c r="DC878" s="4295"/>
      <c r="DD878" s="4295"/>
      <c r="DE878" s="4295"/>
      <c r="DF878" s="4295"/>
      <c r="DG878" s="4295"/>
      <c r="DH878" s="4295"/>
      <c r="DI878" s="4295"/>
      <c r="DJ878" s="4295"/>
      <c r="DK878" s="4295"/>
      <c r="DL878" s="4295"/>
      <c r="DM878" s="4295"/>
      <c r="DN878" s="4295"/>
      <c r="DO878" s="4295"/>
      <c r="DP878" s="4295"/>
      <c r="DQ878" s="4295"/>
      <c r="DR878" s="4295"/>
      <c r="DS878" s="4295"/>
      <c r="DT878" s="4136"/>
      <c r="DU878" s="4136"/>
    </row>
    <row r="879" s="4133" customFormat="1" ht="17.25" customHeight="1" spans="1:125">
      <c r="A879" s="4719" t="str">
        <f ca="1">"Neplaćene obaveze za investicije u toku "&amp;Baza!C6&amp;".godine"</f>
        <v>Neplaćene obaveze za investicije u toku 2025.godine</v>
      </c>
      <c r="B879" s="4720"/>
      <c r="C879" s="4720"/>
      <c r="D879" s="4720"/>
      <c r="E879" s="4720"/>
      <c r="F879" s="4720"/>
      <c r="G879" s="4720"/>
      <c r="H879" s="4720"/>
      <c r="I879" s="4720"/>
      <c r="J879" s="4720"/>
      <c r="K879" s="4720"/>
      <c r="L879" s="4720"/>
      <c r="M879" s="4720"/>
      <c r="N879" s="4720"/>
      <c r="O879" s="4724"/>
      <c r="P879" s="4725"/>
      <c r="Q879" s="4725"/>
      <c r="R879" s="4725"/>
      <c r="S879" s="4725"/>
      <c r="T879" s="4726"/>
      <c r="U879" s="4295"/>
      <c r="V879" s="4295"/>
      <c r="W879" s="4295"/>
      <c r="X879" s="4295"/>
      <c r="Y879" s="4295"/>
      <c r="Z879" s="4295"/>
      <c r="AA879" s="4295"/>
      <c r="AB879" s="4295"/>
      <c r="AC879" s="4295"/>
      <c r="AD879" s="4295"/>
      <c r="AE879" s="4295"/>
      <c r="AF879" s="4295"/>
      <c r="AG879" s="4295"/>
      <c r="AH879" s="4295"/>
      <c r="AI879" s="4295"/>
      <c r="AJ879" s="4295"/>
      <c r="AK879" s="4295"/>
      <c r="AL879" s="4295"/>
      <c r="AM879" s="4295"/>
      <c r="AN879" s="4295"/>
      <c r="AO879" s="4295"/>
      <c r="AP879" s="4295"/>
      <c r="AQ879" s="4295"/>
      <c r="AR879" s="4295"/>
      <c r="AS879" s="4295"/>
      <c r="AT879" s="4295"/>
      <c r="AU879" s="4295"/>
      <c r="AV879" s="4295"/>
      <c r="AW879" s="4295"/>
      <c r="AX879" s="4295"/>
      <c r="AY879" s="4295"/>
      <c r="AZ879" s="4295"/>
      <c r="BA879" s="4295"/>
      <c r="BB879" s="4295"/>
      <c r="BC879" s="4295"/>
      <c r="BD879" s="4295"/>
      <c r="BE879" s="4295"/>
      <c r="BF879" s="4295"/>
      <c r="BG879" s="4295"/>
      <c r="BH879" s="4295"/>
      <c r="BI879" s="4295"/>
      <c r="BJ879" s="4295"/>
      <c r="BK879" s="4295"/>
      <c r="BL879" s="4295"/>
      <c r="BM879" s="4295"/>
      <c r="BN879" s="4295"/>
      <c r="BO879" s="4295"/>
      <c r="BP879" s="4295"/>
      <c r="BQ879" s="4295"/>
      <c r="BR879" s="4295"/>
      <c r="BS879" s="4295"/>
      <c r="BT879" s="4295"/>
      <c r="BU879" s="4295"/>
      <c r="BV879" s="4295"/>
      <c r="BW879" s="4295"/>
      <c r="BX879" s="4295"/>
      <c r="BY879" s="4295"/>
      <c r="BZ879" s="4295"/>
      <c r="CA879" s="4295"/>
      <c r="CB879" s="4295"/>
      <c r="CC879" s="4295"/>
      <c r="CD879" s="4295"/>
      <c r="CE879" s="4295"/>
      <c r="CF879" s="4295"/>
      <c r="CG879" s="4295"/>
      <c r="CH879" s="4295"/>
      <c r="CI879" s="4295"/>
      <c r="CJ879" s="4295"/>
      <c r="CK879" s="4295"/>
      <c r="CL879" s="4295"/>
      <c r="CM879" s="4295"/>
      <c r="CN879" s="4295"/>
      <c r="CO879" s="4295"/>
      <c r="CP879" s="4295"/>
      <c r="CQ879" s="4295"/>
      <c r="CR879" s="4295"/>
      <c r="CS879" s="4295"/>
      <c r="CT879" s="4295"/>
      <c r="CU879" s="4295"/>
      <c r="CV879" s="4295"/>
      <c r="CW879" s="4295"/>
      <c r="CX879" s="4295"/>
      <c r="CY879" s="4295"/>
      <c r="CZ879" s="4295"/>
      <c r="DA879" s="4295"/>
      <c r="DB879" s="4295"/>
      <c r="DC879" s="4295"/>
      <c r="DD879" s="4295"/>
      <c r="DE879" s="4295"/>
      <c r="DF879" s="4295"/>
      <c r="DG879" s="4295"/>
      <c r="DH879" s="4295"/>
      <c r="DI879" s="4295"/>
      <c r="DJ879" s="4295"/>
      <c r="DK879" s="4295"/>
      <c r="DL879" s="4295"/>
      <c r="DM879" s="4295"/>
      <c r="DN879" s="4295"/>
      <c r="DO879" s="4295"/>
      <c r="DP879" s="4295"/>
      <c r="DQ879" s="4295"/>
      <c r="DR879" s="4295"/>
      <c r="DS879" s="4295"/>
      <c r="DT879" s="4136"/>
      <c r="DU879" s="4136"/>
    </row>
    <row r="880" s="4133" customFormat="1" ht="17.25" customHeight="1" spans="1:125">
      <c r="A880" s="4719"/>
      <c r="B880" s="4720"/>
      <c r="C880" s="4720"/>
      <c r="D880" s="4720"/>
      <c r="E880" s="4720"/>
      <c r="F880" s="4720"/>
      <c r="G880" s="4720" t="s">
        <v>5621</v>
      </c>
      <c r="H880" s="4720"/>
      <c r="I880" s="4720"/>
      <c r="J880" s="4720"/>
      <c r="K880" s="4720"/>
      <c r="L880" s="4720"/>
      <c r="M880" s="4720"/>
      <c r="N880" s="4720"/>
      <c r="O880" s="4727">
        <f>SUM(O877:T879)</f>
        <v>0</v>
      </c>
      <c r="P880" s="4728"/>
      <c r="Q880" s="4728"/>
      <c r="R880" s="4728"/>
      <c r="S880" s="4728"/>
      <c r="T880" s="4729"/>
      <c r="U880" s="4733">
        <f>O873-O877</f>
        <v>0</v>
      </c>
      <c r="V880" s="4733"/>
      <c r="W880" s="4733"/>
      <c r="X880" s="4733"/>
      <c r="Y880" s="4733"/>
      <c r="Z880" s="4733"/>
      <c r="AA880" s="4734">
        <f>IF(U880=0,0,"PAŽNJA! Provjerite razliku: (po izvorima - po godinama = "&amp;U880&amp;" )")</f>
        <v>0</v>
      </c>
      <c r="AB880" s="4295"/>
      <c r="AC880" s="4295"/>
      <c r="AD880" s="4295"/>
      <c r="AE880" s="4295"/>
      <c r="AF880" s="4295"/>
      <c r="AG880" s="4295"/>
      <c r="AH880" s="4295"/>
      <c r="AI880" s="4295"/>
      <c r="AJ880" s="4295"/>
      <c r="AK880" s="4295"/>
      <c r="AL880" s="4295"/>
      <c r="AM880" s="4295"/>
      <c r="AN880" s="4295"/>
      <c r="AO880" s="4295"/>
      <c r="AP880" s="4295"/>
      <c r="AQ880" s="4295"/>
      <c r="AR880" s="4295"/>
      <c r="AS880" s="4295"/>
      <c r="AT880" s="4295"/>
      <c r="AU880" s="4295"/>
      <c r="AV880" s="4295"/>
      <c r="AW880" s="4295"/>
      <c r="AX880" s="4295"/>
      <c r="AY880" s="4295"/>
      <c r="AZ880" s="4295"/>
      <c r="BA880" s="4295"/>
      <c r="BB880" s="4295"/>
      <c r="BC880" s="4295"/>
      <c r="BD880" s="4295"/>
      <c r="BE880" s="4295"/>
      <c r="BF880" s="4295"/>
      <c r="BG880" s="4295"/>
      <c r="BH880" s="4295"/>
      <c r="BI880" s="4295"/>
      <c r="BJ880" s="4295"/>
      <c r="BK880" s="4295"/>
      <c r="BL880" s="4295"/>
      <c r="BM880" s="4295"/>
      <c r="BN880" s="4295"/>
      <c r="BO880" s="4295"/>
      <c r="BP880" s="4295"/>
      <c r="BQ880" s="4295"/>
      <c r="BR880" s="4295"/>
      <c r="BS880" s="4295"/>
      <c r="BT880" s="4295"/>
      <c r="BU880" s="4295"/>
      <c r="BV880" s="4295"/>
      <c r="BW880" s="4295"/>
      <c r="BX880" s="4295"/>
      <c r="BY880" s="4295"/>
      <c r="BZ880" s="4295"/>
      <c r="CA880" s="4295"/>
      <c r="CB880" s="4295"/>
      <c r="CC880" s="4295"/>
      <c r="CD880" s="4295"/>
      <c r="CE880" s="4295"/>
      <c r="CF880" s="4295"/>
      <c r="CG880" s="4295"/>
      <c r="CH880" s="4295"/>
      <c r="CI880" s="4295"/>
      <c r="CJ880" s="4295"/>
      <c r="CK880" s="4295"/>
      <c r="CL880" s="4295"/>
      <c r="CM880" s="4295"/>
      <c r="CN880" s="4295"/>
      <c r="CO880" s="4295"/>
      <c r="CP880" s="4295"/>
      <c r="CQ880" s="4295"/>
      <c r="CR880" s="4295"/>
      <c r="CS880" s="4295"/>
      <c r="CT880" s="4295"/>
      <c r="CU880" s="4295"/>
      <c r="CV880" s="4295"/>
      <c r="CW880" s="4295"/>
      <c r="CX880" s="4295"/>
      <c r="CY880" s="4295"/>
      <c r="CZ880" s="4295"/>
      <c r="DA880" s="4295"/>
      <c r="DB880" s="4295"/>
      <c r="DC880" s="4295"/>
      <c r="DD880" s="4295"/>
      <c r="DE880" s="4295"/>
      <c r="DF880" s="4295"/>
      <c r="DG880" s="4295"/>
      <c r="DH880" s="4295"/>
      <c r="DI880" s="4295"/>
      <c r="DJ880" s="4295"/>
      <c r="DK880" s="4295"/>
      <c r="DL880" s="4295"/>
      <c r="DM880" s="4295"/>
      <c r="DN880" s="4295"/>
      <c r="DO880" s="4295"/>
      <c r="DP880" s="4295"/>
      <c r="DQ880" s="4295"/>
      <c r="DR880" s="4295"/>
      <c r="DS880" s="4295"/>
      <c r="DT880" s="4136"/>
      <c r="DU880" s="4136"/>
    </row>
    <row r="881" s="4133" customFormat="1" customHeight="1" spans="1:125">
      <c r="A881" s="4735"/>
      <c r="B881" s="4369"/>
      <c r="C881" s="4317"/>
      <c r="D881" s="4317"/>
      <c r="E881" s="4317"/>
      <c r="F881" s="4317"/>
      <c r="G881" s="4317"/>
      <c r="H881" s="4317"/>
      <c r="I881" s="4317"/>
      <c r="J881" s="4317"/>
      <c r="K881" s="4317"/>
      <c r="L881" s="4317"/>
      <c r="M881" s="4317"/>
      <c r="N881" s="4317"/>
      <c r="O881" s="4317"/>
      <c r="P881" s="4317"/>
      <c r="Q881" s="4317"/>
      <c r="R881" s="4317"/>
      <c r="S881" s="4317"/>
      <c r="T881" s="4317"/>
      <c r="U881" s="4317"/>
      <c r="V881" s="4317"/>
      <c r="W881" s="4317"/>
      <c r="X881" s="4317"/>
      <c r="Y881" s="4317"/>
      <c r="Z881" s="4317"/>
      <c r="AA881" s="4317"/>
      <c r="AB881" s="4317"/>
      <c r="AC881" s="4317"/>
      <c r="AD881" s="4317"/>
      <c r="AE881" s="4317"/>
      <c r="AF881" s="4317"/>
      <c r="AG881" s="4317"/>
      <c r="AH881" s="4317"/>
      <c r="AI881" s="4317"/>
      <c r="AJ881" s="4317"/>
      <c r="AK881" s="4317"/>
      <c r="AL881" s="4317"/>
      <c r="AM881" s="4317"/>
      <c r="AN881" s="4317"/>
      <c r="AO881" s="4317"/>
      <c r="AP881" s="4317"/>
      <c r="AQ881" s="4317"/>
      <c r="AR881" s="4317"/>
      <c r="AS881" s="4317"/>
      <c r="AT881" s="4317"/>
      <c r="AU881" s="4317"/>
      <c r="AV881" s="4317"/>
      <c r="AW881" s="4317"/>
      <c r="AX881" s="4317"/>
      <c r="AY881" s="4317"/>
      <c r="AZ881" s="4317"/>
      <c r="BA881" s="4317"/>
      <c r="BB881" s="4317"/>
      <c r="BC881" s="4317"/>
      <c r="BD881" s="4317"/>
      <c r="BE881" s="4317"/>
      <c r="BF881" s="4317"/>
      <c r="BG881" s="4317"/>
      <c r="BH881" s="4317"/>
      <c r="BI881" s="4317"/>
      <c r="BJ881" s="4317"/>
      <c r="BK881" s="4317"/>
      <c r="BL881" s="4317"/>
      <c r="BM881" s="4317"/>
      <c r="BN881" s="4317"/>
      <c r="BO881" s="4317"/>
      <c r="BP881" s="4317"/>
      <c r="BQ881" s="4317"/>
      <c r="BR881" s="4317"/>
      <c r="BS881" s="4317"/>
      <c r="BT881" s="4317"/>
      <c r="BU881" s="4317"/>
      <c r="BV881" s="4317"/>
      <c r="BW881" s="4317"/>
      <c r="BX881" s="4317"/>
      <c r="BY881" s="4317"/>
      <c r="BZ881" s="4317"/>
      <c r="CA881" s="4317"/>
      <c r="CB881" s="4317"/>
      <c r="CC881" s="4317"/>
      <c r="CD881" s="4317"/>
      <c r="CE881" s="4317"/>
      <c r="CF881" s="4317"/>
      <c r="CG881" s="4317"/>
      <c r="CH881" s="4317"/>
      <c r="CI881" s="4317"/>
      <c r="CJ881" s="4317"/>
      <c r="CK881" s="4317"/>
      <c r="CL881" s="4317"/>
      <c r="CM881" s="4317"/>
      <c r="CN881" s="4317"/>
      <c r="CO881" s="4317"/>
      <c r="CP881" s="4317"/>
      <c r="CQ881" s="4317"/>
      <c r="CR881" s="4317"/>
      <c r="CS881" s="4317"/>
      <c r="CT881" s="4317"/>
      <c r="CU881" s="4317"/>
      <c r="CV881" s="4317"/>
      <c r="CW881" s="4317"/>
      <c r="CX881" s="4317"/>
      <c r="CY881" s="4317"/>
      <c r="CZ881" s="4317"/>
      <c r="DA881" s="4317"/>
      <c r="DB881" s="4317"/>
      <c r="DC881" s="4317"/>
      <c r="DD881" s="4317"/>
      <c r="DE881" s="4317"/>
      <c r="DF881" s="4317"/>
      <c r="DG881" s="4317"/>
      <c r="DH881" s="4317"/>
      <c r="DI881" s="4317"/>
      <c r="DJ881" s="4317"/>
      <c r="DK881" s="4317"/>
      <c r="DL881" s="4317"/>
      <c r="DM881" s="4317"/>
      <c r="DN881" s="4317"/>
      <c r="DO881" s="4317"/>
      <c r="DP881" s="4317"/>
      <c r="DQ881" s="4317"/>
      <c r="DR881" s="4317"/>
      <c r="DS881" s="4317"/>
      <c r="DT881" s="4136"/>
      <c r="DU881" s="4136"/>
    </row>
    <row r="882" s="4133" customFormat="1" ht="21" customHeight="1" spans="1:125">
      <c r="A882" s="4715" t="s">
        <v>5622</v>
      </c>
      <c r="B882" s="4369"/>
      <c r="C882" s="4317"/>
      <c r="D882" s="4317"/>
      <c r="E882" s="4317"/>
      <c r="F882" s="4317"/>
      <c r="G882" s="4317"/>
      <c r="H882" s="4317"/>
      <c r="I882" s="4317"/>
      <c r="J882" s="4317"/>
      <c r="K882" s="4317"/>
      <c r="L882" s="4317"/>
      <c r="M882" s="4317"/>
      <c r="N882" s="4317"/>
      <c r="O882" s="4317"/>
      <c r="P882" s="4317"/>
      <c r="Q882" s="4317"/>
      <c r="R882" s="4317"/>
      <c r="S882" s="4317"/>
      <c r="T882" s="4317"/>
      <c r="U882" s="4317"/>
      <c r="V882" s="4317"/>
      <c r="W882" s="4317"/>
      <c r="X882" s="4317"/>
      <c r="Y882" s="4317"/>
      <c r="Z882" s="4317"/>
      <c r="AA882" s="4732"/>
      <c r="AB882" s="4732"/>
      <c r="AC882" s="4732"/>
      <c r="AD882" s="4732"/>
      <c r="AE882" s="4732"/>
      <c r="AF882" s="4732"/>
      <c r="AG882" s="4716" t="s">
        <v>5623</v>
      </c>
      <c r="AH882" s="4716"/>
      <c r="AI882" s="4716"/>
      <c r="AJ882" s="4716"/>
      <c r="AK882" s="4716"/>
      <c r="AL882" s="4716"/>
      <c r="AM882" s="4317"/>
      <c r="AN882" s="4317"/>
      <c r="AO882" s="4317"/>
      <c r="AP882" s="4317"/>
      <c r="AQ882" s="4317"/>
      <c r="AR882" s="4317"/>
      <c r="AS882" s="4317"/>
      <c r="AT882" s="4317"/>
      <c r="AU882" s="4317"/>
      <c r="AV882" s="4317"/>
      <c r="AW882" s="4317"/>
      <c r="AX882" s="4317"/>
      <c r="AY882" s="4317"/>
      <c r="AZ882" s="4317"/>
      <c r="BA882" s="4317"/>
      <c r="BB882" s="4317"/>
      <c r="BC882" s="4317"/>
      <c r="BD882" s="4317"/>
      <c r="BE882" s="4317"/>
      <c r="BF882" s="4317"/>
      <c r="BG882" s="4317"/>
      <c r="BH882" s="4317"/>
      <c r="BI882" s="4317"/>
      <c r="BJ882" s="4317"/>
      <c r="BK882" s="4317"/>
      <c r="BL882" s="4317"/>
      <c r="BM882" s="4317"/>
      <c r="BN882" s="4317"/>
      <c r="BO882" s="4317"/>
      <c r="BP882" s="4317"/>
      <c r="BQ882" s="4317"/>
      <c r="BR882" s="4317"/>
      <c r="BS882" s="4317"/>
      <c r="BT882" s="4317"/>
      <c r="BU882" s="4317"/>
      <c r="BV882" s="4317"/>
      <c r="BW882" s="4317"/>
      <c r="BX882" s="4317"/>
      <c r="BY882" s="4317"/>
      <c r="BZ882" s="4317"/>
      <c r="CA882" s="4317"/>
      <c r="CB882" s="4317"/>
      <c r="CC882" s="4317"/>
      <c r="CD882" s="4317"/>
      <c r="CE882" s="4317"/>
      <c r="CF882" s="4317"/>
      <c r="CG882" s="4317"/>
      <c r="CH882" s="4317"/>
      <c r="CI882" s="4317"/>
      <c r="CJ882" s="4317"/>
      <c r="CK882" s="4317"/>
      <c r="CL882" s="4317"/>
      <c r="CM882" s="4317"/>
      <c r="CN882" s="4317"/>
      <c r="CO882" s="4317"/>
      <c r="CP882" s="4317"/>
      <c r="CQ882" s="4317"/>
      <c r="CR882" s="4317"/>
      <c r="CS882" s="4317"/>
      <c r="CT882" s="4317"/>
      <c r="CU882" s="4317"/>
      <c r="CV882" s="4317"/>
      <c r="CW882" s="4317"/>
      <c r="CX882" s="4317"/>
      <c r="CY882" s="4317"/>
      <c r="CZ882" s="4317"/>
      <c r="DA882" s="4317"/>
      <c r="DB882" s="4317"/>
      <c r="DC882" s="4317"/>
      <c r="DD882" s="4317"/>
      <c r="DE882" s="4317"/>
      <c r="DF882" s="4317"/>
      <c r="DG882" s="4317"/>
      <c r="DH882" s="4317"/>
      <c r="DI882" s="4317"/>
      <c r="DJ882" s="4317"/>
      <c r="DK882" s="4317"/>
      <c r="DL882" s="4317"/>
      <c r="DM882" s="4317"/>
      <c r="DN882" s="4317"/>
      <c r="DO882" s="4317"/>
      <c r="DP882" s="4317"/>
      <c r="DQ882" s="4317"/>
      <c r="DR882" s="4317"/>
      <c r="DS882" s="4317"/>
      <c r="DT882" s="4136"/>
      <c r="DU882" s="4136"/>
    </row>
    <row r="883" s="4133" customFormat="1" ht="17.25" customHeight="1" spans="1:125">
      <c r="A883" s="4719"/>
      <c r="B883" s="4720"/>
      <c r="C883" s="4720"/>
      <c r="D883" s="4720"/>
      <c r="E883" s="4720"/>
      <c r="F883" s="4720"/>
      <c r="G883" s="4720"/>
      <c r="H883" s="4720"/>
      <c r="I883" s="4720"/>
      <c r="J883" s="4720"/>
      <c r="K883" s="4720"/>
      <c r="L883" s="4720"/>
      <c r="M883" s="4720"/>
      <c r="N883" s="4720"/>
      <c r="O883" s="4697" t="s">
        <v>5624</v>
      </c>
      <c r="P883" s="4697"/>
      <c r="Q883" s="4697"/>
      <c r="R883" s="4697"/>
      <c r="S883" s="4697"/>
      <c r="T883" s="4697"/>
      <c r="U883" s="4697" t="s">
        <v>5625</v>
      </c>
      <c r="V883" s="4697"/>
      <c r="W883" s="4697"/>
      <c r="X883" s="4697"/>
      <c r="Y883" s="4697"/>
      <c r="Z883" s="4697"/>
      <c r="AA883" s="4697" t="s">
        <v>5626</v>
      </c>
      <c r="AB883" s="4697"/>
      <c r="AC883" s="4697"/>
      <c r="AD883" s="4697"/>
      <c r="AE883" s="4697"/>
      <c r="AF883" s="4697"/>
      <c r="AG883" s="4697" t="s">
        <v>5627</v>
      </c>
      <c r="AH883" s="4697"/>
      <c r="AI883" s="4697"/>
      <c r="AJ883" s="4697"/>
      <c r="AK883" s="4697"/>
      <c r="AL883" s="4697"/>
      <c r="AM883" s="4317"/>
      <c r="AN883" s="4317"/>
      <c r="AO883" s="4317"/>
      <c r="AP883" s="4317"/>
      <c r="AQ883" s="4317"/>
      <c r="AR883" s="4317"/>
      <c r="AS883" s="4317"/>
      <c r="AT883" s="4317"/>
      <c r="AU883" s="4317"/>
      <c r="AV883" s="4317"/>
      <c r="AW883" s="4317"/>
      <c r="AX883" s="4317"/>
      <c r="AY883" s="4317"/>
      <c r="AZ883" s="4317"/>
      <c r="BA883" s="4317"/>
      <c r="BB883" s="4317"/>
      <c r="BC883" s="4317"/>
      <c r="BD883" s="4317"/>
      <c r="BE883" s="4317"/>
      <c r="BF883" s="4317"/>
      <c r="BG883" s="4317"/>
      <c r="BH883" s="4317"/>
      <c r="BI883" s="4317"/>
      <c r="BJ883" s="4317"/>
      <c r="BK883" s="4317"/>
      <c r="BL883" s="4317"/>
      <c r="BM883" s="4317"/>
      <c r="BN883" s="4317"/>
      <c r="BO883" s="4317"/>
      <c r="BP883" s="4317"/>
      <c r="BQ883" s="4317"/>
      <c r="BR883" s="4317"/>
      <c r="BS883" s="4317"/>
      <c r="BT883" s="4317"/>
      <c r="BU883" s="4317"/>
      <c r="BV883" s="4317"/>
      <c r="BW883" s="4317"/>
      <c r="BX883" s="4317"/>
      <c r="BY883" s="4317"/>
      <c r="BZ883" s="4317"/>
      <c r="CA883" s="4317"/>
      <c r="CB883" s="4317"/>
      <c r="CC883" s="4317"/>
      <c r="CD883" s="4317"/>
      <c r="CE883" s="4317"/>
      <c r="CF883" s="4317"/>
      <c r="CG883" s="4317"/>
      <c r="CH883" s="4317"/>
      <c r="CI883" s="4317"/>
      <c r="CJ883" s="4317"/>
      <c r="CK883" s="4317"/>
      <c r="CL883" s="4317"/>
      <c r="CM883" s="4317"/>
      <c r="CN883" s="4317"/>
      <c r="CO883" s="4317"/>
      <c r="CP883" s="4317"/>
      <c r="CQ883" s="4317"/>
      <c r="CR883" s="4317"/>
      <c r="CS883" s="4317"/>
      <c r="CT883" s="4317"/>
      <c r="CU883" s="4317"/>
      <c r="CV883" s="4317"/>
      <c r="CW883" s="4317"/>
      <c r="CX883" s="4317"/>
      <c r="CY883" s="4317"/>
      <c r="CZ883" s="4317"/>
      <c r="DA883" s="4317"/>
      <c r="DB883" s="4317"/>
      <c r="DC883" s="4317"/>
      <c r="DD883" s="4317"/>
      <c r="DE883" s="4317"/>
      <c r="DF883" s="4317"/>
      <c r="DG883" s="4317"/>
      <c r="DH883" s="4317"/>
      <c r="DI883" s="4317"/>
      <c r="DJ883" s="4317"/>
      <c r="DK883" s="4317"/>
      <c r="DL883" s="4317"/>
      <c r="DM883" s="4317"/>
      <c r="DN883" s="4317"/>
      <c r="DO883" s="4317"/>
      <c r="DP883" s="4317"/>
      <c r="DQ883" s="4317"/>
      <c r="DR883" s="4317"/>
      <c r="DS883" s="4317"/>
      <c r="DT883" s="4136"/>
      <c r="DU883" s="4136"/>
    </row>
    <row r="884" s="4133" customFormat="1" ht="15.75" customHeight="1" spans="1:125">
      <c r="A884" s="4736" t="s">
        <v>5628</v>
      </c>
      <c r="B884" s="4720"/>
      <c r="C884" s="4720"/>
      <c r="D884" s="4720"/>
      <c r="E884" s="4720"/>
      <c r="F884" s="4720"/>
      <c r="G884" s="4720"/>
      <c r="H884" s="4720"/>
      <c r="I884" s="4720"/>
      <c r="J884" s="4720"/>
      <c r="K884" s="4720"/>
      <c r="L884" s="4720"/>
      <c r="M884" s="4720"/>
      <c r="N884" s="4720"/>
      <c r="O884" s="4737">
        <f>U884+AA884</f>
        <v>0</v>
      </c>
      <c r="P884" s="4737"/>
      <c r="Q884" s="4737"/>
      <c r="R884" s="4737"/>
      <c r="S884" s="4737"/>
      <c r="T884" s="4737"/>
      <c r="U884" s="4737">
        <f>U885+U890+U900+U905+U908+U917</f>
        <v>0</v>
      </c>
      <c r="V884" s="4737"/>
      <c r="W884" s="4737"/>
      <c r="X884" s="4737"/>
      <c r="Y884" s="4737"/>
      <c r="Z884" s="4737"/>
      <c r="AA884" s="4737">
        <f>AA885+AA890+AA900+AA905+AA908</f>
        <v>0</v>
      </c>
      <c r="AB884" s="4737"/>
      <c r="AC884" s="4737"/>
      <c r="AD884" s="4737"/>
      <c r="AE884" s="4737"/>
      <c r="AF884" s="4737"/>
      <c r="AG884" s="4737">
        <f>AG885+AG890+AG900+AG905+AG908</f>
        <v>0</v>
      </c>
      <c r="AH884" s="4737"/>
      <c r="AI884" s="4737"/>
      <c r="AJ884" s="4737"/>
      <c r="AK884" s="4737"/>
      <c r="AL884" s="4737"/>
      <c r="AM884" s="4317"/>
      <c r="AN884" s="4317"/>
      <c r="AO884" s="4317"/>
      <c r="AP884" s="4317"/>
      <c r="AQ884" s="4317"/>
      <c r="AR884" s="4317"/>
      <c r="AS884" s="4317"/>
      <c r="AT884" s="4317"/>
      <c r="AU884" s="4317"/>
      <c r="AV884" s="4317"/>
      <c r="AW884" s="4317"/>
      <c r="AX884" s="4317"/>
      <c r="AY884" s="4317"/>
      <c r="AZ884" s="4317"/>
      <c r="BA884" s="4317"/>
      <c r="BB884" s="4317"/>
      <c r="BC884" s="4317"/>
      <c r="BD884" s="4317"/>
      <c r="BE884" s="4317"/>
      <c r="BF884" s="4317"/>
      <c r="BG884" s="4317"/>
      <c r="BH884" s="4317"/>
      <c r="BI884" s="4317"/>
      <c r="BJ884" s="4317"/>
      <c r="BK884" s="4317"/>
      <c r="BL884" s="4317"/>
      <c r="BM884" s="4317"/>
      <c r="BN884" s="4317"/>
      <c r="BO884" s="4317"/>
      <c r="BP884" s="4317"/>
      <c r="BQ884" s="4317"/>
      <c r="BR884" s="4317"/>
      <c r="BS884" s="4317"/>
      <c r="BT884" s="4317"/>
      <c r="BU884" s="4317"/>
      <c r="BV884" s="4317"/>
      <c r="BW884" s="4317"/>
      <c r="BX884" s="4317"/>
      <c r="BY884" s="4317"/>
      <c r="BZ884" s="4317"/>
      <c r="CA884" s="4317"/>
      <c r="CB884" s="4317"/>
      <c r="CC884" s="4317"/>
      <c r="CD884" s="4317"/>
      <c r="CE884" s="4317"/>
      <c r="CF884" s="4317"/>
      <c r="CG884" s="4317"/>
      <c r="CH884" s="4317"/>
      <c r="CI884" s="4317"/>
      <c r="CJ884" s="4317"/>
      <c r="CK884" s="4317"/>
      <c r="CL884" s="4317"/>
      <c r="CM884" s="4317"/>
      <c r="CN884" s="4317"/>
      <c r="CO884" s="4317"/>
      <c r="CP884" s="4317"/>
      <c r="CQ884" s="4317"/>
      <c r="CR884" s="4317"/>
      <c r="CS884" s="4317"/>
      <c r="CT884" s="4317"/>
      <c r="CU884" s="4317"/>
      <c r="CV884" s="4317"/>
      <c r="CW884" s="4317"/>
      <c r="CX884" s="4317"/>
      <c r="CY884" s="4317"/>
      <c r="CZ884" s="4317"/>
      <c r="DA884" s="4317"/>
      <c r="DB884" s="4317"/>
      <c r="DC884" s="4317"/>
      <c r="DD884" s="4317"/>
      <c r="DE884" s="4317"/>
      <c r="DF884" s="4317"/>
      <c r="DG884" s="4317"/>
      <c r="DH884" s="4317"/>
      <c r="DI884" s="4317"/>
      <c r="DJ884" s="4317"/>
      <c r="DK884" s="4317"/>
      <c r="DL884" s="4317"/>
      <c r="DM884" s="4317"/>
      <c r="DN884" s="4317"/>
      <c r="DO884" s="4317"/>
      <c r="DP884" s="4317"/>
      <c r="DQ884" s="4317"/>
      <c r="DR884" s="4317"/>
      <c r="DS884" s="4317"/>
      <c r="DT884" s="4136"/>
      <c r="DU884" s="4136"/>
    </row>
    <row r="885" s="4133" customFormat="1" ht="15.75" customHeight="1" spans="1:125">
      <c r="A885" s="4736" t="s">
        <v>5629</v>
      </c>
      <c r="B885" s="4720"/>
      <c r="C885" s="4720"/>
      <c r="D885" s="4720"/>
      <c r="E885" s="4720"/>
      <c r="F885" s="4720"/>
      <c r="G885" s="4720"/>
      <c r="H885" s="4720"/>
      <c r="I885" s="4720"/>
      <c r="J885" s="4720"/>
      <c r="K885" s="4720"/>
      <c r="L885" s="4720"/>
      <c r="M885" s="4720"/>
      <c r="N885" s="4720"/>
      <c r="O885" s="4737">
        <f>U885+AA885</f>
        <v>0</v>
      </c>
      <c r="P885" s="4737"/>
      <c r="Q885" s="4737"/>
      <c r="R885" s="4737"/>
      <c r="S885" s="4737"/>
      <c r="T885" s="4737"/>
      <c r="U885" s="4737">
        <f>SUM(U886:Z889)</f>
        <v>0</v>
      </c>
      <c r="V885" s="4737"/>
      <c r="W885" s="4737"/>
      <c r="X885" s="4737"/>
      <c r="Y885" s="4737"/>
      <c r="Z885" s="4737"/>
      <c r="AA885" s="4737">
        <f>SUM(AA886:AF889)</f>
        <v>0</v>
      </c>
      <c r="AB885" s="4737"/>
      <c r="AC885" s="4737"/>
      <c r="AD885" s="4737"/>
      <c r="AE885" s="4737"/>
      <c r="AF885" s="4737"/>
      <c r="AG885" s="4737">
        <f>SUM(AG886:AL889)</f>
        <v>0</v>
      </c>
      <c r="AH885" s="4737"/>
      <c r="AI885" s="4737"/>
      <c r="AJ885" s="4737"/>
      <c r="AK885" s="4737"/>
      <c r="AL885" s="4737"/>
      <c r="AM885" s="4317"/>
      <c r="AN885" s="4317"/>
      <c r="AO885" s="4317"/>
      <c r="AP885" s="4317"/>
      <c r="AQ885" s="4317"/>
      <c r="AR885" s="4317"/>
      <c r="AS885" s="4317"/>
      <c r="AT885" s="4317"/>
      <c r="AU885" s="4317"/>
      <c r="AV885" s="4317"/>
      <c r="AW885" s="4317"/>
      <c r="AX885" s="4317"/>
      <c r="AY885" s="4317"/>
      <c r="AZ885" s="4317"/>
      <c r="BA885" s="4317"/>
      <c r="BB885" s="4317"/>
      <c r="BC885" s="4317"/>
      <c r="BD885" s="4317"/>
      <c r="BE885" s="4317"/>
      <c r="BF885" s="4317"/>
      <c r="BG885" s="4317"/>
      <c r="BH885" s="4317"/>
      <c r="BI885" s="4317"/>
      <c r="BJ885" s="4317"/>
      <c r="BK885" s="4317"/>
      <c r="BL885" s="4317"/>
      <c r="BM885" s="4317"/>
      <c r="BN885" s="4317"/>
      <c r="BO885" s="4317"/>
      <c r="BP885" s="4317"/>
      <c r="BQ885" s="4317"/>
      <c r="BR885" s="4317"/>
      <c r="BS885" s="4317"/>
      <c r="BT885" s="4317"/>
      <c r="BU885" s="4317"/>
      <c r="BV885" s="4317"/>
      <c r="BW885" s="4317"/>
      <c r="BX885" s="4317"/>
      <c r="BY885" s="4317"/>
      <c r="BZ885" s="4317"/>
      <c r="CA885" s="4317"/>
      <c r="CB885" s="4317"/>
      <c r="CC885" s="4317"/>
      <c r="CD885" s="4317"/>
      <c r="CE885" s="4317"/>
      <c r="CF885" s="4317"/>
      <c r="CG885" s="4317"/>
      <c r="CH885" s="4317"/>
      <c r="CI885" s="4317"/>
      <c r="CJ885" s="4317"/>
      <c r="CK885" s="4317"/>
      <c r="CL885" s="4317"/>
      <c r="CM885" s="4317"/>
      <c r="CN885" s="4317"/>
      <c r="CO885" s="4317"/>
      <c r="CP885" s="4317"/>
      <c r="CQ885" s="4317"/>
      <c r="CR885" s="4317"/>
      <c r="CS885" s="4317"/>
      <c r="CT885" s="4317"/>
      <c r="CU885" s="4317"/>
      <c r="CV885" s="4317"/>
      <c r="CW885" s="4317"/>
      <c r="CX885" s="4317"/>
      <c r="CY885" s="4317"/>
      <c r="CZ885" s="4317"/>
      <c r="DA885" s="4317"/>
      <c r="DB885" s="4317"/>
      <c r="DC885" s="4317"/>
      <c r="DD885" s="4317"/>
      <c r="DE885" s="4317"/>
      <c r="DF885" s="4317"/>
      <c r="DG885" s="4317"/>
      <c r="DH885" s="4317"/>
      <c r="DI885" s="4317"/>
      <c r="DJ885" s="4317"/>
      <c r="DK885" s="4317"/>
      <c r="DL885" s="4317"/>
      <c r="DM885" s="4317"/>
      <c r="DN885" s="4317"/>
      <c r="DO885" s="4317"/>
      <c r="DP885" s="4317"/>
      <c r="DQ885" s="4317"/>
      <c r="DR885" s="4317"/>
      <c r="DS885" s="4317"/>
    </row>
    <row r="886" s="4133" customFormat="1" ht="15.75" customHeight="1" spans="1:125">
      <c r="A886" s="4719" t="s">
        <v>5630</v>
      </c>
      <c r="B886" s="4720"/>
      <c r="C886" s="4720"/>
      <c r="D886" s="4720"/>
      <c r="E886" s="4720"/>
      <c r="F886" s="4720"/>
      <c r="G886" s="4720"/>
      <c r="H886" s="4720"/>
      <c r="I886" s="4720"/>
      <c r="J886" s="4720"/>
      <c r="K886" s="4720"/>
      <c r="L886" s="4720"/>
      <c r="M886" s="4720"/>
      <c r="N886" s="4720"/>
      <c r="O886" s="4737">
        <f>U886+AA886</f>
        <v>0</v>
      </c>
      <c r="P886" s="4737"/>
      <c r="Q886" s="4737"/>
      <c r="R886" s="4737"/>
      <c r="S886" s="4737"/>
      <c r="T886" s="4737"/>
      <c r="U886" s="4738"/>
      <c r="V886" s="4738"/>
      <c r="W886" s="4738"/>
      <c r="X886" s="4738"/>
      <c r="Y886" s="4738"/>
      <c r="Z886" s="4738"/>
      <c r="AA886" s="4738"/>
      <c r="AB886" s="4738"/>
      <c r="AC886" s="4738"/>
      <c r="AD886" s="4738"/>
      <c r="AE886" s="4738"/>
      <c r="AF886" s="4738"/>
      <c r="AG886" s="4738"/>
      <c r="AH886" s="4738"/>
      <c r="AI886" s="4738"/>
      <c r="AJ886" s="4738"/>
      <c r="AK886" s="4738"/>
      <c r="AL886" s="4738"/>
      <c r="AM886" s="4317"/>
      <c r="AN886" s="4317"/>
      <c r="AO886" s="4317"/>
      <c r="AP886" s="4317"/>
      <c r="AQ886" s="4317"/>
      <c r="AR886" s="4317"/>
      <c r="AS886" s="4317"/>
      <c r="AT886" s="4317"/>
      <c r="AU886" s="4317"/>
      <c r="AV886" s="4317"/>
      <c r="AW886" s="4317"/>
      <c r="AX886" s="4317"/>
      <c r="AY886" s="4317"/>
      <c r="AZ886" s="4317"/>
      <c r="BA886" s="4317"/>
      <c r="BB886" s="4317"/>
      <c r="BC886" s="4317"/>
      <c r="BD886" s="4317"/>
      <c r="BE886" s="4317"/>
      <c r="BF886" s="4317"/>
      <c r="BG886" s="4317"/>
      <c r="BH886" s="4317"/>
      <c r="BI886" s="4317"/>
      <c r="BJ886" s="4317"/>
      <c r="BK886" s="4317"/>
      <c r="BL886" s="4317"/>
      <c r="BM886" s="4317"/>
      <c r="BN886" s="4317"/>
      <c r="BO886" s="4317"/>
      <c r="BP886" s="4317"/>
      <c r="BQ886" s="4317"/>
      <c r="BR886" s="4317"/>
      <c r="BS886" s="4317"/>
      <c r="BT886" s="4317"/>
      <c r="BU886" s="4317"/>
      <c r="BV886" s="4317"/>
      <c r="BW886" s="4317"/>
      <c r="BX886" s="4317"/>
      <c r="BY886" s="4317"/>
      <c r="BZ886" s="4317"/>
      <c r="CA886" s="4317"/>
      <c r="CB886" s="4317"/>
      <c r="CC886" s="4317"/>
      <c r="CD886" s="4317"/>
      <c r="CE886" s="4317"/>
      <c r="CF886" s="4317"/>
      <c r="CG886" s="4317"/>
      <c r="CH886" s="4317"/>
      <c r="CI886" s="4317"/>
      <c r="CJ886" s="4317"/>
      <c r="CK886" s="4317"/>
      <c r="CL886" s="4317"/>
      <c r="CM886" s="4317"/>
      <c r="CN886" s="4317"/>
      <c r="CO886" s="4317"/>
      <c r="CP886" s="4317"/>
      <c r="CQ886" s="4317"/>
      <c r="CR886" s="4317"/>
      <c r="CS886" s="4317"/>
      <c r="CT886" s="4317"/>
      <c r="CU886" s="4317"/>
      <c r="CV886" s="4317"/>
      <c r="CW886" s="4317"/>
      <c r="CX886" s="4317"/>
      <c r="CY886" s="4317"/>
      <c r="CZ886" s="4317"/>
      <c r="DA886" s="4317"/>
      <c r="DB886" s="4317"/>
      <c r="DC886" s="4317"/>
      <c r="DD886" s="4317"/>
      <c r="DE886" s="4317"/>
      <c r="DF886" s="4317"/>
      <c r="DG886" s="4317"/>
      <c r="DH886" s="4317"/>
      <c r="DI886" s="4317"/>
      <c r="DJ886" s="4317"/>
      <c r="DK886" s="4317"/>
      <c r="DL886" s="4317"/>
      <c r="DM886" s="4317"/>
      <c r="DN886" s="4317"/>
      <c r="DO886" s="4317"/>
      <c r="DP886" s="4317"/>
      <c r="DQ886" s="4317"/>
      <c r="DR886" s="4317"/>
      <c r="DS886" s="4317"/>
    </row>
    <row r="887" s="4133" customFormat="1" ht="15.75" customHeight="1" spans="1:125">
      <c r="A887" s="4719" t="s">
        <v>5631</v>
      </c>
      <c r="B887" s="4720"/>
      <c r="C887" s="4720"/>
      <c r="D887" s="4720"/>
      <c r="E887" s="4720"/>
      <c r="F887" s="4720"/>
      <c r="G887" s="4720"/>
      <c r="H887" s="4720"/>
      <c r="I887" s="4720"/>
      <c r="J887" s="4720"/>
      <c r="K887" s="4720"/>
      <c r="L887" s="4720"/>
      <c r="M887" s="4720"/>
      <c r="N887" s="4720"/>
      <c r="O887" s="4737">
        <f>U887+AA887</f>
        <v>0</v>
      </c>
      <c r="P887" s="4737"/>
      <c r="Q887" s="4737"/>
      <c r="R887" s="4737"/>
      <c r="S887" s="4737"/>
      <c r="T887" s="4737"/>
      <c r="U887" s="4738"/>
      <c r="V887" s="4738"/>
      <c r="W887" s="4738"/>
      <c r="X887" s="4738"/>
      <c r="Y887" s="4738"/>
      <c r="Z887" s="4738"/>
      <c r="AA887" s="4738"/>
      <c r="AB887" s="4738"/>
      <c r="AC887" s="4738"/>
      <c r="AD887" s="4738"/>
      <c r="AE887" s="4738"/>
      <c r="AF887" s="4738"/>
      <c r="AG887" s="4738"/>
      <c r="AH887" s="4738"/>
      <c r="AI887" s="4738"/>
      <c r="AJ887" s="4738"/>
      <c r="AK887" s="4738"/>
      <c r="AL887" s="4738"/>
      <c r="AM887" s="4317"/>
      <c r="AN887" s="4317"/>
      <c r="AO887" s="4317"/>
      <c r="AP887" s="4317"/>
      <c r="AQ887" s="4317"/>
      <c r="AR887" s="4317"/>
      <c r="AS887" s="4317"/>
      <c r="AT887" s="4317"/>
      <c r="AU887" s="4317"/>
      <c r="AV887" s="4317"/>
      <c r="AW887" s="4317"/>
      <c r="AX887" s="4317"/>
      <c r="AY887" s="4317"/>
      <c r="AZ887" s="4317"/>
      <c r="BA887" s="4317"/>
      <c r="BB887" s="4317"/>
      <c r="BC887" s="4317"/>
      <c r="BD887" s="4317"/>
      <c r="BE887" s="4317"/>
      <c r="BF887" s="4317"/>
      <c r="BG887" s="4317"/>
      <c r="BH887" s="4317"/>
      <c r="BI887" s="4317"/>
      <c r="BJ887" s="4317"/>
      <c r="BK887" s="4317"/>
      <c r="BL887" s="4317"/>
      <c r="BM887" s="4317"/>
      <c r="BN887" s="4317"/>
      <c r="BO887" s="4317"/>
      <c r="BP887" s="4317"/>
      <c r="BQ887" s="4317"/>
      <c r="BR887" s="4317"/>
      <c r="BS887" s="4317"/>
      <c r="BT887" s="4317"/>
      <c r="BU887" s="4317"/>
      <c r="BV887" s="4317"/>
      <c r="BW887" s="4317"/>
      <c r="BX887" s="4317"/>
      <c r="BY887" s="4317"/>
      <c r="BZ887" s="4317"/>
      <c r="CA887" s="4317"/>
      <c r="CB887" s="4317"/>
      <c r="CC887" s="4317"/>
      <c r="CD887" s="4317"/>
      <c r="CE887" s="4317"/>
      <c r="CF887" s="4317"/>
      <c r="CG887" s="4317"/>
      <c r="CH887" s="4317"/>
      <c r="CI887" s="4317"/>
      <c r="CJ887" s="4317"/>
      <c r="CK887" s="4317"/>
      <c r="CL887" s="4317"/>
      <c r="CM887" s="4317"/>
      <c r="CN887" s="4317"/>
      <c r="CO887" s="4317"/>
      <c r="CP887" s="4317"/>
      <c r="CQ887" s="4317"/>
      <c r="CR887" s="4317"/>
      <c r="CS887" s="4317"/>
      <c r="CT887" s="4317"/>
      <c r="CU887" s="4317"/>
      <c r="CV887" s="4317"/>
      <c r="CW887" s="4317"/>
      <c r="CX887" s="4317"/>
      <c r="CY887" s="4317"/>
      <c r="CZ887" s="4317"/>
      <c r="DA887" s="4317"/>
      <c r="DB887" s="4317"/>
      <c r="DC887" s="4317"/>
      <c r="DD887" s="4317"/>
      <c r="DE887" s="4317"/>
      <c r="DF887" s="4317"/>
      <c r="DG887" s="4317"/>
      <c r="DH887" s="4317"/>
      <c r="DI887" s="4317"/>
      <c r="DJ887" s="4317"/>
      <c r="DK887" s="4317"/>
      <c r="DL887" s="4317"/>
      <c r="DM887" s="4317"/>
      <c r="DN887" s="4317"/>
      <c r="DO887" s="4317"/>
      <c r="DP887" s="4317"/>
      <c r="DQ887" s="4317"/>
      <c r="DR887" s="4317"/>
      <c r="DS887" s="4317"/>
    </row>
    <row r="888" s="4133" customFormat="1" ht="15.75" customHeight="1" spans="1:125">
      <c r="A888" s="4719" t="s">
        <v>5632</v>
      </c>
      <c r="B888" s="4720"/>
      <c r="C888" s="4720"/>
      <c r="D888" s="4720"/>
      <c r="E888" s="4720"/>
      <c r="F888" s="4720"/>
      <c r="G888" s="4720"/>
      <c r="H888" s="4720"/>
      <c r="I888" s="4720"/>
      <c r="J888" s="4720"/>
      <c r="K888" s="4720"/>
      <c r="L888" s="4720"/>
      <c r="M888" s="4720"/>
      <c r="N888" s="4720"/>
      <c r="O888" s="4737">
        <f>U888+AA888</f>
        <v>0</v>
      </c>
      <c r="P888" s="4737"/>
      <c r="Q888" s="4737"/>
      <c r="R888" s="4737"/>
      <c r="S888" s="4737"/>
      <c r="T888" s="4737"/>
      <c r="U888" s="4738"/>
      <c r="V888" s="4738"/>
      <c r="W888" s="4738"/>
      <c r="X888" s="4738"/>
      <c r="Y888" s="4738"/>
      <c r="Z888" s="4738"/>
      <c r="AA888" s="4738"/>
      <c r="AB888" s="4738"/>
      <c r="AC888" s="4738"/>
      <c r="AD888" s="4738"/>
      <c r="AE888" s="4738"/>
      <c r="AF888" s="4738"/>
      <c r="AG888" s="4738"/>
      <c r="AH888" s="4738"/>
      <c r="AI888" s="4738"/>
      <c r="AJ888" s="4738"/>
      <c r="AK888" s="4738"/>
      <c r="AL888" s="4738"/>
      <c r="AM888" s="4317"/>
      <c r="AN888" s="4317"/>
      <c r="AO888" s="4317"/>
      <c r="AP888" s="4317"/>
      <c r="AQ888" s="4317"/>
      <c r="AR888" s="4317"/>
      <c r="AS888" s="4317"/>
      <c r="AT888" s="4317"/>
      <c r="AU888" s="4317"/>
      <c r="AV888" s="4317"/>
      <c r="AW888" s="4317"/>
      <c r="AX888" s="4317"/>
      <c r="AY888" s="4317"/>
      <c r="AZ888" s="4317"/>
      <c r="BA888" s="4317"/>
      <c r="BB888" s="4317"/>
      <c r="BC888" s="4317"/>
      <c r="BD888" s="4317"/>
      <c r="BE888" s="4317"/>
      <c r="BF888" s="4317"/>
      <c r="BG888" s="4317"/>
      <c r="BH888" s="4317"/>
      <c r="BI888" s="4317"/>
      <c r="BJ888" s="4317"/>
      <c r="BK888" s="4317"/>
      <c r="BL888" s="4317"/>
      <c r="BM888" s="4317"/>
      <c r="BN888" s="4317"/>
      <c r="BO888" s="4317"/>
      <c r="BP888" s="4317"/>
      <c r="BQ888" s="4317"/>
      <c r="BR888" s="4317"/>
      <c r="BS888" s="4317"/>
      <c r="BT888" s="4317"/>
      <c r="BU888" s="4317"/>
      <c r="BV888" s="4317"/>
      <c r="BW888" s="4317"/>
      <c r="BX888" s="4317"/>
      <c r="BY888" s="4317"/>
      <c r="BZ888" s="4317"/>
      <c r="CA888" s="4317"/>
      <c r="CB888" s="4317"/>
      <c r="CC888" s="4317"/>
      <c r="CD888" s="4317"/>
      <c r="CE888" s="4317"/>
      <c r="CF888" s="4317"/>
      <c r="CG888" s="4317"/>
      <c r="CH888" s="4317"/>
      <c r="CI888" s="4317"/>
      <c r="CJ888" s="4317"/>
      <c r="CK888" s="4317"/>
      <c r="CL888" s="4317"/>
      <c r="CM888" s="4317"/>
      <c r="CN888" s="4317"/>
      <c r="CO888" s="4317"/>
      <c r="CP888" s="4317"/>
      <c r="CQ888" s="4317"/>
      <c r="CR888" s="4317"/>
      <c r="CS888" s="4317"/>
      <c r="CT888" s="4317"/>
      <c r="CU888" s="4317"/>
      <c r="CV888" s="4317"/>
      <c r="CW888" s="4317"/>
      <c r="CX888" s="4317"/>
      <c r="CY888" s="4317"/>
      <c r="CZ888" s="4317"/>
      <c r="DA888" s="4317"/>
      <c r="DB888" s="4317"/>
      <c r="DC888" s="4317"/>
      <c r="DD888" s="4317"/>
      <c r="DE888" s="4317"/>
      <c r="DF888" s="4317"/>
      <c r="DG888" s="4317"/>
      <c r="DH888" s="4317"/>
      <c r="DI888" s="4317"/>
      <c r="DJ888" s="4317"/>
      <c r="DK888" s="4317"/>
      <c r="DL888" s="4317"/>
      <c r="DM888" s="4317"/>
      <c r="DN888" s="4317"/>
      <c r="DO888" s="4317"/>
      <c r="DP888" s="4317"/>
      <c r="DQ888" s="4317"/>
      <c r="DR888" s="4317"/>
      <c r="DS888" s="4317"/>
    </row>
    <row r="889" s="4133" customFormat="1" ht="15.75" customHeight="1" spans="1:125">
      <c r="A889" s="4719" t="s">
        <v>5633</v>
      </c>
      <c r="B889" s="4720"/>
      <c r="C889" s="4720"/>
      <c r="D889" s="4720"/>
      <c r="E889" s="4720"/>
      <c r="F889" s="4720"/>
      <c r="G889" s="4720"/>
      <c r="H889" s="4720"/>
      <c r="I889" s="4720"/>
      <c r="J889" s="4720"/>
      <c r="K889" s="4720"/>
      <c r="L889" s="4720"/>
      <c r="M889" s="4720"/>
      <c r="N889" s="4720"/>
      <c r="O889" s="4737">
        <f>U889</f>
        <v>0</v>
      </c>
      <c r="P889" s="4737"/>
      <c r="Q889" s="4737"/>
      <c r="R889" s="4737"/>
      <c r="S889" s="4737"/>
      <c r="T889" s="4737"/>
      <c r="U889" s="4738"/>
      <c r="V889" s="4738"/>
      <c r="W889" s="4738"/>
      <c r="X889" s="4738"/>
      <c r="Y889" s="4738"/>
      <c r="Z889" s="4738"/>
      <c r="AA889" s="4739" t="s">
        <v>5634</v>
      </c>
      <c r="AB889" s="4739"/>
      <c r="AC889" s="4739"/>
      <c r="AD889" s="4739"/>
      <c r="AE889" s="4739"/>
      <c r="AF889" s="4739"/>
      <c r="AG889" s="4739" t="s">
        <v>5635</v>
      </c>
      <c r="AH889" s="4739"/>
      <c r="AI889" s="4739"/>
      <c r="AJ889" s="4739"/>
      <c r="AK889" s="4739"/>
      <c r="AL889" s="4739"/>
      <c r="AM889" s="4317"/>
      <c r="AN889" s="4317"/>
      <c r="AO889" s="4317"/>
      <c r="AP889" s="4317"/>
      <c r="AQ889" s="4317"/>
      <c r="AR889" s="4317"/>
      <c r="AS889" s="4317"/>
      <c r="AT889" s="4317"/>
      <c r="AU889" s="4317"/>
      <c r="AV889" s="4317"/>
      <c r="AW889" s="4317"/>
      <c r="AX889" s="4317"/>
      <c r="AY889" s="4317"/>
      <c r="AZ889" s="4317"/>
      <c r="BA889" s="4317"/>
      <c r="BB889" s="4317"/>
      <c r="BC889" s="4317"/>
      <c r="BD889" s="4317"/>
      <c r="BE889" s="4317"/>
      <c r="BF889" s="4317"/>
      <c r="BG889" s="4317"/>
      <c r="BH889" s="4317"/>
      <c r="BI889" s="4317"/>
      <c r="BJ889" s="4317"/>
      <c r="BK889" s="4317"/>
      <c r="BL889" s="4317"/>
      <c r="BM889" s="4317"/>
      <c r="BN889" s="4317"/>
      <c r="BO889" s="4317"/>
      <c r="BP889" s="4317"/>
      <c r="BQ889" s="4317"/>
      <c r="BR889" s="4317"/>
      <c r="BS889" s="4317"/>
      <c r="BT889" s="4317"/>
      <c r="BU889" s="4317"/>
      <c r="BV889" s="4317"/>
      <c r="BW889" s="4317"/>
      <c r="BX889" s="4317"/>
      <c r="BY889" s="4317"/>
      <c r="BZ889" s="4317"/>
      <c r="CA889" s="4317"/>
      <c r="CB889" s="4317"/>
      <c r="CC889" s="4317"/>
      <c r="CD889" s="4317"/>
      <c r="CE889" s="4317"/>
      <c r="CF889" s="4317"/>
      <c r="CG889" s="4317"/>
      <c r="CH889" s="4317"/>
      <c r="CI889" s="4317"/>
      <c r="CJ889" s="4317"/>
      <c r="CK889" s="4317"/>
      <c r="CL889" s="4317"/>
      <c r="CM889" s="4317"/>
      <c r="CN889" s="4317"/>
      <c r="CO889" s="4317"/>
      <c r="CP889" s="4317"/>
      <c r="CQ889" s="4317"/>
      <c r="CR889" s="4317"/>
      <c r="CS889" s="4317"/>
      <c r="CT889" s="4317"/>
      <c r="CU889" s="4317"/>
      <c r="CV889" s="4317"/>
      <c r="CW889" s="4317"/>
      <c r="CX889" s="4317"/>
      <c r="CY889" s="4317"/>
      <c r="CZ889" s="4317"/>
      <c r="DA889" s="4317"/>
      <c r="DB889" s="4317"/>
      <c r="DC889" s="4317"/>
      <c r="DD889" s="4317"/>
      <c r="DE889" s="4317"/>
      <c r="DF889" s="4317"/>
      <c r="DG889" s="4317"/>
      <c r="DH889" s="4317"/>
      <c r="DI889" s="4317"/>
      <c r="DJ889" s="4317"/>
      <c r="DK889" s="4317"/>
      <c r="DL889" s="4317"/>
      <c r="DM889" s="4317"/>
      <c r="DN889" s="4317"/>
      <c r="DO889" s="4317"/>
      <c r="DP889" s="4317"/>
      <c r="DQ889" s="4317"/>
      <c r="DR889" s="4317"/>
      <c r="DS889" s="4317"/>
    </row>
    <row r="890" s="4133" customFormat="1" ht="15.75" customHeight="1" spans="1:125">
      <c r="A890" s="4736" t="s">
        <v>5636</v>
      </c>
      <c r="B890" s="4720"/>
      <c r="C890" s="4720"/>
      <c r="D890" s="4720"/>
      <c r="E890" s="4720"/>
      <c r="F890" s="4720"/>
      <c r="G890" s="4720"/>
      <c r="H890" s="4720"/>
      <c r="I890" s="4720"/>
      <c r="J890" s="4720"/>
      <c r="K890" s="4720"/>
      <c r="L890" s="4720"/>
      <c r="M890" s="4720"/>
      <c r="N890" s="4720"/>
      <c r="O890" s="4737">
        <f>SUM(O891:T899)</f>
        <v>0</v>
      </c>
      <c r="P890" s="4737"/>
      <c r="Q890" s="4737"/>
      <c r="R890" s="4737"/>
      <c r="S890" s="4737"/>
      <c r="T890" s="4737"/>
      <c r="U890" s="4737">
        <f>SUM(U891:Z899)</f>
        <v>0</v>
      </c>
      <c r="V890" s="4737"/>
      <c r="W890" s="4737"/>
      <c r="X890" s="4737"/>
      <c r="Y890" s="4737"/>
      <c r="Z890" s="4737"/>
      <c r="AA890" s="4737">
        <f>SUM(AA891:AF899)</f>
        <v>0</v>
      </c>
      <c r="AB890" s="4737"/>
      <c r="AC890" s="4737"/>
      <c r="AD890" s="4737"/>
      <c r="AE890" s="4737"/>
      <c r="AF890" s="4737"/>
      <c r="AG890" s="4737">
        <f>SUM(AG891:AL899)</f>
        <v>0</v>
      </c>
      <c r="AH890" s="4737"/>
      <c r="AI890" s="4737"/>
      <c r="AJ890" s="4737"/>
      <c r="AK890" s="4737"/>
      <c r="AL890" s="4737"/>
      <c r="AM890" s="4317"/>
      <c r="AN890" s="4317"/>
      <c r="AO890" s="4317"/>
      <c r="AP890" s="4317"/>
      <c r="AQ890" s="4317"/>
      <c r="AR890" s="4317"/>
      <c r="AS890" s="4317"/>
      <c r="AT890" s="4317"/>
      <c r="AU890" s="4317"/>
      <c r="AV890" s="4317"/>
      <c r="AW890" s="4317"/>
      <c r="AX890" s="4317"/>
      <c r="AY890" s="4317"/>
      <c r="AZ890" s="4317"/>
      <c r="BA890" s="4317"/>
      <c r="BB890" s="4317"/>
      <c r="BC890" s="4317"/>
      <c r="BD890" s="4317"/>
      <c r="BE890" s="4317"/>
      <c r="BF890" s="4317"/>
      <c r="BG890" s="4317"/>
      <c r="BH890" s="4317"/>
      <c r="BI890" s="4317"/>
      <c r="BJ890" s="4317"/>
      <c r="BK890" s="4317"/>
      <c r="BL890" s="4317"/>
      <c r="BM890" s="4317"/>
      <c r="BN890" s="4317"/>
      <c r="BO890" s="4317"/>
      <c r="BP890" s="4317"/>
      <c r="BQ890" s="4317"/>
      <c r="BR890" s="4317"/>
      <c r="BS890" s="4317"/>
      <c r="BT890" s="4317"/>
      <c r="BU890" s="4317"/>
      <c r="BV890" s="4317"/>
      <c r="BW890" s="4317"/>
      <c r="BX890" s="4317"/>
      <c r="BY890" s="4317"/>
      <c r="BZ890" s="4317"/>
      <c r="CA890" s="4317"/>
      <c r="CB890" s="4317"/>
      <c r="CC890" s="4317"/>
      <c r="CD890" s="4317"/>
      <c r="CE890" s="4317"/>
      <c r="CF890" s="4317"/>
      <c r="CG890" s="4317"/>
      <c r="CH890" s="4317"/>
      <c r="CI890" s="4317"/>
      <c r="CJ890" s="4317"/>
      <c r="CK890" s="4317"/>
      <c r="CL890" s="4317"/>
      <c r="CM890" s="4317"/>
      <c r="CN890" s="4317"/>
      <c r="CO890" s="4317"/>
      <c r="CP890" s="4317"/>
      <c r="CQ890" s="4317"/>
      <c r="CR890" s="4317"/>
      <c r="CS890" s="4317"/>
      <c r="CT890" s="4317"/>
      <c r="CU890" s="4317"/>
      <c r="CV890" s="4317"/>
      <c r="CW890" s="4317"/>
      <c r="CX890" s="4317"/>
      <c r="CY890" s="4317"/>
      <c r="CZ890" s="4317"/>
      <c r="DA890" s="4317"/>
      <c r="DB890" s="4317"/>
      <c r="DC890" s="4317"/>
      <c r="DD890" s="4317"/>
      <c r="DE890" s="4317"/>
      <c r="DF890" s="4317"/>
      <c r="DG890" s="4317"/>
      <c r="DH890" s="4317"/>
      <c r="DI890" s="4317"/>
      <c r="DJ890" s="4317"/>
      <c r="DK890" s="4317"/>
      <c r="DL890" s="4317"/>
      <c r="DM890" s="4317"/>
      <c r="DN890" s="4317"/>
      <c r="DO890" s="4317"/>
      <c r="DP890" s="4317"/>
      <c r="DQ890" s="4317"/>
      <c r="DR890" s="4317"/>
      <c r="DS890" s="4317"/>
    </row>
    <row r="891" s="4133" customFormat="1" ht="15.75" customHeight="1" spans="1:125">
      <c r="A891" s="4719" t="s">
        <v>5637</v>
      </c>
      <c r="B891" s="4720"/>
      <c r="C891" s="4720"/>
      <c r="D891" s="4720"/>
      <c r="E891" s="4720"/>
      <c r="F891" s="4720"/>
      <c r="G891" s="4720"/>
      <c r="H891" s="4720"/>
      <c r="I891" s="4720"/>
      <c r="J891" s="4720"/>
      <c r="K891" s="4720"/>
      <c r="L891" s="4720"/>
      <c r="M891" s="4720"/>
      <c r="N891" s="4720"/>
      <c r="O891" s="4737">
        <f>U891+AA891</f>
        <v>0</v>
      </c>
      <c r="P891" s="4737"/>
      <c r="Q891" s="4737"/>
      <c r="R891" s="4737"/>
      <c r="S891" s="4737"/>
      <c r="T891" s="4737"/>
      <c r="U891" s="4738"/>
      <c r="V891" s="4738"/>
      <c r="W891" s="4738"/>
      <c r="X891" s="4738"/>
      <c r="Y891" s="4738"/>
      <c r="Z891" s="4738"/>
      <c r="AA891" s="4738"/>
      <c r="AB891" s="4738"/>
      <c r="AC891" s="4738"/>
      <c r="AD891" s="4738"/>
      <c r="AE891" s="4738"/>
      <c r="AF891" s="4738"/>
      <c r="AG891" s="4738"/>
      <c r="AH891" s="4738"/>
      <c r="AI891" s="4738"/>
      <c r="AJ891" s="4738"/>
      <c r="AK891" s="4738"/>
      <c r="AL891" s="4738"/>
      <c r="AM891" s="4317"/>
      <c r="AN891" s="4317"/>
      <c r="AO891" s="4317"/>
      <c r="AP891" s="4317"/>
      <c r="AQ891" s="4317"/>
      <c r="AR891" s="4317"/>
      <c r="AS891" s="4317"/>
      <c r="AT891" s="4317"/>
      <c r="AU891" s="4317"/>
      <c r="AV891" s="4317"/>
      <c r="AW891" s="4317"/>
      <c r="AX891" s="4317"/>
      <c r="AY891" s="4317"/>
      <c r="AZ891" s="4317"/>
      <c r="BA891" s="4317"/>
      <c r="BB891" s="4317"/>
      <c r="BC891" s="4317"/>
      <c r="BD891" s="4317"/>
      <c r="BE891" s="4317"/>
      <c r="BF891" s="4317"/>
      <c r="BG891" s="4317"/>
      <c r="BH891" s="4317"/>
      <c r="BI891" s="4317"/>
      <c r="BJ891" s="4317"/>
      <c r="BK891" s="4317"/>
      <c r="BL891" s="4317"/>
      <c r="BM891" s="4317"/>
      <c r="BN891" s="4317"/>
      <c r="BO891" s="4317"/>
      <c r="BP891" s="4317"/>
      <c r="BQ891" s="4317"/>
      <c r="BR891" s="4317"/>
      <c r="BS891" s="4317"/>
      <c r="BT891" s="4317"/>
      <c r="BU891" s="4317"/>
      <c r="BV891" s="4317"/>
      <c r="BW891" s="4317"/>
      <c r="BX891" s="4317"/>
      <c r="BY891" s="4317"/>
      <c r="BZ891" s="4317"/>
      <c r="CA891" s="4317"/>
      <c r="CB891" s="4317"/>
      <c r="CC891" s="4317"/>
      <c r="CD891" s="4317"/>
      <c r="CE891" s="4317"/>
      <c r="CF891" s="4317"/>
      <c r="CG891" s="4317"/>
      <c r="CH891" s="4317"/>
      <c r="CI891" s="4317"/>
      <c r="CJ891" s="4317"/>
      <c r="CK891" s="4317"/>
      <c r="CL891" s="4317"/>
      <c r="CM891" s="4317"/>
      <c r="CN891" s="4317"/>
      <c r="CO891" s="4317"/>
      <c r="CP891" s="4317"/>
      <c r="CQ891" s="4317"/>
      <c r="CR891" s="4317"/>
      <c r="CS891" s="4317"/>
      <c r="CT891" s="4317"/>
      <c r="CU891" s="4317"/>
      <c r="CV891" s="4317"/>
      <c r="CW891" s="4317"/>
      <c r="CX891" s="4317"/>
      <c r="CY891" s="4317"/>
      <c r="CZ891" s="4317"/>
      <c r="DA891" s="4317"/>
      <c r="DB891" s="4317"/>
      <c r="DC891" s="4317"/>
      <c r="DD891" s="4317"/>
      <c r="DE891" s="4317"/>
      <c r="DF891" s="4317"/>
      <c r="DG891" s="4317"/>
      <c r="DH891" s="4317"/>
      <c r="DI891" s="4317"/>
      <c r="DJ891" s="4317"/>
      <c r="DK891" s="4317"/>
      <c r="DL891" s="4317"/>
      <c r="DM891" s="4317"/>
      <c r="DN891" s="4317"/>
      <c r="DO891" s="4317"/>
      <c r="DP891" s="4317"/>
      <c r="DQ891" s="4317"/>
      <c r="DR891" s="4317"/>
      <c r="DS891" s="4317"/>
    </row>
    <row r="892" s="4133" customFormat="1" ht="15.75" customHeight="1" spans="1:125">
      <c r="A892" s="4719" t="s">
        <v>5638</v>
      </c>
      <c r="B892" s="4720"/>
      <c r="C892" s="4720"/>
      <c r="D892" s="4720"/>
      <c r="E892" s="4720"/>
      <c r="F892" s="4720"/>
      <c r="G892" s="4720"/>
      <c r="H892" s="4720"/>
      <c r="I892" s="4720"/>
      <c r="J892" s="4720"/>
      <c r="K892" s="4720"/>
      <c r="L892" s="4720"/>
      <c r="M892" s="4720"/>
      <c r="N892" s="4720"/>
      <c r="O892" s="4737">
        <f t="shared" ref="O892:O898" si="18">U892+AA892</f>
        <v>0</v>
      </c>
      <c r="P892" s="4737"/>
      <c r="Q892" s="4737"/>
      <c r="R892" s="4737"/>
      <c r="S892" s="4737"/>
      <c r="T892" s="4737"/>
      <c r="U892" s="4738"/>
      <c r="V892" s="4738"/>
      <c r="W892" s="4738"/>
      <c r="X892" s="4738"/>
      <c r="Y892" s="4738"/>
      <c r="Z892" s="4738"/>
      <c r="AA892" s="4738"/>
      <c r="AB892" s="4738"/>
      <c r="AC892" s="4738"/>
      <c r="AD892" s="4738"/>
      <c r="AE892" s="4738"/>
      <c r="AF892" s="4738"/>
      <c r="AG892" s="4738"/>
      <c r="AH892" s="4738"/>
      <c r="AI892" s="4738"/>
      <c r="AJ892" s="4738"/>
      <c r="AK892" s="4738"/>
      <c r="AL892" s="4738"/>
      <c r="AM892" s="4317"/>
      <c r="AN892" s="4317"/>
      <c r="AO892" s="4317"/>
      <c r="AP892" s="4317"/>
      <c r="AQ892" s="4317"/>
      <c r="AR892" s="4317"/>
      <c r="AS892" s="4317"/>
      <c r="AT892" s="4317"/>
      <c r="AU892" s="4317"/>
      <c r="AV892" s="4317"/>
      <c r="AW892" s="4317"/>
      <c r="AX892" s="4317"/>
      <c r="AY892" s="4317"/>
      <c r="AZ892" s="4317"/>
      <c r="BA892" s="4317"/>
      <c r="BB892" s="4317"/>
      <c r="BC892" s="4317"/>
      <c r="BD892" s="4317"/>
      <c r="BE892" s="4317"/>
      <c r="BF892" s="4317"/>
      <c r="BG892" s="4317"/>
      <c r="BH892" s="4317"/>
      <c r="BI892" s="4317"/>
      <c r="BJ892" s="4317"/>
      <c r="BK892" s="4317"/>
      <c r="BL892" s="4317"/>
      <c r="BM892" s="4317"/>
      <c r="BN892" s="4317"/>
      <c r="BO892" s="4317"/>
      <c r="BP892" s="4317"/>
      <c r="BQ892" s="4317"/>
      <c r="BR892" s="4317"/>
      <c r="BS892" s="4317"/>
      <c r="BT892" s="4317"/>
      <c r="BU892" s="4317"/>
      <c r="BV892" s="4317"/>
      <c r="BW892" s="4317"/>
      <c r="BX892" s="4317"/>
      <c r="BY892" s="4317"/>
      <c r="BZ892" s="4317"/>
      <c r="CA892" s="4317"/>
      <c r="CB892" s="4317"/>
      <c r="CC892" s="4317"/>
      <c r="CD892" s="4317"/>
      <c r="CE892" s="4317"/>
      <c r="CF892" s="4317"/>
      <c r="CG892" s="4317"/>
      <c r="CH892" s="4317"/>
      <c r="CI892" s="4317"/>
      <c r="CJ892" s="4317"/>
      <c r="CK892" s="4317"/>
      <c r="CL892" s="4317"/>
      <c r="CM892" s="4317"/>
      <c r="CN892" s="4317"/>
      <c r="CO892" s="4317"/>
      <c r="CP892" s="4317"/>
      <c r="CQ892" s="4317"/>
      <c r="CR892" s="4317"/>
      <c r="CS892" s="4317"/>
      <c r="CT892" s="4317"/>
      <c r="CU892" s="4317"/>
      <c r="CV892" s="4317"/>
      <c r="CW892" s="4317"/>
      <c r="CX892" s="4317"/>
      <c r="CY892" s="4317"/>
      <c r="CZ892" s="4317"/>
      <c r="DA892" s="4317"/>
      <c r="DB892" s="4317"/>
      <c r="DC892" s="4317"/>
      <c r="DD892" s="4317"/>
      <c r="DE892" s="4317"/>
      <c r="DF892" s="4317"/>
      <c r="DG892" s="4317"/>
      <c r="DH892" s="4317"/>
      <c r="DI892" s="4317"/>
      <c r="DJ892" s="4317"/>
      <c r="DK892" s="4317"/>
      <c r="DL892" s="4317"/>
      <c r="DM892" s="4317"/>
      <c r="DN892" s="4317"/>
      <c r="DO892" s="4317"/>
      <c r="DP892" s="4317"/>
      <c r="DQ892" s="4317"/>
      <c r="DR892" s="4317"/>
      <c r="DS892" s="4317"/>
    </row>
    <row r="893" s="4133" customFormat="1" ht="15.75" customHeight="1" spans="1:125">
      <c r="A893" s="4719" t="s">
        <v>5639</v>
      </c>
      <c r="B893" s="4720"/>
      <c r="C893" s="4720"/>
      <c r="D893" s="4720"/>
      <c r="E893" s="4720"/>
      <c r="F893" s="4720"/>
      <c r="G893" s="4720"/>
      <c r="H893" s="4720"/>
      <c r="I893" s="4720"/>
      <c r="J893" s="4720"/>
      <c r="K893" s="4720"/>
      <c r="L893" s="4720"/>
      <c r="M893" s="4720"/>
      <c r="N893" s="4720"/>
      <c r="O893" s="4737">
        <f t="shared" si="18"/>
        <v>0</v>
      </c>
      <c r="P893" s="4737"/>
      <c r="Q893" s="4737"/>
      <c r="R893" s="4737"/>
      <c r="S893" s="4737"/>
      <c r="T893" s="4737"/>
      <c r="U893" s="4738"/>
      <c r="V893" s="4738"/>
      <c r="W893" s="4738"/>
      <c r="X893" s="4738"/>
      <c r="Y893" s="4738"/>
      <c r="Z893" s="4738"/>
      <c r="AA893" s="4738"/>
      <c r="AB893" s="4738"/>
      <c r="AC893" s="4738"/>
      <c r="AD893" s="4738"/>
      <c r="AE893" s="4738"/>
      <c r="AF893" s="4738"/>
      <c r="AG893" s="4738"/>
      <c r="AH893" s="4738"/>
      <c r="AI893" s="4738"/>
      <c r="AJ893" s="4738"/>
      <c r="AK893" s="4738"/>
      <c r="AL893" s="4738"/>
      <c r="AM893" s="4317"/>
      <c r="AN893" s="4317"/>
      <c r="AO893" s="4317"/>
      <c r="AP893" s="4317"/>
      <c r="AQ893" s="4317"/>
      <c r="AR893" s="4317"/>
      <c r="AS893" s="4317"/>
      <c r="AT893" s="4317"/>
      <c r="AU893" s="4317"/>
      <c r="AV893" s="4317"/>
      <c r="AW893" s="4317"/>
      <c r="AX893" s="4317"/>
      <c r="AY893" s="4317"/>
      <c r="AZ893" s="4317"/>
      <c r="BA893" s="4317"/>
      <c r="BB893" s="4317"/>
      <c r="BC893" s="4317"/>
      <c r="BD893" s="4317"/>
      <c r="BE893" s="4317"/>
      <c r="BF893" s="4317"/>
      <c r="BG893" s="4317"/>
      <c r="BH893" s="4317"/>
      <c r="BI893" s="4317"/>
      <c r="BJ893" s="4317"/>
      <c r="BK893" s="4317"/>
      <c r="BL893" s="4317"/>
      <c r="BM893" s="4317"/>
      <c r="BN893" s="4317"/>
      <c r="BO893" s="4317"/>
      <c r="BP893" s="4317"/>
      <c r="BQ893" s="4317"/>
      <c r="BR893" s="4317"/>
      <c r="BS893" s="4317"/>
      <c r="BT893" s="4317"/>
      <c r="BU893" s="4317"/>
      <c r="BV893" s="4317"/>
      <c r="BW893" s="4317"/>
      <c r="BX893" s="4317"/>
      <c r="BY893" s="4317"/>
      <c r="BZ893" s="4317"/>
      <c r="CA893" s="4317"/>
      <c r="CB893" s="4317"/>
      <c r="CC893" s="4317"/>
      <c r="CD893" s="4317"/>
      <c r="CE893" s="4317"/>
      <c r="CF893" s="4317"/>
      <c r="CG893" s="4317"/>
      <c r="CH893" s="4317"/>
      <c r="CI893" s="4317"/>
      <c r="CJ893" s="4317"/>
      <c r="CK893" s="4317"/>
      <c r="CL893" s="4317"/>
      <c r="CM893" s="4317"/>
      <c r="CN893" s="4317"/>
      <c r="CO893" s="4317"/>
      <c r="CP893" s="4317"/>
      <c r="CQ893" s="4317"/>
      <c r="CR893" s="4317"/>
      <c r="CS893" s="4317"/>
      <c r="CT893" s="4317"/>
      <c r="CU893" s="4317"/>
      <c r="CV893" s="4317"/>
      <c r="CW893" s="4317"/>
      <c r="CX893" s="4317"/>
      <c r="CY893" s="4317"/>
      <c r="CZ893" s="4317"/>
      <c r="DA893" s="4317"/>
      <c r="DB893" s="4317"/>
      <c r="DC893" s="4317"/>
      <c r="DD893" s="4317"/>
      <c r="DE893" s="4317"/>
      <c r="DF893" s="4317"/>
      <c r="DG893" s="4317"/>
      <c r="DH893" s="4317"/>
      <c r="DI893" s="4317"/>
      <c r="DJ893" s="4317"/>
      <c r="DK893" s="4317"/>
      <c r="DL893" s="4317"/>
      <c r="DM893" s="4317"/>
      <c r="DN893" s="4317"/>
      <c r="DO893" s="4317"/>
      <c r="DP893" s="4317"/>
      <c r="DQ893" s="4317"/>
      <c r="DR893" s="4317"/>
      <c r="DS893" s="4317"/>
    </row>
    <row r="894" s="4133" customFormat="1" ht="15.75" customHeight="1" spans="1:125">
      <c r="A894" s="4719" t="s">
        <v>5640</v>
      </c>
      <c r="B894" s="4720"/>
      <c r="C894" s="4720"/>
      <c r="D894" s="4720"/>
      <c r="E894" s="4720"/>
      <c r="F894" s="4720"/>
      <c r="G894" s="4720"/>
      <c r="H894" s="4720"/>
      <c r="I894" s="4720"/>
      <c r="J894" s="4720"/>
      <c r="K894" s="4720"/>
      <c r="L894" s="4720"/>
      <c r="M894" s="4720"/>
      <c r="N894" s="4720"/>
      <c r="O894" s="4737">
        <f t="shared" si="18"/>
        <v>0</v>
      </c>
      <c r="P894" s="4737"/>
      <c r="Q894" s="4737"/>
      <c r="R894" s="4737"/>
      <c r="S894" s="4737"/>
      <c r="T894" s="4737"/>
      <c r="U894" s="4738"/>
      <c r="V894" s="4738"/>
      <c r="W894" s="4738"/>
      <c r="X894" s="4738"/>
      <c r="Y894" s="4738"/>
      <c r="Z894" s="4738"/>
      <c r="AA894" s="4738"/>
      <c r="AB894" s="4738"/>
      <c r="AC894" s="4738"/>
      <c r="AD894" s="4738"/>
      <c r="AE894" s="4738"/>
      <c r="AF894" s="4738"/>
      <c r="AG894" s="4738"/>
      <c r="AH894" s="4738"/>
      <c r="AI894" s="4738"/>
      <c r="AJ894" s="4738"/>
      <c r="AK894" s="4738"/>
      <c r="AL894" s="4738"/>
      <c r="AM894" s="4317"/>
      <c r="AN894" s="4317"/>
      <c r="AO894" s="4317"/>
      <c r="AP894" s="4317"/>
      <c r="AQ894" s="4317"/>
      <c r="AR894" s="4317"/>
      <c r="AS894" s="4317"/>
      <c r="AT894" s="4317"/>
      <c r="AU894" s="4317"/>
      <c r="AV894" s="4317"/>
      <c r="AW894" s="4317"/>
      <c r="AX894" s="4317"/>
      <c r="AY894" s="4317"/>
      <c r="AZ894" s="4317"/>
      <c r="BA894" s="4317"/>
      <c r="BB894" s="4317"/>
      <c r="BC894" s="4317"/>
      <c r="BD894" s="4317"/>
      <c r="BE894" s="4317"/>
      <c r="BF894" s="4317"/>
      <c r="BG894" s="4317"/>
      <c r="BH894" s="4317"/>
      <c r="BI894" s="4317"/>
      <c r="BJ894" s="4317"/>
      <c r="BK894" s="4317"/>
      <c r="BL894" s="4317"/>
      <c r="BM894" s="4317"/>
      <c r="BN894" s="4317"/>
      <c r="BO894" s="4317"/>
      <c r="BP894" s="4317"/>
      <c r="BQ894" s="4317"/>
      <c r="BR894" s="4317"/>
      <c r="BS894" s="4317"/>
      <c r="BT894" s="4317"/>
      <c r="BU894" s="4317"/>
      <c r="BV894" s="4317"/>
      <c r="BW894" s="4317"/>
      <c r="BX894" s="4317"/>
      <c r="BY894" s="4317"/>
      <c r="BZ894" s="4317"/>
      <c r="CA894" s="4317"/>
      <c r="CB894" s="4317"/>
      <c r="CC894" s="4317"/>
      <c r="CD894" s="4317"/>
      <c r="CE894" s="4317"/>
      <c r="CF894" s="4317"/>
      <c r="CG894" s="4317"/>
      <c r="CH894" s="4317"/>
      <c r="CI894" s="4317"/>
      <c r="CJ894" s="4317"/>
      <c r="CK894" s="4317"/>
      <c r="CL894" s="4317"/>
      <c r="CM894" s="4317"/>
      <c r="CN894" s="4317"/>
      <c r="CO894" s="4317"/>
      <c r="CP894" s="4317"/>
      <c r="CQ894" s="4317"/>
      <c r="CR894" s="4317"/>
      <c r="CS894" s="4317"/>
      <c r="CT894" s="4317"/>
      <c r="CU894" s="4317"/>
      <c r="CV894" s="4317"/>
      <c r="CW894" s="4317"/>
      <c r="CX894" s="4317"/>
      <c r="CY894" s="4317"/>
      <c r="CZ894" s="4317"/>
      <c r="DA894" s="4317"/>
      <c r="DB894" s="4317"/>
      <c r="DC894" s="4317"/>
      <c r="DD894" s="4317"/>
      <c r="DE894" s="4317"/>
      <c r="DF894" s="4317"/>
      <c r="DG894" s="4317"/>
      <c r="DH894" s="4317"/>
      <c r="DI894" s="4317"/>
      <c r="DJ894" s="4317"/>
      <c r="DK894" s="4317"/>
      <c r="DL894" s="4317"/>
      <c r="DM894" s="4317"/>
      <c r="DN894" s="4317"/>
      <c r="DO894" s="4317"/>
      <c r="DP894" s="4317"/>
      <c r="DQ894" s="4317"/>
      <c r="DR894" s="4317"/>
      <c r="DS894" s="4317"/>
    </row>
    <row r="895" s="4133" customFormat="1" ht="15.75" customHeight="1" spans="1:125">
      <c r="A895" s="4719" t="s">
        <v>5641</v>
      </c>
      <c r="B895" s="4720"/>
      <c r="C895" s="4720"/>
      <c r="D895" s="4720"/>
      <c r="E895" s="4720"/>
      <c r="F895" s="4720"/>
      <c r="G895" s="4720"/>
      <c r="H895" s="4720"/>
      <c r="I895" s="4720"/>
      <c r="J895" s="4720"/>
      <c r="K895" s="4720"/>
      <c r="L895" s="4720"/>
      <c r="M895" s="4720"/>
      <c r="N895" s="4720"/>
      <c r="O895" s="4737">
        <f t="shared" si="18"/>
        <v>0</v>
      </c>
      <c r="P895" s="4737"/>
      <c r="Q895" s="4737"/>
      <c r="R895" s="4737"/>
      <c r="S895" s="4737"/>
      <c r="T895" s="4737"/>
      <c r="U895" s="4738">
        <v>0</v>
      </c>
      <c r="V895" s="4738"/>
      <c r="W895" s="4738"/>
      <c r="X895" s="4738"/>
      <c r="Y895" s="4738"/>
      <c r="Z895" s="4738"/>
      <c r="AA895" s="4738"/>
      <c r="AB895" s="4738"/>
      <c r="AC895" s="4738"/>
      <c r="AD895" s="4738"/>
      <c r="AE895" s="4738"/>
      <c r="AF895" s="4738"/>
      <c r="AG895" s="4738"/>
      <c r="AH895" s="4738"/>
      <c r="AI895" s="4738"/>
      <c r="AJ895" s="4738"/>
      <c r="AK895" s="4738"/>
      <c r="AL895" s="4738"/>
      <c r="AM895" s="4317"/>
      <c r="AN895" s="4317"/>
      <c r="AO895" s="4317"/>
      <c r="AP895" s="4317"/>
      <c r="AQ895" s="4317"/>
      <c r="AR895" s="4317"/>
      <c r="AS895" s="4317"/>
      <c r="AT895" s="4317"/>
      <c r="AU895" s="4317"/>
      <c r="AV895" s="4317"/>
      <c r="AW895" s="4317"/>
      <c r="AX895" s="4317"/>
      <c r="AY895" s="4317"/>
      <c r="AZ895" s="4317"/>
      <c r="BA895" s="4317"/>
      <c r="BB895" s="4317"/>
      <c r="BC895" s="4317"/>
      <c r="BD895" s="4317"/>
      <c r="BE895" s="4317"/>
      <c r="BF895" s="4317"/>
      <c r="BG895" s="4317"/>
      <c r="BH895" s="4317"/>
      <c r="BI895" s="4317"/>
      <c r="BJ895" s="4317"/>
      <c r="BK895" s="4317"/>
      <c r="BL895" s="4317"/>
      <c r="BM895" s="4317"/>
      <c r="BN895" s="4317"/>
      <c r="BO895" s="4317"/>
      <c r="BP895" s="4317"/>
      <c r="BQ895" s="4317"/>
      <c r="BR895" s="4317"/>
      <c r="BS895" s="4317"/>
      <c r="BT895" s="4317"/>
      <c r="BU895" s="4317"/>
      <c r="BV895" s="4317"/>
      <c r="BW895" s="4317"/>
      <c r="BX895" s="4317"/>
      <c r="BY895" s="4317"/>
      <c r="BZ895" s="4317"/>
      <c r="CA895" s="4317"/>
      <c r="CB895" s="4317"/>
      <c r="CC895" s="4317"/>
      <c r="CD895" s="4317"/>
      <c r="CE895" s="4317"/>
      <c r="CF895" s="4317"/>
      <c r="CG895" s="4317"/>
      <c r="CH895" s="4317"/>
      <c r="CI895" s="4317"/>
      <c r="CJ895" s="4317"/>
      <c r="CK895" s="4317"/>
      <c r="CL895" s="4317"/>
      <c r="CM895" s="4317"/>
      <c r="CN895" s="4317"/>
      <c r="CO895" s="4317"/>
      <c r="CP895" s="4317"/>
      <c r="CQ895" s="4317"/>
      <c r="CR895" s="4317"/>
      <c r="CS895" s="4317"/>
      <c r="CT895" s="4317"/>
      <c r="CU895" s="4317"/>
      <c r="CV895" s="4317"/>
      <c r="CW895" s="4317"/>
      <c r="CX895" s="4317"/>
      <c r="CY895" s="4317"/>
      <c r="CZ895" s="4317"/>
      <c r="DA895" s="4317"/>
      <c r="DB895" s="4317"/>
      <c r="DC895" s="4317"/>
      <c r="DD895" s="4317"/>
      <c r="DE895" s="4317"/>
      <c r="DF895" s="4317"/>
      <c r="DG895" s="4317"/>
      <c r="DH895" s="4317"/>
      <c r="DI895" s="4317"/>
      <c r="DJ895" s="4317"/>
      <c r="DK895" s="4317"/>
      <c r="DL895" s="4317"/>
      <c r="DM895" s="4317"/>
      <c r="DN895" s="4317"/>
      <c r="DO895" s="4317"/>
      <c r="DP895" s="4317"/>
      <c r="DQ895" s="4317"/>
      <c r="DR895" s="4317"/>
      <c r="DS895" s="4317"/>
    </row>
    <row r="896" s="4133" customFormat="1" ht="15.75" customHeight="1" spans="1:125">
      <c r="A896" s="4719" t="s">
        <v>5642</v>
      </c>
      <c r="B896" s="4720"/>
      <c r="C896" s="4720"/>
      <c r="D896" s="4720"/>
      <c r="E896" s="4720"/>
      <c r="F896" s="4720"/>
      <c r="G896" s="4720"/>
      <c r="H896" s="4720"/>
      <c r="I896" s="4720"/>
      <c r="J896" s="4720"/>
      <c r="K896" s="4720"/>
      <c r="L896" s="4720"/>
      <c r="M896" s="4720"/>
      <c r="N896" s="4720"/>
      <c r="O896" s="4737">
        <f t="shared" si="18"/>
        <v>0</v>
      </c>
      <c r="P896" s="4737"/>
      <c r="Q896" s="4737"/>
      <c r="R896" s="4737"/>
      <c r="S896" s="4737"/>
      <c r="T896" s="4737"/>
      <c r="U896" s="4738"/>
      <c r="V896" s="4738"/>
      <c r="W896" s="4738"/>
      <c r="X896" s="4738"/>
      <c r="Y896" s="4738"/>
      <c r="Z896" s="4738"/>
      <c r="AA896" s="4738"/>
      <c r="AB896" s="4738"/>
      <c r="AC896" s="4738"/>
      <c r="AD896" s="4738"/>
      <c r="AE896" s="4738"/>
      <c r="AF896" s="4738"/>
      <c r="AG896" s="4738"/>
      <c r="AH896" s="4738"/>
      <c r="AI896" s="4738"/>
      <c r="AJ896" s="4738"/>
      <c r="AK896" s="4738"/>
      <c r="AL896" s="4738"/>
      <c r="AM896" s="4317"/>
      <c r="AN896" s="4317"/>
      <c r="AO896" s="4317"/>
      <c r="AP896" s="4317"/>
      <c r="AQ896" s="4317"/>
      <c r="AR896" s="4317"/>
      <c r="AS896" s="4317"/>
      <c r="AT896" s="4317"/>
      <c r="AU896" s="4317"/>
      <c r="AV896" s="4317"/>
      <c r="AW896" s="4317"/>
      <c r="AX896" s="4317"/>
      <c r="AY896" s="4317"/>
      <c r="AZ896" s="4317"/>
      <c r="BA896" s="4317"/>
      <c r="BB896" s="4317"/>
      <c r="BC896" s="4317"/>
      <c r="BD896" s="4317"/>
      <c r="BE896" s="4317"/>
      <c r="BF896" s="4317"/>
      <c r="BG896" s="4317"/>
      <c r="BH896" s="4317"/>
      <c r="BI896" s="4317"/>
      <c r="BJ896" s="4317"/>
      <c r="BK896" s="4317"/>
      <c r="BL896" s="4317"/>
      <c r="BM896" s="4317"/>
      <c r="BN896" s="4317"/>
      <c r="BO896" s="4317"/>
      <c r="BP896" s="4317"/>
      <c r="BQ896" s="4317"/>
      <c r="BR896" s="4317"/>
      <c r="BS896" s="4317"/>
      <c r="BT896" s="4317"/>
      <c r="BU896" s="4317"/>
      <c r="BV896" s="4317"/>
      <c r="BW896" s="4317"/>
      <c r="BX896" s="4317"/>
      <c r="BY896" s="4317"/>
      <c r="BZ896" s="4317"/>
      <c r="CA896" s="4317"/>
      <c r="CB896" s="4317"/>
      <c r="CC896" s="4317"/>
      <c r="CD896" s="4317"/>
      <c r="CE896" s="4317"/>
      <c r="CF896" s="4317"/>
      <c r="CG896" s="4317"/>
      <c r="CH896" s="4317"/>
      <c r="CI896" s="4317"/>
      <c r="CJ896" s="4317"/>
      <c r="CK896" s="4317"/>
      <c r="CL896" s="4317"/>
      <c r="CM896" s="4317"/>
      <c r="CN896" s="4317"/>
      <c r="CO896" s="4317"/>
      <c r="CP896" s="4317"/>
      <c r="CQ896" s="4317"/>
      <c r="CR896" s="4317"/>
      <c r="CS896" s="4317"/>
      <c r="CT896" s="4317"/>
      <c r="CU896" s="4317"/>
      <c r="CV896" s="4317"/>
      <c r="CW896" s="4317"/>
      <c r="CX896" s="4317"/>
      <c r="CY896" s="4317"/>
      <c r="CZ896" s="4317"/>
      <c r="DA896" s="4317"/>
      <c r="DB896" s="4317"/>
      <c r="DC896" s="4317"/>
      <c r="DD896" s="4317"/>
      <c r="DE896" s="4317"/>
      <c r="DF896" s="4317"/>
      <c r="DG896" s="4317"/>
      <c r="DH896" s="4317"/>
      <c r="DI896" s="4317"/>
      <c r="DJ896" s="4317"/>
      <c r="DK896" s="4317"/>
      <c r="DL896" s="4317"/>
      <c r="DM896" s="4317"/>
      <c r="DN896" s="4317"/>
      <c r="DO896" s="4317"/>
      <c r="DP896" s="4317"/>
      <c r="DQ896" s="4317"/>
      <c r="DR896" s="4317"/>
      <c r="DS896" s="4317"/>
    </row>
    <row r="897" s="4133" customFormat="1" ht="15.75" customHeight="1" spans="1:123">
      <c r="A897" s="4719" t="s">
        <v>5643</v>
      </c>
      <c r="B897" s="4720"/>
      <c r="C897" s="4720"/>
      <c r="D897" s="4720"/>
      <c r="E897" s="4720"/>
      <c r="F897" s="4720"/>
      <c r="G897" s="4720"/>
      <c r="H897" s="4720"/>
      <c r="I897" s="4720"/>
      <c r="J897" s="4720"/>
      <c r="K897" s="4720"/>
      <c r="L897" s="4720"/>
      <c r="M897" s="4720"/>
      <c r="N897" s="4720"/>
      <c r="O897" s="4737">
        <f t="shared" si="18"/>
        <v>0</v>
      </c>
      <c r="P897" s="4737"/>
      <c r="Q897" s="4737"/>
      <c r="R897" s="4737"/>
      <c r="S897" s="4737"/>
      <c r="T897" s="4737"/>
      <c r="U897" s="4738"/>
      <c r="V897" s="4738"/>
      <c r="W897" s="4738"/>
      <c r="X897" s="4738"/>
      <c r="Y897" s="4738"/>
      <c r="Z897" s="4738"/>
      <c r="AA897" s="4738"/>
      <c r="AB897" s="4738"/>
      <c r="AC897" s="4738"/>
      <c r="AD897" s="4738"/>
      <c r="AE897" s="4738"/>
      <c r="AF897" s="4738"/>
      <c r="AG897" s="4738"/>
      <c r="AH897" s="4738"/>
      <c r="AI897" s="4738"/>
      <c r="AJ897" s="4738"/>
      <c r="AK897" s="4738"/>
      <c r="AL897" s="4738"/>
      <c r="AM897" s="4317"/>
      <c r="AN897" s="4317"/>
      <c r="AO897" s="4317"/>
      <c r="AP897" s="4317"/>
      <c r="AQ897" s="4317"/>
      <c r="AR897" s="4317"/>
      <c r="AS897" s="4317"/>
      <c r="AT897" s="4317"/>
      <c r="AU897" s="4317"/>
      <c r="AV897" s="4317"/>
      <c r="AW897" s="4317"/>
      <c r="AX897" s="4317"/>
      <c r="AY897" s="4317"/>
      <c r="AZ897" s="4317"/>
      <c r="BA897" s="4317"/>
      <c r="BB897" s="4317"/>
      <c r="BC897" s="4317"/>
      <c r="BD897" s="4317"/>
      <c r="BE897" s="4317"/>
      <c r="BF897" s="4317"/>
      <c r="BG897" s="4317"/>
      <c r="BH897" s="4317"/>
      <c r="BI897" s="4317"/>
      <c r="BJ897" s="4317"/>
      <c r="BK897" s="4317"/>
      <c r="BL897" s="4317"/>
      <c r="BM897" s="4317"/>
      <c r="BN897" s="4317"/>
      <c r="BO897" s="4317"/>
      <c r="BP897" s="4317"/>
      <c r="BQ897" s="4317"/>
      <c r="BR897" s="4317"/>
      <c r="BS897" s="4317"/>
      <c r="BT897" s="4317"/>
      <c r="BU897" s="4317"/>
      <c r="BV897" s="4317"/>
      <c r="BW897" s="4317"/>
      <c r="BX897" s="4317"/>
      <c r="BY897" s="4317"/>
      <c r="BZ897" s="4317"/>
      <c r="CA897" s="4317"/>
      <c r="CB897" s="4317"/>
      <c r="CC897" s="4317"/>
      <c r="CD897" s="4317"/>
      <c r="CE897" s="4317"/>
      <c r="CF897" s="4317"/>
      <c r="CG897" s="4317"/>
      <c r="CH897" s="4317"/>
      <c r="CI897" s="4317"/>
      <c r="CJ897" s="4317"/>
      <c r="CK897" s="4317"/>
      <c r="CL897" s="4317"/>
      <c r="CM897" s="4317"/>
      <c r="CN897" s="4317"/>
      <c r="CO897" s="4317"/>
      <c r="CP897" s="4317"/>
      <c r="CQ897" s="4317"/>
      <c r="CR897" s="4317"/>
      <c r="CS897" s="4317"/>
      <c r="CT897" s="4317"/>
      <c r="CU897" s="4317"/>
      <c r="CV897" s="4317"/>
      <c r="CW897" s="4317"/>
      <c r="CX897" s="4317"/>
      <c r="CY897" s="4317"/>
      <c r="CZ897" s="4317"/>
      <c r="DA897" s="4317"/>
      <c r="DB897" s="4317"/>
      <c r="DC897" s="4317"/>
      <c r="DD897" s="4317"/>
      <c r="DE897" s="4317"/>
      <c r="DF897" s="4317"/>
      <c r="DG897" s="4317"/>
      <c r="DH897" s="4317"/>
      <c r="DI897" s="4317"/>
      <c r="DJ897" s="4317"/>
      <c r="DK897" s="4317"/>
      <c r="DL897" s="4317"/>
      <c r="DM897" s="4317"/>
      <c r="DN897" s="4317"/>
      <c r="DO897" s="4317"/>
      <c r="DP897" s="4317"/>
      <c r="DQ897" s="4317"/>
      <c r="DR897" s="4317"/>
      <c r="DS897" s="4317"/>
    </row>
    <row r="898" s="4133" customFormat="1" ht="15.75" customHeight="1" spans="1:123">
      <c r="A898" s="4719" t="s">
        <v>5644</v>
      </c>
      <c r="B898" s="4720"/>
      <c r="C898" s="4720"/>
      <c r="D898" s="4720"/>
      <c r="E898" s="4720"/>
      <c r="F898" s="4720"/>
      <c r="G898" s="4720"/>
      <c r="H898" s="4720"/>
      <c r="I898" s="4720"/>
      <c r="J898" s="4720"/>
      <c r="K898" s="4720"/>
      <c r="L898" s="4720"/>
      <c r="M898" s="4720"/>
      <c r="N898" s="4720"/>
      <c r="O898" s="4737">
        <f t="shared" si="18"/>
        <v>0</v>
      </c>
      <c r="P898" s="4737"/>
      <c r="Q898" s="4737"/>
      <c r="R898" s="4737"/>
      <c r="S898" s="4737"/>
      <c r="T898" s="4737"/>
      <c r="U898" s="4738"/>
      <c r="V898" s="4738"/>
      <c r="W898" s="4738"/>
      <c r="X898" s="4738"/>
      <c r="Y898" s="4738"/>
      <c r="Z898" s="4738"/>
      <c r="AA898" s="4738"/>
      <c r="AB898" s="4738"/>
      <c r="AC898" s="4738"/>
      <c r="AD898" s="4738"/>
      <c r="AE898" s="4738"/>
      <c r="AF898" s="4738"/>
      <c r="AG898" s="4738"/>
      <c r="AH898" s="4738"/>
      <c r="AI898" s="4738"/>
      <c r="AJ898" s="4738"/>
      <c r="AK898" s="4738"/>
      <c r="AL898" s="4738"/>
      <c r="AM898" s="4317"/>
      <c r="AN898" s="4317"/>
      <c r="AO898" s="4317"/>
      <c r="AP898" s="4317"/>
      <c r="AQ898" s="4317"/>
      <c r="AR898" s="4317"/>
      <c r="AS898" s="4317"/>
      <c r="AT898" s="4317"/>
      <c r="AU898" s="4317"/>
      <c r="AV898" s="4317"/>
      <c r="AW898" s="4317"/>
      <c r="AX898" s="4317"/>
      <c r="AY898" s="4317"/>
      <c r="AZ898" s="4317"/>
      <c r="BA898" s="4317"/>
      <c r="BB898" s="4317"/>
      <c r="BC898" s="4317"/>
      <c r="BD898" s="4317"/>
      <c r="BE898" s="4317"/>
      <c r="BF898" s="4317"/>
      <c r="BG898" s="4317"/>
      <c r="BH898" s="4317"/>
      <c r="BI898" s="4317"/>
      <c r="BJ898" s="4317"/>
      <c r="BK898" s="4317"/>
      <c r="BL898" s="4317"/>
      <c r="BM898" s="4317"/>
      <c r="BN898" s="4317"/>
      <c r="BO898" s="4317"/>
      <c r="BP898" s="4317"/>
      <c r="BQ898" s="4317"/>
      <c r="BR898" s="4317"/>
      <c r="BS898" s="4317"/>
      <c r="BT898" s="4317"/>
      <c r="BU898" s="4317"/>
      <c r="BV898" s="4317"/>
      <c r="BW898" s="4317"/>
      <c r="BX898" s="4317"/>
      <c r="BY898" s="4317"/>
      <c r="BZ898" s="4317"/>
      <c r="CA898" s="4317"/>
      <c r="CB898" s="4317"/>
      <c r="CC898" s="4317"/>
      <c r="CD898" s="4317"/>
      <c r="CE898" s="4317"/>
      <c r="CF898" s="4317"/>
      <c r="CG898" s="4317"/>
      <c r="CH898" s="4317"/>
      <c r="CI898" s="4317"/>
      <c r="CJ898" s="4317"/>
      <c r="CK898" s="4317"/>
      <c r="CL898" s="4317"/>
      <c r="CM898" s="4317"/>
      <c r="CN898" s="4317"/>
      <c r="CO898" s="4317"/>
      <c r="CP898" s="4317"/>
      <c r="CQ898" s="4317"/>
      <c r="CR898" s="4317"/>
      <c r="CS898" s="4317"/>
      <c r="CT898" s="4317"/>
      <c r="CU898" s="4317"/>
      <c r="CV898" s="4317"/>
      <c r="CW898" s="4317"/>
      <c r="CX898" s="4317"/>
      <c r="CY898" s="4317"/>
      <c r="CZ898" s="4317"/>
      <c r="DA898" s="4317"/>
      <c r="DB898" s="4317"/>
      <c r="DC898" s="4317"/>
      <c r="DD898" s="4317"/>
      <c r="DE898" s="4317"/>
      <c r="DF898" s="4317"/>
      <c r="DG898" s="4317"/>
      <c r="DH898" s="4317"/>
      <c r="DI898" s="4317"/>
      <c r="DJ898" s="4317"/>
      <c r="DK898" s="4317"/>
      <c r="DL898" s="4317"/>
      <c r="DM898" s="4317"/>
      <c r="DN898" s="4317"/>
      <c r="DO898" s="4317"/>
      <c r="DP898" s="4317"/>
      <c r="DQ898" s="4317"/>
      <c r="DR898" s="4317"/>
      <c r="DS898" s="4317"/>
    </row>
    <row r="899" s="4133" customFormat="1" ht="15.75" customHeight="1" spans="1:123">
      <c r="A899" s="4719" t="s">
        <v>5645</v>
      </c>
      <c r="B899" s="4720"/>
      <c r="C899" s="4720"/>
      <c r="D899" s="4720"/>
      <c r="E899" s="4720"/>
      <c r="F899" s="4720"/>
      <c r="G899" s="4720"/>
      <c r="H899" s="4720"/>
      <c r="I899" s="4720"/>
      <c r="J899" s="4720"/>
      <c r="K899" s="4720"/>
      <c r="L899" s="4720"/>
      <c r="M899" s="4720"/>
      <c r="N899" s="4720"/>
      <c r="O899" s="4737">
        <f t="shared" ref="O899:O919" si="19">U899+AA899</f>
        <v>0</v>
      </c>
      <c r="P899" s="4737"/>
      <c r="Q899" s="4737"/>
      <c r="R899" s="4737"/>
      <c r="S899" s="4737"/>
      <c r="T899" s="4737"/>
      <c r="U899" s="4738"/>
      <c r="V899" s="4738"/>
      <c r="W899" s="4738"/>
      <c r="X899" s="4738"/>
      <c r="Y899" s="4738"/>
      <c r="Z899" s="4738"/>
      <c r="AA899" s="4738"/>
      <c r="AB899" s="4738"/>
      <c r="AC899" s="4738"/>
      <c r="AD899" s="4738"/>
      <c r="AE899" s="4738"/>
      <c r="AF899" s="4738"/>
      <c r="AG899" s="4738"/>
      <c r="AH899" s="4738"/>
      <c r="AI899" s="4738"/>
      <c r="AJ899" s="4738"/>
      <c r="AK899" s="4738"/>
      <c r="AL899" s="4738"/>
      <c r="AM899" s="4317"/>
      <c r="AN899" s="4317"/>
      <c r="AO899" s="4317"/>
      <c r="AP899" s="4317"/>
      <c r="AQ899" s="4317"/>
      <c r="AR899" s="4317"/>
      <c r="AS899" s="4317"/>
      <c r="AT899" s="4317"/>
      <c r="AU899" s="4317"/>
      <c r="AV899" s="4317"/>
      <c r="AW899" s="4317"/>
      <c r="AX899" s="4317"/>
      <c r="AY899" s="4317"/>
      <c r="AZ899" s="4317"/>
      <c r="BA899" s="4317"/>
      <c r="BB899" s="4317"/>
      <c r="BC899" s="4317"/>
      <c r="BD899" s="4317"/>
      <c r="BE899" s="4317"/>
      <c r="BF899" s="4317"/>
      <c r="BG899" s="4317"/>
      <c r="BH899" s="4317"/>
      <c r="BI899" s="4317"/>
      <c r="BJ899" s="4317"/>
      <c r="BK899" s="4317"/>
      <c r="BL899" s="4317"/>
      <c r="BM899" s="4317"/>
      <c r="BN899" s="4317"/>
      <c r="BO899" s="4317"/>
      <c r="BP899" s="4317"/>
      <c r="BQ899" s="4317"/>
      <c r="BR899" s="4317"/>
      <c r="BS899" s="4317"/>
      <c r="BT899" s="4317"/>
      <c r="BU899" s="4317"/>
      <c r="BV899" s="4317"/>
      <c r="BW899" s="4317"/>
      <c r="BX899" s="4317"/>
      <c r="BY899" s="4317"/>
      <c r="BZ899" s="4317"/>
      <c r="CA899" s="4317"/>
      <c r="CB899" s="4317"/>
      <c r="CC899" s="4317"/>
      <c r="CD899" s="4317"/>
      <c r="CE899" s="4317"/>
      <c r="CF899" s="4317"/>
      <c r="CG899" s="4317"/>
      <c r="CH899" s="4317"/>
      <c r="CI899" s="4317"/>
      <c r="CJ899" s="4317"/>
      <c r="CK899" s="4317"/>
      <c r="CL899" s="4317"/>
      <c r="CM899" s="4317"/>
      <c r="CN899" s="4317"/>
      <c r="CO899" s="4317"/>
      <c r="CP899" s="4317"/>
      <c r="CQ899" s="4317"/>
      <c r="CR899" s="4317"/>
      <c r="CS899" s="4317"/>
      <c r="CT899" s="4317"/>
      <c r="CU899" s="4317"/>
      <c r="CV899" s="4317"/>
      <c r="CW899" s="4317"/>
      <c r="CX899" s="4317"/>
      <c r="CY899" s="4317"/>
      <c r="CZ899" s="4317"/>
      <c r="DA899" s="4317"/>
      <c r="DB899" s="4317"/>
      <c r="DC899" s="4317"/>
      <c r="DD899" s="4317"/>
      <c r="DE899" s="4317"/>
      <c r="DF899" s="4317"/>
      <c r="DG899" s="4317"/>
      <c r="DH899" s="4317"/>
      <c r="DI899" s="4317"/>
      <c r="DJ899" s="4317"/>
      <c r="DK899" s="4317"/>
      <c r="DL899" s="4317"/>
      <c r="DM899" s="4317"/>
      <c r="DN899" s="4317"/>
      <c r="DO899" s="4317"/>
      <c r="DP899" s="4317"/>
      <c r="DQ899" s="4317"/>
      <c r="DR899" s="4317"/>
      <c r="DS899" s="4317"/>
    </row>
    <row r="900" s="4133" customFormat="1" ht="17.25" customHeight="1" spans="1:123">
      <c r="A900" s="4736" t="s">
        <v>5646</v>
      </c>
      <c r="B900" s="4720"/>
      <c r="C900" s="4720"/>
      <c r="D900" s="4720"/>
      <c r="E900" s="4720"/>
      <c r="F900" s="4720"/>
      <c r="G900" s="4720"/>
      <c r="H900" s="4720"/>
      <c r="I900" s="4720"/>
      <c r="J900" s="4720"/>
      <c r="K900" s="4720"/>
      <c r="L900" s="4720"/>
      <c r="M900" s="4720"/>
      <c r="N900" s="4720"/>
      <c r="O900" s="4737">
        <f>SUM(O901:T903)</f>
        <v>0</v>
      </c>
      <c r="P900" s="4737"/>
      <c r="Q900" s="4737"/>
      <c r="R900" s="4737"/>
      <c r="S900" s="4737"/>
      <c r="T900" s="4737"/>
      <c r="U900" s="4737">
        <f>SUM(U901:Z903)</f>
        <v>0</v>
      </c>
      <c r="V900" s="4737"/>
      <c r="W900" s="4737"/>
      <c r="X900" s="4737"/>
      <c r="Y900" s="4737"/>
      <c r="Z900" s="4737"/>
      <c r="AA900" s="4737">
        <f>SUM(AA901:AF903)</f>
        <v>0</v>
      </c>
      <c r="AB900" s="4737"/>
      <c r="AC900" s="4737"/>
      <c r="AD900" s="4737"/>
      <c r="AE900" s="4737"/>
      <c r="AF900" s="4737"/>
      <c r="AG900" s="4737">
        <f>SUM(AG901:AL903)</f>
        <v>0</v>
      </c>
      <c r="AH900" s="4737"/>
      <c r="AI900" s="4737"/>
      <c r="AJ900" s="4737"/>
      <c r="AK900" s="4737"/>
      <c r="AL900" s="4737"/>
      <c r="AM900" s="4317"/>
      <c r="AN900" s="4317"/>
      <c r="AO900" s="4317"/>
      <c r="AP900" s="4317"/>
      <c r="AQ900" s="4317"/>
      <c r="AR900" s="4317"/>
      <c r="AS900" s="4317"/>
      <c r="AT900" s="4317"/>
      <c r="AU900" s="4317"/>
      <c r="AV900" s="4317"/>
      <c r="AW900" s="4317"/>
      <c r="AX900" s="4317"/>
      <c r="AY900" s="4317"/>
      <c r="AZ900" s="4317"/>
      <c r="BA900" s="4317"/>
      <c r="BB900" s="4317"/>
      <c r="BC900" s="4317"/>
      <c r="BD900" s="4317"/>
      <c r="BE900" s="4317"/>
      <c r="BF900" s="4317"/>
      <c r="BG900" s="4317"/>
      <c r="BH900" s="4317"/>
      <c r="BI900" s="4317"/>
      <c r="BJ900" s="4317"/>
      <c r="BK900" s="4317"/>
      <c r="BL900" s="4317"/>
      <c r="BM900" s="4317"/>
      <c r="BN900" s="4317"/>
      <c r="BO900" s="4317"/>
      <c r="BP900" s="4317"/>
      <c r="BQ900" s="4317"/>
      <c r="BR900" s="4317"/>
      <c r="BS900" s="4317"/>
      <c r="BT900" s="4317"/>
      <c r="BU900" s="4317"/>
      <c r="BV900" s="4317"/>
      <c r="BW900" s="4317"/>
      <c r="BX900" s="4317"/>
      <c r="BY900" s="4317"/>
      <c r="BZ900" s="4317"/>
      <c r="CA900" s="4317"/>
      <c r="CB900" s="4317"/>
      <c r="CC900" s="4317"/>
      <c r="CD900" s="4317"/>
      <c r="CE900" s="4317"/>
      <c r="CF900" s="4317"/>
      <c r="CG900" s="4317"/>
      <c r="CH900" s="4317"/>
      <c r="CI900" s="4317"/>
      <c r="CJ900" s="4317"/>
      <c r="CK900" s="4317"/>
      <c r="CL900" s="4317"/>
      <c r="CM900" s="4317"/>
      <c r="CN900" s="4317"/>
      <c r="CO900" s="4317"/>
      <c r="CP900" s="4317"/>
      <c r="CQ900" s="4317"/>
      <c r="CR900" s="4317"/>
      <c r="CS900" s="4317"/>
      <c r="CT900" s="4317"/>
      <c r="CU900" s="4317"/>
      <c r="CV900" s="4317"/>
      <c r="CW900" s="4317"/>
      <c r="CX900" s="4317"/>
      <c r="CY900" s="4317"/>
      <c r="CZ900" s="4317"/>
      <c r="DA900" s="4317"/>
      <c r="DB900" s="4317"/>
      <c r="DC900" s="4317"/>
      <c r="DD900" s="4317"/>
      <c r="DE900" s="4317"/>
      <c r="DF900" s="4317"/>
      <c r="DG900" s="4317"/>
      <c r="DH900" s="4317"/>
      <c r="DI900" s="4317"/>
      <c r="DJ900" s="4317"/>
      <c r="DK900" s="4317"/>
      <c r="DL900" s="4317"/>
      <c r="DM900" s="4317"/>
      <c r="DN900" s="4317"/>
      <c r="DO900" s="4317"/>
      <c r="DP900" s="4317"/>
      <c r="DQ900" s="4317"/>
      <c r="DR900" s="4317"/>
      <c r="DS900" s="4317"/>
    </row>
    <row r="901" s="4133" customFormat="1" ht="15.75" customHeight="1" spans="1:123">
      <c r="A901" s="4719" t="s">
        <v>5647</v>
      </c>
      <c r="B901" s="4720"/>
      <c r="C901" s="4720"/>
      <c r="D901" s="4720"/>
      <c r="E901" s="4720"/>
      <c r="F901" s="4720"/>
      <c r="G901" s="4720"/>
      <c r="H901" s="4720"/>
      <c r="I901" s="4720"/>
      <c r="J901" s="4720"/>
      <c r="K901" s="4720"/>
      <c r="L901" s="4720"/>
      <c r="M901" s="4720"/>
      <c r="N901" s="4720"/>
      <c r="O901" s="4737">
        <f t="shared" si="19"/>
        <v>0</v>
      </c>
      <c r="P901" s="4737"/>
      <c r="Q901" s="4737"/>
      <c r="R901" s="4737"/>
      <c r="S901" s="4737"/>
      <c r="T901" s="4737"/>
      <c r="U901" s="4738"/>
      <c r="V901" s="4738"/>
      <c r="W901" s="4738"/>
      <c r="X901" s="4738"/>
      <c r="Y901" s="4738"/>
      <c r="Z901" s="4738"/>
      <c r="AA901" s="4738"/>
      <c r="AB901" s="4738"/>
      <c r="AC901" s="4738"/>
      <c r="AD901" s="4738"/>
      <c r="AE901" s="4738"/>
      <c r="AF901" s="4738"/>
      <c r="AG901" s="4738"/>
      <c r="AH901" s="4738"/>
      <c r="AI901" s="4738"/>
      <c r="AJ901" s="4738"/>
      <c r="AK901" s="4738"/>
      <c r="AL901" s="4738"/>
      <c r="AM901" s="4317"/>
      <c r="AN901" s="4317"/>
      <c r="AO901" s="4317"/>
      <c r="AP901" s="4317"/>
      <c r="AQ901" s="4317"/>
      <c r="AR901" s="4317"/>
      <c r="AS901" s="4317"/>
      <c r="AT901" s="4317"/>
      <c r="AU901" s="4317"/>
      <c r="AV901" s="4317"/>
      <c r="AW901" s="4317"/>
      <c r="AX901" s="4317"/>
      <c r="AY901" s="4317"/>
      <c r="AZ901" s="4317"/>
      <c r="BA901" s="4317"/>
      <c r="BB901" s="4317"/>
      <c r="BC901" s="4317"/>
      <c r="BD901" s="4317"/>
      <c r="BE901" s="4317"/>
      <c r="BF901" s="4317"/>
      <c r="BG901" s="4317"/>
      <c r="BH901" s="4317"/>
      <c r="BI901" s="4317"/>
      <c r="BJ901" s="4317"/>
      <c r="BK901" s="4317"/>
      <c r="BL901" s="4317"/>
      <c r="BM901" s="4317"/>
      <c r="BN901" s="4317"/>
      <c r="BO901" s="4317"/>
      <c r="BP901" s="4317"/>
      <c r="BQ901" s="4317"/>
      <c r="BR901" s="4317"/>
      <c r="BS901" s="4317"/>
      <c r="BT901" s="4317"/>
      <c r="BU901" s="4317"/>
      <c r="BV901" s="4317"/>
      <c r="BW901" s="4317"/>
      <c r="BX901" s="4317"/>
      <c r="BY901" s="4317"/>
      <c r="BZ901" s="4317"/>
      <c r="CA901" s="4317"/>
      <c r="CB901" s="4317"/>
      <c r="CC901" s="4317"/>
      <c r="CD901" s="4317"/>
      <c r="CE901" s="4317"/>
      <c r="CF901" s="4317"/>
      <c r="CG901" s="4317"/>
      <c r="CH901" s="4317"/>
      <c r="CI901" s="4317"/>
      <c r="CJ901" s="4317"/>
      <c r="CK901" s="4317"/>
      <c r="CL901" s="4317"/>
      <c r="CM901" s="4317"/>
      <c r="CN901" s="4317"/>
      <c r="CO901" s="4317"/>
      <c r="CP901" s="4317"/>
      <c r="CQ901" s="4317"/>
      <c r="CR901" s="4317"/>
      <c r="CS901" s="4317"/>
      <c r="CT901" s="4317"/>
      <c r="CU901" s="4317"/>
      <c r="CV901" s="4317"/>
      <c r="CW901" s="4317"/>
      <c r="CX901" s="4317"/>
      <c r="CY901" s="4317"/>
      <c r="CZ901" s="4317"/>
      <c r="DA901" s="4317"/>
      <c r="DB901" s="4317"/>
      <c r="DC901" s="4317"/>
      <c r="DD901" s="4317"/>
      <c r="DE901" s="4317"/>
      <c r="DF901" s="4317"/>
      <c r="DG901" s="4317"/>
      <c r="DH901" s="4317"/>
      <c r="DI901" s="4317"/>
      <c r="DJ901" s="4317"/>
      <c r="DK901" s="4317"/>
      <c r="DL901" s="4317"/>
      <c r="DM901" s="4317"/>
      <c r="DN901" s="4317"/>
      <c r="DO901" s="4317"/>
      <c r="DP901" s="4317"/>
      <c r="DQ901" s="4317"/>
      <c r="DR901" s="4317"/>
      <c r="DS901" s="4317"/>
    </row>
    <row r="902" s="4133" customFormat="1" ht="15.75" customHeight="1" spans="1:123">
      <c r="A902" s="4719" t="s">
        <v>5648</v>
      </c>
      <c r="B902" s="4720"/>
      <c r="C902" s="4720"/>
      <c r="D902" s="4720"/>
      <c r="E902" s="4720"/>
      <c r="F902" s="4720"/>
      <c r="G902" s="4720"/>
      <c r="H902" s="4720"/>
      <c r="I902" s="4720"/>
      <c r="J902" s="4720"/>
      <c r="K902" s="4720"/>
      <c r="L902" s="4720"/>
      <c r="M902" s="4720"/>
      <c r="N902" s="4720"/>
      <c r="O902" s="4737">
        <f t="shared" si="19"/>
        <v>0</v>
      </c>
      <c r="P902" s="4737"/>
      <c r="Q902" s="4737"/>
      <c r="R902" s="4737"/>
      <c r="S902" s="4737"/>
      <c r="T902" s="4737"/>
      <c r="U902" s="4738"/>
      <c r="V902" s="4738"/>
      <c r="W902" s="4738"/>
      <c r="X902" s="4738"/>
      <c r="Y902" s="4738"/>
      <c r="Z902" s="4738"/>
      <c r="AA902" s="4738"/>
      <c r="AB902" s="4738"/>
      <c r="AC902" s="4738"/>
      <c r="AD902" s="4738"/>
      <c r="AE902" s="4738"/>
      <c r="AF902" s="4738"/>
      <c r="AG902" s="4738"/>
      <c r="AH902" s="4738"/>
      <c r="AI902" s="4738"/>
      <c r="AJ902" s="4738"/>
      <c r="AK902" s="4738"/>
      <c r="AL902" s="4738"/>
      <c r="AM902" s="4317"/>
      <c r="AN902" s="4317"/>
      <c r="AO902" s="4317"/>
      <c r="AP902" s="4317"/>
      <c r="AQ902" s="4317"/>
      <c r="AR902" s="4317"/>
      <c r="AS902" s="4317"/>
      <c r="AT902" s="4317"/>
      <c r="AU902" s="4317"/>
      <c r="AV902" s="4317"/>
      <c r="AW902" s="4317"/>
      <c r="AX902" s="4317"/>
      <c r="AY902" s="4317"/>
      <c r="AZ902" s="4317"/>
      <c r="BA902" s="4317"/>
      <c r="BB902" s="4317"/>
      <c r="BC902" s="4317"/>
      <c r="BD902" s="4317"/>
      <c r="BE902" s="4317"/>
      <c r="BF902" s="4317"/>
      <c r="BG902" s="4317"/>
      <c r="BH902" s="4317"/>
      <c r="BI902" s="4317"/>
      <c r="BJ902" s="4317"/>
      <c r="BK902" s="4317"/>
      <c r="BL902" s="4317"/>
      <c r="BM902" s="4317"/>
      <c r="BN902" s="4317"/>
      <c r="BO902" s="4317"/>
      <c r="BP902" s="4317"/>
      <c r="BQ902" s="4317"/>
      <c r="BR902" s="4317"/>
      <c r="BS902" s="4317"/>
      <c r="BT902" s="4317"/>
      <c r="BU902" s="4317"/>
      <c r="BV902" s="4317"/>
      <c r="BW902" s="4317"/>
      <c r="BX902" s="4317"/>
      <c r="BY902" s="4317"/>
      <c r="BZ902" s="4317"/>
      <c r="CA902" s="4317"/>
      <c r="CB902" s="4317"/>
      <c r="CC902" s="4317"/>
      <c r="CD902" s="4317"/>
      <c r="CE902" s="4317"/>
      <c r="CF902" s="4317"/>
      <c r="CG902" s="4317"/>
      <c r="CH902" s="4317"/>
      <c r="CI902" s="4317"/>
      <c r="CJ902" s="4317"/>
      <c r="CK902" s="4317"/>
      <c r="CL902" s="4317"/>
      <c r="CM902" s="4317"/>
      <c r="CN902" s="4317"/>
      <c r="CO902" s="4317"/>
      <c r="CP902" s="4317"/>
      <c r="CQ902" s="4317"/>
      <c r="CR902" s="4317"/>
      <c r="CS902" s="4317"/>
      <c r="CT902" s="4317"/>
      <c r="CU902" s="4317"/>
      <c r="CV902" s="4317"/>
      <c r="CW902" s="4317"/>
      <c r="CX902" s="4317"/>
      <c r="CY902" s="4317"/>
      <c r="CZ902" s="4317"/>
      <c r="DA902" s="4317"/>
      <c r="DB902" s="4317"/>
      <c r="DC902" s="4317"/>
      <c r="DD902" s="4317"/>
      <c r="DE902" s="4317"/>
      <c r="DF902" s="4317"/>
      <c r="DG902" s="4317"/>
      <c r="DH902" s="4317"/>
      <c r="DI902" s="4317"/>
      <c r="DJ902" s="4317"/>
      <c r="DK902" s="4317"/>
      <c r="DL902" s="4317"/>
      <c r="DM902" s="4317"/>
      <c r="DN902" s="4317"/>
      <c r="DO902" s="4317"/>
      <c r="DP902" s="4317"/>
      <c r="DQ902" s="4317"/>
      <c r="DR902" s="4317"/>
      <c r="DS902" s="4317"/>
    </row>
    <row r="903" s="4133" customFormat="1" ht="15.75" customHeight="1" spans="1:123">
      <c r="A903" s="4719" t="s">
        <v>5649</v>
      </c>
      <c r="B903" s="4720"/>
      <c r="C903" s="4720"/>
      <c r="D903" s="4720"/>
      <c r="E903" s="4720"/>
      <c r="F903" s="4720"/>
      <c r="G903" s="4720"/>
      <c r="H903" s="4720"/>
      <c r="I903" s="4720"/>
      <c r="J903" s="4720"/>
      <c r="K903" s="4720"/>
      <c r="L903" s="4720"/>
      <c r="M903" s="4720"/>
      <c r="N903" s="4720"/>
      <c r="O903" s="4737">
        <f t="shared" si="19"/>
        <v>0</v>
      </c>
      <c r="P903" s="4737"/>
      <c r="Q903" s="4737"/>
      <c r="R903" s="4737"/>
      <c r="S903" s="4737"/>
      <c r="T903" s="4737"/>
      <c r="U903" s="4738"/>
      <c r="V903" s="4738"/>
      <c r="W903" s="4738"/>
      <c r="X903" s="4738"/>
      <c r="Y903" s="4738"/>
      <c r="Z903" s="4738"/>
      <c r="AA903" s="4738"/>
      <c r="AB903" s="4738"/>
      <c r="AC903" s="4738"/>
      <c r="AD903" s="4738"/>
      <c r="AE903" s="4738"/>
      <c r="AF903" s="4738"/>
      <c r="AG903" s="4738"/>
      <c r="AH903" s="4738"/>
      <c r="AI903" s="4738"/>
      <c r="AJ903" s="4738"/>
      <c r="AK903" s="4738"/>
      <c r="AL903" s="4738"/>
      <c r="AM903" s="4317"/>
      <c r="AN903" s="4317"/>
      <c r="AO903" s="4317"/>
      <c r="AP903" s="4317"/>
      <c r="AQ903" s="4317"/>
      <c r="AR903" s="4317"/>
      <c r="AS903" s="4317"/>
      <c r="AT903" s="4317"/>
      <c r="AU903" s="4317"/>
      <c r="AV903" s="4317"/>
      <c r="AW903" s="4317"/>
      <c r="AX903" s="4317"/>
      <c r="AY903" s="4317"/>
      <c r="AZ903" s="4317"/>
      <c r="BA903" s="4317"/>
      <c r="BB903" s="4317"/>
      <c r="BC903" s="4317"/>
      <c r="BD903" s="4317"/>
      <c r="BE903" s="4317"/>
      <c r="BF903" s="4317"/>
      <c r="BG903" s="4317"/>
      <c r="BH903" s="4317"/>
      <c r="BI903" s="4317"/>
      <c r="BJ903" s="4317"/>
      <c r="BK903" s="4317"/>
      <c r="BL903" s="4317"/>
      <c r="BM903" s="4317"/>
      <c r="BN903" s="4317"/>
      <c r="BO903" s="4317"/>
      <c r="BP903" s="4317"/>
      <c r="BQ903" s="4317"/>
      <c r="BR903" s="4317"/>
      <c r="BS903" s="4317"/>
      <c r="BT903" s="4317"/>
      <c r="BU903" s="4317"/>
      <c r="BV903" s="4317"/>
      <c r="BW903" s="4317"/>
      <c r="BX903" s="4317"/>
      <c r="BY903" s="4317"/>
      <c r="BZ903" s="4317"/>
      <c r="CA903" s="4317"/>
      <c r="CB903" s="4317"/>
      <c r="CC903" s="4317"/>
      <c r="CD903" s="4317"/>
      <c r="CE903" s="4317"/>
      <c r="CF903" s="4317"/>
      <c r="CG903" s="4317"/>
      <c r="CH903" s="4317"/>
      <c r="CI903" s="4317"/>
      <c r="CJ903" s="4317"/>
      <c r="CK903" s="4317"/>
      <c r="CL903" s="4317"/>
      <c r="CM903" s="4317"/>
      <c r="CN903" s="4317"/>
      <c r="CO903" s="4317"/>
      <c r="CP903" s="4317"/>
      <c r="CQ903" s="4317"/>
      <c r="CR903" s="4317"/>
      <c r="CS903" s="4317"/>
      <c r="CT903" s="4317"/>
      <c r="CU903" s="4317"/>
      <c r="CV903" s="4317"/>
      <c r="CW903" s="4317"/>
      <c r="CX903" s="4317"/>
      <c r="CY903" s="4317"/>
      <c r="CZ903" s="4317"/>
      <c r="DA903" s="4317"/>
      <c r="DB903" s="4317"/>
      <c r="DC903" s="4317"/>
      <c r="DD903" s="4317"/>
      <c r="DE903" s="4317"/>
      <c r="DF903" s="4317"/>
      <c r="DG903" s="4317"/>
      <c r="DH903" s="4317"/>
      <c r="DI903" s="4317"/>
      <c r="DJ903" s="4317"/>
      <c r="DK903" s="4317"/>
      <c r="DL903" s="4317"/>
      <c r="DM903" s="4317"/>
      <c r="DN903" s="4317"/>
      <c r="DO903" s="4317"/>
      <c r="DP903" s="4317"/>
      <c r="DQ903" s="4317"/>
      <c r="DR903" s="4317"/>
      <c r="DS903" s="4317"/>
    </row>
    <row r="904" s="4133" customFormat="1" ht="21" customHeight="1" spans="1:123">
      <c r="A904" s="4740" t="s">
        <v>5650</v>
      </c>
      <c r="B904" s="4720"/>
      <c r="C904" s="4720"/>
      <c r="D904" s="4720"/>
      <c r="E904" s="4720"/>
      <c r="F904" s="4720"/>
      <c r="G904" s="4720"/>
      <c r="H904" s="4720"/>
      <c r="I904" s="4720"/>
      <c r="J904" s="4720"/>
      <c r="K904" s="4720"/>
      <c r="L904" s="4720"/>
      <c r="M904" s="4720"/>
      <c r="N904" s="4720"/>
      <c r="O904" s="4737">
        <f>U904</f>
        <v>0</v>
      </c>
      <c r="P904" s="4737"/>
      <c r="Q904" s="4737"/>
      <c r="R904" s="4737"/>
      <c r="S904" s="4737"/>
      <c r="T904" s="4737"/>
      <c r="U904" s="4741">
        <f>U900+U890</f>
        <v>0</v>
      </c>
      <c r="V904" s="4741"/>
      <c r="W904" s="4741"/>
      <c r="X904" s="4741"/>
      <c r="Y904" s="4741"/>
      <c r="Z904" s="4741"/>
      <c r="AA904" s="4739" t="s">
        <v>5634</v>
      </c>
      <c r="AB904" s="4739"/>
      <c r="AC904" s="4739"/>
      <c r="AD904" s="4739"/>
      <c r="AE904" s="4739"/>
      <c r="AF904" s="4739"/>
      <c r="AG904" s="4739" t="s">
        <v>5635</v>
      </c>
      <c r="AH904" s="4739"/>
      <c r="AI904" s="4739"/>
      <c r="AJ904" s="4739"/>
      <c r="AK904" s="4739"/>
      <c r="AL904" s="4739"/>
      <c r="AM904" s="4742"/>
      <c r="AN904" s="4317"/>
      <c r="AO904" s="4317"/>
      <c r="AP904" s="4317"/>
      <c r="AQ904" s="4317"/>
      <c r="AR904" s="4317"/>
      <c r="AS904" s="4317"/>
      <c r="AT904" s="4317"/>
      <c r="AU904" s="4317"/>
      <c r="AV904" s="4317"/>
      <c r="AW904" s="4317"/>
      <c r="AX904" s="4317"/>
      <c r="AY904" s="4317"/>
      <c r="AZ904" s="4317"/>
      <c r="BA904" s="4317"/>
      <c r="BB904" s="4317"/>
      <c r="BC904" s="4317"/>
      <c r="BD904" s="4317"/>
      <c r="BE904" s="4317"/>
      <c r="BF904" s="4317"/>
      <c r="BG904" s="4317"/>
      <c r="BH904" s="4317"/>
      <c r="BI904" s="4317"/>
      <c r="BJ904" s="4317"/>
      <c r="BK904" s="4317"/>
      <c r="BL904" s="4317"/>
      <c r="BM904" s="4317"/>
      <c r="BN904" s="4317"/>
      <c r="BO904" s="4317"/>
      <c r="BP904" s="4317"/>
      <c r="BQ904" s="4317"/>
      <c r="BR904" s="4317"/>
      <c r="BS904" s="4317"/>
      <c r="BT904" s="4317"/>
      <c r="BU904" s="4317"/>
      <c r="BV904" s="4317"/>
      <c r="BW904" s="4317"/>
      <c r="BX904" s="4317"/>
      <c r="BY904" s="4317"/>
      <c r="BZ904" s="4317"/>
      <c r="CA904" s="4317"/>
      <c r="CB904" s="4317"/>
      <c r="CC904" s="4317"/>
      <c r="CD904" s="4317"/>
      <c r="CE904" s="4317"/>
      <c r="CF904" s="4317"/>
      <c r="CG904" s="4317"/>
      <c r="CH904" s="4317"/>
      <c r="CI904" s="4317"/>
      <c r="CJ904" s="4317"/>
      <c r="CK904" s="4317"/>
      <c r="CL904" s="4317"/>
      <c r="CM904" s="4317"/>
      <c r="CN904" s="4317"/>
      <c r="CO904" s="4317"/>
      <c r="CP904" s="4317"/>
      <c r="CQ904" s="4317"/>
      <c r="CR904" s="4317"/>
      <c r="CS904" s="4317"/>
      <c r="CT904" s="4317"/>
      <c r="CU904" s="4317"/>
      <c r="CV904" s="4317"/>
      <c r="CW904" s="4317"/>
      <c r="CX904" s="4317"/>
      <c r="CY904" s="4317"/>
      <c r="CZ904" s="4317"/>
      <c r="DA904" s="4317"/>
      <c r="DB904" s="4317"/>
      <c r="DC904" s="4317"/>
      <c r="DD904" s="4317"/>
      <c r="DE904" s="4317"/>
      <c r="DF904" s="4317"/>
      <c r="DG904" s="4317"/>
      <c r="DH904" s="4317"/>
      <c r="DI904" s="4317"/>
      <c r="DJ904" s="4317"/>
      <c r="DK904" s="4317"/>
      <c r="DL904" s="4317"/>
      <c r="DM904" s="4317"/>
      <c r="DN904" s="4317"/>
      <c r="DO904" s="4317"/>
      <c r="DP904" s="4317"/>
      <c r="DQ904" s="4317"/>
      <c r="DR904" s="4317"/>
      <c r="DS904" s="4317"/>
    </row>
    <row r="905" s="4133" customFormat="1" ht="15.75" customHeight="1" spans="1:123">
      <c r="A905" s="4736" t="s">
        <v>5651</v>
      </c>
      <c r="B905" s="4720"/>
      <c r="C905" s="4720"/>
      <c r="D905" s="4720"/>
      <c r="E905" s="4720"/>
      <c r="F905" s="4720"/>
      <c r="G905" s="4720"/>
      <c r="H905" s="4720"/>
      <c r="I905" s="4720"/>
      <c r="J905" s="4720"/>
      <c r="K905" s="4720"/>
      <c r="L905" s="4720"/>
      <c r="M905" s="4720"/>
      <c r="N905" s="4720"/>
      <c r="O905" s="4737">
        <f t="shared" si="19"/>
        <v>0</v>
      </c>
      <c r="P905" s="4737"/>
      <c r="Q905" s="4737"/>
      <c r="R905" s="4737"/>
      <c r="S905" s="4737"/>
      <c r="T905" s="4737"/>
      <c r="U905" s="4737">
        <f>SUM(U906:Z907)</f>
        <v>0</v>
      </c>
      <c r="V905" s="4737"/>
      <c r="W905" s="4737"/>
      <c r="X905" s="4737"/>
      <c r="Y905" s="4737"/>
      <c r="Z905" s="4737"/>
      <c r="AA905" s="4737">
        <f>SUM(AA906:AF907)</f>
        <v>0</v>
      </c>
      <c r="AB905" s="4737"/>
      <c r="AC905" s="4737"/>
      <c r="AD905" s="4737"/>
      <c r="AE905" s="4737"/>
      <c r="AF905" s="4737"/>
      <c r="AG905" s="4737">
        <f>SUM(AG906:AL907)</f>
        <v>0</v>
      </c>
      <c r="AH905" s="4737"/>
      <c r="AI905" s="4737"/>
      <c r="AJ905" s="4737"/>
      <c r="AK905" s="4737"/>
      <c r="AL905" s="4737"/>
      <c r="AM905" s="4317"/>
      <c r="AN905" s="4317"/>
      <c r="AO905" s="4317"/>
      <c r="AP905" s="4317"/>
      <c r="AQ905" s="4317"/>
      <c r="AR905" s="4317"/>
      <c r="AS905" s="4317"/>
      <c r="AT905" s="4317"/>
      <c r="AU905" s="4317"/>
      <c r="AV905" s="4317"/>
      <c r="AW905" s="4317"/>
      <c r="AX905" s="4317"/>
      <c r="AY905" s="4317"/>
      <c r="AZ905" s="4317"/>
      <c r="BA905" s="4317"/>
      <c r="BB905" s="4317"/>
      <c r="BC905" s="4317"/>
      <c r="BD905" s="4317"/>
      <c r="BE905" s="4317"/>
      <c r="BF905" s="4317"/>
      <c r="BG905" s="4317"/>
      <c r="BH905" s="4317"/>
      <c r="BI905" s="4317"/>
      <c r="BJ905" s="4317"/>
      <c r="BK905" s="4317"/>
      <c r="BL905" s="4317"/>
      <c r="BM905" s="4317"/>
      <c r="BN905" s="4317"/>
      <c r="BO905" s="4317"/>
      <c r="BP905" s="4317"/>
      <c r="BQ905" s="4317"/>
      <c r="BR905" s="4317"/>
      <c r="BS905" s="4317"/>
      <c r="BT905" s="4317"/>
      <c r="BU905" s="4317"/>
      <c r="BV905" s="4317"/>
      <c r="BW905" s="4317"/>
      <c r="BX905" s="4317"/>
      <c r="BY905" s="4317"/>
      <c r="BZ905" s="4317"/>
      <c r="CA905" s="4317"/>
      <c r="CB905" s="4317"/>
      <c r="CC905" s="4317"/>
      <c r="CD905" s="4317"/>
      <c r="CE905" s="4317"/>
      <c r="CF905" s="4317"/>
      <c r="CG905" s="4317"/>
      <c r="CH905" s="4317"/>
      <c r="CI905" s="4317"/>
      <c r="CJ905" s="4317"/>
      <c r="CK905" s="4317"/>
      <c r="CL905" s="4317"/>
      <c r="CM905" s="4317"/>
      <c r="CN905" s="4317"/>
      <c r="CO905" s="4317"/>
      <c r="CP905" s="4317"/>
      <c r="CQ905" s="4317"/>
      <c r="CR905" s="4317"/>
      <c r="CS905" s="4317"/>
      <c r="CT905" s="4317"/>
      <c r="CU905" s="4317"/>
      <c r="CV905" s="4317"/>
      <c r="CW905" s="4317"/>
      <c r="CX905" s="4317"/>
      <c r="CY905" s="4317"/>
      <c r="CZ905" s="4317"/>
      <c r="DA905" s="4317"/>
      <c r="DB905" s="4317"/>
      <c r="DC905" s="4317"/>
      <c r="DD905" s="4317"/>
      <c r="DE905" s="4317"/>
      <c r="DF905" s="4317"/>
      <c r="DG905" s="4317"/>
      <c r="DH905" s="4317"/>
      <c r="DI905" s="4317"/>
      <c r="DJ905" s="4317"/>
      <c r="DK905" s="4317"/>
      <c r="DL905" s="4317"/>
      <c r="DM905" s="4317"/>
      <c r="DN905" s="4317"/>
      <c r="DO905" s="4317"/>
      <c r="DP905" s="4317"/>
      <c r="DQ905" s="4317"/>
      <c r="DR905" s="4317"/>
      <c r="DS905" s="4317"/>
    </row>
    <row r="906" s="4133" customFormat="1" ht="15.75" customHeight="1" spans="1:123">
      <c r="A906" s="4719" t="s">
        <v>5652</v>
      </c>
      <c r="B906" s="4720"/>
      <c r="C906" s="4720"/>
      <c r="D906" s="4720"/>
      <c r="E906" s="4720"/>
      <c r="F906" s="4720"/>
      <c r="G906" s="4720"/>
      <c r="H906" s="4720"/>
      <c r="I906" s="4720"/>
      <c r="J906" s="4720"/>
      <c r="K906" s="4720"/>
      <c r="L906" s="4720"/>
      <c r="M906" s="4720"/>
      <c r="N906" s="4720"/>
      <c r="O906" s="4737">
        <f t="shared" si="19"/>
        <v>0</v>
      </c>
      <c r="P906" s="4737"/>
      <c r="Q906" s="4737"/>
      <c r="R906" s="4737"/>
      <c r="S906" s="4737"/>
      <c r="T906" s="4737"/>
      <c r="U906" s="4738"/>
      <c r="V906" s="4738"/>
      <c r="W906" s="4738"/>
      <c r="X906" s="4738"/>
      <c r="Y906" s="4738"/>
      <c r="Z906" s="4738"/>
      <c r="AA906" s="4738"/>
      <c r="AB906" s="4738"/>
      <c r="AC906" s="4738"/>
      <c r="AD906" s="4738"/>
      <c r="AE906" s="4738"/>
      <c r="AF906" s="4738"/>
      <c r="AG906" s="4738"/>
      <c r="AH906" s="4738"/>
      <c r="AI906" s="4738"/>
      <c r="AJ906" s="4738"/>
      <c r="AK906" s="4738"/>
      <c r="AL906" s="4738"/>
      <c r="AM906" s="4317"/>
      <c r="AN906" s="4317"/>
      <c r="AO906" s="4317"/>
      <c r="AP906" s="4317"/>
      <c r="AQ906" s="4317"/>
      <c r="AR906" s="4317"/>
      <c r="AS906" s="4317"/>
      <c r="AT906" s="4317"/>
      <c r="AU906" s="4317"/>
      <c r="AV906" s="4317"/>
      <c r="AW906" s="4317"/>
      <c r="AX906" s="4317"/>
      <c r="AY906" s="4317"/>
      <c r="AZ906" s="4317"/>
      <c r="BA906" s="4317"/>
      <c r="BB906" s="4317"/>
      <c r="BC906" s="4317"/>
      <c r="BD906" s="4317"/>
      <c r="BE906" s="4317"/>
      <c r="BF906" s="4317"/>
      <c r="BG906" s="4317"/>
      <c r="BH906" s="4317"/>
      <c r="BI906" s="4317"/>
      <c r="BJ906" s="4317"/>
      <c r="BK906" s="4317"/>
      <c r="BL906" s="4317"/>
      <c r="BM906" s="4317"/>
      <c r="BN906" s="4317"/>
      <c r="BO906" s="4317"/>
      <c r="BP906" s="4317"/>
      <c r="BQ906" s="4317"/>
      <c r="BR906" s="4317"/>
      <c r="BS906" s="4317"/>
      <c r="BT906" s="4317"/>
      <c r="BU906" s="4317"/>
      <c r="BV906" s="4317"/>
      <c r="BW906" s="4317"/>
      <c r="BX906" s="4317"/>
      <c r="BY906" s="4317"/>
      <c r="BZ906" s="4317"/>
      <c r="CA906" s="4317"/>
      <c r="CB906" s="4317"/>
      <c r="CC906" s="4317"/>
      <c r="CD906" s="4317"/>
      <c r="CE906" s="4317"/>
      <c r="CF906" s="4317"/>
      <c r="CG906" s="4317"/>
      <c r="CH906" s="4317"/>
      <c r="CI906" s="4317"/>
      <c r="CJ906" s="4317"/>
      <c r="CK906" s="4317"/>
      <c r="CL906" s="4317"/>
      <c r="CM906" s="4317"/>
      <c r="CN906" s="4317"/>
      <c r="CO906" s="4317"/>
      <c r="CP906" s="4317"/>
      <c r="CQ906" s="4317"/>
      <c r="CR906" s="4317"/>
      <c r="CS906" s="4317"/>
      <c r="CT906" s="4317"/>
      <c r="CU906" s="4317"/>
      <c r="CV906" s="4317"/>
      <c r="CW906" s="4317"/>
      <c r="CX906" s="4317"/>
      <c r="CY906" s="4317"/>
      <c r="CZ906" s="4317"/>
      <c r="DA906" s="4317"/>
      <c r="DB906" s="4317"/>
      <c r="DC906" s="4317"/>
      <c r="DD906" s="4317"/>
      <c r="DE906" s="4317"/>
      <c r="DF906" s="4317"/>
      <c r="DG906" s="4317"/>
      <c r="DH906" s="4317"/>
      <c r="DI906" s="4317"/>
      <c r="DJ906" s="4317"/>
      <c r="DK906" s="4317"/>
      <c r="DL906" s="4317"/>
      <c r="DM906" s="4317"/>
      <c r="DN906" s="4317"/>
      <c r="DO906" s="4317"/>
      <c r="DP906" s="4317"/>
      <c r="DQ906" s="4317"/>
      <c r="DR906" s="4317"/>
      <c r="DS906" s="4317"/>
    </row>
    <row r="907" s="4133" customFormat="1" ht="15.75" customHeight="1" spans="1:123">
      <c r="A907" s="4719" t="s">
        <v>5653</v>
      </c>
      <c r="B907" s="4720"/>
      <c r="C907" s="4720"/>
      <c r="D907" s="4720"/>
      <c r="E907" s="4720"/>
      <c r="F907" s="4720"/>
      <c r="G907" s="4720"/>
      <c r="H907" s="4720"/>
      <c r="I907" s="4720"/>
      <c r="J907" s="4720"/>
      <c r="K907" s="4720"/>
      <c r="L907" s="4720"/>
      <c r="M907" s="4720"/>
      <c r="N907" s="4720"/>
      <c r="O907" s="4737">
        <f t="shared" si="19"/>
        <v>0</v>
      </c>
      <c r="P907" s="4737"/>
      <c r="Q907" s="4737"/>
      <c r="R907" s="4737"/>
      <c r="S907" s="4737"/>
      <c r="T907" s="4737"/>
      <c r="U907" s="4738"/>
      <c r="V907" s="4738"/>
      <c r="W907" s="4738"/>
      <c r="X907" s="4738"/>
      <c r="Y907" s="4738"/>
      <c r="Z907" s="4738"/>
      <c r="AA907" s="4738"/>
      <c r="AB907" s="4738"/>
      <c r="AC907" s="4738"/>
      <c r="AD907" s="4738"/>
      <c r="AE907" s="4738"/>
      <c r="AF907" s="4738"/>
      <c r="AG907" s="4738"/>
      <c r="AH907" s="4738"/>
      <c r="AI907" s="4738"/>
      <c r="AJ907" s="4738"/>
      <c r="AK907" s="4738"/>
      <c r="AL907" s="4738"/>
      <c r="AM907" s="4317"/>
      <c r="AN907" s="4317"/>
      <c r="AO907" s="4317"/>
      <c r="AP907" s="4317"/>
      <c r="AQ907" s="4317"/>
      <c r="AR907" s="4317"/>
      <c r="AS907" s="4317"/>
      <c r="AT907" s="4317"/>
      <c r="AU907" s="4317"/>
      <c r="AV907" s="4317"/>
      <c r="AW907" s="4317"/>
      <c r="AX907" s="4317"/>
      <c r="AY907" s="4317"/>
      <c r="AZ907" s="4317"/>
      <c r="BA907" s="4317"/>
      <c r="BB907" s="4317"/>
      <c r="BC907" s="4317"/>
      <c r="BD907" s="4317"/>
      <c r="BE907" s="4317"/>
      <c r="BF907" s="4317"/>
      <c r="BG907" s="4317"/>
      <c r="BH907" s="4317"/>
      <c r="BI907" s="4317"/>
      <c r="BJ907" s="4317"/>
      <c r="BK907" s="4317"/>
      <c r="BL907" s="4317"/>
      <c r="BM907" s="4317"/>
      <c r="BN907" s="4317"/>
      <c r="BO907" s="4317"/>
      <c r="BP907" s="4317"/>
      <c r="BQ907" s="4317"/>
      <c r="BR907" s="4317"/>
      <c r="BS907" s="4317"/>
      <c r="BT907" s="4317"/>
      <c r="BU907" s="4317"/>
      <c r="BV907" s="4317"/>
      <c r="BW907" s="4317"/>
      <c r="BX907" s="4317"/>
      <c r="BY907" s="4317"/>
      <c r="BZ907" s="4317"/>
      <c r="CA907" s="4317"/>
      <c r="CB907" s="4317"/>
      <c r="CC907" s="4317"/>
      <c r="CD907" s="4317"/>
      <c r="CE907" s="4317"/>
      <c r="CF907" s="4317"/>
      <c r="CG907" s="4317"/>
      <c r="CH907" s="4317"/>
      <c r="CI907" s="4317"/>
      <c r="CJ907" s="4317"/>
      <c r="CK907" s="4317"/>
      <c r="CL907" s="4317"/>
      <c r="CM907" s="4317"/>
      <c r="CN907" s="4317"/>
      <c r="CO907" s="4317"/>
      <c r="CP907" s="4317"/>
      <c r="CQ907" s="4317"/>
      <c r="CR907" s="4317"/>
      <c r="CS907" s="4317"/>
      <c r="CT907" s="4317"/>
      <c r="CU907" s="4317"/>
      <c r="CV907" s="4317"/>
      <c r="CW907" s="4317"/>
      <c r="CX907" s="4317"/>
      <c r="CY907" s="4317"/>
      <c r="CZ907" s="4317"/>
      <c r="DA907" s="4317"/>
      <c r="DB907" s="4317"/>
      <c r="DC907" s="4317"/>
      <c r="DD907" s="4317"/>
      <c r="DE907" s="4317"/>
      <c r="DF907" s="4317"/>
      <c r="DG907" s="4317"/>
      <c r="DH907" s="4317"/>
      <c r="DI907" s="4317"/>
      <c r="DJ907" s="4317"/>
      <c r="DK907" s="4317"/>
      <c r="DL907" s="4317"/>
      <c r="DM907" s="4317"/>
      <c r="DN907" s="4317"/>
      <c r="DO907" s="4317"/>
      <c r="DP907" s="4317"/>
      <c r="DQ907" s="4317"/>
      <c r="DR907" s="4317"/>
      <c r="DS907" s="4317"/>
    </row>
    <row r="908" s="4133" customFormat="1" ht="15.75" customHeight="1" spans="1:123">
      <c r="A908" s="4736" t="s">
        <v>5654</v>
      </c>
      <c r="B908" s="4720"/>
      <c r="C908" s="4720"/>
      <c r="D908" s="4720"/>
      <c r="E908" s="4720"/>
      <c r="F908" s="4720"/>
      <c r="G908" s="4720"/>
      <c r="H908" s="4720"/>
      <c r="I908" s="4720"/>
      <c r="J908" s="4720"/>
      <c r="K908" s="4720"/>
      <c r="L908" s="4720"/>
      <c r="M908" s="4720"/>
      <c r="N908" s="4720"/>
      <c r="O908" s="4737">
        <f t="shared" si="19"/>
        <v>0</v>
      </c>
      <c r="P908" s="4737"/>
      <c r="Q908" s="4737"/>
      <c r="R908" s="4737"/>
      <c r="S908" s="4737"/>
      <c r="T908" s="4737"/>
      <c r="U908" s="4737">
        <f>SUM(U909:Z916)</f>
        <v>0</v>
      </c>
      <c r="V908" s="4737"/>
      <c r="W908" s="4737"/>
      <c r="X908" s="4737"/>
      <c r="Y908" s="4737"/>
      <c r="Z908" s="4737"/>
      <c r="AA908" s="4737">
        <f t="shared" ref="AA908" si="20">SUM(AA909:AF916)</f>
        <v>0</v>
      </c>
      <c r="AB908" s="4737"/>
      <c r="AC908" s="4737"/>
      <c r="AD908" s="4737"/>
      <c r="AE908" s="4737"/>
      <c r="AF908" s="4737"/>
      <c r="AG908" s="4737">
        <f t="shared" ref="AG908" si="21">SUM(AG909:AL916)</f>
        <v>0</v>
      </c>
      <c r="AH908" s="4737"/>
      <c r="AI908" s="4737"/>
      <c r="AJ908" s="4737"/>
      <c r="AK908" s="4737"/>
      <c r="AL908" s="4737"/>
      <c r="AM908" s="4317"/>
      <c r="AN908" s="4317"/>
      <c r="AO908" s="4317"/>
      <c r="AP908" s="4317"/>
      <c r="AQ908" s="4317"/>
      <c r="AR908" s="4317"/>
      <c r="AS908" s="4317"/>
      <c r="AT908" s="4317"/>
      <c r="AU908" s="4317"/>
      <c r="AV908" s="4317"/>
      <c r="AW908" s="4317"/>
      <c r="AX908" s="4317"/>
      <c r="AY908" s="4317"/>
      <c r="AZ908" s="4317"/>
      <c r="BA908" s="4317"/>
      <c r="BB908" s="4317"/>
      <c r="BC908" s="4317"/>
      <c r="BD908" s="4317"/>
      <c r="BE908" s="4317"/>
      <c r="BF908" s="4317"/>
      <c r="BG908" s="4317"/>
      <c r="BH908" s="4317"/>
      <c r="BI908" s="4317"/>
      <c r="BJ908" s="4317"/>
      <c r="BK908" s="4317"/>
      <c r="BL908" s="4317"/>
      <c r="BM908" s="4317"/>
      <c r="BN908" s="4317"/>
      <c r="BO908" s="4317"/>
      <c r="BP908" s="4317"/>
      <c r="BQ908" s="4317"/>
      <c r="BR908" s="4317"/>
      <c r="BS908" s="4317"/>
      <c r="BT908" s="4317"/>
      <c r="BU908" s="4317"/>
      <c r="BV908" s="4317"/>
      <c r="BW908" s="4317"/>
      <c r="BX908" s="4317"/>
      <c r="BY908" s="4317"/>
      <c r="BZ908" s="4317"/>
      <c r="CA908" s="4317"/>
      <c r="CB908" s="4317"/>
      <c r="CC908" s="4317"/>
      <c r="CD908" s="4317"/>
      <c r="CE908" s="4317"/>
      <c r="CF908" s="4317"/>
      <c r="CG908" s="4317"/>
      <c r="CH908" s="4317"/>
      <c r="CI908" s="4317"/>
      <c r="CJ908" s="4317"/>
      <c r="CK908" s="4317"/>
      <c r="CL908" s="4317"/>
      <c r="CM908" s="4317"/>
      <c r="CN908" s="4317"/>
      <c r="CO908" s="4317"/>
      <c r="CP908" s="4317"/>
      <c r="CQ908" s="4317"/>
      <c r="CR908" s="4317"/>
      <c r="CS908" s="4317"/>
      <c r="CT908" s="4317"/>
      <c r="CU908" s="4317"/>
      <c r="CV908" s="4317"/>
      <c r="CW908" s="4317"/>
      <c r="CX908" s="4317"/>
      <c r="CY908" s="4317"/>
      <c r="CZ908" s="4317"/>
      <c r="DA908" s="4317"/>
      <c r="DB908" s="4317"/>
      <c r="DC908" s="4317"/>
      <c r="DD908" s="4317"/>
      <c r="DE908" s="4317"/>
      <c r="DF908" s="4317"/>
      <c r="DG908" s="4317"/>
      <c r="DH908" s="4317"/>
      <c r="DI908" s="4317"/>
      <c r="DJ908" s="4317"/>
      <c r="DK908" s="4317"/>
      <c r="DL908" s="4317"/>
      <c r="DM908" s="4317"/>
      <c r="DN908" s="4317"/>
      <c r="DO908" s="4317"/>
      <c r="DP908" s="4317"/>
      <c r="DQ908" s="4317"/>
      <c r="DR908" s="4317"/>
      <c r="DS908" s="4317"/>
    </row>
    <row r="909" s="4133" customFormat="1" ht="15.75" customHeight="1" spans="1:123">
      <c r="A909" s="4719" t="s">
        <v>5655</v>
      </c>
      <c r="B909" s="4720"/>
      <c r="C909" s="4720"/>
      <c r="D909" s="4720"/>
      <c r="E909" s="4720"/>
      <c r="F909" s="4720"/>
      <c r="G909" s="4720"/>
      <c r="H909" s="4720"/>
      <c r="I909" s="4720"/>
      <c r="J909" s="4720"/>
      <c r="K909" s="4720"/>
      <c r="L909" s="4720"/>
      <c r="M909" s="4720"/>
      <c r="N909" s="4720"/>
      <c r="O909" s="4737">
        <f t="shared" ref="O909" si="22">U909+AA909</f>
        <v>0</v>
      </c>
      <c r="P909" s="4737"/>
      <c r="Q909" s="4737"/>
      <c r="R909" s="4737"/>
      <c r="S909" s="4737"/>
      <c r="T909" s="4737"/>
      <c r="U909" s="4738"/>
      <c r="V909" s="4738"/>
      <c r="W909" s="4738"/>
      <c r="X909" s="4738"/>
      <c r="Y909" s="4738"/>
      <c r="Z909" s="4738"/>
      <c r="AA909" s="4738"/>
      <c r="AB909" s="4738"/>
      <c r="AC909" s="4738"/>
      <c r="AD909" s="4738"/>
      <c r="AE909" s="4738"/>
      <c r="AF909" s="4738"/>
      <c r="AG909" s="4738"/>
      <c r="AH909" s="4738"/>
      <c r="AI909" s="4738"/>
      <c r="AJ909" s="4738"/>
      <c r="AK909" s="4738"/>
      <c r="AL909" s="4738"/>
      <c r="AM909" s="4317"/>
      <c r="AN909" s="4317"/>
      <c r="AO909" s="4317"/>
      <c r="AP909" s="4317"/>
      <c r="AQ909" s="4317"/>
      <c r="AR909" s="4317"/>
      <c r="AS909" s="4317"/>
      <c r="AT909" s="4317"/>
      <c r="AU909" s="4317"/>
      <c r="AV909" s="4317"/>
      <c r="AW909" s="4317"/>
      <c r="AX909" s="4317"/>
      <c r="AY909" s="4317"/>
      <c r="AZ909" s="4317"/>
      <c r="BA909" s="4317"/>
      <c r="BB909" s="4317"/>
      <c r="BC909" s="4317"/>
      <c r="BD909" s="4317"/>
      <c r="BE909" s="4317"/>
      <c r="BF909" s="4317"/>
      <c r="BG909" s="4317"/>
      <c r="BH909" s="4317"/>
      <c r="BI909" s="4317"/>
      <c r="BJ909" s="4317"/>
      <c r="BK909" s="4317"/>
      <c r="BL909" s="4317"/>
      <c r="BM909" s="4317"/>
      <c r="BN909" s="4317"/>
      <c r="BO909" s="4317"/>
      <c r="BP909" s="4317"/>
      <c r="BQ909" s="4317"/>
      <c r="BR909" s="4317"/>
      <c r="BS909" s="4317"/>
      <c r="BT909" s="4317"/>
      <c r="BU909" s="4317"/>
      <c r="BV909" s="4317"/>
      <c r="BW909" s="4317"/>
      <c r="BX909" s="4317"/>
      <c r="BY909" s="4317"/>
      <c r="BZ909" s="4317"/>
      <c r="CA909" s="4317"/>
      <c r="CB909" s="4317"/>
      <c r="CC909" s="4317"/>
      <c r="CD909" s="4317"/>
      <c r="CE909" s="4317"/>
      <c r="CF909" s="4317"/>
      <c r="CG909" s="4317"/>
      <c r="CH909" s="4317"/>
      <c r="CI909" s="4317"/>
      <c r="CJ909" s="4317"/>
      <c r="CK909" s="4317"/>
      <c r="CL909" s="4317"/>
      <c r="CM909" s="4317"/>
      <c r="CN909" s="4317"/>
      <c r="CO909" s="4317"/>
      <c r="CP909" s="4317"/>
      <c r="CQ909" s="4317"/>
      <c r="CR909" s="4317"/>
      <c r="CS909" s="4317"/>
      <c r="CT909" s="4317"/>
      <c r="CU909" s="4317"/>
      <c r="CV909" s="4317"/>
      <c r="CW909" s="4317"/>
      <c r="CX909" s="4317"/>
      <c r="CY909" s="4317"/>
      <c r="CZ909" s="4317"/>
      <c r="DA909" s="4317"/>
      <c r="DB909" s="4317"/>
      <c r="DC909" s="4317"/>
      <c r="DD909" s="4317"/>
      <c r="DE909" s="4317"/>
      <c r="DF909" s="4317"/>
      <c r="DG909" s="4317"/>
      <c r="DH909" s="4317"/>
      <c r="DI909" s="4317"/>
      <c r="DJ909" s="4317"/>
      <c r="DK909" s="4317"/>
      <c r="DL909" s="4317"/>
      <c r="DM909" s="4317"/>
      <c r="DN909" s="4317"/>
      <c r="DO909" s="4317"/>
      <c r="DP909" s="4317"/>
      <c r="DQ909" s="4317"/>
      <c r="DR909" s="4317"/>
      <c r="DS909" s="4317"/>
    </row>
    <row r="910" s="4133" customFormat="1" ht="15.75" customHeight="1" spans="1:123">
      <c r="A910" s="4719" t="s">
        <v>5656</v>
      </c>
      <c r="B910" s="4720"/>
      <c r="C910" s="4720"/>
      <c r="D910" s="4720"/>
      <c r="E910" s="4720"/>
      <c r="F910" s="4720"/>
      <c r="G910" s="4720"/>
      <c r="H910" s="4720"/>
      <c r="I910" s="4720"/>
      <c r="J910" s="4720"/>
      <c r="K910" s="4720"/>
      <c r="L910" s="4720"/>
      <c r="M910" s="4720"/>
      <c r="N910" s="4720"/>
      <c r="O910" s="4737">
        <f t="shared" si="19"/>
        <v>0</v>
      </c>
      <c r="P910" s="4737"/>
      <c r="Q910" s="4737"/>
      <c r="R910" s="4737"/>
      <c r="S910" s="4737"/>
      <c r="T910" s="4737"/>
      <c r="U910" s="4738"/>
      <c r="V910" s="4738"/>
      <c r="W910" s="4738"/>
      <c r="X910" s="4738"/>
      <c r="Y910" s="4738"/>
      <c r="Z910" s="4738"/>
      <c r="AA910" s="4738"/>
      <c r="AB910" s="4738"/>
      <c r="AC910" s="4738"/>
      <c r="AD910" s="4738"/>
      <c r="AE910" s="4738"/>
      <c r="AF910" s="4738"/>
      <c r="AG910" s="4738"/>
      <c r="AH910" s="4738"/>
      <c r="AI910" s="4738"/>
      <c r="AJ910" s="4738"/>
      <c r="AK910" s="4738"/>
      <c r="AL910" s="4738"/>
      <c r="AM910" s="4317"/>
      <c r="AN910" s="4317"/>
      <c r="AO910" s="4317"/>
      <c r="AP910" s="4317"/>
      <c r="AQ910" s="4317"/>
      <c r="AR910" s="4317"/>
      <c r="AS910" s="4317"/>
      <c r="AT910" s="4317"/>
      <c r="AU910" s="4317"/>
      <c r="AV910" s="4317"/>
      <c r="AW910" s="4317"/>
      <c r="AX910" s="4317"/>
      <c r="AY910" s="4317"/>
      <c r="AZ910" s="4317"/>
      <c r="BA910" s="4317"/>
      <c r="BB910" s="4317"/>
      <c r="BC910" s="4317"/>
      <c r="BD910" s="4317"/>
      <c r="BE910" s="4317"/>
      <c r="BF910" s="4317"/>
      <c r="BG910" s="4317"/>
      <c r="BH910" s="4317"/>
      <c r="BI910" s="4317"/>
      <c r="BJ910" s="4317"/>
      <c r="BK910" s="4317"/>
      <c r="BL910" s="4317"/>
      <c r="BM910" s="4317"/>
      <c r="BN910" s="4317"/>
      <c r="BO910" s="4317"/>
      <c r="BP910" s="4317"/>
      <c r="BQ910" s="4317"/>
      <c r="BR910" s="4317"/>
      <c r="BS910" s="4317"/>
      <c r="BT910" s="4317"/>
      <c r="BU910" s="4317"/>
      <c r="BV910" s="4317"/>
      <c r="BW910" s="4317"/>
      <c r="BX910" s="4317"/>
      <c r="BY910" s="4317"/>
      <c r="BZ910" s="4317"/>
      <c r="CA910" s="4317"/>
      <c r="CB910" s="4317"/>
      <c r="CC910" s="4317"/>
      <c r="CD910" s="4317"/>
      <c r="CE910" s="4317"/>
      <c r="CF910" s="4317"/>
      <c r="CG910" s="4317"/>
      <c r="CH910" s="4317"/>
      <c r="CI910" s="4317"/>
      <c r="CJ910" s="4317"/>
      <c r="CK910" s="4317"/>
      <c r="CL910" s="4317"/>
      <c r="CM910" s="4317"/>
      <c r="CN910" s="4317"/>
      <c r="CO910" s="4317"/>
      <c r="CP910" s="4317"/>
      <c r="CQ910" s="4317"/>
      <c r="CR910" s="4317"/>
      <c r="CS910" s="4317"/>
      <c r="CT910" s="4317"/>
      <c r="CU910" s="4317"/>
      <c r="CV910" s="4317"/>
      <c r="CW910" s="4317"/>
      <c r="CX910" s="4317"/>
      <c r="CY910" s="4317"/>
      <c r="CZ910" s="4317"/>
      <c r="DA910" s="4317"/>
      <c r="DB910" s="4317"/>
      <c r="DC910" s="4317"/>
      <c r="DD910" s="4317"/>
      <c r="DE910" s="4317"/>
      <c r="DF910" s="4317"/>
      <c r="DG910" s="4317"/>
      <c r="DH910" s="4317"/>
      <c r="DI910" s="4317"/>
      <c r="DJ910" s="4317"/>
      <c r="DK910" s="4317"/>
      <c r="DL910" s="4317"/>
      <c r="DM910" s="4317"/>
      <c r="DN910" s="4317"/>
      <c r="DO910" s="4317"/>
      <c r="DP910" s="4317"/>
      <c r="DQ910" s="4317"/>
      <c r="DR910" s="4317"/>
      <c r="DS910" s="4317"/>
    </row>
    <row r="911" s="4133" customFormat="1" ht="15.75" customHeight="1" spans="1:123">
      <c r="A911" s="4743" t="s">
        <v>2426</v>
      </c>
      <c r="B911" s="4720" t="s">
        <v>5657</v>
      </c>
      <c r="C911" s="4720"/>
      <c r="D911" s="4720"/>
      <c r="E911" s="4720"/>
      <c r="F911" s="4720"/>
      <c r="G911" s="4720"/>
      <c r="H911" s="4720"/>
      <c r="I911" s="4720"/>
      <c r="J911" s="4720"/>
      <c r="K911" s="4720"/>
      <c r="L911" s="4720"/>
      <c r="M911" s="4720"/>
      <c r="N911" s="4720"/>
      <c r="O911" s="4737">
        <f t="shared" si="19"/>
        <v>0</v>
      </c>
      <c r="P911" s="4737"/>
      <c r="Q911" s="4737"/>
      <c r="R911" s="4737"/>
      <c r="S911" s="4737"/>
      <c r="T911" s="4737"/>
      <c r="U911" s="4738"/>
      <c r="V911" s="4738"/>
      <c r="W911" s="4738"/>
      <c r="X911" s="4738"/>
      <c r="Y911" s="4738"/>
      <c r="Z911" s="4738"/>
      <c r="AA911" s="4738"/>
      <c r="AB911" s="4738"/>
      <c r="AC911" s="4738"/>
      <c r="AD911" s="4738"/>
      <c r="AE911" s="4738"/>
      <c r="AF911" s="4738"/>
      <c r="AG911" s="4738"/>
      <c r="AH911" s="4738"/>
      <c r="AI911" s="4738"/>
      <c r="AJ911" s="4738"/>
      <c r="AK911" s="4738"/>
      <c r="AL911" s="4738"/>
      <c r="AM911" s="4317"/>
      <c r="AN911" s="4317"/>
      <c r="AO911" s="4317"/>
      <c r="AP911" s="4317"/>
      <c r="AQ911" s="4317"/>
      <c r="AR911" s="4317"/>
      <c r="AS911" s="4317"/>
      <c r="AT911" s="4317"/>
      <c r="AU911" s="4317"/>
      <c r="AV911" s="4317"/>
      <c r="AW911" s="4317"/>
      <c r="AX911" s="4317"/>
      <c r="AY911" s="4317"/>
      <c r="AZ911" s="4317"/>
      <c r="BA911" s="4317"/>
      <c r="BB911" s="4317"/>
      <c r="BC911" s="4317"/>
      <c r="BD911" s="4317"/>
      <c r="BE911" s="4317"/>
      <c r="BF911" s="4317"/>
      <c r="BG911" s="4317"/>
      <c r="BH911" s="4317"/>
      <c r="BI911" s="4317"/>
      <c r="BJ911" s="4317"/>
      <c r="BK911" s="4317"/>
      <c r="BL911" s="4317"/>
      <c r="BM911" s="4317"/>
      <c r="BN911" s="4317"/>
      <c r="BO911" s="4317"/>
      <c r="BP911" s="4317"/>
      <c r="BQ911" s="4317"/>
      <c r="BR911" s="4317"/>
      <c r="BS911" s="4317"/>
      <c r="BT911" s="4317"/>
      <c r="BU911" s="4317"/>
      <c r="BV911" s="4317"/>
      <c r="BW911" s="4317"/>
      <c r="BX911" s="4317"/>
      <c r="BY911" s="4317"/>
      <c r="BZ911" s="4317"/>
      <c r="CA911" s="4317"/>
      <c r="CB911" s="4317"/>
      <c r="CC911" s="4317"/>
      <c r="CD911" s="4317"/>
      <c r="CE911" s="4317"/>
      <c r="CF911" s="4317"/>
      <c r="CG911" s="4317"/>
      <c r="CH911" s="4317"/>
      <c r="CI911" s="4317"/>
      <c r="CJ911" s="4317"/>
      <c r="CK911" s="4317"/>
      <c r="CL911" s="4317"/>
      <c r="CM911" s="4317"/>
      <c r="CN911" s="4317"/>
      <c r="CO911" s="4317"/>
      <c r="CP911" s="4317"/>
      <c r="CQ911" s="4317"/>
      <c r="CR911" s="4317"/>
      <c r="CS911" s="4317"/>
      <c r="CT911" s="4317"/>
      <c r="CU911" s="4317"/>
      <c r="CV911" s="4317"/>
      <c r="CW911" s="4317"/>
      <c r="CX911" s="4317"/>
      <c r="CY911" s="4317"/>
      <c r="CZ911" s="4317"/>
      <c r="DA911" s="4317"/>
      <c r="DB911" s="4317"/>
      <c r="DC911" s="4317"/>
      <c r="DD911" s="4317"/>
      <c r="DE911" s="4317"/>
      <c r="DF911" s="4317"/>
      <c r="DG911" s="4317"/>
      <c r="DH911" s="4317"/>
      <c r="DI911" s="4317"/>
      <c r="DJ911" s="4317"/>
      <c r="DK911" s="4317"/>
      <c r="DL911" s="4317"/>
      <c r="DM911" s="4317"/>
      <c r="DN911" s="4317"/>
      <c r="DO911" s="4317"/>
      <c r="DP911" s="4317"/>
      <c r="DQ911" s="4317"/>
      <c r="DR911" s="4317"/>
      <c r="DS911" s="4317"/>
    </row>
    <row r="912" s="4133" customFormat="1" ht="15.75" customHeight="1" spans="1:123">
      <c r="A912" s="4743" t="s">
        <v>2426</v>
      </c>
      <c r="B912" s="4720" t="s">
        <v>5658</v>
      </c>
      <c r="C912" s="4720"/>
      <c r="D912" s="4720"/>
      <c r="E912" s="4720"/>
      <c r="F912" s="4720"/>
      <c r="G912" s="4720"/>
      <c r="H912" s="4720"/>
      <c r="I912" s="4720"/>
      <c r="J912" s="4720"/>
      <c r="K912" s="4720"/>
      <c r="L912" s="4720"/>
      <c r="M912" s="4720"/>
      <c r="N912" s="4720"/>
      <c r="O912" s="4737">
        <f t="shared" ref="O912:O914" si="23">U912+AA912</f>
        <v>0</v>
      </c>
      <c r="P912" s="4737"/>
      <c r="Q912" s="4737"/>
      <c r="R912" s="4737"/>
      <c r="S912" s="4737"/>
      <c r="T912" s="4737"/>
      <c r="U912" s="4738"/>
      <c r="V912" s="4738"/>
      <c r="W912" s="4738"/>
      <c r="X912" s="4738"/>
      <c r="Y912" s="4738"/>
      <c r="Z912" s="4738"/>
      <c r="AA912" s="4738"/>
      <c r="AB912" s="4738"/>
      <c r="AC912" s="4738"/>
      <c r="AD912" s="4738"/>
      <c r="AE912" s="4738"/>
      <c r="AF912" s="4738"/>
      <c r="AG912" s="4738"/>
      <c r="AH912" s="4738"/>
      <c r="AI912" s="4738"/>
      <c r="AJ912" s="4738"/>
      <c r="AK912" s="4738"/>
      <c r="AL912" s="4738"/>
      <c r="AM912" s="4317"/>
      <c r="AN912" s="4317"/>
      <c r="AO912" s="4317"/>
      <c r="AP912" s="4317"/>
      <c r="AQ912" s="4317"/>
      <c r="AR912" s="4317"/>
      <c r="AS912" s="4317"/>
      <c r="AT912" s="4317"/>
      <c r="AU912" s="4317"/>
      <c r="AV912" s="4317"/>
      <c r="AW912" s="4317"/>
      <c r="AX912" s="4317"/>
      <c r="AY912" s="4317"/>
      <c r="AZ912" s="4317"/>
      <c r="BA912" s="4317"/>
      <c r="BB912" s="4317"/>
      <c r="BC912" s="4317"/>
      <c r="BD912" s="4317"/>
      <c r="BE912" s="4317"/>
      <c r="BF912" s="4317"/>
      <c r="BG912" s="4317"/>
      <c r="BH912" s="4317"/>
      <c r="BI912" s="4317"/>
      <c r="BJ912" s="4317"/>
      <c r="BK912" s="4317"/>
      <c r="BL912" s="4317"/>
      <c r="BM912" s="4317"/>
      <c r="BN912" s="4317"/>
      <c r="BO912" s="4317"/>
      <c r="BP912" s="4317"/>
      <c r="BQ912" s="4317"/>
      <c r="BR912" s="4317"/>
      <c r="BS912" s="4317"/>
      <c r="BT912" s="4317"/>
      <c r="BU912" s="4317"/>
      <c r="BV912" s="4317"/>
      <c r="BW912" s="4317"/>
      <c r="BX912" s="4317"/>
      <c r="BY912" s="4317"/>
      <c r="BZ912" s="4317"/>
      <c r="CA912" s="4317"/>
      <c r="CB912" s="4317"/>
      <c r="CC912" s="4317"/>
      <c r="CD912" s="4317"/>
      <c r="CE912" s="4317"/>
      <c r="CF912" s="4317"/>
      <c r="CG912" s="4317"/>
      <c r="CH912" s="4317"/>
      <c r="CI912" s="4317"/>
      <c r="CJ912" s="4317"/>
      <c r="CK912" s="4317"/>
      <c r="CL912" s="4317"/>
      <c r="CM912" s="4317"/>
      <c r="CN912" s="4317"/>
      <c r="CO912" s="4317"/>
      <c r="CP912" s="4317"/>
      <c r="CQ912" s="4317"/>
      <c r="CR912" s="4317"/>
      <c r="CS912" s="4317"/>
      <c r="CT912" s="4317"/>
      <c r="CU912" s="4317"/>
      <c r="CV912" s="4317"/>
      <c r="CW912" s="4317"/>
      <c r="CX912" s="4317"/>
      <c r="CY912" s="4317"/>
      <c r="CZ912" s="4317"/>
      <c r="DA912" s="4317"/>
      <c r="DB912" s="4317"/>
      <c r="DC912" s="4317"/>
      <c r="DD912" s="4317"/>
      <c r="DE912" s="4317"/>
      <c r="DF912" s="4317"/>
      <c r="DG912" s="4317"/>
      <c r="DH912" s="4317"/>
      <c r="DI912" s="4317"/>
      <c r="DJ912" s="4317"/>
      <c r="DK912" s="4317"/>
      <c r="DL912" s="4317"/>
      <c r="DM912" s="4317"/>
      <c r="DN912" s="4317"/>
      <c r="DO912" s="4317"/>
      <c r="DP912" s="4317"/>
      <c r="DQ912" s="4317"/>
      <c r="DR912" s="4317"/>
      <c r="DS912" s="4317"/>
    </row>
    <row r="913" s="4133" customFormat="1" ht="15.75" customHeight="1" spans="1:123">
      <c r="A913" s="4743" t="s">
        <v>2426</v>
      </c>
      <c r="B913" s="4720" t="s">
        <v>5659</v>
      </c>
      <c r="C913" s="4720"/>
      <c r="D913" s="4720"/>
      <c r="E913" s="4720"/>
      <c r="F913" s="4720"/>
      <c r="G913" s="4720"/>
      <c r="H913" s="4720"/>
      <c r="I913" s="4720"/>
      <c r="J913" s="4720"/>
      <c r="K913" s="4720"/>
      <c r="L913" s="4720"/>
      <c r="M913" s="4720"/>
      <c r="N913" s="4720"/>
      <c r="O913" s="4744">
        <f t="shared" si="23"/>
        <v>0</v>
      </c>
      <c r="P913" s="4744"/>
      <c r="Q913" s="4744"/>
      <c r="R913" s="4744"/>
      <c r="S913" s="4744"/>
      <c r="T913" s="4744"/>
      <c r="U913" s="4738"/>
      <c r="V913" s="4738"/>
      <c r="W913" s="4738"/>
      <c r="X913" s="4738"/>
      <c r="Y913" s="4738"/>
      <c r="Z913" s="4738"/>
      <c r="AA913" s="4738"/>
      <c r="AB913" s="4738"/>
      <c r="AC913" s="4738"/>
      <c r="AD913" s="4738"/>
      <c r="AE913" s="4738"/>
      <c r="AF913" s="4738"/>
      <c r="AG913" s="4738"/>
      <c r="AH913" s="4738"/>
      <c r="AI913" s="4738"/>
      <c r="AJ913" s="4738"/>
      <c r="AK913" s="4738"/>
      <c r="AL913" s="4738"/>
      <c r="AM913" s="4317"/>
      <c r="AN913" s="4317"/>
      <c r="AO913" s="4317"/>
      <c r="AP913" s="4317"/>
      <c r="AQ913" s="4317"/>
      <c r="AR913" s="4317"/>
      <c r="AS913" s="4317"/>
      <c r="AT913" s="4317"/>
      <c r="AU913" s="4317"/>
      <c r="AV913" s="4317"/>
      <c r="AW913" s="4317"/>
      <c r="AX913" s="4317"/>
      <c r="AY913" s="4317"/>
      <c r="AZ913" s="4317"/>
      <c r="BA913" s="4317"/>
      <c r="BB913" s="4317"/>
      <c r="BC913" s="4317"/>
      <c r="BD913" s="4317"/>
      <c r="BE913" s="4317"/>
      <c r="BF913" s="4317"/>
      <c r="BG913" s="4317"/>
      <c r="BH913" s="4317"/>
      <c r="BI913" s="4317"/>
      <c r="BJ913" s="4317"/>
      <c r="BK913" s="4317"/>
      <c r="BL913" s="4317"/>
      <c r="BM913" s="4317"/>
      <c r="BN913" s="4317"/>
      <c r="BO913" s="4317"/>
      <c r="BP913" s="4317"/>
      <c r="BQ913" s="4317"/>
      <c r="BR913" s="4317"/>
      <c r="BS913" s="4317"/>
      <c r="BT913" s="4317"/>
      <c r="BU913" s="4317"/>
      <c r="BV913" s="4317"/>
      <c r="BW913" s="4317"/>
      <c r="BX913" s="4317"/>
      <c r="BY913" s="4317"/>
      <c r="BZ913" s="4317"/>
      <c r="CA913" s="4317"/>
      <c r="CB913" s="4317"/>
      <c r="CC913" s="4317"/>
      <c r="CD913" s="4317"/>
      <c r="CE913" s="4317"/>
      <c r="CF913" s="4317"/>
      <c r="CG913" s="4317"/>
      <c r="CH913" s="4317"/>
      <c r="CI913" s="4317"/>
      <c r="CJ913" s="4317"/>
      <c r="CK913" s="4317"/>
      <c r="CL913" s="4317"/>
      <c r="CM913" s="4317"/>
      <c r="CN913" s="4317"/>
      <c r="CO913" s="4317"/>
      <c r="CP913" s="4317"/>
      <c r="CQ913" s="4317"/>
      <c r="CR913" s="4317"/>
      <c r="CS913" s="4317"/>
      <c r="CT913" s="4317"/>
      <c r="CU913" s="4317"/>
      <c r="CV913" s="4317"/>
      <c r="CW913" s="4317"/>
      <c r="CX913" s="4317"/>
      <c r="CY913" s="4317"/>
      <c r="CZ913" s="4317"/>
      <c r="DA913" s="4317"/>
      <c r="DB913" s="4317"/>
      <c r="DC913" s="4317"/>
      <c r="DD913" s="4317"/>
      <c r="DE913" s="4317"/>
      <c r="DF913" s="4317"/>
      <c r="DG913" s="4317"/>
      <c r="DH913" s="4317"/>
      <c r="DI913" s="4317"/>
      <c r="DJ913" s="4317"/>
      <c r="DK913" s="4317"/>
      <c r="DL913" s="4317"/>
      <c r="DM913" s="4317"/>
      <c r="DN913" s="4317"/>
      <c r="DO913" s="4317"/>
      <c r="DP913" s="4317"/>
      <c r="DQ913" s="4317"/>
      <c r="DR913" s="4317"/>
      <c r="DS913" s="4317"/>
    </row>
    <row r="914" s="4133" customFormat="1" ht="15.75" customHeight="1" spans="1:123">
      <c r="A914" s="4743" t="s">
        <v>2426</v>
      </c>
      <c r="B914" s="4720" t="s">
        <v>5660</v>
      </c>
      <c r="C914" s="4720"/>
      <c r="D914" s="4720"/>
      <c r="E914" s="4720"/>
      <c r="F914" s="4720"/>
      <c r="G914" s="4720"/>
      <c r="H914" s="4720"/>
      <c r="I914" s="4720"/>
      <c r="J914" s="4720"/>
      <c r="K914" s="4720"/>
      <c r="L914" s="4720"/>
      <c r="M914" s="4720"/>
      <c r="N914" s="4720"/>
      <c r="O914" s="4745">
        <f t="shared" si="23"/>
        <v>0</v>
      </c>
      <c r="P914" s="4746"/>
      <c r="Q914" s="4746"/>
      <c r="R914" s="4746"/>
      <c r="S914" s="4746"/>
      <c r="T914" s="4747"/>
      <c r="U914" s="4748"/>
      <c r="V914" s="4738"/>
      <c r="W914" s="4738"/>
      <c r="X914" s="4738"/>
      <c r="Y914" s="4738"/>
      <c r="Z914" s="4738"/>
      <c r="AA914" s="4738"/>
      <c r="AB914" s="4738"/>
      <c r="AC914" s="4738"/>
      <c r="AD914" s="4738"/>
      <c r="AE914" s="4738"/>
      <c r="AF914" s="4738"/>
      <c r="AG914" s="4738"/>
      <c r="AH914" s="4738"/>
      <c r="AI914" s="4738"/>
      <c r="AJ914" s="4738"/>
      <c r="AK914" s="4738"/>
      <c r="AL914" s="4738"/>
      <c r="AM914" s="4317"/>
      <c r="AN914" s="4317"/>
      <c r="AO914" s="4317"/>
      <c r="AP914" s="4317"/>
      <c r="AQ914" s="4317"/>
      <c r="AR914" s="4317"/>
      <c r="AS914" s="4317"/>
      <c r="AT914" s="4317"/>
      <c r="AU914" s="4317"/>
      <c r="AV914" s="4317"/>
      <c r="AW914" s="4317"/>
      <c r="AX914" s="4317"/>
      <c r="AY914" s="4317"/>
      <c r="AZ914" s="4317"/>
      <c r="BA914" s="4317"/>
      <c r="BB914" s="4317"/>
      <c r="BC914" s="4317"/>
      <c r="BD914" s="4317"/>
      <c r="BE914" s="4317"/>
      <c r="BF914" s="4317"/>
      <c r="BG914" s="4317"/>
      <c r="BH914" s="4317"/>
      <c r="BI914" s="4317"/>
      <c r="BJ914" s="4317"/>
      <c r="BK914" s="4317"/>
      <c r="BL914" s="4317"/>
      <c r="BM914" s="4317"/>
      <c r="BN914" s="4317"/>
      <c r="BO914" s="4317"/>
      <c r="BP914" s="4317"/>
      <c r="BQ914" s="4317"/>
      <c r="BR914" s="4317"/>
      <c r="BS914" s="4317"/>
      <c r="BT914" s="4317"/>
      <c r="BU914" s="4317"/>
      <c r="BV914" s="4317"/>
      <c r="BW914" s="4317"/>
      <c r="BX914" s="4317"/>
      <c r="BY914" s="4317"/>
      <c r="BZ914" s="4317"/>
      <c r="CA914" s="4317"/>
      <c r="CB914" s="4317"/>
      <c r="CC914" s="4317"/>
      <c r="CD914" s="4317"/>
      <c r="CE914" s="4317"/>
      <c r="CF914" s="4317"/>
      <c r="CG914" s="4317"/>
      <c r="CH914" s="4317"/>
      <c r="CI914" s="4317"/>
      <c r="CJ914" s="4317"/>
      <c r="CK914" s="4317"/>
      <c r="CL914" s="4317"/>
      <c r="CM914" s="4317"/>
      <c r="CN914" s="4317"/>
      <c r="CO914" s="4317"/>
      <c r="CP914" s="4317"/>
      <c r="CQ914" s="4317"/>
      <c r="CR914" s="4317"/>
      <c r="CS914" s="4317"/>
      <c r="CT914" s="4317"/>
      <c r="CU914" s="4317"/>
      <c r="CV914" s="4317"/>
      <c r="CW914" s="4317"/>
      <c r="CX914" s="4317"/>
      <c r="CY914" s="4317"/>
      <c r="CZ914" s="4317"/>
      <c r="DA914" s="4317"/>
      <c r="DB914" s="4317"/>
      <c r="DC914" s="4317"/>
      <c r="DD914" s="4317"/>
      <c r="DE914" s="4317"/>
      <c r="DF914" s="4317"/>
      <c r="DG914" s="4317"/>
      <c r="DH914" s="4317"/>
      <c r="DI914" s="4317"/>
      <c r="DJ914" s="4317"/>
      <c r="DK914" s="4317"/>
      <c r="DL914" s="4317"/>
      <c r="DM914" s="4317"/>
      <c r="DN914" s="4317"/>
      <c r="DO914" s="4317"/>
      <c r="DP914" s="4317"/>
      <c r="DQ914" s="4317"/>
      <c r="DR914" s="4317"/>
      <c r="DS914" s="4317"/>
    </row>
    <row r="915" s="4133" customFormat="1" ht="15.75" customHeight="1" spans="1:123">
      <c r="A915" s="4719" t="s">
        <v>5661</v>
      </c>
      <c r="B915" s="4720"/>
      <c r="C915" s="4720"/>
      <c r="D915" s="4720"/>
      <c r="E915" s="4720"/>
      <c r="F915" s="4720"/>
      <c r="G915" s="4720"/>
      <c r="H915" s="4720"/>
      <c r="I915" s="4720"/>
      <c r="J915" s="4720"/>
      <c r="K915" s="4720"/>
      <c r="L915" s="4720"/>
      <c r="M915" s="4720"/>
      <c r="N915" s="4720"/>
      <c r="O915" s="4745">
        <f t="shared" si="19"/>
        <v>0</v>
      </c>
      <c r="P915" s="4746"/>
      <c r="Q915" s="4746"/>
      <c r="R915" s="4746"/>
      <c r="S915" s="4746"/>
      <c r="T915" s="4747"/>
      <c r="U915" s="4748"/>
      <c r="V915" s="4738"/>
      <c r="W915" s="4738"/>
      <c r="X915" s="4738"/>
      <c r="Y915" s="4738"/>
      <c r="Z915" s="4738"/>
      <c r="AA915" s="4738"/>
      <c r="AB915" s="4738"/>
      <c r="AC915" s="4738"/>
      <c r="AD915" s="4738"/>
      <c r="AE915" s="4738"/>
      <c r="AF915" s="4738"/>
      <c r="AG915" s="4738"/>
      <c r="AH915" s="4738"/>
      <c r="AI915" s="4738"/>
      <c r="AJ915" s="4738"/>
      <c r="AK915" s="4738"/>
      <c r="AL915" s="4738"/>
      <c r="AM915" s="4317"/>
      <c r="AN915" s="4317"/>
      <c r="AO915" s="4317"/>
      <c r="AP915" s="4317"/>
      <c r="AQ915" s="4317"/>
      <c r="AR915" s="4317"/>
      <c r="AS915" s="4317"/>
      <c r="AT915" s="4317"/>
      <c r="AU915" s="4317"/>
      <c r="AV915" s="4317"/>
      <c r="AW915" s="4317"/>
      <c r="AX915" s="4317"/>
      <c r="AY915" s="4317"/>
      <c r="AZ915" s="4317"/>
      <c r="BA915" s="4317"/>
      <c r="BB915" s="4317"/>
      <c r="BC915" s="4317"/>
      <c r="BD915" s="4317"/>
      <c r="BE915" s="4317"/>
      <c r="BF915" s="4317"/>
      <c r="BG915" s="4317"/>
      <c r="BH915" s="4317"/>
      <c r="BI915" s="4317"/>
      <c r="BJ915" s="4317"/>
      <c r="BK915" s="4317"/>
      <c r="BL915" s="4317"/>
      <c r="BM915" s="4317"/>
      <c r="BN915" s="4317"/>
      <c r="BO915" s="4317"/>
      <c r="BP915" s="4317"/>
      <c r="BQ915" s="4317"/>
      <c r="BR915" s="4317"/>
      <c r="BS915" s="4317"/>
      <c r="BT915" s="4317"/>
      <c r="BU915" s="4317"/>
      <c r="BV915" s="4317"/>
      <c r="BW915" s="4317"/>
      <c r="BX915" s="4317"/>
      <c r="BY915" s="4317"/>
      <c r="BZ915" s="4317"/>
      <c r="CA915" s="4317"/>
      <c r="CB915" s="4317"/>
      <c r="CC915" s="4317"/>
      <c r="CD915" s="4317"/>
      <c r="CE915" s="4317"/>
      <c r="CF915" s="4317"/>
      <c r="CG915" s="4317"/>
      <c r="CH915" s="4317"/>
      <c r="CI915" s="4317"/>
      <c r="CJ915" s="4317"/>
      <c r="CK915" s="4317"/>
      <c r="CL915" s="4317"/>
      <c r="CM915" s="4317"/>
      <c r="CN915" s="4317"/>
      <c r="CO915" s="4317"/>
      <c r="CP915" s="4317"/>
      <c r="CQ915" s="4317"/>
      <c r="CR915" s="4317"/>
      <c r="CS915" s="4317"/>
      <c r="CT915" s="4317"/>
      <c r="CU915" s="4317"/>
      <c r="CV915" s="4317"/>
      <c r="CW915" s="4317"/>
      <c r="CX915" s="4317"/>
      <c r="CY915" s="4317"/>
      <c r="CZ915" s="4317"/>
      <c r="DA915" s="4317"/>
      <c r="DB915" s="4317"/>
      <c r="DC915" s="4317"/>
      <c r="DD915" s="4317"/>
      <c r="DE915" s="4317"/>
      <c r="DF915" s="4317"/>
      <c r="DG915" s="4317"/>
      <c r="DH915" s="4317"/>
      <c r="DI915" s="4317"/>
      <c r="DJ915" s="4317"/>
      <c r="DK915" s="4317"/>
      <c r="DL915" s="4317"/>
      <c r="DM915" s="4317"/>
      <c r="DN915" s="4317"/>
      <c r="DO915" s="4317"/>
      <c r="DP915" s="4317"/>
      <c r="DQ915" s="4317"/>
      <c r="DR915" s="4317"/>
      <c r="DS915" s="4317"/>
    </row>
    <row r="916" s="4133" customFormat="1" ht="15.75" customHeight="1" spans="1:123">
      <c r="A916" s="4719" t="s">
        <v>5662</v>
      </c>
      <c r="B916" s="4720"/>
      <c r="C916" s="4720"/>
      <c r="D916" s="4720"/>
      <c r="E916" s="4720"/>
      <c r="F916" s="4720"/>
      <c r="G916" s="4720"/>
      <c r="H916" s="4720"/>
      <c r="I916" s="4720"/>
      <c r="J916" s="4720"/>
      <c r="K916" s="4720"/>
      <c r="L916" s="4720"/>
      <c r="M916" s="4720"/>
      <c r="N916" s="4720"/>
      <c r="O916" s="4745">
        <f t="shared" si="19"/>
        <v>0</v>
      </c>
      <c r="P916" s="4746"/>
      <c r="Q916" s="4746"/>
      <c r="R916" s="4746"/>
      <c r="S916" s="4746"/>
      <c r="T916" s="4747"/>
      <c r="U916" s="4748"/>
      <c r="V916" s="4738"/>
      <c r="W916" s="4738"/>
      <c r="X916" s="4738"/>
      <c r="Y916" s="4738"/>
      <c r="Z916" s="4738"/>
      <c r="AA916" s="4738"/>
      <c r="AB916" s="4738"/>
      <c r="AC916" s="4738"/>
      <c r="AD916" s="4738"/>
      <c r="AE916" s="4738"/>
      <c r="AF916" s="4738"/>
      <c r="AG916" s="4738"/>
      <c r="AH916" s="4738"/>
      <c r="AI916" s="4738"/>
      <c r="AJ916" s="4738"/>
      <c r="AK916" s="4738"/>
      <c r="AL916" s="4738"/>
      <c r="AM916" s="4317"/>
      <c r="AN916" s="4317"/>
      <c r="AO916" s="4317"/>
      <c r="AP916" s="4317"/>
      <c r="AQ916" s="4317"/>
      <c r="AR916" s="4317"/>
      <c r="AS916" s="4317"/>
      <c r="AT916" s="4317"/>
      <c r="AU916" s="4317"/>
      <c r="AV916" s="4317"/>
      <c r="AW916" s="4317"/>
      <c r="AX916" s="4317"/>
      <c r="AY916" s="4317"/>
      <c r="AZ916" s="4317"/>
      <c r="BA916" s="4317"/>
      <c r="BB916" s="4317"/>
      <c r="BC916" s="4317"/>
      <c r="BD916" s="4317"/>
      <c r="BE916" s="4317"/>
      <c r="BF916" s="4317"/>
      <c r="BG916" s="4317"/>
      <c r="BH916" s="4317"/>
      <c r="BI916" s="4317"/>
      <c r="BJ916" s="4317"/>
      <c r="BK916" s="4317"/>
      <c r="BL916" s="4317"/>
      <c r="BM916" s="4317"/>
      <c r="BN916" s="4317"/>
      <c r="BO916" s="4317"/>
      <c r="BP916" s="4317"/>
      <c r="BQ916" s="4317"/>
      <c r="BR916" s="4317"/>
      <c r="BS916" s="4317"/>
      <c r="BT916" s="4317"/>
      <c r="BU916" s="4317"/>
      <c r="BV916" s="4317"/>
      <c r="BW916" s="4317"/>
      <c r="BX916" s="4317"/>
      <c r="BY916" s="4317"/>
      <c r="BZ916" s="4317"/>
      <c r="CA916" s="4317"/>
      <c r="CB916" s="4317"/>
      <c r="CC916" s="4317"/>
      <c r="CD916" s="4317"/>
      <c r="CE916" s="4317"/>
      <c r="CF916" s="4317"/>
      <c r="CG916" s="4317"/>
      <c r="CH916" s="4317"/>
      <c r="CI916" s="4317"/>
      <c r="CJ916" s="4317"/>
      <c r="CK916" s="4317"/>
      <c r="CL916" s="4317"/>
      <c r="CM916" s="4317"/>
      <c r="CN916" s="4317"/>
      <c r="CO916" s="4317"/>
      <c r="CP916" s="4317"/>
      <c r="CQ916" s="4317"/>
      <c r="CR916" s="4317"/>
      <c r="CS916" s="4317"/>
      <c r="CT916" s="4317"/>
      <c r="CU916" s="4317"/>
      <c r="CV916" s="4317"/>
      <c r="CW916" s="4317"/>
      <c r="CX916" s="4317"/>
      <c r="CY916" s="4317"/>
      <c r="CZ916" s="4317"/>
      <c r="DA916" s="4317"/>
      <c r="DB916" s="4317"/>
      <c r="DC916" s="4317"/>
      <c r="DD916" s="4317"/>
      <c r="DE916" s="4317"/>
      <c r="DF916" s="4317"/>
      <c r="DG916" s="4317"/>
      <c r="DH916" s="4317"/>
      <c r="DI916" s="4317"/>
      <c r="DJ916" s="4317"/>
      <c r="DK916" s="4317"/>
      <c r="DL916" s="4317"/>
      <c r="DM916" s="4317"/>
      <c r="DN916" s="4317"/>
      <c r="DO916" s="4317"/>
      <c r="DP916" s="4317"/>
      <c r="DQ916" s="4317"/>
      <c r="DR916" s="4317"/>
      <c r="DS916" s="4317"/>
    </row>
    <row r="917" s="4133" customFormat="1" ht="15.75" customHeight="1" spans="1:123">
      <c r="A917" s="4719" t="s">
        <v>5663</v>
      </c>
      <c r="B917" s="4720"/>
      <c r="C917" s="4720"/>
      <c r="D917" s="4720"/>
      <c r="E917" s="4720"/>
      <c r="F917" s="4720"/>
      <c r="G917" s="4720"/>
      <c r="H917" s="4720"/>
      <c r="I917" s="4720"/>
      <c r="J917" s="4720"/>
      <c r="K917" s="4720"/>
      <c r="L917" s="4720"/>
      <c r="M917" s="4720"/>
      <c r="N917" s="4720"/>
      <c r="O917" s="4745">
        <f>U917</f>
        <v>0</v>
      </c>
      <c r="P917" s="4746"/>
      <c r="Q917" s="4746"/>
      <c r="R917" s="4746"/>
      <c r="S917" s="4746"/>
      <c r="T917" s="4747"/>
      <c r="U917" s="4748"/>
      <c r="V917" s="4738"/>
      <c r="W917" s="4738"/>
      <c r="X917" s="4738"/>
      <c r="Y917" s="4738"/>
      <c r="Z917" s="4738"/>
      <c r="AA917" s="4739" t="s">
        <v>5634</v>
      </c>
      <c r="AB917" s="4739"/>
      <c r="AC917" s="4739"/>
      <c r="AD917" s="4739"/>
      <c r="AE917" s="4739"/>
      <c r="AF917" s="4739"/>
      <c r="AG917" s="4739" t="s">
        <v>5635</v>
      </c>
      <c r="AH917" s="4739"/>
      <c r="AI917" s="4739"/>
      <c r="AJ917" s="4739"/>
      <c r="AK917" s="4739"/>
      <c r="AL917" s="4739"/>
      <c r="AM917" s="4317"/>
      <c r="AN917" s="4317"/>
      <c r="AO917" s="4317"/>
      <c r="AP917" s="4317"/>
      <c r="AQ917" s="4317"/>
      <c r="AR917" s="4317"/>
      <c r="AS917" s="4317"/>
      <c r="AT917" s="4317"/>
      <c r="AU917" s="4317"/>
      <c r="AV917" s="4317"/>
      <c r="AW917" s="4317"/>
      <c r="AX917" s="4317"/>
      <c r="AY917" s="4317"/>
      <c r="AZ917" s="4317"/>
      <c r="BA917" s="4317"/>
      <c r="BB917" s="4317"/>
      <c r="BC917" s="4317"/>
      <c r="BD917" s="4317"/>
      <c r="BE917" s="4317"/>
      <c r="BF917" s="4317"/>
      <c r="BG917" s="4317"/>
      <c r="BH917" s="4317"/>
      <c r="BI917" s="4317"/>
      <c r="BJ917" s="4317"/>
      <c r="BK917" s="4317"/>
      <c r="BL917" s="4317"/>
      <c r="BM917" s="4317"/>
      <c r="BN917" s="4317"/>
      <c r="BO917" s="4317"/>
      <c r="BP917" s="4317"/>
      <c r="BQ917" s="4317"/>
      <c r="BR917" s="4317"/>
      <c r="BS917" s="4317"/>
      <c r="BT917" s="4317"/>
      <c r="BU917" s="4317"/>
      <c r="BV917" s="4317"/>
      <c r="BW917" s="4317"/>
      <c r="BX917" s="4317"/>
      <c r="BY917" s="4317"/>
      <c r="BZ917" s="4317"/>
      <c r="CA917" s="4317"/>
      <c r="CB917" s="4317"/>
      <c r="CC917" s="4317"/>
      <c r="CD917" s="4317"/>
      <c r="CE917" s="4317"/>
      <c r="CF917" s="4317"/>
      <c r="CG917" s="4317"/>
      <c r="CH917" s="4317"/>
      <c r="CI917" s="4317"/>
      <c r="CJ917" s="4317"/>
      <c r="CK917" s="4317"/>
      <c r="CL917" s="4317"/>
      <c r="CM917" s="4317"/>
      <c r="CN917" s="4317"/>
      <c r="CO917" s="4317"/>
      <c r="CP917" s="4317"/>
      <c r="CQ917" s="4317"/>
      <c r="CR917" s="4317"/>
      <c r="CS917" s="4317"/>
      <c r="CT917" s="4317"/>
      <c r="CU917" s="4317"/>
      <c r="CV917" s="4317"/>
      <c r="CW917" s="4317"/>
      <c r="CX917" s="4317"/>
      <c r="CY917" s="4317"/>
      <c r="CZ917" s="4317"/>
      <c r="DA917" s="4317"/>
      <c r="DB917" s="4317"/>
      <c r="DC917" s="4317"/>
      <c r="DD917" s="4317"/>
      <c r="DE917" s="4317"/>
      <c r="DF917" s="4317"/>
      <c r="DG917" s="4317"/>
      <c r="DH917" s="4317"/>
      <c r="DI917" s="4317"/>
      <c r="DJ917" s="4317"/>
      <c r="DK917" s="4317"/>
      <c r="DL917" s="4317"/>
      <c r="DM917" s="4317"/>
      <c r="DN917" s="4317"/>
      <c r="DO917" s="4317"/>
      <c r="DP917" s="4317"/>
      <c r="DQ917" s="4317"/>
      <c r="DR917" s="4317"/>
      <c r="DS917" s="4317"/>
    </row>
    <row r="918" s="4133" customFormat="1" ht="15.75" customHeight="1" spans="1:123">
      <c r="A918" s="4719" t="s">
        <v>5664</v>
      </c>
      <c r="B918" s="4720"/>
      <c r="C918" s="4720"/>
      <c r="D918" s="4720"/>
      <c r="E918" s="4720"/>
      <c r="F918" s="4720"/>
      <c r="G918" s="4720"/>
      <c r="H918" s="4720"/>
      <c r="I918" s="4720"/>
      <c r="J918" s="4720"/>
      <c r="K918" s="4720"/>
      <c r="L918" s="4720"/>
      <c r="M918" s="4720"/>
      <c r="N918" s="4720"/>
      <c r="O918" s="4745">
        <f t="shared" si="19"/>
        <v>0</v>
      </c>
      <c r="P918" s="4746"/>
      <c r="Q918" s="4746"/>
      <c r="R918" s="4746"/>
      <c r="S918" s="4746"/>
      <c r="T918" s="4747"/>
      <c r="U918" s="4748"/>
      <c r="V918" s="4738"/>
      <c r="W918" s="4738"/>
      <c r="X918" s="4738"/>
      <c r="Y918" s="4738"/>
      <c r="Z918" s="4738"/>
      <c r="AA918" s="4738"/>
      <c r="AB918" s="4738"/>
      <c r="AC918" s="4738"/>
      <c r="AD918" s="4738"/>
      <c r="AE918" s="4738"/>
      <c r="AF918" s="4738"/>
      <c r="AG918" s="4738"/>
      <c r="AH918" s="4738"/>
      <c r="AI918" s="4738"/>
      <c r="AJ918" s="4738"/>
      <c r="AK918" s="4738"/>
      <c r="AL918" s="4738"/>
      <c r="AM918" s="4317"/>
      <c r="AN918" s="4317"/>
      <c r="AO918" s="4317"/>
      <c r="AP918" s="4317"/>
      <c r="AQ918" s="4317"/>
      <c r="AR918" s="4317"/>
      <c r="AS918" s="4317"/>
      <c r="AT918" s="4317"/>
      <c r="AU918" s="4317"/>
      <c r="AV918" s="4317"/>
      <c r="AW918" s="4317"/>
      <c r="AX918" s="4317"/>
      <c r="AY918" s="4317"/>
      <c r="AZ918" s="4317"/>
      <c r="BA918" s="4317"/>
      <c r="BB918" s="4317"/>
      <c r="BC918" s="4317"/>
      <c r="BD918" s="4317"/>
      <c r="BE918" s="4317"/>
      <c r="BF918" s="4317"/>
      <c r="BG918" s="4317"/>
      <c r="BH918" s="4317"/>
      <c r="BI918" s="4317"/>
      <c r="BJ918" s="4317"/>
      <c r="BK918" s="4317"/>
      <c r="BL918" s="4317"/>
      <c r="BM918" s="4317"/>
      <c r="BN918" s="4317"/>
      <c r="BO918" s="4317"/>
      <c r="BP918" s="4317"/>
      <c r="BQ918" s="4317"/>
      <c r="BR918" s="4317"/>
      <c r="BS918" s="4317"/>
      <c r="BT918" s="4317"/>
      <c r="BU918" s="4317"/>
      <c r="BV918" s="4317"/>
      <c r="BW918" s="4317"/>
      <c r="BX918" s="4317"/>
      <c r="BY918" s="4317"/>
      <c r="BZ918" s="4317"/>
      <c r="CA918" s="4317"/>
      <c r="CB918" s="4317"/>
      <c r="CC918" s="4317"/>
      <c r="CD918" s="4317"/>
      <c r="CE918" s="4317"/>
      <c r="CF918" s="4317"/>
      <c r="CG918" s="4317"/>
      <c r="CH918" s="4317"/>
      <c r="CI918" s="4317"/>
      <c r="CJ918" s="4317"/>
      <c r="CK918" s="4317"/>
      <c r="CL918" s="4317"/>
      <c r="CM918" s="4317"/>
      <c r="CN918" s="4317"/>
      <c r="CO918" s="4317"/>
      <c r="CP918" s="4317"/>
      <c r="CQ918" s="4317"/>
      <c r="CR918" s="4317"/>
      <c r="CS918" s="4317"/>
      <c r="CT918" s="4317"/>
      <c r="CU918" s="4317"/>
      <c r="CV918" s="4317"/>
      <c r="CW918" s="4317"/>
      <c r="CX918" s="4317"/>
      <c r="CY918" s="4317"/>
      <c r="CZ918" s="4317"/>
      <c r="DA918" s="4317"/>
      <c r="DB918" s="4317"/>
      <c r="DC918" s="4317"/>
      <c r="DD918" s="4317"/>
      <c r="DE918" s="4317"/>
      <c r="DF918" s="4317"/>
      <c r="DG918" s="4317"/>
      <c r="DH918" s="4317"/>
      <c r="DI918" s="4317"/>
      <c r="DJ918" s="4317"/>
      <c r="DK918" s="4317"/>
      <c r="DL918" s="4317"/>
      <c r="DM918" s="4317"/>
      <c r="DN918" s="4317"/>
      <c r="DO918" s="4317"/>
      <c r="DP918" s="4317"/>
      <c r="DQ918" s="4317"/>
      <c r="DR918" s="4317"/>
      <c r="DS918" s="4317"/>
    </row>
    <row r="919" s="4133" customFormat="1" ht="15.75" customHeight="1" spans="1:123">
      <c r="A919" s="4719" t="s">
        <v>5665</v>
      </c>
      <c r="B919" s="4720"/>
      <c r="C919" s="4720"/>
      <c r="D919" s="4720"/>
      <c r="E919" s="4720"/>
      <c r="F919" s="4720"/>
      <c r="G919" s="4720"/>
      <c r="H919" s="4720"/>
      <c r="I919" s="4720"/>
      <c r="J919" s="4720"/>
      <c r="K919" s="4720"/>
      <c r="L919" s="4720"/>
      <c r="M919" s="4720"/>
      <c r="N919" s="4720"/>
      <c r="O919" s="4745">
        <f t="shared" si="19"/>
        <v>0</v>
      </c>
      <c r="P919" s="4746"/>
      <c r="Q919" s="4746"/>
      <c r="R919" s="4746"/>
      <c r="S919" s="4746"/>
      <c r="T919" s="4747"/>
      <c r="U919" s="4748"/>
      <c r="V919" s="4738"/>
      <c r="W919" s="4738"/>
      <c r="X919" s="4738"/>
      <c r="Y919" s="4738"/>
      <c r="Z919" s="4738"/>
      <c r="AA919" s="4738"/>
      <c r="AB919" s="4738"/>
      <c r="AC919" s="4738"/>
      <c r="AD919" s="4738"/>
      <c r="AE919" s="4738"/>
      <c r="AF919" s="4738"/>
      <c r="AG919" s="4738"/>
      <c r="AH919" s="4738"/>
      <c r="AI919" s="4738"/>
      <c r="AJ919" s="4738"/>
      <c r="AK919" s="4738"/>
      <c r="AL919" s="4738"/>
      <c r="AM919" s="4317"/>
      <c r="AN919" s="4317"/>
      <c r="AO919" s="4317"/>
      <c r="AP919" s="4317"/>
      <c r="AQ919" s="4317"/>
      <c r="AR919" s="4317"/>
      <c r="AS919" s="4317"/>
      <c r="AT919" s="4317"/>
      <c r="AU919" s="4317"/>
      <c r="AV919" s="4317"/>
      <c r="AW919" s="4317"/>
      <c r="AX919" s="4317"/>
      <c r="AY919" s="4317"/>
      <c r="AZ919" s="4317"/>
      <c r="BA919" s="4317"/>
      <c r="BB919" s="4317"/>
      <c r="BC919" s="4317"/>
      <c r="BD919" s="4317"/>
      <c r="BE919" s="4317"/>
      <c r="BF919" s="4317"/>
      <c r="BG919" s="4317"/>
      <c r="BH919" s="4317"/>
      <c r="BI919" s="4317"/>
      <c r="BJ919" s="4317"/>
      <c r="BK919" s="4317"/>
      <c r="BL919" s="4317"/>
      <c r="BM919" s="4317"/>
      <c r="BN919" s="4317"/>
      <c r="BO919" s="4317"/>
      <c r="BP919" s="4317"/>
      <c r="BQ919" s="4317"/>
      <c r="BR919" s="4317"/>
      <c r="BS919" s="4317"/>
      <c r="BT919" s="4317"/>
      <c r="BU919" s="4317"/>
      <c r="BV919" s="4317"/>
      <c r="BW919" s="4317"/>
      <c r="BX919" s="4317"/>
      <c r="BY919" s="4317"/>
      <c r="BZ919" s="4317"/>
      <c r="CA919" s="4317"/>
      <c r="CB919" s="4317"/>
      <c r="CC919" s="4317"/>
      <c r="CD919" s="4317"/>
      <c r="CE919" s="4317"/>
      <c r="CF919" s="4317"/>
      <c r="CG919" s="4317"/>
      <c r="CH919" s="4317"/>
      <c r="CI919" s="4317"/>
      <c r="CJ919" s="4317"/>
      <c r="CK919" s="4317"/>
      <c r="CL919" s="4317"/>
      <c r="CM919" s="4317"/>
      <c r="CN919" s="4317"/>
      <c r="CO919" s="4317"/>
      <c r="CP919" s="4317"/>
      <c r="CQ919" s="4317"/>
      <c r="CR919" s="4317"/>
      <c r="CS919" s="4317"/>
      <c r="CT919" s="4317"/>
      <c r="CU919" s="4317"/>
      <c r="CV919" s="4317"/>
      <c r="CW919" s="4317"/>
      <c r="CX919" s="4317"/>
      <c r="CY919" s="4317"/>
      <c r="CZ919" s="4317"/>
      <c r="DA919" s="4317"/>
      <c r="DB919" s="4317"/>
      <c r="DC919" s="4317"/>
      <c r="DD919" s="4317"/>
      <c r="DE919" s="4317"/>
      <c r="DF919" s="4317"/>
      <c r="DG919" s="4317"/>
      <c r="DH919" s="4317"/>
      <c r="DI919" s="4317"/>
      <c r="DJ919" s="4317"/>
      <c r="DK919" s="4317"/>
      <c r="DL919" s="4317"/>
      <c r="DM919" s="4317"/>
      <c r="DN919" s="4317"/>
      <c r="DO919" s="4317"/>
      <c r="DP919" s="4317"/>
      <c r="DQ919" s="4317"/>
      <c r="DR919" s="4317"/>
      <c r="DS919" s="4317"/>
    </row>
    <row r="920" s="4133" customFormat="1" ht="15.75" customHeight="1" spans="1:123">
      <c r="A920" s="4719" t="s">
        <v>5666</v>
      </c>
      <c r="B920" s="4720"/>
      <c r="C920" s="4720"/>
      <c r="D920" s="4720"/>
      <c r="E920" s="4720"/>
      <c r="F920" s="4720"/>
      <c r="G920" s="4720"/>
      <c r="H920" s="4720"/>
      <c r="I920" s="4720"/>
      <c r="J920" s="4720"/>
      <c r="K920" s="4720"/>
      <c r="L920" s="4720"/>
      <c r="M920" s="4720"/>
      <c r="N920" s="4720"/>
      <c r="O920" s="4745">
        <f>AA920</f>
        <v>0</v>
      </c>
      <c r="P920" s="4746"/>
      <c r="Q920" s="4746"/>
      <c r="R920" s="4746"/>
      <c r="S920" s="4746"/>
      <c r="T920" s="4747"/>
      <c r="U920" s="4749" t="s">
        <v>5634</v>
      </c>
      <c r="V920" s="4739"/>
      <c r="W920" s="4739"/>
      <c r="X920" s="4739"/>
      <c r="Y920" s="4739"/>
      <c r="Z920" s="4739"/>
      <c r="AA920" s="4738"/>
      <c r="AB920" s="4738"/>
      <c r="AC920" s="4738"/>
      <c r="AD920" s="4738"/>
      <c r="AE920" s="4738"/>
      <c r="AF920" s="4738"/>
      <c r="AG920" s="4738"/>
      <c r="AH920" s="4738"/>
      <c r="AI920" s="4738"/>
      <c r="AJ920" s="4738"/>
      <c r="AK920" s="4738"/>
      <c r="AL920" s="4738"/>
      <c r="AM920" s="4317"/>
      <c r="AN920" s="4317"/>
      <c r="AO920" s="4317"/>
      <c r="AP920" s="4317"/>
      <c r="AQ920" s="4317"/>
      <c r="AR920" s="4317"/>
      <c r="AS920" s="4317"/>
      <c r="AT920" s="4317"/>
      <c r="AU920" s="4317"/>
      <c r="AV920" s="4317"/>
      <c r="AW920" s="4317"/>
      <c r="AX920" s="4317"/>
      <c r="AY920" s="4317"/>
      <c r="AZ920" s="4317"/>
      <c r="BA920" s="4317"/>
      <c r="BB920" s="4317"/>
      <c r="BC920" s="4317"/>
      <c r="BD920" s="4317"/>
      <c r="BE920" s="4317"/>
      <c r="BF920" s="4317"/>
      <c r="BG920" s="4317"/>
      <c r="BH920" s="4317"/>
      <c r="BI920" s="4317"/>
      <c r="BJ920" s="4317"/>
      <c r="BK920" s="4317"/>
      <c r="BL920" s="4317"/>
      <c r="BM920" s="4317"/>
      <c r="BN920" s="4317"/>
      <c r="BO920" s="4317"/>
      <c r="BP920" s="4317"/>
      <c r="BQ920" s="4317"/>
      <c r="BR920" s="4317"/>
      <c r="BS920" s="4317"/>
      <c r="BT920" s="4317"/>
      <c r="BU920" s="4317"/>
      <c r="BV920" s="4317"/>
      <c r="BW920" s="4317"/>
      <c r="BX920" s="4317"/>
      <c r="BY920" s="4317"/>
      <c r="BZ920" s="4317"/>
      <c r="CA920" s="4317"/>
      <c r="CB920" s="4317"/>
      <c r="CC920" s="4317"/>
      <c r="CD920" s="4317"/>
      <c r="CE920" s="4317"/>
      <c r="CF920" s="4317"/>
      <c r="CG920" s="4317"/>
      <c r="CH920" s="4317"/>
      <c r="CI920" s="4317"/>
      <c r="CJ920" s="4317"/>
      <c r="CK920" s="4317"/>
      <c r="CL920" s="4317"/>
      <c r="CM920" s="4317"/>
      <c r="CN920" s="4317"/>
      <c r="CO920" s="4317"/>
      <c r="CP920" s="4317"/>
      <c r="CQ920" s="4317"/>
      <c r="CR920" s="4317"/>
      <c r="CS920" s="4317"/>
      <c r="CT920" s="4317"/>
      <c r="CU920" s="4317"/>
      <c r="CV920" s="4317"/>
      <c r="CW920" s="4317"/>
      <c r="CX920" s="4317"/>
      <c r="CY920" s="4317"/>
      <c r="CZ920" s="4317"/>
      <c r="DA920" s="4317"/>
      <c r="DB920" s="4317"/>
      <c r="DC920" s="4317"/>
      <c r="DD920" s="4317"/>
      <c r="DE920" s="4317"/>
      <c r="DF920" s="4317"/>
      <c r="DG920" s="4317"/>
      <c r="DH920" s="4317"/>
      <c r="DI920" s="4317"/>
      <c r="DJ920" s="4317"/>
      <c r="DK920" s="4317"/>
      <c r="DL920" s="4317"/>
      <c r="DM920" s="4317"/>
      <c r="DN920" s="4317"/>
      <c r="DO920" s="4317"/>
      <c r="DP920" s="4317"/>
      <c r="DQ920" s="4317"/>
      <c r="DR920" s="4317"/>
      <c r="DS920" s="4317"/>
    </row>
    <row r="921" s="4133" customFormat="1" ht="20.25" customHeight="1" spans="1:123">
      <c r="A921" s="4719"/>
      <c r="B921" s="4720"/>
      <c r="C921" s="4720"/>
      <c r="D921" s="4720"/>
      <c r="E921" s="4720"/>
      <c r="F921" s="4720"/>
      <c r="G921" s="4720"/>
      <c r="H921" s="4720"/>
      <c r="I921" s="4720" t="s">
        <v>5667</v>
      </c>
      <c r="J921" s="4720"/>
      <c r="K921" s="4720"/>
      <c r="L921" s="4720"/>
      <c r="M921" s="4720"/>
      <c r="N921" s="4720"/>
      <c r="O921" s="4745">
        <f>'INV 2'!AL5</f>
        <v>0</v>
      </c>
      <c r="P921" s="4746"/>
      <c r="Q921" s="4746"/>
      <c r="R921" s="4746"/>
      <c r="S921" s="4746"/>
      <c r="T921" s="4747"/>
      <c r="U921" s="4750">
        <f>'INV 2'!AR5</f>
        <v>0</v>
      </c>
      <c r="V921" s="4737"/>
      <c r="W921" s="4737"/>
      <c r="X921" s="4737"/>
      <c r="Y921" s="4737"/>
      <c r="Z921" s="4737"/>
      <c r="AA921" s="4737">
        <f>'INV 2'!AX5</f>
        <v>0</v>
      </c>
      <c r="AB921" s="4737"/>
      <c r="AC921" s="4737"/>
      <c r="AD921" s="4737"/>
      <c r="AE921" s="4737"/>
      <c r="AF921" s="4737"/>
      <c r="AG921" s="4737">
        <f>'INV 2'!BD5</f>
        <v>0</v>
      </c>
      <c r="AH921" s="4737"/>
      <c r="AI921" s="4737"/>
      <c r="AJ921" s="4737"/>
      <c r="AK921" s="4737"/>
      <c r="AL921" s="4737"/>
      <c r="AM921" s="4317"/>
      <c r="AN921" s="4317"/>
      <c r="AO921" s="4317"/>
      <c r="AP921" s="4317"/>
      <c r="AQ921" s="4317"/>
      <c r="AR921" s="4317"/>
      <c r="AS921" s="4317"/>
      <c r="AT921" s="4317"/>
      <c r="AU921" s="4317"/>
      <c r="AV921" s="4317"/>
      <c r="AW921" s="4317"/>
      <c r="AX921" s="4317"/>
      <c r="AY921" s="4317"/>
      <c r="AZ921" s="4317"/>
      <c r="BA921" s="4317"/>
      <c r="BB921" s="4317"/>
      <c r="BC921" s="4317"/>
      <c r="BD921" s="4317"/>
      <c r="BE921" s="4317"/>
      <c r="BF921" s="4317"/>
      <c r="BG921" s="4317"/>
      <c r="BH921" s="4317"/>
      <c r="BI921" s="4317"/>
      <c r="BJ921" s="4317"/>
      <c r="BK921" s="4317"/>
      <c r="BL921" s="4317"/>
      <c r="BM921" s="4317"/>
      <c r="BN921" s="4317"/>
      <c r="BO921" s="4317"/>
      <c r="BP921" s="4317"/>
      <c r="BQ921" s="4317"/>
      <c r="BR921" s="4317"/>
      <c r="BS921" s="4317"/>
      <c r="BT921" s="4317"/>
      <c r="BU921" s="4317"/>
      <c r="BV921" s="4317"/>
      <c r="BW921" s="4317"/>
      <c r="BX921" s="4317"/>
      <c r="BY921" s="4317"/>
      <c r="BZ921" s="4317"/>
      <c r="CA921" s="4317"/>
      <c r="CB921" s="4317"/>
      <c r="CC921" s="4317"/>
      <c r="CD921" s="4317"/>
      <c r="CE921" s="4317"/>
      <c r="CF921" s="4317"/>
      <c r="CG921" s="4317"/>
      <c r="CH921" s="4317"/>
      <c r="CI921" s="4317"/>
      <c r="CJ921" s="4317"/>
      <c r="CK921" s="4317"/>
      <c r="CL921" s="4317"/>
      <c r="CM921" s="4317"/>
      <c r="CN921" s="4317"/>
      <c r="CO921" s="4317"/>
      <c r="CP921" s="4317"/>
      <c r="CQ921" s="4317"/>
      <c r="CR921" s="4317"/>
      <c r="CS921" s="4317"/>
      <c r="CT921" s="4317"/>
      <c r="CU921" s="4317"/>
      <c r="CV921" s="4317"/>
      <c r="CW921" s="4317"/>
      <c r="CX921" s="4317"/>
      <c r="CY921" s="4317"/>
      <c r="CZ921" s="4317"/>
      <c r="DA921" s="4317"/>
      <c r="DB921" s="4317"/>
      <c r="DC921" s="4317"/>
      <c r="DD921" s="4317"/>
      <c r="DE921" s="4317"/>
      <c r="DF921" s="4317"/>
      <c r="DG921" s="4317"/>
      <c r="DH921" s="4317"/>
      <c r="DI921" s="4317"/>
      <c r="DJ921" s="4317"/>
      <c r="DK921" s="4317"/>
      <c r="DL921" s="4317"/>
      <c r="DM921" s="4317"/>
      <c r="DN921" s="4317"/>
      <c r="DO921" s="4317"/>
      <c r="DP921" s="4317"/>
      <c r="DQ921" s="4317"/>
      <c r="DR921" s="4317"/>
      <c r="DS921" s="4317"/>
    </row>
    <row r="922" s="4133" customFormat="1" ht="15.75" customHeight="1" spans="1:123">
      <c r="A922" s="4751" t="str">
        <f ca="1">"Isplaćeno za investicije u toku "&amp;Baza!C6&amp;".godine"</f>
        <v>Isplaćeno za investicije u toku 2025.godine</v>
      </c>
      <c r="B922" s="4751"/>
      <c r="C922" s="4751"/>
      <c r="D922" s="4751"/>
      <c r="E922" s="4751"/>
      <c r="F922" s="4751"/>
      <c r="G922" s="4751"/>
      <c r="H922" s="4751"/>
      <c r="I922" s="4751"/>
      <c r="J922" s="4751"/>
      <c r="K922" s="4751"/>
      <c r="L922" s="4751"/>
      <c r="M922" s="4751"/>
      <c r="N922" s="4751"/>
      <c r="O922" s="4752">
        <f>O880</f>
        <v>0</v>
      </c>
      <c r="P922" s="4753"/>
      <c r="Q922" s="4753"/>
      <c r="R922" s="4753"/>
      <c r="S922" s="4753"/>
      <c r="T922" s="4754"/>
      <c r="U922" s="4295"/>
      <c r="V922" s="4295"/>
      <c r="W922" s="4295"/>
      <c r="X922" s="4295"/>
      <c r="Y922" s="4295"/>
      <c r="Z922" s="4295"/>
      <c r="AA922" s="4295"/>
      <c r="AB922" s="4295"/>
      <c r="AC922" s="4295"/>
      <c r="AD922" s="4295"/>
      <c r="AE922" s="4295"/>
      <c r="AF922" s="4295"/>
      <c r="AG922" s="4295"/>
      <c r="AH922" s="4295"/>
      <c r="AI922" s="4295"/>
      <c r="AJ922" s="4295"/>
      <c r="AK922" s="4295"/>
      <c r="AL922" s="4295"/>
      <c r="AM922" s="4317"/>
      <c r="AN922" s="4317"/>
      <c r="AO922" s="4317"/>
      <c r="AP922" s="4317"/>
      <c r="AQ922" s="4317"/>
      <c r="AR922" s="4317"/>
      <c r="AS922" s="4317"/>
      <c r="AT922" s="4317"/>
      <c r="AU922" s="4317"/>
      <c r="AV922" s="4317"/>
      <c r="AW922" s="4317"/>
      <c r="AX922" s="4317"/>
      <c r="AY922" s="4317"/>
      <c r="AZ922" s="4317"/>
      <c r="BA922" s="4317"/>
      <c r="BB922" s="4317"/>
      <c r="BC922" s="4317"/>
      <c r="BD922" s="4317"/>
      <c r="BE922" s="4317"/>
      <c r="BF922" s="4317"/>
      <c r="BG922" s="4317"/>
      <c r="BH922" s="4317"/>
      <c r="BI922" s="4317"/>
      <c r="BJ922" s="4317"/>
      <c r="BK922" s="4317"/>
      <c r="BL922" s="4317"/>
      <c r="BM922" s="4317"/>
      <c r="BN922" s="4317"/>
      <c r="BO922" s="4317"/>
      <c r="BP922" s="4317"/>
      <c r="BQ922" s="4317"/>
      <c r="BR922" s="4317"/>
      <c r="BS922" s="4317"/>
      <c r="BT922" s="4317"/>
      <c r="BU922" s="4317"/>
      <c r="BV922" s="4317"/>
      <c r="BW922" s="4317"/>
      <c r="BX922" s="4317"/>
      <c r="BY922" s="4317"/>
      <c r="BZ922" s="4317"/>
      <c r="CA922" s="4317"/>
      <c r="CB922" s="4317"/>
      <c r="CC922" s="4317"/>
      <c r="CD922" s="4317"/>
      <c r="CE922" s="4317"/>
      <c r="CF922" s="4317"/>
      <c r="CG922" s="4317"/>
      <c r="CH922" s="4317"/>
      <c r="CI922" s="4317"/>
      <c r="CJ922" s="4317"/>
      <c r="CK922" s="4317"/>
      <c r="CL922" s="4317"/>
      <c r="CM922" s="4317"/>
      <c r="CN922" s="4317"/>
      <c r="CO922" s="4317"/>
      <c r="CP922" s="4317"/>
      <c r="CQ922" s="4317"/>
      <c r="CR922" s="4317"/>
      <c r="CS922" s="4317"/>
      <c r="CT922" s="4317"/>
      <c r="CU922" s="4317"/>
      <c r="CV922" s="4317"/>
      <c r="CW922" s="4317"/>
      <c r="CX922" s="4317"/>
      <c r="CY922" s="4317"/>
      <c r="CZ922" s="4317"/>
      <c r="DA922" s="4317"/>
      <c r="DB922" s="4317"/>
      <c r="DC922" s="4317"/>
      <c r="DD922" s="4317"/>
      <c r="DE922" s="4317"/>
      <c r="DF922" s="4317"/>
      <c r="DG922" s="4317"/>
      <c r="DH922" s="4317"/>
      <c r="DI922" s="4317"/>
      <c r="DJ922" s="4317"/>
      <c r="DK922" s="4317"/>
      <c r="DL922" s="4317"/>
      <c r="DM922" s="4317"/>
      <c r="DN922" s="4317"/>
      <c r="DO922" s="4317"/>
      <c r="DP922" s="4317"/>
      <c r="DQ922" s="4317"/>
      <c r="DR922" s="4317"/>
      <c r="DS922" s="4317"/>
    </row>
    <row r="923" s="4133" customFormat="1" ht="15.75" customHeight="1" spans="1:123">
      <c r="A923" s="4751" t="s">
        <v>18</v>
      </c>
      <c r="B923" s="4751"/>
      <c r="C923" s="4751"/>
      <c r="D923" s="4751"/>
      <c r="E923" s="4751"/>
      <c r="F923" s="4751"/>
      <c r="G923" s="4751"/>
      <c r="H923" s="4751"/>
      <c r="I923" s="4751"/>
      <c r="J923" s="4751"/>
      <c r="K923" s="4751"/>
      <c r="L923" s="4751"/>
      <c r="M923" s="4751"/>
      <c r="N923" s="4751"/>
      <c r="O923" s="4755">
        <f>O922-O921-O920</f>
        <v>0</v>
      </c>
      <c r="P923" s="4756"/>
      <c r="Q923" s="4756"/>
      <c r="R923" s="4756"/>
      <c r="S923" s="4756"/>
      <c r="T923" s="4757"/>
      <c r="U923" s="4295"/>
      <c r="V923" s="4295"/>
      <c r="W923" s="4295"/>
      <c r="X923" s="4295"/>
      <c r="Y923" s="4295"/>
      <c r="Z923" s="4295"/>
      <c r="AA923" s="4295"/>
      <c r="AB923" s="4295"/>
      <c r="AC923" s="4295"/>
      <c r="AD923" s="4295"/>
      <c r="AE923" s="4295"/>
      <c r="AF923" s="4295"/>
      <c r="AG923" s="4295"/>
      <c r="AH923" s="4295"/>
      <c r="AI923" s="4295"/>
      <c r="AJ923" s="4295"/>
      <c r="AK923" s="4295"/>
      <c r="AL923" s="4295"/>
      <c r="AM923" s="4317"/>
      <c r="AN923" s="4317"/>
      <c r="AO923" s="4317"/>
      <c r="AP923" s="4317"/>
      <c r="AQ923" s="4317"/>
      <c r="AR923" s="4317"/>
      <c r="AS923" s="4317"/>
      <c r="AT923" s="4317"/>
      <c r="AU923" s="4317"/>
      <c r="AV923" s="4317"/>
      <c r="AW923" s="4317"/>
      <c r="AX923" s="4317"/>
      <c r="AY923" s="4317"/>
      <c r="AZ923" s="4317"/>
      <c r="BA923" s="4317"/>
      <c r="BB923" s="4317"/>
      <c r="BC923" s="4317"/>
      <c r="BD923" s="4317"/>
      <c r="BE923" s="4317"/>
      <c r="BF923" s="4317"/>
      <c r="BG923" s="4317"/>
      <c r="BH923" s="4317"/>
      <c r="BI923" s="4317"/>
      <c r="BJ923" s="4317"/>
      <c r="BK923" s="4317"/>
      <c r="BL923" s="4317"/>
      <c r="BM923" s="4317"/>
      <c r="BN923" s="4317"/>
      <c r="BO923" s="4317"/>
      <c r="BP923" s="4317"/>
      <c r="BQ923" s="4317"/>
      <c r="BR923" s="4317"/>
      <c r="BS923" s="4317"/>
      <c r="BT923" s="4317"/>
      <c r="BU923" s="4317"/>
      <c r="BV923" s="4317"/>
      <c r="BW923" s="4317"/>
      <c r="BX923" s="4317"/>
      <c r="BY923" s="4317"/>
      <c r="BZ923" s="4317"/>
      <c r="CA923" s="4317"/>
      <c r="CB923" s="4317"/>
      <c r="CC923" s="4317"/>
      <c r="CD923" s="4317"/>
      <c r="CE923" s="4317"/>
      <c r="CF923" s="4317"/>
      <c r="CG923" s="4317"/>
      <c r="CH923" s="4317"/>
      <c r="CI923" s="4317"/>
      <c r="CJ923" s="4317"/>
      <c r="CK923" s="4317"/>
      <c r="CL923" s="4317"/>
      <c r="CM923" s="4317"/>
      <c r="CN923" s="4317"/>
      <c r="CO923" s="4317"/>
      <c r="CP923" s="4317"/>
      <c r="CQ923" s="4317"/>
      <c r="CR923" s="4317"/>
      <c r="CS923" s="4317"/>
      <c r="CT923" s="4317"/>
      <c r="CU923" s="4317"/>
      <c r="CV923" s="4317"/>
      <c r="CW923" s="4317"/>
      <c r="CX923" s="4317"/>
      <c r="CY923" s="4317"/>
      <c r="CZ923" s="4317"/>
      <c r="DA923" s="4317"/>
      <c r="DB923" s="4317"/>
      <c r="DC923" s="4317"/>
      <c r="DD923" s="4317"/>
      <c r="DE923" s="4317"/>
      <c r="DF923" s="4317"/>
      <c r="DG923" s="4317"/>
      <c r="DH923" s="4317"/>
      <c r="DI923" s="4317"/>
      <c r="DJ923" s="4317"/>
      <c r="DK923" s="4317"/>
      <c r="DL923" s="4317"/>
      <c r="DM923" s="4317"/>
      <c r="DN923" s="4317"/>
      <c r="DO923" s="4317"/>
      <c r="DP923" s="4317"/>
      <c r="DQ923" s="4317"/>
      <c r="DR923" s="4317"/>
      <c r="DS923" s="4317"/>
    </row>
    <row r="924" s="4133" customFormat="1" ht="15.75" customHeight="1" spans="1:123">
      <c r="A924" s="4735"/>
      <c r="B924" s="4369"/>
      <c r="C924" s="4317"/>
      <c r="D924" s="4317"/>
      <c r="E924" s="4317"/>
      <c r="F924" s="4317"/>
      <c r="G924" s="4317"/>
      <c r="H924" s="4317"/>
      <c r="I924" s="4317"/>
      <c r="J924" s="4317"/>
      <c r="K924" s="4317"/>
      <c r="L924" s="4317"/>
      <c r="M924" s="4317"/>
      <c r="N924" s="4317"/>
      <c r="O924" s="4317"/>
      <c r="P924" s="4317"/>
      <c r="Q924" s="4317"/>
      <c r="R924" s="4317"/>
      <c r="S924" s="4317"/>
      <c r="T924" s="4317"/>
      <c r="U924" s="4295"/>
      <c r="V924" s="4295"/>
      <c r="W924" s="4295"/>
      <c r="X924" s="4295"/>
      <c r="Y924" s="4295"/>
      <c r="Z924" s="4295"/>
      <c r="AA924" s="4295"/>
      <c r="AB924" s="4295"/>
      <c r="AC924" s="4295"/>
      <c r="AD924" s="4295"/>
      <c r="AE924" s="4295"/>
      <c r="AF924" s="4295"/>
      <c r="AG924" s="4295"/>
      <c r="AH924" s="4295"/>
      <c r="AI924" s="4295"/>
      <c r="AJ924" s="4295"/>
      <c r="AK924" s="4295"/>
      <c r="AL924" s="4295"/>
      <c r="AM924" s="4317"/>
      <c r="AN924" s="4317"/>
      <c r="AO924" s="4317"/>
      <c r="AP924" s="4317"/>
      <c r="AQ924" s="4317"/>
      <c r="AR924" s="4317"/>
      <c r="AS924" s="4317"/>
      <c r="AT924" s="4317"/>
      <c r="AU924" s="4317"/>
      <c r="AV924" s="4317"/>
      <c r="AW924" s="4317"/>
      <c r="AX924" s="4317"/>
      <c r="AY924" s="4317"/>
      <c r="AZ924" s="4317"/>
      <c r="BA924" s="4317"/>
      <c r="BB924" s="4317"/>
      <c r="BC924" s="4317"/>
      <c r="BD924" s="4317"/>
      <c r="BE924" s="4317"/>
      <c r="BF924" s="4317"/>
      <c r="BG924" s="4317"/>
      <c r="BH924" s="4317"/>
      <c r="BI924" s="4317"/>
      <c r="BJ924" s="4317"/>
      <c r="BK924" s="4317"/>
      <c r="BL924" s="4317"/>
      <c r="BM924" s="4317"/>
      <c r="BN924" s="4317"/>
      <c r="BO924" s="4317"/>
      <c r="BP924" s="4317"/>
      <c r="BQ924" s="4317"/>
      <c r="BR924" s="4317"/>
      <c r="BS924" s="4317"/>
      <c r="BT924" s="4317"/>
      <c r="BU924" s="4317"/>
      <c r="BV924" s="4317"/>
      <c r="BW924" s="4317"/>
      <c r="BX924" s="4317"/>
      <c r="BY924" s="4317"/>
      <c r="BZ924" s="4317"/>
      <c r="CA924" s="4317"/>
      <c r="CB924" s="4317"/>
      <c r="CC924" s="4317"/>
      <c r="CD924" s="4317"/>
      <c r="CE924" s="4317"/>
      <c r="CF924" s="4317"/>
      <c r="CG924" s="4317"/>
      <c r="CH924" s="4317"/>
      <c r="CI924" s="4317"/>
      <c r="CJ924" s="4317"/>
      <c r="CK924" s="4317"/>
      <c r="CL924" s="4317"/>
      <c r="CM924" s="4317"/>
      <c r="CN924" s="4317"/>
      <c r="CO924" s="4317"/>
      <c r="CP924" s="4317"/>
      <c r="CQ924" s="4317"/>
      <c r="CR924" s="4317"/>
      <c r="CS924" s="4317"/>
      <c r="CT924" s="4317"/>
      <c r="CU924" s="4317"/>
      <c r="CV924" s="4317"/>
      <c r="CW924" s="4317"/>
      <c r="CX924" s="4317"/>
      <c r="CY924" s="4317"/>
      <c r="CZ924" s="4317"/>
      <c r="DA924" s="4317"/>
      <c r="DB924" s="4317"/>
      <c r="DC924" s="4317"/>
      <c r="DD924" s="4317"/>
      <c r="DE924" s="4317"/>
      <c r="DF924" s="4317"/>
      <c r="DG924" s="4317"/>
      <c r="DH924" s="4317"/>
      <c r="DI924" s="4317"/>
      <c r="DJ924" s="4317"/>
      <c r="DK924" s="4317"/>
      <c r="DL924" s="4317"/>
      <c r="DM924" s="4317"/>
      <c r="DN924" s="4317"/>
      <c r="DO924" s="4317"/>
      <c r="DP924" s="4317"/>
      <c r="DQ924" s="4317"/>
      <c r="DR924" s="4317"/>
      <c r="DS924" s="4317"/>
    </row>
    <row r="925" s="4133" customFormat="1" ht="15.75" customHeight="1" spans="1:123">
      <c r="A925" s="4715" t="s">
        <v>5668</v>
      </c>
      <c r="B925" s="4369"/>
      <c r="C925" s="4317"/>
      <c r="D925" s="4317"/>
      <c r="E925" s="4317"/>
      <c r="F925" s="4317"/>
      <c r="G925" s="4317"/>
      <c r="H925" s="4317"/>
      <c r="I925" s="4317"/>
      <c r="J925" s="4317"/>
      <c r="K925" s="4317"/>
      <c r="L925" s="4317"/>
      <c r="M925" s="4317"/>
      <c r="N925" s="4317"/>
      <c r="O925" s="4716" t="s">
        <v>5669</v>
      </c>
      <c r="P925" s="4716"/>
      <c r="Q925" s="4716"/>
      <c r="R925" s="4716"/>
      <c r="S925" s="4716"/>
      <c r="T925" s="4716"/>
      <c r="U925" s="4295"/>
      <c r="V925" s="4295"/>
      <c r="W925" s="4295"/>
      <c r="X925" s="4295"/>
      <c r="Y925" s="4295"/>
      <c r="Z925" s="4295"/>
      <c r="AA925" s="4295"/>
      <c r="AB925" s="4295"/>
      <c r="AC925" s="4295"/>
      <c r="AD925" s="4295"/>
      <c r="AE925" s="4295"/>
      <c r="AF925" s="4295"/>
      <c r="AG925" s="4295"/>
      <c r="AH925" s="4295"/>
      <c r="AI925" s="4295"/>
      <c r="AJ925" s="4295"/>
      <c r="AK925" s="4295"/>
      <c r="AL925" s="4295"/>
      <c r="AM925" s="4317"/>
      <c r="AN925" s="4317"/>
      <c r="AO925" s="4317"/>
      <c r="AP925" s="4317"/>
      <c r="AQ925" s="4317"/>
      <c r="AR925" s="4317"/>
      <c r="AS925" s="4317"/>
      <c r="AT925" s="4317"/>
      <c r="AU925" s="4317"/>
      <c r="AV925" s="4317"/>
      <c r="AW925" s="4317"/>
      <c r="AX925" s="4317"/>
      <c r="AY925" s="4317"/>
      <c r="AZ925" s="4317"/>
      <c r="BA925" s="4317"/>
      <c r="BB925" s="4317"/>
      <c r="BC925" s="4317"/>
      <c r="BD925" s="4317"/>
      <c r="BE925" s="4317"/>
      <c r="BF925" s="4317"/>
      <c r="BG925" s="4317"/>
      <c r="BH925" s="4317"/>
      <c r="BI925" s="4317"/>
      <c r="BJ925" s="4317"/>
      <c r="BK925" s="4317"/>
      <c r="BL925" s="4317"/>
      <c r="BM925" s="4317"/>
      <c r="BN925" s="4317"/>
      <c r="BO925" s="4317"/>
      <c r="BP925" s="4317"/>
      <c r="BQ925" s="4317"/>
      <c r="BR925" s="4317"/>
      <c r="BS925" s="4317"/>
      <c r="BT925" s="4317"/>
      <c r="BU925" s="4317"/>
      <c r="BV925" s="4317"/>
      <c r="BW925" s="4317"/>
      <c r="BX925" s="4317"/>
      <c r="BY925" s="4317"/>
      <c r="BZ925" s="4317"/>
      <c r="CA925" s="4317"/>
      <c r="CB925" s="4317"/>
      <c r="CC925" s="4317"/>
      <c r="CD925" s="4317"/>
      <c r="CE925" s="4317"/>
      <c r="CF925" s="4317"/>
      <c r="CG925" s="4317"/>
      <c r="CH925" s="4317"/>
      <c r="CI925" s="4317"/>
      <c r="CJ925" s="4317"/>
      <c r="CK925" s="4317"/>
      <c r="CL925" s="4317"/>
      <c r="CM925" s="4317"/>
      <c r="CN925" s="4317"/>
      <c r="CO925" s="4317"/>
      <c r="CP925" s="4317"/>
      <c r="CQ925" s="4317"/>
      <c r="CR925" s="4317"/>
      <c r="CS925" s="4317"/>
      <c r="CT925" s="4317"/>
      <c r="CU925" s="4317"/>
      <c r="CV925" s="4317"/>
      <c r="CW925" s="4317"/>
      <c r="CX925" s="4317"/>
      <c r="CY925" s="4317"/>
      <c r="CZ925" s="4317"/>
      <c r="DA925" s="4317"/>
      <c r="DB925" s="4317"/>
      <c r="DC925" s="4317"/>
      <c r="DD925" s="4317"/>
      <c r="DE925" s="4317"/>
      <c r="DF925" s="4317"/>
      <c r="DG925" s="4317"/>
      <c r="DH925" s="4317"/>
      <c r="DI925" s="4317"/>
      <c r="DJ925" s="4317"/>
      <c r="DK925" s="4317"/>
      <c r="DL925" s="4317"/>
      <c r="DM925" s="4317"/>
      <c r="DN925" s="4317"/>
      <c r="DO925" s="4317"/>
      <c r="DP925" s="4317"/>
      <c r="DQ925" s="4317"/>
      <c r="DR925" s="4317"/>
      <c r="DS925" s="4317"/>
    </row>
    <row r="926" s="4133" customFormat="1" ht="18.75" customHeight="1" spans="1:123">
      <c r="A926" s="4758" t="s">
        <v>5670</v>
      </c>
      <c r="B926" s="4720"/>
      <c r="C926" s="4503"/>
      <c r="D926" s="4503"/>
      <c r="E926" s="4503"/>
      <c r="F926" s="4503"/>
      <c r="G926" s="4503"/>
      <c r="H926" s="4503"/>
      <c r="I926" s="4503"/>
      <c r="J926" s="4503"/>
      <c r="K926" s="4503"/>
      <c r="L926" s="4503"/>
      <c r="M926" s="4503"/>
      <c r="N926" s="4503"/>
      <c r="O926" s="4759"/>
      <c r="P926" s="4760"/>
      <c r="Q926" s="4760"/>
      <c r="R926" s="4760"/>
      <c r="S926" s="4760"/>
      <c r="T926" s="4761"/>
      <c r="U926" s="4762">
        <f>'INV 2'!AR5-O926-O927-O928</f>
        <v>0</v>
      </c>
      <c r="V926" s="4762"/>
      <c r="W926" s="4762"/>
      <c r="X926" s="4762"/>
      <c r="Y926" s="4762"/>
      <c r="Z926" s="4762"/>
      <c r="AA926" s="4295"/>
      <c r="AB926" s="4295"/>
      <c r="AC926" s="4295"/>
      <c r="AD926" s="4295"/>
      <c r="AE926" s="4295"/>
      <c r="AF926" s="4295"/>
      <c r="AG926" s="4295"/>
      <c r="AH926" s="4295"/>
      <c r="AI926" s="4295"/>
      <c r="AJ926" s="4295"/>
      <c r="AK926" s="4295"/>
      <c r="AL926" s="4295"/>
      <c r="AM926" s="4317"/>
      <c r="AN926" s="4317"/>
      <c r="AO926" s="4317"/>
      <c r="AP926" s="4317"/>
      <c r="AQ926" s="4317"/>
      <c r="AR926" s="4317"/>
      <c r="AS926" s="4317"/>
      <c r="AT926" s="4317"/>
      <c r="AU926" s="4317"/>
      <c r="AV926" s="4317"/>
      <c r="AW926" s="4317"/>
      <c r="AX926" s="4317"/>
      <c r="AY926" s="4317"/>
      <c r="AZ926" s="4317"/>
      <c r="BA926" s="4317"/>
      <c r="BB926" s="4317"/>
      <c r="BC926" s="4317"/>
      <c r="BD926" s="4317"/>
      <c r="BE926" s="4317"/>
      <c r="BF926" s="4317"/>
      <c r="BG926" s="4317"/>
      <c r="BH926" s="4317"/>
      <c r="BI926" s="4317"/>
      <c r="BJ926" s="4317"/>
      <c r="BK926" s="4317"/>
      <c r="BL926" s="4317"/>
      <c r="BM926" s="4317"/>
      <c r="BN926" s="4317"/>
      <c r="BO926" s="4317"/>
      <c r="BP926" s="4317"/>
      <c r="BQ926" s="4317"/>
      <c r="BR926" s="4317"/>
      <c r="BS926" s="4317"/>
      <c r="BT926" s="4317"/>
      <c r="BU926" s="4317"/>
      <c r="BV926" s="4317"/>
      <c r="BW926" s="4317"/>
      <c r="BX926" s="4317"/>
      <c r="BY926" s="4317"/>
      <c r="BZ926" s="4317"/>
      <c r="CA926" s="4317"/>
      <c r="CB926" s="4317"/>
      <c r="CC926" s="4317"/>
      <c r="CD926" s="4317"/>
      <c r="CE926" s="4317"/>
      <c r="CF926" s="4317"/>
      <c r="CG926" s="4317"/>
      <c r="CH926" s="4317"/>
      <c r="CI926" s="4317"/>
      <c r="CJ926" s="4317"/>
      <c r="CK926" s="4317"/>
      <c r="CL926" s="4317"/>
      <c r="CM926" s="4317"/>
      <c r="CN926" s="4317"/>
      <c r="CO926" s="4317"/>
      <c r="CP926" s="4317"/>
      <c r="CQ926" s="4317"/>
      <c r="CR926" s="4317"/>
      <c r="CS926" s="4317"/>
      <c r="CT926" s="4317"/>
      <c r="CU926" s="4317"/>
      <c r="CV926" s="4317"/>
      <c r="CW926" s="4317"/>
      <c r="CX926" s="4317"/>
      <c r="CY926" s="4317"/>
      <c r="CZ926" s="4317"/>
      <c r="DA926" s="4317"/>
      <c r="DB926" s="4317"/>
      <c r="DC926" s="4317"/>
      <c r="DD926" s="4317"/>
      <c r="DE926" s="4317"/>
      <c r="DF926" s="4317"/>
      <c r="DG926" s="4317"/>
      <c r="DH926" s="4317"/>
      <c r="DI926" s="4317"/>
      <c r="DJ926" s="4317"/>
      <c r="DK926" s="4317"/>
      <c r="DL926" s="4317"/>
      <c r="DM926" s="4317"/>
      <c r="DN926" s="4317"/>
      <c r="DO926" s="4317"/>
      <c r="DP926" s="4317"/>
      <c r="DQ926" s="4317"/>
      <c r="DR926" s="4317"/>
      <c r="DS926" s="4317"/>
    </row>
    <row r="927" s="4133" customFormat="1" ht="18.75" customHeight="1" spans="1:123">
      <c r="A927" s="4758" t="s">
        <v>5671</v>
      </c>
      <c r="B927" s="4720"/>
      <c r="C927" s="4503"/>
      <c r="D927" s="4503"/>
      <c r="E927" s="4503"/>
      <c r="F927" s="4503"/>
      <c r="G927" s="4503"/>
      <c r="H927" s="4503"/>
      <c r="I927" s="4503"/>
      <c r="J927" s="4503"/>
      <c r="K927" s="4503"/>
      <c r="L927" s="4503"/>
      <c r="M927" s="4503"/>
      <c r="N927" s="4503"/>
      <c r="O927" s="4763">
        <f>U921</f>
        <v>0</v>
      </c>
      <c r="P927" s="4764"/>
      <c r="Q927" s="4764"/>
      <c r="R927" s="4764"/>
      <c r="S927" s="4764"/>
      <c r="T927" s="4765"/>
      <c r="U927" s="4396"/>
      <c r="V927" s="4396"/>
      <c r="W927" s="4396"/>
      <c r="X927" s="4396"/>
      <c r="Y927" s="4396"/>
      <c r="Z927" s="4396"/>
      <c r="AA927" s="4295"/>
      <c r="AB927" s="4295"/>
      <c r="AC927" s="4295"/>
      <c r="AD927" s="4295"/>
      <c r="AE927" s="4295"/>
      <c r="AF927" s="4295"/>
      <c r="AG927" s="4295"/>
      <c r="AH927" s="4295"/>
      <c r="AI927" s="4295"/>
      <c r="AJ927" s="4295"/>
      <c r="AK927" s="4295"/>
      <c r="AL927" s="4295"/>
      <c r="AM927" s="4317"/>
      <c r="AN927" s="4317"/>
      <c r="AO927" s="4317"/>
      <c r="AP927" s="4317"/>
      <c r="AQ927" s="4317"/>
      <c r="AR927" s="4317"/>
      <c r="AS927" s="4317"/>
      <c r="AT927" s="4317"/>
      <c r="AU927" s="4317"/>
      <c r="AV927" s="4317"/>
      <c r="AW927" s="4317"/>
      <c r="AX927" s="4317"/>
      <c r="AY927" s="4317"/>
      <c r="AZ927" s="4317"/>
      <c r="BA927" s="4317"/>
      <c r="BB927" s="4317"/>
      <c r="BC927" s="4317"/>
      <c r="BD927" s="4317"/>
      <c r="BE927" s="4317"/>
      <c r="BF927" s="4317"/>
      <c r="BG927" s="4317"/>
      <c r="BH927" s="4317"/>
      <c r="BI927" s="4317"/>
      <c r="BJ927" s="4317"/>
      <c r="BK927" s="4317"/>
      <c r="BL927" s="4317"/>
      <c r="BM927" s="4317"/>
      <c r="BN927" s="4317"/>
      <c r="BO927" s="4317"/>
      <c r="BP927" s="4317"/>
      <c r="BQ927" s="4317"/>
      <c r="BR927" s="4317"/>
      <c r="BS927" s="4317"/>
      <c r="BT927" s="4317"/>
      <c r="BU927" s="4317"/>
      <c r="BV927" s="4317"/>
      <c r="BW927" s="4317"/>
      <c r="BX927" s="4317"/>
      <c r="BY927" s="4317"/>
      <c r="BZ927" s="4317"/>
      <c r="CA927" s="4317"/>
      <c r="CB927" s="4317"/>
      <c r="CC927" s="4317"/>
      <c r="CD927" s="4317"/>
      <c r="CE927" s="4317"/>
      <c r="CF927" s="4317"/>
      <c r="CG927" s="4317"/>
      <c r="CH927" s="4317"/>
      <c r="CI927" s="4317"/>
      <c r="CJ927" s="4317"/>
      <c r="CK927" s="4317"/>
      <c r="CL927" s="4317"/>
      <c r="CM927" s="4317"/>
      <c r="CN927" s="4317"/>
      <c r="CO927" s="4317"/>
      <c r="CP927" s="4317"/>
      <c r="CQ927" s="4317"/>
      <c r="CR927" s="4317"/>
      <c r="CS927" s="4317"/>
      <c r="CT927" s="4317"/>
      <c r="CU927" s="4317"/>
      <c r="CV927" s="4317"/>
      <c r="CW927" s="4317"/>
      <c r="CX927" s="4317"/>
      <c r="CY927" s="4317"/>
      <c r="CZ927" s="4317"/>
      <c r="DA927" s="4317"/>
      <c r="DB927" s="4317"/>
      <c r="DC927" s="4317"/>
      <c r="DD927" s="4317"/>
      <c r="DE927" s="4317"/>
      <c r="DF927" s="4317"/>
      <c r="DG927" s="4317"/>
      <c r="DH927" s="4317"/>
      <c r="DI927" s="4317"/>
      <c r="DJ927" s="4317"/>
      <c r="DK927" s="4317"/>
      <c r="DL927" s="4317"/>
      <c r="DM927" s="4317"/>
      <c r="DN927" s="4317"/>
      <c r="DO927" s="4317"/>
      <c r="DP927" s="4317"/>
      <c r="DQ927" s="4317"/>
      <c r="DR927" s="4317"/>
      <c r="DS927" s="4317"/>
    </row>
    <row r="928" s="4133" customFormat="1" ht="18.75" customHeight="1" spans="1:123">
      <c r="A928" s="4758" t="s">
        <v>5672</v>
      </c>
      <c r="B928" s="4720"/>
      <c r="C928" s="4503"/>
      <c r="D928" s="4503"/>
      <c r="E928" s="4503"/>
      <c r="F928" s="4503"/>
      <c r="G928" s="4503"/>
      <c r="H928" s="4503"/>
      <c r="I928" s="4503"/>
      <c r="J928" s="4503"/>
      <c r="K928" s="4503"/>
      <c r="L928" s="4503"/>
      <c r="M928" s="4503"/>
      <c r="N928" s="4503"/>
      <c r="O928" s="4766"/>
      <c r="P928" s="4767"/>
      <c r="Q928" s="4767"/>
      <c r="R928" s="4767"/>
      <c r="S928" s="4767"/>
      <c r="T928" s="4768"/>
      <c r="U928" s="4396"/>
      <c r="V928" s="4396"/>
      <c r="W928" s="4396"/>
      <c r="X928" s="4396"/>
      <c r="Y928" s="4396"/>
      <c r="Z928" s="4396"/>
      <c r="AA928" s="4295"/>
      <c r="AB928" s="4295"/>
      <c r="AC928" s="4295"/>
      <c r="AD928" s="4295"/>
      <c r="AE928" s="4295"/>
      <c r="AF928" s="4295"/>
      <c r="AG928" s="4295"/>
      <c r="AH928" s="4295"/>
      <c r="AI928" s="4295"/>
      <c r="AJ928" s="4295"/>
      <c r="AK928" s="4295"/>
      <c r="AL928" s="4295"/>
      <c r="AM928" s="4317"/>
      <c r="AN928" s="4317"/>
      <c r="AO928" s="4317"/>
      <c r="AP928" s="4317"/>
      <c r="AQ928" s="4317"/>
      <c r="AR928" s="4317"/>
      <c r="AS928" s="4317"/>
      <c r="AT928" s="4317"/>
      <c r="AU928" s="4317"/>
      <c r="AV928" s="4317"/>
      <c r="AW928" s="4317"/>
      <c r="AX928" s="4317"/>
      <c r="AY928" s="4317"/>
      <c r="AZ928" s="4317"/>
      <c r="BA928" s="4317"/>
      <c r="BB928" s="4317"/>
      <c r="BC928" s="4317"/>
      <c r="BD928" s="4317"/>
      <c r="BE928" s="4317"/>
      <c r="BF928" s="4317"/>
      <c r="BG928" s="4317"/>
      <c r="BH928" s="4317"/>
      <c r="BI928" s="4317"/>
      <c r="BJ928" s="4317"/>
      <c r="BK928" s="4317"/>
      <c r="BL928" s="4317"/>
      <c r="BM928" s="4317"/>
      <c r="BN928" s="4317"/>
      <c r="BO928" s="4317"/>
      <c r="BP928" s="4317"/>
      <c r="BQ928" s="4317"/>
      <c r="BR928" s="4317"/>
      <c r="BS928" s="4317"/>
      <c r="BT928" s="4317"/>
      <c r="BU928" s="4317"/>
      <c r="BV928" s="4317"/>
      <c r="BW928" s="4317"/>
      <c r="BX928" s="4317"/>
      <c r="BY928" s="4317"/>
      <c r="BZ928" s="4317"/>
      <c r="CA928" s="4317"/>
      <c r="CB928" s="4317"/>
      <c r="CC928" s="4317"/>
      <c r="CD928" s="4317"/>
      <c r="CE928" s="4317"/>
      <c r="CF928" s="4317"/>
      <c r="CG928" s="4317"/>
      <c r="CH928" s="4317"/>
      <c r="CI928" s="4317"/>
      <c r="CJ928" s="4317"/>
      <c r="CK928" s="4317"/>
      <c r="CL928" s="4317"/>
      <c r="CM928" s="4317"/>
      <c r="CN928" s="4317"/>
      <c r="CO928" s="4317"/>
      <c r="CP928" s="4317"/>
      <c r="CQ928" s="4317"/>
      <c r="CR928" s="4317"/>
      <c r="CS928" s="4317"/>
      <c r="CT928" s="4317"/>
      <c r="CU928" s="4317"/>
      <c r="CV928" s="4317"/>
      <c r="CW928" s="4317"/>
      <c r="CX928" s="4317"/>
      <c r="CY928" s="4317"/>
      <c r="CZ928" s="4317"/>
      <c r="DA928" s="4317"/>
      <c r="DB928" s="4317"/>
      <c r="DC928" s="4317"/>
      <c r="DD928" s="4317"/>
      <c r="DE928" s="4317"/>
      <c r="DF928" s="4317"/>
      <c r="DG928" s="4317"/>
      <c r="DH928" s="4317"/>
      <c r="DI928" s="4317"/>
      <c r="DJ928" s="4317"/>
      <c r="DK928" s="4317"/>
      <c r="DL928" s="4317"/>
      <c r="DM928" s="4317"/>
      <c r="DN928" s="4317"/>
      <c r="DO928" s="4317"/>
      <c r="DP928" s="4317"/>
      <c r="DQ928" s="4317"/>
      <c r="DR928" s="4317"/>
      <c r="DS928" s="4317"/>
    </row>
    <row r="929" s="4133" customFormat="1" ht="18.75" customHeight="1" spans="1:123">
      <c r="A929" s="4758" t="s">
        <v>5673</v>
      </c>
      <c r="B929" s="4720"/>
      <c r="C929" s="4503"/>
      <c r="D929" s="4503"/>
      <c r="E929" s="4503"/>
      <c r="F929" s="4503"/>
      <c r="G929" s="4503"/>
      <c r="H929" s="4503"/>
      <c r="I929" s="4503"/>
      <c r="J929" s="4503"/>
      <c r="K929" s="4503"/>
      <c r="L929" s="4503"/>
      <c r="M929" s="4503"/>
      <c r="N929" s="4503"/>
      <c r="O929" s="4766"/>
      <c r="P929" s="4767"/>
      <c r="Q929" s="4767"/>
      <c r="R929" s="4767"/>
      <c r="S929" s="4767"/>
      <c r="T929" s="4768"/>
      <c r="U929" s="4396"/>
      <c r="V929" s="4396"/>
      <c r="W929" s="4396"/>
      <c r="X929" s="4396"/>
      <c r="Y929" s="4396"/>
      <c r="Z929" s="4396"/>
      <c r="AA929" s="4295"/>
      <c r="AB929" s="4295"/>
      <c r="AC929" s="4295"/>
      <c r="AD929" s="4295"/>
      <c r="AE929" s="4295"/>
      <c r="AF929" s="4295"/>
      <c r="AG929" s="4295"/>
      <c r="AH929" s="4295"/>
      <c r="AI929" s="4295"/>
      <c r="AJ929" s="4295"/>
      <c r="AK929" s="4295"/>
      <c r="AL929" s="4295"/>
      <c r="AM929" s="4317"/>
      <c r="AN929" s="4317"/>
      <c r="AO929" s="4317"/>
      <c r="AP929" s="4317"/>
      <c r="AQ929" s="4317"/>
      <c r="AR929" s="4317"/>
      <c r="AS929" s="4317"/>
      <c r="AT929" s="4317"/>
      <c r="AU929" s="4317"/>
      <c r="AV929" s="4317"/>
      <c r="AW929" s="4317"/>
      <c r="AX929" s="4317"/>
      <c r="AY929" s="4317"/>
      <c r="AZ929" s="4317"/>
      <c r="BA929" s="4317"/>
      <c r="BB929" s="4317"/>
      <c r="BC929" s="4317"/>
      <c r="BD929" s="4317"/>
      <c r="BE929" s="4317"/>
      <c r="BF929" s="4317"/>
      <c r="BG929" s="4317"/>
      <c r="BH929" s="4317"/>
      <c r="BI929" s="4317"/>
      <c r="BJ929" s="4317"/>
      <c r="BK929" s="4317"/>
      <c r="BL929" s="4317"/>
      <c r="BM929" s="4317"/>
      <c r="BN929" s="4317"/>
      <c r="BO929" s="4317"/>
      <c r="BP929" s="4317"/>
      <c r="BQ929" s="4317"/>
      <c r="BR929" s="4317"/>
      <c r="BS929" s="4317"/>
      <c r="BT929" s="4317"/>
      <c r="BU929" s="4317"/>
      <c r="BV929" s="4317"/>
      <c r="BW929" s="4317"/>
      <c r="BX929" s="4317"/>
      <c r="BY929" s="4317"/>
      <c r="BZ929" s="4317"/>
      <c r="CA929" s="4317"/>
      <c r="CB929" s="4317"/>
      <c r="CC929" s="4317"/>
      <c r="CD929" s="4317"/>
      <c r="CE929" s="4317"/>
      <c r="CF929" s="4317"/>
      <c r="CG929" s="4317"/>
      <c r="CH929" s="4317"/>
      <c r="CI929" s="4317"/>
      <c r="CJ929" s="4317"/>
      <c r="CK929" s="4317"/>
      <c r="CL929" s="4317"/>
      <c r="CM929" s="4317"/>
      <c r="CN929" s="4317"/>
      <c r="CO929" s="4317"/>
      <c r="CP929" s="4317"/>
      <c r="CQ929" s="4317"/>
      <c r="CR929" s="4317"/>
      <c r="CS929" s="4317"/>
      <c r="CT929" s="4317"/>
      <c r="CU929" s="4317"/>
      <c r="CV929" s="4317"/>
      <c r="CW929" s="4317"/>
      <c r="CX929" s="4317"/>
      <c r="CY929" s="4317"/>
      <c r="CZ929" s="4317"/>
      <c r="DA929" s="4317"/>
      <c r="DB929" s="4317"/>
      <c r="DC929" s="4317"/>
      <c r="DD929" s="4317"/>
      <c r="DE929" s="4317"/>
      <c r="DF929" s="4317"/>
      <c r="DG929" s="4317"/>
      <c r="DH929" s="4317"/>
      <c r="DI929" s="4317"/>
      <c r="DJ929" s="4317"/>
      <c r="DK929" s="4317"/>
      <c r="DL929" s="4317"/>
      <c r="DM929" s="4317"/>
      <c r="DN929" s="4317"/>
      <c r="DO929" s="4317"/>
      <c r="DP929" s="4317"/>
      <c r="DQ929" s="4317"/>
      <c r="DR929" s="4317"/>
      <c r="DS929" s="4317"/>
    </row>
    <row r="930" s="4133" customFormat="1" ht="18.75" customHeight="1" spans="1:123">
      <c r="A930" s="4719" t="str">
        <f ca="1">"Vrijednost aktiviranih sredstava u toku "&amp;Baza!C6&amp;".godine"</f>
        <v>Vrijednost aktiviranih sredstava u toku 2025.godine</v>
      </c>
      <c r="B930" s="4720"/>
      <c r="C930" s="4503"/>
      <c r="D930" s="4503"/>
      <c r="E930" s="4503"/>
      <c r="F930" s="4503"/>
      <c r="G930" s="4503"/>
      <c r="H930" s="4503"/>
      <c r="I930" s="4503"/>
      <c r="J930" s="4503"/>
      <c r="K930" s="4503"/>
      <c r="L930" s="4503"/>
      <c r="M930" s="4503"/>
      <c r="N930" s="4503"/>
      <c r="O930" s="4763">
        <f>O921</f>
        <v>0</v>
      </c>
      <c r="P930" s="4764"/>
      <c r="Q930" s="4764"/>
      <c r="R930" s="4764"/>
      <c r="S930" s="4764"/>
      <c r="T930" s="4765"/>
      <c r="U930" s="4396"/>
      <c r="V930" s="4396"/>
      <c r="W930" s="4396"/>
      <c r="X930" s="4396"/>
      <c r="Y930" s="4396"/>
      <c r="Z930" s="4396"/>
      <c r="AA930" s="4295"/>
      <c r="AB930" s="4295"/>
      <c r="AC930" s="4295"/>
      <c r="AD930" s="4295"/>
      <c r="AE930" s="4295"/>
      <c r="AF930" s="4295"/>
      <c r="AG930" s="4295"/>
      <c r="AH930" s="4295"/>
      <c r="AI930" s="4295"/>
      <c r="AJ930" s="4295"/>
      <c r="AK930" s="4295"/>
      <c r="AL930" s="4295"/>
      <c r="AM930" s="4317"/>
      <c r="AN930" s="4317"/>
      <c r="AO930" s="4317"/>
      <c r="AP930" s="4317"/>
      <c r="AQ930" s="4317"/>
      <c r="AR930" s="4317"/>
      <c r="AS930" s="4317"/>
      <c r="AT930" s="4317"/>
      <c r="AU930" s="4317"/>
      <c r="AV930" s="4317"/>
      <c r="AW930" s="4317"/>
      <c r="AX930" s="4317"/>
      <c r="AY930" s="4317"/>
      <c r="AZ930" s="4317"/>
      <c r="BA930" s="4317"/>
      <c r="BB930" s="4317"/>
      <c r="BC930" s="4317"/>
      <c r="BD930" s="4317"/>
      <c r="BE930" s="4317"/>
      <c r="BF930" s="4317"/>
      <c r="BG930" s="4317"/>
      <c r="BH930" s="4317"/>
      <c r="BI930" s="4317"/>
      <c r="BJ930" s="4317"/>
      <c r="BK930" s="4317"/>
      <c r="BL930" s="4317"/>
      <c r="BM930" s="4317"/>
      <c r="BN930" s="4317"/>
      <c r="BO930" s="4317"/>
      <c r="BP930" s="4317"/>
      <c r="BQ930" s="4317"/>
      <c r="BR930" s="4317"/>
      <c r="BS930" s="4317"/>
      <c r="BT930" s="4317"/>
      <c r="BU930" s="4317"/>
      <c r="BV930" s="4317"/>
      <c r="BW930" s="4317"/>
      <c r="BX930" s="4317"/>
      <c r="BY930" s="4317"/>
      <c r="BZ930" s="4317"/>
      <c r="CA930" s="4317"/>
      <c r="CB930" s="4317"/>
      <c r="CC930" s="4317"/>
      <c r="CD930" s="4317"/>
      <c r="CE930" s="4317"/>
      <c r="CF930" s="4317"/>
      <c r="CG930" s="4317"/>
      <c r="CH930" s="4317"/>
      <c r="CI930" s="4317"/>
      <c r="CJ930" s="4317"/>
      <c r="CK930" s="4317"/>
      <c r="CL930" s="4317"/>
      <c r="CM930" s="4317"/>
      <c r="CN930" s="4317"/>
      <c r="CO930" s="4317"/>
      <c r="CP930" s="4317"/>
      <c r="CQ930" s="4317"/>
      <c r="CR930" s="4317"/>
      <c r="CS930" s="4317"/>
      <c r="CT930" s="4317"/>
      <c r="CU930" s="4317"/>
      <c r="CV930" s="4317"/>
      <c r="CW930" s="4317"/>
      <c r="CX930" s="4317"/>
      <c r="CY930" s="4317"/>
      <c r="CZ930" s="4317"/>
      <c r="DA930" s="4317"/>
      <c r="DB930" s="4317"/>
      <c r="DC930" s="4317"/>
      <c r="DD930" s="4317"/>
      <c r="DE930" s="4317"/>
      <c r="DF930" s="4317"/>
      <c r="DG930" s="4317"/>
      <c r="DH930" s="4317"/>
      <c r="DI930" s="4317"/>
      <c r="DJ930" s="4317"/>
      <c r="DK930" s="4317"/>
      <c r="DL930" s="4317"/>
      <c r="DM930" s="4317"/>
      <c r="DN930" s="4317"/>
      <c r="DO930" s="4317"/>
      <c r="DP930" s="4317"/>
      <c r="DQ930" s="4317"/>
      <c r="DR930" s="4317"/>
      <c r="DS930" s="4317"/>
    </row>
    <row r="931" s="4133" customFormat="1" ht="18.75" customHeight="1" spans="1:123">
      <c r="A931" s="4719" t="str">
        <f ca="1">"Stalna sredstva u pripremi na kraju "&amp;Baza!C6&amp;".godine"</f>
        <v>Stalna sredstva u pripremi na kraju 2025.godine</v>
      </c>
      <c r="B931" s="4720"/>
      <c r="C931" s="4503"/>
      <c r="D931" s="4503"/>
      <c r="E931" s="4503"/>
      <c r="F931" s="4503"/>
      <c r="G931" s="4503"/>
      <c r="H931" s="4503"/>
      <c r="I931" s="4503"/>
      <c r="J931" s="4503"/>
      <c r="K931" s="4503"/>
      <c r="L931" s="4503"/>
      <c r="M931" s="4503"/>
      <c r="N931" s="4503"/>
      <c r="O931" s="4769"/>
      <c r="P931" s="4770"/>
      <c r="Q931" s="4770"/>
      <c r="R931" s="4770"/>
      <c r="S931" s="4770"/>
      <c r="T931" s="4771"/>
      <c r="U931" s="4396"/>
      <c r="V931" s="4396"/>
      <c r="W931" s="4396"/>
      <c r="X931" s="4396"/>
      <c r="Y931" s="4396"/>
      <c r="Z931" s="4396"/>
      <c r="AA931" s="4295"/>
      <c r="AB931" s="4295"/>
      <c r="AC931" s="4295"/>
      <c r="AD931" s="4295"/>
      <c r="AE931" s="4295"/>
      <c r="AF931" s="4295"/>
      <c r="AG931" s="4295"/>
      <c r="AH931" s="4295"/>
      <c r="AI931" s="4295"/>
      <c r="AJ931" s="4295"/>
      <c r="AK931" s="4295"/>
      <c r="AL931" s="4295"/>
      <c r="AM931" s="4317"/>
      <c r="AN931" s="4317"/>
      <c r="AO931" s="4317"/>
      <c r="AP931" s="4317"/>
      <c r="AQ931" s="4317"/>
      <c r="AR931" s="4317"/>
      <c r="AS931" s="4317"/>
      <c r="AT931" s="4317"/>
      <c r="AU931" s="4317"/>
      <c r="AV931" s="4317"/>
      <c r="AW931" s="4317"/>
      <c r="AX931" s="4317"/>
      <c r="AY931" s="4317"/>
      <c r="AZ931" s="4317"/>
      <c r="BA931" s="4317"/>
      <c r="BB931" s="4317"/>
      <c r="BC931" s="4317"/>
      <c r="BD931" s="4317"/>
      <c r="BE931" s="4317"/>
      <c r="BF931" s="4317"/>
      <c r="BG931" s="4317"/>
      <c r="BH931" s="4317"/>
      <c r="BI931" s="4317"/>
      <c r="BJ931" s="4317"/>
      <c r="BK931" s="4317"/>
      <c r="BL931" s="4317"/>
      <c r="BM931" s="4317"/>
      <c r="BN931" s="4317"/>
      <c r="BO931" s="4317"/>
      <c r="BP931" s="4317"/>
      <c r="BQ931" s="4317"/>
      <c r="BR931" s="4317"/>
      <c r="BS931" s="4317"/>
      <c r="BT931" s="4317"/>
      <c r="BU931" s="4317"/>
      <c r="BV931" s="4317"/>
      <c r="BW931" s="4317"/>
      <c r="BX931" s="4317"/>
      <c r="BY931" s="4317"/>
      <c r="BZ931" s="4317"/>
      <c r="CA931" s="4317"/>
      <c r="CB931" s="4317"/>
      <c r="CC931" s="4317"/>
      <c r="CD931" s="4317"/>
      <c r="CE931" s="4317"/>
      <c r="CF931" s="4317"/>
      <c r="CG931" s="4317"/>
      <c r="CH931" s="4317"/>
      <c r="CI931" s="4317"/>
      <c r="CJ931" s="4317"/>
      <c r="CK931" s="4317"/>
      <c r="CL931" s="4317"/>
      <c r="CM931" s="4317"/>
      <c r="CN931" s="4317"/>
      <c r="CO931" s="4317"/>
      <c r="CP931" s="4317"/>
      <c r="CQ931" s="4317"/>
      <c r="CR931" s="4317"/>
      <c r="CS931" s="4317"/>
      <c r="CT931" s="4317"/>
      <c r="CU931" s="4317"/>
      <c r="CV931" s="4317"/>
      <c r="CW931" s="4317"/>
      <c r="CX931" s="4317"/>
      <c r="CY931" s="4317"/>
      <c r="CZ931" s="4317"/>
      <c r="DA931" s="4317"/>
      <c r="DB931" s="4317"/>
      <c r="DC931" s="4317"/>
      <c r="DD931" s="4317"/>
      <c r="DE931" s="4317"/>
      <c r="DF931" s="4317"/>
      <c r="DG931" s="4317"/>
      <c r="DH931" s="4317"/>
      <c r="DI931" s="4317"/>
      <c r="DJ931" s="4317"/>
      <c r="DK931" s="4317"/>
      <c r="DL931" s="4317"/>
      <c r="DM931" s="4317"/>
      <c r="DN931" s="4317"/>
      <c r="DO931" s="4317"/>
      <c r="DP931" s="4317"/>
      <c r="DQ931" s="4317"/>
      <c r="DR931" s="4317"/>
      <c r="DS931" s="4317"/>
    </row>
    <row r="932" s="4133" customFormat="1" ht="14.25" customHeight="1" spans="1:123">
      <c r="A932" s="4772"/>
      <c r="B932" s="4773"/>
      <c r="C932" s="4295"/>
      <c r="D932" s="4295"/>
      <c r="E932" s="4295"/>
      <c r="F932" s="4295"/>
      <c r="G932" s="4295"/>
      <c r="H932" s="4295"/>
      <c r="I932" s="4295"/>
      <c r="J932" s="4295"/>
      <c r="K932" s="4295"/>
      <c r="L932" s="4295"/>
      <c r="M932" s="4295"/>
      <c r="N932" s="4295"/>
      <c r="O932" s="4295"/>
      <c r="P932" s="4295"/>
      <c r="Q932" s="4295"/>
      <c r="R932" s="4295"/>
      <c r="S932" s="4295"/>
      <c r="T932" s="4295"/>
      <c r="U932" s="4295"/>
      <c r="V932" s="4295"/>
      <c r="W932" s="4295"/>
      <c r="X932" s="4295"/>
      <c r="Y932" s="4295"/>
      <c r="Z932" s="4295"/>
      <c r="AA932" s="4295"/>
      <c r="AB932" s="4295"/>
      <c r="AC932" s="4295"/>
      <c r="AD932" s="4295"/>
      <c r="AE932" s="4295"/>
      <c r="AF932" s="4295"/>
      <c r="AG932" s="4295"/>
      <c r="AH932" s="4295"/>
      <c r="AI932" s="4295"/>
      <c r="AJ932" s="4295"/>
      <c r="AK932" s="4295"/>
      <c r="AL932" s="4295"/>
      <c r="AM932" s="4317"/>
      <c r="AN932" s="4317"/>
      <c r="AO932" s="4317"/>
      <c r="AP932" s="4317"/>
      <c r="AQ932" s="4317"/>
      <c r="AR932" s="4317"/>
      <c r="AS932" s="4317"/>
      <c r="AT932" s="4317"/>
      <c r="AU932" s="4317"/>
      <c r="AV932" s="4317"/>
      <c r="AW932" s="4317"/>
      <c r="AX932" s="4317"/>
      <c r="AY932" s="4317"/>
      <c r="AZ932" s="4317"/>
      <c r="BA932" s="4317"/>
      <c r="BB932" s="4317"/>
      <c r="BC932" s="4317"/>
      <c r="BD932" s="4317"/>
      <c r="BE932" s="4317"/>
      <c r="BF932" s="4317"/>
      <c r="BG932" s="4317"/>
      <c r="BH932" s="4317"/>
      <c r="BI932" s="4317"/>
      <c r="BJ932" s="4317"/>
      <c r="BK932" s="4317"/>
      <c r="BL932" s="4317"/>
      <c r="BM932" s="4317"/>
      <c r="BN932" s="4317"/>
      <c r="BO932" s="4317"/>
      <c r="BP932" s="4317"/>
      <c r="BQ932" s="4317"/>
      <c r="BR932" s="4317"/>
      <c r="BS932" s="4317"/>
      <c r="BT932" s="4317"/>
      <c r="BU932" s="4317"/>
      <c r="BV932" s="4317"/>
      <c r="BW932" s="4317"/>
      <c r="BX932" s="4317"/>
      <c r="BY932" s="4317"/>
      <c r="BZ932" s="4317"/>
      <c r="CA932" s="4317"/>
      <c r="CB932" s="4317"/>
      <c r="CC932" s="4317"/>
      <c r="CD932" s="4317"/>
      <c r="CE932" s="4317"/>
      <c r="CF932" s="4317"/>
      <c r="CG932" s="4317"/>
      <c r="CH932" s="4317"/>
      <c r="CI932" s="4317"/>
      <c r="CJ932" s="4317"/>
      <c r="CK932" s="4317"/>
      <c r="CL932" s="4317"/>
      <c r="CM932" s="4317"/>
      <c r="CN932" s="4317"/>
      <c r="CO932" s="4317"/>
      <c r="CP932" s="4317"/>
      <c r="CQ932" s="4317"/>
      <c r="CR932" s="4317"/>
      <c r="CS932" s="4317"/>
      <c r="CT932" s="4317"/>
      <c r="CU932" s="4317"/>
      <c r="CV932" s="4317"/>
      <c r="CW932" s="4317"/>
      <c r="CX932" s="4317"/>
      <c r="CY932" s="4317"/>
      <c r="CZ932" s="4317"/>
      <c r="DA932" s="4317"/>
      <c r="DB932" s="4317"/>
      <c r="DC932" s="4317"/>
      <c r="DD932" s="4317"/>
      <c r="DE932" s="4317"/>
      <c r="DF932" s="4317"/>
      <c r="DG932" s="4317"/>
      <c r="DH932" s="4317"/>
      <c r="DI932" s="4317"/>
      <c r="DJ932" s="4317"/>
      <c r="DK932" s="4317"/>
      <c r="DL932" s="4317"/>
      <c r="DM932" s="4317"/>
      <c r="DN932" s="4317"/>
      <c r="DO932" s="4317"/>
      <c r="DP932" s="4317"/>
      <c r="DQ932" s="4317"/>
      <c r="DR932" s="4317"/>
      <c r="DS932" s="4317"/>
    </row>
    <row r="933" s="4133" customFormat="1" ht="14.25" customHeight="1" spans="1:123">
      <c r="A933" s="4772"/>
      <c r="B933" s="4773"/>
      <c r="C933" s="4295"/>
      <c r="D933" s="4295"/>
      <c r="E933" s="4295"/>
      <c r="F933" s="4295"/>
      <c r="G933" s="4295"/>
      <c r="H933" s="4295"/>
      <c r="I933" s="4295"/>
      <c r="J933" s="4295"/>
      <c r="K933" s="4295"/>
      <c r="L933" s="4295"/>
      <c r="M933" s="4295"/>
      <c r="N933" s="4295"/>
      <c r="O933" s="4295"/>
      <c r="P933" s="4295"/>
      <c r="Q933" s="4295"/>
      <c r="R933" s="4295"/>
      <c r="S933" s="4295"/>
      <c r="T933" s="4295"/>
      <c r="U933" s="4295"/>
      <c r="V933" s="4295"/>
      <c r="W933" s="4295"/>
      <c r="X933" s="4295"/>
      <c r="Y933" s="4295"/>
      <c r="Z933" s="4295"/>
      <c r="AA933" s="4295"/>
      <c r="AB933" s="4295"/>
      <c r="AC933" s="4295"/>
      <c r="AD933" s="4295"/>
      <c r="AE933" s="4295"/>
      <c r="AF933" s="4295"/>
      <c r="AG933" s="4295"/>
      <c r="AH933" s="4295"/>
      <c r="AI933" s="4295"/>
      <c r="AJ933" s="4295"/>
      <c r="AK933" s="4295"/>
      <c r="AL933" s="4295"/>
      <c r="AM933" s="4317"/>
      <c r="AN933" s="4317"/>
      <c r="AO933" s="4317"/>
      <c r="AP933" s="4317"/>
      <c r="AQ933" s="4317"/>
      <c r="AR933" s="4317"/>
      <c r="AS933" s="4317"/>
      <c r="AT933" s="4317"/>
      <c r="AU933" s="4317"/>
      <c r="AV933" s="4317"/>
      <c r="AW933" s="4317"/>
      <c r="AX933" s="4317"/>
      <c r="AY933" s="4317"/>
      <c r="AZ933" s="4317"/>
      <c r="BA933" s="4317"/>
      <c r="BB933" s="4317"/>
      <c r="BC933" s="4317"/>
      <c r="BD933" s="4317"/>
      <c r="BE933" s="4317"/>
      <c r="BF933" s="4317"/>
      <c r="BG933" s="4317"/>
      <c r="BH933" s="4317"/>
      <c r="BI933" s="4317"/>
      <c r="BJ933" s="4317"/>
      <c r="BK933" s="4317"/>
      <c r="BL933" s="4317"/>
      <c r="BM933" s="4317"/>
      <c r="BN933" s="4317"/>
      <c r="BO933" s="4317"/>
      <c r="BP933" s="4317"/>
      <c r="BQ933" s="4317"/>
      <c r="BR933" s="4317"/>
      <c r="BS933" s="4317"/>
      <c r="BT933" s="4317"/>
      <c r="BU933" s="4317"/>
      <c r="BV933" s="4317"/>
      <c r="BW933" s="4317"/>
      <c r="BX933" s="4317"/>
      <c r="BY933" s="4317"/>
      <c r="BZ933" s="4317"/>
      <c r="CA933" s="4317"/>
      <c r="CB933" s="4317"/>
      <c r="CC933" s="4317"/>
      <c r="CD933" s="4317"/>
      <c r="CE933" s="4317"/>
      <c r="CF933" s="4317"/>
      <c r="CG933" s="4317"/>
      <c r="CH933" s="4317"/>
      <c r="CI933" s="4317"/>
      <c r="CJ933" s="4317"/>
      <c r="CK933" s="4317"/>
      <c r="CL933" s="4317"/>
      <c r="CM933" s="4317"/>
      <c r="CN933" s="4317"/>
      <c r="CO933" s="4317"/>
      <c r="CP933" s="4317"/>
      <c r="CQ933" s="4317"/>
      <c r="CR933" s="4317"/>
      <c r="CS933" s="4317"/>
      <c r="CT933" s="4317"/>
      <c r="CU933" s="4317"/>
      <c r="CV933" s="4317"/>
      <c r="CW933" s="4317"/>
      <c r="CX933" s="4317"/>
      <c r="CY933" s="4317"/>
      <c r="CZ933" s="4317"/>
      <c r="DA933" s="4317"/>
      <c r="DB933" s="4317"/>
      <c r="DC933" s="4317"/>
      <c r="DD933" s="4317"/>
      <c r="DE933" s="4317"/>
      <c r="DF933" s="4317"/>
      <c r="DG933" s="4317"/>
      <c r="DH933" s="4317"/>
      <c r="DI933" s="4317"/>
      <c r="DJ933" s="4317"/>
      <c r="DK933" s="4317"/>
      <c r="DL933" s="4317"/>
      <c r="DM933" s="4317"/>
      <c r="DN933" s="4317"/>
      <c r="DO933" s="4317"/>
      <c r="DP933" s="4317"/>
      <c r="DQ933" s="4317"/>
      <c r="DR933" s="4317"/>
      <c r="DS933" s="4317"/>
    </row>
    <row r="934" s="4133" customFormat="1" ht="14.25" hidden="1" customHeight="1" spans="1:123">
      <c r="A934" s="4772"/>
      <c r="B934" s="4773"/>
      <c r="C934" s="4295"/>
      <c r="D934" s="4295"/>
      <c r="E934" s="4295"/>
      <c r="F934" s="4295"/>
      <c r="G934" s="4295"/>
      <c r="H934" s="4295"/>
      <c r="I934" s="4295"/>
      <c r="J934" s="4295"/>
      <c r="K934" s="4295"/>
      <c r="L934" s="4295"/>
      <c r="M934" s="4295"/>
      <c r="N934" s="4295"/>
      <c r="O934" s="4295"/>
      <c r="P934" s="4295"/>
      <c r="Q934" s="4295"/>
      <c r="R934" s="4295"/>
      <c r="S934" s="4295"/>
      <c r="T934" s="4295"/>
      <c r="U934" s="4295"/>
      <c r="V934" s="4295"/>
      <c r="W934" s="4295"/>
      <c r="X934" s="4295"/>
      <c r="Y934" s="4295"/>
      <c r="Z934" s="4295"/>
      <c r="AA934" s="4295"/>
      <c r="AB934" s="4295"/>
      <c r="AC934" s="4295"/>
      <c r="AD934" s="4295"/>
      <c r="AE934" s="4295"/>
      <c r="AF934" s="4295"/>
      <c r="AG934" s="4295"/>
      <c r="AH934" s="4295"/>
      <c r="AI934" s="4295"/>
      <c r="AJ934" s="4295"/>
      <c r="AK934" s="4295"/>
      <c r="AL934" s="4295"/>
      <c r="AM934" s="4295"/>
      <c r="AN934" s="4295"/>
      <c r="AO934" s="4295"/>
      <c r="AP934" s="4295"/>
      <c r="AQ934" s="4295"/>
      <c r="AR934" s="4295"/>
      <c r="AS934" s="4295"/>
      <c r="AT934" s="4295"/>
      <c r="AU934" s="4295"/>
      <c r="AV934" s="4295"/>
      <c r="AW934" s="4295"/>
      <c r="AX934" s="4295"/>
      <c r="AY934" s="4295"/>
      <c r="AZ934" s="4295"/>
      <c r="BA934" s="4295"/>
      <c r="BB934" s="4295"/>
      <c r="BC934" s="4295"/>
      <c r="BD934" s="4295"/>
      <c r="BE934" s="4295"/>
      <c r="BF934" s="4295"/>
      <c r="BG934" s="4295"/>
      <c r="BH934" s="4295"/>
      <c r="BI934" s="4295"/>
      <c r="BJ934" s="4295"/>
      <c r="BK934" s="4295"/>
      <c r="BL934" s="4295"/>
      <c r="BM934" s="4295"/>
      <c r="BN934" s="4295"/>
      <c r="BO934" s="4295"/>
      <c r="BP934" s="4295"/>
      <c r="BQ934" s="4295"/>
      <c r="BR934" s="4295"/>
      <c r="BS934" s="4295"/>
      <c r="BT934" s="4295"/>
      <c r="BU934" s="4295"/>
      <c r="BV934" s="4295"/>
      <c r="BW934" s="4295"/>
      <c r="BX934" s="4295"/>
      <c r="BY934" s="4295"/>
      <c r="BZ934" s="4295"/>
      <c r="CA934" s="4295"/>
      <c r="CB934" s="4295"/>
      <c r="CC934" s="4295"/>
      <c r="CD934" s="4295"/>
      <c r="CE934" s="4295"/>
      <c r="CF934" s="4295"/>
      <c r="CG934" s="4295"/>
      <c r="CH934" s="4295"/>
      <c r="CI934" s="4295"/>
      <c r="CJ934" s="4295"/>
      <c r="CK934" s="4295"/>
      <c r="CL934" s="4295"/>
      <c r="CM934" s="4295"/>
      <c r="CN934" s="4295"/>
      <c r="CO934" s="4295"/>
      <c r="CP934" s="4295"/>
      <c r="CQ934" s="4295"/>
      <c r="CR934" s="4295"/>
      <c r="CS934" s="4295"/>
      <c r="CT934" s="4295"/>
      <c r="CU934" s="4295"/>
      <c r="CV934" s="4295"/>
      <c r="CW934" s="4295"/>
      <c r="CX934" s="4295"/>
      <c r="CY934" s="4295"/>
      <c r="CZ934" s="4295"/>
      <c r="DA934" s="4295"/>
      <c r="DB934" s="4295"/>
      <c r="DC934" s="4295"/>
      <c r="DD934" s="4295"/>
      <c r="DE934" s="4295"/>
      <c r="DF934" s="4295"/>
      <c r="DG934" s="4295"/>
      <c r="DH934" s="4295"/>
      <c r="DI934" s="4295"/>
      <c r="DJ934" s="4295"/>
      <c r="DK934" s="4295"/>
      <c r="DL934" s="4295"/>
      <c r="DM934" s="4295"/>
      <c r="DN934" s="4295"/>
      <c r="DO934" s="4295"/>
      <c r="DP934" s="4295"/>
      <c r="DQ934" s="4295"/>
      <c r="DR934" s="4295"/>
      <c r="DS934" s="4295"/>
    </row>
    <row r="935" s="4133" customFormat="1" ht="14.25" hidden="1" customHeight="1" spans="1:123">
      <c r="A935" s="4772"/>
      <c r="B935" s="4773"/>
      <c r="C935" s="4295"/>
      <c r="D935" s="4295"/>
      <c r="E935" s="4295"/>
      <c r="F935" s="4295"/>
      <c r="G935" s="4295"/>
      <c r="H935" s="4295"/>
      <c r="I935" s="4295"/>
      <c r="J935" s="4295"/>
      <c r="K935" s="4295"/>
      <c r="L935" s="4295"/>
      <c r="M935" s="4295"/>
      <c r="N935" s="4295"/>
      <c r="O935" s="4295"/>
      <c r="P935" s="4295"/>
      <c r="Q935" s="4295"/>
      <c r="R935" s="4295"/>
      <c r="S935" s="4295"/>
      <c r="T935" s="4295"/>
      <c r="U935" s="4295"/>
      <c r="V935" s="4295"/>
      <c r="W935" s="4295"/>
      <c r="X935" s="4295"/>
      <c r="Y935" s="4295"/>
      <c r="Z935" s="4295"/>
      <c r="AA935" s="4295"/>
      <c r="AB935" s="4295"/>
      <c r="AC935" s="4295"/>
      <c r="AD935" s="4295"/>
      <c r="AE935" s="4295"/>
      <c r="AF935" s="4295"/>
      <c r="AG935" s="4295"/>
      <c r="AH935" s="4295"/>
      <c r="AI935" s="4295"/>
      <c r="AJ935" s="4295"/>
      <c r="AK935" s="4295"/>
      <c r="AL935" s="4295"/>
      <c r="AM935" s="4295"/>
      <c r="AN935" s="4295"/>
      <c r="AO935" s="4295"/>
      <c r="AP935" s="4295"/>
      <c r="AQ935" s="4295"/>
      <c r="AR935" s="4295"/>
      <c r="AS935" s="4295"/>
      <c r="AT935" s="4295"/>
      <c r="AU935" s="4295"/>
      <c r="AV935" s="4295"/>
      <c r="AW935" s="4295"/>
      <c r="AX935" s="4295"/>
      <c r="AY935" s="4295"/>
      <c r="AZ935" s="4295"/>
      <c r="BA935" s="4295"/>
      <c r="BB935" s="4295"/>
      <c r="BC935" s="4295"/>
      <c r="BD935" s="4295"/>
      <c r="BE935" s="4295"/>
      <c r="BF935" s="4295"/>
      <c r="BG935" s="4295"/>
      <c r="BH935" s="4295"/>
      <c r="BI935" s="4295"/>
      <c r="BJ935" s="4295"/>
      <c r="BK935" s="4295"/>
      <c r="BL935" s="4295"/>
      <c r="BM935" s="4295"/>
      <c r="BN935" s="4295"/>
      <c r="BO935" s="4295"/>
      <c r="BP935" s="4295"/>
      <c r="BQ935" s="4295"/>
      <c r="BR935" s="4295"/>
      <c r="BS935" s="4295"/>
      <c r="BT935" s="4295"/>
      <c r="BU935" s="4295"/>
      <c r="BV935" s="4295"/>
      <c r="BW935" s="4295"/>
      <c r="BX935" s="4295"/>
      <c r="BY935" s="4295"/>
      <c r="BZ935" s="4295"/>
      <c r="CA935" s="4295"/>
      <c r="CB935" s="4295"/>
      <c r="CC935" s="4295"/>
      <c r="CD935" s="4295"/>
      <c r="CE935" s="4295"/>
      <c r="CF935" s="4295"/>
      <c r="CG935" s="4295"/>
      <c r="CH935" s="4295"/>
      <c r="CI935" s="4295"/>
      <c r="CJ935" s="4295"/>
      <c r="CK935" s="4295"/>
      <c r="CL935" s="4295"/>
      <c r="CM935" s="4295"/>
      <c r="CN935" s="4295"/>
      <c r="CO935" s="4295"/>
      <c r="CP935" s="4295"/>
      <c r="CQ935" s="4295"/>
      <c r="CR935" s="4295"/>
      <c r="CS935" s="4295"/>
      <c r="CT935" s="4295"/>
      <c r="CU935" s="4295"/>
      <c r="CV935" s="4295"/>
      <c r="CW935" s="4295"/>
      <c r="CX935" s="4295"/>
      <c r="CY935" s="4295"/>
      <c r="CZ935" s="4295"/>
      <c r="DA935" s="4295"/>
      <c r="DB935" s="4295"/>
      <c r="DC935" s="4295"/>
      <c r="DD935" s="4295"/>
      <c r="DE935" s="4295"/>
      <c r="DF935" s="4295"/>
      <c r="DG935" s="4295"/>
      <c r="DH935" s="4295"/>
      <c r="DI935" s="4295"/>
      <c r="DJ935" s="4295"/>
      <c r="DK935" s="4295"/>
      <c r="DL935" s="4295"/>
      <c r="DM935" s="4295"/>
      <c r="DN935" s="4295"/>
      <c r="DO935" s="4295"/>
      <c r="DP935" s="4295"/>
      <c r="DQ935" s="4295"/>
      <c r="DR935" s="4295"/>
      <c r="DS935" s="4295"/>
    </row>
    <row r="936" s="4133" customFormat="1" ht="14.25" hidden="1" customHeight="1" spans="1:123">
      <c r="A936" s="4772"/>
      <c r="B936" s="4773"/>
      <c r="C936" s="4295"/>
      <c r="D936" s="4295"/>
      <c r="E936" s="4295"/>
      <c r="F936" s="4295"/>
      <c r="G936" s="4295"/>
      <c r="H936" s="4295"/>
      <c r="I936" s="4295"/>
      <c r="J936" s="4295"/>
      <c r="K936" s="4295"/>
      <c r="L936" s="4295"/>
      <c r="M936" s="4295"/>
      <c r="N936" s="4295"/>
      <c r="O936" s="4295"/>
      <c r="P936" s="4295"/>
      <c r="Q936" s="4295"/>
      <c r="R936" s="4295"/>
      <c r="S936" s="4295"/>
      <c r="T936" s="4295"/>
      <c r="U936" s="4295"/>
      <c r="V936" s="4295"/>
      <c r="W936" s="4295"/>
      <c r="X936" s="4295"/>
      <c r="Y936" s="4295"/>
      <c r="Z936" s="4295"/>
      <c r="AA936" s="4295"/>
      <c r="AB936" s="4295"/>
      <c r="AC936" s="4295"/>
      <c r="AD936" s="4295"/>
      <c r="AE936" s="4295"/>
      <c r="AF936" s="4295"/>
      <c r="AG936" s="4295"/>
      <c r="AH936" s="4295"/>
      <c r="AI936" s="4295"/>
      <c r="AJ936" s="4295"/>
      <c r="AK936" s="4295"/>
      <c r="AL936" s="4295"/>
      <c r="AM936" s="4295"/>
      <c r="AN936" s="4295"/>
      <c r="AO936" s="4295"/>
      <c r="AP936" s="4295"/>
      <c r="AQ936" s="4295"/>
      <c r="AR936" s="4295"/>
      <c r="AS936" s="4295"/>
      <c r="AT936" s="4295"/>
      <c r="AU936" s="4295"/>
      <c r="AV936" s="4295"/>
      <c r="AW936" s="4295"/>
      <c r="AX936" s="4295"/>
      <c r="AY936" s="4295"/>
      <c r="AZ936" s="4295"/>
      <c r="BA936" s="4295"/>
      <c r="BB936" s="4295"/>
      <c r="BC936" s="4295"/>
      <c r="BD936" s="4295"/>
      <c r="BE936" s="4295"/>
      <c r="BF936" s="4295"/>
      <c r="BG936" s="4295"/>
      <c r="BH936" s="4295"/>
      <c r="BI936" s="4295"/>
      <c r="BJ936" s="4295"/>
      <c r="BK936" s="4295"/>
      <c r="BL936" s="4295"/>
      <c r="BM936" s="4295"/>
      <c r="BN936" s="4295"/>
      <c r="BO936" s="4295"/>
      <c r="BP936" s="4295"/>
      <c r="BQ936" s="4295"/>
      <c r="BR936" s="4295"/>
      <c r="BS936" s="4295"/>
      <c r="BT936" s="4295"/>
      <c r="BU936" s="4295"/>
      <c r="BV936" s="4295"/>
      <c r="BW936" s="4295"/>
      <c r="BX936" s="4295"/>
      <c r="BY936" s="4295"/>
      <c r="BZ936" s="4295"/>
      <c r="CA936" s="4295"/>
      <c r="CB936" s="4295"/>
      <c r="CC936" s="4295"/>
      <c r="CD936" s="4295"/>
      <c r="CE936" s="4295"/>
      <c r="CF936" s="4295"/>
      <c r="CG936" s="4295"/>
      <c r="CH936" s="4295"/>
      <c r="CI936" s="4295"/>
      <c r="CJ936" s="4295"/>
      <c r="CK936" s="4295"/>
      <c r="CL936" s="4295"/>
      <c r="CM936" s="4295"/>
      <c r="CN936" s="4295"/>
      <c r="CO936" s="4295"/>
      <c r="CP936" s="4295"/>
      <c r="CQ936" s="4295"/>
      <c r="CR936" s="4295"/>
      <c r="CS936" s="4295"/>
      <c r="CT936" s="4295"/>
      <c r="CU936" s="4295"/>
      <c r="CV936" s="4295"/>
      <c r="CW936" s="4295"/>
      <c r="CX936" s="4295"/>
      <c r="CY936" s="4295"/>
      <c r="CZ936" s="4295"/>
      <c r="DA936" s="4295"/>
      <c r="DB936" s="4295"/>
      <c r="DC936" s="4295"/>
      <c r="DD936" s="4295"/>
      <c r="DE936" s="4295"/>
      <c r="DF936" s="4295"/>
      <c r="DG936" s="4295"/>
      <c r="DH936" s="4295"/>
      <c r="DI936" s="4295"/>
      <c r="DJ936" s="4295"/>
      <c r="DK936" s="4295"/>
      <c r="DL936" s="4295"/>
      <c r="DM936" s="4295"/>
      <c r="DN936" s="4295"/>
      <c r="DO936" s="4295"/>
      <c r="DP936" s="4295"/>
      <c r="DQ936" s="4295"/>
      <c r="DR936" s="4295"/>
      <c r="DS936" s="4295"/>
    </row>
    <row r="937" s="4133" customFormat="1" ht="16.5" customHeight="1" spans="1:123">
      <c r="A937" s="4295"/>
      <c r="B937" s="4295"/>
      <c r="C937" s="4295"/>
      <c r="D937" s="4295"/>
      <c r="E937" s="4295"/>
      <c r="F937" s="4295"/>
      <c r="G937" s="4295"/>
      <c r="H937" s="4295"/>
      <c r="I937" s="4295"/>
      <c r="J937" s="4295"/>
      <c r="K937" s="4295"/>
      <c r="L937" s="4295"/>
      <c r="M937" s="4295"/>
      <c r="N937" s="4295"/>
      <c r="O937" s="4295"/>
      <c r="P937" s="4295"/>
      <c r="Q937" s="4295"/>
      <c r="R937" s="4295"/>
      <c r="S937" s="4295"/>
      <c r="T937" s="4774"/>
      <c r="U937" s="4295"/>
      <c r="V937" s="4295"/>
      <c r="W937" s="4295"/>
      <c r="X937" s="4295"/>
      <c r="Y937" s="4295"/>
      <c r="Z937" s="4295"/>
      <c r="AA937" s="4295"/>
      <c r="AB937" s="4295"/>
      <c r="AC937" s="4295"/>
      <c r="AD937" s="4295"/>
      <c r="AE937" s="4295"/>
      <c r="AF937" s="4295"/>
      <c r="AG937" s="4295"/>
      <c r="AH937" s="4295"/>
      <c r="AI937" s="4295"/>
      <c r="AJ937" s="4295"/>
      <c r="AK937" s="4295"/>
      <c r="AL937" s="4295"/>
      <c r="AM937" s="4295"/>
      <c r="AN937" s="4295"/>
      <c r="AO937" s="4295"/>
      <c r="AP937" s="4295"/>
      <c r="AQ937" s="4295"/>
      <c r="AR937" s="4295"/>
      <c r="AS937" s="4295"/>
      <c r="AT937" s="4295"/>
      <c r="AU937" s="4295"/>
      <c r="AV937" s="4295"/>
      <c r="AW937" s="4295"/>
      <c r="AX937" s="4295"/>
      <c r="AY937" s="4295"/>
      <c r="AZ937" s="4295"/>
      <c r="BA937" s="4295"/>
      <c r="BB937" s="4295"/>
      <c r="BC937" s="4295"/>
      <c r="BD937" s="4295"/>
      <c r="BE937" s="4295"/>
      <c r="BF937" s="4295"/>
      <c r="BG937" s="4295"/>
      <c r="BH937" s="4295"/>
      <c r="BI937" s="4295"/>
      <c r="BJ937" s="4295"/>
      <c r="BK937" s="4295"/>
      <c r="BL937" s="4295"/>
      <c r="BM937" s="4295"/>
      <c r="BN937" s="4295"/>
      <c r="BO937" s="4295"/>
      <c r="BP937" s="4295"/>
      <c r="BQ937" s="4295"/>
      <c r="BR937" s="4295"/>
      <c r="BS937" s="4295"/>
      <c r="BT937" s="4295"/>
      <c r="BU937" s="4295"/>
      <c r="BV937" s="4295"/>
      <c r="BW937" s="4295"/>
      <c r="BX937" s="4295"/>
      <c r="BY937" s="4295"/>
      <c r="BZ937" s="4295"/>
      <c r="CA937" s="4295"/>
      <c r="CB937" s="4295"/>
      <c r="CC937" s="4295"/>
      <c r="CD937" s="4295"/>
      <c r="CE937" s="4295"/>
      <c r="CF937" s="4295"/>
      <c r="CG937" s="4295"/>
      <c r="CH937" s="4295"/>
      <c r="CI937" s="4295"/>
      <c r="CJ937" s="4295"/>
      <c r="CK937" s="4295"/>
      <c r="CL937" s="4295"/>
      <c r="CM937" s="4295"/>
      <c r="CN937" s="4295"/>
      <c r="CO937" s="4295"/>
      <c r="CP937" s="4295"/>
      <c r="CQ937" s="4295"/>
      <c r="CR937" s="4295"/>
      <c r="CS937" s="4295"/>
      <c r="CT937" s="4295"/>
      <c r="CU937" s="4295"/>
      <c r="CV937" s="4295"/>
      <c r="CW937" s="4295"/>
      <c r="CX937" s="4295"/>
      <c r="CY937" s="4295"/>
      <c r="CZ937" s="4295"/>
      <c r="DA937" s="4295"/>
      <c r="DB937" s="4295"/>
      <c r="DC937" s="4295"/>
      <c r="DD937" s="4295"/>
      <c r="DE937" s="4295"/>
      <c r="DF937" s="4295"/>
      <c r="DG937" s="4295"/>
      <c r="DH937" s="4295"/>
      <c r="DI937" s="4295"/>
      <c r="DJ937" s="4295"/>
      <c r="DK937" s="4295"/>
      <c r="DL937" s="4295"/>
      <c r="DM937" s="4295"/>
      <c r="DN937" s="4295"/>
      <c r="DO937" s="4295"/>
      <c r="DP937" s="4295"/>
      <c r="DQ937" s="4295"/>
      <c r="DR937" s="4295"/>
      <c r="DS937" s="4295"/>
    </row>
    <row r="938" s="4135" customFormat="1" ht="28.5" customHeight="1" spans="1:123">
      <c r="A938" s="4481" t="s">
        <v>5674</v>
      </c>
      <c r="B938" s="4236"/>
      <c r="C938" s="4236"/>
      <c r="D938" s="4236"/>
      <c r="E938" s="4236"/>
      <c r="F938" s="4236"/>
      <c r="G938" s="4236"/>
      <c r="H938" s="4236"/>
      <c r="I938" s="4236"/>
      <c r="J938" s="4236"/>
      <c r="K938" s="4236"/>
      <c r="L938" s="4236"/>
      <c r="M938" s="4236"/>
      <c r="N938" s="4236"/>
      <c r="O938" s="4236"/>
      <c r="P938" s="4236"/>
      <c r="Q938" s="4236"/>
      <c r="R938" s="4236"/>
      <c r="S938" s="4236"/>
      <c r="T938" s="4236"/>
      <c r="U938" s="4236"/>
      <c r="V938" s="4236"/>
      <c r="W938" s="4236"/>
      <c r="X938" s="4236"/>
      <c r="Y938" s="4236"/>
      <c r="Z938" s="4236"/>
      <c r="AA938" s="4236"/>
      <c r="AB938" s="4236"/>
      <c r="AC938" s="4236"/>
      <c r="AD938" s="4236"/>
      <c r="AE938" s="4236"/>
      <c r="AF938" s="4236"/>
      <c r="AG938" s="4236"/>
      <c r="AH938" s="4236"/>
      <c r="AI938" s="4236"/>
      <c r="AJ938" s="4236"/>
      <c r="AK938" s="4236"/>
      <c r="AL938" s="4236"/>
      <c r="AM938" s="4236"/>
      <c r="AN938" s="4236"/>
      <c r="AO938" s="4236"/>
      <c r="AP938" s="4236"/>
      <c r="AQ938" s="4236"/>
      <c r="AR938" s="4236"/>
      <c r="AS938" s="4236"/>
      <c r="AT938" s="4236"/>
      <c r="AU938" s="4236"/>
      <c r="AV938" s="4236"/>
      <c r="AW938" s="4236"/>
      <c r="AX938" s="4236"/>
      <c r="AY938" s="4236"/>
      <c r="AZ938" s="4236"/>
      <c r="BA938" s="4236"/>
      <c r="BB938" s="4236"/>
      <c r="BC938" s="4236"/>
      <c r="BD938" s="4236"/>
      <c r="BE938" s="4236"/>
      <c r="BF938" s="4236"/>
      <c r="BG938" s="4236"/>
      <c r="BH938" s="4236"/>
      <c r="BI938" s="4236"/>
      <c r="BJ938" s="4236"/>
      <c r="BK938" s="4236"/>
      <c r="BL938" s="4236"/>
      <c r="BM938" s="4236"/>
      <c r="BN938" s="4236"/>
      <c r="BO938" s="4236"/>
      <c r="BP938" s="4236"/>
      <c r="BQ938" s="4236"/>
      <c r="BR938" s="4775"/>
      <c r="BS938" s="4775"/>
      <c r="BT938" s="4775"/>
      <c r="BU938" s="4775"/>
      <c r="BV938" s="4775"/>
      <c r="BW938" s="4775"/>
      <c r="BX938" s="4775"/>
      <c r="BY938" s="4775"/>
      <c r="BZ938" s="4775"/>
      <c r="CA938" s="4775"/>
      <c r="CB938" s="4775"/>
      <c r="CC938" s="4775"/>
      <c r="CD938" s="4775"/>
      <c r="CE938" s="4775"/>
      <c r="CF938" s="4775"/>
      <c r="CG938" s="4775"/>
      <c r="CH938" s="4775"/>
      <c r="CI938" s="4775"/>
      <c r="CJ938" s="4775"/>
      <c r="CK938" s="4775"/>
      <c r="CL938" s="4775"/>
      <c r="CM938" s="4775"/>
      <c r="CN938" s="4775"/>
      <c r="CO938" s="4775"/>
      <c r="CP938" s="4775"/>
      <c r="CQ938" s="4775"/>
      <c r="CR938" s="4775"/>
      <c r="CS938" s="4775"/>
      <c r="CT938" s="4775"/>
      <c r="CU938" s="4775"/>
      <c r="CV938" s="4775"/>
      <c r="CW938" s="4775"/>
      <c r="CX938" s="4775"/>
      <c r="CY938" s="4775"/>
      <c r="CZ938" s="4775"/>
      <c r="DA938" s="4775"/>
      <c r="DB938" s="4775"/>
      <c r="DC938" s="4775"/>
      <c r="DD938" s="4775"/>
      <c r="DE938" s="4775"/>
      <c r="DF938" s="4775"/>
      <c r="DG938" s="4775"/>
      <c r="DH938" s="4775"/>
      <c r="DI938" s="4775"/>
      <c r="DJ938" s="4775"/>
      <c r="DK938" s="4775"/>
      <c r="DL938" s="4775"/>
      <c r="DM938" s="4775"/>
      <c r="DN938" s="4775"/>
      <c r="DO938" s="4775"/>
      <c r="DP938" s="4775"/>
      <c r="DQ938" s="4775"/>
      <c r="DR938" s="4775"/>
      <c r="DS938" s="4775"/>
    </row>
    <row r="939" s="4133" customFormat="1" ht="15.75" spans="1:123">
      <c r="A939" s="4776"/>
      <c r="B939" s="4317"/>
      <c r="C939" s="4317"/>
      <c r="D939" s="4317"/>
      <c r="E939" s="4317"/>
      <c r="F939" s="4317"/>
      <c r="G939" s="4317"/>
      <c r="H939" s="4317"/>
      <c r="I939" s="4317"/>
      <c r="J939" s="4317"/>
      <c r="K939" s="4317"/>
      <c r="L939" s="4317"/>
      <c r="M939" s="4317"/>
      <c r="N939" s="4317"/>
      <c r="O939" s="4317"/>
      <c r="P939" s="4317"/>
      <c r="Q939" s="4317"/>
      <c r="R939" s="4317"/>
      <c r="S939" s="4317"/>
      <c r="T939" s="4317"/>
      <c r="U939" s="4317"/>
      <c r="V939" s="4317"/>
      <c r="W939" s="4317"/>
      <c r="X939" s="4317"/>
      <c r="Y939" s="4317"/>
      <c r="Z939" s="4317"/>
      <c r="AA939" s="4317"/>
      <c r="AB939" s="4317"/>
      <c r="AC939" s="4317"/>
      <c r="AD939" s="4317"/>
      <c r="AE939" s="4317"/>
      <c r="AF939" s="4317"/>
      <c r="AG939" s="4317"/>
      <c r="AH939" s="4317"/>
      <c r="AI939" s="4317"/>
      <c r="AJ939" s="4317"/>
      <c r="AK939" s="4317"/>
      <c r="AL939" s="4317"/>
      <c r="AM939" s="4317"/>
      <c r="AN939" s="4317"/>
      <c r="AO939" s="4317"/>
      <c r="AP939" s="4317"/>
      <c r="AQ939" s="4317"/>
      <c r="AR939" s="4317"/>
      <c r="AS939" s="4317"/>
      <c r="AT939" s="4317"/>
      <c r="AU939" s="4317"/>
      <c r="AV939" s="4317"/>
      <c r="AW939" s="4317"/>
      <c r="AX939" s="4317"/>
      <c r="AY939" s="4317"/>
      <c r="AZ939" s="4317"/>
      <c r="BA939" s="4317"/>
      <c r="BB939" s="4317"/>
      <c r="BC939" s="4317"/>
      <c r="BD939" s="4317"/>
      <c r="BE939" s="4317"/>
      <c r="BF939" s="4317"/>
      <c r="BG939" s="4317"/>
      <c r="BH939" s="4317"/>
      <c r="BI939" s="4317"/>
      <c r="BJ939" s="4317"/>
      <c r="BK939" s="4317"/>
      <c r="BL939" s="4317"/>
      <c r="BM939" s="4317"/>
      <c r="BN939" s="4317"/>
      <c r="BO939" s="4317"/>
      <c r="BP939" s="4317"/>
      <c r="BQ939" s="4317"/>
      <c r="BR939" s="4317"/>
      <c r="BS939" s="4317"/>
      <c r="BT939" s="4317"/>
      <c r="BU939" s="4317"/>
      <c r="BV939" s="4317"/>
      <c r="BW939" s="4317"/>
      <c r="BX939" s="4317"/>
      <c r="BY939" s="4317"/>
      <c r="BZ939" s="4317"/>
      <c r="CA939" s="4317"/>
      <c r="CB939" s="4317"/>
      <c r="CC939" s="4317"/>
      <c r="CD939" s="4317"/>
      <c r="CE939" s="4317"/>
      <c r="CF939" s="4317"/>
      <c r="CG939" s="4317"/>
      <c r="CH939" s="4317"/>
      <c r="CI939" s="4317"/>
      <c r="CJ939" s="4317"/>
      <c r="CK939" s="4317"/>
      <c r="CL939" s="4317"/>
      <c r="CM939" s="4317"/>
      <c r="CN939" s="4317"/>
      <c r="CO939" s="4317"/>
      <c r="CP939" s="4317"/>
      <c r="CQ939" s="4317"/>
      <c r="CR939" s="4317"/>
      <c r="CS939" s="4317"/>
      <c r="CT939" s="4317"/>
      <c r="CU939" s="4317"/>
      <c r="CV939" s="4317"/>
      <c r="CW939" s="4317"/>
      <c r="CX939" s="4317"/>
      <c r="CY939" s="4317"/>
      <c r="CZ939" s="4317"/>
      <c r="DA939" s="4317"/>
      <c r="DB939" s="4317"/>
      <c r="DC939" s="4317"/>
      <c r="DD939" s="4317"/>
      <c r="DE939" s="4317"/>
      <c r="DF939" s="4317"/>
      <c r="DG939" s="4317"/>
      <c r="DH939" s="4317"/>
      <c r="DI939" s="4317"/>
      <c r="DJ939" s="4317"/>
      <c r="DK939" s="4317"/>
      <c r="DL939" s="4317"/>
      <c r="DM939" s="4317"/>
      <c r="DN939" s="4317"/>
      <c r="DO939" s="4317"/>
      <c r="DP939" s="4317"/>
      <c r="DQ939" s="4317"/>
      <c r="DR939" s="4317"/>
      <c r="DS939" s="4317"/>
    </row>
    <row r="940" s="4133" customFormat="1" ht="21" spans="1:123">
      <c r="A940" s="4653" t="s">
        <v>5675</v>
      </c>
      <c r="B940" s="4777"/>
      <c r="C940" s="4777"/>
      <c r="D940" s="4777"/>
      <c r="E940" s="4777"/>
      <c r="F940" s="4777"/>
      <c r="G940" s="4777"/>
      <c r="H940" s="4777"/>
      <c r="I940" s="4777"/>
      <c r="J940" s="4777"/>
      <c r="K940" s="4777"/>
      <c r="L940" s="4777"/>
      <c r="M940" s="4777"/>
      <c r="N940" s="4777"/>
      <c r="O940" s="4777"/>
      <c r="P940" s="4777"/>
      <c r="Q940" s="4777"/>
      <c r="R940" s="4777"/>
      <c r="S940" s="4777"/>
      <c r="T940" s="4777"/>
      <c r="U940" s="4777"/>
      <c r="V940" s="4777"/>
      <c r="W940" s="4777"/>
      <c r="X940" s="4777"/>
      <c r="Y940" s="4777"/>
      <c r="Z940" s="4777"/>
      <c r="AA940" s="4777"/>
      <c r="AB940" s="4777"/>
      <c r="AC940" s="4777"/>
      <c r="AD940" s="4777"/>
      <c r="AE940" s="4777"/>
      <c r="AF940" s="4777"/>
      <c r="AG940" s="4777"/>
      <c r="AH940" s="4777"/>
      <c r="AI940" s="4777"/>
      <c r="AJ940" s="4777"/>
      <c r="AK940" s="4777"/>
      <c r="AL940" s="4777"/>
      <c r="AM940" s="4777"/>
      <c r="AN940" s="4777"/>
      <c r="AO940" s="4777"/>
      <c r="AP940" s="4317"/>
      <c r="AQ940" s="4317"/>
      <c r="AR940" s="4317"/>
      <c r="AS940" s="4317"/>
      <c r="AT940" s="4317"/>
      <c r="AU940" s="4317"/>
      <c r="AV940" s="4317"/>
      <c r="AW940" s="4317"/>
      <c r="AX940" s="4317"/>
      <c r="AY940" s="4317"/>
      <c r="AZ940" s="4317"/>
      <c r="BA940" s="4317"/>
      <c r="BB940" s="4317"/>
      <c r="BC940" s="4317"/>
      <c r="BD940" s="4317"/>
      <c r="BE940" s="4317"/>
      <c r="BF940" s="4317"/>
      <c r="BG940" s="4317"/>
      <c r="BH940" s="4317"/>
      <c r="BI940" s="4317"/>
      <c r="BJ940" s="4317"/>
      <c r="BK940" s="4317"/>
      <c r="BL940" s="4317"/>
      <c r="BM940" s="4317"/>
      <c r="BN940" s="4317"/>
      <c r="BO940" s="4317"/>
      <c r="BP940" s="4317"/>
      <c r="BQ940" s="4317"/>
      <c r="BR940" s="4317"/>
      <c r="BS940" s="4317"/>
      <c r="BT940" s="4317"/>
      <c r="BU940" s="4317"/>
      <c r="BV940" s="4317"/>
      <c r="BW940" s="4317"/>
      <c r="BX940" s="4317"/>
      <c r="BY940" s="4317"/>
      <c r="BZ940" s="4317"/>
      <c r="CA940" s="4317"/>
      <c r="CB940" s="4317"/>
      <c r="CC940" s="4317"/>
      <c r="CD940" s="4317"/>
      <c r="CE940" s="4317"/>
      <c r="CF940" s="4317"/>
      <c r="CG940" s="4317"/>
      <c r="CH940" s="4317"/>
      <c r="CI940" s="4317"/>
      <c r="CJ940" s="4317"/>
      <c r="CK940" s="4317"/>
      <c r="CL940" s="4317"/>
      <c r="CM940" s="4317"/>
      <c r="CN940" s="4317"/>
      <c r="CO940" s="4317"/>
      <c r="CP940" s="4317"/>
      <c r="CQ940" s="4317"/>
      <c r="CR940" s="4317"/>
      <c r="CS940" s="4317"/>
      <c r="CT940" s="4317"/>
      <c r="CU940" s="4317"/>
      <c r="CV940" s="4317"/>
      <c r="CW940" s="4317"/>
      <c r="CX940" s="4317"/>
      <c r="CY940" s="4317"/>
      <c r="CZ940" s="4317"/>
      <c r="DA940" s="4317"/>
      <c r="DB940" s="4317"/>
      <c r="DC940" s="4317"/>
      <c r="DD940" s="4317"/>
      <c r="DE940" s="4317"/>
      <c r="DF940" s="4317"/>
      <c r="DG940" s="4317"/>
      <c r="DH940" s="4317"/>
      <c r="DI940" s="4317"/>
      <c r="DJ940" s="4317"/>
      <c r="DK940" s="4317"/>
      <c r="DL940" s="4317"/>
      <c r="DM940" s="4317"/>
      <c r="DN940" s="4317"/>
      <c r="DO940" s="4317"/>
      <c r="DP940" s="4317"/>
      <c r="DQ940" s="4317"/>
      <c r="DR940" s="4317"/>
      <c r="DS940" s="4317"/>
    </row>
    <row r="941" s="4133" customFormat="1" ht="15.75" spans="1:123">
      <c r="A941" s="4317" t="s">
        <v>5676</v>
      </c>
      <c r="B941" s="4778"/>
      <c r="C941" s="4778"/>
      <c r="D941" s="4778"/>
      <c r="E941" s="4778"/>
      <c r="F941" s="4778"/>
      <c r="G941" s="4778"/>
      <c r="H941" s="4778"/>
      <c r="I941" s="4778"/>
      <c r="J941" s="4778"/>
      <c r="K941" s="4778"/>
      <c r="L941" s="4778"/>
      <c r="M941" s="4778"/>
      <c r="N941" s="4777"/>
      <c r="O941" s="4777"/>
      <c r="P941" s="4777"/>
      <c r="Q941" s="4777"/>
      <c r="R941" s="4777"/>
      <c r="S941" s="4777"/>
      <c r="T941" s="4777"/>
      <c r="U941" s="4777"/>
      <c r="V941" s="4777"/>
      <c r="W941" s="4777"/>
      <c r="X941" s="4777"/>
      <c r="Y941" s="4777"/>
      <c r="Z941" s="4777"/>
      <c r="AA941" s="4777"/>
      <c r="AB941" s="4777"/>
      <c r="AC941" s="4777"/>
      <c r="AD941" s="4777"/>
      <c r="AE941" s="4777"/>
      <c r="AF941" s="4777"/>
      <c r="AG941" s="4777"/>
      <c r="AH941" s="4777"/>
      <c r="AI941" s="4777"/>
      <c r="AJ941" s="4777"/>
      <c r="AK941" s="4777"/>
      <c r="AL941" s="4777"/>
      <c r="AM941" s="4777"/>
      <c r="AN941" s="4777"/>
      <c r="AO941" s="4777"/>
      <c r="AP941" s="4317"/>
      <c r="AQ941" s="4317"/>
      <c r="AR941" s="4317"/>
      <c r="AS941" s="4317"/>
      <c r="AT941" s="4317"/>
      <c r="AU941" s="4317"/>
      <c r="AV941" s="4317"/>
      <c r="AW941" s="4317"/>
      <c r="AX941" s="4317"/>
      <c r="AY941" s="4317"/>
      <c r="AZ941" s="4317"/>
      <c r="BA941" s="4317"/>
      <c r="BB941" s="4317"/>
      <c r="BC941" s="4317"/>
      <c r="BD941" s="4317"/>
      <c r="BE941" s="4317"/>
      <c r="BF941" s="4317"/>
      <c r="BG941" s="4317"/>
      <c r="BH941" s="4317"/>
      <c r="BI941" s="4317"/>
      <c r="BJ941" s="4317"/>
      <c r="BK941" s="4317"/>
      <c r="BL941" s="4317"/>
      <c r="BM941" s="4317"/>
      <c r="BN941" s="4317"/>
      <c r="BO941" s="4317"/>
      <c r="BP941" s="4317"/>
      <c r="BQ941" s="4317"/>
      <c r="BR941" s="4317"/>
      <c r="BS941" s="4317"/>
      <c r="BT941" s="4317"/>
      <c r="BU941" s="4317"/>
      <c r="BV941" s="4317"/>
      <c r="BW941" s="4317"/>
      <c r="BX941" s="4317"/>
      <c r="BY941" s="4317"/>
      <c r="BZ941" s="4317"/>
      <c r="CA941" s="4317"/>
      <c r="CB941" s="4317"/>
      <c r="CC941" s="4317"/>
      <c r="CD941" s="4317"/>
      <c r="CE941" s="4317"/>
      <c r="CF941" s="4317"/>
      <c r="CG941" s="4317"/>
      <c r="CH941" s="4317"/>
      <c r="CI941" s="4317"/>
      <c r="CJ941" s="4317"/>
      <c r="CK941" s="4317"/>
      <c r="CL941" s="4317"/>
      <c r="CM941" s="4317"/>
      <c r="CN941" s="4317"/>
      <c r="CO941" s="4317"/>
      <c r="CP941" s="4317"/>
      <c r="CQ941" s="4317"/>
      <c r="CR941" s="4317"/>
      <c r="CS941" s="4317"/>
      <c r="CT941" s="4317"/>
      <c r="CU941" s="4317"/>
      <c r="CV941" s="4317"/>
      <c r="CW941" s="4317"/>
      <c r="CX941" s="4317"/>
      <c r="CY941" s="4317"/>
      <c r="CZ941" s="4317"/>
      <c r="DA941" s="4317"/>
      <c r="DB941" s="4317"/>
      <c r="DC941" s="4317"/>
      <c r="DD941" s="4317"/>
      <c r="DE941" s="4317"/>
      <c r="DF941" s="4317"/>
      <c r="DG941" s="4317"/>
      <c r="DH941" s="4317"/>
      <c r="DI941" s="4317"/>
      <c r="DJ941" s="4317"/>
      <c r="DK941" s="4317"/>
      <c r="DL941" s="4317"/>
      <c r="DM941" s="4317"/>
      <c r="DN941" s="4317"/>
      <c r="DO941" s="4317"/>
      <c r="DP941" s="4317"/>
      <c r="DQ941" s="4317"/>
      <c r="DR941" s="4317"/>
      <c r="DS941" s="4317"/>
    </row>
    <row r="942" s="4133" customFormat="1" ht="15.75" spans="1:123">
      <c r="A942" s="4317"/>
      <c r="B942" s="4317"/>
      <c r="C942" s="4317"/>
      <c r="D942" s="4317"/>
      <c r="E942" s="4317"/>
      <c r="F942" s="4317"/>
      <c r="G942" s="4317"/>
      <c r="H942" s="4317"/>
      <c r="I942" s="4317"/>
      <c r="J942" s="4317"/>
      <c r="K942" s="4317"/>
      <c r="L942" s="4317"/>
      <c r="M942" s="4317"/>
      <c r="N942" s="4317"/>
      <c r="O942" s="4317"/>
      <c r="P942" s="4317"/>
      <c r="Q942" s="4317"/>
      <c r="R942" s="4317"/>
      <c r="S942" s="4317"/>
      <c r="T942" s="4317"/>
      <c r="U942" s="4317"/>
      <c r="V942" s="4317"/>
      <c r="W942" s="4317"/>
      <c r="X942" s="4317"/>
      <c r="Y942" s="4317"/>
      <c r="Z942" s="4317"/>
      <c r="AA942" s="4317"/>
      <c r="AB942" s="4317"/>
      <c r="AC942" s="4317"/>
      <c r="AD942" s="4317"/>
      <c r="AE942" s="4317"/>
      <c r="AF942" s="4317"/>
      <c r="AG942" s="4317"/>
      <c r="AH942" s="4317"/>
      <c r="AI942" s="4317"/>
      <c r="AJ942" s="4317"/>
      <c r="AK942" s="4317"/>
      <c r="AL942" s="4317"/>
      <c r="AM942" s="4317"/>
      <c r="AN942" s="4317"/>
      <c r="AO942" s="4317"/>
      <c r="AP942" s="4317"/>
      <c r="AQ942" s="4317"/>
      <c r="AR942" s="4317"/>
      <c r="AS942" s="4317"/>
      <c r="AT942" s="4317"/>
      <c r="AU942" s="4317"/>
      <c r="AV942" s="4317"/>
      <c r="AW942" s="4317"/>
      <c r="AX942" s="4317"/>
      <c r="AY942" s="4317"/>
      <c r="AZ942" s="4317"/>
      <c r="BA942" s="4317"/>
      <c r="BB942" s="4317"/>
      <c r="BC942" s="4317"/>
      <c r="BD942" s="4317"/>
      <c r="BE942" s="4317"/>
      <c r="BF942" s="4317"/>
      <c r="BG942" s="4317"/>
      <c r="BH942" s="4317"/>
      <c r="BI942" s="4317"/>
      <c r="BJ942" s="4317"/>
      <c r="BK942" s="4317"/>
      <c r="BL942" s="4317"/>
      <c r="BM942" s="4317"/>
      <c r="BN942" s="4317"/>
      <c r="BO942" s="4317"/>
      <c r="BP942" s="4317"/>
      <c r="BQ942" s="4317"/>
      <c r="BR942" s="4317"/>
      <c r="BS942" s="4317"/>
      <c r="BT942" s="4317"/>
      <c r="BU942" s="4317"/>
      <c r="BV942" s="4317"/>
      <c r="BW942" s="4317"/>
      <c r="BX942" s="4317"/>
      <c r="BY942" s="4317"/>
      <c r="BZ942" s="4317"/>
      <c r="CA942" s="4317"/>
      <c r="CB942" s="4317"/>
      <c r="CC942" s="4317"/>
      <c r="CD942" s="4317"/>
      <c r="CE942" s="4317"/>
      <c r="CF942" s="4317"/>
      <c r="CG942" s="4317"/>
      <c r="CH942" s="4317"/>
      <c r="CI942" s="4317"/>
      <c r="CJ942" s="4317"/>
      <c r="CK942" s="4317"/>
      <c r="CL942" s="4317"/>
      <c r="CM942" s="4317"/>
      <c r="CN942" s="4317"/>
      <c r="CO942" s="4317"/>
      <c r="CP942" s="4317"/>
      <c r="CQ942" s="4317"/>
      <c r="CR942" s="4317"/>
      <c r="CS942" s="4317"/>
      <c r="CT942" s="4317"/>
      <c r="CU942" s="4317"/>
      <c r="CV942" s="4317"/>
      <c r="CW942" s="4317"/>
      <c r="CX942" s="4317"/>
      <c r="CY942" s="4317"/>
      <c r="CZ942" s="4317"/>
      <c r="DA942" s="4317"/>
      <c r="DB942" s="4317"/>
      <c r="DC942" s="4317"/>
      <c r="DD942" s="4317"/>
      <c r="DE942" s="4317"/>
      <c r="DF942" s="4317"/>
      <c r="DG942" s="4317"/>
      <c r="DH942" s="4317"/>
      <c r="DI942" s="4317"/>
      <c r="DJ942" s="4317"/>
      <c r="DK942" s="4317"/>
      <c r="DL942" s="4317"/>
      <c r="DM942" s="4317"/>
      <c r="DN942" s="4317"/>
      <c r="DO942" s="4317"/>
      <c r="DP942" s="4317"/>
      <c r="DQ942" s="4317"/>
      <c r="DR942" s="4317"/>
      <c r="DS942" s="4317"/>
    </row>
    <row r="943" s="491" customFormat="1" ht="23.25" customHeight="1" spans="1:123">
      <c r="A943" s="4779"/>
      <c r="B943" s="4780"/>
      <c r="C943" s="4781" t="s">
        <v>4636</v>
      </c>
      <c r="D943" s="4782"/>
      <c r="E943" s="4782"/>
      <c r="F943" s="4782"/>
      <c r="G943" s="4782"/>
      <c r="H943" s="4782"/>
      <c r="I943" s="4782"/>
      <c r="J943" s="4782"/>
      <c r="K943" s="4780"/>
      <c r="L943" s="4783"/>
      <c r="M943" s="4784"/>
      <c r="N943" s="4784"/>
      <c r="O943" s="4785" t="s">
        <v>5677</v>
      </c>
      <c r="P943" s="4785"/>
      <c r="Q943" s="4785"/>
      <c r="R943" s="4785"/>
      <c r="S943" s="4785"/>
      <c r="T943" s="4785"/>
      <c r="U943" s="4785"/>
      <c r="V943" s="4785"/>
      <c r="W943" s="4785"/>
      <c r="X943" s="4785"/>
      <c r="Y943" s="4785"/>
      <c r="Z943" s="4785"/>
      <c r="AA943" s="4785"/>
      <c r="AB943" s="4785"/>
      <c r="AC943" s="4785"/>
      <c r="AD943" s="4785"/>
      <c r="AE943" s="4785"/>
      <c r="AF943" s="4785"/>
      <c r="AG943" s="4785"/>
      <c r="AH943" s="4785"/>
      <c r="AI943" s="4785"/>
      <c r="AJ943" s="4785"/>
      <c r="AK943" s="4785"/>
      <c r="AL943" s="4785"/>
      <c r="AM943" s="4785"/>
      <c r="AN943" s="4785"/>
      <c r="AO943" s="4785"/>
      <c r="AP943" s="4785"/>
      <c r="AQ943" s="4785"/>
      <c r="AR943" s="4785"/>
      <c r="AS943" s="4785"/>
      <c r="AT943" s="4785"/>
      <c r="AU943" s="4785"/>
      <c r="AV943" s="4785"/>
      <c r="AW943" s="4785"/>
      <c r="AX943" s="4785"/>
      <c r="AY943" s="4785"/>
      <c r="AZ943" s="4785"/>
      <c r="BA943" s="4785"/>
      <c r="BB943" s="4785"/>
      <c r="BC943" s="4317"/>
      <c r="BD943" s="4317"/>
      <c r="BE943" s="4317"/>
      <c r="BF943" s="4317"/>
      <c r="BG943" s="4317"/>
      <c r="BH943" s="4317"/>
      <c r="BI943" s="4317"/>
      <c r="BJ943" s="4317"/>
      <c r="BK943" s="4317"/>
      <c r="BL943" s="4317"/>
      <c r="BM943" s="4317"/>
      <c r="BN943" s="4317"/>
      <c r="BO943" s="4317"/>
      <c r="BP943" s="4317"/>
      <c r="BQ943" s="4317"/>
      <c r="BR943" s="4317"/>
      <c r="BS943" s="4317"/>
      <c r="BT943" s="4317"/>
      <c r="BU943" s="4317"/>
      <c r="BV943" s="4317"/>
      <c r="BW943" s="4317"/>
      <c r="BX943" s="4317"/>
      <c r="BY943" s="4317"/>
      <c r="BZ943" s="4317"/>
      <c r="CA943" s="4317"/>
      <c r="CB943" s="4317"/>
      <c r="CC943" s="4317"/>
      <c r="CD943" s="4317"/>
      <c r="CE943" s="4317"/>
      <c r="CF943" s="4317"/>
      <c r="CG943" s="4317"/>
      <c r="CH943" s="4317"/>
      <c r="CI943" s="4317"/>
      <c r="CJ943" s="4317"/>
      <c r="CK943" s="4317"/>
      <c r="CL943" s="4317"/>
      <c r="CM943" s="4317"/>
      <c r="CN943" s="4317"/>
      <c r="CO943" s="4317"/>
      <c r="CP943" s="4317"/>
      <c r="CQ943" s="4317"/>
      <c r="CR943" s="4317"/>
      <c r="CS943" s="4317"/>
      <c r="CT943" s="4317"/>
      <c r="CU943" s="4317"/>
      <c r="CV943" s="4317"/>
      <c r="CW943" s="4317"/>
      <c r="CX943" s="4317"/>
      <c r="CY943" s="4317"/>
      <c r="CZ943" s="4317"/>
      <c r="DA943" s="4317"/>
      <c r="DB943" s="4317"/>
      <c r="DC943" s="4317"/>
      <c r="DD943" s="4317"/>
      <c r="DE943" s="4317"/>
      <c r="DF943" s="4317"/>
      <c r="DG943" s="4317"/>
      <c r="DH943" s="4317"/>
      <c r="DI943" s="4317"/>
      <c r="DJ943" s="4317"/>
      <c r="DK943" s="4317"/>
      <c r="DL943" s="4317"/>
      <c r="DM943" s="4317"/>
      <c r="DN943" s="4317"/>
      <c r="DO943" s="4317"/>
      <c r="DP943" s="4317"/>
      <c r="DQ943" s="4317"/>
      <c r="DR943" s="4317"/>
      <c r="DS943" s="4317"/>
    </row>
    <row r="944" s="491" customFormat="1" ht="30.75" customHeight="1" spans="1:123">
      <c r="A944" s="4786"/>
      <c r="B944" s="4787"/>
      <c r="C944" s="4788" t="s">
        <v>4636</v>
      </c>
      <c r="D944" s="4789"/>
      <c r="E944" s="4789"/>
      <c r="F944" s="4789"/>
      <c r="G944" s="4789"/>
      <c r="H944" s="4789"/>
      <c r="I944" s="4789"/>
      <c r="J944" s="4789"/>
      <c r="K944" s="4787"/>
      <c r="L944" s="4790"/>
      <c r="M944" s="4791"/>
      <c r="N944" s="4792"/>
      <c r="O944" s="4793"/>
      <c r="P944" s="4794"/>
      <c r="Q944" s="4794"/>
      <c r="R944" s="4794"/>
      <c r="S944" s="4794"/>
      <c r="T944" s="4794"/>
      <c r="U944" s="4794"/>
      <c r="V944" s="4794"/>
      <c r="W944" s="4794"/>
      <c r="X944" s="4794"/>
      <c r="Y944" s="4794"/>
      <c r="Z944" s="4794"/>
      <c r="AA944" s="4794"/>
      <c r="AB944" s="4794"/>
      <c r="AC944" s="4794"/>
      <c r="AD944" s="4794"/>
      <c r="AE944" s="4794"/>
      <c r="AF944" s="4794"/>
      <c r="AG944" s="4794"/>
      <c r="AH944" s="4794"/>
      <c r="AI944" s="4794" t="s">
        <v>5678</v>
      </c>
      <c r="AJ944" s="4794"/>
      <c r="AK944" s="4794"/>
      <c r="AL944" s="4794"/>
      <c r="AM944" s="4794"/>
      <c r="AN944" s="4794"/>
      <c r="AO944" s="4794"/>
      <c r="AP944" s="4794"/>
      <c r="AQ944" s="4794"/>
      <c r="AR944" s="4794"/>
      <c r="AS944" s="4794"/>
      <c r="AT944" s="4794"/>
      <c r="AU944" s="4794"/>
      <c r="AV944" s="4794"/>
      <c r="AW944" s="4794"/>
      <c r="AX944" s="4794"/>
      <c r="AY944" s="4794"/>
      <c r="AZ944" s="4794"/>
      <c r="BA944" s="4794"/>
      <c r="BB944" s="4795"/>
      <c r="BC944" s="4317"/>
      <c r="BD944" s="4317"/>
      <c r="BE944" s="4317"/>
      <c r="BF944" s="4317"/>
      <c r="BG944" s="4317"/>
      <c r="BH944" s="4317"/>
      <c r="BI944" s="4317"/>
      <c r="BJ944" s="4317"/>
      <c r="BK944" s="4317"/>
      <c r="BL944" s="4317"/>
      <c r="BM944" s="4317"/>
      <c r="BN944" s="4317"/>
      <c r="BO944" s="4317"/>
      <c r="BP944" s="4317"/>
      <c r="BQ944" s="4317"/>
      <c r="BR944" s="4317"/>
      <c r="BS944" s="4317"/>
      <c r="BT944" s="4317"/>
      <c r="BU944" s="4317"/>
      <c r="BV944" s="4317"/>
      <c r="BW944" s="4317"/>
      <c r="BX944" s="4317"/>
      <c r="BY944" s="4317"/>
      <c r="BZ944" s="4317"/>
      <c r="CA944" s="4317"/>
      <c r="CB944" s="4317"/>
      <c r="CC944" s="4317"/>
      <c r="CD944" s="4317"/>
      <c r="CE944" s="4317"/>
      <c r="CF944" s="4317"/>
      <c r="CG944" s="4317"/>
      <c r="CH944" s="4317"/>
      <c r="CI944" s="4317"/>
      <c r="CJ944" s="4317"/>
      <c r="CK944" s="4317"/>
      <c r="CL944" s="4317"/>
      <c r="CM944" s="4317"/>
      <c r="CN944" s="4317"/>
      <c r="CO944" s="4317"/>
      <c r="CP944" s="4317"/>
      <c r="CQ944" s="4317"/>
      <c r="CR944" s="4317"/>
      <c r="CS944" s="4317"/>
      <c r="CT944" s="4317"/>
      <c r="CU944" s="4317"/>
      <c r="CV944" s="4317"/>
      <c r="CW944" s="4317"/>
      <c r="CX944" s="4317"/>
      <c r="CY944" s="4317"/>
      <c r="CZ944" s="4317"/>
      <c r="DA944" s="4317"/>
      <c r="DB944" s="4317"/>
      <c r="DC944" s="4317"/>
      <c r="DD944" s="4317"/>
      <c r="DE944" s="4317"/>
      <c r="DF944" s="4317"/>
      <c r="DG944" s="4317"/>
      <c r="DH944" s="4317"/>
      <c r="DI944" s="4317"/>
      <c r="DJ944" s="4317"/>
      <c r="DK944" s="4317"/>
      <c r="DL944" s="4317"/>
      <c r="DM944" s="4317"/>
      <c r="DN944" s="4317"/>
      <c r="DO944" s="4317"/>
      <c r="DP944" s="4317"/>
      <c r="DQ944" s="4317"/>
      <c r="DR944" s="4317"/>
      <c r="DS944" s="4317"/>
    </row>
    <row r="945" s="491" customFormat="1" ht="30.75" customHeight="1" spans="1:123">
      <c r="A945" s="4796" t="s">
        <v>5679</v>
      </c>
      <c r="B945" s="4797"/>
      <c r="C945" s="4797"/>
      <c r="D945" s="4797"/>
      <c r="E945" s="4797"/>
      <c r="F945" s="4797"/>
      <c r="G945" s="4797"/>
      <c r="H945" s="4797"/>
      <c r="I945" s="4797"/>
      <c r="J945" s="4797"/>
      <c r="K945" s="4797"/>
      <c r="L945" s="4798" t="s">
        <v>5680</v>
      </c>
      <c r="M945" s="4799"/>
      <c r="N945" s="4800"/>
      <c r="O945" s="4793" t="s">
        <v>5681</v>
      </c>
      <c r="P945" s="4794"/>
      <c r="Q945" s="4794"/>
      <c r="R945" s="4794"/>
      <c r="S945" s="4794"/>
      <c r="T945" s="4794" t="s">
        <v>2694</v>
      </c>
      <c r="U945" s="4794"/>
      <c r="V945" s="4794"/>
      <c r="W945" s="4794"/>
      <c r="X945" s="4794"/>
      <c r="Y945" s="4801" t="s">
        <v>3997</v>
      </c>
      <c r="Z945" s="4801"/>
      <c r="AA945" s="4801"/>
      <c r="AB945" s="4801"/>
      <c r="AC945" s="4801"/>
      <c r="AD945" s="4794" t="s">
        <v>5678</v>
      </c>
      <c r="AE945" s="4794"/>
      <c r="AF945" s="4794"/>
      <c r="AG945" s="4794"/>
      <c r="AH945" s="4794"/>
      <c r="AI945" s="4794" t="s">
        <v>5682</v>
      </c>
      <c r="AJ945" s="4794"/>
      <c r="AK945" s="4794"/>
      <c r="AL945" s="4794"/>
      <c r="AM945" s="4794"/>
      <c r="AN945" s="4794" t="s">
        <v>5683</v>
      </c>
      <c r="AO945" s="4794"/>
      <c r="AP945" s="4794"/>
      <c r="AQ945" s="4794"/>
      <c r="AR945" s="4794"/>
      <c r="AS945" s="4794" t="s">
        <v>5684</v>
      </c>
      <c r="AT945" s="4794"/>
      <c r="AU945" s="4794"/>
      <c r="AV945" s="4794"/>
      <c r="AW945" s="4794"/>
      <c r="AX945" s="4794" t="s">
        <v>5685</v>
      </c>
      <c r="AY945" s="4794"/>
      <c r="AZ945" s="4794"/>
      <c r="BA945" s="4794"/>
      <c r="BB945" s="4795"/>
      <c r="BC945" s="4317"/>
      <c r="BD945" s="4317"/>
      <c r="BE945" s="4317"/>
      <c r="BF945" s="4317"/>
      <c r="BG945" s="4317"/>
      <c r="BH945" s="4317"/>
      <c r="BI945" s="4317"/>
      <c r="BJ945" s="4317"/>
      <c r="BK945" s="4317"/>
      <c r="BL945" s="4317"/>
      <c r="BM945" s="4317"/>
      <c r="BN945" s="4317"/>
      <c r="BO945" s="4317"/>
      <c r="BP945" s="4317"/>
      <c r="BQ945" s="4317"/>
      <c r="BR945" s="4317"/>
      <c r="BS945" s="4317"/>
      <c r="BT945" s="4317"/>
      <c r="BU945" s="4317"/>
      <c r="BV945" s="4317"/>
      <c r="BW945" s="4317"/>
      <c r="BX945" s="4317"/>
      <c r="BY945" s="4317"/>
      <c r="BZ945" s="4317"/>
      <c r="CA945" s="4317"/>
      <c r="CB945" s="4317"/>
      <c r="CC945" s="4317"/>
      <c r="CD945" s="4317"/>
      <c r="CE945" s="4317"/>
      <c r="CF945" s="4317"/>
      <c r="CG945" s="4317"/>
      <c r="CH945" s="4317"/>
      <c r="CI945" s="4317"/>
      <c r="CJ945" s="4317"/>
      <c r="CK945" s="4317"/>
      <c r="CL945" s="4317"/>
      <c r="CM945" s="4317"/>
      <c r="CN945" s="4317"/>
      <c r="CO945" s="4317"/>
      <c r="CP945" s="4317"/>
      <c r="CQ945" s="4317"/>
      <c r="CR945" s="4317"/>
      <c r="CS945" s="4317"/>
      <c r="CT945" s="4317"/>
      <c r="CU945" s="4317"/>
      <c r="CV945" s="4317"/>
      <c r="CW945" s="4317"/>
      <c r="CX945" s="4317"/>
      <c r="CY945" s="4317"/>
      <c r="CZ945" s="4317"/>
      <c r="DA945" s="4317"/>
      <c r="DB945" s="4317"/>
      <c r="DC945" s="4317"/>
      <c r="DD945" s="4317"/>
      <c r="DE945" s="4317"/>
      <c r="DF945" s="4317"/>
      <c r="DG945" s="4317"/>
      <c r="DH945" s="4317"/>
      <c r="DI945" s="4317"/>
      <c r="DJ945" s="4317"/>
      <c r="DK945" s="4317"/>
      <c r="DL945" s="4317"/>
      <c r="DM945" s="4317"/>
      <c r="DN945" s="4317"/>
      <c r="DO945" s="4317"/>
      <c r="DP945" s="4317"/>
      <c r="DQ945" s="4317"/>
      <c r="DR945" s="4317"/>
      <c r="DS945" s="4317"/>
    </row>
    <row r="946" s="491" customFormat="1" ht="30.75" customHeight="1" spans="1:123">
      <c r="A946" s="4802"/>
      <c r="B946" s="4803"/>
      <c r="C946" s="4803"/>
      <c r="D946" s="4803"/>
      <c r="E946" s="4803"/>
      <c r="F946" s="4803"/>
      <c r="G946" s="4803"/>
      <c r="H946" s="4803"/>
      <c r="I946" s="4803"/>
      <c r="J946" s="4803"/>
      <c r="K946" s="4803"/>
      <c r="L946" s="4798" t="s">
        <v>5686</v>
      </c>
      <c r="M946" s="4799"/>
      <c r="N946" s="4800"/>
      <c r="O946" s="4793" t="s">
        <v>5687</v>
      </c>
      <c r="P946" s="4794"/>
      <c r="Q946" s="4794"/>
      <c r="R946" s="4794"/>
      <c r="S946" s="4794"/>
      <c r="T946" s="4794"/>
      <c r="U946" s="4794"/>
      <c r="V946" s="4794"/>
      <c r="W946" s="4794"/>
      <c r="X946" s="4794"/>
      <c r="Y946" s="4794"/>
      <c r="Z946" s="4794"/>
      <c r="AA946" s="4794"/>
      <c r="AB946" s="4794"/>
      <c r="AC946" s="4794"/>
      <c r="AD946" s="4794" t="s">
        <v>5688</v>
      </c>
      <c r="AE946" s="4794"/>
      <c r="AF946" s="4794"/>
      <c r="AG946" s="4794"/>
      <c r="AH946" s="4794"/>
      <c r="AI946" s="4794" t="s">
        <v>5689</v>
      </c>
      <c r="AJ946" s="4794"/>
      <c r="AK946" s="4794"/>
      <c r="AL946" s="4794"/>
      <c r="AM946" s="4794"/>
      <c r="AN946" s="4801" t="s">
        <v>5690</v>
      </c>
      <c r="AO946" s="4801"/>
      <c r="AP946" s="4801"/>
      <c r="AQ946" s="4801"/>
      <c r="AR946" s="4801"/>
      <c r="AS946" s="4794" t="s">
        <v>5691</v>
      </c>
      <c r="AT946" s="4794"/>
      <c r="AU946" s="4794"/>
      <c r="AV946" s="4794"/>
      <c r="AW946" s="4794"/>
      <c r="AX946" s="4804"/>
      <c r="AY946" s="4804"/>
      <c r="AZ946" s="4804"/>
      <c r="BA946" s="4804"/>
      <c r="BB946" s="4805"/>
      <c r="BC946" s="4317"/>
      <c r="BD946" s="4317"/>
      <c r="BE946" s="4317"/>
      <c r="BF946" s="4317"/>
      <c r="BG946" s="4317"/>
      <c r="BH946" s="4317"/>
      <c r="BI946" s="4317"/>
      <c r="BJ946" s="4317"/>
      <c r="BK946" s="4317"/>
      <c r="BL946" s="4317"/>
      <c r="BM946" s="4317"/>
      <c r="BN946" s="4317"/>
      <c r="BO946" s="4317"/>
      <c r="BP946" s="4317"/>
      <c r="BQ946" s="4317"/>
      <c r="BR946" s="4317"/>
      <c r="BS946" s="4317"/>
      <c r="BT946" s="4317"/>
      <c r="BU946" s="4317"/>
      <c r="BV946" s="4317"/>
      <c r="BW946" s="4317"/>
      <c r="BX946" s="4317"/>
      <c r="BY946" s="4317"/>
      <c r="BZ946" s="4317"/>
      <c r="CA946" s="4317"/>
      <c r="CB946" s="4317"/>
      <c r="CC946" s="4317"/>
      <c r="CD946" s="4317"/>
      <c r="CE946" s="4317"/>
      <c r="CF946" s="4317"/>
      <c r="CG946" s="4317"/>
      <c r="CH946" s="4317"/>
      <c r="CI946" s="4317"/>
      <c r="CJ946" s="4317"/>
      <c r="CK946" s="4317"/>
      <c r="CL946" s="4317"/>
      <c r="CM946" s="4317"/>
      <c r="CN946" s="4317"/>
      <c r="CO946" s="4317"/>
      <c r="CP946" s="4317"/>
      <c r="CQ946" s="4317"/>
      <c r="CR946" s="4317"/>
      <c r="CS946" s="4317"/>
      <c r="CT946" s="4317"/>
      <c r="CU946" s="4317"/>
      <c r="CV946" s="4317"/>
      <c r="CW946" s="4317"/>
      <c r="CX946" s="4317"/>
      <c r="CY946" s="4317"/>
      <c r="CZ946" s="4317"/>
      <c r="DA946" s="4317"/>
      <c r="DB946" s="4317"/>
      <c r="DC946" s="4317"/>
      <c r="DD946" s="4317"/>
      <c r="DE946" s="4317"/>
      <c r="DF946" s="4317"/>
      <c r="DG946" s="4317"/>
      <c r="DH946" s="4317"/>
      <c r="DI946" s="4317"/>
      <c r="DJ946" s="4317"/>
      <c r="DK946" s="4317"/>
      <c r="DL946" s="4317"/>
      <c r="DM946" s="4317"/>
      <c r="DN946" s="4317"/>
      <c r="DO946" s="4317"/>
      <c r="DP946" s="4317"/>
      <c r="DQ946" s="4317"/>
      <c r="DR946" s="4317"/>
      <c r="DS946" s="4317"/>
    </row>
    <row r="947" s="491" customFormat="1" ht="30.75" customHeight="1" spans="1:123">
      <c r="A947" s="4786"/>
      <c r="B947" s="4787"/>
      <c r="C947" s="4788"/>
      <c r="D947" s="4789"/>
      <c r="E947" s="4789"/>
      <c r="F947" s="4789"/>
      <c r="G947" s="4789"/>
      <c r="H947" s="4789"/>
      <c r="I947" s="4789"/>
      <c r="J947" s="4789"/>
      <c r="K947" s="4787"/>
      <c r="L947" s="4806"/>
      <c r="M947" s="4807"/>
      <c r="N947" s="4808"/>
      <c r="O947" s="4809"/>
      <c r="P947" s="4810"/>
      <c r="Q947" s="4810"/>
      <c r="R947" s="4810"/>
      <c r="S947" s="4810"/>
      <c r="T947" s="4810"/>
      <c r="U947" s="4810"/>
      <c r="V947" s="4810"/>
      <c r="W947" s="4810"/>
      <c r="X947" s="4810"/>
      <c r="Y947" s="4810"/>
      <c r="Z947" s="4810"/>
      <c r="AA947" s="4810"/>
      <c r="AB947" s="4810"/>
      <c r="AC947" s="4810"/>
      <c r="AD947" s="4810" t="s">
        <v>5692</v>
      </c>
      <c r="AE947" s="4810"/>
      <c r="AF947" s="4810"/>
      <c r="AG947" s="4810"/>
      <c r="AH947" s="4810"/>
      <c r="AI947" s="4810" t="s">
        <v>5693</v>
      </c>
      <c r="AJ947" s="4810"/>
      <c r="AK947" s="4810"/>
      <c r="AL947" s="4810"/>
      <c r="AM947" s="4810"/>
      <c r="AN947" s="4810"/>
      <c r="AO947" s="4810"/>
      <c r="AP947" s="4810"/>
      <c r="AQ947" s="4810"/>
      <c r="AR947" s="4810"/>
      <c r="AS947" s="4810" t="s">
        <v>5694</v>
      </c>
      <c r="AT947" s="4810"/>
      <c r="AU947" s="4810"/>
      <c r="AV947" s="4810"/>
      <c r="AW947" s="4810"/>
      <c r="AX947" s="4810"/>
      <c r="AY947" s="4810"/>
      <c r="AZ947" s="4810"/>
      <c r="BA947" s="4810"/>
      <c r="BB947" s="4811"/>
      <c r="BC947" s="4317"/>
      <c r="BD947" s="4317"/>
      <c r="BE947" s="4317"/>
      <c r="BF947" s="4317"/>
      <c r="BG947" s="4317"/>
      <c r="BH947" s="4317"/>
      <c r="BI947" s="4317"/>
      <c r="BJ947" s="4317"/>
      <c r="BK947" s="4317"/>
      <c r="BL947" s="4317"/>
      <c r="BM947" s="4317"/>
      <c r="BN947" s="4317"/>
      <c r="BO947" s="4317"/>
      <c r="BP947" s="4317"/>
      <c r="BQ947" s="4317"/>
      <c r="BR947" s="4317"/>
      <c r="BS947" s="4317"/>
      <c r="BT947" s="4317"/>
      <c r="BU947" s="4317"/>
      <c r="BV947" s="4317"/>
      <c r="BW947" s="4317"/>
      <c r="BX947" s="4317"/>
      <c r="BY947" s="4317"/>
      <c r="BZ947" s="4317"/>
      <c r="CA947" s="4317"/>
      <c r="CB947" s="4317"/>
      <c r="CC947" s="4317"/>
      <c r="CD947" s="4317"/>
      <c r="CE947" s="4317"/>
      <c r="CF947" s="4317"/>
      <c r="CG947" s="4317"/>
      <c r="CH947" s="4317"/>
      <c r="CI947" s="4317"/>
      <c r="CJ947" s="4317"/>
      <c r="CK947" s="4317"/>
      <c r="CL947" s="4317"/>
      <c r="CM947" s="4317"/>
      <c r="CN947" s="4317"/>
      <c r="CO947" s="4317"/>
      <c r="CP947" s="4317"/>
      <c r="CQ947" s="4317"/>
      <c r="CR947" s="4317"/>
      <c r="CS947" s="4317"/>
      <c r="CT947" s="4317"/>
      <c r="CU947" s="4317"/>
      <c r="CV947" s="4317"/>
      <c r="CW947" s="4317"/>
      <c r="CX947" s="4317"/>
      <c r="CY947" s="4317"/>
      <c r="CZ947" s="4317"/>
      <c r="DA947" s="4317"/>
      <c r="DB947" s="4317"/>
      <c r="DC947" s="4317"/>
      <c r="DD947" s="4317"/>
      <c r="DE947" s="4317"/>
      <c r="DF947" s="4317"/>
      <c r="DG947" s="4317"/>
      <c r="DH947" s="4317"/>
      <c r="DI947" s="4317"/>
      <c r="DJ947" s="4317"/>
      <c r="DK947" s="4317"/>
      <c r="DL947" s="4317"/>
      <c r="DM947" s="4317"/>
      <c r="DN947" s="4317"/>
      <c r="DO947" s="4317"/>
      <c r="DP947" s="4317"/>
      <c r="DQ947" s="4317"/>
      <c r="DR947" s="4317"/>
      <c r="DS947" s="4317"/>
    </row>
    <row r="948" s="679" customFormat="1" ht="15.75" spans="1:123">
      <c r="A948" s="4812"/>
      <c r="B948" s="4813">
        <v>1</v>
      </c>
      <c r="C948" s="4814"/>
      <c r="D948" s="4814"/>
      <c r="E948" s="4814"/>
      <c r="F948" s="4814"/>
      <c r="G948" s="4814"/>
      <c r="H948" s="4814"/>
      <c r="I948" s="4814"/>
      <c r="J948" s="4814"/>
      <c r="K948" s="4814"/>
      <c r="L948" s="4815">
        <v>2</v>
      </c>
      <c r="M948" s="4815"/>
      <c r="N948" s="4815"/>
      <c r="O948" s="4814">
        <v>3</v>
      </c>
      <c r="P948" s="4814"/>
      <c r="Q948" s="4814"/>
      <c r="R948" s="4814"/>
      <c r="S948" s="4814"/>
      <c r="T948" s="4814">
        <v>4</v>
      </c>
      <c r="U948" s="4814"/>
      <c r="V948" s="4814"/>
      <c r="W948" s="4814"/>
      <c r="X948" s="4814"/>
      <c r="Y948" s="4814">
        <v>5</v>
      </c>
      <c r="Z948" s="4814"/>
      <c r="AA948" s="4814"/>
      <c r="AB948" s="4814"/>
      <c r="AC948" s="4814"/>
      <c r="AD948" s="4814">
        <v>6</v>
      </c>
      <c r="AE948" s="4814"/>
      <c r="AF948" s="4814"/>
      <c r="AG948" s="4814"/>
      <c r="AH948" s="4814"/>
      <c r="AI948" s="4814">
        <v>7</v>
      </c>
      <c r="AJ948" s="4814"/>
      <c r="AK948" s="4814"/>
      <c r="AL948" s="4814"/>
      <c r="AM948" s="4814"/>
      <c r="AN948" s="4814">
        <v>8</v>
      </c>
      <c r="AO948" s="4814"/>
      <c r="AP948" s="4814"/>
      <c r="AQ948" s="4814"/>
      <c r="AR948" s="4814"/>
      <c r="AS948" s="4814">
        <v>9</v>
      </c>
      <c r="AT948" s="4814"/>
      <c r="AU948" s="4814"/>
      <c r="AV948" s="4814"/>
      <c r="AW948" s="4814"/>
      <c r="AX948" s="4814">
        <v>10</v>
      </c>
      <c r="AY948" s="4814"/>
      <c r="AZ948" s="4814"/>
      <c r="BA948" s="4814"/>
      <c r="BB948" s="4814"/>
      <c r="BC948" s="4317"/>
      <c r="BD948" s="4317"/>
      <c r="BE948" s="4317"/>
      <c r="BF948" s="4317"/>
      <c r="BG948" s="4317"/>
      <c r="BH948" s="4317"/>
      <c r="BI948" s="4317"/>
      <c r="BJ948" s="4317"/>
      <c r="BK948" s="4317"/>
      <c r="BL948" s="4317"/>
      <c r="BM948" s="4317"/>
      <c r="BN948" s="4317"/>
      <c r="BO948" s="4317"/>
      <c r="BP948" s="4317"/>
      <c r="BQ948" s="4317"/>
      <c r="BR948" s="4317"/>
      <c r="BS948" s="4317"/>
      <c r="BT948" s="4317"/>
      <c r="BU948" s="4317"/>
      <c r="BV948" s="4317"/>
      <c r="BW948" s="4317"/>
      <c r="BX948" s="4317"/>
      <c r="BY948" s="4317"/>
      <c r="BZ948" s="4317"/>
      <c r="CA948" s="4317"/>
      <c r="CB948" s="4317"/>
      <c r="CC948" s="4317"/>
      <c r="CD948" s="4317"/>
      <c r="CE948" s="4317"/>
      <c r="CF948" s="4317"/>
      <c r="CG948" s="4317"/>
      <c r="CH948" s="4317"/>
      <c r="CI948" s="4317"/>
      <c r="CJ948" s="4317"/>
      <c r="CK948" s="4317"/>
      <c r="CL948" s="4317"/>
      <c r="CM948" s="4317"/>
      <c r="CN948" s="4317"/>
      <c r="CO948" s="4317"/>
      <c r="CP948" s="4317"/>
      <c r="CQ948" s="4317"/>
      <c r="CR948" s="4317"/>
      <c r="CS948" s="4317"/>
      <c r="CT948" s="4317"/>
      <c r="CU948" s="4317"/>
      <c r="CV948" s="4317"/>
      <c r="CW948" s="4317"/>
      <c r="CX948" s="4317"/>
      <c r="CY948" s="4317"/>
      <c r="CZ948" s="4317"/>
      <c r="DA948" s="4317"/>
      <c r="DB948" s="4317"/>
      <c r="DC948" s="4317"/>
      <c r="DD948" s="4317"/>
      <c r="DE948" s="4317"/>
      <c r="DF948" s="4317"/>
      <c r="DG948" s="4317"/>
      <c r="DH948" s="4317"/>
      <c r="DI948" s="4317"/>
      <c r="DJ948" s="4317"/>
      <c r="DK948" s="4317"/>
      <c r="DL948" s="4317"/>
      <c r="DM948" s="4317"/>
      <c r="DN948" s="4317"/>
      <c r="DO948" s="4317"/>
      <c r="DP948" s="4317"/>
      <c r="DQ948" s="4317"/>
      <c r="DR948" s="4317"/>
      <c r="DS948" s="4317"/>
    </row>
    <row r="949" s="4138" customFormat="1" ht="21" customHeight="1" spans="1:123">
      <c r="A949" s="4816" t="s">
        <v>3953</v>
      </c>
      <c r="B949" s="4817" t="str">
        <f ca="1">"Stanje na dan 31/12/"&amp;PoslGod-2&amp;".godine"</f>
        <v>Stanje na dan 31/12/2023.godine</v>
      </c>
      <c r="C949" s="4818"/>
      <c r="D949" s="4818"/>
      <c r="E949" s="4818"/>
      <c r="F949" s="4818"/>
      <c r="G949" s="4818"/>
      <c r="H949" s="4818"/>
      <c r="I949" s="4818"/>
      <c r="J949" s="4818"/>
      <c r="K949" s="4819"/>
      <c r="L949" s="4820">
        <v>9</v>
      </c>
      <c r="M949" s="4821">
        <v>0</v>
      </c>
      <c r="N949" s="4821">
        <v>1</v>
      </c>
      <c r="O949" s="4822">
        <f>Prethodna_2024!C222</f>
        <v>350000</v>
      </c>
      <c r="P949" s="4822"/>
      <c r="Q949" s="4822"/>
      <c r="R949" s="4822"/>
      <c r="S949" s="4822"/>
      <c r="T949" s="4822"/>
      <c r="U949" s="4822"/>
      <c r="V949" s="4822"/>
      <c r="W949" s="4822"/>
      <c r="X949" s="4822"/>
      <c r="Y949" s="4823">
        <f>Prethodna_2024!C229</f>
        <v>18461</v>
      </c>
      <c r="Z949" s="4824"/>
      <c r="AA949" s="4824"/>
      <c r="AB949" s="4824"/>
      <c r="AC949" s="4824"/>
      <c r="AD949" s="4822">
        <f>Prethodna_2024!C233</f>
        <v>0</v>
      </c>
      <c r="AE949" s="4822"/>
      <c r="AF949" s="4822"/>
      <c r="AG949" s="4822"/>
      <c r="AH949" s="4822"/>
      <c r="AI949" s="4822">
        <f>Prethodna_2024!C234</f>
        <v>0</v>
      </c>
      <c r="AJ949" s="4822"/>
      <c r="AK949" s="4822"/>
      <c r="AL949" s="4822"/>
      <c r="AM949" s="4822"/>
      <c r="AN949" s="4822">
        <f>Prethodna_2024!C235</f>
        <v>0</v>
      </c>
      <c r="AO949" s="4822"/>
      <c r="AP949" s="4822"/>
      <c r="AQ949" s="4822"/>
      <c r="AR949" s="4822"/>
      <c r="AS949" s="4822">
        <f>Prethodna_2024!C236-Prethodna_2024!C239</f>
        <v>0</v>
      </c>
      <c r="AT949" s="4822"/>
      <c r="AU949" s="4822"/>
      <c r="AV949" s="4822"/>
      <c r="AW949" s="4822"/>
      <c r="AX949" s="4822">
        <f>Prethodna_2024!C242</f>
        <v>368461</v>
      </c>
      <c r="AY949" s="4822"/>
      <c r="AZ949" s="4822"/>
      <c r="BA949" s="4822"/>
      <c r="BB949" s="4822"/>
      <c r="BC949" s="4295"/>
      <c r="BD949" s="4295"/>
      <c r="BE949" s="4295"/>
      <c r="BF949" s="4295"/>
      <c r="BG949" s="4295"/>
      <c r="BH949" s="4295"/>
      <c r="BI949" s="4295"/>
      <c r="BJ949" s="4295"/>
      <c r="BK949" s="4295"/>
      <c r="BL949" s="4295"/>
      <c r="BM949" s="4295"/>
      <c r="BN949" s="4295"/>
      <c r="BO949" s="4295"/>
      <c r="BP949" s="4295"/>
      <c r="BQ949" s="4295"/>
      <c r="BR949" s="4295"/>
      <c r="BS949" s="4295"/>
      <c r="BT949" s="4295"/>
      <c r="BU949" s="4295"/>
      <c r="BV949" s="4295"/>
      <c r="BW949" s="4295"/>
      <c r="BX949" s="4295"/>
      <c r="BY949" s="4295"/>
      <c r="BZ949" s="4295"/>
      <c r="CA949" s="4295"/>
      <c r="CB949" s="4295"/>
      <c r="CC949" s="4295"/>
      <c r="CD949" s="4295"/>
      <c r="CE949" s="4295"/>
      <c r="CF949" s="4295"/>
      <c r="CG949" s="4295"/>
      <c r="CH949" s="4295"/>
      <c r="CI949" s="4295"/>
      <c r="CJ949" s="4295"/>
      <c r="CK949" s="4295"/>
      <c r="CL949" s="4295"/>
      <c r="CM949" s="4295"/>
      <c r="CN949" s="4295"/>
      <c r="CO949" s="4295"/>
      <c r="CP949" s="4295"/>
      <c r="CQ949" s="4295"/>
      <c r="CR949" s="4295"/>
      <c r="CS949" s="4295"/>
      <c r="CT949" s="4295"/>
      <c r="CU949" s="4295"/>
      <c r="CV949" s="4295"/>
      <c r="CW949" s="4295"/>
      <c r="CX949" s="4295"/>
      <c r="CY949" s="4295"/>
      <c r="CZ949" s="4295"/>
      <c r="DA949" s="4295"/>
      <c r="DB949" s="4295"/>
      <c r="DC949" s="4295"/>
      <c r="DD949" s="4295"/>
      <c r="DE949" s="4295"/>
      <c r="DF949" s="4295"/>
      <c r="DG949" s="4295"/>
      <c r="DH949" s="4295"/>
      <c r="DI949" s="4295"/>
      <c r="DJ949" s="4295"/>
      <c r="DK949" s="4295"/>
      <c r="DL949" s="4295"/>
      <c r="DM949" s="4295"/>
      <c r="DN949" s="4295"/>
      <c r="DO949" s="4295"/>
      <c r="DP949" s="4295"/>
      <c r="DQ949" s="4295"/>
      <c r="DR949" s="4295"/>
      <c r="DS949" s="4295"/>
    </row>
    <row r="950" s="4138" customFormat="1" ht="18" customHeight="1" spans="1:123">
      <c r="A950" s="4825" t="s">
        <v>3891</v>
      </c>
      <c r="B950" s="4826" t="s">
        <v>5695</v>
      </c>
      <c r="C950" s="4827"/>
      <c r="D950" s="4827"/>
      <c r="E950" s="4827"/>
      <c r="F950" s="4827"/>
      <c r="G950" s="4827"/>
      <c r="H950" s="4827"/>
      <c r="I950" s="4827"/>
      <c r="J950" s="4827"/>
      <c r="K950" s="4828"/>
      <c r="L950" s="4829">
        <v>9</v>
      </c>
      <c r="M950" s="4830">
        <v>0</v>
      </c>
      <c r="N950" s="4830">
        <v>2</v>
      </c>
      <c r="O950" s="4831"/>
      <c r="P950" s="4831"/>
      <c r="Q950" s="4831"/>
      <c r="R950" s="4831"/>
      <c r="S950" s="4831"/>
      <c r="T950" s="4831"/>
      <c r="U950" s="4831"/>
      <c r="V950" s="4831"/>
      <c r="W950" s="4831"/>
      <c r="X950" s="4831"/>
      <c r="Y950" s="4831"/>
      <c r="Z950" s="4831"/>
      <c r="AA950" s="4831"/>
      <c r="AB950" s="4831"/>
      <c r="AC950" s="4831"/>
      <c r="AD950" s="4831"/>
      <c r="AE950" s="4831"/>
      <c r="AF950" s="4831"/>
      <c r="AG950" s="4831"/>
      <c r="AH950" s="4831"/>
      <c r="AI950" s="4831"/>
      <c r="AJ950" s="4831"/>
      <c r="AK950" s="4831"/>
      <c r="AL950" s="4831"/>
      <c r="AM950" s="4831"/>
      <c r="AN950" s="4831"/>
      <c r="AO950" s="4831"/>
      <c r="AP950" s="4831"/>
      <c r="AQ950" s="4831"/>
      <c r="AR950" s="4831"/>
      <c r="AS950" s="4831"/>
      <c r="AT950" s="4831"/>
      <c r="AU950" s="4831"/>
      <c r="AV950" s="4831"/>
      <c r="AW950" s="4831"/>
      <c r="AX950" s="4832">
        <f>SUM(O950:AW950)</f>
        <v>0</v>
      </c>
      <c r="AY950" s="4832"/>
      <c r="AZ950" s="4832"/>
      <c r="BA950" s="4832"/>
      <c r="BB950" s="4832"/>
      <c r="BC950" s="4295"/>
      <c r="BD950" s="4295"/>
      <c r="BE950" s="4295"/>
      <c r="BF950" s="4295"/>
      <c r="BG950" s="4295"/>
      <c r="BH950" s="4295"/>
      <c r="BI950" s="4295"/>
      <c r="BJ950" s="4295"/>
      <c r="BK950" s="4295"/>
      <c r="BL950" s="4295"/>
      <c r="BM950" s="4295"/>
      <c r="BN950" s="4295"/>
      <c r="BO950" s="4295"/>
      <c r="BP950" s="4295"/>
      <c r="BQ950" s="4295"/>
      <c r="BR950" s="4295"/>
      <c r="BS950" s="4295"/>
      <c r="BT950" s="4295"/>
      <c r="BU950" s="4295"/>
      <c r="BV950" s="4295"/>
      <c r="BW950" s="4295"/>
      <c r="BX950" s="4295"/>
      <c r="BY950" s="4295"/>
      <c r="BZ950" s="4295"/>
      <c r="CA950" s="4295"/>
      <c r="CB950" s="4295"/>
      <c r="CC950" s="4295"/>
      <c r="CD950" s="4295"/>
      <c r="CE950" s="4295"/>
      <c r="CF950" s="4295"/>
      <c r="CG950" s="4295"/>
      <c r="CH950" s="4295"/>
      <c r="CI950" s="4295"/>
      <c r="CJ950" s="4295"/>
      <c r="CK950" s="4295"/>
      <c r="CL950" s="4295"/>
      <c r="CM950" s="4295"/>
      <c r="CN950" s="4295"/>
      <c r="CO950" s="4295"/>
      <c r="CP950" s="4295"/>
      <c r="CQ950" s="4295"/>
      <c r="CR950" s="4295"/>
      <c r="CS950" s="4295"/>
      <c r="CT950" s="4295"/>
      <c r="CU950" s="4295"/>
      <c r="CV950" s="4295"/>
      <c r="CW950" s="4295"/>
      <c r="CX950" s="4295"/>
      <c r="CY950" s="4295"/>
      <c r="CZ950" s="4295"/>
      <c r="DA950" s="4295"/>
      <c r="DB950" s="4295"/>
      <c r="DC950" s="4295"/>
      <c r="DD950" s="4295"/>
      <c r="DE950" s="4295"/>
      <c r="DF950" s="4295"/>
      <c r="DG950" s="4295"/>
      <c r="DH950" s="4295"/>
      <c r="DI950" s="4295"/>
      <c r="DJ950" s="4295"/>
      <c r="DK950" s="4295"/>
      <c r="DL950" s="4295"/>
      <c r="DM950" s="4295"/>
      <c r="DN950" s="4295"/>
      <c r="DO950" s="4295"/>
      <c r="DP950" s="4295"/>
      <c r="DQ950" s="4295"/>
      <c r="DR950" s="4295"/>
      <c r="DS950" s="4295"/>
    </row>
    <row r="951" s="4138" customFormat="1" ht="15.75" customHeight="1" spans="1:123">
      <c r="A951" s="4825" t="s">
        <v>3902</v>
      </c>
      <c r="B951" s="4826" t="s">
        <v>5696</v>
      </c>
      <c r="C951" s="4827"/>
      <c r="D951" s="4827"/>
      <c r="E951" s="4827"/>
      <c r="F951" s="4827"/>
      <c r="G951" s="4827"/>
      <c r="H951" s="4827"/>
      <c r="I951" s="4827"/>
      <c r="J951" s="4827"/>
      <c r="K951" s="4828"/>
      <c r="L951" s="4829">
        <v>9</v>
      </c>
      <c r="M951" s="4830">
        <v>0</v>
      </c>
      <c r="N951" s="4830">
        <v>3</v>
      </c>
      <c r="O951" s="4831"/>
      <c r="P951" s="4831"/>
      <c r="Q951" s="4831"/>
      <c r="R951" s="4831"/>
      <c r="S951" s="4831"/>
      <c r="T951" s="4831"/>
      <c r="U951" s="4831"/>
      <c r="V951" s="4831"/>
      <c r="W951" s="4831"/>
      <c r="X951" s="4831"/>
      <c r="Y951" s="4831"/>
      <c r="Z951" s="4831"/>
      <c r="AA951" s="4831"/>
      <c r="AB951" s="4831"/>
      <c r="AC951" s="4831"/>
      <c r="AD951" s="4831"/>
      <c r="AE951" s="4831"/>
      <c r="AF951" s="4831"/>
      <c r="AG951" s="4831"/>
      <c r="AH951" s="4831"/>
      <c r="AI951" s="4831"/>
      <c r="AJ951" s="4831"/>
      <c r="AK951" s="4831"/>
      <c r="AL951" s="4831"/>
      <c r="AM951" s="4831"/>
      <c r="AN951" s="4831"/>
      <c r="AO951" s="4831"/>
      <c r="AP951" s="4831"/>
      <c r="AQ951" s="4831"/>
      <c r="AR951" s="4831"/>
      <c r="AS951" s="4831"/>
      <c r="AT951" s="4831"/>
      <c r="AU951" s="4831"/>
      <c r="AV951" s="4831"/>
      <c r="AW951" s="4831"/>
      <c r="AX951" s="4832">
        <f>SUM(O951:AW951)</f>
        <v>0</v>
      </c>
      <c r="AY951" s="4832"/>
      <c r="AZ951" s="4832"/>
      <c r="BA951" s="4832"/>
      <c r="BB951" s="4832"/>
      <c r="BC951" s="4295"/>
      <c r="BD951" s="4295"/>
      <c r="BE951" s="4295"/>
      <c r="BF951" s="4295"/>
      <c r="BG951" s="4295"/>
      <c r="BH951" s="4295"/>
      <c r="BI951" s="4295"/>
      <c r="BJ951" s="4295"/>
      <c r="BK951" s="4295"/>
      <c r="BL951" s="4295"/>
      <c r="BM951" s="4295"/>
      <c r="BN951" s="4295"/>
      <c r="BO951" s="4295"/>
      <c r="BP951" s="4295"/>
      <c r="BQ951" s="4295"/>
      <c r="BR951" s="4295"/>
      <c r="BS951" s="4295"/>
      <c r="BT951" s="4295"/>
      <c r="BU951" s="4295"/>
      <c r="BV951" s="4295"/>
      <c r="BW951" s="4295"/>
      <c r="BX951" s="4295"/>
      <c r="BY951" s="4295"/>
      <c r="BZ951" s="4295"/>
      <c r="CA951" s="4295"/>
      <c r="CB951" s="4295"/>
      <c r="CC951" s="4295"/>
      <c r="CD951" s="4295"/>
      <c r="CE951" s="4295"/>
      <c r="CF951" s="4295"/>
      <c r="CG951" s="4295"/>
      <c r="CH951" s="4295"/>
      <c r="CI951" s="4295"/>
      <c r="CJ951" s="4295"/>
      <c r="CK951" s="4295"/>
      <c r="CL951" s="4295"/>
      <c r="CM951" s="4295"/>
      <c r="CN951" s="4295"/>
      <c r="CO951" s="4295"/>
      <c r="CP951" s="4295"/>
      <c r="CQ951" s="4295"/>
      <c r="CR951" s="4295"/>
      <c r="CS951" s="4295"/>
      <c r="CT951" s="4295"/>
      <c r="CU951" s="4295"/>
      <c r="CV951" s="4295"/>
      <c r="CW951" s="4295"/>
      <c r="CX951" s="4295"/>
      <c r="CY951" s="4295"/>
      <c r="CZ951" s="4295"/>
      <c r="DA951" s="4295"/>
      <c r="DB951" s="4295"/>
      <c r="DC951" s="4295"/>
      <c r="DD951" s="4295"/>
      <c r="DE951" s="4295"/>
      <c r="DF951" s="4295"/>
      <c r="DG951" s="4295"/>
      <c r="DH951" s="4295"/>
      <c r="DI951" s="4295"/>
      <c r="DJ951" s="4295"/>
      <c r="DK951" s="4295"/>
      <c r="DL951" s="4295"/>
      <c r="DM951" s="4295"/>
      <c r="DN951" s="4295"/>
      <c r="DO951" s="4295"/>
      <c r="DP951" s="4295"/>
      <c r="DQ951" s="4295"/>
      <c r="DR951" s="4295"/>
      <c r="DS951" s="4295"/>
    </row>
    <row r="952" s="4139" customFormat="1" ht="34.5" customHeight="1" spans="1:123">
      <c r="A952" s="4833" t="s">
        <v>3905</v>
      </c>
      <c r="B952" s="4834" t="str">
        <f ca="1">"Ponovno iskazano stanje na početku perioda 01.01."&amp;PoslGod-1&amp;".god. (901+902+903)"</f>
        <v>Ponovno iskazano stanje na početku perioda 01.01.2024.god. (901+902+903)</v>
      </c>
      <c r="C952" s="4835"/>
      <c r="D952" s="4835"/>
      <c r="E952" s="4835"/>
      <c r="F952" s="4835"/>
      <c r="G952" s="4835"/>
      <c r="H952" s="4835"/>
      <c r="I952" s="4835"/>
      <c r="J952" s="4835"/>
      <c r="K952" s="4836"/>
      <c r="L952" s="4837">
        <v>9</v>
      </c>
      <c r="M952" s="4838">
        <v>0</v>
      </c>
      <c r="N952" s="4838">
        <v>4</v>
      </c>
      <c r="O952" s="4839">
        <f>O949+O950+O951</f>
        <v>350000</v>
      </c>
      <c r="P952" s="4839"/>
      <c r="Q952" s="4839"/>
      <c r="R952" s="4839"/>
      <c r="S952" s="4839"/>
      <c r="T952" s="4839">
        <f>T949+T950+T951</f>
        <v>0</v>
      </c>
      <c r="U952" s="4839"/>
      <c r="V952" s="4839"/>
      <c r="W952" s="4839"/>
      <c r="X952" s="4839"/>
      <c r="Y952" s="4839">
        <f>Y949+Y950+Y951</f>
        <v>18461</v>
      </c>
      <c r="Z952" s="4839"/>
      <c r="AA952" s="4839"/>
      <c r="AB952" s="4839"/>
      <c r="AC952" s="4839"/>
      <c r="AD952" s="4839">
        <f>AD949+AD950+AD951</f>
        <v>0</v>
      </c>
      <c r="AE952" s="4839"/>
      <c r="AF952" s="4839"/>
      <c r="AG952" s="4839"/>
      <c r="AH952" s="4839"/>
      <c r="AI952" s="4839">
        <f>AI949+AI950+AI951</f>
        <v>0</v>
      </c>
      <c r="AJ952" s="4839"/>
      <c r="AK952" s="4839"/>
      <c r="AL952" s="4839"/>
      <c r="AM952" s="4839"/>
      <c r="AN952" s="4839">
        <f>AN949+AN950+AN951</f>
        <v>0</v>
      </c>
      <c r="AO952" s="4839"/>
      <c r="AP952" s="4839"/>
      <c r="AQ952" s="4839"/>
      <c r="AR952" s="4839"/>
      <c r="AS952" s="4839">
        <f>AS949+AS950+AS951</f>
        <v>0</v>
      </c>
      <c r="AT952" s="4839"/>
      <c r="AU952" s="4839"/>
      <c r="AV952" s="4839"/>
      <c r="AW952" s="4839"/>
      <c r="AX952" s="4839">
        <f>AX949+AX950+AX951</f>
        <v>368461</v>
      </c>
      <c r="AY952" s="4839"/>
      <c r="AZ952" s="4839"/>
      <c r="BA952" s="4839"/>
      <c r="BB952" s="4839"/>
      <c r="BC952" s="4295"/>
      <c r="BD952" s="4295"/>
      <c r="BE952" s="4295"/>
      <c r="BF952" s="4295"/>
      <c r="BG952" s="4295"/>
      <c r="BH952" s="4295"/>
      <c r="BI952" s="4295"/>
      <c r="BJ952" s="4295"/>
      <c r="BK952" s="4337"/>
      <c r="BL952" s="4337"/>
      <c r="BM952" s="4337"/>
      <c r="BN952" s="4337"/>
      <c r="BO952" s="4337"/>
      <c r="BP952" s="4337"/>
      <c r="BQ952" s="4337"/>
      <c r="BR952" s="4337"/>
      <c r="BS952" s="4337"/>
      <c r="BT952" s="4337"/>
      <c r="BU952" s="4337"/>
      <c r="BV952" s="4337"/>
      <c r="BW952" s="4337"/>
      <c r="BX952" s="4337"/>
      <c r="BY952" s="4337"/>
      <c r="BZ952" s="4337"/>
      <c r="CA952" s="4337"/>
      <c r="CB952" s="4337"/>
      <c r="CC952" s="4337"/>
      <c r="CD952" s="4337"/>
      <c r="CE952" s="4337"/>
      <c r="CF952" s="4337"/>
      <c r="CG952" s="4337"/>
      <c r="CH952" s="4337"/>
      <c r="CI952" s="4337"/>
      <c r="CJ952" s="4337"/>
      <c r="CK952" s="4337"/>
      <c r="CL952" s="4337"/>
      <c r="CM952" s="4337"/>
      <c r="CN952" s="4337"/>
      <c r="CO952" s="4337"/>
      <c r="CP952" s="4337"/>
      <c r="CQ952" s="4337"/>
      <c r="CR952" s="4337"/>
      <c r="CS952" s="4337"/>
      <c r="CT952" s="4337"/>
      <c r="CU952" s="4337"/>
      <c r="CV952" s="4337"/>
      <c r="CW952" s="4337"/>
      <c r="CX952" s="4337"/>
      <c r="CY952" s="4337"/>
      <c r="CZ952" s="4337"/>
      <c r="DA952" s="4337"/>
      <c r="DB952" s="4337"/>
      <c r="DC952" s="4337"/>
      <c r="DD952" s="4337"/>
      <c r="DE952" s="4337"/>
      <c r="DF952" s="4337"/>
      <c r="DG952" s="4337"/>
      <c r="DH952" s="4337"/>
      <c r="DI952" s="4337"/>
      <c r="DJ952" s="4337"/>
      <c r="DK952" s="4337"/>
      <c r="DL952" s="4337"/>
      <c r="DM952" s="4337"/>
      <c r="DN952" s="4337"/>
      <c r="DO952" s="4337"/>
      <c r="DP952" s="4337"/>
      <c r="DQ952" s="4337"/>
      <c r="DR952" s="4337"/>
      <c r="DS952" s="4337"/>
    </row>
    <row r="953" s="4138" customFormat="1" ht="15.75" customHeight="1" spans="1:123">
      <c r="A953" s="4825" t="s">
        <v>3915</v>
      </c>
      <c r="B953" s="4826" t="s">
        <v>5697</v>
      </c>
      <c r="C953" s="4827"/>
      <c r="D953" s="4827"/>
      <c r="E953" s="4827"/>
      <c r="F953" s="4827"/>
      <c r="G953" s="4827"/>
      <c r="H953" s="4827"/>
      <c r="I953" s="4827"/>
      <c r="J953" s="4827"/>
      <c r="K953" s="4828"/>
      <c r="L953" s="4829">
        <v>9</v>
      </c>
      <c r="M953" s="4830">
        <v>0</v>
      </c>
      <c r="N953" s="4830">
        <v>5</v>
      </c>
      <c r="O953" s="4840"/>
      <c r="P953" s="4840"/>
      <c r="Q953" s="4840"/>
      <c r="R953" s="4840"/>
      <c r="S953" s="4840"/>
      <c r="T953" s="4840"/>
      <c r="U953" s="4840"/>
      <c r="V953" s="4840"/>
      <c r="W953" s="4840"/>
      <c r="X953" s="4840"/>
      <c r="Y953" s="4840"/>
      <c r="Z953" s="4840"/>
      <c r="AA953" s="4840"/>
      <c r="AB953" s="4840"/>
      <c r="AC953" s="4840"/>
      <c r="AD953" s="4840"/>
      <c r="AE953" s="4840"/>
      <c r="AF953" s="4840"/>
      <c r="AG953" s="4840"/>
      <c r="AH953" s="4840"/>
      <c r="AI953" s="4840"/>
      <c r="AJ953" s="4840"/>
      <c r="AK953" s="4840"/>
      <c r="AL953" s="4840"/>
      <c r="AM953" s="4840"/>
      <c r="AN953" s="4840"/>
      <c r="AO953" s="4840"/>
      <c r="AP953" s="4840"/>
      <c r="AQ953" s="4840"/>
      <c r="AR953" s="4840"/>
      <c r="AS953" s="4840">
        <f>B_Uspjeha!AP153-B_Uspjeha!AP154</f>
        <v>91307</v>
      </c>
      <c r="AT953" s="4840"/>
      <c r="AU953" s="4840"/>
      <c r="AV953" s="4840"/>
      <c r="AW953" s="4840"/>
      <c r="AX953" s="4840">
        <f>SUM(O953:AW953)</f>
        <v>91307</v>
      </c>
      <c r="AY953" s="4840"/>
      <c r="AZ953" s="4840"/>
      <c r="BA953" s="4840"/>
      <c r="BB953" s="4840"/>
      <c r="BC953" s="4295"/>
      <c r="BD953" s="4295"/>
      <c r="BE953" s="4295"/>
      <c r="BF953" s="4295"/>
      <c r="BG953" s="4295"/>
      <c r="BH953" s="4295"/>
      <c r="BI953" s="4295"/>
      <c r="BJ953" s="4295"/>
      <c r="BK953" s="4295"/>
      <c r="BL953" s="4295"/>
      <c r="BM953" s="4295"/>
      <c r="BN953" s="4295"/>
      <c r="BO953" s="4295"/>
      <c r="BP953" s="4295"/>
      <c r="BQ953" s="4295"/>
      <c r="BR953" s="4295"/>
      <c r="BS953" s="4295"/>
      <c r="BT953" s="4295"/>
      <c r="BU953" s="4295"/>
      <c r="BV953" s="4295"/>
      <c r="BW953" s="4295"/>
      <c r="BX953" s="4295"/>
      <c r="BY953" s="4295"/>
      <c r="BZ953" s="4295"/>
      <c r="CA953" s="4295"/>
      <c r="CB953" s="4295"/>
      <c r="CC953" s="4295"/>
      <c r="CD953" s="4295"/>
      <c r="CE953" s="4295"/>
      <c r="CF953" s="4295"/>
      <c r="CG953" s="4295"/>
      <c r="CH953" s="4295"/>
      <c r="CI953" s="4295"/>
      <c r="CJ953" s="4295"/>
      <c r="CK953" s="4295"/>
      <c r="CL953" s="4295"/>
      <c r="CM953" s="4295"/>
      <c r="CN953" s="4295"/>
      <c r="CO953" s="4295"/>
      <c r="CP953" s="4295"/>
      <c r="CQ953" s="4295"/>
      <c r="CR953" s="4295"/>
      <c r="CS953" s="4295"/>
      <c r="CT953" s="4295"/>
      <c r="CU953" s="4295"/>
      <c r="CV953" s="4295"/>
      <c r="CW953" s="4295"/>
      <c r="CX953" s="4295"/>
      <c r="CY953" s="4295"/>
      <c r="CZ953" s="4295"/>
      <c r="DA953" s="4295"/>
      <c r="DB953" s="4295"/>
      <c r="DC953" s="4295"/>
      <c r="DD953" s="4295"/>
      <c r="DE953" s="4295"/>
      <c r="DF953" s="4295"/>
      <c r="DG953" s="4295"/>
      <c r="DH953" s="4295"/>
      <c r="DI953" s="4295"/>
      <c r="DJ953" s="4295"/>
      <c r="DK953" s="4295"/>
      <c r="DL953" s="4295"/>
      <c r="DM953" s="4295"/>
      <c r="DN953" s="4295"/>
      <c r="DO953" s="4295"/>
      <c r="DP953" s="4295"/>
      <c r="DQ953" s="4295"/>
      <c r="DR953" s="4295"/>
      <c r="DS953" s="4295"/>
    </row>
    <row r="954" s="4138" customFormat="1" ht="15.75" customHeight="1" spans="1:123">
      <c r="A954" s="4825" t="s">
        <v>3918</v>
      </c>
      <c r="B954" s="4826" t="s">
        <v>5698</v>
      </c>
      <c r="C954" s="4827"/>
      <c r="D954" s="4827"/>
      <c r="E954" s="4827"/>
      <c r="F954" s="4827"/>
      <c r="G954" s="4827"/>
      <c r="H954" s="4827"/>
      <c r="I954" s="4827"/>
      <c r="J954" s="4827"/>
      <c r="K954" s="4828"/>
      <c r="L954" s="4829">
        <v>9</v>
      </c>
      <c r="M954" s="4830">
        <v>0</v>
      </c>
      <c r="N954" s="4830">
        <v>6</v>
      </c>
      <c r="O954" s="4840"/>
      <c r="P954" s="4840"/>
      <c r="Q954" s="4840"/>
      <c r="R954" s="4840"/>
      <c r="S954" s="4840"/>
      <c r="T954" s="4840"/>
      <c r="U954" s="4840"/>
      <c r="V954" s="4840"/>
      <c r="W954" s="4840"/>
      <c r="X954" s="4840"/>
      <c r="Y954" s="4840"/>
      <c r="Z954" s="4840"/>
      <c r="AA954" s="4840"/>
      <c r="AB954" s="4840"/>
      <c r="AC954" s="4840"/>
      <c r="AD954" s="4840"/>
      <c r="AE954" s="4840"/>
      <c r="AF954" s="4840"/>
      <c r="AG954" s="4840"/>
      <c r="AH954" s="4840"/>
      <c r="AI954" s="4840"/>
      <c r="AJ954" s="4840"/>
      <c r="AK954" s="4840"/>
      <c r="AL954" s="4840"/>
      <c r="AM954" s="4840"/>
      <c r="AN954" s="4840"/>
      <c r="AO954" s="4840"/>
      <c r="AP954" s="4840"/>
      <c r="AQ954" s="4840"/>
      <c r="AR954" s="4840"/>
      <c r="AS954" s="4840">
        <f>AS955-AS953</f>
        <v>0</v>
      </c>
      <c r="AT954" s="4840"/>
      <c r="AU954" s="4840"/>
      <c r="AV954" s="4840"/>
      <c r="AW954" s="4840"/>
      <c r="AX954" s="4840">
        <f>SUM(O954:AW954)</f>
        <v>0</v>
      </c>
      <c r="AY954" s="4840"/>
      <c r="AZ954" s="4840"/>
      <c r="BA954" s="4840"/>
      <c r="BB954" s="4840"/>
      <c r="BC954" s="4295"/>
      <c r="BD954" s="4295"/>
      <c r="BE954" s="4295"/>
      <c r="BF954" s="4295"/>
      <c r="BG954" s="4295"/>
      <c r="BH954" s="4295"/>
      <c r="BI954" s="4295"/>
      <c r="BJ954" s="4295"/>
      <c r="BK954" s="4295"/>
      <c r="BL954" s="4295"/>
      <c r="BM954" s="4295"/>
      <c r="BN954" s="4295"/>
      <c r="BO954" s="4295"/>
      <c r="BP954" s="4295"/>
      <c r="BQ954" s="4295"/>
      <c r="BR954" s="4295"/>
      <c r="BS954" s="4295"/>
      <c r="BT954" s="4295"/>
      <c r="BU954" s="4295"/>
      <c r="BV954" s="4295"/>
      <c r="BW954" s="4295"/>
      <c r="BX954" s="4295"/>
      <c r="BY954" s="4295"/>
      <c r="BZ954" s="4295"/>
      <c r="CA954" s="4295"/>
      <c r="CB954" s="4295"/>
      <c r="CC954" s="4295"/>
      <c r="CD954" s="4295"/>
      <c r="CE954" s="4295"/>
      <c r="CF954" s="4295"/>
      <c r="CG954" s="4295"/>
      <c r="CH954" s="4295"/>
      <c r="CI954" s="4295"/>
      <c r="CJ954" s="4295"/>
      <c r="CK954" s="4295"/>
      <c r="CL954" s="4295"/>
      <c r="CM954" s="4295"/>
      <c r="CN954" s="4295"/>
      <c r="CO954" s="4295"/>
      <c r="CP954" s="4295"/>
      <c r="CQ954" s="4295"/>
      <c r="CR954" s="4295"/>
      <c r="CS954" s="4295"/>
      <c r="CT954" s="4295"/>
      <c r="CU954" s="4295"/>
      <c r="CV954" s="4295"/>
      <c r="CW954" s="4295"/>
      <c r="CX954" s="4295"/>
      <c r="CY954" s="4295"/>
      <c r="CZ954" s="4295"/>
      <c r="DA954" s="4295"/>
      <c r="DB954" s="4295"/>
      <c r="DC954" s="4295"/>
      <c r="DD954" s="4295"/>
      <c r="DE954" s="4295"/>
      <c r="DF954" s="4295"/>
      <c r="DG954" s="4295"/>
      <c r="DH954" s="4295"/>
      <c r="DI954" s="4295"/>
      <c r="DJ954" s="4295"/>
      <c r="DK954" s="4295"/>
      <c r="DL954" s="4295"/>
      <c r="DM954" s="4295"/>
      <c r="DN954" s="4295"/>
      <c r="DO954" s="4295"/>
      <c r="DP954" s="4295"/>
      <c r="DQ954" s="4295"/>
      <c r="DR954" s="4295"/>
      <c r="DS954" s="4295"/>
    </row>
    <row r="955" s="4140" customFormat="1" ht="21" customHeight="1" spans="1:123">
      <c r="A955" s="4841" t="s">
        <v>3920</v>
      </c>
      <c r="B955" s="4842" t="s">
        <v>5699</v>
      </c>
      <c r="C955" s="4843"/>
      <c r="D955" s="4843"/>
      <c r="E955" s="4843"/>
      <c r="F955" s="4843"/>
      <c r="G955" s="4843"/>
      <c r="H955" s="4843"/>
      <c r="I955" s="4843"/>
      <c r="J955" s="4843"/>
      <c r="K955" s="4844"/>
      <c r="L955" s="4845">
        <v>9</v>
      </c>
      <c r="M955" s="4846">
        <v>0</v>
      </c>
      <c r="N955" s="4846">
        <v>7</v>
      </c>
      <c r="O955" s="4847">
        <f>O953+O954</f>
        <v>0</v>
      </c>
      <c r="P955" s="4847"/>
      <c r="Q955" s="4847"/>
      <c r="R955" s="4847"/>
      <c r="S955" s="4847"/>
      <c r="T955" s="4847">
        <f>T953+T954</f>
        <v>0</v>
      </c>
      <c r="U955" s="4847"/>
      <c r="V955" s="4847"/>
      <c r="W955" s="4847"/>
      <c r="X955" s="4847"/>
      <c r="Y955" s="4847">
        <f>Y953+Y954</f>
        <v>0</v>
      </c>
      <c r="Z955" s="4847"/>
      <c r="AA955" s="4847"/>
      <c r="AB955" s="4847"/>
      <c r="AC955" s="4847"/>
      <c r="AD955" s="4847">
        <f>AD953+AD954</f>
        <v>0</v>
      </c>
      <c r="AE955" s="4847"/>
      <c r="AF955" s="4847"/>
      <c r="AG955" s="4847"/>
      <c r="AH955" s="4847"/>
      <c r="AI955" s="4847">
        <f>AI953+AI954</f>
        <v>0</v>
      </c>
      <c r="AJ955" s="4847"/>
      <c r="AK955" s="4847"/>
      <c r="AL955" s="4847"/>
      <c r="AM955" s="4847"/>
      <c r="AN955" s="4847">
        <f>AN953+AN954</f>
        <v>0</v>
      </c>
      <c r="AO955" s="4847"/>
      <c r="AP955" s="4847"/>
      <c r="AQ955" s="4847"/>
      <c r="AR955" s="4847"/>
      <c r="AS955" s="4847">
        <f>B_Uspjeha!AP174</f>
        <v>91307</v>
      </c>
      <c r="AT955" s="4847"/>
      <c r="AU955" s="4847"/>
      <c r="AV955" s="4847"/>
      <c r="AW955" s="4847"/>
      <c r="AX955" s="4847">
        <f>AX953+AX954</f>
        <v>91307</v>
      </c>
      <c r="AY955" s="4847"/>
      <c r="AZ955" s="4847"/>
      <c r="BA955" s="4847"/>
      <c r="BB955" s="4847"/>
      <c r="BC955" s="4295"/>
      <c r="BD955" s="4295"/>
      <c r="BE955" s="4295"/>
      <c r="BF955" s="4295"/>
      <c r="BG955" s="4295"/>
      <c r="BH955" s="4295"/>
      <c r="BI955" s="4295"/>
      <c r="BJ955" s="4295"/>
      <c r="BK955" s="4295"/>
      <c r="BL955" s="4295"/>
      <c r="BM955" s="4295"/>
      <c r="BN955" s="4295"/>
      <c r="BO955" s="4295"/>
      <c r="BP955" s="4295"/>
      <c r="BQ955" s="4295"/>
      <c r="BR955" s="4295"/>
      <c r="BS955" s="4295"/>
      <c r="BT955" s="4295"/>
      <c r="BU955" s="4295"/>
      <c r="BV955" s="4295"/>
      <c r="BW955" s="4295"/>
      <c r="BX955" s="4295"/>
      <c r="BY955" s="4295"/>
      <c r="BZ955" s="4295"/>
      <c r="CA955" s="4295"/>
      <c r="CB955" s="4295"/>
      <c r="CC955" s="4295"/>
      <c r="CD955" s="4295"/>
      <c r="CE955" s="4295"/>
      <c r="CF955" s="4295"/>
      <c r="CG955" s="4295"/>
      <c r="CH955" s="4295"/>
      <c r="CI955" s="4295"/>
      <c r="CJ955" s="4295"/>
      <c r="CK955" s="4295"/>
      <c r="CL955" s="4295"/>
      <c r="CM955" s="4295"/>
      <c r="CN955" s="4295"/>
      <c r="CO955" s="4295"/>
      <c r="CP955" s="4295"/>
      <c r="CQ955" s="4295"/>
      <c r="CR955" s="4295"/>
      <c r="CS955" s="4295"/>
      <c r="CT955" s="4295"/>
      <c r="CU955" s="4295"/>
      <c r="CV955" s="4295"/>
      <c r="CW955" s="4295"/>
      <c r="CX955" s="4295"/>
      <c r="CY955" s="4295"/>
      <c r="CZ955" s="4295"/>
      <c r="DA955" s="4295"/>
      <c r="DB955" s="4295"/>
      <c r="DC955" s="4295"/>
      <c r="DD955" s="4295"/>
      <c r="DE955" s="4295"/>
      <c r="DF955" s="4295"/>
      <c r="DG955" s="4295"/>
      <c r="DH955" s="4295"/>
      <c r="DI955" s="4295"/>
      <c r="DJ955" s="4295"/>
      <c r="DK955" s="4295"/>
      <c r="DL955" s="4295"/>
      <c r="DM955" s="4295"/>
      <c r="DN955" s="4295"/>
      <c r="DO955" s="4295"/>
      <c r="DP955" s="4295"/>
      <c r="DQ955" s="4295"/>
      <c r="DR955" s="4295"/>
      <c r="DS955" s="4295"/>
    </row>
    <row r="956" s="4138" customFormat="1" ht="33.75" customHeight="1" spans="1:123">
      <c r="A956" s="4825" t="s">
        <v>3923</v>
      </c>
      <c r="B956" s="4826" t="s">
        <v>5700</v>
      </c>
      <c r="C956" s="4827"/>
      <c r="D956" s="4827"/>
      <c r="E956" s="4827"/>
      <c r="F956" s="4827"/>
      <c r="G956" s="4827"/>
      <c r="H956" s="4827"/>
      <c r="I956" s="4827"/>
      <c r="J956" s="4827"/>
      <c r="K956" s="4828"/>
      <c r="L956" s="4829">
        <v>9</v>
      </c>
      <c r="M956" s="4830">
        <v>0</v>
      </c>
      <c r="N956" s="4830">
        <v>8</v>
      </c>
      <c r="O956" s="4840">
        <f>IF(O961-O952&lt;0,0,O961-O952)</f>
        <v>0</v>
      </c>
      <c r="P956" s="4840"/>
      <c r="Q956" s="4840"/>
      <c r="R956" s="4840"/>
      <c r="S956" s="4840"/>
      <c r="T956" s="4840"/>
      <c r="U956" s="4840"/>
      <c r="V956" s="4840"/>
      <c r="W956" s="4840"/>
      <c r="X956" s="4840"/>
      <c r="Y956" s="4840"/>
      <c r="Z956" s="4840"/>
      <c r="AA956" s="4840"/>
      <c r="AB956" s="4840"/>
      <c r="AC956" s="4840"/>
      <c r="AD956" s="4840"/>
      <c r="AE956" s="4840"/>
      <c r="AF956" s="4840"/>
      <c r="AG956" s="4840"/>
      <c r="AH956" s="4840"/>
      <c r="AI956" s="4840"/>
      <c r="AJ956" s="4840"/>
      <c r="AK956" s="4840"/>
      <c r="AL956" s="4840"/>
      <c r="AM956" s="4840"/>
      <c r="AN956" s="4840"/>
      <c r="AO956" s="4840"/>
      <c r="AP956" s="4840"/>
      <c r="AQ956" s="4840"/>
      <c r="AR956" s="4840"/>
      <c r="AS956" s="4840"/>
      <c r="AT956" s="4840"/>
      <c r="AU956" s="4840"/>
      <c r="AV956" s="4840"/>
      <c r="AW956" s="4840"/>
      <c r="AX956" s="4840">
        <f t="shared" ref="AX956:AX961" si="24">SUM(O956:AW956)</f>
        <v>0</v>
      </c>
      <c r="AY956" s="4840"/>
      <c r="AZ956" s="4840"/>
      <c r="BA956" s="4840"/>
      <c r="BB956" s="4840"/>
      <c r="BC956" s="4295"/>
      <c r="BD956" s="4295"/>
      <c r="BE956" s="4295"/>
      <c r="BF956" s="4295"/>
      <c r="BG956" s="4295"/>
      <c r="BH956" s="4295"/>
      <c r="BI956" s="4295"/>
      <c r="BJ956" s="4295"/>
      <c r="BK956" s="4295"/>
      <c r="BL956" s="4295"/>
      <c r="BM956" s="4295"/>
      <c r="BN956" s="4295"/>
      <c r="BO956" s="4295"/>
      <c r="BP956" s="4295"/>
      <c r="BQ956" s="4295"/>
      <c r="BR956" s="4295"/>
      <c r="BS956" s="4295"/>
      <c r="BT956" s="4295"/>
      <c r="BU956" s="4295"/>
      <c r="BV956" s="4295"/>
      <c r="BW956" s="4295"/>
      <c r="BX956" s="4295"/>
      <c r="BY956" s="4295"/>
      <c r="BZ956" s="4295"/>
      <c r="CA956" s="4295"/>
      <c r="CB956" s="4295"/>
      <c r="CC956" s="4295"/>
      <c r="CD956" s="4295"/>
      <c r="CE956" s="4295"/>
      <c r="CF956" s="4295"/>
      <c r="CG956" s="4295"/>
      <c r="CH956" s="4295"/>
      <c r="CI956" s="4295"/>
      <c r="CJ956" s="4295"/>
      <c r="CK956" s="4295"/>
      <c r="CL956" s="4295"/>
      <c r="CM956" s="4295"/>
      <c r="CN956" s="4295"/>
      <c r="CO956" s="4295"/>
      <c r="CP956" s="4295"/>
      <c r="CQ956" s="4295"/>
      <c r="CR956" s="4295"/>
      <c r="CS956" s="4295"/>
      <c r="CT956" s="4295"/>
      <c r="CU956" s="4295"/>
      <c r="CV956" s="4295"/>
      <c r="CW956" s="4295"/>
      <c r="CX956" s="4295"/>
      <c r="CY956" s="4295"/>
      <c r="CZ956" s="4295"/>
      <c r="DA956" s="4295"/>
      <c r="DB956" s="4295"/>
      <c r="DC956" s="4295"/>
      <c r="DD956" s="4295"/>
      <c r="DE956" s="4295"/>
      <c r="DF956" s="4295"/>
      <c r="DG956" s="4295"/>
      <c r="DH956" s="4295"/>
      <c r="DI956" s="4295"/>
      <c r="DJ956" s="4295"/>
      <c r="DK956" s="4295"/>
      <c r="DL956" s="4295"/>
      <c r="DM956" s="4295"/>
      <c r="DN956" s="4295"/>
      <c r="DO956" s="4295"/>
      <c r="DP956" s="4295"/>
      <c r="DQ956" s="4295"/>
      <c r="DR956" s="4295"/>
      <c r="DS956" s="4295"/>
    </row>
    <row r="957" s="4138" customFormat="1" ht="33.75" customHeight="1" spans="1:123">
      <c r="A957" s="4825" t="s">
        <v>3925</v>
      </c>
      <c r="B957" s="4826" t="s">
        <v>5701</v>
      </c>
      <c r="C957" s="4827"/>
      <c r="D957" s="4827"/>
      <c r="E957" s="4827"/>
      <c r="F957" s="4827"/>
      <c r="G957" s="4827"/>
      <c r="H957" s="4827"/>
      <c r="I957" s="4827"/>
      <c r="J957" s="4827"/>
      <c r="K957" s="4828"/>
      <c r="L957" s="4829">
        <v>9</v>
      </c>
      <c r="M957" s="4830">
        <v>0</v>
      </c>
      <c r="N957" s="4830">
        <v>9</v>
      </c>
      <c r="O957" s="4840">
        <f>IF(O952-O961&lt;0,0,O952-O961)</f>
        <v>0</v>
      </c>
      <c r="P957" s="4840"/>
      <c r="Q957" s="4840"/>
      <c r="R957" s="4840"/>
      <c r="S957" s="4840"/>
      <c r="T957" s="4840">
        <f>IF(T952-T961&lt;0,0,T952-T961)</f>
        <v>0</v>
      </c>
      <c r="U957" s="4840"/>
      <c r="V957" s="4840"/>
      <c r="W957" s="4840"/>
      <c r="X957" s="4840"/>
      <c r="Y957" s="4840"/>
      <c r="Z957" s="4840"/>
      <c r="AA957" s="4840"/>
      <c r="AB957" s="4840"/>
      <c r="AC957" s="4840"/>
      <c r="AD957" s="4840"/>
      <c r="AE957" s="4840"/>
      <c r="AF957" s="4840"/>
      <c r="AG957" s="4840"/>
      <c r="AH957" s="4840"/>
      <c r="AI957" s="4840"/>
      <c r="AJ957" s="4840"/>
      <c r="AK957" s="4840"/>
      <c r="AL957" s="4840"/>
      <c r="AM957" s="4840"/>
      <c r="AN957" s="4840"/>
      <c r="AO957" s="4840"/>
      <c r="AP957" s="4840"/>
      <c r="AQ957" s="4840"/>
      <c r="AR957" s="4840"/>
      <c r="AS957" s="4840"/>
      <c r="AT957" s="4840"/>
      <c r="AU957" s="4840"/>
      <c r="AV957" s="4840"/>
      <c r="AW957" s="4840"/>
      <c r="AX957" s="4840">
        <f t="shared" si="24"/>
        <v>0</v>
      </c>
      <c r="AY957" s="4840"/>
      <c r="AZ957" s="4840"/>
      <c r="BA957" s="4840"/>
      <c r="BB957" s="4840"/>
      <c r="BC957" s="4295"/>
      <c r="BD957" s="4295"/>
      <c r="BE957" s="4295"/>
      <c r="BF957" s="4295"/>
      <c r="BG957" s="4295"/>
      <c r="BH957" s="4295"/>
      <c r="BI957" s="4295"/>
      <c r="BJ957" s="4295"/>
      <c r="BK957" s="4295"/>
      <c r="BL957" s="4295"/>
      <c r="BM957" s="4295"/>
      <c r="BN957" s="4295"/>
      <c r="BO957" s="4295"/>
      <c r="BP957" s="4295"/>
      <c r="BQ957" s="4295"/>
      <c r="BR957" s="4295"/>
      <c r="BS957" s="4295"/>
      <c r="BT957" s="4295"/>
      <c r="BU957" s="4295"/>
      <c r="BV957" s="4295"/>
      <c r="BW957" s="4295"/>
      <c r="BX957" s="4295"/>
      <c r="BY957" s="4295"/>
      <c r="BZ957" s="4295"/>
      <c r="CA957" s="4295"/>
      <c r="CB957" s="4295"/>
      <c r="CC957" s="4295"/>
      <c r="CD957" s="4295"/>
      <c r="CE957" s="4295"/>
      <c r="CF957" s="4295"/>
      <c r="CG957" s="4295"/>
      <c r="CH957" s="4295"/>
      <c r="CI957" s="4295"/>
      <c r="CJ957" s="4295"/>
      <c r="CK957" s="4295"/>
      <c r="CL957" s="4295"/>
      <c r="CM957" s="4295"/>
      <c r="CN957" s="4295"/>
      <c r="CO957" s="4295"/>
      <c r="CP957" s="4295"/>
      <c r="CQ957" s="4295"/>
      <c r="CR957" s="4295"/>
      <c r="CS957" s="4295"/>
      <c r="CT957" s="4295"/>
      <c r="CU957" s="4295"/>
      <c r="CV957" s="4295"/>
      <c r="CW957" s="4295"/>
      <c r="CX957" s="4295"/>
      <c r="CY957" s="4295"/>
      <c r="CZ957" s="4295"/>
      <c r="DA957" s="4295"/>
      <c r="DB957" s="4295"/>
      <c r="DC957" s="4295"/>
      <c r="DD957" s="4295"/>
      <c r="DE957" s="4295"/>
      <c r="DF957" s="4295"/>
      <c r="DG957" s="4295"/>
      <c r="DH957" s="4295"/>
      <c r="DI957" s="4295"/>
      <c r="DJ957" s="4295"/>
      <c r="DK957" s="4295"/>
      <c r="DL957" s="4295"/>
      <c r="DM957" s="4295"/>
      <c r="DN957" s="4295"/>
      <c r="DO957" s="4295"/>
      <c r="DP957" s="4295"/>
      <c r="DQ957" s="4295"/>
      <c r="DR957" s="4295"/>
      <c r="DS957" s="4295"/>
    </row>
    <row r="958" s="4138" customFormat="1" ht="20.25" customHeight="1" spans="1:123">
      <c r="A958" s="4825" t="s">
        <v>3928</v>
      </c>
      <c r="B958" s="4826" t="s">
        <v>5702</v>
      </c>
      <c r="C958" s="4827"/>
      <c r="D958" s="4827"/>
      <c r="E958" s="4827"/>
      <c r="F958" s="4827"/>
      <c r="G958" s="4827"/>
      <c r="H958" s="4827"/>
      <c r="I958" s="4827"/>
      <c r="J958" s="4827"/>
      <c r="K958" s="4828"/>
      <c r="L958" s="4829">
        <v>9</v>
      </c>
      <c r="M958" s="4830">
        <v>1</v>
      </c>
      <c r="N958" s="4830">
        <v>0</v>
      </c>
      <c r="O958" s="4840"/>
      <c r="P958" s="4840"/>
      <c r="Q958" s="4840"/>
      <c r="R958" s="4840"/>
      <c r="S958" s="4840"/>
      <c r="T958" s="4840">
        <f>IF(T961-T952&lt;0,0,T961-T952)</f>
        <v>0</v>
      </c>
      <c r="U958" s="4840"/>
      <c r="V958" s="4840"/>
      <c r="W958" s="4840"/>
      <c r="X958" s="4840"/>
      <c r="Y958" s="4840"/>
      <c r="Z958" s="4840"/>
      <c r="AA958" s="4840"/>
      <c r="AB958" s="4840"/>
      <c r="AC958" s="4840"/>
      <c r="AD958" s="4840"/>
      <c r="AE958" s="4840"/>
      <c r="AF958" s="4840"/>
      <c r="AG958" s="4840"/>
      <c r="AH958" s="4840"/>
      <c r="AI958" s="4840"/>
      <c r="AJ958" s="4840"/>
      <c r="AK958" s="4840"/>
      <c r="AL958" s="4840"/>
      <c r="AM958" s="4840"/>
      <c r="AN958" s="4840"/>
      <c r="AO958" s="4840"/>
      <c r="AP958" s="4840"/>
      <c r="AQ958" s="4840"/>
      <c r="AR958" s="4840"/>
      <c r="AS958" s="4840"/>
      <c r="AT958" s="4840"/>
      <c r="AU958" s="4840"/>
      <c r="AV958" s="4840"/>
      <c r="AW958" s="4840"/>
      <c r="AX958" s="4840">
        <f t="shared" si="24"/>
        <v>0</v>
      </c>
      <c r="AY958" s="4840"/>
      <c r="AZ958" s="4840"/>
      <c r="BA958" s="4840"/>
      <c r="BB958" s="4840"/>
      <c r="BC958" s="4295"/>
      <c r="BD958" s="4295"/>
      <c r="BE958" s="4295"/>
      <c r="BF958" s="4295"/>
      <c r="BG958" s="4295"/>
      <c r="BH958" s="4295"/>
      <c r="BI958" s="4295"/>
      <c r="BJ958" s="4295"/>
      <c r="BK958" s="4295"/>
      <c r="BL958" s="4295"/>
      <c r="BM958" s="4295"/>
      <c r="BN958" s="4295"/>
      <c r="BO958" s="4295"/>
      <c r="BP958" s="4295"/>
      <c r="BQ958" s="4295"/>
      <c r="BR958" s="4295"/>
      <c r="BS958" s="4295"/>
      <c r="BT958" s="4295"/>
      <c r="BU958" s="4295"/>
      <c r="BV958" s="4295"/>
      <c r="BW958" s="4295"/>
      <c r="BX958" s="4295"/>
      <c r="BY958" s="4295"/>
      <c r="BZ958" s="4295"/>
      <c r="CA958" s="4295"/>
      <c r="CB958" s="4295"/>
      <c r="CC958" s="4295"/>
      <c r="CD958" s="4295"/>
      <c r="CE958" s="4295"/>
      <c r="CF958" s="4295"/>
      <c r="CG958" s="4295"/>
      <c r="CH958" s="4295"/>
      <c r="CI958" s="4295"/>
      <c r="CJ958" s="4295"/>
      <c r="CK958" s="4295"/>
      <c r="CL958" s="4295"/>
      <c r="CM958" s="4295"/>
      <c r="CN958" s="4295"/>
      <c r="CO958" s="4295"/>
      <c r="CP958" s="4295"/>
      <c r="CQ958" s="4295"/>
      <c r="CR958" s="4295"/>
      <c r="CS958" s="4295"/>
      <c r="CT958" s="4295"/>
      <c r="CU958" s="4295"/>
      <c r="CV958" s="4295"/>
      <c r="CW958" s="4295"/>
      <c r="CX958" s="4295"/>
      <c r="CY958" s="4295"/>
      <c r="CZ958" s="4295"/>
      <c r="DA958" s="4295"/>
      <c r="DB958" s="4295"/>
      <c r="DC958" s="4295"/>
      <c r="DD958" s="4295"/>
      <c r="DE958" s="4295"/>
      <c r="DF958" s="4295"/>
      <c r="DG958" s="4295"/>
      <c r="DH958" s="4295"/>
      <c r="DI958" s="4295"/>
      <c r="DJ958" s="4295"/>
      <c r="DK958" s="4295"/>
      <c r="DL958" s="4295"/>
      <c r="DM958" s="4295"/>
      <c r="DN958" s="4295"/>
      <c r="DO958" s="4295"/>
      <c r="DP958" s="4295"/>
      <c r="DQ958" s="4295"/>
      <c r="DR958" s="4295"/>
      <c r="DS958" s="4295"/>
    </row>
    <row r="959" s="4138" customFormat="1" ht="20.25" customHeight="1" spans="1:123">
      <c r="A959" s="4825" t="s">
        <v>3934</v>
      </c>
      <c r="B959" s="4826" t="s">
        <v>5703</v>
      </c>
      <c r="C959" s="4827"/>
      <c r="D959" s="4827"/>
      <c r="E959" s="4827"/>
      <c r="F959" s="4827"/>
      <c r="G959" s="4827"/>
      <c r="H959" s="4827"/>
      <c r="I959" s="4827"/>
      <c r="J959" s="4827"/>
      <c r="K959" s="4828"/>
      <c r="L959" s="4829">
        <v>9</v>
      </c>
      <c r="M959" s="4830">
        <v>1</v>
      </c>
      <c r="N959" s="4830">
        <v>1</v>
      </c>
      <c r="O959" s="4840"/>
      <c r="P959" s="4840"/>
      <c r="Q959" s="4840"/>
      <c r="R959" s="4840"/>
      <c r="S959" s="4840"/>
      <c r="T959" s="4840"/>
      <c r="U959" s="4840"/>
      <c r="V959" s="4840"/>
      <c r="W959" s="4840"/>
      <c r="X959" s="4840"/>
      <c r="Y959" s="4840"/>
      <c r="Z959" s="4840"/>
      <c r="AA959" s="4840"/>
      <c r="AB959" s="4840"/>
      <c r="AC959" s="4840"/>
      <c r="AD959" s="4840"/>
      <c r="AE959" s="4840"/>
      <c r="AF959" s="4840"/>
      <c r="AG959" s="4840"/>
      <c r="AH959" s="4840"/>
      <c r="AI959" s="4840"/>
      <c r="AJ959" s="4840"/>
      <c r="AK959" s="4840"/>
      <c r="AL959" s="4840"/>
      <c r="AM959" s="4840"/>
      <c r="AN959" s="4840"/>
      <c r="AO959" s="4840"/>
      <c r="AP959" s="4840"/>
      <c r="AQ959" s="4840"/>
      <c r="AR959" s="4840"/>
      <c r="AS959" s="4840">
        <f>AS961-AS952-AS955</f>
        <v>0</v>
      </c>
      <c r="AT959" s="4840"/>
      <c r="AU959" s="4840"/>
      <c r="AV959" s="4840"/>
      <c r="AW959" s="4840"/>
      <c r="AX959" s="4840">
        <f t="shared" si="24"/>
        <v>0</v>
      </c>
      <c r="AY959" s="4840"/>
      <c r="AZ959" s="4840"/>
      <c r="BA959" s="4840"/>
      <c r="BB959" s="4840"/>
      <c r="BC959" s="4295"/>
      <c r="BD959" s="4295"/>
      <c r="BE959" s="4295"/>
      <c r="BF959" s="4295"/>
      <c r="BG959" s="4295"/>
      <c r="BH959" s="4295"/>
      <c r="BI959" s="4295"/>
      <c r="BJ959" s="4295"/>
      <c r="BK959" s="4295"/>
      <c r="BL959" s="4295"/>
      <c r="BM959" s="4295"/>
      <c r="BN959" s="4295"/>
      <c r="BO959" s="4295"/>
      <c r="BP959" s="4295"/>
      <c r="BQ959" s="4295"/>
      <c r="BR959" s="4295"/>
      <c r="BS959" s="4295"/>
      <c r="BT959" s="4295"/>
      <c r="BU959" s="4295"/>
      <c r="BV959" s="4295"/>
      <c r="BW959" s="4295"/>
      <c r="BX959" s="4295"/>
      <c r="BY959" s="4295"/>
      <c r="BZ959" s="4295"/>
      <c r="CA959" s="4295"/>
      <c r="CB959" s="4295"/>
      <c r="CC959" s="4295"/>
      <c r="CD959" s="4295"/>
      <c r="CE959" s="4295"/>
      <c r="CF959" s="4295"/>
      <c r="CG959" s="4295"/>
      <c r="CH959" s="4295"/>
      <c r="CI959" s="4295"/>
      <c r="CJ959" s="4295"/>
      <c r="CK959" s="4295"/>
      <c r="CL959" s="4295"/>
      <c r="CM959" s="4295"/>
      <c r="CN959" s="4295"/>
      <c r="CO959" s="4295"/>
      <c r="CP959" s="4295"/>
      <c r="CQ959" s="4295"/>
      <c r="CR959" s="4295"/>
      <c r="CS959" s="4295"/>
      <c r="CT959" s="4295"/>
      <c r="CU959" s="4295"/>
      <c r="CV959" s="4295"/>
      <c r="CW959" s="4295"/>
      <c r="CX959" s="4295"/>
      <c r="CY959" s="4295"/>
      <c r="CZ959" s="4295"/>
      <c r="DA959" s="4295"/>
      <c r="DB959" s="4295"/>
      <c r="DC959" s="4295"/>
      <c r="DD959" s="4295"/>
      <c r="DE959" s="4295"/>
      <c r="DF959" s="4295"/>
      <c r="DG959" s="4295"/>
      <c r="DH959" s="4295"/>
      <c r="DI959" s="4295"/>
      <c r="DJ959" s="4295"/>
      <c r="DK959" s="4295"/>
      <c r="DL959" s="4295"/>
      <c r="DM959" s="4295"/>
      <c r="DN959" s="4295"/>
      <c r="DO959" s="4295"/>
      <c r="DP959" s="4295"/>
      <c r="DQ959" s="4295"/>
      <c r="DR959" s="4295"/>
      <c r="DS959" s="4295"/>
    </row>
    <row r="960" s="4138" customFormat="1" ht="20.25" customHeight="1" spans="1:123">
      <c r="A960" s="4825" t="s">
        <v>3945</v>
      </c>
      <c r="B960" s="4826" t="s">
        <v>5704</v>
      </c>
      <c r="C960" s="4827"/>
      <c r="D960" s="4827"/>
      <c r="E960" s="4827"/>
      <c r="F960" s="4827"/>
      <c r="G960" s="4827"/>
      <c r="H960" s="4827"/>
      <c r="I960" s="4827"/>
      <c r="J960" s="4827"/>
      <c r="K960" s="4828"/>
      <c r="L960" s="4829">
        <v>9</v>
      </c>
      <c r="M960" s="4830">
        <v>1</v>
      </c>
      <c r="N960" s="4830">
        <v>2</v>
      </c>
      <c r="O960" s="4840"/>
      <c r="P960" s="4840"/>
      <c r="Q960" s="4840"/>
      <c r="R960" s="4840"/>
      <c r="S960" s="4840"/>
      <c r="T960" s="4840"/>
      <c r="U960" s="4840"/>
      <c r="V960" s="4840"/>
      <c r="W960" s="4840"/>
      <c r="X960" s="4840"/>
      <c r="Y960" s="4840">
        <f>Y961-Y952</f>
        <v>0</v>
      </c>
      <c r="Z960" s="4840"/>
      <c r="AA960" s="4840"/>
      <c r="AB960" s="4840"/>
      <c r="AC960" s="4840"/>
      <c r="AD960" s="4840">
        <f>AD961-AD952</f>
        <v>0</v>
      </c>
      <c r="AE960" s="4840"/>
      <c r="AF960" s="4840"/>
      <c r="AG960" s="4840"/>
      <c r="AH960" s="4840"/>
      <c r="AI960" s="4840">
        <f>AI961-AI952</f>
        <v>0</v>
      </c>
      <c r="AJ960" s="4840"/>
      <c r="AK960" s="4840"/>
      <c r="AL960" s="4840"/>
      <c r="AM960" s="4840"/>
      <c r="AN960" s="4840">
        <f>AN961-AN952</f>
        <v>0</v>
      </c>
      <c r="AO960" s="4840"/>
      <c r="AP960" s="4840"/>
      <c r="AQ960" s="4840"/>
      <c r="AR960" s="4840"/>
      <c r="AS960" s="4840"/>
      <c r="AT960" s="4840"/>
      <c r="AU960" s="4840"/>
      <c r="AV960" s="4840"/>
      <c r="AW960" s="4840"/>
      <c r="AX960" s="4840">
        <f t="shared" si="24"/>
        <v>0</v>
      </c>
      <c r="AY960" s="4840"/>
      <c r="AZ960" s="4840"/>
      <c r="BA960" s="4840"/>
      <c r="BB960" s="4840"/>
      <c r="BC960" s="4295"/>
      <c r="BD960" s="4295"/>
      <c r="BE960" s="4295"/>
      <c r="BF960" s="4295"/>
      <c r="BG960" s="4295"/>
      <c r="BH960" s="4295"/>
      <c r="BI960" s="4295"/>
      <c r="BJ960" s="4295"/>
      <c r="BK960" s="4295"/>
      <c r="BL960" s="4295"/>
      <c r="BM960" s="4295"/>
      <c r="BN960" s="4295"/>
      <c r="BO960" s="4295"/>
      <c r="BP960" s="4295"/>
      <c r="BQ960" s="4295"/>
      <c r="BR960" s="4295"/>
      <c r="BS960" s="4295"/>
      <c r="BT960" s="4295"/>
      <c r="BU960" s="4295"/>
      <c r="BV960" s="4295"/>
      <c r="BW960" s="4295"/>
      <c r="BX960" s="4295"/>
      <c r="BY960" s="4295"/>
      <c r="BZ960" s="4295"/>
      <c r="CA960" s="4295"/>
      <c r="CB960" s="4295"/>
      <c r="CC960" s="4295"/>
      <c r="CD960" s="4295"/>
      <c r="CE960" s="4295"/>
      <c r="CF960" s="4295"/>
      <c r="CG960" s="4295"/>
      <c r="CH960" s="4295"/>
      <c r="CI960" s="4295"/>
      <c r="CJ960" s="4295"/>
      <c r="CK960" s="4295"/>
      <c r="CL960" s="4295"/>
      <c r="CM960" s="4295"/>
      <c r="CN960" s="4295"/>
      <c r="CO960" s="4295"/>
      <c r="CP960" s="4295"/>
      <c r="CQ960" s="4295"/>
      <c r="CR960" s="4295"/>
      <c r="CS960" s="4295"/>
      <c r="CT960" s="4295"/>
      <c r="CU960" s="4295"/>
      <c r="CV960" s="4295"/>
      <c r="CW960" s="4295"/>
      <c r="CX960" s="4295"/>
      <c r="CY960" s="4295"/>
      <c r="CZ960" s="4295"/>
      <c r="DA960" s="4295"/>
      <c r="DB960" s="4295"/>
      <c r="DC960" s="4295"/>
      <c r="DD960" s="4295"/>
      <c r="DE960" s="4295"/>
      <c r="DF960" s="4295"/>
      <c r="DG960" s="4295"/>
      <c r="DH960" s="4295"/>
      <c r="DI960" s="4295"/>
      <c r="DJ960" s="4295"/>
      <c r="DK960" s="4295"/>
      <c r="DL960" s="4295"/>
      <c r="DM960" s="4295"/>
      <c r="DN960" s="4295"/>
      <c r="DO960" s="4295"/>
      <c r="DP960" s="4295"/>
      <c r="DQ960" s="4295"/>
      <c r="DR960" s="4295"/>
      <c r="DS960" s="4295"/>
    </row>
    <row r="961" s="4139" customFormat="1" ht="37.5" customHeight="1" spans="1:123">
      <c r="A961" s="4848" t="s">
        <v>3947</v>
      </c>
      <c r="B961" s="4834" t="str">
        <f ca="1">"Stanje na dan 31/12/"&amp;PoslGod-1&amp;".godine (904+907+908+909+910+911+912)"</f>
        <v>Stanje na dan 31/12/2024.godine (904+907+908+909+910+911+912)</v>
      </c>
      <c r="C961" s="4835"/>
      <c r="D961" s="4835"/>
      <c r="E961" s="4835"/>
      <c r="F961" s="4835"/>
      <c r="G961" s="4835"/>
      <c r="H961" s="4835"/>
      <c r="I961" s="4835"/>
      <c r="J961" s="4835"/>
      <c r="K961" s="4836"/>
      <c r="L961" s="4837">
        <v>9</v>
      </c>
      <c r="M961" s="4838">
        <v>1</v>
      </c>
      <c r="N961" s="4838">
        <v>3</v>
      </c>
      <c r="O961" s="4839">
        <f>B_Stanja!AP93</f>
        <v>350000</v>
      </c>
      <c r="P961" s="4839"/>
      <c r="Q961" s="4839"/>
      <c r="R961" s="4839"/>
      <c r="S961" s="4839"/>
      <c r="T961" s="4849">
        <f>B_Stanja!AP99</f>
        <v>0</v>
      </c>
      <c r="U961" s="4849"/>
      <c r="V961" s="4849"/>
      <c r="W961" s="4849"/>
      <c r="X961" s="4849"/>
      <c r="Y961" s="4849">
        <f>B_Stanja!AP100</f>
        <v>18461</v>
      </c>
      <c r="Z961" s="4849"/>
      <c r="AA961" s="4849"/>
      <c r="AB961" s="4849"/>
      <c r="AC961" s="4849"/>
      <c r="AD961" s="4839">
        <f>B_Stanja!AP104</f>
        <v>0</v>
      </c>
      <c r="AE961" s="4839"/>
      <c r="AF961" s="4839"/>
      <c r="AG961" s="4839"/>
      <c r="AH961" s="4839"/>
      <c r="AI961" s="4839">
        <f>B_Stanja!AP105</f>
        <v>0</v>
      </c>
      <c r="AJ961" s="4839"/>
      <c r="AK961" s="4839"/>
      <c r="AL961" s="4839"/>
      <c r="AM961" s="4839"/>
      <c r="AN961" s="4839">
        <f>B_Stanja!AP106</f>
        <v>0</v>
      </c>
      <c r="AO961" s="4839"/>
      <c r="AP961" s="4839"/>
      <c r="AQ961" s="4839"/>
      <c r="AR961" s="4839"/>
      <c r="AS961" s="4839">
        <f>B_Stanja!AP107-B_Stanja!AP110</f>
        <v>91307</v>
      </c>
      <c r="AT961" s="4839"/>
      <c r="AU961" s="4839"/>
      <c r="AV961" s="4839"/>
      <c r="AW961" s="4839"/>
      <c r="AX961" s="4839">
        <f t="shared" si="24"/>
        <v>459768</v>
      </c>
      <c r="AY961" s="4839"/>
      <c r="AZ961" s="4839"/>
      <c r="BA961" s="4839"/>
      <c r="BB961" s="4839"/>
      <c r="BC961" s="4295"/>
      <c r="BD961" s="4295"/>
      <c r="BE961" s="4295"/>
      <c r="BF961" s="4295"/>
      <c r="BG961" s="4295"/>
      <c r="BH961" s="4295"/>
      <c r="BI961" s="4295"/>
      <c r="BJ961" s="4295"/>
      <c r="BK961" s="4295"/>
      <c r="BL961" s="4295"/>
      <c r="BM961" s="4295"/>
      <c r="BN961" s="4295"/>
      <c r="BO961" s="4295"/>
      <c r="BP961" s="4295"/>
      <c r="BQ961" s="4295"/>
      <c r="BR961" s="4295"/>
      <c r="BS961" s="4295"/>
      <c r="BT961" s="4295"/>
      <c r="BU961" s="4295"/>
      <c r="BV961" s="4295"/>
      <c r="BW961" s="4295"/>
      <c r="BX961" s="4295"/>
      <c r="BY961" s="4295"/>
      <c r="BZ961" s="4337"/>
      <c r="CA961" s="4295"/>
      <c r="CB961" s="4337"/>
      <c r="CC961" s="4295"/>
      <c r="CD961" s="4337"/>
      <c r="CE961" s="4295"/>
      <c r="CF961" s="4337"/>
      <c r="CG961" s="4295"/>
      <c r="CH961" s="4337"/>
      <c r="CI961" s="4295"/>
      <c r="CJ961" s="4337"/>
      <c r="CK961" s="4295"/>
      <c r="CL961" s="4337"/>
      <c r="CM961" s="4295"/>
      <c r="CN961" s="4337"/>
      <c r="CO961" s="4295"/>
      <c r="CP961" s="4337"/>
      <c r="CQ961" s="4295"/>
      <c r="CR961" s="4337"/>
      <c r="CS961" s="4295"/>
      <c r="CT961" s="4337"/>
      <c r="CU961" s="4295"/>
      <c r="CV961" s="4337"/>
      <c r="CW961" s="4295"/>
      <c r="CX961" s="4337"/>
      <c r="CY961" s="4295"/>
      <c r="CZ961" s="4337"/>
      <c r="DA961" s="4295"/>
      <c r="DB961" s="4337"/>
      <c r="DC961" s="4295"/>
      <c r="DD961" s="4337"/>
      <c r="DE961" s="4295"/>
      <c r="DF961" s="4337"/>
      <c r="DG961" s="4295"/>
      <c r="DH961" s="4337"/>
      <c r="DI961" s="4295"/>
      <c r="DJ961" s="4337"/>
      <c r="DK961" s="4295"/>
      <c r="DL961" s="4337"/>
      <c r="DM961" s="4295"/>
      <c r="DN961" s="4337"/>
      <c r="DO961" s="4295"/>
      <c r="DP961" s="4337"/>
      <c r="DQ961" s="4295"/>
      <c r="DR961" s="4337"/>
      <c r="DS961" s="4295"/>
    </row>
    <row r="962" s="4138" customFormat="1" ht="14.25" customHeight="1" spans="1:123">
      <c r="A962" s="4825" t="s">
        <v>5705</v>
      </c>
      <c r="B962" s="4826" t="s">
        <v>5706</v>
      </c>
      <c r="C962" s="4827"/>
      <c r="D962" s="4827"/>
      <c r="E962" s="4827"/>
      <c r="F962" s="4827"/>
      <c r="G962" s="4827"/>
      <c r="H962" s="4827"/>
      <c r="I962" s="4827"/>
      <c r="J962" s="4827"/>
      <c r="K962" s="4828"/>
      <c r="L962" s="4829">
        <v>9</v>
      </c>
      <c r="M962" s="4830">
        <v>1</v>
      </c>
      <c r="N962" s="4830">
        <v>4</v>
      </c>
      <c r="O962" s="4840"/>
      <c r="P962" s="4840"/>
      <c r="Q962" s="4840"/>
      <c r="R962" s="4840"/>
      <c r="S962" s="4840"/>
      <c r="T962" s="4840"/>
      <c r="U962" s="4840"/>
      <c r="V962" s="4840"/>
      <c r="W962" s="4840"/>
      <c r="X962" s="4840"/>
      <c r="Y962" s="4840"/>
      <c r="Z962" s="4840"/>
      <c r="AA962" s="4840"/>
      <c r="AB962" s="4840"/>
      <c r="AC962" s="4840"/>
      <c r="AD962" s="4840"/>
      <c r="AE962" s="4840"/>
      <c r="AF962" s="4840"/>
      <c r="AG962" s="4840"/>
      <c r="AH962" s="4840"/>
      <c r="AI962" s="4840"/>
      <c r="AJ962" s="4840"/>
      <c r="AK962" s="4840"/>
      <c r="AL962" s="4840"/>
      <c r="AM962" s="4840"/>
      <c r="AN962" s="4840"/>
      <c r="AO962" s="4840"/>
      <c r="AP962" s="4840"/>
      <c r="AQ962" s="4840"/>
      <c r="AR962" s="4840"/>
      <c r="AS962" s="4840"/>
      <c r="AT962" s="4840"/>
      <c r="AU962" s="4840"/>
      <c r="AV962" s="4840"/>
      <c r="AW962" s="4840"/>
      <c r="AX962" s="4840"/>
      <c r="AY962" s="4840"/>
      <c r="AZ962" s="4840"/>
      <c r="BA962" s="4840"/>
      <c r="BB962" s="4840"/>
      <c r="BC962" s="4295"/>
      <c r="BD962" s="4295"/>
      <c r="BE962" s="4295"/>
      <c r="BF962" s="4295"/>
      <c r="BG962" s="4295"/>
      <c r="BH962" s="4295"/>
      <c r="BI962" s="4295"/>
      <c r="BJ962" s="4295"/>
      <c r="BK962" s="4295"/>
      <c r="BL962" s="4295"/>
      <c r="BM962" s="4295"/>
      <c r="BN962" s="4295"/>
      <c r="BO962" s="4295"/>
      <c r="BP962" s="4295"/>
      <c r="BQ962" s="4295"/>
      <c r="BR962" s="4295"/>
      <c r="BS962" s="4295"/>
      <c r="BT962" s="4295"/>
      <c r="BU962" s="4295"/>
      <c r="BV962" s="4295"/>
      <c r="BW962" s="4295"/>
      <c r="BX962" s="4295"/>
      <c r="BY962" s="4295"/>
      <c r="BZ962" s="4295"/>
      <c r="CA962" s="4295"/>
      <c r="CB962" s="4295"/>
      <c r="CC962" s="4295"/>
      <c r="CD962" s="4295"/>
      <c r="CE962" s="4295"/>
      <c r="CF962" s="4295"/>
      <c r="CG962" s="4295"/>
      <c r="CH962" s="4295"/>
      <c r="CI962" s="4295"/>
      <c r="CJ962" s="4295"/>
      <c r="CK962" s="4295"/>
      <c r="CL962" s="4295"/>
      <c r="CM962" s="4295"/>
      <c r="CN962" s="4295"/>
      <c r="CO962" s="4295"/>
      <c r="CP962" s="4295"/>
      <c r="CQ962" s="4295"/>
      <c r="CR962" s="4295"/>
      <c r="CS962" s="4295"/>
      <c r="CT962" s="4295"/>
      <c r="CU962" s="4295"/>
      <c r="CV962" s="4295"/>
      <c r="CW962" s="4295"/>
      <c r="CX962" s="4295"/>
      <c r="CY962" s="4295"/>
      <c r="CZ962" s="4295"/>
      <c r="DA962" s="4295"/>
      <c r="DB962" s="4295"/>
      <c r="DC962" s="4295"/>
      <c r="DD962" s="4295"/>
      <c r="DE962" s="4295"/>
      <c r="DF962" s="4295"/>
      <c r="DG962" s="4295"/>
      <c r="DH962" s="4295"/>
      <c r="DI962" s="4295"/>
      <c r="DJ962" s="4295"/>
      <c r="DK962" s="4295"/>
      <c r="DL962" s="4295"/>
      <c r="DM962" s="4295"/>
      <c r="DN962" s="4295"/>
      <c r="DO962" s="4295"/>
      <c r="DP962" s="4295"/>
      <c r="DQ962" s="4295"/>
      <c r="DR962" s="4295"/>
      <c r="DS962" s="4295"/>
    </row>
    <row r="963" s="4138" customFormat="1" ht="15.75" customHeight="1" spans="1:123">
      <c r="A963" s="4825" t="s">
        <v>5707</v>
      </c>
      <c r="B963" s="4826" t="s">
        <v>5696</v>
      </c>
      <c r="C963" s="4827"/>
      <c r="D963" s="4827"/>
      <c r="E963" s="4827"/>
      <c r="F963" s="4827"/>
      <c r="G963" s="4827"/>
      <c r="H963" s="4827"/>
      <c r="I963" s="4827"/>
      <c r="J963" s="4827"/>
      <c r="K963" s="4828"/>
      <c r="L963" s="4829">
        <v>9</v>
      </c>
      <c r="M963" s="4830">
        <v>1</v>
      </c>
      <c r="N963" s="4830">
        <v>5</v>
      </c>
      <c r="O963" s="4840"/>
      <c r="P963" s="4840"/>
      <c r="Q963" s="4840"/>
      <c r="R963" s="4840"/>
      <c r="S963" s="4840"/>
      <c r="T963" s="4840"/>
      <c r="U963" s="4840"/>
      <c r="V963" s="4840"/>
      <c r="W963" s="4840"/>
      <c r="X963" s="4840"/>
      <c r="Y963" s="4840"/>
      <c r="Z963" s="4840"/>
      <c r="AA963" s="4840"/>
      <c r="AB963" s="4840"/>
      <c r="AC963" s="4840"/>
      <c r="AD963" s="4840"/>
      <c r="AE963" s="4840"/>
      <c r="AF963" s="4840"/>
      <c r="AG963" s="4840"/>
      <c r="AH963" s="4840"/>
      <c r="AI963" s="4840"/>
      <c r="AJ963" s="4840"/>
      <c r="AK963" s="4840"/>
      <c r="AL963" s="4840"/>
      <c r="AM963" s="4840"/>
      <c r="AN963" s="4840"/>
      <c r="AO963" s="4840"/>
      <c r="AP963" s="4840"/>
      <c r="AQ963" s="4840"/>
      <c r="AR963" s="4840"/>
      <c r="AS963" s="4840"/>
      <c r="AT963" s="4840"/>
      <c r="AU963" s="4840"/>
      <c r="AV963" s="4840"/>
      <c r="AW963" s="4840"/>
      <c r="AX963" s="4840">
        <f>BO963-BJ963</f>
        <v>0</v>
      </c>
      <c r="AY963" s="4840"/>
      <c r="AZ963" s="4840"/>
      <c r="BA963" s="4840"/>
      <c r="BB963" s="4840"/>
      <c r="BC963" s="4295"/>
      <c r="BD963" s="4295"/>
      <c r="BE963" s="4295"/>
      <c r="BF963" s="4295"/>
      <c r="BG963" s="4295"/>
      <c r="BH963" s="4295"/>
      <c r="BI963" s="4295"/>
      <c r="BJ963" s="4295"/>
      <c r="BK963" s="4295"/>
      <c r="BL963" s="4295"/>
      <c r="BM963" s="4295"/>
      <c r="BN963" s="4295"/>
      <c r="BO963" s="4295"/>
      <c r="BP963" s="4295"/>
      <c r="BQ963" s="4295"/>
      <c r="BR963" s="4295"/>
      <c r="BS963" s="4295"/>
      <c r="BT963" s="4295"/>
      <c r="BU963" s="4295"/>
      <c r="BV963" s="4295"/>
      <c r="BW963" s="4295"/>
      <c r="BX963" s="4295"/>
      <c r="BY963" s="4295"/>
      <c r="BZ963" s="4295"/>
      <c r="CA963" s="4295"/>
      <c r="CB963" s="4295"/>
      <c r="CC963" s="4295"/>
      <c r="CD963" s="4295"/>
      <c r="CE963" s="4295"/>
      <c r="CF963" s="4295"/>
      <c r="CG963" s="4295"/>
      <c r="CH963" s="4295"/>
      <c r="CI963" s="4295"/>
      <c r="CJ963" s="4295"/>
      <c r="CK963" s="4295"/>
      <c r="CL963" s="4295"/>
      <c r="CM963" s="4295"/>
      <c r="CN963" s="4295"/>
      <c r="CO963" s="4295"/>
      <c r="CP963" s="4295"/>
      <c r="CQ963" s="4295"/>
      <c r="CR963" s="4295"/>
      <c r="CS963" s="4295"/>
      <c r="CT963" s="4295"/>
      <c r="CU963" s="4295"/>
      <c r="CV963" s="4295"/>
      <c r="CW963" s="4295"/>
      <c r="CX963" s="4295"/>
      <c r="CY963" s="4295"/>
      <c r="CZ963" s="4295"/>
      <c r="DA963" s="4295"/>
      <c r="DB963" s="4295"/>
      <c r="DC963" s="4295"/>
      <c r="DD963" s="4295"/>
      <c r="DE963" s="4295"/>
      <c r="DF963" s="4295"/>
      <c r="DG963" s="4295"/>
      <c r="DH963" s="4295"/>
      <c r="DI963" s="4295"/>
      <c r="DJ963" s="4295"/>
      <c r="DK963" s="4295"/>
      <c r="DL963" s="4295"/>
      <c r="DM963" s="4295"/>
      <c r="DN963" s="4295"/>
      <c r="DO963" s="4295"/>
      <c r="DP963" s="4295"/>
      <c r="DQ963" s="4295"/>
      <c r="DR963" s="4295"/>
      <c r="DS963" s="4295"/>
    </row>
    <row r="964" s="4139" customFormat="1" ht="33.75" customHeight="1" spans="1:123">
      <c r="A964" s="4833" t="s">
        <v>5708</v>
      </c>
      <c r="B964" s="4834" t="str">
        <f ca="1">"Ponovno iskazano stanje na  01.01."&amp;PoslGod&amp;".godine (913+914+915)"</f>
        <v>Ponovno iskazano stanje na  01.01.2025.godine (913+914+915)</v>
      </c>
      <c r="C964" s="4835"/>
      <c r="D964" s="4835"/>
      <c r="E964" s="4835"/>
      <c r="F964" s="4835"/>
      <c r="G964" s="4835"/>
      <c r="H964" s="4835"/>
      <c r="I964" s="4835"/>
      <c r="J964" s="4835"/>
      <c r="K964" s="4836"/>
      <c r="L964" s="4837">
        <v>9</v>
      </c>
      <c r="M964" s="4838">
        <v>1</v>
      </c>
      <c r="N964" s="4838">
        <v>6</v>
      </c>
      <c r="O964" s="4849">
        <f>SUM(O961:S963)</f>
        <v>350000</v>
      </c>
      <c r="P964" s="4849"/>
      <c r="Q964" s="4849"/>
      <c r="R964" s="4849"/>
      <c r="S964" s="4849"/>
      <c r="T964" s="4849">
        <f>SUM(T961:X963)</f>
        <v>0</v>
      </c>
      <c r="U964" s="4849"/>
      <c r="V964" s="4849"/>
      <c r="W964" s="4849"/>
      <c r="X964" s="4849"/>
      <c r="Y964" s="4849">
        <f>SUM(Y961:AC963)</f>
        <v>18461</v>
      </c>
      <c r="Z964" s="4849"/>
      <c r="AA964" s="4849"/>
      <c r="AB964" s="4849"/>
      <c r="AC964" s="4849"/>
      <c r="AD964" s="4849">
        <f>SUM(AD961:AH963)</f>
        <v>0</v>
      </c>
      <c r="AE964" s="4849"/>
      <c r="AF964" s="4849"/>
      <c r="AG964" s="4849"/>
      <c r="AH964" s="4849"/>
      <c r="AI964" s="4849">
        <f>SUM(AI961:AM963)</f>
        <v>0</v>
      </c>
      <c r="AJ964" s="4849"/>
      <c r="AK964" s="4849"/>
      <c r="AL964" s="4849"/>
      <c r="AM964" s="4849"/>
      <c r="AN964" s="4849">
        <f>SUM(AN961:AR963)</f>
        <v>0</v>
      </c>
      <c r="AO964" s="4849"/>
      <c r="AP964" s="4849"/>
      <c r="AQ964" s="4849"/>
      <c r="AR964" s="4849"/>
      <c r="AS964" s="4849">
        <f>SUM(AS961:AW963)</f>
        <v>91307</v>
      </c>
      <c r="AT964" s="4849"/>
      <c r="AU964" s="4849"/>
      <c r="AV964" s="4849"/>
      <c r="AW964" s="4849"/>
      <c r="AX964" s="4849">
        <f>SUM(AX961:BB963)</f>
        <v>459768</v>
      </c>
      <c r="AY964" s="4849"/>
      <c r="AZ964" s="4849"/>
      <c r="BA964" s="4849"/>
      <c r="BB964" s="4849"/>
      <c r="BC964" s="4295"/>
      <c r="BD964" s="4295"/>
      <c r="BE964" s="4295"/>
      <c r="BF964" s="4295"/>
      <c r="BG964" s="4295"/>
      <c r="BH964" s="4295"/>
      <c r="BI964" s="4295"/>
      <c r="BJ964" s="4337"/>
      <c r="BK964" s="4337"/>
      <c r="BL964" s="4337"/>
      <c r="BM964" s="4337"/>
      <c r="BN964" s="4337"/>
      <c r="BO964" s="4337"/>
      <c r="BP964" s="4337"/>
      <c r="BQ964" s="4337"/>
      <c r="BR964" s="4337"/>
      <c r="BS964" s="4337"/>
      <c r="BT964" s="4337"/>
      <c r="BU964" s="4337"/>
      <c r="BV964" s="4337"/>
      <c r="BW964" s="4337"/>
      <c r="BX964" s="4337"/>
      <c r="BY964" s="4337"/>
      <c r="BZ964" s="4337"/>
      <c r="CA964" s="4337"/>
      <c r="CB964" s="4337"/>
      <c r="CC964" s="4337"/>
      <c r="CD964" s="4337"/>
      <c r="CE964" s="4337"/>
      <c r="CF964" s="4337"/>
      <c r="CG964" s="4337"/>
      <c r="CH964" s="4337"/>
      <c r="CI964" s="4337"/>
      <c r="CJ964" s="4337"/>
      <c r="CK964" s="4337"/>
      <c r="CL964" s="4337"/>
      <c r="CM964" s="4337"/>
      <c r="CN964" s="4337"/>
      <c r="CO964" s="4337"/>
      <c r="CP964" s="4337"/>
      <c r="CQ964" s="4337"/>
      <c r="CR964" s="4337"/>
      <c r="CS964" s="4337"/>
      <c r="CT964" s="4337"/>
      <c r="CU964" s="4337"/>
      <c r="CV964" s="4337"/>
      <c r="CW964" s="4337"/>
      <c r="CX964" s="4337"/>
      <c r="CY964" s="4337"/>
      <c r="CZ964" s="4337"/>
      <c r="DA964" s="4337"/>
      <c r="DB964" s="4337"/>
      <c r="DC964" s="4337"/>
      <c r="DD964" s="4337"/>
      <c r="DE964" s="4337"/>
      <c r="DF964" s="4337"/>
      <c r="DG964" s="4337"/>
      <c r="DH964" s="4337"/>
      <c r="DI964" s="4337"/>
      <c r="DJ964" s="4337"/>
      <c r="DK964" s="4337"/>
      <c r="DL964" s="4337"/>
      <c r="DM964" s="4337"/>
      <c r="DN964" s="4337"/>
      <c r="DO964" s="4337"/>
      <c r="DP964" s="4337"/>
      <c r="DQ964" s="4337"/>
      <c r="DR964" s="4337"/>
      <c r="DS964" s="4337"/>
    </row>
    <row r="965" s="4138" customFormat="1" ht="16.5" customHeight="1" spans="1:123">
      <c r="A965" s="4825" t="s">
        <v>5709</v>
      </c>
      <c r="B965" s="4826" t="s">
        <v>5697</v>
      </c>
      <c r="C965" s="4827"/>
      <c r="D965" s="4827"/>
      <c r="E965" s="4827"/>
      <c r="F965" s="4827"/>
      <c r="G965" s="4827"/>
      <c r="H965" s="4827"/>
      <c r="I965" s="4827"/>
      <c r="J965" s="4827"/>
      <c r="K965" s="4828"/>
      <c r="L965" s="4829">
        <v>9</v>
      </c>
      <c r="M965" s="4830">
        <v>1</v>
      </c>
      <c r="N965" s="4830">
        <v>7</v>
      </c>
      <c r="O965" s="4840"/>
      <c r="P965" s="4840"/>
      <c r="Q965" s="4840"/>
      <c r="R965" s="4840"/>
      <c r="S965" s="4840"/>
      <c r="T965" s="4840"/>
      <c r="U965" s="4840"/>
      <c r="V965" s="4840"/>
      <c r="W965" s="4840"/>
      <c r="X965" s="4840"/>
      <c r="Y965" s="4840"/>
      <c r="Z965" s="4840"/>
      <c r="AA965" s="4840"/>
      <c r="AB965" s="4840"/>
      <c r="AC965" s="4840"/>
      <c r="AD965" s="4840"/>
      <c r="AE965" s="4840"/>
      <c r="AF965" s="4840"/>
      <c r="AG965" s="4840"/>
      <c r="AH965" s="4840"/>
      <c r="AI965" s="4840"/>
      <c r="AJ965" s="4840"/>
      <c r="AK965" s="4840"/>
      <c r="AL965" s="4840"/>
      <c r="AM965" s="4840"/>
      <c r="AN965" s="4840"/>
      <c r="AO965" s="4840"/>
      <c r="AP965" s="4840"/>
      <c r="AQ965" s="4840"/>
      <c r="AR965" s="4840"/>
      <c r="AS965" s="4840">
        <f>B_Uspjeha!AI153-B_Uspjeha!AI154</f>
        <v>-59197</v>
      </c>
      <c r="AT965" s="4840"/>
      <c r="AU965" s="4840"/>
      <c r="AV965" s="4840"/>
      <c r="AW965" s="4840"/>
      <c r="AX965" s="4840">
        <f>SUM(O965:AW965)</f>
        <v>-59197</v>
      </c>
      <c r="AY965" s="4840"/>
      <c r="AZ965" s="4840"/>
      <c r="BA965" s="4840"/>
      <c r="BB965" s="4840"/>
      <c r="BC965" s="4295"/>
      <c r="BD965" s="4295"/>
      <c r="BE965" s="4295"/>
      <c r="BF965" s="4295"/>
      <c r="BG965" s="4295"/>
      <c r="BH965" s="4295"/>
      <c r="BI965" s="4295"/>
      <c r="BJ965" s="4295"/>
      <c r="BK965" s="4295"/>
      <c r="BL965" s="4295"/>
      <c r="BM965" s="4295"/>
      <c r="BN965" s="4295"/>
      <c r="BO965" s="4295"/>
      <c r="BP965" s="4295"/>
      <c r="BQ965" s="4295"/>
      <c r="BR965" s="4295"/>
      <c r="BS965" s="4295"/>
      <c r="BT965" s="4295"/>
      <c r="BU965" s="4295"/>
      <c r="BV965" s="4295"/>
      <c r="BW965" s="4295"/>
      <c r="BX965" s="4295"/>
      <c r="BY965" s="4295"/>
      <c r="BZ965" s="4295"/>
      <c r="CA965" s="4295"/>
      <c r="CB965" s="4295"/>
      <c r="CC965" s="4295"/>
      <c r="CD965" s="4295"/>
      <c r="CE965" s="4295"/>
      <c r="CF965" s="4295"/>
      <c r="CG965" s="4295"/>
      <c r="CH965" s="4295"/>
      <c r="CI965" s="4295"/>
      <c r="CJ965" s="4295"/>
      <c r="CK965" s="4295"/>
      <c r="CL965" s="4295"/>
      <c r="CM965" s="4295"/>
      <c r="CN965" s="4295"/>
      <c r="CO965" s="4295"/>
      <c r="CP965" s="4295"/>
      <c r="CQ965" s="4295"/>
      <c r="CR965" s="4295"/>
      <c r="CS965" s="4295"/>
      <c r="CT965" s="4295"/>
      <c r="CU965" s="4295"/>
      <c r="CV965" s="4295"/>
      <c r="CW965" s="4295"/>
      <c r="CX965" s="4295"/>
      <c r="CY965" s="4295"/>
      <c r="CZ965" s="4295"/>
      <c r="DA965" s="4295"/>
      <c r="DB965" s="4295"/>
      <c r="DC965" s="4295"/>
      <c r="DD965" s="4295"/>
      <c r="DE965" s="4295"/>
      <c r="DF965" s="4295"/>
      <c r="DG965" s="4295"/>
      <c r="DH965" s="4295"/>
      <c r="DI965" s="4295"/>
      <c r="DJ965" s="4295"/>
      <c r="DK965" s="4295"/>
      <c r="DL965" s="4295"/>
      <c r="DM965" s="4295"/>
      <c r="DN965" s="4295"/>
      <c r="DO965" s="4295"/>
      <c r="DP965" s="4295"/>
      <c r="DQ965" s="4295"/>
      <c r="DR965" s="4295"/>
      <c r="DS965" s="4295"/>
    </row>
    <row r="966" s="4138" customFormat="1" ht="16.5" customHeight="1" spans="1:123">
      <c r="A966" s="4825" t="s">
        <v>5710</v>
      </c>
      <c r="B966" s="4826" t="s">
        <v>5698</v>
      </c>
      <c r="C966" s="4827"/>
      <c r="D966" s="4827"/>
      <c r="E966" s="4827"/>
      <c r="F966" s="4827"/>
      <c r="G966" s="4827"/>
      <c r="H966" s="4827"/>
      <c r="I966" s="4827"/>
      <c r="J966" s="4827"/>
      <c r="K966" s="4828"/>
      <c r="L966" s="4829">
        <v>9</v>
      </c>
      <c r="M966" s="4830">
        <v>1</v>
      </c>
      <c r="N966" s="4830">
        <v>8</v>
      </c>
      <c r="O966" s="4840"/>
      <c r="P966" s="4840"/>
      <c r="Q966" s="4840"/>
      <c r="R966" s="4840"/>
      <c r="S966" s="4840"/>
      <c r="T966" s="4840"/>
      <c r="U966" s="4840"/>
      <c r="V966" s="4840"/>
      <c r="W966" s="4840"/>
      <c r="X966" s="4840"/>
      <c r="Y966" s="4840"/>
      <c r="Z966" s="4840"/>
      <c r="AA966" s="4840"/>
      <c r="AB966" s="4840"/>
      <c r="AC966" s="4840"/>
      <c r="AD966" s="4840"/>
      <c r="AE966" s="4840"/>
      <c r="AF966" s="4840"/>
      <c r="AG966" s="4840"/>
      <c r="AH966" s="4840"/>
      <c r="AI966" s="4840"/>
      <c r="AJ966" s="4840"/>
      <c r="AK966" s="4840"/>
      <c r="AL966" s="4840"/>
      <c r="AM966" s="4840"/>
      <c r="AN966" s="4840"/>
      <c r="AO966" s="4840"/>
      <c r="AP966" s="4840"/>
      <c r="AQ966" s="4840"/>
      <c r="AR966" s="4840"/>
      <c r="AS966" s="4840">
        <f>AS967-AS965</f>
        <v>0</v>
      </c>
      <c r="AT966" s="4840"/>
      <c r="AU966" s="4840"/>
      <c r="AV966" s="4840"/>
      <c r="AW966" s="4840"/>
      <c r="AX966" s="4840">
        <f>SUM(O966:AW966)</f>
        <v>0</v>
      </c>
      <c r="AY966" s="4840"/>
      <c r="AZ966" s="4840"/>
      <c r="BA966" s="4840"/>
      <c r="BB966" s="4840"/>
      <c r="BC966" s="4295"/>
      <c r="BD966" s="4295"/>
      <c r="BE966" s="4295"/>
      <c r="BF966" s="4295"/>
      <c r="BG966" s="4295"/>
      <c r="BH966" s="4295"/>
      <c r="BI966" s="4295"/>
      <c r="BJ966" s="4295"/>
      <c r="BK966" s="4295"/>
      <c r="BL966" s="4295"/>
      <c r="BM966" s="4295"/>
      <c r="BN966" s="4295"/>
      <c r="BO966" s="4295"/>
      <c r="BP966" s="4295"/>
      <c r="BQ966" s="4295"/>
      <c r="BR966" s="4295"/>
      <c r="BS966" s="4295"/>
      <c r="BT966" s="4295"/>
      <c r="BU966" s="4295"/>
      <c r="BV966" s="4295"/>
      <c r="BW966" s="4295"/>
      <c r="BX966" s="4295"/>
      <c r="BY966" s="4295"/>
      <c r="BZ966" s="4295"/>
      <c r="CA966" s="4295"/>
      <c r="CB966" s="4295"/>
      <c r="CC966" s="4295"/>
      <c r="CD966" s="4295"/>
      <c r="CE966" s="4295"/>
      <c r="CF966" s="4295"/>
      <c r="CG966" s="4295"/>
      <c r="CH966" s="4295"/>
      <c r="CI966" s="4295"/>
      <c r="CJ966" s="4295"/>
      <c r="CK966" s="4295"/>
      <c r="CL966" s="4295"/>
      <c r="CM966" s="4295"/>
      <c r="CN966" s="4295"/>
      <c r="CO966" s="4295"/>
      <c r="CP966" s="4295"/>
      <c r="CQ966" s="4295"/>
      <c r="CR966" s="4295"/>
      <c r="CS966" s="4295"/>
      <c r="CT966" s="4295"/>
      <c r="CU966" s="4295"/>
      <c r="CV966" s="4295"/>
      <c r="CW966" s="4295"/>
      <c r="CX966" s="4295"/>
      <c r="CY966" s="4295"/>
      <c r="CZ966" s="4295"/>
      <c r="DA966" s="4295"/>
      <c r="DB966" s="4295"/>
      <c r="DC966" s="4295"/>
      <c r="DD966" s="4295"/>
      <c r="DE966" s="4295"/>
      <c r="DF966" s="4295"/>
      <c r="DG966" s="4295"/>
      <c r="DH966" s="4295"/>
      <c r="DI966" s="4295"/>
      <c r="DJ966" s="4295"/>
      <c r="DK966" s="4295"/>
      <c r="DL966" s="4295"/>
      <c r="DM966" s="4295"/>
      <c r="DN966" s="4295"/>
      <c r="DO966" s="4295"/>
      <c r="DP966" s="4295"/>
      <c r="DQ966" s="4295"/>
      <c r="DR966" s="4295"/>
      <c r="DS966" s="4295"/>
    </row>
    <row r="967" s="4140" customFormat="1" ht="22.5" customHeight="1" spans="1:123">
      <c r="A967" s="4841" t="s">
        <v>5711</v>
      </c>
      <c r="B967" s="4842" t="s">
        <v>5712</v>
      </c>
      <c r="C967" s="4843"/>
      <c r="D967" s="4843"/>
      <c r="E967" s="4843"/>
      <c r="F967" s="4843"/>
      <c r="G967" s="4843"/>
      <c r="H967" s="4843"/>
      <c r="I967" s="4843"/>
      <c r="J967" s="4843"/>
      <c r="K967" s="4844"/>
      <c r="L967" s="4845">
        <v>9</v>
      </c>
      <c r="M967" s="4846">
        <v>1</v>
      </c>
      <c r="N967" s="4846">
        <v>9</v>
      </c>
      <c r="O967" s="4847">
        <f>O965+O966</f>
        <v>0</v>
      </c>
      <c r="P967" s="4847"/>
      <c r="Q967" s="4847"/>
      <c r="R967" s="4847"/>
      <c r="S967" s="4847"/>
      <c r="T967" s="4847">
        <f>T965+T966</f>
        <v>0</v>
      </c>
      <c r="U967" s="4847"/>
      <c r="V967" s="4847"/>
      <c r="W967" s="4847"/>
      <c r="X967" s="4847"/>
      <c r="Y967" s="4847">
        <f>Y965+Y966</f>
        <v>0</v>
      </c>
      <c r="Z967" s="4847"/>
      <c r="AA967" s="4847"/>
      <c r="AB967" s="4847"/>
      <c r="AC967" s="4847"/>
      <c r="AD967" s="4847">
        <f>AD965+AD966</f>
        <v>0</v>
      </c>
      <c r="AE967" s="4847"/>
      <c r="AF967" s="4847"/>
      <c r="AG967" s="4847"/>
      <c r="AH967" s="4847"/>
      <c r="AI967" s="4847">
        <f>AI965+AI966</f>
        <v>0</v>
      </c>
      <c r="AJ967" s="4847"/>
      <c r="AK967" s="4847"/>
      <c r="AL967" s="4847"/>
      <c r="AM967" s="4847"/>
      <c r="AN967" s="4847">
        <f>AN965+AN966</f>
        <v>0</v>
      </c>
      <c r="AO967" s="4847"/>
      <c r="AP967" s="4847"/>
      <c r="AQ967" s="4847"/>
      <c r="AR967" s="4847"/>
      <c r="AS967" s="4847">
        <f>B_Uspjeha!AI174</f>
        <v>-59197</v>
      </c>
      <c r="AT967" s="4847"/>
      <c r="AU967" s="4847"/>
      <c r="AV967" s="4847"/>
      <c r="AW967" s="4847"/>
      <c r="AX967" s="4847">
        <f>AX965+AX966</f>
        <v>-59197</v>
      </c>
      <c r="AY967" s="4847"/>
      <c r="AZ967" s="4847"/>
      <c r="BA967" s="4847"/>
      <c r="BB967" s="4847"/>
      <c r="BC967" s="4295"/>
      <c r="BD967" s="4295"/>
      <c r="BE967" s="4295"/>
      <c r="BF967" s="4295"/>
      <c r="BG967" s="4295"/>
      <c r="BH967" s="4295"/>
      <c r="BI967" s="4295"/>
      <c r="BJ967" s="4295"/>
      <c r="BK967" s="4295"/>
      <c r="BL967" s="4295"/>
      <c r="BM967" s="4295"/>
      <c r="BN967" s="4295"/>
      <c r="BO967" s="4295"/>
      <c r="BP967" s="4295"/>
      <c r="BQ967" s="4295"/>
      <c r="BR967" s="4295"/>
      <c r="BS967" s="4295"/>
      <c r="BT967" s="4295"/>
      <c r="BU967" s="4295"/>
      <c r="BV967" s="4295"/>
      <c r="BW967" s="4295"/>
      <c r="BX967" s="4295"/>
      <c r="BY967" s="4295"/>
      <c r="BZ967" s="4295"/>
      <c r="CA967" s="4295"/>
      <c r="CB967" s="4295"/>
      <c r="CC967" s="4295"/>
      <c r="CD967" s="4295"/>
      <c r="CE967" s="4295"/>
      <c r="CF967" s="4295"/>
      <c r="CG967" s="4295"/>
      <c r="CH967" s="4295"/>
      <c r="CI967" s="4295"/>
      <c r="CJ967" s="4295"/>
      <c r="CK967" s="4295"/>
      <c r="CL967" s="4295"/>
      <c r="CM967" s="4295"/>
      <c r="CN967" s="4295"/>
      <c r="CO967" s="4295"/>
      <c r="CP967" s="4295"/>
      <c r="CQ967" s="4295"/>
      <c r="CR967" s="4295"/>
      <c r="CS967" s="4295"/>
      <c r="CT967" s="4295"/>
      <c r="CU967" s="4295"/>
      <c r="CV967" s="4295"/>
      <c r="CW967" s="4295"/>
      <c r="CX967" s="4295"/>
      <c r="CY967" s="4295"/>
      <c r="CZ967" s="4295"/>
      <c r="DA967" s="4295"/>
      <c r="DB967" s="4295"/>
      <c r="DC967" s="4295"/>
      <c r="DD967" s="4295"/>
      <c r="DE967" s="4295"/>
      <c r="DF967" s="4295"/>
      <c r="DG967" s="4295"/>
      <c r="DH967" s="4295"/>
      <c r="DI967" s="4295"/>
      <c r="DJ967" s="4295"/>
      <c r="DK967" s="4295"/>
      <c r="DL967" s="4295"/>
      <c r="DM967" s="4295"/>
      <c r="DN967" s="4295"/>
      <c r="DO967" s="4295"/>
      <c r="DP967" s="4295"/>
      <c r="DQ967" s="4295"/>
      <c r="DR967" s="4295"/>
      <c r="DS967" s="4295"/>
    </row>
    <row r="968" s="4138" customFormat="1" ht="33.75" customHeight="1" spans="1:123">
      <c r="A968" s="4825" t="s">
        <v>5713</v>
      </c>
      <c r="B968" s="4826" t="s">
        <v>5700</v>
      </c>
      <c r="C968" s="4827"/>
      <c r="D968" s="4827"/>
      <c r="E968" s="4827"/>
      <c r="F968" s="4827"/>
      <c r="G968" s="4827"/>
      <c r="H968" s="4827"/>
      <c r="I968" s="4827"/>
      <c r="J968" s="4827"/>
      <c r="K968" s="4828"/>
      <c r="L968" s="4829">
        <v>9</v>
      </c>
      <c r="M968" s="4830">
        <v>2</v>
      </c>
      <c r="N968" s="4830">
        <v>0</v>
      </c>
      <c r="O968" s="4840">
        <f>IF(O973-O964&lt;0,0,O973-O964)</f>
        <v>0</v>
      </c>
      <c r="P968" s="4840"/>
      <c r="Q968" s="4840"/>
      <c r="R968" s="4840"/>
      <c r="S968" s="4840"/>
      <c r="T968" s="4840"/>
      <c r="U968" s="4840"/>
      <c r="V968" s="4840"/>
      <c r="W968" s="4840"/>
      <c r="X968" s="4840"/>
      <c r="Y968" s="4840"/>
      <c r="Z968" s="4840"/>
      <c r="AA968" s="4840"/>
      <c r="AB968" s="4840"/>
      <c r="AC968" s="4840"/>
      <c r="AD968" s="4840"/>
      <c r="AE968" s="4840"/>
      <c r="AF968" s="4840"/>
      <c r="AG968" s="4840"/>
      <c r="AH968" s="4840"/>
      <c r="AI968" s="4840"/>
      <c r="AJ968" s="4840"/>
      <c r="AK968" s="4840"/>
      <c r="AL968" s="4840"/>
      <c r="AM968" s="4840"/>
      <c r="AN968" s="4840"/>
      <c r="AO968" s="4840"/>
      <c r="AP968" s="4840"/>
      <c r="AQ968" s="4840"/>
      <c r="AR968" s="4840"/>
      <c r="AS968" s="4840"/>
      <c r="AT968" s="4840"/>
      <c r="AU968" s="4840"/>
      <c r="AV968" s="4840"/>
      <c r="AW968" s="4840"/>
      <c r="AX968" s="4840">
        <f>SUM(O968:AW968)</f>
        <v>0</v>
      </c>
      <c r="AY968" s="4840"/>
      <c r="AZ968" s="4840"/>
      <c r="BA968" s="4840"/>
      <c r="BB968" s="4840"/>
      <c r="BC968" s="4295"/>
      <c r="BD968" s="4295"/>
      <c r="BE968" s="4295"/>
      <c r="BF968" s="4295"/>
      <c r="BG968" s="4295"/>
      <c r="BH968" s="4295"/>
      <c r="BI968" s="4295"/>
      <c r="BJ968" s="4295"/>
      <c r="BK968" s="4295"/>
      <c r="BL968" s="4295"/>
      <c r="BM968" s="4295"/>
      <c r="BN968" s="4295"/>
      <c r="BO968" s="4295"/>
      <c r="BP968" s="4295"/>
      <c r="BQ968" s="4295"/>
      <c r="BR968" s="4295"/>
      <c r="BS968" s="4295"/>
      <c r="BT968" s="4295"/>
      <c r="BU968" s="4295"/>
      <c r="BV968" s="4295"/>
      <c r="BW968" s="4295"/>
      <c r="BX968" s="4295"/>
      <c r="BY968" s="4295"/>
      <c r="BZ968" s="4295"/>
      <c r="CA968" s="4295"/>
      <c r="CB968" s="4295"/>
      <c r="CC968" s="4295"/>
      <c r="CD968" s="4295"/>
      <c r="CE968" s="4295"/>
      <c r="CF968" s="4295"/>
      <c r="CG968" s="4295"/>
      <c r="CH968" s="4295"/>
      <c r="CI968" s="4295"/>
      <c r="CJ968" s="4295"/>
      <c r="CK968" s="4295"/>
      <c r="CL968" s="4295"/>
      <c r="CM968" s="4295"/>
      <c r="CN968" s="4295"/>
      <c r="CO968" s="4295"/>
      <c r="CP968" s="4295"/>
      <c r="CQ968" s="4295"/>
      <c r="CR968" s="4295"/>
      <c r="CS968" s="4295"/>
      <c r="CT968" s="4295"/>
      <c r="CU968" s="4295"/>
      <c r="CV968" s="4295"/>
      <c r="CW968" s="4295"/>
      <c r="CX968" s="4295"/>
      <c r="CY968" s="4295"/>
      <c r="CZ968" s="4295"/>
      <c r="DA968" s="4295"/>
      <c r="DB968" s="4295"/>
      <c r="DC968" s="4295"/>
      <c r="DD968" s="4295"/>
      <c r="DE968" s="4295"/>
      <c r="DF968" s="4295"/>
      <c r="DG968" s="4295"/>
      <c r="DH968" s="4295"/>
      <c r="DI968" s="4295"/>
      <c r="DJ968" s="4295"/>
      <c r="DK968" s="4295"/>
      <c r="DL968" s="4295"/>
      <c r="DM968" s="4295"/>
      <c r="DN968" s="4295"/>
      <c r="DO968" s="4295"/>
      <c r="DP968" s="4295"/>
      <c r="DQ968" s="4295"/>
      <c r="DR968" s="4295"/>
      <c r="DS968" s="4295"/>
    </row>
    <row r="969" s="4138" customFormat="1" ht="33.75" customHeight="1" spans="1:123">
      <c r="A969" s="4825" t="s">
        <v>5714</v>
      </c>
      <c r="B969" s="4826" t="s">
        <v>5701</v>
      </c>
      <c r="C969" s="4827"/>
      <c r="D969" s="4827"/>
      <c r="E969" s="4827"/>
      <c r="F969" s="4827"/>
      <c r="G969" s="4827"/>
      <c r="H969" s="4827"/>
      <c r="I969" s="4827"/>
      <c r="J969" s="4827"/>
      <c r="K969" s="4828"/>
      <c r="L969" s="4829">
        <v>9</v>
      </c>
      <c r="M969" s="4830">
        <v>2</v>
      </c>
      <c r="N969" s="4830">
        <v>1</v>
      </c>
      <c r="O969" s="4840">
        <f>IF(O964-O973&lt;0,0,O964-O973)</f>
        <v>0</v>
      </c>
      <c r="P969" s="4840"/>
      <c r="Q969" s="4840"/>
      <c r="R969" s="4840"/>
      <c r="S969" s="4840"/>
      <c r="T969" s="4840">
        <f>IF(T964-T973&lt;0,0,T964-T973)</f>
        <v>0</v>
      </c>
      <c r="U969" s="4840"/>
      <c r="V969" s="4840"/>
      <c r="W969" s="4840"/>
      <c r="X969" s="4840"/>
      <c r="Y969" s="4840"/>
      <c r="Z969" s="4840"/>
      <c r="AA969" s="4840"/>
      <c r="AB969" s="4840"/>
      <c r="AC969" s="4840"/>
      <c r="AD969" s="4840"/>
      <c r="AE969" s="4840"/>
      <c r="AF969" s="4840"/>
      <c r="AG969" s="4840"/>
      <c r="AH969" s="4840"/>
      <c r="AI969" s="4840"/>
      <c r="AJ969" s="4840"/>
      <c r="AK969" s="4840"/>
      <c r="AL969" s="4840"/>
      <c r="AM969" s="4840"/>
      <c r="AN969" s="4840"/>
      <c r="AO969" s="4840"/>
      <c r="AP969" s="4840"/>
      <c r="AQ969" s="4840"/>
      <c r="AR969" s="4840"/>
      <c r="AS969" s="4840"/>
      <c r="AT969" s="4840"/>
      <c r="AU969" s="4840"/>
      <c r="AV969" s="4840"/>
      <c r="AW969" s="4840"/>
      <c r="AX969" s="4840">
        <f>SUM(O969:AW969)</f>
        <v>0</v>
      </c>
      <c r="AY969" s="4840"/>
      <c r="AZ969" s="4840"/>
      <c r="BA969" s="4840"/>
      <c r="BB969" s="4840"/>
      <c r="BC969" s="4295"/>
      <c r="BD969" s="4295"/>
      <c r="BE969" s="4295"/>
      <c r="BF969" s="4295"/>
      <c r="BG969" s="4295"/>
      <c r="BH969" s="4295"/>
      <c r="BI969" s="4295"/>
      <c r="BJ969" s="4295"/>
      <c r="BK969" s="4295"/>
      <c r="BL969" s="4295"/>
      <c r="BM969" s="4295"/>
      <c r="BN969" s="4295"/>
      <c r="BO969" s="4295"/>
      <c r="BP969" s="4295"/>
      <c r="BQ969" s="4295"/>
      <c r="BR969" s="4295"/>
      <c r="BS969" s="4295"/>
      <c r="BT969" s="4295"/>
      <c r="BU969" s="4295"/>
      <c r="BV969" s="4295"/>
      <c r="BW969" s="4295"/>
      <c r="BX969" s="4295"/>
      <c r="BY969" s="4295"/>
      <c r="BZ969" s="4295"/>
      <c r="CA969" s="4295"/>
      <c r="CB969" s="4295"/>
      <c r="CC969" s="4295"/>
      <c r="CD969" s="4295"/>
      <c r="CE969" s="4295"/>
      <c r="CF969" s="4295"/>
      <c r="CG969" s="4295"/>
      <c r="CH969" s="4295"/>
      <c r="CI969" s="4295"/>
      <c r="CJ969" s="4295"/>
      <c r="CK969" s="4295"/>
      <c r="CL969" s="4295"/>
      <c r="CM969" s="4295"/>
      <c r="CN969" s="4295"/>
      <c r="CO969" s="4295"/>
      <c r="CP969" s="4295"/>
      <c r="CQ969" s="4295"/>
      <c r="CR969" s="4295"/>
      <c r="CS969" s="4295"/>
      <c r="CT969" s="4295"/>
      <c r="CU969" s="4295"/>
      <c r="CV969" s="4295"/>
      <c r="CW969" s="4295"/>
      <c r="CX969" s="4295"/>
      <c r="CY969" s="4295"/>
      <c r="CZ969" s="4295"/>
      <c r="DA969" s="4295"/>
      <c r="DB969" s="4295"/>
      <c r="DC969" s="4295"/>
      <c r="DD969" s="4295"/>
      <c r="DE969" s="4295"/>
      <c r="DF969" s="4295"/>
      <c r="DG969" s="4295"/>
      <c r="DH969" s="4295"/>
      <c r="DI969" s="4295"/>
      <c r="DJ969" s="4295"/>
      <c r="DK969" s="4295"/>
      <c r="DL969" s="4295"/>
      <c r="DM969" s="4295"/>
      <c r="DN969" s="4295"/>
      <c r="DO969" s="4295"/>
      <c r="DP969" s="4295"/>
      <c r="DQ969" s="4295"/>
      <c r="DR969" s="4295"/>
      <c r="DS969" s="4295"/>
    </row>
    <row r="970" s="4138" customFormat="1" ht="18" customHeight="1" spans="1:123">
      <c r="A970" s="4825" t="s">
        <v>5715</v>
      </c>
      <c r="B970" s="4826" t="s">
        <v>5702</v>
      </c>
      <c r="C970" s="4827"/>
      <c r="D970" s="4827"/>
      <c r="E970" s="4827"/>
      <c r="F970" s="4827"/>
      <c r="G970" s="4827"/>
      <c r="H970" s="4827"/>
      <c r="I970" s="4827"/>
      <c r="J970" s="4827"/>
      <c r="K970" s="4828"/>
      <c r="L970" s="4829">
        <v>9</v>
      </c>
      <c r="M970" s="4830">
        <v>2</v>
      </c>
      <c r="N970" s="4830">
        <v>2</v>
      </c>
      <c r="O970" s="4840"/>
      <c r="P970" s="4840"/>
      <c r="Q970" s="4840"/>
      <c r="R970" s="4840"/>
      <c r="S970" s="4840"/>
      <c r="T970" s="4840">
        <f>IF(T973-T964&lt;0,0,T973-T964)</f>
        <v>0</v>
      </c>
      <c r="U970" s="4840"/>
      <c r="V970" s="4840"/>
      <c r="W970" s="4840"/>
      <c r="X970" s="4840"/>
      <c r="Y970" s="4840"/>
      <c r="Z970" s="4840"/>
      <c r="AA970" s="4840"/>
      <c r="AB970" s="4840"/>
      <c r="AC970" s="4840"/>
      <c r="AD970" s="4840"/>
      <c r="AE970" s="4840"/>
      <c r="AF970" s="4840"/>
      <c r="AG970" s="4840"/>
      <c r="AH970" s="4840"/>
      <c r="AI970" s="4840"/>
      <c r="AJ970" s="4840"/>
      <c r="AK970" s="4840"/>
      <c r="AL970" s="4840"/>
      <c r="AM970" s="4840"/>
      <c r="AN970" s="4840"/>
      <c r="AO970" s="4840"/>
      <c r="AP970" s="4840"/>
      <c r="AQ970" s="4840"/>
      <c r="AR970" s="4840"/>
      <c r="AS970" s="4840"/>
      <c r="AT970" s="4840"/>
      <c r="AU970" s="4840"/>
      <c r="AV970" s="4840"/>
      <c r="AW970" s="4840"/>
      <c r="AX970" s="4840">
        <f>SUM(O970:AW970)</f>
        <v>0</v>
      </c>
      <c r="AY970" s="4840"/>
      <c r="AZ970" s="4840"/>
      <c r="BA970" s="4840"/>
      <c r="BB970" s="4840"/>
      <c r="BC970" s="4295"/>
      <c r="BD970" s="4295"/>
      <c r="BE970" s="4295"/>
      <c r="BF970" s="4295"/>
      <c r="BG970" s="4295"/>
      <c r="BH970" s="4295"/>
      <c r="BI970" s="4295"/>
      <c r="BJ970" s="4295"/>
      <c r="BK970" s="4295"/>
      <c r="BL970" s="4295"/>
      <c r="BM970" s="4295"/>
      <c r="BN970" s="4295"/>
      <c r="BO970" s="4295"/>
      <c r="BP970" s="4295"/>
      <c r="BQ970" s="4295"/>
      <c r="BR970" s="4295"/>
      <c r="BS970" s="4295"/>
      <c r="BT970" s="4295"/>
      <c r="BU970" s="4295"/>
      <c r="BV970" s="4295"/>
      <c r="BW970" s="4295"/>
      <c r="BX970" s="4295"/>
      <c r="BY970" s="4295"/>
      <c r="BZ970" s="4295"/>
      <c r="CA970" s="4295"/>
      <c r="CB970" s="4295"/>
      <c r="CC970" s="4295"/>
      <c r="CD970" s="4295"/>
      <c r="CE970" s="4295"/>
      <c r="CF970" s="4295"/>
      <c r="CG970" s="4295"/>
      <c r="CH970" s="4295"/>
      <c r="CI970" s="4295"/>
      <c r="CJ970" s="4295"/>
      <c r="CK970" s="4295"/>
      <c r="CL970" s="4295"/>
      <c r="CM970" s="4295"/>
      <c r="CN970" s="4295"/>
      <c r="CO970" s="4295"/>
      <c r="CP970" s="4295"/>
      <c r="CQ970" s="4295"/>
      <c r="CR970" s="4295"/>
      <c r="CS970" s="4295"/>
      <c r="CT970" s="4295"/>
      <c r="CU970" s="4295"/>
      <c r="CV970" s="4295"/>
      <c r="CW970" s="4295"/>
      <c r="CX970" s="4295"/>
      <c r="CY970" s="4295"/>
      <c r="CZ970" s="4295"/>
      <c r="DA970" s="4295"/>
      <c r="DB970" s="4295"/>
      <c r="DC970" s="4295"/>
      <c r="DD970" s="4295"/>
      <c r="DE970" s="4295"/>
      <c r="DF970" s="4295"/>
      <c r="DG970" s="4295"/>
      <c r="DH970" s="4295"/>
      <c r="DI970" s="4295"/>
      <c r="DJ970" s="4295"/>
      <c r="DK970" s="4295"/>
      <c r="DL970" s="4295"/>
      <c r="DM970" s="4295"/>
      <c r="DN970" s="4295"/>
      <c r="DO970" s="4295"/>
      <c r="DP970" s="4295"/>
      <c r="DQ970" s="4295"/>
      <c r="DR970" s="4295"/>
      <c r="DS970" s="4295"/>
    </row>
    <row r="971" s="4138" customFormat="1" ht="34.5" customHeight="1" spans="1:123">
      <c r="A971" s="4825" t="s">
        <v>5716</v>
      </c>
      <c r="B971" s="4826" t="s">
        <v>5703</v>
      </c>
      <c r="C971" s="4827"/>
      <c r="D971" s="4827"/>
      <c r="E971" s="4827"/>
      <c r="F971" s="4827"/>
      <c r="G971" s="4827"/>
      <c r="H971" s="4827"/>
      <c r="I971" s="4827"/>
      <c r="J971" s="4827"/>
      <c r="K971" s="4828"/>
      <c r="L971" s="4829">
        <v>9</v>
      </c>
      <c r="M971" s="4830">
        <v>2</v>
      </c>
      <c r="N971" s="4830">
        <v>3</v>
      </c>
      <c r="O971" s="4840"/>
      <c r="P971" s="4840"/>
      <c r="Q971" s="4840"/>
      <c r="R971" s="4840"/>
      <c r="S971" s="4840"/>
      <c r="T971" s="4840"/>
      <c r="U971" s="4840"/>
      <c r="V971" s="4840"/>
      <c r="W971" s="4840"/>
      <c r="X971" s="4840"/>
      <c r="Y971" s="4840"/>
      <c r="Z971" s="4840"/>
      <c r="AA971" s="4840"/>
      <c r="AB971" s="4840"/>
      <c r="AC971" s="4840"/>
      <c r="AD971" s="4840"/>
      <c r="AE971" s="4840"/>
      <c r="AF971" s="4840"/>
      <c r="AG971" s="4840"/>
      <c r="AH971" s="4840"/>
      <c r="AI971" s="4840"/>
      <c r="AJ971" s="4840"/>
      <c r="AK971" s="4840"/>
      <c r="AL971" s="4840"/>
      <c r="AM971" s="4840"/>
      <c r="AN971" s="4840"/>
      <c r="AO971" s="4840"/>
      <c r="AP971" s="4840"/>
      <c r="AQ971" s="4840"/>
      <c r="AR971" s="4840"/>
      <c r="AS971" s="4840">
        <f>AS973-AS964-AS967</f>
        <v>-91307</v>
      </c>
      <c r="AT971" s="4840"/>
      <c r="AU971" s="4840"/>
      <c r="AV971" s="4840"/>
      <c r="AW971" s="4840"/>
      <c r="AX971" s="4840">
        <f>SUM(O971:AW971)</f>
        <v>-91307</v>
      </c>
      <c r="AY971" s="4840"/>
      <c r="AZ971" s="4840"/>
      <c r="BA971" s="4840"/>
      <c r="BB971" s="4840"/>
      <c r="BC971" s="4295"/>
      <c r="BD971" s="4295"/>
      <c r="BE971" s="4295"/>
      <c r="BF971" s="4295"/>
      <c r="BG971" s="4295"/>
      <c r="BH971" s="4295"/>
      <c r="BI971" s="4295"/>
      <c r="BJ971" s="4295"/>
      <c r="BK971" s="4295"/>
      <c r="BL971" s="4295"/>
      <c r="BM971" s="4295"/>
      <c r="BN971" s="4295"/>
      <c r="BO971" s="4295"/>
      <c r="BP971" s="4295"/>
      <c r="BQ971" s="4295"/>
      <c r="BR971" s="4295"/>
      <c r="BS971" s="4295"/>
      <c r="BT971" s="4295"/>
      <c r="BU971" s="4295"/>
      <c r="BV971" s="4295"/>
      <c r="BW971" s="4295"/>
      <c r="BX971" s="4295"/>
      <c r="BY971" s="4295"/>
      <c r="BZ971" s="4295"/>
      <c r="CA971" s="4295"/>
      <c r="CB971" s="4295"/>
      <c r="CC971" s="4295"/>
      <c r="CD971" s="4295"/>
      <c r="CE971" s="4295"/>
      <c r="CF971" s="4295"/>
      <c r="CG971" s="4295"/>
      <c r="CH971" s="4295"/>
      <c r="CI971" s="4295"/>
      <c r="CJ971" s="4295"/>
      <c r="CK971" s="4295"/>
      <c r="CL971" s="4295"/>
      <c r="CM971" s="4295"/>
      <c r="CN971" s="4295"/>
      <c r="CO971" s="4295"/>
      <c r="CP971" s="4295"/>
      <c r="CQ971" s="4295"/>
      <c r="CR971" s="4295"/>
      <c r="CS971" s="4295"/>
      <c r="CT971" s="4295"/>
      <c r="CU971" s="4295"/>
      <c r="CV971" s="4295"/>
      <c r="CW971" s="4295"/>
      <c r="CX971" s="4295"/>
      <c r="CY971" s="4295"/>
      <c r="CZ971" s="4295"/>
      <c r="DA971" s="4295"/>
      <c r="DB971" s="4295"/>
      <c r="DC971" s="4295"/>
      <c r="DD971" s="4295"/>
      <c r="DE971" s="4295"/>
      <c r="DF971" s="4295"/>
      <c r="DG971" s="4295"/>
      <c r="DH971" s="4295"/>
      <c r="DI971" s="4295"/>
      <c r="DJ971" s="4295"/>
      <c r="DK971" s="4295"/>
      <c r="DL971" s="4295"/>
      <c r="DM971" s="4295"/>
      <c r="DN971" s="4295"/>
      <c r="DO971" s="4295"/>
      <c r="DP971" s="4295"/>
      <c r="DQ971" s="4295"/>
      <c r="DR971" s="4295"/>
      <c r="DS971" s="4295"/>
    </row>
    <row r="972" s="4138" customFormat="1" ht="18" customHeight="1" spans="1:123">
      <c r="A972" s="4825" t="s">
        <v>5717</v>
      </c>
      <c r="B972" s="4826" t="s">
        <v>5704</v>
      </c>
      <c r="C972" s="4827"/>
      <c r="D972" s="4827"/>
      <c r="E972" s="4827"/>
      <c r="F972" s="4827"/>
      <c r="G972" s="4827"/>
      <c r="H972" s="4827"/>
      <c r="I972" s="4827"/>
      <c r="J972" s="4827"/>
      <c r="K972" s="4828"/>
      <c r="L972" s="4829">
        <v>9</v>
      </c>
      <c r="M972" s="4830">
        <v>2</v>
      </c>
      <c r="N972" s="4830">
        <v>4</v>
      </c>
      <c r="O972" s="4840"/>
      <c r="P972" s="4840"/>
      <c r="Q972" s="4840"/>
      <c r="R972" s="4840"/>
      <c r="S972" s="4840"/>
      <c r="T972" s="4840"/>
      <c r="U972" s="4840"/>
      <c r="V972" s="4840"/>
      <c r="W972" s="4840"/>
      <c r="X972" s="4840"/>
      <c r="Y972" s="4840">
        <f>Y973-Y964</f>
        <v>1</v>
      </c>
      <c r="Z972" s="4840"/>
      <c r="AA972" s="4840"/>
      <c r="AB972" s="4840"/>
      <c r="AC972" s="4840"/>
      <c r="AD972" s="4840">
        <f>AD973-AD964</f>
        <v>0</v>
      </c>
      <c r="AE972" s="4840"/>
      <c r="AF972" s="4840"/>
      <c r="AG972" s="4840"/>
      <c r="AH972" s="4840"/>
      <c r="AI972" s="4840">
        <f>AI973-AI964</f>
        <v>0</v>
      </c>
      <c r="AJ972" s="4840"/>
      <c r="AK972" s="4840"/>
      <c r="AL972" s="4840"/>
      <c r="AM972" s="4840"/>
      <c r="AN972" s="4840">
        <f>AN973-AN964</f>
        <v>0</v>
      </c>
      <c r="AO972" s="4840"/>
      <c r="AP972" s="4840"/>
      <c r="AQ972" s="4840"/>
      <c r="AR972" s="4840"/>
      <c r="AS972" s="4840"/>
      <c r="AT972" s="4840"/>
      <c r="AU972" s="4840"/>
      <c r="AV972" s="4840"/>
      <c r="AW972" s="4840"/>
      <c r="AX972" s="4840">
        <f>SUM(O972:AW972)</f>
        <v>1</v>
      </c>
      <c r="AY972" s="4840"/>
      <c r="AZ972" s="4840"/>
      <c r="BA972" s="4840"/>
      <c r="BB972" s="4840"/>
      <c r="BC972" s="4295"/>
      <c r="BD972" s="4295"/>
      <c r="BE972" s="4295"/>
      <c r="BF972" s="4295"/>
      <c r="BG972" s="4295"/>
      <c r="BH972" s="4295"/>
      <c r="BI972" s="4295"/>
      <c r="BJ972" s="4295"/>
      <c r="BK972" s="4295"/>
      <c r="BL972" s="4295"/>
      <c r="BM972" s="4295"/>
      <c r="BN972" s="4295"/>
      <c r="BO972" s="4295"/>
      <c r="BP972" s="4295"/>
      <c r="BQ972" s="4295"/>
      <c r="BR972" s="4295"/>
      <c r="BS972" s="4295"/>
      <c r="BT972" s="4295"/>
      <c r="BU972" s="4295"/>
      <c r="BV972" s="4295"/>
      <c r="BW972" s="4295"/>
      <c r="BX972" s="4295"/>
      <c r="BY972" s="4295"/>
      <c r="BZ972" s="4295"/>
      <c r="CA972" s="4295"/>
      <c r="CB972" s="4295"/>
      <c r="CC972" s="4295"/>
      <c r="CD972" s="4295"/>
      <c r="CE972" s="4295"/>
      <c r="CF972" s="4295"/>
      <c r="CG972" s="4295"/>
      <c r="CH972" s="4295"/>
      <c r="CI972" s="4295"/>
      <c r="CJ972" s="4295"/>
      <c r="CK972" s="4295"/>
      <c r="CL972" s="4295"/>
      <c r="CM972" s="4295"/>
      <c r="CN972" s="4295"/>
      <c r="CO972" s="4295"/>
      <c r="CP972" s="4295"/>
      <c r="CQ972" s="4295"/>
      <c r="CR972" s="4295"/>
      <c r="CS972" s="4295"/>
      <c r="CT972" s="4295"/>
      <c r="CU972" s="4295"/>
      <c r="CV972" s="4295"/>
      <c r="CW972" s="4295"/>
      <c r="CX972" s="4295"/>
      <c r="CY972" s="4295"/>
      <c r="CZ972" s="4295"/>
      <c r="DA972" s="4295"/>
      <c r="DB972" s="4295"/>
      <c r="DC972" s="4295"/>
      <c r="DD972" s="4295"/>
      <c r="DE972" s="4295"/>
      <c r="DF972" s="4295"/>
      <c r="DG972" s="4295"/>
      <c r="DH972" s="4295"/>
      <c r="DI972" s="4295"/>
      <c r="DJ972" s="4295"/>
      <c r="DK972" s="4295"/>
      <c r="DL972" s="4295"/>
      <c r="DM972" s="4295"/>
      <c r="DN972" s="4295"/>
      <c r="DO972" s="4295"/>
      <c r="DP972" s="4295"/>
      <c r="DQ972" s="4295"/>
      <c r="DR972" s="4295"/>
      <c r="DS972" s="4295"/>
    </row>
    <row r="973" s="4139" customFormat="1" ht="33.75" customHeight="1" spans="1:123">
      <c r="A973" s="4850" t="s">
        <v>5718</v>
      </c>
      <c r="B973" s="4834" t="str">
        <f ca="1">"Stanje na dan 31/12/"&amp;PoslGod&amp;".godine (916+919+920+921+922+923+924)"</f>
        <v>Stanje na dan 31/12/2025.godine (916+919+920+921+922+923+924)</v>
      </c>
      <c r="C973" s="4835"/>
      <c r="D973" s="4835"/>
      <c r="E973" s="4835"/>
      <c r="F973" s="4835"/>
      <c r="G973" s="4835"/>
      <c r="H973" s="4835"/>
      <c r="I973" s="4835"/>
      <c r="J973" s="4835"/>
      <c r="K973" s="4836"/>
      <c r="L973" s="4837">
        <v>9</v>
      </c>
      <c r="M973" s="4838">
        <v>2</v>
      </c>
      <c r="N973" s="4838">
        <v>5</v>
      </c>
      <c r="O973" s="4839">
        <f>B_Stanja!AI93</f>
        <v>350000</v>
      </c>
      <c r="P973" s="4839"/>
      <c r="Q973" s="4839"/>
      <c r="R973" s="4839"/>
      <c r="S973" s="4839"/>
      <c r="T973" s="4849">
        <f>B_Stanja!AI99</f>
        <v>0</v>
      </c>
      <c r="U973" s="4849"/>
      <c r="V973" s="4849"/>
      <c r="W973" s="4849"/>
      <c r="X973" s="4849"/>
      <c r="Y973" s="4849">
        <f>B_Stanja!AI100</f>
        <v>18462</v>
      </c>
      <c r="Z973" s="4849"/>
      <c r="AA973" s="4849"/>
      <c r="AB973" s="4849"/>
      <c r="AC973" s="4849"/>
      <c r="AD973" s="4839">
        <f>B_Stanja!AI104</f>
        <v>0</v>
      </c>
      <c r="AE973" s="4839"/>
      <c r="AF973" s="4839"/>
      <c r="AG973" s="4839"/>
      <c r="AH973" s="4839"/>
      <c r="AI973" s="4839">
        <f>B_Stanja!AI105</f>
        <v>0</v>
      </c>
      <c r="AJ973" s="4839"/>
      <c r="AK973" s="4839"/>
      <c r="AL973" s="4839"/>
      <c r="AM973" s="4839"/>
      <c r="AN973" s="4839">
        <f>B_Stanja!AI106</f>
        <v>0</v>
      </c>
      <c r="AO973" s="4839"/>
      <c r="AP973" s="4839"/>
      <c r="AQ973" s="4839"/>
      <c r="AR973" s="4839"/>
      <c r="AS973" s="4839">
        <f>B_Stanja!AI107-B_Stanja!AI110</f>
        <v>-59197</v>
      </c>
      <c r="AT973" s="4839"/>
      <c r="AU973" s="4839"/>
      <c r="AV973" s="4839"/>
      <c r="AW973" s="4839"/>
      <c r="AX973" s="4839">
        <f>B_Stanja!AI115</f>
        <v>309265</v>
      </c>
      <c r="AY973" s="4839"/>
      <c r="AZ973" s="4839"/>
      <c r="BA973" s="4839"/>
      <c r="BB973" s="4839"/>
      <c r="BC973" s="4295"/>
      <c r="BD973" s="4295"/>
      <c r="BE973" s="4295"/>
      <c r="BF973" s="4295"/>
      <c r="BG973" s="4295"/>
      <c r="BH973" s="4295"/>
      <c r="BI973" s="4295"/>
      <c r="BJ973" s="4295"/>
      <c r="BK973" s="4295"/>
      <c r="BL973" s="4295"/>
      <c r="BM973" s="4295"/>
      <c r="BN973" s="4295"/>
      <c r="BO973" s="4295"/>
      <c r="BP973" s="4295"/>
      <c r="BQ973" s="4295"/>
      <c r="BR973" s="4295"/>
      <c r="BS973" s="4295"/>
      <c r="BT973" s="4295"/>
      <c r="BU973" s="4295"/>
      <c r="BV973" s="4295"/>
      <c r="BW973" s="4295"/>
      <c r="BX973" s="4295"/>
      <c r="BY973" s="4295"/>
      <c r="BZ973" s="4295"/>
      <c r="CA973" s="4295"/>
      <c r="CB973" s="4295"/>
      <c r="CC973" s="4295"/>
      <c r="CD973" s="4295"/>
      <c r="CE973" s="4295"/>
      <c r="CF973" s="4295"/>
      <c r="CG973" s="4295"/>
      <c r="CH973" s="4295"/>
      <c r="CI973" s="4295"/>
      <c r="CJ973" s="4295"/>
      <c r="CK973" s="4295"/>
      <c r="CL973" s="4295"/>
      <c r="CM973" s="4295"/>
      <c r="CN973" s="4295"/>
      <c r="CO973" s="4295"/>
      <c r="CP973" s="4295"/>
      <c r="CQ973" s="4295"/>
      <c r="CR973" s="4295"/>
      <c r="CS973" s="4295"/>
      <c r="CT973" s="4295"/>
      <c r="CU973" s="4295"/>
      <c r="CV973" s="4295"/>
      <c r="CW973" s="4295"/>
      <c r="CX973" s="4295"/>
      <c r="CY973" s="4295"/>
      <c r="CZ973" s="4295"/>
      <c r="DA973" s="4295"/>
      <c r="DB973" s="4295"/>
      <c r="DC973" s="4295"/>
      <c r="DD973" s="4295"/>
      <c r="DE973" s="4295"/>
      <c r="DF973" s="4295"/>
      <c r="DG973" s="4295"/>
      <c r="DH973" s="4295"/>
      <c r="DI973" s="4295"/>
      <c r="DJ973" s="4295"/>
      <c r="DK973" s="4295"/>
      <c r="DL973" s="4295"/>
      <c r="DM973" s="4295"/>
      <c r="DN973" s="4295"/>
      <c r="DO973" s="4295"/>
      <c r="DP973" s="4295"/>
      <c r="DQ973" s="4295"/>
      <c r="DR973" s="4295"/>
      <c r="DS973" s="4295"/>
    </row>
    <row r="974" s="4133" customFormat="1" ht="17.25" customHeight="1" spans="1:123">
      <c r="A974" s="4295"/>
      <c r="B974" s="4295"/>
      <c r="C974" s="4295"/>
      <c r="D974" s="4295"/>
      <c r="E974" s="4295"/>
      <c r="F974" s="4295"/>
      <c r="G974" s="4295"/>
      <c r="H974" s="4295"/>
      <c r="I974" s="4295"/>
      <c r="J974" s="4295"/>
      <c r="K974" s="4295"/>
      <c r="L974" s="4295"/>
      <c r="M974" s="4295"/>
      <c r="N974" s="4295"/>
      <c r="O974" s="4295"/>
      <c r="P974" s="4295"/>
      <c r="Q974" s="4295"/>
      <c r="R974" s="4295"/>
      <c r="S974" s="4295"/>
      <c r="T974" s="4295"/>
      <c r="U974" s="4295"/>
      <c r="V974" s="4295"/>
      <c r="W974" s="4295"/>
      <c r="X974" s="4295"/>
      <c r="Y974" s="4295"/>
      <c r="Z974" s="4295"/>
      <c r="AA974" s="4295"/>
      <c r="AB974" s="4295"/>
      <c r="AC974" s="4295"/>
      <c r="AD974" s="4295"/>
      <c r="AE974" s="4295"/>
      <c r="AF974" s="4295"/>
      <c r="AG974" s="4295"/>
      <c r="AH974" s="4295"/>
      <c r="AI974" s="4295"/>
      <c r="AJ974" s="4295"/>
      <c r="AK974" s="4295"/>
      <c r="AL974" s="4295"/>
      <c r="AM974" s="4295"/>
      <c r="AN974" s="4295"/>
      <c r="AO974" s="4295"/>
      <c r="AP974" s="4295"/>
      <c r="AQ974" s="4295"/>
      <c r="AR974" s="4295"/>
      <c r="AS974" s="4295"/>
      <c r="AT974" s="4295"/>
      <c r="AU974" s="4295"/>
      <c r="AV974" s="4295"/>
      <c r="AW974" s="4295"/>
      <c r="AX974" s="4851">
        <f>AX973-AX972-AX971-AX970-AX969-AX968-AX965-AX964</f>
        <v>0</v>
      </c>
      <c r="AY974" s="4852"/>
      <c r="AZ974" s="4852"/>
      <c r="BA974" s="4852"/>
      <c r="BB974" s="4852"/>
      <c r="BC974" s="4295"/>
      <c r="BD974" s="4295"/>
      <c r="BE974" s="4295"/>
      <c r="BF974" s="4295"/>
      <c r="BG974" s="4295"/>
      <c r="BH974" s="4295"/>
      <c r="BI974" s="4295"/>
      <c r="BJ974" s="4295"/>
      <c r="BK974" s="4295"/>
      <c r="BL974" s="4295"/>
      <c r="BM974" s="4295"/>
      <c r="BN974" s="4295"/>
      <c r="BO974" s="4295"/>
      <c r="BP974" s="4295"/>
      <c r="BQ974" s="4295"/>
      <c r="BR974" s="4295"/>
      <c r="BS974" s="4295"/>
      <c r="BT974" s="4295"/>
      <c r="BU974" s="4295"/>
      <c r="BV974" s="4295"/>
      <c r="BW974" s="4295"/>
      <c r="BX974" s="4295"/>
      <c r="BY974" s="4295"/>
      <c r="BZ974" s="4295"/>
      <c r="CA974" s="4295"/>
      <c r="CB974" s="4295"/>
      <c r="CC974" s="4295"/>
      <c r="CD974" s="4295"/>
      <c r="CE974" s="4295"/>
      <c r="CF974" s="4295"/>
      <c r="CG974" s="4295"/>
      <c r="CH974" s="4295"/>
      <c r="CI974" s="4295"/>
      <c r="CJ974" s="4295"/>
      <c r="CK974" s="4295"/>
      <c r="CL974" s="4295"/>
      <c r="CM974" s="4295"/>
      <c r="CN974" s="4295"/>
      <c r="CO974" s="4295"/>
      <c r="CP974" s="4295"/>
      <c r="CQ974" s="4295"/>
      <c r="CR974" s="4295"/>
      <c r="CS974" s="4295"/>
      <c r="CT974" s="4295"/>
      <c r="CU974" s="4295"/>
      <c r="CV974" s="4295"/>
      <c r="CW974" s="4295"/>
      <c r="CX974" s="4295"/>
      <c r="CY974" s="4295"/>
      <c r="CZ974" s="4295"/>
      <c r="DA974" s="4295"/>
      <c r="DB974" s="4295"/>
      <c r="DC974" s="4295"/>
      <c r="DD974" s="4295"/>
      <c r="DE974" s="4295"/>
      <c r="DF974" s="4295"/>
      <c r="DG974" s="4295"/>
      <c r="DH974" s="4295"/>
      <c r="DI974" s="4295"/>
      <c r="DJ974" s="4295"/>
      <c r="DK974" s="4295"/>
      <c r="DL974" s="4295"/>
      <c r="DM974" s="4295"/>
      <c r="DN974" s="4295"/>
      <c r="DO974" s="4295"/>
      <c r="DP974" s="4295"/>
      <c r="DQ974" s="4295"/>
      <c r="DR974" s="4295"/>
      <c r="DS974" s="4295"/>
    </row>
    <row r="975" s="4133" customFormat="1" ht="17.25" customHeight="1" spans="1:123">
      <c r="A975" s="4295"/>
      <c r="B975" s="4295"/>
      <c r="C975" s="4295"/>
      <c r="D975" s="4295"/>
      <c r="E975" s="4295"/>
      <c r="F975" s="4295"/>
      <c r="G975" s="4295"/>
      <c r="H975" s="4295"/>
      <c r="I975" s="4295"/>
      <c r="J975" s="4295"/>
      <c r="K975" s="4295"/>
      <c r="L975" s="4295"/>
      <c r="M975" s="4295"/>
      <c r="N975" s="4295"/>
      <c r="O975" s="4295"/>
      <c r="P975" s="4295"/>
      <c r="Q975" s="4295"/>
      <c r="R975" s="4295"/>
      <c r="S975" s="4295"/>
      <c r="T975" s="4295"/>
      <c r="U975" s="4295"/>
      <c r="V975" s="4295"/>
      <c r="W975" s="4295"/>
      <c r="X975" s="4295"/>
      <c r="Y975" s="4295"/>
      <c r="Z975" s="4295"/>
      <c r="AA975" s="4295"/>
      <c r="AB975" s="4295"/>
      <c r="AC975" s="4295"/>
      <c r="AD975" s="4295"/>
      <c r="AE975" s="4295"/>
      <c r="AF975" s="4295"/>
      <c r="AG975" s="4295"/>
      <c r="AH975" s="4295"/>
      <c r="AI975" s="4295"/>
      <c r="AJ975" s="4295"/>
      <c r="AK975" s="4295"/>
      <c r="AL975" s="4295"/>
      <c r="AM975" s="4295"/>
      <c r="AN975" s="4295"/>
      <c r="AO975" s="4295"/>
      <c r="AP975" s="4295"/>
      <c r="AQ975" s="4295"/>
      <c r="AR975" s="4295"/>
      <c r="AS975" s="4295"/>
      <c r="AT975" s="4295"/>
      <c r="AU975" s="4295"/>
      <c r="AV975" s="4295"/>
      <c r="AW975" s="4295"/>
      <c r="AX975" s="4851"/>
      <c r="AY975" s="4852"/>
      <c r="AZ975" s="4852"/>
      <c r="BA975" s="4852"/>
      <c r="BB975" s="4852"/>
      <c r="BC975" s="4295"/>
      <c r="BD975" s="4295"/>
      <c r="BE975" s="4295"/>
      <c r="BF975" s="4295"/>
      <c r="BG975" s="4295"/>
      <c r="BH975" s="4295"/>
      <c r="BI975" s="4295"/>
      <c r="BJ975" s="4295"/>
      <c r="BK975" s="4295"/>
      <c r="BL975" s="4295"/>
      <c r="BM975" s="4295"/>
      <c r="BN975" s="4295"/>
      <c r="BO975" s="4295"/>
      <c r="BP975" s="4295"/>
      <c r="BQ975" s="4295"/>
      <c r="BR975" s="4295"/>
      <c r="BS975" s="4295"/>
      <c r="BT975" s="4295"/>
      <c r="BU975" s="4295"/>
      <c r="BV975" s="4295"/>
      <c r="BW975" s="4295"/>
      <c r="BX975" s="4295"/>
      <c r="BY975" s="4295"/>
      <c r="BZ975" s="4295"/>
      <c r="CA975" s="4295"/>
      <c r="CB975" s="4295"/>
      <c r="CC975" s="4295"/>
      <c r="CD975" s="4295"/>
      <c r="CE975" s="4295"/>
      <c r="CF975" s="4295"/>
      <c r="CG975" s="4295"/>
      <c r="CH975" s="4295"/>
      <c r="CI975" s="4295"/>
      <c r="CJ975" s="4295"/>
      <c r="CK975" s="4295"/>
      <c r="CL975" s="4295"/>
      <c r="CM975" s="4295"/>
      <c r="CN975" s="4295"/>
      <c r="CO975" s="4295"/>
      <c r="CP975" s="4295"/>
      <c r="CQ975" s="4295"/>
      <c r="CR975" s="4295"/>
      <c r="CS975" s="4295"/>
      <c r="CT975" s="4295"/>
      <c r="CU975" s="4295"/>
      <c r="CV975" s="4295"/>
      <c r="CW975" s="4295"/>
      <c r="CX975" s="4295"/>
      <c r="CY975" s="4295"/>
      <c r="CZ975" s="4295"/>
      <c r="DA975" s="4295"/>
      <c r="DB975" s="4295"/>
      <c r="DC975" s="4295"/>
      <c r="DD975" s="4295"/>
      <c r="DE975" s="4295"/>
      <c r="DF975" s="4295"/>
      <c r="DG975" s="4295"/>
      <c r="DH975" s="4295"/>
      <c r="DI975" s="4295"/>
      <c r="DJ975" s="4295"/>
      <c r="DK975" s="4295"/>
      <c r="DL975" s="4295"/>
      <c r="DM975" s="4295"/>
      <c r="DN975" s="4295"/>
      <c r="DO975" s="4295"/>
      <c r="DP975" s="4295"/>
      <c r="DQ975" s="4295"/>
      <c r="DR975" s="4295"/>
      <c r="DS975" s="4295"/>
    </row>
    <row r="976" s="4133" customFormat="1" ht="17.25" hidden="1" customHeight="1" spans="1:123">
      <c r="A976" s="4295"/>
      <c r="B976" s="4295"/>
      <c r="C976" s="4295"/>
      <c r="D976" s="4295"/>
      <c r="E976" s="4295"/>
      <c r="F976" s="4295"/>
      <c r="G976" s="4295"/>
      <c r="H976" s="4295"/>
      <c r="I976" s="4295"/>
      <c r="J976" s="4295"/>
      <c r="K976" s="4295"/>
      <c r="L976" s="4295"/>
      <c r="M976" s="4295"/>
      <c r="N976" s="4295"/>
      <c r="O976" s="4295"/>
      <c r="P976" s="4295"/>
      <c r="Q976" s="4295"/>
      <c r="R976" s="4295"/>
      <c r="S976" s="4295"/>
      <c r="T976" s="4295"/>
      <c r="U976" s="4295"/>
      <c r="V976" s="4295"/>
      <c r="W976" s="4295"/>
      <c r="X976" s="4295"/>
      <c r="Y976" s="4295"/>
      <c r="Z976" s="4295"/>
      <c r="AA976" s="4295"/>
      <c r="AB976" s="4295"/>
      <c r="AC976" s="4295"/>
      <c r="AD976" s="4295"/>
      <c r="AE976" s="4295"/>
      <c r="AF976" s="4295"/>
      <c r="AG976" s="4295"/>
      <c r="AH976" s="4295"/>
      <c r="AI976" s="4295"/>
      <c r="AJ976" s="4295"/>
      <c r="AK976" s="4295"/>
      <c r="AL976" s="4295"/>
      <c r="AM976" s="4295"/>
      <c r="AN976" s="4295"/>
      <c r="AO976" s="4295"/>
      <c r="AP976" s="4295"/>
      <c r="AQ976" s="4295"/>
      <c r="AR976" s="4295"/>
      <c r="AS976" s="4295"/>
      <c r="AT976" s="4295"/>
      <c r="AU976" s="4295"/>
      <c r="AV976" s="4295"/>
      <c r="AW976" s="4295"/>
      <c r="AX976" s="4851"/>
      <c r="AY976" s="4852"/>
      <c r="AZ976" s="4852"/>
      <c r="BA976" s="4852"/>
      <c r="BB976" s="4852"/>
      <c r="BC976" s="4853"/>
      <c r="BD976" s="4853"/>
      <c r="BE976" s="4853"/>
      <c r="BF976" s="4853"/>
      <c r="BG976" s="4853"/>
      <c r="BH976" s="4853"/>
      <c r="BI976" s="4853"/>
      <c r="BJ976" s="4853"/>
      <c r="BK976" s="4853"/>
      <c r="BL976" s="4853"/>
      <c r="BM976" s="4295"/>
      <c r="BN976" s="4295"/>
      <c r="BO976" s="4295"/>
      <c r="BP976" s="4295"/>
      <c r="BQ976" s="4295"/>
      <c r="BR976" s="4295"/>
      <c r="BS976" s="4295"/>
      <c r="BT976" s="4295"/>
      <c r="BU976" s="4295"/>
      <c r="BV976" s="4295"/>
      <c r="BW976" s="4295"/>
      <c r="BX976" s="4295"/>
      <c r="BY976" s="4295"/>
      <c r="BZ976" s="4295"/>
      <c r="CA976" s="4295"/>
      <c r="CB976" s="4295"/>
      <c r="CC976" s="4295"/>
      <c r="CD976" s="4295"/>
      <c r="CE976" s="4295"/>
      <c r="CF976" s="4295"/>
      <c r="CG976" s="4295"/>
      <c r="CH976" s="4295"/>
      <c r="CI976" s="4295"/>
      <c r="CJ976" s="4295"/>
      <c r="CK976" s="4295"/>
      <c r="CL976" s="4295"/>
      <c r="CM976" s="4295"/>
      <c r="CN976" s="4295"/>
      <c r="CO976" s="4295"/>
      <c r="CP976" s="4295"/>
      <c r="CQ976" s="4295"/>
      <c r="CR976" s="4295"/>
      <c r="CS976" s="4295"/>
      <c r="CT976" s="4295"/>
      <c r="CU976" s="4295"/>
      <c r="CV976" s="4295"/>
      <c r="CW976" s="4295"/>
      <c r="CX976" s="4295"/>
      <c r="CY976" s="4295"/>
      <c r="CZ976" s="4295"/>
      <c r="DA976" s="4295"/>
      <c r="DB976" s="4295"/>
      <c r="DC976" s="4295"/>
      <c r="DD976" s="4295"/>
      <c r="DE976" s="4295"/>
      <c r="DF976" s="4295"/>
      <c r="DG976" s="4295"/>
      <c r="DH976" s="4295"/>
      <c r="DI976" s="4295"/>
      <c r="DJ976" s="4295"/>
      <c r="DK976" s="4295"/>
      <c r="DL976" s="4295"/>
      <c r="DM976" s="4295"/>
      <c r="DN976" s="4295"/>
      <c r="DO976" s="4295"/>
      <c r="DP976" s="4295"/>
      <c r="DQ976" s="4295"/>
      <c r="DR976" s="4295"/>
      <c r="DS976" s="4295"/>
    </row>
    <row r="977" s="4133" customFormat="1" hidden="1" spans="1:123">
      <c r="A977" s="4295"/>
      <c r="B977" s="4295"/>
      <c r="C977" s="4295"/>
      <c r="D977" s="4295"/>
      <c r="E977" s="4295"/>
      <c r="F977" s="4295"/>
      <c r="G977" s="4295"/>
      <c r="H977" s="4295"/>
      <c r="I977" s="4295"/>
      <c r="J977" s="4295"/>
      <c r="K977" s="4295"/>
      <c r="L977" s="4295"/>
      <c r="M977" s="4295"/>
      <c r="N977" s="4295"/>
      <c r="O977" s="4295"/>
      <c r="P977" s="4295"/>
      <c r="Q977" s="4295"/>
      <c r="R977" s="4295"/>
      <c r="S977" s="4295"/>
      <c r="T977" s="4295"/>
      <c r="U977" s="4295"/>
      <c r="V977" s="4295"/>
      <c r="W977" s="4295"/>
      <c r="X977" s="4295"/>
      <c r="Y977" s="4295"/>
      <c r="Z977" s="4295"/>
      <c r="AA977" s="4295"/>
      <c r="AB977" s="4295"/>
      <c r="AC977" s="4295"/>
      <c r="AD977" s="4295"/>
      <c r="AE977" s="4295"/>
      <c r="AF977" s="4295"/>
      <c r="AG977" s="4295"/>
      <c r="AH977" s="4295"/>
      <c r="AI977" s="4295"/>
      <c r="AJ977" s="4295"/>
      <c r="AK977" s="4295"/>
      <c r="AL977" s="4295"/>
      <c r="AM977" s="4295"/>
      <c r="AN977" s="4295"/>
      <c r="AO977" s="4295"/>
      <c r="AP977" s="4295"/>
      <c r="AQ977" s="4295"/>
      <c r="AR977" s="4295"/>
      <c r="AS977" s="4295"/>
      <c r="AT977" s="4295"/>
      <c r="AU977" s="4295"/>
      <c r="AV977" s="4295"/>
      <c r="AW977" s="4295"/>
      <c r="AX977" s="4851"/>
      <c r="AY977" s="4852"/>
      <c r="AZ977" s="4852"/>
      <c r="BA977" s="4852"/>
      <c r="BB977" s="4852"/>
      <c r="BC977" s="4853"/>
      <c r="BD977" s="4853"/>
      <c r="BE977" s="4853"/>
      <c r="BF977" s="4853"/>
      <c r="BG977" s="4853"/>
      <c r="BH977" s="4853"/>
      <c r="BI977" s="4853"/>
      <c r="BJ977" s="4853"/>
      <c r="BK977" s="4853"/>
      <c r="BL977" s="4853"/>
      <c r="BM977" s="4295"/>
      <c r="BN977" s="4295"/>
      <c r="BO977" s="4295"/>
      <c r="BP977" s="4295"/>
      <c r="BQ977" s="4295"/>
      <c r="BR977" s="4295"/>
      <c r="BS977" s="4295"/>
      <c r="BT977" s="4295"/>
      <c r="BU977" s="4295"/>
      <c r="BV977" s="4295"/>
      <c r="BW977" s="4295"/>
      <c r="BX977" s="4295"/>
      <c r="BY977" s="4295"/>
      <c r="BZ977" s="4295"/>
      <c r="CA977" s="4295"/>
      <c r="CB977" s="4295"/>
      <c r="CC977" s="4295"/>
      <c r="CD977" s="4295"/>
      <c r="CE977" s="4295"/>
      <c r="CF977" s="4295"/>
      <c r="CG977" s="4295"/>
      <c r="CH977" s="4295"/>
      <c r="CI977" s="4295"/>
      <c r="CJ977" s="4295"/>
      <c r="CK977" s="4295"/>
      <c r="CL977" s="4295"/>
      <c r="CM977" s="4295"/>
      <c r="CN977" s="4295"/>
      <c r="CO977" s="4295"/>
      <c r="CP977" s="4295"/>
      <c r="CQ977" s="4295"/>
      <c r="CR977" s="4295"/>
      <c r="CS977" s="4295"/>
      <c r="CT977" s="4295"/>
      <c r="CU977" s="4295"/>
      <c r="CV977" s="4295"/>
      <c r="CW977" s="4295"/>
      <c r="CX977" s="4295"/>
      <c r="CY977" s="4295"/>
      <c r="CZ977" s="4295"/>
      <c r="DA977" s="4295"/>
      <c r="DB977" s="4295"/>
      <c r="DC977" s="4295"/>
      <c r="DD977" s="4295"/>
      <c r="DE977" s="4295"/>
      <c r="DF977" s="4295"/>
      <c r="DG977" s="4295"/>
      <c r="DH977" s="4295"/>
      <c r="DI977" s="4295"/>
      <c r="DJ977" s="4295"/>
      <c r="DK977" s="4295"/>
      <c r="DL977" s="4295"/>
      <c r="DM977" s="4295"/>
      <c r="DN977" s="4295"/>
      <c r="DO977" s="4295"/>
      <c r="DP977" s="4295"/>
      <c r="DQ977" s="4295"/>
      <c r="DR977" s="4295"/>
      <c r="DS977" s="4295"/>
    </row>
    <row r="978" s="4133" customFormat="1" hidden="1" spans="1:123">
      <c r="A978" s="4295"/>
      <c r="B978" s="4295"/>
      <c r="C978" s="4295"/>
      <c r="D978" s="4295"/>
      <c r="E978" s="4295"/>
      <c r="F978" s="4295"/>
      <c r="G978" s="4295"/>
      <c r="H978" s="4295"/>
      <c r="I978" s="4295"/>
      <c r="J978" s="4295"/>
      <c r="K978" s="4295"/>
      <c r="L978" s="4295"/>
      <c r="M978" s="4295"/>
      <c r="N978" s="4295"/>
      <c r="O978" s="4295"/>
      <c r="P978" s="4295"/>
      <c r="Q978" s="4295"/>
      <c r="R978" s="4295"/>
      <c r="S978" s="4295"/>
      <c r="T978" s="4295"/>
      <c r="U978" s="4295"/>
      <c r="V978" s="4295"/>
      <c r="W978" s="4295"/>
      <c r="X978" s="4295"/>
      <c r="Y978" s="4295"/>
      <c r="Z978" s="4295"/>
      <c r="AA978" s="4295"/>
      <c r="AB978" s="4295"/>
      <c r="AC978" s="4295"/>
      <c r="AD978" s="4295"/>
      <c r="AE978" s="4295"/>
      <c r="AF978" s="4295"/>
      <c r="AG978" s="4295"/>
      <c r="AH978" s="4295"/>
      <c r="AI978" s="4295"/>
      <c r="AJ978" s="4295"/>
      <c r="AK978" s="4295"/>
      <c r="AL978" s="4295"/>
      <c r="AM978" s="4295"/>
      <c r="AN978" s="4295"/>
      <c r="AO978" s="4295"/>
      <c r="AP978" s="4295"/>
      <c r="AQ978" s="4295"/>
      <c r="AR978" s="4295"/>
      <c r="AS978" s="4295"/>
      <c r="AT978" s="4295"/>
      <c r="AU978" s="4295"/>
      <c r="AV978" s="4295"/>
      <c r="AW978" s="4295"/>
      <c r="AX978" s="4295"/>
      <c r="AY978" s="4295"/>
      <c r="AZ978" s="4295"/>
      <c r="BA978" s="4295"/>
      <c r="BB978" s="4295"/>
      <c r="BC978" s="4853"/>
      <c r="BD978" s="4853"/>
      <c r="BE978" s="4853"/>
      <c r="BF978" s="4853"/>
      <c r="BG978" s="4853"/>
      <c r="BH978" s="4853"/>
      <c r="BI978" s="4853"/>
      <c r="BJ978" s="4853"/>
      <c r="BK978" s="4853"/>
      <c r="BL978" s="4853"/>
      <c r="BM978" s="4295"/>
      <c r="BN978" s="4295"/>
      <c r="BO978" s="4295"/>
      <c r="BP978" s="4295"/>
      <c r="BQ978" s="4295"/>
      <c r="BR978" s="4295"/>
      <c r="BS978" s="4295"/>
      <c r="BT978" s="4295"/>
      <c r="BU978" s="4295"/>
      <c r="BV978" s="4295"/>
      <c r="BW978" s="4295"/>
      <c r="BX978" s="4295"/>
      <c r="BY978" s="4295"/>
      <c r="BZ978" s="4295"/>
      <c r="CA978" s="4295"/>
      <c r="CB978" s="4295"/>
      <c r="CC978" s="4295"/>
      <c r="CD978" s="4295"/>
      <c r="CE978" s="4295"/>
      <c r="CF978" s="4295"/>
      <c r="CG978" s="4295"/>
      <c r="CH978" s="4295"/>
      <c r="CI978" s="4295"/>
      <c r="CJ978" s="4295"/>
      <c r="CK978" s="4295"/>
      <c r="CL978" s="4295"/>
      <c r="CM978" s="4295"/>
      <c r="CN978" s="4295"/>
      <c r="CO978" s="4295"/>
      <c r="CP978" s="4295"/>
      <c r="CQ978" s="4295"/>
      <c r="CR978" s="4295"/>
      <c r="CS978" s="4295"/>
      <c r="CT978" s="4295"/>
      <c r="CU978" s="4295"/>
      <c r="CV978" s="4295"/>
      <c r="CW978" s="4295"/>
      <c r="CX978" s="4295"/>
      <c r="CY978" s="4295"/>
      <c r="CZ978" s="4295"/>
      <c r="DA978" s="4295"/>
      <c r="DB978" s="4295"/>
      <c r="DC978" s="4295"/>
      <c r="DD978" s="4295"/>
      <c r="DE978" s="4295"/>
      <c r="DF978" s="4295"/>
      <c r="DG978" s="4295"/>
      <c r="DH978" s="4295"/>
      <c r="DI978" s="4295"/>
      <c r="DJ978" s="4295"/>
      <c r="DK978" s="4295"/>
      <c r="DL978" s="4295"/>
      <c r="DM978" s="4295"/>
      <c r="DN978" s="4295"/>
      <c r="DO978" s="4295"/>
      <c r="DP978" s="4295"/>
      <c r="DQ978" s="4295"/>
      <c r="DR978" s="4295"/>
      <c r="DS978" s="4295"/>
    </row>
    <row r="979" s="4133" customFormat="1" hidden="1" spans="1:123">
      <c r="A979" s="4295"/>
      <c r="B979" s="4295"/>
      <c r="C979" s="4295"/>
      <c r="D979" s="4295"/>
      <c r="E979" s="4295"/>
      <c r="F979" s="4295"/>
      <c r="G979" s="4295"/>
      <c r="H979" s="4295"/>
      <c r="I979" s="4295"/>
      <c r="J979" s="4295"/>
      <c r="K979" s="4295"/>
      <c r="L979" s="4295"/>
      <c r="M979" s="4295"/>
      <c r="N979" s="4295"/>
      <c r="O979" s="4295"/>
      <c r="P979" s="4295"/>
      <c r="Q979" s="4295"/>
      <c r="R979" s="4295"/>
      <c r="S979" s="4295"/>
      <c r="T979" s="4295"/>
      <c r="U979" s="4295"/>
      <c r="V979" s="4295"/>
      <c r="W979" s="4295"/>
      <c r="X979" s="4295"/>
      <c r="Y979" s="4295"/>
      <c r="Z979" s="4295"/>
      <c r="AA979" s="4295"/>
      <c r="AB979" s="4295"/>
      <c r="AC979" s="4295"/>
      <c r="AD979" s="4295"/>
      <c r="AE979" s="4295"/>
      <c r="AF979" s="4295"/>
      <c r="AG979" s="4295"/>
      <c r="AH979" s="4295"/>
      <c r="AI979" s="4295"/>
      <c r="AJ979" s="4295"/>
      <c r="AK979" s="4295"/>
      <c r="AL979" s="4295"/>
      <c r="AM979" s="4295"/>
      <c r="AN979" s="4295"/>
      <c r="AO979" s="4295"/>
      <c r="AP979" s="4295"/>
      <c r="AQ979" s="4295"/>
      <c r="AR979" s="4295"/>
      <c r="AS979" s="4295"/>
      <c r="AT979" s="4295"/>
      <c r="AU979" s="4295"/>
      <c r="AV979" s="4295"/>
      <c r="AW979" s="4295"/>
      <c r="AX979" s="4295"/>
      <c r="AY979" s="4295"/>
      <c r="AZ979" s="4295"/>
      <c r="BA979" s="4295"/>
      <c r="BB979" s="4295"/>
      <c r="BC979" s="4853"/>
      <c r="BD979" s="4853"/>
      <c r="BE979" s="4853"/>
      <c r="BF979" s="4853"/>
      <c r="BG979" s="4853"/>
      <c r="BH979" s="4853"/>
      <c r="BI979" s="4853"/>
      <c r="BJ979" s="4853"/>
      <c r="BK979" s="4853"/>
      <c r="BL979" s="4853"/>
      <c r="BM979" s="4295"/>
      <c r="BN979" s="4295"/>
      <c r="BO979" s="4295"/>
      <c r="BP979" s="4295"/>
      <c r="BQ979" s="4295"/>
      <c r="BR979" s="4295"/>
      <c r="BS979" s="4295"/>
      <c r="BT979" s="4295"/>
      <c r="BU979" s="4295"/>
      <c r="BV979" s="4295"/>
      <c r="BW979" s="4295"/>
      <c r="BX979" s="4295"/>
      <c r="BY979" s="4295"/>
      <c r="BZ979" s="4295"/>
      <c r="CA979" s="4295"/>
      <c r="CB979" s="4295"/>
      <c r="CC979" s="4295"/>
      <c r="CD979" s="4295"/>
      <c r="CE979" s="4295"/>
      <c r="CF979" s="4295"/>
      <c r="CG979" s="4295"/>
      <c r="CH979" s="4295"/>
      <c r="CI979" s="4295"/>
      <c r="CJ979" s="4295"/>
      <c r="CK979" s="4295"/>
      <c r="CL979" s="4295"/>
      <c r="CM979" s="4295"/>
      <c r="CN979" s="4295"/>
      <c r="CO979" s="4295"/>
      <c r="CP979" s="4295"/>
      <c r="CQ979" s="4295"/>
      <c r="CR979" s="4295"/>
      <c r="CS979" s="4295"/>
      <c r="CT979" s="4295"/>
      <c r="CU979" s="4295"/>
      <c r="CV979" s="4295"/>
      <c r="CW979" s="4295"/>
      <c r="CX979" s="4295"/>
      <c r="CY979" s="4295"/>
      <c r="CZ979" s="4295"/>
      <c r="DA979" s="4295"/>
      <c r="DB979" s="4295"/>
      <c r="DC979" s="4295"/>
      <c r="DD979" s="4295"/>
      <c r="DE979" s="4295"/>
      <c r="DF979" s="4295"/>
      <c r="DG979" s="4295"/>
      <c r="DH979" s="4295"/>
      <c r="DI979" s="4295"/>
      <c r="DJ979" s="4295"/>
      <c r="DK979" s="4295"/>
      <c r="DL979" s="4295"/>
      <c r="DM979" s="4295"/>
      <c r="DN979" s="4295"/>
      <c r="DO979" s="4295"/>
      <c r="DP979" s="4295"/>
      <c r="DQ979" s="4295"/>
      <c r="DR979" s="4295"/>
      <c r="DS979" s="4295"/>
    </row>
    <row r="980" s="4133" customFormat="1" hidden="1" spans="1:123">
      <c r="A980" s="4295"/>
      <c r="B980" s="4295"/>
      <c r="C980" s="4295"/>
      <c r="D980" s="4295"/>
      <c r="E980" s="4295"/>
      <c r="F980" s="4295"/>
      <c r="G980" s="4295"/>
      <c r="H980" s="4295"/>
      <c r="I980" s="4295"/>
      <c r="J980" s="4295"/>
      <c r="K980" s="4295"/>
      <c r="L980" s="4295"/>
      <c r="M980" s="4295"/>
      <c r="N980" s="4295"/>
      <c r="O980" s="4295"/>
      <c r="P980" s="4295"/>
      <c r="Q980" s="4295"/>
      <c r="R980" s="4295"/>
      <c r="S980" s="4295"/>
      <c r="T980" s="4295"/>
      <c r="U980" s="4295"/>
      <c r="V980" s="4295"/>
      <c r="W980" s="4295"/>
      <c r="X980" s="4295"/>
      <c r="Y980" s="4295"/>
      <c r="Z980" s="4295"/>
      <c r="AA980" s="4295"/>
      <c r="AB980" s="4295"/>
      <c r="AC980" s="4295"/>
      <c r="AD980" s="4295"/>
      <c r="AE980" s="4295"/>
      <c r="AF980" s="4295"/>
      <c r="AG980" s="4295"/>
      <c r="AH980" s="4295"/>
      <c r="AI980" s="4295"/>
      <c r="AJ980" s="4295"/>
      <c r="AK980" s="4295"/>
      <c r="AL980" s="4295"/>
      <c r="AM980" s="4295"/>
      <c r="AN980" s="4295"/>
      <c r="AO980" s="4295"/>
      <c r="AP980" s="4295"/>
      <c r="AQ980" s="4295"/>
      <c r="AR980" s="4295"/>
      <c r="AS980" s="4295"/>
      <c r="AT980" s="4295"/>
      <c r="AU980" s="4295"/>
      <c r="AV980" s="4295"/>
      <c r="AW980" s="4295"/>
      <c r="AX980" s="4295"/>
      <c r="AY980" s="4295"/>
      <c r="AZ980" s="4295"/>
      <c r="BA980" s="4295"/>
      <c r="BB980" s="4295"/>
      <c r="BC980" s="4853"/>
      <c r="BD980" s="4853"/>
      <c r="BE980" s="4853"/>
      <c r="BF980" s="4853"/>
      <c r="BG980" s="4853"/>
      <c r="BH980" s="4853"/>
      <c r="BI980" s="4853"/>
      <c r="BJ980" s="4853"/>
      <c r="BK980" s="4853"/>
      <c r="BL980" s="4853"/>
      <c r="BM980" s="4295"/>
      <c r="BN980" s="4295"/>
      <c r="BO980" s="4295"/>
      <c r="BP980" s="4295"/>
      <c r="BQ980" s="4295"/>
      <c r="BR980" s="4295"/>
      <c r="BS980" s="4295"/>
      <c r="BT980" s="4295"/>
      <c r="BU980" s="4295"/>
      <c r="BV980" s="4295"/>
      <c r="BW980" s="4295"/>
      <c r="BX980" s="4295"/>
      <c r="BY980" s="4295"/>
      <c r="BZ980" s="4295"/>
      <c r="CA980" s="4295"/>
      <c r="CB980" s="4295"/>
      <c r="CC980" s="4295"/>
      <c r="CD980" s="4295"/>
      <c r="CE980" s="4295"/>
      <c r="CF980" s="4295"/>
      <c r="CG980" s="4295"/>
      <c r="CH980" s="4295"/>
      <c r="CI980" s="4295"/>
      <c r="CJ980" s="4295"/>
      <c r="CK980" s="4295"/>
      <c r="CL980" s="4295"/>
      <c r="CM980" s="4295"/>
      <c r="CN980" s="4295"/>
      <c r="CO980" s="4295"/>
      <c r="CP980" s="4295"/>
      <c r="CQ980" s="4295"/>
      <c r="CR980" s="4295"/>
      <c r="CS980" s="4295"/>
      <c r="CT980" s="4295"/>
      <c r="CU980" s="4295"/>
      <c r="CV980" s="4295"/>
      <c r="CW980" s="4295"/>
      <c r="CX980" s="4295"/>
      <c r="CY980" s="4295"/>
      <c r="CZ980" s="4295"/>
      <c r="DA980" s="4295"/>
      <c r="DB980" s="4295"/>
      <c r="DC980" s="4295"/>
      <c r="DD980" s="4295"/>
      <c r="DE980" s="4295"/>
      <c r="DF980" s="4295"/>
      <c r="DG980" s="4295"/>
      <c r="DH980" s="4295"/>
      <c r="DI980" s="4295"/>
      <c r="DJ980" s="4295"/>
      <c r="DK980" s="4295"/>
      <c r="DL980" s="4295"/>
      <c r="DM980" s="4295"/>
      <c r="DN980" s="4295"/>
      <c r="DO980" s="4295"/>
      <c r="DP980" s="4295"/>
      <c r="DQ980" s="4295"/>
      <c r="DR980" s="4295"/>
      <c r="DS980" s="4295"/>
    </row>
    <row r="981" s="4133" customFormat="1" hidden="1" spans="1:123">
      <c r="A981" s="4295"/>
      <c r="B981" s="4295"/>
      <c r="C981" s="4295"/>
      <c r="D981" s="4295"/>
      <c r="E981" s="4295"/>
      <c r="F981" s="4295"/>
      <c r="G981" s="4295"/>
      <c r="H981" s="4295"/>
      <c r="I981" s="4295"/>
      <c r="J981" s="4295"/>
      <c r="K981" s="4295"/>
      <c r="L981" s="4295"/>
      <c r="M981" s="4295"/>
      <c r="N981" s="4295"/>
      <c r="O981" s="4295"/>
      <c r="P981" s="4295"/>
      <c r="Q981" s="4295"/>
      <c r="R981" s="4295"/>
      <c r="S981" s="4295"/>
      <c r="T981" s="4295"/>
      <c r="U981" s="4295"/>
      <c r="V981" s="4295"/>
      <c r="W981" s="4295"/>
      <c r="X981" s="4295"/>
      <c r="Y981" s="4295"/>
      <c r="Z981" s="4295"/>
      <c r="AA981" s="4295"/>
      <c r="AB981" s="4295"/>
      <c r="AC981" s="4295"/>
      <c r="AD981" s="4295"/>
      <c r="AE981" s="4295"/>
      <c r="AF981" s="4295"/>
      <c r="AG981" s="4295"/>
      <c r="AH981" s="4295"/>
      <c r="AI981" s="4295"/>
      <c r="AJ981" s="4295"/>
      <c r="AK981" s="4295"/>
      <c r="AL981" s="4295"/>
      <c r="AM981" s="4295"/>
      <c r="AN981" s="4295"/>
      <c r="AO981" s="4295"/>
      <c r="AP981" s="4295"/>
      <c r="AQ981" s="4295"/>
      <c r="AR981" s="4295"/>
      <c r="AS981" s="4295"/>
      <c r="AT981" s="4295"/>
      <c r="AU981" s="4295"/>
      <c r="AV981" s="4295"/>
      <c r="AW981" s="4295"/>
      <c r="AX981" s="4295"/>
      <c r="AY981" s="4295"/>
      <c r="AZ981" s="4295"/>
      <c r="BA981" s="4295"/>
      <c r="BB981" s="4295"/>
      <c r="BC981" s="4853"/>
      <c r="BD981" s="4853"/>
      <c r="BE981" s="4853"/>
      <c r="BF981" s="4853"/>
      <c r="BG981" s="4853"/>
      <c r="BH981" s="4853"/>
      <c r="BI981" s="4853"/>
      <c r="BJ981" s="4853"/>
      <c r="BK981" s="4853"/>
      <c r="BL981" s="4853"/>
      <c r="BM981" s="4295"/>
      <c r="BN981" s="4295"/>
      <c r="BO981" s="4295"/>
      <c r="BP981" s="4295"/>
      <c r="BQ981" s="4295"/>
      <c r="BR981" s="4295"/>
      <c r="BS981" s="4295"/>
      <c r="BT981" s="4295"/>
      <c r="BU981" s="4295"/>
      <c r="BV981" s="4295"/>
      <c r="BW981" s="4295"/>
      <c r="BX981" s="4295"/>
      <c r="BY981" s="4295"/>
      <c r="BZ981" s="4295"/>
      <c r="CA981" s="4295"/>
      <c r="CB981" s="4295"/>
      <c r="CC981" s="4295"/>
      <c r="CD981" s="4295"/>
      <c r="CE981" s="4295"/>
      <c r="CF981" s="4295"/>
      <c r="CG981" s="4295"/>
      <c r="CH981" s="4295"/>
      <c r="CI981" s="4295"/>
      <c r="CJ981" s="4295"/>
      <c r="CK981" s="4295"/>
      <c r="CL981" s="4295"/>
      <c r="CM981" s="4295"/>
      <c r="CN981" s="4295"/>
      <c r="CO981" s="4295"/>
      <c r="CP981" s="4295"/>
      <c r="CQ981" s="4295"/>
      <c r="CR981" s="4295"/>
      <c r="CS981" s="4295"/>
      <c r="CT981" s="4295"/>
      <c r="CU981" s="4295"/>
      <c r="CV981" s="4295"/>
      <c r="CW981" s="4295"/>
      <c r="CX981" s="4295"/>
      <c r="CY981" s="4295"/>
      <c r="CZ981" s="4295"/>
      <c r="DA981" s="4295"/>
      <c r="DB981" s="4295"/>
      <c r="DC981" s="4295"/>
      <c r="DD981" s="4295"/>
      <c r="DE981" s="4295"/>
      <c r="DF981" s="4295"/>
      <c r="DG981" s="4295"/>
      <c r="DH981" s="4295"/>
      <c r="DI981" s="4295"/>
      <c r="DJ981" s="4295"/>
      <c r="DK981" s="4295"/>
      <c r="DL981" s="4295"/>
      <c r="DM981" s="4295"/>
      <c r="DN981" s="4295"/>
      <c r="DO981" s="4295"/>
      <c r="DP981" s="4295"/>
      <c r="DQ981" s="4295"/>
      <c r="DR981" s="4295"/>
      <c r="DS981" s="4295"/>
    </row>
    <row r="982" s="4133" customFormat="1" ht="22.5" customHeight="1" spans="1:123">
      <c r="A982" s="4295"/>
      <c r="B982" s="4295"/>
      <c r="C982" s="4295"/>
      <c r="D982" s="4295"/>
      <c r="E982" s="4295"/>
      <c r="F982" s="4295"/>
      <c r="G982" s="4295"/>
      <c r="H982" s="4295"/>
      <c r="I982" s="4295"/>
      <c r="J982" s="4295"/>
      <c r="K982" s="4295"/>
      <c r="L982" s="4295"/>
      <c r="M982" s="4295"/>
      <c r="N982" s="4295"/>
      <c r="O982" s="4295"/>
      <c r="P982" s="4295"/>
      <c r="Q982" s="4295"/>
      <c r="R982" s="4295"/>
      <c r="S982" s="4295"/>
      <c r="T982" s="4295"/>
      <c r="U982" s="4295"/>
      <c r="V982" s="4295"/>
      <c r="W982" s="4295"/>
      <c r="X982" s="4295"/>
      <c r="Y982" s="4295"/>
      <c r="Z982" s="4295"/>
      <c r="AA982" s="4295"/>
      <c r="AB982" s="4295"/>
      <c r="AC982" s="4295"/>
      <c r="AD982" s="4295"/>
      <c r="AE982" s="4295"/>
      <c r="AF982" s="4295"/>
      <c r="AG982" s="4295"/>
      <c r="AH982" s="4295"/>
      <c r="AI982" s="4295"/>
      <c r="AJ982" s="4295"/>
      <c r="AK982" s="4295"/>
      <c r="AL982" s="4295"/>
      <c r="AM982" s="4295"/>
      <c r="AN982" s="4295"/>
      <c r="AO982" s="4295"/>
      <c r="AP982" s="4295"/>
      <c r="AQ982" s="4295"/>
      <c r="AR982" s="4295"/>
      <c r="AS982" s="4295"/>
      <c r="AT982" s="4295"/>
      <c r="AU982" s="4295"/>
      <c r="AV982" s="4295"/>
      <c r="AW982" s="4295"/>
      <c r="AX982" s="4295"/>
      <c r="AY982" s="4295"/>
      <c r="AZ982" s="4295"/>
      <c r="BA982" s="4295"/>
      <c r="BB982" s="4295"/>
      <c r="BC982" s="4295"/>
      <c r="BD982" s="4295"/>
      <c r="BE982" s="4295"/>
      <c r="BF982" s="4295"/>
      <c r="BG982" s="4295"/>
      <c r="BH982" s="4295"/>
      <c r="BI982" s="4295"/>
      <c r="BJ982" s="4295"/>
      <c r="BK982" s="4295"/>
      <c r="BL982" s="4295"/>
      <c r="BM982" s="4295"/>
      <c r="BN982" s="4295"/>
      <c r="BO982" s="4295"/>
      <c r="BP982" s="4295"/>
      <c r="BQ982" s="4295"/>
      <c r="BR982" s="4295"/>
      <c r="BS982" s="4295"/>
      <c r="BT982" s="4295"/>
      <c r="BU982" s="4295"/>
      <c r="BV982" s="4295"/>
      <c r="BW982" s="4295"/>
      <c r="BX982" s="4295"/>
      <c r="BY982" s="4295"/>
      <c r="BZ982" s="4295"/>
      <c r="CA982" s="4295"/>
      <c r="CB982" s="4295"/>
      <c r="CC982" s="4295"/>
      <c r="CD982" s="4295"/>
      <c r="CE982" s="4295"/>
      <c r="CF982" s="4295"/>
      <c r="CG982" s="4295"/>
      <c r="CH982" s="4295"/>
      <c r="CI982" s="4295"/>
      <c r="CJ982" s="4295"/>
      <c r="CK982" s="4295"/>
      <c r="CL982" s="4295"/>
      <c r="CM982" s="4295"/>
      <c r="CN982" s="4295"/>
      <c r="CO982" s="4295"/>
      <c r="CP982" s="4295"/>
      <c r="CQ982" s="4295"/>
      <c r="CR982" s="4295"/>
      <c r="CS982" s="4295"/>
      <c r="CT982" s="4295"/>
      <c r="CU982" s="4295"/>
      <c r="CV982" s="4295"/>
      <c r="CW982" s="4295"/>
      <c r="CX982" s="4295"/>
      <c r="CY982" s="4295"/>
      <c r="CZ982" s="4295"/>
      <c r="DA982" s="4295"/>
      <c r="DB982" s="4295"/>
      <c r="DC982" s="4295"/>
      <c r="DD982" s="4295"/>
      <c r="DE982" s="4295"/>
      <c r="DF982" s="4295"/>
      <c r="DG982" s="4295"/>
      <c r="DH982" s="4295"/>
      <c r="DI982" s="4295"/>
      <c r="DJ982" s="4295"/>
      <c r="DK982" s="4295"/>
      <c r="DL982" s="4295"/>
      <c r="DM982" s="4295"/>
      <c r="DN982" s="4295"/>
      <c r="DO982" s="4295"/>
      <c r="DP982" s="4295"/>
      <c r="DQ982" s="4295"/>
      <c r="DR982" s="4295"/>
      <c r="DS982" s="4295"/>
    </row>
    <row r="983" s="4135" customFormat="1" ht="28.5" customHeight="1" spans="1:123">
      <c r="A983" s="4481" t="str">
        <f>"8. "&amp;Text!B426&amp;" - "&amp;Text!B427</f>
        <v>8. (IZVJEŠTAJ O GOTOVINSKIM TOKOVIMA) - (Direktna metoda)</v>
      </c>
      <c r="B983" s="4481"/>
      <c r="C983" s="4481"/>
      <c r="D983" s="4481"/>
      <c r="E983" s="4481"/>
      <c r="F983" s="4481"/>
      <c r="G983" s="4481"/>
      <c r="H983" s="4481"/>
      <c r="I983" s="4481"/>
      <c r="J983" s="4481"/>
      <c r="K983" s="4481"/>
      <c r="L983" s="4481"/>
      <c r="M983" s="4481"/>
      <c r="N983" s="4481"/>
      <c r="O983" s="4481"/>
      <c r="P983" s="4481"/>
      <c r="Q983" s="4481"/>
      <c r="R983" s="4481"/>
      <c r="S983" s="4481"/>
      <c r="T983" s="4481"/>
      <c r="U983" s="4481"/>
      <c r="V983" s="4481"/>
      <c r="W983" s="4481"/>
      <c r="X983" s="4481"/>
      <c r="Y983" s="4481"/>
      <c r="Z983" s="4481"/>
      <c r="AA983" s="4481"/>
      <c r="AB983" s="4481"/>
      <c r="AC983" s="4481"/>
      <c r="AD983" s="4481"/>
      <c r="AE983" s="4481"/>
      <c r="AF983" s="4481"/>
      <c r="AG983" s="4481"/>
      <c r="AH983" s="4481"/>
      <c r="AI983" s="4481"/>
      <c r="AJ983" s="4481"/>
      <c r="AK983" s="4481"/>
      <c r="AL983" s="4481"/>
      <c r="AM983" s="4481"/>
      <c r="AN983" s="4481"/>
      <c r="AO983" s="4481"/>
      <c r="AP983" s="4481"/>
      <c r="AQ983" s="4481"/>
      <c r="AR983" s="4481"/>
      <c r="AS983" s="4481"/>
      <c r="AT983" s="4481"/>
      <c r="AU983" s="4481"/>
      <c r="AV983" s="4481"/>
      <c r="AW983" s="4481"/>
      <c r="AX983" s="4481"/>
      <c r="AY983" s="4481"/>
      <c r="AZ983" s="4481"/>
      <c r="BA983" s="4481"/>
      <c r="BB983" s="4481"/>
      <c r="BC983" s="4481"/>
      <c r="BD983" s="4481"/>
      <c r="BE983" s="4481"/>
      <c r="BF983" s="4481"/>
      <c r="BG983" s="4481"/>
      <c r="BH983" s="4481"/>
      <c r="BI983" s="4481"/>
      <c r="BJ983" s="4481"/>
      <c r="BK983" s="4481"/>
      <c r="BL983" s="4481"/>
      <c r="BM983" s="4481"/>
      <c r="BN983" s="4481"/>
      <c r="BO983" s="4481"/>
      <c r="BP983" s="4481"/>
      <c r="BQ983" s="4481"/>
      <c r="BR983" s="4481"/>
      <c r="BS983" s="4481"/>
      <c r="BT983" s="4481"/>
      <c r="BU983" s="4481"/>
      <c r="BV983" s="4481"/>
      <c r="BW983" s="4481"/>
      <c r="BX983" s="4481"/>
      <c r="BY983" s="4481"/>
      <c r="BZ983" s="4481"/>
      <c r="CA983" s="4481"/>
      <c r="CB983" s="4481"/>
      <c r="CC983" s="4481"/>
      <c r="CD983" s="4481"/>
      <c r="CE983" s="4775"/>
      <c r="CF983" s="4775"/>
      <c r="CG983" s="4775"/>
      <c r="CH983" s="4775"/>
      <c r="CI983" s="4775"/>
      <c r="CJ983" s="4775"/>
      <c r="CK983" s="4775"/>
      <c r="CL983" s="4775"/>
      <c r="CM983" s="4775"/>
      <c r="CN983" s="4775"/>
      <c r="CO983" s="4775"/>
      <c r="CP983" s="4775"/>
      <c r="CQ983" s="4775"/>
      <c r="CR983" s="4775"/>
      <c r="CS983" s="4775"/>
      <c r="CT983" s="4775"/>
      <c r="CU983" s="4775"/>
      <c r="CV983" s="4775"/>
      <c r="CW983" s="4775"/>
      <c r="CX983" s="4775"/>
      <c r="CY983" s="4775"/>
      <c r="CZ983" s="4775"/>
      <c r="DA983" s="4775"/>
      <c r="DB983" s="4775"/>
      <c r="DC983" s="4775"/>
      <c r="DD983" s="4775"/>
      <c r="DE983" s="4775"/>
      <c r="DF983" s="4775"/>
      <c r="DG983" s="4775"/>
      <c r="DH983" s="4775"/>
      <c r="DI983" s="4775"/>
      <c r="DJ983" s="4775"/>
      <c r="DK983" s="4775"/>
      <c r="DL983" s="4775"/>
      <c r="DM983" s="4775"/>
      <c r="DN983" s="4775"/>
      <c r="DO983" s="4775"/>
      <c r="DP983" s="4775"/>
      <c r="DQ983" s="4775"/>
      <c r="DR983" s="4775"/>
      <c r="DS983" s="4775"/>
    </row>
    <row r="984" s="4133" customFormat="1" spans="1:123">
      <c r="A984" s="4292"/>
      <c r="B984" s="4292"/>
      <c r="C984" s="4292"/>
      <c r="D984" s="4292"/>
      <c r="E984" s="4292"/>
      <c r="F984" s="4292"/>
      <c r="G984" s="4292"/>
      <c r="H984" s="4292"/>
      <c r="I984" s="4292"/>
      <c r="J984" s="4292"/>
      <c r="K984" s="4292"/>
      <c r="L984" s="4292"/>
      <c r="M984" s="4292"/>
      <c r="N984" s="4292"/>
      <c r="O984" s="4292"/>
      <c r="P984" s="4292"/>
      <c r="Q984" s="4292"/>
      <c r="R984" s="4292"/>
      <c r="S984" s="4292"/>
      <c r="T984" s="4292"/>
      <c r="U984" s="4292"/>
      <c r="V984" s="4292"/>
      <c r="W984" s="4292"/>
      <c r="X984" s="4292"/>
      <c r="Y984" s="4292"/>
      <c r="Z984" s="4295"/>
      <c r="AA984" s="4295"/>
      <c r="AB984" s="4295"/>
      <c r="AC984" s="4295"/>
      <c r="AD984" s="4295"/>
      <c r="AE984" s="4295"/>
      <c r="AF984" s="4295"/>
      <c r="AG984" s="4295"/>
      <c r="AH984" s="4295"/>
      <c r="AI984" s="4295"/>
      <c r="AJ984" s="4295"/>
      <c r="AK984" s="4295"/>
      <c r="AL984" s="4295"/>
      <c r="AM984" s="4295"/>
      <c r="AN984" s="4295"/>
      <c r="AO984" s="4295"/>
      <c r="AP984" s="4295"/>
      <c r="AQ984" s="4295"/>
      <c r="AR984" s="4295"/>
      <c r="AS984" s="4295"/>
      <c r="AT984" s="4295"/>
      <c r="AU984" s="4295"/>
      <c r="AV984" s="4295"/>
      <c r="AW984" s="4295"/>
      <c r="AX984" s="4295"/>
      <c r="AY984" s="4295"/>
      <c r="AZ984" s="4295"/>
      <c r="BA984" s="4295"/>
      <c r="BB984" s="4295"/>
      <c r="BC984" s="4295"/>
      <c r="BD984" s="4295"/>
      <c r="BE984" s="4295"/>
      <c r="BF984" s="4295"/>
      <c r="BG984" s="4295"/>
      <c r="BH984" s="4295"/>
      <c r="BI984" s="4295"/>
      <c r="BJ984" s="4295"/>
      <c r="BK984" s="4295"/>
      <c r="BL984" s="4295"/>
      <c r="BM984" s="4295"/>
      <c r="BN984" s="4295"/>
      <c r="BO984" s="4295"/>
      <c r="BP984" s="4295"/>
      <c r="BQ984" s="4295"/>
      <c r="BR984" s="4295"/>
      <c r="BS984" s="4295"/>
      <c r="BT984" s="4295"/>
      <c r="BU984" s="4295"/>
      <c r="BV984" s="4295"/>
      <c r="BW984" s="4295"/>
      <c r="BX984" s="4295"/>
      <c r="BY984" s="4295"/>
      <c r="BZ984" s="4295"/>
      <c r="CA984" s="4295"/>
      <c r="CB984" s="4295"/>
      <c r="CC984" s="4295"/>
      <c r="CD984" s="4295"/>
      <c r="CE984" s="4295"/>
      <c r="CF984" s="4295"/>
      <c r="CG984" s="4295"/>
      <c r="CH984" s="4295"/>
      <c r="CI984" s="4295"/>
      <c r="CJ984" s="4295"/>
      <c r="CK984" s="4295"/>
      <c r="CL984" s="4295"/>
      <c r="CM984" s="4295"/>
      <c r="CN984" s="4295"/>
      <c r="CO984" s="4295"/>
      <c r="CP984" s="4295"/>
      <c r="CQ984" s="4295"/>
      <c r="CR984" s="4295"/>
      <c r="CS984" s="4295"/>
      <c r="CT984" s="4295"/>
      <c r="CU984" s="4295"/>
      <c r="CV984" s="4295"/>
      <c r="CW984" s="4295"/>
      <c r="CX984" s="4295"/>
      <c r="CY984" s="4295"/>
      <c r="CZ984" s="4295"/>
      <c r="DA984" s="4295"/>
      <c r="DB984" s="4295"/>
      <c r="DC984" s="4295"/>
      <c r="DD984" s="4295"/>
      <c r="DE984" s="4295"/>
      <c r="DF984" s="4295"/>
      <c r="DG984" s="4295"/>
      <c r="DH984" s="4295"/>
      <c r="DI984" s="4295"/>
      <c r="DJ984" s="4295"/>
      <c r="DK984" s="4295"/>
      <c r="DL984" s="4295"/>
      <c r="DM984" s="4295"/>
      <c r="DN984" s="4295"/>
      <c r="DO984" s="4295"/>
      <c r="DP984" s="4295"/>
      <c r="DQ984" s="4295"/>
      <c r="DR984" s="4295"/>
      <c r="DS984" s="4295"/>
    </row>
    <row r="985" s="4133" customFormat="1" hidden="1" spans="1:123">
      <c r="A985" s="4292"/>
      <c r="B985" s="4292"/>
      <c r="C985" s="4292"/>
      <c r="D985" s="4292"/>
      <c r="E985" s="4292"/>
      <c r="F985" s="4292"/>
      <c r="G985" s="4292"/>
      <c r="H985" s="4292"/>
      <c r="I985" s="4292"/>
      <c r="J985" s="4292"/>
      <c r="K985" s="4292"/>
      <c r="L985" s="4292"/>
      <c r="M985" s="4292"/>
      <c r="N985" s="4292"/>
      <c r="O985" s="4292"/>
      <c r="P985" s="4292"/>
      <c r="Q985" s="4292"/>
      <c r="R985" s="4292"/>
      <c r="S985" s="4292"/>
      <c r="T985" s="4292"/>
      <c r="U985" s="4292"/>
      <c r="V985" s="4292"/>
      <c r="W985" s="4292"/>
      <c r="X985" s="4292"/>
      <c r="Y985" s="4292"/>
      <c r="Z985" s="4295"/>
      <c r="AA985" s="4295"/>
      <c r="AB985" s="4295"/>
      <c r="AC985" s="4295"/>
      <c r="AD985" s="4295"/>
      <c r="AE985" s="4295"/>
      <c r="AF985" s="4295"/>
      <c r="AG985" s="4295"/>
      <c r="AH985" s="4295"/>
      <c r="AI985" s="4295"/>
      <c r="AJ985" s="4295"/>
      <c r="AK985" s="4295"/>
      <c r="AL985" s="4295"/>
      <c r="AM985" s="4295"/>
      <c r="AN985" s="4295"/>
      <c r="AO985" s="4295"/>
      <c r="AP985" s="4295"/>
      <c r="AQ985" s="4295"/>
      <c r="AR985" s="4295"/>
      <c r="AS985" s="4295"/>
      <c r="AT985" s="4295"/>
      <c r="AU985" s="4295"/>
      <c r="AV985" s="4295"/>
      <c r="AW985" s="4295"/>
      <c r="AX985" s="4295"/>
      <c r="AY985" s="4295"/>
      <c r="AZ985" s="4295"/>
      <c r="BA985" s="4295"/>
      <c r="BB985" s="4295"/>
      <c r="BC985" s="4295"/>
      <c r="BD985" s="4295"/>
      <c r="BE985" s="4295"/>
      <c r="BF985" s="4295"/>
      <c r="BG985" s="4295"/>
      <c r="BH985" s="4295"/>
      <c r="BI985" s="4295"/>
      <c r="BJ985" s="4295"/>
      <c r="BK985" s="4295"/>
      <c r="BL985" s="4295"/>
      <c r="BM985" s="4295"/>
      <c r="BN985" s="4295"/>
      <c r="BO985" s="4295"/>
      <c r="BP985" s="4295"/>
      <c r="BQ985" s="4295"/>
      <c r="BR985" s="4295"/>
      <c r="BS985" s="4295"/>
      <c r="BT985" s="4295"/>
      <c r="BU985" s="4295"/>
      <c r="BV985" s="4295"/>
      <c r="BW985" s="4295"/>
      <c r="BX985" s="4295"/>
      <c r="BY985" s="4295"/>
      <c r="BZ985" s="4295"/>
      <c r="CA985" s="4295"/>
      <c r="CB985" s="4295"/>
      <c r="CC985" s="4295"/>
      <c r="CD985" s="4295"/>
      <c r="CE985" s="4295"/>
      <c r="CF985" s="4295"/>
      <c r="CG985" s="4295"/>
      <c r="CH985" s="4295"/>
      <c r="CI985" s="4295"/>
      <c r="CJ985" s="4295"/>
      <c r="CK985" s="4295"/>
      <c r="CL985" s="4295"/>
      <c r="CM985" s="4295"/>
      <c r="CN985" s="4295"/>
      <c r="CO985" s="4295"/>
      <c r="CP985" s="4295"/>
      <c r="CQ985" s="4295"/>
      <c r="CR985" s="4295"/>
      <c r="CS985" s="4295"/>
      <c r="CT985" s="4295"/>
      <c r="CU985" s="4295"/>
      <c r="CV985" s="4295"/>
      <c r="CW985" s="4295"/>
      <c r="CX985" s="4295"/>
      <c r="CY985" s="4295"/>
      <c r="CZ985" s="4295"/>
      <c r="DA985" s="4295"/>
      <c r="DB985" s="4295"/>
      <c r="DC985" s="4295"/>
      <c r="DD985" s="4295"/>
      <c r="DE985" s="4295"/>
      <c r="DF985" s="4295"/>
      <c r="DG985" s="4295"/>
      <c r="DH985" s="4295"/>
      <c r="DI985" s="4295"/>
      <c r="DJ985" s="4295"/>
      <c r="DK985" s="4295"/>
      <c r="DL985" s="4295"/>
      <c r="DM985" s="4295"/>
      <c r="DN985" s="4295"/>
      <c r="DO985" s="4295"/>
      <c r="DP985" s="4295"/>
      <c r="DQ985" s="4295"/>
      <c r="DR985" s="4295"/>
      <c r="DS985" s="4295"/>
    </row>
    <row r="986" s="4133" customFormat="1" hidden="1" spans="1:123">
      <c r="A986" s="4292"/>
      <c r="B986" s="4292"/>
      <c r="C986" s="4292"/>
      <c r="D986" s="4292"/>
      <c r="E986" s="4292"/>
      <c r="F986" s="4292"/>
      <c r="G986" s="4292"/>
      <c r="H986" s="4292"/>
      <c r="I986" s="4292"/>
      <c r="J986" s="4292"/>
      <c r="K986" s="4292"/>
      <c r="L986" s="4292"/>
      <c r="M986" s="4292"/>
      <c r="N986" s="4292"/>
      <c r="O986" s="4292"/>
      <c r="P986" s="4292"/>
      <c r="Q986" s="4292"/>
      <c r="R986" s="4292"/>
      <c r="S986" s="4292"/>
      <c r="T986" s="4292"/>
      <c r="U986" s="4292"/>
      <c r="V986" s="4292"/>
      <c r="W986" s="4292"/>
      <c r="X986" s="4292"/>
      <c r="Y986" s="4292"/>
      <c r="Z986" s="4295"/>
      <c r="AA986" s="4295"/>
      <c r="AB986" s="4295"/>
      <c r="AC986" s="4295"/>
      <c r="AD986" s="4295"/>
      <c r="AE986" s="4295"/>
      <c r="AF986" s="4295"/>
      <c r="AG986" s="4295"/>
      <c r="AH986" s="4295"/>
      <c r="AI986" s="4295"/>
      <c r="AJ986" s="4295"/>
      <c r="AK986" s="4295"/>
      <c r="AL986" s="4295"/>
      <c r="AM986" s="4295"/>
      <c r="AN986" s="4295"/>
      <c r="AO986" s="4295"/>
      <c r="AP986" s="4295"/>
      <c r="AQ986" s="4295"/>
      <c r="AR986" s="4295"/>
      <c r="AS986" s="4295"/>
      <c r="AT986" s="4295"/>
      <c r="AU986" s="4295"/>
      <c r="AV986" s="4295"/>
      <c r="AW986" s="4295"/>
      <c r="AX986" s="4295"/>
      <c r="AY986" s="4295"/>
      <c r="AZ986" s="4295"/>
      <c r="BA986" s="4295"/>
      <c r="BB986" s="4295"/>
      <c r="BC986" s="4295"/>
      <c r="BD986" s="4295"/>
      <c r="BE986" s="4295"/>
      <c r="BF986" s="4295"/>
      <c r="BG986" s="4295"/>
      <c r="BH986" s="4295"/>
      <c r="BI986" s="4295"/>
      <c r="BJ986" s="4295"/>
      <c r="BK986" s="4295"/>
      <c r="BL986" s="4295"/>
      <c r="BM986" s="4295"/>
      <c r="BN986" s="4295"/>
      <c r="BO986" s="4295"/>
      <c r="BP986" s="4295"/>
      <c r="BQ986" s="4295"/>
      <c r="BR986" s="4295"/>
      <c r="BS986" s="4295"/>
      <c r="BT986" s="4295"/>
      <c r="BU986" s="4295"/>
      <c r="BV986" s="4295"/>
      <c r="BW986" s="4295"/>
      <c r="BX986" s="4295"/>
      <c r="BY986" s="4295"/>
      <c r="BZ986" s="4295"/>
      <c r="CA986" s="4295"/>
      <c r="CB986" s="4295"/>
      <c r="CC986" s="4295"/>
      <c r="CD986" s="4295"/>
      <c r="CE986" s="4295"/>
      <c r="CF986" s="4295"/>
      <c r="CG986" s="4295"/>
      <c r="CH986" s="4295"/>
      <c r="CI986" s="4295"/>
      <c r="CJ986" s="4295"/>
      <c r="CK986" s="4295"/>
      <c r="CL986" s="4295"/>
      <c r="CM986" s="4295"/>
      <c r="CN986" s="4295"/>
      <c r="CO986" s="4295"/>
      <c r="CP986" s="4295"/>
      <c r="CQ986" s="4295"/>
      <c r="CR986" s="4295"/>
      <c r="CS986" s="4295"/>
      <c r="CT986" s="4295"/>
      <c r="CU986" s="4295"/>
      <c r="CV986" s="4295"/>
      <c r="CW986" s="4295"/>
      <c r="CX986" s="4295"/>
      <c r="CY986" s="4295"/>
      <c r="CZ986" s="4295"/>
      <c r="DA986" s="4295"/>
      <c r="DB986" s="4295"/>
      <c r="DC986" s="4295"/>
      <c r="DD986" s="4295"/>
      <c r="DE986" s="4295"/>
      <c r="DF986" s="4295"/>
      <c r="DG986" s="4295"/>
      <c r="DH986" s="4295"/>
      <c r="DI986" s="4295"/>
      <c r="DJ986" s="4295"/>
      <c r="DK986" s="4295"/>
      <c r="DL986" s="4295"/>
      <c r="DM986" s="4295"/>
      <c r="DN986" s="4295"/>
      <c r="DO986" s="4295"/>
      <c r="DP986" s="4295"/>
      <c r="DQ986" s="4295"/>
      <c r="DR986" s="4295"/>
      <c r="DS986" s="4295"/>
    </row>
    <row r="987" s="4133" customFormat="1" hidden="1" spans="1:123">
      <c r="A987" s="4292"/>
      <c r="B987" s="4292"/>
      <c r="C987" s="4292"/>
      <c r="D987" s="4292"/>
      <c r="E987" s="4292"/>
      <c r="F987" s="4292"/>
      <c r="G987" s="4292"/>
      <c r="H987" s="4292"/>
      <c r="I987" s="4292"/>
      <c r="J987" s="4292"/>
      <c r="K987" s="4292"/>
      <c r="L987" s="4292"/>
      <c r="M987" s="4292"/>
      <c r="N987" s="4292"/>
      <c r="O987" s="4292"/>
      <c r="P987" s="4292"/>
      <c r="Q987" s="4292"/>
      <c r="R987" s="4292"/>
      <c r="S987" s="4292"/>
      <c r="T987" s="4292"/>
      <c r="U987" s="4292"/>
      <c r="V987" s="4292"/>
      <c r="W987" s="4292"/>
      <c r="X987" s="4292"/>
      <c r="Y987" s="4292"/>
      <c r="Z987" s="4295"/>
      <c r="AA987" s="4295"/>
      <c r="AB987" s="4295"/>
      <c r="AC987" s="4295"/>
      <c r="AD987" s="4295"/>
      <c r="AE987" s="4295"/>
      <c r="AF987" s="4295"/>
      <c r="AG987" s="4295"/>
      <c r="AH987" s="4295"/>
      <c r="AI987" s="4295"/>
      <c r="AJ987" s="4295"/>
      <c r="AK987" s="4295"/>
      <c r="AL987" s="4295"/>
      <c r="AM987" s="4295"/>
      <c r="AN987" s="4295"/>
      <c r="AO987" s="4295"/>
      <c r="AP987" s="4295"/>
      <c r="AQ987" s="4295"/>
      <c r="AR987" s="4295"/>
      <c r="AS987" s="4295"/>
      <c r="AT987" s="4295"/>
      <c r="AU987" s="4295"/>
      <c r="AV987" s="4295"/>
      <c r="AW987" s="4295"/>
      <c r="AX987" s="4295"/>
      <c r="AY987" s="4295"/>
      <c r="AZ987" s="4295"/>
      <c r="BA987" s="4295"/>
      <c r="BB987" s="4295"/>
      <c r="BC987" s="4295"/>
      <c r="BD987" s="4295"/>
      <c r="BE987" s="4295"/>
      <c r="BF987" s="4295"/>
      <c r="BG987" s="4295"/>
      <c r="BH987" s="4295"/>
      <c r="BI987" s="4295"/>
      <c r="BJ987" s="4295"/>
      <c r="BK987" s="4295"/>
      <c r="BL987" s="4295"/>
      <c r="BM987" s="4295"/>
      <c r="BN987" s="4295"/>
      <c r="BO987" s="4295"/>
      <c r="BP987" s="4295"/>
      <c r="BQ987" s="4295"/>
      <c r="BR987" s="4295"/>
      <c r="BS987" s="4295"/>
      <c r="BT987" s="4295"/>
      <c r="BU987" s="4295"/>
      <c r="BV987" s="4295"/>
      <c r="BW987" s="4295"/>
      <c r="BX987" s="4295"/>
      <c r="BY987" s="4295"/>
      <c r="BZ987" s="4295"/>
      <c r="CA987" s="4295"/>
      <c r="CB987" s="4295"/>
      <c r="CC987" s="4295"/>
      <c r="CD987" s="4295"/>
      <c r="CE987" s="4295"/>
      <c r="CF987" s="4295"/>
      <c r="CG987" s="4295"/>
      <c r="CH987" s="4295"/>
      <c r="CI987" s="4295"/>
      <c r="CJ987" s="4295"/>
      <c r="CK987" s="4295"/>
      <c r="CL987" s="4295"/>
      <c r="CM987" s="4295"/>
      <c r="CN987" s="4295"/>
      <c r="CO987" s="4295"/>
      <c r="CP987" s="4295"/>
      <c r="CQ987" s="4295"/>
      <c r="CR987" s="4295"/>
      <c r="CS987" s="4295"/>
      <c r="CT987" s="4295"/>
      <c r="CU987" s="4295"/>
      <c r="CV987" s="4295"/>
      <c r="CW987" s="4295"/>
      <c r="CX987" s="4295"/>
      <c r="CY987" s="4295"/>
      <c r="CZ987" s="4295"/>
      <c r="DA987" s="4295"/>
      <c r="DB987" s="4295"/>
      <c r="DC987" s="4295"/>
      <c r="DD987" s="4295"/>
      <c r="DE987" s="4295"/>
      <c r="DF987" s="4295"/>
      <c r="DG987" s="4295"/>
      <c r="DH987" s="4295"/>
      <c r="DI987" s="4295"/>
      <c r="DJ987" s="4295"/>
      <c r="DK987" s="4295"/>
      <c r="DL987" s="4295"/>
      <c r="DM987" s="4295"/>
      <c r="DN987" s="4295"/>
      <c r="DO987" s="4295"/>
      <c r="DP987" s="4295"/>
      <c r="DQ987" s="4295"/>
      <c r="DR987" s="4295"/>
      <c r="DS987" s="4295"/>
    </row>
    <row r="988" s="4133" customFormat="1" hidden="1" spans="1:123">
      <c r="A988" s="4292"/>
      <c r="B988" s="4292"/>
      <c r="C988" s="4292"/>
      <c r="D988" s="4292"/>
      <c r="E988" s="4292"/>
      <c r="F988" s="4292"/>
      <c r="G988" s="4292"/>
      <c r="H988" s="4292"/>
      <c r="I988" s="4292"/>
      <c r="J988" s="4292"/>
      <c r="K988" s="4292"/>
      <c r="L988" s="4292"/>
      <c r="M988" s="4292"/>
      <c r="N988" s="4292"/>
      <c r="O988" s="4292"/>
      <c r="P988" s="4292"/>
      <c r="Q988" s="4292"/>
      <c r="R988" s="4292"/>
      <c r="S988" s="4292"/>
      <c r="T988" s="4292"/>
      <c r="U988" s="4292"/>
      <c r="V988" s="4292"/>
      <c r="W988" s="4292"/>
      <c r="X988" s="4292"/>
      <c r="Y988" s="4292"/>
      <c r="Z988" s="4295"/>
      <c r="AA988" s="4295"/>
      <c r="AB988" s="4295"/>
      <c r="AC988" s="4295"/>
      <c r="AD988" s="4295"/>
      <c r="AE988" s="4295"/>
      <c r="AF988" s="4295"/>
      <c r="AG988" s="4295"/>
      <c r="AH988" s="4295"/>
      <c r="AI988" s="4295"/>
      <c r="AJ988" s="4295"/>
      <c r="AK988" s="4295"/>
      <c r="AL988" s="4295"/>
      <c r="AM988" s="4295"/>
      <c r="AN988" s="4295"/>
      <c r="AO988" s="4295"/>
      <c r="AP988" s="4295"/>
      <c r="AQ988" s="4295"/>
      <c r="AR988" s="4295"/>
      <c r="AS988" s="4295"/>
      <c r="AT988" s="4295"/>
      <c r="AU988" s="4295"/>
      <c r="AV988" s="4295"/>
      <c r="AW988" s="4295"/>
      <c r="AX988" s="4295"/>
      <c r="AY988" s="4295"/>
      <c r="AZ988" s="4295"/>
      <c r="BA988" s="4295"/>
      <c r="BB988" s="4295"/>
      <c r="BC988" s="4295"/>
      <c r="BD988" s="4295"/>
      <c r="BE988" s="4295"/>
      <c r="BF988" s="4295"/>
      <c r="BG988" s="4295"/>
      <c r="BH988" s="4295"/>
      <c r="BI988" s="4295"/>
      <c r="BJ988" s="4295"/>
      <c r="BK988" s="4295"/>
      <c r="BL988" s="4295"/>
      <c r="BM988" s="4295"/>
      <c r="BN988" s="4295"/>
      <c r="BO988" s="4295"/>
      <c r="BP988" s="4295"/>
      <c r="BQ988" s="4295"/>
      <c r="BR988" s="4295"/>
      <c r="BS988" s="4295"/>
      <c r="BT988" s="4295"/>
      <c r="BU988" s="4295"/>
      <c r="BV988" s="4295"/>
      <c r="BW988" s="4295"/>
      <c r="BX988" s="4295"/>
      <c r="BY988" s="4295"/>
      <c r="BZ988" s="4295"/>
      <c r="CA988" s="4295"/>
      <c r="CB988" s="4295"/>
      <c r="CC988" s="4295"/>
      <c r="CD988" s="4295"/>
      <c r="CE988" s="4295"/>
      <c r="CF988" s="4295"/>
      <c r="CG988" s="4295"/>
      <c r="CH988" s="4295"/>
      <c r="CI988" s="4295"/>
      <c r="CJ988" s="4295"/>
      <c r="CK988" s="4295"/>
      <c r="CL988" s="4295"/>
      <c r="CM988" s="4295"/>
      <c r="CN988" s="4295"/>
      <c r="CO988" s="4295"/>
      <c r="CP988" s="4295"/>
      <c r="CQ988" s="4295"/>
      <c r="CR988" s="4295"/>
      <c r="CS988" s="4295"/>
      <c r="CT988" s="4295"/>
      <c r="CU988" s="4295"/>
      <c r="CV988" s="4295"/>
      <c r="CW988" s="4295"/>
      <c r="CX988" s="4295"/>
      <c r="CY988" s="4295"/>
      <c r="CZ988" s="4295"/>
      <c r="DA988" s="4295"/>
      <c r="DB988" s="4295"/>
      <c r="DC988" s="4295"/>
      <c r="DD988" s="4295"/>
      <c r="DE988" s="4295"/>
      <c r="DF988" s="4295"/>
      <c r="DG988" s="4295"/>
      <c r="DH988" s="4295"/>
      <c r="DI988" s="4295"/>
      <c r="DJ988" s="4295"/>
      <c r="DK988" s="4295"/>
      <c r="DL988" s="4295"/>
      <c r="DM988" s="4295"/>
      <c r="DN988" s="4295"/>
      <c r="DO988" s="4295"/>
      <c r="DP988" s="4295"/>
      <c r="DQ988" s="4295"/>
      <c r="DR988" s="4295"/>
      <c r="DS988" s="4295"/>
    </row>
    <row r="989" s="4133" customFormat="1" hidden="1" spans="1:123">
      <c r="A989" s="4292"/>
      <c r="B989" s="4292"/>
      <c r="C989" s="4292"/>
      <c r="D989" s="4292"/>
      <c r="E989" s="4292"/>
      <c r="F989" s="4292"/>
      <c r="G989" s="4292"/>
      <c r="H989" s="4292"/>
      <c r="I989" s="4292"/>
      <c r="J989" s="4292"/>
      <c r="K989" s="4292"/>
      <c r="L989" s="4292"/>
      <c r="M989" s="4292"/>
      <c r="N989" s="4292"/>
      <c r="O989" s="4292"/>
      <c r="P989" s="4292"/>
      <c r="Q989" s="4292"/>
      <c r="R989" s="4292"/>
      <c r="S989" s="4292"/>
      <c r="T989" s="4292"/>
      <c r="U989" s="4292"/>
      <c r="V989" s="4292"/>
      <c r="W989" s="4292"/>
      <c r="X989" s="4292"/>
      <c r="Y989" s="4292"/>
      <c r="Z989" s="4295"/>
      <c r="AA989" s="4295"/>
      <c r="AB989" s="4295"/>
      <c r="AC989" s="4295"/>
      <c r="AD989" s="4295"/>
      <c r="AE989" s="4295"/>
      <c r="AF989" s="4295"/>
      <c r="AG989" s="4295"/>
      <c r="AH989" s="4295"/>
      <c r="AI989" s="4295"/>
      <c r="AJ989" s="4295"/>
      <c r="AK989" s="4295"/>
      <c r="AL989" s="4295"/>
      <c r="AM989" s="4295"/>
      <c r="AN989" s="4295"/>
      <c r="AO989" s="4295"/>
      <c r="AP989" s="4295"/>
      <c r="AQ989" s="4295"/>
      <c r="AR989" s="4295"/>
      <c r="AS989" s="4295"/>
      <c r="AT989" s="4295"/>
      <c r="AU989" s="4295"/>
      <c r="AV989" s="4295"/>
      <c r="AW989" s="4295"/>
      <c r="AX989" s="4295"/>
      <c r="AY989" s="4295"/>
      <c r="AZ989" s="4295"/>
      <c r="BA989" s="4295"/>
      <c r="BB989" s="4295"/>
      <c r="BC989" s="4295"/>
      <c r="BD989" s="4295"/>
      <c r="BE989" s="4295"/>
      <c r="BF989" s="4295"/>
      <c r="BG989" s="4295"/>
      <c r="BH989" s="4295"/>
      <c r="BI989" s="4295"/>
      <c r="BJ989" s="4295"/>
      <c r="BK989" s="4295"/>
      <c r="BL989" s="4295"/>
      <c r="BM989" s="4295"/>
      <c r="BN989" s="4295"/>
      <c r="BO989" s="4295"/>
      <c r="BP989" s="4295"/>
      <c r="BQ989" s="4295"/>
      <c r="BR989" s="4295"/>
      <c r="BS989" s="4295"/>
      <c r="BT989" s="4295"/>
      <c r="BU989" s="4295"/>
      <c r="BV989" s="4295"/>
      <c r="BW989" s="4295"/>
      <c r="BX989" s="4295"/>
      <c r="BY989" s="4295"/>
      <c r="BZ989" s="4295"/>
      <c r="CA989" s="4295"/>
      <c r="CB989" s="4295"/>
      <c r="CC989" s="4295"/>
      <c r="CD989" s="4295"/>
      <c r="CE989" s="4295"/>
      <c r="CF989" s="4295"/>
      <c r="CG989" s="4295"/>
      <c r="CH989" s="4295"/>
      <c r="CI989" s="4295"/>
      <c r="CJ989" s="4295"/>
      <c r="CK989" s="4295"/>
      <c r="CL989" s="4295"/>
      <c r="CM989" s="4295"/>
      <c r="CN989" s="4295"/>
      <c r="CO989" s="4295"/>
      <c r="CP989" s="4295"/>
      <c r="CQ989" s="4295"/>
      <c r="CR989" s="4295"/>
      <c r="CS989" s="4295"/>
      <c r="CT989" s="4295"/>
      <c r="CU989" s="4295"/>
      <c r="CV989" s="4295"/>
      <c r="CW989" s="4295"/>
      <c r="CX989" s="4295"/>
      <c r="CY989" s="4295"/>
      <c r="CZ989" s="4295"/>
      <c r="DA989" s="4295"/>
      <c r="DB989" s="4295"/>
      <c r="DC989" s="4295"/>
      <c r="DD989" s="4295"/>
      <c r="DE989" s="4295"/>
      <c r="DF989" s="4295"/>
      <c r="DG989" s="4295"/>
      <c r="DH989" s="4295"/>
      <c r="DI989" s="4295"/>
      <c r="DJ989" s="4295"/>
      <c r="DK989" s="4295"/>
      <c r="DL989" s="4295"/>
      <c r="DM989" s="4295"/>
      <c r="DN989" s="4295"/>
      <c r="DO989" s="4295"/>
      <c r="DP989" s="4295"/>
      <c r="DQ989" s="4295"/>
      <c r="DR989" s="4295"/>
      <c r="DS989" s="4295"/>
    </row>
    <row r="990" s="4133" customFormat="1" hidden="1" spans="1:123">
      <c r="A990" s="4292"/>
      <c r="B990" s="4292"/>
      <c r="C990" s="4292"/>
      <c r="D990" s="4292"/>
      <c r="E990" s="4292"/>
      <c r="F990" s="4292"/>
      <c r="G990" s="4292"/>
      <c r="H990" s="4292"/>
      <c r="I990" s="4292"/>
      <c r="J990" s="4292"/>
      <c r="K990" s="4292"/>
      <c r="L990" s="4292"/>
      <c r="M990" s="4292"/>
      <c r="N990" s="4292"/>
      <c r="O990" s="4292"/>
      <c r="P990" s="4292"/>
      <c r="Q990" s="4292"/>
      <c r="R990" s="4292"/>
      <c r="S990" s="4292"/>
      <c r="T990" s="4292"/>
      <c r="U990" s="4292"/>
      <c r="V990" s="4292"/>
      <c r="W990" s="4292"/>
      <c r="X990" s="4292"/>
      <c r="Y990" s="4292"/>
      <c r="Z990" s="4295"/>
      <c r="AA990" s="4295"/>
      <c r="AB990" s="4295"/>
      <c r="AC990" s="4295"/>
      <c r="AD990" s="4295"/>
      <c r="AE990" s="4295"/>
      <c r="AF990" s="4295"/>
      <c r="AG990" s="4295"/>
      <c r="AH990" s="4295"/>
      <c r="AI990" s="4295"/>
      <c r="AJ990" s="4295"/>
      <c r="AK990" s="4295"/>
      <c r="AL990" s="4295"/>
      <c r="AM990" s="4295"/>
      <c r="AN990" s="4295"/>
      <c r="AO990" s="4295"/>
      <c r="AP990" s="4295"/>
      <c r="AQ990" s="4295"/>
      <c r="AR990" s="4295"/>
      <c r="AS990" s="4295"/>
      <c r="AT990" s="4295"/>
      <c r="AU990" s="4295"/>
      <c r="AV990" s="4295"/>
      <c r="AW990" s="4295"/>
      <c r="AX990" s="4295"/>
      <c r="AY990" s="4295"/>
      <c r="AZ990" s="4295"/>
      <c r="BA990" s="4295"/>
      <c r="BB990" s="4295"/>
      <c r="BC990" s="4295"/>
      <c r="BD990" s="4295"/>
      <c r="BE990" s="4295"/>
      <c r="BF990" s="4295"/>
      <c r="BG990" s="4295"/>
      <c r="BH990" s="4295"/>
      <c r="BI990" s="4295"/>
      <c r="BJ990" s="4295"/>
      <c r="BK990" s="4295"/>
      <c r="BL990" s="4295"/>
      <c r="BM990" s="4295"/>
      <c r="BN990" s="4295"/>
      <c r="BO990" s="4295"/>
      <c r="BP990" s="4295"/>
      <c r="BQ990" s="4295"/>
      <c r="BR990" s="4295"/>
      <c r="BS990" s="4295"/>
      <c r="BT990" s="4295"/>
      <c r="BU990" s="4295"/>
      <c r="BV990" s="4295"/>
      <c r="BW990" s="4295"/>
      <c r="BX990" s="4295"/>
      <c r="BY990" s="4295"/>
      <c r="BZ990" s="4295"/>
      <c r="CA990" s="4295"/>
      <c r="CB990" s="4295"/>
      <c r="CC990" s="4295"/>
      <c r="CD990" s="4295"/>
      <c r="CE990" s="4295"/>
      <c r="CF990" s="4295"/>
      <c r="CG990" s="4295"/>
      <c r="CH990" s="4295"/>
      <c r="CI990" s="4295"/>
      <c r="CJ990" s="4295"/>
      <c r="CK990" s="4295"/>
      <c r="CL990" s="4295"/>
      <c r="CM990" s="4295"/>
      <c r="CN990" s="4295"/>
      <c r="CO990" s="4295"/>
      <c r="CP990" s="4295"/>
      <c r="CQ990" s="4295"/>
      <c r="CR990" s="4295"/>
      <c r="CS990" s="4295"/>
      <c r="CT990" s="4295"/>
      <c r="CU990" s="4295"/>
      <c r="CV990" s="4295"/>
      <c r="CW990" s="4295"/>
      <c r="CX990" s="4295"/>
      <c r="CY990" s="4295"/>
      <c r="CZ990" s="4295"/>
      <c r="DA990" s="4295"/>
      <c r="DB990" s="4295"/>
      <c r="DC990" s="4295"/>
      <c r="DD990" s="4295"/>
      <c r="DE990" s="4295"/>
      <c r="DF990" s="4295"/>
      <c r="DG990" s="4295"/>
      <c r="DH990" s="4295"/>
      <c r="DI990" s="4295"/>
      <c r="DJ990" s="4295"/>
      <c r="DK990" s="4295"/>
      <c r="DL990" s="4295"/>
      <c r="DM990" s="4295"/>
      <c r="DN990" s="4295"/>
      <c r="DO990" s="4295"/>
      <c r="DP990" s="4295"/>
      <c r="DQ990" s="4295"/>
      <c r="DR990" s="4295"/>
      <c r="DS990" s="4295"/>
    </row>
    <row r="991" s="4133" customFormat="1" hidden="1" spans="1:123">
      <c r="A991" s="4292"/>
      <c r="B991" s="4292"/>
      <c r="C991" s="4292"/>
      <c r="D991" s="4292"/>
      <c r="E991" s="4292"/>
      <c r="F991" s="4292"/>
      <c r="G991" s="4292"/>
      <c r="H991" s="4292"/>
      <c r="I991" s="4292"/>
      <c r="J991" s="4292"/>
      <c r="K991" s="4292"/>
      <c r="L991" s="4292"/>
      <c r="M991" s="4292"/>
      <c r="N991" s="4292"/>
      <c r="O991" s="4292"/>
      <c r="P991" s="4292"/>
      <c r="Q991" s="4292"/>
      <c r="R991" s="4292"/>
      <c r="S991" s="4292"/>
      <c r="T991" s="4292"/>
      <c r="U991" s="4292"/>
      <c r="V991" s="4292"/>
      <c r="W991" s="4292"/>
      <c r="X991" s="4292"/>
      <c r="Y991" s="4292"/>
      <c r="Z991" s="4295"/>
      <c r="AA991" s="4295"/>
      <c r="AB991" s="4295"/>
      <c r="AC991" s="4295"/>
      <c r="AD991" s="4295"/>
      <c r="AE991" s="4295"/>
      <c r="AF991" s="4295"/>
      <c r="AG991" s="4295"/>
      <c r="AH991" s="4295"/>
      <c r="AI991" s="4295"/>
      <c r="AJ991" s="4295"/>
      <c r="AK991" s="4295"/>
      <c r="AL991" s="4295"/>
      <c r="AM991" s="4295"/>
      <c r="AN991" s="4295"/>
      <c r="AO991" s="4295"/>
      <c r="AP991" s="4295"/>
      <c r="AQ991" s="4295"/>
      <c r="AR991" s="4295"/>
      <c r="AS991" s="4295"/>
      <c r="AT991" s="4295"/>
      <c r="AU991" s="4295"/>
      <c r="AV991" s="4295"/>
      <c r="AW991" s="4295"/>
      <c r="AX991" s="4295"/>
      <c r="AY991" s="4295"/>
      <c r="AZ991" s="4295"/>
      <c r="BA991" s="4295"/>
      <c r="BB991" s="4295"/>
      <c r="BC991" s="4295"/>
      <c r="BD991" s="4295"/>
      <c r="BE991" s="4295"/>
      <c r="BF991" s="4295"/>
      <c r="BG991" s="4295"/>
      <c r="BH991" s="4295"/>
      <c r="BI991" s="4295"/>
      <c r="BJ991" s="4295"/>
      <c r="BK991" s="4295"/>
      <c r="BL991" s="4295"/>
      <c r="BM991" s="4295"/>
      <c r="BN991" s="4295"/>
      <c r="BO991" s="4295"/>
      <c r="BP991" s="4295"/>
      <c r="BQ991" s="4295"/>
      <c r="BR991" s="4295"/>
      <c r="BS991" s="4295"/>
      <c r="BT991" s="4295"/>
      <c r="BU991" s="4295"/>
      <c r="BV991" s="4295"/>
      <c r="BW991" s="4295"/>
      <c r="BX991" s="4295"/>
      <c r="BY991" s="4295"/>
      <c r="BZ991" s="4295"/>
      <c r="CA991" s="4295"/>
      <c r="CB991" s="4295"/>
      <c r="CC991" s="4295"/>
      <c r="CD991" s="4295"/>
      <c r="CE991" s="4295"/>
      <c r="CF991" s="4295"/>
      <c r="CG991" s="4295"/>
      <c r="CH991" s="4295"/>
      <c r="CI991" s="4295"/>
      <c r="CJ991" s="4295"/>
      <c r="CK991" s="4295"/>
      <c r="CL991" s="4295"/>
      <c r="CM991" s="4295"/>
      <c r="CN991" s="4295"/>
      <c r="CO991" s="4295"/>
      <c r="CP991" s="4295"/>
      <c r="CQ991" s="4295"/>
      <c r="CR991" s="4295"/>
      <c r="CS991" s="4295"/>
      <c r="CT991" s="4295"/>
      <c r="CU991" s="4295"/>
      <c r="CV991" s="4295"/>
      <c r="CW991" s="4295"/>
      <c r="CX991" s="4295"/>
      <c r="CY991" s="4295"/>
      <c r="CZ991" s="4295"/>
      <c r="DA991" s="4295"/>
      <c r="DB991" s="4295"/>
      <c r="DC991" s="4295"/>
      <c r="DD991" s="4295"/>
      <c r="DE991" s="4295"/>
      <c r="DF991" s="4295"/>
      <c r="DG991" s="4295"/>
      <c r="DH991" s="4295"/>
      <c r="DI991" s="4295"/>
      <c r="DJ991" s="4295"/>
      <c r="DK991" s="4295"/>
      <c r="DL991" s="4295"/>
      <c r="DM991" s="4295"/>
      <c r="DN991" s="4295"/>
      <c r="DO991" s="4295"/>
      <c r="DP991" s="4295"/>
      <c r="DQ991" s="4295"/>
      <c r="DR991" s="4295"/>
      <c r="DS991" s="4295"/>
    </row>
    <row r="992" s="4133" customFormat="1" spans="1:123">
      <c r="A992" s="4292"/>
      <c r="B992" s="4292"/>
      <c r="C992" s="4292"/>
      <c r="D992" s="4292"/>
      <c r="E992" s="4292"/>
      <c r="F992" s="4292"/>
      <c r="G992" s="4292"/>
      <c r="H992" s="4292"/>
      <c r="I992" s="4292"/>
      <c r="J992" s="4292"/>
      <c r="K992" s="4292"/>
      <c r="L992" s="4292"/>
      <c r="M992" s="4292"/>
      <c r="N992" s="4292"/>
      <c r="O992" s="4292"/>
      <c r="P992" s="4292"/>
      <c r="Q992" s="4292"/>
      <c r="R992" s="4292"/>
      <c r="S992" s="4292"/>
      <c r="T992" s="4292"/>
      <c r="U992" s="4292"/>
      <c r="V992" s="4292"/>
      <c r="W992" s="4292"/>
      <c r="X992" s="4292"/>
      <c r="Y992" s="4292"/>
      <c r="Z992" s="4295"/>
      <c r="AA992" s="4295"/>
      <c r="AB992" s="4295"/>
      <c r="AC992" s="4295"/>
      <c r="AD992" s="4295"/>
      <c r="AE992" s="4295"/>
      <c r="AF992" s="4295"/>
      <c r="AG992" s="4295"/>
      <c r="AH992" s="4295"/>
      <c r="AI992" s="4295"/>
      <c r="AJ992" s="4295"/>
      <c r="AK992" s="4295"/>
      <c r="AL992" s="4295"/>
      <c r="AM992" s="4295"/>
      <c r="AN992" s="4295"/>
      <c r="AO992" s="4295"/>
      <c r="AP992" s="4295"/>
      <c r="AQ992" s="4295"/>
      <c r="AR992" s="4295"/>
      <c r="AS992" s="4292"/>
      <c r="AT992" s="4292"/>
      <c r="AU992" s="4292"/>
      <c r="AV992" s="4292"/>
      <c r="AW992" s="4292"/>
      <c r="AX992" s="4292"/>
      <c r="AY992" s="4292"/>
      <c r="AZ992" s="4292"/>
      <c r="BA992" s="4292"/>
      <c r="BB992" s="4292"/>
      <c r="BC992" s="4292"/>
      <c r="BD992" s="4292"/>
      <c r="BE992" s="4292"/>
      <c r="BF992" s="4292"/>
      <c r="BG992" s="4292"/>
      <c r="BH992" s="4292"/>
      <c r="BI992" s="4292"/>
      <c r="BJ992" s="4292"/>
      <c r="BK992" s="4292"/>
      <c r="BL992" s="4292"/>
      <c r="BM992" s="4292"/>
      <c r="BN992" s="4292"/>
      <c r="BO992" s="4292"/>
      <c r="BP992" s="4292"/>
      <c r="BQ992" s="4292"/>
      <c r="BR992" s="4292"/>
      <c r="BS992" s="4292"/>
      <c r="BT992" s="4292"/>
      <c r="BU992" s="4292"/>
      <c r="BV992" s="4292"/>
      <c r="BW992" s="4292"/>
      <c r="BX992" s="4292"/>
      <c r="BY992" s="4292"/>
      <c r="BZ992" s="4292"/>
      <c r="CA992" s="4292"/>
      <c r="CB992" s="4292"/>
      <c r="CC992" s="4292"/>
      <c r="CD992" s="4292"/>
      <c r="CE992" s="4292"/>
      <c r="CF992" s="4292"/>
      <c r="CG992" s="4292"/>
      <c r="CH992" s="4292"/>
      <c r="CI992" s="4292"/>
      <c r="CJ992" s="4292"/>
      <c r="CK992" s="4292"/>
      <c r="CL992" s="4292"/>
      <c r="CM992" s="4292"/>
      <c r="CN992" s="4292"/>
      <c r="CO992" s="4292"/>
      <c r="CP992" s="4292"/>
      <c r="CQ992" s="4292"/>
      <c r="CR992" s="4292"/>
      <c r="CS992" s="4292"/>
      <c r="CT992" s="4292"/>
      <c r="CU992" s="4292"/>
      <c r="CV992" s="4292"/>
      <c r="CW992" s="4292"/>
      <c r="CX992" s="4292"/>
      <c r="CY992" s="4292"/>
      <c r="CZ992" s="4292"/>
      <c r="DA992" s="4292"/>
      <c r="DB992" s="4292"/>
      <c r="DC992" s="4292"/>
      <c r="DD992" s="4292"/>
      <c r="DE992" s="4292"/>
      <c r="DF992" s="4292"/>
      <c r="DG992" s="4292"/>
      <c r="DH992" s="4292"/>
      <c r="DI992" s="4292"/>
      <c r="DJ992" s="4292"/>
      <c r="DK992" s="4292"/>
      <c r="DL992" s="4292"/>
      <c r="DM992" s="4292"/>
      <c r="DN992" s="4292"/>
      <c r="DO992" s="4292"/>
      <c r="DP992" s="4292"/>
      <c r="DQ992" s="4292"/>
      <c r="DR992" s="4292"/>
      <c r="DS992" s="4292"/>
    </row>
    <row r="993" s="4133" customFormat="1" ht="26.25" spans="1:123">
      <c r="A993" s="4292"/>
      <c r="B993" s="4292"/>
      <c r="C993" s="4292"/>
      <c r="D993" s="4292"/>
      <c r="E993" s="4292"/>
      <c r="F993" s="4292"/>
      <c r="G993" s="4292"/>
      <c r="H993" s="4854">
        <f ca="1">PoslGod</f>
        <v>2025</v>
      </c>
      <c r="I993" s="4854"/>
      <c r="J993" s="4854"/>
      <c r="K993" s="4854"/>
      <c r="L993" s="4854"/>
      <c r="M993" s="4854"/>
      <c r="N993" s="4854"/>
      <c r="O993" s="4562"/>
      <c r="P993" s="4562"/>
      <c r="Q993" s="4562"/>
      <c r="R993" s="4562"/>
      <c r="S993" s="4562"/>
      <c r="T993" s="4562"/>
      <c r="U993" s="4562"/>
      <c r="V993" s="4292"/>
      <c r="W993" s="4292"/>
      <c r="X993" s="4292"/>
      <c r="Y993" s="4292"/>
      <c r="Z993" s="4855" t="s">
        <v>5719</v>
      </c>
      <c r="AA993" s="4855"/>
      <c r="AB993" s="4855"/>
      <c r="AC993" s="4855"/>
      <c r="AD993" s="4855"/>
      <c r="AE993" s="4855"/>
      <c r="AF993" s="4855"/>
      <c r="AG993" s="4855"/>
      <c r="AH993" s="4855"/>
      <c r="AI993" s="4855"/>
      <c r="AJ993" s="4855"/>
      <c r="AK993" s="4855"/>
      <c r="AL993" s="4855"/>
      <c r="AM993" s="4855"/>
      <c r="AN993" s="4855"/>
      <c r="AO993" s="4855"/>
      <c r="AP993" s="4855"/>
      <c r="AQ993" s="4855"/>
      <c r="AR993" s="4855"/>
      <c r="AS993" s="4292"/>
      <c r="AT993" s="4292"/>
      <c r="AU993" s="4292"/>
      <c r="AV993" s="4292"/>
      <c r="AW993" s="4292"/>
      <c r="AX993" s="4292"/>
      <c r="AY993" s="4292"/>
      <c r="AZ993" s="4292"/>
      <c r="BA993" s="4292"/>
      <c r="BB993" s="4292"/>
      <c r="BC993" s="4292"/>
      <c r="BD993" s="4292"/>
      <c r="BE993" s="4292"/>
      <c r="BF993" s="4292"/>
      <c r="BG993" s="4292"/>
      <c r="BH993" s="4292"/>
      <c r="BI993" s="4292"/>
      <c r="BJ993" s="4292"/>
      <c r="BK993" s="4292"/>
      <c r="BL993" s="4292"/>
      <c r="BM993" s="4292"/>
      <c r="BN993" s="4292"/>
      <c r="BO993" s="4292"/>
      <c r="BP993" s="4292"/>
      <c r="BQ993" s="4292"/>
      <c r="BR993" s="4292"/>
      <c r="BS993" s="4292"/>
      <c r="BT993" s="4292"/>
      <c r="BU993" s="4292"/>
      <c r="BV993" s="4292"/>
      <c r="BW993" s="4292"/>
      <c r="BX993" s="4292"/>
      <c r="BY993" s="4292"/>
      <c r="BZ993" s="4292"/>
      <c r="CA993" s="4292"/>
      <c r="CB993" s="4292"/>
      <c r="CC993" s="4292"/>
      <c r="CD993" s="4292"/>
      <c r="CE993" s="4292"/>
      <c r="CF993" s="4292"/>
      <c r="CG993" s="4292"/>
      <c r="CH993" s="4292"/>
      <c r="CI993" s="4292"/>
      <c r="CJ993" s="4292"/>
      <c r="CK993" s="4292"/>
      <c r="CL993" s="4292"/>
      <c r="CM993" s="4292"/>
      <c r="CN993" s="4292"/>
      <c r="CO993" s="4292"/>
      <c r="CP993" s="4292"/>
      <c r="CQ993" s="4292"/>
      <c r="CR993" s="4292"/>
      <c r="CS993" s="4292"/>
      <c r="CT993" s="4292"/>
      <c r="CU993" s="4292"/>
      <c r="CV993" s="4292"/>
      <c r="CW993" s="4292"/>
      <c r="CX993" s="4292"/>
      <c r="CY993" s="4292"/>
      <c r="CZ993" s="4292"/>
      <c r="DA993" s="4292"/>
      <c r="DB993" s="4292"/>
      <c r="DC993" s="4292"/>
      <c r="DD993" s="4292"/>
      <c r="DE993" s="4292"/>
      <c r="DF993" s="4292"/>
      <c r="DG993" s="4292"/>
      <c r="DH993" s="4292"/>
      <c r="DI993" s="4292"/>
      <c r="DJ993" s="4292"/>
      <c r="DK993" s="4292"/>
      <c r="DL993" s="4292"/>
      <c r="DM993" s="4292"/>
      <c r="DN993" s="4292"/>
      <c r="DO993" s="4292"/>
      <c r="DP993" s="4292"/>
      <c r="DQ993" s="4292"/>
      <c r="DR993" s="4292"/>
      <c r="DS993" s="4292"/>
    </row>
    <row r="994" s="4133" customFormat="1" ht="22.5" customHeight="1" spans="1:123">
      <c r="A994" s="4292"/>
      <c r="B994" s="4292"/>
      <c r="C994" s="4292"/>
      <c r="D994" s="4292"/>
      <c r="E994" s="4292"/>
      <c r="F994" s="4292"/>
      <c r="G994" s="4292"/>
      <c r="H994" s="4292"/>
      <c r="I994" s="4292"/>
      <c r="J994" s="4292"/>
      <c r="K994" s="4292"/>
      <c r="L994" s="4292"/>
      <c r="M994" s="4292"/>
      <c r="N994" s="4292"/>
      <c r="O994" s="4292"/>
      <c r="P994" s="4292"/>
      <c r="Q994" s="4292"/>
      <c r="R994" s="4292"/>
      <c r="S994" s="4292"/>
      <c r="T994" s="4292"/>
      <c r="U994" s="4292"/>
      <c r="V994" s="4292"/>
      <c r="W994" s="4292"/>
      <c r="X994" s="4292"/>
      <c r="Y994" s="4292"/>
      <c r="Z994" s="4856" t="s">
        <v>5720</v>
      </c>
      <c r="AA994" s="4856"/>
      <c r="AB994" s="4856"/>
      <c r="AC994" s="4856"/>
      <c r="AD994" s="4856"/>
      <c r="AE994" s="4856"/>
      <c r="AF994" s="4856"/>
      <c r="AG994" s="4856"/>
      <c r="AH994" s="4856"/>
      <c r="AI994" s="4856"/>
      <c r="AJ994" s="4856"/>
      <c r="AK994" s="4856"/>
      <c r="AL994" s="4856"/>
      <c r="AM994" s="4856"/>
      <c r="AN994" s="4856"/>
      <c r="AO994" s="4856"/>
      <c r="AP994" s="4856"/>
      <c r="AQ994" s="4856"/>
      <c r="AR994" s="4856"/>
      <c r="AS994" s="4292"/>
      <c r="AT994" s="4292"/>
      <c r="AU994" s="4292"/>
      <c r="AV994" s="4292"/>
      <c r="AW994" s="4292"/>
      <c r="AX994" s="4292"/>
      <c r="AY994" s="4292"/>
      <c r="AZ994" s="4292"/>
      <c r="BA994" s="4292"/>
      <c r="BB994" s="4292"/>
      <c r="BC994" s="4292"/>
      <c r="BD994" s="4292"/>
      <c r="BE994" s="4292"/>
      <c r="BF994" s="4292"/>
      <c r="BG994" s="4292"/>
      <c r="BH994" s="4292"/>
      <c r="BI994" s="4292"/>
      <c r="BJ994" s="4292"/>
      <c r="BK994" s="4292"/>
      <c r="BL994" s="4292"/>
      <c r="BM994" s="4292"/>
      <c r="BN994" s="4292"/>
      <c r="BO994" s="4292"/>
      <c r="BP994" s="4292"/>
      <c r="BQ994" s="4292"/>
      <c r="BR994" s="4292"/>
      <c r="BS994" s="4292"/>
      <c r="BT994" s="4292"/>
      <c r="BU994" s="4292"/>
      <c r="BV994" s="4292"/>
      <c r="BW994" s="4292"/>
      <c r="BX994" s="4292"/>
      <c r="BY994" s="4292"/>
      <c r="BZ994" s="4292"/>
      <c r="CA994" s="4292"/>
      <c r="CB994" s="4292"/>
      <c r="CC994" s="4292"/>
      <c r="CD994" s="4292"/>
      <c r="CE994" s="4292"/>
      <c r="CF994" s="4292"/>
      <c r="CG994" s="4292"/>
      <c r="CH994" s="4292"/>
      <c r="CI994" s="4292"/>
      <c r="CJ994" s="4292"/>
      <c r="CK994" s="4292"/>
      <c r="CL994" s="4292"/>
      <c r="CM994" s="4292"/>
      <c r="CN994" s="4292"/>
      <c r="CO994" s="4292"/>
      <c r="CP994" s="4292"/>
      <c r="CQ994" s="4292"/>
      <c r="CR994" s="4292"/>
      <c r="CS994" s="4292"/>
      <c r="CT994" s="4292"/>
      <c r="CU994" s="4292"/>
      <c r="CV994" s="4292"/>
      <c r="CW994" s="4292"/>
      <c r="CX994" s="4292"/>
      <c r="CY994" s="4292"/>
      <c r="CZ994" s="4292"/>
      <c r="DA994" s="4292"/>
      <c r="DB994" s="4292"/>
      <c r="DC994" s="4292"/>
      <c r="DD994" s="4292"/>
      <c r="DE994" s="4292"/>
      <c r="DF994" s="4292"/>
      <c r="DG994" s="4292"/>
      <c r="DH994" s="4292"/>
      <c r="DI994" s="4292"/>
      <c r="DJ994" s="4292"/>
      <c r="DK994" s="4292"/>
      <c r="DL994" s="4292"/>
      <c r="DM994" s="4292"/>
      <c r="DN994" s="4292"/>
      <c r="DO994" s="4292"/>
      <c r="DP994" s="4292"/>
      <c r="DQ994" s="4292"/>
      <c r="DR994" s="4292"/>
      <c r="DS994" s="4292"/>
    </row>
    <row r="995" s="4133" customFormat="1" ht="21" spans="1:123">
      <c r="A995" s="4857" t="s">
        <v>5721</v>
      </c>
      <c r="B995" s="4858"/>
      <c r="C995" s="4858"/>
      <c r="D995" s="4858"/>
      <c r="E995" s="4858"/>
      <c r="F995" s="4292"/>
      <c r="G995" s="4292"/>
      <c r="H995" s="4292"/>
      <c r="I995" s="4292"/>
      <c r="J995" s="4292"/>
      <c r="K995" s="4292"/>
      <c r="L995" s="4292"/>
      <c r="M995" s="4292"/>
      <c r="N995" s="4292"/>
      <c r="O995" s="4292"/>
      <c r="P995" s="4292"/>
      <c r="Q995" s="4292"/>
      <c r="R995" s="4292"/>
      <c r="S995" s="4292"/>
      <c r="T995" s="4292"/>
      <c r="U995" s="4292"/>
      <c r="V995" s="4292"/>
      <c r="W995" s="4292"/>
      <c r="X995" s="4292"/>
      <c r="Y995" s="4292"/>
      <c r="Z995" s="4856"/>
      <c r="AA995" s="4856"/>
      <c r="AB995" s="4856"/>
      <c r="AC995" s="4856"/>
      <c r="AD995" s="4856"/>
      <c r="AE995" s="4856"/>
      <c r="AF995" s="4856"/>
      <c r="AG995" s="4856"/>
      <c r="AH995" s="4856"/>
      <c r="AI995" s="4856"/>
      <c r="AJ995" s="4856"/>
      <c r="AK995" s="4856"/>
      <c r="AL995" s="4856"/>
      <c r="AM995" s="4856"/>
      <c r="AN995" s="4856"/>
      <c r="AO995" s="4856"/>
      <c r="AP995" s="4856"/>
      <c r="AQ995" s="4856"/>
      <c r="AR995" s="4856"/>
      <c r="AS995" s="4292"/>
      <c r="AT995" s="4292"/>
      <c r="AU995" s="4292"/>
      <c r="AV995" s="4292"/>
      <c r="AW995" s="4292"/>
      <c r="AX995" s="4292"/>
      <c r="AY995" s="4292"/>
      <c r="AZ995" s="4292"/>
      <c r="BA995" s="4292"/>
      <c r="BB995" s="4292"/>
      <c r="BC995" s="4292"/>
      <c r="BD995" s="4292"/>
      <c r="BE995" s="4292"/>
      <c r="BF995" s="4292"/>
      <c r="BG995" s="4292"/>
      <c r="BH995" s="4292"/>
      <c r="BI995" s="4292"/>
      <c r="BJ995" s="4292"/>
      <c r="BK995" s="4292"/>
      <c r="BL995" s="4292"/>
      <c r="BM995" s="4292"/>
      <c r="BN995" s="4292"/>
      <c r="BO995" s="4292"/>
      <c r="BP995" s="4292"/>
      <c r="BQ995" s="4292"/>
      <c r="BR995" s="4292"/>
      <c r="BS995" s="4292"/>
      <c r="BT995" s="4292"/>
      <c r="BU995" s="4292"/>
      <c r="BV995" s="4292"/>
      <c r="BW995" s="4292"/>
      <c r="BX995" s="4292"/>
      <c r="BY995" s="4292"/>
      <c r="BZ995" s="4292"/>
      <c r="CA995" s="4292"/>
      <c r="CB995" s="4292"/>
      <c r="CC995" s="4292"/>
      <c r="CD995" s="4292"/>
      <c r="CE995" s="4292"/>
      <c r="CF995" s="4292"/>
      <c r="CG995" s="4292"/>
      <c r="CH995" s="4292"/>
      <c r="CI995" s="4292"/>
      <c r="CJ995" s="4292"/>
      <c r="CK995" s="4292"/>
      <c r="CL995" s="4292"/>
      <c r="CM995" s="4292"/>
      <c r="CN995" s="4292"/>
      <c r="CO995" s="4292"/>
      <c r="CP995" s="4292"/>
      <c r="CQ995" s="4292"/>
      <c r="CR995" s="4292"/>
      <c r="CS995" s="4292"/>
      <c r="CT995" s="4292"/>
      <c r="CU995" s="4292"/>
      <c r="CV995" s="4292"/>
      <c r="CW995" s="4292"/>
      <c r="CX995" s="4292"/>
      <c r="CY995" s="4292"/>
      <c r="CZ995" s="4292"/>
      <c r="DA995" s="4292"/>
      <c r="DB995" s="4292"/>
      <c r="DC995" s="4292"/>
      <c r="DD995" s="4292"/>
      <c r="DE995" s="4292"/>
      <c r="DF995" s="4292"/>
      <c r="DG995" s="4292"/>
      <c r="DH995" s="4292"/>
      <c r="DI995" s="4292"/>
      <c r="DJ995" s="4292"/>
      <c r="DK995" s="4292"/>
      <c r="DL995" s="4292"/>
      <c r="DM995" s="4292"/>
      <c r="DN995" s="4292"/>
      <c r="DO995" s="4292"/>
      <c r="DP995" s="4292"/>
      <c r="DQ995" s="4292"/>
      <c r="DR995" s="4292"/>
      <c r="DS995" s="4292"/>
    </row>
    <row r="996" s="4133" customFormat="1" ht="21" spans="1:123">
      <c r="A996" s="4859"/>
      <c r="B996" s="4859"/>
      <c r="C996" s="4859"/>
      <c r="D996" s="4859"/>
      <c r="E996" s="4859"/>
      <c r="F996" s="4859"/>
      <c r="G996" s="4859"/>
      <c r="H996" s="4860" t="str">
        <f ca="1">PeriodOd&amp;"."&amp;" - "&amp;PeriodDo</f>
        <v>01.01.2025. - 31.12.2025</v>
      </c>
      <c r="I996" s="4860"/>
      <c r="J996" s="4860"/>
      <c r="K996" s="4860"/>
      <c r="L996" s="4860"/>
      <c r="M996" s="4860"/>
      <c r="N996" s="4860"/>
      <c r="O996" s="4860"/>
      <c r="P996" s="4860"/>
      <c r="Q996" s="4860"/>
      <c r="R996" s="4860"/>
      <c r="S996" s="4860"/>
      <c r="T996" s="4860"/>
      <c r="U996" s="4860"/>
      <c r="V996" s="4861"/>
      <c r="W996" s="4861"/>
      <c r="X996" s="4292"/>
      <c r="Y996" s="4292"/>
      <c r="Z996" s="4292"/>
      <c r="AA996" s="4292"/>
      <c r="AB996" s="4292"/>
      <c r="AC996" s="4292"/>
      <c r="AD996" s="4292"/>
      <c r="AE996" s="4292"/>
      <c r="AF996" s="4292"/>
      <c r="AG996" s="4292"/>
      <c r="AH996" s="4292"/>
      <c r="AI996" s="4292"/>
      <c r="AJ996" s="4292"/>
      <c r="AK996" s="4292"/>
      <c r="AL996" s="4292"/>
      <c r="AM996" s="4292"/>
      <c r="AN996" s="4292"/>
      <c r="AO996" s="4292"/>
      <c r="AP996" s="4292"/>
      <c r="AQ996" s="4292"/>
      <c r="AR996" s="4292"/>
      <c r="AS996" s="4292"/>
      <c r="AT996" s="4292"/>
      <c r="AU996" s="4292"/>
      <c r="AV996" s="4292"/>
      <c r="AW996" s="4292"/>
      <c r="AX996" s="4292"/>
      <c r="AY996" s="4292"/>
      <c r="AZ996" s="4292"/>
      <c r="BA996" s="4292"/>
      <c r="BB996" s="4292"/>
      <c r="BC996" s="4292"/>
      <c r="BD996" s="4292"/>
      <c r="BE996" s="4292"/>
      <c r="BF996" s="4292"/>
      <c r="BG996" s="4292"/>
      <c r="BH996" s="4292"/>
      <c r="BI996" s="4292"/>
      <c r="BJ996" s="4292"/>
      <c r="BK996" s="4292"/>
      <c r="BL996" s="4292"/>
      <c r="BM996" s="4292"/>
      <c r="BN996" s="4292"/>
      <c r="BO996" s="4292"/>
      <c r="BP996" s="4292"/>
      <c r="BQ996" s="4292"/>
      <c r="BR996" s="4292"/>
      <c r="BS996" s="4292"/>
      <c r="BT996" s="4292"/>
      <c r="BU996" s="4292"/>
      <c r="BV996" s="4292"/>
      <c r="BW996" s="4292"/>
      <c r="BX996" s="4292"/>
      <c r="BY996" s="4292"/>
      <c r="BZ996" s="4292"/>
      <c r="CA996" s="4292"/>
      <c r="CB996" s="4292"/>
      <c r="CC996" s="4292"/>
      <c r="CD996" s="4292"/>
      <c r="CE996" s="4292"/>
      <c r="CF996" s="4292"/>
      <c r="CG996" s="4292"/>
      <c r="CH996" s="4292"/>
      <c r="CI996" s="4292"/>
      <c r="CJ996" s="4292"/>
      <c r="CK996" s="4292"/>
      <c r="CL996" s="4292"/>
      <c r="CM996" s="4292"/>
      <c r="CN996" s="4292"/>
      <c r="CO996" s="4292"/>
      <c r="CP996" s="4292"/>
      <c r="CQ996" s="4292"/>
      <c r="CR996" s="4292"/>
      <c r="CS996" s="4292"/>
      <c r="CT996" s="4292"/>
      <c r="CU996" s="4292"/>
      <c r="CV996" s="4292"/>
      <c r="CW996" s="4292"/>
      <c r="CX996" s="4292"/>
      <c r="CY996" s="4292"/>
      <c r="CZ996" s="4292"/>
      <c r="DA996" s="4292"/>
      <c r="DB996" s="4292"/>
      <c r="DC996" s="4292"/>
      <c r="DD996" s="4292"/>
      <c r="DE996" s="4292"/>
      <c r="DF996" s="4292"/>
      <c r="DG996" s="4292"/>
      <c r="DH996" s="4292"/>
      <c r="DI996" s="4292"/>
      <c r="DJ996" s="4292"/>
      <c r="DK996" s="4292"/>
      <c r="DL996" s="4292"/>
      <c r="DM996" s="4292"/>
      <c r="DN996" s="4292"/>
      <c r="DO996" s="4292"/>
      <c r="DP996" s="4292"/>
      <c r="DQ996" s="4292"/>
      <c r="DR996" s="4292"/>
      <c r="DS996" s="4292"/>
    </row>
    <row r="997" s="4133" customFormat="1" ht="18" customHeight="1" spans="1:123">
      <c r="A997" s="4862" t="s">
        <v>5152</v>
      </c>
      <c r="B997" s="4862"/>
      <c r="C997" s="4862"/>
      <c r="D997" s="4862"/>
      <c r="E997" s="4863"/>
      <c r="F997" s="4864"/>
      <c r="G997" s="4865"/>
      <c r="H997" s="4866" t="s">
        <v>5722</v>
      </c>
      <c r="I997" s="4862"/>
      <c r="J997" s="4862"/>
      <c r="K997" s="4862"/>
      <c r="L997" s="4862"/>
      <c r="M997" s="4862"/>
      <c r="N997" s="4862"/>
      <c r="O997" s="4862"/>
      <c r="P997" s="4862"/>
      <c r="Q997" s="4862"/>
      <c r="R997" s="4862"/>
      <c r="S997" s="4862"/>
      <c r="T997" s="4862"/>
      <c r="U997" s="4863"/>
      <c r="V997" s="4867"/>
      <c r="W997" s="4868"/>
      <c r="X997" s="4292"/>
      <c r="Y997" s="4292"/>
      <c r="Z997" s="4292"/>
      <c r="AA997" s="4292"/>
      <c r="AB997" s="4292"/>
      <c r="AC997" s="4292"/>
      <c r="AD997" s="4292"/>
      <c r="AE997" s="4292"/>
      <c r="AF997" s="4292"/>
      <c r="AG997" s="4292"/>
      <c r="AH997" s="4292"/>
      <c r="AI997" s="4292"/>
      <c r="AJ997" s="4292"/>
      <c r="AK997" s="4292"/>
      <c r="AL997" s="4292"/>
      <c r="AM997" s="4292"/>
      <c r="AN997" s="4292"/>
      <c r="AO997" s="4292"/>
      <c r="AP997" s="4292"/>
      <c r="AQ997" s="4292"/>
      <c r="AR997" s="4292"/>
      <c r="AS997" s="4292"/>
      <c r="AT997" s="4292"/>
      <c r="AU997" s="4292"/>
      <c r="AV997" s="4292"/>
      <c r="AW997" s="4292"/>
      <c r="AX997" s="4292"/>
      <c r="AY997" s="4292"/>
      <c r="AZ997" s="4292"/>
      <c r="BA997" s="4292"/>
      <c r="BB997" s="4292"/>
      <c r="BC997" s="4292"/>
      <c r="BD997" s="4292"/>
      <c r="BE997" s="4292"/>
      <c r="BF997" s="4292"/>
      <c r="BG997" s="4292"/>
      <c r="BH997" s="4292"/>
      <c r="BI997" s="4292"/>
      <c r="BJ997" s="4292"/>
      <c r="BK997" s="4292"/>
      <c r="BL997" s="4292"/>
      <c r="BM997" s="4292"/>
      <c r="BN997" s="4292"/>
      <c r="BO997" s="4292"/>
      <c r="BP997" s="4292"/>
      <c r="BQ997" s="4292"/>
      <c r="BR997" s="4292"/>
      <c r="BS997" s="4292"/>
      <c r="BT997" s="4292"/>
      <c r="BU997" s="4292"/>
      <c r="BV997" s="4292"/>
      <c r="BW997" s="4292"/>
      <c r="BX997" s="4292"/>
      <c r="BY997" s="4292"/>
      <c r="BZ997" s="4292"/>
      <c r="CA997" s="4292"/>
      <c r="CB997" s="4292"/>
      <c r="CC997" s="4292"/>
      <c r="CD997" s="4292"/>
      <c r="CE997" s="4292"/>
      <c r="CF997" s="4292"/>
      <c r="CG997" s="4292"/>
      <c r="CH997" s="4292"/>
      <c r="CI997" s="4292"/>
      <c r="CJ997" s="4292"/>
      <c r="CK997" s="4292"/>
      <c r="CL997" s="4292"/>
      <c r="CM997" s="4292"/>
      <c r="CN997" s="4292"/>
      <c r="CO997" s="4292"/>
      <c r="CP997" s="4292"/>
      <c r="CQ997" s="4292"/>
      <c r="CR997" s="4292"/>
      <c r="CS997" s="4292"/>
      <c r="CT997" s="4292"/>
      <c r="CU997" s="4292"/>
      <c r="CV997" s="4292"/>
      <c r="CW997" s="4292"/>
      <c r="CX997" s="4292"/>
      <c r="CY997" s="4292"/>
      <c r="CZ997" s="4292"/>
      <c r="DA997" s="4292"/>
      <c r="DB997" s="4292"/>
      <c r="DC997" s="4292"/>
      <c r="DD997" s="4292"/>
      <c r="DE997" s="4292"/>
      <c r="DF997" s="4292"/>
      <c r="DG997" s="4292"/>
      <c r="DH997" s="4292"/>
      <c r="DI997" s="4292"/>
      <c r="DJ997" s="4292"/>
      <c r="DK997" s="4292"/>
      <c r="DL997" s="4292"/>
      <c r="DM997" s="4292"/>
      <c r="DN997" s="4292"/>
      <c r="DO997" s="4292"/>
      <c r="DP997" s="4292"/>
      <c r="DQ997" s="4292"/>
      <c r="DR997" s="4292"/>
      <c r="DS997" s="4292"/>
    </row>
    <row r="998" s="4133" customFormat="1" ht="18" customHeight="1" spans="1:123">
      <c r="A998" s="4869"/>
      <c r="B998" s="4869"/>
      <c r="C998" s="4869"/>
      <c r="D998" s="4869"/>
      <c r="E998" s="4870"/>
      <c r="F998" s="4871" t="s">
        <v>2438</v>
      </c>
      <c r="G998" s="4872"/>
      <c r="H998" s="4873" t="s">
        <v>5723</v>
      </c>
      <c r="I998" s="4874"/>
      <c r="J998" s="4874"/>
      <c r="K998" s="4874"/>
      <c r="L998" s="4874"/>
      <c r="M998" s="4874"/>
      <c r="N998" s="4874"/>
      <c r="O998" s="4874" t="s">
        <v>5724</v>
      </c>
      <c r="P998" s="4874"/>
      <c r="Q998" s="4874"/>
      <c r="R998" s="4874"/>
      <c r="S998" s="4874"/>
      <c r="T998" s="4874"/>
      <c r="U998" s="4875"/>
      <c r="V998" s="4876" t="s">
        <v>2438</v>
      </c>
      <c r="W998" s="4877"/>
      <c r="X998" s="4292"/>
      <c r="Y998" s="4292"/>
      <c r="Z998" s="4292"/>
      <c r="AA998" s="4292"/>
      <c r="AB998" s="4292"/>
      <c r="AC998" s="4292"/>
      <c r="AD998" s="4292"/>
      <c r="AE998" s="4292"/>
      <c r="AF998" s="4292"/>
      <c r="AG998" s="4292"/>
      <c r="AH998" s="4292"/>
      <c r="AI998" s="4292"/>
      <c r="AJ998" s="4292"/>
      <c r="AK998" s="4292"/>
      <c r="AL998" s="4292"/>
      <c r="AM998" s="4292"/>
      <c r="AN998" s="4292"/>
      <c r="AO998" s="4292"/>
      <c r="AP998" s="4292"/>
      <c r="AQ998" s="4292"/>
      <c r="AR998" s="4292"/>
      <c r="AS998" s="4292"/>
      <c r="AT998" s="4292"/>
      <c r="AU998" s="4292"/>
      <c r="AV998" s="4292"/>
      <c r="AW998" s="4292"/>
      <c r="AX998" s="4292"/>
      <c r="AY998" s="4292"/>
      <c r="AZ998" s="4292"/>
      <c r="BA998" s="4292"/>
      <c r="BB998" s="4292"/>
      <c r="BC998" s="4292"/>
      <c r="BD998" s="4292"/>
      <c r="BE998" s="4292"/>
      <c r="BF998" s="4292"/>
      <c r="BG998" s="4292"/>
      <c r="BH998" s="4292"/>
      <c r="BI998" s="4292"/>
      <c r="BJ998" s="4292"/>
      <c r="BK998" s="4292"/>
      <c r="BL998" s="4292"/>
      <c r="BM998" s="4292"/>
      <c r="BN998" s="4292"/>
      <c r="BO998" s="4292"/>
      <c r="BP998" s="4292"/>
      <c r="BQ998" s="4292"/>
      <c r="BR998" s="4292"/>
      <c r="BS998" s="4292"/>
      <c r="BT998" s="4292"/>
      <c r="BU998" s="4292"/>
      <c r="BV998" s="4292"/>
      <c r="BW998" s="4292"/>
      <c r="BX998" s="4292"/>
      <c r="BY998" s="4292"/>
      <c r="BZ998" s="4292"/>
      <c r="CA998" s="4292"/>
      <c r="CB998" s="4292"/>
      <c r="CC998" s="4292"/>
      <c r="CD998" s="4292"/>
      <c r="CE998" s="4292"/>
      <c r="CF998" s="4292"/>
      <c r="CG998" s="4292"/>
      <c r="CH998" s="4292"/>
      <c r="CI998" s="4292"/>
      <c r="CJ998" s="4292"/>
      <c r="CK998" s="4292"/>
      <c r="CL998" s="4292"/>
      <c r="CM998" s="4292"/>
      <c r="CN998" s="4292"/>
      <c r="CO998" s="4292"/>
      <c r="CP998" s="4292"/>
      <c r="CQ998" s="4292"/>
      <c r="CR998" s="4292"/>
      <c r="CS998" s="4292"/>
      <c r="CT998" s="4292"/>
      <c r="CU998" s="4292"/>
      <c r="CV998" s="4292"/>
      <c r="CW998" s="4292"/>
      <c r="CX998" s="4292"/>
      <c r="CY998" s="4292"/>
      <c r="CZ998" s="4292"/>
      <c r="DA998" s="4292"/>
      <c r="DB998" s="4292"/>
      <c r="DC998" s="4292"/>
      <c r="DD998" s="4292"/>
      <c r="DE998" s="4292"/>
      <c r="DF998" s="4292"/>
      <c r="DG998" s="4292"/>
      <c r="DH998" s="4292"/>
      <c r="DI998" s="4292"/>
      <c r="DJ998" s="4292"/>
      <c r="DK998" s="4292"/>
      <c r="DL998" s="4292"/>
      <c r="DM998" s="4292"/>
      <c r="DN998" s="4292"/>
      <c r="DO998" s="4292"/>
      <c r="DP998" s="4292"/>
      <c r="DQ998" s="4292"/>
      <c r="DR998" s="4292"/>
      <c r="DS998" s="4292"/>
    </row>
    <row r="999" s="4133" customFormat="1" ht="18" customHeight="1" spans="1:123">
      <c r="A999" s="4878"/>
      <c r="B999" s="4878"/>
      <c r="C999" s="4878"/>
      <c r="D999" s="4878"/>
      <c r="E999" s="4878"/>
      <c r="F999" s="4879"/>
      <c r="G999" s="4880"/>
      <c r="H999" s="4881" t="s">
        <v>5725</v>
      </c>
      <c r="I999" s="4882"/>
      <c r="J999" s="4882"/>
      <c r="K999" s="4882"/>
      <c r="L999" s="4882"/>
      <c r="M999" s="4882"/>
      <c r="N999" s="4882"/>
      <c r="O999" s="4882" t="s">
        <v>5726</v>
      </c>
      <c r="P999" s="4882"/>
      <c r="Q999" s="4882"/>
      <c r="R999" s="4882"/>
      <c r="S999" s="4882"/>
      <c r="T999" s="4882"/>
      <c r="U999" s="4883"/>
      <c r="V999" s="4884"/>
      <c r="W999" s="4885"/>
      <c r="X999" s="4292"/>
      <c r="Y999" s="4292"/>
      <c r="Z999" s="4292"/>
      <c r="AA999" s="4292"/>
      <c r="AB999" s="4292"/>
      <c r="AC999" s="4292"/>
      <c r="AD999" s="4292"/>
      <c r="AE999" s="4292"/>
      <c r="AF999" s="4292"/>
      <c r="AG999" s="4292"/>
      <c r="AH999" s="4292"/>
      <c r="AI999" s="4292"/>
      <c r="AJ999" s="4292"/>
      <c r="AK999" s="4292"/>
      <c r="AL999" s="4292"/>
      <c r="AM999" s="4292"/>
      <c r="AN999" s="4292"/>
      <c r="AO999" s="4292"/>
      <c r="AP999" s="4292"/>
      <c r="AQ999" s="4292"/>
      <c r="AR999" s="4292"/>
      <c r="AS999" s="4292"/>
      <c r="AT999" s="4292"/>
      <c r="AU999" s="4292"/>
      <c r="AV999" s="4292"/>
      <c r="AW999" s="4292"/>
      <c r="AX999" s="4292"/>
      <c r="AY999" s="4292"/>
      <c r="AZ999" s="4292"/>
      <c r="BA999" s="4292"/>
      <c r="BB999" s="4292"/>
      <c r="BC999" s="4292"/>
      <c r="BD999" s="4292"/>
      <c r="BE999" s="4292"/>
      <c r="BF999" s="4292"/>
      <c r="BG999" s="4292"/>
      <c r="BH999" s="4292"/>
      <c r="BI999" s="4292"/>
      <c r="BJ999" s="4292"/>
      <c r="BK999" s="4292"/>
      <c r="BL999" s="4292"/>
      <c r="BM999" s="4292"/>
      <c r="BN999" s="4292"/>
      <c r="BO999" s="4292"/>
      <c r="BP999" s="4292"/>
      <c r="BQ999" s="4292"/>
      <c r="BR999" s="4292"/>
      <c r="BS999" s="4292"/>
      <c r="BT999" s="4292"/>
      <c r="BU999" s="4292"/>
      <c r="BV999" s="4292"/>
      <c r="BW999" s="4292"/>
      <c r="BX999" s="4292"/>
      <c r="BY999" s="4292"/>
      <c r="BZ999" s="4292"/>
      <c r="CA999" s="4292"/>
      <c r="CB999" s="4292"/>
      <c r="CC999" s="4292"/>
      <c r="CD999" s="4292"/>
      <c r="CE999" s="4292"/>
      <c r="CF999" s="4292"/>
      <c r="CG999" s="4292"/>
      <c r="CH999" s="4292"/>
      <c r="CI999" s="4292"/>
      <c r="CJ999" s="4292"/>
      <c r="CK999" s="4292"/>
      <c r="CL999" s="4292"/>
      <c r="CM999" s="4292"/>
      <c r="CN999" s="4292"/>
      <c r="CO999" s="4292"/>
      <c r="CP999" s="4292"/>
      <c r="CQ999" s="4292"/>
      <c r="CR999" s="4292"/>
      <c r="CS999" s="4292"/>
      <c r="CT999" s="4292"/>
      <c r="CU999" s="4292"/>
      <c r="CV999" s="4292"/>
      <c r="CW999" s="4292"/>
      <c r="CX999" s="4292"/>
      <c r="CY999" s="4292"/>
      <c r="CZ999" s="4292"/>
      <c r="DA999" s="4292"/>
      <c r="DB999" s="4292"/>
      <c r="DC999" s="4292"/>
      <c r="DD999" s="4292"/>
      <c r="DE999" s="4292"/>
      <c r="DF999" s="4292"/>
      <c r="DG999" s="4292"/>
      <c r="DH999" s="4292"/>
      <c r="DI999" s="4292"/>
      <c r="DJ999" s="4292"/>
      <c r="DK999" s="4292"/>
      <c r="DL999" s="4292"/>
      <c r="DM999" s="4292"/>
      <c r="DN999" s="4292"/>
      <c r="DO999" s="4292"/>
      <c r="DP999" s="4292"/>
      <c r="DQ999" s="4292"/>
      <c r="DR999" s="4292"/>
      <c r="DS999" s="4292"/>
    </row>
    <row r="1000" s="4134" customFormat="1" ht="17.25" customHeight="1" spans="1:123">
      <c r="A1000" s="4886" t="s">
        <v>5295</v>
      </c>
      <c r="B1000" s="4887"/>
      <c r="C1000" s="4887"/>
      <c r="D1000" s="4887"/>
      <c r="E1000" s="4888"/>
      <c r="F1000" s="4889">
        <v>427</v>
      </c>
      <c r="G1000" s="4890"/>
      <c r="H1000" s="4891"/>
      <c r="I1000" s="4891"/>
      <c r="J1000" s="4891"/>
      <c r="K1000" s="4891"/>
      <c r="L1000" s="4891"/>
      <c r="M1000" s="4891"/>
      <c r="N1000" s="4891"/>
      <c r="O1000" s="4892"/>
      <c r="P1000" s="4892"/>
      <c r="Q1000" s="4892"/>
      <c r="R1000" s="4892"/>
      <c r="S1000" s="4892"/>
      <c r="T1000" s="4892"/>
      <c r="U1000" s="4892"/>
      <c r="V1000" s="4890">
        <v>428</v>
      </c>
      <c r="W1000" s="4890"/>
      <c r="X1000" s="4893">
        <v>1000</v>
      </c>
      <c r="Y1000" s="4893"/>
      <c r="Z1000" s="4302" t="s">
        <v>5296</v>
      </c>
      <c r="AA1000" s="4303"/>
      <c r="AB1000" s="4303"/>
      <c r="AC1000" s="4303"/>
      <c r="AD1000" s="4303"/>
      <c r="AE1000" s="4303"/>
      <c r="AF1000" s="4303"/>
      <c r="AG1000" s="4303"/>
      <c r="AH1000" s="4303"/>
      <c r="AI1000" s="4303"/>
      <c r="AJ1000" s="4303"/>
      <c r="AK1000" s="4303"/>
      <c r="AL1000" s="4303"/>
      <c r="AM1000" s="4303"/>
      <c r="AN1000" s="4303"/>
      <c r="AO1000" s="4303"/>
      <c r="AP1000" s="4303"/>
      <c r="AQ1000" s="4303"/>
      <c r="AR1000" s="4303"/>
      <c r="AS1000" s="4303"/>
      <c r="AT1000" s="4303"/>
      <c r="AU1000" s="4303"/>
      <c r="AV1000" s="4303"/>
      <c r="AW1000" s="4303"/>
      <c r="AX1000" s="4303"/>
      <c r="AY1000" s="4303"/>
      <c r="AZ1000" s="4303"/>
      <c r="BA1000" s="4303"/>
      <c r="BB1000" s="4303"/>
      <c r="BC1000" s="4303"/>
      <c r="BD1000" s="4303"/>
      <c r="BE1000" s="4303"/>
      <c r="BF1000" s="4303"/>
      <c r="BG1000" s="4303"/>
      <c r="BH1000" s="4303"/>
      <c r="BI1000" s="4303"/>
      <c r="BJ1000" s="4303"/>
      <c r="BK1000" s="4303"/>
      <c r="BL1000" s="4303"/>
      <c r="BM1000" s="4303"/>
      <c r="BN1000" s="4303"/>
      <c r="BO1000" s="4303"/>
      <c r="BP1000" s="4303"/>
      <c r="BQ1000" s="4303"/>
      <c r="BR1000" s="4303"/>
      <c r="BS1000" s="4303"/>
      <c r="BT1000" s="4303"/>
      <c r="BU1000" s="4303"/>
      <c r="BV1000" s="4303"/>
      <c r="BW1000" s="4303"/>
      <c r="BX1000" s="4303"/>
      <c r="BY1000" s="4303"/>
      <c r="BZ1000" s="4303"/>
      <c r="CA1000" s="4303"/>
      <c r="CB1000" s="4303"/>
      <c r="CC1000" s="4303"/>
      <c r="CD1000" s="4303"/>
      <c r="CE1000" s="4303"/>
      <c r="CF1000" s="4303"/>
      <c r="CG1000" s="4303"/>
      <c r="CH1000" s="4303"/>
      <c r="CI1000" s="4303"/>
      <c r="CJ1000" s="4303"/>
      <c r="CK1000" s="4303"/>
      <c r="CL1000" s="4303"/>
      <c r="CM1000" s="4303"/>
      <c r="CN1000" s="4303"/>
      <c r="CO1000" s="4303"/>
      <c r="CP1000" s="4303"/>
      <c r="CQ1000" s="4303"/>
      <c r="CR1000" s="4303"/>
      <c r="CS1000" s="4303"/>
      <c r="CT1000" s="4303"/>
      <c r="CU1000" s="4303"/>
      <c r="CV1000" s="4303"/>
      <c r="CW1000" s="4303"/>
      <c r="CX1000" s="4303"/>
      <c r="CY1000" s="4303"/>
      <c r="CZ1000" s="4303"/>
      <c r="DA1000" s="4303"/>
      <c r="DB1000" s="4303"/>
      <c r="DC1000" s="4303"/>
      <c r="DD1000" s="4303"/>
      <c r="DE1000" s="4303"/>
      <c r="DF1000" s="4303"/>
      <c r="DG1000" s="4303"/>
      <c r="DH1000" s="4303"/>
      <c r="DI1000" s="4303"/>
      <c r="DJ1000" s="4303"/>
      <c r="DK1000" s="4303"/>
      <c r="DL1000" s="4303"/>
      <c r="DM1000" s="4303"/>
      <c r="DN1000" s="4303"/>
      <c r="DO1000" s="4303"/>
      <c r="DP1000" s="4303"/>
      <c r="DQ1000" s="4303"/>
      <c r="DR1000" s="4303"/>
      <c r="DS1000" s="4303"/>
    </row>
    <row r="1001" s="4134" customFormat="1" ht="17.25" customHeight="1" spans="1:123">
      <c r="A1001" s="4886" t="s">
        <v>5297</v>
      </c>
      <c r="B1001" s="4887"/>
      <c r="C1001" s="4887"/>
      <c r="D1001" s="4887"/>
      <c r="E1001" s="4888"/>
      <c r="F1001" s="4894">
        <v>429</v>
      </c>
      <c r="G1001" s="4697"/>
      <c r="H1001" s="4895"/>
      <c r="I1001" s="4895"/>
      <c r="J1001" s="4895"/>
      <c r="K1001" s="4895"/>
      <c r="L1001" s="4895"/>
      <c r="M1001" s="4895"/>
      <c r="N1001" s="4895"/>
      <c r="O1001" s="4896"/>
      <c r="P1001" s="4896"/>
      <c r="Q1001" s="4896"/>
      <c r="R1001" s="4896"/>
      <c r="S1001" s="4896"/>
      <c r="T1001" s="4896"/>
      <c r="U1001" s="4896"/>
      <c r="V1001" s="4697">
        <v>430</v>
      </c>
      <c r="W1001" s="4697"/>
      <c r="X1001" s="4303"/>
      <c r="Y1001" s="4303"/>
      <c r="Z1001" s="4302" t="s">
        <v>5298</v>
      </c>
      <c r="AA1001" s="4303"/>
      <c r="AB1001" s="4303"/>
      <c r="AC1001" s="4303"/>
      <c r="AD1001" s="4303"/>
      <c r="AE1001" s="4303"/>
      <c r="AF1001" s="4303"/>
      <c r="AG1001" s="4303"/>
      <c r="AH1001" s="4303"/>
      <c r="AI1001" s="4303"/>
      <c r="AJ1001" s="4303"/>
      <c r="AK1001" s="4303"/>
      <c r="AL1001" s="4303"/>
      <c r="AM1001" s="4303"/>
      <c r="AN1001" s="4303"/>
      <c r="AO1001" s="4303"/>
      <c r="AP1001" s="4303"/>
      <c r="AQ1001" s="4303"/>
      <c r="AR1001" s="4303"/>
      <c r="AS1001" s="4303"/>
      <c r="AT1001" s="4303"/>
      <c r="AU1001" s="4303"/>
      <c r="AV1001" s="4303"/>
      <c r="AW1001" s="4303"/>
      <c r="AX1001" s="4303"/>
      <c r="AY1001" s="4303"/>
      <c r="AZ1001" s="4303"/>
      <c r="BA1001" s="4303"/>
      <c r="BB1001" s="4303"/>
      <c r="BC1001" s="4303"/>
      <c r="BD1001" s="4303"/>
      <c r="BE1001" s="4303"/>
      <c r="BF1001" s="4303"/>
      <c r="BG1001" s="4303"/>
      <c r="BH1001" s="4303"/>
      <c r="BI1001" s="4303"/>
      <c r="BJ1001" s="4303"/>
      <c r="BK1001" s="4303"/>
      <c r="BL1001" s="4303"/>
      <c r="BM1001" s="4303"/>
      <c r="BN1001" s="4303"/>
      <c r="BO1001" s="4303"/>
      <c r="BP1001" s="4303"/>
      <c r="BQ1001" s="4303"/>
      <c r="BR1001" s="4303"/>
      <c r="BS1001" s="4303"/>
      <c r="BT1001" s="4303"/>
      <c r="BU1001" s="4303"/>
      <c r="BV1001" s="4303"/>
      <c r="BW1001" s="4303"/>
      <c r="BX1001" s="4303"/>
      <c r="BY1001" s="4303"/>
      <c r="BZ1001" s="4303"/>
      <c r="CA1001" s="4303"/>
      <c r="CB1001" s="4303"/>
      <c r="CC1001" s="4303"/>
      <c r="CD1001" s="4303"/>
      <c r="CE1001" s="4303"/>
      <c r="CF1001" s="4303"/>
      <c r="CG1001" s="4303"/>
      <c r="CH1001" s="4303"/>
      <c r="CI1001" s="4303"/>
      <c r="CJ1001" s="4303"/>
      <c r="CK1001" s="4303"/>
      <c r="CL1001" s="4303"/>
      <c r="CM1001" s="4303"/>
      <c r="CN1001" s="4303"/>
      <c r="CO1001" s="4303"/>
      <c r="CP1001" s="4303"/>
      <c r="CQ1001" s="4303"/>
      <c r="CR1001" s="4303"/>
      <c r="CS1001" s="4303"/>
      <c r="CT1001" s="4303"/>
      <c r="CU1001" s="4303"/>
      <c r="CV1001" s="4303"/>
      <c r="CW1001" s="4303"/>
      <c r="CX1001" s="4303"/>
      <c r="CY1001" s="4303"/>
      <c r="CZ1001" s="4303"/>
      <c r="DA1001" s="4303"/>
      <c r="DB1001" s="4303"/>
      <c r="DC1001" s="4303"/>
      <c r="DD1001" s="4303"/>
      <c r="DE1001" s="4303"/>
      <c r="DF1001" s="4303"/>
      <c r="DG1001" s="4303"/>
      <c r="DH1001" s="4303"/>
      <c r="DI1001" s="4303"/>
      <c r="DJ1001" s="4303"/>
      <c r="DK1001" s="4303"/>
      <c r="DL1001" s="4303"/>
      <c r="DM1001" s="4303"/>
      <c r="DN1001" s="4303"/>
      <c r="DO1001" s="4303"/>
      <c r="DP1001" s="4303"/>
      <c r="DQ1001" s="4303"/>
      <c r="DR1001" s="4303"/>
      <c r="DS1001" s="4303"/>
    </row>
    <row r="1002" s="4134" customFormat="1" ht="17.25" customHeight="1" spans="1:123">
      <c r="A1002" s="4886" t="s">
        <v>5299</v>
      </c>
      <c r="B1002" s="4887"/>
      <c r="C1002" s="4887"/>
      <c r="D1002" s="4887"/>
      <c r="E1002" s="4888"/>
      <c r="F1002" s="4894">
        <v>431</v>
      </c>
      <c r="G1002" s="4697"/>
      <c r="H1002" s="4895"/>
      <c r="I1002" s="4895"/>
      <c r="J1002" s="4895"/>
      <c r="K1002" s="4895"/>
      <c r="L1002" s="4895"/>
      <c r="M1002" s="4895"/>
      <c r="N1002" s="4895"/>
      <c r="O1002" s="4896"/>
      <c r="P1002" s="4896"/>
      <c r="Q1002" s="4896"/>
      <c r="R1002" s="4896"/>
      <c r="S1002" s="4896"/>
      <c r="T1002" s="4896"/>
      <c r="U1002" s="4896"/>
      <c r="V1002" s="4697">
        <v>432</v>
      </c>
      <c r="W1002" s="4697"/>
      <c r="X1002" s="4303"/>
      <c r="Y1002" s="4303"/>
      <c r="Z1002" s="4302" t="s">
        <v>3086</v>
      </c>
      <c r="AA1002" s="4303"/>
      <c r="AB1002" s="4303"/>
      <c r="AC1002" s="4303"/>
      <c r="AD1002" s="4303"/>
      <c r="AE1002" s="4303"/>
      <c r="AF1002" s="4303"/>
      <c r="AG1002" s="4303"/>
      <c r="AH1002" s="4303"/>
      <c r="AI1002" s="4303"/>
      <c r="AJ1002" s="4303"/>
      <c r="AK1002" s="4303"/>
      <c r="AL1002" s="4303"/>
      <c r="AM1002" s="4303"/>
      <c r="AN1002" s="4303"/>
      <c r="AO1002" s="4303"/>
      <c r="AP1002" s="4303"/>
      <c r="AQ1002" s="4303"/>
      <c r="AR1002" s="4303"/>
      <c r="AS1002" s="4303"/>
      <c r="AT1002" s="4303"/>
      <c r="AU1002" s="4303"/>
      <c r="AV1002" s="4303"/>
      <c r="AW1002" s="4303"/>
      <c r="AX1002" s="4303"/>
      <c r="AY1002" s="4303"/>
      <c r="AZ1002" s="4303"/>
      <c r="BA1002" s="4303"/>
      <c r="BB1002" s="4303"/>
      <c r="BC1002" s="4303"/>
      <c r="BD1002" s="4303"/>
      <c r="BE1002" s="4303"/>
      <c r="BF1002" s="4303"/>
      <c r="BG1002" s="4303"/>
      <c r="BH1002" s="4303"/>
      <c r="BI1002" s="4303"/>
      <c r="BJ1002" s="4303"/>
      <c r="BK1002" s="4303"/>
      <c r="BL1002" s="4303"/>
      <c r="BM1002" s="4303"/>
      <c r="BN1002" s="4303"/>
      <c r="BO1002" s="4303"/>
      <c r="BP1002" s="4303"/>
      <c r="BQ1002" s="4303"/>
      <c r="BR1002" s="4303"/>
      <c r="BS1002" s="4303"/>
      <c r="BT1002" s="4303"/>
      <c r="BU1002" s="4303"/>
      <c r="BV1002" s="4303"/>
      <c r="BW1002" s="4303"/>
      <c r="BX1002" s="4303"/>
      <c r="BY1002" s="4303"/>
      <c r="BZ1002" s="4303"/>
      <c r="CA1002" s="4303"/>
      <c r="CB1002" s="4303"/>
      <c r="CC1002" s="4303"/>
      <c r="CD1002" s="4303"/>
      <c r="CE1002" s="4303"/>
      <c r="CF1002" s="4303"/>
      <c r="CG1002" s="4303"/>
      <c r="CH1002" s="4303"/>
      <c r="CI1002" s="4303"/>
      <c r="CJ1002" s="4303"/>
      <c r="CK1002" s="4303"/>
      <c r="CL1002" s="4303"/>
      <c r="CM1002" s="4303"/>
      <c r="CN1002" s="4303"/>
      <c r="CO1002" s="4303"/>
      <c r="CP1002" s="4303"/>
      <c r="CQ1002" s="4303"/>
      <c r="CR1002" s="4303"/>
      <c r="CS1002" s="4303"/>
      <c r="CT1002" s="4303"/>
      <c r="CU1002" s="4303"/>
      <c r="CV1002" s="4303"/>
      <c r="CW1002" s="4303"/>
      <c r="CX1002" s="4303"/>
      <c r="CY1002" s="4303"/>
      <c r="CZ1002" s="4303"/>
      <c r="DA1002" s="4303"/>
      <c r="DB1002" s="4303"/>
      <c r="DC1002" s="4303"/>
      <c r="DD1002" s="4303"/>
      <c r="DE1002" s="4303"/>
      <c r="DF1002" s="4303"/>
      <c r="DG1002" s="4303"/>
      <c r="DH1002" s="4303"/>
      <c r="DI1002" s="4303"/>
      <c r="DJ1002" s="4303"/>
      <c r="DK1002" s="4303"/>
      <c r="DL1002" s="4303"/>
      <c r="DM1002" s="4303"/>
      <c r="DN1002" s="4303"/>
      <c r="DO1002" s="4303"/>
      <c r="DP1002" s="4303"/>
      <c r="DQ1002" s="4303"/>
      <c r="DR1002" s="4303"/>
      <c r="DS1002" s="4303"/>
    </row>
    <row r="1003" s="4134" customFormat="1" ht="17.25" customHeight="1" spans="1:123">
      <c r="A1003" s="4886" t="s">
        <v>5301</v>
      </c>
      <c r="B1003" s="4897"/>
      <c r="C1003" s="4897"/>
      <c r="D1003" s="4897"/>
      <c r="E1003" s="4898"/>
      <c r="F1003" s="4894">
        <v>451</v>
      </c>
      <c r="G1003" s="4697"/>
      <c r="H1003" s="4895"/>
      <c r="I1003" s="4895"/>
      <c r="J1003" s="4895"/>
      <c r="K1003" s="4895"/>
      <c r="L1003" s="4895"/>
      <c r="M1003" s="4895"/>
      <c r="N1003" s="4895"/>
      <c r="O1003" s="4896"/>
      <c r="P1003" s="4896"/>
      <c r="Q1003" s="4896"/>
      <c r="R1003" s="4896"/>
      <c r="S1003" s="4896"/>
      <c r="T1003" s="4896"/>
      <c r="U1003" s="4896"/>
      <c r="V1003" s="4697">
        <v>450</v>
      </c>
      <c r="W1003" s="4697"/>
      <c r="X1003" s="4303"/>
      <c r="Y1003" s="4303"/>
      <c r="Z1003" s="4302" t="s">
        <v>5302</v>
      </c>
      <c r="AA1003" s="4303"/>
      <c r="AB1003" s="4303"/>
      <c r="AC1003" s="4303"/>
      <c r="AD1003" s="4303"/>
      <c r="AE1003" s="4303"/>
      <c r="AF1003" s="4303"/>
      <c r="AG1003" s="4303"/>
      <c r="AH1003" s="4303"/>
      <c r="AI1003" s="4303"/>
      <c r="AJ1003" s="4303"/>
      <c r="AK1003" s="4303"/>
      <c r="AL1003" s="4303"/>
      <c r="AM1003" s="4303"/>
      <c r="AN1003" s="4303"/>
      <c r="AO1003" s="4303"/>
      <c r="AP1003" s="4303"/>
      <c r="AQ1003" s="4303"/>
      <c r="AR1003" s="4303"/>
      <c r="AS1003" s="4303"/>
      <c r="AT1003" s="4303"/>
      <c r="AU1003" s="4303"/>
      <c r="AV1003" s="4303"/>
      <c r="AW1003" s="4303"/>
      <c r="AX1003" s="4303"/>
      <c r="AY1003" s="4303"/>
      <c r="AZ1003" s="4303"/>
      <c r="BA1003" s="4303"/>
      <c r="BB1003" s="4303"/>
      <c r="BC1003" s="4303"/>
      <c r="BD1003" s="4303"/>
      <c r="BE1003" s="4303"/>
      <c r="BF1003" s="4303"/>
      <c r="BG1003" s="4303"/>
      <c r="BH1003" s="4303"/>
      <c r="BI1003" s="4303"/>
      <c r="BJ1003" s="4303"/>
      <c r="BK1003" s="4303"/>
      <c r="BL1003" s="4303"/>
      <c r="BM1003" s="4303"/>
      <c r="BN1003" s="4303"/>
      <c r="BO1003" s="4303"/>
      <c r="BP1003" s="4303"/>
      <c r="BQ1003" s="4303"/>
      <c r="BR1003" s="4303"/>
      <c r="BS1003" s="4303"/>
      <c r="BT1003" s="4303"/>
      <c r="BU1003" s="4303"/>
      <c r="BV1003" s="4303"/>
      <c r="BW1003" s="4303"/>
      <c r="BX1003" s="4303"/>
      <c r="BY1003" s="4303"/>
      <c r="BZ1003" s="4303"/>
      <c r="CA1003" s="4303"/>
      <c r="CB1003" s="4303"/>
      <c r="CC1003" s="4303"/>
      <c r="CD1003" s="4303"/>
      <c r="CE1003" s="4303"/>
      <c r="CF1003" s="4303"/>
      <c r="CG1003" s="4303"/>
      <c r="CH1003" s="4303"/>
      <c r="CI1003" s="4303"/>
      <c r="CJ1003" s="4303"/>
      <c r="CK1003" s="4303"/>
      <c r="CL1003" s="4303"/>
      <c r="CM1003" s="4303"/>
      <c r="CN1003" s="4303"/>
      <c r="CO1003" s="4303"/>
      <c r="CP1003" s="4303"/>
      <c r="CQ1003" s="4303"/>
      <c r="CR1003" s="4303"/>
      <c r="CS1003" s="4303"/>
      <c r="CT1003" s="4303"/>
      <c r="CU1003" s="4303"/>
      <c r="CV1003" s="4303"/>
      <c r="CW1003" s="4303"/>
      <c r="CX1003" s="4303"/>
      <c r="CY1003" s="4303"/>
      <c r="CZ1003" s="4303"/>
      <c r="DA1003" s="4303"/>
      <c r="DB1003" s="4303"/>
      <c r="DC1003" s="4303"/>
      <c r="DD1003" s="4303"/>
      <c r="DE1003" s="4303"/>
      <c r="DF1003" s="4303"/>
      <c r="DG1003" s="4303"/>
      <c r="DH1003" s="4303"/>
      <c r="DI1003" s="4303"/>
      <c r="DJ1003" s="4303"/>
      <c r="DK1003" s="4303"/>
      <c r="DL1003" s="4303"/>
      <c r="DM1003" s="4303"/>
      <c r="DN1003" s="4303"/>
      <c r="DO1003" s="4303"/>
      <c r="DP1003" s="4303"/>
      <c r="DQ1003" s="4303"/>
      <c r="DR1003" s="4303"/>
      <c r="DS1003" s="4303"/>
    </row>
    <row r="1004" s="4134" customFormat="1" ht="17.25" customHeight="1" spans="1:123">
      <c r="A1004" s="4886" t="s">
        <v>5303</v>
      </c>
      <c r="B1004" s="4887"/>
      <c r="C1004" s="4887"/>
      <c r="D1004" s="4887"/>
      <c r="E1004" s="4888"/>
      <c r="F1004" s="4894">
        <v>449</v>
      </c>
      <c r="G1004" s="4697"/>
      <c r="H1004" s="4895"/>
      <c r="I1004" s="4895"/>
      <c r="J1004" s="4895"/>
      <c r="K1004" s="4895"/>
      <c r="L1004" s="4895"/>
      <c r="M1004" s="4895"/>
      <c r="N1004" s="4895"/>
      <c r="O1004" s="4896"/>
      <c r="P1004" s="4896"/>
      <c r="Q1004" s="4896"/>
      <c r="R1004" s="4896"/>
      <c r="S1004" s="4896"/>
      <c r="T1004" s="4896"/>
      <c r="U1004" s="4896"/>
      <c r="V1004" s="4697">
        <v>448</v>
      </c>
      <c r="W1004" s="4697"/>
      <c r="X1004" s="4303"/>
      <c r="Y1004" s="4303"/>
      <c r="Z1004" s="4302" t="s">
        <v>5304</v>
      </c>
      <c r="AA1004" s="4303"/>
      <c r="AB1004" s="4303"/>
      <c r="AC1004" s="4303"/>
      <c r="AD1004" s="4303"/>
      <c r="AE1004" s="4303"/>
      <c r="AF1004" s="4303"/>
      <c r="AG1004" s="4303"/>
      <c r="AH1004" s="4303"/>
      <c r="AI1004" s="4303"/>
      <c r="AJ1004" s="4303"/>
      <c r="AK1004" s="4303"/>
      <c r="AL1004" s="4303"/>
      <c r="AM1004" s="4303"/>
      <c r="AN1004" s="4303"/>
      <c r="AO1004" s="4303"/>
      <c r="AP1004" s="4303"/>
      <c r="AQ1004" s="4303"/>
      <c r="AR1004" s="4303"/>
      <c r="AS1004" s="4303"/>
      <c r="AT1004" s="4303"/>
      <c r="AU1004" s="4303"/>
      <c r="AV1004" s="4303"/>
      <c r="AW1004" s="4303"/>
      <c r="AX1004" s="4303"/>
      <c r="AY1004" s="4303"/>
      <c r="AZ1004" s="4303"/>
      <c r="BA1004" s="4303"/>
      <c r="BB1004" s="4303"/>
      <c r="BC1004" s="4303"/>
      <c r="BD1004" s="4303"/>
      <c r="BE1004" s="4303"/>
      <c r="BF1004" s="4303"/>
      <c r="BG1004" s="4303"/>
      <c r="BH1004" s="4303"/>
      <c r="BI1004" s="4303"/>
      <c r="BJ1004" s="4303"/>
      <c r="BK1004" s="4303"/>
      <c r="BL1004" s="4303"/>
      <c r="BM1004" s="4303"/>
      <c r="BN1004" s="4303"/>
      <c r="BO1004" s="4303"/>
      <c r="BP1004" s="4303"/>
      <c r="BQ1004" s="4303"/>
      <c r="BR1004" s="4303"/>
      <c r="BS1004" s="4303"/>
      <c r="BT1004" s="4303"/>
      <c r="BU1004" s="4303"/>
      <c r="BV1004" s="4303"/>
      <c r="BW1004" s="4303"/>
      <c r="BX1004" s="4303"/>
      <c r="BY1004" s="4303"/>
      <c r="BZ1004" s="4303"/>
      <c r="CA1004" s="4303"/>
      <c r="CB1004" s="4303"/>
      <c r="CC1004" s="4303"/>
      <c r="CD1004" s="4303"/>
      <c r="CE1004" s="4303"/>
      <c r="CF1004" s="4303"/>
      <c r="CG1004" s="4303"/>
      <c r="CH1004" s="4303"/>
      <c r="CI1004" s="4303"/>
      <c r="CJ1004" s="4303"/>
      <c r="CK1004" s="4303"/>
      <c r="CL1004" s="4303"/>
      <c r="CM1004" s="4303"/>
      <c r="CN1004" s="4303"/>
      <c r="CO1004" s="4303"/>
      <c r="CP1004" s="4303"/>
      <c r="CQ1004" s="4303"/>
      <c r="CR1004" s="4303"/>
      <c r="CS1004" s="4303"/>
      <c r="CT1004" s="4303"/>
      <c r="CU1004" s="4303"/>
      <c r="CV1004" s="4303"/>
      <c r="CW1004" s="4303"/>
      <c r="CX1004" s="4303"/>
      <c r="CY1004" s="4303"/>
      <c r="CZ1004" s="4303"/>
      <c r="DA1004" s="4303"/>
      <c r="DB1004" s="4303"/>
      <c r="DC1004" s="4303"/>
      <c r="DD1004" s="4303"/>
      <c r="DE1004" s="4303"/>
      <c r="DF1004" s="4303"/>
      <c r="DG1004" s="4303"/>
      <c r="DH1004" s="4303"/>
      <c r="DI1004" s="4303"/>
      <c r="DJ1004" s="4303"/>
      <c r="DK1004" s="4303"/>
      <c r="DL1004" s="4303"/>
      <c r="DM1004" s="4303"/>
      <c r="DN1004" s="4303"/>
      <c r="DO1004" s="4303"/>
      <c r="DP1004" s="4303"/>
      <c r="DQ1004" s="4303"/>
      <c r="DR1004" s="4303"/>
      <c r="DS1004" s="4303"/>
    </row>
    <row r="1005" s="4134" customFormat="1" ht="17.25" customHeight="1" spans="1:123">
      <c r="A1005" s="4886" t="s">
        <v>5305</v>
      </c>
      <c r="B1005" s="4887"/>
      <c r="C1005" s="4887"/>
      <c r="D1005" s="4887"/>
      <c r="E1005" s="4888"/>
      <c r="F1005" s="4894">
        <v>418</v>
      </c>
      <c r="G1005" s="4697"/>
      <c r="H1005" s="4895"/>
      <c r="I1005" s="4895"/>
      <c r="J1005" s="4895"/>
      <c r="K1005" s="4895"/>
      <c r="L1005" s="4895"/>
      <c r="M1005" s="4895"/>
      <c r="N1005" s="4895"/>
      <c r="O1005" s="4896"/>
      <c r="P1005" s="4896"/>
      <c r="Q1005" s="4896"/>
      <c r="R1005" s="4896"/>
      <c r="S1005" s="4896"/>
      <c r="T1005" s="4896"/>
      <c r="U1005" s="4896"/>
      <c r="V1005" s="4697">
        <v>419</v>
      </c>
      <c r="W1005" s="4697"/>
      <c r="X1005" s="4303"/>
      <c r="Y1005" s="4303"/>
      <c r="Z1005" s="4302" t="s">
        <v>5306</v>
      </c>
      <c r="AA1005" s="4303"/>
      <c r="AB1005" s="4303"/>
      <c r="AC1005" s="4303"/>
      <c r="AD1005" s="4303"/>
      <c r="AE1005" s="4303"/>
      <c r="AF1005" s="4303"/>
      <c r="AG1005" s="4303"/>
      <c r="AH1005" s="4303"/>
      <c r="AI1005" s="4303"/>
      <c r="AJ1005" s="4303"/>
      <c r="AK1005" s="4303"/>
      <c r="AL1005" s="4303"/>
      <c r="AM1005" s="4303"/>
      <c r="AN1005" s="4303"/>
      <c r="AO1005" s="4303"/>
      <c r="AP1005" s="4303"/>
      <c r="AQ1005" s="4303"/>
      <c r="AR1005" s="4303"/>
      <c r="AS1005" s="4303"/>
      <c r="AT1005" s="4303"/>
      <c r="AU1005" s="4303"/>
      <c r="AV1005" s="4303"/>
      <c r="AW1005" s="4303"/>
      <c r="AX1005" s="4303"/>
      <c r="AY1005" s="4303"/>
      <c r="AZ1005" s="4303"/>
      <c r="BA1005" s="4303"/>
      <c r="BB1005" s="4303"/>
      <c r="BC1005" s="4303"/>
      <c r="BD1005" s="4303"/>
      <c r="BE1005" s="4303"/>
      <c r="BF1005" s="4303"/>
      <c r="BG1005" s="4303"/>
      <c r="BH1005" s="4303"/>
      <c r="BI1005" s="4303"/>
      <c r="BJ1005" s="4303"/>
      <c r="BK1005" s="4303"/>
      <c r="BL1005" s="4303"/>
      <c r="BM1005" s="4303"/>
      <c r="BN1005" s="4303"/>
      <c r="BO1005" s="4303"/>
      <c r="BP1005" s="4303"/>
      <c r="BQ1005" s="4303"/>
      <c r="BR1005" s="4303"/>
      <c r="BS1005" s="4303"/>
      <c r="BT1005" s="4303"/>
      <c r="BU1005" s="4303"/>
      <c r="BV1005" s="4303"/>
      <c r="BW1005" s="4303"/>
      <c r="BX1005" s="4303"/>
      <c r="BY1005" s="4303"/>
      <c r="BZ1005" s="4303"/>
      <c r="CA1005" s="4303"/>
      <c r="CB1005" s="4303"/>
      <c r="CC1005" s="4303"/>
      <c r="CD1005" s="4303"/>
      <c r="CE1005" s="4303"/>
      <c r="CF1005" s="4303"/>
      <c r="CG1005" s="4303"/>
      <c r="CH1005" s="4303"/>
      <c r="CI1005" s="4303"/>
      <c r="CJ1005" s="4303"/>
      <c r="CK1005" s="4303"/>
      <c r="CL1005" s="4303"/>
      <c r="CM1005" s="4303"/>
      <c r="CN1005" s="4303"/>
      <c r="CO1005" s="4303"/>
      <c r="CP1005" s="4303"/>
      <c r="CQ1005" s="4303"/>
      <c r="CR1005" s="4303"/>
      <c r="CS1005" s="4303"/>
      <c r="CT1005" s="4303"/>
      <c r="CU1005" s="4303"/>
      <c r="CV1005" s="4303"/>
      <c r="CW1005" s="4303"/>
      <c r="CX1005" s="4303"/>
      <c r="CY1005" s="4303"/>
      <c r="CZ1005" s="4303"/>
      <c r="DA1005" s="4303"/>
      <c r="DB1005" s="4303"/>
      <c r="DC1005" s="4303"/>
      <c r="DD1005" s="4303"/>
      <c r="DE1005" s="4303"/>
      <c r="DF1005" s="4303"/>
      <c r="DG1005" s="4303"/>
      <c r="DH1005" s="4303"/>
      <c r="DI1005" s="4303"/>
      <c r="DJ1005" s="4303"/>
      <c r="DK1005" s="4303"/>
      <c r="DL1005" s="4303"/>
      <c r="DM1005" s="4303"/>
      <c r="DN1005" s="4303"/>
      <c r="DO1005" s="4303"/>
      <c r="DP1005" s="4303"/>
      <c r="DQ1005" s="4303"/>
      <c r="DR1005" s="4303"/>
      <c r="DS1005" s="4303"/>
    </row>
    <row r="1006" s="4134" customFormat="1" ht="17.25" customHeight="1" spans="1:123">
      <c r="A1006" s="4886" t="s">
        <v>5307</v>
      </c>
      <c r="B1006" s="4887"/>
      <c r="C1006" s="4887"/>
      <c r="D1006" s="4887"/>
      <c r="E1006" s="4888"/>
      <c r="F1006" s="4894">
        <v>451</v>
      </c>
      <c r="G1006" s="4697"/>
      <c r="H1006" s="4895"/>
      <c r="I1006" s="4895"/>
      <c r="J1006" s="4895"/>
      <c r="K1006" s="4895"/>
      <c r="L1006" s="4895"/>
      <c r="M1006" s="4895"/>
      <c r="N1006" s="4895"/>
      <c r="O1006" s="4896"/>
      <c r="P1006" s="4896"/>
      <c r="Q1006" s="4896"/>
      <c r="R1006" s="4896"/>
      <c r="S1006" s="4896"/>
      <c r="T1006" s="4896"/>
      <c r="U1006" s="4896"/>
      <c r="V1006" s="4697">
        <v>450</v>
      </c>
      <c r="W1006" s="4697"/>
      <c r="X1006" s="4303"/>
      <c r="Y1006" s="4303"/>
      <c r="Z1006" s="4302" t="s">
        <v>5308</v>
      </c>
      <c r="AA1006" s="4303"/>
      <c r="AB1006" s="4303"/>
      <c r="AC1006" s="4303"/>
      <c r="AD1006" s="4303"/>
      <c r="AE1006" s="4303"/>
      <c r="AF1006" s="4303"/>
      <c r="AG1006" s="4303"/>
      <c r="AH1006" s="4303"/>
      <c r="AI1006" s="4303"/>
      <c r="AJ1006" s="4303"/>
      <c r="AK1006" s="4303"/>
      <c r="AL1006" s="4303"/>
      <c r="AM1006" s="4303"/>
      <c r="AN1006" s="4303"/>
      <c r="AO1006" s="4303"/>
      <c r="AP1006" s="4303"/>
      <c r="AQ1006" s="4303"/>
      <c r="AR1006" s="4303"/>
      <c r="AS1006" s="4303"/>
      <c r="AT1006" s="4303"/>
      <c r="AU1006" s="4303"/>
      <c r="AV1006" s="4303"/>
      <c r="AW1006" s="4303"/>
      <c r="AX1006" s="4303"/>
      <c r="AY1006" s="4303"/>
      <c r="AZ1006" s="4303"/>
      <c r="BA1006" s="4303"/>
      <c r="BB1006" s="4303"/>
      <c r="BC1006" s="4303"/>
      <c r="BD1006" s="4303"/>
      <c r="BE1006" s="4303"/>
      <c r="BF1006" s="4303"/>
      <c r="BG1006" s="4303"/>
      <c r="BH1006" s="4303"/>
      <c r="BI1006" s="4303"/>
      <c r="BJ1006" s="4303"/>
      <c r="BK1006" s="4303"/>
      <c r="BL1006" s="4303"/>
      <c r="BM1006" s="4303"/>
      <c r="BN1006" s="4303"/>
      <c r="BO1006" s="4303"/>
      <c r="BP1006" s="4303"/>
      <c r="BQ1006" s="4303"/>
      <c r="BR1006" s="4303"/>
      <c r="BS1006" s="4303"/>
      <c r="BT1006" s="4303"/>
      <c r="BU1006" s="4303"/>
      <c r="BV1006" s="4303"/>
      <c r="BW1006" s="4303"/>
      <c r="BX1006" s="4303"/>
      <c r="BY1006" s="4303"/>
      <c r="BZ1006" s="4303"/>
      <c r="CA1006" s="4303"/>
      <c r="CB1006" s="4303"/>
      <c r="CC1006" s="4303"/>
      <c r="CD1006" s="4303"/>
      <c r="CE1006" s="4303"/>
      <c r="CF1006" s="4303"/>
      <c r="CG1006" s="4303"/>
      <c r="CH1006" s="4303"/>
      <c r="CI1006" s="4303"/>
      <c r="CJ1006" s="4303"/>
      <c r="CK1006" s="4303"/>
      <c r="CL1006" s="4303"/>
      <c r="CM1006" s="4303"/>
      <c r="CN1006" s="4303"/>
      <c r="CO1006" s="4303"/>
      <c r="CP1006" s="4303"/>
      <c r="CQ1006" s="4303"/>
      <c r="CR1006" s="4303"/>
      <c r="CS1006" s="4303"/>
      <c r="CT1006" s="4303"/>
      <c r="CU1006" s="4303"/>
      <c r="CV1006" s="4303"/>
      <c r="CW1006" s="4303"/>
      <c r="CX1006" s="4303"/>
      <c r="CY1006" s="4303"/>
      <c r="CZ1006" s="4303"/>
      <c r="DA1006" s="4303"/>
      <c r="DB1006" s="4303"/>
      <c r="DC1006" s="4303"/>
      <c r="DD1006" s="4303"/>
      <c r="DE1006" s="4303"/>
      <c r="DF1006" s="4303"/>
      <c r="DG1006" s="4303"/>
      <c r="DH1006" s="4303"/>
      <c r="DI1006" s="4303"/>
      <c r="DJ1006" s="4303"/>
      <c r="DK1006" s="4303"/>
      <c r="DL1006" s="4303"/>
      <c r="DM1006" s="4303"/>
      <c r="DN1006" s="4303"/>
      <c r="DO1006" s="4303"/>
      <c r="DP1006" s="4303"/>
      <c r="DQ1006" s="4303"/>
      <c r="DR1006" s="4303"/>
      <c r="DS1006" s="4303"/>
    </row>
    <row r="1007" s="4134" customFormat="1" ht="17.25" customHeight="1" spans="1:123">
      <c r="A1007" s="4886" t="s">
        <v>5310</v>
      </c>
      <c r="B1007" s="4887"/>
      <c r="C1007" s="4887"/>
      <c r="D1007" s="4887"/>
      <c r="E1007" s="4888"/>
      <c r="F1007" s="4894">
        <v>451</v>
      </c>
      <c r="G1007" s="4697"/>
      <c r="H1007" s="4895"/>
      <c r="I1007" s="4895"/>
      <c r="J1007" s="4895"/>
      <c r="K1007" s="4895"/>
      <c r="L1007" s="4895"/>
      <c r="M1007" s="4895"/>
      <c r="N1007" s="4895"/>
      <c r="O1007" s="4896"/>
      <c r="P1007" s="4896"/>
      <c r="Q1007" s="4896"/>
      <c r="R1007" s="4896"/>
      <c r="S1007" s="4896"/>
      <c r="T1007" s="4896"/>
      <c r="U1007" s="4896"/>
      <c r="V1007" s="4697">
        <v>450</v>
      </c>
      <c r="W1007" s="4697"/>
      <c r="X1007" s="4303"/>
      <c r="Y1007" s="4303"/>
      <c r="Z1007" s="4302" t="s">
        <v>3098</v>
      </c>
      <c r="AA1007" s="4303"/>
      <c r="AB1007" s="4303"/>
      <c r="AC1007" s="4303"/>
      <c r="AD1007" s="4303"/>
      <c r="AE1007" s="4303"/>
      <c r="AF1007" s="4303"/>
      <c r="AG1007" s="4303"/>
      <c r="AH1007" s="4303"/>
      <c r="AI1007" s="4303"/>
      <c r="AJ1007" s="4303"/>
      <c r="AK1007" s="4303"/>
      <c r="AL1007" s="4303"/>
      <c r="AM1007" s="4303"/>
      <c r="AN1007" s="4303"/>
      <c r="AO1007" s="4303"/>
      <c r="AP1007" s="4303"/>
      <c r="AQ1007" s="4303"/>
      <c r="AR1007" s="4303"/>
      <c r="AS1007" s="4303"/>
      <c r="AT1007" s="4303"/>
      <c r="AU1007" s="4303"/>
      <c r="AV1007" s="4303"/>
      <c r="AW1007" s="4303"/>
      <c r="AX1007" s="4303"/>
      <c r="AY1007" s="4303"/>
      <c r="AZ1007" s="4303"/>
      <c r="BA1007" s="4303"/>
      <c r="BB1007" s="4303"/>
      <c r="BC1007" s="4303"/>
      <c r="BD1007" s="4303"/>
      <c r="BE1007" s="4303"/>
      <c r="BF1007" s="4303"/>
      <c r="BG1007" s="4303"/>
      <c r="BH1007" s="4303"/>
      <c r="BI1007" s="4303"/>
      <c r="BJ1007" s="4303"/>
      <c r="BK1007" s="4303"/>
      <c r="BL1007" s="4303"/>
      <c r="BM1007" s="4303"/>
      <c r="BN1007" s="4303"/>
      <c r="BO1007" s="4303"/>
      <c r="BP1007" s="4303"/>
      <c r="BQ1007" s="4303"/>
      <c r="BR1007" s="4303"/>
      <c r="BS1007" s="4303"/>
      <c r="BT1007" s="4303"/>
      <c r="BU1007" s="4303"/>
      <c r="BV1007" s="4303"/>
      <c r="BW1007" s="4303"/>
      <c r="BX1007" s="4303"/>
      <c r="BY1007" s="4303"/>
      <c r="BZ1007" s="4303"/>
      <c r="CA1007" s="4303"/>
      <c r="CB1007" s="4303"/>
      <c r="CC1007" s="4303"/>
      <c r="CD1007" s="4303"/>
      <c r="CE1007" s="4303"/>
      <c r="CF1007" s="4303"/>
      <c r="CG1007" s="4303"/>
      <c r="CH1007" s="4303"/>
      <c r="CI1007" s="4303"/>
      <c r="CJ1007" s="4303"/>
      <c r="CK1007" s="4303"/>
      <c r="CL1007" s="4303"/>
      <c r="CM1007" s="4303"/>
      <c r="CN1007" s="4303"/>
      <c r="CO1007" s="4303"/>
      <c r="CP1007" s="4303"/>
      <c r="CQ1007" s="4303"/>
      <c r="CR1007" s="4303"/>
      <c r="CS1007" s="4303"/>
      <c r="CT1007" s="4303"/>
      <c r="CU1007" s="4303"/>
      <c r="CV1007" s="4303"/>
      <c r="CW1007" s="4303"/>
      <c r="CX1007" s="4303"/>
      <c r="CY1007" s="4303"/>
      <c r="CZ1007" s="4303"/>
      <c r="DA1007" s="4303"/>
      <c r="DB1007" s="4303"/>
      <c r="DC1007" s="4303"/>
      <c r="DD1007" s="4303"/>
      <c r="DE1007" s="4303"/>
      <c r="DF1007" s="4303"/>
      <c r="DG1007" s="4303"/>
      <c r="DH1007" s="4303"/>
      <c r="DI1007" s="4303"/>
      <c r="DJ1007" s="4303"/>
      <c r="DK1007" s="4303"/>
      <c r="DL1007" s="4303"/>
      <c r="DM1007" s="4303"/>
      <c r="DN1007" s="4303"/>
      <c r="DO1007" s="4303"/>
      <c r="DP1007" s="4303"/>
      <c r="DQ1007" s="4303"/>
      <c r="DR1007" s="4303"/>
      <c r="DS1007" s="4303"/>
    </row>
    <row r="1008" s="4134" customFormat="1" ht="17.25" customHeight="1" spans="1:123">
      <c r="A1008" s="4886" t="s">
        <v>5311</v>
      </c>
      <c r="B1008" s="4887"/>
      <c r="C1008" s="4887"/>
      <c r="D1008" s="4887"/>
      <c r="E1008" s="4888"/>
      <c r="F1008" s="4894">
        <v>451</v>
      </c>
      <c r="G1008" s="4697"/>
      <c r="H1008" s="4895"/>
      <c r="I1008" s="4895"/>
      <c r="J1008" s="4895"/>
      <c r="K1008" s="4895"/>
      <c r="L1008" s="4895"/>
      <c r="M1008" s="4895"/>
      <c r="N1008" s="4895"/>
      <c r="O1008" s="4896"/>
      <c r="P1008" s="4896"/>
      <c r="Q1008" s="4896"/>
      <c r="R1008" s="4896"/>
      <c r="S1008" s="4896"/>
      <c r="T1008" s="4896"/>
      <c r="U1008" s="4896"/>
      <c r="V1008" s="4697">
        <v>450</v>
      </c>
      <c r="W1008" s="4697"/>
      <c r="X1008" s="4303"/>
      <c r="Y1008" s="4303"/>
      <c r="Z1008" s="4302" t="s">
        <v>5312</v>
      </c>
      <c r="AA1008" s="4303"/>
      <c r="AB1008" s="4303"/>
      <c r="AC1008" s="4303"/>
      <c r="AD1008" s="4303"/>
      <c r="AE1008" s="4303"/>
      <c r="AF1008" s="4303"/>
      <c r="AG1008" s="4303"/>
      <c r="AH1008" s="4303"/>
      <c r="AI1008" s="4303"/>
      <c r="AJ1008" s="4303"/>
      <c r="AK1008" s="4303"/>
      <c r="AL1008" s="4303"/>
      <c r="AM1008" s="4303"/>
      <c r="AN1008" s="4303"/>
      <c r="AO1008" s="4303"/>
      <c r="AP1008" s="4303"/>
      <c r="AQ1008" s="4303"/>
      <c r="AR1008" s="4303"/>
      <c r="AS1008" s="4303"/>
      <c r="AT1008" s="4303"/>
      <c r="AU1008" s="4303"/>
      <c r="AV1008" s="4303"/>
      <c r="AW1008" s="4303"/>
      <c r="AX1008" s="4303"/>
      <c r="AY1008" s="4303"/>
      <c r="AZ1008" s="4303"/>
      <c r="BA1008" s="4303"/>
      <c r="BB1008" s="4303"/>
      <c r="BC1008" s="4303"/>
      <c r="BD1008" s="4303"/>
      <c r="BE1008" s="4303"/>
      <c r="BF1008" s="4303"/>
      <c r="BG1008" s="4303"/>
      <c r="BH1008" s="4303"/>
      <c r="BI1008" s="4303"/>
      <c r="BJ1008" s="4303"/>
      <c r="BK1008" s="4303"/>
      <c r="BL1008" s="4303"/>
      <c r="BM1008" s="4303"/>
      <c r="BN1008" s="4303"/>
      <c r="BO1008" s="4303"/>
      <c r="BP1008" s="4303"/>
      <c r="BQ1008" s="4303"/>
      <c r="BR1008" s="4303"/>
      <c r="BS1008" s="4303"/>
      <c r="BT1008" s="4303"/>
      <c r="BU1008" s="4303"/>
      <c r="BV1008" s="4303"/>
      <c r="BW1008" s="4303"/>
      <c r="BX1008" s="4303"/>
      <c r="BY1008" s="4303"/>
      <c r="BZ1008" s="4303"/>
      <c r="CA1008" s="4303"/>
      <c r="CB1008" s="4303"/>
      <c r="CC1008" s="4303"/>
      <c r="CD1008" s="4303"/>
      <c r="CE1008" s="4303"/>
      <c r="CF1008" s="4303"/>
      <c r="CG1008" s="4303"/>
      <c r="CH1008" s="4303"/>
      <c r="CI1008" s="4303"/>
      <c r="CJ1008" s="4303"/>
      <c r="CK1008" s="4303"/>
      <c r="CL1008" s="4303"/>
      <c r="CM1008" s="4303"/>
      <c r="CN1008" s="4303"/>
      <c r="CO1008" s="4303"/>
      <c r="CP1008" s="4303"/>
      <c r="CQ1008" s="4303"/>
      <c r="CR1008" s="4303"/>
      <c r="CS1008" s="4303"/>
      <c r="CT1008" s="4303"/>
      <c r="CU1008" s="4303"/>
      <c r="CV1008" s="4303"/>
      <c r="CW1008" s="4303"/>
      <c r="CX1008" s="4303"/>
      <c r="CY1008" s="4303"/>
      <c r="CZ1008" s="4303"/>
      <c r="DA1008" s="4303"/>
      <c r="DB1008" s="4303"/>
      <c r="DC1008" s="4303"/>
      <c r="DD1008" s="4303"/>
      <c r="DE1008" s="4303"/>
      <c r="DF1008" s="4303"/>
      <c r="DG1008" s="4303"/>
      <c r="DH1008" s="4303"/>
      <c r="DI1008" s="4303"/>
      <c r="DJ1008" s="4303"/>
      <c r="DK1008" s="4303"/>
      <c r="DL1008" s="4303"/>
      <c r="DM1008" s="4303"/>
      <c r="DN1008" s="4303"/>
      <c r="DO1008" s="4303"/>
      <c r="DP1008" s="4303"/>
      <c r="DQ1008" s="4303"/>
      <c r="DR1008" s="4303"/>
      <c r="DS1008" s="4303"/>
    </row>
    <row r="1009" s="4134" customFormat="1" ht="17.25" customHeight="1" spans="1:123">
      <c r="A1009" s="4886" t="s">
        <v>5313</v>
      </c>
      <c r="B1009" s="4887"/>
      <c r="C1009" s="4887"/>
      <c r="D1009" s="4887"/>
      <c r="E1009" s="4888"/>
      <c r="F1009" s="4894">
        <v>451</v>
      </c>
      <c r="G1009" s="4697"/>
      <c r="H1009" s="4895"/>
      <c r="I1009" s="4895"/>
      <c r="J1009" s="4895"/>
      <c r="K1009" s="4895"/>
      <c r="L1009" s="4895"/>
      <c r="M1009" s="4895"/>
      <c r="N1009" s="4895"/>
      <c r="O1009" s="4896"/>
      <c r="P1009" s="4896"/>
      <c r="Q1009" s="4896"/>
      <c r="R1009" s="4896"/>
      <c r="S1009" s="4896"/>
      <c r="T1009" s="4896"/>
      <c r="U1009" s="4896"/>
      <c r="V1009" s="4697">
        <v>450</v>
      </c>
      <c r="W1009" s="4697"/>
      <c r="X1009" s="4303"/>
      <c r="Y1009" s="4303"/>
      <c r="Z1009" s="4302" t="s">
        <v>3102</v>
      </c>
      <c r="AA1009" s="4303"/>
      <c r="AB1009" s="4303"/>
      <c r="AC1009" s="4303"/>
      <c r="AD1009" s="4303"/>
      <c r="AE1009" s="4303"/>
      <c r="AF1009" s="4303"/>
      <c r="AG1009" s="4303"/>
      <c r="AH1009" s="4303"/>
      <c r="AI1009" s="4303"/>
      <c r="AJ1009" s="4303"/>
      <c r="AK1009" s="4303"/>
      <c r="AL1009" s="4303"/>
      <c r="AM1009" s="4303"/>
      <c r="AN1009" s="4303"/>
      <c r="AO1009" s="4303"/>
      <c r="AP1009" s="4303"/>
      <c r="AQ1009" s="4303"/>
      <c r="AR1009" s="4303"/>
      <c r="AS1009" s="4303"/>
      <c r="AT1009" s="4303"/>
      <c r="AU1009" s="4303"/>
      <c r="AV1009" s="4303"/>
      <c r="AW1009" s="4303"/>
      <c r="AX1009" s="4303"/>
      <c r="AY1009" s="4303"/>
      <c r="AZ1009" s="4303"/>
      <c r="BA1009" s="4303"/>
      <c r="BB1009" s="4303"/>
      <c r="BC1009" s="4303"/>
      <c r="BD1009" s="4303"/>
      <c r="BE1009" s="4303"/>
      <c r="BF1009" s="4303"/>
      <c r="BG1009" s="4303"/>
      <c r="BH1009" s="4303"/>
      <c r="BI1009" s="4303"/>
      <c r="BJ1009" s="4303"/>
      <c r="BK1009" s="4303"/>
      <c r="BL1009" s="4303"/>
      <c r="BM1009" s="4303"/>
      <c r="BN1009" s="4303"/>
      <c r="BO1009" s="4303"/>
      <c r="BP1009" s="4303"/>
      <c r="BQ1009" s="4303"/>
      <c r="BR1009" s="4303"/>
      <c r="BS1009" s="4303"/>
      <c r="BT1009" s="4303"/>
      <c r="BU1009" s="4303"/>
      <c r="BV1009" s="4303"/>
      <c r="BW1009" s="4303"/>
      <c r="BX1009" s="4303"/>
      <c r="BY1009" s="4303"/>
      <c r="BZ1009" s="4303"/>
      <c r="CA1009" s="4303"/>
      <c r="CB1009" s="4303"/>
      <c r="CC1009" s="4303"/>
      <c r="CD1009" s="4303"/>
      <c r="CE1009" s="4303"/>
      <c r="CF1009" s="4303"/>
      <c r="CG1009" s="4303"/>
      <c r="CH1009" s="4303"/>
      <c r="CI1009" s="4303"/>
      <c r="CJ1009" s="4303"/>
      <c r="CK1009" s="4303"/>
      <c r="CL1009" s="4303"/>
      <c r="CM1009" s="4303"/>
      <c r="CN1009" s="4303"/>
      <c r="CO1009" s="4303"/>
      <c r="CP1009" s="4303"/>
      <c r="CQ1009" s="4303"/>
      <c r="CR1009" s="4303"/>
      <c r="CS1009" s="4303"/>
      <c r="CT1009" s="4303"/>
      <c r="CU1009" s="4303"/>
      <c r="CV1009" s="4303"/>
      <c r="CW1009" s="4303"/>
      <c r="CX1009" s="4303"/>
      <c r="CY1009" s="4303"/>
      <c r="CZ1009" s="4303"/>
      <c r="DA1009" s="4303"/>
      <c r="DB1009" s="4303"/>
      <c r="DC1009" s="4303"/>
      <c r="DD1009" s="4303"/>
      <c r="DE1009" s="4303"/>
      <c r="DF1009" s="4303"/>
      <c r="DG1009" s="4303"/>
      <c r="DH1009" s="4303"/>
      <c r="DI1009" s="4303"/>
      <c r="DJ1009" s="4303"/>
      <c r="DK1009" s="4303"/>
      <c r="DL1009" s="4303"/>
      <c r="DM1009" s="4303"/>
      <c r="DN1009" s="4303"/>
      <c r="DO1009" s="4303"/>
      <c r="DP1009" s="4303"/>
      <c r="DQ1009" s="4303"/>
      <c r="DR1009" s="4303"/>
      <c r="DS1009" s="4303"/>
    </row>
    <row r="1010" s="4134" customFormat="1" ht="17.25" customHeight="1" spans="1:123">
      <c r="A1010" s="4886" t="s">
        <v>5314</v>
      </c>
      <c r="B1010" s="4887"/>
      <c r="C1010" s="4887"/>
      <c r="D1010" s="4887"/>
      <c r="E1010" s="4888"/>
      <c r="F1010" s="4894">
        <v>451</v>
      </c>
      <c r="G1010" s="4697"/>
      <c r="H1010" s="4895"/>
      <c r="I1010" s="4895"/>
      <c r="J1010" s="4895"/>
      <c r="K1010" s="4895"/>
      <c r="L1010" s="4895"/>
      <c r="M1010" s="4895"/>
      <c r="N1010" s="4895"/>
      <c r="O1010" s="4896"/>
      <c r="P1010" s="4896"/>
      <c r="Q1010" s="4896"/>
      <c r="R1010" s="4896"/>
      <c r="S1010" s="4896"/>
      <c r="T1010" s="4896"/>
      <c r="U1010" s="4896"/>
      <c r="V1010" s="4697">
        <v>450</v>
      </c>
      <c r="W1010" s="4697"/>
      <c r="X1010" s="4303"/>
      <c r="Y1010" s="4303"/>
      <c r="Z1010" s="4302" t="s">
        <v>3104</v>
      </c>
      <c r="AA1010" s="4303"/>
      <c r="AB1010" s="4303"/>
      <c r="AC1010" s="4303"/>
      <c r="AD1010" s="4303"/>
      <c r="AE1010" s="4303"/>
      <c r="AF1010" s="4303"/>
      <c r="AG1010" s="4303"/>
      <c r="AH1010" s="4303"/>
      <c r="AI1010" s="4303"/>
      <c r="AJ1010" s="4303"/>
      <c r="AK1010" s="4303"/>
      <c r="AL1010" s="4303"/>
      <c r="AM1010" s="4303"/>
      <c r="AN1010" s="4303"/>
      <c r="AO1010" s="4303"/>
      <c r="AP1010" s="4303"/>
      <c r="AQ1010" s="4303"/>
      <c r="AR1010" s="4303"/>
      <c r="AS1010" s="4303"/>
      <c r="AT1010" s="4303"/>
      <c r="AU1010" s="4303"/>
      <c r="AV1010" s="4303"/>
      <c r="AW1010" s="4303"/>
      <c r="AX1010" s="4303"/>
      <c r="AY1010" s="4303"/>
      <c r="AZ1010" s="4303"/>
      <c r="BA1010" s="4303"/>
      <c r="BB1010" s="4303"/>
      <c r="BC1010" s="4303"/>
      <c r="BD1010" s="4303"/>
      <c r="BE1010" s="4303"/>
      <c r="BF1010" s="4303"/>
      <c r="BG1010" s="4303"/>
      <c r="BH1010" s="4303"/>
      <c r="BI1010" s="4303"/>
      <c r="BJ1010" s="4303"/>
      <c r="BK1010" s="4303"/>
      <c r="BL1010" s="4303"/>
      <c r="BM1010" s="4303"/>
      <c r="BN1010" s="4303"/>
      <c r="BO1010" s="4303"/>
      <c r="BP1010" s="4303"/>
      <c r="BQ1010" s="4303"/>
      <c r="BR1010" s="4303"/>
      <c r="BS1010" s="4303"/>
      <c r="BT1010" s="4303"/>
      <c r="BU1010" s="4303"/>
      <c r="BV1010" s="4303"/>
      <c r="BW1010" s="4303"/>
      <c r="BX1010" s="4303"/>
      <c r="BY1010" s="4303"/>
      <c r="BZ1010" s="4303"/>
      <c r="CA1010" s="4303"/>
      <c r="CB1010" s="4303"/>
      <c r="CC1010" s="4303"/>
      <c r="CD1010" s="4303"/>
      <c r="CE1010" s="4303"/>
      <c r="CF1010" s="4303"/>
      <c r="CG1010" s="4303"/>
      <c r="CH1010" s="4303"/>
      <c r="CI1010" s="4303"/>
      <c r="CJ1010" s="4303"/>
      <c r="CK1010" s="4303"/>
      <c r="CL1010" s="4303"/>
      <c r="CM1010" s="4303"/>
      <c r="CN1010" s="4303"/>
      <c r="CO1010" s="4303"/>
      <c r="CP1010" s="4303"/>
      <c r="CQ1010" s="4303"/>
      <c r="CR1010" s="4303"/>
      <c r="CS1010" s="4303"/>
      <c r="CT1010" s="4303"/>
      <c r="CU1010" s="4303"/>
      <c r="CV1010" s="4303"/>
      <c r="CW1010" s="4303"/>
      <c r="CX1010" s="4303"/>
      <c r="CY1010" s="4303"/>
      <c r="CZ1010" s="4303"/>
      <c r="DA1010" s="4303"/>
      <c r="DB1010" s="4303"/>
      <c r="DC1010" s="4303"/>
      <c r="DD1010" s="4303"/>
      <c r="DE1010" s="4303"/>
      <c r="DF1010" s="4303"/>
      <c r="DG1010" s="4303"/>
      <c r="DH1010" s="4303"/>
      <c r="DI1010" s="4303"/>
      <c r="DJ1010" s="4303"/>
      <c r="DK1010" s="4303"/>
      <c r="DL1010" s="4303"/>
      <c r="DM1010" s="4303"/>
      <c r="DN1010" s="4303"/>
      <c r="DO1010" s="4303"/>
      <c r="DP1010" s="4303"/>
      <c r="DQ1010" s="4303"/>
      <c r="DR1010" s="4303"/>
      <c r="DS1010" s="4303"/>
    </row>
    <row r="1011" s="4134" customFormat="1" ht="17.25" customHeight="1" spans="1:123">
      <c r="A1011" s="4886" t="s">
        <v>5315</v>
      </c>
      <c r="B1011" s="4887"/>
      <c r="C1011" s="4887"/>
      <c r="D1011" s="4887"/>
      <c r="E1011" s="4888"/>
      <c r="F1011" s="4894"/>
      <c r="G1011" s="4697"/>
      <c r="H1011" s="4899"/>
      <c r="I1011" s="4900"/>
      <c r="J1011" s="4900"/>
      <c r="K1011" s="4900"/>
      <c r="L1011" s="4900"/>
      <c r="M1011" s="4900"/>
      <c r="N1011" s="4901"/>
      <c r="O1011" s="4896"/>
      <c r="P1011" s="4896"/>
      <c r="Q1011" s="4896"/>
      <c r="R1011" s="4896"/>
      <c r="S1011" s="4896"/>
      <c r="T1011" s="4896"/>
      <c r="U1011" s="4896"/>
      <c r="V1011" s="4697">
        <v>425</v>
      </c>
      <c r="W1011" s="4697"/>
      <c r="X1011" s="4303"/>
      <c r="Y1011" s="4303"/>
      <c r="Z1011" s="4302" t="s">
        <v>5316</v>
      </c>
      <c r="AA1011" s="4303"/>
      <c r="AB1011" s="4303"/>
      <c r="AC1011" s="4303"/>
      <c r="AD1011" s="4303"/>
      <c r="AE1011" s="4303"/>
      <c r="AF1011" s="4303"/>
      <c r="AG1011" s="4303"/>
      <c r="AH1011" s="4303"/>
      <c r="AI1011" s="4303"/>
      <c r="AJ1011" s="4303"/>
      <c r="AK1011" s="4303"/>
      <c r="AL1011" s="4303"/>
      <c r="AM1011" s="4303"/>
      <c r="AN1011" s="4303"/>
      <c r="AO1011" s="4303"/>
      <c r="AP1011" s="4303"/>
      <c r="AQ1011" s="4303"/>
      <c r="AR1011" s="4303"/>
      <c r="AS1011" s="4303"/>
      <c r="AT1011" s="4303"/>
      <c r="AU1011" s="4303"/>
      <c r="AV1011" s="4303"/>
      <c r="AW1011" s="4303"/>
      <c r="AX1011" s="4303"/>
      <c r="AY1011" s="4303"/>
      <c r="AZ1011" s="4303"/>
      <c r="BA1011" s="4303"/>
      <c r="BB1011" s="4303"/>
      <c r="BC1011" s="4303"/>
      <c r="BD1011" s="4303"/>
      <c r="BE1011" s="4303"/>
      <c r="BF1011" s="4303"/>
      <c r="BG1011" s="4303"/>
      <c r="BH1011" s="4303"/>
      <c r="BI1011" s="4303"/>
      <c r="BJ1011" s="4303"/>
      <c r="BK1011" s="4303"/>
      <c r="BL1011" s="4303"/>
      <c r="BM1011" s="4303"/>
      <c r="BN1011" s="4303"/>
      <c r="BO1011" s="4303"/>
      <c r="BP1011" s="4303"/>
      <c r="BQ1011" s="4303"/>
      <c r="BR1011" s="4303"/>
      <c r="BS1011" s="4303"/>
      <c r="BT1011" s="4303"/>
      <c r="BU1011" s="4303"/>
      <c r="BV1011" s="4303"/>
      <c r="BW1011" s="4303"/>
      <c r="BX1011" s="4303"/>
      <c r="BY1011" s="4303"/>
      <c r="BZ1011" s="4303"/>
      <c r="CA1011" s="4303"/>
      <c r="CB1011" s="4303"/>
      <c r="CC1011" s="4303"/>
      <c r="CD1011" s="4303"/>
      <c r="CE1011" s="4303"/>
      <c r="CF1011" s="4303"/>
      <c r="CG1011" s="4303"/>
      <c r="CH1011" s="4303"/>
      <c r="CI1011" s="4303"/>
      <c r="CJ1011" s="4303"/>
      <c r="CK1011" s="4303"/>
      <c r="CL1011" s="4303"/>
      <c r="CM1011" s="4303"/>
      <c r="CN1011" s="4303"/>
      <c r="CO1011" s="4303"/>
      <c r="CP1011" s="4303"/>
      <c r="CQ1011" s="4303"/>
      <c r="CR1011" s="4303"/>
      <c r="CS1011" s="4303"/>
      <c r="CT1011" s="4303"/>
      <c r="CU1011" s="4303"/>
      <c r="CV1011" s="4303"/>
      <c r="CW1011" s="4303"/>
      <c r="CX1011" s="4303"/>
      <c r="CY1011" s="4303"/>
      <c r="CZ1011" s="4303"/>
      <c r="DA1011" s="4303"/>
      <c r="DB1011" s="4303"/>
      <c r="DC1011" s="4303"/>
      <c r="DD1011" s="4303"/>
      <c r="DE1011" s="4303"/>
      <c r="DF1011" s="4303"/>
      <c r="DG1011" s="4303"/>
      <c r="DH1011" s="4303"/>
      <c r="DI1011" s="4303"/>
      <c r="DJ1011" s="4303"/>
      <c r="DK1011" s="4303"/>
      <c r="DL1011" s="4303"/>
      <c r="DM1011" s="4303"/>
      <c r="DN1011" s="4303"/>
      <c r="DO1011" s="4303"/>
      <c r="DP1011" s="4303"/>
      <c r="DQ1011" s="4303"/>
      <c r="DR1011" s="4303"/>
      <c r="DS1011" s="4303"/>
    </row>
    <row r="1012" s="4134" customFormat="1" ht="17.25" customHeight="1" spans="1:123">
      <c r="A1012" s="4902" t="s">
        <v>5356</v>
      </c>
      <c r="B1012" s="4903"/>
      <c r="C1012" s="4903"/>
      <c r="D1012" s="4903"/>
      <c r="E1012" s="4904"/>
      <c r="F1012" s="4894"/>
      <c r="G1012" s="4697"/>
      <c r="H1012" s="4905"/>
      <c r="I1012" s="4317"/>
      <c r="J1012" s="4317"/>
      <c r="K1012" s="4317"/>
      <c r="L1012" s="4317"/>
      <c r="M1012" s="4317"/>
      <c r="N1012" s="4906"/>
      <c r="O1012" s="4896"/>
      <c r="P1012" s="4896"/>
      <c r="Q1012" s="4896"/>
      <c r="R1012" s="4896"/>
      <c r="S1012" s="4896"/>
      <c r="T1012" s="4896"/>
      <c r="U1012" s="4896"/>
      <c r="V1012" s="4697">
        <v>401</v>
      </c>
      <c r="W1012" s="4697"/>
      <c r="X1012" s="4303"/>
      <c r="Y1012" s="4303"/>
      <c r="Z1012" s="4311" t="s">
        <v>3133</v>
      </c>
      <c r="AA1012" s="4303"/>
      <c r="AB1012" s="4303"/>
      <c r="AC1012" s="4303"/>
      <c r="AD1012" s="4303"/>
      <c r="AE1012" s="4303"/>
      <c r="AF1012" s="4303"/>
      <c r="AG1012" s="4303"/>
      <c r="AH1012" s="4303"/>
      <c r="AI1012" s="4303"/>
      <c r="AJ1012" s="4303"/>
      <c r="AK1012" s="4303"/>
      <c r="AL1012" s="4303"/>
      <c r="AM1012" s="4303"/>
      <c r="AN1012" s="4303"/>
      <c r="AO1012" s="4303"/>
      <c r="AP1012" s="4303"/>
      <c r="AQ1012" s="4303"/>
      <c r="AR1012" s="4303"/>
      <c r="AS1012" s="4303"/>
      <c r="AT1012" s="4303"/>
      <c r="AU1012" s="4303"/>
      <c r="AV1012" s="4303"/>
      <c r="AW1012" s="4303"/>
      <c r="AX1012" s="4303"/>
      <c r="AY1012" s="4303"/>
      <c r="AZ1012" s="4303"/>
      <c r="BA1012" s="4303"/>
      <c r="BB1012" s="4303"/>
      <c r="BC1012" s="4303"/>
      <c r="BD1012" s="4303"/>
      <c r="BE1012" s="4303"/>
      <c r="BF1012" s="4303"/>
      <c r="BG1012" s="4303"/>
      <c r="BH1012" s="4303"/>
      <c r="BI1012" s="4303"/>
      <c r="BJ1012" s="4303"/>
      <c r="BK1012" s="4303"/>
      <c r="BL1012" s="4303"/>
      <c r="BM1012" s="4303"/>
      <c r="BN1012" s="4303"/>
      <c r="BO1012" s="4303"/>
      <c r="BP1012" s="4303"/>
      <c r="BQ1012" s="4303"/>
      <c r="BR1012" s="4303"/>
      <c r="BS1012" s="4303"/>
      <c r="BT1012" s="4303"/>
      <c r="BU1012" s="4303"/>
      <c r="BV1012" s="4303"/>
      <c r="BW1012" s="4303"/>
      <c r="BX1012" s="4303"/>
      <c r="BY1012" s="4303"/>
      <c r="BZ1012" s="4303"/>
      <c r="CA1012" s="4303"/>
      <c r="CB1012" s="4303"/>
      <c r="CC1012" s="4303"/>
      <c r="CD1012" s="4303"/>
      <c r="CE1012" s="4303"/>
      <c r="CF1012" s="4303"/>
      <c r="CG1012" s="4303"/>
      <c r="CH1012" s="4303"/>
      <c r="CI1012" s="4303"/>
      <c r="CJ1012" s="4303"/>
      <c r="CK1012" s="4303"/>
      <c r="CL1012" s="4303"/>
      <c r="CM1012" s="4303"/>
      <c r="CN1012" s="4303"/>
      <c r="CO1012" s="4303"/>
      <c r="CP1012" s="4303"/>
      <c r="CQ1012" s="4303"/>
      <c r="CR1012" s="4303"/>
      <c r="CS1012" s="4303"/>
      <c r="CT1012" s="4303"/>
      <c r="CU1012" s="4303"/>
      <c r="CV1012" s="4303"/>
      <c r="CW1012" s="4303"/>
      <c r="CX1012" s="4303"/>
      <c r="CY1012" s="4303"/>
      <c r="CZ1012" s="4303"/>
      <c r="DA1012" s="4303"/>
      <c r="DB1012" s="4303"/>
      <c r="DC1012" s="4303"/>
      <c r="DD1012" s="4303"/>
      <c r="DE1012" s="4303"/>
      <c r="DF1012" s="4303"/>
      <c r="DG1012" s="4303"/>
      <c r="DH1012" s="4303"/>
      <c r="DI1012" s="4303"/>
      <c r="DJ1012" s="4303"/>
      <c r="DK1012" s="4303"/>
      <c r="DL1012" s="4303"/>
      <c r="DM1012" s="4303"/>
      <c r="DN1012" s="4303"/>
      <c r="DO1012" s="4303"/>
      <c r="DP1012" s="4303"/>
      <c r="DQ1012" s="4303"/>
      <c r="DR1012" s="4303"/>
      <c r="DS1012" s="4303"/>
    </row>
    <row r="1013" s="4134" customFormat="1" ht="17.25" customHeight="1" spans="1:123">
      <c r="A1013" s="4902" t="s">
        <v>5357</v>
      </c>
      <c r="B1013" s="4903"/>
      <c r="C1013" s="4903"/>
      <c r="D1013" s="4903"/>
      <c r="E1013" s="4904"/>
      <c r="F1013" s="4894"/>
      <c r="G1013" s="4697"/>
      <c r="H1013" s="4905"/>
      <c r="I1013" s="4317"/>
      <c r="J1013" s="4317"/>
      <c r="K1013" s="4317"/>
      <c r="L1013" s="4317"/>
      <c r="M1013" s="4317"/>
      <c r="N1013" s="4906"/>
      <c r="O1013" s="4896"/>
      <c r="P1013" s="4896"/>
      <c r="Q1013" s="4896"/>
      <c r="R1013" s="4896"/>
      <c r="S1013" s="4896"/>
      <c r="T1013" s="4896"/>
      <c r="U1013" s="4896"/>
      <c r="V1013" s="4697">
        <v>401</v>
      </c>
      <c r="W1013" s="4697"/>
      <c r="X1013" s="4303"/>
      <c r="Y1013" s="4303"/>
      <c r="Z1013" s="4311" t="s">
        <v>5358</v>
      </c>
      <c r="AA1013" s="4303"/>
      <c r="AB1013" s="4303"/>
      <c r="AC1013" s="4303"/>
      <c r="AD1013" s="4303"/>
      <c r="AE1013" s="4303"/>
      <c r="AF1013" s="4303"/>
      <c r="AG1013" s="4303"/>
      <c r="AH1013" s="4303"/>
      <c r="AI1013" s="4303"/>
      <c r="AJ1013" s="4303"/>
      <c r="AK1013" s="4303"/>
      <c r="AL1013" s="4303"/>
      <c r="AM1013" s="4303"/>
      <c r="AN1013" s="4303"/>
      <c r="AO1013" s="4303"/>
      <c r="AP1013" s="4303"/>
      <c r="AQ1013" s="4303"/>
      <c r="AR1013" s="4303"/>
      <c r="AS1013" s="4303"/>
      <c r="AT1013" s="4303"/>
      <c r="AU1013" s="4303"/>
      <c r="AV1013" s="4303"/>
      <c r="AW1013" s="4303"/>
      <c r="AX1013" s="4303"/>
      <c r="AY1013" s="4303"/>
      <c r="AZ1013" s="4303"/>
      <c r="BA1013" s="4303"/>
      <c r="BB1013" s="4303"/>
      <c r="BC1013" s="4303"/>
      <c r="BD1013" s="4303"/>
      <c r="BE1013" s="4303"/>
      <c r="BF1013" s="4303"/>
      <c r="BG1013" s="4303"/>
      <c r="BH1013" s="4303"/>
      <c r="BI1013" s="4303"/>
      <c r="BJ1013" s="4303"/>
      <c r="BK1013" s="4303"/>
      <c r="BL1013" s="4303"/>
      <c r="BM1013" s="4303"/>
      <c r="BN1013" s="4303"/>
      <c r="BO1013" s="4303"/>
      <c r="BP1013" s="4303"/>
      <c r="BQ1013" s="4303"/>
      <c r="BR1013" s="4303"/>
      <c r="BS1013" s="4303"/>
      <c r="BT1013" s="4303"/>
      <c r="BU1013" s="4303"/>
      <c r="BV1013" s="4303"/>
      <c r="BW1013" s="4303"/>
      <c r="BX1013" s="4303"/>
      <c r="BY1013" s="4303"/>
      <c r="BZ1013" s="4303"/>
      <c r="CA1013" s="4303"/>
      <c r="CB1013" s="4303"/>
      <c r="CC1013" s="4303"/>
      <c r="CD1013" s="4303"/>
      <c r="CE1013" s="4303"/>
      <c r="CF1013" s="4303"/>
      <c r="CG1013" s="4303"/>
      <c r="CH1013" s="4303"/>
      <c r="CI1013" s="4303"/>
      <c r="CJ1013" s="4303"/>
      <c r="CK1013" s="4303"/>
      <c r="CL1013" s="4303"/>
      <c r="CM1013" s="4303"/>
      <c r="CN1013" s="4303"/>
      <c r="CO1013" s="4303"/>
      <c r="CP1013" s="4303"/>
      <c r="CQ1013" s="4303"/>
      <c r="CR1013" s="4303"/>
      <c r="CS1013" s="4303"/>
      <c r="CT1013" s="4303"/>
      <c r="CU1013" s="4303"/>
      <c r="CV1013" s="4303"/>
      <c r="CW1013" s="4303"/>
      <c r="CX1013" s="4303"/>
      <c r="CY1013" s="4303"/>
      <c r="CZ1013" s="4303"/>
      <c r="DA1013" s="4303"/>
      <c r="DB1013" s="4303"/>
      <c r="DC1013" s="4303"/>
      <c r="DD1013" s="4303"/>
      <c r="DE1013" s="4303"/>
      <c r="DF1013" s="4303"/>
      <c r="DG1013" s="4303"/>
      <c r="DH1013" s="4303"/>
      <c r="DI1013" s="4303"/>
      <c r="DJ1013" s="4303"/>
      <c r="DK1013" s="4303"/>
      <c r="DL1013" s="4303"/>
      <c r="DM1013" s="4303"/>
      <c r="DN1013" s="4303"/>
      <c r="DO1013" s="4303"/>
      <c r="DP1013" s="4303"/>
      <c r="DQ1013" s="4303"/>
      <c r="DR1013" s="4303"/>
      <c r="DS1013" s="4303"/>
    </row>
    <row r="1014" s="4134" customFormat="1" ht="17.25" customHeight="1" spans="1:123">
      <c r="A1014" s="4902" t="s">
        <v>5359</v>
      </c>
      <c r="B1014" s="4903"/>
      <c r="C1014" s="4903"/>
      <c r="D1014" s="4903"/>
      <c r="E1014" s="4904"/>
      <c r="F1014" s="4894"/>
      <c r="G1014" s="4697"/>
      <c r="H1014" s="4905"/>
      <c r="I1014" s="4317"/>
      <c r="J1014" s="4317"/>
      <c r="K1014" s="4317"/>
      <c r="L1014" s="4317"/>
      <c r="M1014" s="4317"/>
      <c r="N1014" s="4906"/>
      <c r="O1014" s="4896"/>
      <c r="P1014" s="4896"/>
      <c r="Q1014" s="4896"/>
      <c r="R1014" s="4896"/>
      <c r="S1014" s="4896"/>
      <c r="T1014" s="4896"/>
      <c r="U1014" s="4896"/>
      <c r="V1014" s="4697">
        <v>401</v>
      </c>
      <c r="W1014" s="4697"/>
      <c r="X1014" s="4303"/>
      <c r="Y1014" s="4303"/>
      <c r="Z1014" s="4311" t="s">
        <v>5360</v>
      </c>
      <c r="AA1014" s="4303"/>
      <c r="AB1014" s="4303"/>
      <c r="AC1014" s="4303"/>
      <c r="AD1014" s="4303"/>
      <c r="AE1014" s="4303"/>
      <c r="AF1014" s="4303"/>
      <c r="AG1014" s="4303"/>
      <c r="AH1014" s="4303"/>
      <c r="AI1014" s="4303"/>
      <c r="AJ1014" s="4303"/>
      <c r="AK1014" s="4303"/>
      <c r="AL1014" s="4303"/>
      <c r="AM1014" s="4303"/>
      <c r="AN1014" s="4303"/>
      <c r="AO1014" s="4303"/>
      <c r="AP1014" s="4303"/>
      <c r="AQ1014" s="4303"/>
      <c r="AR1014" s="4303"/>
      <c r="AS1014" s="4303"/>
      <c r="AT1014" s="4303"/>
      <c r="AU1014" s="4303"/>
      <c r="AV1014" s="4303"/>
      <c r="AW1014" s="4303"/>
      <c r="AX1014" s="4303"/>
      <c r="AY1014" s="4303"/>
      <c r="AZ1014" s="4303"/>
      <c r="BA1014" s="4303"/>
      <c r="BB1014" s="4303"/>
      <c r="BC1014" s="4303"/>
      <c r="BD1014" s="4303"/>
      <c r="BE1014" s="4303"/>
      <c r="BF1014" s="4303"/>
      <c r="BG1014" s="4303"/>
      <c r="BH1014" s="4303"/>
      <c r="BI1014" s="4303"/>
      <c r="BJ1014" s="4303"/>
      <c r="BK1014" s="4303"/>
      <c r="BL1014" s="4303"/>
      <c r="BM1014" s="4303"/>
      <c r="BN1014" s="4303"/>
      <c r="BO1014" s="4303"/>
      <c r="BP1014" s="4303"/>
      <c r="BQ1014" s="4303"/>
      <c r="BR1014" s="4303"/>
      <c r="BS1014" s="4303"/>
      <c r="BT1014" s="4303"/>
      <c r="BU1014" s="4303"/>
      <c r="BV1014" s="4303"/>
      <c r="BW1014" s="4303"/>
      <c r="BX1014" s="4303"/>
      <c r="BY1014" s="4303"/>
      <c r="BZ1014" s="4303"/>
      <c r="CA1014" s="4303"/>
      <c r="CB1014" s="4303"/>
      <c r="CC1014" s="4303"/>
      <c r="CD1014" s="4303"/>
      <c r="CE1014" s="4303"/>
      <c r="CF1014" s="4303"/>
      <c r="CG1014" s="4303"/>
      <c r="CH1014" s="4303"/>
      <c r="CI1014" s="4303"/>
      <c r="CJ1014" s="4303"/>
      <c r="CK1014" s="4303"/>
      <c r="CL1014" s="4303"/>
      <c r="CM1014" s="4303"/>
      <c r="CN1014" s="4303"/>
      <c r="CO1014" s="4303"/>
      <c r="CP1014" s="4303"/>
      <c r="CQ1014" s="4303"/>
      <c r="CR1014" s="4303"/>
      <c r="CS1014" s="4303"/>
      <c r="CT1014" s="4303"/>
      <c r="CU1014" s="4303"/>
      <c r="CV1014" s="4303"/>
      <c r="CW1014" s="4303"/>
      <c r="CX1014" s="4303"/>
      <c r="CY1014" s="4303"/>
      <c r="CZ1014" s="4303"/>
      <c r="DA1014" s="4303"/>
      <c r="DB1014" s="4303"/>
      <c r="DC1014" s="4303"/>
      <c r="DD1014" s="4303"/>
      <c r="DE1014" s="4303"/>
      <c r="DF1014" s="4303"/>
      <c r="DG1014" s="4303"/>
      <c r="DH1014" s="4303"/>
      <c r="DI1014" s="4303"/>
      <c r="DJ1014" s="4303"/>
      <c r="DK1014" s="4303"/>
      <c r="DL1014" s="4303"/>
      <c r="DM1014" s="4303"/>
      <c r="DN1014" s="4303"/>
      <c r="DO1014" s="4303"/>
      <c r="DP1014" s="4303"/>
      <c r="DQ1014" s="4303"/>
      <c r="DR1014" s="4303"/>
      <c r="DS1014" s="4303"/>
    </row>
    <row r="1015" s="4134" customFormat="1" ht="17.25" customHeight="1" spans="1:123">
      <c r="A1015" s="4907" t="s">
        <v>5727</v>
      </c>
      <c r="B1015" s="4908"/>
      <c r="C1015" s="4908"/>
      <c r="D1015" s="4908"/>
      <c r="E1015" s="4909"/>
      <c r="F1015" s="4910"/>
      <c r="G1015" s="4911"/>
      <c r="H1015" s="4905"/>
      <c r="I1015" s="4317"/>
      <c r="J1015" s="4317"/>
      <c r="K1015" s="4317"/>
      <c r="L1015" s="4317"/>
      <c r="M1015" s="4317"/>
      <c r="N1015" s="4906"/>
      <c r="O1015" s="4896"/>
      <c r="P1015" s="4896"/>
      <c r="Q1015" s="4896"/>
      <c r="R1015" s="4896"/>
      <c r="S1015" s="4896"/>
      <c r="T1015" s="4896"/>
      <c r="U1015" s="4896"/>
      <c r="V1015" s="4697">
        <v>410</v>
      </c>
      <c r="W1015" s="4697"/>
      <c r="X1015" s="4303"/>
      <c r="Y1015" s="4303"/>
      <c r="Z1015" s="4912" t="s">
        <v>5728</v>
      </c>
      <c r="AA1015" s="4859"/>
      <c r="AB1015" s="4859"/>
      <c r="AC1015" s="4859"/>
      <c r="AD1015" s="4859"/>
      <c r="AE1015" s="4859"/>
      <c r="AF1015" s="4859"/>
      <c r="AG1015" s="4859"/>
      <c r="AH1015" s="4859"/>
      <c r="AI1015" s="4859"/>
      <c r="AJ1015" s="4859"/>
      <c r="AK1015" s="4859"/>
      <c r="AL1015" s="4859"/>
      <c r="AM1015" s="4859"/>
      <c r="AN1015" s="4859"/>
      <c r="AO1015" s="4859"/>
      <c r="AP1015" s="4859"/>
      <c r="AQ1015" s="4859"/>
      <c r="AR1015" s="4859"/>
      <c r="AS1015" s="4859"/>
      <c r="AT1015" s="4859"/>
      <c r="AU1015" s="4859"/>
      <c r="AV1015" s="4859"/>
      <c r="AW1015" s="4303"/>
      <c r="AX1015" s="4303"/>
      <c r="AY1015" s="4303"/>
      <c r="AZ1015" s="4303"/>
      <c r="BA1015" s="4303"/>
      <c r="BB1015" s="4303"/>
      <c r="BC1015" s="4303"/>
      <c r="BD1015" s="4303"/>
      <c r="BE1015" s="4303"/>
      <c r="BF1015" s="4303"/>
      <c r="BG1015" s="4303"/>
      <c r="BH1015" s="4303"/>
      <c r="BI1015" s="4303"/>
      <c r="BJ1015" s="4303"/>
      <c r="BK1015" s="4303"/>
      <c r="BL1015" s="4303"/>
      <c r="BM1015" s="4303"/>
      <c r="BN1015" s="4303"/>
      <c r="BO1015" s="4303"/>
      <c r="BP1015" s="4303"/>
      <c r="BQ1015" s="4303"/>
      <c r="BR1015" s="4303"/>
      <c r="BS1015" s="4303"/>
      <c r="BT1015" s="4303"/>
      <c r="BU1015" s="4303"/>
      <c r="BV1015" s="4303"/>
      <c r="BW1015" s="4303"/>
      <c r="BX1015" s="4303"/>
      <c r="BY1015" s="4303"/>
      <c r="BZ1015" s="4303"/>
      <c r="CA1015" s="4303"/>
      <c r="CB1015" s="4303"/>
      <c r="CC1015" s="4303"/>
      <c r="CD1015" s="4303"/>
      <c r="CE1015" s="4303"/>
      <c r="CF1015" s="4303"/>
      <c r="CG1015" s="4303"/>
      <c r="CH1015" s="4303"/>
      <c r="CI1015" s="4303"/>
      <c r="CJ1015" s="4303"/>
      <c r="CK1015" s="4303"/>
      <c r="CL1015" s="4303"/>
      <c r="CM1015" s="4303"/>
      <c r="CN1015" s="4303"/>
      <c r="CO1015" s="4303"/>
      <c r="CP1015" s="4303"/>
      <c r="CQ1015" s="4303"/>
      <c r="CR1015" s="4303"/>
      <c r="CS1015" s="4303"/>
      <c r="CT1015" s="4303"/>
      <c r="CU1015" s="4303"/>
      <c r="CV1015" s="4303"/>
      <c r="CW1015" s="4303"/>
      <c r="CX1015" s="4303"/>
      <c r="CY1015" s="4303"/>
      <c r="CZ1015" s="4303"/>
      <c r="DA1015" s="4303"/>
      <c r="DB1015" s="4303"/>
      <c r="DC1015" s="4303"/>
      <c r="DD1015" s="4303"/>
      <c r="DE1015" s="4303"/>
      <c r="DF1015" s="4303"/>
      <c r="DG1015" s="4303"/>
      <c r="DH1015" s="4303"/>
      <c r="DI1015" s="4303"/>
      <c r="DJ1015" s="4303"/>
      <c r="DK1015" s="4303"/>
      <c r="DL1015" s="4303"/>
      <c r="DM1015" s="4303"/>
      <c r="DN1015" s="4303"/>
      <c r="DO1015" s="4303"/>
      <c r="DP1015" s="4303"/>
      <c r="DQ1015" s="4303"/>
      <c r="DR1015" s="4303"/>
      <c r="DS1015" s="4303"/>
    </row>
    <row r="1016" s="4134" customFormat="1" ht="17.25" customHeight="1" spans="1:123">
      <c r="A1016" s="4907" t="s">
        <v>5727</v>
      </c>
      <c r="B1016" s="4908"/>
      <c r="C1016" s="4908"/>
      <c r="D1016" s="4908"/>
      <c r="E1016" s="4909"/>
      <c r="F1016" s="4910"/>
      <c r="G1016" s="4911"/>
      <c r="H1016" s="4905"/>
      <c r="I1016" s="4317"/>
      <c r="J1016" s="4317"/>
      <c r="K1016" s="4317"/>
      <c r="L1016" s="4317"/>
      <c r="M1016" s="4317"/>
      <c r="N1016" s="4906"/>
      <c r="O1016" s="4896"/>
      <c r="P1016" s="4896"/>
      <c r="Q1016" s="4896"/>
      <c r="R1016" s="4896"/>
      <c r="S1016" s="4896"/>
      <c r="T1016" s="4896"/>
      <c r="U1016" s="4896"/>
      <c r="V1016" s="4697">
        <v>412</v>
      </c>
      <c r="W1016" s="4697"/>
      <c r="X1016" s="4303"/>
      <c r="Y1016" s="4303"/>
      <c r="Z1016" s="4912" t="s">
        <v>5729</v>
      </c>
      <c r="AA1016" s="4859"/>
      <c r="AB1016" s="4859"/>
      <c r="AC1016" s="4859"/>
      <c r="AD1016" s="4859"/>
      <c r="AE1016" s="4859"/>
      <c r="AF1016" s="4859"/>
      <c r="AG1016" s="4859"/>
      <c r="AH1016" s="4859"/>
      <c r="AI1016" s="4859"/>
      <c r="AJ1016" s="4859"/>
      <c r="AK1016" s="4859"/>
      <c r="AL1016" s="4859"/>
      <c r="AM1016" s="4859"/>
      <c r="AN1016" s="4859"/>
      <c r="AO1016" s="4859"/>
      <c r="AP1016" s="4859"/>
      <c r="AQ1016" s="4859"/>
      <c r="AR1016" s="4859"/>
      <c r="AS1016" s="4859"/>
      <c r="AT1016" s="4859"/>
      <c r="AU1016" s="4859"/>
      <c r="AV1016" s="4859"/>
      <c r="AW1016" s="4303"/>
      <c r="AX1016" s="4303"/>
      <c r="AY1016" s="4303"/>
      <c r="AZ1016" s="4303"/>
      <c r="BA1016" s="4303"/>
      <c r="BB1016" s="4303"/>
      <c r="BC1016" s="4303"/>
      <c r="BD1016" s="4303"/>
      <c r="BE1016" s="4303"/>
      <c r="BF1016" s="4303"/>
      <c r="BG1016" s="4303"/>
      <c r="BH1016" s="4303"/>
      <c r="BI1016" s="4303"/>
      <c r="BJ1016" s="4303"/>
      <c r="BK1016" s="4303"/>
      <c r="BL1016" s="4303"/>
      <c r="BM1016" s="4303"/>
      <c r="BN1016" s="4303"/>
      <c r="BO1016" s="4303"/>
      <c r="BP1016" s="4303"/>
      <c r="BQ1016" s="4303"/>
      <c r="BR1016" s="4303"/>
      <c r="BS1016" s="4303"/>
      <c r="BT1016" s="4303"/>
      <c r="BU1016" s="4303"/>
      <c r="BV1016" s="4303"/>
      <c r="BW1016" s="4303"/>
      <c r="BX1016" s="4303"/>
      <c r="BY1016" s="4303"/>
      <c r="BZ1016" s="4303"/>
      <c r="CA1016" s="4303"/>
      <c r="CB1016" s="4303"/>
      <c r="CC1016" s="4303"/>
      <c r="CD1016" s="4303"/>
      <c r="CE1016" s="4303"/>
      <c r="CF1016" s="4303"/>
      <c r="CG1016" s="4303"/>
      <c r="CH1016" s="4303"/>
      <c r="CI1016" s="4303"/>
      <c r="CJ1016" s="4303"/>
      <c r="CK1016" s="4303"/>
      <c r="CL1016" s="4303"/>
      <c r="CM1016" s="4303"/>
      <c r="CN1016" s="4303"/>
      <c r="CO1016" s="4303"/>
      <c r="CP1016" s="4303"/>
      <c r="CQ1016" s="4303"/>
      <c r="CR1016" s="4303"/>
      <c r="CS1016" s="4303"/>
      <c r="CT1016" s="4303"/>
      <c r="CU1016" s="4303"/>
      <c r="CV1016" s="4303"/>
      <c r="CW1016" s="4303"/>
      <c r="CX1016" s="4303"/>
      <c r="CY1016" s="4303"/>
      <c r="CZ1016" s="4303"/>
      <c r="DA1016" s="4303"/>
      <c r="DB1016" s="4303"/>
      <c r="DC1016" s="4303"/>
      <c r="DD1016" s="4303"/>
      <c r="DE1016" s="4303"/>
      <c r="DF1016" s="4303"/>
      <c r="DG1016" s="4303"/>
      <c r="DH1016" s="4303"/>
      <c r="DI1016" s="4303"/>
      <c r="DJ1016" s="4303"/>
      <c r="DK1016" s="4303"/>
      <c r="DL1016" s="4303"/>
      <c r="DM1016" s="4303"/>
      <c r="DN1016" s="4303"/>
      <c r="DO1016" s="4303"/>
      <c r="DP1016" s="4303"/>
      <c r="DQ1016" s="4303"/>
      <c r="DR1016" s="4303"/>
      <c r="DS1016" s="4303"/>
    </row>
    <row r="1017" s="4134" customFormat="1" ht="17.25" customHeight="1" spans="1:123">
      <c r="A1017" s="4907" t="s">
        <v>5727</v>
      </c>
      <c r="B1017" s="4908"/>
      <c r="C1017" s="4908"/>
      <c r="D1017" s="4908"/>
      <c r="E1017" s="4909"/>
      <c r="F1017" s="4910"/>
      <c r="G1017" s="4911"/>
      <c r="H1017" s="4905"/>
      <c r="I1017" s="4317"/>
      <c r="J1017" s="4317"/>
      <c r="K1017" s="4317"/>
      <c r="L1017" s="4317"/>
      <c r="M1017" s="4317"/>
      <c r="N1017" s="4906"/>
      <c r="O1017" s="4896"/>
      <c r="P1017" s="4896"/>
      <c r="Q1017" s="4896"/>
      <c r="R1017" s="4896"/>
      <c r="S1017" s="4896"/>
      <c r="T1017" s="4896"/>
      <c r="U1017" s="4896"/>
      <c r="V1017" s="4697">
        <v>414</v>
      </c>
      <c r="W1017" s="4697"/>
      <c r="X1017" s="4303"/>
      <c r="Y1017" s="4303"/>
      <c r="Z1017" s="4912" t="s">
        <v>5730</v>
      </c>
      <c r="AA1017" s="4859"/>
      <c r="AB1017" s="4859"/>
      <c r="AC1017" s="4859"/>
      <c r="AD1017" s="4859"/>
      <c r="AE1017" s="4859"/>
      <c r="AF1017" s="4859"/>
      <c r="AG1017" s="4859"/>
      <c r="AH1017" s="4859"/>
      <c r="AI1017" s="4859"/>
      <c r="AJ1017" s="4859"/>
      <c r="AK1017" s="4859"/>
      <c r="AL1017" s="4859"/>
      <c r="AM1017" s="4859"/>
      <c r="AN1017" s="4859"/>
      <c r="AO1017" s="4859"/>
      <c r="AP1017" s="4859"/>
      <c r="AQ1017" s="4859"/>
      <c r="AR1017" s="4859"/>
      <c r="AS1017" s="4859"/>
      <c r="AT1017" s="4859"/>
      <c r="AU1017" s="4859"/>
      <c r="AV1017" s="4859"/>
      <c r="AW1017" s="4303"/>
      <c r="AX1017" s="4303"/>
      <c r="AY1017" s="4303"/>
      <c r="AZ1017" s="4303"/>
      <c r="BA1017" s="4303"/>
      <c r="BB1017" s="4303"/>
      <c r="BC1017" s="4303"/>
      <c r="BD1017" s="4303"/>
      <c r="BE1017" s="4303"/>
      <c r="BF1017" s="4303"/>
      <c r="BG1017" s="4303"/>
      <c r="BH1017" s="4303"/>
      <c r="BI1017" s="4303"/>
      <c r="BJ1017" s="4303"/>
      <c r="BK1017" s="4303"/>
      <c r="BL1017" s="4303"/>
      <c r="BM1017" s="4303"/>
      <c r="BN1017" s="4303"/>
      <c r="BO1017" s="4303"/>
      <c r="BP1017" s="4303"/>
      <c r="BQ1017" s="4303"/>
      <c r="BR1017" s="4303"/>
      <c r="BS1017" s="4303"/>
      <c r="BT1017" s="4303"/>
      <c r="BU1017" s="4303"/>
      <c r="BV1017" s="4303"/>
      <c r="BW1017" s="4303"/>
      <c r="BX1017" s="4303"/>
      <c r="BY1017" s="4303"/>
      <c r="BZ1017" s="4303"/>
      <c r="CA1017" s="4303"/>
      <c r="CB1017" s="4303"/>
      <c r="CC1017" s="4303"/>
      <c r="CD1017" s="4303"/>
      <c r="CE1017" s="4303"/>
      <c r="CF1017" s="4303"/>
      <c r="CG1017" s="4303"/>
      <c r="CH1017" s="4303"/>
      <c r="CI1017" s="4303"/>
      <c r="CJ1017" s="4303"/>
      <c r="CK1017" s="4303"/>
      <c r="CL1017" s="4303"/>
      <c r="CM1017" s="4303"/>
      <c r="CN1017" s="4303"/>
      <c r="CO1017" s="4303"/>
      <c r="CP1017" s="4303"/>
      <c r="CQ1017" s="4303"/>
      <c r="CR1017" s="4303"/>
      <c r="CS1017" s="4303"/>
      <c r="CT1017" s="4303"/>
      <c r="CU1017" s="4303"/>
      <c r="CV1017" s="4303"/>
      <c r="CW1017" s="4303"/>
      <c r="CX1017" s="4303"/>
      <c r="CY1017" s="4303"/>
      <c r="CZ1017" s="4303"/>
      <c r="DA1017" s="4303"/>
      <c r="DB1017" s="4303"/>
      <c r="DC1017" s="4303"/>
      <c r="DD1017" s="4303"/>
      <c r="DE1017" s="4303"/>
      <c r="DF1017" s="4303"/>
      <c r="DG1017" s="4303"/>
      <c r="DH1017" s="4303"/>
      <c r="DI1017" s="4303"/>
      <c r="DJ1017" s="4303"/>
      <c r="DK1017" s="4303"/>
      <c r="DL1017" s="4303"/>
      <c r="DM1017" s="4303"/>
      <c r="DN1017" s="4303"/>
      <c r="DO1017" s="4303"/>
      <c r="DP1017" s="4303"/>
      <c r="DQ1017" s="4303"/>
      <c r="DR1017" s="4303"/>
      <c r="DS1017" s="4303"/>
    </row>
    <row r="1018" s="4134" customFormat="1" ht="17.25" customHeight="1" spans="1:123">
      <c r="A1018" s="4907" t="s">
        <v>5727</v>
      </c>
      <c r="B1018" s="4908"/>
      <c r="C1018" s="4908"/>
      <c r="D1018" s="4908"/>
      <c r="E1018" s="4909"/>
      <c r="F1018" s="4910"/>
      <c r="G1018" s="4911"/>
      <c r="H1018" s="4905"/>
      <c r="I1018" s="4317"/>
      <c r="J1018" s="4317"/>
      <c r="K1018" s="4317"/>
      <c r="L1018" s="4317"/>
      <c r="M1018" s="4317"/>
      <c r="N1018" s="4906"/>
      <c r="O1018" s="4896"/>
      <c r="P1018" s="4896"/>
      <c r="Q1018" s="4896"/>
      <c r="R1018" s="4896"/>
      <c r="S1018" s="4896"/>
      <c r="T1018" s="4896"/>
      <c r="U1018" s="4896"/>
      <c r="V1018" s="4697">
        <v>416</v>
      </c>
      <c r="W1018" s="4697"/>
      <c r="X1018" s="4303"/>
      <c r="Y1018" s="4303"/>
      <c r="Z1018" s="4912" t="s">
        <v>5731</v>
      </c>
      <c r="AA1018" s="4859"/>
      <c r="AB1018" s="4859"/>
      <c r="AC1018" s="4859"/>
      <c r="AD1018" s="4859"/>
      <c r="AE1018" s="4859"/>
      <c r="AF1018" s="4859"/>
      <c r="AG1018" s="4859"/>
      <c r="AH1018" s="4859"/>
      <c r="AI1018" s="4859"/>
      <c r="AJ1018" s="4859"/>
      <c r="AK1018" s="4859"/>
      <c r="AL1018" s="4859"/>
      <c r="AM1018" s="4859"/>
      <c r="AN1018" s="4859"/>
      <c r="AO1018" s="4859"/>
      <c r="AP1018" s="4859"/>
      <c r="AQ1018" s="4859"/>
      <c r="AR1018" s="4859"/>
      <c r="AS1018" s="4859"/>
      <c r="AT1018" s="4859"/>
      <c r="AU1018" s="4859"/>
      <c r="AV1018" s="4859"/>
      <c r="AW1018" s="4303"/>
      <c r="AX1018" s="4303"/>
      <c r="AY1018" s="4303"/>
      <c r="AZ1018" s="4303"/>
      <c r="BA1018" s="4303"/>
      <c r="BB1018" s="4303"/>
      <c r="BC1018" s="4303"/>
      <c r="BD1018" s="4303"/>
      <c r="BE1018" s="4303"/>
      <c r="BF1018" s="4303"/>
      <c r="BG1018" s="4303"/>
      <c r="BH1018" s="4303"/>
      <c r="BI1018" s="4303"/>
      <c r="BJ1018" s="4303"/>
      <c r="BK1018" s="4303"/>
      <c r="BL1018" s="4303"/>
      <c r="BM1018" s="4303"/>
      <c r="BN1018" s="4303"/>
      <c r="BO1018" s="4303"/>
      <c r="BP1018" s="4303"/>
      <c r="BQ1018" s="4303"/>
      <c r="BR1018" s="4303"/>
      <c r="BS1018" s="4303"/>
      <c r="BT1018" s="4303"/>
      <c r="BU1018" s="4303"/>
      <c r="BV1018" s="4303"/>
      <c r="BW1018" s="4303"/>
      <c r="BX1018" s="4303"/>
      <c r="BY1018" s="4303"/>
      <c r="BZ1018" s="4303"/>
      <c r="CA1018" s="4303"/>
      <c r="CB1018" s="4303"/>
      <c r="CC1018" s="4303"/>
      <c r="CD1018" s="4303"/>
      <c r="CE1018" s="4303"/>
      <c r="CF1018" s="4303"/>
      <c r="CG1018" s="4303"/>
      <c r="CH1018" s="4303"/>
      <c r="CI1018" s="4303"/>
      <c r="CJ1018" s="4303"/>
      <c r="CK1018" s="4303"/>
      <c r="CL1018" s="4303"/>
      <c r="CM1018" s="4303"/>
      <c r="CN1018" s="4303"/>
      <c r="CO1018" s="4303"/>
      <c r="CP1018" s="4303"/>
      <c r="CQ1018" s="4303"/>
      <c r="CR1018" s="4303"/>
      <c r="CS1018" s="4303"/>
      <c r="CT1018" s="4303"/>
      <c r="CU1018" s="4303"/>
      <c r="CV1018" s="4303"/>
      <c r="CW1018" s="4303"/>
      <c r="CX1018" s="4303"/>
      <c r="CY1018" s="4303"/>
      <c r="CZ1018" s="4303"/>
      <c r="DA1018" s="4303"/>
      <c r="DB1018" s="4303"/>
      <c r="DC1018" s="4303"/>
      <c r="DD1018" s="4303"/>
      <c r="DE1018" s="4303"/>
      <c r="DF1018" s="4303"/>
      <c r="DG1018" s="4303"/>
      <c r="DH1018" s="4303"/>
      <c r="DI1018" s="4303"/>
      <c r="DJ1018" s="4303"/>
      <c r="DK1018" s="4303"/>
      <c r="DL1018" s="4303"/>
      <c r="DM1018" s="4303"/>
      <c r="DN1018" s="4303"/>
      <c r="DO1018" s="4303"/>
      <c r="DP1018" s="4303"/>
      <c r="DQ1018" s="4303"/>
      <c r="DR1018" s="4303"/>
      <c r="DS1018" s="4303"/>
    </row>
    <row r="1019" s="4134" customFormat="1" ht="17.25" customHeight="1" spans="1:123">
      <c r="A1019" s="4907" t="s">
        <v>5727</v>
      </c>
      <c r="B1019" s="4908"/>
      <c r="C1019" s="4908"/>
      <c r="D1019" s="4908"/>
      <c r="E1019" s="4909"/>
      <c r="F1019" s="4910"/>
      <c r="G1019" s="4911"/>
      <c r="H1019" s="4913"/>
      <c r="I1019" s="4914"/>
      <c r="J1019" s="4914"/>
      <c r="K1019" s="4914"/>
      <c r="L1019" s="4914"/>
      <c r="M1019" s="4914"/>
      <c r="N1019" s="4915"/>
      <c r="O1019" s="4896"/>
      <c r="P1019" s="4896"/>
      <c r="Q1019" s="4896"/>
      <c r="R1019" s="4896"/>
      <c r="S1019" s="4896"/>
      <c r="T1019" s="4896"/>
      <c r="U1019" s="4896"/>
      <c r="V1019" s="4697">
        <v>417</v>
      </c>
      <c r="W1019" s="4697"/>
      <c r="X1019" s="4303"/>
      <c r="Y1019" s="4303"/>
      <c r="Z1019" s="4912" t="s">
        <v>5732</v>
      </c>
      <c r="AA1019" s="4859"/>
      <c r="AB1019" s="4859"/>
      <c r="AC1019" s="4859"/>
      <c r="AD1019" s="4859"/>
      <c r="AE1019" s="4859"/>
      <c r="AF1019" s="4859"/>
      <c r="AG1019" s="4859"/>
      <c r="AH1019" s="4859"/>
      <c r="AI1019" s="4859"/>
      <c r="AJ1019" s="4859"/>
      <c r="AK1019" s="4859"/>
      <c r="AL1019" s="4859"/>
      <c r="AM1019" s="4859"/>
      <c r="AN1019" s="4859"/>
      <c r="AO1019" s="4859"/>
      <c r="AP1019" s="4859"/>
      <c r="AQ1019" s="4859"/>
      <c r="AR1019" s="4859"/>
      <c r="AS1019" s="4859"/>
      <c r="AT1019" s="4859"/>
      <c r="AU1019" s="4859"/>
      <c r="AV1019" s="4859"/>
      <c r="AW1019" s="4303"/>
      <c r="AX1019" s="4303"/>
      <c r="AY1019" s="4303"/>
      <c r="AZ1019" s="4303"/>
      <c r="BA1019" s="4303"/>
      <c r="BB1019" s="4303"/>
      <c r="BC1019" s="4303"/>
      <c r="BD1019" s="4303"/>
      <c r="BE1019" s="4303"/>
      <c r="BF1019" s="4303"/>
      <c r="BG1019" s="4303"/>
      <c r="BH1019" s="4303"/>
      <c r="BI1019" s="4303"/>
      <c r="BJ1019" s="4303"/>
      <c r="BK1019" s="4303"/>
      <c r="BL1019" s="4303"/>
      <c r="BM1019" s="4303"/>
      <c r="BN1019" s="4303"/>
      <c r="BO1019" s="4303"/>
      <c r="BP1019" s="4303"/>
      <c r="BQ1019" s="4303"/>
      <c r="BR1019" s="4303"/>
      <c r="BS1019" s="4303"/>
      <c r="BT1019" s="4303"/>
      <c r="BU1019" s="4303"/>
      <c r="BV1019" s="4303"/>
      <c r="BW1019" s="4303"/>
      <c r="BX1019" s="4303"/>
      <c r="BY1019" s="4303"/>
      <c r="BZ1019" s="4303"/>
      <c r="CA1019" s="4303"/>
      <c r="CB1019" s="4303"/>
      <c r="CC1019" s="4303"/>
      <c r="CD1019" s="4303"/>
      <c r="CE1019" s="4303"/>
      <c r="CF1019" s="4303"/>
      <c r="CG1019" s="4303"/>
      <c r="CH1019" s="4303"/>
      <c r="CI1019" s="4303"/>
      <c r="CJ1019" s="4303"/>
      <c r="CK1019" s="4303"/>
      <c r="CL1019" s="4303"/>
      <c r="CM1019" s="4303"/>
      <c r="CN1019" s="4303"/>
      <c r="CO1019" s="4303"/>
      <c r="CP1019" s="4303"/>
      <c r="CQ1019" s="4303"/>
      <c r="CR1019" s="4303"/>
      <c r="CS1019" s="4303"/>
      <c r="CT1019" s="4303"/>
      <c r="CU1019" s="4303"/>
      <c r="CV1019" s="4303"/>
      <c r="CW1019" s="4303"/>
      <c r="CX1019" s="4303"/>
      <c r="CY1019" s="4303"/>
      <c r="CZ1019" s="4303"/>
      <c r="DA1019" s="4303"/>
      <c r="DB1019" s="4303"/>
      <c r="DC1019" s="4303"/>
      <c r="DD1019" s="4303"/>
      <c r="DE1019" s="4303"/>
      <c r="DF1019" s="4303"/>
      <c r="DG1019" s="4303"/>
      <c r="DH1019" s="4303"/>
      <c r="DI1019" s="4303"/>
      <c r="DJ1019" s="4303"/>
      <c r="DK1019" s="4303"/>
      <c r="DL1019" s="4303"/>
      <c r="DM1019" s="4303"/>
      <c r="DN1019" s="4303"/>
      <c r="DO1019" s="4303"/>
      <c r="DP1019" s="4303"/>
      <c r="DQ1019" s="4303"/>
      <c r="DR1019" s="4303"/>
      <c r="DS1019" s="4303"/>
    </row>
    <row r="1020" s="4134" customFormat="1" ht="17.25" customHeight="1" spans="1:123">
      <c r="A1020" s="4902" t="s">
        <v>5362</v>
      </c>
      <c r="B1020" s="4916"/>
      <c r="C1020" s="4916"/>
      <c r="D1020" s="4916"/>
      <c r="E1020" s="4917"/>
      <c r="F1020" s="4894">
        <v>434</v>
      </c>
      <c r="G1020" s="4697"/>
      <c r="H1020" s="4895"/>
      <c r="I1020" s="4895"/>
      <c r="J1020" s="4895"/>
      <c r="K1020" s="4895"/>
      <c r="L1020" s="4895"/>
      <c r="M1020" s="4895"/>
      <c r="N1020" s="4895"/>
      <c r="O1020" s="4896"/>
      <c r="P1020" s="4896"/>
      <c r="Q1020" s="4896"/>
      <c r="R1020" s="4896"/>
      <c r="S1020" s="4896"/>
      <c r="T1020" s="4896"/>
      <c r="U1020" s="4896"/>
      <c r="V1020" s="4697">
        <v>435</v>
      </c>
      <c r="W1020" s="4697"/>
      <c r="X1020" s="4303"/>
      <c r="Y1020" s="4303"/>
      <c r="Z1020" s="4311" t="s">
        <v>5363</v>
      </c>
      <c r="AA1020" s="4303"/>
      <c r="AB1020" s="4303"/>
      <c r="AC1020" s="4303"/>
      <c r="AD1020" s="4303"/>
      <c r="AE1020" s="4303"/>
      <c r="AF1020" s="4303"/>
      <c r="AG1020" s="4303"/>
      <c r="AH1020" s="4303"/>
      <c r="AI1020" s="4303"/>
      <c r="AJ1020" s="4303"/>
      <c r="AK1020" s="4303"/>
      <c r="AL1020" s="4303"/>
      <c r="AM1020" s="4303"/>
      <c r="AN1020" s="4303"/>
      <c r="AO1020" s="4303"/>
      <c r="AP1020" s="4303"/>
      <c r="AQ1020" s="4303"/>
      <c r="AR1020" s="4303"/>
      <c r="AS1020" s="4303"/>
      <c r="AT1020" s="4303"/>
      <c r="AU1020" s="4303"/>
      <c r="AV1020" s="4303"/>
      <c r="AW1020" s="4303"/>
      <c r="AX1020" s="4303"/>
      <c r="AY1020" s="4303"/>
      <c r="AZ1020" s="4303"/>
      <c r="BA1020" s="4303"/>
      <c r="BB1020" s="4303"/>
      <c r="BC1020" s="4303"/>
      <c r="BD1020" s="4303"/>
      <c r="BE1020" s="4303"/>
      <c r="BF1020" s="4303"/>
      <c r="BG1020" s="4303"/>
      <c r="BH1020" s="4303"/>
      <c r="BI1020" s="4303"/>
      <c r="BJ1020" s="4303"/>
      <c r="BK1020" s="4303"/>
      <c r="BL1020" s="4303"/>
      <c r="BM1020" s="4303"/>
      <c r="BN1020" s="4303"/>
      <c r="BO1020" s="4303"/>
      <c r="BP1020" s="4303"/>
      <c r="BQ1020" s="4303"/>
      <c r="BR1020" s="4303"/>
      <c r="BS1020" s="4303"/>
      <c r="BT1020" s="4303"/>
      <c r="BU1020" s="4303"/>
      <c r="BV1020" s="4303"/>
      <c r="BW1020" s="4303"/>
      <c r="BX1020" s="4303"/>
      <c r="BY1020" s="4303"/>
      <c r="BZ1020" s="4303"/>
      <c r="CA1020" s="4303"/>
      <c r="CB1020" s="4303"/>
      <c r="CC1020" s="4303"/>
      <c r="CD1020" s="4303"/>
      <c r="CE1020" s="4303"/>
      <c r="CF1020" s="4303"/>
      <c r="CG1020" s="4303"/>
      <c r="CH1020" s="4303"/>
      <c r="CI1020" s="4303"/>
      <c r="CJ1020" s="4303"/>
      <c r="CK1020" s="4303"/>
      <c r="CL1020" s="4303"/>
      <c r="CM1020" s="4303"/>
      <c r="CN1020" s="4303"/>
      <c r="CO1020" s="4303"/>
      <c r="CP1020" s="4303"/>
      <c r="CQ1020" s="4303"/>
      <c r="CR1020" s="4303"/>
      <c r="CS1020" s="4303"/>
      <c r="CT1020" s="4303"/>
      <c r="CU1020" s="4303"/>
      <c r="CV1020" s="4303"/>
      <c r="CW1020" s="4303"/>
      <c r="CX1020" s="4303"/>
      <c r="CY1020" s="4303"/>
      <c r="CZ1020" s="4303"/>
      <c r="DA1020" s="4303"/>
      <c r="DB1020" s="4303"/>
      <c r="DC1020" s="4303"/>
      <c r="DD1020" s="4303"/>
      <c r="DE1020" s="4303"/>
      <c r="DF1020" s="4303"/>
      <c r="DG1020" s="4303"/>
      <c r="DH1020" s="4303"/>
      <c r="DI1020" s="4303"/>
      <c r="DJ1020" s="4303"/>
      <c r="DK1020" s="4303"/>
      <c r="DL1020" s="4303"/>
      <c r="DM1020" s="4303"/>
      <c r="DN1020" s="4303"/>
      <c r="DO1020" s="4303"/>
      <c r="DP1020" s="4303"/>
      <c r="DQ1020" s="4303"/>
      <c r="DR1020" s="4303"/>
      <c r="DS1020" s="4303"/>
    </row>
    <row r="1021" s="4134" customFormat="1" ht="17.25" customHeight="1" spans="1:123">
      <c r="A1021" s="4902" t="s">
        <v>5364</v>
      </c>
      <c r="B1021" s="4916"/>
      <c r="C1021" s="4916"/>
      <c r="D1021" s="4916"/>
      <c r="E1021" s="4917"/>
      <c r="F1021" s="4894">
        <v>436</v>
      </c>
      <c r="G1021" s="4697"/>
      <c r="H1021" s="4895"/>
      <c r="I1021" s="4895"/>
      <c r="J1021" s="4895"/>
      <c r="K1021" s="4895"/>
      <c r="L1021" s="4895"/>
      <c r="M1021" s="4895"/>
      <c r="N1021" s="4895"/>
      <c r="O1021" s="4896"/>
      <c r="P1021" s="4896"/>
      <c r="Q1021" s="4896"/>
      <c r="R1021" s="4896"/>
      <c r="S1021" s="4896"/>
      <c r="T1021" s="4896"/>
      <c r="U1021" s="4896"/>
      <c r="V1021" s="4697">
        <v>437</v>
      </c>
      <c r="W1021" s="4697"/>
      <c r="X1021" s="4303"/>
      <c r="Y1021" s="4303"/>
      <c r="Z1021" s="4311" t="s">
        <v>5365</v>
      </c>
      <c r="AA1021" s="4303"/>
      <c r="AB1021" s="4303"/>
      <c r="AC1021" s="4303"/>
      <c r="AD1021" s="4303"/>
      <c r="AE1021" s="4303"/>
      <c r="AF1021" s="4303"/>
      <c r="AG1021" s="4303"/>
      <c r="AH1021" s="4303"/>
      <c r="AI1021" s="4303"/>
      <c r="AJ1021" s="4303"/>
      <c r="AK1021" s="4303"/>
      <c r="AL1021" s="4303"/>
      <c r="AM1021" s="4303"/>
      <c r="AN1021" s="4303"/>
      <c r="AO1021" s="4303"/>
      <c r="AP1021" s="4303"/>
      <c r="AQ1021" s="4303"/>
      <c r="AR1021" s="4303"/>
      <c r="AS1021" s="4303"/>
      <c r="AT1021" s="4303"/>
      <c r="AU1021" s="4303"/>
      <c r="AV1021" s="4303"/>
      <c r="AW1021" s="4303"/>
      <c r="AX1021" s="4303"/>
      <c r="AY1021" s="4303"/>
      <c r="AZ1021" s="4303"/>
      <c r="BA1021" s="4303"/>
      <c r="BB1021" s="4303"/>
      <c r="BC1021" s="4303"/>
      <c r="BD1021" s="4303"/>
      <c r="BE1021" s="4303"/>
      <c r="BF1021" s="4303"/>
      <c r="BG1021" s="4303"/>
      <c r="BH1021" s="4303"/>
      <c r="BI1021" s="4303"/>
      <c r="BJ1021" s="4303"/>
      <c r="BK1021" s="4303"/>
      <c r="BL1021" s="4303"/>
      <c r="BM1021" s="4303"/>
      <c r="BN1021" s="4303"/>
      <c r="BO1021" s="4303"/>
      <c r="BP1021" s="4303"/>
      <c r="BQ1021" s="4303"/>
      <c r="BR1021" s="4303"/>
      <c r="BS1021" s="4303"/>
      <c r="BT1021" s="4303"/>
      <c r="BU1021" s="4303"/>
      <c r="BV1021" s="4303"/>
      <c r="BW1021" s="4303"/>
      <c r="BX1021" s="4303"/>
      <c r="BY1021" s="4303"/>
      <c r="BZ1021" s="4303"/>
      <c r="CA1021" s="4303"/>
      <c r="CB1021" s="4303"/>
      <c r="CC1021" s="4303"/>
      <c r="CD1021" s="4303"/>
      <c r="CE1021" s="4303"/>
      <c r="CF1021" s="4303"/>
      <c r="CG1021" s="4303"/>
      <c r="CH1021" s="4303"/>
      <c r="CI1021" s="4303"/>
      <c r="CJ1021" s="4303"/>
      <c r="CK1021" s="4303"/>
      <c r="CL1021" s="4303"/>
      <c r="CM1021" s="4303"/>
      <c r="CN1021" s="4303"/>
      <c r="CO1021" s="4303"/>
      <c r="CP1021" s="4303"/>
      <c r="CQ1021" s="4303"/>
      <c r="CR1021" s="4303"/>
      <c r="CS1021" s="4303"/>
      <c r="CT1021" s="4303"/>
      <c r="CU1021" s="4303"/>
      <c r="CV1021" s="4303"/>
      <c r="CW1021" s="4303"/>
      <c r="CX1021" s="4303"/>
      <c r="CY1021" s="4303"/>
      <c r="CZ1021" s="4303"/>
      <c r="DA1021" s="4303"/>
      <c r="DB1021" s="4303"/>
      <c r="DC1021" s="4303"/>
      <c r="DD1021" s="4303"/>
      <c r="DE1021" s="4303"/>
      <c r="DF1021" s="4303"/>
      <c r="DG1021" s="4303"/>
      <c r="DH1021" s="4303"/>
      <c r="DI1021" s="4303"/>
      <c r="DJ1021" s="4303"/>
      <c r="DK1021" s="4303"/>
      <c r="DL1021" s="4303"/>
      <c r="DM1021" s="4303"/>
      <c r="DN1021" s="4303"/>
      <c r="DO1021" s="4303"/>
      <c r="DP1021" s="4303"/>
      <c r="DQ1021" s="4303"/>
      <c r="DR1021" s="4303"/>
      <c r="DS1021" s="4303"/>
    </row>
    <row r="1022" s="4134" customFormat="1" ht="17.25" customHeight="1" spans="1:123">
      <c r="A1022" s="4902" t="s">
        <v>5367</v>
      </c>
      <c r="B1022" s="4903"/>
      <c r="C1022" s="4903"/>
      <c r="D1022" s="4903"/>
      <c r="E1022" s="4904"/>
      <c r="F1022" s="4894"/>
      <c r="G1022" s="4697"/>
      <c r="H1022" s="4899"/>
      <c r="I1022" s="4900"/>
      <c r="J1022" s="4900"/>
      <c r="K1022" s="4900"/>
      <c r="L1022" s="4900"/>
      <c r="M1022" s="4900"/>
      <c r="N1022" s="4901"/>
      <c r="O1022" s="4896"/>
      <c r="P1022" s="4896"/>
      <c r="Q1022" s="4896"/>
      <c r="R1022" s="4896"/>
      <c r="S1022" s="4896"/>
      <c r="T1022" s="4896"/>
      <c r="U1022" s="4896"/>
      <c r="V1022" s="4697">
        <v>433</v>
      </c>
      <c r="W1022" s="4697"/>
      <c r="X1022" s="4303"/>
      <c r="Y1022" s="4303"/>
      <c r="Z1022" s="4311" t="s">
        <v>5368</v>
      </c>
      <c r="AA1022" s="4303"/>
      <c r="AB1022" s="4303"/>
      <c r="AC1022" s="4303"/>
      <c r="AD1022" s="4303"/>
      <c r="AE1022" s="4303"/>
      <c r="AF1022" s="4303"/>
      <c r="AG1022" s="4303"/>
      <c r="AH1022" s="4303"/>
      <c r="AI1022" s="4303"/>
      <c r="AJ1022" s="4303"/>
      <c r="AK1022" s="4303"/>
      <c r="AL1022" s="4303"/>
      <c r="AM1022" s="4303"/>
      <c r="AN1022" s="4303"/>
      <c r="AO1022" s="4303"/>
      <c r="AP1022" s="4303"/>
      <c r="AQ1022" s="4303"/>
      <c r="AR1022" s="4303"/>
      <c r="AS1022" s="4303"/>
      <c r="AT1022" s="4303"/>
      <c r="AU1022" s="4303"/>
      <c r="AV1022" s="4303"/>
      <c r="AW1022" s="4303"/>
      <c r="AX1022" s="4303"/>
      <c r="AY1022" s="4303"/>
      <c r="AZ1022" s="4303"/>
      <c r="BA1022" s="4303"/>
      <c r="BB1022" s="4303"/>
      <c r="BC1022" s="4303"/>
      <c r="BD1022" s="4303"/>
      <c r="BE1022" s="4303"/>
      <c r="BF1022" s="4303"/>
      <c r="BG1022" s="4303"/>
      <c r="BH1022" s="4303"/>
      <c r="BI1022" s="4303"/>
      <c r="BJ1022" s="4303"/>
      <c r="BK1022" s="4303"/>
      <c r="BL1022" s="4303"/>
      <c r="BM1022" s="4303"/>
      <c r="BN1022" s="4303"/>
      <c r="BO1022" s="4303"/>
      <c r="BP1022" s="4303"/>
      <c r="BQ1022" s="4303"/>
      <c r="BR1022" s="4303"/>
      <c r="BS1022" s="4303"/>
      <c r="BT1022" s="4303"/>
      <c r="BU1022" s="4303"/>
      <c r="BV1022" s="4303"/>
      <c r="BW1022" s="4303"/>
      <c r="BX1022" s="4303"/>
      <c r="BY1022" s="4303"/>
      <c r="BZ1022" s="4303"/>
      <c r="CA1022" s="4303"/>
      <c r="CB1022" s="4303"/>
      <c r="CC1022" s="4303"/>
      <c r="CD1022" s="4303"/>
      <c r="CE1022" s="4303"/>
      <c r="CF1022" s="4303"/>
      <c r="CG1022" s="4303"/>
      <c r="CH1022" s="4303"/>
      <c r="CI1022" s="4303"/>
      <c r="CJ1022" s="4303"/>
      <c r="CK1022" s="4303"/>
      <c r="CL1022" s="4303"/>
      <c r="CM1022" s="4303"/>
      <c r="CN1022" s="4303"/>
      <c r="CO1022" s="4303"/>
      <c r="CP1022" s="4303"/>
      <c r="CQ1022" s="4303"/>
      <c r="CR1022" s="4303"/>
      <c r="CS1022" s="4303"/>
      <c r="CT1022" s="4303"/>
      <c r="CU1022" s="4303"/>
      <c r="CV1022" s="4303"/>
      <c r="CW1022" s="4303"/>
      <c r="CX1022" s="4303"/>
      <c r="CY1022" s="4303"/>
      <c r="CZ1022" s="4303"/>
      <c r="DA1022" s="4303"/>
      <c r="DB1022" s="4303"/>
      <c r="DC1022" s="4303"/>
      <c r="DD1022" s="4303"/>
      <c r="DE1022" s="4303"/>
      <c r="DF1022" s="4303"/>
      <c r="DG1022" s="4303"/>
      <c r="DH1022" s="4303"/>
      <c r="DI1022" s="4303"/>
      <c r="DJ1022" s="4303"/>
      <c r="DK1022" s="4303"/>
      <c r="DL1022" s="4303"/>
      <c r="DM1022" s="4303"/>
      <c r="DN1022" s="4303"/>
      <c r="DO1022" s="4303"/>
      <c r="DP1022" s="4303"/>
      <c r="DQ1022" s="4303"/>
      <c r="DR1022" s="4303"/>
      <c r="DS1022" s="4303"/>
    </row>
    <row r="1023" s="4134" customFormat="1" ht="17.25" customHeight="1" spans="1:123">
      <c r="A1023" s="4886" t="s">
        <v>5369</v>
      </c>
      <c r="B1023" s="4887"/>
      <c r="C1023" s="4887"/>
      <c r="D1023" s="4887"/>
      <c r="E1023" s="4888"/>
      <c r="F1023" s="4894"/>
      <c r="G1023" s="4697"/>
      <c r="H1023" s="4905"/>
      <c r="I1023" s="4317"/>
      <c r="J1023" s="4317"/>
      <c r="K1023" s="4317"/>
      <c r="L1023" s="4317"/>
      <c r="M1023" s="4317"/>
      <c r="N1023" s="4906"/>
      <c r="O1023" s="4896"/>
      <c r="P1023" s="4896"/>
      <c r="Q1023" s="4896"/>
      <c r="R1023" s="4896"/>
      <c r="S1023" s="4896"/>
      <c r="T1023" s="4896"/>
      <c r="U1023" s="4896"/>
      <c r="V1023" s="4697">
        <v>424</v>
      </c>
      <c r="W1023" s="4697"/>
      <c r="X1023" s="4303"/>
      <c r="Y1023" s="4303"/>
      <c r="Z1023" s="4302" t="s">
        <v>5370</v>
      </c>
      <c r="AA1023" s="4303"/>
      <c r="AB1023" s="4303"/>
      <c r="AC1023" s="4303"/>
      <c r="AD1023" s="4303"/>
      <c r="AE1023" s="4303"/>
      <c r="AF1023" s="4303"/>
      <c r="AG1023" s="4303"/>
      <c r="AH1023" s="4303"/>
      <c r="AI1023" s="4303"/>
      <c r="AJ1023" s="4303"/>
      <c r="AK1023" s="4303"/>
      <c r="AL1023" s="4303"/>
      <c r="AM1023" s="4303"/>
      <c r="AN1023" s="4303"/>
      <c r="AO1023" s="4303"/>
      <c r="AP1023" s="4303"/>
      <c r="AQ1023" s="4303"/>
      <c r="AR1023" s="4303"/>
      <c r="AS1023" s="4303"/>
      <c r="AT1023" s="4303"/>
      <c r="AU1023" s="4303"/>
      <c r="AV1023" s="4303"/>
      <c r="AW1023" s="4303"/>
      <c r="AX1023" s="4303"/>
      <c r="AY1023" s="4303"/>
      <c r="AZ1023" s="4303"/>
      <c r="BA1023" s="4303"/>
      <c r="BB1023" s="4303"/>
      <c r="BC1023" s="4303"/>
      <c r="BD1023" s="4303"/>
      <c r="BE1023" s="4303"/>
      <c r="BF1023" s="4303"/>
      <c r="BG1023" s="4303"/>
      <c r="BH1023" s="4303"/>
      <c r="BI1023" s="4303"/>
      <c r="BJ1023" s="4303"/>
      <c r="BK1023" s="4303"/>
      <c r="BL1023" s="4303"/>
      <c r="BM1023" s="4303"/>
      <c r="BN1023" s="4303"/>
      <c r="BO1023" s="4303"/>
      <c r="BP1023" s="4303"/>
      <c r="BQ1023" s="4303"/>
      <c r="BR1023" s="4303"/>
      <c r="BS1023" s="4303"/>
      <c r="BT1023" s="4303"/>
      <c r="BU1023" s="4303"/>
      <c r="BV1023" s="4303"/>
      <c r="BW1023" s="4303"/>
      <c r="BX1023" s="4303"/>
      <c r="BY1023" s="4303"/>
      <c r="BZ1023" s="4303"/>
      <c r="CA1023" s="4303"/>
      <c r="CB1023" s="4303"/>
      <c r="CC1023" s="4303"/>
      <c r="CD1023" s="4303"/>
      <c r="CE1023" s="4303"/>
      <c r="CF1023" s="4303"/>
      <c r="CG1023" s="4303"/>
      <c r="CH1023" s="4303"/>
      <c r="CI1023" s="4303"/>
      <c r="CJ1023" s="4303"/>
      <c r="CK1023" s="4303"/>
      <c r="CL1023" s="4303"/>
      <c r="CM1023" s="4303"/>
      <c r="CN1023" s="4303"/>
      <c r="CO1023" s="4303"/>
      <c r="CP1023" s="4303"/>
      <c r="CQ1023" s="4303"/>
      <c r="CR1023" s="4303"/>
      <c r="CS1023" s="4303"/>
      <c r="CT1023" s="4303"/>
      <c r="CU1023" s="4303"/>
      <c r="CV1023" s="4303"/>
      <c r="CW1023" s="4303"/>
      <c r="CX1023" s="4303"/>
      <c r="CY1023" s="4303"/>
      <c r="CZ1023" s="4303"/>
      <c r="DA1023" s="4303"/>
      <c r="DB1023" s="4303"/>
      <c r="DC1023" s="4303"/>
      <c r="DD1023" s="4303"/>
      <c r="DE1023" s="4303"/>
      <c r="DF1023" s="4303"/>
      <c r="DG1023" s="4303"/>
      <c r="DH1023" s="4303"/>
      <c r="DI1023" s="4303"/>
      <c r="DJ1023" s="4303"/>
      <c r="DK1023" s="4303"/>
      <c r="DL1023" s="4303"/>
      <c r="DM1023" s="4303"/>
      <c r="DN1023" s="4303"/>
      <c r="DO1023" s="4303"/>
      <c r="DP1023" s="4303"/>
      <c r="DQ1023" s="4303"/>
      <c r="DR1023" s="4303"/>
      <c r="DS1023" s="4303"/>
    </row>
    <row r="1024" s="4134" customFormat="1" ht="17.25" customHeight="1" spans="1:123">
      <c r="A1024" s="4886" t="s">
        <v>5371</v>
      </c>
      <c r="B1024" s="4887"/>
      <c r="C1024" s="4887"/>
      <c r="D1024" s="4887"/>
      <c r="E1024" s="4888"/>
      <c r="F1024" s="4894"/>
      <c r="G1024" s="4697"/>
      <c r="H1024" s="4905"/>
      <c r="I1024" s="4317"/>
      <c r="J1024" s="4317"/>
      <c r="K1024" s="4317"/>
      <c r="L1024" s="4317"/>
      <c r="M1024" s="4317"/>
      <c r="N1024" s="4906"/>
      <c r="O1024" s="4896"/>
      <c r="P1024" s="4896"/>
      <c r="Q1024" s="4896"/>
      <c r="R1024" s="4896"/>
      <c r="S1024" s="4896"/>
      <c r="T1024" s="4896"/>
      <c r="U1024" s="4896"/>
      <c r="V1024" s="4697">
        <v>424</v>
      </c>
      <c r="W1024" s="4697"/>
      <c r="X1024" s="4303"/>
      <c r="Y1024" s="4303"/>
      <c r="Z1024" s="4302" t="s">
        <v>5372</v>
      </c>
      <c r="AA1024" s="4303"/>
      <c r="AB1024" s="4303"/>
      <c r="AC1024" s="4303"/>
      <c r="AD1024" s="4303"/>
      <c r="AE1024" s="4303"/>
      <c r="AF1024" s="4303"/>
      <c r="AG1024" s="4303"/>
      <c r="AH1024" s="4303"/>
      <c r="AI1024" s="4303"/>
      <c r="AJ1024" s="4303"/>
      <c r="AK1024" s="4303"/>
      <c r="AL1024" s="4303"/>
      <c r="AM1024" s="4303"/>
      <c r="AN1024" s="4303"/>
      <c r="AO1024" s="4303"/>
      <c r="AP1024" s="4303"/>
      <c r="AQ1024" s="4303"/>
      <c r="AR1024" s="4303"/>
      <c r="AS1024" s="4303"/>
      <c r="AT1024" s="4303"/>
      <c r="AU1024" s="4303"/>
      <c r="AV1024" s="4303"/>
      <c r="AW1024" s="4303"/>
      <c r="AX1024" s="4303"/>
      <c r="AY1024" s="4303"/>
      <c r="AZ1024" s="4303"/>
      <c r="BA1024" s="4303"/>
      <c r="BB1024" s="4303"/>
      <c r="BC1024" s="4303"/>
      <c r="BD1024" s="4303"/>
      <c r="BE1024" s="4303"/>
      <c r="BF1024" s="4303"/>
      <c r="BG1024" s="4303"/>
      <c r="BH1024" s="4303"/>
      <c r="BI1024" s="4303"/>
      <c r="BJ1024" s="4303"/>
      <c r="BK1024" s="4303"/>
      <c r="BL1024" s="4303"/>
      <c r="BM1024" s="4303"/>
      <c r="BN1024" s="4303"/>
      <c r="BO1024" s="4303"/>
      <c r="BP1024" s="4303"/>
      <c r="BQ1024" s="4303"/>
      <c r="BR1024" s="4303"/>
      <c r="BS1024" s="4303"/>
      <c r="BT1024" s="4303"/>
      <c r="BU1024" s="4303"/>
      <c r="BV1024" s="4303"/>
      <c r="BW1024" s="4303"/>
      <c r="BX1024" s="4303"/>
      <c r="BY1024" s="4303"/>
      <c r="BZ1024" s="4303"/>
      <c r="CA1024" s="4303"/>
      <c r="CB1024" s="4303"/>
      <c r="CC1024" s="4303"/>
      <c r="CD1024" s="4303"/>
      <c r="CE1024" s="4303"/>
      <c r="CF1024" s="4303"/>
      <c r="CG1024" s="4303"/>
      <c r="CH1024" s="4303"/>
      <c r="CI1024" s="4303"/>
      <c r="CJ1024" s="4303"/>
      <c r="CK1024" s="4303"/>
      <c r="CL1024" s="4303"/>
      <c r="CM1024" s="4303"/>
      <c r="CN1024" s="4303"/>
      <c r="CO1024" s="4303"/>
      <c r="CP1024" s="4303"/>
      <c r="CQ1024" s="4303"/>
      <c r="CR1024" s="4303"/>
      <c r="CS1024" s="4303"/>
      <c r="CT1024" s="4303"/>
      <c r="CU1024" s="4303"/>
      <c r="CV1024" s="4303"/>
      <c r="CW1024" s="4303"/>
      <c r="CX1024" s="4303"/>
      <c r="CY1024" s="4303"/>
      <c r="CZ1024" s="4303"/>
      <c r="DA1024" s="4303"/>
      <c r="DB1024" s="4303"/>
      <c r="DC1024" s="4303"/>
      <c r="DD1024" s="4303"/>
      <c r="DE1024" s="4303"/>
      <c r="DF1024" s="4303"/>
      <c r="DG1024" s="4303"/>
      <c r="DH1024" s="4303"/>
      <c r="DI1024" s="4303"/>
      <c r="DJ1024" s="4303"/>
      <c r="DK1024" s="4303"/>
      <c r="DL1024" s="4303"/>
      <c r="DM1024" s="4303"/>
      <c r="DN1024" s="4303"/>
      <c r="DO1024" s="4303"/>
      <c r="DP1024" s="4303"/>
      <c r="DQ1024" s="4303"/>
      <c r="DR1024" s="4303"/>
      <c r="DS1024" s="4303"/>
    </row>
    <row r="1025" s="4134" customFormat="1" ht="17.25" customHeight="1" spans="1:123">
      <c r="A1025" s="4886" t="s">
        <v>5373</v>
      </c>
      <c r="B1025" s="4887"/>
      <c r="C1025" s="4887"/>
      <c r="D1025" s="4887"/>
      <c r="E1025" s="4888"/>
      <c r="F1025" s="4894"/>
      <c r="G1025" s="4697"/>
      <c r="H1025" s="4905"/>
      <c r="I1025" s="4317"/>
      <c r="J1025" s="4317"/>
      <c r="K1025" s="4317"/>
      <c r="L1025" s="4317"/>
      <c r="M1025" s="4317"/>
      <c r="N1025" s="4906"/>
      <c r="O1025" s="4896"/>
      <c r="P1025" s="4896"/>
      <c r="Q1025" s="4896"/>
      <c r="R1025" s="4896"/>
      <c r="S1025" s="4896"/>
      <c r="T1025" s="4896"/>
      <c r="U1025" s="4896"/>
      <c r="V1025" s="4697">
        <v>424</v>
      </c>
      <c r="W1025" s="4697"/>
      <c r="X1025" s="4303"/>
      <c r="Y1025" s="4303"/>
      <c r="Z1025" s="4302" t="s">
        <v>5374</v>
      </c>
      <c r="AA1025" s="4303"/>
      <c r="AB1025" s="4303"/>
      <c r="AC1025" s="4303"/>
      <c r="AD1025" s="4303"/>
      <c r="AE1025" s="4303"/>
      <c r="AF1025" s="4303"/>
      <c r="AG1025" s="4303"/>
      <c r="AH1025" s="4303"/>
      <c r="AI1025" s="4303"/>
      <c r="AJ1025" s="4303"/>
      <c r="AK1025" s="4303"/>
      <c r="AL1025" s="4303"/>
      <c r="AM1025" s="4303"/>
      <c r="AN1025" s="4303"/>
      <c r="AO1025" s="4303"/>
      <c r="AP1025" s="4303"/>
      <c r="AQ1025" s="4303"/>
      <c r="AR1025" s="4303"/>
      <c r="AS1025" s="4303"/>
      <c r="AT1025" s="4303"/>
      <c r="AU1025" s="4303"/>
      <c r="AV1025" s="4303"/>
      <c r="AW1025" s="4303"/>
      <c r="AX1025" s="4303"/>
      <c r="AY1025" s="4303"/>
      <c r="AZ1025" s="4303"/>
      <c r="BA1025" s="4303"/>
      <c r="BB1025" s="4303"/>
      <c r="BC1025" s="4303"/>
      <c r="BD1025" s="4303"/>
      <c r="BE1025" s="4303"/>
      <c r="BF1025" s="4303"/>
      <c r="BG1025" s="4303"/>
      <c r="BH1025" s="4303"/>
      <c r="BI1025" s="4303"/>
      <c r="BJ1025" s="4303"/>
      <c r="BK1025" s="4303"/>
      <c r="BL1025" s="4303"/>
      <c r="BM1025" s="4303"/>
      <c r="BN1025" s="4303"/>
      <c r="BO1025" s="4303"/>
      <c r="BP1025" s="4303"/>
      <c r="BQ1025" s="4303"/>
      <c r="BR1025" s="4303"/>
      <c r="BS1025" s="4303"/>
      <c r="BT1025" s="4303"/>
      <c r="BU1025" s="4303"/>
      <c r="BV1025" s="4303"/>
      <c r="BW1025" s="4303"/>
      <c r="BX1025" s="4303"/>
      <c r="BY1025" s="4303"/>
      <c r="BZ1025" s="4303"/>
      <c r="CA1025" s="4303"/>
      <c r="CB1025" s="4303"/>
      <c r="CC1025" s="4303"/>
      <c r="CD1025" s="4303"/>
      <c r="CE1025" s="4303"/>
      <c r="CF1025" s="4303"/>
      <c r="CG1025" s="4303"/>
      <c r="CH1025" s="4303"/>
      <c r="CI1025" s="4303"/>
      <c r="CJ1025" s="4303"/>
      <c r="CK1025" s="4303"/>
      <c r="CL1025" s="4303"/>
      <c r="CM1025" s="4303"/>
      <c r="CN1025" s="4303"/>
      <c r="CO1025" s="4303"/>
      <c r="CP1025" s="4303"/>
      <c r="CQ1025" s="4303"/>
      <c r="CR1025" s="4303"/>
      <c r="CS1025" s="4303"/>
      <c r="CT1025" s="4303"/>
      <c r="CU1025" s="4303"/>
      <c r="CV1025" s="4303"/>
      <c r="CW1025" s="4303"/>
      <c r="CX1025" s="4303"/>
      <c r="CY1025" s="4303"/>
      <c r="CZ1025" s="4303"/>
      <c r="DA1025" s="4303"/>
      <c r="DB1025" s="4303"/>
      <c r="DC1025" s="4303"/>
      <c r="DD1025" s="4303"/>
      <c r="DE1025" s="4303"/>
      <c r="DF1025" s="4303"/>
      <c r="DG1025" s="4303"/>
      <c r="DH1025" s="4303"/>
      <c r="DI1025" s="4303"/>
      <c r="DJ1025" s="4303"/>
      <c r="DK1025" s="4303"/>
      <c r="DL1025" s="4303"/>
      <c r="DM1025" s="4303"/>
      <c r="DN1025" s="4303"/>
      <c r="DO1025" s="4303"/>
      <c r="DP1025" s="4303"/>
      <c r="DQ1025" s="4303"/>
      <c r="DR1025" s="4303"/>
      <c r="DS1025" s="4303"/>
    </row>
    <row r="1026" s="4134" customFormat="1" ht="17.25" customHeight="1" spans="1:123">
      <c r="A1026" s="4886" t="s">
        <v>5375</v>
      </c>
      <c r="B1026" s="4887"/>
      <c r="C1026" s="4887"/>
      <c r="D1026" s="4887"/>
      <c r="E1026" s="4888"/>
      <c r="F1026" s="4894"/>
      <c r="G1026" s="4697"/>
      <c r="H1026" s="4905"/>
      <c r="I1026" s="4317"/>
      <c r="J1026" s="4317"/>
      <c r="K1026" s="4317"/>
      <c r="L1026" s="4317"/>
      <c r="M1026" s="4317"/>
      <c r="N1026" s="4906"/>
      <c r="O1026" s="4896"/>
      <c r="P1026" s="4896"/>
      <c r="Q1026" s="4896"/>
      <c r="R1026" s="4896"/>
      <c r="S1026" s="4896"/>
      <c r="T1026" s="4896"/>
      <c r="U1026" s="4896"/>
      <c r="V1026" s="4697">
        <v>424</v>
      </c>
      <c r="W1026" s="4697"/>
      <c r="X1026" s="4303"/>
      <c r="Y1026" s="4303"/>
      <c r="Z1026" s="4302" t="s">
        <v>5376</v>
      </c>
      <c r="AA1026" s="4303"/>
      <c r="AB1026" s="4303"/>
      <c r="AC1026" s="4303"/>
      <c r="AD1026" s="4303"/>
      <c r="AE1026" s="4303"/>
      <c r="AF1026" s="4303"/>
      <c r="AG1026" s="4303"/>
      <c r="AH1026" s="4303"/>
      <c r="AI1026" s="4303"/>
      <c r="AJ1026" s="4303"/>
      <c r="AK1026" s="4303"/>
      <c r="AL1026" s="4303"/>
      <c r="AM1026" s="4303"/>
      <c r="AN1026" s="4303"/>
      <c r="AO1026" s="4303"/>
      <c r="AP1026" s="4303"/>
      <c r="AQ1026" s="4303"/>
      <c r="AR1026" s="4303"/>
      <c r="AS1026" s="4303"/>
      <c r="AT1026" s="4303"/>
      <c r="AU1026" s="4303"/>
      <c r="AV1026" s="4303"/>
      <c r="AW1026" s="4303"/>
      <c r="AX1026" s="4303"/>
      <c r="AY1026" s="4303"/>
      <c r="AZ1026" s="4303"/>
      <c r="BA1026" s="4303"/>
      <c r="BB1026" s="4303"/>
      <c r="BC1026" s="4303"/>
      <c r="BD1026" s="4303"/>
      <c r="BE1026" s="4303"/>
      <c r="BF1026" s="4303"/>
      <c r="BG1026" s="4303"/>
      <c r="BH1026" s="4303"/>
      <c r="BI1026" s="4303"/>
      <c r="BJ1026" s="4303"/>
      <c r="BK1026" s="4303"/>
      <c r="BL1026" s="4303"/>
      <c r="BM1026" s="4303"/>
      <c r="BN1026" s="4303"/>
      <c r="BO1026" s="4303"/>
      <c r="BP1026" s="4303"/>
      <c r="BQ1026" s="4303"/>
      <c r="BR1026" s="4303"/>
      <c r="BS1026" s="4303"/>
      <c r="BT1026" s="4303"/>
      <c r="BU1026" s="4303"/>
      <c r="BV1026" s="4303"/>
      <c r="BW1026" s="4303"/>
      <c r="BX1026" s="4303"/>
      <c r="BY1026" s="4303"/>
      <c r="BZ1026" s="4303"/>
      <c r="CA1026" s="4303"/>
      <c r="CB1026" s="4303"/>
      <c r="CC1026" s="4303"/>
      <c r="CD1026" s="4303"/>
      <c r="CE1026" s="4303"/>
      <c r="CF1026" s="4303"/>
      <c r="CG1026" s="4303"/>
      <c r="CH1026" s="4303"/>
      <c r="CI1026" s="4303"/>
      <c r="CJ1026" s="4303"/>
      <c r="CK1026" s="4303"/>
      <c r="CL1026" s="4303"/>
      <c r="CM1026" s="4303"/>
      <c r="CN1026" s="4303"/>
      <c r="CO1026" s="4303"/>
      <c r="CP1026" s="4303"/>
      <c r="CQ1026" s="4303"/>
      <c r="CR1026" s="4303"/>
      <c r="CS1026" s="4303"/>
      <c r="CT1026" s="4303"/>
      <c r="CU1026" s="4303"/>
      <c r="CV1026" s="4303"/>
      <c r="CW1026" s="4303"/>
      <c r="CX1026" s="4303"/>
      <c r="CY1026" s="4303"/>
      <c r="CZ1026" s="4303"/>
      <c r="DA1026" s="4303"/>
      <c r="DB1026" s="4303"/>
      <c r="DC1026" s="4303"/>
      <c r="DD1026" s="4303"/>
      <c r="DE1026" s="4303"/>
      <c r="DF1026" s="4303"/>
      <c r="DG1026" s="4303"/>
      <c r="DH1026" s="4303"/>
      <c r="DI1026" s="4303"/>
      <c r="DJ1026" s="4303"/>
      <c r="DK1026" s="4303"/>
      <c r="DL1026" s="4303"/>
      <c r="DM1026" s="4303"/>
      <c r="DN1026" s="4303"/>
      <c r="DO1026" s="4303"/>
      <c r="DP1026" s="4303"/>
      <c r="DQ1026" s="4303"/>
      <c r="DR1026" s="4303"/>
      <c r="DS1026" s="4303"/>
    </row>
    <row r="1027" s="4134" customFormat="1" ht="17.25" customHeight="1" spans="1:123">
      <c r="A1027" s="4886" t="s">
        <v>5377</v>
      </c>
      <c r="B1027" s="4887"/>
      <c r="C1027" s="4887"/>
      <c r="D1027" s="4887"/>
      <c r="E1027" s="4888"/>
      <c r="F1027" s="4894"/>
      <c r="G1027" s="4697"/>
      <c r="H1027" s="4905"/>
      <c r="I1027" s="4317"/>
      <c r="J1027" s="4317"/>
      <c r="K1027" s="4317"/>
      <c r="L1027" s="4317"/>
      <c r="M1027" s="4317"/>
      <c r="N1027" s="4906"/>
      <c r="O1027" s="4896"/>
      <c r="P1027" s="4896"/>
      <c r="Q1027" s="4896"/>
      <c r="R1027" s="4896"/>
      <c r="S1027" s="4896"/>
      <c r="T1027" s="4896"/>
      <c r="U1027" s="4896"/>
      <c r="V1027" s="4697">
        <v>424</v>
      </c>
      <c r="W1027" s="4697"/>
      <c r="X1027" s="4303"/>
      <c r="Y1027" s="4303"/>
      <c r="Z1027" s="4302" t="s">
        <v>5378</v>
      </c>
      <c r="AA1027" s="4303"/>
      <c r="AB1027" s="4303"/>
      <c r="AC1027" s="4303"/>
      <c r="AD1027" s="4303"/>
      <c r="AE1027" s="4303"/>
      <c r="AF1027" s="4303"/>
      <c r="AG1027" s="4303"/>
      <c r="AH1027" s="4303"/>
      <c r="AI1027" s="4303"/>
      <c r="AJ1027" s="4303"/>
      <c r="AK1027" s="4303"/>
      <c r="AL1027" s="4303"/>
      <c r="AM1027" s="4303"/>
      <c r="AN1027" s="4303"/>
      <c r="AO1027" s="4303"/>
      <c r="AP1027" s="4303"/>
      <c r="AQ1027" s="4303"/>
      <c r="AR1027" s="4303"/>
      <c r="AS1027" s="4303"/>
      <c r="AT1027" s="4303"/>
      <c r="AU1027" s="4303"/>
      <c r="AV1027" s="4303"/>
      <c r="AW1027" s="4303"/>
      <c r="AX1027" s="4303"/>
      <c r="AY1027" s="4303"/>
      <c r="AZ1027" s="4303"/>
      <c r="BA1027" s="4303"/>
      <c r="BB1027" s="4303"/>
      <c r="BC1027" s="4303"/>
      <c r="BD1027" s="4303"/>
      <c r="BE1027" s="4303"/>
      <c r="BF1027" s="4303"/>
      <c r="BG1027" s="4303"/>
      <c r="BH1027" s="4303"/>
      <c r="BI1027" s="4303"/>
      <c r="BJ1027" s="4303"/>
      <c r="BK1027" s="4303"/>
      <c r="BL1027" s="4303"/>
      <c r="BM1027" s="4303"/>
      <c r="BN1027" s="4303"/>
      <c r="BO1027" s="4303"/>
      <c r="BP1027" s="4303"/>
      <c r="BQ1027" s="4303"/>
      <c r="BR1027" s="4303"/>
      <c r="BS1027" s="4303"/>
      <c r="BT1027" s="4303"/>
      <c r="BU1027" s="4303"/>
      <c r="BV1027" s="4303"/>
      <c r="BW1027" s="4303"/>
      <c r="BX1027" s="4303"/>
      <c r="BY1027" s="4303"/>
      <c r="BZ1027" s="4303"/>
      <c r="CA1027" s="4303"/>
      <c r="CB1027" s="4303"/>
      <c r="CC1027" s="4303"/>
      <c r="CD1027" s="4303"/>
      <c r="CE1027" s="4303"/>
      <c r="CF1027" s="4303"/>
      <c r="CG1027" s="4303"/>
      <c r="CH1027" s="4303"/>
      <c r="CI1027" s="4303"/>
      <c r="CJ1027" s="4303"/>
      <c r="CK1027" s="4303"/>
      <c r="CL1027" s="4303"/>
      <c r="CM1027" s="4303"/>
      <c r="CN1027" s="4303"/>
      <c r="CO1027" s="4303"/>
      <c r="CP1027" s="4303"/>
      <c r="CQ1027" s="4303"/>
      <c r="CR1027" s="4303"/>
      <c r="CS1027" s="4303"/>
      <c r="CT1027" s="4303"/>
      <c r="CU1027" s="4303"/>
      <c r="CV1027" s="4303"/>
      <c r="CW1027" s="4303"/>
      <c r="CX1027" s="4303"/>
      <c r="CY1027" s="4303"/>
      <c r="CZ1027" s="4303"/>
      <c r="DA1027" s="4303"/>
      <c r="DB1027" s="4303"/>
      <c r="DC1027" s="4303"/>
      <c r="DD1027" s="4303"/>
      <c r="DE1027" s="4303"/>
      <c r="DF1027" s="4303"/>
      <c r="DG1027" s="4303"/>
      <c r="DH1027" s="4303"/>
      <c r="DI1027" s="4303"/>
      <c r="DJ1027" s="4303"/>
      <c r="DK1027" s="4303"/>
      <c r="DL1027" s="4303"/>
      <c r="DM1027" s="4303"/>
      <c r="DN1027" s="4303"/>
      <c r="DO1027" s="4303"/>
      <c r="DP1027" s="4303"/>
      <c r="DQ1027" s="4303"/>
      <c r="DR1027" s="4303"/>
      <c r="DS1027" s="4303"/>
    </row>
    <row r="1028" s="4134" customFormat="1" ht="17.25" customHeight="1" spans="1:123">
      <c r="A1028" s="4902" t="s">
        <v>5381</v>
      </c>
      <c r="B1028" s="4903"/>
      <c r="C1028" s="4903"/>
      <c r="D1028" s="4903"/>
      <c r="E1028" s="4904"/>
      <c r="F1028" s="4894"/>
      <c r="G1028" s="4697"/>
      <c r="H1028" s="4905"/>
      <c r="I1028" s="4317"/>
      <c r="J1028" s="4317"/>
      <c r="K1028" s="4317"/>
      <c r="L1028" s="4317"/>
      <c r="M1028" s="4317"/>
      <c r="N1028" s="4906"/>
      <c r="O1028" s="4896"/>
      <c r="P1028" s="4896"/>
      <c r="Q1028" s="4896"/>
      <c r="R1028" s="4896"/>
      <c r="S1028" s="4896"/>
      <c r="T1028" s="4896"/>
      <c r="U1028" s="4896"/>
      <c r="V1028" s="4697">
        <v>406</v>
      </c>
      <c r="W1028" s="4697"/>
      <c r="X1028" s="4303"/>
      <c r="Y1028" s="4303"/>
      <c r="Z1028" s="4311" t="s">
        <v>5733</v>
      </c>
      <c r="AA1028" s="4303"/>
      <c r="AB1028" s="4303"/>
      <c r="AC1028" s="4303"/>
      <c r="AD1028" s="4303"/>
      <c r="AE1028" s="4303"/>
      <c r="AF1028" s="4303"/>
      <c r="AG1028" s="4303"/>
      <c r="AH1028" s="4303"/>
      <c r="AI1028" s="4303"/>
      <c r="AJ1028" s="4303"/>
      <c r="AK1028" s="4303"/>
      <c r="AL1028" s="4303"/>
      <c r="AM1028" s="4303"/>
      <c r="AN1028" s="4303"/>
      <c r="AO1028" s="4303"/>
      <c r="AP1028" s="4303"/>
      <c r="AQ1028" s="4303"/>
      <c r="AR1028" s="4303"/>
      <c r="AS1028" s="4303"/>
      <c r="AT1028" s="4303"/>
      <c r="AU1028" s="4303"/>
      <c r="AV1028" s="4303"/>
      <c r="AW1028" s="4303"/>
      <c r="AX1028" s="4303"/>
      <c r="AY1028" s="4303"/>
      <c r="AZ1028" s="4303"/>
      <c r="BA1028" s="4303"/>
      <c r="BB1028" s="4303"/>
      <c r="BC1028" s="4303"/>
      <c r="BD1028" s="4303"/>
      <c r="BE1028" s="4303"/>
      <c r="BF1028" s="4303"/>
      <c r="BG1028" s="4303"/>
      <c r="BH1028" s="4303"/>
      <c r="BI1028" s="4303"/>
      <c r="BJ1028" s="4303"/>
      <c r="BK1028" s="4303"/>
      <c r="BL1028" s="4303"/>
      <c r="BM1028" s="4303"/>
      <c r="BN1028" s="4303"/>
      <c r="BO1028" s="4303"/>
      <c r="BP1028" s="4303"/>
      <c r="BQ1028" s="4303"/>
      <c r="BR1028" s="4303"/>
      <c r="BS1028" s="4303"/>
      <c r="BT1028" s="4303"/>
      <c r="BU1028" s="4303"/>
      <c r="BV1028" s="4303"/>
      <c r="BW1028" s="4303"/>
      <c r="BX1028" s="4303"/>
      <c r="BY1028" s="4303"/>
      <c r="BZ1028" s="4303"/>
      <c r="CA1028" s="4303"/>
      <c r="CB1028" s="4303"/>
      <c r="CC1028" s="4303"/>
      <c r="CD1028" s="4303"/>
      <c r="CE1028" s="4303"/>
      <c r="CF1028" s="4303"/>
      <c r="CG1028" s="4303"/>
      <c r="CH1028" s="4303"/>
      <c r="CI1028" s="4303"/>
      <c r="CJ1028" s="4303"/>
      <c r="CK1028" s="4303"/>
      <c r="CL1028" s="4303"/>
      <c r="CM1028" s="4303"/>
      <c r="CN1028" s="4303"/>
      <c r="CO1028" s="4303"/>
      <c r="CP1028" s="4303"/>
      <c r="CQ1028" s="4303"/>
      <c r="CR1028" s="4303"/>
      <c r="CS1028" s="4303"/>
      <c r="CT1028" s="4303"/>
      <c r="CU1028" s="4303"/>
      <c r="CV1028" s="4303"/>
      <c r="CW1028" s="4303"/>
      <c r="CX1028" s="4303"/>
      <c r="CY1028" s="4303"/>
      <c r="CZ1028" s="4303"/>
      <c r="DA1028" s="4303"/>
      <c r="DB1028" s="4303"/>
      <c r="DC1028" s="4303"/>
      <c r="DD1028" s="4303"/>
      <c r="DE1028" s="4303"/>
      <c r="DF1028" s="4303"/>
      <c r="DG1028" s="4303"/>
      <c r="DH1028" s="4303"/>
      <c r="DI1028" s="4303"/>
      <c r="DJ1028" s="4303"/>
      <c r="DK1028" s="4303"/>
      <c r="DL1028" s="4303"/>
      <c r="DM1028" s="4303"/>
      <c r="DN1028" s="4303"/>
      <c r="DO1028" s="4303"/>
      <c r="DP1028" s="4303"/>
      <c r="DQ1028" s="4303"/>
      <c r="DR1028" s="4303"/>
      <c r="DS1028" s="4303"/>
    </row>
    <row r="1029" s="4134" customFormat="1" ht="17.25" customHeight="1" spans="1:123">
      <c r="A1029" s="4902" t="s">
        <v>5383</v>
      </c>
      <c r="B1029" s="4903"/>
      <c r="C1029" s="4903"/>
      <c r="D1029" s="4903"/>
      <c r="E1029" s="4904"/>
      <c r="F1029" s="4894"/>
      <c r="G1029" s="4697"/>
      <c r="H1029" s="4913"/>
      <c r="I1029" s="4914"/>
      <c r="J1029" s="4914"/>
      <c r="K1029" s="4914"/>
      <c r="L1029" s="4914"/>
      <c r="M1029" s="4914"/>
      <c r="N1029" s="4915"/>
      <c r="O1029" s="4896"/>
      <c r="P1029" s="4896"/>
      <c r="Q1029" s="4896"/>
      <c r="R1029" s="4896"/>
      <c r="S1029" s="4896"/>
      <c r="T1029" s="4896"/>
      <c r="U1029" s="4896"/>
      <c r="V1029" s="4697">
        <v>406</v>
      </c>
      <c r="W1029" s="4697"/>
      <c r="X1029" s="4303"/>
      <c r="Y1029" s="4303"/>
      <c r="Z1029" s="4311" t="s">
        <v>5384</v>
      </c>
      <c r="AA1029" s="4303"/>
      <c r="AB1029" s="4303"/>
      <c r="AC1029" s="4303"/>
      <c r="AD1029" s="4303"/>
      <c r="AE1029" s="4303"/>
      <c r="AF1029" s="4303"/>
      <c r="AG1029" s="4303"/>
      <c r="AH1029" s="4303"/>
      <c r="AI1029" s="4303"/>
      <c r="AJ1029" s="4303"/>
      <c r="AK1029" s="4303"/>
      <c r="AL1029" s="4303"/>
      <c r="AM1029" s="4303"/>
      <c r="AN1029" s="4303"/>
      <c r="AO1029" s="4303"/>
      <c r="AP1029" s="4303"/>
      <c r="AQ1029" s="4303"/>
      <c r="AR1029" s="4303"/>
      <c r="AS1029" s="4303"/>
      <c r="AT1029" s="4303"/>
      <c r="AU1029" s="4303"/>
      <c r="AV1029" s="4303"/>
      <c r="AW1029" s="4303"/>
      <c r="AX1029" s="4303"/>
      <c r="AY1029" s="4303"/>
      <c r="AZ1029" s="4303"/>
      <c r="BA1029" s="4303"/>
      <c r="BB1029" s="4303"/>
      <c r="BC1029" s="4303"/>
      <c r="BD1029" s="4303"/>
      <c r="BE1029" s="4303"/>
      <c r="BF1029" s="4303"/>
      <c r="BG1029" s="4303"/>
      <c r="BH1029" s="4303"/>
      <c r="BI1029" s="4303"/>
      <c r="BJ1029" s="4303"/>
      <c r="BK1029" s="4303"/>
      <c r="BL1029" s="4303"/>
      <c r="BM1029" s="4303"/>
      <c r="BN1029" s="4303"/>
      <c r="BO1029" s="4303"/>
      <c r="BP1029" s="4303"/>
      <c r="BQ1029" s="4303"/>
      <c r="BR1029" s="4303"/>
      <c r="BS1029" s="4303"/>
      <c r="BT1029" s="4303"/>
      <c r="BU1029" s="4303"/>
      <c r="BV1029" s="4303"/>
      <c r="BW1029" s="4303"/>
      <c r="BX1029" s="4303"/>
      <c r="BY1029" s="4303"/>
      <c r="BZ1029" s="4303"/>
      <c r="CA1029" s="4303"/>
      <c r="CB1029" s="4303"/>
      <c r="CC1029" s="4303"/>
      <c r="CD1029" s="4303"/>
      <c r="CE1029" s="4303"/>
      <c r="CF1029" s="4303"/>
      <c r="CG1029" s="4303"/>
      <c r="CH1029" s="4303"/>
      <c r="CI1029" s="4303"/>
      <c r="CJ1029" s="4303"/>
      <c r="CK1029" s="4303"/>
      <c r="CL1029" s="4303"/>
      <c r="CM1029" s="4303"/>
      <c r="CN1029" s="4303"/>
      <c r="CO1029" s="4303"/>
      <c r="CP1029" s="4303"/>
      <c r="CQ1029" s="4303"/>
      <c r="CR1029" s="4303"/>
      <c r="CS1029" s="4303"/>
      <c r="CT1029" s="4303"/>
      <c r="CU1029" s="4303"/>
      <c r="CV1029" s="4303"/>
      <c r="CW1029" s="4303"/>
      <c r="CX1029" s="4303"/>
      <c r="CY1029" s="4303"/>
      <c r="CZ1029" s="4303"/>
      <c r="DA1029" s="4303"/>
      <c r="DB1029" s="4303"/>
      <c r="DC1029" s="4303"/>
      <c r="DD1029" s="4303"/>
      <c r="DE1029" s="4303"/>
      <c r="DF1029" s="4303"/>
      <c r="DG1029" s="4303"/>
      <c r="DH1029" s="4303"/>
      <c r="DI1029" s="4303"/>
      <c r="DJ1029" s="4303"/>
      <c r="DK1029" s="4303"/>
      <c r="DL1029" s="4303"/>
      <c r="DM1029" s="4303"/>
      <c r="DN1029" s="4303"/>
      <c r="DO1029" s="4303"/>
      <c r="DP1029" s="4303"/>
      <c r="DQ1029" s="4303"/>
      <c r="DR1029" s="4303"/>
      <c r="DS1029" s="4303"/>
    </row>
    <row r="1030" s="4134" customFormat="1" ht="17.25" customHeight="1" spans="1:123">
      <c r="A1030" s="4902" t="s">
        <v>5385</v>
      </c>
      <c r="B1030" s="4903"/>
      <c r="C1030" s="4903"/>
      <c r="D1030" s="4903"/>
      <c r="E1030" s="4904"/>
      <c r="F1030" s="4894">
        <v>405</v>
      </c>
      <c r="G1030" s="4697"/>
      <c r="H1030" s="4895"/>
      <c r="I1030" s="4895"/>
      <c r="J1030" s="4895"/>
      <c r="K1030" s="4895"/>
      <c r="L1030" s="4895"/>
      <c r="M1030" s="4895"/>
      <c r="N1030" s="4895"/>
      <c r="O1030" s="4918"/>
      <c r="P1030" s="4918"/>
      <c r="Q1030" s="4918"/>
      <c r="R1030" s="4918"/>
      <c r="S1030" s="4918"/>
      <c r="T1030" s="4918"/>
      <c r="U1030" s="4918"/>
      <c r="V1030" s="4697"/>
      <c r="W1030" s="4697"/>
      <c r="X1030" s="4303"/>
      <c r="Y1030" s="4303"/>
      <c r="Z1030" s="4311" t="s">
        <v>5734</v>
      </c>
      <c r="AA1030" s="4303"/>
      <c r="AB1030" s="4303"/>
      <c r="AC1030" s="4303"/>
      <c r="AD1030" s="4303"/>
      <c r="AE1030" s="4303"/>
      <c r="AF1030" s="4303"/>
      <c r="AG1030" s="4303"/>
      <c r="AH1030" s="4303"/>
      <c r="AI1030" s="4303"/>
      <c r="AJ1030" s="4303"/>
      <c r="AK1030" s="4303"/>
      <c r="AL1030" s="4303"/>
      <c r="AM1030" s="4303"/>
      <c r="AN1030" s="4303"/>
      <c r="AO1030" s="4303"/>
      <c r="AP1030" s="4303"/>
      <c r="AQ1030" s="4303"/>
      <c r="AR1030" s="4303"/>
      <c r="AS1030" s="4303"/>
      <c r="AT1030" s="4303"/>
      <c r="AU1030" s="4303"/>
      <c r="AV1030" s="4303"/>
      <c r="AW1030" s="4303"/>
      <c r="AX1030" s="4303"/>
      <c r="AY1030" s="4303"/>
      <c r="AZ1030" s="4303"/>
      <c r="BA1030" s="4303"/>
      <c r="BB1030" s="4303"/>
      <c r="BC1030" s="4303"/>
      <c r="BD1030" s="4303"/>
      <c r="BE1030" s="4303"/>
      <c r="BF1030" s="4303"/>
      <c r="BG1030" s="4303"/>
      <c r="BH1030" s="4303"/>
      <c r="BI1030" s="4303"/>
      <c r="BJ1030" s="4303"/>
      <c r="BK1030" s="4303"/>
      <c r="BL1030" s="4303"/>
      <c r="BM1030" s="4303"/>
      <c r="BN1030" s="4303"/>
      <c r="BO1030" s="4303"/>
      <c r="BP1030" s="4303"/>
      <c r="BQ1030" s="4303"/>
      <c r="BR1030" s="4303"/>
      <c r="BS1030" s="4303"/>
      <c r="BT1030" s="4303"/>
      <c r="BU1030" s="4303"/>
      <c r="BV1030" s="4303"/>
      <c r="BW1030" s="4303"/>
      <c r="BX1030" s="4303"/>
      <c r="BY1030" s="4303"/>
      <c r="BZ1030" s="4303"/>
      <c r="CA1030" s="4303"/>
      <c r="CB1030" s="4303"/>
      <c r="CC1030" s="4303"/>
      <c r="CD1030" s="4303"/>
      <c r="CE1030" s="4303"/>
      <c r="CF1030" s="4303"/>
      <c r="CG1030" s="4303"/>
      <c r="CH1030" s="4303"/>
      <c r="CI1030" s="4303"/>
      <c r="CJ1030" s="4303"/>
      <c r="CK1030" s="4303"/>
      <c r="CL1030" s="4303"/>
      <c r="CM1030" s="4303"/>
      <c r="CN1030" s="4303"/>
      <c r="CO1030" s="4303"/>
      <c r="CP1030" s="4303"/>
      <c r="CQ1030" s="4303"/>
      <c r="CR1030" s="4303"/>
      <c r="CS1030" s="4303"/>
      <c r="CT1030" s="4303"/>
      <c r="CU1030" s="4303"/>
      <c r="CV1030" s="4303"/>
      <c r="CW1030" s="4303"/>
      <c r="CX1030" s="4303"/>
      <c r="CY1030" s="4303"/>
      <c r="CZ1030" s="4303"/>
      <c r="DA1030" s="4303"/>
      <c r="DB1030" s="4303"/>
      <c r="DC1030" s="4303"/>
      <c r="DD1030" s="4303"/>
      <c r="DE1030" s="4303"/>
      <c r="DF1030" s="4303"/>
      <c r="DG1030" s="4303"/>
      <c r="DH1030" s="4303"/>
      <c r="DI1030" s="4303"/>
      <c r="DJ1030" s="4303"/>
      <c r="DK1030" s="4303"/>
      <c r="DL1030" s="4303"/>
      <c r="DM1030" s="4303"/>
      <c r="DN1030" s="4303"/>
      <c r="DO1030" s="4303"/>
      <c r="DP1030" s="4303"/>
      <c r="DQ1030" s="4303"/>
      <c r="DR1030" s="4303"/>
      <c r="DS1030" s="4303"/>
    </row>
    <row r="1031" s="4134" customFormat="1" ht="17.25" customHeight="1" spans="1:123">
      <c r="A1031" s="4902" t="s">
        <v>5387</v>
      </c>
      <c r="B1031" s="4903"/>
      <c r="C1031" s="4903"/>
      <c r="D1031" s="4903"/>
      <c r="E1031" s="4904"/>
      <c r="F1031" s="4894"/>
      <c r="G1031" s="4697"/>
      <c r="H1031" s="4899"/>
      <c r="I1031" s="4900"/>
      <c r="J1031" s="4900"/>
      <c r="K1031" s="4900"/>
      <c r="L1031" s="4900"/>
      <c r="M1031" s="4900"/>
      <c r="N1031" s="4901"/>
      <c r="O1031" s="4896"/>
      <c r="P1031" s="4896"/>
      <c r="Q1031" s="4896"/>
      <c r="R1031" s="4896"/>
      <c r="S1031" s="4896"/>
      <c r="T1031" s="4896"/>
      <c r="U1031" s="4896"/>
      <c r="V1031" s="4697">
        <v>406</v>
      </c>
      <c r="W1031" s="4697"/>
      <c r="X1031" s="4303"/>
      <c r="Y1031" s="4303"/>
      <c r="Z1031" s="4311" t="s">
        <v>5388</v>
      </c>
      <c r="AA1031" s="4303"/>
      <c r="AB1031" s="4303"/>
      <c r="AC1031" s="4303"/>
      <c r="AD1031" s="4303"/>
      <c r="AE1031" s="4303"/>
      <c r="AF1031" s="4303"/>
      <c r="AG1031" s="4303"/>
      <c r="AH1031" s="4303"/>
      <c r="AI1031" s="4303"/>
      <c r="AJ1031" s="4303"/>
      <c r="AK1031" s="4303"/>
      <c r="AL1031" s="4303"/>
      <c r="AM1031" s="4303"/>
      <c r="AN1031" s="4303"/>
      <c r="AO1031" s="4303"/>
      <c r="AP1031" s="4303"/>
      <c r="AQ1031" s="4303"/>
      <c r="AR1031" s="4303"/>
      <c r="AS1031" s="4303"/>
      <c r="AT1031" s="4303"/>
      <c r="AU1031" s="4303"/>
      <c r="AV1031" s="4303"/>
      <c r="AW1031" s="4303"/>
      <c r="AX1031" s="4303"/>
      <c r="AY1031" s="4303"/>
      <c r="AZ1031" s="4303"/>
      <c r="BA1031" s="4303"/>
      <c r="BB1031" s="4303"/>
      <c r="BC1031" s="4303"/>
      <c r="BD1031" s="4303"/>
      <c r="BE1031" s="4303"/>
      <c r="BF1031" s="4303"/>
      <c r="BG1031" s="4303"/>
      <c r="BH1031" s="4303"/>
      <c r="BI1031" s="4303"/>
      <c r="BJ1031" s="4303"/>
      <c r="BK1031" s="4303"/>
      <c r="BL1031" s="4303"/>
      <c r="BM1031" s="4303"/>
      <c r="BN1031" s="4303"/>
      <c r="BO1031" s="4303"/>
      <c r="BP1031" s="4303"/>
      <c r="BQ1031" s="4303"/>
      <c r="BR1031" s="4303"/>
      <c r="BS1031" s="4303"/>
      <c r="BT1031" s="4303"/>
      <c r="BU1031" s="4303"/>
      <c r="BV1031" s="4303"/>
      <c r="BW1031" s="4303"/>
      <c r="BX1031" s="4303"/>
      <c r="BY1031" s="4303"/>
      <c r="BZ1031" s="4303"/>
      <c r="CA1031" s="4303"/>
      <c r="CB1031" s="4303"/>
      <c r="CC1031" s="4303"/>
      <c r="CD1031" s="4303"/>
      <c r="CE1031" s="4303"/>
      <c r="CF1031" s="4303"/>
      <c r="CG1031" s="4303"/>
      <c r="CH1031" s="4303"/>
      <c r="CI1031" s="4303"/>
      <c r="CJ1031" s="4303"/>
      <c r="CK1031" s="4303"/>
      <c r="CL1031" s="4303"/>
      <c r="CM1031" s="4303"/>
      <c r="CN1031" s="4303"/>
      <c r="CO1031" s="4303"/>
      <c r="CP1031" s="4303"/>
      <c r="CQ1031" s="4303"/>
      <c r="CR1031" s="4303"/>
      <c r="CS1031" s="4303"/>
      <c r="CT1031" s="4303"/>
      <c r="CU1031" s="4303"/>
      <c r="CV1031" s="4303"/>
      <c r="CW1031" s="4303"/>
      <c r="CX1031" s="4303"/>
      <c r="CY1031" s="4303"/>
      <c r="CZ1031" s="4303"/>
      <c r="DA1031" s="4303"/>
      <c r="DB1031" s="4303"/>
      <c r="DC1031" s="4303"/>
      <c r="DD1031" s="4303"/>
      <c r="DE1031" s="4303"/>
      <c r="DF1031" s="4303"/>
      <c r="DG1031" s="4303"/>
      <c r="DH1031" s="4303"/>
      <c r="DI1031" s="4303"/>
      <c r="DJ1031" s="4303"/>
      <c r="DK1031" s="4303"/>
      <c r="DL1031" s="4303"/>
      <c r="DM1031" s="4303"/>
      <c r="DN1031" s="4303"/>
      <c r="DO1031" s="4303"/>
      <c r="DP1031" s="4303"/>
      <c r="DQ1031" s="4303"/>
      <c r="DR1031" s="4303"/>
      <c r="DS1031" s="4303"/>
    </row>
    <row r="1032" s="4134" customFormat="1" ht="17.25" customHeight="1" spans="1:123">
      <c r="A1032" s="4902" t="s">
        <v>5389</v>
      </c>
      <c r="B1032" s="4903"/>
      <c r="C1032" s="4903"/>
      <c r="D1032" s="4903"/>
      <c r="E1032" s="4904"/>
      <c r="F1032" s="4894"/>
      <c r="G1032" s="4697"/>
      <c r="H1032" s="4905"/>
      <c r="I1032" s="4317"/>
      <c r="J1032" s="4317"/>
      <c r="K1032" s="4317"/>
      <c r="L1032" s="4317"/>
      <c r="M1032" s="4317"/>
      <c r="N1032" s="4906"/>
      <c r="O1032" s="4896"/>
      <c r="P1032" s="4896"/>
      <c r="Q1032" s="4896"/>
      <c r="R1032" s="4896"/>
      <c r="S1032" s="4896"/>
      <c r="T1032" s="4896"/>
      <c r="U1032" s="4896"/>
      <c r="V1032" s="4697">
        <v>406</v>
      </c>
      <c r="W1032" s="4697"/>
      <c r="X1032" s="4303"/>
      <c r="Y1032" s="4303"/>
      <c r="Z1032" s="4311" t="s">
        <v>5390</v>
      </c>
      <c r="AA1032" s="4303"/>
      <c r="AB1032" s="4303"/>
      <c r="AC1032" s="4303"/>
      <c r="AD1032" s="4303"/>
      <c r="AE1032" s="4303"/>
      <c r="AF1032" s="4303"/>
      <c r="AG1032" s="4303"/>
      <c r="AH1032" s="4303"/>
      <c r="AI1032" s="4303"/>
      <c r="AJ1032" s="4303"/>
      <c r="AK1032" s="4303"/>
      <c r="AL1032" s="4303"/>
      <c r="AM1032" s="4303"/>
      <c r="AN1032" s="4303"/>
      <c r="AO1032" s="4303"/>
      <c r="AP1032" s="4303"/>
      <c r="AQ1032" s="4303"/>
      <c r="AR1032" s="4303"/>
      <c r="AS1032" s="4303"/>
      <c r="AT1032" s="4303"/>
      <c r="AU1032" s="4303"/>
      <c r="AV1032" s="4303"/>
      <c r="AW1032" s="4303"/>
      <c r="AX1032" s="4303"/>
      <c r="AY1032" s="4303"/>
      <c r="AZ1032" s="4303"/>
      <c r="BA1032" s="4303"/>
      <c r="BB1032" s="4303"/>
      <c r="BC1032" s="4303"/>
      <c r="BD1032" s="4303"/>
      <c r="BE1032" s="4303"/>
      <c r="BF1032" s="4303"/>
      <c r="BG1032" s="4303"/>
      <c r="BH1032" s="4303"/>
      <c r="BI1032" s="4303"/>
      <c r="BJ1032" s="4303"/>
      <c r="BK1032" s="4303"/>
      <c r="BL1032" s="4303"/>
      <c r="BM1032" s="4303"/>
      <c r="BN1032" s="4303"/>
      <c r="BO1032" s="4303"/>
      <c r="BP1032" s="4303"/>
      <c r="BQ1032" s="4303"/>
      <c r="BR1032" s="4303"/>
      <c r="BS1032" s="4303"/>
      <c r="BT1032" s="4303"/>
      <c r="BU1032" s="4303"/>
      <c r="BV1032" s="4303"/>
      <c r="BW1032" s="4303"/>
      <c r="BX1032" s="4303"/>
      <c r="BY1032" s="4303"/>
      <c r="BZ1032" s="4303"/>
      <c r="CA1032" s="4303"/>
      <c r="CB1032" s="4303"/>
      <c r="CC1032" s="4303"/>
      <c r="CD1032" s="4303"/>
      <c r="CE1032" s="4303"/>
      <c r="CF1032" s="4303"/>
      <c r="CG1032" s="4303"/>
      <c r="CH1032" s="4303"/>
      <c r="CI1032" s="4303"/>
      <c r="CJ1032" s="4303"/>
      <c r="CK1032" s="4303"/>
      <c r="CL1032" s="4303"/>
      <c r="CM1032" s="4303"/>
      <c r="CN1032" s="4303"/>
      <c r="CO1032" s="4303"/>
      <c r="CP1032" s="4303"/>
      <c r="CQ1032" s="4303"/>
      <c r="CR1032" s="4303"/>
      <c r="CS1032" s="4303"/>
      <c r="CT1032" s="4303"/>
      <c r="CU1032" s="4303"/>
      <c r="CV1032" s="4303"/>
      <c r="CW1032" s="4303"/>
      <c r="CX1032" s="4303"/>
      <c r="CY1032" s="4303"/>
      <c r="CZ1032" s="4303"/>
      <c r="DA1032" s="4303"/>
      <c r="DB1032" s="4303"/>
      <c r="DC1032" s="4303"/>
      <c r="DD1032" s="4303"/>
      <c r="DE1032" s="4303"/>
      <c r="DF1032" s="4303"/>
      <c r="DG1032" s="4303"/>
      <c r="DH1032" s="4303"/>
      <c r="DI1032" s="4303"/>
      <c r="DJ1032" s="4303"/>
      <c r="DK1032" s="4303"/>
      <c r="DL1032" s="4303"/>
      <c r="DM1032" s="4303"/>
      <c r="DN1032" s="4303"/>
      <c r="DO1032" s="4303"/>
      <c r="DP1032" s="4303"/>
      <c r="DQ1032" s="4303"/>
      <c r="DR1032" s="4303"/>
      <c r="DS1032" s="4303"/>
    </row>
    <row r="1033" s="4134" customFormat="1" ht="17.25" customHeight="1" spans="1:123">
      <c r="A1033" s="4902" t="s">
        <v>5391</v>
      </c>
      <c r="B1033" s="4903"/>
      <c r="C1033" s="4903"/>
      <c r="D1033" s="4903"/>
      <c r="E1033" s="4904"/>
      <c r="F1033" s="4894"/>
      <c r="G1033" s="4697"/>
      <c r="H1033" s="4913"/>
      <c r="I1033" s="4914"/>
      <c r="J1033" s="4914"/>
      <c r="K1033" s="4914"/>
      <c r="L1033" s="4914"/>
      <c r="M1033" s="4914"/>
      <c r="N1033" s="4915"/>
      <c r="O1033" s="4896"/>
      <c r="P1033" s="4896"/>
      <c r="Q1033" s="4896"/>
      <c r="R1033" s="4896"/>
      <c r="S1033" s="4896"/>
      <c r="T1033" s="4896"/>
      <c r="U1033" s="4896"/>
      <c r="V1033" s="4697">
        <v>406</v>
      </c>
      <c r="W1033" s="4697"/>
      <c r="X1033" s="4303"/>
      <c r="Y1033" s="4303"/>
      <c r="Z1033" s="4311" t="s">
        <v>5392</v>
      </c>
      <c r="AA1033" s="4303"/>
      <c r="AB1033" s="4303"/>
      <c r="AC1033" s="4303"/>
      <c r="AD1033" s="4303"/>
      <c r="AE1033" s="4303"/>
      <c r="AF1033" s="4303"/>
      <c r="AG1033" s="4303"/>
      <c r="AH1033" s="4303"/>
      <c r="AI1033" s="4303"/>
      <c r="AJ1033" s="4303"/>
      <c r="AK1033" s="4303"/>
      <c r="AL1033" s="4303"/>
      <c r="AM1033" s="4303"/>
      <c r="AN1033" s="4303"/>
      <c r="AO1033" s="4303"/>
      <c r="AP1033" s="4303"/>
      <c r="AQ1033" s="4303"/>
      <c r="AR1033" s="4303"/>
      <c r="AS1033" s="4303"/>
      <c r="AT1033" s="4303"/>
      <c r="AU1033" s="4303"/>
      <c r="AV1033" s="4303"/>
      <c r="AW1033" s="4303"/>
      <c r="AX1033" s="4303"/>
      <c r="AY1033" s="4303"/>
      <c r="AZ1033" s="4303"/>
      <c r="BA1033" s="4303"/>
      <c r="BB1033" s="4303"/>
      <c r="BC1033" s="4303"/>
      <c r="BD1033" s="4303"/>
      <c r="BE1033" s="4303"/>
      <c r="BF1033" s="4303"/>
      <c r="BG1033" s="4303"/>
      <c r="BH1033" s="4303"/>
      <c r="BI1033" s="4303"/>
      <c r="BJ1033" s="4303"/>
      <c r="BK1033" s="4303"/>
      <c r="BL1033" s="4303"/>
      <c r="BM1033" s="4303"/>
      <c r="BN1033" s="4303"/>
      <c r="BO1033" s="4303"/>
      <c r="BP1033" s="4303"/>
      <c r="BQ1033" s="4303"/>
      <c r="BR1033" s="4303"/>
      <c r="BS1033" s="4303"/>
      <c r="BT1033" s="4303"/>
      <c r="BU1033" s="4303"/>
      <c r="BV1033" s="4303"/>
      <c r="BW1033" s="4303"/>
      <c r="BX1033" s="4303"/>
      <c r="BY1033" s="4303"/>
      <c r="BZ1033" s="4303"/>
      <c r="CA1033" s="4303"/>
      <c r="CB1033" s="4303"/>
      <c r="CC1033" s="4303"/>
      <c r="CD1033" s="4303"/>
      <c r="CE1033" s="4303"/>
      <c r="CF1033" s="4303"/>
      <c r="CG1033" s="4303"/>
      <c r="CH1033" s="4303"/>
      <c r="CI1033" s="4303"/>
      <c r="CJ1033" s="4303"/>
      <c r="CK1033" s="4303"/>
      <c r="CL1033" s="4303"/>
      <c r="CM1033" s="4303"/>
      <c r="CN1033" s="4303"/>
      <c r="CO1033" s="4303"/>
      <c r="CP1033" s="4303"/>
      <c r="CQ1033" s="4303"/>
      <c r="CR1033" s="4303"/>
      <c r="CS1033" s="4303"/>
      <c r="CT1033" s="4303"/>
      <c r="CU1033" s="4303"/>
      <c r="CV1033" s="4303"/>
      <c r="CW1033" s="4303"/>
      <c r="CX1033" s="4303"/>
      <c r="CY1033" s="4303"/>
      <c r="CZ1033" s="4303"/>
      <c r="DA1033" s="4303"/>
      <c r="DB1033" s="4303"/>
      <c r="DC1033" s="4303"/>
      <c r="DD1033" s="4303"/>
      <c r="DE1033" s="4303"/>
      <c r="DF1033" s="4303"/>
      <c r="DG1033" s="4303"/>
      <c r="DH1033" s="4303"/>
      <c r="DI1033" s="4303"/>
      <c r="DJ1033" s="4303"/>
      <c r="DK1033" s="4303"/>
      <c r="DL1033" s="4303"/>
      <c r="DM1033" s="4303"/>
      <c r="DN1033" s="4303"/>
      <c r="DO1033" s="4303"/>
      <c r="DP1033" s="4303"/>
      <c r="DQ1033" s="4303"/>
      <c r="DR1033" s="4303"/>
      <c r="DS1033" s="4303"/>
    </row>
    <row r="1034" s="4134" customFormat="1" ht="17.25" customHeight="1" spans="1:123">
      <c r="A1034" s="4886" t="s">
        <v>5393</v>
      </c>
      <c r="B1034" s="4887"/>
      <c r="C1034" s="4887"/>
      <c r="D1034" s="4887"/>
      <c r="E1034" s="4888"/>
      <c r="F1034" s="4894">
        <v>451</v>
      </c>
      <c r="G1034" s="4697"/>
      <c r="H1034" s="4895"/>
      <c r="I1034" s="4895"/>
      <c r="J1034" s="4895"/>
      <c r="K1034" s="4895"/>
      <c r="L1034" s="4895"/>
      <c r="M1034" s="4895"/>
      <c r="N1034" s="4895"/>
      <c r="O1034" s="4896"/>
      <c r="P1034" s="4896"/>
      <c r="Q1034" s="4896"/>
      <c r="R1034" s="4896"/>
      <c r="S1034" s="4896"/>
      <c r="T1034" s="4896"/>
      <c r="U1034" s="4896"/>
      <c r="V1034" s="4697">
        <v>450</v>
      </c>
      <c r="W1034" s="4697"/>
      <c r="X1034" s="4303"/>
      <c r="Y1034" s="4303"/>
      <c r="Z1034" s="4302" t="s">
        <v>3098</v>
      </c>
      <c r="AA1034" s="4303"/>
      <c r="AB1034" s="4303"/>
      <c r="AC1034" s="4303"/>
      <c r="AD1034" s="4303"/>
      <c r="AE1034" s="4303"/>
      <c r="AF1034" s="4303"/>
      <c r="AG1034" s="4303"/>
      <c r="AH1034" s="4303"/>
      <c r="AI1034" s="4303"/>
      <c r="AJ1034" s="4303"/>
      <c r="AK1034" s="4303"/>
      <c r="AL1034" s="4303"/>
      <c r="AM1034" s="4303"/>
      <c r="AN1034" s="4303"/>
      <c r="AO1034" s="4303"/>
      <c r="AP1034" s="4303"/>
      <c r="AQ1034" s="4303"/>
      <c r="AR1034" s="4303"/>
      <c r="AS1034" s="4303"/>
      <c r="AT1034" s="4303"/>
      <c r="AU1034" s="4303"/>
      <c r="AV1034" s="4303"/>
      <c r="AW1034" s="4303"/>
      <c r="AX1034" s="4303"/>
      <c r="AY1034" s="4303"/>
      <c r="AZ1034" s="4303"/>
      <c r="BA1034" s="4303"/>
      <c r="BB1034" s="4303"/>
      <c r="BC1034" s="4303"/>
      <c r="BD1034" s="4303"/>
      <c r="BE1034" s="4303"/>
      <c r="BF1034" s="4303"/>
      <c r="BG1034" s="4303"/>
      <c r="BH1034" s="4303"/>
      <c r="BI1034" s="4303"/>
      <c r="BJ1034" s="4303"/>
      <c r="BK1034" s="4303"/>
      <c r="BL1034" s="4303"/>
      <c r="BM1034" s="4303"/>
      <c r="BN1034" s="4303"/>
      <c r="BO1034" s="4303"/>
      <c r="BP1034" s="4303"/>
      <c r="BQ1034" s="4303"/>
      <c r="BR1034" s="4303"/>
      <c r="BS1034" s="4303"/>
      <c r="BT1034" s="4303"/>
      <c r="BU1034" s="4303"/>
      <c r="BV1034" s="4303"/>
      <c r="BW1034" s="4303"/>
      <c r="BX1034" s="4303"/>
      <c r="BY1034" s="4303"/>
      <c r="BZ1034" s="4303"/>
      <c r="CA1034" s="4303"/>
      <c r="CB1034" s="4303"/>
      <c r="CC1034" s="4303"/>
      <c r="CD1034" s="4303"/>
      <c r="CE1034" s="4303"/>
      <c r="CF1034" s="4303"/>
      <c r="CG1034" s="4303"/>
      <c r="CH1034" s="4303"/>
      <c r="CI1034" s="4303"/>
      <c r="CJ1034" s="4303"/>
      <c r="CK1034" s="4303"/>
      <c r="CL1034" s="4303"/>
      <c r="CM1034" s="4303"/>
      <c r="CN1034" s="4303"/>
      <c r="CO1034" s="4303"/>
      <c r="CP1034" s="4303"/>
      <c r="CQ1034" s="4303"/>
      <c r="CR1034" s="4303"/>
      <c r="CS1034" s="4303"/>
      <c r="CT1034" s="4303"/>
      <c r="CU1034" s="4303"/>
      <c r="CV1034" s="4303"/>
      <c r="CW1034" s="4303"/>
      <c r="CX1034" s="4303"/>
      <c r="CY1034" s="4303"/>
      <c r="CZ1034" s="4303"/>
      <c r="DA1034" s="4303"/>
      <c r="DB1034" s="4303"/>
      <c r="DC1034" s="4303"/>
      <c r="DD1034" s="4303"/>
      <c r="DE1034" s="4303"/>
      <c r="DF1034" s="4303"/>
      <c r="DG1034" s="4303"/>
      <c r="DH1034" s="4303"/>
      <c r="DI1034" s="4303"/>
      <c r="DJ1034" s="4303"/>
      <c r="DK1034" s="4303"/>
      <c r="DL1034" s="4303"/>
      <c r="DM1034" s="4303"/>
      <c r="DN1034" s="4303"/>
      <c r="DO1034" s="4303"/>
      <c r="DP1034" s="4303"/>
      <c r="DQ1034" s="4303"/>
      <c r="DR1034" s="4303"/>
      <c r="DS1034" s="4303"/>
    </row>
    <row r="1035" s="4134" customFormat="1" ht="17.25" customHeight="1" spans="1:123">
      <c r="A1035" s="4886" t="s">
        <v>5394</v>
      </c>
      <c r="B1035" s="4887"/>
      <c r="C1035" s="4887"/>
      <c r="D1035" s="4887"/>
      <c r="E1035" s="4888"/>
      <c r="F1035" s="4894">
        <v>451</v>
      </c>
      <c r="G1035" s="4697"/>
      <c r="H1035" s="4895"/>
      <c r="I1035" s="4895"/>
      <c r="J1035" s="4895"/>
      <c r="K1035" s="4895"/>
      <c r="L1035" s="4895"/>
      <c r="M1035" s="4895"/>
      <c r="N1035" s="4895"/>
      <c r="O1035" s="4896"/>
      <c r="P1035" s="4896"/>
      <c r="Q1035" s="4896"/>
      <c r="R1035" s="4896"/>
      <c r="S1035" s="4896"/>
      <c r="T1035" s="4896"/>
      <c r="U1035" s="4896"/>
      <c r="V1035" s="4697">
        <v>450</v>
      </c>
      <c r="W1035" s="4697"/>
      <c r="X1035" s="4303"/>
      <c r="Y1035" s="4303"/>
      <c r="Z1035" s="4302" t="s">
        <v>5395</v>
      </c>
      <c r="AA1035" s="4303"/>
      <c r="AB1035" s="4303"/>
      <c r="AC1035" s="4303"/>
      <c r="AD1035" s="4303"/>
      <c r="AE1035" s="4303"/>
      <c r="AF1035" s="4303"/>
      <c r="AG1035" s="4303"/>
      <c r="AH1035" s="4303"/>
      <c r="AI1035" s="4303"/>
      <c r="AJ1035" s="4303"/>
      <c r="AK1035" s="4303"/>
      <c r="AL1035" s="4303"/>
      <c r="AM1035" s="4303"/>
      <c r="AN1035" s="4303"/>
      <c r="AO1035" s="4303"/>
      <c r="AP1035" s="4303"/>
      <c r="AQ1035" s="4303"/>
      <c r="AR1035" s="4303"/>
      <c r="AS1035" s="4303"/>
      <c r="AT1035" s="4303"/>
      <c r="AU1035" s="4303"/>
      <c r="AV1035" s="4303"/>
      <c r="AW1035" s="4303"/>
      <c r="AX1035" s="4303"/>
      <c r="AY1035" s="4303"/>
      <c r="AZ1035" s="4303"/>
      <c r="BA1035" s="4303"/>
      <c r="BB1035" s="4303"/>
      <c r="BC1035" s="4303"/>
      <c r="BD1035" s="4303"/>
      <c r="BE1035" s="4303"/>
      <c r="BF1035" s="4303"/>
      <c r="BG1035" s="4303"/>
      <c r="BH1035" s="4303"/>
      <c r="BI1035" s="4303"/>
      <c r="BJ1035" s="4303"/>
      <c r="BK1035" s="4303"/>
      <c r="BL1035" s="4303"/>
      <c r="BM1035" s="4303"/>
      <c r="BN1035" s="4303"/>
      <c r="BO1035" s="4303"/>
      <c r="BP1035" s="4303"/>
      <c r="BQ1035" s="4303"/>
      <c r="BR1035" s="4303"/>
      <c r="BS1035" s="4303"/>
      <c r="BT1035" s="4303"/>
      <c r="BU1035" s="4303"/>
      <c r="BV1035" s="4303"/>
      <c r="BW1035" s="4303"/>
      <c r="BX1035" s="4303"/>
      <c r="BY1035" s="4303"/>
      <c r="BZ1035" s="4303"/>
      <c r="CA1035" s="4303"/>
      <c r="CB1035" s="4303"/>
      <c r="CC1035" s="4303"/>
      <c r="CD1035" s="4303"/>
      <c r="CE1035" s="4303"/>
      <c r="CF1035" s="4303"/>
      <c r="CG1035" s="4303"/>
      <c r="CH1035" s="4303"/>
      <c r="CI1035" s="4303"/>
      <c r="CJ1035" s="4303"/>
      <c r="CK1035" s="4303"/>
      <c r="CL1035" s="4303"/>
      <c r="CM1035" s="4303"/>
      <c r="CN1035" s="4303"/>
      <c r="CO1035" s="4303"/>
      <c r="CP1035" s="4303"/>
      <c r="CQ1035" s="4303"/>
      <c r="CR1035" s="4303"/>
      <c r="CS1035" s="4303"/>
      <c r="CT1035" s="4303"/>
      <c r="CU1035" s="4303"/>
      <c r="CV1035" s="4303"/>
      <c r="CW1035" s="4303"/>
      <c r="CX1035" s="4303"/>
      <c r="CY1035" s="4303"/>
      <c r="CZ1035" s="4303"/>
      <c r="DA1035" s="4303"/>
      <c r="DB1035" s="4303"/>
      <c r="DC1035" s="4303"/>
      <c r="DD1035" s="4303"/>
      <c r="DE1035" s="4303"/>
      <c r="DF1035" s="4303"/>
      <c r="DG1035" s="4303"/>
      <c r="DH1035" s="4303"/>
      <c r="DI1035" s="4303"/>
      <c r="DJ1035" s="4303"/>
      <c r="DK1035" s="4303"/>
      <c r="DL1035" s="4303"/>
      <c r="DM1035" s="4303"/>
      <c r="DN1035" s="4303"/>
      <c r="DO1035" s="4303"/>
      <c r="DP1035" s="4303"/>
      <c r="DQ1035" s="4303"/>
      <c r="DR1035" s="4303"/>
      <c r="DS1035" s="4303"/>
    </row>
    <row r="1036" s="4134" customFormat="1" ht="17.25" customHeight="1" spans="1:123">
      <c r="A1036" s="4886" t="s">
        <v>5396</v>
      </c>
      <c r="B1036" s="4887"/>
      <c r="C1036" s="4887"/>
      <c r="D1036" s="4887"/>
      <c r="E1036" s="4888"/>
      <c r="F1036" s="4894">
        <v>451</v>
      </c>
      <c r="G1036" s="4697"/>
      <c r="H1036" s="4895"/>
      <c r="I1036" s="4895"/>
      <c r="J1036" s="4895"/>
      <c r="K1036" s="4895"/>
      <c r="L1036" s="4895"/>
      <c r="M1036" s="4895"/>
      <c r="N1036" s="4895"/>
      <c r="O1036" s="4896"/>
      <c r="P1036" s="4896"/>
      <c r="Q1036" s="4896"/>
      <c r="R1036" s="4896"/>
      <c r="S1036" s="4896"/>
      <c r="T1036" s="4896"/>
      <c r="U1036" s="4896"/>
      <c r="V1036" s="4697">
        <v>451</v>
      </c>
      <c r="W1036" s="4697"/>
      <c r="X1036" s="4303"/>
      <c r="Y1036" s="4303"/>
      <c r="Z1036" s="4302" t="s">
        <v>3102</v>
      </c>
      <c r="AA1036" s="4303"/>
      <c r="AB1036" s="4303"/>
      <c r="AC1036" s="4303"/>
      <c r="AD1036" s="4303"/>
      <c r="AE1036" s="4303"/>
      <c r="AF1036" s="4303"/>
      <c r="AG1036" s="4303"/>
      <c r="AH1036" s="4303"/>
      <c r="AI1036" s="4303"/>
      <c r="AJ1036" s="4303"/>
      <c r="AK1036" s="4303"/>
      <c r="AL1036" s="4303"/>
      <c r="AM1036" s="4303"/>
      <c r="AN1036" s="4303"/>
      <c r="AO1036" s="4303"/>
      <c r="AP1036" s="4303"/>
      <c r="AQ1036" s="4303"/>
      <c r="AR1036" s="4303"/>
      <c r="AS1036" s="4303"/>
      <c r="AT1036" s="4303"/>
      <c r="AU1036" s="4303"/>
      <c r="AV1036" s="4303"/>
      <c r="AW1036" s="4303"/>
      <c r="AX1036" s="4303"/>
      <c r="AY1036" s="4303"/>
      <c r="AZ1036" s="4303"/>
      <c r="BA1036" s="4303"/>
      <c r="BB1036" s="4303"/>
      <c r="BC1036" s="4303"/>
      <c r="BD1036" s="4303"/>
      <c r="BE1036" s="4303"/>
      <c r="BF1036" s="4303"/>
      <c r="BG1036" s="4303"/>
      <c r="BH1036" s="4303"/>
      <c r="BI1036" s="4303"/>
      <c r="BJ1036" s="4303"/>
      <c r="BK1036" s="4303"/>
      <c r="BL1036" s="4303"/>
      <c r="BM1036" s="4303"/>
      <c r="BN1036" s="4303"/>
      <c r="BO1036" s="4303"/>
      <c r="BP1036" s="4303"/>
      <c r="BQ1036" s="4303"/>
      <c r="BR1036" s="4303"/>
      <c r="BS1036" s="4303"/>
      <c r="BT1036" s="4303"/>
      <c r="BU1036" s="4303"/>
      <c r="BV1036" s="4303"/>
      <c r="BW1036" s="4303"/>
      <c r="BX1036" s="4303"/>
      <c r="BY1036" s="4303"/>
      <c r="BZ1036" s="4303"/>
      <c r="CA1036" s="4303"/>
      <c r="CB1036" s="4303"/>
      <c r="CC1036" s="4303"/>
      <c r="CD1036" s="4303"/>
      <c r="CE1036" s="4303"/>
      <c r="CF1036" s="4303"/>
      <c r="CG1036" s="4303"/>
      <c r="CH1036" s="4303"/>
      <c r="CI1036" s="4303"/>
      <c r="CJ1036" s="4303"/>
      <c r="CK1036" s="4303"/>
      <c r="CL1036" s="4303"/>
      <c r="CM1036" s="4303"/>
      <c r="CN1036" s="4303"/>
      <c r="CO1036" s="4303"/>
      <c r="CP1036" s="4303"/>
      <c r="CQ1036" s="4303"/>
      <c r="CR1036" s="4303"/>
      <c r="CS1036" s="4303"/>
      <c r="CT1036" s="4303"/>
      <c r="CU1036" s="4303"/>
      <c r="CV1036" s="4303"/>
      <c r="CW1036" s="4303"/>
      <c r="CX1036" s="4303"/>
      <c r="CY1036" s="4303"/>
      <c r="CZ1036" s="4303"/>
      <c r="DA1036" s="4303"/>
      <c r="DB1036" s="4303"/>
      <c r="DC1036" s="4303"/>
      <c r="DD1036" s="4303"/>
      <c r="DE1036" s="4303"/>
      <c r="DF1036" s="4303"/>
      <c r="DG1036" s="4303"/>
      <c r="DH1036" s="4303"/>
      <c r="DI1036" s="4303"/>
      <c r="DJ1036" s="4303"/>
      <c r="DK1036" s="4303"/>
      <c r="DL1036" s="4303"/>
      <c r="DM1036" s="4303"/>
      <c r="DN1036" s="4303"/>
      <c r="DO1036" s="4303"/>
      <c r="DP1036" s="4303"/>
      <c r="DQ1036" s="4303"/>
      <c r="DR1036" s="4303"/>
      <c r="DS1036" s="4303"/>
    </row>
    <row r="1037" s="4134" customFormat="1" ht="17.25" customHeight="1" spans="1:123">
      <c r="A1037" s="4886" t="s">
        <v>5397</v>
      </c>
      <c r="B1037" s="4887"/>
      <c r="C1037" s="4887"/>
      <c r="D1037" s="4887"/>
      <c r="E1037" s="4888"/>
      <c r="F1037" s="4894">
        <v>422</v>
      </c>
      <c r="G1037" s="4697"/>
      <c r="H1037" s="4895"/>
      <c r="I1037" s="4895"/>
      <c r="J1037" s="4895"/>
      <c r="K1037" s="4895"/>
      <c r="L1037" s="4895"/>
      <c r="M1037" s="4895"/>
      <c r="N1037" s="4895"/>
      <c r="O1037" s="4896"/>
      <c r="P1037" s="4896"/>
      <c r="Q1037" s="4896"/>
      <c r="R1037" s="4896"/>
      <c r="S1037" s="4896"/>
      <c r="T1037" s="4896"/>
      <c r="U1037" s="4896"/>
      <c r="V1037" s="4697">
        <v>423</v>
      </c>
      <c r="W1037" s="4697"/>
      <c r="X1037" s="4303"/>
      <c r="Y1037" s="4303"/>
      <c r="Z1037" s="4302" t="s">
        <v>3104</v>
      </c>
      <c r="AA1037" s="4303"/>
      <c r="AB1037" s="4303"/>
      <c r="AC1037" s="4303"/>
      <c r="AD1037" s="4303"/>
      <c r="AE1037" s="4303"/>
      <c r="AF1037" s="4303"/>
      <c r="AG1037" s="4303"/>
      <c r="AH1037" s="4303"/>
      <c r="AI1037" s="4303"/>
      <c r="AJ1037" s="4303"/>
      <c r="AK1037" s="4303"/>
      <c r="AL1037" s="4303"/>
      <c r="AM1037" s="4303"/>
      <c r="AN1037" s="4303"/>
      <c r="AO1037" s="4303"/>
      <c r="AP1037" s="4303"/>
      <c r="AQ1037" s="4303"/>
      <c r="AR1037" s="4303"/>
      <c r="AS1037" s="4303"/>
      <c r="AT1037" s="4303"/>
      <c r="AU1037" s="4303"/>
      <c r="AV1037" s="4303"/>
      <c r="AW1037" s="4303"/>
      <c r="AX1037" s="4303"/>
      <c r="AY1037" s="4303"/>
      <c r="AZ1037" s="4303"/>
      <c r="BA1037" s="4303"/>
      <c r="BB1037" s="4303"/>
      <c r="BC1037" s="4303"/>
      <c r="BD1037" s="4303"/>
      <c r="BE1037" s="4303"/>
      <c r="BF1037" s="4303"/>
      <c r="BG1037" s="4303"/>
      <c r="BH1037" s="4303"/>
      <c r="BI1037" s="4303"/>
      <c r="BJ1037" s="4303"/>
      <c r="BK1037" s="4303"/>
      <c r="BL1037" s="4303"/>
      <c r="BM1037" s="4303"/>
      <c r="BN1037" s="4303"/>
      <c r="BO1037" s="4303"/>
      <c r="BP1037" s="4303"/>
      <c r="BQ1037" s="4303"/>
      <c r="BR1037" s="4303"/>
      <c r="BS1037" s="4303"/>
      <c r="BT1037" s="4303"/>
      <c r="BU1037" s="4303"/>
      <c r="BV1037" s="4303"/>
      <c r="BW1037" s="4303"/>
      <c r="BX1037" s="4303"/>
      <c r="BY1037" s="4303"/>
      <c r="BZ1037" s="4303"/>
      <c r="CA1037" s="4303"/>
      <c r="CB1037" s="4303"/>
      <c r="CC1037" s="4303"/>
      <c r="CD1037" s="4303"/>
      <c r="CE1037" s="4303"/>
      <c r="CF1037" s="4303"/>
      <c r="CG1037" s="4303"/>
      <c r="CH1037" s="4303"/>
      <c r="CI1037" s="4303"/>
      <c r="CJ1037" s="4303"/>
      <c r="CK1037" s="4303"/>
      <c r="CL1037" s="4303"/>
      <c r="CM1037" s="4303"/>
      <c r="CN1037" s="4303"/>
      <c r="CO1037" s="4303"/>
      <c r="CP1037" s="4303"/>
      <c r="CQ1037" s="4303"/>
      <c r="CR1037" s="4303"/>
      <c r="CS1037" s="4303"/>
      <c r="CT1037" s="4303"/>
      <c r="CU1037" s="4303"/>
      <c r="CV1037" s="4303"/>
      <c r="CW1037" s="4303"/>
      <c r="CX1037" s="4303"/>
      <c r="CY1037" s="4303"/>
      <c r="CZ1037" s="4303"/>
      <c r="DA1037" s="4303"/>
      <c r="DB1037" s="4303"/>
      <c r="DC1037" s="4303"/>
      <c r="DD1037" s="4303"/>
      <c r="DE1037" s="4303"/>
      <c r="DF1037" s="4303"/>
      <c r="DG1037" s="4303"/>
      <c r="DH1037" s="4303"/>
      <c r="DI1037" s="4303"/>
      <c r="DJ1037" s="4303"/>
      <c r="DK1037" s="4303"/>
      <c r="DL1037" s="4303"/>
      <c r="DM1037" s="4303"/>
      <c r="DN1037" s="4303"/>
      <c r="DO1037" s="4303"/>
      <c r="DP1037" s="4303"/>
      <c r="DQ1037" s="4303"/>
      <c r="DR1037" s="4303"/>
      <c r="DS1037" s="4303"/>
    </row>
    <row r="1038" s="4134" customFormat="1" ht="17.25" customHeight="1" spans="1:123">
      <c r="A1038" s="4902" t="s">
        <v>5399</v>
      </c>
      <c r="B1038" s="4903"/>
      <c r="C1038" s="4903"/>
      <c r="D1038" s="4903"/>
      <c r="E1038" s="4904"/>
      <c r="F1038" s="4894">
        <v>420</v>
      </c>
      <c r="G1038" s="4697"/>
      <c r="H1038" s="4895"/>
      <c r="I1038" s="4895"/>
      <c r="J1038" s="4895"/>
      <c r="K1038" s="4895"/>
      <c r="L1038" s="4895"/>
      <c r="M1038" s="4895"/>
      <c r="N1038" s="4895"/>
      <c r="O1038" s="4896"/>
      <c r="P1038" s="4896"/>
      <c r="Q1038" s="4896"/>
      <c r="R1038" s="4896"/>
      <c r="S1038" s="4896"/>
      <c r="T1038" s="4896"/>
      <c r="U1038" s="4896"/>
      <c r="V1038" s="4697">
        <v>421</v>
      </c>
      <c r="W1038" s="4697"/>
      <c r="X1038" s="4303"/>
      <c r="Y1038" s="4303"/>
      <c r="Z1038" s="4311" t="s">
        <v>3143</v>
      </c>
      <c r="AA1038" s="4303"/>
      <c r="AB1038" s="4303"/>
      <c r="AC1038" s="4303"/>
      <c r="AD1038" s="4303"/>
      <c r="AE1038" s="4303"/>
      <c r="AF1038" s="4303"/>
      <c r="AG1038" s="4303"/>
      <c r="AH1038" s="4303"/>
      <c r="AI1038" s="4303"/>
      <c r="AJ1038" s="4303"/>
      <c r="AK1038" s="4303"/>
      <c r="AL1038" s="4303"/>
      <c r="AM1038" s="4303"/>
      <c r="AN1038" s="4303"/>
      <c r="AO1038" s="4303"/>
      <c r="AP1038" s="4303"/>
      <c r="AQ1038" s="4303"/>
      <c r="AR1038" s="4303"/>
      <c r="AS1038" s="4303"/>
      <c r="AT1038" s="4303"/>
      <c r="AU1038" s="4303"/>
      <c r="AV1038" s="4303"/>
      <c r="AW1038" s="4303"/>
      <c r="AX1038" s="4303"/>
      <c r="AY1038" s="4303"/>
      <c r="AZ1038" s="4303"/>
      <c r="BA1038" s="4303"/>
      <c r="BB1038" s="4303"/>
      <c r="BC1038" s="4303"/>
      <c r="BD1038" s="4303"/>
      <c r="BE1038" s="4303"/>
      <c r="BF1038" s="4303"/>
      <c r="BG1038" s="4303"/>
      <c r="BH1038" s="4303"/>
      <c r="BI1038" s="4303"/>
      <c r="BJ1038" s="4303"/>
      <c r="BK1038" s="4303"/>
      <c r="BL1038" s="4303"/>
      <c r="BM1038" s="4303"/>
      <c r="BN1038" s="4303"/>
      <c r="BO1038" s="4303"/>
      <c r="BP1038" s="4303"/>
      <c r="BQ1038" s="4303"/>
      <c r="BR1038" s="4303"/>
      <c r="BS1038" s="4303"/>
      <c r="BT1038" s="4303"/>
      <c r="BU1038" s="4303"/>
      <c r="BV1038" s="4303"/>
      <c r="BW1038" s="4303"/>
      <c r="BX1038" s="4303"/>
      <c r="BY1038" s="4303"/>
      <c r="BZ1038" s="4303"/>
      <c r="CA1038" s="4303"/>
      <c r="CB1038" s="4303"/>
      <c r="CC1038" s="4303"/>
      <c r="CD1038" s="4303"/>
      <c r="CE1038" s="4303"/>
      <c r="CF1038" s="4303"/>
      <c r="CG1038" s="4303"/>
      <c r="CH1038" s="4303"/>
      <c r="CI1038" s="4303"/>
      <c r="CJ1038" s="4303"/>
      <c r="CK1038" s="4303"/>
      <c r="CL1038" s="4303"/>
      <c r="CM1038" s="4303"/>
      <c r="CN1038" s="4303"/>
      <c r="CO1038" s="4303"/>
      <c r="CP1038" s="4303"/>
      <c r="CQ1038" s="4303"/>
      <c r="CR1038" s="4303"/>
      <c r="CS1038" s="4303"/>
      <c r="CT1038" s="4303"/>
      <c r="CU1038" s="4303"/>
      <c r="CV1038" s="4303"/>
      <c r="CW1038" s="4303"/>
      <c r="CX1038" s="4303"/>
      <c r="CY1038" s="4303"/>
      <c r="CZ1038" s="4303"/>
      <c r="DA1038" s="4303"/>
      <c r="DB1038" s="4303"/>
      <c r="DC1038" s="4303"/>
      <c r="DD1038" s="4303"/>
      <c r="DE1038" s="4303"/>
      <c r="DF1038" s="4303"/>
      <c r="DG1038" s="4303"/>
      <c r="DH1038" s="4303"/>
      <c r="DI1038" s="4303"/>
      <c r="DJ1038" s="4303"/>
      <c r="DK1038" s="4303"/>
      <c r="DL1038" s="4303"/>
      <c r="DM1038" s="4303"/>
      <c r="DN1038" s="4303"/>
      <c r="DO1038" s="4303"/>
      <c r="DP1038" s="4303"/>
      <c r="DQ1038" s="4303"/>
      <c r="DR1038" s="4303"/>
      <c r="DS1038" s="4303"/>
    </row>
    <row r="1039" s="4134" customFormat="1" ht="17.25" customHeight="1" spans="1:123">
      <c r="A1039" s="4886" t="s">
        <v>5735</v>
      </c>
      <c r="B1039" s="4887"/>
      <c r="C1039" s="4887"/>
      <c r="D1039" s="4887"/>
      <c r="E1039" s="4888"/>
      <c r="F1039" s="4894"/>
      <c r="G1039" s="4697"/>
      <c r="H1039" s="4899"/>
      <c r="I1039" s="4900"/>
      <c r="J1039" s="4900"/>
      <c r="K1039" s="4900"/>
      <c r="L1039" s="4900"/>
      <c r="M1039" s="4900"/>
      <c r="N1039" s="4901"/>
      <c r="O1039" s="4896"/>
      <c r="P1039" s="4896"/>
      <c r="Q1039" s="4896"/>
      <c r="R1039" s="4896"/>
      <c r="S1039" s="4896"/>
      <c r="T1039" s="4896"/>
      <c r="U1039" s="4896"/>
      <c r="V1039" s="4697">
        <v>425</v>
      </c>
      <c r="W1039" s="4697"/>
      <c r="X1039" s="4303"/>
      <c r="Y1039" s="4303"/>
      <c r="Z1039" s="4311" t="s">
        <v>5401</v>
      </c>
      <c r="AA1039" s="4303"/>
      <c r="AB1039" s="4303"/>
      <c r="AC1039" s="4303"/>
      <c r="AD1039" s="4303"/>
      <c r="AE1039" s="4303"/>
      <c r="AF1039" s="4303"/>
      <c r="AG1039" s="4303"/>
      <c r="AH1039" s="4303"/>
      <c r="AI1039" s="4303"/>
      <c r="AJ1039" s="4303"/>
      <c r="AK1039" s="4303"/>
      <c r="AL1039" s="4303"/>
      <c r="AM1039" s="4303"/>
      <c r="AN1039" s="4303"/>
      <c r="AO1039" s="4303"/>
      <c r="AP1039" s="4303"/>
      <c r="AQ1039" s="4303"/>
      <c r="AR1039" s="4303"/>
      <c r="AS1039" s="4303"/>
      <c r="AT1039" s="4303"/>
      <c r="AU1039" s="4303"/>
      <c r="AV1039" s="4303"/>
      <c r="AW1039" s="4303"/>
      <c r="AX1039" s="4303"/>
      <c r="AY1039" s="4303"/>
      <c r="AZ1039" s="4303"/>
      <c r="BA1039" s="4303"/>
      <c r="BB1039" s="4303"/>
      <c r="BC1039" s="4303"/>
      <c r="BD1039" s="4303"/>
      <c r="BE1039" s="4303"/>
      <c r="BF1039" s="4303"/>
      <c r="BG1039" s="4303"/>
      <c r="BH1039" s="4303"/>
      <c r="BI1039" s="4303"/>
      <c r="BJ1039" s="4303"/>
      <c r="BK1039" s="4303"/>
      <c r="BL1039" s="4303"/>
      <c r="BM1039" s="4303"/>
      <c r="BN1039" s="4303"/>
      <c r="BO1039" s="4303"/>
      <c r="BP1039" s="4303"/>
      <c r="BQ1039" s="4303"/>
      <c r="BR1039" s="4303"/>
      <c r="BS1039" s="4303"/>
      <c r="BT1039" s="4303"/>
      <c r="BU1039" s="4303"/>
      <c r="BV1039" s="4303"/>
      <c r="BW1039" s="4303"/>
      <c r="BX1039" s="4303"/>
      <c r="BY1039" s="4303"/>
      <c r="BZ1039" s="4303"/>
      <c r="CA1039" s="4303"/>
      <c r="CB1039" s="4303"/>
      <c r="CC1039" s="4303"/>
      <c r="CD1039" s="4303"/>
      <c r="CE1039" s="4303"/>
      <c r="CF1039" s="4303"/>
      <c r="CG1039" s="4303"/>
      <c r="CH1039" s="4303"/>
      <c r="CI1039" s="4303"/>
      <c r="CJ1039" s="4303"/>
      <c r="CK1039" s="4303"/>
      <c r="CL1039" s="4303"/>
      <c r="CM1039" s="4303"/>
      <c r="CN1039" s="4303"/>
      <c r="CO1039" s="4303"/>
      <c r="CP1039" s="4303"/>
      <c r="CQ1039" s="4303"/>
      <c r="CR1039" s="4303"/>
      <c r="CS1039" s="4303"/>
      <c r="CT1039" s="4303"/>
      <c r="CU1039" s="4303"/>
      <c r="CV1039" s="4303"/>
      <c r="CW1039" s="4303"/>
      <c r="CX1039" s="4303"/>
      <c r="CY1039" s="4303"/>
      <c r="CZ1039" s="4303"/>
      <c r="DA1039" s="4303"/>
      <c r="DB1039" s="4303"/>
      <c r="DC1039" s="4303"/>
      <c r="DD1039" s="4303"/>
      <c r="DE1039" s="4303"/>
      <c r="DF1039" s="4303"/>
      <c r="DG1039" s="4303"/>
      <c r="DH1039" s="4303"/>
      <c r="DI1039" s="4303"/>
      <c r="DJ1039" s="4303"/>
      <c r="DK1039" s="4303"/>
      <c r="DL1039" s="4303"/>
      <c r="DM1039" s="4303"/>
      <c r="DN1039" s="4303"/>
      <c r="DO1039" s="4303"/>
      <c r="DP1039" s="4303"/>
      <c r="DQ1039" s="4303"/>
      <c r="DR1039" s="4303"/>
      <c r="DS1039" s="4303"/>
    </row>
    <row r="1040" s="4134" customFormat="1" ht="17.25" customHeight="1" spans="1:123">
      <c r="A1040" s="4886" t="s">
        <v>5736</v>
      </c>
      <c r="B1040" s="4887"/>
      <c r="C1040" s="4887"/>
      <c r="D1040" s="4887"/>
      <c r="E1040" s="4888"/>
      <c r="F1040" s="4894"/>
      <c r="G1040" s="4697"/>
      <c r="H1040" s="4905"/>
      <c r="I1040" s="4317"/>
      <c r="J1040" s="4317"/>
      <c r="K1040" s="4317"/>
      <c r="L1040" s="4317"/>
      <c r="M1040" s="4317"/>
      <c r="N1040" s="4906"/>
      <c r="O1040" s="4896"/>
      <c r="P1040" s="4896"/>
      <c r="Q1040" s="4896"/>
      <c r="R1040" s="4896"/>
      <c r="S1040" s="4896"/>
      <c r="T1040" s="4896"/>
      <c r="U1040" s="4896"/>
      <c r="V1040" s="4697">
        <v>425</v>
      </c>
      <c r="W1040" s="4697"/>
      <c r="X1040" s="4303"/>
      <c r="Y1040" s="4303"/>
      <c r="Z1040" s="4311" t="s">
        <v>3328</v>
      </c>
      <c r="AA1040" s="4303"/>
      <c r="AB1040" s="4303"/>
      <c r="AC1040" s="4303"/>
      <c r="AD1040" s="4303"/>
      <c r="AE1040" s="4303"/>
      <c r="AF1040" s="4303"/>
      <c r="AG1040" s="4303"/>
      <c r="AH1040" s="4303"/>
      <c r="AI1040" s="4303"/>
      <c r="AJ1040" s="4303"/>
      <c r="AK1040" s="4303"/>
      <c r="AL1040" s="4303"/>
      <c r="AM1040" s="4303"/>
      <c r="AN1040" s="4303"/>
      <c r="AO1040" s="4303"/>
      <c r="AP1040" s="4303"/>
      <c r="AQ1040" s="4303"/>
      <c r="AR1040" s="4303"/>
      <c r="AS1040" s="4303"/>
      <c r="AT1040" s="4303"/>
      <c r="AU1040" s="4303"/>
      <c r="AV1040" s="4303"/>
      <c r="AW1040" s="4303"/>
      <c r="AX1040" s="4303"/>
      <c r="AY1040" s="4303"/>
      <c r="AZ1040" s="4303"/>
      <c r="BA1040" s="4303"/>
      <c r="BB1040" s="4303"/>
      <c r="BC1040" s="4303"/>
      <c r="BD1040" s="4303"/>
      <c r="BE1040" s="4303"/>
      <c r="BF1040" s="4303"/>
      <c r="BG1040" s="4303"/>
      <c r="BH1040" s="4303"/>
      <c r="BI1040" s="4303"/>
      <c r="BJ1040" s="4303"/>
      <c r="BK1040" s="4303"/>
      <c r="BL1040" s="4303"/>
      <c r="BM1040" s="4303"/>
      <c r="BN1040" s="4303"/>
      <c r="BO1040" s="4303"/>
      <c r="BP1040" s="4303"/>
      <c r="BQ1040" s="4303"/>
      <c r="BR1040" s="4303"/>
      <c r="BS1040" s="4303"/>
      <c r="BT1040" s="4303"/>
      <c r="BU1040" s="4303"/>
      <c r="BV1040" s="4303"/>
      <c r="BW1040" s="4303"/>
      <c r="BX1040" s="4303"/>
      <c r="BY1040" s="4303"/>
      <c r="BZ1040" s="4303"/>
      <c r="CA1040" s="4303"/>
      <c r="CB1040" s="4303"/>
      <c r="CC1040" s="4303"/>
      <c r="CD1040" s="4303"/>
      <c r="CE1040" s="4303"/>
      <c r="CF1040" s="4303"/>
      <c r="CG1040" s="4303"/>
      <c r="CH1040" s="4303"/>
      <c r="CI1040" s="4303"/>
      <c r="CJ1040" s="4303"/>
      <c r="CK1040" s="4303"/>
      <c r="CL1040" s="4303"/>
      <c r="CM1040" s="4303"/>
      <c r="CN1040" s="4303"/>
      <c r="CO1040" s="4303"/>
      <c r="CP1040" s="4303"/>
      <c r="CQ1040" s="4303"/>
      <c r="CR1040" s="4303"/>
      <c r="CS1040" s="4303"/>
      <c r="CT1040" s="4303"/>
      <c r="CU1040" s="4303"/>
      <c r="CV1040" s="4303"/>
      <c r="CW1040" s="4303"/>
      <c r="CX1040" s="4303"/>
      <c r="CY1040" s="4303"/>
      <c r="CZ1040" s="4303"/>
      <c r="DA1040" s="4303"/>
      <c r="DB1040" s="4303"/>
      <c r="DC1040" s="4303"/>
      <c r="DD1040" s="4303"/>
      <c r="DE1040" s="4303"/>
      <c r="DF1040" s="4303"/>
      <c r="DG1040" s="4303"/>
      <c r="DH1040" s="4303"/>
      <c r="DI1040" s="4303"/>
      <c r="DJ1040" s="4303"/>
      <c r="DK1040" s="4303"/>
      <c r="DL1040" s="4303"/>
      <c r="DM1040" s="4303"/>
      <c r="DN1040" s="4303"/>
      <c r="DO1040" s="4303"/>
      <c r="DP1040" s="4303"/>
      <c r="DQ1040" s="4303"/>
      <c r="DR1040" s="4303"/>
      <c r="DS1040" s="4303"/>
    </row>
    <row r="1041" s="4134" customFormat="1" ht="17.25" customHeight="1" spans="1:123">
      <c r="A1041" s="4902" t="s">
        <v>5419</v>
      </c>
      <c r="B1041" s="4903"/>
      <c r="C1041" s="4903"/>
      <c r="D1041" s="4903"/>
      <c r="E1041" s="4904"/>
      <c r="F1041" s="4894"/>
      <c r="G1041" s="4697"/>
      <c r="H1041" s="4905"/>
      <c r="I1041" s="4317"/>
      <c r="J1041" s="4317"/>
      <c r="K1041" s="4317"/>
      <c r="L1041" s="4317"/>
      <c r="M1041" s="4317"/>
      <c r="N1041" s="4906"/>
      <c r="O1041" s="4896"/>
      <c r="P1041" s="4896"/>
      <c r="Q1041" s="4896"/>
      <c r="R1041" s="4896"/>
      <c r="S1041" s="4896"/>
      <c r="T1041" s="4896"/>
      <c r="U1041" s="4896"/>
      <c r="V1041" s="4697">
        <v>406</v>
      </c>
      <c r="W1041" s="4697"/>
      <c r="X1041" s="4303"/>
      <c r="Y1041" s="4303"/>
      <c r="Z1041" s="4311" t="s">
        <v>5420</v>
      </c>
      <c r="AA1041" s="4303"/>
      <c r="AB1041" s="4303"/>
      <c r="AC1041" s="4303"/>
      <c r="AD1041" s="4303"/>
      <c r="AE1041" s="4303"/>
      <c r="AF1041" s="4303"/>
      <c r="AG1041" s="4303"/>
      <c r="AH1041" s="4303"/>
      <c r="AI1041" s="4303"/>
      <c r="AJ1041" s="4303"/>
      <c r="AK1041" s="4303"/>
      <c r="AL1041" s="4303"/>
      <c r="AM1041" s="4303"/>
      <c r="AN1041" s="4303"/>
      <c r="AO1041" s="4303"/>
      <c r="AP1041" s="4303"/>
      <c r="AQ1041" s="4303"/>
      <c r="AR1041" s="4303"/>
      <c r="AS1041" s="4303"/>
      <c r="AT1041" s="4303"/>
      <c r="AU1041" s="4303"/>
      <c r="AV1041" s="4303"/>
      <c r="AW1041" s="4303"/>
      <c r="AX1041" s="4303"/>
      <c r="AY1041" s="4303"/>
      <c r="AZ1041" s="4303"/>
      <c r="BA1041" s="4303"/>
      <c r="BB1041" s="4303"/>
      <c r="BC1041" s="4303"/>
      <c r="BD1041" s="4303"/>
      <c r="BE1041" s="4303"/>
      <c r="BF1041" s="4303"/>
      <c r="BG1041" s="4303"/>
      <c r="BH1041" s="4303"/>
      <c r="BI1041" s="4303"/>
      <c r="BJ1041" s="4303"/>
      <c r="BK1041" s="4303"/>
      <c r="BL1041" s="4303"/>
      <c r="BM1041" s="4303"/>
      <c r="BN1041" s="4303"/>
      <c r="BO1041" s="4303"/>
      <c r="BP1041" s="4303"/>
      <c r="BQ1041" s="4303"/>
      <c r="BR1041" s="4303"/>
      <c r="BS1041" s="4303"/>
      <c r="BT1041" s="4303"/>
      <c r="BU1041" s="4303"/>
      <c r="BV1041" s="4303"/>
      <c r="BW1041" s="4303"/>
      <c r="BX1041" s="4303"/>
      <c r="BY1041" s="4303"/>
      <c r="BZ1041" s="4303"/>
      <c r="CA1041" s="4303"/>
      <c r="CB1041" s="4303"/>
      <c r="CC1041" s="4303"/>
      <c r="CD1041" s="4303"/>
      <c r="CE1041" s="4303"/>
      <c r="CF1041" s="4303"/>
      <c r="CG1041" s="4303"/>
      <c r="CH1041" s="4303"/>
      <c r="CI1041" s="4303"/>
      <c r="CJ1041" s="4303"/>
      <c r="CK1041" s="4303"/>
      <c r="CL1041" s="4303"/>
      <c r="CM1041" s="4303"/>
      <c r="CN1041" s="4303"/>
      <c r="CO1041" s="4303"/>
      <c r="CP1041" s="4303"/>
      <c r="CQ1041" s="4303"/>
      <c r="CR1041" s="4303"/>
      <c r="CS1041" s="4303"/>
      <c r="CT1041" s="4303"/>
      <c r="CU1041" s="4303"/>
      <c r="CV1041" s="4303"/>
      <c r="CW1041" s="4303"/>
      <c r="CX1041" s="4303"/>
      <c r="CY1041" s="4303"/>
      <c r="CZ1041" s="4303"/>
      <c r="DA1041" s="4303"/>
      <c r="DB1041" s="4303"/>
      <c r="DC1041" s="4303"/>
      <c r="DD1041" s="4303"/>
      <c r="DE1041" s="4303"/>
      <c r="DF1041" s="4303"/>
      <c r="DG1041" s="4303"/>
      <c r="DH1041" s="4303"/>
      <c r="DI1041" s="4303"/>
      <c r="DJ1041" s="4303"/>
      <c r="DK1041" s="4303"/>
      <c r="DL1041" s="4303"/>
      <c r="DM1041" s="4303"/>
      <c r="DN1041" s="4303"/>
      <c r="DO1041" s="4303"/>
      <c r="DP1041" s="4303"/>
      <c r="DQ1041" s="4303"/>
      <c r="DR1041" s="4303"/>
      <c r="DS1041" s="4303"/>
    </row>
    <row r="1042" s="4134" customFormat="1" ht="17.25" customHeight="1" spans="1:123">
      <c r="A1042" s="4902" t="s">
        <v>5422</v>
      </c>
      <c r="B1042" s="4903"/>
      <c r="C1042" s="4903"/>
      <c r="D1042" s="4903"/>
      <c r="E1042" s="4904"/>
      <c r="F1042" s="4894"/>
      <c r="G1042" s="4697"/>
      <c r="H1042" s="4905"/>
      <c r="I1042" s="4317"/>
      <c r="J1042" s="4317"/>
      <c r="K1042" s="4317"/>
      <c r="L1042" s="4317"/>
      <c r="M1042" s="4317"/>
      <c r="N1042" s="4906"/>
      <c r="O1042" s="4896"/>
      <c r="P1042" s="4896"/>
      <c r="Q1042" s="4896"/>
      <c r="R1042" s="4896"/>
      <c r="S1042" s="4896"/>
      <c r="T1042" s="4896"/>
      <c r="U1042" s="4896"/>
      <c r="V1042" s="4697">
        <v>406</v>
      </c>
      <c r="W1042" s="4697"/>
      <c r="X1042" s="4303"/>
      <c r="Y1042" s="4303"/>
      <c r="Z1042" s="4311" t="s">
        <v>5325</v>
      </c>
      <c r="AA1042" s="4303"/>
      <c r="AB1042" s="4303"/>
      <c r="AC1042" s="4303"/>
      <c r="AD1042" s="4303"/>
      <c r="AE1042" s="4303"/>
      <c r="AF1042" s="4303"/>
      <c r="AG1042" s="4303"/>
      <c r="AH1042" s="4303"/>
      <c r="AI1042" s="4303"/>
      <c r="AJ1042" s="4303"/>
      <c r="AK1042" s="4303"/>
      <c r="AL1042" s="4303"/>
      <c r="AM1042" s="4303"/>
      <c r="AN1042" s="4303"/>
      <c r="AO1042" s="4303"/>
      <c r="AP1042" s="4303"/>
      <c r="AQ1042" s="4303"/>
      <c r="AR1042" s="4303"/>
      <c r="AS1042" s="4303"/>
      <c r="AT1042" s="4303"/>
      <c r="AU1042" s="4303"/>
      <c r="AV1042" s="4303"/>
      <c r="AW1042" s="4303"/>
      <c r="AX1042" s="4303"/>
      <c r="AY1042" s="4303"/>
      <c r="AZ1042" s="4303"/>
      <c r="BA1042" s="4303"/>
      <c r="BB1042" s="4303"/>
      <c r="BC1042" s="4303"/>
      <c r="BD1042" s="4303"/>
      <c r="BE1042" s="4303"/>
      <c r="BF1042" s="4303"/>
      <c r="BG1042" s="4303"/>
      <c r="BH1042" s="4303"/>
      <c r="BI1042" s="4303"/>
      <c r="BJ1042" s="4303"/>
      <c r="BK1042" s="4303"/>
      <c r="BL1042" s="4303"/>
      <c r="BM1042" s="4303"/>
      <c r="BN1042" s="4303"/>
      <c r="BO1042" s="4303"/>
      <c r="BP1042" s="4303"/>
      <c r="BQ1042" s="4303"/>
      <c r="BR1042" s="4303"/>
      <c r="BS1042" s="4303"/>
      <c r="BT1042" s="4303"/>
      <c r="BU1042" s="4303"/>
      <c r="BV1042" s="4303"/>
      <c r="BW1042" s="4303"/>
      <c r="BX1042" s="4303"/>
      <c r="BY1042" s="4303"/>
      <c r="BZ1042" s="4303"/>
      <c r="CA1042" s="4303"/>
      <c r="CB1042" s="4303"/>
      <c r="CC1042" s="4303"/>
      <c r="CD1042" s="4303"/>
      <c r="CE1042" s="4303"/>
      <c r="CF1042" s="4303"/>
      <c r="CG1042" s="4303"/>
      <c r="CH1042" s="4303"/>
      <c r="CI1042" s="4303"/>
      <c r="CJ1042" s="4303"/>
      <c r="CK1042" s="4303"/>
      <c r="CL1042" s="4303"/>
      <c r="CM1042" s="4303"/>
      <c r="CN1042" s="4303"/>
      <c r="CO1042" s="4303"/>
      <c r="CP1042" s="4303"/>
      <c r="CQ1042" s="4303"/>
      <c r="CR1042" s="4303"/>
      <c r="CS1042" s="4303"/>
      <c r="CT1042" s="4303"/>
      <c r="CU1042" s="4303"/>
      <c r="CV1042" s="4303"/>
      <c r="CW1042" s="4303"/>
      <c r="CX1042" s="4303"/>
      <c r="CY1042" s="4303"/>
      <c r="CZ1042" s="4303"/>
      <c r="DA1042" s="4303"/>
      <c r="DB1042" s="4303"/>
      <c r="DC1042" s="4303"/>
      <c r="DD1042" s="4303"/>
      <c r="DE1042" s="4303"/>
      <c r="DF1042" s="4303"/>
      <c r="DG1042" s="4303"/>
      <c r="DH1042" s="4303"/>
      <c r="DI1042" s="4303"/>
      <c r="DJ1042" s="4303"/>
      <c r="DK1042" s="4303"/>
      <c r="DL1042" s="4303"/>
      <c r="DM1042" s="4303"/>
      <c r="DN1042" s="4303"/>
      <c r="DO1042" s="4303"/>
      <c r="DP1042" s="4303"/>
      <c r="DQ1042" s="4303"/>
      <c r="DR1042" s="4303"/>
      <c r="DS1042" s="4303"/>
    </row>
    <row r="1043" s="4134" customFormat="1" ht="17.25" customHeight="1" spans="1:123">
      <c r="A1043" s="4919" t="s">
        <v>5435</v>
      </c>
      <c r="B1043" s="4920"/>
      <c r="C1043" s="4920"/>
      <c r="D1043" s="4920"/>
      <c r="E1043" s="4921"/>
      <c r="F1043" s="4894"/>
      <c r="G1043" s="4697"/>
      <c r="H1043" s="4905"/>
      <c r="I1043" s="4317"/>
      <c r="J1043" s="4317"/>
      <c r="K1043" s="4317"/>
      <c r="L1043" s="4317"/>
      <c r="M1043" s="4317"/>
      <c r="N1043" s="4906"/>
      <c r="O1043" s="4896"/>
      <c r="P1043" s="4896"/>
      <c r="Q1043" s="4896"/>
      <c r="R1043" s="4896"/>
      <c r="S1043" s="4896"/>
      <c r="T1043" s="4896"/>
      <c r="U1043" s="4896"/>
      <c r="V1043" s="4697">
        <v>439</v>
      </c>
      <c r="W1043" s="4697"/>
      <c r="X1043" s="4303"/>
      <c r="Y1043" s="4303"/>
      <c r="Z1043" s="4311" t="s">
        <v>5436</v>
      </c>
      <c r="AA1043" s="4303"/>
      <c r="AB1043" s="4303"/>
      <c r="AC1043" s="4303"/>
      <c r="AD1043" s="4303"/>
      <c r="AE1043" s="4303"/>
      <c r="AF1043" s="4303"/>
      <c r="AG1043" s="4303"/>
      <c r="AH1043" s="4303"/>
      <c r="AI1043" s="4303"/>
      <c r="AJ1043" s="4303"/>
      <c r="AK1043" s="4303"/>
      <c r="AL1043" s="4303"/>
      <c r="AM1043" s="4303"/>
      <c r="AN1043" s="4303"/>
      <c r="AO1043" s="4303"/>
      <c r="AP1043" s="4303"/>
      <c r="AQ1043" s="4303"/>
      <c r="AR1043" s="4303"/>
      <c r="AS1043" s="4303"/>
      <c r="AT1043" s="4303"/>
      <c r="AU1043" s="4303"/>
      <c r="AV1043" s="4303"/>
      <c r="AW1043" s="4303"/>
      <c r="AX1043" s="4303"/>
      <c r="AY1043" s="4303"/>
      <c r="AZ1043" s="4303"/>
      <c r="BA1043" s="4303"/>
      <c r="BB1043" s="4303"/>
      <c r="BC1043" s="4303"/>
      <c r="BD1043" s="4303"/>
      <c r="BE1043" s="4303"/>
      <c r="BF1043" s="4303"/>
      <c r="BG1043" s="4303"/>
      <c r="BH1043" s="4303"/>
      <c r="BI1043" s="4303"/>
      <c r="BJ1043" s="4303"/>
      <c r="BK1043" s="4303"/>
      <c r="BL1043" s="4303"/>
      <c r="BM1043" s="4303"/>
      <c r="BN1043" s="4303"/>
      <c r="BO1043" s="4303"/>
      <c r="BP1043" s="4303"/>
      <c r="BQ1043" s="4303"/>
      <c r="BR1043" s="4303"/>
      <c r="BS1043" s="4303"/>
      <c r="BT1043" s="4303"/>
      <c r="BU1043" s="4303"/>
      <c r="BV1043" s="4303"/>
      <c r="BW1043" s="4303"/>
      <c r="BX1043" s="4303"/>
      <c r="BY1043" s="4303"/>
      <c r="BZ1043" s="4303"/>
      <c r="CA1043" s="4303"/>
      <c r="CB1043" s="4303"/>
      <c r="CC1043" s="4303"/>
      <c r="CD1043" s="4303"/>
      <c r="CE1043" s="4303"/>
      <c r="CF1043" s="4303"/>
      <c r="CG1043" s="4303"/>
      <c r="CH1043" s="4303"/>
      <c r="CI1043" s="4303"/>
      <c r="CJ1043" s="4303"/>
      <c r="CK1043" s="4303"/>
      <c r="CL1043" s="4303"/>
      <c r="CM1043" s="4303"/>
      <c r="CN1043" s="4303"/>
      <c r="CO1043" s="4303"/>
      <c r="CP1043" s="4303"/>
      <c r="CQ1043" s="4303"/>
      <c r="CR1043" s="4303"/>
      <c r="CS1043" s="4303"/>
      <c r="CT1043" s="4303"/>
      <c r="CU1043" s="4303"/>
      <c r="CV1043" s="4303"/>
      <c r="CW1043" s="4303"/>
      <c r="CX1043" s="4303"/>
      <c r="CY1043" s="4303"/>
      <c r="CZ1043" s="4303"/>
      <c r="DA1043" s="4303"/>
      <c r="DB1043" s="4303"/>
      <c r="DC1043" s="4303"/>
      <c r="DD1043" s="4303"/>
      <c r="DE1043" s="4303"/>
      <c r="DF1043" s="4303"/>
      <c r="DG1043" s="4303"/>
      <c r="DH1043" s="4303"/>
      <c r="DI1043" s="4303"/>
      <c r="DJ1043" s="4303"/>
      <c r="DK1043" s="4303"/>
      <c r="DL1043" s="4303"/>
      <c r="DM1043" s="4303"/>
      <c r="DN1043" s="4303"/>
      <c r="DO1043" s="4303"/>
      <c r="DP1043" s="4303"/>
      <c r="DQ1043" s="4303"/>
      <c r="DR1043" s="4303"/>
      <c r="DS1043" s="4303"/>
    </row>
    <row r="1044" s="4134" customFormat="1" ht="17.25" customHeight="1" spans="1:123">
      <c r="A1044" s="4919" t="s">
        <v>5437</v>
      </c>
      <c r="B1044" s="4920"/>
      <c r="C1044" s="4920"/>
      <c r="D1044" s="4920"/>
      <c r="E1044" s="4921"/>
      <c r="F1044" s="4894"/>
      <c r="G1044" s="4697"/>
      <c r="H1044" s="4905"/>
      <c r="I1044" s="4317"/>
      <c r="J1044" s="4317"/>
      <c r="K1044" s="4317"/>
      <c r="L1044" s="4317"/>
      <c r="M1044" s="4317"/>
      <c r="N1044" s="4906"/>
      <c r="O1044" s="4896"/>
      <c r="P1044" s="4896"/>
      <c r="Q1044" s="4896"/>
      <c r="R1044" s="4896"/>
      <c r="S1044" s="4896"/>
      <c r="T1044" s="4896"/>
      <c r="U1044" s="4896"/>
      <c r="V1044" s="4697">
        <v>439</v>
      </c>
      <c r="W1044" s="4697"/>
      <c r="X1044" s="4303"/>
      <c r="Y1044" s="4303"/>
      <c r="Z1044" s="4311" t="s">
        <v>5438</v>
      </c>
      <c r="AA1044" s="4303"/>
      <c r="AB1044" s="4303"/>
      <c r="AC1044" s="4303"/>
      <c r="AD1044" s="4303"/>
      <c r="AE1044" s="4303"/>
      <c r="AF1044" s="4303"/>
      <c r="AG1044" s="4303"/>
      <c r="AH1044" s="4303"/>
      <c r="AI1044" s="4303"/>
      <c r="AJ1044" s="4303"/>
      <c r="AK1044" s="4303"/>
      <c r="AL1044" s="4303"/>
      <c r="AM1044" s="4303"/>
      <c r="AN1044" s="4303"/>
      <c r="AO1044" s="4303"/>
      <c r="AP1044" s="4303"/>
      <c r="AQ1044" s="4303"/>
      <c r="AR1044" s="4303"/>
      <c r="AS1044" s="4303"/>
      <c r="AT1044" s="4303"/>
      <c r="AU1044" s="4303"/>
      <c r="AV1044" s="4303"/>
      <c r="AW1044" s="4303"/>
      <c r="AX1044" s="4303"/>
      <c r="AY1044" s="4303"/>
      <c r="AZ1044" s="4303"/>
      <c r="BA1044" s="4303"/>
      <c r="BB1044" s="4303"/>
      <c r="BC1044" s="4303"/>
      <c r="BD1044" s="4303"/>
      <c r="BE1044" s="4303"/>
      <c r="BF1044" s="4303"/>
      <c r="BG1044" s="4303"/>
      <c r="BH1044" s="4303"/>
      <c r="BI1044" s="4303"/>
      <c r="BJ1044" s="4303"/>
      <c r="BK1044" s="4303"/>
      <c r="BL1044" s="4303"/>
      <c r="BM1044" s="4303"/>
      <c r="BN1044" s="4303"/>
      <c r="BO1044" s="4303"/>
      <c r="BP1044" s="4303"/>
      <c r="BQ1044" s="4303"/>
      <c r="BR1044" s="4303"/>
      <c r="BS1044" s="4303"/>
      <c r="BT1044" s="4303"/>
      <c r="BU1044" s="4303"/>
      <c r="BV1044" s="4303"/>
      <c r="BW1044" s="4303"/>
      <c r="BX1044" s="4303"/>
      <c r="BY1044" s="4303"/>
      <c r="BZ1044" s="4303"/>
      <c r="CA1044" s="4303"/>
      <c r="CB1044" s="4303"/>
      <c r="CC1044" s="4303"/>
      <c r="CD1044" s="4303"/>
      <c r="CE1044" s="4303"/>
      <c r="CF1044" s="4303"/>
      <c r="CG1044" s="4303"/>
      <c r="CH1044" s="4303"/>
      <c r="CI1044" s="4303"/>
      <c r="CJ1044" s="4303"/>
      <c r="CK1044" s="4303"/>
      <c r="CL1044" s="4303"/>
      <c r="CM1044" s="4303"/>
      <c r="CN1044" s="4303"/>
      <c r="CO1044" s="4303"/>
      <c r="CP1044" s="4303"/>
      <c r="CQ1044" s="4303"/>
      <c r="CR1044" s="4303"/>
      <c r="CS1044" s="4303"/>
      <c r="CT1044" s="4303"/>
      <c r="CU1044" s="4303"/>
      <c r="CV1044" s="4303"/>
      <c r="CW1044" s="4303"/>
      <c r="CX1044" s="4303"/>
      <c r="CY1044" s="4303"/>
      <c r="CZ1044" s="4303"/>
      <c r="DA1044" s="4303"/>
      <c r="DB1044" s="4303"/>
      <c r="DC1044" s="4303"/>
      <c r="DD1044" s="4303"/>
      <c r="DE1044" s="4303"/>
      <c r="DF1044" s="4303"/>
      <c r="DG1044" s="4303"/>
      <c r="DH1044" s="4303"/>
      <c r="DI1044" s="4303"/>
      <c r="DJ1044" s="4303"/>
      <c r="DK1044" s="4303"/>
      <c r="DL1044" s="4303"/>
      <c r="DM1044" s="4303"/>
      <c r="DN1044" s="4303"/>
      <c r="DO1044" s="4303"/>
      <c r="DP1044" s="4303"/>
      <c r="DQ1044" s="4303"/>
      <c r="DR1044" s="4303"/>
      <c r="DS1044" s="4303"/>
    </row>
    <row r="1045" s="4134" customFormat="1" ht="17.25" customHeight="1" spans="1:123">
      <c r="A1045" s="4919" t="s">
        <v>5439</v>
      </c>
      <c r="B1045" s="4920"/>
      <c r="C1045" s="4920"/>
      <c r="D1045" s="4920"/>
      <c r="E1045" s="4921"/>
      <c r="F1045" s="4894"/>
      <c r="G1045" s="4697"/>
      <c r="H1045" s="4905"/>
      <c r="I1045" s="4317"/>
      <c r="J1045" s="4317"/>
      <c r="K1045" s="4317"/>
      <c r="L1045" s="4317"/>
      <c r="M1045" s="4317"/>
      <c r="N1045" s="4906"/>
      <c r="O1045" s="4896"/>
      <c r="P1045" s="4896"/>
      <c r="Q1045" s="4896"/>
      <c r="R1045" s="4896"/>
      <c r="S1045" s="4896"/>
      <c r="T1045" s="4896"/>
      <c r="U1045" s="4896"/>
      <c r="V1045" s="4697">
        <v>439</v>
      </c>
      <c r="W1045" s="4697"/>
      <c r="X1045" s="4303"/>
      <c r="Y1045" s="4303"/>
      <c r="Z1045" s="4311" t="s">
        <v>5440</v>
      </c>
      <c r="AA1045" s="4303"/>
      <c r="AB1045" s="4303"/>
      <c r="AC1045" s="4303"/>
      <c r="AD1045" s="4303"/>
      <c r="AE1045" s="4303"/>
      <c r="AF1045" s="4303"/>
      <c r="AG1045" s="4303"/>
      <c r="AH1045" s="4303"/>
      <c r="AI1045" s="4303"/>
      <c r="AJ1045" s="4303"/>
      <c r="AK1045" s="4303"/>
      <c r="AL1045" s="4303"/>
      <c r="AM1045" s="4303"/>
      <c r="AN1045" s="4303"/>
      <c r="AO1045" s="4303"/>
      <c r="AP1045" s="4303"/>
      <c r="AQ1045" s="4303"/>
      <c r="AR1045" s="4303"/>
      <c r="AS1045" s="4303"/>
      <c r="AT1045" s="4303"/>
      <c r="AU1045" s="4303"/>
      <c r="AV1045" s="4303"/>
      <c r="AW1045" s="4303"/>
      <c r="AX1045" s="4303"/>
      <c r="AY1045" s="4303"/>
      <c r="AZ1045" s="4303"/>
      <c r="BA1045" s="4303"/>
      <c r="BB1045" s="4303"/>
      <c r="BC1045" s="4303"/>
      <c r="BD1045" s="4303"/>
      <c r="BE1045" s="4303"/>
      <c r="BF1045" s="4303"/>
      <c r="BG1045" s="4303"/>
      <c r="BH1045" s="4303"/>
      <c r="BI1045" s="4303"/>
      <c r="BJ1045" s="4303"/>
      <c r="BK1045" s="4303"/>
      <c r="BL1045" s="4303"/>
      <c r="BM1045" s="4303"/>
      <c r="BN1045" s="4303"/>
      <c r="BO1045" s="4303"/>
      <c r="BP1045" s="4303"/>
      <c r="BQ1045" s="4303"/>
      <c r="BR1045" s="4303"/>
      <c r="BS1045" s="4303"/>
      <c r="BT1045" s="4303"/>
      <c r="BU1045" s="4303"/>
      <c r="BV1045" s="4303"/>
      <c r="BW1045" s="4303"/>
      <c r="BX1045" s="4303"/>
      <c r="BY1045" s="4303"/>
      <c r="BZ1045" s="4303"/>
      <c r="CA1045" s="4303"/>
      <c r="CB1045" s="4303"/>
      <c r="CC1045" s="4303"/>
      <c r="CD1045" s="4303"/>
      <c r="CE1045" s="4303"/>
      <c r="CF1045" s="4303"/>
      <c r="CG1045" s="4303"/>
      <c r="CH1045" s="4303"/>
      <c r="CI1045" s="4303"/>
      <c r="CJ1045" s="4303"/>
      <c r="CK1045" s="4303"/>
      <c r="CL1045" s="4303"/>
      <c r="CM1045" s="4303"/>
      <c r="CN1045" s="4303"/>
      <c r="CO1045" s="4303"/>
      <c r="CP1045" s="4303"/>
      <c r="CQ1045" s="4303"/>
      <c r="CR1045" s="4303"/>
      <c r="CS1045" s="4303"/>
      <c r="CT1045" s="4303"/>
      <c r="CU1045" s="4303"/>
      <c r="CV1045" s="4303"/>
      <c r="CW1045" s="4303"/>
      <c r="CX1045" s="4303"/>
      <c r="CY1045" s="4303"/>
      <c r="CZ1045" s="4303"/>
      <c r="DA1045" s="4303"/>
      <c r="DB1045" s="4303"/>
      <c r="DC1045" s="4303"/>
      <c r="DD1045" s="4303"/>
      <c r="DE1045" s="4303"/>
      <c r="DF1045" s="4303"/>
      <c r="DG1045" s="4303"/>
      <c r="DH1045" s="4303"/>
      <c r="DI1045" s="4303"/>
      <c r="DJ1045" s="4303"/>
      <c r="DK1045" s="4303"/>
      <c r="DL1045" s="4303"/>
      <c r="DM1045" s="4303"/>
      <c r="DN1045" s="4303"/>
      <c r="DO1045" s="4303"/>
      <c r="DP1045" s="4303"/>
      <c r="DQ1045" s="4303"/>
      <c r="DR1045" s="4303"/>
      <c r="DS1045" s="4303"/>
    </row>
    <row r="1046" s="4134" customFormat="1" ht="17.25" customHeight="1" spans="1:123">
      <c r="A1046" s="4919" t="s">
        <v>5441</v>
      </c>
      <c r="B1046" s="4920"/>
      <c r="C1046" s="4920"/>
      <c r="D1046" s="4920"/>
      <c r="E1046" s="4921"/>
      <c r="F1046" s="4894"/>
      <c r="G1046" s="4697"/>
      <c r="H1046" s="4913"/>
      <c r="I1046" s="4914"/>
      <c r="J1046" s="4914"/>
      <c r="K1046" s="4914"/>
      <c r="L1046" s="4914"/>
      <c r="M1046" s="4914"/>
      <c r="N1046" s="4915"/>
      <c r="O1046" s="4896"/>
      <c r="P1046" s="4896"/>
      <c r="Q1046" s="4896"/>
      <c r="R1046" s="4896"/>
      <c r="S1046" s="4896"/>
      <c r="T1046" s="4896"/>
      <c r="U1046" s="4896"/>
      <c r="V1046" s="4697">
        <v>439</v>
      </c>
      <c r="W1046" s="4697"/>
      <c r="X1046" s="4303"/>
      <c r="Y1046" s="4303"/>
      <c r="Z1046" s="4311" t="s">
        <v>3167</v>
      </c>
      <c r="AA1046" s="4303"/>
      <c r="AB1046" s="4303"/>
      <c r="AC1046" s="4303"/>
      <c r="AD1046" s="4303"/>
      <c r="AE1046" s="4303"/>
      <c r="AF1046" s="4303"/>
      <c r="AG1046" s="4303"/>
      <c r="AH1046" s="4303"/>
      <c r="AI1046" s="4303"/>
      <c r="AJ1046" s="4303"/>
      <c r="AK1046" s="4303"/>
      <c r="AL1046" s="4303"/>
      <c r="AM1046" s="4303"/>
      <c r="AN1046" s="4303"/>
      <c r="AO1046" s="4303"/>
      <c r="AP1046" s="4303"/>
      <c r="AQ1046" s="4303"/>
      <c r="AR1046" s="4303"/>
      <c r="AS1046" s="4303"/>
      <c r="AT1046" s="4303"/>
      <c r="AU1046" s="4303"/>
      <c r="AV1046" s="4303"/>
      <c r="AW1046" s="4303"/>
      <c r="AX1046" s="4303"/>
      <c r="AY1046" s="4303"/>
      <c r="AZ1046" s="4303"/>
      <c r="BA1046" s="4303"/>
      <c r="BB1046" s="4303"/>
      <c r="BC1046" s="4303"/>
      <c r="BD1046" s="4303"/>
      <c r="BE1046" s="4303"/>
      <c r="BF1046" s="4303"/>
      <c r="BG1046" s="4303"/>
      <c r="BH1046" s="4303"/>
      <c r="BI1046" s="4303"/>
      <c r="BJ1046" s="4303"/>
      <c r="BK1046" s="4303"/>
      <c r="BL1046" s="4303"/>
      <c r="BM1046" s="4303"/>
      <c r="BN1046" s="4303"/>
      <c r="BO1046" s="4303"/>
      <c r="BP1046" s="4303"/>
      <c r="BQ1046" s="4303"/>
      <c r="BR1046" s="4303"/>
      <c r="BS1046" s="4303"/>
      <c r="BT1046" s="4303"/>
      <c r="BU1046" s="4303"/>
      <c r="BV1046" s="4303"/>
      <c r="BW1046" s="4303"/>
      <c r="BX1046" s="4303"/>
      <c r="BY1046" s="4303"/>
      <c r="BZ1046" s="4303"/>
      <c r="CA1046" s="4303"/>
      <c r="CB1046" s="4303"/>
      <c r="CC1046" s="4303"/>
      <c r="CD1046" s="4303"/>
      <c r="CE1046" s="4303"/>
      <c r="CF1046" s="4303"/>
      <c r="CG1046" s="4303"/>
      <c r="CH1046" s="4303"/>
      <c r="CI1046" s="4303"/>
      <c r="CJ1046" s="4303"/>
      <c r="CK1046" s="4303"/>
      <c r="CL1046" s="4303"/>
      <c r="CM1046" s="4303"/>
      <c r="CN1046" s="4303"/>
      <c r="CO1046" s="4303"/>
      <c r="CP1046" s="4303"/>
      <c r="CQ1046" s="4303"/>
      <c r="CR1046" s="4303"/>
      <c r="CS1046" s="4303"/>
      <c r="CT1046" s="4303"/>
      <c r="CU1046" s="4303"/>
      <c r="CV1046" s="4303"/>
      <c r="CW1046" s="4303"/>
      <c r="CX1046" s="4303"/>
      <c r="CY1046" s="4303"/>
      <c r="CZ1046" s="4303"/>
      <c r="DA1046" s="4303"/>
      <c r="DB1046" s="4303"/>
      <c r="DC1046" s="4303"/>
      <c r="DD1046" s="4303"/>
      <c r="DE1046" s="4303"/>
      <c r="DF1046" s="4303"/>
      <c r="DG1046" s="4303"/>
      <c r="DH1046" s="4303"/>
      <c r="DI1046" s="4303"/>
      <c r="DJ1046" s="4303"/>
      <c r="DK1046" s="4303"/>
      <c r="DL1046" s="4303"/>
      <c r="DM1046" s="4303"/>
      <c r="DN1046" s="4303"/>
      <c r="DO1046" s="4303"/>
      <c r="DP1046" s="4303"/>
      <c r="DQ1046" s="4303"/>
      <c r="DR1046" s="4303"/>
      <c r="DS1046" s="4303"/>
    </row>
    <row r="1047" s="4134" customFormat="1" ht="17.25" customHeight="1" spans="1:123">
      <c r="A1047" s="4919" t="s">
        <v>5468</v>
      </c>
      <c r="B1047" s="4920"/>
      <c r="C1047" s="4920"/>
      <c r="D1047" s="4920"/>
      <c r="E1047" s="4921"/>
      <c r="F1047" s="4894">
        <v>440</v>
      </c>
      <c r="G1047" s="4697"/>
      <c r="H1047" s="4895"/>
      <c r="I1047" s="4895"/>
      <c r="J1047" s="4895"/>
      <c r="K1047" s="4895"/>
      <c r="L1047" s="4895"/>
      <c r="M1047" s="4895"/>
      <c r="N1047" s="4895"/>
      <c r="O1047" s="4896"/>
      <c r="P1047" s="4896"/>
      <c r="Q1047" s="4896"/>
      <c r="R1047" s="4896"/>
      <c r="S1047" s="4896"/>
      <c r="T1047" s="4896"/>
      <c r="U1047" s="4896"/>
      <c r="V1047" s="4697">
        <v>441</v>
      </c>
      <c r="W1047" s="4697"/>
      <c r="X1047" s="4303"/>
      <c r="Y1047" s="4303"/>
      <c r="Z1047" s="4311" t="s">
        <v>3160</v>
      </c>
      <c r="AA1047" s="4303"/>
      <c r="AB1047" s="4303"/>
      <c r="AC1047" s="4303"/>
      <c r="AD1047" s="4303"/>
      <c r="AE1047" s="4303"/>
      <c r="AF1047" s="4303"/>
      <c r="AG1047" s="4303"/>
      <c r="AH1047" s="4303"/>
      <c r="AI1047" s="4303"/>
      <c r="AJ1047" s="4303"/>
      <c r="AK1047" s="4303"/>
      <c r="AL1047" s="4303"/>
      <c r="AM1047" s="4303"/>
      <c r="AN1047" s="4303"/>
      <c r="AO1047" s="4303"/>
      <c r="AP1047" s="4303"/>
      <c r="AQ1047" s="4303"/>
      <c r="AR1047" s="4303"/>
      <c r="AS1047" s="4303"/>
      <c r="AT1047" s="4303"/>
      <c r="AU1047" s="4303"/>
      <c r="AV1047" s="4303"/>
      <c r="AW1047" s="4303"/>
      <c r="AX1047" s="4303"/>
      <c r="AY1047" s="4303"/>
      <c r="AZ1047" s="4303"/>
      <c r="BA1047" s="4303"/>
      <c r="BB1047" s="4303"/>
      <c r="BC1047" s="4303"/>
      <c r="BD1047" s="4303"/>
      <c r="BE1047" s="4303"/>
      <c r="BF1047" s="4303"/>
      <c r="BG1047" s="4303"/>
      <c r="BH1047" s="4303"/>
      <c r="BI1047" s="4303"/>
      <c r="BJ1047" s="4303"/>
      <c r="BK1047" s="4303"/>
      <c r="BL1047" s="4303"/>
      <c r="BM1047" s="4303"/>
      <c r="BN1047" s="4303"/>
      <c r="BO1047" s="4303"/>
      <c r="BP1047" s="4303"/>
      <c r="BQ1047" s="4303"/>
      <c r="BR1047" s="4303"/>
      <c r="BS1047" s="4303"/>
      <c r="BT1047" s="4303"/>
      <c r="BU1047" s="4303"/>
      <c r="BV1047" s="4303"/>
      <c r="BW1047" s="4303"/>
      <c r="BX1047" s="4303"/>
      <c r="BY1047" s="4303"/>
      <c r="BZ1047" s="4303"/>
      <c r="CA1047" s="4303"/>
      <c r="CB1047" s="4303"/>
      <c r="CC1047" s="4303"/>
      <c r="CD1047" s="4303"/>
      <c r="CE1047" s="4303"/>
      <c r="CF1047" s="4303"/>
      <c r="CG1047" s="4303"/>
      <c r="CH1047" s="4303"/>
      <c r="CI1047" s="4303"/>
      <c r="CJ1047" s="4303"/>
      <c r="CK1047" s="4303"/>
      <c r="CL1047" s="4303"/>
      <c r="CM1047" s="4303"/>
      <c r="CN1047" s="4303"/>
      <c r="CO1047" s="4303"/>
      <c r="CP1047" s="4303"/>
      <c r="CQ1047" s="4303"/>
      <c r="CR1047" s="4303"/>
      <c r="CS1047" s="4303"/>
      <c r="CT1047" s="4303"/>
      <c r="CU1047" s="4303"/>
      <c r="CV1047" s="4303"/>
      <c r="CW1047" s="4303"/>
      <c r="CX1047" s="4303"/>
      <c r="CY1047" s="4303"/>
      <c r="CZ1047" s="4303"/>
      <c r="DA1047" s="4303"/>
      <c r="DB1047" s="4303"/>
      <c r="DC1047" s="4303"/>
      <c r="DD1047" s="4303"/>
      <c r="DE1047" s="4303"/>
      <c r="DF1047" s="4303"/>
      <c r="DG1047" s="4303"/>
      <c r="DH1047" s="4303"/>
      <c r="DI1047" s="4303"/>
      <c r="DJ1047" s="4303"/>
      <c r="DK1047" s="4303"/>
      <c r="DL1047" s="4303"/>
      <c r="DM1047" s="4303"/>
      <c r="DN1047" s="4303"/>
      <c r="DO1047" s="4303"/>
      <c r="DP1047" s="4303"/>
      <c r="DQ1047" s="4303"/>
      <c r="DR1047" s="4303"/>
      <c r="DS1047" s="4303"/>
    </row>
    <row r="1048" s="4134" customFormat="1" ht="17.25" customHeight="1" spans="1:123">
      <c r="A1048" s="4922" t="s">
        <v>4577</v>
      </c>
      <c r="B1048" s="4923"/>
      <c r="C1048" s="4923"/>
      <c r="D1048" s="4923"/>
      <c r="E1048" s="4924"/>
      <c r="F1048" s="4894">
        <v>443</v>
      </c>
      <c r="G1048" s="4697"/>
      <c r="H1048" s="4895"/>
      <c r="I1048" s="4895"/>
      <c r="J1048" s="4895"/>
      <c r="K1048" s="4895"/>
      <c r="L1048" s="4895"/>
      <c r="M1048" s="4895"/>
      <c r="N1048" s="4895"/>
      <c r="O1048" s="4896"/>
      <c r="P1048" s="4896"/>
      <c r="Q1048" s="4896"/>
      <c r="R1048" s="4896"/>
      <c r="S1048" s="4896"/>
      <c r="T1048" s="4896"/>
      <c r="U1048" s="4896"/>
      <c r="V1048" s="4697">
        <v>443</v>
      </c>
      <c r="W1048" s="4697"/>
      <c r="X1048" s="4303"/>
      <c r="Y1048" s="4303"/>
      <c r="Z1048" s="4311" t="s">
        <v>5487</v>
      </c>
      <c r="AA1048" s="4303"/>
      <c r="AB1048" s="4303"/>
      <c r="AC1048" s="4303"/>
      <c r="AD1048" s="4303"/>
      <c r="AE1048" s="4303"/>
      <c r="AF1048" s="4303"/>
      <c r="AG1048" s="4303"/>
      <c r="AH1048" s="4303"/>
      <c r="AI1048" s="4303"/>
      <c r="AJ1048" s="4303"/>
      <c r="AK1048" s="4303"/>
      <c r="AL1048" s="4303"/>
      <c r="AM1048" s="4303"/>
      <c r="AN1048" s="4303"/>
      <c r="AO1048" s="4303"/>
      <c r="AP1048" s="4303"/>
      <c r="AQ1048" s="4303"/>
      <c r="AR1048" s="4303"/>
      <c r="AS1048" s="4303"/>
      <c r="AT1048" s="4303"/>
      <c r="AU1048" s="4303"/>
      <c r="AV1048" s="4303"/>
      <c r="AW1048" s="4303"/>
      <c r="AX1048" s="4303"/>
      <c r="AY1048" s="4303"/>
      <c r="AZ1048" s="4303"/>
      <c r="BA1048" s="4303"/>
      <c r="BB1048" s="4303"/>
      <c r="BC1048" s="4303"/>
      <c r="BD1048" s="4303"/>
      <c r="BE1048" s="4303"/>
      <c r="BF1048" s="4303"/>
      <c r="BG1048" s="4303"/>
      <c r="BH1048" s="4303"/>
      <c r="BI1048" s="4303"/>
      <c r="BJ1048" s="4303"/>
      <c r="BK1048" s="4303"/>
      <c r="BL1048" s="4303"/>
      <c r="BM1048" s="4303"/>
      <c r="BN1048" s="4303"/>
      <c r="BO1048" s="4303"/>
      <c r="BP1048" s="4303"/>
      <c r="BQ1048" s="4303"/>
      <c r="BR1048" s="4303"/>
      <c r="BS1048" s="4303"/>
      <c r="BT1048" s="4303"/>
      <c r="BU1048" s="4303"/>
      <c r="BV1048" s="4303"/>
      <c r="BW1048" s="4303"/>
      <c r="BX1048" s="4303"/>
      <c r="BY1048" s="4303"/>
      <c r="BZ1048" s="4303"/>
      <c r="CA1048" s="4303"/>
      <c r="CB1048" s="4303"/>
      <c r="CC1048" s="4303"/>
      <c r="CD1048" s="4303"/>
      <c r="CE1048" s="4303"/>
      <c r="CF1048" s="4303"/>
      <c r="CG1048" s="4303"/>
      <c r="CH1048" s="4303"/>
      <c r="CI1048" s="4303"/>
      <c r="CJ1048" s="4303"/>
      <c r="CK1048" s="4303"/>
      <c r="CL1048" s="4303"/>
      <c r="CM1048" s="4303"/>
      <c r="CN1048" s="4303"/>
      <c r="CO1048" s="4303"/>
      <c r="CP1048" s="4303"/>
      <c r="CQ1048" s="4303"/>
      <c r="CR1048" s="4303"/>
      <c r="CS1048" s="4303"/>
      <c r="CT1048" s="4303"/>
      <c r="CU1048" s="4303"/>
      <c r="CV1048" s="4303"/>
      <c r="CW1048" s="4303"/>
      <c r="CX1048" s="4303"/>
      <c r="CY1048" s="4303"/>
      <c r="CZ1048" s="4303"/>
      <c r="DA1048" s="4303"/>
      <c r="DB1048" s="4303"/>
      <c r="DC1048" s="4303"/>
      <c r="DD1048" s="4303"/>
      <c r="DE1048" s="4303"/>
      <c r="DF1048" s="4303"/>
      <c r="DG1048" s="4303"/>
      <c r="DH1048" s="4303"/>
      <c r="DI1048" s="4303"/>
      <c r="DJ1048" s="4303"/>
      <c r="DK1048" s="4303"/>
      <c r="DL1048" s="4303"/>
      <c r="DM1048" s="4303"/>
      <c r="DN1048" s="4303"/>
      <c r="DO1048" s="4303"/>
      <c r="DP1048" s="4303"/>
      <c r="DQ1048" s="4303"/>
      <c r="DR1048" s="4303"/>
      <c r="DS1048" s="4303"/>
    </row>
    <row r="1049" s="4134" customFormat="1" ht="17.25" customHeight="1" spans="1:123">
      <c r="A1049" s="4922" t="s">
        <v>4578</v>
      </c>
      <c r="B1049" s="4923"/>
      <c r="C1049" s="4923"/>
      <c r="D1049" s="4923"/>
      <c r="E1049" s="4924"/>
      <c r="F1049" s="4894">
        <v>444</v>
      </c>
      <c r="G1049" s="4697"/>
      <c r="H1049" s="4895"/>
      <c r="I1049" s="4895"/>
      <c r="J1049" s="4895"/>
      <c r="K1049" s="4895"/>
      <c r="L1049" s="4895"/>
      <c r="M1049" s="4895"/>
      <c r="N1049" s="4895"/>
      <c r="O1049" s="4896"/>
      <c r="P1049" s="4896"/>
      <c r="Q1049" s="4896"/>
      <c r="R1049" s="4896"/>
      <c r="S1049" s="4896"/>
      <c r="T1049" s="4896"/>
      <c r="U1049" s="4896"/>
      <c r="V1049" s="4697">
        <v>443</v>
      </c>
      <c r="W1049" s="4697"/>
      <c r="X1049" s="4303"/>
      <c r="Y1049" s="4303"/>
      <c r="Z1049" s="4311" t="s">
        <v>5488</v>
      </c>
      <c r="AA1049" s="4303"/>
      <c r="AB1049" s="4303"/>
      <c r="AC1049" s="4303"/>
      <c r="AD1049" s="4303"/>
      <c r="AE1049" s="4303"/>
      <c r="AF1049" s="4303"/>
      <c r="AG1049" s="4303"/>
      <c r="AH1049" s="4303"/>
      <c r="AI1049" s="4303"/>
      <c r="AJ1049" s="4303"/>
      <c r="AK1049" s="4303"/>
      <c r="AL1049" s="4303"/>
      <c r="AM1049" s="4303"/>
      <c r="AN1049" s="4303"/>
      <c r="AO1049" s="4303"/>
      <c r="AP1049" s="4303"/>
      <c r="AQ1049" s="4303"/>
      <c r="AR1049" s="4303"/>
      <c r="AS1049" s="4303"/>
      <c r="AT1049" s="4303"/>
      <c r="AU1049" s="4303"/>
      <c r="AV1049" s="4303"/>
      <c r="AW1049" s="4303"/>
      <c r="AX1049" s="4303"/>
      <c r="AY1049" s="4303"/>
      <c r="AZ1049" s="4303"/>
      <c r="BA1049" s="4303"/>
      <c r="BB1049" s="4303"/>
      <c r="BC1049" s="4303"/>
      <c r="BD1049" s="4303"/>
      <c r="BE1049" s="4303"/>
      <c r="BF1049" s="4303"/>
      <c r="BG1049" s="4303"/>
      <c r="BH1049" s="4303"/>
      <c r="BI1049" s="4303"/>
      <c r="BJ1049" s="4303"/>
      <c r="BK1049" s="4303"/>
      <c r="BL1049" s="4303"/>
      <c r="BM1049" s="4303"/>
      <c r="BN1049" s="4303"/>
      <c r="BO1049" s="4303"/>
      <c r="BP1049" s="4303"/>
      <c r="BQ1049" s="4303"/>
      <c r="BR1049" s="4303"/>
      <c r="BS1049" s="4303"/>
      <c r="BT1049" s="4303"/>
      <c r="BU1049" s="4303"/>
      <c r="BV1049" s="4303"/>
      <c r="BW1049" s="4303"/>
      <c r="BX1049" s="4303"/>
      <c r="BY1049" s="4303"/>
      <c r="BZ1049" s="4303"/>
      <c r="CA1049" s="4303"/>
      <c r="CB1049" s="4303"/>
      <c r="CC1049" s="4303"/>
      <c r="CD1049" s="4303"/>
      <c r="CE1049" s="4303"/>
      <c r="CF1049" s="4303"/>
      <c r="CG1049" s="4303"/>
      <c r="CH1049" s="4303"/>
      <c r="CI1049" s="4303"/>
      <c r="CJ1049" s="4303"/>
      <c r="CK1049" s="4303"/>
      <c r="CL1049" s="4303"/>
      <c r="CM1049" s="4303"/>
      <c r="CN1049" s="4303"/>
      <c r="CO1049" s="4303"/>
      <c r="CP1049" s="4303"/>
      <c r="CQ1049" s="4303"/>
      <c r="CR1049" s="4303"/>
      <c r="CS1049" s="4303"/>
      <c r="CT1049" s="4303"/>
      <c r="CU1049" s="4303"/>
      <c r="CV1049" s="4303"/>
      <c r="CW1049" s="4303"/>
      <c r="CX1049" s="4303"/>
      <c r="CY1049" s="4303"/>
      <c r="CZ1049" s="4303"/>
      <c r="DA1049" s="4303"/>
      <c r="DB1049" s="4303"/>
      <c r="DC1049" s="4303"/>
      <c r="DD1049" s="4303"/>
      <c r="DE1049" s="4303"/>
      <c r="DF1049" s="4303"/>
      <c r="DG1049" s="4303"/>
      <c r="DH1049" s="4303"/>
      <c r="DI1049" s="4303"/>
      <c r="DJ1049" s="4303"/>
      <c r="DK1049" s="4303"/>
      <c r="DL1049" s="4303"/>
      <c r="DM1049" s="4303"/>
      <c r="DN1049" s="4303"/>
      <c r="DO1049" s="4303"/>
      <c r="DP1049" s="4303"/>
      <c r="DQ1049" s="4303"/>
      <c r="DR1049" s="4303"/>
      <c r="DS1049" s="4303"/>
    </row>
    <row r="1050" s="4134" customFormat="1" ht="17.25" customHeight="1" spans="1:123">
      <c r="A1050" s="4922" t="s">
        <v>4579</v>
      </c>
      <c r="B1050" s="4923"/>
      <c r="C1050" s="4923"/>
      <c r="D1050" s="4923"/>
      <c r="E1050" s="4924"/>
      <c r="F1050" s="4894">
        <v>446</v>
      </c>
      <c r="G1050" s="4697"/>
      <c r="H1050" s="4895"/>
      <c r="I1050" s="4895"/>
      <c r="J1050" s="4895"/>
      <c r="K1050" s="4895"/>
      <c r="L1050" s="4895"/>
      <c r="M1050" s="4895"/>
      <c r="N1050" s="4895"/>
      <c r="O1050" s="4899"/>
      <c r="P1050" s="4900"/>
      <c r="Q1050" s="4900"/>
      <c r="R1050" s="4900"/>
      <c r="S1050" s="4900"/>
      <c r="T1050" s="4900"/>
      <c r="U1050" s="4901"/>
      <c r="V1050" s="4697"/>
      <c r="W1050" s="4697"/>
      <c r="X1050" s="4303"/>
      <c r="Y1050" s="4303"/>
      <c r="Z1050" s="4311" t="s">
        <v>5489</v>
      </c>
      <c r="AA1050" s="4303"/>
      <c r="AB1050" s="4303"/>
      <c r="AC1050" s="4303"/>
      <c r="AD1050" s="4303"/>
      <c r="AE1050" s="4303"/>
      <c r="AF1050" s="4303"/>
      <c r="AG1050" s="4303"/>
      <c r="AH1050" s="4303"/>
      <c r="AI1050" s="4303"/>
      <c r="AJ1050" s="4303"/>
      <c r="AK1050" s="4303"/>
      <c r="AL1050" s="4303"/>
      <c r="AM1050" s="4303"/>
      <c r="AN1050" s="4303"/>
      <c r="AO1050" s="4303"/>
      <c r="AP1050" s="4303"/>
      <c r="AQ1050" s="4303"/>
      <c r="AR1050" s="4303"/>
      <c r="AS1050" s="4303"/>
      <c r="AT1050" s="4303"/>
      <c r="AU1050" s="4303"/>
      <c r="AV1050" s="4303"/>
      <c r="AW1050" s="4303"/>
      <c r="AX1050" s="4303"/>
      <c r="AY1050" s="4303"/>
      <c r="AZ1050" s="4303"/>
      <c r="BA1050" s="4303"/>
      <c r="BB1050" s="4303"/>
      <c r="BC1050" s="4303"/>
      <c r="BD1050" s="4303"/>
      <c r="BE1050" s="4303"/>
      <c r="BF1050" s="4303"/>
      <c r="BG1050" s="4303"/>
      <c r="BH1050" s="4303"/>
      <c r="BI1050" s="4303"/>
      <c r="BJ1050" s="4303"/>
      <c r="BK1050" s="4303"/>
      <c r="BL1050" s="4303"/>
      <c r="BM1050" s="4303"/>
      <c r="BN1050" s="4303"/>
      <c r="BO1050" s="4303"/>
      <c r="BP1050" s="4303"/>
      <c r="BQ1050" s="4303"/>
      <c r="BR1050" s="4303"/>
      <c r="BS1050" s="4303"/>
      <c r="BT1050" s="4303"/>
      <c r="BU1050" s="4303"/>
      <c r="BV1050" s="4303"/>
      <c r="BW1050" s="4303"/>
      <c r="BX1050" s="4303"/>
      <c r="BY1050" s="4303"/>
      <c r="BZ1050" s="4303"/>
      <c r="CA1050" s="4303"/>
      <c r="CB1050" s="4303"/>
      <c r="CC1050" s="4303"/>
      <c r="CD1050" s="4303"/>
      <c r="CE1050" s="4303"/>
      <c r="CF1050" s="4303"/>
      <c r="CG1050" s="4303"/>
      <c r="CH1050" s="4303"/>
      <c r="CI1050" s="4303"/>
      <c r="CJ1050" s="4303"/>
      <c r="CK1050" s="4303"/>
      <c r="CL1050" s="4303"/>
      <c r="CM1050" s="4303"/>
      <c r="CN1050" s="4303"/>
      <c r="CO1050" s="4303"/>
      <c r="CP1050" s="4303"/>
      <c r="CQ1050" s="4303"/>
      <c r="CR1050" s="4303"/>
      <c r="CS1050" s="4303"/>
      <c r="CT1050" s="4303"/>
      <c r="CU1050" s="4303"/>
      <c r="CV1050" s="4303"/>
      <c r="CW1050" s="4303"/>
      <c r="CX1050" s="4303"/>
      <c r="CY1050" s="4303"/>
      <c r="CZ1050" s="4303"/>
      <c r="DA1050" s="4303"/>
      <c r="DB1050" s="4303"/>
      <c r="DC1050" s="4303"/>
      <c r="DD1050" s="4303"/>
      <c r="DE1050" s="4303"/>
      <c r="DF1050" s="4303"/>
      <c r="DG1050" s="4303"/>
      <c r="DH1050" s="4303"/>
      <c r="DI1050" s="4303"/>
      <c r="DJ1050" s="4303"/>
      <c r="DK1050" s="4303"/>
      <c r="DL1050" s="4303"/>
      <c r="DM1050" s="4303"/>
      <c r="DN1050" s="4303"/>
      <c r="DO1050" s="4303"/>
      <c r="DP1050" s="4303"/>
      <c r="DQ1050" s="4303"/>
      <c r="DR1050" s="4303"/>
      <c r="DS1050" s="4303"/>
    </row>
    <row r="1051" s="4134" customFormat="1" ht="17.25" customHeight="1" spans="1:123">
      <c r="A1051" s="4922" t="s">
        <v>4580</v>
      </c>
      <c r="B1051" s="4923"/>
      <c r="C1051" s="4923"/>
      <c r="D1051" s="4923"/>
      <c r="E1051" s="4924"/>
      <c r="F1051" s="4894">
        <v>446</v>
      </c>
      <c r="G1051" s="4697"/>
      <c r="H1051" s="4895"/>
      <c r="I1051" s="4895"/>
      <c r="J1051" s="4895"/>
      <c r="K1051" s="4895"/>
      <c r="L1051" s="4895"/>
      <c r="M1051" s="4895"/>
      <c r="N1051" s="4895"/>
      <c r="O1051" s="4913"/>
      <c r="P1051" s="4914"/>
      <c r="Q1051" s="4914"/>
      <c r="R1051" s="4914"/>
      <c r="S1051" s="4914"/>
      <c r="T1051" s="4914"/>
      <c r="U1051" s="4915"/>
      <c r="V1051" s="4697"/>
      <c r="W1051" s="4697"/>
      <c r="X1051" s="4303"/>
      <c r="Y1051" s="4303"/>
      <c r="Z1051" s="4311" t="s">
        <v>5490</v>
      </c>
      <c r="AA1051" s="4303"/>
      <c r="AB1051" s="4303"/>
      <c r="AC1051" s="4303"/>
      <c r="AD1051" s="4303"/>
      <c r="AE1051" s="4303"/>
      <c r="AF1051" s="4303"/>
      <c r="AG1051" s="4303"/>
      <c r="AH1051" s="4303"/>
      <c r="AI1051" s="4303"/>
      <c r="AJ1051" s="4303"/>
      <c r="AK1051" s="4303"/>
      <c r="AL1051" s="4303"/>
      <c r="AM1051" s="4303"/>
      <c r="AN1051" s="4303"/>
      <c r="AO1051" s="4303"/>
      <c r="AP1051" s="4303"/>
      <c r="AQ1051" s="4303"/>
      <c r="AR1051" s="4303"/>
      <c r="AS1051" s="4303"/>
      <c r="AT1051" s="4303"/>
      <c r="AU1051" s="4303"/>
      <c r="AV1051" s="4303"/>
      <c r="AW1051" s="4303"/>
      <c r="AX1051" s="4303"/>
      <c r="AY1051" s="4303"/>
      <c r="AZ1051" s="4303"/>
      <c r="BA1051" s="4303"/>
      <c r="BB1051" s="4303"/>
      <c r="BC1051" s="4303"/>
      <c r="BD1051" s="4303"/>
      <c r="BE1051" s="4303"/>
      <c r="BF1051" s="4303"/>
      <c r="BG1051" s="4303"/>
      <c r="BH1051" s="4303"/>
      <c r="BI1051" s="4303"/>
      <c r="BJ1051" s="4303"/>
      <c r="BK1051" s="4303"/>
      <c r="BL1051" s="4303"/>
      <c r="BM1051" s="4303"/>
      <c r="BN1051" s="4303"/>
      <c r="BO1051" s="4303"/>
      <c r="BP1051" s="4303"/>
      <c r="BQ1051" s="4303"/>
      <c r="BR1051" s="4303"/>
      <c r="BS1051" s="4303"/>
      <c r="BT1051" s="4303"/>
      <c r="BU1051" s="4303"/>
      <c r="BV1051" s="4303"/>
      <c r="BW1051" s="4303"/>
      <c r="BX1051" s="4303"/>
      <c r="BY1051" s="4303"/>
      <c r="BZ1051" s="4303"/>
      <c r="CA1051" s="4303"/>
      <c r="CB1051" s="4303"/>
      <c r="CC1051" s="4303"/>
      <c r="CD1051" s="4303"/>
      <c r="CE1051" s="4303"/>
      <c r="CF1051" s="4303"/>
      <c r="CG1051" s="4303"/>
      <c r="CH1051" s="4303"/>
      <c r="CI1051" s="4303"/>
      <c r="CJ1051" s="4303"/>
      <c r="CK1051" s="4303"/>
      <c r="CL1051" s="4303"/>
      <c r="CM1051" s="4303"/>
      <c r="CN1051" s="4303"/>
      <c r="CO1051" s="4303"/>
      <c r="CP1051" s="4303"/>
      <c r="CQ1051" s="4303"/>
      <c r="CR1051" s="4303"/>
      <c r="CS1051" s="4303"/>
      <c r="CT1051" s="4303"/>
      <c r="CU1051" s="4303"/>
      <c r="CV1051" s="4303"/>
      <c r="CW1051" s="4303"/>
      <c r="CX1051" s="4303"/>
      <c r="CY1051" s="4303"/>
      <c r="CZ1051" s="4303"/>
      <c r="DA1051" s="4303"/>
      <c r="DB1051" s="4303"/>
      <c r="DC1051" s="4303"/>
      <c r="DD1051" s="4303"/>
      <c r="DE1051" s="4303"/>
      <c r="DF1051" s="4303"/>
      <c r="DG1051" s="4303"/>
      <c r="DH1051" s="4303"/>
      <c r="DI1051" s="4303"/>
      <c r="DJ1051" s="4303"/>
      <c r="DK1051" s="4303"/>
      <c r="DL1051" s="4303"/>
      <c r="DM1051" s="4303"/>
      <c r="DN1051" s="4303"/>
      <c r="DO1051" s="4303"/>
      <c r="DP1051" s="4303"/>
      <c r="DQ1051" s="4303"/>
      <c r="DR1051" s="4303"/>
      <c r="DS1051" s="4303"/>
    </row>
    <row r="1052" s="4134" customFormat="1" ht="17.25" customHeight="1" spans="1:123">
      <c r="A1052" s="4922" t="s">
        <v>4586</v>
      </c>
      <c r="B1052" s="4923"/>
      <c r="C1052" s="4923"/>
      <c r="D1052" s="4923"/>
      <c r="E1052" s="4924"/>
      <c r="F1052" s="4894">
        <v>444</v>
      </c>
      <c r="G1052" s="4697"/>
      <c r="H1052" s="4895"/>
      <c r="I1052" s="4895"/>
      <c r="J1052" s="4895"/>
      <c r="K1052" s="4895"/>
      <c r="L1052" s="4895"/>
      <c r="M1052" s="4895"/>
      <c r="N1052" s="4895"/>
      <c r="O1052" s="4896"/>
      <c r="P1052" s="4896"/>
      <c r="Q1052" s="4896"/>
      <c r="R1052" s="4896"/>
      <c r="S1052" s="4896"/>
      <c r="T1052" s="4896"/>
      <c r="U1052" s="4896"/>
      <c r="V1052" s="4697">
        <v>443</v>
      </c>
      <c r="W1052" s="4697"/>
      <c r="X1052" s="4303"/>
      <c r="Y1052" s="4303"/>
      <c r="Z1052" s="4311" t="s">
        <v>5495</v>
      </c>
      <c r="AA1052" s="4303"/>
      <c r="AB1052" s="4303"/>
      <c r="AC1052" s="4303"/>
      <c r="AD1052" s="4303"/>
      <c r="AE1052" s="4303"/>
      <c r="AF1052" s="4303"/>
      <c r="AG1052" s="4303"/>
      <c r="AH1052" s="4303"/>
      <c r="AI1052" s="4303"/>
      <c r="AJ1052" s="4303"/>
      <c r="AK1052" s="4303"/>
      <c r="AL1052" s="4303"/>
      <c r="AM1052" s="4303"/>
      <c r="AN1052" s="4303"/>
      <c r="AO1052" s="4303"/>
      <c r="AP1052" s="4303"/>
      <c r="AQ1052" s="4303"/>
      <c r="AR1052" s="4303"/>
      <c r="AS1052" s="4303"/>
      <c r="AT1052" s="4303"/>
      <c r="AU1052" s="4303"/>
      <c r="AV1052" s="4303"/>
      <c r="AW1052" s="4303"/>
      <c r="AX1052" s="4303"/>
      <c r="AY1052" s="4303"/>
      <c r="AZ1052" s="4303"/>
      <c r="BA1052" s="4303"/>
      <c r="BB1052" s="4303"/>
      <c r="BC1052" s="4303"/>
      <c r="BD1052" s="4303"/>
      <c r="BE1052" s="4303"/>
      <c r="BF1052" s="4303"/>
      <c r="BG1052" s="4303"/>
      <c r="BH1052" s="4303"/>
      <c r="BI1052" s="4303"/>
      <c r="BJ1052" s="4303"/>
      <c r="BK1052" s="4303"/>
      <c r="BL1052" s="4303"/>
      <c r="BM1052" s="4303"/>
      <c r="BN1052" s="4303"/>
      <c r="BO1052" s="4303"/>
      <c r="BP1052" s="4303"/>
      <c r="BQ1052" s="4303"/>
      <c r="BR1052" s="4303"/>
      <c r="BS1052" s="4303"/>
      <c r="BT1052" s="4303"/>
      <c r="BU1052" s="4303"/>
      <c r="BV1052" s="4303"/>
      <c r="BW1052" s="4303"/>
      <c r="BX1052" s="4303"/>
      <c r="BY1052" s="4303"/>
      <c r="BZ1052" s="4303"/>
      <c r="CA1052" s="4303"/>
      <c r="CB1052" s="4303"/>
      <c r="CC1052" s="4303"/>
      <c r="CD1052" s="4303"/>
      <c r="CE1052" s="4303"/>
      <c r="CF1052" s="4303"/>
      <c r="CG1052" s="4303"/>
      <c r="CH1052" s="4303"/>
      <c r="CI1052" s="4303"/>
      <c r="CJ1052" s="4303"/>
      <c r="CK1052" s="4303"/>
      <c r="CL1052" s="4303"/>
      <c r="CM1052" s="4303"/>
      <c r="CN1052" s="4303"/>
      <c r="CO1052" s="4303"/>
      <c r="CP1052" s="4303"/>
      <c r="CQ1052" s="4303"/>
      <c r="CR1052" s="4303"/>
      <c r="CS1052" s="4303"/>
      <c r="CT1052" s="4303"/>
      <c r="CU1052" s="4303"/>
      <c r="CV1052" s="4303"/>
      <c r="CW1052" s="4303"/>
      <c r="CX1052" s="4303"/>
      <c r="CY1052" s="4303"/>
      <c r="CZ1052" s="4303"/>
      <c r="DA1052" s="4303"/>
      <c r="DB1052" s="4303"/>
      <c r="DC1052" s="4303"/>
      <c r="DD1052" s="4303"/>
      <c r="DE1052" s="4303"/>
      <c r="DF1052" s="4303"/>
      <c r="DG1052" s="4303"/>
      <c r="DH1052" s="4303"/>
      <c r="DI1052" s="4303"/>
      <c r="DJ1052" s="4303"/>
      <c r="DK1052" s="4303"/>
      <c r="DL1052" s="4303"/>
      <c r="DM1052" s="4303"/>
      <c r="DN1052" s="4303"/>
      <c r="DO1052" s="4303"/>
      <c r="DP1052" s="4303"/>
      <c r="DQ1052" s="4303"/>
      <c r="DR1052" s="4303"/>
      <c r="DS1052" s="4303"/>
    </row>
    <row r="1053" s="4134" customFormat="1" ht="17.25" customHeight="1" spans="1:123">
      <c r="A1053" s="4922" t="s">
        <v>4587</v>
      </c>
      <c r="B1053" s="4923"/>
      <c r="C1053" s="4923"/>
      <c r="D1053" s="4923"/>
      <c r="E1053" s="4924"/>
      <c r="F1053" s="4894">
        <v>444</v>
      </c>
      <c r="G1053" s="4697"/>
      <c r="H1053" s="4895"/>
      <c r="I1053" s="4895"/>
      <c r="J1053" s="4895"/>
      <c r="K1053" s="4895"/>
      <c r="L1053" s="4895"/>
      <c r="M1053" s="4895"/>
      <c r="N1053" s="4895"/>
      <c r="O1053" s="4896"/>
      <c r="P1053" s="4896"/>
      <c r="Q1053" s="4896"/>
      <c r="R1053" s="4896"/>
      <c r="S1053" s="4896"/>
      <c r="T1053" s="4896"/>
      <c r="U1053" s="4896"/>
      <c r="V1053" s="4697">
        <v>443</v>
      </c>
      <c r="W1053" s="4697"/>
      <c r="X1053" s="4303"/>
      <c r="Y1053" s="4303"/>
      <c r="Z1053" s="4311" t="s">
        <v>5496</v>
      </c>
      <c r="AA1053" s="4303"/>
      <c r="AB1053" s="4303"/>
      <c r="AC1053" s="4303"/>
      <c r="AD1053" s="4303"/>
      <c r="AE1053" s="4303"/>
      <c r="AF1053" s="4303"/>
      <c r="AG1053" s="4303"/>
      <c r="AH1053" s="4303"/>
      <c r="AI1053" s="4303"/>
      <c r="AJ1053" s="4303"/>
      <c r="AK1053" s="4303"/>
      <c r="AL1053" s="4303"/>
      <c r="AM1053" s="4303"/>
      <c r="AN1053" s="4303"/>
      <c r="AO1053" s="4303"/>
      <c r="AP1053" s="4303"/>
      <c r="AQ1053" s="4303"/>
      <c r="AR1053" s="4303"/>
      <c r="AS1053" s="4303"/>
      <c r="AT1053" s="4303"/>
      <c r="AU1053" s="4303"/>
      <c r="AV1053" s="4303"/>
      <c r="AW1053" s="4303"/>
      <c r="AX1053" s="4303"/>
      <c r="AY1053" s="4303"/>
      <c r="AZ1053" s="4303"/>
      <c r="BA1053" s="4303"/>
      <c r="BB1053" s="4303"/>
      <c r="BC1053" s="4303"/>
      <c r="BD1053" s="4303"/>
      <c r="BE1053" s="4303"/>
      <c r="BF1053" s="4303"/>
      <c r="BG1053" s="4303"/>
      <c r="BH1053" s="4303"/>
      <c r="BI1053" s="4303"/>
      <c r="BJ1053" s="4303"/>
      <c r="BK1053" s="4303"/>
      <c r="BL1053" s="4303"/>
      <c r="BM1053" s="4303"/>
      <c r="BN1053" s="4303"/>
      <c r="BO1053" s="4303"/>
      <c r="BP1053" s="4303"/>
      <c r="BQ1053" s="4303"/>
      <c r="BR1053" s="4303"/>
      <c r="BS1053" s="4303"/>
      <c r="BT1053" s="4303"/>
      <c r="BU1053" s="4303"/>
      <c r="BV1053" s="4303"/>
      <c r="BW1053" s="4303"/>
      <c r="BX1053" s="4303"/>
      <c r="BY1053" s="4303"/>
      <c r="BZ1053" s="4303"/>
      <c r="CA1053" s="4303"/>
      <c r="CB1053" s="4303"/>
      <c r="CC1053" s="4303"/>
      <c r="CD1053" s="4303"/>
      <c r="CE1053" s="4303"/>
      <c r="CF1053" s="4303"/>
      <c r="CG1053" s="4303"/>
      <c r="CH1053" s="4303"/>
      <c r="CI1053" s="4303"/>
      <c r="CJ1053" s="4303"/>
      <c r="CK1053" s="4303"/>
      <c r="CL1053" s="4303"/>
      <c r="CM1053" s="4303"/>
      <c r="CN1053" s="4303"/>
      <c r="CO1053" s="4303"/>
      <c r="CP1053" s="4303"/>
      <c r="CQ1053" s="4303"/>
      <c r="CR1053" s="4303"/>
      <c r="CS1053" s="4303"/>
      <c r="CT1053" s="4303"/>
      <c r="CU1053" s="4303"/>
      <c r="CV1053" s="4303"/>
      <c r="CW1053" s="4303"/>
      <c r="CX1053" s="4303"/>
      <c r="CY1053" s="4303"/>
      <c r="CZ1053" s="4303"/>
      <c r="DA1053" s="4303"/>
      <c r="DB1053" s="4303"/>
      <c r="DC1053" s="4303"/>
      <c r="DD1053" s="4303"/>
      <c r="DE1053" s="4303"/>
      <c r="DF1053" s="4303"/>
      <c r="DG1053" s="4303"/>
      <c r="DH1053" s="4303"/>
      <c r="DI1053" s="4303"/>
      <c r="DJ1053" s="4303"/>
      <c r="DK1053" s="4303"/>
      <c r="DL1053" s="4303"/>
      <c r="DM1053" s="4303"/>
      <c r="DN1053" s="4303"/>
      <c r="DO1053" s="4303"/>
      <c r="DP1053" s="4303"/>
      <c r="DQ1053" s="4303"/>
      <c r="DR1053" s="4303"/>
      <c r="DS1053" s="4303"/>
    </row>
    <row r="1054" s="4134" customFormat="1" ht="17.25" customHeight="1" spans="1:123">
      <c r="A1054" s="4922" t="s">
        <v>4588</v>
      </c>
      <c r="B1054" s="4923"/>
      <c r="C1054" s="4923"/>
      <c r="D1054" s="4923"/>
      <c r="E1054" s="4924"/>
      <c r="F1054" s="4894">
        <v>444</v>
      </c>
      <c r="G1054" s="4697"/>
      <c r="H1054" s="4895"/>
      <c r="I1054" s="4895"/>
      <c r="J1054" s="4895"/>
      <c r="K1054" s="4895"/>
      <c r="L1054" s="4895"/>
      <c r="M1054" s="4895"/>
      <c r="N1054" s="4895"/>
      <c r="O1054" s="4896"/>
      <c r="P1054" s="4896"/>
      <c r="Q1054" s="4896"/>
      <c r="R1054" s="4896"/>
      <c r="S1054" s="4896"/>
      <c r="T1054" s="4896"/>
      <c r="U1054" s="4896"/>
      <c r="V1054" s="4697">
        <v>443</v>
      </c>
      <c r="W1054" s="4697"/>
      <c r="X1054" s="4303"/>
      <c r="Y1054" s="4303"/>
      <c r="Z1054" s="4311" t="s">
        <v>5497</v>
      </c>
      <c r="AA1054" s="4303"/>
      <c r="AB1054" s="4303"/>
      <c r="AC1054" s="4303"/>
      <c r="AD1054" s="4303"/>
      <c r="AE1054" s="4303"/>
      <c r="AF1054" s="4303"/>
      <c r="AG1054" s="4303"/>
      <c r="AH1054" s="4303"/>
      <c r="AI1054" s="4303"/>
      <c r="AJ1054" s="4303"/>
      <c r="AK1054" s="4303"/>
      <c r="AL1054" s="4303"/>
      <c r="AM1054" s="4303"/>
      <c r="AN1054" s="4303"/>
      <c r="AO1054" s="4303"/>
      <c r="AP1054" s="4303"/>
      <c r="AQ1054" s="4303"/>
      <c r="AR1054" s="4303"/>
      <c r="AS1054" s="4303"/>
      <c r="AT1054" s="4303"/>
      <c r="AU1054" s="4303"/>
      <c r="AV1054" s="4303"/>
      <c r="AW1054" s="4303"/>
      <c r="AX1054" s="4303"/>
      <c r="AY1054" s="4303"/>
      <c r="AZ1054" s="4303"/>
      <c r="BA1054" s="4303"/>
      <c r="BB1054" s="4303"/>
      <c r="BC1054" s="4303"/>
      <c r="BD1054" s="4303"/>
      <c r="BE1054" s="4303"/>
      <c r="BF1054" s="4303"/>
      <c r="BG1054" s="4303"/>
      <c r="BH1054" s="4303"/>
      <c r="BI1054" s="4303"/>
      <c r="BJ1054" s="4303"/>
      <c r="BK1054" s="4303"/>
      <c r="BL1054" s="4303"/>
      <c r="BM1054" s="4303"/>
      <c r="BN1054" s="4303"/>
      <c r="BO1054" s="4303"/>
      <c r="BP1054" s="4303"/>
      <c r="BQ1054" s="4303"/>
      <c r="BR1054" s="4303"/>
      <c r="BS1054" s="4303"/>
      <c r="BT1054" s="4303"/>
      <c r="BU1054" s="4303"/>
      <c r="BV1054" s="4303"/>
      <c r="BW1054" s="4303"/>
      <c r="BX1054" s="4303"/>
      <c r="BY1054" s="4303"/>
      <c r="BZ1054" s="4303"/>
      <c r="CA1054" s="4303"/>
      <c r="CB1054" s="4303"/>
      <c r="CC1054" s="4303"/>
      <c r="CD1054" s="4303"/>
      <c r="CE1054" s="4303"/>
      <c r="CF1054" s="4303"/>
      <c r="CG1054" s="4303"/>
      <c r="CH1054" s="4303"/>
      <c r="CI1054" s="4303"/>
      <c r="CJ1054" s="4303"/>
      <c r="CK1054" s="4303"/>
      <c r="CL1054" s="4303"/>
      <c r="CM1054" s="4303"/>
      <c r="CN1054" s="4303"/>
      <c r="CO1054" s="4303"/>
      <c r="CP1054" s="4303"/>
      <c r="CQ1054" s="4303"/>
      <c r="CR1054" s="4303"/>
      <c r="CS1054" s="4303"/>
      <c r="CT1054" s="4303"/>
      <c r="CU1054" s="4303"/>
      <c r="CV1054" s="4303"/>
      <c r="CW1054" s="4303"/>
      <c r="CX1054" s="4303"/>
      <c r="CY1054" s="4303"/>
      <c r="CZ1054" s="4303"/>
      <c r="DA1054" s="4303"/>
      <c r="DB1054" s="4303"/>
      <c r="DC1054" s="4303"/>
      <c r="DD1054" s="4303"/>
      <c r="DE1054" s="4303"/>
      <c r="DF1054" s="4303"/>
      <c r="DG1054" s="4303"/>
      <c r="DH1054" s="4303"/>
      <c r="DI1054" s="4303"/>
      <c r="DJ1054" s="4303"/>
      <c r="DK1054" s="4303"/>
      <c r="DL1054" s="4303"/>
      <c r="DM1054" s="4303"/>
      <c r="DN1054" s="4303"/>
      <c r="DO1054" s="4303"/>
      <c r="DP1054" s="4303"/>
      <c r="DQ1054" s="4303"/>
      <c r="DR1054" s="4303"/>
      <c r="DS1054" s="4303"/>
    </row>
    <row r="1055" s="4134" customFormat="1" ht="17.25" customHeight="1" spans="1:123">
      <c r="A1055" s="4922" t="s">
        <v>4589</v>
      </c>
      <c r="B1055" s="4923"/>
      <c r="C1055" s="4923"/>
      <c r="D1055" s="4923"/>
      <c r="E1055" s="4924"/>
      <c r="F1055" s="4894">
        <v>451</v>
      </c>
      <c r="G1055" s="4697"/>
      <c r="H1055" s="4895"/>
      <c r="I1055" s="4895"/>
      <c r="J1055" s="4895"/>
      <c r="K1055" s="4895"/>
      <c r="L1055" s="4895"/>
      <c r="M1055" s="4895"/>
      <c r="N1055" s="4895"/>
      <c r="O1055" s="4896"/>
      <c r="P1055" s="4896"/>
      <c r="Q1055" s="4896"/>
      <c r="R1055" s="4896"/>
      <c r="S1055" s="4896"/>
      <c r="T1055" s="4896"/>
      <c r="U1055" s="4896"/>
      <c r="V1055" s="4697">
        <v>450</v>
      </c>
      <c r="W1055" s="4697"/>
      <c r="X1055" s="4303"/>
      <c r="Y1055" s="4303"/>
      <c r="Z1055" s="4311" t="s">
        <v>5498</v>
      </c>
      <c r="AA1055" s="4303"/>
      <c r="AB1055" s="4303"/>
      <c r="AC1055" s="4303"/>
      <c r="AD1055" s="4303"/>
      <c r="AE1055" s="4303"/>
      <c r="AF1055" s="4303"/>
      <c r="AG1055" s="4303"/>
      <c r="AH1055" s="4303"/>
      <c r="AI1055" s="4303"/>
      <c r="AJ1055" s="4303"/>
      <c r="AK1055" s="4303"/>
      <c r="AL1055" s="4303"/>
      <c r="AM1055" s="4303"/>
      <c r="AN1055" s="4303"/>
      <c r="AO1055" s="4303"/>
      <c r="AP1055" s="4303"/>
      <c r="AQ1055" s="4303"/>
      <c r="AR1055" s="4303"/>
      <c r="AS1055" s="4303"/>
      <c r="AT1055" s="4303"/>
      <c r="AU1055" s="4303"/>
      <c r="AV1055" s="4303"/>
      <c r="AW1055" s="4303"/>
      <c r="AX1055" s="4303"/>
      <c r="AY1055" s="4303"/>
      <c r="AZ1055" s="4303"/>
      <c r="BA1055" s="4303"/>
      <c r="BB1055" s="4303"/>
      <c r="BC1055" s="4303"/>
      <c r="BD1055" s="4303"/>
      <c r="BE1055" s="4303"/>
      <c r="BF1055" s="4303"/>
      <c r="BG1055" s="4303"/>
      <c r="BH1055" s="4303"/>
      <c r="BI1055" s="4303"/>
      <c r="BJ1055" s="4303"/>
      <c r="BK1055" s="4303"/>
      <c r="BL1055" s="4303"/>
      <c r="BM1055" s="4303"/>
      <c r="BN1055" s="4303"/>
      <c r="BO1055" s="4303"/>
      <c r="BP1055" s="4303"/>
      <c r="BQ1055" s="4303"/>
      <c r="BR1055" s="4303"/>
      <c r="BS1055" s="4303"/>
      <c r="BT1055" s="4303"/>
      <c r="BU1055" s="4303"/>
      <c r="BV1055" s="4303"/>
      <c r="BW1055" s="4303"/>
      <c r="BX1055" s="4303"/>
      <c r="BY1055" s="4303"/>
      <c r="BZ1055" s="4303"/>
      <c r="CA1055" s="4303"/>
      <c r="CB1055" s="4303"/>
      <c r="CC1055" s="4303"/>
      <c r="CD1055" s="4303"/>
      <c r="CE1055" s="4303"/>
      <c r="CF1055" s="4303"/>
      <c r="CG1055" s="4303"/>
      <c r="CH1055" s="4303"/>
      <c r="CI1055" s="4303"/>
      <c r="CJ1055" s="4303"/>
      <c r="CK1055" s="4303"/>
      <c r="CL1055" s="4303"/>
      <c r="CM1055" s="4303"/>
      <c r="CN1055" s="4303"/>
      <c r="CO1055" s="4303"/>
      <c r="CP1055" s="4303"/>
      <c r="CQ1055" s="4303"/>
      <c r="CR1055" s="4303"/>
      <c r="CS1055" s="4303"/>
      <c r="CT1055" s="4303"/>
      <c r="CU1055" s="4303"/>
      <c r="CV1055" s="4303"/>
      <c r="CW1055" s="4303"/>
      <c r="CX1055" s="4303"/>
      <c r="CY1055" s="4303"/>
      <c r="CZ1055" s="4303"/>
      <c r="DA1055" s="4303"/>
      <c r="DB1055" s="4303"/>
      <c r="DC1055" s="4303"/>
      <c r="DD1055" s="4303"/>
      <c r="DE1055" s="4303"/>
      <c r="DF1055" s="4303"/>
      <c r="DG1055" s="4303"/>
      <c r="DH1055" s="4303"/>
      <c r="DI1055" s="4303"/>
      <c r="DJ1055" s="4303"/>
      <c r="DK1055" s="4303"/>
      <c r="DL1055" s="4303"/>
      <c r="DM1055" s="4303"/>
      <c r="DN1055" s="4303"/>
      <c r="DO1055" s="4303"/>
      <c r="DP1055" s="4303"/>
      <c r="DQ1055" s="4303"/>
      <c r="DR1055" s="4303"/>
      <c r="DS1055" s="4303"/>
    </row>
    <row r="1056" s="4134" customFormat="1" ht="17.25" customHeight="1" spans="1:123">
      <c r="A1056" s="4922" t="s">
        <v>4590</v>
      </c>
      <c r="B1056" s="4923"/>
      <c r="C1056" s="4923"/>
      <c r="D1056" s="4923"/>
      <c r="E1056" s="4924"/>
      <c r="F1056" s="4894">
        <v>451</v>
      </c>
      <c r="G1056" s="4697"/>
      <c r="H1056" s="4895"/>
      <c r="I1056" s="4895"/>
      <c r="J1056" s="4895"/>
      <c r="K1056" s="4895"/>
      <c r="L1056" s="4895"/>
      <c r="M1056" s="4895"/>
      <c r="N1056" s="4895"/>
      <c r="O1056" s="4896"/>
      <c r="P1056" s="4896"/>
      <c r="Q1056" s="4896"/>
      <c r="R1056" s="4896"/>
      <c r="S1056" s="4896"/>
      <c r="T1056" s="4896"/>
      <c r="U1056" s="4896"/>
      <c r="V1056" s="4697">
        <v>450</v>
      </c>
      <c r="W1056" s="4697"/>
      <c r="X1056" s="4303"/>
      <c r="Y1056" s="4303"/>
      <c r="Z1056" s="4311" t="s">
        <v>5499</v>
      </c>
      <c r="AA1056" s="4303"/>
      <c r="AB1056" s="4303"/>
      <c r="AC1056" s="4303"/>
      <c r="AD1056" s="4303"/>
      <c r="AE1056" s="4303"/>
      <c r="AF1056" s="4303"/>
      <c r="AG1056" s="4303"/>
      <c r="AH1056" s="4303"/>
      <c r="AI1056" s="4303"/>
      <c r="AJ1056" s="4303"/>
      <c r="AK1056" s="4303"/>
      <c r="AL1056" s="4303"/>
      <c r="AM1056" s="4303"/>
      <c r="AN1056" s="4303"/>
      <c r="AO1056" s="4303"/>
      <c r="AP1056" s="4303"/>
      <c r="AQ1056" s="4303"/>
      <c r="AR1056" s="4303"/>
      <c r="AS1056" s="4303"/>
      <c r="AT1056" s="4303"/>
      <c r="AU1056" s="4303"/>
      <c r="AV1056" s="4303"/>
      <c r="AW1056" s="4303"/>
      <c r="AX1056" s="4303"/>
      <c r="AY1056" s="4303"/>
      <c r="AZ1056" s="4303"/>
      <c r="BA1056" s="4303"/>
      <c r="BB1056" s="4303"/>
      <c r="BC1056" s="4303"/>
      <c r="BD1056" s="4303"/>
      <c r="BE1056" s="4303"/>
      <c r="BF1056" s="4303"/>
      <c r="BG1056" s="4303"/>
      <c r="BH1056" s="4303"/>
      <c r="BI1056" s="4303"/>
      <c r="BJ1056" s="4303"/>
      <c r="BK1056" s="4303"/>
      <c r="BL1056" s="4303"/>
      <c r="BM1056" s="4303"/>
      <c r="BN1056" s="4303"/>
      <c r="BO1056" s="4303"/>
      <c r="BP1056" s="4303"/>
      <c r="BQ1056" s="4303"/>
      <c r="BR1056" s="4303"/>
      <c r="BS1056" s="4303"/>
      <c r="BT1056" s="4303"/>
      <c r="BU1056" s="4303"/>
      <c r="BV1056" s="4303"/>
      <c r="BW1056" s="4303"/>
      <c r="BX1056" s="4303"/>
      <c r="BY1056" s="4303"/>
      <c r="BZ1056" s="4303"/>
      <c r="CA1056" s="4303"/>
      <c r="CB1056" s="4303"/>
      <c r="CC1056" s="4303"/>
      <c r="CD1056" s="4303"/>
      <c r="CE1056" s="4303"/>
      <c r="CF1056" s="4303"/>
      <c r="CG1056" s="4303"/>
      <c r="CH1056" s="4303"/>
      <c r="CI1056" s="4303"/>
      <c r="CJ1056" s="4303"/>
      <c r="CK1056" s="4303"/>
      <c r="CL1056" s="4303"/>
      <c r="CM1056" s="4303"/>
      <c r="CN1056" s="4303"/>
      <c r="CO1056" s="4303"/>
      <c r="CP1056" s="4303"/>
      <c r="CQ1056" s="4303"/>
      <c r="CR1056" s="4303"/>
      <c r="CS1056" s="4303"/>
      <c r="CT1056" s="4303"/>
      <c r="CU1056" s="4303"/>
      <c r="CV1056" s="4303"/>
      <c r="CW1056" s="4303"/>
      <c r="CX1056" s="4303"/>
      <c r="CY1056" s="4303"/>
      <c r="CZ1056" s="4303"/>
      <c r="DA1056" s="4303"/>
      <c r="DB1056" s="4303"/>
      <c r="DC1056" s="4303"/>
      <c r="DD1056" s="4303"/>
      <c r="DE1056" s="4303"/>
      <c r="DF1056" s="4303"/>
      <c r="DG1056" s="4303"/>
      <c r="DH1056" s="4303"/>
      <c r="DI1056" s="4303"/>
      <c r="DJ1056" s="4303"/>
      <c r="DK1056" s="4303"/>
      <c r="DL1056" s="4303"/>
      <c r="DM1056" s="4303"/>
      <c r="DN1056" s="4303"/>
      <c r="DO1056" s="4303"/>
      <c r="DP1056" s="4303"/>
      <c r="DQ1056" s="4303"/>
      <c r="DR1056" s="4303"/>
      <c r="DS1056" s="4303"/>
    </row>
    <row r="1057" s="4134" customFormat="1" ht="17.25" customHeight="1" spans="1:123">
      <c r="A1057" s="4922" t="s">
        <v>4591</v>
      </c>
      <c r="B1057" s="4923"/>
      <c r="C1057" s="4923"/>
      <c r="D1057" s="4923"/>
      <c r="E1057" s="4924"/>
      <c r="F1057" s="4894">
        <v>451</v>
      </c>
      <c r="G1057" s="4697"/>
      <c r="H1057" s="4895"/>
      <c r="I1057" s="4895"/>
      <c r="J1057" s="4895"/>
      <c r="K1057" s="4895"/>
      <c r="L1057" s="4895"/>
      <c r="M1057" s="4895"/>
      <c r="N1057" s="4895"/>
      <c r="O1057" s="4896"/>
      <c r="P1057" s="4896"/>
      <c r="Q1057" s="4896"/>
      <c r="R1057" s="4896"/>
      <c r="S1057" s="4896"/>
      <c r="T1057" s="4896"/>
      <c r="U1057" s="4896"/>
      <c r="V1057" s="4697">
        <v>450</v>
      </c>
      <c r="W1057" s="4697"/>
      <c r="X1057" s="4303"/>
      <c r="Y1057" s="4303"/>
      <c r="Z1057" s="4311" t="s">
        <v>5500</v>
      </c>
      <c r="AA1057" s="4303"/>
      <c r="AB1057" s="4303"/>
      <c r="AC1057" s="4303"/>
      <c r="AD1057" s="4303"/>
      <c r="AE1057" s="4303"/>
      <c r="AF1057" s="4303"/>
      <c r="AG1057" s="4303"/>
      <c r="AH1057" s="4303"/>
      <c r="AI1057" s="4303"/>
      <c r="AJ1057" s="4303"/>
      <c r="AK1057" s="4303"/>
      <c r="AL1057" s="4303"/>
      <c r="AM1057" s="4303"/>
      <c r="AN1057" s="4303"/>
      <c r="AO1057" s="4303"/>
      <c r="AP1057" s="4303"/>
      <c r="AQ1057" s="4303"/>
      <c r="AR1057" s="4303"/>
      <c r="AS1057" s="4303"/>
      <c r="AT1057" s="4303"/>
      <c r="AU1057" s="4303"/>
      <c r="AV1057" s="4303"/>
      <c r="AW1057" s="4303"/>
      <c r="AX1057" s="4303"/>
      <c r="AY1057" s="4303"/>
      <c r="AZ1057" s="4303"/>
      <c r="BA1057" s="4303"/>
      <c r="BB1057" s="4303"/>
      <c r="BC1057" s="4303"/>
      <c r="BD1057" s="4303"/>
      <c r="BE1057" s="4303"/>
      <c r="BF1057" s="4303"/>
      <c r="BG1057" s="4303"/>
      <c r="BH1057" s="4303"/>
      <c r="BI1057" s="4303"/>
      <c r="BJ1057" s="4303"/>
      <c r="BK1057" s="4303"/>
      <c r="BL1057" s="4303"/>
      <c r="BM1057" s="4303"/>
      <c r="BN1057" s="4303"/>
      <c r="BO1057" s="4303"/>
      <c r="BP1057" s="4303"/>
      <c r="BQ1057" s="4303"/>
      <c r="BR1057" s="4303"/>
      <c r="BS1057" s="4303"/>
      <c r="BT1057" s="4303"/>
      <c r="BU1057" s="4303"/>
      <c r="BV1057" s="4303"/>
      <c r="BW1057" s="4303"/>
      <c r="BX1057" s="4303"/>
      <c r="BY1057" s="4303"/>
      <c r="BZ1057" s="4303"/>
      <c r="CA1057" s="4303"/>
      <c r="CB1057" s="4303"/>
      <c r="CC1057" s="4303"/>
      <c r="CD1057" s="4303"/>
      <c r="CE1057" s="4303"/>
      <c r="CF1057" s="4303"/>
      <c r="CG1057" s="4303"/>
      <c r="CH1057" s="4303"/>
      <c r="CI1057" s="4303"/>
      <c r="CJ1057" s="4303"/>
      <c r="CK1057" s="4303"/>
      <c r="CL1057" s="4303"/>
      <c r="CM1057" s="4303"/>
      <c r="CN1057" s="4303"/>
      <c r="CO1057" s="4303"/>
      <c r="CP1057" s="4303"/>
      <c r="CQ1057" s="4303"/>
      <c r="CR1057" s="4303"/>
      <c r="CS1057" s="4303"/>
      <c r="CT1057" s="4303"/>
      <c r="CU1057" s="4303"/>
      <c r="CV1057" s="4303"/>
      <c r="CW1057" s="4303"/>
      <c r="CX1057" s="4303"/>
      <c r="CY1057" s="4303"/>
      <c r="CZ1057" s="4303"/>
      <c r="DA1057" s="4303"/>
      <c r="DB1057" s="4303"/>
      <c r="DC1057" s="4303"/>
      <c r="DD1057" s="4303"/>
      <c r="DE1057" s="4303"/>
      <c r="DF1057" s="4303"/>
      <c r="DG1057" s="4303"/>
      <c r="DH1057" s="4303"/>
      <c r="DI1057" s="4303"/>
      <c r="DJ1057" s="4303"/>
      <c r="DK1057" s="4303"/>
      <c r="DL1057" s="4303"/>
      <c r="DM1057" s="4303"/>
      <c r="DN1057" s="4303"/>
      <c r="DO1057" s="4303"/>
      <c r="DP1057" s="4303"/>
      <c r="DQ1057" s="4303"/>
      <c r="DR1057" s="4303"/>
      <c r="DS1057" s="4303"/>
    </row>
    <row r="1058" s="4134" customFormat="1" ht="17.25" customHeight="1" spans="1:123">
      <c r="A1058" s="4922" t="s">
        <v>4592</v>
      </c>
      <c r="B1058" s="4923"/>
      <c r="C1058" s="4923"/>
      <c r="D1058" s="4923"/>
      <c r="E1058" s="4924"/>
      <c r="F1058" s="4894">
        <v>451</v>
      </c>
      <c r="G1058" s="4697"/>
      <c r="H1058" s="4895"/>
      <c r="I1058" s="4895"/>
      <c r="J1058" s="4895"/>
      <c r="K1058" s="4895"/>
      <c r="L1058" s="4895"/>
      <c r="M1058" s="4895"/>
      <c r="N1058" s="4895"/>
      <c r="O1058" s="4896"/>
      <c r="P1058" s="4896"/>
      <c r="Q1058" s="4896"/>
      <c r="R1058" s="4896"/>
      <c r="S1058" s="4896"/>
      <c r="T1058" s="4896"/>
      <c r="U1058" s="4896"/>
      <c r="V1058" s="4697">
        <v>450</v>
      </c>
      <c r="W1058" s="4697"/>
      <c r="X1058" s="4303"/>
      <c r="Y1058" s="4303"/>
      <c r="Z1058" s="4311" t="s">
        <v>5501</v>
      </c>
      <c r="AA1058" s="4303"/>
      <c r="AB1058" s="4303"/>
      <c r="AC1058" s="4303"/>
      <c r="AD1058" s="4303"/>
      <c r="AE1058" s="4303"/>
      <c r="AF1058" s="4303"/>
      <c r="AG1058" s="4303"/>
      <c r="AH1058" s="4303"/>
      <c r="AI1058" s="4303"/>
      <c r="AJ1058" s="4303"/>
      <c r="AK1058" s="4303"/>
      <c r="AL1058" s="4303"/>
      <c r="AM1058" s="4303"/>
      <c r="AN1058" s="4303"/>
      <c r="AO1058" s="4303"/>
      <c r="AP1058" s="4303"/>
      <c r="AQ1058" s="4303"/>
      <c r="AR1058" s="4303"/>
      <c r="AS1058" s="4303"/>
      <c r="AT1058" s="4303"/>
      <c r="AU1058" s="4303"/>
      <c r="AV1058" s="4303"/>
      <c r="AW1058" s="4303"/>
      <c r="AX1058" s="4303"/>
      <c r="AY1058" s="4303"/>
      <c r="AZ1058" s="4303"/>
      <c r="BA1058" s="4303"/>
      <c r="BB1058" s="4303"/>
      <c r="BC1058" s="4303"/>
      <c r="BD1058" s="4303"/>
      <c r="BE1058" s="4303"/>
      <c r="BF1058" s="4303"/>
      <c r="BG1058" s="4303"/>
      <c r="BH1058" s="4303"/>
      <c r="BI1058" s="4303"/>
      <c r="BJ1058" s="4303"/>
      <c r="BK1058" s="4303"/>
      <c r="BL1058" s="4303"/>
      <c r="BM1058" s="4303"/>
      <c r="BN1058" s="4303"/>
      <c r="BO1058" s="4303"/>
      <c r="BP1058" s="4303"/>
      <c r="BQ1058" s="4303"/>
      <c r="BR1058" s="4303"/>
      <c r="BS1058" s="4303"/>
      <c r="BT1058" s="4303"/>
      <c r="BU1058" s="4303"/>
      <c r="BV1058" s="4303"/>
      <c r="BW1058" s="4303"/>
      <c r="BX1058" s="4303"/>
      <c r="BY1058" s="4303"/>
      <c r="BZ1058" s="4303"/>
      <c r="CA1058" s="4303"/>
      <c r="CB1058" s="4303"/>
      <c r="CC1058" s="4303"/>
      <c r="CD1058" s="4303"/>
      <c r="CE1058" s="4303"/>
      <c r="CF1058" s="4303"/>
      <c r="CG1058" s="4303"/>
      <c r="CH1058" s="4303"/>
      <c r="CI1058" s="4303"/>
      <c r="CJ1058" s="4303"/>
      <c r="CK1058" s="4303"/>
      <c r="CL1058" s="4303"/>
      <c r="CM1058" s="4303"/>
      <c r="CN1058" s="4303"/>
      <c r="CO1058" s="4303"/>
      <c r="CP1058" s="4303"/>
      <c r="CQ1058" s="4303"/>
      <c r="CR1058" s="4303"/>
      <c r="CS1058" s="4303"/>
      <c r="CT1058" s="4303"/>
      <c r="CU1058" s="4303"/>
      <c r="CV1058" s="4303"/>
      <c r="CW1058" s="4303"/>
      <c r="CX1058" s="4303"/>
      <c r="CY1058" s="4303"/>
      <c r="CZ1058" s="4303"/>
      <c r="DA1058" s="4303"/>
      <c r="DB1058" s="4303"/>
      <c r="DC1058" s="4303"/>
      <c r="DD1058" s="4303"/>
      <c r="DE1058" s="4303"/>
      <c r="DF1058" s="4303"/>
      <c r="DG1058" s="4303"/>
      <c r="DH1058" s="4303"/>
      <c r="DI1058" s="4303"/>
      <c r="DJ1058" s="4303"/>
      <c r="DK1058" s="4303"/>
      <c r="DL1058" s="4303"/>
      <c r="DM1058" s="4303"/>
      <c r="DN1058" s="4303"/>
      <c r="DO1058" s="4303"/>
      <c r="DP1058" s="4303"/>
      <c r="DQ1058" s="4303"/>
      <c r="DR1058" s="4303"/>
      <c r="DS1058" s="4303"/>
    </row>
    <row r="1059" s="4134" customFormat="1" ht="17.25" customHeight="1" spans="1:123">
      <c r="A1059" s="4922" t="s">
        <v>4594</v>
      </c>
      <c r="B1059" s="4923"/>
      <c r="C1059" s="4923"/>
      <c r="D1059" s="4923"/>
      <c r="E1059" s="4924"/>
      <c r="F1059" s="4894">
        <v>451</v>
      </c>
      <c r="G1059" s="4697"/>
      <c r="H1059" s="4895"/>
      <c r="I1059" s="4895"/>
      <c r="J1059" s="4895"/>
      <c r="K1059" s="4895"/>
      <c r="L1059" s="4895"/>
      <c r="M1059" s="4895"/>
      <c r="N1059" s="4895"/>
      <c r="O1059" s="4899"/>
      <c r="P1059" s="4900"/>
      <c r="Q1059" s="4900"/>
      <c r="R1059" s="4900"/>
      <c r="S1059" s="4900"/>
      <c r="T1059" s="4900"/>
      <c r="U1059" s="4901"/>
      <c r="V1059" s="4697"/>
      <c r="W1059" s="4697"/>
      <c r="X1059" s="4303"/>
      <c r="Y1059" s="4303"/>
      <c r="Z1059" s="4311" t="s">
        <v>5503</v>
      </c>
      <c r="AA1059" s="4303"/>
      <c r="AB1059" s="4303"/>
      <c r="AC1059" s="4303"/>
      <c r="AD1059" s="4303"/>
      <c r="AE1059" s="4303"/>
      <c r="AF1059" s="4303"/>
      <c r="AG1059" s="4303"/>
      <c r="AH1059" s="4303"/>
      <c r="AI1059" s="4303"/>
      <c r="AJ1059" s="4303"/>
      <c r="AK1059" s="4303"/>
      <c r="AL1059" s="4303"/>
      <c r="AM1059" s="4303"/>
      <c r="AN1059" s="4303"/>
      <c r="AO1059" s="4303"/>
      <c r="AP1059" s="4303"/>
      <c r="AQ1059" s="4303"/>
      <c r="AR1059" s="4303"/>
      <c r="AS1059" s="4303"/>
      <c r="AT1059" s="4303"/>
      <c r="AU1059" s="4303"/>
      <c r="AV1059" s="4303"/>
      <c r="AW1059" s="4303"/>
      <c r="AX1059" s="4303"/>
      <c r="AY1059" s="4303"/>
      <c r="AZ1059" s="4303"/>
      <c r="BA1059" s="4303"/>
      <c r="BB1059" s="4303"/>
      <c r="BC1059" s="4303"/>
      <c r="BD1059" s="4303"/>
      <c r="BE1059" s="4303"/>
      <c r="BF1059" s="4303"/>
      <c r="BG1059" s="4303"/>
      <c r="BH1059" s="4303"/>
      <c r="BI1059" s="4303"/>
      <c r="BJ1059" s="4303"/>
      <c r="BK1059" s="4303"/>
      <c r="BL1059" s="4303"/>
      <c r="BM1059" s="4303"/>
      <c r="BN1059" s="4303"/>
      <c r="BO1059" s="4303"/>
      <c r="BP1059" s="4303"/>
      <c r="BQ1059" s="4303"/>
      <c r="BR1059" s="4303"/>
      <c r="BS1059" s="4303"/>
      <c r="BT1059" s="4303"/>
      <c r="BU1059" s="4303"/>
      <c r="BV1059" s="4303"/>
      <c r="BW1059" s="4303"/>
      <c r="BX1059" s="4303"/>
      <c r="BY1059" s="4303"/>
      <c r="BZ1059" s="4303"/>
      <c r="CA1059" s="4303"/>
      <c r="CB1059" s="4303"/>
      <c r="CC1059" s="4303"/>
      <c r="CD1059" s="4303"/>
      <c r="CE1059" s="4303"/>
      <c r="CF1059" s="4303"/>
      <c r="CG1059" s="4303"/>
      <c r="CH1059" s="4303"/>
      <c r="CI1059" s="4303"/>
      <c r="CJ1059" s="4303"/>
      <c r="CK1059" s="4303"/>
      <c r="CL1059" s="4303"/>
      <c r="CM1059" s="4303"/>
      <c r="CN1059" s="4303"/>
      <c r="CO1059" s="4303"/>
      <c r="CP1059" s="4303"/>
      <c r="CQ1059" s="4303"/>
      <c r="CR1059" s="4303"/>
      <c r="CS1059" s="4303"/>
      <c r="CT1059" s="4303"/>
      <c r="CU1059" s="4303"/>
      <c r="CV1059" s="4303"/>
      <c r="CW1059" s="4303"/>
      <c r="CX1059" s="4303"/>
      <c r="CY1059" s="4303"/>
      <c r="CZ1059" s="4303"/>
      <c r="DA1059" s="4303"/>
      <c r="DB1059" s="4303"/>
      <c r="DC1059" s="4303"/>
      <c r="DD1059" s="4303"/>
      <c r="DE1059" s="4303"/>
      <c r="DF1059" s="4303"/>
      <c r="DG1059" s="4303"/>
      <c r="DH1059" s="4303"/>
      <c r="DI1059" s="4303"/>
      <c r="DJ1059" s="4303"/>
      <c r="DK1059" s="4303"/>
      <c r="DL1059" s="4303"/>
      <c r="DM1059" s="4303"/>
      <c r="DN1059" s="4303"/>
      <c r="DO1059" s="4303"/>
      <c r="DP1059" s="4303"/>
      <c r="DQ1059" s="4303"/>
      <c r="DR1059" s="4303"/>
      <c r="DS1059" s="4303"/>
    </row>
    <row r="1060" s="4134" customFormat="1" ht="17.25" customHeight="1" spans="1:123">
      <c r="A1060" s="4922" t="s">
        <v>4595</v>
      </c>
      <c r="B1060" s="4923"/>
      <c r="C1060" s="4923"/>
      <c r="D1060" s="4923"/>
      <c r="E1060" s="4924"/>
      <c r="F1060" s="4894">
        <v>403</v>
      </c>
      <c r="G1060" s="4697"/>
      <c r="H1060" s="4895"/>
      <c r="I1060" s="4895"/>
      <c r="J1060" s="4895"/>
      <c r="K1060" s="4895"/>
      <c r="L1060" s="4895"/>
      <c r="M1060" s="4895"/>
      <c r="N1060" s="4895"/>
      <c r="O1060" s="4905"/>
      <c r="P1060" s="4317"/>
      <c r="Q1060" s="4317"/>
      <c r="R1060" s="4317"/>
      <c r="S1060" s="4317"/>
      <c r="T1060" s="4317"/>
      <c r="U1060" s="4906"/>
      <c r="V1060" s="4697"/>
      <c r="W1060" s="4697"/>
      <c r="X1060" s="4303"/>
      <c r="Y1060" s="4303"/>
      <c r="Z1060" s="4311" t="s">
        <v>5504</v>
      </c>
      <c r="AA1060" s="4303"/>
      <c r="AB1060" s="4303"/>
      <c r="AC1060" s="4303"/>
      <c r="AD1060" s="4303"/>
      <c r="AE1060" s="4303"/>
      <c r="AF1060" s="4303"/>
      <c r="AG1060" s="4303"/>
      <c r="AH1060" s="4303"/>
      <c r="AI1060" s="4303"/>
      <c r="AJ1060" s="4303"/>
      <c r="AK1060" s="4303"/>
      <c r="AL1060" s="4303"/>
      <c r="AM1060" s="4303"/>
      <c r="AN1060" s="4303"/>
      <c r="AO1060" s="4303"/>
      <c r="AP1060" s="4303"/>
      <c r="AQ1060" s="4303"/>
      <c r="AR1060" s="4303"/>
      <c r="AS1060" s="4303"/>
      <c r="AT1060" s="4303"/>
      <c r="AU1060" s="4303"/>
      <c r="AV1060" s="4303"/>
      <c r="AW1060" s="4303"/>
      <c r="AX1060" s="4303"/>
      <c r="AY1060" s="4303"/>
      <c r="AZ1060" s="4303"/>
      <c r="BA1060" s="4303"/>
      <c r="BB1060" s="4303"/>
      <c r="BC1060" s="4303"/>
      <c r="BD1060" s="4303"/>
      <c r="BE1060" s="4303"/>
      <c r="BF1060" s="4303"/>
      <c r="BG1060" s="4303"/>
      <c r="BH1060" s="4303"/>
      <c r="BI1060" s="4303"/>
      <c r="BJ1060" s="4303"/>
      <c r="BK1060" s="4303"/>
      <c r="BL1060" s="4303"/>
      <c r="BM1060" s="4303"/>
      <c r="BN1060" s="4303"/>
      <c r="BO1060" s="4303"/>
      <c r="BP1060" s="4303"/>
      <c r="BQ1060" s="4303"/>
      <c r="BR1060" s="4303"/>
      <c r="BS1060" s="4303"/>
      <c r="BT1060" s="4303"/>
      <c r="BU1060" s="4303"/>
      <c r="BV1060" s="4303"/>
      <c r="BW1060" s="4303"/>
      <c r="BX1060" s="4303"/>
      <c r="BY1060" s="4303"/>
      <c r="BZ1060" s="4303"/>
      <c r="CA1060" s="4303"/>
      <c r="CB1060" s="4303"/>
      <c r="CC1060" s="4303"/>
      <c r="CD1060" s="4303"/>
      <c r="CE1060" s="4303"/>
      <c r="CF1060" s="4303"/>
      <c r="CG1060" s="4303"/>
      <c r="CH1060" s="4303"/>
      <c r="CI1060" s="4303"/>
      <c r="CJ1060" s="4303"/>
      <c r="CK1060" s="4303"/>
      <c r="CL1060" s="4303"/>
      <c r="CM1060" s="4303"/>
      <c r="CN1060" s="4303"/>
      <c r="CO1060" s="4303"/>
      <c r="CP1060" s="4303"/>
      <c r="CQ1060" s="4303"/>
      <c r="CR1060" s="4303"/>
      <c r="CS1060" s="4303"/>
      <c r="CT1060" s="4303"/>
      <c r="CU1060" s="4303"/>
      <c r="CV1060" s="4303"/>
      <c r="CW1060" s="4303"/>
      <c r="CX1060" s="4303"/>
      <c r="CY1060" s="4303"/>
      <c r="CZ1060" s="4303"/>
      <c r="DA1060" s="4303"/>
      <c r="DB1060" s="4303"/>
      <c r="DC1060" s="4303"/>
      <c r="DD1060" s="4303"/>
      <c r="DE1060" s="4303"/>
      <c r="DF1060" s="4303"/>
      <c r="DG1060" s="4303"/>
      <c r="DH1060" s="4303"/>
      <c r="DI1060" s="4303"/>
      <c r="DJ1060" s="4303"/>
      <c r="DK1060" s="4303"/>
      <c r="DL1060" s="4303"/>
      <c r="DM1060" s="4303"/>
      <c r="DN1060" s="4303"/>
      <c r="DO1060" s="4303"/>
      <c r="DP1060" s="4303"/>
      <c r="DQ1060" s="4303"/>
      <c r="DR1060" s="4303"/>
      <c r="DS1060" s="4303"/>
    </row>
    <row r="1061" s="4134" customFormat="1" ht="17.25" customHeight="1" spans="1:123">
      <c r="A1061" s="4922" t="s">
        <v>4596</v>
      </c>
      <c r="B1061" s="4923"/>
      <c r="C1061" s="4923"/>
      <c r="D1061" s="4923"/>
      <c r="E1061" s="4924"/>
      <c r="F1061" s="4894">
        <v>403</v>
      </c>
      <c r="G1061" s="4697"/>
      <c r="H1061" s="4895"/>
      <c r="I1061" s="4895"/>
      <c r="J1061" s="4895"/>
      <c r="K1061" s="4895"/>
      <c r="L1061" s="4895"/>
      <c r="M1061" s="4895"/>
      <c r="N1061" s="4895"/>
      <c r="O1061" s="4905"/>
      <c r="P1061" s="4317"/>
      <c r="Q1061" s="4317"/>
      <c r="R1061" s="4317"/>
      <c r="S1061" s="4317"/>
      <c r="T1061" s="4317"/>
      <c r="U1061" s="4906"/>
      <c r="V1061" s="4697"/>
      <c r="W1061" s="4697"/>
      <c r="X1061" s="4303"/>
      <c r="Y1061" s="4303"/>
      <c r="Z1061" s="4311" t="s">
        <v>5505</v>
      </c>
      <c r="AA1061" s="4303"/>
      <c r="AB1061" s="4303"/>
      <c r="AC1061" s="4303"/>
      <c r="AD1061" s="4303"/>
      <c r="AE1061" s="4303"/>
      <c r="AF1061" s="4303"/>
      <c r="AG1061" s="4303"/>
      <c r="AH1061" s="4303"/>
      <c r="AI1061" s="4303"/>
      <c r="AJ1061" s="4303"/>
      <c r="AK1061" s="4303"/>
      <c r="AL1061" s="4303"/>
      <c r="AM1061" s="4303"/>
      <c r="AN1061" s="4303"/>
      <c r="AO1061" s="4303"/>
      <c r="AP1061" s="4303"/>
      <c r="AQ1061" s="4303"/>
      <c r="AR1061" s="4303"/>
      <c r="AS1061" s="4303"/>
      <c r="AT1061" s="4303"/>
      <c r="AU1061" s="4303"/>
      <c r="AV1061" s="4303"/>
      <c r="AW1061" s="4303"/>
      <c r="AX1061" s="4303"/>
      <c r="AY1061" s="4303"/>
      <c r="AZ1061" s="4303"/>
      <c r="BA1061" s="4303"/>
      <c r="BB1061" s="4303"/>
      <c r="BC1061" s="4303"/>
      <c r="BD1061" s="4303"/>
      <c r="BE1061" s="4303"/>
      <c r="BF1061" s="4303"/>
      <c r="BG1061" s="4303"/>
      <c r="BH1061" s="4303"/>
      <c r="BI1061" s="4303"/>
      <c r="BJ1061" s="4303"/>
      <c r="BK1061" s="4303"/>
      <c r="BL1061" s="4303"/>
      <c r="BM1061" s="4303"/>
      <c r="BN1061" s="4303"/>
      <c r="BO1061" s="4303"/>
      <c r="BP1061" s="4303"/>
      <c r="BQ1061" s="4303"/>
      <c r="BR1061" s="4303"/>
      <c r="BS1061" s="4303"/>
      <c r="BT1061" s="4303"/>
      <c r="BU1061" s="4303"/>
      <c r="BV1061" s="4303"/>
      <c r="BW1061" s="4303"/>
      <c r="BX1061" s="4303"/>
      <c r="BY1061" s="4303"/>
      <c r="BZ1061" s="4303"/>
      <c r="CA1061" s="4303"/>
      <c r="CB1061" s="4303"/>
      <c r="CC1061" s="4303"/>
      <c r="CD1061" s="4303"/>
      <c r="CE1061" s="4303"/>
      <c r="CF1061" s="4303"/>
      <c r="CG1061" s="4303"/>
      <c r="CH1061" s="4303"/>
      <c r="CI1061" s="4303"/>
      <c r="CJ1061" s="4303"/>
      <c r="CK1061" s="4303"/>
      <c r="CL1061" s="4303"/>
      <c r="CM1061" s="4303"/>
      <c r="CN1061" s="4303"/>
      <c r="CO1061" s="4303"/>
      <c r="CP1061" s="4303"/>
      <c r="CQ1061" s="4303"/>
      <c r="CR1061" s="4303"/>
      <c r="CS1061" s="4303"/>
      <c r="CT1061" s="4303"/>
      <c r="CU1061" s="4303"/>
      <c r="CV1061" s="4303"/>
      <c r="CW1061" s="4303"/>
      <c r="CX1061" s="4303"/>
      <c r="CY1061" s="4303"/>
      <c r="CZ1061" s="4303"/>
      <c r="DA1061" s="4303"/>
      <c r="DB1061" s="4303"/>
      <c r="DC1061" s="4303"/>
      <c r="DD1061" s="4303"/>
      <c r="DE1061" s="4303"/>
      <c r="DF1061" s="4303"/>
      <c r="DG1061" s="4303"/>
      <c r="DH1061" s="4303"/>
      <c r="DI1061" s="4303"/>
      <c r="DJ1061" s="4303"/>
      <c r="DK1061" s="4303"/>
      <c r="DL1061" s="4303"/>
      <c r="DM1061" s="4303"/>
      <c r="DN1061" s="4303"/>
      <c r="DO1061" s="4303"/>
      <c r="DP1061" s="4303"/>
      <c r="DQ1061" s="4303"/>
      <c r="DR1061" s="4303"/>
      <c r="DS1061" s="4303"/>
    </row>
    <row r="1062" s="4134" customFormat="1" ht="17.25" customHeight="1" spans="1:123">
      <c r="A1062" s="4922" t="s">
        <v>4597</v>
      </c>
      <c r="B1062" s="4923"/>
      <c r="C1062" s="4923"/>
      <c r="D1062" s="4923"/>
      <c r="E1062" s="4924"/>
      <c r="F1062" s="4894">
        <v>403</v>
      </c>
      <c r="G1062" s="4697"/>
      <c r="H1062" s="4895"/>
      <c r="I1062" s="4895"/>
      <c r="J1062" s="4895"/>
      <c r="K1062" s="4895"/>
      <c r="L1062" s="4895"/>
      <c r="M1062" s="4895"/>
      <c r="N1062" s="4895"/>
      <c r="O1062" s="4905"/>
      <c r="P1062" s="4317"/>
      <c r="Q1062" s="4317"/>
      <c r="R1062" s="4317"/>
      <c r="S1062" s="4317"/>
      <c r="T1062" s="4317"/>
      <c r="U1062" s="4906"/>
      <c r="V1062" s="4697"/>
      <c r="W1062" s="4697"/>
      <c r="X1062" s="4303"/>
      <c r="Y1062" s="4303"/>
      <c r="Z1062" s="4311" t="s">
        <v>5506</v>
      </c>
      <c r="AA1062" s="4303"/>
      <c r="AB1062" s="4303"/>
      <c r="AC1062" s="4303"/>
      <c r="AD1062" s="4303"/>
      <c r="AE1062" s="4303"/>
      <c r="AF1062" s="4303"/>
      <c r="AG1062" s="4303"/>
      <c r="AH1062" s="4303"/>
      <c r="AI1062" s="4303"/>
      <c r="AJ1062" s="4303"/>
      <c r="AK1062" s="4303"/>
      <c r="AL1062" s="4303"/>
      <c r="AM1062" s="4303"/>
      <c r="AN1062" s="4303"/>
      <c r="AO1062" s="4303"/>
      <c r="AP1062" s="4303"/>
      <c r="AQ1062" s="4303"/>
      <c r="AR1062" s="4303"/>
      <c r="AS1062" s="4303"/>
      <c r="AT1062" s="4303"/>
      <c r="AU1062" s="4303"/>
      <c r="AV1062" s="4303"/>
      <c r="AW1062" s="4303"/>
      <c r="AX1062" s="4303"/>
      <c r="AY1062" s="4303"/>
      <c r="AZ1062" s="4303"/>
      <c r="BA1062" s="4303"/>
      <c r="BB1062" s="4303"/>
      <c r="BC1062" s="4303"/>
      <c r="BD1062" s="4303"/>
      <c r="BE1062" s="4303"/>
      <c r="BF1062" s="4303"/>
      <c r="BG1062" s="4303"/>
      <c r="BH1062" s="4303"/>
      <c r="BI1062" s="4303"/>
      <c r="BJ1062" s="4303"/>
      <c r="BK1062" s="4303"/>
      <c r="BL1062" s="4303"/>
      <c r="BM1062" s="4303"/>
      <c r="BN1062" s="4303"/>
      <c r="BO1062" s="4303"/>
      <c r="BP1062" s="4303"/>
      <c r="BQ1062" s="4303"/>
      <c r="BR1062" s="4303"/>
      <c r="BS1062" s="4303"/>
      <c r="BT1062" s="4303"/>
      <c r="BU1062" s="4303"/>
      <c r="BV1062" s="4303"/>
      <c r="BW1062" s="4303"/>
      <c r="BX1062" s="4303"/>
      <c r="BY1062" s="4303"/>
      <c r="BZ1062" s="4303"/>
      <c r="CA1062" s="4303"/>
      <c r="CB1062" s="4303"/>
      <c r="CC1062" s="4303"/>
      <c r="CD1062" s="4303"/>
      <c r="CE1062" s="4303"/>
      <c r="CF1062" s="4303"/>
      <c r="CG1062" s="4303"/>
      <c r="CH1062" s="4303"/>
      <c r="CI1062" s="4303"/>
      <c r="CJ1062" s="4303"/>
      <c r="CK1062" s="4303"/>
      <c r="CL1062" s="4303"/>
      <c r="CM1062" s="4303"/>
      <c r="CN1062" s="4303"/>
      <c r="CO1062" s="4303"/>
      <c r="CP1062" s="4303"/>
      <c r="CQ1062" s="4303"/>
      <c r="CR1062" s="4303"/>
      <c r="CS1062" s="4303"/>
      <c r="CT1062" s="4303"/>
      <c r="CU1062" s="4303"/>
      <c r="CV1062" s="4303"/>
      <c r="CW1062" s="4303"/>
      <c r="CX1062" s="4303"/>
      <c r="CY1062" s="4303"/>
      <c r="CZ1062" s="4303"/>
      <c r="DA1062" s="4303"/>
      <c r="DB1062" s="4303"/>
      <c r="DC1062" s="4303"/>
      <c r="DD1062" s="4303"/>
      <c r="DE1062" s="4303"/>
      <c r="DF1062" s="4303"/>
      <c r="DG1062" s="4303"/>
      <c r="DH1062" s="4303"/>
      <c r="DI1062" s="4303"/>
      <c r="DJ1062" s="4303"/>
      <c r="DK1062" s="4303"/>
      <c r="DL1062" s="4303"/>
      <c r="DM1062" s="4303"/>
      <c r="DN1062" s="4303"/>
      <c r="DO1062" s="4303"/>
      <c r="DP1062" s="4303"/>
      <c r="DQ1062" s="4303"/>
      <c r="DR1062" s="4303"/>
      <c r="DS1062" s="4303"/>
    </row>
    <row r="1063" s="4134" customFormat="1" ht="17.25" customHeight="1" spans="1:123">
      <c r="A1063" s="4922" t="s">
        <v>4598</v>
      </c>
      <c r="B1063" s="4923"/>
      <c r="C1063" s="4923"/>
      <c r="D1063" s="4923"/>
      <c r="E1063" s="4924"/>
      <c r="F1063" s="4894">
        <v>403</v>
      </c>
      <c r="G1063" s="4697"/>
      <c r="H1063" s="4895"/>
      <c r="I1063" s="4895"/>
      <c r="J1063" s="4895"/>
      <c r="K1063" s="4895"/>
      <c r="L1063" s="4895"/>
      <c r="M1063" s="4895"/>
      <c r="N1063" s="4895"/>
      <c r="O1063" s="4905"/>
      <c r="P1063" s="4317"/>
      <c r="Q1063" s="4317"/>
      <c r="R1063" s="4317"/>
      <c r="S1063" s="4317"/>
      <c r="T1063" s="4317"/>
      <c r="U1063" s="4906"/>
      <c r="V1063" s="4697"/>
      <c r="W1063" s="4697"/>
      <c r="X1063" s="4303"/>
      <c r="Y1063" s="4303"/>
      <c r="Z1063" s="4311" t="s">
        <v>5507</v>
      </c>
      <c r="AA1063" s="4303"/>
      <c r="AB1063" s="4303"/>
      <c r="AC1063" s="4303"/>
      <c r="AD1063" s="4303"/>
      <c r="AE1063" s="4303"/>
      <c r="AF1063" s="4303"/>
      <c r="AG1063" s="4303"/>
      <c r="AH1063" s="4303"/>
      <c r="AI1063" s="4303"/>
      <c r="AJ1063" s="4303"/>
      <c r="AK1063" s="4303"/>
      <c r="AL1063" s="4303"/>
      <c r="AM1063" s="4303"/>
      <c r="AN1063" s="4303"/>
      <c r="AO1063" s="4303"/>
      <c r="AP1063" s="4303"/>
      <c r="AQ1063" s="4303"/>
      <c r="AR1063" s="4303"/>
      <c r="AS1063" s="4303"/>
      <c r="AT1063" s="4303"/>
      <c r="AU1063" s="4303"/>
      <c r="AV1063" s="4303"/>
      <c r="AW1063" s="4303"/>
      <c r="AX1063" s="4303"/>
      <c r="AY1063" s="4303"/>
      <c r="AZ1063" s="4303"/>
      <c r="BA1063" s="4303"/>
      <c r="BB1063" s="4303"/>
      <c r="BC1063" s="4303"/>
      <c r="BD1063" s="4303"/>
      <c r="BE1063" s="4303"/>
      <c r="BF1063" s="4303"/>
      <c r="BG1063" s="4303"/>
      <c r="BH1063" s="4303"/>
      <c r="BI1063" s="4303"/>
      <c r="BJ1063" s="4303"/>
      <c r="BK1063" s="4303"/>
      <c r="BL1063" s="4303"/>
      <c r="BM1063" s="4303"/>
      <c r="BN1063" s="4303"/>
      <c r="BO1063" s="4303"/>
      <c r="BP1063" s="4303"/>
      <c r="BQ1063" s="4303"/>
      <c r="BR1063" s="4303"/>
      <c r="BS1063" s="4303"/>
      <c r="BT1063" s="4303"/>
      <c r="BU1063" s="4303"/>
      <c r="BV1063" s="4303"/>
      <c r="BW1063" s="4303"/>
      <c r="BX1063" s="4303"/>
      <c r="BY1063" s="4303"/>
      <c r="BZ1063" s="4303"/>
      <c r="CA1063" s="4303"/>
      <c r="CB1063" s="4303"/>
      <c r="CC1063" s="4303"/>
      <c r="CD1063" s="4303"/>
      <c r="CE1063" s="4303"/>
      <c r="CF1063" s="4303"/>
      <c r="CG1063" s="4303"/>
      <c r="CH1063" s="4303"/>
      <c r="CI1063" s="4303"/>
      <c r="CJ1063" s="4303"/>
      <c r="CK1063" s="4303"/>
      <c r="CL1063" s="4303"/>
      <c r="CM1063" s="4303"/>
      <c r="CN1063" s="4303"/>
      <c r="CO1063" s="4303"/>
      <c r="CP1063" s="4303"/>
      <c r="CQ1063" s="4303"/>
      <c r="CR1063" s="4303"/>
      <c r="CS1063" s="4303"/>
      <c r="CT1063" s="4303"/>
      <c r="CU1063" s="4303"/>
      <c r="CV1063" s="4303"/>
      <c r="CW1063" s="4303"/>
      <c r="CX1063" s="4303"/>
      <c r="CY1063" s="4303"/>
      <c r="CZ1063" s="4303"/>
      <c r="DA1063" s="4303"/>
      <c r="DB1063" s="4303"/>
      <c r="DC1063" s="4303"/>
      <c r="DD1063" s="4303"/>
      <c r="DE1063" s="4303"/>
      <c r="DF1063" s="4303"/>
      <c r="DG1063" s="4303"/>
      <c r="DH1063" s="4303"/>
      <c r="DI1063" s="4303"/>
      <c r="DJ1063" s="4303"/>
      <c r="DK1063" s="4303"/>
      <c r="DL1063" s="4303"/>
      <c r="DM1063" s="4303"/>
      <c r="DN1063" s="4303"/>
      <c r="DO1063" s="4303"/>
      <c r="DP1063" s="4303"/>
      <c r="DQ1063" s="4303"/>
      <c r="DR1063" s="4303"/>
      <c r="DS1063" s="4303"/>
    </row>
    <row r="1064" s="4134" customFormat="1" ht="17.25" customHeight="1" spans="1:123">
      <c r="A1064" s="4907" t="s">
        <v>5737</v>
      </c>
      <c r="B1064" s="4908"/>
      <c r="C1064" s="4908"/>
      <c r="D1064" s="4908"/>
      <c r="E1064" s="4909"/>
      <c r="F1064" s="4910">
        <v>409</v>
      </c>
      <c r="G1064" s="4911"/>
      <c r="H1064" s="4895"/>
      <c r="I1064" s="4895"/>
      <c r="J1064" s="4895"/>
      <c r="K1064" s="4895"/>
      <c r="L1064" s="4895"/>
      <c r="M1064" s="4895"/>
      <c r="N1064" s="4895"/>
      <c r="O1064" s="4905"/>
      <c r="P1064" s="4317"/>
      <c r="Q1064" s="4317"/>
      <c r="R1064" s="4317"/>
      <c r="S1064" s="4317"/>
      <c r="T1064" s="4317"/>
      <c r="U1064" s="4906"/>
      <c r="V1064" s="4697"/>
      <c r="W1064" s="4697"/>
      <c r="X1064" s="4303"/>
      <c r="Y1064" s="4303"/>
      <c r="Z1064" s="4912" t="s">
        <v>5738</v>
      </c>
      <c r="AA1064" s="4859"/>
      <c r="AB1064" s="4859"/>
      <c r="AC1064" s="4859"/>
      <c r="AD1064" s="4859"/>
      <c r="AE1064" s="4859"/>
      <c r="AF1064" s="4859"/>
      <c r="AG1064" s="4859"/>
      <c r="AH1064" s="4859"/>
      <c r="AI1064" s="4859"/>
      <c r="AJ1064" s="4859"/>
      <c r="AK1064" s="4859"/>
      <c r="AL1064" s="4859"/>
      <c r="AM1064" s="4859"/>
      <c r="AN1064" s="4859"/>
      <c r="AO1064" s="4859"/>
      <c r="AP1064" s="4859"/>
      <c r="AQ1064" s="4859"/>
      <c r="AR1064" s="4859"/>
      <c r="AS1064" s="4859"/>
      <c r="AT1064" s="4859"/>
      <c r="AU1064" s="4859"/>
      <c r="AV1064" s="4859"/>
      <c r="AW1064" s="4303"/>
      <c r="AX1064" s="4303"/>
      <c r="AY1064" s="4303"/>
      <c r="AZ1064" s="4303"/>
      <c r="BA1064" s="4303"/>
      <c r="BB1064" s="4303"/>
      <c r="BC1064" s="4303"/>
      <c r="BD1064" s="4303"/>
      <c r="BE1064" s="4303"/>
      <c r="BF1064" s="4303"/>
      <c r="BG1064" s="4303"/>
      <c r="BH1064" s="4303"/>
      <c r="BI1064" s="4303"/>
      <c r="BJ1064" s="4303"/>
      <c r="BK1064" s="4303"/>
      <c r="BL1064" s="4303"/>
      <c r="BM1064" s="4303"/>
      <c r="BN1064" s="4303"/>
      <c r="BO1064" s="4303"/>
      <c r="BP1064" s="4303"/>
      <c r="BQ1064" s="4303"/>
      <c r="BR1064" s="4303"/>
      <c r="BS1064" s="4303"/>
      <c r="BT1064" s="4303"/>
      <c r="BU1064" s="4303"/>
      <c r="BV1064" s="4303"/>
      <c r="BW1064" s="4303"/>
      <c r="BX1064" s="4303"/>
      <c r="BY1064" s="4303"/>
      <c r="BZ1064" s="4303"/>
      <c r="CA1064" s="4303"/>
      <c r="CB1064" s="4303"/>
      <c r="CC1064" s="4303"/>
      <c r="CD1064" s="4303"/>
      <c r="CE1064" s="4303"/>
      <c r="CF1064" s="4303"/>
      <c r="CG1064" s="4303"/>
      <c r="CH1064" s="4303"/>
      <c r="CI1064" s="4303"/>
      <c r="CJ1064" s="4303"/>
      <c r="CK1064" s="4303"/>
      <c r="CL1064" s="4303"/>
      <c r="CM1064" s="4303"/>
      <c r="CN1064" s="4303"/>
      <c r="CO1064" s="4303"/>
      <c r="CP1064" s="4303"/>
      <c r="CQ1064" s="4303"/>
      <c r="CR1064" s="4303"/>
      <c r="CS1064" s="4303"/>
      <c r="CT1064" s="4303"/>
      <c r="CU1064" s="4303"/>
      <c r="CV1064" s="4303"/>
      <c r="CW1064" s="4303"/>
      <c r="CX1064" s="4303"/>
      <c r="CY1064" s="4303"/>
      <c r="CZ1064" s="4303"/>
      <c r="DA1064" s="4303"/>
      <c r="DB1064" s="4303"/>
      <c r="DC1064" s="4303"/>
      <c r="DD1064" s="4303"/>
      <c r="DE1064" s="4303"/>
      <c r="DF1064" s="4303"/>
      <c r="DG1064" s="4303"/>
      <c r="DH1064" s="4303"/>
      <c r="DI1064" s="4303"/>
      <c r="DJ1064" s="4303"/>
      <c r="DK1064" s="4303"/>
      <c r="DL1064" s="4303"/>
      <c r="DM1064" s="4303"/>
      <c r="DN1064" s="4303"/>
      <c r="DO1064" s="4303"/>
      <c r="DP1064" s="4303"/>
      <c r="DQ1064" s="4303"/>
      <c r="DR1064" s="4303"/>
      <c r="DS1064" s="4303"/>
    </row>
    <row r="1065" s="4134" customFormat="1" ht="17.25" customHeight="1" spans="1:123">
      <c r="A1065" s="4907" t="s">
        <v>5737</v>
      </c>
      <c r="B1065" s="4908"/>
      <c r="C1065" s="4908"/>
      <c r="D1065" s="4908"/>
      <c r="E1065" s="4909"/>
      <c r="F1065" s="4910">
        <v>411</v>
      </c>
      <c r="G1065" s="4911"/>
      <c r="H1065" s="4895"/>
      <c r="I1065" s="4895"/>
      <c r="J1065" s="4895"/>
      <c r="K1065" s="4895"/>
      <c r="L1065" s="4895"/>
      <c r="M1065" s="4895"/>
      <c r="N1065" s="4895"/>
      <c r="O1065" s="4905"/>
      <c r="P1065" s="4317"/>
      <c r="Q1065" s="4317"/>
      <c r="R1065" s="4317"/>
      <c r="S1065" s="4317"/>
      <c r="T1065" s="4317"/>
      <c r="U1065" s="4906"/>
      <c r="V1065" s="4697"/>
      <c r="W1065" s="4697"/>
      <c r="X1065" s="4303"/>
      <c r="Y1065" s="4303"/>
      <c r="Z1065" s="4912" t="s">
        <v>5739</v>
      </c>
      <c r="AA1065" s="4859"/>
      <c r="AB1065" s="4859"/>
      <c r="AC1065" s="4859"/>
      <c r="AD1065" s="4859"/>
      <c r="AE1065" s="4859"/>
      <c r="AF1065" s="4859"/>
      <c r="AG1065" s="4859"/>
      <c r="AH1065" s="4859"/>
      <c r="AI1065" s="4859"/>
      <c r="AJ1065" s="4859"/>
      <c r="AK1065" s="4859"/>
      <c r="AL1065" s="4859"/>
      <c r="AM1065" s="4859"/>
      <c r="AN1065" s="4859"/>
      <c r="AO1065" s="4859"/>
      <c r="AP1065" s="4859"/>
      <c r="AQ1065" s="4859"/>
      <c r="AR1065" s="4859"/>
      <c r="AS1065" s="4859"/>
      <c r="AT1065" s="4859"/>
      <c r="AU1065" s="4859"/>
      <c r="AV1065" s="4859"/>
      <c r="AW1065" s="4303"/>
      <c r="AX1065" s="4303"/>
      <c r="AY1065" s="4303"/>
      <c r="AZ1065" s="4303"/>
      <c r="BA1065" s="4303"/>
      <c r="BB1065" s="4303"/>
      <c r="BC1065" s="4303"/>
      <c r="BD1065" s="4303"/>
      <c r="BE1065" s="4303"/>
      <c r="BF1065" s="4303"/>
      <c r="BG1065" s="4303"/>
      <c r="BH1065" s="4303"/>
      <c r="BI1065" s="4303"/>
      <c r="BJ1065" s="4303"/>
      <c r="BK1065" s="4303"/>
      <c r="BL1065" s="4303"/>
      <c r="BM1065" s="4303"/>
      <c r="BN1065" s="4303"/>
      <c r="BO1065" s="4303"/>
      <c r="BP1065" s="4303"/>
      <c r="BQ1065" s="4303"/>
      <c r="BR1065" s="4303"/>
      <c r="BS1065" s="4303"/>
      <c r="BT1065" s="4303"/>
      <c r="BU1065" s="4303"/>
      <c r="BV1065" s="4303"/>
      <c r="BW1065" s="4303"/>
      <c r="BX1065" s="4303"/>
      <c r="BY1065" s="4303"/>
      <c r="BZ1065" s="4303"/>
      <c r="CA1065" s="4303"/>
      <c r="CB1065" s="4303"/>
      <c r="CC1065" s="4303"/>
      <c r="CD1065" s="4303"/>
      <c r="CE1065" s="4303"/>
      <c r="CF1065" s="4303"/>
      <c r="CG1065" s="4303"/>
      <c r="CH1065" s="4303"/>
      <c r="CI1065" s="4303"/>
      <c r="CJ1065" s="4303"/>
      <c r="CK1065" s="4303"/>
      <c r="CL1065" s="4303"/>
      <c r="CM1065" s="4303"/>
      <c r="CN1065" s="4303"/>
      <c r="CO1065" s="4303"/>
      <c r="CP1065" s="4303"/>
      <c r="CQ1065" s="4303"/>
      <c r="CR1065" s="4303"/>
      <c r="CS1065" s="4303"/>
      <c r="CT1065" s="4303"/>
      <c r="CU1065" s="4303"/>
      <c r="CV1065" s="4303"/>
      <c r="CW1065" s="4303"/>
      <c r="CX1065" s="4303"/>
      <c r="CY1065" s="4303"/>
      <c r="CZ1065" s="4303"/>
      <c r="DA1065" s="4303"/>
      <c r="DB1065" s="4303"/>
      <c r="DC1065" s="4303"/>
      <c r="DD1065" s="4303"/>
      <c r="DE1065" s="4303"/>
      <c r="DF1065" s="4303"/>
      <c r="DG1065" s="4303"/>
      <c r="DH1065" s="4303"/>
      <c r="DI1065" s="4303"/>
      <c r="DJ1065" s="4303"/>
      <c r="DK1065" s="4303"/>
      <c r="DL1065" s="4303"/>
      <c r="DM1065" s="4303"/>
      <c r="DN1065" s="4303"/>
      <c r="DO1065" s="4303"/>
      <c r="DP1065" s="4303"/>
      <c r="DQ1065" s="4303"/>
      <c r="DR1065" s="4303"/>
      <c r="DS1065" s="4303"/>
    </row>
    <row r="1066" s="4134" customFormat="1" ht="17.25" customHeight="1" spans="1:123">
      <c r="A1066" s="4907" t="s">
        <v>5737</v>
      </c>
      <c r="B1066" s="4908"/>
      <c r="C1066" s="4908"/>
      <c r="D1066" s="4908"/>
      <c r="E1066" s="4909"/>
      <c r="F1066" s="4910">
        <v>413</v>
      </c>
      <c r="G1066" s="4911"/>
      <c r="H1066" s="4895"/>
      <c r="I1066" s="4895"/>
      <c r="J1066" s="4895"/>
      <c r="K1066" s="4895"/>
      <c r="L1066" s="4895"/>
      <c r="M1066" s="4895"/>
      <c r="N1066" s="4895"/>
      <c r="O1066" s="4905"/>
      <c r="P1066" s="4317"/>
      <c r="Q1066" s="4317"/>
      <c r="R1066" s="4317"/>
      <c r="S1066" s="4317"/>
      <c r="T1066" s="4317"/>
      <c r="U1066" s="4906"/>
      <c r="V1066" s="4697"/>
      <c r="W1066" s="4697"/>
      <c r="X1066" s="4303"/>
      <c r="Y1066" s="4303"/>
      <c r="Z1066" s="4912" t="s">
        <v>5740</v>
      </c>
      <c r="AA1066" s="4859"/>
      <c r="AB1066" s="4859"/>
      <c r="AC1066" s="4859"/>
      <c r="AD1066" s="4859"/>
      <c r="AE1066" s="4859"/>
      <c r="AF1066" s="4859"/>
      <c r="AG1066" s="4859"/>
      <c r="AH1066" s="4859"/>
      <c r="AI1066" s="4859"/>
      <c r="AJ1066" s="4859"/>
      <c r="AK1066" s="4859"/>
      <c r="AL1066" s="4859"/>
      <c r="AM1066" s="4859"/>
      <c r="AN1066" s="4859"/>
      <c r="AO1066" s="4859"/>
      <c r="AP1066" s="4859"/>
      <c r="AQ1066" s="4859"/>
      <c r="AR1066" s="4859"/>
      <c r="AS1066" s="4859"/>
      <c r="AT1066" s="4859"/>
      <c r="AU1066" s="4859"/>
      <c r="AV1066" s="4859"/>
      <c r="AW1066" s="4303"/>
      <c r="AX1066" s="4303"/>
      <c r="AY1066" s="4303"/>
      <c r="AZ1066" s="4303"/>
      <c r="BA1066" s="4303"/>
      <c r="BB1066" s="4303"/>
      <c r="BC1066" s="4303"/>
      <c r="BD1066" s="4303"/>
      <c r="BE1066" s="4303"/>
      <c r="BF1066" s="4303"/>
      <c r="BG1066" s="4303"/>
      <c r="BH1066" s="4303"/>
      <c r="BI1066" s="4303"/>
      <c r="BJ1066" s="4303"/>
      <c r="BK1066" s="4303"/>
      <c r="BL1066" s="4303"/>
      <c r="BM1066" s="4303"/>
      <c r="BN1066" s="4303"/>
      <c r="BO1066" s="4303"/>
      <c r="BP1066" s="4303"/>
      <c r="BQ1066" s="4303"/>
      <c r="BR1066" s="4303"/>
      <c r="BS1066" s="4303"/>
      <c r="BT1066" s="4303"/>
      <c r="BU1066" s="4303"/>
      <c r="BV1066" s="4303"/>
      <c r="BW1066" s="4303"/>
      <c r="BX1066" s="4303"/>
      <c r="BY1066" s="4303"/>
      <c r="BZ1066" s="4303"/>
      <c r="CA1066" s="4303"/>
      <c r="CB1066" s="4303"/>
      <c r="CC1066" s="4303"/>
      <c r="CD1066" s="4303"/>
      <c r="CE1066" s="4303"/>
      <c r="CF1066" s="4303"/>
      <c r="CG1066" s="4303"/>
      <c r="CH1066" s="4303"/>
      <c r="CI1066" s="4303"/>
      <c r="CJ1066" s="4303"/>
      <c r="CK1066" s="4303"/>
      <c r="CL1066" s="4303"/>
      <c r="CM1066" s="4303"/>
      <c r="CN1066" s="4303"/>
      <c r="CO1066" s="4303"/>
      <c r="CP1066" s="4303"/>
      <c r="CQ1066" s="4303"/>
      <c r="CR1066" s="4303"/>
      <c r="CS1066" s="4303"/>
      <c r="CT1066" s="4303"/>
      <c r="CU1066" s="4303"/>
      <c r="CV1066" s="4303"/>
      <c r="CW1066" s="4303"/>
      <c r="CX1066" s="4303"/>
      <c r="CY1066" s="4303"/>
      <c r="CZ1066" s="4303"/>
      <c r="DA1066" s="4303"/>
      <c r="DB1066" s="4303"/>
      <c r="DC1066" s="4303"/>
      <c r="DD1066" s="4303"/>
      <c r="DE1066" s="4303"/>
      <c r="DF1066" s="4303"/>
      <c r="DG1066" s="4303"/>
      <c r="DH1066" s="4303"/>
      <c r="DI1066" s="4303"/>
      <c r="DJ1066" s="4303"/>
      <c r="DK1066" s="4303"/>
      <c r="DL1066" s="4303"/>
      <c r="DM1066" s="4303"/>
      <c r="DN1066" s="4303"/>
      <c r="DO1066" s="4303"/>
      <c r="DP1066" s="4303"/>
      <c r="DQ1066" s="4303"/>
      <c r="DR1066" s="4303"/>
      <c r="DS1066" s="4303"/>
    </row>
    <row r="1067" s="4134" customFormat="1" ht="17.25" customHeight="1" spans="1:123">
      <c r="A1067" s="4907" t="s">
        <v>5737</v>
      </c>
      <c r="B1067" s="4908"/>
      <c r="C1067" s="4908"/>
      <c r="D1067" s="4908"/>
      <c r="E1067" s="4909"/>
      <c r="F1067" s="4910">
        <v>415</v>
      </c>
      <c r="G1067" s="4911"/>
      <c r="H1067" s="4895"/>
      <c r="I1067" s="4895"/>
      <c r="J1067" s="4895"/>
      <c r="K1067" s="4895"/>
      <c r="L1067" s="4895"/>
      <c r="M1067" s="4895"/>
      <c r="N1067" s="4895"/>
      <c r="O1067" s="4905"/>
      <c r="P1067" s="4317"/>
      <c r="Q1067" s="4317"/>
      <c r="R1067" s="4317"/>
      <c r="S1067" s="4317"/>
      <c r="T1067" s="4317"/>
      <c r="U1067" s="4906"/>
      <c r="V1067" s="4697"/>
      <c r="W1067" s="4697"/>
      <c r="X1067" s="4303"/>
      <c r="Y1067" s="4303"/>
      <c r="Z1067" s="4912" t="s">
        <v>5741</v>
      </c>
      <c r="AA1067" s="4859"/>
      <c r="AB1067" s="4859"/>
      <c r="AC1067" s="4859"/>
      <c r="AD1067" s="4859"/>
      <c r="AE1067" s="4859"/>
      <c r="AF1067" s="4859"/>
      <c r="AG1067" s="4859"/>
      <c r="AH1067" s="4859"/>
      <c r="AI1067" s="4859"/>
      <c r="AJ1067" s="4859"/>
      <c r="AK1067" s="4859"/>
      <c r="AL1067" s="4859"/>
      <c r="AM1067" s="4859"/>
      <c r="AN1067" s="4859"/>
      <c r="AO1067" s="4859"/>
      <c r="AP1067" s="4859"/>
      <c r="AQ1067" s="4859"/>
      <c r="AR1067" s="4859"/>
      <c r="AS1067" s="4859"/>
      <c r="AT1067" s="4859"/>
      <c r="AU1067" s="4859"/>
      <c r="AV1067" s="4859"/>
      <c r="AW1067" s="4303"/>
      <c r="AX1067" s="4303"/>
      <c r="AY1067" s="4303"/>
      <c r="AZ1067" s="4303"/>
      <c r="BA1067" s="4303"/>
      <c r="BB1067" s="4303"/>
      <c r="BC1067" s="4303"/>
      <c r="BD1067" s="4303"/>
      <c r="BE1067" s="4303"/>
      <c r="BF1067" s="4303"/>
      <c r="BG1067" s="4303"/>
      <c r="BH1067" s="4303"/>
      <c r="BI1067" s="4303"/>
      <c r="BJ1067" s="4303"/>
      <c r="BK1067" s="4303"/>
      <c r="BL1067" s="4303"/>
      <c r="BM1067" s="4303"/>
      <c r="BN1067" s="4303"/>
      <c r="BO1067" s="4303"/>
      <c r="BP1067" s="4303"/>
      <c r="BQ1067" s="4303"/>
      <c r="BR1067" s="4303"/>
      <c r="BS1067" s="4303"/>
      <c r="BT1067" s="4303"/>
      <c r="BU1067" s="4303"/>
      <c r="BV1067" s="4303"/>
      <c r="BW1067" s="4303"/>
      <c r="BX1067" s="4303"/>
      <c r="BY1067" s="4303"/>
      <c r="BZ1067" s="4303"/>
      <c r="CA1067" s="4303"/>
      <c r="CB1067" s="4303"/>
      <c r="CC1067" s="4303"/>
      <c r="CD1067" s="4303"/>
      <c r="CE1067" s="4303"/>
      <c r="CF1067" s="4303"/>
      <c r="CG1067" s="4303"/>
      <c r="CH1067" s="4303"/>
      <c r="CI1067" s="4303"/>
      <c r="CJ1067" s="4303"/>
      <c r="CK1067" s="4303"/>
      <c r="CL1067" s="4303"/>
      <c r="CM1067" s="4303"/>
      <c r="CN1067" s="4303"/>
      <c r="CO1067" s="4303"/>
      <c r="CP1067" s="4303"/>
      <c r="CQ1067" s="4303"/>
      <c r="CR1067" s="4303"/>
      <c r="CS1067" s="4303"/>
      <c r="CT1067" s="4303"/>
      <c r="CU1067" s="4303"/>
      <c r="CV1067" s="4303"/>
      <c r="CW1067" s="4303"/>
      <c r="CX1067" s="4303"/>
      <c r="CY1067" s="4303"/>
      <c r="CZ1067" s="4303"/>
      <c r="DA1067" s="4303"/>
      <c r="DB1067" s="4303"/>
      <c r="DC1067" s="4303"/>
      <c r="DD1067" s="4303"/>
      <c r="DE1067" s="4303"/>
      <c r="DF1067" s="4303"/>
      <c r="DG1067" s="4303"/>
      <c r="DH1067" s="4303"/>
      <c r="DI1067" s="4303"/>
      <c r="DJ1067" s="4303"/>
      <c r="DK1067" s="4303"/>
      <c r="DL1067" s="4303"/>
      <c r="DM1067" s="4303"/>
      <c r="DN1067" s="4303"/>
      <c r="DO1067" s="4303"/>
      <c r="DP1067" s="4303"/>
      <c r="DQ1067" s="4303"/>
      <c r="DR1067" s="4303"/>
      <c r="DS1067" s="4303"/>
    </row>
    <row r="1068" s="4134" customFormat="1" ht="17.25" customHeight="1" spans="1:123">
      <c r="A1068" s="4922" t="s">
        <v>4599</v>
      </c>
      <c r="B1068" s="4923"/>
      <c r="C1068" s="4923"/>
      <c r="D1068" s="4923"/>
      <c r="E1068" s="4924"/>
      <c r="F1068" s="4894">
        <v>407</v>
      </c>
      <c r="G1068" s="4697"/>
      <c r="H1068" s="4895"/>
      <c r="I1068" s="4895"/>
      <c r="J1068" s="4895"/>
      <c r="K1068" s="4895"/>
      <c r="L1068" s="4895"/>
      <c r="M1068" s="4895"/>
      <c r="N1068" s="4895"/>
      <c r="O1068" s="4905"/>
      <c r="P1068" s="4317"/>
      <c r="Q1068" s="4317"/>
      <c r="R1068" s="4317"/>
      <c r="S1068" s="4317"/>
      <c r="T1068" s="4317"/>
      <c r="U1068" s="4906"/>
      <c r="V1068" s="4697"/>
      <c r="W1068" s="4697"/>
      <c r="X1068" s="4303"/>
      <c r="Y1068" s="4303"/>
      <c r="Z1068" s="4311" t="s">
        <v>5508</v>
      </c>
      <c r="AA1068" s="4303"/>
      <c r="AB1068" s="4303"/>
      <c r="AC1068" s="4303"/>
      <c r="AD1068" s="4303"/>
      <c r="AE1068" s="4303"/>
      <c r="AF1068" s="4303"/>
      <c r="AG1068" s="4303"/>
      <c r="AH1068" s="4303"/>
      <c r="AI1068" s="4303"/>
      <c r="AJ1068" s="4303"/>
      <c r="AK1068" s="4303"/>
      <c r="AL1068" s="4303"/>
      <c r="AM1068" s="4303"/>
      <c r="AN1068" s="4303"/>
      <c r="AO1068" s="4303"/>
      <c r="AP1068" s="4303"/>
      <c r="AQ1068" s="4303"/>
      <c r="AR1068" s="4303"/>
      <c r="AS1068" s="4303"/>
      <c r="AT1068" s="4303"/>
      <c r="AU1068" s="4303"/>
      <c r="AV1068" s="4303"/>
      <c r="AW1068" s="4303"/>
      <c r="AX1068" s="4303"/>
      <c r="AY1068" s="4303"/>
      <c r="AZ1068" s="4303"/>
      <c r="BA1068" s="4303"/>
      <c r="BB1068" s="4303"/>
      <c r="BC1068" s="4303"/>
      <c r="BD1068" s="4303"/>
      <c r="BE1068" s="4303"/>
      <c r="BF1068" s="4303"/>
      <c r="BG1068" s="4303"/>
      <c r="BH1068" s="4303"/>
      <c r="BI1068" s="4303"/>
      <c r="BJ1068" s="4303"/>
      <c r="BK1068" s="4303"/>
      <c r="BL1068" s="4303"/>
      <c r="BM1068" s="4303"/>
      <c r="BN1068" s="4303"/>
      <c r="BO1068" s="4303"/>
      <c r="BP1068" s="4303"/>
      <c r="BQ1068" s="4303"/>
      <c r="BR1068" s="4303"/>
      <c r="BS1068" s="4303"/>
      <c r="BT1068" s="4303"/>
      <c r="BU1068" s="4303"/>
      <c r="BV1068" s="4303"/>
      <c r="BW1068" s="4303"/>
      <c r="BX1068" s="4303"/>
      <c r="BY1068" s="4303"/>
      <c r="BZ1068" s="4303"/>
      <c r="CA1068" s="4303"/>
      <c r="CB1068" s="4303"/>
      <c r="CC1068" s="4303"/>
      <c r="CD1068" s="4303"/>
      <c r="CE1068" s="4303"/>
      <c r="CF1068" s="4303"/>
      <c r="CG1068" s="4303"/>
      <c r="CH1068" s="4303"/>
      <c r="CI1068" s="4303"/>
      <c r="CJ1068" s="4303"/>
      <c r="CK1068" s="4303"/>
      <c r="CL1068" s="4303"/>
      <c r="CM1068" s="4303"/>
      <c r="CN1068" s="4303"/>
      <c r="CO1068" s="4303"/>
      <c r="CP1068" s="4303"/>
      <c r="CQ1068" s="4303"/>
      <c r="CR1068" s="4303"/>
      <c r="CS1068" s="4303"/>
      <c r="CT1068" s="4303"/>
      <c r="CU1068" s="4303"/>
      <c r="CV1068" s="4303"/>
      <c r="CW1068" s="4303"/>
      <c r="CX1068" s="4303"/>
      <c r="CY1068" s="4303"/>
      <c r="CZ1068" s="4303"/>
      <c r="DA1068" s="4303"/>
      <c r="DB1068" s="4303"/>
      <c r="DC1068" s="4303"/>
      <c r="DD1068" s="4303"/>
      <c r="DE1068" s="4303"/>
      <c r="DF1068" s="4303"/>
      <c r="DG1068" s="4303"/>
      <c r="DH1068" s="4303"/>
      <c r="DI1068" s="4303"/>
      <c r="DJ1068" s="4303"/>
      <c r="DK1068" s="4303"/>
      <c r="DL1068" s="4303"/>
      <c r="DM1068" s="4303"/>
      <c r="DN1068" s="4303"/>
      <c r="DO1068" s="4303"/>
      <c r="DP1068" s="4303"/>
      <c r="DQ1068" s="4303"/>
      <c r="DR1068" s="4303"/>
      <c r="DS1068" s="4303"/>
    </row>
    <row r="1069" s="4134" customFormat="1" ht="17.25" customHeight="1" spans="1:123">
      <c r="A1069" s="4922" t="s">
        <v>4601</v>
      </c>
      <c r="B1069" s="4923"/>
      <c r="C1069" s="4923"/>
      <c r="D1069" s="4923"/>
      <c r="E1069" s="4924"/>
      <c r="F1069" s="4894">
        <v>407</v>
      </c>
      <c r="G1069" s="4697"/>
      <c r="H1069" s="4895"/>
      <c r="I1069" s="4895"/>
      <c r="J1069" s="4895"/>
      <c r="K1069" s="4895"/>
      <c r="L1069" s="4895"/>
      <c r="M1069" s="4895"/>
      <c r="N1069" s="4895"/>
      <c r="O1069" s="4905"/>
      <c r="P1069" s="4317"/>
      <c r="Q1069" s="4317"/>
      <c r="R1069" s="4317"/>
      <c r="S1069" s="4317"/>
      <c r="T1069" s="4317"/>
      <c r="U1069" s="4906"/>
      <c r="V1069" s="4697"/>
      <c r="W1069" s="4697"/>
      <c r="X1069" s="4303"/>
      <c r="Y1069" s="4303"/>
      <c r="Z1069" s="4311" t="s">
        <v>5509</v>
      </c>
      <c r="AA1069" s="4303"/>
      <c r="AB1069" s="4303"/>
      <c r="AC1069" s="4303"/>
      <c r="AD1069" s="4303"/>
      <c r="AE1069" s="4303"/>
      <c r="AF1069" s="4303"/>
      <c r="AG1069" s="4303"/>
      <c r="AH1069" s="4303"/>
      <c r="AI1069" s="4303"/>
      <c r="AJ1069" s="4303"/>
      <c r="AK1069" s="4303"/>
      <c r="AL1069" s="4303"/>
      <c r="AM1069" s="4303"/>
      <c r="AN1069" s="4303"/>
      <c r="AO1069" s="4303"/>
      <c r="AP1069" s="4303"/>
      <c r="AQ1069" s="4303"/>
      <c r="AR1069" s="4303"/>
      <c r="AS1069" s="4303"/>
      <c r="AT1069" s="4303"/>
      <c r="AU1069" s="4303"/>
      <c r="AV1069" s="4303"/>
      <c r="AW1069" s="4303"/>
      <c r="AX1069" s="4303"/>
      <c r="AY1069" s="4303"/>
      <c r="AZ1069" s="4303"/>
      <c r="BA1069" s="4303"/>
      <c r="BB1069" s="4303"/>
      <c r="BC1069" s="4303"/>
      <c r="BD1069" s="4303"/>
      <c r="BE1069" s="4303"/>
      <c r="BF1069" s="4303"/>
      <c r="BG1069" s="4303"/>
      <c r="BH1069" s="4303"/>
      <c r="BI1069" s="4303"/>
      <c r="BJ1069" s="4303"/>
      <c r="BK1069" s="4303"/>
      <c r="BL1069" s="4303"/>
      <c r="BM1069" s="4303"/>
      <c r="BN1069" s="4303"/>
      <c r="BO1069" s="4303"/>
      <c r="BP1069" s="4303"/>
      <c r="BQ1069" s="4303"/>
      <c r="BR1069" s="4303"/>
      <c r="BS1069" s="4303"/>
      <c r="BT1069" s="4303"/>
      <c r="BU1069" s="4303"/>
      <c r="BV1069" s="4303"/>
      <c r="BW1069" s="4303"/>
      <c r="BX1069" s="4303"/>
      <c r="BY1069" s="4303"/>
      <c r="BZ1069" s="4303"/>
      <c r="CA1069" s="4303"/>
      <c r="CB1069" s="4303"/>
      <c r="CC1069" s="4303"/>
      <c r="CD1069" s="4303"/>
      <c r="CE1069" s="4303"/>
      <c r="CF1069" s="4303"/>
      <c r="CG1069" s="4303"/>
      <c r="CH1069" s="4303"/>
      <c r="CI1069" s="4303"/>
      <c r="CJ1069" s="4303"/>
      <c r="CK1069" s="4303"/>
      <c r="CL1069" s="4303"/>
      <c r="CM1069" s="4303"/>
      <c r="CN1069" s="4303"/>
      <c r="CO1069" s="4303"/>
      <c r="CP1069" s="4303"/>
      <c r="CQ1069" s="4303"/>
      <c r="CR1069" s="4303"/>
      <c r="CS1069" s="4303"/>
      <c r="CT1069" s="4303"/>
      <c r="CU1069" s="4303"/>
      <c r="CV1069" s="4303"/>
      <c r="CW1069" s="4303"/>
      <c r="CX1069" s="4303"/>
      <c r="CY1069" s="4303"/>
      <c r="CZ1069" s="4303"/>
      <c r="DA1069" s="4303"/>
      <c r="DB1069" s="4303"/>
      <c r="DC1069" s="4303"/>
      <c r="DD1069" s="4303"/>
      <c r="DE1069" s="4303"/>
      <c r="DF1069" s="4303"/>
      <c r="DG1069" s="4303"/>
      <c r="DH1069" s="4303"/>
      <c r="DI1069" s="4303"/>
      <c r="DJ1069" s="4303"/>
      <c r="DK1069" s="4303"/>
      <c r="DL1069" s="4303"/>
      <c r="DM1069" s="4303"/>
      <c r="DN1069" s="4303"/>
      <c r="DO1069" s="4303"/>
      <c r="DP1069" s="4303"/>
      <c r="DQ1069" s="4303"/>
      <c r="DR1069" s="4303"/>
      <c r="DS1069" s="4303"/>
    </row>
    <row r="1070" s="4134" customFormat="1" ht="17.25" customHeight="1" spans="1:123">
      <c r="A1070" s="4922" t="s">
        <v>4603</v>
      </c>
      <c r="B1070" s="4923"/>
      <c r="C1070" s="4923"/>
      <c r="D1070" s="4923"/>
      <c r="E1070" s="4924"/>
      <c r="F1070" s="4894">
        <v>407</v>
      </c>
      <c r="G1070" s="4697"/>
      <c r="H1070" s="4895"/>
      <c r="I1070" s="4895"/>
      <c r="J1070" s="4895"/>
      <c r="K1070" s="4895"/>
      <c r="L1070" s="4895"/>
      <c r="M1070" s="4895"/>
      <c r="N1070" s="4895"/>
      <c r="O1070" s="4905"/>
      <c r="P1070" s="4317"/>
      <c r="Q1070" s="4317"/>
      <c r="R1070" s="4317"/>
      <c r="S1070" s="4317"/>
      <c r="T1070" s="4317"/>
      <c r="U1070" s="4906"/>
      <c r="V1070" s="4697"/>
      <c r="W1070" s="4697"/>
      <c r="X1070" s="4303"/>
      <c r="Y1070" s="4303"/>
      <c r="Z1070" s="4311" t="s">
        <v>5510</v>
      </c>
      <c r="AA1070" s="4303"/>
      <c r="AB1070" s="4303"/>
      <c r="AC1070" s="4303"/>
      <c r="AD1070" s="4303"/>
      <c r="AE1070" s="4303"/>
      <c r="AF1070" s="4303"/>
      <c r="AG1070" s="4303"/>
      <c r="AH1070" s="4303"/>
      <c r="AI1070" s="4303"/>
      <c r="AJ1070" s="4303"/>
      <c r="AK1070" s="4303"/>
      <c r="AL1070" s="4303"/>
      <c r="AM1070" s="4303"/>
      <c r="AN1070" s="4303"/>
      <c r="AO1070" s="4303"/>
      <c r="AP1070" s="4303"/>
      <c r="AQ1070" s="4303"/>
      <c r="AR1070" s="4303"/>
      <c r="AS1070" s="4303"/>
      <c r="AT1070" s="4303"/>
      <c r="AU1070" s="4303"/>
      <c r="AV1070" s="4303"/>
      <c r="AW1070" s="4303"/>
      <c r="AX1070" s="4303"/>
      <c r="AY1070" s="4303"/>
      <c r="AZ1070" s="4303"/>
      <c r="BA1070" s="4303"/>
      <c r="BB1070" s="4303"/>
      <c r="BC1070" s="4303"/>
      <c r="BD1070" s="4303"/>
      <c r="BE1070" s="4303"/>
      <c r="BF1070" s="4303"/>
      <c r="BG1070" s="4303"/>
      <c r="BH1070" s="4303"/>
      <c r="BI1070" s="4303"/>
      <c r="BJ1070" s="4303"/>
      <c r="BK1070" s="4303"/>
      <c r="BL1070" s="4303"/>
      <c r="BM1070" s="4303"/>
      <c r="BN1070" s="4303"/>
      <c r="BO1070" s="4303"/>
      <c r="BP1070" s="4303"/>
      <c r="BQ1070" s="4303"/>
      <c r="BR1070" s="4303"/>
      <c r="BS1070" s="4303"/>
      <c r="BT1070" s="4303"/>
      <c r="BU1070" s="4303"/>
      <c r="BV1070" s="4303"/>
      <c r="BW1070" s="4303"/>
      <c r="BX1070" s="4303"/>
      <c r="BY1070" s="4303"/>
      <c r="BZ1070" s="4303"/>
      <c r="CA1070" s="4303"/>
      <c r="CB1070" s="4303"/>
      <c r="CC1070" s="4303"/>
      <c r="CD1070" s="4303"/>
      <c r="CE1070" s="4303"/>
      <c r="CF1070" s="4303"/>
      <c r="CG1070" s="4303"/>
      <c r="CH1070" s="4303"/>
      <c r="CI1070" s="4303"/>
      <c r="CJ1070" s="4303"/>
      <c r="CK1070" s="4303"/>
      <c r="CL1070" s="4303"/>
      <c r="CM1070" s="4303"/>
      <c r="CN1070" s="4303"/>
      <c r="CO1070" s="4303"/>
      <c r="CP1070" s="4303"/>
      <c r="CQ1070" s="4303"/>
      <c r="CR1070" s="4303"/>
      <c r="CS1070" s="4303"/>
      <c r="CT1070" s="4303"/>
      <c r="CU1070" s="4303"/>
      <c r="CV1070" s="4303"/>
      <c r="CW1070" s="4303"/>
      <c r="CX1070" s="4303"/>
      <c r="CY1070" s="4303"/>
      <c r="CZ1070" s="4303"/>
      <c r="DA1070" s="4303"/>
      <c r="DB1070" s="4303"/>
      <c r="DC1070" s="4303"/>
      <c r="DD1070" s="4303"/>
      <c r="DE1070" s="4303"/>
      <c r="DF1070" s="4303"/>
      <c r="DG1070" s="4303"/>
      <c r="DH1070" s="4303"/>
      <c r="DI1070" s="4303"/>
      <c r="DJ1070" s="4303"/>
      <c r="DK1070" s="4303"/>
      <c r="DL1070" s="4303"/>
      <c r="DM1070" s="4303"/>
      <c r="DN1070" s="4303"/>
      <c r="DO1070" s="4303"/>
      <c r="DP1070" s="4303"/>
      <c r="DQ1070" s="4303"/>
      <c r="DR1070" s="4303"/>
      <c r="DS1070" s="4303"/>
    </row>
    <row r="1071" s="4134" customFormat="1" ht="17.25" customHeight="1" spans="1:123">
      <c r="A1071" s="4922" t="s">
        <v>4604</v>
      </c>
      <c r="B1071" s="4923"/>
      <c r="C1071" s="4923"/>
      <c r="D1071" s="4923"/>
      <c r="E1071" s="4924"/>
      <c r="F1071" s="4894">
        <v>451</v>
      </c>
      <c r="G1071" s="4697"/>
      <c r="H1071" s="4895"/>
      <c r="I1071" s="4895"/>
      <c r="J1071" s="4895"/>
      <c r="K1071" s="4895"/>
      <c r="L1071" s="4895"/>
      <c r="M1071" s="4895"/>
      <c r="N1071" s="4895"/>
      <c r="O1071" s="4905"/>
      <c r="P1071" s="4317"/>
      <c r="Q1071" s="4317"/>
      <c r="R1071" s="4317"/>
      <c r="S1071" s="4317"/>
      <c r="T1071" s="4317"/>
      <c r="U1071" s="4906"/>
      <c r="V1071" s="4697"/>
      <c r="W1071" s="4697"/>
      <c r="X1071" s="4303"/>
      <c r="Y1071" s="4303"/>
      <c r="Z1071" s="4311" t="s">
        <v>5512</v>
      </c>
      <c r="AA1071" s="4303"/>
      <c r="AB1071" s="4303"/>
      <c r="AC1071" s="4303"/>
      <c r="AD1071" s="4303"/>
      <c r="AE1071" s="4303"/>
      <c r="AF1071" s="4303"/>
      <c r="AG1071" s="4303"/>
      <c r="AH1071" s="4303"/>
      <c r="AI1071" s="4303"/>
      <c r="AJ1071" s="4303"/>
      <c r="AK1071" s="4303"/>
      <c r="AL1071" s="4303"/>
      <c r="AM1071" s="4303"/>
      <c r="AN1071" s="4303"/>
      <c r="AO1071" s="4303"/>
      <c r="AP1071" s="4303"/>
      <c r="AQ1071" s="4303"/>
      <c r="AR1071" s="4303"/>
      <c r="AS1071" s="4303"/>
      <c r="AT1071" s="4303"/>
      <c r="AU1071" s="4303"/>
      <c r="AV1071" s="4303"/>
      <c r="AW1071" s="4303"/>
      <c r="AX1071" s="4303"/>
      <c r="AY1071" s="4303"/>
      <c r="AZ1071" s="4303"/>
      <c r="BA1071" s="4303"/>
      <c r="BB1071" s="4303"/>
      <c r="BC1071" s="4303"/>
      <c r="BD1071" s="4303"/>
      <c r="BE1071" s="4303"/>
      <c r="BF1071" s="4303"/>
      <c r="BG1071" s="4303"/>
      <c r="BH1071" s="4303"/>
      <c r="BI1071" s="4303"/>
      <c r="BJ1071" s="4303"/>
      <c r="BK1071" s="4303"/>
      <c r="BL1071" s="4303"/>
      <c r="BM1071" s="4303"/>
      <c r="BN1071" s="4303"/>
      <c r="BO1071" s="4303"/>
      <c r="BP1071" s="4303"/>
      <c r="BQ1071" s="4303"/>
      <c r="BR1071" s="4303"/>
      <c r="BS1071" s="4303"/>
      <c r="BT1071" s="4303"/>
      <c r="BU1071" s="4303"/>
      <c r="BV1071" s="4303"/>
      <c r="BW1071" s="4303"/>
      <c r="BX1071" s="4303"/>
      <c r="BY1071" s="4303"/>
      <c r="BZ1071" s="4303"/>
      <c r="CA1071" s="4303"/>
      <c r="CB1071" s="4303"/>
      <c r="CC1071" s="4303"/>
      <c r="CD1071" s="4303"/>
      <c r="CE1071" s="4303"/>
      <c r="CF1071" s="4303"/>
      <c r="CG1071" s="4303"/>
      <c r="CH1071" s="4303"/>
      <c r="CI1071" s="4303"/>
      <c r="CJ1071" s="4303"/>
      <c r="CK1071" s="4303"/>
      <c r="CL1071" s="4303"/>
      <c r="CM1071" s="4303"/>
      <c r="CN1071" s="4303"/>
      <c r="CO1071" s="4303"/>
      <c r="CP1071" s="4303"/>
      <c r="CQ1071" s="4303"/>
      <c r="CR1071" s="4303"/>
      <c r="CS1071" s="4303"/>
      <c r="CT1071" s="4303"/>
      <c r="CU1071" s="4303"/>
      <c r="CV1071" s="4303"/>
      <c r="CW1071" s="4303"/>
      <c r="CX1071" s="4303"/>
      <c r="CY1071" s="4303"/>
      <c r="CZ1071" s="4303"/>
      <c r="DA1071" s="4303"/>
      <c r="DB1071" s="4303"/>
      <c r="DC1071" s="4303"/>
      <c r="DD1071" s="4303"/>
      <c r="DE1071" s="4303"/>
      <c r="DF1071" s="4303"/>
      <c r="DG1071" s="4303"/>
      <c r="DH1071" s="4303"/>
      <c r="DI1071" s="4303"/>
      <c r="DJ1071" s="4303"/>
      <c r="DK1071" s="4303"/>
      <c r="DL1071" s="4303"/>
      <c r="DM1071" s="4303"/>
      <c r="DN1071" s="4303"/>
      <c r="DO1071" s="4303"/>
      <c r="DP1071" s="4303"/>
      <c r="DQ1071" s="4303"/>
      <c r="DR1071" s="4303"/>
      <c r="DS1071" s="4303"/>
    </row>
    <row r="1072" s="4134" customFormat="1" ht="17.25" customHeight="1" spans="1:123">
      <c r="A1072" s="4922" t="s">
        <v>4605</v>
      </c>
      <c r="B1072" s="4923"/>
      <c r="C1072" s="4923"/>
      <c r="D1072" s="4923"/>
      <c r="E1072" s="4924"/>
      <c r="F1072" s="4894">
        <v>451</v>
      </c>
      <c r="G1072" s="4697"/>
      <c r="H1072" s="4895"/>
      <c r="I1072" s="4895"/>
      <c r="J1072" s="4895"/>
      <c r="K1072" s="4895"/>
      <c r="L1072" s="4895"/>
      <c r="M1072" s="4895"/>
      <c r="N1072" s="4895"/>
      <c r="O1072" s="4905"/>
      <c r="P1072" s="4317"/>
      <c r="Q1072" s="4317"/>
      <c r="R1072" s="4317"/>
      <c r="S1072" s="4317"/>
      <c r="T1072" s="4317"/>
      <c r="U1072" s="4906"/>
      <c r="V1072" s="4697"/>
      <c r="W1072" s="4697"/>
      <c r="X1072" s="4303"/>
      <c r="Y1072" s="4303"/>
      <c r="Z1072" s="4311" t="s">
        <v>5513</v>
      </c>
      <c r="AA1072" s="4303"/>
      <c r="AB1072" s="4303"/>
      <c r="AC1072" s="4303"/>
      <c r="AD1072" s="4303"/>
      <c r="AE1072" s="4303"/>
      <c r="AF1072" s="4303"/>
      <c r="AG1072" s="4303"/>
      <c r="AH1072" s="4303"/>
      <c r="AI1072" s="4303"/>
      <c r="AJ1072" s="4303"/>
      <c r="AK1072" s="4303"/>
      <c r="AL1072" s="4303"/>
      <c r="AM1072" s="4303"/>
      <c r="AN1072" s="4303"/>
      <c r="AO1072" s="4303"/>
      <c r="AP1072" s="4303"/>
      <c r="AQ1072" s="4303"/>
      <c r="AR1072" s="4303"/>
      <c r="AS1072" s="4303"/>
      <c r="AT1072" s="4303"/>
      <c r="AU1072" s="4303"/>
      <c r="AV1072" s="4303"/>
      <c r="AW1072" s="4303"/>
      <c r="AX1072" s="4303"/>
      <c r="AY1072" s="4303"/>
      <c r="AZ1072" s="4303"/>
      <c r="BA1072" s="4303"/>
      <c r="BB1072" s="4303"/>
      <c r="BC1072" s="4303"/>
      <c r="BD1072" s="4303"/>
      <c r="BE1072" s="4303"/>
      <c r="BF1072" s="4303"/>
      <c r="BG1072" s="4303"/>
      <c r="BH1072" s="4303"/>
      <c r="BI1072" s="4303"/>
      <c r="BJ1072" s="4303"/>
      <c r="BK1072" s="4303"/>
      <c r="BL1072" s="4303"/>
      <c r="BM1072" s="4303"/>
      <c r="BN1072" s="4303"/>
      <c r="BO1072" s="4303"/>
      <c r="BP1072" s="4303"/>
      <c r="BQ1072" s="4303"/>
      <c r="BR1072" s="4303"/>
      <c r="BS1072" s="4303"/>
      <c r="BT1072" s="4303"/>
      <c r="BU1072" s="4303"/>
      <c r="BV1072" s="4303"/>
      <c r="BW1072" s="4303"/>
      <c r="BX1072" s="4303"/>
      <c r="BY1072" s="4303"/>
      <c r="BZ1072" s="4303"/>
      <c r="CA1072" s="4303"/>
      <c r="CB1072" s="4303"/>
      <c r="CC1072" s="4303"/>
      <c r="CD1072" s="4303"/>
      <c r="CE1072" s="4303"/>
      <c r="CF1072" s="4303"/>
      <c r="CG1072" s="4303"/>
      <c r="CH1072" s="4303"/>
      <c r="CI1072" s="4303"/>
      <c r="CJ1072" s="4303"/>
      <c r="CK1072" s="4303"/>
      <c r="CL1072" s="4303"/>
      <c r="CM1072" s="4303"/>
      <c r="CN1072" s="4303"/>
      <c r="CO1072" s="4303"/>
      <c r="CP1072" s="4303"/>
      <c r="CQ1072" s="4303"/>
      <c r="CR1072" s="4303"/>
      <c r="CS1072" s="4303"/>
      <c r="CT1072" s="4303"/>
      <c r="CU1072" s="4303"/>
      <c r="CV1072" s="4303"/>
      <c r="CW1072" s="4303"/>
      <c r="CX1072" s="4303"/>
      <c r="CY1072" s="4303"/>
      <c r="CZ1072" s="4303"/>
      <c r="DA1072" s="4303"/>
      <c r="DB1072" s="4303"/>
      <c r="DC1072" s="4303"/>
      <c r="DD1072" s="4303"/>
      <c r="DE1072" s="4303"/>
      <c r="DF1072" s="4303"/>
      <c r="DG1072" s="4303"/>
      <c r="DH1072" s="4303"/>
      <c r="DI1072" s="4303"/>
      <c r="DJ1072" s="4303"/>
      <c r="DK1072" s="4303"/>
      <c r="DL1072" s="4303"/>
      <c r="DM1072" s="4303"/>
      <c r="DN1072" s="4303"/>
      <c r="DO1072" s="4303"/>
      <c r="DP1072" s="4303"/>
      <c r="DQ1072" s="4303"/>
      <c r="DR1072" s="4303"/>
      <c r="DS1072" s="4303"/>
    </row>
    <row r="1073" s="4134" customFormat="1" ht="17.25" customHeight="1" spans="1:123">
      <c r="A1073" s="4922" t="s">
        <v>4614</v>
      </c>
      <c r="B1073" s="4923"/>
      <c r="C1073" s="4923"/>
      <c r="D1073" s="4923"/>
      <c r="E1073" s="4924"/>
      <c r="F1073" s="4894">
        <v>402</v>
      </c>
      <c r="G1073" s="4697"/>
      <c r="H1073" s="4895"/>
      <c r="I1073" s="4895"/>
      <c r="J1073" s="4895"/>
      <c r="K1073" s="4895"/>
      <c r="L1073" s="4895"/>
      <c r="M1073" s="4895"/>
      <c r="N1073" s="4895"/>
      <c r="O1073" s="4905"/>
      <c r="P1073" s="4317"/>
      <c r="Q1073" s="4317"/>
      <c r="R1073" s="4317"/>
      <c r="S1073" s="4317"/>
      <c r="T1073" s="4317"/>
      <c r="U1073" s="4906"/>
      <c r="V1073" s="4697"/>
      <c r="W1073" s="4697"/>
      <c r="X1073" s="4303"/>
      <c r="Y1073" s="4303"/>
      <c r="Z1073" s="4311" t="s">
        <v>5515</v>
      </c>
      <c r="AA1073" s="4303"/>
      <c r="AB1073" s="4303"/>
      <c r="AC1073" s="4303"/>
      <c r="AD1073" s="4303"/>
      <c r="AE1073" s="4303"/>
      <c r="AF1073" s="4303"/>
      <c r="AG1073" s="4303"/>
      <c r="AH1073" s="4303"/>
      <c r="AI1073" s="4303"/>
      <c r="AJ1073" s="4303"/>
      <c r="AK1073" s="4303"/>
      <c r="AL1073" s="4303"/>
      <c r="AM1073" s="4303"/>
      <c r="AN1073" s="4303"/>
      <c r="AO1073" s="4303"/>
      <c r="AP1073" s="4303"/>
      <c r="AQ1073" s="4303"/>
      <c r="AR1073" s="4303"/>
      <c r="AS1073" s="4303"/>
      <c r="AT1073" s="4303"/>
      <c r="AU1073" s="4303"/>
      <c r="AV1073" s="4303"/>
      <c r="AW1073" s="4303"/>
      <c r="AX1073" s="4303"/>
      <c r="AY1073" s="4303"/>
      <c r="AZ1073" s="4303"/>
      <c r="BA1073" s="4303"/>
      <c r="BB1073" s="4303"/>
      <c r="BC1073" s="4303"/>
      <c r="BD1073" s="4303"/>
      <c r="BE1073" s="4303"/>
      <c r="BF1073" s="4303"/>
      <c r="BG1073" s="4303"/>
      <c r="BH1073" s="4303"/>
      <c r="BI1073" s="4303"/>
      <c r="BJ1073" s="4303"/>
      <c r="BK1073" s="4303"/>
      <c r="BL1073" s="4303"/>
      <c r="BM1073" s="4303"/>
      <c r="BN1073" s="4303"/>
      <c r="BO1073" s="4303"/>
      <c r="BP1073" s="4303"/>
      <c r="BQ1073" s="4303"/>
      <c r="BR1073" s="4303"/>
      <c r="BS1073" s="4303"/>
      <c r="BT1073" s="4303"/>
      <c r="BU1073" s="4303"/>
      <c r="BV1073" s="4303"/>
      <c r="BW1073" s="4303"/>
      <c r="BX1073" s="4303"/>
      <c r="BY1073" s="4303"/>
      <c r="BZ1073" s="4303"/>
      <c r="CA1073" s="4303"/>
      <c r="CB1073" s="4303"/>
      <c r="CC1073" s="4303"/>
      <c r="CD1073" s="4303"/>
      <c r="CE1073" s="4303"/>
      <c r="CF1073" s="4303"/>
      <c r="CG1073" s="4303"/>
      <c r="CH1073" s="4303"/>
      <c r="CI1073" s="4303"/>
      <c r="CJ1073" s="4303"/>
      <c r="CK1073" s="4303"/>
      <c r="CL1073" s="4303"/>
      <c r="CM1073" s="4303"/>
      <c r="CN1073" s="4303"/>
      <c r="CO1073" s="4303"/>
      <c r="CP1073" s="4303"/>
      <c r="CQ1073" s="4303"/>
      <c r="CR1073" s="4303"/>
      <c r="CS1073" s="4303"/>
      <c r="CT1073" s="4303"/>
      <c r="CU1073" s="4303"/>
      <c r="CV1073" s="4303"/>
      <c r="CW1073" s="4303"/>
      <c r="CX1073" s="4303"/>
      <c r="CY1073" s="4303"/>
      <c r="CZ1073" s="4303"/>
      <c r="DA1073" s="4303"/>
      <c r="DB1073" s="4303"/>
      <c r="DC1073" s="4303"/>
      <c r="DD1073" s="4303"/>
      <c r="DE1073" s="4303"/>
      <c r="DF1073" s="4303"/>
      <c r="DG1073" s="4303"/>
      <c r="DH1073" s="4303"/>
      <c r="DI1073" s="4303"/>
      <c r="DJ1073" s="4303"/>
      <c r="DK1073" s="4303"/>
      <c r="DL1073" s="4303"/>
      <c r="DM1073" s="4303"/>
      <c r="DN1073" s="4303"/>
      <c r="DO1073" s="4303"/>
      <c r="DP1073" s="4303"/>
      <c r="DQ1073" s="4303"/>
      <c r="DR1073" s="4303"/>
      <c r="DS1073" s="4303"/>
    </row>
    <row r="1074" s="4134" customFormat="1" ht="17.25" customHeight="1" spans="1:123">
      <c r="A1074" s="4922" t="s">
        <v>4615</v>
      </c>
      <c r="B1074" s="4923"/>
      <c r="C1074" s="4923"/>
      <c r="D1074" s="4923"/>
      <c r="E1074" s="4924"/>
      <c r="F1074" s="4894">
        <v>402</v>
      </c>
      <c r="G1074" s="4697"/>
      <c r="H1074" s="4895"/>
      <c r="I1074" s="4895"/>
      <c r="J1074" s="4895"/>
      <c r="K1074" s="4895"/>
      <c r="L1074" s="4895"/>
      <c r="M1074" s="4895"/>
      <c r="N1074" s="4895"/>
      <c r="O1074" s="4905"/>
      <c r="P1074" s="4317"/>
      <c r="Q1074" s="4317"/>
      <c r="R1074" s="4317"/>
      <c r="S1074" s="4317"/>
      <c r="T1074" s="4317"/>
      <c r="U1074" s="4906"/>
      <c r="V1074" s="4697"/>
      <c r="W1074" s="4697"/>
      <c r="X1074" s="4303"/>
      <c r="Y1074" s="4303"/>
      <c r="Z1074" s="4311" t="s">
        <v>5516</v>
      </c>
      <c r="AA1074" s="4303"/>
      <c r="AB1074" s="4303"/>
      <c r="AC1074" s="4303"/>
      <c r="AD1074" s="4303"/>
      <c r="AE1074" s="4303"/>
      <c r="AF1074" s="4303"/>
      <c r="AG1074" s="4303"/>
      <c r="AH1074" s="4303"/>
      <c r="AI1074" s="4303"/>
      <c r="AJ1074" s="4303"/>
      <c r="AK1074" s="4303"/>
      <c r="AL1074" s="4303"/>
      <c r="AM1074" s="4303"/>
      <c r="AN1074" s="4303"/>
      <c r="AO1074" s="4303"/>
      <c r="AP1074" s="4303"/>
      <c r="AQ1074" s="4303"/>
      <c r="AR1074" s="4303"/>
      <c r="AS1074" s="4303"/>
      <c r="AT1074" s="4303"/>
      <c r="AU1074" s="4303"/>
      <c r="AV1074" s="4303"/>
      <c r="AW1074" s="4303"/>
      <c r="AX1074" s="4303"/>
      <c r="AY1074" s="4303"/>
      <c r="AZ1074" s="4303"/>
      <c r="BA1074" s="4303"/>
      <c r="BB1074" s="4303"/>
      <c r="BC1074" s="4303"/>
      <c r="BD1074" s="4303"/>
      <c r="BE1074" s="4303"/>
      <c r="BF1074" s="4303"/>
      <c r="BG1074" s="4303"/>
      <c r="BH1074" s="4303"/>
      <c r="BI1074" s="4303"/>
      <c r="BJ1074" s="4303"/>
      <c r="BK1074" s="4303"/>
      <c r="BL1074" s="4303"/>
      <c r="BM1074" s="4303"/>
      <c r="BN1074" s="4303"/>
      <c r="BO1074" s="4303"/>
      <c r="BP1074" s="4303"/>
      <c r="BQ1074" s="4303"/>
      <c r="BR1074" s="4303"/>
      <c r="BS1074" s="4303"/>
      <c r="BT1074" s="4303"/>
      <c r="BU1074" s="4303"/>
      <c r="BV1074" s="4303"/>
      <c r="BW1074" s="4303"/>
      <c r="BX1074" s="4303"/>
      <c r="BY1074" s="4303"/>
      <c r="BZ1074" s="4303"/>
      <c r="CA1074" s="4303"/>
      <c r="CB1074" s="4303"/>
      <c r="CC1074" s="4303"/>
      <c r="CD1074" s="4303"/>
      <c r="CE1074" s="4303"/>
      <c r="CF1074" s="4303"/>
      <c r="CG1074" s="4303"/>
      <c r="CH1074" s="4303"/>
      <c r="CI1074" s="4303"/>
      <c r="CJ1074" s="4303"/>
      <c r="CK1074" s="4303"/>
      <c r="CL1074" s="4303"/>
      <c r="CM1074" s="4303"/>
      <c r="CN1074" s="4303"/>
      <c r="CO1074" s="4303"/>
      <c r="CP1074" s="4303"/>
      <c r="CQ1074" s="4303"/>
      <c r="CR1074" s="4303"/>
      <c r="CS1074" s="4303"/>
      <c r="CT1074" s="4303"/>
      <c r="CU1074" s="4303"/>
      <c r="CV1074" s="4303"/>
      <c r="CW1074" s="4303"/>
      <c r="CX1074" s="4303"/>
      <c r="CY1074" s="4303"/>
      <c r="CZ1074" s="4303"/>
      <c r="DA1074" s="4303"/>
      <c r="DB1074" s="4303"/>
      <c r="DC1074" s="4303"/>
      <c r="DD1074" s="4303"/>
      <c r="DE1074" s="4303"/>
      <c r="DF1074" s="4303"/>
      <c r="DG1074" s="4303"/>
      <c r="DH1074" s="4303"/>
      <c r="DI1074" s="4303"/>
      <c r="DJ1074" s="4303"/>
      <c r="DK1074" s="4303"/>
      <c r="DL1074" s="4303"/>
      <c r="DM1074" s="4303"/>
      <c r="DN1074" s="4303"/>
      <c r="DO1074" s="4303"/>
      <c r="DP1074" s="4303"/>
      <c r="DQ1074" s="4303"/>
      <c r="DR1074" s="4303"/>
      <c r="DS1074" s="4303"/>
    </row>
    <row r="1075" s="4134" customFormat="1" ht="17.25" customHeight="1" spans="1:123">
      <c r="A1075" s="4922" t="s">
        <v>4616</v>
      </c>
      <c r="B1075" s="4923"/>
      <c r="C1075" s="4923"/>
      <c r="D1075" s="4923"/>
      <c r="E1075" s="4924"/>
      <c r="F1075" s="4894">
        <v>402</v>
      </c>
      <c r="G1075" s="4697"/>
      <c r="H1075" s="4895"/>
      <c r="I1075" s="4895"/>
      <c r="J1075" s="4895"/>
      <c r="K1075" s="4895"/>
      <c r="L1075" s="4895"/>
      <c r="M1075" s="4895"/>
      <c r="N1075" s="4895"/>
      <c r="O1075" s="4905"/>
      <c r="P1075" s="4317"/>
      <c r="Q1075" s="4317"/>
      <c r="R1075" s="4317"/>
      <c r="S1075" s="4317"/>
      <c r="T1075" s="4317"/>
      <c r="U1075" s="4906"/>
      <c r="V1075" s="4697"/>
      <c r="W1075" s="4697"/>
      <c r="X1075" s="4303"/>
      <c r="Y1075" s="4303"/>
      <c r="Z1075" s="4311" t="s">
        <v>5517</v>
      </c>
      <c r="AA1075" s="4303"/>
      <c r="AB1075" s="4303"/>
      <c r="AC1075" s="4303"/>
      <c r="AD1075" s="4303"/>
      <c r="AE1075" s="4303"/>
      <c r="AF1075" s="4303"/>
      <c r="AG1075" s="4303"/>
      <c r="AH1075" s="4303"/>
      <c r="AI1075" s="4303"/>
      <c r="AJ1075" s="4303"/>
      <c r="AK1075" s="4303"/>
      <c r="AL1075" s="4303"/>
      <c r="AM1075" s="4303"/>
      <c r="AN1075" s="4303"/>
      <c r="AO1075" s="4303"/>
      <c r="AP1075" s="4303"/>
      <c r="AQ1075" s="4303"/>
      <c r="AR1075" s="4303"/>
      <c r="AS1075" s="4303"/>
      <c r="AT1075" s="4303"/>
      <c r="AU1075" s="4303"/>
      <c r="AV1075" s="4303"/>
      <c r="AW1075" s="4303"/>
      <c r="AX1075" s="4303"/>
      <c r="AY1075" s="4303"/>
      <c r="AZ1075" s="4303"/>
      <c r="BA1075" s="4303"/>
      <c r="BB1075" s="4303"/>
      <c r="BC1075" s="4303"/>
      <c r="BD1075" s="4303"/>
      <c r="BE1075" s="4303"/>
      <c r="BF1075" s="4303"/>
      <c r="BG1075" s="4303"/>
      <c r="BH1075" s="4303"/>
      <c r="BI1075" s="4303"/>
      <c r="BJ1075" s="4303"/>
      <c r="BK1075" s="4303"/>
      <c r="BL1075" s="4303"/>
      <c r="BM1075" s="4303"/>
      <c r="BN1075" s="4303"/>
      <c r="BO1075" s="4303"/>
      <c r="BP1075" s="4303"/>
      <c r="BQ1075" s="4303"/>
      <c r="BR1075" s="4303"/>
      <c r="BS1075" s="4303"/>
      <c r="BT1075" s="4303"/>
      <c r="BU1075" s="4303"/>
      <c r="BV1075" s="4303"/>
      <c r="BW1075" s="4303"/>
      <c r="BX1075" s="4303"/>
      <c r="BY1075" s="4303"/>
      <c r="BZ1075" s="4303"/>
      <c r="CA1075" s="4303"/>
      <c r="CB1075" s="4303"/>
      <c r="CC1075" s="4303"/>
      <c r="CD1075" s="4303"/>
      <c r="CE1075" s="4303"/>
      <c r="CF1075" s="4303"/>
      <c r="CG1075" s="4303"/>
      <c r="CH1075" s="4303"/>
      <c r="CI1075" s="4303"/>
      <c r="CJ1075" s="4303"/>
      <c r="CK1075" s="4303"/>
      <c r="CL1075" s="4303"/>
      <c r="CM1075" s="4303"/>
      <c r="CN1075" s="4303"/>
      <c r="CO1075" s="4303"/>
      <c r="CP1075" s="4303"/>
      <c r="CQ1075" s="4303"/>
      <c r="CR1075" s="4303"/>
      <c r="CS1075" s="4303"/>
      <c r="CT1075" s="4303"/>
      <c r="CU1075" s="4303"/>
      <c r="CV1075" s="4303"/>
      <c r="CW1075" s="4303"/>
      <c r="CX1075" s="4303"/>
      <c r="CY1075" s="4303"/>
      <c r="CZ1075" s="4303"/>
      <c r="DA1075" s="4303"/>
      <c r="DB1075" s="4303"/>
      <c r="DC1075" s="4303"/>
      <c r="DD1075" s="4303"/>
      <c r="DE1075" s="4303"/>
      <c r="DF1075" s="4303"/>
      <c r="DG1075" s="4303"/>
      <c r="DH1075" s="4303"/>
      <c r="DI1075" s="4303"/>
      <c r="DJ1075" s="4303"/>
      <c r="DK1075" s="4303"/>
      <c r="DL1075" s="4303"/>
      <c r="DM1075" s="4303"/>
      <c r="DN1075" s="4303"/>
      <c r="DO1075" s="4303"/>
      <c r="DP1075" s="4303"/>
      <c r="DQ1075" s="4303"/>
      <c r="DR1075" s="4303"/>
      <c r="DS1075" s="4303"/>
    </row>
    <row r="1076" s="4134" customFormat="1" ht="17.25" customHeight="1" spans="1:123">
      <c r="A1076" s="4922" t="s">
        <v>4617</v>
      </c>
      <c r="B1076" s="4923"/>
      <c r="C1076" s="4923"/>
      <c r="D1076" s="4923"/>
      <c r="E1076" s="4924"/>
      <c r="F1076" s="4894">
        <v>402</v>
      </c>
      <c r="G1076" s="4697"/>
      <c r="H1076" s="4895"/>
      <c r="I1076" s="4895"/>
      <c r="J1076" s="4895"/>
      <c r="K1076" s="4895"/>
      <c r="L1076" s="4895"/>
      <c r="M1076" s="4895"/>
      <c r="N1076" s="4895"/>
      <c r="O1076" s="4905"/>
      <c r="P1076" s="4317"/>
      <c r="Q1076" s="4317"/>
      <c r="R1076" s="4317"/>
      <c r="S1076" s="4317"/>
      <c r="T1076" s="4317"/>
      <c r="U1076" s="4906"/>
      <c r="V1076" s="4697"/>
      <c r="W1076" s="4697"/>
      <c r="X1076" s="4303"/>
      <c r="Y1076" s="4303"/>
      <c r="Z1076" s="4311" t="s">
        <v>5518</v>
      </c>
      <c r="AA1076" s="4303"/>
      <c r="AB1076" s="4303"/>
      <c r="AC1076" s="4303"/>
      <c r="AD1076" s="4303"/>
      <c r="AE1076" s="4303"/>
      <c r="AF1076" s="4303"/>
      <c r="AG1076" s="4303"/>
      <c r="AH1076" s="4303"/>
      <c r="AI1076" s="4303"/>
      <c r="AJ1076" s="4303"/>
      <c r="AK1076" s="4303"/>
      <c r="AL1076" s="4303"/>
      <c r="AM1076" s="4303"/>
      <c r="AN1076" s="4303"/>
      <c r="AO1076" s="4303"/>
      <c r="AP1076" s="4303"/>
      <c r="AQ1076" s="4303"/>
      <c r="AR1076" s="4303"/>
      <c r="AS1076" s="4303"/>
      <c r="AT1076" s="4303"/>
      <c r="AU1076" s="4303"/>
      <c r="AV1076" s="4303"/>
      <c r="AW1076" s="4303"/>
      <c r="AX1076" s="4303"/>
      <c r="AY1076" s="4303"/>
      <c r="AZ1076" s="4303"/>
      <c r="BA1076" s="4303"/>
      <c r="BB1076" s="4303"/>
      <c r="BC1076" s="4303"/>
      <c r="BD1076" s="4303"/>
      <c r="BE1076" s="4303"/>
      <c r="BF1076" s="4303"/>
      <c r="BG1076" s="4303"/>
      <c r="BH1076" s="4303"/>
      <c r="BI1076" s="4303"/>
      <c r="BJ1076" s="4303"/>
      <c r="BK1076" s="4303"/>
      <c r="BL1076" s="4303"/>
      <c r="BM1076" s="4303"/>
      <c r="BN1076" s="4303"/>
      <c r="BO1076" s="4303"/>
      <c r="BP1076" s="4303"/>
      <c r="BQ1076" s="4303"/>
      <c r="BR1076" s="4303"/>
      <c r="BS1076" s="4303"/>
      <c r="BT1076" s="4303"/>
      <c r="BU1076" s="4303"/>
      <c r="BV1076" s="4303"/>
      <c r="BW1076" s="4303"/>
      <c r="BX1076" s="4303"/>
      <c r="BY1076" s="4303"/>
      <c r="BZ1076" s="4303"/>
      <c r="CA1076" s="4303"/>
      <c r="CB1076" s="4303"/>
      <c r="CC1076" s="4303"/>
      <c r="CD1076" s="4303"/>
      <c r="CE1076" s="4303"/>
      <c r="CF1076" s="4303"/>
      <c r="CG1076" s="4303"/>
      <c r="CH1076" s="4303"/>
      <c r="CI1076" s="4303"/>
      <c r="CJ1076" s="4303"/>
      <c r="CK1076" s="4303"/>
      <c r="CL1076" s="4303"/>
      <c r="CM1076" s="4303"/>
      <c r="CN1076" s="4303"/>
      <c r="CO1076" s="4303"/>
      <c r="CP1076" s="4303"/>
      <c r="CQ1076" s="4303"/>
      <c r="CR1076" s="4303"/>
      <c r="CS1076" s="4303"/>
      <c r="CT1076" s="4303"/>
      <c r="CU1076" s="4303"/>
      <c r="CV1076" s="4303"/>
      <c r="CW1076" s="4303"/>
      <c r="CX1076" s="4303"/>
      <c r="CY1076" s="4303"/>
      <c r="CZ1076" s="4303"/>
      <c r="DA1076" s="4303"/>
      <c r="DB1076" s="4303"/>
      <c r="DC1076" s="4303"/>
      <c r="DD1076" s="4303"/>
      <c r="DE1076" s="4303"/>
      <c r="DF1076" s="4303"/>
      <c r="DG1076" s="4303"/>
      <c r="DH1076" s="4303"/>
      <c r="DI1076" s="4303"/>
      <c r="DJ1076" s="4303"/>
      <c r="DK1076" s="4303"/>
      <c r="DL1076" s="4303"/>
      <c r="DM1076" s="4303"/>
      <c r="DN1076" s="4303"/>
      <c r="DO1076" s="4303"/>
      <c r="DP1076" s="4303"/>
      <c r="DQ1076" s="4303"/>
      <c r="DR1076" s="4303"/>
      <c r="DS1076" s="4303"/>
    </row>
    <row r="1077" s="4134" customFormat="1" ht="17.25" customHeight="1" spans="1:123">
      <c r="A1077" s="4922" t="s">
        <v>4618</v>
      </c>
      <c r="B1077" s="4923"/>
      <c r="C1077" s="4923"/>
      <c r="D1077" s="4923"/>
      <c r="E1077" s="4924"/>
      <c r="F1077" s="4894">
        <v>402</v>
      </c>
      <c r="G1077" s="4697"/>
      <c r="H1077" s="4895"/>
      <c r="I1077" s="4895"/>
      <c r="J1077" s="4895"/>
      <c r="K1077" s="4895"/>
      <c r="L1077" s="4895"/>
      <c r="M1077" s="4895"/>
      <c r="N1077" s="4895"/>
      <c r="O1077" s="4905"/>
      <c r="P1077" s="4317"/>
      <c r="Q1077" s="4317"/>
      <c r="R1077" s="4317"/>
      <c r="S1077" s="4317"/>
      <c r="T1077" s="4317"/>
      <c r="U1077" s="4906"/>
      <c r="V1077" s="4697"/>
      <c r="W1077" s="4697"/>
      <c r="X1077" s="4303"/>
      <c r="Y1077" s="4303"/>
      <c r="Z1077" s="4311" t="s">
        <v>5519</v>
      </c>
      <c r="AA1077" s="4303"/>
      <c r="AB1077" s="4303"/>
      <c r="AC1077" s="4303"/>
      <c r="AD1077" s="4303"/>
      <c r="AE1077" s="4303"/>
      <c r="AF1077" s="4303"/>
      <c r="AG1077" s="4303"/>
      <c r="AH1077" s="4303"/>
      <c r="AI1077" s="4303"/>
      <c r="AJ1077" s="4303"/>
      <c r="AK1077" s="4303"/>
      <c r="AL1077" s="4303"/>
      <c r="AM1077" s="4303"/>
      <c r="AN1077" s="4303"/>
      <c r="AO1077" s="4303"/>
      <c r="AP1077" s="4303"/>
      <c r="AQ1077" s="4303"/>
      <c r="AR1077" s="4303"/>
      <c r="AS1077" s="4303"/>
      <c r="AT1077" s="4303"/>
      <c r="AU1077" s="4303"/>
      <c r="AV1077" s="4303"/>
      <c r="AW1077" s="4303"/>
      <c r="AX1077" s="4303"/>
      <c r="AY1077" s="4303"/>
      <c r="AZ1077" s="4303"/>
      <c r="BA1077" s="4303"/>
      <c r="BB1077" s="4303"/>
      <c r="BC1077" s="4303"/>
      <c r="BD1077" s="4303"/>
      <c r="BE1077" s="4303"/>
      <c r="BF1077" s="4303"/>
      <c r="BG1077" s="4303"/>
      <c r="BH1077" s="4303"/>
      <c r="BI1077" s="4303"/>
      <c r="BJ1077" s="4303"/>
      <c r="BK1077" s="4303"/>
      <c r="BL1077" s="4303"/>
      <c r="BM1077" s="4303"/>
      <c r="BN1077" s="4303"/>
      <c r="BO1077" s="4303"/>
      <c r="BP1077" s="4303"/>
      <c r="BQ1077" s="4303"/>
      <c r="BR1077" s="4303"/>
      <c r="BS1077" s="4303"/>
      <c r="BT1077" s="4303"/>
      <c r="BU1077" s="4303"/>
      <c r="BV1077" s="4303"/>
      <c r="BW1077" s="4303"/>
      <c r="BX1077" s="4303"/>
      <c r="BY1077" s="4303"/>
      <c r="BZ1077" s="4303"/>
      <c r="CA1077" s="4303"/>
      <c r="CB1077" s="4303"/>
      <c r="CC1077" s="4303"/>
      <c r="CD1077" s="4303"/>
      <c r="CE1077" s="4303"/>
      <c r="CF1077" s="4303"/>
      <c r="CG1077" s="4303"/>
      <c r="CH1077" s="4303"/>
      <c r="CI1077" s="4303"/>
      <c r="CJ1077" s="4303"/>
      <c r="CK1077" s="4303"/>
      <c r="CL1077" s="4303"/>
      <c r="CM1077" s="4303"/>
      <c r="CN1077" s="4303"/>
      <c r="CO1077" s="4303"/>
      <c r="CP1077" s="4303"/>
      <c r="CQ1077" s="4303"/>
      <c r="CR1077" s="4303"/>
      <c r="CS1077" s="4303"/>
      <c r="CT1077" s="4303"/>
      <c r="CU1077" s="4303"/>
      <c r="CV1077" s="4303"/>
      <c r="CW1077" s="4303"/>
      <c r="CX1077" s="4303"/>
      <c r="CY1077" s="4303"/>
      <c r="CZ1077" s="4303"/>
      <c r="DA1077" s="4303"/>
      <c r="DB1077" s="4303"/>
      <c r="DC1077" s="4303"/>
      <c r="DD1077" s="4303"/>
      <c r="DE1077" s="4303"/>
      <c r="DF1077" s="4303"/>
      <c r="DG1077" s="4303"/>
      <c r="DH1077" s="4303"/>
      <c r="DI1077" s="4303"/>
      <c r="DJ1077" s="4303"/>
      <c r="DK1077" s="4303"/>
      <c r="DL1077" s="4303"/>
      <c r="DM1077" s="4303"/>
      <c r="DN1077" s="4303"/>
      <c r="DO1077" s="4303"/>
      <c r="DP1077" s="4303"/>
      <c r="DQ1077" s="4303"/>
      <c r="DR1077" s="4303"/>
      <c r="DS1077" s="4303"/>
    </row>
    <row r="1078" s="4134" customFormat="1" ht="17.25" customHeight="1" spans="1:123">
      <c r="A1078" s="4922" t="s">
        <v>4619</v>
      </c>
      <c r="B1078" s="4923"/>
      <c r="C1078" s="4923"/>
      <c r="D1078" s="4923"/>
      <c r="E1078" s="4924"/>
      <c r="F1078" s="4894">
        <v>402</v>
      </c>
      <c r="G1078" s="4697"/>
      <c r="H1078" s="4895"/>
      <c r="I1078" s="4895"/>
      <c r="J1078" s="4895"/>
      <c r="K1078" s="4895"/>
      <c r="L1078" s="4895"/>
      <c r="M1078" s="4895"/>
      <c r="N1078" s="4895"/>
      <c r="O1078" s="4905"/>
      <c r="P1078" s="4317"/>
      <c r="Q1078" s="4317"/>
      <c r="R1078" s="4317"/>
      <c r="S1078" s="4317"/>
      <c r="T1078" s="4317"/>
      <c r="U1078" s="4906"/>
      <c r="V1078" s="4697"/>
      <c r="W1078" s="4697"/>
      <c r="X1078" s="4303"/>
      <c r="Y1078" s="4303"/>
      <c r="Z1078" s="4311" t="s">
        <v>5520</v>
      </c>
      <c r="AA1078" s="4303"/>
      <c r="AB1078" s="4303"/>
      <c r="AC1078" s="4303"/>
      <c r="AD1078" s="4303"/>
      <c r="AE1078" s="4303"/>
      <c r="AF1078" s="4303"/>
      <c r="AG1078" s="4303"/>
      <c r="AH1078" s="4303"/>
      <c r="AI1078" s="4303"/>
      <c r="AJ1078" s="4303"/>
      <c r="AK1078" s="4303"/>
      <c r="AL1078" s="4303"/>
      <c r="AM1078" s="4303"/>
      <c r="AN1078" s="4303"/>
      <c r="AO1078" s="4303"/>
      <c r="AP1078" s="4303"/>
      <c r="AQ1078" s="4303"/>
      <c r="AR1078" s="4303"/>
      <c r="AS1078" s="4303"/>
      <c r="AT1078" s="4303"/>
      <c r="AU1078" s="4303"/>
      <c r="AV1078" s="4303"/>
      <c r="AW1078" s="4303"/>
      <c r="AX1078" s="4303"/>
      <c r="AY1078" s="4303"/>
      <c r="AZ1078" s="4303"/>
      <c r="BA1078" s="4303"/>
      <c r="BB1078" s="4303"/>
      <c r="BC1078" s="4303"/>
      <c r="BD1078" s="4303"/>
      <c r="BE1078" s="4303"/>
      <c r="BF1078" s="4303"/>
      <c r="BG1078" s="4303"/>
      <c r="BH1078" s="4303"/>
      <c r="BI1078" s="4303"/>
      <c r="BJ1078" s="4303"/>
      <c r="BK1078" s="4303"/>
      <c r="BL1078" s="4303"/>
      <c r="BM1078" s="4303"/>
      <c r="BN1078" s="4303"/>
      <c r="BO1078" s="4303"/>
      <c r="BP1078" s="4303"/>
      <c r="BQ1078" s="4303"/>
      <c r="BR1078" s="4303"/>
      <c r="BS1078" s="4303"/>
      <c r="BT1078" s="4303"/>
      <c r="BU1078" s="4303"/>
      <c r="BV1078" s="4303"/>
      <c r="BW1078" s="4303"/>
      <c r="BX1078" s="4303"/>
      <c r="BY1078" s="4303"/>
      <c r="BZ1078" s="4303"/>
      <c r="CA1078" s="4303"/>
      <c r="CB1078" s="4303"/>
      <c r="CC1078" s="4303"/>
      <c r="CD1078" s="4303"/>
      <c r="CE1078" s="4303"/>
      <c r="CF1078" s="4303"/>
      <c r="CG1078" s="4303"/>
      <c r="CH1078" s="4303"/>
      <c r="CI1078" s="4303"/>
      <c r="CJ1078" s="4303"/>
      <c r="CK1078" s="4303"/>
      <c r="CL1078" s="4303"/>
      <c r="CM1078" s="4303"/>
      <c r="CN1078" s="4303"/>
      <c r="CO1078" s="4303"/>
      <c r="CP1078" s="4303"/>
      <c r="CQ1078" s="4303"/>
      <c r="CR1078" s="4303"/>
      <c r="CS1078" s="4303"/>
      <c r="CT1078" s="4303"/>
      <c r="CU1078" s="4303"/>
      <c r="CV1078" s="4303"/>
      <c r="CW1078" s="4303"/>
      <c r="CX1078" s="4303"/>
      <c r="CY1078" s="4303"/>
      <c r="CZ1078" s="4303"/>
      <c r="DA1078" s="4303"/>
      <c r="DB1078" s="4303"/>
      <c r="DC1078" s="4303"/>
      <c r="DD1078" s="4303"/>
      <c r="DE1078" s="4303"/>
      <c r="DF1078" s="4303"/>
      <c r="DG1078" s="4303"/>
      <c r="DH1078" s="4303"/>
      <c r="DI1078" s="4303"/>
      <c r="DJ1078" s="4303"/>
      <c r="DK1078" s="4303"/>
      <c r="DL1078" s="4303"/>
      <c r="DM1078" s="4303"/>
      <c r="DN1078" s="4303"/>
      <c r="DO1078" s="4303"/>
      <c r="DP1078" s="4303"/>
      <c r="DQ1078" s="4303"/>
      <c r="DR1078" s="4303"/>
      <c r="DS1078" s="4303"/>
    </row>
    <row r="1079" s="4134" customFormat="1" ht="17.25" customHeight="1" spans="1:123">
      <c r="A1079" s="4922" t="s">
        <v>4620</v>
      </c>
      <c r="B1079" s="4923"/>
      <c r="C1079" s="4923"/>
      <c r="D1079" s="4923"/>
      <c r="E1079" s="4924"/>
      <c r="F1079" s="4894">
        <v>402</v>
      </c>
      <c r="G1079" s="4697"/>
      <c r="H1079" s="4895"/>
      <c r="I1079" s="4895"/>
      <c r="J1079" s="4895"/>
      <c r="K1079" s="4895"/>
      <c r="L1079" s="4895"/>
      <c r="M1079" s="4895"/>
      <c r="N1079" s="4895"/>
      <c r="O1079" s="4905"/>
      <c r="P1079" s="4317"/>
      <c r="Q1079" s="4317"/>
      <c r="R1079" s="4317"/>
      <c r="S1079" s="4317"/>
      <c r="T1079" s="4317"/>
      <c r="U1079" s="4906"/>
      <c r="V1079" s="4697"/>
      <c r="W1079" s="4697"/>
      <c r="X1079" s="4303"/>
      <c r="Y1079" s="4303"/>
      <c r="Z1079" s="4311" t="s">
        <v>5521</v>
      </c>
      <c r="AA1079" s="4303"/>
      <c r="AB1079" s="4303"/>
      <c r="AC1079" s="4303"/>
      <c r="AD1079" s="4303"/>
      <c r="AE1079" s="4303"/>
      <c r="AF1079" s="4303"/>
      <c r="AG1079" s="4303"/>
      <c r="AH1079" s="4303"/>
      <c r="AI1079" s="4303"/>
      <c r="AJ1079" s="4303"/>
      <c r="AK1079" s="4303"/>
      <c r="AL1079" s="4303"/>
      <c r="AM1079" s="4303"/>
      <c r="AN1079" s="4303"/>
      <c r="AO1079" s="4303"/>
      <c r="AP1079" s="4303"/>
      <c r="AQ1079" s="4303"/>
      <c r="AR1079" s="4303"/>
      <c r="AS1079" s="4303"/>
      <c r="AT1079" s="4303"/>
      <c r="AU1079" s="4303"/>
      <c r="AV1079" s="4303"/>
      <c r="AW1079" s="4303"/>
      <c r="AX1079" s="4303"/>
      <c r="AY1079" s="4303"/>
      <c r="AZ1079" s="4303"/>
      <c r="BA1079" s="4303"/>
      <c r="BB1079" s="4303"/>
      <c r="BC1079" s="4303"/>
      <c r="BD1079" s="4303"/>
      <c r="BE1079" s="4303"/>
      <c r="BF1079" s="4303"/>
      <c r="BG1079" s="4303"/>
      <c r="BH1079" s="4303"/>
      <c r="BI1079" s="4303"/>
      <c r="BJ1079" s="4303"/>
      <c r="BK1079" s="4303"/>
      <c r="BL1079" s="4303"/>
      <c r="BM1079" s="4303"/>
      <c r="BN1079" s="4303"/>
      <c r="BO1079" s="4303"/>
      <c r="BP1079" s="4303"/>
      <c r="BQ1079" s="4303"/>
      <c r="BR1079" s="4303"/>
      <c r="BS1079" s="4303"/>
      <c r="BT1079" s="4303"/>
      <c r="BU1079" s="4303"/>
      <c r="BV1079" s="4303"/>
      <c r="BW1079" s="4303"/>
      <c r="BX1079" s="4303"/>
      <c r="BY1079" s="4303"/>
      <c r="BZ1079" s="4303"/>
      <c r="CA1079" s="4303"/>
      <c r="CB1079" s="4303"/>
      <c r="CC1079" s="4303"/>
      <c r="CD1079" s="4303"/>
      <c r="CE1079" s="4303"/>
      <c r="CF1079" s="4303"/>
      <c r="CG1079" s="4303"/>
      <c r="CH1079" s="4303"/>
      <c r="CI1079" s="4303"/>
      <c r="CJ1079" s="4303"/>
      <c r="CK1079" s="4303"/>
      <c r="CL1079" s="4303"/>
      <c r="CM1079" s="4303"/>
      <c r="CN1079" s="4303"/>
      <c r="CO1079" s="4303"/>
      <c r="CP1079" s="4303"/>
      <c r="CQ1079" s="4303"/>
      <c r="CR1079" s="4303"/>
      <c r="CS1079" s="4303"/>
      <c r="CT1079" s="4303"/>
      <c r="CU1079" s="4303"/>
      <c r="CV1079" s="4303"/>
      <c r="CW1079" s="4303"/>
      <c r="CX1079" s="4303"/>
      <c r="CY1079" s="4303"/>
      <c r="CZ1079" s="4303"/>
      <c r="DA1079" s="4303"/>
      <c r="DB1079" s="4303"/>
      <c r="DC1079" s="4303"/>
      <c r="DD1079" s="4303"/>
      <c r="DE1079" s="4303"/>
      <c r="DF1079" s="4303"/>
      <c r="DG1079" s="4303"/>
      <c r="DH1079" s="4303"/>
      <c r="DI1079" s="4303"/>
      <c r="DJ1079" s="4303"/>
      <c r="DK1079" s="4303"/>
      <c r="DL1079" s="4303"/>
      <c r="DM1079" s="4303"/>
      <c r="DN1079" s="4303"/>
      <c r="DO1079" s="4303"/>
      <c r="DP1079" s="4303"/>
      <c r="DQ1079" s="4303"/>
      <c r="DR1079" s="4303"/>
      <c r="DS1079" s="4303"/>
    </row>
    <row r="1080" s="4134" customFormat="1" ht="17.25" customHeight="1" spans="1:123">
      <c r="A1080" s="4922" t="s">
        <v>5522</v>
      </c>
      <c r="B1080" s="4923"/>
      <c r="C1080" s="4923"/>
      <c r="D1080" s="4923"/>
      <c r="E1080" s="4924"/>
      <c r="F1080" s="4894">
        <v>402</v>
      </c>
      <c r="G1080" s="4697"/>
      <c r="H1080" s="4895"/>
      <c r="I1080" s="4895"/>
      <c r="J1080" s="4895"/>
      <c r="K1080" s="4895"/>
      <c r="L1080" s="4895"/>
      <c r="M1080" s="4895"/>
      <c r="N1080" s="4895"/>
      <c r="O1080" s="4905"/>
      <c r="P1080" s="4317"/>
      <c r="Q1080" s="4317"/>
      <c r="R1080" s="4317"/>
      <c r="S1080" s="4317"/>
      <c r="T1080" s="4317"/>
      <c r="U1080" s="4906"/>
      <c r="V1080" s="4697"/>
      <c r="W1080" s="4697"/>
      <c r="X1080" s="4303"/>
      <c r="Y1080" s="4303"/>
      <c r="Z1080" s="4311" t="s">
        <v>5523</v>
      </c>
      <c r="AA1080" s="4303"/>
      <c r="AB1080" s="4303"/>
      <c r="AC1080" s="4303"/>
      <c r="AD1080" s="4303"/>
      <c r="AE1080" s="4303"/>
      <c r="AF1080" s="4303"/>
      <c r="AG1080" s="4303"/>
      <c r="AH1080" s="4303"/>
      <c r="AI1080" s="4303"/>
      <c r="AJ1080" s="4303"/>
      <c r="AK1080" s="4303"/>
      <c r="AL1080" s="4303"/>
      <c r="AM1080" s="4303"/>
      <c r="AN1080" s="4303"/>
      <c r="AO1080" s="4303"/>
      <c r="AP1080" s="4303"/>
      <c r="AQ1080" s="4303"/>
      <c r="AR1080" s="4303"/>
      <c r="AS1080" s="4303"/>
      <c r="AT1080" s="4303"/>
      <c r="AU1080" s="4303"/>
      <c r="AV1080" s="4303"/>
      <c r="AW1080" s="4303"/>
      <c r="AX1080" s="4303"/>
      <c r="AY1080" s="4303"/>
      <c r="AZ1080" s="4303"/>
      <c r="BA1080" s="4303"/>
      <c r="BB1080" s="4303"/>
      <c r="BC1080" s="4303"/>
      <c r="BD1080" s="4303"/>
      <c r="BE1080" s="4303"/>
      <c r="BF1080" s="4303"/>
      <c r="BG1080" s="4303"/>
      <c r="BH1080" s="4303"/>
      <c r="BI1080" s="4303"/>
      <c r="BJ1080" s="4303"/>
      <c r="BK1080" s="4303"/>
      <c r="BL1080" s="4303"/>
      <c r="BM1080" s="4303"/>
      <c r="BN1080" s="4303"/>
      <c r="BO1080" s="4303"/>
      <c r="BP1080" s="4303"/>
      <c r="BQ1080" s="4303"/>
      <c r="BR1080" s="4303"/>
      <c r="BS1080" s="4303"/>
      <c r="BT1080" s="4303"/>
      <c r="BU1080" s="4303"/>
      <c r="BV1080" s="4303"/>
      <c r="BW1080" s="4303"/>
      <c r="BX1080" s="4303"/>
      <c r="BY1080" s="4303"/>
      <c r="BZ1080" s="4303"/>
      <c r="CA1080" s="4303"/>
      <c r="CB1080" s="4303"/>
      <c r="CC1080" s="4303"/>
      <c r="CD1080" s="4303"/>
      <c r="CE1080" s="4303"/>
      <c r="CF1080" s="4303"/>
      <c r="CG1080" s="4303"/>
      <c r="CH1080" s="4303"/>
      <c r="CI1080" s="4303"/>
      <c r="CJ1080" s="4303"/>
      <c r="CK1080" s="4303"/>
      <c r="CL1080" s="4303"/>
      <c r="CM1080" s="4303"/>
      <c r="CN1080" s="4303"/>
      <c r="CO1080" s="4303"/>
      <c r="CP1080" s="4303"/>
      <c r="CQ1080" s="4303"/>
      <c r="CR1080" s="4303"/>
      <c r="CS1080" s="4303"/>
      <c r="CT1080" s="4303"/>
      <c r="CU1080" s="4303"/>
      <c r="CV1080" s="4303"/>
      <c r="CW1080" s="4303"/>
      <c r="CX1080" s="4303"/>
      <c r="CY1080" s="4303"/>
      <c r="CZ1080" s="4303"/>
      <c r="DA1080" s="4303"/>
      <c r="DB1080" s="4303"/>
      <c r="DC1080" s="4303"/>
      <c r="DD1080" s="4303"/>
      <c r="DE1080" s="4303"/>
      <c r="DF1080" s="4303"/>
      <c r="DG1080" s="4303"/>
      <c r="DH1080" s="4303"/>
      <c r="DI1080" s="4303"/>
      <c r="DJ1080" s="4303"/>
      <c r="DK1080" s="4303"/>
      <c r="DL1080" s="4303"/>
      <c r="DM1080" s="4303"/>
      <c r="DN1080" s="4303"/>
      <c r="DO1080" s="4303"/>
      <c r="DP1080" s="4303"/>
      <c r="DQ1080" s="4303"/>
      <c r="DR1080" s="4303"/>
      <c r="DS1080" s="4303"/>
    </row>
    <row r="1081" s="4134" customFormat="1" ht="17.25" customHeight="1" spans="1:123">
      <c r="A1081" s="4922" t="s">
        <v>5524</v>
      </c>
      <c r="B1081" s="4923"/>
      <c r="C1081" s="4923"/>
      <c r="D1081" s="4923"/>
      <c r="E1081" s="4924"/>
      <c r="F1081" s="4894">
        <v>402</v>
      </c>
      <c r="G1081" s="4697"/>
      <c r="H1081" s="4895"/>
      <c r="I1081" s="4895"/>
      <c r="J1081" s="4895"/>
      <c r="K1081" s="4895"/>
      <c r="L1081" s="4895"/>
      <c r="M1081" s="4895"/>
      <c r="N1081" s="4895"/>
      <c r="O1081" s="4905"/>
      <c r="P1081" s="4317"/>
      <c r="Q1081" s="4317"/>
      <c r="R1081" s="4317"/>
      <c r="S1081" s="4317"/>
      <c r="T1081" s="4317"/>
      <c r="U1081" s="4906"/>
      <c r="V1081" s="4697"/>
      <c r="W1081" s="4697"/>
      <c r="X1081" s="4303"/>
      <c r="Y1081" s="4303"/>
      <c r="Z1081" s="4311" t="s">
        <v>5525</v>
      </c>
      <c r="AA1081" s="4303"/>
      <c r="AB1081" s="4303"/>
      <c r="AC1081" s="4303"/>
      <c r="AD1081" s="4303"/>
      <c r="AE1081" s="4303"/>
      <c r="AF1081" s="4303"/>
      <c r="AG1081" s="4303"/>
      <c r="AH1081" s="4303"/>
      <c r="AI1081" s="4303"/>
      <c r="AJ1081" s="4303"/>
      <c r="AK1081" s="4303"/>
      <c r="AL1081" s="4303"/>
      <c r="AM1081" s="4303"/>
      <c r="AN1081" s="4303"/>
      <c r="AO1081" s="4303"/>
      <c r="AP1081" s="4303"/>
      <c r="AQ1081" s="4303"/>
      <c r="AR1081" s="4303"/>
      <c r="AS1081" s="4303"/>
      <c r="AT1081" s="4303"/>
      <c r="AU1081" s="4303"/>
      <c r="AV1081" s="4303"/>
      <c r="AW1081" s="4303"/>
      <c r="AX1081" s="4303"/>
      <c r="AY1081" s="4303"/>
      <c r="AZ1081" s="4303"/>
      <c r="BA1081" s="4303"/>
      <c r="BB1081" s="4303"/>
      <c r="BC1081" s="4303"/>
      <c r="BD1081" s="4303"/>
      <c r="BE1081" s="4303"/>
      <c r="BF1081" s="4303"/>
      <c r="BG1081" s="4303"/>
      <c r="BH1081" s="4303"/>
      <c r="BI1081" s="4303"/>
      <c r="BJ1081" s="4303"/>
      <c r="BK1081" s="4303"/>
      <c r="BL1081" s="4303"/>
      <c r="BM1081" s="4303"/>
      <c r="BN1081" s="4303"/>
      <c r="BO1081" s="4303"/>
      <c r="BP1081" s="4303"/>
      <c r="BQ1081" s="4303"/>
      <c r="BR1081" s="4303"/>
      <c r="BS1081" s="4303"/>
      <c r="BT1081" s="4303"/>
      <c r="BU1081" s="4303"/>
      <c r="BV1081" s="4303"/>
      <c r="BW1081" s="4303"/>
      <c r="BX1081" s="4303"/>
      <c r="BY1081" s="4303"/>
      <c r="BZ1081" s="4303"/>
      <c r="CA1081" s="4303"/>
      <c r="CB1081" s="4303"/>
      <c r="CC1081" s="4303"/>
      <c r="CD1081" s="4303"/>
      <c r="CE1081" s="4303"/>
      <c r="CF1081" s="4303"/>
      <c r="CG1081" s="4303"/>
      <c r="CH1081" s="4303"/>
      <c r="CI1081" s="4303"/>
      <c r="CJ1081" s="4303"/>
      <c r="CK1081" s="4303"/>
      <c r="CL1081" s="4303"/>
      <c r="CM1081" s="4303"/>
      <c r="CN1081" s="4303"/>
      <c r="CO1081" s="4303"/>
      <c r="CP1081" s="4303"/>
      <c r="CQ1081" s="4303"/>
      <c r="CR1081" s="4303"/>
      <c r="CS1081" s="4303"/>
      <c r="CT1081" s="4303"/>
      <c r="CU1081" s="4303"/>
      <c r="CV1081" s="4303"/>
      <c r="CW1081" s="4303"/>
      <c r="CX1081" s="4303"/>
      <c r="CY1081" s="4303"/>
      <c r="CZ1081" s="4303"/>
      <c r="DA1081" s="4303"/>
      <c r="DB1081" s="4303"/>
      <c r="DC1081" s="4303"/>
      <c r="DD1081" s="4303"/>
      <c r="DE1081" s="4303"/>
      <c r="DF1081" s="4303"/>
      <c r="DG1081" s="4303"/>
      <c r="DH1081" s="4303"/>
      <c r="DI1081" s="4303"/>
      <c r="DJ1081" s="4303"/>
      <c r="DK1081" s="4303"/>
      <c r="DL1081" s="4303"/>
      <c r="DM1081" s="4303"/>
      <c r="DN1081" s="4303"/>
      <c r="DO1081" s="4303"/>
      <c r="DP1081" s="4303"/>
      <c r="DQ1081" s="4303"/>
      <c r="DR1081" s="4303"/>
      <c r="DS1081" s="4303"/>
    </row>
    <row r="1082" s="4134" customFormat="1" ht="17.25" customHeight="1" spans="1:123">
      <c r="A1082" s="4925" t="s">
        <v>5527</v>
      </c>
      <c r="B1082" s="4926"/>
      <c r="C1082" s="4926"/>
      <c r="D1082" s="4926"/>
      <c r="E1082" s="4927"/>
      <c r="F1082" s="4894">
        <v>445</v>
      </c>
      <c r="G1082" s="4697"/>
      <c r="H1082" s="4895"/>
      <c r="I1082" s="4895"/>
      <c r="J1082" s="4895"/>
      <c r="K1082" s="4895"/>
      <c r="L1082" s="4895"/>
      <c r="M1082" s="4895"/>
      <c r="N1082" s="4895"/>
      <c r="O1082" s="4905"/>
      <c r="P1082" s="4317"/>
      <c r="Q1082" s="4317"/>
      <c r="R1082" s="4317"/>
      <c r="S1082" s="4317"/>
      <c r="T1082" s="4317"/>
      <c r="U1082" s="4906"/>
      <c r="V1082" s="4697"/>
      <c r="W1082" s="4697"/>
      <c r="X1082" s="4303"/>
      <c r="Y1082" s="4303"/>
      <c r="Z1082" s="4302" t="s">
        <v>5528</v>
      </c>
      <c r="AA1082" s="4303"/>
      <c r="AB1082" s="4303"/>
      <c r="AC1082" s="4303"/>
      <c r="AD1082" s="4303"/>
      <c r="AE1082" s="4303"/>
      <c r="AF1082" s="4303"/>
      <c r="AG1082" s="4303"/>
      <c r="AH1082" s="4303"/>
      <c r="AI1082" s="4303"/>
      <c r="AJ1082" s="4303"/>
      <c r="AK1082" s="4303"/>
      <c r="AL1082" s="4303"/>
      <c r="AM1082" s="4303"/>
      <c r="AN1082" s="4303"/>
      <c r="AO1082" s="4303"/>
      <c r="AP1082" s="4303"/>
      <c r="AQ1082" s="4303"/>
      <c r="AR1082" s="4303"/>
      <c r="AS1082" s="4303"/>
      <c r="AT1082" s="4303"/>
      <c r="AU1082" s="4303"/>
      <c r="AV1082" s="4303"/>
      <c r="AW1082" s="4303"/>
      <c r="AX1082" s="4303"/>
      <c r="AY1082" s="4303"/>
      <c r="AZ1082" s="4303"/>
      <c r="BA1082" s="4303"/>
      <c r="BB1082" s="4303"/>
      <c r="BC1082" s="4303"/>
      <c r="BD1082" s="4303"/>
      <c r="BE1082" s="4303"/>
      <c r="BF1082" s="4303"/>
      <c r="BG1082" s="4303"/>
      <c r="BH1082" s="4303"/>
      <c r="BI1082" s="4303"/>
      <c r="BJ1082" s="4303"/>
      <c r="BK1082" s="4303"/>
      <c r="BL1082" s="4303"/>
      <c r="BM1082" s="4303"/>
      <c r="BN1082" s="4303"/>
      <c r="BO1082" s="4303"/>
      <c r="BP1082" s="4303"/>
      <c r="BQ1082" s="4303"/>
      <c r="BR1082" s="4303"/>
      <c r="BS1082" s="4303"/>
      <c r="BT1082" s="4303"/>
      <c r="BU1082" s="4303"/>
      <c r="BV1082" s="4303"/>
      <c r="BW1082" s="4303"/>
      <c r="BX1082" s="4303"/>
      <c r="BY1082" s="4303"/>
      <c r="BZ1082" s="4303"/>
      <c r="CA1082" s="4303"/>
      <c r="CB1082" s="4303"/>
      <c r="CC1082" s="4303"/>
      <c r="CD1082" s="4303"/>
      <c r="CE1082" s="4303"/>
      <c r="CF1082" s="4303"/>
      <c r="CG1082" s="4303"/>
      <c r="CH1082" s="4303"/>
      <c r="CI1082" s="4303"/>
      <c r="CJ1082" s="4303"/>
      <c r="CK1082" s="4303"/>
      <c r="CL1082" s="4303"/>
      <c r="CM1082" s="4303"/>
      <c r="CN1082" s="4303"/>
      <c r="CO1082" s="4303"/>
      <c r="CP1082" s="4303"/>
      <c r="CQ1082" s="4303"/>
      <c r="CR1082" s="4303"/>
      <c r="CS1082" s="4303"/>
      <c r="CT1082" s="4303"/>
      <c r="CU1082" s="4303"/>
      <c r="CV1082" s="4303"/>
      <c r="CW1082" s="4303"/>
      <c r="CX1082" s="4303"/>
      <c r="CY1082" s="4303"/>
      <c r="CZ1082" s="4303"/>
      <c r="DA1082" s="4303"/>
      <c r="DB1082" s="4303"/>
      <c r="DC1082" s="4303"/>
      <c r="DD1082" s="4303"/>
      <c r="DE1082" s="4303"/>
      <c r="DF1082" s="4303"/>
      <c r="DG1082" s="4303"/>
      <c r="DH1082" s="4303"/>
      <c r="DI1082" s="4303"/>
      <c r="DJ1082" s="4303"/>
      <c r="DK1082" s="4303"/>
      <c r="DL1082" s="4303"/>
      <c r="DM1082" s="4303"/>
      <c r="DN1082" s="4303"/>
      <c r="DO1082" s="4303"/>
      <c r="DP1082" s="4303"/>
      <c r="DQ1082" s="4303"/>
      <c r="DR1082" s="4303"/>
      <c r="DS1082" s="4303"/>
    </row>
    <row r="1083" s="4134" customFormat="1" ht="17.25" customHeight="1" spans="1:123">
      <c r="A1083" s="4925" t="s">
        <v>5529</v>
      </c>
      <c r="B1083" s="4926"/>
      <c r="C1083" s="4926"/>
      <c r="D1083" s="4926"/>
      <c r="E1083" s="4927"/>
      <c r="F1083" s="4894">
        <v>447</v>
      </c>
      <c r="G1083" s="4697"/>
      <c r="H1083" s="4895"/>
      <c r="I1083" s="4895"/>
      <c r="J1083" s="4895"/>
      <c r="K1083" s="4895"/>
      <c r="L1083" s="4895"/>
      <c r="M1083" s="4895"/>
      <c r="N1083" s="4895"/>
      <c r="O1083" s="4905"/>
      <c r="P1083" s="4317"/>
      <c r="Q1083" s="4317"/>
      <c r="R1083" s="4317"/>
      <c r="S1083" s="4317"/>
      <c r="T1083" s="4317"/>
      <c r="U1083" s="4906"/>
      <c r="V1083" s="4697"/>
      <c r="W1083" s="4697"/>
      <c r="X1083" s="4303"/>
      <c r="Y1083" s="4303"/>
      <c r="Z1083" s="4302" t="s">
        <v>5530</v>
      </c>
      <c r="AA1083" s="4303"/>
      <c r="AB1083" s="4303"/>
      <c r="AC1083" s="4303"/>
      <c r="AD1083" s="4303"/>
      <c r="AE1083" s="4303"/>
      <c r="AF1083" s="4303"/>
      <c r="AG1083" s="4303"/>
      <c r="AH1083" s="4303"/>
      <c r="AI1083" s="4303"/>
      <c r="AJ1083" s="4303"/>
      <c r="AK1083" s="4303"/>
      <c r="AL1083" s="4303"/>
      <c r="AM1083" s="4303"/>
      <c r="AN1083" s="4303"/>
      <c r="AO1083" s="4303"/>
      <c r="AP1083" s="4303"/>
      <c r="AQ1083" s="4303"/>
      <c r="AR1083" s="4303"/>
      <c r="AS1083" s="4303"/>
      <c r="AT1083" s="4303"/>
      <c r="AU1083" s="4303"/>
      <c r="AV1083" s="4303"/>
      <c r="AW1083" s="4303"/>
      <c r="AX1083" s="4303"/>
      <c r="AY1083" s="4303"/>
      <c r="AZ1083" s="4303"/>
      <c r="BA1083" s="4303"/>
      <c r="BB1083" s="4303"/>
      <c r="BC1083" s="4303"/>
      <c r="BD1083" s="4303"/>
      <c r="BE1083" s="4303"/>
      <c r="BF1083" s="4303"/>
      <c r="BG1083" s="4303"/>
      <c r="BH1083" s="4303"/>
      <c r="BI1083" s="4303"/>
      <c r="BJ1083" s="4303"/>
      <c r="BK1083" s="4303"/>
      <c r="BL1083" s="4303"/>
      <c r="BM1083" s="4303"/>
      <c r="BN1083" s="4303"/>
      <c r="BO1083" s="4303"/>
      <c r="BP1083" s="4303"/>
      <c r="BQ1083" s="4303"/>
      <c r="BR1083" s="4303"/>
      <c r="BS1083" s="4303"/>
      <c r="BT1083" s="4303"/>
      <c r="BU1083" s="4303"/>
      <c r="BV1083" s="4303"/>
      <c r="BW1083" s="4303"/>
      <c r="BX1083" s="4303"/>
      <c r="BY1083" s="4303"/>
      <c r="BZ1083" s="4303"/>
      <c r="CA1083" s="4303"/>
      <c r="CB1083" s="4303"/>
      <c r="CC1083" s="4303"/>
      <c r="CD1083" s="4303"/>
      <c r="CE1083" s="4303"/>
      <c r="CF1083" s="4303"/>
      <c r="CG1083" s="4303"/>
      <c r="CH1083" s="4303"/>
      <c r="CI1083" s="4303"/>
      <c r="CJ1083" s="4303"/>
      <c r="CK1083" s="4303"/>
      <c r="CL1083" s="4303"/>
      <c r="CM1083" s="4303"/>
      <c r="CN1083" s="4303"/>
      <c r="CO1083" s="4303"/>
      <c r="CP1083" s="4303"/>
      <c r="CQ1083" s="4303"/>
      <c r="CR1083" s="4303"/>
      <c r="CS1083" s="4303"/>
      <c r="CT1083" s="4303"/>
      <c r="CU1083" s="4303"/>
      <c r="CV1083" s="4303"/>
      <c r="CW1083" s="4303"/>
      <c r="CX1083" s="4303"/>
      <c r="CY1083" s="4303"/>
      <c r="CZ1083" s="4303"/>
      <c r="DA1083" s="4303"/>
      <c r="DB1083" s="4303"/>
      <c r="DC1083" s="4303"/>
      <c r="DD1083" s="4303"/>
      <c r="DE1083" s="4303"/>
      <c r="DF1083" s="4303"/>
      <c r="DG1083" s="4303"/>
      <c r="DH1083" s="4303"/>
      <c r="DI1083" s="4303"/>
      <c r="DJ1083" s="4303"/>
      <c r="DK1083" s="4303"/>
      <c r="DL1083" s="4303"/>
      <c r="DM1083" s="4303"/>
      <c r="DN1083" s="4303"/>
      <c r="DO1083" s="4303"/>
      <c r="DP1083" s="4303"/>
      <c r="DQ1083" s="4303"/>
      <c r="DR1083" s="4303"/>
      <c r="DS1083" s="4303"/>
    </row>
    <row r="1084" s="4134" customFormat="1" ht="17.25" customHeight="1" spans="1:123">
      <c r="A1084" s="4925" t="s">
        <v>5531</v>
      </c>
      <c r="B1084" s="4926"/>
      <c r="C1084" s="4926"/>
      <c r="D1084" s="4926"/>
      <c r="E1084" s="4927"/>
      <c r="F1084" s="4894">
        <v>445</v>
      </c>
      <c r="G1084" s="4697"/>
      <c r="H1084" s="4895"/>
      <c r="I1084" s="4895"/>
      <c r="J1084" s="4895"/>
      <c r="K1084" s="4895"/>
      <c r="L1084" s="4895"/>
      <c r="M1084" s="4895"/>
      <c r="N1084" s="4895"/>
      <c r="O1084" s="4905"/>
      <c r="P1084" s="4317"/>
      <c r="Q1084" s="4317"/>
      <c r="R1084" s="4317"/>
      <c r="S1084" s="4317"/>
      <c r="T1084" s="4317"/>
      <c r="U1084" s="4906"/>
      <c r="V1084" s="4697"/>
      <c r="W1084" s="4697"/>
      <c r="X1084" s="4303"/>
      <c r="Y1084" s="4303"/>
      <c r="Z1084" s="4302" t="s">
        <v>5532</v>
      </c>
      <c r="AA1084" s="4303"/>
      <c r="AB1084" s="4303"/>
      <c r="AC1084" s="4303"/>
      <c r="AD1084" s="4303"/>
      <c r="AE1084" s="4303"/>
      <c r="AF1084" s="4303"/>
      <c r="AG1084" s="4303"/>
      <c r="AH1084" s="4303"/>
      <c r="AI1084" s="4303"/>
      <c r="AJ1084" s="4303"/>
      <c r="AK1084" s="4303"/>
      <c r="AL1084" s="4303"/>
      <c r="AM1084" s="4303"/>
      <c r="AN1084" s="4303"/>
      <c r="AO1084" s="4303"/>
      <c r="AP1084" s="4303"/>
      <c r="AQ1084" s="4303"/>
      <c r="AR1084" s="4303"/>
      <c r="AS1084" s="4303"/>
      <c r="AT1084" s="4303"/>
      <c r="AU1084" s="4303"/>
      <c r="AV1084" s="4303"/>
      <c r="AW1084" s="4303"/>
      <c r="AX1084" s="4303"/>
      <c r="AY1084" s="4303"/>
      <c r="AZ1084" s="4303"/>
      <c r="BA1084" s="4303"/>
      <c r="BB1084" s="4303"/>
      <c r="BC1084" s="4303"/>
      <c r="BD1084" s="4303"/>
      <c r="BE1084" s="4303"/>
      <c r="BF1084" s="4303"/>
      <c r="BG1084" s="4303"/>
      <c r="BH1084" s="4303"/>
      <c r="BI1084" s="4303"/>
      <c r="BJ1084" s="4303"/>
      <c r="BK1084" s="4303"/>
      <c r="BL1084" s="4303"/>
      <c r="BM1084" s="4303"/>
      <c r="BN1084" s="4303"/>
      <c r="BO1084" s="4303"/>
      <c r="BP1084" s="4303"/>
      <c r="BQ1084" s="4303"/>
      <c r="BR1084" s="4303"/>
      <c r="BS1084" s="4303"/>
      <c r="BT1084" s="4303"/>
      <c r="BU1084" s="4303"/>
      <c r="BV1084" s="4303"/>
      <c r="BW1084" s="4303"/>
      <c r="BX1084" s="4303"/>
      <c r="BY1084" s="4303"/>
      <c r="BZ1084" s="4303"/>
      <c r="CA1084" s="4303"/>
      <c r="CB1084" s="4303"/>
      <c r="CC1084" s="4303"/>
      <c r="CD1084" s="4303"/>
      <c r="CE1084" s="4303"/>
      <c r="CF1084" s="4303"/>
      <c r="CG1084" s="4303"/>
      <c r="CH1084" s="4303"/>
      <c r="CI1084" s="4303"/>
      <c r="CJ1084" s="4303"/>
      <c r="CK1084" s="4303"/>
      <c r="CL1084" s="4303"/>
      <c r="CM1084" s="4303"/>
      <c r="CN1084" s="4303"/>
      <c r="CO1084" s="4303"/>
      <c r="CP1084" s="4303"/>
      <c r="CQ1084" s="4303"/>
      <c r="CR1084" s="4303"/>
      <c r="CS1084" s="4303"/>
      <c r="CT1084" s="4303"/>
      <c r="CU1084" s="4303"/>
      <c r="CV1084" s="4303"/>
      <c r="CW1084" s="4303"/>
      <c r="CX1084" s="4303"/>
      <c r="CY1084" s="4303"/>
      <c r="CZ1084" s="4303"/>
      <c r="DA1084" s="4303"/>
      <c r="DB1084" s="4303"/>
      <c r="DC1084" s="4303"/>
      <c r="DD1084" s="4303"/>
      <c r="DE1084" s="4303"/>
      <c r="DF1084" s="4303"/>
      <c r="DG1084" s="4303"/>
      <c r="DH1084" s="4303"/>
      <c r="DI1084" s="4303"/>
      <c r="DJ1084" s="4303"/>
      <c r="DK1084" s="4303"/>
      <c r="DL1084" s="4303"/>
      <c r="DM1084" s="4303"/>
      <c r="DN1084" s="4303"/>
      <c r="DO1084" s="4303"/>
      <c r="DP1084" s="4303"/>
      <c r="DQ1084" s="4303"/>
      <c r="DR1084" s="4303"/>
      <c r="DS1084" s="4303"/>
    </row>
    <row r="1085" s="4134" customFormat="1" ht="17.25" customHeight="1" spans="1:123">
      <c r="A1085" s="4925" t="s">
        <v>5533</v>
      </c>
      <c r="B1085" s="4926"/>
      <c r="C1085" s="4926"/>
      <c r="D1085" s="4926"/>
      <c r="E1085" s="4927"/>
      <c r="F1085" s="4894">
        <v>445</v>
      </c>
      <c r="G1085" s="4697"/>
      <c r="H1085" s="4895"/>
      <c r="I1085" s="4895"/>
      <c r="J1085" s="4895"/>
      <c r="K1085" s="4895"/>
      <c r="L1085" s="4895"/>
      <c r="M1085" s="4895"/>
      <c r="N1085" s="4895"/>
      <c r="O1085" s="4905"/>
      <c r="P1085" s="4317"/>
      <c r="Q1085" s="4317"/>
      <c r="R1085" s="4317"/>
      <c r="S1085" s="4317"/>
      <c r="T1085" s="4317"/>
      <c r="U1085" s="4906"/>
      <c r="V1085" s="4697"/>
      <c r="W1085" s="4697"/>
      <c r="X1085" s="4303"/>
      <c r="Y1085" s="4303"/>
      <c r="Z1085" s="4302" t="s">
        <v>5534</v>
      </c>
      <c r="AA1085" s="4303"/>
      <c r="AB1085" s="4303"/>
      <c r="AC1085" s="4303"/>
      <c r="AD1085" s="4303"/>
      <c r="AE1085" s="4303"/>
      <c r="AF1085" s="4303"/>
      <c r="AG1085" s="4303"/>
      <c r="AH1085" s="4303"/>
      <c r="AI1085" s="4303"/>
      <c r="AJ1085" s="4303"/>
      <c r="AK1085" s="4303"/>
      <c r="AL1085" s="4303"/>
      <c r="AM1085" s="4303"/>
      <c r="AN1085" s="4303"/>
      <c r="AO1085" s="4303"/>
      <c r="AP1085" s="4303"/>
      <c r="AQ1085" s="4303"/>
      <c r="AR1085" s="4303"/>
      <c r="AS1085" s="4303"/>
      <c r="AT1085" s="4303"/>
      <c r="AU1085" s="4303"/>
      <c r="AV1085" s="4303"/>
      <c r="AW1085" s="4303"/>
      <c r="AX1085" s="4303"/>
      <c r="AY1085" s="4303"/>
      <c r="AZ1085" s="4303"/>
      <c r="BA1085" s="4303"/>
      <c r="BB1085" s="4303"/>
      <c r="BC1085" s="4303"/>
      <c r="BD1085" s="4303"/>
      <c r="BE1085" s="4303"/>
      <c r="BF1085" s="4303"/>
      <c r="BG1085" s="4303"/>
      <c r="BH1085" s="4303"/>
      <c r="BI1085" s="4303"/>
      <c r="BJ1085" s="4303"/>
      <c r="BK1085" s="4303"/>
      <c r="BL1085" s="4303"/>
      <c r="BM1085" s="4303"/>
      <c r="BN1085" s="4303"/>
      <c r="BO1085" s="4303"/>
      <c r="BP1085" s="4303"/>
      <c r="BQ1085" s="4303"/>
      <c r="BR1085" s="4303"/>
      <c r="BS1085" s="4303"/>
      <c r="BT1085" s="4303"/>
      <c r="BU1085" s="4303"/>
      <c r="BV1085" s="4303"/>
      <c r="BW1085" s="4303"/>
      <c r="BX1085" s="4303"/>
      <c r="BY1085" s="4303"/>
      <c r="BZ1085" s="4303"/>
      <c r="CA1085" s="4303"/>
      <c r="CB1085" s="4303"/>
      <c r="CC1085" s="4303"/>
      <c r="CD1085" s="4303"/>
      <c r="CE1085" s="4303"/>
      <c r="CF1085" s="4303"/>
      <c r="CG1085" s="4303"/>
      <c r="CH1085" s="4303"/>
      <c r="CI1085" s="4303"/>
      <c r="CJ1085" s="4303"/>
      <c r="CK1085" s="4303"/>
      <c r="CL1085" s="4303"/>
      <c r="CM1085" s="4303"/>
      <c r="CN1085" s="4303"/>
      <c r="CO1085" s="4303"/>
      <c r="CP1085" s="4303"/>
      <c r="CQ1085" s="4303"/>
      <c r="CR1085" s="4303"/>
      <c r="CS1085" s="4303"/>
      <c r="CT1085" s="4303"/>
      <c r="CU1085" s="4303"/>
      <c r="CV1085" s="4303"/>
      <c r="CW1085" s="4303"/>
      <c r="CX1085" s="4303"/>
      <c r="CY1085" s="4303"/>
      <c r="CZ1085" s="4303"/>
      <c r="DA1085" s="4303"/>
      <c r="DB1085" s="4303"/>
      <c r="DC1085" s="4303"/>
      <c r="DD1085" s="4303"/>
      <c r="DE1085" s="4303"/>
      <c r="DF1085" s="4303"/>
      <c r="DG1085" s="4303"/>
      <c r="DH1085" s="4303"/>
      <c r="DI1085" s="4303"/>
      <c r="DJ1085" s="4303"/>
      <c r="DK1085" s="4303"/>
      <c r="DL1085" s="4303"/>
      <c r="DM1085" s="4303"/>
      <c r="DN1085" s="4303"/>
      <c r="DO1085" s="4303"/>
      <c r="DP1085" s="4303"/>
      <c r="DQ1085" s="4303"/>
      <c r="DR1085" s="4303"/>
      <c r="DS1085" s="4303"/>
    </row>
    <row r="1086" s="4134" customFormat="1" ht="17.25" customHeight="1" spans="1:123">
      <c r="A1086" s="4922" t="s">
        <v>5537</v>
      </c>
      <c r="B1086" s="4923"/>
      <c r="C1086" s="4923"/>
      <c r="D1086" s="4923"/>
      <c r="E1086" s="4924"/>
      <c r="F1086" s="4894">
        <v>442</v>
      </c>
      <c r="G1086" s="4697"/>
      <c r="H1086" s="4895"/>
      <c r="I1086" s="4895"/>
      <c r="J1086" s="4895"/>
      <c r="K1086" s="4895"/>
      <c r="L1086" s="4895"/>
      <c r="M1086" s="4895"/>
      <c r="N1086" s="4895"/>
      <c r="O1086" s="4905"/>
      <c r="P1086" s="4317"/>
      <c r="Q1086" s="4317"/>
      <c r="R1086" s="4317"/>
      <c r="S1086" s="4317"/>
      <c r="T1086" s="4317"/>
      <c r="U1086" s="4906"/>
      <c r="V1086" s="4697"/>
      <c r="W1086" s="4697"/>
      <c r="X1086" s="4303"/>
      <c r="Y1086" s="4303"/>
      <c r="Z1086" s="4311" t="s">
        <v>5538</v>
      </c>
      <c r="AA1086" s="4303"/>
      <c r="AB1086" s="4303"/>
      <c r="AC1086" s="4303"/>
      <c r="AD1086" s="4303"/>
      <c r="AE1086" s="4303"/>
      <c r="AF1086" s="4303"/>
      <c r="AG1086" s="4303"/>
      <c r="AH1086" s="4303"/>
      <c r="AI1086" s="4303"/>
      <c r="AJ1086" s="4303"/>
      <c r="AK1086" s="4303"/>
      <c r="AL1086" s="4303"/>
      <c r="AM1086" s="4303"/>
      <c r="AN1086" s="4303"/>
      <c r="AO1086" s="4303"/>
      <c r="AP1086" s="4303"/>
      <c r="AQ1086" s="4303"/>
      <c r="AR1086" s="4303"/>
      <c r="AS1086" s="4303"/>
      <c r="AT1086" s="4303"/>
      <c r="AU1086" s="4303"/>
      <c r="AV1086" s="4303"/>
      <c r="AW1086" s="4303"/>
      <c r="AX1086" s="4303"/>
      <c r="AY1086" s="4303"/>
      <c r="AZ1086" s="4303"/>
      <c r="BA1086" s="4303"/>
      <c r="BB1086" s="4303"/>
      <c r="BC1086" s="4303"/>
      <c r="BD1086" s="4303"/>
      <c r="BE1086" s="4303"/>
      <c r="BF1086" s="4303"/>
      <c r="BG1086" s="4303"/>
      <c r="BH1086" s="4303"/>
      <c r="BI1086" s="4303"/>
      <c r="BJ1086" s="4303"/>
      <c r="BK1086" s="4303"/>
      <c r="BL1086" s="4303"/>
      <c r="BM1086" s="4303"/>
      <c r="BN1086" s="4303"/>
      <c r="BO1086" s="4303"/>
      <c r="BP1086" s="4303"/>
      <c r="BQ1086" s="4303"/>
      <c r="BR1086" s="4303"/>
      <c r="BS1086" s="4303"/>
      <c r="BT1086" s="4303"/>
      <c r="BU1086" s="4303"/>
      <c r="BV1086" s="4303"/>
      <c r="BW1086" s="4303"/>
      <c r="BX1086" s="4303"/>
      <c r="BY1086" s="4303"/>
      <c r="BZ1086" s="4303"/>
      <c r="CA1086" s="4303"/>
      <c r="CB1086" s="4303"/>
      <c r="CC1086" s="4303"/>
      <c r="CD1086" s="4303"/>
      <c r="CE1086" s="4303"/>
      <c r="CF1086" s="4303"/>
      <c r="CG1086" s="4303"/>
      <c r="CH1086" s="4303"/>
      <c r="CI1086" s="4303"/>
      <c r="CJ1086" s="4303"/>
      <c r="CK1086" s="4303"/>
      <c r="CL1086" s="4303"/>
      <c r="CM1086" s="4303"/>
      <c r="CN1086" s="4303"/>
      <c r="CO1086" s="4303"/>
      <c r="CP1086" s="4303"/>
      <c r="CQ1086" s="4303"/>
      <c r="CR1086" s="4303"/>
      <c r="CS1086" s="4303"/>
      <c r="CT1086" s="4303"/>
      <c r="CU1086" s="4303"/>
      <c r="CV1086" s="4303"/>
      <c r="CW1086" s="4303"/>
      <c r="CX1086" s="4303"/>
      <c r="CY1086" s="4303"/>
      <c r="CZ1086" s="4303"/>
      <c r="DA1086" s="4303"/>
      <c r="DB1086" s="4303"/>
      <c r="DC1086" s="4303"/>
      <c r="DD1086" s="4303"/>
      <c r="DE1086" s="4303"/>
      <c r="DF1086" s="4303"/>
      <c r="DG1086" s="4303"/>
      <c r="DH1086" s="4303"/>
      <c r="DI1086" s="4303"/>
      <c r="DJ1086" s="4303"/>
      <c r="DK1086" s="4303"/>
      <c r="DL1086" s="4303"/>
      <c r="DM1086" s="4303"/>
      <c r="DN1086" s="4303"/>
      <c r="DO1086" s="4303"/>
      <c r="DP1086" s="4303"/>
      <c r="DQ1086" s="4303"/>
      <c r="DR1086" s="4303"/>
      <c r="DS1086" s="4303"/>
    </row>
    <row r="1087" s="4134" customFormat="1" ht="17.25" customHeight="1" spans="1:123">
      <c r="A1087" s="4922" t="s">
        <v>5539</v>
      </c>
      <c r="B1087" s="4923"/>
      <c r="C1087" s="4923"/>
      <c r="D1087" s="4923"/>
      <c r="E1087" s="4924"/>
      <c r="F1087" s="4894">
        <v>442</v>
      </c>
      <c r="G1087" s="4697"/>
      <c r="H1087" s="4895"/>
      <c r="I1087" s="4895"/>
      <c r="J1087" s="4895"/>
      <c r="K1087" s="4895"/>
      <c r="L1087" s="4895"/>
      <c r="M1087" s="4895"/>
      <c r="N1087" s="4895"/>
      <c r="O1087" s="4905"/>
      <c r="P1087" s="4317"/>
      <c r="Q1087" s="4317"/>
      <c r="R1087" s="4317"/>
      <c r="S1087" s="4317"/>
      <c r="T1087" s="4317"/>
      <c r="U1087" s="4906"/>
      <c r="V1087" s="4697"/>
      <c r="W1087" s="4697"/>
      <c r="X1087" s="4303"/>
      <c r="Y1087" s="4303"/>
      <c r="Z1087" s="4311" t="s">
        <v>5540</v>
      </c>
      <c r="AA1087" s="4303"/>
      <c r="AB1087" s="4303"/>
      <c r="AC1087" s="4303"/>
      <c r="AD1087" s="4303"/>
      <c r="AE1087" s="4303"/>
      <c r="AF1087" s="4303"/>
      <c r="AG1087" s="4303"/>
      <c r="AH1087" s="4303"/>
      <c r="AI1087" s="4303"/>
      <c r="AJ1087" s="4303"/>
      <c r="AK1087" s="4303"/>
      <c r="AL1087" s="4303"/>
      <c r="AM1087" s="4303"/>
      <c r="AN1087" s="4303"/>
      <c r="AO1087" s="4303"/>
      <c r="AP1087" s="4303"/>
      <c r="AQ1087" s="4303"/>
      <c r="AR1087" s="4303"/>
      <c r="AS1087" s="4303"/>
      <c r="AT1087" s="4303"/>
      <c r="AU1087" s="4303"/>
      <c r="AV1087" s="4303"/>
      <c r="AW1087" s="4303"/>
      <c r="AX1087" s="4303"/>
      <c r="AY1087" s="4303"/>
      <c r="AZ1087" s="4303"/>
      <c r="BA1087" s="4303"/>
      <c r="BB1087" s="4303"/>
      <c r="BC1087" s="4303"/>
      <c r="BD1087" s="4303"/>
      <c r="BE1087" s="4303"/>
      <c r="BF1087" s="4303"/>
      <c r="BG1087" s="4303"/>
      <c r="BH1087" s="4303"/>
      <c r="BI1087" s="4303"/>
      <c r="BJ1087" s="4303"/>
      <c r="BK1087" s="4303"/>
      <c r="BL1087" s="4303"/>
      <c r="BM1087" s="4303"/>
      <c r="BN1087" s="4303"/>
      <c r="BO1087" s="4303"/>
      <c r="BP1087" s="4303"/>
      <c r="BQ1087" s="4303"/>
      <c r="BR1087" s="4303"/>
      <c r="BS1087" s="4303"/>
      <c r="BT1087" s="4303"/>
      <c r="BU1087" s="4303"/>
      <c r="BV1087" s="4303"/>
      <c r="BW1087" s="4303"/>
      <c r="BX1087" s="4303"/>
      <c r="BY1087" s="4303"/>
      <c r="BZ1087" s="4303"/>
      <c r="CA1087" s="4303"/>
      <c r="CB1087" s="4303"/>
      <c r="CC1087" s="4303"/>
      <c r="CD1087" s="4303"/>
      <c r="CE1087" s="4303"/>
      <c r="CF1087" s="4303"/>
      <c r="CG1087" s="4303"/>
      <c r="CH1087" s="4303"/>
      <c r="CI1087" s="4303"/>
      <c r="CJ1087" s="4303"/>
      <c r="CK1087" s="4303"/>
      <c r="CL1087" s="4303"/>
      <c r="CM1087" s="4303"/>
      <c r="CN1087" s="4303"/>
      <c r="CO1087" s="4303"/>
      <c r="CP1087" s="4303"/>
      <c r="CQ1087" s="4303"/>
      <c r="CR1087" s="4303"/>
      <c r="CS1087" s="4303"/>
      <c r="CT1087" s="4303"/>
      <c r="CU1087" s="4303"/>
      <c r="CV1087" s="4303"/>
      <c r="CW1087" s="4303"/>
      <c r="CX1087" s="4303"/>
      <c r="CY1087" s="4303"/>
      <c r="CZ1087" s="4303"/>
      <c r="DA1087" s="4303"/>
      <c r="DB1087" s="4303"/>
      <c r="DC1087" s="4303"/>
      <c r="DD1087" s="4303"/>
      <c r="DE1087" s="4303"/>
      <c r="DF1087" s="4303"/>
      <c r="DG1087" s="4303"/>
      <c r="DH1087" s="4303"/>
      <c r="DI1087" s="4303"/>
      <c r="DJ1087" s="4303"/>
      <c r="DK1087" s="4303"/>
      <c r="DL1087" s="4303"/>
      <c r="DM1087" s="4303"/>
      <c r="DN1087" s="4303"/>
      <c r="DO1087" s="4303"/>
      <c r="DP1087" s="4303"/>
      <c r="DQ1087" s="4303"/>
      <c r="DR1087" s="4303"/>
      <c r="DS1087" s="4303"/>
    </row>
    <row r="1088" s="4134" customFormat="1" ht="17.25" customHeight="1" spans="1:123">
      <c r="A1088" s="4922" t="s">
        <v>5541</v>
      </c>
      <c r="B1088" s="4923"/>
      <c r="C1088" s="4923"/>
      <c r="D1088" s="4923"/>
      <c r="E1088" s="4924"/>
      <c r="F1088" s="4894">
        <v>404</v>
      </c>
      <c r="G1088" s="4697"/>
      <c r="H1088" s="4895"/>
      <c r="I1088" s="4895"/>
      <c r="J1088" s="4895"/>
      <c r="K1088" s="4895"/>
      <c r="L1088" s="4895"/>
      <c r="M1088" s="4895"/>
      <c r="N1088" s="4895"/>
      <c r="O1088" s="4905"/>
      <c r="P1088" s="4317"/>
      <c r="Q1088" s="4317"/>
      <c r="R1088" s="4317"/>
      <c r="S1088" s="4317"/>
      <c r="T1088" s="4317"/>
      <c r="U1088" s="4906"/>
      <c r="V1088" s="4697"/>
      <c r="W1088" s="4697"/>
      <c r="X1088" s="4303"/>
      <c r="Y1088" s="4303"/>
      <c r="Z1088" s="4311" t="s">
        <v>5542</v>
      </c>
      <c r="AA1088" s="4303"/>
      <c r="AB1088" s="4303"/>
      <c r="AC1088" s="4303"/>
      <c r="AD1088" s="4303"/>
      <c r="AE1088" s="4303"/>
      <c r="AF1088" s="4303"/>
      <c r="AG1088" s="4303"/>
      <c r="AH1088" s="4303"/>
      <c r="AI1088" s="4303"/>
      <c r="AJ1088" s="4303"/>
      <c r="AK1088" s="4303"/>
      <c r="AL1088" s="4303"/>
      <c r="AM1088" s="4303"/>
      <c r="AN1088" s="4303"/>
      <c r="AO1088" s="4303"/>
      <c r="AP1088" s="4303"/>
      <c r="AQ1088" s="4303"/>
      <c r="AR1088" s="4303"/>
      <c r="AS1088" s="4303"/>
      <c r="AT1088" s="4303"/>
      <c r="AU1088" s="4303"/>
      <c r="AV1088" s="4303"/>
      <c r="AW1088" s="4303"/>
      <c r="AX1088" s="4303"/>
      <c r="AY1088" s="4303"/>
      <c r="AZ1088" s="4303"/>
      <c r="BA1088" s="4303"/>
      <c r="BB1088" s="4303"/>
      <c r="BC1088" s="4303"/>
      <c r="BD1088" s="4303"/>
      <c r="BE1088" s="4303"/>
      <c r="BF1088" s="4303"/>
      <c r="BG1088" s="4303"/>
      <c r="BH1088" s="4303"/>
      <c r="BI1088" s="4303"/>
      <c r="BJ1088" s="4303"/>
      <c r="BK1088" s="4303"/>
      <c r="BL1088" s="4303"/>
      <c r="BM1088" s="4303"/>
      <c r="BN1088" s="4303"/>
      <c r="BO1088" s="4303"/>
      <c r="BP1088" s="4303"/>
      <c r="BQ1088" s="4303"/>
      <c r="BR1088" s="4303"/>
      <c r="BS1088" s="4303"/>
      <c r="BT1088" s="4303"/>
      <c r="BU1088" s="4303"/>
      <c r="BV1088" s="4303"/>
      <c r="BW1088" s="4303"/>
      <c r="BX1088" s="4303"/>
      <c r="BY1088" s="4303"/>
      <c r="BZ1088" s="4303"/>
      <c r="CA1088" s="4303"/>
      <c r="CB1088" s="4303"/>
      <c r="CC1088" s="4303"/>
      <c r="CD1088" s="4303"/>
      <c r="CE1088" s="4303"/>
      <c r="CF1088" s="4303"/>
      <c r="CG1088" s="4303"/>
      <c r="CH1088" s="4303"/>
      <c r="CI1088" s="4303"/>
      <c r="CJ1088" s="4303"/>
      <c r="CK1088" s="4303"/>
      <c r="CL1088" s="4303"/>
      <c r="CM1088" s="4303"/>
      <c r="CN1088" s="4303"/>
      <c r="CO1088" s="4303"/>
      <c r="CP1088" s="4303"/>
      <c r="CQ1088" s="4303"/>
      <c r="CR1088" s="4303"/>
      <c r="CS1088" s="4303"/>
      <c r="CT1088" s="4303"/>
      <c r="CU1088" s="4303"/>
      <c r="CV1088" s="4303"/>
      <c r="CW1088" s="4303"/>
      <c r="CX1088" s="4303"/>
      <c r="CY1088" s="4303"/>
      <c r="CZ1088" s="4303"/>
      <c r="DA1088" s="4303"/>
      <c r="DB1088" s="4303"/>
      <c r="DC1088" s="4303"/>
      <c r="DD1088" s="4303"/>
      <c r="DE1088" s="4303"/>
      <c r="DF1088" s="4303"/>
      <c r="DG1088" s="4303"/>
      <c r="DH1088" s="4303"/>
      <c r="DI1088" s="4303"/>
      <c r="DJ1088" s="4303"/>
      <c r="DK1088" s="4303"/>
      <c r="DL1088" s="4303"/>
      <c r="DM1088" s="4303"/>
      <c r="DN1088" s="4303"/>
      <c r="DO1088" s="4303"/>
      <c r="DP1088" s="4303"/>
      <c r="DQ1088" s="4303"/>
      <c r="DR1088" s="4303"/>
      <c r="DS1088" s="4303"/>
    </row>
    <row r="1089" s="4134" customFormat="1" ht="17.25" customHeight="1" spans="1:125">
      <c r="A1089" s="4922" t="s">
        <v>5543</v>
      </c>
      <c r="B1089" s="4923"/>
      <c r="C1089" s="4923"/>
      <c r="D1089" s="4923"/>
      <c r="E1089" s="4924"/>
      <c r="F1089" s="4894">
        <v>404</v>
      </c>
      <c r="G1089" s="4697"/>
      <c r="H1089" s="4895"/>
      <c r="I1089" s="4895"/>
      <c r="J1089" s="4895"/>
      <c r="K1089" s="4895"/>
      <c r="L1089" s="4895"/>
      <c r="M1089" s="4895"/>
      <c r="N1089" s="4895"/>
      <c r="O1089" s="4905"/>
      <c r="P1089" s="4317"/>
      <c r="Q1089" s="4317"/>
      <c r="R1089" s="4317"/>
      <c r="S1089" s="4317"/>
      <c r="T1089" s="4317"/>
      <c r="U1089" s="4906"/>
      <c r="V1089" s="4697"/>
      <c r="W1089" s="4697"/>
      <c r="X1089" s="4303"/>
      <c r="Y1089" s="4303"/>
      <c r="Z1089" s="4311" t="s">
        <v>5544</v>
      </c>
      <c r="AA1089" s="4303"/>
      <c r="AB1089" s="4303"/>
      <c r="AC1089" s="4303"/>
      <c r="AD1089" s="4303"/>
      <c r="AE1089" s="4303"/>
      <c r="AF1089" s="4303"/>
      <c r="AG1089" s="4303"/>
      <c r="AH1089" s="4303"/>
      <c r="AI1089" s="4303"/>
      <c r="AJ1089" s="4303"/>
      <c r="AK1089" s="4303"/>
      <c r="AL1089" s="4303"/>
      <c r="AM1089" s="4303"/>
      <c r="AN1089" s="4303"/>
      <c r="AO1089" s="4303"/>
      <c r="AP1089" s="4303"/>
      <c r="AQ1089" s="4303"/>
      <c r="AR1089" s="4303"/>
      <c r="AS1089" s="4303"/>
      <c r="AT1089" s="4303"/>
      <c r="AU1089" s="4303"/>
      <c r="AV1089" s="4303"/>
      <c r="AW1089" s="4303"/>
      <c r="AX1089" s="4303"/>
      <c r="AY1089" s="4303"/>
      <c r="AZ1089" s="4303"/>
      <c r="BA1089" s="4303"/>
      <c r="BB1089" s="4303"/>
      <c r="BC1089" s="4303"/>
      <c r="BD1089" s="4303"/>
      <c r="BE1089" s="4303"/>
      <c r="BF1089" s="4303"/>
      <c r="BG1089" s="4303"/>
      <c r="BH1089" s="4303"/>
      <c r="BI1089" s="4303"/>
      <c r="BJ1089" s="4303"/>
      <c r="BK1089" s="4303"/>
      <c r="BL1089" s="4303"/>
      <c r="BM1089" s="4303"/>
      <c r="BN1089" s="4303"/>
      <c r="BO1089" s="4303"/>
      <c r="BP1089" s="4303"/>
      <c r="BQ1089" s="4303"/>
      <c r="BR1089" s="4303"/>
      <c r="BS1089" s="4303"/>
      <c r="BT1089" s="4303"/>
      <c r="BU1089" s="4303"/>
      <c r="BV1089" s="4303"/>
      <c r="BW1089" s="4303"/>
      <c r="BX1089" s="4303"/>
      <c r="BY1089" s="4303"/>
      <c r="BZ1089" s="4303"/>
      <c r="CA1089" s="4303"/>
      <c r="CB1089" s="4303"/>
      <c r="CC1089" s="4303"/>
      <c r="CD1089" s="4303"/>
      <c r="CE1089" s="4303"/>
      <c r="CF1089" s="4303"/>
      <c r="CG1089" s="4303"/>
      <c r="CH1089" s="4303"/>
      <c r="CI1089" s="4303"/>
      <c r="CJ1089" s="4303"/>
      <c r="CK1089" s="4303"/>
      <c r="CL1089" s="4303"/>
      <c r="CM1089" s="4303"/>
      <c r="CN1089" s="4303"/>
      <c r="CO1089" s="4303"/>
      <c r="CP1089" s="4303"/>
      <c r="CQ1089" s="4303"/>
      <c r="CR1089" s="4303"/>
      <c r="CS1089" s="4303"/>
      <c r="CT1089" s="4303"/>
      <c r="CU1089" s="4303"/>
      <c r="CV1089" s="4303"/>
      <c r="CW1089" s="4303"/>
      <c r="CX1089" s="4303"/>
      <c r="CY1089" s="4303"/>
      <c r="CZ1089" s="4303"/>
      <c r="DA1089" s="4303"/>
      <c r="DB1089" s="4303"/>
      <c r="DC1089" s="4303"/>
      <c r="DD1089" s="4303"/>
      <c r="DE1089" s="4303"/>
      <c r="DF1089" s="4303"/>
      <c r="DG1089" s="4303"/>
      <c r="DH1089" s="4303"/>
      <c r="DI1089" s="4303"/>
      <c r="DJ1089" s="4303"/>
      <c r="DK1089" s="4303"/>
      <c r="DL1089" s="4303"/>
      <c r="DM1089" s="4303"/>
      <c r="DN1089" s="4303"/>
      <c r="DO1089" s="4303"/>
      <c r="DP1089" s="4303"/>
      <c r="DQ1089" s="4303"/>
      <c r="DR1089" s="4303"/>
      <c r="DS1089" s="4303"/>
    </row>
    <row r="1090" s="4134" customFormat="1" ht="17.25" customHeight="1" spans="1:125">
      <c r="A1090" s="4922" t="s">
        <v>5545</v>
      </c>
      <c r="B1090" s="4923"/>
      <c r="C1090" s="4923"/>
      <c r="D1090" s="4923"/>
      <c r="E1090" s="4924"/>
      <c r="F1090" s="4894">
        <v>404</v>
      </c>
      <c r="G1090" s="4697"/>
      <c r="H1090" s="4895"/>
      <c r="I1090" s="4895"/>
      <c r="J1090" s="4895"/>
      <c r="K1090" s="4895"/>
      <c r="L1090" s="4895"/>
      <c r="M1090" s="4895"/>
      <c r="N1090" s="4895"/>
      <c r="O1090" s="4905"/>
      <c r="P1090" s="4317"/>
      <c r="Q1090" s="4317"/>
      <c r="R1090" s="4317"/>
      <c r="S1090" s="4317"/>
      <c r="T1090" s="4317"/>
      <c r="U1090" s="4906"/>
      <c r="V1090" s="4697"/>
      <c r="W1090" s="4697"/>
      <c r="X1090" s="4303"/>
      <c r="Y1090" s="4303"/>
      <c r="Z1090" s="4311" t="s">
        <v>5546</v>
      </c>
      <c r="AA1090" s="4303"/>
      <c r="AB1090" s="4303"/>
      <c r="AC1090" s="4303"/>
      <c r="AD1090" s="4303"/>
      <c r="AE1090" s="4303"/>
      <c r="AF1090" s="4303"/>
      <c r="AG1090" s="4303"/>
      <c r="AH1090" s="4303"/>
      <c r="AI1090" s="4303"/>
      <c r="AJ1090" s="4303"/>
      <c r="AK1090" s="4303"/>
      <c r="AL1090" s="4303"/>
      <c r="AM1090" s="4303"/>
      <c r="AN1090" s="4303"/>
      <c r="AO1090" s="4303"/>
      <c r="AP1090" s="4303"/>
      <c r="AQ1090" s="4303"/>
      <c r="AR1090" s="4303"/>
      <c r="AS1090" s="4303"/>
      <c r="AT1090" s="4303"/>
      <c r="AU1090" s="4303"/>
      <c r="AV1090" s="4303"/>
      <c r="AW1090" s="4303"/>
      <c r="AX1090" s="4303"/>
      <c r="AY1090" s="4303"/>
      <c r="AZ1090" s="4303"/>
      <c r="BA1090" s="4303"/>
      <c r="BB1090" s="4303"/>
      <c r="BC1090" s="4303"/>
      <c r="BD1090" s="4303"/>
      <c r="BE1090" s="4303"/>
      <c r="BF1090" s="4303"/>
      <c r="BG1090" s="4303"/>
      <c r="BH1090" s="4303"/>
      <c r="BI1090" s="4303"/>
      <c r="BJ1090" s="4303"/>
      <c r="BK1090" s="4303"/>
      <c r="BL1090" s="4303"/>
      <c r="BM1090" s="4303"/>
      <c r="BN1090" s="4303"/>
      <c r="BO1090" s="4303"/>
      <c r="BP1090" s="4303"/>
      <c r="BQ1090" s="4303"/>
      <c r="BR1090" s="4303"/>
      <c r="BS1090" s="4303"/>
      <c r="BT1090" s="4303"/>
      <c r="BU1090" s="4303"/>
      <c r="BV1090" s="4303"/>
      <c r="BW1090" s="4303"/>
      <c r="BX1090" s="4303"/>
      <c r="BY1090" s="4303"/>
      <c r="BZ1090" s="4303"/>
      <c r="CA1090" s="4303"/>
      <c r="CB1090" s="4303"/>
      <c r="CC1090" s="4303"/>
      <c r="CD1090" s="4303"/>
      <c r="CE1090" s="4303"/>
      <c r="CF1090" s="4303"/>
      <c r="CG1090" s="4303"/>
      <c r="CH1090" s="4303"/>
      <c r="CI1090" s="4303"/>
      <c r="CJ1090" s="4303"/>
      <c r="CK1090" s="4303"/>
      <c r="CL1090" s="4303"/>
      <c r="CM1090" s="4303"/>
      <c r="CN1090" s="4303"/>
      <c r="CO1090" s="4303"/>
      <c r="CP1090" s="4303"/>
      <c r="CQ1090" s="4303"/>
      <c r="CR1090" s="4303"/>
      <c r="CS1090" s="4303"/>
      <c r="CT1090" s="4303"/>
      <c r="CU1090" s="4303"/>
      <c r="CV1090" s="4303"/>
      <c r="CW1090" s="4303"/>
      <c r="CX1090" s="4303"/>
      <c r="CY1090" s="4303"/>
      <c r="CZ1090" s="4303"/>
      <c r="DA1090" s="4303"/>
      <c r="DB1090" s="4303"/>
      <c r="DC1090" s="4303"/>
      <c r="DD1090" s="4303"/>
      <c r="DE1090" s="4303"/>
      <c r="DF1090" s="4303"/>
      <c r="DG1090" s="4303"/>
      <c r="DH1090" s="4303"/>
      <c r="DI1090" s="4303"/>
      <c r="DJ1090" s="4303"/>
      <c r="DK1090" s="4303"/>
      <c r="DL1090" s="4303"/>
      <c r="DM1090" s="4303"/>
      <c r="DN1090" s="4303"/>
      <c r="DO1090" s="4303"/>
      <c r="DP1090" s="4303"/>
      <c r="DQ1090" s="4303"/>
      <c r="DR1090" s="4303"/>
      <c r="DS1090" s="4303"/>
    </row>
    <row r="1091" s="679" customFormat="1" ht="17.25" customHeight="1" spans="1:125">
      <c r="A1091" s="4922" t="s">
        <v>5547</v>
      </c>
      <c r="B1091" s="4923"/>
      <c r="C1091" s="4923"/>
      <c r="D1091" s="4923"/>
      <c r="E1091" s="4924"/>
      <c r="F1091" s="4894">
        <v>404</v>
      </c>
      <c r="G1091" s="4697"/>
      <c r="H1091" s="4895"/>
      <c r="I1091" s="4895"/>
      <c r="J1091" s="4895"/>
      <c r="K1091" s="4895"/>
      <c r="L1091" s="4895"/>
      <c r="M1091" s="4895"/>
      <c r="N1091" s="4895"/>
      <c r="O1091" s="4905"/>
      <c r="P1091" s="4317"/>
      <c r="Q1091" s="4317"/>
      <c r="R1091" s="4317"/>
      <c r="S1091" s="4317"/>
      <c r="T1091" s="4317"/>
      <c r="U1091" s="4906"/>
      <c r="V1091" s="4697"/>
      <c r="W1091" s="4697"/>
      <c r="X1091" s="4303"/>
      <c r="Y1091" s="4303"/>
      <c r="Z1091" s="4311" t="s">
        <v>5548</v>
      </c>
      <c r="AA1091" s="4303"/>
      <c r="AB1091" s="4303"/>
      <c r="AC1091" s="4303"/>
      <c r="AD1091" s="4303"/>
      <c r="AE1091" s="4303"/>
      <c r="AF1091" s="4303"/>
      <c r="AG1091" s="4303"/>
      <c r="AH1091" s="4303"/>
      <c r="AI1091" s="4303"/>
      <c r="AJ1091" s="4303"/>
      <c r="AK1091" s="4303"/>
      <c r="AL1091" s="4303"/>
      <c r="AM1091" s="4303"/>
      <c r="AN1091" s="4303"/>
      <c r="AO1091" s="4303"/>
      <c r="AP1091" s="4303"/>
      <c r="AQ1091" s="4303"/>
      <c r="AR1091" s="4303"/>
      <c r="AS1091" s="4303"/>
      <c r="AT1091" s="4303"/>
      <c r="AU1091" s="4303"/>
      <c r="AV1091" s="4303"/>
      <c r="AW1091" s="4303"/>
      <c r="AX1091" s="4303"/>
      <c r="AY1091" s="4303"/>
      <c r="AZ1091" s="4303"/>
      <c r="BA1091" s="4303"/>
      <c r="BB1091" s="4303"/>
      <c r="BC1091" s="4303"/>
      <c r="BD1091" s="4303"/>
      <c r="BE1091" s="4303"/>
      <c r="BF1091" s="4303"/>
      <c r="BG1091" s="4303"/>
      <c r="BH1091" s="4303"/>
      <c r="BI1091" s="4303"/>
      <c r="BJ1091" s="4303"/>
      <c r="BK1091" s="4303"/>
      <c r="BL1091" s="4303"/>
      <c r="BM1091" s="4303"/>
      <c r="BN1091" s="4303"/>
      <c r="BO1091" s="4303"/>
      <c r="BP1091" s="4303"/>
      <c r="BQ1091" s="4303"/>
      <c r="BR1091" s="4303"/>
      <c r="BS1091" s="4303"/>
      <c r="BT1091" s="4303"/>
      <c r="BU1091" s="4303"/>
      <c r="BV1091" s="4303"/>
      <c r="BW1091" s="4303"/>
      <c r="BX1091" s="4303"/>
      <c r="BY1091" s="4303"/>
      <c r="BZ1091" s="4303"/>
      <c r="CA1091" s="4303"/>
      <c r="CB1091" s="4303"/>
      <c r="CC1091" s="4303"/>
      <c r="CD1091" s="4303"/>
      <c r="CE1091" s="4303"/>
      <c r="CF1091" s="4303"/>
      <c r="CG1091" s="4303"/>
      <c r="CH1091" s="4303"/>
      <c r="CI1091" s="4303"/>
      <c r="CJ1091" s="4303"/>
      <c r="CK1091" s="4303"/>
      <c r="CL1091" s="4303"/>
      <c r="CM1091" s="4303"/>
      <c r="CN1091" s="4303"/>
      <c r="CO1091" s="4303"/>
      <c r="CP1091" s="4303"/>
      <c r="CQ1091" s="4303"/>
      <c r="CR1091" s="4303"/>
      <c r="CS1091" s="4303"/>
      <c r="CT1091" s="4303"/>
      <c r="CU1091" s="4303"/>
      <c r="CV1091" s="4303"/>
      <c r="CW1091" s="4303"/>
      <c r="CX1091" s="4303"/>
      <c r="CY1091" s="4303"/>
      <c r="CZ1091" s="4303"/>
      <c r="DA1091" s="4303"/>
      <c r="DB1091" s="4303"/>
      <c r="DC1091" s="4303"/>
      <c r="DD1091" s="4303"/>
      <c r="DE1091" s="4303"/>
      <c r="DF1091" s="4303"/>
      <c r="DG1091" s="4303"/>
      <c r="DH1091" s="4303"/>
      <c r="DI1091" s="4303"/>
      <c r="DJ1091" s="4303"/>
      <c r="DK1091" s="4303"/>
      <c r="DL1091" s="4303"/>
      <c r="DM1091" s="4303"/>
      <c r="DN1091" s="4303"/>
      <c r="DO1091" s="4303"/>
      <c r="DP1091" s="4303"/>
      <c r="DQ1091" s="4303"/>
      <c r="DR1091" s="4303"/>
      <c r="DS1091" s="4303"/>
      <c r="DT1091" s="4134"/>
      <c r="DU1091" s="4134"/>
    </row>
    <row r="1092" s="679" customFormat="1" ht="17.25" customHeight="1" spans="1:125">
      <c r="A1092" s="4922" t="s">
        <v>5549</v>
      </c>
      <c r="B1092" s="4923"/>
      <c r="C1092" s="4923"/>
      <c r="D1092" s="4923"/>
      <c r="E1092" s="4924"/>
      <c r="F1092" s="4894">
        <v>404</v>
      </c>
      <c r="G1092" s="4697"/>
      <c r="H1092" s="4895"/>
      <c r="I1092" s="4895"/>
      <c r="J1092" s="4895"/>
      <c r="K1092" s="4895"/>
      <c r="L1092" s="4895"/>
      <c r="M1092" s="4895"/>
      <c r="N1092" s="4895"/>
      <c r="O1092" s="4905"/>
      <c r="P1092" s="4317"/>
      <c r="Q1092" s="4317"/>
      <c r="R1092" s="4317"/>
      <c r="S1092" s="4317"/>
      <c r="T1092" s="4317"/>
      <c r="U1092" s="4906"/>
      <c r="V1092" s="4697"/>
      <c r="W1092" s="4697"/>
      <c r="X1092" s="4303"/>
      <c r="Y1092" s="4303"/>
      <c r="Z1092" s="4311" t="s">
        <v>5550</v>
      </c>
      <c r="AA1092" s="4303"/>
      <c r="AB1092" s="4303"/>
      <c r="AC1092" s="4303"/>
      <c r="AD1092" s="4303"/>
      <c r="AE1092" s="4303"/>
      <c r="AF1092" s="4303"/>
      <c r="AG1092" s="4303"/>
      <c r="AH1092" s="4303"/>
      <c r="AI1092" s="4303"/>
      <c r="AJ1092" s="4303"/>
      <c r="AK1092" s="4303"/>
      <c r="AL1092" s="4303"/>
      <c r="AM1092" s="4303"/>
      <c r="AN1092" s="4303"/>
      <c r="AO1092" s="4303"/>
      <c r="AP1092" s="4303"/>
      <c r="AQ1092" s="4303"/>
      <c r="AR1092" s="4303"/>
      <c r="AS1092" s="4303"/>
      <c r="AT1092" s="4303"/>
      <c r="AU1092" s="4303"/>
      <c r="AV1092" s="4303"/>
      <c r="AW1092" s="4303"/>
      <c r="AX1092" s="4303"/>
      <c r="AY1092" s="4303"/>
      <c r="AZ1092" s="4303"/>
      <c r="BA1092" s="4303"/>
      <c r="BB1092" s="4303"/>
      <c r="BC1092" s="4303"/>
      <c r="BD1092" s="4303"/>
      <c r="BE1092" s="4303"/>
      <c r="BF1092" s="4303"/>
      <c r="BG1092" s="4303"/>
      <c r="BH1092" s="4303"/>
      <c r="BI1092" s="4303"/>
      <c r="BJ1092" s="4303"/>
      <c r="BK1092" s="4303"/>
      <c r="BL1092" s="4303"/>
      <c r="BM1092" s="4303"/>
      <c r="BN1092" s="4303"/>
      <c r="BO1092" s="4303"/>
      <c r="BP1092" s="4303"/>
      <c r="BQ1092" s="4303"/>
      <c r="BR1092" s="4303"/>
      <c r="BS1092" s="4303"/>
      <c r="BT1092" s="4303"/>
      <c r="BU1092" s="4303"/>
      <c r="BV1092" s="4303"/>
      <c r="BW1092" s="4303"/>
      <c r="BX1092" s="4303"/>
      <c r="BY1092" s="4303"/>
      <c r="BZ1092" s="4303"/>
      <c r="CA1092" s="4303"/>
      <c r="CB1092" s="4303"/>
      <c r="CC1092" s="4303"/>
      <c r="CD1092" s="4303"/>
      <c r="CE1092" s="4303"/>
      <c r="CF1092" s="4303"/>
      <c r="CG1092" s="4303"/>
      <c r="CH1092" s="4303"/>
      <c r="CI1092" s="4303"/>
      <c r="CJ1092" s="4303"/>
      <c r="CK1092" s="4303"/>
      <c r="CL1092" s="4303"/>
      <c r="CM1092" s="4303"/>
      <c r="CN1092" s="4303"/>
      <c r="CO1092" s="4303"/>
      <c r="CP1092" s="4303"/>
      <c r="CQ1092" s="4303"/>
      <c r="CR1092" s="4303"/>
      <c r="CS1092" s="4303"/>
      <c r="CT1092" s="4303"/>
      <c r="CU1092" s="4303"/>
      <c r="CV1092" s="4303"/>
      <c r="CW1092" s="4303"/>
      <c r="CX1092" s="4303"/>
      <c r="CY1092" s="4303"/>
      <c r="CZ1092" s="4303"/>
      <c r="DA1092" s="4303"/>
      <c r="DB1092" s="4303"/>
      <c r="DC1092" s="4303"/>
      <c r="DD1092" s="4303"/>
      <c r="DE1092" s="4303"/>
      <c r="DF1092" s="4303"/>
      <c r="DG1092" s="4303"/>
      <c r="DH1092" s="4303"/>
      <c r="DI1092" s="4303"/>
      <c r="DJ1092" s="4303"/>
      <c r="DK1092" s="4303"/>
      <c r="DL1092" s="4303"/>
      <c r="DM1092" s="4303"/>
      <c r="DN1092" s="4303"/>
      <c r="DO1092" s="4303"/>
      <c r="DP1092" s="4303"/>
      <c r="DQ1092" s="4303"/>
      <c r="DR1092" s="4303"/>
      <c r="DS1092" s="4303"/>
      <c r="DT1092" s="4134"/>
      <c r="DU1092" s="4134"/>
    </row>
    <row r="1093" s="679" customFormat="1" ht="17.25" customHeight="1" spans="1:125">
      <c r="A1093" s="4922" t="s">
        <v>5551</v>
      </c>
      <c r="B1093" s="4923"/>
      <c r="C1093" s="4923"/>
      <c r="D1093" s="4923"/>
      <c r="E1093" s="4924"/>
      <c r="F1093" s="4894">
        <v>404</v>
      </c>
      <c r="G1093" s="4697"/>
      <c r="H1093" s="4895"/>
      <c r="I1093" s="4895"/>
      <c r="J1093" s="4895"/>
      <c r="K1093" s="4895"/>
      <c r="L1093" s="4895"/>
      <c r="M1093" s="4895"/>
      <c r="N1093" s="4895"/>
      <c r="O1093" s="4905"/>
      <c r="P1093" s="4317"/>
      <c r="Q1093" s="4317"/>
      <c r="R1093" s="4317"/>
      <c r="S1093" s="4317"/>
      <c r="T1093" s="4317"/>
      <c r="U1093" s="4906"/>
      <c r="V1093" s="4697"/>
      <c r="W1093" s="4697"/>
      <c r="X1093" s="4303"/>
      <c r="Y1093" s="4303"/>
      <c r="Z1093" s="4311" t="s">
        <v>5552</v>
      </c>
      <c r="AA1093" s="4303"/>
      <c r="AB1093" s="4303"/>
      <c r="AC1093" s="4303"/>
      <c r="AD1093" s="4303"/>
      <c r="AE1093" s="4303"/>
      <c r="AF1093" s="4303"/>
      <c r="AG1093" s="4303"/>
      <c r="AH1093" s="4303"/>
      <c r="AI1093" s="4303"/>
      <c r="AJ1093" s="4303"/>
      <c r="AK1093" s="4303"/>
      <c r="AL1093" s="4303"/>
      <c r="AM1093" s="4303"/>
      <c r="AN1093" s="4303"/>
      <c r="AO1093" s="4303"/>
      <c r="AP1093" s="4303"/>
      <c r="AQ1093" s="4303"/>
      <c r="AR1093" s="4303"/>
      <c r="AS1093" s="4303"/>
      <c r="AT1093" s="4303"/>
      <c r="AU1093" s="4303"/>
      <c r="AV1093" s="4303"/>
      <c r="AW1093" s="4303"/>
      <c r="AX1093" s="4303"/>
      <c r="AY1093" s="4303"/>
      <c r="AZ1093" s="4303"/>
      <c r="BA1093" s="4303"/>
      <c r="BB1093" s="4303"/>
      <c r="BC1093" s="4303"/>
      <c r="BD1093" s="4303"/>
      <c r="BE1093" s="4303"/>
      <c r="BF1093" s="4303"/>
      <c r="BG1093" s="4303"/>
      <c r="BH1093" s="4303"/>
      <c r="BI1093" s="4303"/>
      <c r="BJ1093" s="4303"/>
      <c r="BK1093" s="4303"/>
      <c r="BL1093" s="4303"/>
      <c r="BM1093" s="4303"/>
      <c r="BN1093" s="4303"/>
      <c r="BO1093" s="4303"/>
      <c r="BP1093" s="4303"/>
      <c r="BQ1093" s="4303"/>
      <c r="BR1093" s="4303"/>
      <c r="BS1093" s="4303"/>
      <c r="BT1093" s="4303"/>
      <c r="BU1093" s="4303"/>
      <c r="BV1093" s="4303"/>
      <c r="BW1093" s="4303"/>
      <c r="BX1093" s="4303"/>
      <c r="BY1093" s="4303"/>
      <c r="BZ1093" s="4303"/>
      <c r="CA1093" s="4303"/>
      <c r="CB1093" s="4303"/>
      <c r="CC1093" s="4303"/>
      <c r="CD1093" s="4303"/>
      <c r="CE1093" s="4303"/>
      <c r="CF1093" s="4303"/>
      <c r="CG1093" s="4303"/>
      <c r="CH1093" s="4303"/>
      <c r="CI1093" s="4303"/>
      <c r="CJ1093" s="4303"/>
      <c r="CK1093" s="4303"/>
      <c r="CL1093" s="4303"/>
      <c r="CM1093" s="4303"/>
      <c r="CN1093" s="4303"/>
      <c r="CO1093" s="4303"/>
      <c r="CP1093" s="4303"/>
      <c r="CQ1093" s="4303"/>
      <c r="CR1093" s="4303"/>
      <c r="CS1093" s="4303"/>
      <c r="CT1093" s="4303"/>
      <c r="CU1093" s="4303"/>
      <c r="CV1093" s="4303"/>
      <c r="CW1093" s="4303"/>
      <c r="CX1093" s="4303"/>
      <c r="CY1093" s="4303"/>
      <c r="CZ1093" s="4303"/>
      <c r="DA1093" s="4303"/>
      <c r="DB1093" s="4303"/>
      <c r="DC1093" s="4303"/>
      <c r="DD1093" s="4303"/>
      <c r="DE1093" s="4303"/>
      <c r="DF1093" s="4303"/>
      <c r="DG1093" s="4303"/>
      <c r="DH1093" s="4303"/>
      <c r="DI1093" s="4303"/>
      <c r="DJ1093" s="4303"/>
      <c r="DK1093" s="4303"/>
      <c r="DL1093" s="4303"/>
      <c r="DM1093" s="4303"/>
      <c r="DN1093" s="4303"/>
      <c r="DO1093" s="4303"/>
      <c r="DP1093" s="4303"/>
      <c r="DQ1093" s="4303"/>
      <c r="DR1093" s="4303"/>
      <c r="DS1093" s="4303"/>
      <c r="DT1093" s="4134"/>
      <c r="DU1093" s="4134"/>
    </row>
    <row r="1094" s="679" customFormat="1" ht="17.25" customHeight="1" spans="1:125">
      <c r="A1094" s="4922" t="s">
        <v>5553</v>
      </c>
      <c r="B1094" s="4923"/>
      <c r="C1094" s="4923"/>
      <c r="D1094" s="4923"/>
      <c r="E1094" s="4924"/>
      <c r="F1094" s="4894">
        <v>404</v>
      </c>
      <c r="G1094" s="4697"/>
      <c r="H1094" s="4895"/>
      <c r="I1094" s="4895"/>
      <c r="J1094" s="4895"/>
      <c r="K1094" s="4895"/>
      <c r="L1094" s="4895"/>
      <c r="M1094" s="4895"/>
      <c r="N1094" s="4895"/>
      <c r="O1094" s="4905"/>
      <c r="P1094" s="4317"/>
      <c r="Q1094" s="4317"/>
      <c r="R1094" s="4317"/>
      <c r="S1094" s="4317"/>
      <c r="T1094" s="4317"/>
      <c r="U1094" s="4906"/>
      <c r="V1094" s="4697"/>
      <c r="W1094" s="4697"/>
      <c r="X1094" s="4303"/>
      <c r="Y1094" s="4303"/>
      <c r="Z1094" s="4311" t="s">
        <v>5554</v>
      </c>
      <c r="AA1094" s="4303"/>
      <c r="AB1094" s="4303"/>
      <c r="AC1094" s="4303"/>
      <c r="AD1094" s="4303"/>
      <c r="AE1094" s="4303"/>
      <c r="AF1094" s="4303"/>
      <c r="AG1094" s="4303"/>
      <c r="AH1094" s="4303"/>
      <c r="AI1094" s="4303"/>
      <c r="AJ1094" s="4303"/>
      <c r="AK1094" s="4303"/>
      <c r="AL1094" s="4303"/>
      <c r="AM1094" s="4303"/>
      <c r="AN1094" s="4303"/>
      <c r="AO1094" s="4303"/>
      <c r="AP1094" s="4303"/>
      <c r="AQ1094" s="4303"/>
      <c r="AR1094" s="4303"/>
      <c r="AS1094" s="4303"/>
      <c r="AT1094" s="4303"/>
      <c r="AU1094" s="4303"/>
      <c r="AV1094" s="4303"/>
      <c r="AW1094" s="4303"/>
      <c r="AX1094" s="4303"/>
      <c r="AY1094" s="4303"/>
      <c r="AZ1094" s="4303"/>
      <c r="BA1094" s="4303"/>
      <c r="BB1094" s="4303"/>
      <c r="BC1094" s="4303"/>
      <c r="BD1094" s="4303"/>
      <c r="BE1094" s="4303"/>
      <c r="BF1094" s="4303"/>
      <c r="BG1094" s="4303"/>
      <c r="BH1094" s="4303"/>
      <c r="BI1094" s="4303"/>
      <c r="BJ1094" s="4303"/>
      <c r="BK1094" s="4303"/>
      <c r="BL1094" s="4303"/>
      <c r="BM1094" s="4303"/>
      <c r="BN1094" s="4303"/>
      <c r="BO1094" s="4303"/>
      <c r="BP1094" s="4303"/>
      <c r="BQ1094" s="4303"/>
      <c r="BR1094" s="4303"/>
      <c r="BS1094" s="4303"/>
      <c r="BT1094" s="4303"/>
      <c r="BU1094" s="4303"/>
      <c r="BV1094" s="4303"/>
      <c r="BW1094" s="4303"/>
      <c r="BX1094" s="4303"/>
      <c r="BY1094" s="4303"/>
      <c r="BZ1094" s="4303"/>
      <c r="CA1094" s="4303"/>
      <c r="CB1094" s="4303"/>
      <c r="CC1094" s="4303"/>
      <c r="CD1094" s="4303"/>
      <c r="CE1094" s="4303"/>
      <c r="CF1094" s="4303"/>
      <c r="CG1094" s="4303"/>
      <c r="CH1094" s="4303"/>
      <c r="CI1094" s="4303"/>
      <c r="CJ1094" s="4303"/>
      <c r="CK1094" s="4303"/>
      <c r="CL1094" s="4303"/>
      <c r="CM1094" s="4303"/>
      <c r="CN1094" s="4303"/>
      <c r="CO1094" s="4303"/>
      <c r="CP1094" s="4303"/>
      <c r="CQ1094" s="4303"/>
      <c r="CR1094" s="4303"/>
      <c r="CS1094" s="4303"/>
      <c r="CT1094" s="4303"/>
      <c r="CU1094" s="4303"/>
      <c r="CV1094" s="4303"/>
      <c r="CW1094" s="4303"/>
      <c r="CX1094" s="4303"/>
      <c r="CY1094" s="4303"/>
      <c r="CZ1094" s="4303"/>
      <c r="DA1094" s="4303"/>
      <c r="DB1094" s="4303"/>
      <c r="DC1094" s="4303"/>
      <c r="DD1094" s="4303"/>
      <c r="DE1094" s="4303"/>
      <c r="DF1094" s="4303"/>
      <c r="DG1094" s="4303"/>
      <c r="DH1094" s="4303"/>
      <c r="DI1094" s="4303"/>
      <c r="DJ1094" s="4303"/>
      <c r="DK1094" s="4303"/>
      <c r="DL1094" s="4303"/>
      <c r="DM1094" s="4303"/>
      <c r="DN1094" s="4303"/>
      <c r="DO1094" s="4303"/>
      <c r="DP1094" s="4303"/>
      <c r="DQ1094" s="4303"/>
      <c r="DR1094" s="4303"/>
      <c r="DS1094" s="4303"/>
      <c r="DT1094" s="4134"/>
      <c r="DU1094" s="4134"/>
    </row>
    <row r="1095" s="679" customFormat="1" ht="17.25" customHeight="1" spans="1:125">
      <c r="A1095" s="4922" t="s">
        <v>5569</v>
      </c>
      <c r="B1095" s="4923"/>
      <c r="C1095" s="4923"/>
      <c r="D1095" s="4923"/>
      <c r="E1095" s="4924"/>
      <c r="F1095" s="4894">
        <v>404</v>
      </c>
      <c r="G1095" s="4697"/>
      <c r="H1095" s="4895"/>
      <c r="I1095" s="4895"/>
      <c r="J1095" s="4895"/>
      <c r="K1095" s="4895"/>
      <c r="L1095" s="4895"/>
      <c r="M1095" s="4895"/>
      <c r="N1095" s="4895"/>
      <c r="O1095" s="4905"/>
      <c r="P1095" s="4317"/>
      <c r="Q1095" s="4317"/>
      <c r="R1095" s="4317"/>
      <c r="S1095" s="4317"/>
      <c r="T1095" s="4317"/>
      <c r="U1095" s="4906"/>
      <c r="V1095" s="4697"/>
      <c r="W1095" s="4697"/>
      <c r="X1095" s="4303"/>
      <c r="Y1095" s="4303"/>
      <c r="Z1095" s="4311" t="s">
        <v>5570</v>
      </c>
      <c r="AA1095" s="4303"/>
      <c r="AB1095" s="4303"/>
      <c r="AC1095" s="4303"/>
      <c r="AD1095" s="4303"/>
      <c r="AE1095" s="4303"/>
      <c r="AF1095" s="4303"/>
      <c r="AG1095" s="4303"/>
      <c r="AH1095" s="4303"/>
      <c r="AI1095" s="4303"/>
      <c r="AJ1095" s="4303"/>
      <c r="AK1095" s="4303"/>
      <c r="AL1095" s="4303"/>
      <c r="AM1095" s="4303"/>
      <c r="AN1095" s="4303"/>
      <c r="AO1095" s="4303"/>
      <c r="AP1095" s="4303"/>
      <c r="AQ1095" s="4303"/>
      <c r="AR1095" s="4303"/>
      <c r="AS1095" s="4303"/>
      <c r="AT1095" s="4303"/>
      <c r="AU1095" s="4303"/>
      <c r="AV1095" s="4303"/>
      <c r="AW1095" s="4303"/>
      <c r="AX1095" s="4303"/>
      <c r="AY1095" s="4303"/>
      <c r="AZ1095" s="4303"/>
      <c r="BA1095" s="4303"/>
      <c r="BB1095" s="4303"/>
      <c r="BC1095" s="4303"/>
      <c r="BD1095" s="4303"/>
      <c r="BE1095" s="4303"/>
      <c r="BF1095" s="4303"/>
      <c r="BG1095" s="4303"/>
      <c r="BH1095" s="4303"/>
      <c r="BI1095" s="4303"/>
      <c r="BJ1095" s="4303"/>
      <c r="BK1095" s="4303"/>
      <c r="BL1095" s="4303"/>
      <c r="BM1095" s="4303"/>
      <c r="BN1095" s="4303"/>
      <c r="BO1095" s="4303"/>
      <c r="BP1095" s="4303"/>
      <c r="BQ1095" s="4303"/>
      <c r="BR1095" s="4303"/>
      <c r="BS1095" s="4303"/>
      <c r="BT1095" s="4303"/>
      <c r="BU1095" s="4303"/>
      <c r="BV1095" s="4303"/>
      <c r="BW1095" s="4303"/>
      <c r="BX1095" s="4303"/>
      <c r="BY1095" s="4303"/>
      <c r="BZ1095" s="4303"/>
      <c r="CA1095" s="4303"/>
      <c r="CB1095" s="4303"/>
      <c r="CC1095" s="4303"/>
      <c r="CD1095" s="4303"/>
      <c r="CE1095" s="4303"/>
      <c r="CF1095" s="4303"/>
      <c r="CG1095" s="4303"/>
      <c r="CH1095" s="4303"/>
      <c r="CI1095" s="4303"/>
      <c r="CJ1095" s="4303"/>
      <c r="CK1095" s="4303"/>
      <c r="CL1095" s="4303"/>
      <c r="CM1095" s="4303"/>
      <c r="CN1095" s="4303"/>
      <c r="CO1095" s="4303"/>
      <c r="CP1095" s="4303"/>
      <c r="CQ1095" s="4303"/>
      <c r="CR1095" s="4303"/>
      <c r="CS1095" s="4303"/>
      <c r="CT1095" s="4303"/>
      <c r="CU1095" s="4303"/>
      <c r="CV1095" s="4303"/>
      <c r="CW1095" s="4303"/>
      <c r="CX1095" s="4303"/>
      <c r="CY1095" s="4303"/>
      <c r="CZ1095" s="4303"/>
      <c r="DA1095" s="4303"/>
      <c r="DB1095" s="4303"/>
      <c r="DC1095" s="4303"/>
      <c r="DD1095" s="4303"/>
      <c r="DE1095" s="4303"/>
      <c r="DF1095" s="4303"/>
      <c r="DG1095" s="4303"/>
      <c r="DH1095" s="4303"/>
      <c r="DI1095" s="4303"/>
      <c r="DJ1095" s="4303"/>
      <c r="DK1095" s="4303"/>
      <c r="DL1095" s="4303"/>
      <c r="DM1095" s="4303"/>
      <c r="DN1095" s="4303"/>
      <c r="DO1095" s="4303"/>
      <c r="DP1095" s="4303"/>
      <c r="DQ1095" s="4303"/>
      <c r="DR1095" s="4303"/>
      <c r="DS1095" s="4303"/>
      <c r="DT1095" s="4134"/>
      <c r="DU1095" s="4134"/>
    </row>
    <row r="1096" s="679" customFormat="1" ht="17.25" customHeight="1" spans="1:125">
      <c r="A1096" s="4922" t="s">
        <v>5572</v>
      </c>
      <c r="B1096" s="4923"/>
      <c r="C1096" s="4923"/>
      <c r="D1096" s="4923"/>
      <c r="E1096" s="4924"/>
      <c r="F1096" s="4894">
        <v>404</v>
      </c>
      <c r="G1096" s="4697"/>
      <c r="H1096" s="4895"/>
      <c r="I1096" s="4895"/>
      <c r="J1096" s="4895"/>
      <c r="K1096" s="4895"/>
      <c r="L1096" s="4895"/>
      <c r="M1096" s="4895"/>
      <c r="N1096" s="4895"/>
      <c r="O1096" s="4905"/>
      <c r="P1096" s="4317"/>
      <c r="Q1096" s="4317"/>
      <c r="R1096" s="4317"/>
      <c r="S1096" s="4317"/>
      <c r="T1096" s="4317"/>
      <c r="U1096" s="4906"/>
      <c r="V1096" s="4697"/>
      <c r="W1096" s="4697"/>
      <c r="X1096" s="4303"/>
      <c r="Y1096" s="4303"/>
      <c r="Z1096" s="4311" t="s">
        <v>5573</v>
      </c>
      <c r="AA1096" s="4303"/>
      <c r="AB1096" s="4303"/>
      <c r="AC1096" s="4303"/>
      <c r="AD1096" s="4303"/>
      <c r="AE1096" s="4303"/>
      <c r="AF1096" s="4303"/>
      <c r="AG1096" s="4303"/>
      <c r="AH1096" s="4303"/>
      <c r="AI1096" s="4303"/>
      <c r="AJ1096" s="4303"/>
      <c r="AK1096" s="4303"/>
      <c r="AL1096" s="4303"/>
      <c r="AM1096" s="4303"/>
      <c r="AN1096" s="4303"/>
      <c r="AO1096" s="4303"/>
      <c r="AP1096" s="4303"/>
      <c r="AQ1096" s="4303"/>
      <c r="AR1096" s="4303"/>
      <c r="AS1096" s="4303"/>
      <c r="AT1096" s="4303"/>
      <c r="AU1096" s="4303"/>
      <c r="AV1096" s="4303"/>
      <c r="AW1096" s="4303"/>
      <c r="AX1096" s="4303"/>
      <c r="AY1096" s="4303"/>
      <c r="AZ1096" s="4303"/>
      <c r="BA1096" s="4303"/>
      <c r="BB1096" s="4303"/>
      <c r="BC1096" s="4303"/>
      <c r="BD1096" s="4303"/>
      <c r="BE1096" s="4303"/>
      <c r="BF1096" s="4303"/>
      <c r="BG1096" s="4303"/>
      <c r="BH1096" s="4303"/>
      <c r="BI1096" s="4303"/>
      <c r="BJ1096" s="4303"/>
      <c r="BK1096" s="4303"/>
      <c r="BL1096" s="4303"/>
      <c r="BM1096" s="4303"/>
      <c r="BN1096" s="4303"/>
      <c r="BO1096" s="4303"/>
      <c r="BP1096" s="4303"/>
      <c r="BQ1096" s="4303"/>
      <c r="BR1096" s="4303"/>
      <c r="BS1096" s="4303"/>
      <c r="BT1096" s="4303"/>
      <c r="BU1096" s="4303"/>
      <c r="BV1096" s="4303"/>
      <c r="BW1096" s="4303"/>
      <c r="BX1096" s="4303"/>
      <c r="BY1096" s="4303"/>
      <c r="BZ1096" s="4303"/>
      <c r="CA1096" s="4303"/>
      <c r="CB1096" s="4303"/>
      <c r="CC1096" s="4303"/>
      <c r="CD1096" s="4303"/>
      <c r="CE1096" s="4303"/>
      <c r="CF1096" s="4303"/>
      <c r="CG1096" s="4303"/>
      <c r="CH1096" s="4303"/>
      <c r="CI1096" s="4303"/>
      <c r="CJ1096" s="4303"/>
      <c r="CK1096" s="4303"/>
      <c r="CL1096" s="4303"/>
      <c r="CM1096" s="4303"/>
      <c r="CN1096" s="4303"/>
      <c r="CO1096" s="4303"/>
      <c r="CP1096" s="4303"/>
      <c r="CQ1096" s="4303"/>
      <c r="CR1096" s="4303"/>
      <c r="CS1096" s="4303"/>
      <c r="CT1096" s="4303"/>
      <c r="CU1096" s="4303"/>
      <c r="CV1096" s="4303"/>
      <c r="CW1096" s="4303"/>
      <c r="CX1096" s="4303"/>
      <c r="CY1096" s="4303"/>
      <c r="CZ1096" s="4303"/>
      <c r="DA1096" s="4303"/>
      <c r="DB1096" s="4303"/>
      <c r="DC1096" s="4303"/>
      <c r="DD1096" s="4303"/>
      <c r="DE1096" s="4303"/>
      <c r="DF1096" s="4303"/>
      <c r="DG1096" s="4303"/>
      <c r="DH1096" s="4303"/>
      <c r="DI1096" s="4303"/>
      <c r="DJ1096" s="4303"/>
      <c r="DK1096" s="4303"/>
      <c r="DL1096" s="4303"/>
      <c r="DM1096" s="4303"/>
      <c r="DN1096" s="4303"/>
      <c r="DO1096" s="4303"/>
      <c r="DP1096" s="4303"/>
      <c r="DQ1096" s="4303"/>
      <c r="DR1096" s="4303"/>
      <c r="DS1096" s="4303"/>
      <c r="DT1096" s="4134"/>
      <c r="DU1096" s="4134"/>
    </row>
    <row r="1097" s="679" customFormat="1" ht="17.25" customHeight="1" spans="1:125">
      <c r="A1097" s="4922" t="s">
        <v>5574</v>
      </c>
      <c r="B1097" s="4923"/>
      <c r="C1097" s="4923"/>
      <c r="D1097" s="4923"/>
      <c r="E1097" s="4924"/>
      <c r="F1097" s="4894">
        <v>405</v>
      </c>
      <c r="G1097" s="4697"/>
      <c r="H1097" s="4895"/>
      <c r="I1097" s="4895"/>
      <c r="J1097" s="4895"/>
      <c r="K1097" s="4895"/>
      <c r="L1097" s="4895"/>
      <c r="M1097" s="4895"/>
      <c r="N1097" s="4895"/>
      <c r="O1097" s="4905"/>
      <c r="P1097" s="4317"/>
      <c r="Q1097" s="4317"/>
      <c r="R1097" s="4317"/>
      <c r="S1097" s="4317"/>
      <c r="T1097" s="4317"/>
      <c r="U1097" s="4906"/>
      <c r="V1097" s="4697"/>
      <c r="W1097" s="4697"/>
      <c r="X1097" s="4303"/>
      <c r="Y1097" s="4303"/>
      <c r="Z1097" s="4311" t="s">
        <v>5575</v>
      </c>
      <c r="AA1097" s="4303"/>
      <c r="AB1097" s="4303"/>
      <c r="AC1097" s="4303"/>
      <c r="AD1097" s="4303"/>
      <c r="AE1097" s="4303"/>
      <c r="AF1097" s="4303"/>
      <c r="AG1097" s="4303"/>
      <c r="AH1097" s="4303"/>
      <c r="AI1097" s="4303"/>
      <c r="AJ1097" s="4303"/>
      <c r="AK1097" s="4303"/>
      <c r="AL1097" s="4303"/>
      <c r="AM1097" s="4303"/>
      <c r="AN1097" s="4303"/>
      <c r="AO1097" s="4303"/>
      <c r="AP1097" s="4303"/>
      <c r="AQ1097" s="4303"/>
      <c r="AR1097" s="4303"/>
      <c r="AS1097" s="4303"/>
      <c r="AT1097" s="4303"/>
      <c r="AU1097" s="4303"/>
      <c r="AV1097" s="4303"/>
      <c r="AW1097" s="4303"/>
      <c r="AX1097" s="4303"/>
      <c r="AY1097" s="4303"/>
      <c r="AZ1097" s="4303"/>
      <c r="BA1097" s="4303"/>
      <c r="BB1097" s="4303"/>
      <c r="BC1097" s="4303"/>
      <c r="BD1097" s="4303"/>
      <c r="BE1097" s="4303"/>
      <c r="BF1097" s="4303"/>
      <c r="BG1097" s="4303"/>
      <c r="BH1097" s="4303"/>
      <c r="BI1097" s="4303"/>
      <c r="BJ1097" s="4303"/>
      <c r="BK1097" s="4303"/>
      <c r="BL1097" s="4303"/>
      <c r="BM1097" s="4303"/>
      <c r="BN1097" s="4303"/>
      <c r="BO1097" s="4303"/>
      <c r="BP1097" s="4303"/>
      <c r="BQ1097" s="4303"/>
      <c r="BR1097" s="4303"/>
      <c r="BS1097" s="4303"/>
      <c r="BT1097" s="4303"/>
      <c r="BU1097" s="4303"/>
      <c r="BV1097" s="4303"/>
      <c r="BW1097" s="4303"/>
      <c r="BX1097" s="4303"/>
      <c r="BY1097" s="4303"/>
      <c r="BZ1097" s="4303"/>
      <c r="CA1097" s="4303"/>
      <c r="CB1097" s="4303"/>
      <c r="CC1097" s="4303"/>
      <c r="CD1097" s="4303"/>
      <c r="CE1097" s="4303"/>
      <c r="CF1097" s="4303"/>
      <c r="CG1097" s="4303"/>
      <c r="CH1097" s="4303"/>
      <c r="CI1097" s="4303"/>
      <c r="CJ1097" s="4303"/>
      <c r="CK1097" s="4303"/>
      <c r="CL1097" s="4303"/>
      <c r="CM1097" s="4303"/>
      <c r="CN1097" s="4303"/>
      <c r="CO1097" s="4303"/>
      <c r="CP1097" s="4303"/>
      <c r="CQ1097" s="4303"/>
      <c r="CR1097" s="4303"/>
      <c r="CS1097" s="4303"/>
      <c r="CT1097" s="4303"/>
      <c r="CU1097" s="4303"/>
      <c r="CV1097" s="4303"/>
      <c r="CW1097" s="4303"/>
      <c r="CX1097" s="4303"/>
      <c r="CY1097" s="4303"/>
      <c r="CZ1097" s="4303"/>
      <c r="DA1097" s="4303"/>
      <c r="DB1097" s="4303"/>
      <c r="DC1097" s="4303"/>
      <c r="DD1097" s="4303"/>
      <c r="DE1097" s="4303"/>
      <c r="DF1097" s="4303"/>
      <c r="DG1097" s="4303"/>
      <c r="DH1097" s="4303"/>
      <c r="DI1097" s="4303"/>
      <c r="DJ1097" s="4303"/>
      <c r="DK1097" s="4303"/>
      <c r="DL1097" s="4303"/>
      <c r="DM1097" s="4303"/>
      <c r="DN1097" s="4303"/>
      <c r="DO1097" s="4303"/>
      <c r="DP1097" s="4303"/>
      <c r="DQ1097" s="4303"/>
      <c r="DR1097" s="4303"/>
      <c r="DS1097" s="4303"/>
      <c r="DT1097" s="4134"/>
      <c r="DU1097" s="4134"/>
    </row>
    <row r="1098" s="679" customFormat="1" ht="17.25" customHeight="1" spans="1:125">
      <c r="A1098" s="4922" t="s">
        <v>5576</v>
      </c>
      <c r="B1098" s="4923"/>
      <c r="C1098" s="4923"/>
      <c r="D1098" s="4923"/>
      <c r="E1098" s="4924"/>
      <c r="F1098" s="4928">
        <v>404</v>
      </c>
      <c r="G1098" s="4929"/>
      <c r="H1098" s="4895"/>
      <c r="I1098" s="4895"/>
      <c r="J1098" s="4895"/>
      <c r="K1098" s="4895"/>
      <c r="L1098" s="4895"/>
      <c r="M1098" s="4895"/>
      <c r="N1098" s="4895"/>
      <c r="O1098" s="4905"/>
      <c r="P1098" s="4317"/>
      <c r="Q1098" s="4317"/>
      <c r="R1098" s="4317"/>
      <c r="S1098" s="4317"/>
      <c r="T1098" s="4317"/>
      <c r="U1098" s="4906"/>
      <c r="V1098" s="4697"/>
      <c r="W1098" s="4697"/>
      <c r="X1098" s="4303"/>
      <c r="Y1098" s="4303"/>
      <c r="Z1098" s="4311" t="s">
        <v>5577</v>
      </c>
      <c r="AA1098" s="4303"/>
      <c r="AB1098" s="4303"/>
      <c r="AC1098" s="4303"/>
      <c r="AD1098" s="4303"/>
      <c r="AE1098" s="4303"/>
      <c r="AF1098" s="4303"/>
      <c r="AG1098" s="4303"/>
      <c r="AH1098" s="4303"/>
      <c r="AI1098" s="4303"/>
      <c r="AJ1098" s="4303"/>
      <c r="AK1098" s="4303"/>
      <c r="AL1098" s="4303"/>
      <c r="AM1098" s="4303"/>
      <c r="AN1098" s="4303"/>
      <c r="AO1098" s="4303"/>
      <c r="AP1098" s="4303"/>
      <c r="AQ1098" s="4303"/>
      <c r="AR1098" s="4303"/>
      <c r="AS1098" s="4303"/>
      <c r="AT1098" s="4303"/>
      <c r="AU1098" s="4303"/>
      <c r="AV1098" s="4303"/>
      <c r="AW1098" s="4303"/>
      <c r="AX1098" s="4303"/>
      <c r="AY1098" s="4303"/>
      <c r="AZ1098" s="4303"/>
      <c r="BA1098" s="4303"/>
      <c r="BB1098" s="4303"/>
      <c r="BC1098" s="4303"/>
      <c r="BD1098" s="4303"/>
      <c r="BE1098" s="4303"/>
      <c r="BF1098" s="4303"/>
      <c r="BG1098" s="4303"/>
      <c r="BH1098" s="4303"/>
      <c r="BI1098" s="4303"/>
      <c r="BJ1098" s="4303"/>
      <c r="BK1098" s="4303"/>
      <c r="BL1098" s="4303"/>
      <c r="BM1098" s="4303"/>
      <c r="BN1098" s="4303"/>
      <c r="BO1098" s="4303"/>
      <c r="BP1098" s="4303"/>
      <c r="BQ1098" s="4303"/>
      <c r="BR1098" s="4303"/>
      <c r="BS1098" s="4303"/>
      <c r="BT1098" s="4303"/>
      <c r="BU1098" s="4303"/>
      <c r="BV1098" s="4303"/>
      <c r="BW1098" s="4303"/>
      <c r="BX1098" s="4303"/>
      <c r="BY1098" s="4303"/>
      <c r="BZ1098" s="4303"/>
      <c r="CA1098" s="4303"/>
      <c r="CB1098" s="4303"/>
      <c r="CC1098" s="4303"/>
      <c r="CD1098" s="4303"/>
      <c r="CE1098" s="4303"/>
      <c r="CF1098" s="4303"/>
      <c r="CG1098" s="4303"/>
      <c r="CH1098" s="4303"/>
      <c r="CI1098" s="4303"/>
      <c r="CJ1098" s="4303"/>
      <c r="CK1098" s="4303"/>
      <c r="CL1098" s="4303"/>
      <c r="CM1098" s="4303"/>
      <c r="CN1098" s="4303"/>
      <c r="CO1098" s="4303"/>
      <c r="CP1098" s="4303"/>
      <c r="CQ1098" s="4303"/>
      <c r="CR1098" s="4303"/>
      <c r="CS1098" s="4303"/>
      <c r="CT1098" s="4303"/>
      <c r="CU1098" s="4303"/>
      <c r="CV1098" s="4303"/>
      <c r="CW1098" s="4303"/>
      <c r="CX1098" s="4303"/>
      <c r="CY1098" s="4303"/>
      <c r="CZ1098" s="4303"/>
      <c r="DA1098" s="4303"/>
      <c r="DB1098" s="4303"/>
      <c r="DC1098" s="4303"/>
      <c r="DD1098" s="4303"/>
      <c r="DE1098" s="4303"/>
      <c r="DF1098" s="4303"/>
      <c r="DG1098" s="4303"/>
      <c r="DH1098" s="4303"/>
      <c r="DI1098" s="4303"/>
      <c r="DJ1098" s="4303"/>
      <c r="DK1098" s="4303"/>
      <c r="DL1098" s="4303"/>
      <c r="DM1098" s="4303"/>
      <c r="DN1098" s="4303"/>
      <c r="DO1098" s="4303"/>
      <c r="DP1098" s="4303"/>
      <c r="DQ1098" s="4303"/>
      <c r="DR1098" s="4303"/>
      <c r="DS1098" s="4303"/>
      <c r="DT1098" s="4134"/>
      <c r="DU1098" s="4134"/>
    </row>
    <row r="1099" s="679" customFormat="1" ht="17.25" customHeight="1" spans="1:125">
      <c r="A1099" s="4922" t="s">
        <v>5578</v>
      </c>
      <c r="B1099" s="4923"/>
      <c r="C1099" s="4923"/>
      <c r="D1099" s="4923"/>
      <c r="E1099" s="4924"/>
      <c r="F1099" s="4928">
        <v>404</v>
      </c>
      <c r="G1099" s="4929"/>
      <c r="H1099" s="4895"/>
      <c r="I1099" s="4895"/>
      <c r="J1099" s="4895"/>
      <c r="K1099" s="4895"/>
      <c r="L1099" s="4895"/>
      <c r="M1099" s="4895"/>
      <c r="N1099" s="4895"/>
      <c r="O1099" s="4905"/>
      <c r="P1099" s="4317"/>
      <c r="Q1099" s="4317"/>
      <c r="R1099" s="4317"/>
      <c r="S1099" s="4317"/>
      <c r="T1099" s="4317"/>
      <c r="U1099" s="4906"/>
      <c r="V1099" s="4697"/>
      <c r="W1099" s="4697"/>
      <c r="X1099" s="4303"/>
      <c r="Y1099" s="4303"/>
      <c r="Z1099" s="4311" t="s">
        <v>5579</v>
      </c>
      <c r="AA1099" s="4303"/>
      <c r="AB1099" s="4303"/>
      <c r="AC1099" s="4303"/>
      <c r="AD1099" s="4303"/>
      <c r="AE1099" s="4303"/>
      <c r="AF1099" s="4303"/>
      <c r="AG1099" s="4303"/>
      <c r="AH1099" s="4303"/>
      <c r="AI1099" s="4303"/>
      <c r="AJ1099" s="4303"/>
      <c r="AK1099" s="4303"/>
      <c r="AL1099" s="4303"/>
      <c r="AM1099" s="4303"/>
      <c r="AN1099" s="4303"/>
      <c r="AO1099" s="4303"/>
      <c r="AP1099" s="4303"/>
      <c r="AQ1099" s="4303"/>
      <c r="AR1099" s="4303"/>
      <c r="AS1099" s="4303"/>
      <c r="AT1099" s="4303"/>
      <c r="AU1099" s="4303"/>
      <c r="AV1099" s="4303"/>
      <c r="AW1099" s="4303"/>
      <c r="AX1099" s="4303"/>
      <c r="AY1099" s="4303"/>
      <c r="AZ1099" s="4303"/>
      <c r="BA1099" s="4303"/>
      <c r="BB1099" s="4303"/>
      <c r="BC1099" s="4303"/>
      <c r="BD1099" s="4303"/>
      <c r="BE1099" s="4303"/>
      <c r="BF1099" s="4303"/>
      <c r="BG1099" s="4303"/>
      <c r="BH1099" s="4303"/>
      <c r="BI1099" s="4303"/>
      <c r="BJ1099" s="4303"/>
      <c r="BK1099" s="4303"/>
      <c r="BL1099" s="4303"/>
      <c r="BM1099" s="4303"/>
      <c r="BN1099" s="4303"/>
      <c r="BO1099" s="4303"/>
      <c r="BP1099" s="4303"/>
      <c r="BQ1099" s="4303"/>
      <c r="BR1099" s="4303"/>
      <c r="BS1099" s="4303"/>
      <c r="BT1099" s="4303"/>
      <c r="BU1099" s="4303"/>
      <c r="BV1099" s="4303"/>
      <c r="BW1099" s="4303"/>
      <c r="BX1099" s="4303"/>
      <c r="BY1099" s="4303"/>
      <c r="BZ1099" s="4303"/>
      <c r="CA1099" s="4303"/>
      <c r="CB1099" s="4303"/>
      <c r="CC1099" s="4303"/>
      <c r="CD1099" s="4303"/>
      <c r="CE1099" s="4303"/>
      <c r="CF1099" s="4303"/>
      <c r="CG1099" s="4303"/>
      <c r="CH1099" s="4303"/>
      <c r="CI1099" s="4303"/>
      <c r="CJ1099" s="4303"/>
      <c r="CK1099" s="4303"/>
      <c r="CL1099" s="4303"/>
      <c r="CM1099" s="4303"/>
      <c r="CN1099" s="4303"/>
      <c r="CO1099" s="4303"/>
      <c r="CP1099" s="4303"/>
      <c r="CQ1099" s="4303"/>
      <c r="CR1099" s="4303"/>
      <c r="CS1099" s="4303"/>
      <c r="CT1099" s="4303"/>
      <c r="CU1099" s="4303"/>
      <c r="CV1099" s="4303"/>
      <c r="CW1099" s="4303"/>
      <c r="CX1099" s="4303"/>
      <c r="CY1099" s="4303"/>
      <c r="CZ1099" s="4303"/>
      <c r="DA1099" s="4303"/>
      <c r="DB1099" s="4303"/>
      <c r="DC1099" s="4303"/>
      <c r="DD1099" s="4303"/>
      <c r="DE1099" s="4303"/>
      <c r="DF1099" s="4303"/>
      <c r="DG1099" s="4303"/>
      <c r="DH1099" s="4303"/>
      <c r="DI1099" s="4303"/>
      <c r="DJ1099" s="4303"/>
      <c r="DK1099" s="4303"/>
      <c r="DL1099" s="4303"/>
      <c r="DM1099" s="4303"/>
      <c r="DN1099" s="4303"/>
      <c r="DO1099" s="4303"/>
      <c r="DP1099" s="4303"/>
      <c r="DQ1099" s="4303"/>
      <c r="DR1099" s="4303"/>
      <c r="DS1099" s="4303"/>
      <c r="DT1099" s="4134"/>
      <c r="DU1099" s="4134"/>
    </row>
    <row r="1100" s="679" customFormat="1" ht="17.25" customHeight="1" spans="1:125">
      <c r="A1100" s="4922" t="s">
        <v>5580</v>
      </c>
      <c r="B1100" s="4923"/>
      <c r="C1100" s="4923"/>
      <c r="D1100" s="4923"/>
      <c r="E1100" s="4924"/>
      <c r="F1100" s="4928">
        <v>404</v>
      </c>
      <c r="G1100" s="4929"/>
      <c r="H1100" s="4895"/>
      <c r="I1100" s="4895"/>
      <c r="J1100" s="4895"/>
      <c r="K1100" s="4895"/>
      <c r="L1100" s="4895"/>
      <c r="M1100" s="4895"/>
      <c r="N1100" s="4895"/>
      <c r="O1100" s="4905"/>
      <c r="P1100" s="4317"/>
      <c r="Q1100" s="4317"/>
      <c r="R1100" s="4317"/>
      <c r="S1100" s="4317"/>
      <c r="T1100" s="4317"/>
      <c r="U1100" s="4906"/>
      <c r="V1100" s="4697"/>
      <c r="W1100" s="4697"/>
      <c r="X1100" s="4303"/>
      <c r="Y1100" s="4303"/>
      <c r="Z1100" s="4311" t="s">
        <v>5581</v>
      </c>
      <c r="AA1100" s="4303"/>
      <c r="AB1100" s="4303"/>
      <c r="AC1100" s="4303"/>
      <c r="AD1100" s="4303"/>
      <c r="AE1100" s="4303"/>
      <c r="AF1100" s="4303"/>
      <c r="AG1100" s="4303"/>
      <c r="AH1100" s="4303"/>
      <c r="AI1100" s="4303"/>
      <c r="AJ1100" s="4303"/>
      <c r="AK1100" s="4303"/>
      <c r="AL1100" s="4303"/>
      <c r="AM1100" s="4303"/>
      <c r="AN1100" s="4303"/>
      <c r="AO1100" s="4303"/>
      <c r="AP1100" s="4303"/>
      <c r="AQ1100" s="4303"/>
      <c r="AR1100" s="4303"/>
      <c r="AS1100" s="4303"/>
      <c r="AT1100" s="4303"/>
      <c r="AU1100" s="4303"/>
      <c r="AV1100" s="4303"/>
      <c r="AW1100" s="4303"/>
      <c r="AX1100" s="4303"/>
      <c r="AY1100" s="4303"/>
      <c r="AZ1100" s="4303"/>
      <c r="BA1100" s="4303"/>
      <c r="BB1100" s="4303"/>
      <c r="BC1100" s="4303"/>
      <c r="BD1100" s="4303"/>
      <c r="BE1100" s="4303"/>
      <c r="BF1100" s="4303"/>
      <c r="BG1100" s="4303"/>
      <c r="BH1100" s="4303"/>
      <c r="BI1100" s="4303"/>
      <c r="BJ1100" s="4303"/>
      <c r="BK1100" s="4303"/>
      <c r="BL1100" s="4303"/>
      <c r="BM1100" s="4303"/>
      <c r="BN1100" s="4303"/>
      <c r="BO1100" s="4303"/>
      <c r="BP1100" s="4303"/>
      <c r="BQ1100" s="4303"/>
      <c r="BR1100" s="4303"/>
      <c r="BS1100" s="4303"/>
      <c r="BT1100" s="4303"/>
      <c r="BU1100" s="4303"/>
      <c r="BV1100" s="4303"/>
      <c r="BW1100" s="4303"/>
      <c r="BX1100" s="4303"/>
      <c r="BY1100" s="4303"/>
      <c r="BZ1100" s="4303"/>
      <c r="CA1100" s="4303"/>
      <c r="CB1100" s="4303"/>
      <c r="CC1100" s="4303"/>
      <c r="CD1100" s="4303"/>
      <c r="CE1100" s="4303"/>
      <c r="CF1100" s="4303"/>
      <c r="CG1100" s="4303"/>
      <c r="CH1100" s="4303"/>
      <c r="CI1100" s="4303"/>
      <c r="CJ1100" s="4303"/>
      <c r="CK1100" s="4303"/>
      <c r="CL1100" s="4303"/>
      <c r="CM1100" s="4303"/>
      <c r="CN1100" s="4303"/>
      <c r="CO1100" s="4303"/>
      <c r="CP1100" s="4303"/>
      <c r="CQ1100" s="4303"/>
      <c r="CR1100" s="4303"/>
      <c r="CS1100" s="4303"/>
      <c r="CT1100" s="4303"/>
      <c r="CU1100" s="4303"/>
      <c r="CV1100" s="4303"/>
      <c r="CW1100" s="4303"/>
      <c r="CX1100" s="4303"/>
      <c r="CY1100" s="4303"/>
      <c r="CZ1100" s="4303"/>
      <c r="DA1100" s="4303"/>
      <c r="DB1100" s="4303"/>
      <c r="DC1100" s="4303"/>
      <c r="DD1100" s="4303"/>
      <c r="DE1100" s="4303"/>
      <c r="DF1100" s="4303"/>
      <c r="DG1100" s="4303"/>
      <c r="DH1100" s="4303"/>
      <c r="DI1100" s="4303"/>
      <c r="DJ1100" s="4303"/>
      <c r="DK1100" s="4303"/>
      <c r="DL1100" s="4303"/>
      <c r="DM1100" s="4303"/>
      <c r="DN1100" s="4303"/>
      <c r="DO1100" s="4303"/>
      <c r="DP1100" s="4303"/>
      <c r="DQ1100" s="4303"/>
      <c r="DR1100" s="4303"/>
      <c r="DS1100" s="4303"/>
      <c r="DT1100" s="4134"/>
      <c r="DU1100" s="4134"/>
    </row>
    <row r="1101" s="679" customFormat="1" ht="17.25" customHeight="1" spans="1:125">
      <c r="A1101" s="4922" t="s">
        <v>5582</v>
      </c>
      <c r="B1101" s="4923"/>
      <c r="C1101" s="4923"/>
      <c r="D1101" s="4923"/>
      <c r="E1101" s="4924"/>
      <c r="F1101" s="4928">
        <v>404</v>
      </c>
      <c r="G1101" s="4929"/>
      <c r="H1101" s="4895"/>
      <c r="I1101" s="4895"/>
      <c r="J1101" s="4895"/>
      <c r="K1101" s="4895"/>
      <c r="L1101" s="4895"/>
      <c r="M1101" s="4895"/>
      <c r="N1101" s="4895"/>
      <c r="O1101" s="4905"/>
      <c r="P1101" s="4317"/>
      <c r="Q1101" s="4317"/>
      <c r="R1101" s="4317"/>
      <c r="S1101" s="4317"/>
      <c r="T1101" s="4317"/>
      <c r="U1101" s="4906"/>
      <c r="V1101" s="4697"/>
      <c r="W1101" s="4697"/>
      <c r="X1101" s="4303"/>
      <c r="Y1101" s="4303"/>
      <c r="Z1101" s="4311" t="s">
        <v>5583</v>
      </c>
      <c r="AA1101" s="4303"/>
      <c r="AB1101" s="4303"/>
      <c r="AC1101" s="4303"/>
      <c r="AD1101" s="4303"/>
      <c r="AE1101" s="4303"/>
      <c r="AF1101" s="4303"/>
      <c r="AG1101" s="4303"/>
      <c r="AH1101" s="4303"/>
      <c r="AI1101" s="4303"/>
      <c r="AJ1101" s="4303"/>
      <c r="AK1101" s="4303"/>
      <c r="AL1101" s="4303"/>
      <c r="AM1101" s="4303"/>
      <c r="AN1101" s="4303"/>
      <c r="AO1101" s="4303"/>
      <c r="AP1101" s="4303"/>
      <c r="AQ1101" s="4303"/>
      <c r="AR1101" s="4303"/>
      <c r="AS1101" s="4303"/>
      <c r="AT1101" s="4303"/>
      <c r="AU1101" s="4303"/>
      <c r="AV1101" s="4303"/>
      <c r="AW1101" s="4303"/>
      <c r="AX1101" s="4303"/>
      <c r="AY1101" s="4303"/>
      <c r="AZ1101" s="4303"/>
      <c r="BA1101" s="4303"/>
      <c r="BB1101" s="4303"/>
      <c r="BC1101" s="4303"/>
      <c r="BD1101" s="4303"/>
      <c r="BE1101" s="4303"/>
      <c r="BF1101" s="4303"/>
      <c r="BG1101" s="4303"/>
      <c r="BH1101" s="4303"/>
      <c r="BI1101" s="4303"/>
      <c r="BJ1101" s="4303"/>
      <c r="BK1101" s="4303"/>
      <c r="BL1101" s="4303"/>
      <c r="BM1101" s="4303"/>
      <c r="BN1101" s="4303"/>
      <c r="BO1101" s="4303"/>
      <c r="BP1101" s="4303"/>
      <c r="BQ1101" s="4303"/>
      <c r="BR1101" s="4303"/>
      <c r="BS1101" s="4303"/>
      <c r="BT1101" s="4303"/>
      <c r="BU1101" s="4303"/>
      <c r="BV1101" s="4303"/>
      <c r="BW1101" s="4303"/>
      <c r="BX1101" s="4303"/>
      <c r="BY1101" s="4303"/>
      <c r="BZ1101" s="4303"/>
      <c r="CA1101" s="4303"/>
      <c r="CB1101" s="4303"/>
      <c r="CC1101" s="4303"/>
      <c r="CD1101" s="4303"/>
      <c r="CE1101" s="4303"/>
      <c r="CF1101" s="4303"/>
      <c r="CG1101" s="4303"/>
      <c r="CH1101" s="4303"/>
      <c r="CI1101" s="4303"/>
      <c r="CJ1101" s="4303"/>
      <c r="CK1101" s="4303"/>
      <c r="CL1101" s="4303"/>
      <c r="CM1101" s="4303"/>
      <c r="CN1101" s="4303"/>
      <c r="CO1101" s="4303"/>
      <c r="CP1101" s="4303"/>
      <c r="CQ1101" s="4303"/>
      <c r="CR1101" s="4303"/>
      <c r="CS1101" s="4303"/>
      <c r="CT1101" s="4303"/>
      <c r="CU1101" s="4303"/>
      <c r="CV1101" s="4303"/>
      <c r="CW1101" s="4303"/>
      <c r="CX1101" s="4303"/>
      <c r="CY1101" s="4303"/>
      <c r="CZ1101" s="4303"/>
      <c r="DA1101" s="4303"/>
      <c r="DB1101" s="4303"/>
      <c r="DC1101" s="4303"/>
      <c r="DD1101" s="4303"/>
      <c r="DE1101" s="4303"/>
      <c r="DF1101" s="4303"/>
      <c r="DG1101" s="4303"/>
      <c r="DH1101" s="4303"/>
      <c r="DI1101" s="4303"/>
      <c r="DJ1101" s="4303"/>
      <c r="DK1101" s="4303"/>
      <c r="DL1101" s="4303"/>
      <c r="DM1101" s="4303"/>
      <c r="DN1101" s="4303"/>
      <c r="DO1101" s="4303"/>
      <c r="DP1101" s="4303"/>
      <c r="DQ1101" s="4303"/>
      <c r="DR1101" s="4303"/>
      <c r="DS1101" s="4303"/>
      <c r="DT1101" s="4134"/>
      <c r="DU1101" s="4134"/>
    </row>
    <row r="1102" s="679" customFormat="1" ht="17.25" customHeight="1" spans="1:125">
      <c r="A1102" s="4922" t="s">
        <v>5586</v>
      </c>
      <c r="B1102" s="4923"/>
      <c r="C1102" s="4923"/>
      <c r="D1102" s="4923"/>
      <c r="E1102" s="4924"/>
      <c r="F1102" s="4928">
        <v>404</v>
      </c>
      <c r="G1102" s="4929"/>
      <c r="H1102" s="4895"/>
      <c r="I1102" s="4895"/>
      <c r="J1102" s="4895"/>
      <c r="K1102" s="4895"/>
      <c r="L1102" s="4895"/>
      <c r="M1102" s="4895"/>
      <c r="N1102" s="4895"/>
      <c r="O1102" s="4905"/>
      <c r="P1102" s="4317"/>
      <c r="Q1102" s="4317"/>
      <c r="R1102" s="4317"/>
      <c r="S1102" s="4317"/>
      <c r="T1102" s="4317"/>
      <c r="U1102" s="4906"/>
      <c r="V1102" s="4697"/>
      <c r="W1102" s="4697"/>
      <c r="X1102" s="4303"/>
      <c r="Y1102" s="4303"/>
      <c r="Z1102" s="4311" t="s">
        <v>5587</v>
      </c>
      <c r="AA1102" s="4303"/>
      <c r="AB1102" s="4303"/>
      <c r="AC1102" s="4303"/>
      <c r="AD1102" s="4303"/>
      <c r="AE1102" s="4303"/>
      <c r="AF1102" s="4303"/>
      <c r="AG1102" s="4303"/>
      <c r="AH1102" s="4303"/>
      <c r="AI1102" s="4303"/>
      <c r="AJ1102" s="4303"/>
      <c r="AK1102" s="4303"/>
      <c r="AL1102" s="4303"/>
      <c r="AM1102" s="4303"/>
      <c r="AN1102" s="4303"/>
      <c r="AO1102" s="4303"/>
      <c r="AP1102" s="4303"/>
      <c r="AQ1102" s="4303"/>
      <c r="AR1102" s="4303"/>
      <c r="AS1102" s="4303"/>
      <c r="AT1102" s="4303"/>
      <c r="AU1102" s="4303"/>
      <c r="AV1102" s="4303"/>
      <c r="AW1102" s="4303"/>
      <c r="AX1102" s="4303"/>
      <c r="AY1102" s="4303"/>
      <c r="AZ1102" s="4303"/>
      <c r="BA1102" s="4303"/>
      <c r="BB1102" s="4303"/>
      <c r="BC1102" s="4303"/>
      <c r="BD1102" s="4303"/>
      <c r="BE1102" s="4303"/>
      <c r="BF1102" s="4303"/>
      <c r="BG1102" s="4303"/>
      <c r="BH1102" s="4303"/>
      <c r="BI1102" s="4303"/>
      <c r="BJ1102" s="4303"/>
      <c r="BK1102" s="4303"/>
      <c r="BL1102" s="4303"/>
      <c r="BM1102" s="4303"/>
      <c r="BN1102" s="4303"/>
      <c r="BO1102" s="4303"/>
      <c r="BP1102" s="4303"/>
      <c r="BQ1102" s="4303"/>
      <c r="BR1102" s="4303"/>
      <c r="BS1102" s="4303"/>
      <c r="BT1102" s="4303"/>
      <c r="BU1102" s="4303"/>
      <c r="BV1102" s="4303"/>
      <c r="BW1102" s="4303"/>
      <c r="BX1102" s="4303"/>
      <c r="BY1102" s="4303"/>
      <c r="BZ1102" s="4303"/>
      <c r="CA1102" s="4303"/>
      <c r="CB1102" s="4303"/>
      <c r="CC1102" s="4303"/>
      <c r="CD1102" s="4303"/>
      <c r="CE1102" s="4303"/>
      <c r="CF1102" s="4303"/>
      <c r="CG1102" s="4303"/>
      <c r="CH1102" s="4303"/>
      <c r="CI1102" s="4303"/>
      <c r="CJ1102" s="4303"/>
      <c r="CK1102" s="4303"/>
      <c r="CL1102" s="4303"/>
      <c r="CM1102" s="4303"/>
      <c r="CN1102" s="4303"/>
      <c r="CO1102" s="4303"/>
      <c r="CP1102" s="4303"/>
      <c r="CQ1102" s="4303"/>
      <c r="CR1102" s="4303"/>
      <c r="CS1102" s="4303"/>
      <c r="CT1102" s="4303"/>
      <c r="CU1102" s="4303"/>
      <c r="CV1102" s="4303"/>
      <c r="CW1102" s="4303"/>
      <c r="CX1102" s="4303"/>
      <c r="CY1102" s="4303"/>
      <c r="CZ1102" s="4303"/>
      <c r="DA1102" s="4303"/>
      <c r="DB1102" s="4303"/>
      <c r="DC1102" s="4303"/>
      <c r="DD1102" s="4303"/>
      <c r="DE1102" s="4303"/>
      <c r="DF1102" s="4303"/>
      <c r="DG1102" s="4303"/>
      <c r="DH1102" s="4303"/>
      <c r="DI1102" s="4303"/>
      <c r="DJ1102" s="4303"/>
      <c r="DK1102" s="4303"/>
      <c r="DL1102" s="4303"/>
      <c r="DM1102" s="4303"/>
      <c r="DN1102" s="4303"/>
      <c r="DO1102" s="4303"/>
      <c r="DP1102" s="4303"/>
      <c r="DQ1102" s="4303"/>
      <c r="DR1102" s="4303"/>
      <c r="DS1102" s="4303"/>
      <c r="DT1102" s="4134"/>
      <c r="DU1102" s="4134"/>
    </row>
    <row r="1103" s="679" customFormat="1" ht="17.25" customHeight="1" spans="1:125">
      <c r="A1103" s="4922" t="s">
        <v>5588</v>
      </c>
      <c r="B1103" s="4923"/>
      <c r="C1103" s="4923"/>
      <c r="D1103" s="4923"/>
      <c r="E1103" s="4924"/>
      <c r="F1103" s="4928">
        <v>404</v>
      </c>
      <c r="G1103" s="4929"/>
      <c r="H1103" s="4895"/>
      <c r="I1103" s="4895"/>
      <c r="J1103" s="4895"/>
      <c r="K1103" s="4895"/>
      <c r="L1103" s="4895"/>
      <c r="M1103" s="4895"/>
      <c r="N1103" s="4895"/>
      <c r="O1103" s="4913"/>
      <c r="P1103" s="4914"/>
      <c r="Q1103" s="4914"/>
      <c r="R1103" s="4914"/>
      <c r="S1103" s="4914"/>
      <c r="T1103" s="4914"/>
      <c r="U1103" s="4915"/>
      <c r="V1103" s="4697"/>
      <c r="W1103" s="4697"/>
      <c r="X1103" s="4303"/>
      <c r="Y1103" s="4303"/>
      <c r="Z1103" s="4311" t="s">
        <v>5589</v>
      </c>
      <c r="AA1103" s="4303"/>
      <c r="AB1103" s="4303"/>
      <c r="AC1103" s="4303"/>
      <c r="AD1103" s="4303"/>
      <c r="AE1103" s="4303"/>
      <c r="AF1103" s="4303"/>
      <c r="AG1103" s="4303"/>
      <c r="AH1103" s="4303"/>
      <c r="AI1103" s="4303"/>
      <c r="AJ1103" s="4303"/>
      <c r="AK1103" s="4303"/>
      <c r="AL1103" s="4303"/>
      <c r="AM1103" s="4303"/>
      <c r="AN1103" s="4303"/>
      <c r="AO1103" s="4303"/>
      <c r="AP1103" s="4303"/>
      <c r="AQ1103" s="4303"/>
      <c r="AR1103" s="4303"/>
      <c r="AS1103" s="4303"/>
      <c r="AT1103" s="4303"/>
      <c r="AU1103" s="4303"/>
      <c r="AV1103" s="4303"/>
      <c r="AW1103" s="4303"/>
      <c r="AX1103" s="4303"/>
      <c r="AY1103" s="4303"/>
      <c r="AZ1103" s="4303"/>
      <c r="BA1103" s="4303"/>
      <c r="BB1103" s="4303"/>
      <c r="BC1103" s="4303"/>
      <c r="BD1103" s="4303"/>
      <c r="BE1103" s="4303"/>
      <c r="BF1103" s="4303"/>
      <c r="BG1103" s="4303"/>
      <c r="BH1103" s="4303"/>
      <c r="BI1103" s="4303"/>
      <c r="BJ1103" s="4303"/>
      <c r="BK1103" s="4303"/>
      <c r="BL1103" s="4303"/>
      <c r="BM1103" s="4303"/>
      <c r="BN1103" s="4303"/>
      <c r="BO1103" s="4303"/>
      <c r="BP1103" s="4303"/>
      <c r="BQ1103" s="4303"/>
      <c r="BR1103" s="4303"/>
      <c r="BS1103" s="4303"/>
      <c r="BT1103" s="4303"/>
      <c r="BU1103" s="4303"/>
      <c r="BV1103" s="4303"/>
      <c r="BW1103" s="4303"/>
      <c r="BX1103" s="4303"/>
      <c r="BY1103" s="4303"/>
      <c r="BZ1103" s="4303"/>
      <c r="CA1103" s="4303"/>
      <c r="CB1103" s="4303"/>
      <c r="CC1103" s="4303"/>
      <c r="CD1103" s="4303"/>
      <c r="CE1103" s="4303"/>
      <c r="CF1103" s="4303"/>
      <c r="CG1103" s="4303"/>
      <c r="CH1103" s="4303"/>
      <c r="CI1103" s="4303"/>
      <c r="CJ1103" s="4303"/>
      <c r="CK1103" s="4303"/>
      <c r="CL1103" s="4303"/>
      <c r="CM1103" s="4303"/>
      <c r="CN1103" s="4303"/>
      <c r="CO1103" s="4303"/>
      <c r="CP1103" s="4303"/>
      <c r="CQ1103" s="4303"/>
      <c r="CR1103" s="4303"/>
      <c r="CS1103" s="4303"/>
      <c r="CT1103" s="4303"/>
      <c r="CU1103" s="4303"/>
      <c r="CV1103" s="4303"/>
      <c r="CW1103" s="4303"/>
      <c r="CX1103" s="4303"/>
      <c r="CY1103" s="4303"/>
      <c r="CZ1103" s="4303"/>
      <c r="DA1103" s="4303"/>
      <c r="DB1103" s="4303"/>
      <c r="DC1103" s="4303"/>
      <c r="DD1103" s="4303"/>
      <c r="DE1103" s="4303"/>
      <c r="DF1103" s="4303"/>
      <c r="DG1103" s="4303"/>
      <c r="DH1103" s="4303"/>
      <c r="DI1103" s="4303"/>
      <c r="DJ1103" s="4303"/>
      <c r="DK1103" s="4303"/>
      <c r="DL1103" s="4303"/>
      <c r="DM1103" s="4303"/>
      <c r="DN1103" s="4303"/>
      <c r="DO1103" s="4303"/>
      <c r="DP1103" s="4303"/>
      <c r="DQ1103" s="4303"/>
      <c r="DR1103" s="4303"/>
      <c r="DS1103" s="4303"/>
      <c r="DT1103" s="4134"/>
      <c r="DU1103" s="4134"/>
    </row>
    <row r="1104" s="4134" customFormat="1" ht="17.25" customHeight="1" spans="1:125">
      <c r="A1104" s="4930" t="s">
        <v>5742</v>
      </c>
      <c r="B1104" s="4931"/>
      <c r="C1104" s="4931"/>
      <c r="D1104" s="4931"/>
      <c r="E1104" s="4932"/>
      <c r="F1104" s="4933"/>
      <c r="G1104" s="4934"/>
      <c r="H1104" s="4935"/>
      <c r="I1104" s="4936"/>
      <c r="J1104" s="4936"/>
      <c r="K1104" s="4936"/>
      <c r="L1104" s="4936"/>
      <c r="M1104" s="4936"/>
      <c r="N1104" s="4937"/>
      <c r="O1104" s="4938"/>
      <c r="P1104" s="4938"/>
      <c r="Q1104" s="4938"/>
      <c r="R1104" s="4938"/>
      <c r="S1104" s="4938"/>
      <c r="T1104" s="4938"/>
      <c r="U1104" s="4938"/>
      <c r="V1104" s="4697">
        <v>455</v>
      </c>
      <c r="W1104" s="4697"/>
      <c r="X1104" s="4303"/>
      <c r="Y1104" s="4303"/>
      <c r="Z1104" s="4939" t="s">
        <v>5743</v>
      </c>
      <c r="AA1104" s="4303"/>
      <c r="AB1104" s="4303"/>
      <c r="AC1104" s="4303"/>
      <c r="AD1104" s="4303"/>
      <c r="AE1104" s="4303"/>
      <c r="AF1104" s="4303"/>
      <c r="AG1104" s="4303"/>
      <c r="AH1104" s="4303"/>
      <c r="AI1104" s="4303"/>
      <c r="AJ1104" s="4303"/>
      <c r="AK1104" s="4303"/>
      <c r="AL1104" s="4303"/>
      <c r="AM1104" s="4303"/>
      <c r="AN1104" s="4303"/>
      <c r="AO1104" s="4303"/>
      <c r="AP1104" s="4303"/>
      <c r="AQ1104" s="4303"/>
      <c r="AR1104" s="4303"/>
      <c r="AS1104" s="4303"/>
      <c r="AT1104" s="4303"/>
      <c r="AU1104" s="4303"/>
      <c r="AV1104" s="4303"/>
      <c r="AW1104" s="4303"/>
      <c r="AX1104" s="4303"/>
      <c r="AY1104" s="4303"/>
      <c r="AZ1104" s="4303"/>
      <c r="BA1104" s="4303"/>
      <c r="BB1104" s="4303"/>
      <c r="BC1104" s="4303"/>
      <c r="BD1104" s="4303"/>
      <c r="BE1104" s="4303"/>
      <c r="BF1104" s="4303"/>
      <c r="BG1104" s="4303"/>
      <c r="BH1104" s="4303"/>
      <c r="BI1104" s="4303"/>
      <c r="BJ1104" s="4303"/>
      <c r="BK1104" s="4303"/>
      <c r="BL1104" s="4303"/>
      <c r="BM1104" s="4303"/>
      <c r="BN1104" s="4303"/>
      <c r="BO1104" s="4303"/>
      <c r="BP1104" s="4303"/>
      <c r="BQ1104" s="4303"/>
      <c r="BR1104" s="4303"/>
      <c r="BS1104" s="4303"/>
      <c r="BT1104" s="4303"/>
      <c r="BU1104" s="4303"/>
      <c r="BV1104" s="4303"/>
      <c r="BW1104" s="4303"/>
      <c r="BX1104" s="4303"/>
      <c r="BY1104" s="4303"/>
      <c r="BZ1104" s="4303"/>
      <c r="CA1104" s="4303"/>
      <c r="CB1104" s="4303"/>
      <c r="CC1104" s="4303"/>
      <c r="CD1104" s="4303"/>
      <c r="CE1104" s="4303"/>
      <c r="CF1104" s="4303"/>
      <c r="CG1104" s="4303"/>
      <c r="CH1104" s="4303"/>
      <c r="CI1104" s="4303"/>
      <c r="CJ1104" s="4303"/>
      <c r="CK1104" s="4303"/>
      <c r="CL1104" s="4303"/>
      <c r="CM1104" s="4303"/>
      <c r="CN1104" s="4303"/>
      <c r="CO1104" s="4303"/>
      <c r="CP1104" s="4303"/>
      <c r="CQ1104" s="4303"/>
      <c r="CR1104" s="4303"/>
      <c r="CS1104" s="4303"/>
      <c r="CT1104" s="4303"/>
      <c r="CU1104" s="4303"/>
      <c r="CV1104" s="4303"/>
      <c r="CW1104" s="4303"/>
      <c r="CX1104" s="4303"/>
      <c r="CY1104" s="4303"/>
      <c r="CZ1104" s="4303"/>
      <c r="DA1104" s="4303"/>
      <c r="DB1104" s="4303"/>
      <c r="DC1104" s="4303"/>
      <c r="DD1104" s="4303"/>
      <c r="DE1104" s="4303"/>
      <c r="DF1104" s="4303"/>
      <c r="DG1104" s="4303"/>
      <c r="DH1104" s="4303"/>
      <c r="DI1104" s="4303"/>
      <c r="DJ1104" s="4303"/>
      <c r="DK1104" s="4303"/>
      <c r="DL1104" s="4303"/>
      <c r="DM1104" s="4303"/>
      <c r="DN1104" s="4303"/>
      <c r="DO1104" s="4303"/>
      <c r="DP1104" s="4303"/>
      <c r="DQ1104" s="4303"/>
      <c r="DR1104" s="4303"/>
      <c r="DS1104" s="4303"/>
    </row>
    <row r="1105" s="4134" customFormat="1" ht="17.25" customHeight="1" spans="1:125">
      <c r="A1105" s="4930" t="s">
        <v>5744</v>
      </c>
      <c r="B1105" s="4931"/>
      <c r="C1105" s="4931"/>
      <c r="D1105" s="4931"/>
      <c r="E1105" s="4932"/>
      <c r="F1105" s="4933">
        <v>455</v>
      </c>
      <c r="G1105" s="4934"/>
      <c r="H1105" s="4895"/>
      <c r="I1105" s="4895"/>
      <c r="J1105" s="4895"/>
      <c r="K1105" s="4895"/>
      <c r="L1105" s="4895"/>
      <c r="M1105" s="4895"/>
      <c r="N1105" s="4895"/>
      <c r="O1105" s="4935"/>
      <c r="P1105" s="4936"/>
      <c r="Q1105" s="4936"/>
      <c r="R1105" s="4936"/>
      <c r="S1105" s="4936"/>
      <c r="T1105" s="4936"/>
      <c r="U1105" s="4937"/>
      <c r="V1105" s="4697"/>
      <c r="W1105" s="4697"/>
      <c r="X1105" s="4303"/>
      <c r="Y1105" s="4303"/>
      <c r="Z1105" s="4939" t="s">
        <v>5745</v>
      </c>
      <c r="AA1105" s="4303"/>
      <c r="AB1105" s="4303"/>
      <c r="AC1105" s="4303"/>
      <c r="AD1105" s="4303"/>
      <c r="AE1105" s="4303"/>
      <c r="AF1105" s="4303"/>
      <c r="AG1105" s="4303"/>
      <c r="AH1105" s="4303"/>
      <c r="AI1105" s="4303"/>
      <c r="AJ1105" s="4303"/>
      <c r="AK1105" s="4303"/>
      <c r="AL1105" s="4303"/>
      <c r="AM1105" s="4303"/>
      <c r="AN1105" s="4303"/>
      <c r="AO1105" s="4303"/>
      <c r="AP1105" s="4303"/>
      <c r="AQ1105" s="4303"/>
      <c r="AR1105" s="4303"/>
      <c r="AS1105" s="4303"/>
      <c r="AT1105" s="4303"/>
      <c r="AU1105" s="4303"/>
      <c r="AV1105" s="4303"/>
      <c r="AW1105" s="4303"/>
      <c r="AX1105" s="4303"/>
      <c r="AY1105" s="4303"/>
      <c r="AZ1105" s="4303"/>
      <c r="BA1105" s="4303"/>
      <c r="BB1105" s="4303"/>
      <c r="BC1105" s="4303"/>
      <c r="BD1105" s="4303"/>
      <c r="BE1105" s="4303"/>
      <c r="BF1105" s="4303"/>
      <c r="BG1105" s="4303"/>
      <c r="BH1105" s="4303"/>
      <c r="BI1105" s="4303"/>
      <c r="BJ1105" s="4303"/>
      <c r="BK1105" s="4303"/>
      <c r="BL1105" s="4303"/>
      <c r="BM1105" s="4303"/>
      <c r="BN1105" s="4303"/>
      <c r="BO1105" s="4303"/>
      <c r="BP1105" s="4303"/>
      <c r="BQ1105" s="4303"/>
      <c r="BR1105" s="4303"/>
      <c r="BS1105" s="4303"/>
      <c r="BT1105" s="4303"/>
      <c r="BU1105" s="4303"/>
      <c r="BV1105" s="4303"/>
      <c r="BW1105" s="4303"/>
      <c r="BX1105" s="4303"/>
      <c r="BY1105" s="4303"/>
      <c r="BZ1105" s="4303"/>
      <c r="CA1105" s="4303"/>
      <c r="CB1105" s="4303"/>
      <c r="CC1105" s="4303"/>
      <c r="CD1105" s="4303"/>
      <c r="CE1105" s="4303"/>
      <c r="CF1105" s="4303"/>
      <c r="CG1105" s="4303"/>
      <c r="CH1105" s="4303"/>
      <c r="CI1105" s="4303"/>
      <c r="CJ1105" s="4303"/>
      <c r="CK1105" s="4303"/>
      <c r="CL1105" s="4303"/>
      <c r="CM1105" s="4303"/>
      <c r="CN1105" s="4303"/>
      <c r="CO1105" s="4303"/>
      <c r="CP1105" s="4303"/>
      <c r="CQ1105" s="4303"/>
      <c r="CR1105" s="4303"/>
      <c r="CS1105" s="4303"/>
      <c r="CT1105" s="4303"/>
      <c r="CU1105" s="4303"/>
      <c r="CV1105" s="4303"/>
      <c r="CW1105" s="4303"/>
      <c r="CX1105" s="4303"/>
      <c r="CY1105" s="4303"/>
      <c r="CZ1105" s="4303"/>
      <c r="DA1105" s="4303"/>
      <c r="DB1105" s="4303"/>
      <c r="DC1105" s="4303"/>
      <c r="DD1105" s="4303"/>
      <c r="DE1105" s="4303"/>
      <c r="DF1105" s="4303"/>
      <c r="DG1105" s="4303"/>
      <c r="DH1105" s="4303"/>
      <c r="DI1105" s="4303"/>
      <c r="DJ1105" s="4303"/>
      <c r="DK1105" s="4303"/>
      <c r="DL1105" s="4303"/>
      <c r="DM1105" s="4303"/>
      <c r="DN1105" s="4303"/>
      <c r="DO1105" s="4303"/>
      <c r="DP1105" s="4303"/>
      <c r="DQ1105" s="4303"/>
      <c r="DR1105" s="4303"/>
      <c r="DS1105" s="4303"/>
    </row>
    <row r="1106" s="4134" customFormat="1" ht="17.25" customHeight="1" spans="1:125">
      <c r="A1106" s="4940" t="s">
        <v>5746</v>
      </c>
      <c r="B1106" s="4941"/>
      <c r="C1106" s="4941"/>
      <c r="D1106" s="4941"/>
      <c r="E1106" s="4942"/>
      <c r="F1106" s="4933">
        <v>437</v>
      </c>
      <c r="G1106" s="4934"/>
      <c r="H1106" s="4895"/>
      <c r="I1106" s="4895"/>
      <c r="J1106" s="4895"/>
      <c r="K1106" s="4895"/>
      <c r="L1106" s="4895"/>
      <c r="M1106" s="4895"/>
      <c r="N1106" s="4895"/>
      <c r="O1106" s="4938"/>
      <c r="P1106" s="4938"/>
      <c r="Q1106" s="4938"/>
      <c r="R1106" s="4938"/>
      <c r="S1106" s="4938"/>
      <c r="T1106" s="4938"/>
      <c r="U1106" s="4938"/>
      <c r="V1106" s="4697">
        <v>436</v>
      </c>
      <c r="W1106" s="4697"/>
      <c r="X1106" s="4303"/>
      <c r="Y1106" s="4303"/>
      <c r="Z1106" s="4943"/>
      <c r="AA1106" s="4303"/>
      <c r="AB1106" s="4303"/>
      <c r="AC1106" s="4303"/>
      <c r="AD1106" s="4303"/>
      <c r="AE1106" s="4303"/>
      <c r="AF1106" s="4303"/>
      <c r="AG1106" s="4303"/>
      <c r="AH1106" s="4303"/>
      <c r="AI1106" s="4303"/>
      <c r="AJ1106" s="4303"/>
      <c r="AK1106" s="4303"/>
      <c r="AL1106" s="4303"/>
      <c r="AM1106" s="4303"/>
      <c r="AN1106" s="4303"/>
      <c r="AO1106" s="4303"/>
      <c r="AP1106" s="4303"/>
      <c r="AQ1106" s="4303"/>
      <c r="AR1106" s="4303"/>
      <c r="AS1106" s="4303"/>
      <c r="AT1106" s="4303"/>
      <c r="AU1106" s="4303"/>
      <c r="AV1106" s="4303"/>
      <c r="AW1106" s="4303"/>
      <c r="AX1106" s="4303"/>
      <c r="AY1106" s="4303"/>
      <c r="AZ1106" s="4303"/>
      <c r="BA1106" s="4303"/>
      <c r="BB1106" s="4303"/>
      <c r="BC1106" s="4303"/>
      <c r="BD1106" s="4303"/>
      <c r="BE1106" s="4303"/>
      <c r="BF1106" s="4303"/>
      <c r="BG1106" s="4303"/>
      <c r="BH1106" s="4303"/>
      <c r="BI1106" s="4303"/>
      <c r="BJ1106" s="4303"/>
      <c r="BK1106" s="4303"/>
      <c r="BL1106" s="4303"/>
      <c r="BM1106" s="4303"/>
      <c r="BN1106" s="4303"/>
      <c r="BO1106" s="4303"/>
      <c r="BP1106" s="4303"/>
      <c r="BQ1106" s="4303"/>
      <c r="BR1106" s="4303"/>
      <c r="BS1106" s="4303"/>
      <c r="BT1106" s="4303"/>
      <c r="BU1106" s="4303"/>
      <c r="BV1106" s="4303"/>
      <c r="BW1106" s="4303"/>
      <c r="BX1106" s="4303"/>
      <c r="BY1106" s="4303"/>
      <c r="BZ1106" s="4303"/>
      <c r="CA1106" s="4303"/>
      <c r="CB1106" s="4303"/>
      <c r="CC1106" s="4303"/>
      <c r="CD1106" s="4303"/>
      <c r="CE1106" s="4303"/>
      <c r="CF1106" s="4303"/>
      <c r="CG1106" s="4303"/>
      <c r="CH1106" s="4303"/>
      <c r="CI1106" s="4303"/>
      <c r="CJ1106" s="4303"/>
      <c r="CK1106" s="4303"/>
      <c r="CL1106" s="4303"/>
      <c r="CM1106" s="4303"/>
      <c r="CN1106" s="4303"/>
      <c r="CO1106" s="4303"/>
      <c r="CP1106" s="4303"/>
      <c r="CQ1106" s="4303"/>
      <c r="CR1106" s="4303"/>
      <c r="CS1106" s="4303"/>
      <c r="CT1106" s="4303"/>
      <c r="CU1106" s="4303"/>
      <c r="CV1106" s="4303"/>
      <c r="CW1106" s="4303"/>
      <c r="CX1106" s="4303"/>
      <c r="CY1106" s="4303"/>
      <c r="CZ1106" s="4303"/>
      <c r="DA1106" s="4303"/>
      <c r="DB1106" s="4303"/>
      <c r="DC1106" s="4303"/>
      <c r="DD1106" s="4303"/>
      <c r="DE1106" s="4303"/>
      <c r="DF1106" s="4303"/>
      <c r="DG1106" s="4303"/>
      <c r="DH1106" s="4303"/>
      <c r="DI1106" s="4303"/>
      <c r="DJ1106" s="4303"/>
      <c r="DK1106" s="4303"/>
      <c r="DL1106" s="4303"/>
      <c r="DM1106" s="4303"/>
      <c r="DN1106" s="4303"/>
      <c r="DO1106" s="4303"/>
      <c r="DP1106" s="4303"/>
      <c r="DQ1106" s="4303"/>
      <c r="DR1106" s="4303"/>
      <c r="DS1106" s="4303"/>
    </row>
    <row r="1107" s="4134" customFormat="1" ht="17.25" customHeight="1" spans="1:125">
      <c r="A1107" s="4940" t="s">
        <v>5747</v>
      </c>
      <c r="B1107" s="4941"/>
      <c r="C1107" s="4941"/>
      <c r="D1107" s="4941"/>
      <c r="E1107" s="4942"/>
      <c r="F1107" s="4933">
        <v>451</v>
      </c>
      <c r="G1107" s="4934"/>
      <c r="H1107" s="4895"/>
      <c r="I1107" s="4895"/>
      <c r="J1107" s="4895"/>
      <c r="K1107" s="4895"/>
      <c r="L1107" s="4895"/>
      <c r="M1107" s="4895"/>
      <c r="N1107" s="4895"/>
      <c r="O1107" s="4938"/>
      <c r="P1107" s="4938"/>
      <c r="Q1107" s="4938"/>
      <c r="R1107" s="4938"/>
      <c r="S1107" s="4938"/>
      <c r="T1107" s="4938"/>
      <c r="U1107" s="4938"/>
      <c r="V1107" s="4697">
        <v>450</v>
      </c>
      <c r="W1107" s="4697"/>
      <c r="X1107" s="4303"/>
      <c r="Y1107" s="4303"/>
      <c r="Z1107" s="4943"/>
      <c r="AA1107" s="4303"/>
      <c r="AB1107" s="4303"/>
      <c r="AC1107" s="4303"/>
      <c r="AD1107" s="4303"/>
      <c r="AE1107" s="4303"/>
      <c r="AF1107" s="4303"/>
      <c r="AG1107" s="4303"/>
      <c r="AH1107" s="4303"/>
      <c r="AI1107" s="4303"/>
      <c r="AJ1107" s="4303"/>
      <c r="AK1107" s="4303"/>
      <c r="AL1107" s="4303"/>
      <c r="AM1107" s="4303"/>
      <c r="AN1107" s="4303"/>
      <c r="AO1107" s="4303"/>
      <c r="AP1107" s="4303"/>
      <c r="AQ1107" s="4303"/>
      <c r="AR1107" s="4303"/>
      <c r="AS1107" s="4303"/>
      <c r="AT1107" s="4303"/>
      <c r="AU1107" s="4303"/>
      <c r="AV1107" s="4303"/>
      <c r="AW1107" s="4303"/>
      <c r="AX1107" s="4303"/>
      <c r="AY1107" s="4303"/>
      <c r="AZ1107" s="4303"/>
      <c r="BA1107" s="4303"/>
      <c r="BB1107" s="4303"/>
      <c r="BC1107" s="4303"/>
      <c r="BD1107" s="4303"/>
      <c r="BE1107" s="4303"/>
      <c r="BF1107" s="4303"/>
      <c r="BG1107" s="4303"/>
      <c r="BH1107" s="4303"/>
      <c r="BI1107" s="4303"/>
      <c r="BJ1107" s="4303"/>
      <c r="BK1107" s="4303"/>
      <c r="BL1107" s="4303"/>
      <c r="BM1107" s="4303"/>
      <c r="BN1107" s="4303"/>
      <c r="BO1107" s="4303"/>
      <c r="BP1107" s="4303"/>
      <c r="BQ1107" s="4303"/>
      <c r="BR1107" s="4303"/>
      <c r="BS1107" s="4303"/>
      <c r="BT1107" s="4303"/>
      <c r="BU1107" s="4303"/>
      <c r="BV1107" s="4303"/>
      <c r="BW1107" s="4303"/>
      <c r="BX1107" s="4303"/>
      <c r="BY1107" s="4303"/>
      <c r="BZ1107" s="4303"/>
      <c r="CA1107" s="4303"/>
      <c r="CB1107" s="4303"/>
      <c r="CC1107" s="4303"/>
      <c r="CD1107" s="4303"/>
      <c r="CE1107" s="4303"/>
      <c r="CF1107" s="4303"/>
      <c r="CG1107" s="4303"/>
      <c r="CH1107" s="4303"/>
      <c r="CI1107" s="4303"/>
      <c r="CJ1107" s="4303"/>
      <c r="CK1107" s="4303"/>
      <c r="CL1107" s="4303"/>
      <c r="CM1107" s="4303"/>
      <c r="CN1107" s="4303"/>
      <c r="CO1107" s="4303"/>
      <c r="CP1107" s="4303"/>
      <c r="CQ1107" s="4303"/>
      <c r="CR1107" s="4303"/>
      <c r="CS1107" s="4303"/>
      <c r="CT1107" s="4303"/>
      <c r="CU1107" s="4303"/>
      <c r="CV1107" s="4303"/>
      <c r="CW1107" s="4303"/>
      <c r="CX1107" s="4303"/>
      <c r="CY1107" s="4303"/>
      <c r="CZ1107" s="4303"/>
      <c r="DA1107" s="4303"/>
      <c r="DB1107" s="4303"/>
      <c r="DC1107" s="4303"/>
      <c r="DD1107" s="4303"/>
      <c r="DE1107" s="4303"/>
      <c r="DF1107" s="4303"/>
      <c r="DG1107" s="4303"/>
      <c r="DH1107" s="4303"/>
      <c r="DI1107" s="4303"/>
      <c r="DJ1107" s="4303"/>
      <c r="DK1107" s="4303"/>
      <c r="DL1107" s="4303"/>
      <c r="DM1107" s="4303"/>
      <c r="DN1107" s="4303"/>
      <c r="DO1107" s="4303"/>
      <c r="DP1107" s="4303"/>
      <c r="DQ1107" s="4303"/>
      <c r="DR1107" s="4303"/>
      <c r="DS1107" s="4303"/>
    </row>
    <row r="1108" s="4134" customFormat="1" ht="17.25" customHeight="1" spans="1:125">
      <c r="A1108" s="4944" t="s">
        <v>5667</v>
      </c>
      <c r="B1108" s="4945"/>
      <c r="C1108" s="4945"/>
      <c r="D1108" s="4945"/>
      <c r="E1108" s="4946"/>
      <c r="F1108" s="4933"/>
      <c r="G1108" s="4934"/>
      <c r="H1108" s="4947">
        <f>SUM(H1000:N1107)-SUM(H1064:N1067)</f>
        <v>0</v>
      </c>
      <c r="I1108" s="4947"/>
      <c r="J1108" s="4947"/>
      <c r="K1108" s="4947"/>
      <c r="L1108" s="4947"/>
      <c r="M1108" s="4947"/>
      <c r="N1108" s="4947"/>
      <c r="O1108" s="4948">
        <f>SUM(O1000:U1107)-SUM(O1015:U1019)</f>
        <v>0</v>
      </c>
      <c r="P1108" s="4948"/>
      <c r="Q1108" s="4948"/>
      <c r="R1108" s="4948"/>
      <c r="S1108" s="4948"/>
      <c r="T1108" s="4948"/>
      <c r="U1108" s="4948"/>
      <c r="V1108" s="4697"/>
      <c r="W1108" s="4697"/>
      <c r="X1108" s="4303"/>
      <c r="Y1108" s="4303"/>
      <c r="Z1108" s="4939"/>
      <c r="AA1108" s="4303"/>
      <c r="AB1108" s="4303"/>
      <c r="AC1108" s="4303"/>
      <c r="AD1108" s="4303"/>
      <c r="AE1108" s="4303"/>
      <c r="AF1108" s="4303"/>
      <c r="AG1108" s="4303"/>
      <c r="AH1108" s="4303"/>
      <c r="AI1108" s="4303"/>
      <c r="AJ1108" s="4303"/>
      <c r="AK1108" s="4303"/>
      <c r="AL1108" s="4303"/>
      <c r="AM1108" s="4303"/>
      <c r="AN1108" s="4303"/>
      <c r="AO1108" s="4303"/>
      <c r="AP1108" s="4303"/>
      <c r="AQ1108" s="4303"/>
      <c r="AR1108" s="4303"/>
      <c r="AS1108" s="4303"/>
      <c r="AT1108" s="4303"/>
      <c r="AU1108" s="4303"/>
      <c r="AV1108" s="4303"/>
      <c r="AW1108" s="4303"/>
      <c r="AX1108" s="4303"/>
      <c r="AY1108" s="4303"/>
      <c r="AZ1108" s="4303"/>
      <c r="BA1108" s="4303"/>
      <c r="BB1108" s="4303"/>
      <c r="BC1108" s="4303"/>
      <c r="BD1108" s="4303"/>
      <c r="BE1108" s="4303"/>
      <c r="BF1108" s="4303"/>
      <c r="BG1108" s="4303"/>
      <c r="BH1108" s="4303"/>
      <c r="BI1108" s="4303"/>
      <c r="BJ1108" s="4303"/>
      <c r="BK1108" s="4303"/>
      <c r="BL1108" s="4303"/>
      <c r="BM1108" s="4303"/>
      <c r="BN1108" s="4303"/>
      <c r="BO1108" s="4303"/>
      <c r="BP1108" s="4303"/>
      <c r="BQ1108" s="4303"/>
      <c r="BR1108" s="4303"/>
      <c r="BS1108" s="4303"/>
      <c r="BT1108" s="4303"/>
      <c r="BU1108" s="4303"/>
      <c r="BV1108" s="4303"/>
      <c r="BW1108" s="4303"/>
      <c r="BX1108" s="4303"/>
      <c r="BY1108" s="4303"/>
      <c r="BZ1108" s="4303"/>
      <c r="CA1108" s="4303"/>
      <c r="CB1108" s="4303"/>
      <c r="CC1108" s="4303"/>
      <c r="CD1108" s="4303"/>
      <c r="CE1108" s="4303"/>
      <c r="CF1108" s="4303"/>
      <c r="CG1108" s="4303"/>
      <c r="CH1108" s="4303"/>
      <c r="CI1108" s="4303"/>
      <c r="CJ1108" s="4303"/>
      <c r="CK1108" s="4303"/>
      <c r="CL1108" s="4303"/>
      <c r="CM1108" s="4303"/>
      <c r="CN1108" s="4303"/>
      <c r="CO1108" s="4303"/>
      <c r="CP1108" s="4303"/>
      <c r="CQ1108" s="4303"/>
      <c r="CR1108" s="4303"/>
      <c r="CS1108" s="4303"/>
      <c r="CT1108" s="4303"/>
      <c r="CU1108" s="4303"/>
      <c r="CV1108" s="4303"/>
      <c r="CW1108" s="4303"/>
      <c r="CX1108" s="4303"/>
      <c r="CY1108" s="4303"/>
      <c r="CZ1108" s="4303"/>
      <c r="DA1108" s="4303"/>
      <c r="DB1108" s="4303"/>
      <c r="DC1108" s="4303"/>
      <c r="DD1108" s="4303"/>
      <c r="DE1108" s="4303"/>
      <c r="DF1108" s="4303"/>
      <c r="DG1108" s="4303"/>
      <c r="DH1108" s="4303"/>
      <c r="DI1108" s="4303"/>
      <c r="DJ1108" s="4303"/>
      <c r="DK1108" s="4303"/>
      <c r="DL1108" s="4303"/>
      <c r="DM1108" s="4303"/>
      <c r="DN1108" s="4303"/>
      <c r="DO1108" s="4303"/>
      <c r="DP1108" s="4303"/>
      <c r="DQ1108" s="4303"/>
      <c r="DR1108" s="4303"/>
      <c r="DS1108" s="4303"/>
    </row>
    <row r="1109" s="4134" customFormat="1" ht="17.25" customHeight="1" spans="1:125">
      <c r="A1109" s="4949" t="s">
        <v>5748</v>
      </c>
      <c r="B1109" s="4950"/>
      <c r="C1109" s="4950"/>
      <c r="D1109" s="4950"/>
      <c r="E1109" s="4951"/>
      <c r="F1109" s="4894">
        <v>407</v>
      </c>
      <c r="G1109" s="4697"/>
      <c r="H1109" s="4952">
        <f>IF(H1108-O1108-(H1111-H1112)&gt;0,0,(H1108-O1108-(H1111-H1112))*-1)</f>
        <v>0</v>
      </c>
      <c r="I1109" s="4952"/>
      <c r="J1109" s="4952"/>
      <c r="K1109" s="4952"/>
      <c r="L1109" s="4952"/>
      <c r="M1109" s="4952"/>
      <c r="N1109" s="4952"/>
      <c r="O1109" s="4952">
        <f>IF(H1108-O1108-(H1111-H1112)&lt;0,0,H1108-O1108-(H1111-H1112))</f>
        <v>2280</v>
      </c>
      <c r="P1109" s="4952"/>
      <c r="Q1109" s="4952"/>
      <c r="R1109" s="4952"/>
      <c r="S1109" s="4952"/>
      <c r="T1109" s="4952"/>
      <c r="U1109" s="4952"/>
      <c r="V1109" s="4697">
        <v>406</v>
      </c>
      <c r="W1109" s="4697"/>
      <c r="X1109" s="4303"/>
      <c r="Y1109" s="4303"/>
      <c r="Z1109" s="4943" t="s">
        <v>5749</v>
      </c>
      <c r="AA1109" s="4303"/>
      <c r="AB1109" s="4303"/>
      <c r="AC1109" s="4303"/>
      <c r="AD1109" s="4303"/>
      <c r="AE1109" s="4303"/>
      <c r="AF1109" s="4303"/>
      <c r="AG1109" s="4303"/>
      <c r="AH1109" s="4303"/>
      <c r="AI1109" s="4303"/>
      <c r="AJ1109" s="4303"/>
      <c r="AK1109" s="4303"/>
      <c r="AL1109" s="4303"/>
      <c r="AM1109" s="4303"/>
      <c r="AN1109" s="4303"/>
      <c r="AO1109" s="4303"/>
      <c r="AP1109" s="4303"/>
      <c r="AQ1109" s="4303"/>
      <c r="AR1109" s="4303"/>
      <c r="AS1109" s="4303"/>
      <c r="AT1109" s="4303"/>
      <c r="AU1109" s="4303"/>
      <c r="AV1109" s="4303"/>
      <c r="AW1109" s="4303"/>
      <c r="AX1109" s="4303"/>
      <c r="AY1109" s="4303"/>
      <c r="AZ1109" s="4303"/>
      <c r="BA1109" s="4303"/>
      <c r="BB1109" s="4303"/>
      <c r="BC1109" s="4303"/>
      <c r="BD1109" s="4303"/>
      <c r="BE1109" s="4303"/>
      <c r="BF1109" s="4303"/>
      <c r="BG1109" s="4303"/>
      <c r="BH1109" s="4303"/>
      <c r="BI1109" s="4303"/>
      <c r="BJ1109" s="4303"/>
      <c r="BK1109" s="4303"/>
      <c r="BL1109" s="4303"/>
      <c r="BM1109" s="4303"/>
      <c r="BN1109" s="4303"/>
      <c r="BO1109" s="4303"/>
      <c r="BP1109" s="4303"/>
      <c r="BQ1109" s="4303"/>
      <c r="BR1109" s="4303"/>
      <c r="BS1109" s="4303"/>
      <c r="BT1109" s="4303"/>
      <c r="BU1109" s="4303"/>
      <c r="BV1109" s="4303"/>
      <c r="BW1109" s="4303"/>
      <c r="BX1109" s="4303"/>
      <c r="BY1109" s="4303"/>
      <c r="BZ1109" s="4303"/>
      <c r="CA1109" s="4303"/>
      <c r="CB1109" s="4303"/>
      <c r="CC1109" s="4303"/>
      <c r="CD1109" s="4303"/>
      <c r="CE1109" s="4303"/>
      <c r="CF1109" s="4303"/>
      <c r="CG1109" s="4303"/>
      <c r="CH1109" s="4303"/>
      <c r="CI1109" s="4303"/>
      <c r="CJ1109" s="4303"/>
      <c r="CK1109" s="4303"/>
      <c r="CL1109" s="4303"/>
      <c r="CM1109" s="4303"/>
      <c r="CN1109" s="4303"/>
      <c r="CO1109" s="4303"/>
      <c r="CP1109" s="4303"/>
      <c r="CQ1109" s="4303"/>
      <c r="CR1109" s="4303"/>
      <c r="CS1109" s="4303"/>
      <c r="CT1109" s="4303"/>
      <c r="CU1109" s="4303"/>
      <c r="CV1109" s="4303"/>
      <c r="CW1109" s="4303"/>
      <c r="CX1109" s="4303"/>
      <c r="CY1109" s="4303"/>
      <c r="CZ1109" s="4303"/>
      <c r="DA1109" s="4303"/>
      <c r="DB1109" s="4303"/>
      <c r="DC1109" s="4303"/>
      <c r="DD1109" s="4303"/>
      <c r="DE1109" s="4303"/>
      <c r="DF1109" s="4303"/>
      <c r="DG1109" s="4303"/>
      <c r="DH1109" s="4303"/>
      <c r="DI1109" s="4303"/>
      <c r="DJ1109" s="4303"/>
      <c r="DK1109" s="4303"/>
      <c r="DL1109" s="4303"/>
      <c r="DM1109" s="4303"/>
      <c r="DN1109" s="4303"/>
      <c r="DO1109" s="4303"/>
      <c r="DP1109" s="4303"/>
      <c r="DQ1109" s="4303"/>
      <c r="DR1109" s="4303"/>
      <c r="DS1109" s="4303"/>
    </row>
    <row r="1110" s="4134" customFormat="1" ht="17.25" customHeight="1" spans="1:125">
      <c r="A1110" s="4953"/>
      <c r="B1110" s="4953"/>
      <c r="C1110" s="4953"/>
      <c r="D1110" s="4953"/>
      <c r="E1110" s="4953"/>
      <c r="F1110" s="4954"/>
      <c r="G1110" s="4954"/>
      <c r="H1110" s="4955"/>
      <c r="I1110" s="4955"/>
      <c r="J1110" s="4955"/>
      <c r="K1110" s="4955"/>
      <c r="L1110" s="4955"/>
      <c r="M1110" s="4955"/>
      <c r="N1110" s="4955"/>
      <c r="O1110" s="4956"/>
      <c r="P1110" s="4956"/>
      <c r="Q1110" s="4956"/>
      <c r="R1110" s="4956"/>
      <c r="S1110" s="4956"/>
      <c r="T1110" s="4956"/>
      <c r="U1110" s="4956"/>
      <c r="V1110" s="4957"/>
      <c r="W1110" s="4957"/>
      <c r="X1110" s="4303"/>
      <c r="Y1110" s="4939"/>
      <c r="Z1110" s="4303"/>
      <c r="AA1110" s="4303"/>
      <c r="AB1110" s="4303"/>
      <c r="AC1110" s="4303"/>
      <c r="AD1110" s="4303"/>
      <c r="AE1110" s="4303"/>
      <c r="AF1110" s="4303"/>
      <c r="AG1110" s="4303"/>
      <c r="AH1110" s="4303"/>
      <c r="AI1110" s="4303"/>
      <c r="AJ1110" s="4303"/>
      <c r="AK1110" s="4303"/>
      <c r="AL1110" s="4303"/>
      <c r="AM1110" s="4303"/>
      <c r="AN1110" s="4303"/>
      <c r="AO1110" s="4303"/>
      <c r="AP1110" s="4303"/>
      <c r="AQ1110" s="4303"/>
      <c r="AR1110" s="4303"/>
      <c r="AS1110" s="4303"/>
      <c r="AT1110" s="4303"/>
      <c r="AU1110" s="4303"/>
      <c r="AV1110" s="4303"/>
      <c r="AW1110" s="4303"/>
      <c r="AX1110" s="4303"/>
      <c r="AY1110" s="4303"/>
      <c r="AZ1110" s="4303"/>
      <c r="BA1110" s="4303"/>
      <c r="BB1110" s="4303"/>
      <c r="BC1110" s="4303"/>
      <c r="BD1110" s="4303"/>
      <c r="BE1110" s="4303"/>
      <c r="BF1110" s="4303"/>
      <c r="BG1110" s="4303"/>
      <c r="BH1110" s="4303"/>
      <c r="BI1110" s="4303"/>
      <c r="BJ1110" s="4303"/>
      <c r="BK1110" s="4303"/>
      <c r="BL1110" s="4303"/>
      <c r="BM1110" s="4303"/>
      <c r="BN1110" s="4303"/>
      <c r="BO1110" s="4303"/>
      <c r="BP1110" s="4303"/>
      <c r="BQ1110" s="4303"/>
      <c r="BR1110" s="4303"/>
      <c r="BS1110" s="4303"/>
      <c r="BT1110" s="4303"/>
      <c r="BU1110" s="4303"/>
      <c r="BV1110" s="4303"/>
      <c r="BW1110" s="4303"/>
      <c r="BX1110" s="4303"/>
      <c r="BY1110" s="4303"/>
      <c r="BZ1110" s="4303"/>
      <c r="CA1110" s="4303"/>
      <c r="CB1110" s="4303"/>
      <c r="CC1110" s="4303"/>
      <c r="CD1110" s="4303"/>
      <c r="CE1110" s="4303"/>
      <c r="CF1110" s="4303"/>
      <c r="CG1110" s="4303"/>
      <c r="CH1110" s="4303"/>
      <c r="CI1110" s="4303"/>
      <c r="CJ1110" s="4303"/>
      <c r="CK1110" s="4303"/>
      <c r="CL1110" s="4303"/>
      <c r="CM1110" s="4303"/>
      <c r="CN1110" s="4303"/>
      <c r="CO1110" s="4303"/>
      <c r="CP1110" s="4303"/>
      <c r="CQ1110" s="4303"/>
      <c r="CR1110" s="4303"/>
      <c r="CS1110" s="4303"/>
      <c r="CT1110" s="4303"/>
      <c r="CU1110" s="4303"/>
      <c r="CV1110" s="4303"/>
      <c r="CW1110" s="4303"/>
      <c r="CX1110" s="4303"/>
      <c r="CY1110" s="4303"/>
      <c r="CZ1110" s="4303"/>
      <c r="DA1110" s="4303"/>
      <c r="DB1110" s="4303"/>
      <c r="DC1110" s="4303"/>
      <c r="DD1110" s="4303"/>
      <c r="DE1110" s="4303"/>
      <c r="DF1110" s="4303"/>
      <c r="DG1110" s="4303"/>
      <c r="DH1110" s="4303"/>
      <c r="DI1110" s="4303"/>
      <c r="DJ1110" s="4303"/>
      <c r="DK1110" s="4303"/>
      <c r="DL1110" s="4303"/>
      <c r="DM1110" s="4303"/>
      <c r="DN1110" s="4303"/>
      <c r="DO1110" s="4303"/>
      <c r="DP1110" s="4303"/>
      <c r="DQ1110" s="4303"/>
      <c r="DR1110" s="4303"/>
      <c r="DS1110" s="4303"/>
    </row>
    <row r="1111" s="4134" customFormat="1" ht="18.75" customHeight="1" spans="1:125">
      <c r="A1111" s="4958" t="str">
        <f>"Stanje grupe 20 : "&amp;PeriodOd</f>
        <v>Stanje grupe 20 : 01.01.2025</v>
      </c>
      <c r="B1111" s="4959"/>
      <c r="C1111" s="4959"/>
      <c r="D1111" s="4959"/>
      <c r="E1111" s="4959"/>
      <c r="F1111" s="4960"/>
      <c r="G1111" s="4961"/>
      <c r="H1111" s="4948">
        <f>B_Stanja!AP80</f>
        <v>47</v>
      </c>
      <c r="I1111" s="4948"/>
      <c r="J1111" s="4948"/>
      <c r="K1111" s="4948"/>
      <c r="L1111" s="4948"/>
      <c r="M1111" s="4948"/>
      <c r="N1111" s="4962"/>
      <c r="O1111" s="4963"/>
      <c r="P1111" s="4964"/>
      <c r="Q1111" s="4964"/>
      <c r="R1111" s="4964"/>
      <c r="S1111" s="4964"/>
      <c r="T1111" s="4964"/>
      <c r="U1111" s="4964"/>
      <c r="V1111" s="4467"/>
      <c r="W1111" s="4467"/>
      <c r="X1111" s="4303"/>
      <c r="Y1111" s="4939"/>
      <c r="Z1111" s="4939" t="s">
        <v>5750</v>
      </c>
      <c r="AA1111" s="4303"/>
      <c r="AB1111" s="4303"/>
      <c r="AC1111" s="4303"/>
      <c r="AD1111" s="4303"/>
      <c r="AE1111" s="4303"/>
      <c r="AF1111" s="4303"/>
      <c r="AG1111" s="4303"/>
      <c r="AH1111" s="4303"/>
      <c r="AI1111" s="4303"/>
      <c r="AJ1111" s="4303"/>
      <c r="AK1111" s="4303"/>
      <c r="AL1111" s="4303"/>
      <c r="AM1111" s="4303"/>
      <c r="AN1111" s="4303"/>
      <c r="AO1111" s="4303"/>
      <c r="AP1111" s="4303"/>
      <c r="AQ1111" s="4303"/>
      <c r="AR1111" s="4303"/>
      <c r="AS1111" s="4303"/>
      <c r="AT1111" s="4303"/>
      <c r="AU1111" s="4303"/>
      <c r="AV1111" s="4303"/>
      <c r="AW1111" s="4303"/>
      <c r="AX1111" s="4303"/>
      <c r="AY1111" s="4303"/>
      <c r="AZ1111" s="4303"/>
      <c r="BA1111" s="4303"/>
      <c r="BB1111" s="4303"/>
      <c r="BC1111" s="4303"/>
      <c r="BD1111" s="4303"/>
      <c r="BE1111" s="4303"/>
      <c r="BF1111" s="4303"/>
      <c r="BG1111" s="4303"/>
      <c r="BH1111" s="4303"/>
      <c r="BI1111" s="4303"/>
      <c r="BJ1111" s="4303"/>
      <c r="BK1111" s="4303"/>
      <c r="BL1111" s="4303"/>
      <c r="BM1111" s="4303"/>
      <c r="BN1111" s="4303"/>
      <c r="BO1111" s="4303"/>
      <c r="BP1111" s="4303"/>
      <c r="BQ1111" s="4303"/>
      <c r="BR1111" s="4303"/>
      <c r="BS1111" s="4303"/>
      <c r="BT1111" s="4303"/>
      <c r="BU1111" s="4303"/>
      <c r="BV1111" s="4303"/>
      <c r="BW1111" s="4303"/>
      <c r="BX1111" s="4303"/>
      <c r="BY1111" s="4303"/>
      <c r="BZ1111" s="4303"/>
      <c r="CA1111" s="4303"/>
      <c r="CB1111" s="4303"/>
      <c r="CC1111" s="4303"/>
      <c r="CD1111" s="4303"/>
      <c r="CE1111" s="4303"/>
      <c r="CF1111" s="4303"/>
      <c r="CG1111" s="4303"/>
      <c r="CH1111" s="4303"/>
      <c r="CI1111" s="4303"/>
      <c r="CJ1111" s="4303"/>
      <c r="CK1111" s="4303"/>
      <c r="CL1111" s="4303"/>
      <c r="CM1111" s="4303"/>
      <c r="CN1111" s="4303"/>
      <c r="CO1111" s="4303"/>
      <c r="CP1111" s="4303"/>
      <c r="CQ1111" s="4303"/>
      <c r="CR1111" s="4303"/>
      <c r="CS1111" s="4303"/>
      <c r="CT1111" s="4303"/>
      <c r="CU1111" s="4303"/>
      <c r="CV1111" s="4303"/>
      <c r="CW1111" s="4303"/>
      <c r="CX1111" s="4303"/>
      <c r="CY1111" s="4303"/>
      <c r="CZ1111" s="4303"/>
      <c r="DA1111" s="4303"/>
      <c r="DB1111" s="4303"/>
      <c r="DC1111" s="4303"/>
      <c r="DD1111" s="4303"/>
      <c r="DE1111" s="4303"/>
      <c r="DF1111" s="4303"/>
      <c r="DG1111" s="4303"/>
      <c r="DH1111" s="4303"/>
      <c r="DI1111" s="4303"/>
      <c r="DJ1111" s="4303"/>
      <c r="DK1111" s="4303"/>
      <c r="DL1111" s="4303"/>
      <c r="DM1111" s="4303"/>
      <c r="DN1111" s="4303"/>
      <c r="DO1111" s="4303"/>
      <c r="DP1111" s="4303"/>
      <c r="DQ1111" s="4303"/>
      <c r="DR1111" s="4303"/>
      <c r="DS1111" s="4303"/>
    </row>
    <row r="1112" s="4134" customFormat="1" ht="18.75" customHeight="1" spans="1:125">
      <c r="A1112" s="4958" t="str">
        <f ca="1">"Stanje grupe 20 : "&amp;PeriodDo</f>
        <v>Stanje grupe 20 : 31.12.2025</v>
      </c>
      <c r="B1112" s="4959"/>
      <c r="C1112" s="4959"/>
      <c r="D1112" s="4959"/>
      <c r="E1112" s="4959"/>
      <c r="F1112" s="4960"/>
      <c r="G1112" s="4961"/>
      <c r="H1112" s="4948">
        <f>B_Stanja!AI80</f>
        <v>2327</v>
      </c>
      <c r="I1112" s="4948"/>
      <c r="J1112" s="4948"/>
      <c r="K1112" s="4948"/>
      <c r="L1112" s="4948"/>
      <c r="M1112" s="4948"/>
      <c r="N1112" s="4962"/>
      <c r="O1112" s="4963"/>
      <c r="P1112" s="4964"/>
      <c r="Q1112" s="4964"/>
      <c r="R1112" s="4964"/>
      <c r="S1112" s="4964"/>
      <c r="T1112" s="4964"/>
      <c r="U1112" s="4964"/>
      <c r="V1112" s="4467"/>
      <c r="W1112" s="4467"/>
      <c r="X1112" s="4303"/>
      <c r="Y1112" s="4939"/>
      <c r="Z1112" s="4939" t="s">
        <v>5751</v>
      </c>
      <c r="AA1112" s="4303"/>
      <c r="AB1112" s="4303"/>
      <c r="AC1112" s="4303"/>
      <c r="AD1112" s="4303"/>
      <c r="AE1112" s="4303"/>
      <c r="AF1112" s="4303"/>
      <c r="AG1112" s="4303"/>
      <c r="AH1112" s="4303"/>
      <c r="AI1112" s="4303"/>
      <c r="AJ1112" s="4303"/>
      <c r="AK1112" s="4303"/>
      <c r="AL1112" s="4303"/>
      <c r="AM1112" s="4303"/>
      <c r="AN1112" s="4303"/>
      <c r="AO1112" s="4303"/>
      <c r="AP1112" s="4303"/>
      <c r="AQ1112" s="4303"/>
      <c r="AR1112" s="4303"/>
      <c r="AS1112" s="4303"/>
      <c r="AT1112" s="4303"/>
      <c r="AU1112" s="4303"/>
      <c r="AV1112" s="4303"/>
      <c r="AW1112" s="4303"/>
      <c r="AX1112" s="4303"/>
      <c r="AY1112" s="4303"/>
      <c r="AZ1112" s="4303"/>
      <c r="BA1112" s="4303"/>
      <c r="BB1112" s="4303"/>
      <c r="BC1112" s="4303"/>
      <c r="BD1112" s="4303"/>
      <c r="BE1112" s="4303"/>
      <c r="BF1112" s="4303"/>
      <c r="BG1112" s="4303"/>
      <c r="BH1112" s="4303"/>
      <c r="BI1112" s="4303"/>
      <c r="BJ1112" s="4303"/>
      <c r="BK1112" s="4303"/>
      <c r="BL1112" s="4303"/>
      <c r="BM1112" s="4303"/>
      <c r="BN1112" s="4303"/>
      <c r="BO1112" s="4303"/>
      <c r="BP1112" s="4303"/>
      <c r="BQ1112" s="4303"/>
      <c r="BR1112" s="4303"/>
      <c r="BS1112" s="4303"/>
      <c r="BT1112" s="4303"/>
      <c r="BU1112" s="4303"/>
      <c r="BV1112" s="4303"/>
      <c r="BW1112" s="4303"/>
      <c r="BX1112" s="4303"/>
      <c r="BY1112" s="4303"/>
      <c r="BZ1112" s="4303"/>
      <c r="CA1112" s="4303"/>
      <c r="CB1112" s="4303"/>
      <c r="CC1112" s="4303"/>
      <c r="CD1112" s="4303"/>
      <c r="CE1112" s="4303"/>
      <c r="CF1112" s="4303"/>
      <c r="CG1112" s="4303"/>
      <c r="CH1112" s="4303"/>
      <c r="CI1112" s="4303"/>
      <c r="CJ1112" s="4303"/>
      <c r="CK1112" s="4303"/>
      <c r="CL1112" s="4303"/>
      <c r="CM1112" s="4303"/>
      <c r="CN1112" s="4303"/>
      <c r="CO1112" s="4303"/>
      <c r="CP1112" s="4303"/>
      <c r="CQ1112" s="4303"/>
      <c r="CR1112" s="4303"/>
      <c r="CS1112" s="4303"/>
      <c r="CT1112" s="4303"/>
      <c r="CU1112" s="4303"/>
      <c r="CV1112" s="4303"/>
      <c r="CW1112" s="4303"/>
      <c r="CX1112" s="4303"/>
      <c r="CY1112" s="4303"/>
      <c r="CZ1112" s="4303"/>
      <c r="DA1112" s="4303"/>
      <c r="DB1112" s="4303"/>
      <c r="DC1112" s="4303"/>
      <c r="DD1112" s="4303"/>
      <c r="DE1112" s="4303"/>
      <c r="DF1112" s="4303"/>
      <c r="DG1112" s="4303"/>
      <c r="DH1112" s="4303"/>
      <c r="DI1112" s="4303"/>
      <c r="DJ1112" s="4303"/>
      <c r="DK1112" s="4303"/>
      <c r="DL1112" s="4303"/>
      <c r="DM1112" s="4303"/>
      <c r="DN1112" s="4303"/>
      <c r="DO1112" s="4303"/>
      <c r="DP1112" s="4303"/>
      <c r="DQ1112" s="4303"/>
      <c r="DR1112" s="4303"/>
      <c r="DS1112" s="4303"/>
    </row>
    <row r="1113" s="679" customFormat="1" ht="17.25" customHeight="1" spans="1:125">
      <c r="A1113" s="4965"/>
      <c r="B1113" s="4965"/>
      <c r="C1113" s="4965"/>
      <c r="D1113" s="4965"/>
      <c r="E1113" s="4965"/>
      <c r="F1113" s="4965"/>
      <c r="G1113" s="4965"/>
      <c r="H1113" s="4964"/>
      <c r="I1113" s="4964"/>
      <c r="J1113" s="4964"/>
      <c r="K1113" s="4964"/>
      <c r="L1113" s="4964"/>
      <c r="M1113" s="4964"/>
      <c r="N1113" s="4964"/>
      <c r="O1113" s="4966"/>
      <c r="P1113" s="4966"/>
      <c r="Q1113" s="4303"/>
      <c r="R1113" s="4303"/>
      <c r="S1113" s="4965"/>
      <c r="T1113" s="4965"/>
      <c r="U1113" s="4965"/>
      <c r="V1113" s="4965"/>
      <c r="W1113" s="4965"/>
      <c r="X1113" s="4303"/>
      <c r="Y1113" s="4303"/>
      <c r="Z1113" s="4303"/>
      <c r="AA1113" s="4303"/>
      <c r="AB1113" s="4303"/>
      <c r="AC1113" s="4303"/>
      <c r="AD1113" s="4303"/>
      <c r="AE1113" s="4303"/>
      <c r="AF1113" s="4303"/>
      <c r="AG1113" s="4303"/>
      <c r="AH1113" s="4303"/>
      <c r="AI1113" s="4303"/>
      <c r="AJ1113" s="4303"/>
      <c r="AK1113" s="4303"/>
      <c r="AL1113" s="4303"/>
      <c r="AM1113" s="4303"/>
      <c r="AN1113" s="4303"/>
      <c r="AO1113" s="4303"/>
      <c r="AP1113" s="4303"/>
      <c r="AQ1113" s="4303"/>
      <c r="AR1113" s="4303"/>
      <c r="AS1113" s="4303"/>
      <c r="AT1113" s="4303"/>
      <c r="AU1113" s="4303"/>
      <c r="AV1113" s="4303"/>
      <c r="AW1113" s="4303"/>
      <c r="AX1113" s="4303"/>
      <c r="AY1113" s="4303"/>
      <c r="AZ1113" s="4303"/>
      <c r="BA1113" s="4303"/>
      <c r="BB1113" s="4303"/>
      <c r="BC1113" s="4303"/>
      <c r="BD1113" s="4303"/>
      <c r="BE1113" s="4303"/>
      <c r="BF1113" s="4303"/>
      <c r="BG1113" s="4303"/>
      <c r="BH1113" s="4303"/>
      <c r="BI1113" s="4303"/>
      <c r="BJ1113" s="4303"/>
      <c r="BK1113" s="4303"/>
      <c r="BL1113" s="4303"/>
      <c r="BM1113" s="4303"/>
      <c r="BN1113" s="4303"/>
      <c r="BO1113" s="4303"/>
      <c r="BP1113" s="4303"/>
      <c r="BQ1113" s="4303"/>
      <c r="BR1113" s="4303"/>
      <c r="BS1113" s="4303"/>
      <c r="BT1113" s="4303"/>
      <c r="BU1113" s="4303"/>
      <c r="BV1113" s="4303"/>
      <c r="BW1113" s="4303"/>
      <c r="BX1113" s="4303"/>
      <c r="BY1113" s="4303"/>
      <c r="BZ1113" s="4303"/>
      <c r="CA1113" s="4303"/>
      <c r="CB1113" s="4303"/>
      <c r="CC1113" s="4303"/>
      <c r="CD1113" s="4303"/>
      <c r="CE1113" s="4303"/>
      <c r="CF1113" s="4303"/>
      <c r="CG1113" s="4303"/>
      <c r="CH1113" s="4303"/>
      <c r="CI1113" s="4303"/>
      <c r="CJ1113" s="4303"/>
      <c r="CK1113" s="4303"/>
      <c r="CL1113" s="4303"/>
      <c r="CM1113" s="4303"/>
      <c r="CN1113" s="4303"/>
      <c r="CO1113" s="4303"/>
      <c r="CP1113" s="4303"/>
      <c r="CQ1113" s="4303"/>
      <c r="CR1113" s="4303"/>
      <c r="CS1113" s="4303"/>
      <c r="CT1113" s="4303"/>
      <c r="CU1113" s="4303"/>
      <c r="CV1113" s="4303"/>
      <c r="CW1113" s="4303"/>
      <c r="CX1113" s="4303"/>
      <c r="CY1113" s="4303"/>
      <c r="CZ1113" s="4303"/>
      <c r="DA1113" s="4303"/>
      <c r="DB1113" s="4303"/>
      <c r="DC1113" s="4303"/>
      <c r="DD1113" s="4303"/>
      <c r="DE1113" s="4303"/>
      <c r="DF1113" s="4303"/>
      <c r="DG1113" s="4303"/>
      <c r="DH1113" s="4303"/>
      <c r="DI1113" s="4303"/>
      <c r="DJ1113" s="4303"/>
      <c r="DK1113" s="4303"/>
      <c r="DL1113" s="4303"/>
      <c r="DM1113" s="4303"/>
      <c r="DN1113" s="4303"/>
      <c r="DO1113" s="4303"/>
      <c r="DP1113" s="4303"/>
      <c r="DQ1113" s="4303"/>
      <c r="DR1113" s="4303"/>
      <c r="DS1113" s="4303"/>
      <c r="DT1113" s="4134"/>
      <c r="DU1113" s="4134"/>
    </row>
    <row r="1114" s="489" customFormat="1" ht="15.75" spans="1:125">
      <c r="A1114" s="4420"/>
      <c r="B1114" s="4420"/>
      <c r="C1114" s="4420"/>
      <c r="D1114" s="4420"/>
      <c r="E1114" s="4420"/>
      <c r="F1114" s="4420"/>
      <c r="G1114" s="4420"/>
      <c r="H1114" s="4967"/>
      <c r="I1114" s="4967"/>
      <c r="J1114" s="4967"/>
      <c r="K1114" s="4967"/>
      <c r="L1114" s="4967"/>
      <c r="M1114" s="4967"/>
      <c r="N1114" s="4967"/>
      <c r="O1114" s="4968"/>
      <c r="P1114" s="4966"/>
      <c r="Q1114" s="4292"/>
      <c r="R1114" s="4292"/>
      <c r="S1114" s="4420"/>
      <c r="T1114" s="4420"/>
      <c r="U1114" s="4420"/>
      <c r="V1114" s="4420"/>
      <c r="W1114" s="4420"/>
      <c r="X1114" s="4292"/>
      <c r="Y1114" s="4292"/>
      <c r="Z1114" s="4292"/>
      <c r="AA1114" s="4292"/>
      <c r="AB1114" s="4292"/>
      <c r="AC1114" s="4292"/>
      <c r="AD1114" s="4292"/>
      <c r="AE1114" s="4292"/>
      <c r="AF1114" s="4292"/>
      <c r="AG1114" s="4292"/>
      <c r="AH1114" s="4292"/>
      <c r="AI1114" s="4292"/>
      <c r="AJ1114" s="4292"/>
      <c r="AK1114" s="4292"/>
      <c r="AL1114" s="4292"/>
      <c r="AM1114" s="4292"/>
      <c r="AN1114" s="4292"/>
      <c r="AO1114" s="4292"/>
      <c r="AP1114" s="4292"/>
      <c r="AQ1114" s="4292"/>
      <c r="AR1114" s="4292"/>
      <c r="AS1114" s="4292"/>
      <c r="AT1114" s="4292"/>
      <c r="AU1114" s="4292"/>
      <c r="AV1114" s="4292"/>
      <c r="AW1114" s="4292"/>
      <c r="AX1114" s="4292"/>
      <c r="AY1114" s="4292"/>
      <c r="AZ1114" s="4292"/>
      <c r="BA1114" s="4292"/>
      <c r="BB1114" s="4292"/>
      <c r="BC1114" s="4292"/>
      <c r="BD1114" s="4292"/>
      <c r="BE1114" s="4292"/>
      <c r="BF1114" s="4292"/>
      <c r="BG1114" s="4292"/>
      <c r="BH1114" s="4292"/>
      <c r="BI1114" s="4292"/>
      <c r="BJ1114" s="4292"/>
      <c r="BK1114" s="4292"/>
      <c r="BL1114" s="4292"/>
      <c r="BM1114" s="4292"/>
      <c r="BN1114" s="4292"/>
      <c r="BO1114" s="4292"/>
      <c r="BP1114" s="4292"/>
      <c r="BQ1114" s="4292"/>
      <c r="BR1114" s="4292"/>
      <c r="BS1114" s="4292"/>
      <c r="BT1114" s="4292"/>
      <c r="BU1114" s="4303"/>
      <c r="BV1114" s="4303"/>
      <c r="BW1114" s="4303"/>
      <c r="BX1114" s="4303"/>
      <c r="BY1114" s="4303"/>
      <c r="BZ1114" s="4303"/>
      <c r="CA1114" s="4303"/>
      <c r="CB1114" s="4303"/>
      <c r="CC1114" s="4303"/>
      <c r="CD1114" s="4303"/>
      <c r="CE1114" s="4303"/>
      <c r="CF1114" s="4303"/>
      <c r="CG1114" s="4303"/>
      <c r="CH1114" s="4303"/>
      <c r="CI1114" s="4303"/>
      <c r="CJ1114" s="4303"/>
      <c r="CK1114" s="4303"/>
      <c r="CL1114" s="4303"/>
      <c r="CM1114" s="4303"/>
      <c r="CN1114" s="4303"/>
      <c r="CO1114" s="4303"/>
      <c r="CP1114" s="4303"/>
      <c r="CQ1114" s="4303"/>
      <c r="CR1114" s="4303"/>
      <c r="CS1114" s="4303"/>
      <c r="CT1114" s="4303"/>
      <c r="CU1114" s="4303"/>
      <c r="CV1114" s="4303"/>
      <c r="CW1114" s="4303"/>
      <c r="CX1114" s="4303"/>
      <c r="CY1114" s="4303"/>
      <c r="CZ1114" s="4303"/>
      <c r="DA1114" s="4303"/>
      <c r="DB1114" s="4303"/>
      <c r="DC1114" s="4303"/>
      <c r="DD1114" s="4303"/>
      <c r="DE1114" s="4303"/>
      <c r="DF1114" s="4303"/>
      <c r="DG1114" s="4303"/>
      <c r="DH1114" s="4303"/>
      <c r="DI1114" s="4303"/>
      <c r="DJ1114" s="4303"/>
      <c r="DK1114" s="4303"/>
      <c r="DL1114" s="4303"/>
      <c r="DM1114" s="4303"/>
      <c r="DN1114" s="4303"/>
      <c r="DO1114" s="4303"/>
      <c r="DP1114" s="4303"/>
      <c r="DQ1114" s="4303"/>
      <c r="DR1114" s="4303"/>
      <c r="DS1114" s="4303"/>
      <c r="DT1114" s="4134"/>
      <c r="DU1114" s="4134"/>
    </row>
    <row r="1115" s="489" customFormat="1" ht="15.75" hidden="1" spans="1:125">
      <c r="A1115" s="4420"/>
      <c r="B1115" s="4420"/>
      <c r="C1115" s="4420"/>
      <c r="D1115" s="4420"/>
      <c r="E1115" s="4420"/>
      <c r="F1115" s="4420"/>
      <c r="G1115" s="4420"/>
      <c r="H1115" s="4967"/>
      <c r="I1115" s="4967"/>
      <c r="J1115" s="4967"/>
      <c r="K1115" s="4967"/>
      <c r="L1115" s="4967"/>
      <c r="M1115" s="4967"/>
      <c r="N1115" s="4967"/>
      <c r="O1115" s="4968"/>
      <c r="P1115" s="4966"/>
      <c r="Q1115" s="4292"/>
      <c r="R1115" s="4292"/>
      <c r="S1115" s="4420"/>
      <c r="T1115" s="4420"/>
      <c r="U1115" s="4420"/>
      <c r="V1115" s="4420"/>
      <c r="W1115" s="4420"/>
      <c r="X1115" s="4292"/>
      <c r="Y1115" s="4292"/>
      <c r="Z1115" s="4292"/>
      <c r="AA1115" s="4292"/>
      <c r="AB1115" s="4292"/>
      <c r="AC1115" s="4292"/>
      <c r="AD1115" s="4292"/>
      <c r="AE1115" s="4292"/>
      <c r="AF1115" s="4292"/>
      <c r="AG1115" s="4292"/>
      <c r="AH1115" s="4292"/>
      <c r="AI1115" s="4292"/>
      <c r="AJ1115" s="4292"/>
      <c r="AK1115" s="4292"/>
      <c r="AL1115" s="4292"/>
      <c r="AM1115" s="4292"/>
      <c r="AN1115" s="4292"/>
      <c r="AO1115" s="4292"/>
      <c r="AP1115" s="4292"/>
      <c r="AQ1115" s="4292"/>
      <c r="AR1115" s="4292"/>
      <c r="AS1115" s="4292"/>
      <c r="AT1115" s="4292"/>
      <c r="AU1115" s="4292"/>
      <c r="AV1115" s="4292"/>
      <c r="AW1115" s="4292"/>
      <c r="AX1115" s="4292"/>
      <c r="AY1115" s="4292"/>
      <c r="AZ1115" s="4292"/>
      <c r="BA1115" s="4292"/>
      <c r="BB1115" s="4292"/>
      <c r="BC1115" s="4292"/>
      <c r="BD1115" s="4292"/>
      <c r="BE1115" s="4292"/>
      <c r="BF1115" s="4292"/>
      <c r="BG1115" s="4292"/>
      <c r="BH1115" s="4292"/>
      <c r="BI1115" s="4292"/>
      <c r="BJ1115" s="4292"/>
      <c r="BK1115" s="4292"/>
      <c r="BL1115" s="4292"/>
      <c r="BM1115" s="4292"/>
      <c r="BN1115" s="4292"/>
      <c r="BO1115" s="4292"/>
      <c r="BP1115" s="4292"/>
      <c r="BQ1115" s="4292"/>
      <c r="BR1115" s="4292"/>
      <c r="BS1115" s="4292"/>
      <c r="BT1115" s="4292"/>
      <c r="BU1115" s="4303"/>
      <c r="BV1115" s="4303"/>
      <c r="BW1115" s="4303"/>
      <c r="BX1115" s="4303"/>
      <c r="BY1115" s="4303"/>
      <c r="BZ1115" s="4303"/>
      <c r="CA1115" s="4303"/>
      <c r="CB1115" s="4303"/>
      <c r="CC1115" s="4303"/>
      <c r="CD1115" s="4303"/>
      <c r="CE1115" s="4303"/>
      <c r="CF1115" s="4303"/>
      <c r="CG1115" s="4303"/>
      <c r="CH1115" s="4303"/>
      <c r="CI1115" s="4303"/>
      <c r="CJ1115" s="4303"/>
      <c r="CK1115" s="4303"/>
      <c r="CL1115" s="4303"/>
      <c r="CM1115" s="4303"/>
      <c r="CN1115" s="4303"/>
      <c r="CO1115" s="4303"/>
      <c r="CP1115" s="4303"/>
      <c r="CQ1115" s="4303"/>
      <c r="CR1115" s="4303"/>
      <c r="CS1115" s="4303"/>
      <c r="CT1115" s="4303"/>
      <c r="CU1115" s="4303"/>
      <c r="CV1115" s="4303"/>
      <c r="CW1115" s="4303"/>
      <c r="CX1115" s="4303"/>
      <c r="CY1115" s="4303"/>
      <c r="CZ1115" s="4303"/>
      <c r="DA1115" s="4303"/>
      <c r="DB1115" s="4303"/>
      <c r="DC1115" s="4303"/>
      <c r="DD1115" s="4303"/>
      <c r="DE1115" s="4303"/>
      <c r="DF1115" s="4303"/>
      <c r="DG1115" s="4303"/>
      <c r="DH1115" s="4303"/>
      <c r="DI1115" s="4303"/>
      <c r="DJ1115" s="4303"/>
      <c r="DK1115" s="4303"/>
      <c r="DL1115" s="4303"/>
      <c r="DM1115" s="4303"/>
      <c r="DN1115" s="4303"/>
      <c r="DO1115" s="4303"/>
      <c r="DP1115" s="4303"/>
      <c r="DQ1115" s="4303"/>
      <c r="DR1115" s="4303"/>
      <c r="DS1115" s="4303"/>
      <c r="DT1115" s="4134"/>
      <c r="DU1115" s="4134"/>
    </row>
    <row r="1116" s="489" customFormat="1" ht="15.75" hidden="1" spans="1:125">
      <c r="A1116" s="4420"/>
      <c r="B1116" s="4420"/>
      <c r="C1116" s="4420"/>
      <c r="D1116" s="4420"/>
      <c r="E1116" s="4420"/>
      <c r="F1116" s="4420"/>
      <c r="G1116" s="4420"/>
      <c r="H1116" s="4967"/>
      <c r="I1116" s="4967"/>
      <c r="J1116" s="4967"/>
      <c r="K1116" s="4967"/>
      <c r="L1116" s="4967"/>
      <c r="M1116" s="4967"/>
      <c r="N1116" s="4967"/>
      <c r="O1116" s="4968"/>
      <c r="P1116" s="4966"/>
      <c r="Q1116" s="4292"/>
      <c r="R1116" s="4292"/>
      <c r="S1116" s="4420"/>
      <c r="T1116" s="4420"/>
      <c r="U1116" s="4420"/>
      <c r="V1116" s="4420"/>
      <c r="W1116" s="4420"/>
      <c r="X1116" s="4292"/>
      <c r="Y1116" s="4292"/>
      <c r="Z1116" s="4292"/>
      <c r="AA1116" s="4292"/>
      <c r="AB1116" s="4292"/>
      <c r="AC1116" s="4292"/>
      <c r="AD1116" s="4292"/>
      <c r="AE1116" s="4292"/>
      <c r="AF1116" s="4292"/>
      <c r="AG1116" s="4292"/>
      <c r="AH1116" s="4292"/>
      <c r="AI1116" s="4292"/>
      <c r="AJ1116" s="4292"/>
      <c r="AK1116" s="4292"/>
      <c r="AL1116" s="4292"/>
      <c r="AM1116" s="4292"/>
      <c r="AN1116" s="4292"/>
      <c r="AO1116" s="4292"/>
      <c r="AP1116" s="4292"/>
      <c r="AQ1116" s="4292"/>
      <c r="AR1116" s="4292"/>
      <c r="AS1116" s="4292"/>
      <c r="AT1116" s="4292"/>
      <c r="AU1116" s="4292"/>
      <c r="AV1116" s="4292"/>
      <c r="AW1116" s="4292"/>
      <c r="AX1116" s="4292"/>
      <c r="AY1116" s="4292"/>
      <c r="AZ1116" s="4292"/>
      <c r="BA1116" s="4292"/>
      <c r="BB1116" s="4292"/>
      <c r="BC1116" s="4292"/>
      <c r="BD1116" s="4292"/>
      <c r="BE1116" s="4292"/>
      <c r="BF1116" s="4292"/>
      <c r="BG1116" s="4292"/>
      <c r="BH1116" s="4292"/>
      <c r="BI1116" s="4292"/>
      <c r="BJ1116" s="4292"/>
      <c r="BK1116" s="4292"/>
      <c r="BL1116" s="4292"/>
      <c r="BM1116" s="4292"/>
      <c r="BN1116" s="4292"/>
      <c r="BO1116" s="4292"/>
      <c r="BP1116" s="4292"/>
      <c r="BQ1116" s="4292"/>
      <c r="BR1116" s="4292"/>
      <c r="BS1116" s="4292"/>
      <c r="BT1116" s="4292"/>
      <c r="BU1116" s="4303"/>
      <c r="BV1116" s="4303"/>
      <c r="BW1116" s="4303"/>
      <c r="BX1116" s="4303"/>
      <c r="BY1116" s="4303"/>
      <c r="BZ1116" s="4303"/>
      <c r="CA1116" s="4303"/>
      <c r="CB1116" s="4303"/>
      <c r="CC1116" s="4303"/>
      <c r="CD1116" s="4303"/>
      <c r="CE1116" s="4303"/>
      <c r="CF1116" s="4303"/>
      <c r="CG1116" s="4303"/>
      <c r="CH1116" s="4303"/>
      <c r="CI1116" s="4303"/>
      <c r="CJ1116" s="4303"/>
      <c r="CK1116" s="4303"/>
      <c r="CL1116" s="4303"/>
      <c r="CM1116" s="4303"/>
      <c r="CN1116" s="4303"/>
      <c r="CO1116" s="4303"/>
      <c r="CP1116" s="4303"/>
      <c r="CQ1116" s="4303"/>
      <c r="CR1116" s="4303"/>
      <c r="CS1116" s="4303"/>
      <c r="CT1116" s="4303"/>
      <c r="CU1116" s="4303"/>
      <c r="CV1116" s="4303"/>
      <c r="CW1116" s="4303"/>
      <c r="CX1116" s="4303"/>
      <c r="CY1116" s="4303"/>
      <c r="CZ1116" s="4303"/>
      <c r="DA1116" s="4303"/>
      <c r="DB1116" s="4303"/>
      <c r="DC1116" s="4303"/>
      <c r="DD1116" s="4303"/>
      <c r="DE1116" s="4303"/>
      <c r="DF1116" s="4303"/>
      <c r="DG1116" s="4303"/>
      <c r="DH1116" s="4303"/>
      <c r="DI1116" s="4303"/>
      <c r="DJ1116" s="4303"/>
      <c r="DK1116" s="4303"/>
      <c r="DL1116" s="4303"/>
      <c r="DM1116" s="4303"/>
      <c r="DN1116" s="4303"/>
      <c r="DO1116" s="4303"/>
      <c r="DP1116" s="4303"/>
      <c r="DQ1116" s="4303"/>
      <c r="DR1116" s="4303"/>
      <c r="DS1116" s="4303"/>
      <c r="DT1116" s="4134"/>
      <c r="DU1116" s="4134"/>
    </row>
    <row r="1117" s="489" customFormat="1" ht="14.25" hidden="1" customHeight="1" spans="1:125">
      <c r="A1117" s="4420"/>
      <c r="B1117" s="4420"/>
      <c r="C1117" s="4420"/>
      <c r="D1117" s="4420"/>
      <c r="E1117" s="4420"/>
      <c r="F1117" s="4420"/>
      <c r="G1117" s="4420"/>
      <c r="H1117" s="4967"/>
      <c r="I1117" s="4967"/>
      <c r="J1117" s="4967"/>
      <c r="K1117" s="4967"/>
      <c r="L1117" s="4967"/>
      <c r="M1117" s="4967"/>
      <c r="N1117" s="4967"/>
      <c r="O1117" s="4968"/>
      <c r="P1117" s="4966"/>
      <c r="Q1117" s="4292"/>
      <c r="R1117" s="4292"/>
      <c r="S1117" s="4420"/>
      <c r="T1117" s="4420"/>
      <c r="U1117" s="4420"/>
      <c r="V1117" s="4420"/>
      <c r="W1117" s="4420"/>
      <c r="X1117" s="4292"/>
      <c r="Y1117" s="4292"/>
      <c r="Z1117" s="4292"/>
      <c r="AA1117" s="4292"/>
      <c r="AB1117" s="4292"/>
      <c r="AC1117" s="4292"/>
      <c r="AD1117" s="4292"/>
      <c r="AE1117" s="4292"/>
      <c r="AF1117" s="4292"/>
      <c r="AG1117" s="4292"/>
      <c r="AH1117" s="4292"/>
      <c r="AI1117" s="4292"/>
      <c r="AJ1117" s="4292"/>
      <c r="AK1117" s="4292"/>
      <c r="AL1117" s="4292"/>
      <c r="AM1117" s="4292"/>
      <c r="AN1117" s="4292"/>
      <c r="AO1117" s="4292"/>
      <c r="AP1117" s="4292"/>
      <c r="AQ1117" s="4292"/>
      <c r="AR1117" s="4292"/>
      <c r="AS1117" s="4292"/>
      <c r="AT1117" s="4292"/>
      <c r="AU1117" s="4292"/>
      <c r="AV1117" s="4292"/>
      <c r="AW1117" s="4292"/>
      <c r="AX1117" s="4292"/>
      <c r="AY1117" s="4292"/>
      <c r="AZ1117" s="4292"/>
      <c r="BA1117" s="4292"/>
      <c r="BB1117" s="4292"/>
      <c r="BC1117" s="4292"/>
      <c r="BD1117" s="4292"/>
      <c r="BE1117" s="4292"/>
      <c r="BF1117" s="4292"/>
      <c r="BG1117" s="4292"/>
      <c r="BH1117" s="4292"/>
      <c r="BI1117" s="4292"/>
      <c r="BJ1117" s="4292"/>
      <c r="BK1117" s="4292"/>
      <c r="BL1117" s="4292"/>
      <c r="BM1117" s="4292"/>
      <c r="BN1117" s="4292"/>
      <c r="BO1117" s="4292"/>
      <c r="BP1117" s="4292"/>
      <c r="BQ1117" s="4292"/>
      <c r="BR1117" s="4292"/>
      <c r="BS1117" s="4292"/>
      <c r="BT1117" s="4292"/>
      <c r="BU1117" s="4303"/>
      <c r="BV1117" s="4303"/>
      <c r="BW1117" s="4303"/>
      <c r="BX1117" s="4303"/>
      <c r="BY1117" s="4303"/>
      <c r="BZ1117" s="4303"/>
      <c r="CA1117" s="4303"/>
      <c r="CB1117" s="4303"/>
      <c r="CC1117" s="4303"/>
      <c r="CD1117" s="4303"/>
      <c r="CE1117" s="4303"/>
      <c r="CF1117" s="4303"/>
      <c r="CG1117" s="4303"/>
      <c r="CH1117" s="4303"/>
      <c r="CI1117" s="4303"/>
      <c r="CJ1117" s="4303"/>
      <c r="CK1117" s="4303"/>
      <c r="CL1117" s="4303"/>
      <c r="CM1117" s="4303"/>
      <c r="CN1117" s="4303"/>
      <c r="CO1117" s="4303"/>
      <c r="CP1117" s="4303"/>
      <c r="CQ1117" s="4303"/>
      <c r="CR1117" s="4303"/>
      <c r="CS1117" s="4303"/>
      <c r="CT1117" s="4303"/>
      <c r="CU1117" s="4303"/>
      <c r="CV1117" s="4303"/>
      <c r="CW1117" s="4303"/>
      <c r="CX1117" s="4303"/>
      <c r="CY1117" s="4303"/>
      <c r="CZ1117" s="4303"/>
      <c r="DA1117" s="4303"/>
      <c r="DB1117" s="4303"/>
      <c r="DC1117" s="4303"/>
      <c r="DD1117" s="4303"/>
      <c r="DE1117" s="4303"/>
      <c r="DF1117" s="4303"/>
      <c r="DG1117" s="4303"/>
      <c r="DH1117" s="4303"/>
      <c r="DI1117" s="4303"/>
      <c r="DJ1117" s="4303"/>
      <c r="DK1117" s="4303"/>
      <c r="DL1117" s="4303"/>
      <c r="DM1117" s="4303"/>
      <c r="DN1117" s="4303"/>
      <c r="DO1117" s="4303"/>
      <c r="DP1117" s="4303"/>
      <c r="DQ1117" s="4303"/>
      <c r="DR1117" s="4303"/>
      <c r="DS1117" s="4303"/>
      <c r="DT1117" s="4134"/>
      <c r="DU1117" s="4134"/>
    </row>
    <row r="1118" s="489" customFormat="1" ht="15.75" hidden="1" spans="1:125">
      <c r="A1118" s="4420"/>
      <c r="B1118" s="4420"/>
      <c r="C1118" s="4420"/>
      <c r="D1118" s="4420"/>
      <c r="E1118" s="4420"/>
      <c r="F1118" s="4420"/>
      <c r="G1118" s="4420"/>
      <c r="H1118" s="4967"/>
      <c r="I1118" s="4967"/>
      <c r="J1118" s="4967"/>
      <c r="K1118" s="4967"/>
      <c r="L1118" s="4967"/>
      <c r="M1118" s="4967"/>
      <c r="N1118" s="4967"/>
      <c r="O1118" s="4968"/>
      <c r="P1118" s="4966"/>
      <c r="Q1118" s="4292"/>
      <c r="R1118" s="4292"/>
      <c r="S1118" s="4420"/>
      <c r="T1118" s="4420"/>
      <c r="U1118" s="4420"/>
      <c r="V1118" s="4420"/>
      <c r="W1118" s="4420"/>
      <c r="X1118" s="4292"/>
      <c r="Y1118" s="4292"/>
      <c r="Z1118" s="4292"/>
      <c r="AA1118" s="4292"/>
      <c r="AB1118" s="4292"/>
      <c r="AC1118" s="4292"/>
      <c r="AD1118" s="4292"/>
      <c r="AE1118" s="4292"/>
      <c r="AF1118" s="4292"/>
      <c r="AG1118" s="4292"/>
      <c r="AH1118" s="4292"/>
      <c r="AI1118" s="4292"/>
      <c r="AJ1118" s="4292"/>
      <c r="AK1118" s="4292"/>
      <c r="AL1118" s="4292"/>
      <c r="AM1118" s="4292"/>
      <c r="AN1118" s="4292"/>
      <c r="AO1118" s="4292"/>
      <c r="AP1118" s="4292"/>
      <c r="AQ1118" s="4292"/>
      <c r="AR1118" s="4292"/>
      <c r="AS1118" s="4292"/>
      <c r="AT1118" s="4292"/>
      <c r="AU1118" s="4292"/>
      <c r="AV1118" s="4292"/>
      <c r="AW1118" s="4292"/>
      <c r="AX1118" s="4292"/>
      <c r="AY1118" s="4292"/>
      <c r="AZ1118" s="4292"/>
      <c r="BA1118" s="4292"/>
      <c r="BB1118" s="4292"/>
      <c r="BC1118" s="4292"/>
      <c r="BD1118" s="4292"/>
      <c r="BE1118" s="4292"/>
      <c r="BF1118" s="4292"/>
      <c r="BG1118" s="4292"/>
      <c r="BH1118" s="4292"/>
      <c r="BI1118" s="4292"/>
      <c r="BJ1118" s="4292"/>
      <c r="BK1118" s="4292"/>
      <c r="BL1118" s="4292"/>
      <c r="BM1118" s="4292"/>
      <c r="BN1118" s="4292"/>
      <c r="BO1118" s="4292"/>
      <c r="BP1118" s="4292"/>
      <c r="BQ1118" s="4292"/>
      <c r="BR1118" s="4292"/>
      <c r="BS1118" s="4292"/>
      <c r="BT1118" s="4292"/>
      <c r="BU1118" s="4303"/>
      <c r="BV1118" s="4303"/>
      <c r="BW1118" s="4303"/>
      <c r="BX1118" s="4303"/>
      <c r="BY1118" s="4303"/>
      <c r="BZ1118" s="4303"/>
      <c r="CA1118" s="4303"/>
      <c r="CB1118" s="4303"/>
      <c r="CC1118" s="4303"/>
      <c r="CD1118" s="4303"/>
      <c r="CE1118" s="4303"/>
      <c r="CF1118" s="4303"/>
      <c r="CG1118" s="4303"/>
      <c r="CH1118" s="4303"/>
      <c r="CI1118" s="4303"/>
      <c r="CJ1118" s="4303"/>
      <c r="CK1118" s="4303"/>
      <c r="CL1118" s="4303"/>
      <c r="CM1118" s="4303"/>
      <c r="CN1118" s="4303"/>
      <c r="CO1118" s="4303"/>
      <c r="CP1118" s="4303"/>
      <c r="CQ1118" s="4303"/>
      <c r="CR1118" s="4303"/>
      <c r="CS1118" s="4303"/>
      <c r="CT1118" s="4303"/>
      <c r="CU1118" s="4303"/>
      <c r="CV1118" s="4303"/>
      <c r="CW1118" s="4303"/>
      <c r="CX1118" s="4303"/>
      <c r="CY1118" s="4303"/>
      <c r="CZ1118" s="4303"/>
      <c r="DA1118" s="4303"/>
      <c r="DB1118" s="4303"/>
      <c r="DC1118" s="4303"/>
      <c r="DD1118" s="4303"/>
      <c r="DE1118" s="4303"/>
      <c r="DF1118" s="4303"/>
      <c r="DG1118" s="4303"/>
      <c r="DH1118" s="4303"/>
      <c r="DI1118" s="4303"/>
      <c r="DJ1118" s="4303"/>
      <c r="DK1118" s="4303"/>
      <c r="DL1118" s="4303"/>
      <c r="DM1118" s="4303"/>
      <c r="DN1118" s="4303"/>
      <c r="DO1118" s="4303"/>
      <c r="DP1118" s="4303"/>
      <c r="DQ1118" s="4303"/>
      <c r="DR1118" s="4303"/>
      <c r="DS1118" s="4303"/>
      <c r="DT1118" s="4134"/>
      <c r="DU1118" s="4134"/>
    </row>
    <row r="1119" s="489" customFormat="1" ht="15.75" hidden="1" spans="1:125">
      <c r="A1119" s="4420"/>
      <c r="B1119" s="4420"/>
      <c r="C1119" s="4420"/>
      <c r="D1119" s="4420"/>
      <c r="E1119" s="4420"/>
      <c r="F1119" s="4420"/>
      <c r="G1119" s="4420"/>
      <c r="H1119" s="4967"/>
      <c r="I1119" s="4967"/>
      <c r="J1119" s="4967"/>
      <c r="K1119" s="4967"/>
      <c r="L1119" s="4967"/>
      <c r="M1119" s="4967"/>
      <c r="N1119" s="4967"/>
      <c r="O1119" s="4968"/>
      <c r="P1119" s="4966"/>
      <c r="Q1119" s="4292"/>
      <c r="R1119" s="4292"/>
      <c r="S1119" s="4420"/>
      <c r="T1119" s="4420"/>
      <c r="U1119" s="4420"/>
      <c r="V1119" s="4420"/>
      <c r="W1119" s="4420"/>
      <c r="X1119" s="4292"/>
      <c r="Y1119" s="4292"/>
      <c r="Z1119" s="4292"/>
      <c r="AA1119" s="4292"/>
      <c r="AB1119" s="4292"/>
      <c r="AC1119" s="4292"/>
      <c r="AD1119" s="4292"/>
      <c r="AE1119" s="4292"/>
      <c r="AF1119" s="4292"/>
      <c r="AG1119" s="4292"/>
      <c r="AH1119" s="4292"/>
      <c r="AI1119" s="4292"/>
      <c r="AJ1119" s="4292"/>
      <c r="AK1119" s="4292"/>
      <c r="AL1119" s="4292"/>
      <c r="AM1119" s="4292"/>
      <c r="AN1119" s="4292"/>
      <c r="AO1119" s="4292"/>
      <c r="AP1119" s="4292"/>
      <c r="AQ1119" s="4292"/>
      <c r="AR1119" s="4292"/>
      <c r="AS1119" s="4292"/>
      <c r="AT1119" s="4292"/>
      <c r="AU1119" s="4292"/>
      <c r="AV1119" s="4292"/>
      <c r="AW1119" s="4292"/>
      <c r="AX1119" s="4292"/>
      <c r="AY1119" s="4292"/>
      <c r="AZ1119" s="4292"/>
      <c r="BA1119" s="4292"/>
      <c r="BB1119" s="4292"/>
      <c r="BC1119" s="4292"/>
      <c r="BD1119" s="4292"/>
      <c r="BE1119" s="4292"/>
      <c r="BF1119" s="4292"/>
      <c r="BG1119" s="4292"/>
      <c r="BH1119" s="4292"/>
      <c r="BI1119" s="4292"/>
      <c r="BJ1119" s="4292"/>
      <c r="BK1119" s="4292"/>
      <c r="BL1119" s="4292"/>
      <c r="BM1119" s="4292"/>
      <c r="BN1119" s="4292"/>
      <c r="BO1119" s="4292"/>
      <c r="BP1119" s="4292"/>
      <c r="BQ1119" s="4292"/>
      <c r="BR1119" s="4292"/>
      <c r="BS1119" s="4292"/>
      <c r="BT1119" s="4292"/>
      <c r="BU1119" s="4303"/>
      <c r="BV1119" s="4303"/>
      <c r="BW1119" s="4303"/>
      <c r="BX1119" s="4303"/>
      <c r="BY1119" s="4303"/>
      <c r="BZ1119" s="4303"/>
      <c r="CA1119" s="4303"/>
      <c r="CB1119" s="4303"/>
      <c r="CC1119" s="4303"/>
      <c r="CD1119" s="4303"/>
      <c r="CE1119" s="4303"/>
      <c r="CF1119" s="4303"/>
      <c r="CG1119" s="4303"/>
      <c r="CH1119" s="4303"/>
      <c r="CI1119" s="4303"/>
      <c r="CJ1119" s="4303"/>
      <c r="CK1119" s="4303"/>
      <c r="CL1119" s="4303"/>
      <c r="CM1119" s="4303"/>
      <c r="CN1119" s="4303"/>
      <c r="CO1119" s="4303"/>
      <c r="CP1119" s="4303"/>
      <c r="CQ1119" s="4303"/>
      <c r="CR1119" s="4303"/>
      <c r="CS1119" s="4303"/>
      <c r="CT1119" s="4303"/>
      <c r="CU1119" s="4303"/>
      <c r="CV1119" s="4303"/>
      <c r="CW1119" s="4303"/>
      <c r="CX1119" s="4303"/>
      <c r="CY1119" s="4303"/>
      <c r="CZ1119" s="4303"/>
      <c r="DA1119" s="4303"/>
      <c r="DB1119" s="4303"/>
      <c r="DC1119" s="4303"/>
      <c r="DD1119" s="4303"/>
      <c r="DE1119" s="4303"/>
      <c r="DF1119" s="4303"/>
      <c r="DG1119" s="4303"/>
      <c r="DH1119" s="4303"/>
      <c r="DI1119" s="4303"/>
      <c r="DJ1119" s="4303"/>
      <c r="DK1119" s="4303"/>
      <c r="DL1119" s="4303"/>
      <c r="DM1119" s="4303"/>
      <c r="DN1119" s="4303"/>
      <c r="DO1119" s="4303"/>
      <c r="DP1119" s="4303"/>
      <c r="DQ1119" s="4303"/>
      <c r="DR1119" s="4303"/>
      <c r="DS1119" s="4303"/>
      <c r="DT1119" s="4134"/>
      <c r="DU1119" s="4134"/>
    </row>
    <row r="1120" s="489" customFormat="1" ht="15.75" hidden="1" spans="1:125">
      <c r="A1120" s="4420"/>
      <c r="B1120" s="4420"/>
      <c r="C1120" s="4420"/>
      <c r="D1120" s="4420"/>
      <c r="E1120" s="4420"/>
      <c r="F1120" s="4420"/>
      <c r="G1120" s="4420"/>
      <c r="H1120" s="4967"/>
      <c r="I1120" s="4967"/>
      <c r="J1120" s="4967"/>
      <c r="K1120" s="4967"/>
      <c r="L1120" s="4967"/>
      <c r="M1120" s="4967"/>
      <c r="N1120" s="4967"/>
      <c r="O1120" s="4968"/>
      <c r="P1120" s="4966"/>
      <c r="Q1120" s="4292"/>
      <c r="R1120" s="4292"/>
      <c r="S1120" s="4420"/>
      <c r="T1120" s="4420"/>
      <c r="U1120" s="4420"/>
      <c r="V1120" s="4420"/>
      <c r="W1120" s="4420"/>
      <c r="X1120" s="4292"/>
      <c r="Y1120" s="4292"/>
      <c r="Z1120" s="4292"/>
      <c r="AA1120" s="4292"/>
      <c r="AB1120" s="4292"/>
      <c r="AC1120" s="4292"/>
      <c r="AD1120" s="4292"/>
      <c r="AE1120" s="4292"/>
      <c r="AF1120" s="4292"/>
      <c r="AG1120" s="4292"/>
      <c r="AH1120" s="4292"/>
      <c r="AI1120" s="4292"/>
      <c r="AJ1120" s="4292"/>
      <c r="AK1120" s="4292"/>
      <c r="AL1120" s="4292"/>
      <c r="AM1120" s="4292"/>
      <c r="AN1120" s="4292"/>
      <c r="AO1120" s="4292"/>
      <c r="AP1120" s="4292"/>
      <c r="AQ1120" s="4292"/>
      <c r="AR1120" s="4292"/>
      <c r="AS1120" s="4292"/>
      <c r="AT1120" s="4292"/>
      <c r="AU1120" s="4292"/>
      <c r="AV1120" s="4292"/>
      <c r="AW1120" s="4292"/>
      <c r="AX1120" s="4292"/>
      <c r="AY1120" s="4292"/>
      <c r="AZ1120" s="4292"/>
      <c r="BA1120" s="4292"/>
      <c r="BB1120" s="4292"/>
      <c r="BC1120" s="4292"/>
      <c r="BD1120" s="4292"/>
      <c r="BE1120" s="4292"/>
      <c r="BF1120" s="4292"/>
      <c r="BG1120" s="4292"/>
      <c r="BH1120" s="4292"/>
      <c r="BI1120" s="4292"/>
      <c r="BJ1120" s="4292"/>
      <c r="BK1120" s="4292"/>
      <c r="BL1120" s="4292"/>
      <c r="BM1120" s="4292"/>
      <c r="BN1120" s="4292"/>
      <c r="BO1120" s="4292"/>
      <c r="BP1120" s="4292"/>
      <c r="BQ1120" s="4292"/>
      <c r="BR1120" s="4292"/>
      <c r="BS1120" s="4292"/>
      <c r="BT1120" s="4292"/>
      <c r="BU1120" s="4303"/>
      <c r="BV1120" s="4303"/>
      <c r="BW1120" s="4303"/>
      <c r="BX1120" s="4303"/>
      <c r="BY1120" s="4303"/>
      <c r="BZ1120" s="4303"/>
      <c r="CA1120" s="4303"/>
      <c r="CB1120" s="4303"/>
      <c r="CC1120" s="4303"/>
      <c r="CD1120" s="4303"/>
      <c r="CE1120" s="4303"/>
      <c r="CF1120" s="4303"/>
      <c r="CG1120" s="4303"/>
      <c r="CH1120" s="4303"/>
      <c r="CI1120" s="4303"/>
      <c r="CJ1120" s="4303"/>
      <c r="CK1120" s="4303"/>
      <c r="CL1120" s="4303"/>
      <c r="CM1120" s="4303"/>
      <c r="CN1120" s="4303"/>
      <c r="CO1120" s="4303"/>
      <c r="CP1120" s="4303"/>
      <c r="CQ1120" s="4303"/>
      <c r="CR1120" s="4303"/>
      <c r="CS1120" s="4303"/>
      <c r="CT1120" s="4303"/>
      <c r="CU1120" s="4303"/>
      <c r="CV1120" s="4303"/>
      <c r="CW1120" s="4303"/>
      <c r="CX1120" s="4303"/>
      <c r="CY1120" s="4303"/>
      <c r="CZ1120" s="4303"/>
      <c r="DA1120" s="4303"/>
      <c r="DB1120" s="4303"/>
      <c r="DC1120" s="4303"/>
      <c r="DD1120" s="4303"/>
      <c r="DE1120" s="4303"/>
      <c r="DF1120" s="4303"/>
      <c r="DG1120" s="4303"/>
      <c r="DH1120" s="4303"/>
      <c r="DI1120" s="4303"/>
      <c r="DJ1120" s="4303"/>
      <c r="DK1120" s="4303"/>
      <c r="DL1120" s="4303"/>
      <c r="DM1120" s="4303"/>
      <c r="DN1120" s="4303"/>
      <c r="DO1120" s="4303"/>
      <c r="DP1120" s="4303"/>
      <c r="DQ1120" s="4303"/>
      <c r="DR1120" s="4303"/>
      <c r="DS1120" s="4303"/>
      <c r="DT1120" s="4134"/>
      <c r="DU1120" s="4134"/>
    </row>
    <row r="1121" s="489" customFormat="1" ht="15.75" hidden="1" spans="1:125">
      <c r="A1121" s="4420"/>
      <c r="B1121" s="4420"/>
      <c r="C1121" s="4420"/>
      <c r="D1121" s="4420"/>
      <c r="E1121" s="4420"/>
      <c r="F1121" s="4420"/>
      <c r="G1121" s="4420"/>
      <c r="H1121" s="4967"/>
      <c r="I1121" s="4967"/>
      <c r="J1121" s="4967"/>
      <c r="K1121" s="4967"/>
      <c r="L1121" s="4967"/>
      <c r="M1121" s="4967"/>
      <c r="N1121" s="4967"/>
      <c r="O1121" s="4968"/>
      <c r="P1121" s="4966"/>
      <c r="Q1121" s="4292"/>
      <c r="R1121" s="4292"/>
      <c r="S1121" s="4420"/>
      <c r="T1121" s="4420"/>
      <c r="U1121" s="4420"/>
      <c r="V1121" s="4420"/>
      <c r="W1121" s="4420"/>
      <c r="X1121" s="4292"/>
      <c r="Y1121" s="4292"/>
      <c r="Z1121" s="4292"/>
      <c r="AA1121" s="4292"/>
      <c r="AB1121" s="4292"/>
      <c r="AC1121" s="4292"/>
      <c r="AD1121" s="4292"/>
      <c r="AE1121" s="4292"/>
      <c r="AF1121" s="4292"/>
      <c r="AG1121" s="4292"/>
      <c r="AH1121" s="4292"/>
      <c r="AI1121" s="4292"/>
      <c r="AJ1121" s="4292"/>
      <c r="AK1121" s="4292"/>
      <c r="AL1121" s="4292"/>
      <c r="AM1121" s="4292"/>
      <c r="AN1121" s="4292"/>
      <c r="AO1121" s="4292"/>
      <c r="AP1121" s="4292"/>
      <c r="AQ1121" s="4292"/>
      <c r="AR1121" s="4292"/>
      <c r="AS1121" s="4292"/>
      <c r="AT1121" s="4292"/>
      <c r="AU1121" s="4292"/>
      <c r="AV1121" s="4292"/>
      <c r="AW1121" s="4292"/>
      <c r="AX1121" s="4292"/>
      <c r="AY1121" s="4292"/>
      <c r="AZ1121" s="4292"/>
      <c r="BA1121" s="4292"/>
      <c r="BB1121" s="4292"/>
      <c r="BC1121" s="4292"/>
      <c r="BD1121" s="4292"/>
      <c r="BE1121" s="4292"/>
      <c r="BF1121" s="4292"/>
      <c r="BG1121" s="4292"/>
      <c r="BH1121" s="4292"/>
      <c r="BI1121" s="4292"/>
      <c r="BJ1121" s="4292"/>
      <c r="BK1121" s="4292"/>
      <c r="BL1121" s="4292"/>
      <c r="BM1121" s="4292"/>
      <c r="BN1121" s="4292"/>
      <c r="BO1121" s="4292"/>
      <c r="BP1121" s="4292"/>
      <c r="BQ1121" s="4292"/>
      <c r="BR1121" s="4292"/>
      <c r="BS1121" s="4292"/>
      <c r="BT1121" s="4292"/>
      <c r="BU1121" s="4303"/>
      <c r="BV1121" s="4303"/>
      <c r="BW1121" s="4303"/>
      <c r="BX1121" s="4303"/>
      <c r="BY1121" s="4303"/>
      <c r="BZ1121" s="4303"/>
      <c r="CA1121" s="4303"/>
      <c r="CB1121" s="4303"/>
      <c r="CC1121" s="4303"/>
      <c r="CD1121" s="4303"/>
      <c r="CE1121" s="4303"/>
      <c r="CF1121" s="4303"/>
      <c r="CG1121" s="4303"/>
      <c r="CH1121" s="4303"/>
      <c r="CI1121" s="4303"/>
      <c r="CJ1121" s="4303"/>
      <c r="CK1121" s="4303"/>
      <c r="CL1121" s="4303"/>
      <c r="CM1121" s="4303"/>
      <c r="CN1121" s="4303"/>
      <c r="CO1121" s="4303"/>
      <c r="CP1121" s="4303"/>
      <c r="CQ1121" s="4303"/>
      <c r="CR1121" s="4303"/>
      <c r="CS1121" s="4303"/>
      <c r="CT1121" s="4303"/>
      <c r="CU1121" s="4303"/>
      <c r="CV1121" s="4303"/>
      <c r="CW1121" s="4303"/>
      <c r="CX1121" s="4303"/>
      <c r="CY1121" s="4303"/>
      <c r="CZ1121" s="4303"/>
      <c r="DA1121" s="4303"/>
      <c r="DB1121" s="4303"/>
      <c r="DC1121" s="4303"/>
      <c r="DD1121" s="4303"/>
      <c r="DE1121" s="4303"/>
      <c r="DF1121" s="4303"/>
      <c r="DG1121" s="4303"/>
      <c r="DH1121" s="4303"/>
      <c r="DI1121" s="4303"/>
      <c r="DJ1121" s="4303"/>
      <c r="DK1121" s="4303"/>
      <c r="DL1121" s="4303"/>
      <c r="DM1121" s="4303"/>
      <c r="DN1121" s="4303"/>
      <c r="DO1121" s="4303"/>
      <c r="DP1121" s="4303"/>
      <c r="DQ1121" s="4303"/>
      <c r="DR1121" s="4303"/>
      <c r="DS1121" s="4303"/>
      <c r="DT1121" s="4134"/>
      <c r="DU1121" s="4134"/>
    </row>
    <row r="1122" s="489" customFormat="1" ht="15.75" hidden="1" spans="1:125">
      <c r="A1122" s="4420"/>
      <c r="B1122" s="4420"/>
      <c r="C1122" s="4420"/>
      <c r="D1122" s="4420"/>
      <c r="E1122" s="4420"/>
      <c r="F1122" s="4420"/>
      <c r="G1122" s="4420"/>
      <c r="H1122" s="4967"/>
      <c r="I1122" s="4967"/>
      <c r="J1122" s="4967"/>
      <c r="K1122" s="4967"/>
      <c r="L1122" s="4967"/>
      <c r="M1122" s="4967"/>
      <c r="N1122" s="4967"/>
      <c r="O1122" s="4968"/>
      <c r="P1122" s="4966"/>
      <c r="Q1122" s="4292"/>
      <c r="R1122" s="4292"/>
      <c r="S1122" s="4420"/>
      <c r="T1122" s="4420"/>
      <c r="U1122" s="4420"/>
      <c r="V1122" s="4420"/>
      <c r="W1122" s="4420"/>
      <c r="X1122" s="4292"/>
      <c r="Y1122" s="4292"/>
      <c r="Z1122" s="4292"/>
      <c r="AA1122" s="4292"/>
      <c r="AB1122" s="4292"/>
      <c r="AC1122" s="4292"/>
      <c r="AD1122" s="4292"/>
      <c r="AE1122" s="4292"/>
      <c r="AF1122" s="4292"/>
      <c r="AG1122" s="4292"/>
      <c r="AH1122" s="4292"/>
      <c r="AI1122" s="4292"/>
      <c r="AJ1122" s="4292"/>
      <c r="AK1122" s="4292"/>
      <c r="AL1122" s="4292"/>
      <c r="AM1122" s="4292"/>
      <c r="AN1122" s="4292"/>
      <c r="AO1122" s="4292"/>
      <c r="AP1122" s="4292"/>
      <c r="AQ1122" s="4292"/>
      <c r="AR1122" s="4292"/>
      <c r="AS1122" s="4292"/>
      <c r="AT1122" s="4292"/>
      <c r="AU1122" s="4292"/>
      <c r="AV1122" s="4292"/>
      <c r="AW1122" s="4292"/>
      <c r="AX1122" s="4292"/>
      <c r="AY1122" s="4292"/>
      <c r="AZ1122" s="4292"/>
      <c r="BA1122" s="4292"/>
      <c r="BB1122" s="4292"/>
      <c r="BC1122" s="4292"/>
      <c r="BD1122" s="4292"/>
      <c r="BE1122" s="4292"/>
      <c r="BF1122" s="4292"/>
      <c r="BG1122" s="4292"/>
      <c r="BH1122" s="4292"/>
      <c r="BI1122" s="4292"/>
      <c r="BJ1122" s="4292"/>
      <c r="BK1122" s="4292"/>
      <c r="BL1122" s="4292"/>
      <c r="BM1122" s="4292"/>
      <c r="BN1122" s="4292"/>
      <c r="BO1122" s="4292"/>
      <c r="BP1122" s="4292"/>
      <c r="BQ1122" s="4292"/>
      <c r="BR1122" s="4292"/>
      <c r="BS1122" s="4292"/>
      <c r="BT1122" s="4292"/>
      <c r="BU1122" s="4303"/>
      <c r="BV1122" s="4303"/>
      <c r="BW1122" s="4303"/>
      <c r="BX1122" s="4303"/>
      <c r="BY1122" s="4303"/>
      <c r="BZ1122" s="4303"/>
      <c r="CA1122" s="4303"/>
      <c r="CB1122" s="4303"/>
      <c r="CC1122" s="4303"/>
      <c r="CD1122" s="4303"/>
      <c r="CE1122" s="4303"/>
      <c r="CF1122" s="4303"/>
      <c r="CG1122" s="4303"/>
      <c r="CH1122" s="4303"/>
      <c r="CI1122" s="4303"/>
      <c r="CJ1122" s="4303"/>
      <c r="CK1122" s="4303"/>
      <c r="CL1122" s="4303"/>
      <c r="CM1122" s="4303"/>
      <c r="CN1122" s="4303"/>
      <c r="CO1122" s="4303"/>
      <c r="CP1122" s="4303"/>
      <c r="CQ1122" s="4303"/>
      <c r="CR1122" s="4303"/>
      <c r="CS1122" s="4303"/>
      <c r="CT1122" s="4303"/>
      <c r="CU1122" s="4303"/>
      <c r="CV1122" s="4303"/>
      <c r="CW1122" s="4303"/>
      <c r="CX1122" s="4303"/>
      <c r="CY1122" s="4303"/>
      <c r="CZ1122" s="4303"/>
      <c r="DA1122" s="4303"/>
      <c r="DB1122" s="4303"/>
      <c r="DC1122" s="4303"/>
      <c r="DD1122" s="4303"/>
      <c r="DE1122" s="4303"/>
      <c r="DF1122" s="4303"/>
      <c r="DG1122" s="4303"/>
      <c r="DH1122" s="4303"/>
      <c r="DI1122" s="4303"/>
      <c r="DJ1122" s="4303"/>
      <c r="DK1122" s="4303"/>
      <c r="DL1122" s="4303"/>
      <c r="DM1122" s="4303"/>
      <c r="DN1122" s="4303"/>
      <c r="DO1122" s="4303"/>
      <c r="DP1122" s="4303"/>
      <c r="DQ1122" s="4303"/>
      <c r="DR1122" s="4303"/>
      <c r="DS1122" s="4303"/>
      <c r="DT1122" s="4134"/>
      <c r="DU1122" s="4134"/>
    </row>
    <row r="1123" s="489" customFormat="1" ht="15.75" hidden="1" spans="1:125">
      <c r="A1123" s="4420"/>
      <c r="B1123" s="4420"/>
      <c r="C1123" s="4420"/>
      <c r="D1123" s="4420"/>
      <c r="E1123" s="4420"/>
      <c r="F1123" s="4420"/>
      <c r="G1123" s="4420"/>
      <c r="H1123" s="4967"/>
      <c r="I1123" s="4967"/>
      <c r="J1123" s="4967"/>
      <c r="K1123" s="4967"/>
      <c r="L1123" s="4967"/>
      <c r="M1123" s="4967"/>
      <c r="N1123" s="4967"/>
      <c r="O1123" s="4968"/>
      <c r="P1123" s="4966"/>
      <c r="Q1123" s="4292"/>
      <c r="R1123" s="4292"/>
      <c r="S1123" s="4420"/>
      <c r="T1123" s="4420"/>
      <c r="U1123" s="4420"/>
      <c r="V1123" s="4420"/>
      <c r="W1123" s="4420"/>
      <c r="X1123" s="4292"/>
      <c r="Y1123" s="4292"/>
      <c r="Z1123" s="4292"/>
      <c r="AA1123" s="4292"/>
      <c r="AB1123" s="4292"/>
      <c r="AC1123" s="4292"/>
      <c r="AD1123" s="4292"/>
      <c r="AE1123" s="4292"/>
      <c r="AF1123" s="4292"/>
      <c r="AG1123" s="4292"/>
      <c r="AH1123" s="4292"/>
      <c r="AI1123" s="4292"/>
      <c r="AJ1123" s="4292"/>
      <c r="AK1123" s="4292"/>
      <c r="AL1123" s="4292"/>
      <c r="AM1123" s="4292"/>
      <c r="AN1123" s="4292"/>
      <c r="AO1123" s="4292"/>
      <c r="AP1123" s="4292"/>
      <c r="AQ1123" s="4292"/>
      <c r="AR1123" s="4292"/>
      <c r="AS1123" s="4292"/>
      <c r="AT1123" s="4292"/>
      <c r="AU1123" s="4292"/>
      <c r="AV1123" s="4292"/>
      <c r="AW1123" s="4292"/>
      <c r="AX1123" s="4292"/>
      <c r="AY1123" s="4292"/>
      <c r="AZ1123" s="4292"/>
      <c r="BA1123" s="4292"/>
      <c r="BB1123" s="4292"/>
      <c r="BC1123" s="4292"/>
      <c r="BD1123" s="4292"/>
      <c r="BE1123" s="4292"/>
      <c r="BF1123" s="4292"/>
      <c r="BG1123" s="4292"/>
      <c r="BH1123" s="4292"/>
      <c r="BI1123" s="4292"/>
      <c r="BJ1123" s="4292"/>
      <c r="BK1123" s="4292"/>
      <c r="BL1123" s="4292"/>
      <c r="BM1123" s="4292"/>
      <c r="BN1123" s="4292"/>
      <c r="BO1123" s="4292"/>
      <c r="BP1123" s="4292"/>
      <c r="BQ1123" s="4292"/>
      <c r="BR1123" s="4292"/>
      <c r="BS1123" s="4292"/>
      <c r="BT1123" s="4292"/>
      <c r="BU1123" s="4303"/>
      <c r="BV1123" s="4303"/>
      <c r="BW1123" s="4303"/>
      <c r="BX1123" s="4303"/>
      <c r="BY1123" s="4303"/>
      <c r="BZ1123" s="4303"/>
      <c r="CA1123" s="4303"/>
      <c r="CB1123" s="4303"/>
      <c r="CC1123" s="4303"/>
      <c r="CD1123" s="4303"/>
      <c r="CE1123" s="4303"/>
      <c r="CF1123" s="4303"/>
      <c r="CG1123" s="4303"/>
      <c r="CH1123" s="4303"/>
      <c r="CI1123" s="4303"/>
      <c r="CJ1123" s="4303"/>
      <c r="CK1123" s="4303"/>
      <c r="CL1123" s="4303"/>
      <c r="CM1123" s="4303"/>
      <c r="CN1123" s="4303"/>
      <c r="CO1123" s="4303"/>
      <c r="CP1123" s="4303"/>
      <c r="CQ1123" s="4303"/>
      <c r="CR1123" s="4303"/>
      <c r="CS1123" s="4303"/>
      <c r="CT1123" s="4303"/>
      <c r="CU1123" s="4303"/>
      <c r="CV1123" s="4303"/>
      <c r="CW1123" s="4303"/>
      <c r="CX1123" s="4303"/>
      <c r="CY1123" s="4303"/>
      <c r="CZ1123" s="4303"/>
      <c r="DA1123" s="4303"/>
      <c r="DB1123" s="4303"/>
      <c r="DC1123" s="4303"/>
      <c r="DD1123" s="4303"/>
      <c r="DE1123" s="4303"/>
      <c r="DF1123" s="4303"/>
      <c r="DG1123" s="4303"/>
      <c r="DH1123" s="4303"/>
      <c r="DI1123" s="4303"/>
      <c r="DJ1123" s="4303"/>
      <c r="DK1123" s="4303"/>
      <c r="DL1123" s="4303"/>
      <c r="DM1123" s="4303"/>
      <c r="DN1123" s="4303"/>
      <c r="DO1123" s="4303"/>
      <c r="DP1123" s="4303"/>
      <c r="DQ1123" s="4303"/>
      <c r="DR1123" s="4303"/>
      <c r="DS1123" s="4303"/>
      <c r="DT1123" s="4134"/>
      <c r="DU1123" s="4134"/>
    </row>
    <row r="1124" s="489" customFormat="1" ht="15.75" hidden="1" spans="1:125">
      <c r="A1124" s="4420"/>
      <c r="B1124" s="4420"/>
      <c r="C1124" s="4420"/>
      <c r="D1124" s="4420"/>
      <c r="E1124" s="4420"/>
      <c r="F1124" s="4420"/>
      <c r="G1124" s="4420"/>
      <c r="H1124" s="4967"/>
      <c r="I1124" s="4967"/>
      <c r="J1124" s="4967"/>
      <c r="K1124" s="4967"/>
      <c r="L1124" s="4967"/>
      <c r="M1124" s="4967"/>
      <c r="N1124" s="4967"/>
      <c r="O1124" s="4968"/>
      <c r="P1124" s="4966"/>
      <c r="Q1124" s="4292"/>
      <c r="R1124" s="4292"/>
      <c r="S1124" s="4420"/>
      <c r="T1124" s="4420"/>
      <c r="U1124" s="4420"/>
      <c r="V1124" s="4420"/>
      <c r="W1124" s="4420"/>
      <c r="X1124" s="4292"/>
      <c r="Y1124" s="4292"/>
      <c r="Z1124" s="4292"/>
      <c r="AA1124" s="4292"/>
      <c r="AB1124" s="4292"/>
      <c r="AC1124" s="4292"/>
      <c r="AD1124" s="4292"/>
      <c r="AE1124" s="4292"/>
      <c r="AF1124" s="4292"/>
      <c r="AG1124" s="4292"/>
      <c r="AH1124" s="4292"/>
      <c r="AI1124" s="4292"/>
      <c r="AJ1124" s="4292"/>
      <c r="AK1124" s="4292"/>
      <c r="AL1124" s="4292"/>
      <c r="AM1124" s="4292"/>
      <c r="AN1124" s="4292"/>
      <c r="AO1124" s="4292"/>
      <c r="AP1124" s="4292"/>
      <c r="AQ1124" s="4292"/>
      <c r="AR1124" s="4292"/>
      <c r="AS1124" s="4292"/>
      <c r="AT1124" s="4292"/>
      <c r="AU1124" s="4292"/>
      <c r="AV1124" s="4292"/>
      <c r="AW1124" s="4292"/>
      <c r="AX1124" s="4292"/>
      <c r="AY1124" s="4292"/>
      <c r="AZ1124" s="4292"/>
      <c r="BA1124" s="4292"/>
      <c r="BB1124" s="4292"/>
      <c r="BC1124" s="4292"/>
      <c r="BD1124" s="4292"/>
      <c r="BE1124" s="4292"/>
      <c r="BF1124" s="4292"/>
      <c r="BG1124" s="4292"/>
      <c r="BH1124" s="4292"/>
      <c r="BI1124" s="4292"/>
      <c r="BJ1124" s="4292"/>
      <c r="BK1124" s="4292"/>
      <c r="BL1124" s="4292"/>
      <c r="BM1124" s="4292"/>
      <c r="BN1124" s="4292"/>
      <c r="BO1124" s="4292"/>
      <c r="BP1124" s="4292"/>
      <c r="BQ1124" s="4292"/>
      <c r="BR1124" s="4292"/>
      <c r="BS1124" s="4292"/>
      <c r="BT1124" s="4292"/>
      <c r="BU1124" s="4303"/>
      <c r="BV1124" s="4303"/>
      <c r="BW1124" s="4303"/>
      <c r="BX1124" s="4303"/>
      <c r="BY1124" s="4303"/>
      <c r="BZ1124" s="4303"/>
      <c r="CA1124" s="4303"/>
      <c r="CB1124" s="4303"/>
      <c r="CC1124" s="4303"/>
      <c r="CD1124" s="4303"/>
      <c r="CE1124" s="4303"/>
      <c r="CF1124" s="4303"/>
      <c r="CG1124" s="4303"/>
      <c r="CH1124" s="4303"/>
      <c r="CI1124" s="4303"/>
      <c r="CJ1124" s="4303"/>
      <c r="CK1124" s="4303"/>
      <c r="CL1124" s="4303"/>
      <c r="CM1124" s="4303"/>
      <c r="CN1124" s="4303"/>
      <c r="CO1124" s="4303"/>
      <c r="CP1124" s="4303"/>
      <c r="CQ1124" s="4303"/>
      <c r="CR1124" s="4303"/>
      <c r="CS1124" s="4303"/>
      <c r="CT1124" s="4303"/>
      <c r="CU1124" s="4303"/>
      <c r="CV1124" s="4303"/>
      <c r="CW1124" s="4303"/>
      <c r="CX1124" s="4303"/>
      <c r="CY1124" s="4303"/>
      <c r="CZ1124" s="4303"/>
      <c r="DA1124" s="4303"/>
      <c r="DB1124" s="4303"/>
      <c r="DC1124" s="4303"/>
      <c r="DD1124" s="4303"/>
      <c r="DE1124" s="4303"/>
      <c r="DF1124" s="4303"/>
      <c r="DG1124" s="4303"/>
      <c r="DH1124" s="4303"/>
      <c r="DI1124" s="4303"/>
      <c r="DJ1124" s="4303"/>
      <c r="DK1124" s="4303"/>
      <c r="DL1124" s="4303"/>
      <c r="DM1124" s="4303"/>
      <c r="DN1124" s="4303"/>
      <c r="DO1124" s="4303"/>
      <c r="DP1124" s="4303"/>
      <c r="DQ1124" s="4303"/>
      <c r="DR1124" s="4303"/>
      <c r="DS1124" s="4303"/>
      <c r="DT1124" s="4134"/>
      <c r="DU1124" s="4134"/>
    </row>
    <row r="1125" s="489" customFormat="1" ht="15.75" hidden="1" spans="1:125">
      <c r="A1125" s="4420"/>
      <c r="B1125" s="4420"/>
      <c r="C1125" s="4420"/>
      <c r="D1125" s="4420"/>
      <c r="E1125" s="4420"/>
      <c r="F1125" s="4420"/>
      <c r="G1125" s="4420"/>
      <c r="H1125" s="4967"/>
      <c r="I1125" s="4967"/>
      <c r="J1125" s="4967"/>
      <c r="K1125" s="4967"/>
      <c r="L1125" s="4967"/>
      <c r="M1125" s="4967"/>
      <c r="N1125" s="4967"/>
      <c r="O1125" s="4968"/>
      <c r="P1125" s="4966"/>
      <c r="Q1125" s="4292"/>
      <c r="R1125" s="4292"/>
      <c r="S1125" s="4420"/>
      <c r="T1125" s="4420"/>
      <c r="U1125" s="4420"/>
      <c r="V1125" s="4420"/>
      <c r="W1125" s="4420"/>
      <c r="X1125" s="4292"/>
      <c r="Y1125" s="4292"/>
      <c r="Z1125" s="4292"/>
      <c r="AA1125" s="4292"/>
      <c r="AB1125" s="4292"/>
      <c r="AC1125" s="4292"/>
      <c r="AD1125" s="4292"/>
      <c r="AE1125" s="4292"/>
      <c r="AF1125" s="4292"/>
      <c r="AG1125" s="4292"/>
      <c r="AH1125" s="4292"/>
      <c r="AI1125" s="4292"/>
      <c r="AJ1125" s="4292"/>
      <c r="AK1125" s="4292"/>
      <c r="AL1125" s="4292"/>
      <c r="AM1125" s="4292"/>
      <c r="AN1125" s="4292"/>
      <c r="AO1125" s="4292"/>
      <c r="AP1125" s="4292"/>
      <c r="AQ1125" s="4292"/>
      <c r="AR1125" s="4292"/>
      <c r="AS1125" s="4292"/>
      <c r="AT1125" s="4292"/>
      <c r="AU1125" s="4292"/>
      <c r="AV1125" s="4292"/>
      <c r="AW1125" s="4292"/>
      <c r="AX1125" s="4292"/>
      <c r="AY1125" s="4292"/>
      <c r="AZ1125" s="4292"/>
      <c r="BA1125" s="4292"/>
      <c r="BB1125" s="4292"/>
      <c r="BC1125" s="4292"/>
      <c r="BD1125" s="4292"/>
      <c r="BE1125" s="4292"/>
      <c r="BF1125" s="4292"/>
      <c r="BG1125" s="4292"/>
      <c r="BH1125" s="4292"/>
      <c r="BI1125" s="4292"/>
      <c r="BJ1125" s="4292"/>
      <c r="BK1125" s="4292"/>
      <c r="BL1125" s="4292"/>
      <c r="BM1125" s="4292"/>
      <c r="BN1125" s="4292"/>
      <c r="BO1125" s="4292"/>
      <c r="BP1125" s="4292"/>
      <c r="BQ1125" s="4292"/>
      <c r="BR1125" s="4292"/>
      <c r="BS1125" s="4292"/>
      <c r="BT1125" s="4292"/>
      <c r="BU1125" s="4303"/>
      <c r="BV1125" s="4303"/>
      <c r="BW1125" s="4303"/>
      <c r="BX1125" s="4303"/>
      <c r="BY1125" s="4303"/>
      <c r="BZ1125" s="4303"/>
      <c r="CA1125" s="4303"/>
      <c r="CB1125" s="4303"/>
      <c r="CC1125" s="4303"/>
      <c r="CD1125" s="4303"/>
      <c r="CE1125" s="4303"/>
      <c r="CF1125" s="4303"/>
      <c r="CG1125" s="4303"/>
      <c r="CH1125" s="4303"/>
      <c r="CI1125" s="4303"/>
      <c r="CJ1125" s="4303"/>
      <c r="CK1125" s="4303"/>
      <c r="CL1125" s="4303"/>
      <c r="CM1125" s="4303"/>
      <c r="CN1125" s="4303"/>
      <c r="CO1125" s="4303"/>
      <c r="CP1125" s="4303"/>
      <c r="CQ1125" s="4303"/>
      <c r="CR1125" s="4303"/>
      <c r="CS1125" s="4303"/>
      <c r="CT1125" s="4303"/>
      <c r="CU1125" s="4303"/>
      <c r="CV1125" s="4303"/>
      <c r="CW1125" s="4303"/>
      <c r="CX1125" s="4303"/>
      <c r="CY1125" s="4303"/>
      <c r="CZ1125" s="4303"/>
      <c r="DA1125" s="4303"/>
      <c r="DB1125" s="4303"/>
      <c r="DC1125" s="4303"/>
      <c r="DD1125" s="4303"/>
      <c r="DE1125" s="4303"/>
      <c r="DF1125" s="4303"/>
      <c r="DG1125" s="4303"/>
      <c r="DH1125" s="4303"/>
      <c r="DI1125" s="4303"/>
      <c r="DJ1125" s="4303"/>
      <c r="DK1125" s="4303"/>
      <c r="DL1125" s="4303"/>
      <c r="DM1125" s="4303"/>
      <c r="DN1125" s="4303"/>
      <c r="DO1125" s="4303"/>
      <c r="DP1125" s="4303"/>
      <c r="DQ1125" s="4303"/>
      <c r="DR1125" s="4303"/>
      <c r="DS1125" s="4303"/>
      <c r="DT1125" s="4134"/>
      <c r="DU1125" s="4134"/>
    </row>
    <row r="1126" s="489" customFormat="1" ht="15.75" hidden="1" spans="1:125">
      <c r="A1126" s="4420"/>
      <c r="B1126" s="4420"/>
      <c r="C1126" s="4420"/>
      <c r="D1126" s="4420"/>
      <c r="E1126" s="4420"/>
      <c r="F1126" s="4420"/>
      <c r="G1126" s="4420"/>
      <c r="H1126" s="4967"/>
      <c r="I1126" s="4967"/>
      <c r="J1126" s="4967"/>
      <c r="K1126" s="4967"/>
      <c r="L1126" s="4967"/>
      <c r="M1126" s="4967"/>
      <c r="N1126" s="4967"/>
      <c r="O1126" s="4968"/>
      <c r="P1126" s="4966"/>
      <c r="Q1126" s="4292"/>
      <c r="R1126" s="4292"/>
      <c r="S1126" s="4420"/>
      <c r="T1126" s="4420"/>
      <c r="U1126" s="4420"/>
      <c r="V1126" s="4420"/>
      <c r="W1126" s="4420"/>
      <c r="X1126" s="4292"/>
      <c r="Y1126" s="4292"/>
      <c r="Z1126" s="4292"/>
      <c r="AA1126" s="4292"/>
      <c r="AB1126" s="4292"/>
      <c r="AC1126" s="4292"/>
      <c r="AD1126" s="4292"/>
      <c r="AE1126" s="4292"/>
      <c r="AF1126" s="4292"/>
      <c r="AG1126" s="4292"/>
      <c r="AH1126" s="4292"/>
      <c r="AI1126" s="4292"/>
      <c r="AJ1126" s="4292"/>
      <c r="AK1126" s="4292"/>
      <c r="AL1126" s="4292"/>
      <c r="AM1126" s="4292"/>
      <c r="AN1126" s="4292"/>
      <c r="AO1126" s="4292"/>
      <c r="AP1126" s="4292"/>
      <c r="AQ1126" s="4292"/>
      <c r="AR1126" s="4292"/>
      <c r="AS1126" s="4292"/>
      <c r="AT1126" s="4292"/>
      <c r="AU1126" s="4292"/>
      <c r="AV1126" s="4292"/>
      <c r="AW1126" s="4292"/>
      <c r="AX1126" s="4292"/>
      <c r="AY1126" s="4292"/>
      <c r="AZ1126" s="4292"/>
      <c r="BA1126" s="4292"/>
      <c r="BB1126" s="4292"/>
      <c r="BC1126" s="4292"/>
      <c r="BD1126" s="4292"/>
      <c r="BE1126" s="4292"/>
      <c r="BF1126" s="4292"/>
      <c r="BG1126" s="4292"/>
      <c r="BH1126" s="4292"/>
      <c r="BI1126" s="4292"/>
      <c r="BJ1126" s="4292"/>
      <c r="BK1126" s="4292"/>
      <c r="BL1126" s="4292"/>
      <c r="BM1126" s="4292"/>
      <c r="BN1126" s="4292"/>
      <c r="BO1126" s="4292"/>
      <c r="BP1126" s="4292"/>
      <c r="BQ1126" s="4292"/>
      <c r="BR1126" s="4292"/>
      <c r="BS1126" s="4292"/>
      <c r="BT1126" s="4292"/>
      <c r="BU1126" s="4303"/>
      <c r="BV1126" s="4303"/>
      <c r="BW1126" s="4303"/>
      <c r="BX1126" s="4303"/>
      <c r="BY1126" s="4303"/>
      <c r="BZ1126" s="4303"/>
      <c r="CA1126" s="4303"/>
      <c r="CB1126" s="4303"/>
      <c r="CC1126" s="4303"/>
      <c r="CD1126" s="4303"/>
      <c r="CE1126" s="4303"/>
      <c r="CF1126" s="4303"/>
      <c r="CG1126" s="4303"/>
      <c r="CH1126" s="4303"/>
      <c r="CI1126" s="4303"/>
      <c r="CJ1126" s="4303"/>
      <c r="CK1126" s="4303"/>
      <c r="CL1126" s="4303"/>
      <c r="CM1126" s="4303"/>
      <c r="CN1126" s="4303"/>
      <c r="CO1126" s="4303"/>
      <c r="CP1126" s="4303"/>
      <c r="CQ1126" s="4303"/>
      <c r="CR1126" s="4303"/>
      <c r="CS1126" s="4303"/>
      <c r="CT1126" s="4303"/>
      <c r="CU1126" s="4303"/>
      <c r="CV1126" s="4303"/>
      <c r="CW1126" s="4303"/>
      <c r="CX1126" s="4303"/>
      <c r="CY1126" s="4303"/>
      <c r="CZ1126" s="4303"/>
      <c r="DA1126" s="4303"/>
      <c r="DB1126" s="4303"/>
      <c r="DC1126" s="4303"/>
      <c r="DD1126" s="4303"/>
      <c r="DE1126" s="4303"/>
      <c r="DF1126" s="4303"/>
      <c r="DG1126" s="4303"/>
      <c r="DH1126" s="4303"/>
      <c r="DI1126" s="4303"/>
      <c r="DJ1126" s="4303"/>
      <c r="DK1126" s="4303"/>
      <c r="DL1126" s="4303"/>
      <c r="DM1126" s="4303"/>
      <c r="DN1126" s="4303"/>
      <c r="DO1126" s="4303"/>
      <c r="DP1126" s="4303"/>
      <c r="DQ1126" s="4303"/>
      <c r="DR1126" s="4303"/>
      <c r="DS1126" s="4303"/>
      <c r="DT1126" s="4134"/>
      <c r="DU1126" s="4134"/>
    </row>
    <row r="1127" s="489" customFormat="1" ht="15.75" hidden="1" spans="1:125">
      <c r="A1127" s="4420"/>
      <c r="B1127" s="4420"/>
      <c r="C1127" s="4420"/>
      <c r="D1127" s="4420"/>
      <c r="E1127" s="4420"/>
      <c r="F1127" s="4420"/>
      <c r="G1127" s="4420"/>
      <c r="H1127" s="4967"/>
      <c r="I1127" s="4967"/>
      <c r="J1127" s="4967"/>
      <c r="K1127" s="4967"/>
      <c r="L1127" s="4967"/>
      <c r="M1127" s="4967"/>
      <c r="N1127" s="4967"/>
      <c r="O1127" s="4968"/>
      <c r="P1127" s="4966"/>
      <c r="Q1127" s="4292"/>
      <c r="R1127" s="4292"/>
      <c r="S1127" s="4420"/>
      <c r="T1127" s="4420"/>
      <c r="U1127" s="4420"/>
      <c r="V1127" s="4420"/>
      <c r="W1127" s="4420"/>
      <c r="X1127" s="4292"/>
      <c r="Y1127" s="4292"/>
      <c r="Z1127" s="4292"/>
      <c r="AA1127" s="4292"/>
      <c r="AB1127" s="4292"/>
      <c r="AC1127" s="4292"/>
      <c r="AD1127" s="4292"/>
      <c r="AE1127" s="4292"/>
      <c r="AF1127" s="4292"/>
      <c r="AG1127" s="4292"/>
      <c r="AH1127" s="4292"/>
      <c r="AI1127" s="4292"/>
      <c r="AJ1127" s="4292"/>
      <c r="AK1127" s="4292"/>
      <c r="AL1127" s="4292"/>
      <c r="AM1127" s="4292"/>
      <c r="AN1127" s="4292"/>
      <c r="AO1127" s="4292"/>
      <c r="AP1127" s="4292"/>
      <c r="AQ1127" s="4292"/>
      <c r="AR1127" s="4292"/>
      <c r="AS1127" s="4292"/>
      <c r="AT1127" s="4292"/>
      <c r="AU1127" s="4292"/>
      <c r="AV1127" s="4292"/>
      <c r="AW1127" s="4292"/>
      <c r="AX1127" s="4292"/>
      <c r="AY1127" s="4292"/>
      <c r="AZ1127" s="4292"/>
      <c r="BA1127" s="4292"/>
      <c r="BB1127" s="4292"/>
      <c r="BC1127" s="4292"/>
      <c r="BD1127" s="4292"/>
      <c r="BE1127" s="4292"/>
      <c r="BF1127" s="4292"/>
      <c r="BG1127" s="4292"/>
      <c r="BH1127" s="4292"/>
      <c r="BI1127" s="4292"/>
      <c r="BJ1127" s="4292"/>
      <c r="BK1127" s="4292"/>
      <c r="BL1127" s="4292"/>
      <c r="BM1127" s="4292"/>
      <c r="BN1127" s="4292"/>
      <c r="BO1127" s="4292"/>
      <c r="BP1127" s="4292"/>
      <c r="BQ1127" s="4292"/>
      <c r="BR1127" s="4292"/>
      <c r="BS1127" s="4292"/>
      <c r="BT1127" s="4292"/>
      <c r="BU1127" s="4303"/>
      <c r="BV1127" s="4303"/>
      <c r="BW1127" s="4303"/>
      <c r="BX1127" s="4303"/>
      <c r="BY1127" s="4303"/>
      <c r="BZ1127" s="4303"/>
      <c r="CA1127" s="4303"/>
      <c r="CB1127" s="4303"/>
      <c r="CC1127" s="4303"/>
      <c r="CD1127" s="4303"/>
      <c r="CE1127" s="4303"/>
      <c r="CF1127" s="4303"/>
      <c r="CG1127" s="4303"/>
      <c r="CH1127" s="4303"/>
      <c r="CI1127" s="4303"/>
      <c r="CJ1127" s="4303"/>
      <c r="CK1127" s="4303"/>
      <c r="CL1127" s="4303"/>
      <c r="CM1127" s="4303"/>
      <c r="CN1127" s="4303"/>
      <c r="CO1127" s="4303"/>
      <c r="CP1127" s="4303"/>
      <c r="CQ1127" s="4303"/>
      <c r="CR1127" s="4303"/>
      <c r="CS1127" s="4303"/>
      <c r="CT1127" s="4303"/>
      <c r="CU1127" s="4303"/>
      <c r="CV1127" s="4303"/>
      <c r="CW1127" s="4303"/>
      <c r="CX1127" s="4303"/>
      <c r="CY1127" s="4303"/>
      <c r="CZ1127" s="4303"/>
      <c r="DA1127" s="4303"/>
      <c r="DB1127" s="4303"/>
      <c r="DC1127" s="4303"/>
      <c r="DD1127" s="4303"/>
      <c r="DE1127" s="4303"/>
      <c r="DF1127" s="4303"/>
      <c r="DG1127" s="4303"/>
      <c r="DH1127" s="4303"/>
      <c r="DI1127" s="4303"/>
      <c r="DJ1127" s="4303"/>
      <c r="DK1127" s="4303"/>
      <c r="DL1127" s="4303"/>
      <c r="DM1127" s="4303"/>
      <c r="DN1127" s="4303"/>
      <c r="DO1127" s="4303"/>
      <c r="DP1127" s="4303"/>
      <c r="DQ1127" s="4303"/>
      <c r="DR1127" s="4303"/>
      <c r="DS1127" s="4303"/>
      <c r="DT1127" s="4134"/>
      <c r="DU1127" s="4134"/>
    </row>
    <row r="1128" s="489" customFormat="1" ht="15.75" hidden="1" spans="1:125">
      <c r="A1128" s="4420"/>
      <c r="B1128" s="4420"/>
      <c r="C1128" s="4420"/>
      <c r="D1128" s="4420"/>
      <c r="E1128" s="4420"/>
      <c r="F1128" s="4420"/>
      <c r="G1128" s="4420"/>
      <c r="H1128" s="4967"/>
      <c r="I1128" s="4967"/>
      <c r="J1128" s="4967"/>
      <c r="K1128" s="4967"/>
      <c r="L1128" s="4967"/>
      <c r="M1128" s="4967"/>
      <c r="N1128" s="4967"/>
      <c r="O1128" s="4968"/>
      <c r="P1128" s="4966"/>
      <c r="Q1128" s="4292"/>
      <c r="R1128" s="4292"/>
      <c r="S1128" s="4420"/>
      <c r="T1128" s="4420"/>
      <c r="U1128" s="4420"/>
      <c r="V1128" s="4420"/>
      <c r="W1128" s="4420"/>
      <c r="X1128" s="4292"/>
      <c r="Y1128" s="4292"/>
      <c r="Z1128" s="4292"/>
      <c r="AA1128" s="4292"/>
      <c r="AB1128" s="4292"/>
      <c r="AC1128" s="4292"/>
      <c r="AD1128" s="4292"/>
      <c r="AE1128" s="4292"/>
      <c r="AF1128" s="4292"/>
      <c r="AG1128" s="4292"/>
      <c r="AH1128" s="4292"/>
      <c r="AI1128" s="4292"/>
      <c r="AJ1128" s="4292"/>
      <c r="AK1128" s="4292"/>
      <c r="AL1128" s="4292"/>
      <c r="AM1128" s="4292"/>
      <c r="AN1128" s="4292"/>
      <c r="AO1128" s="4292"/>
      <c r="AP1128" s="4292"/>
      <c r="AQ1128" s="4292"/>
      <c r="AR1128" s="4292"/>
      <c r="AS1128" s="4292"/>
      <c r="AT1128" s="4292"/>
      <c r="AU1128" s="4292"/>
      <c r="AV1128" s="4292"/>
      <c r="AW1128" s="4292"/>
      <c r="AX1128" s="4292"/>
      <c r="AY1128" s="4292"/>
      <c r="AZ1128" s="4292"/>
      <c r="BA1128" s="4292"/>
      <c r="BB1128" s="4292"/>
      <c r="BC1128" s="4292"/>
      <c r="BD1128" s="4292"/>
      <c r="BE1128" s="4292"/>
      <c r="BF1128" s="4292"/>
      <c r="BG1128" s="4292"/>
      <c r="BH1128" s="4292"/>
      <c r="BI1128" s="4292"/>
      <c r="BJ1128" s="4292"/>
      <c r="BK1128" s="4292"/>
      <c r="BL1128" s="4292"/>
      <c r="BM1128" s="4292"/>
      <c r="BN1128" s="4292"/>
      <c r="BO1128" s="4292"/>
      <c r="BP1128" s="4292"/>
      <c r="BQ1128" s="4292"/>
      <c r="BR1128" s="4292"/>
      <c r="BS1128" s="4292"/>
      <c r="BT1128" s="4292"/>
      <c r="BU1128" s="4303"/>
      <c r="BV1128" s="4303"/>
      <c r="BW1128" s="4303"/>
      <c r="BX1128" s="4303"/>
      <c r="BY1128" s="4303"/>
      <c r="BZ1128" s="4303"/>
      <c r="CA1128" s="4303"/>
      <c r="CB1128" s="4303"/>
      <c r="CC1128" s="4303"/>
      <c r="CD1128" s="4303"/>
      <c r="CE1128" s="4303"/>
      <c r="CF1128" s="4303"/>
      <c r="CG1128" s="4303"/>
      <c r="CH1128" s="4303"/>
      <c r="CI1128" s="4303"/>
      <c r="CJ1128" s="4303"/>
      <c r="CK1128" s="4303"/>
      <c r="CL1128" s="4303"/>
      <c r="CM1128" s="4303"/>
      <c r="CN1128" s="4303"/>
      <c r="CO1128" s="4303"/>
      <c r="CP1128" s="4303"/>
      <c r="CQ1128" s="4303"/>
      <c r="CR1128" s="4303"/>
      <c r="CS1128" s="4303"/>
      <c r="CT1128" s="4303"/>
      <c r="CU1128" s="4303"/>
      <c r="CV1128" s="4303"/>
      <c r="CW1128" s="4303"/>
      <c r="CX1128" s="4303"/>
      <c r="CY1128" s="4303"/>
      <c r="CZ1128" s="4303"/>
      <c r="DA1128" s="4303"/>
      <c r="DB1128" s="4303"/>
      <c r="DC1128" s="4303"/>
      <c r="DD1128" s="4303"/>
      <c r="DE1128" s="4303"/>
      <c r="DF1128" s="4303"/>
      <c r="DG1128" s="4303"/>
      <c r="DH1128" s="4303"/>
      <c r="DI1128" s="4303"/>
      <c r="DJ1128" s="4303"/>
      <c r="DK1128" s="4303"/>
      <c r="DL1128" s="4303"/>
      <c r="DM1128" s="4303"/>
      <c r="DN1128" s="4303"/>
      <c r="DO1128" s="4303"/>
      <c r="DP1128" s="4303"/>
      <c r="DQ1128" s="4303"/>
      <c r="DR1128" s="4303"/>
      <c r="DS1128" s="4303"/>
      <c r="DT1128" s="4134"/>
      <c r="DU1128" s="4134"/>
    </row>
    <row r="1129" s="489" customFormat="1" ht="15.75" hidden="1" spans="1:125">
      <c r="A1129" s="4420"/>
      <c r="B1129" s="4420"/>
      <c r="C1129" s="4420"/>
      <c r="D1129" s="4420"/>
      <c r="E1129" s="4420"/>
      <c r="F1129" s="4420"/>
      <c r="G1129" s="4420"/>
      <c r="H1129" s="4967"/>
      <c r="I1129" s="4967"/>
      <c r="J1129" s="4967"/>
      <c r="K1129" s="4967"/>
      <c r="L1129" s="4967"/>
      <c r="M1129" s="4967"/>
      <c r="N1129" s="4967"/>
      <c r="O1129" s="4968"/>
      <c r="P1129" s="4966"/>
      <c r="Q1129" s="4292"/>
      <c r="R1129" s="4292"/>
      <c r="S1129" s="4420"/>
      <c r="T1129" s="4420"/>
      <c r="U1129" s="4420"/>
      <c r="V1129" s="4420"/>
      <c r="W1129" s="4420"/>
      <c r="X1129" s="4292"/>
      <c r="Y1129" s="4292"/>
      <c r="Z1129" s="4292"/>
      <c r="AA1129" s="4292"/>
      <c r="AB1129" s="4292"/>
      <c r="AC1129" s="4292"/>
      <c r="AD1129" s="4292"/>
      <c r="AE1129" s="4292"/>
      <c r="AF1129" s="4292"/>
      <c r="AG1129" s="4292"/>
      <c r="AH1129" s="4292"/>
      <c r="AI1129" s="4292"/>
      <c r="AJ1129" s="4292"/>
      <c r="AK1129" s="4292"/>
      <c r="AL1129" s="4292"/>
      <c r="AM1129" s="4292"/>
      <c r="AN1129" s="4292"/>
      <c r="AO1129" s="4292"/>
      <c r="AP1129" s="4292"/>
      <c r="AQ1129" s="4292"/>
      <c r="AR1129" s="4292"/>
      <c r="AS1129" s="4292"/>
      <c r="AT1129" s="4292"/>
      <c r="AU1129" s="4292"/>
      <c r="AV1129" s="4292"/>
      <c r="AW1129" s="4292"/>
      <c r="AX1129" s="4292"/>
      <c r="AY1129" s="4292"/>
      <c r="AZ1129" s="4292"/>
      <c r="BA1129" s="4292"/>
      <c r="BB1129" s="4292"/>
      <c r="BC1129" s="4292"/>
      <c r="BD1129" s="4292"/>
      <c r="BE1129" s="4292"/>
      <c r="BF1129" s="4292"/>
      <c r="BG1129" s="4292"/>
      <c r="BH1129" s="4292"/>
      <c r="BI1129" s="4292"/>
      <c r="BJ1129" s="4292"/>
      <c r="BK1129" s="4292"/>
      <c r="BL1129" s="4292"/>
      <c r="BM1129" s="4292"/>
      <c r="BN1129" s="4292"/>
      <c r="BO1129" s="4292"/>
      <c r="BP1129" s="4292"/>
      <c r="BQ1129" s="4292"/>
      <c r="BR1129" s="4292"/>
      <c r="BS1129" s="4292"/>
      <c r="BT1129" s="4292"/>
      <c r="BU1129" s="4303"/>
      <c r="BV1129" s="4303"/>
      <c r="BW1129" s="4303"/>
      <c r="BX1129" s="4303"/>
      <c r="BY1129" s="4303"/>
      <c r="BZ1129" s="4303"/>
      <c r="CA1129" s="4303"/>
      <c r="CB1129" s="4303"/>
      <c r="CC1129" s="4303"/>
      <c r="CD1129" s="4303"/>
      <c r="CE1129" s="4303"/>
      <c r="CF1129" s="4303"/>
      <c r="CG1129" s="4303"/>
      <c r="CH1129" s="4303"/>
      <c r="CI1129" s="4303"/>
      <c r="CJ1129" s="4303"/>
      <c r="CK1129" s="4303"/>
      <c r="CL1129" s="4303"/>
      <c r="CM1129" s="4303"/>
      <c r="CN1129" s="4303"/>
      <c r="CO1129" s="4303"/>
      <c r="CP1129" s="4303"/>
      <c r="CQ1129" s="4303"/>
      <c r="CR1129" s="4303"/>
      <c r="CS1129" s="4303"/>
      <c r="CT1129" s="4303"/>
      <c r="CU1129" s="4303"/>
      <c r="CV1129" s="4303"/>
      <c r="CW1129" s="4303"/>
      <c r="CX1129" s="4303"/>
      <c r="CY1129" s="4303"/>
      <c r="CZ1129" s="4303"/>
      <c r="DA1129" s="4303"/>
      <c r="DB1129" s="4303"/>
      <c r="DC1129" s="4303"/>
      <c r="DD1129" s="4303"/>
      <c r="DE1129" s="4303"/>
      <c r="DF1129" s="4303"/>
      <c r="DG1129" s="4303"/>
      <c r="DH1129" s="4303"/>
      <c r="DI1129" s="4303"/>
      <c r="DJ1129" s="4303"/>
      <c r="DK1129" s="4303"/>
      <c r="DL1129" s="4303"/>
      <c r="DM1129" s="4303"/>
      <c r="DN1129" s="4303"/>
      <c r="DO1129" s="4303"/>
      <c r="DP1129" s="4303"/>
      <c r="DQ1129" s="4303"/>
      <c r="DR1129" s="4303"/>
      <c r="DS1129" s="4303"/>
      <c r="DT1129" s="4134"/>
      <c r="DU1129" s="4134"/>
    </row>
    <row r="1130" s="489" customFormat="1" ht="15.75" hidden="1" spans="1:125">
      <c r="A1130" s="4420"/>
      <c r="B1130" s="4420"/>
      <c r="C1130" s="4420"/>
      <c r="D1130" s="4420"/>
      <c r="E1130" s="4420"/>
      <c r="F1130" s="4420"/>
      <c r="G1130" s="4420"/>
      <c r="H1130" s="4967"/>
      <c r="I1130" s="4967"/>
      <c r="J1130" s="4967"/>
      <c r="K1130" s="4967"/>
      <c r="L1130" s="4967"/>
      <c r="M1130" s="4967"/>
      <c r="N1130" s="4967"/>
      <c r="O1130" s="4968"/>
      <c r="P1130" s="4966"/>
      <c r="Q1130" s="4292"/>
      <c r="R1130" s="4292"/>
      <c r="S1130" s="4420"/>
      <c r="T1130" s="4420"/>
      <c r="U1130" s="4420"/>
      <c r="V1130" s="4420"/>
      <c r="W1130" s="4420"/>
      <c r="X1130" s="4292"/>
      <c r="Y1130" s="4292"/>
      <c r="Z1130" s="4292"/>
      <c r="AA1130" s="4292"/>
      <c r="AB1130" s="4292"/>
      <c r="AC1130" s="4292"/>
      <c r="AD1130" s="4292"/>
      <c r="AE1130" s="4292"/>
      <c r="AF1130" s="4292"/>
      <c r="AG1130" s="4292"/>
      <c r="AH1130" s="4292"/>
      <c r="AI1130" s="4292"/>
      <c r="AJ1130" s="4292"/>
      <c r="AK1130" s="4292"/>
      <c r="AL1130" s="4292"/>
      <c r="AM1130" s="4292"/>
      <c r="AN1130" s="4292"/>
      <c r="AO1130" s="4292"/>
      <c r="AP1130" s="4292"/>
      <c r="AQ1130" s="4292"/>
      <c r="AR1130" s="4292"/>
      <c r="AS1130" s="4292"/>
      <c r="AT1130" s="4292"/>
      <c r="AU1130" s="4292"/>
      <c r="AV1130" s="4292"/>
      <c r="AW1130" s="4292"/>
      <c r="AX1130" s="4292"/>
      <c r="AY1130" s="4292"/>
      <c r="AZ1130" s="4292"/>
      <c r="BA1130" s="4292"/>
      <c r="BB1130" s="4292"/>
      <c r="BC1130" s="4292"/>
      <c r="BD1130" s="4292"/>
      <c r="BE1130" s="4292"/>
      <c r="BF1130" s="4292"/>
      <c r="BG1130" s="4292"/>
      <c r="BH1130" s="4292"/>
      <c r="BI1130" s="4292"/>
      <c r="BJ1130" s="4292"/>
      <c r="BK1130" s="4292"/>
      <c r="BL1130" s="4292"/>
      <c r="BM1130" s="4292"/>
      <c r="BN1130" s="4292"/>
      <c r="BO1130" s="4292"/>
      <c r="BP1130" s="4292"/>
      <c r="BQ1130" s="4292"/>
      <c r="BR1130" s="4292"/>
      <c r="BS1130" s="4292"/>
      <c r="BT1130" s="4292"/>
      <c r="BU1130" s="4303"/>
      <c r="BV1130" s="4303"/>
      <c r="BW1130" s="4303"/>
      <c r="BX1130" s="4303"/>
      <c r="BY1130" s="4303"/>
      <c r="BZ1130" s="4303"/>
      <c r="CA1130" s="4303"/>
      <c r="CB1130" s="4303"/>
      <c r="CC1130" s="4303"/>
      <c r="CD1130" s="4303"/>
      <c r="CE1130" s="4303"/>
      <c r="CF1130" s="4303"/>
      <c r="CG1130" s="4303"/>
      <c r="CH1130" s="4303"/>
      <c r="CI1130" s="4303"/>
      <c r="CJ1130" s="4303"/>
      <c r="CK1130" s="4303"/>
      <c r="CL1130" s="4303"/>
      <c r="CM1130" s="4303"/>
      <c r="CN1130" s="4303"/>
      <c r="CO1130" s="4303"/>
      <c r="CP1130" s="4303"/>
      <c r="CQ1130" s="4303"/>
      <c r="CR1130" s="4303"/>
      <c r="CS1130" s="4303"/>
      <c r="CT1130" s="4303"/>
      <c r="CU1130" s="4303"/>
      <c r="CV1130" s="4303"/>
      <c r="CW1130" s="4303"/>
      <c r="CX1130" s="4303"/>
      <c r="CY1130" s="4303"/>
      <c r="CZ1130" s="4303"/>
      <c r="DA1130" s="4303"/>
      <c r="DB1130" s="4303"/>
      <c r="DC1130" s="4303"/>
      <c r="DD1130" s="4303"/>
      <c r="DE1130" s="4303"/>
      <c r="DF1130" s="4303"/>
      <c r="DG1130" s="4303"/>
      <c r="DH1130" s="4303"/>
      <c r="DI1130" s="4303"/>
      <c r="DJ1130" s="4303"/>
      <c r="DK1130" s="4303"/>
      <c r="DL1130" s="4303"/>
      <c r="DM1130" s="4303"/>
      <c r="DN1130" s="4303"/>
      <c r="DO1130" s="4303"/>
      <c r="DP1130" s="4303"/>
      <c r="DQ1130" s="4303"/>
      <c r="DR1130" s="4303"/>
      <c r="DS1130" s="4303"/>
      <c r="DT1130" s="4134"/>
      <c r="DU1130" s="4134"/>
    </row>
    <row r="1131" s="489" customFormat="1" ht="15.75" hidden="1" spans="1:125">
      <c r="A1131" s="4420"/>
      <c r="B1131" s="4420"/>
      <c r="C1131" s="4420"/>
      <c r="D1131" s="4420"/>
      <c r="E1131" s="4420"/>
      <c r="F1131" s="4420"/>
      <c r="G1131" s="4420"/>
      <c r="H1131" s="4967"/>
      <c r="I1131" s="4967"/>
      <c r="J1131" s="4967"/>
      <c r="K1131" s="4967"/>
      <c r="L1131" s="4967"/>
      <c r="M1131" s="4967"/>
      <c r="N1131" s="4967"/>
      <c r="O1131" s="4968"/>
      <c r="P1131" s="4966"/>
      <c r="Q1131" s="4292"/>
      <c r="R1131" s="4292"/>
      <c r="S1131" s="4420"/>
      <c r="T1131" s="4420"/>
      <c r="U1131" s="4420"/>
      <c r="V1131" s="4420"/>
      <c r="W1131" s="4420"/>
      <c r="X1131" s="4292"/>
      <c r="Y1131" s="4292"/>
      <c r="Z1131" s="4292"/>
      <c r="AA1131" s="4292"/>
      <c r="AB1131" s="4292"/>
      <c r="AC1131" s="4292"/>
      <c r="AD1131" s="4292"/>
      <c r="AE1131" s="4292"/>
      <c r="AF1131" s="4292"/>
      <c r="AG1131" s="4292"/>
      <c r="AH1131" s="4292"/>
      <c r="AI1131" s="4292"/>
      <c r="AJ1131" s="4292"/>
      <c r="AK1131" s="4292"/>
      <c r="AL1131" s="4292"/>
      <c r="AM1131" s="4292"/>
      <c r="AN1131" s="4292"/>
      <c r="AO1131" s="4292"/>
      <c r="AP1131" s="4292"/>
      <c r="AQ1131" s="4292"/>
      <c r="AR1131" s="4292"/>
      <c r="AS1131" s="4292"/>
      <c r="AT1131" s="4292"/>
      <c r="AU1131" s="4292"/>
      <c r="AV1131" s="4292"/>
      <c r="AW1131" s="4292"/>
      <c r="AX1131" s="4292"/>
      <c r="AY1131" s="4292"/>
      <c r="AZ1131" s="4292"/>
      <c r="BA1131" s="4292"/>
      <c r="BB1131" s="4292"/>
      <c r="BC1131" s="4292"/>
      <c r="BD1131" s="4292"/>
      <c r="BE1131" s="4292"/>
      <c r="BF1131" s="4292"/>
      <c r="BG1131" s="4292"/>
      <c r="BH1131" s="4292"/>
      <c r="BI1131" s="4292"/>
      <c r="BJ1131" s="4292"/>
      <c r="BK1131" s="4292"/>
      <c r="BL1131" s="4292"/>
      <c r="BM1131" s="4292"/>
      <c r="BN1131" s="4292"/>
      <c r="BO1131" s="4292"/>
      <c r="BP1131" s="4292"/>
      <c r="BQ1131" s="4292"/>
      <c r="BR1131" s="4292"/>
      <c r="BS1131" s="4292"/>
      <c r="BT1131" s="4292"/>
      <c r="BU1131" s="4303"/>
      <c r="BV1131" s="4303"/>
      <c r="BW1131" s="4303"/>
      <c r="BX1131" s="4303"/>
      <c r="BY1131" s="4303"/>
      <c r="BZ1131" s="4303"/>
      <c r="CA1131" s="4303"/>
      <c r="CB1131" s="4303"/>
      <c r="CC1131" s="4303"/>
      <c r="CD1131" s="4303"/>
      <c r="CE1131" s="4303"/>
      <c r="CF1131" s="4303"/>
      <c r="CG1131" s="4303"/>
      <c r="CH1131" s="4303"/>
      <c r="CI1131" s="4303"/>
      <c r="CJ1131" s="4303"/>
      <c r="CK1131" s="4303"/>
      <c r="CL1131" s="4303"/>
      <c r="CM1131" s="4303"/>
      <c r="CN1131" s="4303"/>
      <c r="CO1131" s="4303"/>
      <c r="CP1131" s="4303"/>
      <c r="CQ1131" s="4303"/>
      <c r="CR1131" s="4303"/>
      <c r="CS1131" s="4303"/>
      <c r="CT1131" s="4303"/>
      <c r="CU1131" s="4303"/>
      <c r="CV1131" s="4303"/>
      <c r="CW1131" s="4303"/>
      <c r="CX1131" s="4303"/>
      <c r="CY1131" s="4303"/>
      <c r="CZ1131" s="4303"/>
      <c r="DA1131" s="4303"/>
      <c r="DB1131" s="4303"/>
      <c r="DC1131" s="4303"/>
      <c r="DD1131" s="4303"/>
      <c r="DE1131" s="4303"/>
      <c r="DF1131" s="4303"/>
      <c r="DG1131" s="4303"/>
      <c r="DH1131" s="4303"/>
      <c r="DI1131" s="4303"/>
      <c r="DJ1131" s="4303"/>
      <c r="DK1131" s="4303"/>
      <c r="DL1131" s="4303"/>
      <c r="DM1131" s="4303"/>
      <c r="DN1131" s="4303"/>
      <c r="DO1131" s="4303"/>
      <c r="DP1131" s="4303"/>
      <c r="DQ1131" s="4303"/>
      <c r="DR1131" s="4303"/>
      <c r="DS1131" s="4303"/>
      <c r="DT1131" s="4134"/>
      <c r="DU1131" s="4134"/>
    </row>
    <row r="1132" s="489" customFormat="1" ht="15.75" hidden="1" spans="1:125">
      <c r="A1132" s="4420"/>
      <c r="B1132" s="4420"/>
      <c r="C1132" s="4420"/>
      <c r="D1132" s="4420"/>
      <c r="E1132" s="4420"/>
      <c r="F1132" s="4420"/>
      <c r="G1132" s="4420"/>
      <c r="H1132" s="4967"/>
      <c r="I1132" s="4967"/>
      <c r="J1132" s="4967"/>
      <c r="K1132" s="4967"/>
      <c r="L1132" s="4967"/>
      <c r="M1132" s="4967"/>
      <c r="N1132" s="4967"/>
      <c r="O1132" s="4968"/>
      <c r="P1132" s="4966"/>
      <c r="Q1132" s="4292"/>
      <c r="R1132" s="4292"/>
      <c r="S1132" s="4420"/>
      <c r="T1132" s="4420"/>
      <c r="U1132" s="4420"/>
      <c r="V1132" s="4420"/>
      <c r="W1132" s="4420"/>
      <c r="X1132" s="4292"/>
      <c r="Y1132" s="4292"/>
      <c r="Z1132" s="4292"/>
      <c r="AA1132" s="4292"/>
      <c r="AB1132" s="4292"/>
      <c r="AC1132" s="4292"/>
      <c r="AD1132" s="4292"/>
      <c r="AE1132" s="4292"/>
      <c r="AF1132" s="4292"/>
      <c r="AG1132" s="4292"/>
      <c r="AH1132" s="4292"/>
      <c r="AI1132" s="4292"/>
      <c r="AJ1132" s="4292"/>
      <c r="AK1132" s="4292"/>
      <c r="AL1132" s="4292"/>
      <c r="AM1132" s="4292"/>
      <c r="AN1132" s="4292"/>
      <c r="AO1132" s="4292"/>
      <c r="AP1132" s="4292"/>
      <c r="AQ1132" s="4292"/>
      <c r="AR1132" s="4292"/>
      <c r="AS1132" s="4292"/>
      <c r="AT1132" s="4292"/>
      <c r="AU1132" s="4292"/>
      <c r="AV1132" s="4292"/>
      <c r="AW1132" s="4292"/>
      <c r="AX1132" s="4292"/>
      <c r="AY1132" s="4292"/>
      <c r="AZ1132" s="4292"/>
      <c r="BA1132" s="4292"/>
      <c r="BB1132" s="4292"/>
      <c r="BC1132" s="4292"/>
      <c r="BD1132" s="4292"/>
      <c r="BE1132" s="4292"/>
      <c r="BF1132" s="4292"/>
      <c r="BG1132" s="4292"/>
      <c r="BH1132" s="4292"/>
      <c r="BI1132" s="4292"/>
      <c r="BJ1132" s="4292"/>
      <c r="BK1132" s="4292"/>
      <c r="BL1132" s="4292"/>
      <c r="BM1132" s="4292"/>
      <c r="BN1132" s="4292"/>
      <c r="BO1132" s="4292"/>
      <c r="BP1132" s="4292"/>
      <c r="BQ1132" s="4292"/>
      <c r="BR1132" s="4292"/>
      <c r="BS1132" s="4292"/>
      <c r="BT1132" s="4292"/>
      <c r="BU1132" s="4303"/>
      <c r="BV1132" s="4303"/>
      <c r="BW1132" s="4303"/>
      <c r="BX1132" s="4303"/>
      <c r="BY1132" s="4303"/>
      <c r="BZ1132" s="4303"/>
      <c r="CA1132" s="4303"/>
      <c r="CB1132" s="4303"/>
      <c r="CC1132" s="4303"/>
      <c r="CD1132" s="4303"/>
      <c r="CE1132" s="4303"/>
      <c r="CF1132" s="4303"/>
      <c r="CG1132" s="4303"/>
      <c r="CH1132" s="4303"/>
      <c r="CI1132" s="4303"/>
      <c r="CJ1132" s="4303"/>
      <c r="CK1132" s="4303"/>
      <c r="CL1132" s="4303"/>
      <c r="CM1132" s="4303"/>
      <c r="CN1132" s="4303"/>
      <c r="CO1132" s="4303"/>
      <c r="CP1132" s="4303"/>
      <c r="CQ1132" s="4303"/>
      <c r="CR1132" s="4303"/>
      <c r="CS1132" s="4303"/>
      <c r="CT1132" s="4303"/>
      <c r="CU1132" s="4303"/>
      <c r="CV1132" s="4303"/>
      <c r="CW1132" s="4303"/>
      <c r="CX1132" s="4303"/>
      <c r="CY1132" s="4303"/>
      <c r="CZ1132" s="4303"/>
      <c r="DA1132" s="4303"/>
      <c r="DB1132" s="4303"/>
      <c r="DC1132" s="4303"/>
      <c r="DD1132" s="4303"/>
      <c r="DE1132" s="4303"/>
      <c r="DF1132" s="4303"/>
      <c r="DG1132" s="4303"/>
      <c r="DH1132" s="4303"/>
      <c r="DI1132" s="4303"/>
      <c r="DJ1132" s="4303"/>
      <c r="DK1132" s="4303"/>
      <c r="DL1132" s="4303"/>
      <c r="DM1132" s="4303"/>
      <c r="DN1132" s="4303"/>
      <c r="DO1132" s="4303"/>
      <c r="DP1132" s="4303"/>
      <c r="DQ1132" s="4303"/>
      <c r="DR1132" s="4303"/>
      <c r="DS1132" s="4303"/>
      <c r="DT1132" s="4134"/>
      <c r="DU1132" s="4134"/>
    </row>
    <row r="1133" s="489" customFormat="1" ht="15.75" hidden="1" spans="1:125">
      <c r="A1133" s="4420"/>
      <c r="B1133" s="4420"/>
      <c r="C1133" s="4420"/>
      <c r="D1133" s="4420"/>
      <c r="E1133" s="4420"/>
      <c r="F1133" s="4420"/>
      <c r="G1133" s="4420"/>
      <c r="H1133" s="4967"/>
      <c r="I1133" s="4967"/>
      <c r="J1133" s="4967"/>
      <c r="K1133" s="4967"/>
      <c r="L1133" s="4967"/>
      <c r="M1133" s="4967"/>
      <c r="N1133" s="4967"/>
      <c r="O1133" s="4968"/>
      <c r="P1133" s="4966"/>
      <c r="Q1133" s="4292"/>
      <c r="R1133" s="4292"/>
      <c r="S1133" s="4420"/>
      <c r="T1133" s="4420"/>
      <c r="U1133" s="4420"/>
      <c r="V1133" s="4420"/>
      <c r="W1133" s="4420"/>
      <c r="X1133" s="4292"/>
      <c r="Y1133" s="4292"/>
      <c r="Z1133" s="4292"/>
      <c r="AA1133" s="4292"/>
      <c r="AB1133" s="4292"/>
      <c r="AC1133" s="4292"/>
      <c r="AD1133" s="4292"/>
      <c r="AE1133" s="4292"/>
      <c r="AF1133" s="4292"/>
      <c r="AG1133" s="4292"/>
      <c r="AH1133" s="4292"/>
      <c r="AI1133" s="4292"/>
      <c r="AJ1133" s="4292"/>
      <c r="AK1133" s="4292"/>
      <c r="AL1133" s="4292"/>
      <c r="AM1133" s="4292"/>
      <c r="AN1133" s="4292"/>
      <c r="AO1133" s="4292"/>
      <c r="AP1133" s="4292"/>
      <c r="AQ1133" s="4292"/>
      <c r="AR1133" s="4292"/>
      <c r="AS1133" s="4292"/>
      <c r="AT1133" s="4292"/>
      <c r="AU1133" s="4292"/>
      <c r="AV1133" s="4292"/>
      <c r="AW1133" s="4292"/>
      <c r="AX1133" s="4292"/>
      <c r="AY1133" s="4292"/>
      <c r="AZ1133" s="4292"/>
      <c r="BA1133" s="4292"/>
      <c r="BB1133" s="4292"/>
      <c r="BC1133" s="4292"/>
      <c r="BD1133" s="4292"/>
      <c r="BE1133" s="4292"/>
      <c r="BF1133" s="4292"/>
      <c r="BG1133" s="4292"/>
      <c r="BH1133" s="4292"/>
      <c r="BI1133" s="4292"/>
      <c r="BJ1133" s="4292"/>
      <c r="BK1133" s="4292"/>
      <c r="BL1133" s="4292"/>
      <c r="BM1133" s="4292"/>
      <c r="BN1133" s="4292"/>
      <c r="BO1133" s="4292"/>
      <c r="BP1133" s="4292"/>
      <c r="BQ1133" s="4292"/>
      <c r="BR1133" s="4292"/>
      <c r="BS1133" s="4292"/>
      <c r="BT1133" s="4292"/>
      <c r="BU1133" s="4303"/>
      <c r="BV1133" s="4303"/>
      <c r="BW1133" s="4303"/>
      <c r="BX1133" s="4303"/>
      <c r="BY1133" s="4303"/>
      <c r="BZ1133" s="4303"/>
      <c r="CA1133" s="4303"/>
      <c r="CB1133" s="4303"/>
      <c r="CC1133" s="4303"/>
      <c r="CD1133" s="4303"/>
      <c r="CE1133" s="4303"/>
      <c r="CF1133" s="4303"/>
      <c r="CG1133" s="4303"/>
      <c r="CH1133" s="4303"/>
      <c r="CI1133" s="4303"/>
      <c r="CJ1133" s="4303"/>
      <c r="CK1133" s="4303"/>
      <c r="CL1133" s="4303"/>
      <c r="CM1133" s="4303"/>
      <c r="CN1133" s="4303"/>
      <c r="CO1133" s="4303"/>
      <c r="CP1133" s="4303"/>
      <c r="CQ1133" s="4303"/>
      <c r="CR1133" s="4303"/>
      <c r="CS1133" s="4303"/>
      <c r="CT1133" s="4303"/>
      <c r="CU1133" s="4303"/>
      <c r="CV1133" s="4303"/>
      <c r="CW1133" s="4303"/>
      <c r="CX1133" s="4303"/>
      <c r="CY1133" s="4303"/>
      <c r="CZ1133" s="4303"/>
      <c r="DA1133" s="4303"/>
      <c r="DB1133" s="4303"/>
      <c r="DC1133" s="4303"/>
      <c r="DD1133" s="4303"/>
      <c r="DE1133" s="4303"/>
      <c r="DF1133" s="4303"/>
      <c r="DG1133" s="4303"/>
      <c r="DH1133" s="4303"/>
      <c r="DI1133" s="4303"/>
      <c r="DJ1133" s="4303"/>
      <c r="DK1133" s="4303"/>
      <c r="DL1133" s="4303"/>
      <c r="DM1133" s="4303"/>
      <c r="DN1133" s="4303"/>
      <c r="DO1133" s="4303"/>
      <c r="DP1133" s="4303"/>
      <c r="DQ1133" s="4303"/>
      <c r="DR1133" s="4303"/>
      <c r="DS1133" s="4303"/>
      <c r="DT1133" s="4134"/>
      <c r="DU1133" s="4134"/>
    </row>
    <row r="1134" s="489" customFormat="1" ht="15.75" hidden="1" spans="1:125">
      <c r="A1134" s="4420"/>
      <c r="B1134" s="4420"/>
      <c r="C1134" s="4420"/>
      <c r="D1134" s="4420"/>
      <c r="E1134" s="4420"/>
      <c r="F1134" s="4420"/>
      <c r="G1134" s="4420"/>
      <c r="H1134" s="4967"/>
      <c r="I1134" s="4967"/>
      <c r="J1134" s="4967"/>
      <c r="K1134" s="4967"/>
      <c r="L1134" s="4967"/>
      <c r="M1134" s="4967"/>
      <c r="N1134" s="4967"/>
      <c r="O1134" s="4968"/>
      <c r="P1134" s="4966"/>
      <c r="Q1134" s="4292"/>
      <c r="R1134" s="4292"/>
      <c r="S1134" s="4420"/>
      <c r="T1134" s="4420"/>
      <c r="U1134" s="4420"/>
      <c r="V1134" s="4420"/>
      <c r="W1134" s="4420"/>
      <c r="X1134" s="4292"/>
      <c r="Y1134" s="4292"/>
      <c r="Z1134" s="4292"/>
      <c r="AA1134" s="4292"/>
      <c r="AB1134" s="4292"/>
      <c r="AC1134" s="4292"/>
      <c r="AD1134" s="4292"/>
      <c r="AE1134" s="4292"/>
      <c r="AF1134" s="4292"/>
      <c r="AG1134" s="4292"/>
      <c r="AH1134" s="4292"/>
      <c r="AI1134" s="4292"/>
      <c r="AJ1134" s="4292"/>
      <c r="AK1134" s="4292"/>
      <c r="AL1134" s="4292"/>
      <c r="AM1134" s="4292"/>
      <c r="AN1134" s="4292"/>
      <c r="AO1134" s="4292"/>
      <c r="AP1134" s="4292"/>
      <c r="AQ1134" s="4292"/>
      <c r="AR1134" s="4292"/>
      <c r="AS1134" s="4292"/>
      <c r="AT1134" s="4292"/>
      <c r="AU1134" s="4292"/>
      <c r="AV1134" s="4292"/>
      <c r="AW1134" s="4292"/>
      <c r="AX1134" s="4292"/>
      <c r="AY1134" s="4292"/>
      <c r="AZ1134" s="4292"/>
      <c r="BA1134" s="4292"/>
      <c r="BB1134" s="4292"/>
      <c r="BC1134" s="4292"/>
      <c r="BD1134" s="4292"/>
      <c r="BE1134" s="4292"/>
      <c r="BF1134" s="4292"/>
      <c r="BG1134" s="4292"/>
      <c r="BH1134" s="4292"/>
      <c r="BI1134" s="4292"/>
      <c r="BJ1134" s="4292"/>
      <c r="BK1134" s="4292"/>
      <c r="BL1134" s="4292"/>
      <c r="BM1134" s="4292"/>
      <c r="BN1134" s="4292"/>
      <c r="BO1134" s="4292"/>
      <c r="BP1134" s="4292"/>
      <c r="BQ1134" s="4292"/>
      <c r="BR1134" s="4292"/>
      <c r="BS1134" s="4292"/>
      <c r="BT1134" s="4292"/>
      <c r="BU1134" s="4303"/>
      <c r="BV1134" s="4303"/>
      <c r="BW1134" s="4303"/>
      <c r="BX1134" s="4303"/>
      <c r="BY1134" s="4303"/>
      <c r="BZ1134" s="4303"/>
      <c r="CA1134" s="4303"/>
      <c r="CB1134" s="4303"/>
      <c r="CC1134" s="4303"/>
      <c r="CD1134" s="4303"/>
      <c r="CE1134" s="4303"/>
      <c r="CF1134" s="4303"/>
      <c r="CG1134" s="4303"/>
      <c r="CH1134" s="4303"/>
      <c r="CI1134" s="4303"/>
      <c r="CJ1134" s="4303"/>
      <c r="CK1134" s="4303"/>
      <c r="CL1134" s="4303"/>
      <c r="CM1134" s="4303"/>
      <c r="CN1134" s="4303"/>
      <c r="CO1134" s="4303"/>
      <c r="CP1134" s="4303"/>
      <c r="CQ1134" s="4303"/>
      <c r="CR1134" s="4303"/>
      <c r="CS1134" s="4303"/>
      <c r="CT1134" s="4303"/>
      <c r="CU1134" s="4303"/>
      <c r="CV1134" s="4303"/>
      <c r="CW1134" s="4303"/>
      <c r="CX1134" s="4303"/>
      <c r="CY1134" s="4303"/>
      <c r="CZ1134" s="4303"/>
      <c r="DA1134" s="4303"/>
      <c r="DB1134" s="4303"/>
      <c r="DC1134" s="4303"/>
      <c r="DD1134" s="4303"/>
      <c r="DE1134" s="4303"/>
      <c r="DF1134" s="4303"/>
      <c r="DG1134" s="4303"/>
      <c r="DH1134" s="4303"/>
      <c r="DI1134" s="4303"/>
      <c r="DJ1134" s="4303"/>
      <c r="DK1134" s="4303"/>
      <c r="DL1134" s="4303"/>
      <c r="DM1134" s="4303"/>
      <c r="DN1134" s="4303"/>
      <c r="DO1134" s="4303"/>
      <c r="DP1134" s="4303"/>
      <c r="DQ1134" s="4303"/>
      <c r="DR1134" s="4303"/>
      <c r="DS1134" s="4303"/>
      <c r="DT1134" s="4134"/>
      <c r="DU1134" s="4134"/>
    </row>
    <row r="1135" s="489" customFormat="1" ht="15.75" hidden="1" spans="1:125">
      <c r="A1135" s="4420"/>
      <c r="B1135" s="4420"/>
      <c r="C1135" s="4420"/>
      <c r="D1135" s="4420"/>
      <c r="E1135" s="4420"/>
      <c r="F1135" s="4420"/>
      <c r="G1135" s="4420"/>
      <c r="H1135" s="4967"/>
      <c r="I1135" s="4967"/>
      <c r="J1135" s="4967"/>
      <c r="K1135" s="4967"/>
      <c r="L1135" s="4967"/>
      <c r="M1135" s="4967"/>
      <c r="N1135" s="4967"/>
      <c r="O1135" s="4968"/>
      <c r="P1135" s="4966"/>
      <c r="Q1135" s="4292"/>
      <c r="R1135" s="4292"/>
      <c r="S1135" s="4420"/>
      <c r="T1135" s="4420"/>
      <c r="U1135" s="4420"/>
      <c r="V1135" s="4420"/>
      <c r="W1135" s="4420"/>
      <c r="X1135" s="4292"/>
      <c r="Y1135" s="4292"/>
      <c r="Z1135" s="4292"/>
      <c r="AA1135" s="4292"/>
      <c r="AB1135" s="4292"/>
      <c r="AC1135" s="4292"/>
      <c r="AD1135" s="4292"/>
      <c r="AE1135" s="4292"/>
      <c r="AF1135" s="4292"/>
      <c r="AG1135" s="4292"/>
      <c r="AH1135" s="4292"/>
      <c r="AI1135" s="4292"/>
      <c r="AJ1135" s="4292"/>
      <c r="AK1135" s="4292"/>
      <c r="AL1135" s="4292"/>
      <c r="AM1135" s="4292"/>
      <c r="AN1135" s="4292"/>
      <c r="AO1135" s="4292"/>
      <c r="AP1135" s="4292"/>
      <c r="AQ1135" s="4292"/>
      <c r="AR1135" s="4292"/>
      <c r="AS1135" s="4292"/>
      <c r="AT1135" s="4292"/>
      <c r="AU1135" s="4292"/>
      <c r="AV1135" s="4292"/>
      <c r="AW1135" s="4292"/>
      <c r="AX1135" s="4292"/>
      <c r="AY1135" s="4292"/>
      <c r="AZ1135" s="4292"/>
      <c r="BA1135" s="4292"/>
      <c r="BB1135" s="4292"/>
      <c r="BC1135" s="4292"/>
      <c r="BD1135" s="4292"/>
      <c r="BE1135" s="4292"/>
      <c r="BF1135" s="4292"/>
      <c r="BG1135" s="4292"/>
      <c r="BH1135" s="4292"/>
      <c r="BI1135" s="4292"/>
      <c r="BJ1135" s="4292"/>
      <c r="BK1135" s="4292"/>
      <c r="BL1135" s="4292"/>
      <c r="BM1135" s="4292"/>
      <c r="BN1135" s="4292"/>
      <c r="BO1135" s="4292"/>
      <c r="BP1135" s="4292"/>
      <c r="BQ1135" s="4292"/>
      <c r="BR1135" s="4292"/>
      <c r="BS1135" s="4292"/>
      <c r="BT1135" s="4292"/>
      <c r="BU1135" s="4303"/>
      <c r="BV1135" s="4303"/>
      <c r="BW1135" s="4303"/>
      <c r="BX1135" s="4303"/>
      <c r="BY1135" s="4303"/>
      <c r="BZ1135" s="4303"/>
      <c r="CA1135" s="4303"/>
      <c r="CB1135" s="4303"/>
      <c r="CC1135" s="4303"/>
      <c r="CD1135" s="4303"/>
      <c r="CE1135" s="4303"/>
      <c r="CF1135" s="4303"/>
      <c r="CG1135" s="4303"/>
      <c r="CH1135" s="4303"/>
      <c r="CI1135" s="4303"/>
      <c r="CJ1135" s="4303"/>
      <c r="CK1135" s="4303"/>
      <c r="CL1135" s="4303"/>
      <c r="CM1135" s="4303"/>
      <c r="CN1135" s="4303"/>
      <c r="CO1135" s="4303"/>
      <c r="CP1135" s="4303"/>
      <c r="CQ1135" s="4303"/>
      <c r="CR1135" s="4303"/>
      <c r="CS1135" s="4303"/>
      <c r="CT1135" s="4303"/>
      <c r="CU1135" s="4303"/>
      <c r="CV1135" s="4303"/>
      <c r="CW1135" s="4303"/>
      <c r="CX1135" s="4303"/>
      <c r="CY1135" s="4303"/>
      <c r="CZ1135" s="4303"/>
      <c r="DA1135" s="4303"/>
      <c r="DB1135" s="4303"/>
      <c r="DC1135" s="4303"/>
      <c r="DD1135" s="4303"/>
      <c r="DE1135" s="4303"/>
      <c r="DF1135" s="4303"/>
      <c r="DG1135" s="4303"/>
      <c r="DH1135" s="4303"/>
      <c r="DI1135" s="4303"/>
      <c r="DJ1135" s="4303"/>
      <c r="DK1135" s="4303"/>
      <c r="DL1135" s="4303"/>
      <c r="DM1135" s="4303"/>
      <c r="DN1135" s="4303"/>
      <c r="DO1135" s="4303"/>
      <c r="DP1135" s="4303"/>
      <c r="DQ1135" s="4303"/>
      <c r="DR1135" s="4303"/>
      <c r="DS1135" s="4303"/>
      <c r="DT1135" s="4134"/>
      <c r="DU1135" s="4134"/>
    </row>
    <row r="1136" s="489" customFormat="1" ht="15.75" hidden="1" spans="1:125">
      <c r="A1136" s="4420"/>
      <c r="B1136" s="4420"/>
      <c r="C1136" s="4420"/>
      <c r="D1136" s="4420"/>
      <c r="E1136" s="4420"/>
      <c r="F1136" s="4420"/>
      <c r="G1136" s="4420"/>
      <c r="H1136" s="4967"/>
      <c r="I1136" s="4967"/>
      <c r="J1136" s="4967"/>
      <c r="K1136" s="4967"/>
      <c r="L1136" s="4967"/>
      <c r="M1136" s="4967"/>
      <c r="N1136" s="4967"/>
      <c r="O1136" s="4968"/>
      <c r="P1136" s="4966"/>
      <c r="Q1136" s="4292"/>
      <c r="R1136" s="4292"/>
      <c r="S1136" s="4420"/>
      <c r="T1136" s="4420"/>
      <c r="U1136" s="4420"/>
      <c r="V1136" s="4420"/>
      <c r="W1136" s="4420"/>
      <c r="X1136" s="4292"/>
      <c r="Y1136" s="4292"/>
      <c r="Z1136" s="4292"/>
      <c r="AA1136" s="4292"/>
      <c r="AB1136" s="4292"/>
      <c r="AC1136" s="4292"/>
      <c r="AD1136" s="4292"/>
      <c r="AE1136" s="4292"/>
      <c r="AF1136" s="4292"/>
      <c r="AG1136" s="4292"/>
      <c r="AH1136" s="4292"/>
      <c r="AI1136" s="4292"/>
      <c r="AJ1136" s="4292"/>
      <c r="AK1136" s="4292"/>
      <c r="AL1136" s="4292"/>
      <c r="AM1136" s="4292"/>
      <c r="AN1136" s="4292"/>
      <c r="AO1136" s="4292"/>
      <c r="AP1136" s="4292"/>
      <c r="AQ1136" s="4292"/>
      <c r="AR1136" s="4292"/>
      <c r="AS1136" s="4292"/>
      <c r="AT1136" s="4292"/>
      <c r="AU1136" s="4292"/>
      <c r="AV1136" s="4292"/>
      <c r="AW1136" s="4292"/>
      <c r="AX1136" s="4292"/>
      <c r="AY1136" s="4292"/>
      <c r="AZ1136" s="4292"/>
      <c r="BA1136" s="4292"/>
      <c r="BB1136" s="4292"/>
      <c r="BC1136" s="4292"/>
      <c r="BD1136" s="4292"/>
      <c r="BE1136" s="4292"/>
      <c r="BF1136" s="4292"/>
      <c r="BG1136" s="4292"/>
      <c r="BH1136" s="4292"/>
      <c r="BI1136" s="4292"/>
      <c r="BJ1136" s="4292"/>
      <c r="BK1136" s="4292"/>
      <c r="BL1136" s="4292"/>
      <c r="BM1136" s="4292"/>
      <c r="BN1136" s="4292"/>
      <c r="BO1136" s="4292"/>
      <c r="BP1136" s="4292"/>
      <c r="BQ1136" s="4292"/>
      <c r="BR1136" s="4292"/>
      <c r="BS1136" s="4292"/>
      <c r="BT1136" s="4292"/>
      <c r="BU1136" s="4303"/>
      <c r="BV1136" s="4303"/>
      <c r="BW1136" s="4303"/>
      <c r="BX1136" s="4303"/>
      <c r="BY1136" s="4303"/>
      <c r="BZ1136" s="4303"/>
      <c r="CA1136" s="4303"/>
      <c r="CB1136" s="4303"/>
      <c r="CC1136" s="4303"/>
      <c r="CD1136" s="4303"/>
      <c r="CE1136" s="4303"/>
      <c r="CF1136" s="4303"/>
      <c r="CG1136" s="4303"/>
      <c r="CH1136" s="4303"/>
      <c r="CI1136" s="4303"/>
      <c r="CJ1136" s="4303"/>
      <c r="CK1136" s="4303"/>
      <c r="CL1136" s="4303"/>
      <c r="CM1136" s="4303"/>
      <c r="CN1136" s="4303"/>
      <c r="CO1136" s="4303"/>
      <c r="CP1136" s="4303"/>
      <c r="CQ1136" s="4303"/>
      <c r="CR1136" s="4303"/>
      <c r="CS1136" s="4303"/>
      <c r="CT1136" s="4303"/>
      <c r="CU1136" s="4303"/>
      <c r="CV1136" s="4303"/>
      <c r="CW1136" s="4303"/>
      <c r="CX1136" s="4303"/>
      <c r="CY1136" s="4303"/>
      <c r="CZ1136" s="4303"/>
      <c r="DA1136" s="4303"/>
      <c r="DB1136" s="4303"/>
      <c r="DC1136" s="4303"/>
      <c r="DD1136" s="4303"/>
      <c r="DE1136" s="4303"/>
      <c r="DF1136" s="4303"/>
      <c r="DG1136" s="4303"/>
      <c r="DH1136" s="4303"/>
      <c r="DI1136" s="4303"/>
      <c r="DJ1136" s="4303"/>
      <c r="DK1136" s="4303"/>
      <c r="DL1136" s="4303"/>
      <c r="DM1136" s="4303"/>
      <c r="DN1136" s="4303"/>
      <c r="DO1136" s="4303"/>
      <c r="DP1136" s="4303"/>
      <c r="DQ1136" s="4303"/>
      <c r="DR1136" s="4303"/>
      <c r="DS1136" s="4303"/>
      <c r="DT1136" s="4134"/>
      <c r="DU1136" s="4134"/>
    </row>
    <row r="1137" s="489" customFormat="1" ht="15.75" hidden="1" spans="1:125">
      <c r="A1137" s="4420"/>
      <c r="B1137" s="4420"/>
      <c r="C1137" s="4420"/>
      <c r="D1137" s="4420"/>
      <c r="E1137" s="4420"/>
      <c r="F1137" s="4420"/>
      <c r="G1137" s="4420"/>
      <c r="H1137" s="4967"/>
      <c r="I1137" s="4967"/>
      <c r="J1137" s="4967"/>
      <c r="K1137" s="4967"/>
      <c r="L1137" s="4967"/>
      <c r="M1137" s="4967"/>
      <c r="N1137" s="4967"/>
      <c r="O1137" s="4968"/>
      <c r="P1137" s="4966"/>
      <c r="Q1137" s="4292"/>
      <c r="R1137" s="4292"/>
      <c r="S1137" s="4420"/>
      <c r="T1137" s="4420"/>
      <c r="U1137" s="4420"/>
      <c r="V1137" s="4420"/>
      <c r="W1137" s="4420"/>
      <c r="X1137" s="4292"/>
      <c r="Y1137" s="4292"/>
      <c r="Z1137" s="4292"/>
      <c r="AA1137" s="4292"/>
      <c r="AB1137" s="4292"/>
      <c r="AC1137" s="4292"/>
      <c r="AD1137" s="4292"/>
      <c r="AE1137" s="4292"/>
      <c r="AF1137" s="4292"/>
      <c r="AG1137" s="4292"/>
      <c r="AH1137" s="4292"/>
      <c r="AI1137" s="4292"/>
      <c r="AJ1137" s="4292"/>
      <c r="AK1137" s="4292"/>
      <c r="AL1137" s="4292"/>
      <c r="AM1137" s="4292"/>
      <c r="AN1137" s="4292"/>
      <c r="AO1137" s="4292"/>
      <c r="AP1137" s="4292"/>
      <c r="AQ1137" s="4292"/>
      <c r="AR1137" s="4292"/>
      <c r="AS1137" s="4292"/>
      <c r="AT1137" s="4292"/>
      <c r="AU1137" s="4292"/>
      <c r="AV1137" s="4292"/>
      <c r="AW1137" s="4292"/>
      <c r="AX1137" s="4292"/>
      <c r="AY1137" s="4292"/>
      <c r="AZ1137" s="4292"/>
      <c r="BA1137" s="4292"/>
      <c r="BB1137" s="4292"/>
      <c r="BC1137" s="4292"/>
      <c r="BD1137" s="4292"/>
      <c r="BE1137" s="4292"/>
      <c r="BF1137" s="4292"/>
      <c r="BG1137" s="4292"/>
      <c r="BH1137" s="4292"/>
      <c r="BI1137" s="4292"/>
      <c r="BJ1137" s="4292"/>
      <c r="BK1137" s="4292"/>
      <c r="BL1137" s="4292"/>
      <c r="BM1137" s="4292"/>
      <c r="BN1137" s="4292"/>
      <c r="BO1137" s="4292"/>
      <c r="BP1137" s="4292"/>
      <c r="BQ1137" s="4292"/>
      <c r="BR1137" s="4292"/>
      <c r="BS1137" s="4292"/>
      <c r="BT1137" s="4292"/>
      <c r="BU1137" s="4303"/>
      <c r="BV1137" s="4303"/>
      <c r="BW1137" s="4303"/>
      <c r="BX1137" s="4303"/>
      <c r="BY1137" s="4303"/>
      <c r="BZ1137" s="4303"/>
      <c r="CA1137" s="4303"/>
      <c r="CB1137" s="4303"/>
      <c r="CC1137" s="4303"/>
      <c r="CD1137" s="4303"/>
      <c r="CE1137" s="4303"/>
      <c r="CF1137" s="4303"/>
      <c r="CG1137" s="4303"/>
      <c r="CH1137" s="4303"/>
      <c r="CI1137" s="4303"/>
      <c r="CJ1137" s="4303"/>
      <c r="CK1137" s="4303"/>
      <c r="CL1137" s="4303"/>
      <c r="CM1137" s="4303"/>
      <c r="CN1137" s="4303"/>
      <c r="CO1137" s="4303"/>
      <c r="CP1137" s="4303"/>
      <c r="CQ1137" s="4303"/>
      <c r="CR1137" s="4303"/>
      <c r="CS1137" s="4303"/>
      <c r="CT1137" s="4303"/>
      <c r="CU1137" s="4303"/>
      <c r="CV1137" s="4303"/>
      <c r="CW1137" s="4303"/>
      <c r="CX1137" s="4303"/>
      <c r="CY1137" s="4303"/>
      <c r="CZ1137" s="4303"/>
      <c r="DA1137" s="4303"/>
      <c r="DB1137" s="4303"/>
      <c r="DC1137" s="4303"/>
      <c r="DD1137" s="4303"/>
      <c r="DE1137" s="4303"/>
      <c r="DF1137" s="4303"/>
      <c r="DG1137" s="4303"/>
      <c r="DH1137" s="4303"/>
      <c r="DI1137" s="4303"/>
      <c r="DJ1137" s="4303"/>
      <c r="DK1137" s="4303"/>
      <c r="DL1137" s="4303"/>
      <c r="DM1137" s="4303"/>
      <c r="DN1137" s="4303"/>
      <c r="DO1137" s="4303"/>
      <c r="DP1137" s="4303"/>
      <c r="DQ1137" s="4303"/>
      <c r="DR1137" s="4303"/>
      <c r="DS1137" s="4303"/>
      <c r="DT1137" s="4134"/>
      <c r="DU1137" s="4134"/>
    </row>
    <row r="1138" s="489" customFormat="1" ht="15.75" hidden="1" spans="1:125">
      <c r="A1138" s="4420"/>
      <c r="B1138" s="4420"/>
      <c r="C1138" s="4420"/>
      <c r="D1138" s="4420"/>
      <c r="E1138" s="4420"/>
      <c r="F1138" s="4420"/>
      <c r="G1138" s="4420"/>
      <c r="H1138" s="4967"/>
      <c r="I1138" s="4967"/>
      <c r="J1138" s="4967"/>
      <c r="K1138" s="4967"/>
      <c r="L1138" s="4967"/>
      <c r="M1138" s="4967"/>
      <c r="N1138" s="4967"/>
      <c r="O1138" s="4968"/>
      <c r="P1138" s="4966"/>
      <c r="Q1138" s="4292"/>
      <c r="R1138" s="4292"/>
      <c r="S1138" s="4420"/>
      <c r="T1138" s="4420"/>
      <c r="U1138" s="4420"/>
      <c r="V1138" s="4420"/>
      <c r="W1138" s="4420"/>
      <c r="X1138" s="4292"/>
      <c r="Y1138" s="4292"/>
      <c r="Z1138" s="4292"/>
      <c r="AA1138" s="4292"/>
      <c r="AB1138" s="4292"/>
      <c r="AC1138" s="4292"/>
      <c r="AD1138" s="4292"/>
      <c r="AE1138" s="4292"/>
      <c r="AF1138" s="4292"/>
      <c r="AG1138" s="4292"/>
      <c r="AH1138" s="4292"/>
      <c r="AI1138" s="4292"/>
      <c r="AJ1138" s="4292"/>
      <c r="AK1138" s="4292"/>
      <c r="AL1138" s="4292"/>
      <c r="AM1138" s="4292"/>
      <c r="AN1138" s="4292"/>
      <c r="AO1138" s="4292"/>
      <c r="AP1138" s="4292"/>
      <c r="AQ1138" s="4292"/>
      <c r="AR1138" s="4292"/>
      <c r="AS1138" s="4292"/>
      <c r="AT1138" s="4292"/>
      <c r="AU1138" s="4292"/>
      <c r="AV1138" s="4292"/>
      <c r="AW1138" s="4292"/>
      <c r="AX1138" s="4292"/>
      <c r="AY1138" s="4292"/>
      <c r="AZ1138" s="4292"/>
      <c r="BA1138" s="4292"/>
      <c r="BB1138" s="4292"/>
      <c r="BC1138" s="4292"/>
      <c r="BD1138" s="4292"/>
      <c r="BE1138" s="4292"/>
      <c r="BF1138" s="4292"/>
      <c r="BG1138" s="4292"/>
      <c r="BH1138" s="4292"/>
      <c r="BI1138" s="4292"/>
      <c r="BJ1138" s="4292"/>
      <c r="BK1138" s="4292"/>
      <c r="BL1138" s="4292"/>
      <c r="BM1138" s="4292"/>
      <c r="BN1138" s="4292"/>
      <c r="BO1138" s="4292"/>
      <c r="BP1138" s="4292"/>
      <c r="BQ1138" s="4292"/>
      <c r="BR1138" s="4292"/>
      <c r="BS1138" s="4292"/>
      <c r="BT1138" s="4292"/>
      <c r="BU1138" s="4303"/>
      <c r="BV1138" s="4303"/>
      <c r="BW1138" s="4303"/>
      <c r="BX1138" s="4303"/>
      <c r="BY1138" s="4303"/>
      <c r="BZ1138" s="4303"/>
      <c r="CA1138" s="4303"/>
      <c r="CB1138" s="4303"/>
      <c r="CC1138" s="4303"/>
      <c r="CD1138" s="4303"/>
      <c r="CE1138" s="4303"/>
      <c r="CF1138" s="4303"/>
      <c r="CG1138" s="4303"/>
      <c r="CH1138" s="4303"/>
      <c r="CI1138" s="4303"/>
      <c r="CJ1138" s="4303"/>
      <c r="CK1138" s="4303"/>
      <c r="CL1138" s="4303"/>
      <c r="CM1138" s="4303"/>
      <c r="CN1138" s="4303"/>
      <c r="CO1138" s="4303"/>
      <c r="CP1138" s="4303"/>
      <c r="CQ1138" s="4303"/>
      <c r="CR1138" s="4303"/>
      <c r="CS1138" s="4303"/>
      <c r="CT1138" s="4303"/>
      <c r="CU1138" s="4303"/>
      <c r="CV1138" s="4303"/>
      <c r="CW1138" s="4303"/>
      <c r="CX1138" s="4303"/>
      <c r="CY1138" s="4303"/>
      <c r="CZ1138" s="4303"/>
      <c r="DA1138" s="4303"/>
      <c r="DB1138" s="4303"/>
      <c r="DC1138" s="4303"/>
      <c r="DD1138" s="4303"/>
      <c r="DE1138" s="4303"/>
      <c r="DF1138" s="4303"/>
      <c r="DG1138" s="4303"/>
      <c r="DH1138" s="4303"/>
      <c r="DI1138" s="4303"/>
      <c r="DJ1138" s="4303"/>
      <c r="DK1138" s="4303"/>
      <c r="DL1138" s="4303"/>
      <c r="DM1138" s="4303"/>
      <c r="DN1138" s="4303"/>
      <c r="DO1138" s="4303"/>
      <c r="DP1138" s="4303"/>
      <c r="DQ1138" s="4303"/>
      <c r="DR1138" s="4303"/>
      <c r="DS1138" s="4303"/>
      <c r="DT1138" s="4134"/>
      <c r="DU1138" s="4134"/>
    </row>
    <row r="1139" s="489" customFormat="1" ht="15.75" hidden="1" spans="1:125">
      <c r="A1139" s="4420"/>
      <c r="B1139" s="4420"/>
      <c r="C1139" s="4420"/>
      <c r="D1139" s="4420"/>
      <c r="E1139" s="4420"/>
      <c r="F1139" s="4420"/>
      <c r="G1139" s="4420"/>
      <c r="H1139" s="4967"/>
      <c r="I1139" s="4967"/>
      <c r="J1139" s="4967"/>
      <c r="K1139" s="4967"/>
      <c r="L1139" s="4967"/>
      <c r="M1139" s="4967"/>
      <c r="N1139" s="4967"/>
      <c r="O1139" s="4968"/>
      <c r="P1139" s="4966"/>
      <c r="Q1139" s="4292"/>
      <c r="R1139" s="4292"/>
      <c r="S1139" s="4420"/>
      <c r="T1139" s="4420"/>
      <c r="U1139" s="4420"/>
      <c r="V1139" s="4420"/>
      <c r="W1139" s="4420"/>
      <c r="X1139" s="4292"/>
      <c r="Y1139" s="4292"/>
      <c r="Z1139" s="4292"/>
      <c r="AA1139" s="4292"/>
      <c r="AB1139" s="4292"/>
      <c r="AC1139" s="4292"/>
      <c r="AD1139" s="4292"/>
      <c r="AE1139" s="4292"/>
      <c r="AF1139" s="4292"/>
      <c r="AG1139" s="4292"/>
      <c r="AH1139" s="4292"/>
      <c r="AI1139" s="4292"/>
      <c r="AJ1139" s="4292"/>
      <c r="AK1139" s="4292"/>
      <c r="AL1139" s="4292"/>
      <c r="AM1139" s="4292"/>
      <c r="AN1139" s="4292"/>
      <c r="AO1139" s="4292"/>
      <c r="AP1139" s="4292"/>
      <c r="AQ1139" s="4292"/>
      <c r="AR1139" s="4292"/>
      <c r="AS1139" s="4292"/>
      <c r="AT1139" s="4292"/>
      <c r="AU1139" s="4292"/>
      <c r="AV1139" s="4292"/>
      <c r="AW1139" s="4292"/>
      <c r="AX1139" s="4292"/>
      <c r="AY1139" s="4292"/>
      <c r="AZ1139" s="4292"/>
      <c r="BA1139" s="4292"/>
      <c r="BB1139" s="4292"/>
      <c r="BC1139" s="4292"/>
      <c r="BD1139" s="4292"/>
      <c r="BE1139" s="4292"/>
      <c r="BF1139" s="4292"/>
      <c r="BG1139" s="4292"/>
      <c r="BH1139" s="4292"/>
      <c r="BI1139" s="4292"/>
      <c r="BJ1139" s="4292"/>
      <c r="BK1139" s="4292"/>
      <c r="BL1139" s="4292"/>
      <c r="BM1139" s="4292"/>
      <c r="BN1139" s="4292"/>
      <c r="BO1139" s="4292"/>
      <c r="BP1139" s="4292"/>
      <c r="BQ1139" s="4292"/>
      <c r="BR1139" s="4292"/>
      <c r="BS1139" s="4292"/>
      <c r="BT1139" s="4292"/>
      <c r="BU1139" s="4303"/>
      <c r="BV1139" s="4303"/>
      <c r="BW1139" s="4303"/>
      <c r="BX1139" s="4303"/>
      <c r="BY1139" s="4303"/>
      <c r="BZ1139" s="4303"/>
      <c r="CA1139" s="4303"/>
      <c r="CB1139" s="4303"/>
      <c r="CC1139" s="4303"/>
      <c r="CD1139" s="4303"/>
      <c r="CE1139" s="4303"/>
      <c r="CF1139" s="4303"/>
      <c r="CG1139" s="4303"/>
      <c r="CH1139" s="4303"/>
      <c r="CI1139" s="4303"/>
      <c r="CJ1139" s="4303"/>
      <c r="CK1139" s="4303"/>
      <c r="CL1139" s="4303"/>
      <c r="CM1139" s="4303"/>
      <c r="CN1139" s="4303"/>
      <c r="CO1139" s="4303"/>
      <c r="CP1139" s="4303"/>
      <c r="CQ1139" s="4303"/>
      <c r="CR1139" s="4303"/>
      <c r="CS1139" s="4303"/>
      <c r="CT1139" s="4303"/>
      <c r="CU1139" s="4303"/>
      <c r="CV1139" s="4303"/>
      <c r="CW1139" s="4303"/>
      <c r="CX1139" s="4303"/>
      <c r="CY1139" s="4303"/>
      <c r="CZ1139" s="4303"/>
      <c r="DA1139" s="4303"/>
      <c r="DB1139" s="4303"/>
      <c r="DC1139" s="4303"/>
      <c r="DD1139" s="4303"/>
      <c r="DE1139" s="4303"/>
      <c r="DF1139" s="4303"/>
      <c r="DG1139" s="4303"/>
      <c r="DH1139" s="4303"/>
      <c r="DI1139" s="4303"/>
      <c r="DJ1139" s="4303"/>
      <c r="DK1139" s="4303"/>
      <c r="DL1139" s="4303"/>
      <c r="DM1139" s="4303"/>
      <c r="DN1139" s="4303"/>
      <c r="DO1139" s="4303"/>
      <c r="DP1139" s="4303"/>
      <c r="DQ1139" s="4303"/>
      <c r="DR1139" s="4303"/>
      <c r="DS1139" s="4303"/>
      <c r="DT1139" s="4134"/>
      <c r="DU1139" s="4134"/>
    </row>
    <row r="1140" s="489" customFormat="1" ht="15.75" hidden="1" spans="1:125">
      <c r="A1140" s="4420"/>
      <c r="B1140" s="4420"/>
      <c r="C1140" s="4420"/>
      <c r="D1140" s="4420"/>
      <c r="E1140" s="4420"/>
      <c r="F1140" s="4420"/>
      <c r="G1140" s="4420"/>
      <c r="H1140" s="4967"/>
      <c r="I1140" s="4967"/>
      <c r="J1140" s="4967"/>
      <c r="K1140" s="4967"/>
      <c r="L1140" s="4967"/>
      <c r="M1140" s="4967"/>
      <c r="N1140" s="4967"/>
      <c r="O1140" s="4968"/>
      <c r="P1140" s="4966"/>
      <c r="Q1140" s="4292"/>
      <c r="R1140" s="4292"/>
      <c r="S1140" s="4420"/>
      <c r="T1140" s="4420"/>
      <c r="U1140" s="4420"/>
      <c r="V1140" s="4420"/>
      <c r="W1140" s="4420"/>
      <c r="X1140" s="4292"/>
      <c r="Y1140" s="4292"/>
      <c r="Z1140" s="4292"/>
      <c r="AA1140" s="4292"/>
      <c r="AB1140" s="4292"/>
      <c r="AC1140" s="4292"/>
      <c r="AD1140" s="4292"/>
      <c r="AE1140" s="4292"/>
      <c r="AF1140" s="4292"/>
      <c r="AG1140" s="4292"/>
      <c r="AH1140" s="4292"/>
      <c r="AI1140" s="4292"/>
      <c r="AJ1140" s="4292"/>
      <c r="AK1140" s="4292"/>
      <c r="AL1140" s="4292"/>
      <c r="AM1140" s="4292"/>
      <c r="AN1140" s="4292"/>
      <c r="AO1140" s="4292"/>
      <c r="AP1140" s="4292"/>
      <c r="AQ1140" s="4292"/>
      <c r="AR1140" s="4292"/>
      <c r="AS1140" s="4292"/>
      <c r="AT1140" s="4292"/>
      <c r="AU1140" s="4292"/>
      <c r="AV1140" s="4292"/>
      <c r="AW1140" s="4292"/>
      <c r="AX1140" s="4292"/>
      <c r="AY1140" s="4292"/>
      <c r="AZ1140" s="4292"/>
      <c r="BA1140" s="4292"/>
      <c r="BB1140" s="4292"/>
      <c r="BC1140" s="4292"/>
      <c r="BD1140" s="4292"/>
      <c r="BE1140" s="4292"/>
      <c r="BF1140" s="4292"/>
      <c r="BG1140" s="4292"/>
      <c r="BH1140" s="4292"/>
      <c r="BI1140" s="4292"/>
      <c r="BJ1140" s="4292"/>
      <c r="BK1140" s="4292"/>
      <c r="BL1140" s="4292"/>
      <c r="BM1140" s="4292"/>
      <c r="BN1140" s="4292"/>
      <c r="BO1140" s="4292"/>
      <c r="BP1140" s="4292"/>
      <c r="BQ1140" s="4292"/>
      <c r="BR1140" s="4292"/>
      <c r="BS1140" s="4292"/>
      <c r="BT1140" s="4292"/>
      <c r="BU1140" s="4303"/>
      <c r="BV1140" s="4303"/>
      <c r="BW1140" s="4303"/>
      <c r="BX1140" s="4303"/>
      <c r="BY1140" s="4303"/>
      <c r="BZ1140" s="4303"/>
      <c r="CA1140" s="4303"/>
      <c r="CB1140" s="4303"/>
      <c r="CC1140" s="4303"/>
      <c r="CD1140" s="4303"/>
      <c r="CE1140" s="4303"/>
      <c r="CF1140" s="4303"/>
      <c r="CG1140" s="4303"/>
      <c r="CH1140" s="4303"/>
      <c r="CI1140" s="4303"/>
      <c r="CJ1140" s="4303"/>
      <c r="CK1140" s="4303"/>
      <c r="CL1140" s="4303"/>
      <c r="CM1140" s="4303"/>
      <c r="CN1140" s="4303"/>
      <c r="CO1140" s="4303"/>
      <c r="CP1140" s="4303"/>
      <c r="CQ1140" s="4303"/>
      <c r="CR1140" s="4303"/>
      <c r="CS1140" s="4303"/>
      <c r="CT1140" s="4303"/>
      <c r="CU1140" s="4303"/>
      <c r="CV1140" s="4303"/>
      <c r="CW1140" s="4303"/>
      <c r="CX1140" s="4303"/>
      <c r="CY1140" s="4303"/>
      <c r="CZ1140" s="4303"/>
      <c r="DA1140" s="4303"/>
      <c r="DB1140" s="4303"/>
      <c r="DC1140" s="4303"/>
      <c r="DD1140" s="4303"/>
      <c r="DE1140" s="4303"/>
      <c r="DF1140" s="4303"/>
      <c r="DG1140" s="4303"/>
      <c r="DH1140" s="4303"/>
      <c r="DI1140" s="4303"/>
      <c r="DJ1140" s="4303"/>
      <c r="DK1140" s="4303"/>
      <c r="DL1140" s="4303"/>
      <c r="DM1140" s="4303"/>
      <c r="DN1140" s="4303"/>
      <c r="DO1140" s="4303"/>
      <c r="DP1140" s="4303"/>
      <c r="DQ1140" s="4303"/>
      <c r="DR1140" s="4303"/>
      <c r="DS1140" s="4303"/>
      <c r="DT1140" s="4134"/>
      <c r="DU1140" s="4134"/>
    </row>
    <row r="1141" s="489" customFormat="1" ht="15.75" hidden="1" spans="1:125">
      <c r="A1141" s="4420"/>
      <c r="B1141" s="4420"/>
      <c r="C1141" s="4420"/>
      <c r="D1141" s="4420"/>
      <c r="E1141" s="4420"/>
      <c r="F1141" s="4420"/>
      <c r="G1141" s="4420"/>
      <c r="H1141" s="4967"/>
      <c r="I1141" s="4967"/>
      <c r="J1141" s="4967"/>
      <c r="K1141" s="4967"/>
      <c r="L1141" s="4967"/>
      <c r="M1141" s="4967"/>
      <c r="N1141" s="4967"/>
      <c r="O1141" s="4968"/>
      <c r="P1141" s="4966"/>
      <c r="Q1141" s="4292"/>
      <c r="R1141" s="4292"/>
      <c r="S1141" s="4420"/>
      <c r="T1141" s="4420"/>
      <c r="U1141" s="4420"/>
      <c r="V1141" s="4420"/>
      <c r="W1141" s="4420"/>
      <c r="X1141" s="4292"/>
      <c r="Y1141" s="4292"/>
      <c r="Z1141" s="4292"/>
      <c r="AA1141" s="4292"/>
      <c r="AB1141" s="4292"/>
      <c r="AC1141" s="4292"/>
      <c r="AD1141" s="4292"/>
      <c r="AE1141" s="4292"/>
      <c r="AF1141" s="4292"/>
      <c r="AG1141" s="4292"/>
      <c r="AH1141" s="4292"/>
      <c r="AI1141" s="4292"/>
      <c r="AJ1141" s="4292"/>
      <c r="AK1141" s="4292"/>
      <c r="AL1141" s="4292"/>
      <c r="AM1141" s="4292"/>
      <c r="AN1141" s="4292"/>
      <c r="AO1141" s="4292"/>
      <c r="AP1141" s="4292"/>
      <c r="AQ1141" s="4292"/>
      <c r="AR1141" s="4292"/>
      <c r="AS1141" s="4292"/>
      <c r="AT1141" s="4292"/>
      <c r="AU1141" s="4292"/>
      <c r="AV1141" s="4292"/>
      <c r="AW1141" s="4292"/>
      <c r="AX1141" s="4292"/>
      <c r="AY1141" s="4292"/>
      <c r="AZ1141" s="4292"/>
      <c r="BA1141" s="4292"/>
      <c r="BB1141" s="4292"/>
      <c r="BC1141" s="4292"/>
      <c r="BD1141" s="4292"/>
      <c r="BE1141" s="4292"/>
      <c r="BF1141" s="4292"/>
      <c r="BG1141" s="4292"/>
      <c r="BH1141" s="4292"/>
      <c r="BI1141" s="4292"/>
      <c r="BJ1141" s="4292"/>
      <c r="BK1141" s="4292"/>
      <c r="BL1141" s="4292"/>
      <c r="BM1141" s="4292"/>
      <c r="BN1141" s="4292"/>
      <c r="BO1141" s="4292"/>
      <c r="BP1141" s="4292"/>
      <c r="BQ1141" s="4292"/>
      <c r="BR1141" s="4292"/>
      <c r="BS1141" s="4292"/>
      <c r="BT1141" s="4292"/>
      <c r="BU1141" s="4303"/>
      <c r="BV1141" s="4303"/>
      <c r="BW1141" s="4303"/>
      <c r="BX1141" s="4303"/>
      <c r="BY1141" s="4303"/>
      <c r="BZ1141" s="4303"/>
      <c r="CA1141" s="4303"/>
      <c r="CB1141" s="4303"/>
      <c r="CC1141" s="4303"/>
      <c r="CD1141" s="4303"/>
      <c r="CE1141" s="4303"/>
      <c r="CF1141" s="4303"/>
      <c r="CG1141" s="4303"/>
      <c r="CH1141" s="4303"/>
      <c r="CI1141" s="4303"/>
      <c r="CJ1141" s="4303"/>
      <c r="CK1141" s="4303"/>
      <c r="CL1141" s="4303"/>
      <c r="CM1141" s="4303"/>
      <c r="CN1141" s="4303"/>
      <c r="CO1141" s="4303"/>
      <c r="CP1141" s="4303"/>
      <c r="CQ1141" s="4303"/>
      <c r="CR1141" s="4303"/>
      <c r="CS1141" s="4303"/>
      <c r="CT1141" s="4303"/>
      <c r="CU1141" s="4303"/>
      <c r="CV1141" s="4303"/>
      <c r="CW1141" s="4303"/>
      <c r="CX1141" s="4303"/>
      <c r="CY1141" s="4303"/>
      <c r="CZ1141" s="4303"/>
      <c r="DA1141" s="4303"/>
      <c r="DB1141" s="4303"/>
      <c r="DC1141" s="4303"/>
      <c r="DD1141" s="4303"/>
      <c r="DE1141" s="4303"/>
      <c r="DF1141" s="4303"/>
      <c r="DG1141" s="4303"/>
      <c r="DH1141" s="4303"/>
      <c r="DI1141" s="4303"/>
      <c r="DJ1141" s="4303"/>
      <c r="DK1141" s="4303"/>
      <c r="DL1141" s="4303"/>
      <c r="DM1141" s="4303"/>
      <c r="DN1141" s="4303"/>
      <c r="DO1141" s="4303"/>
      <c r="DP1141" s="4303"/>
      <c r="DQ1141" s="4303"/>
      <c r="DR1141" s="4303"/>
      <c r="DS1141" s="4303"/>
      <c r="DT1141" s="4134"/>
      <c r="DU1141" s="4134"/>
    </row>
    <row r="1142" s="4133" customFormat="1" ht="18.75" spans="1:125">
      <c r="A1142" s="4858"/>
      <c r="B1142" s="4420"/>
      <c r="C1142" s="4420"/>
      <c r="D1142" s="4420"/>
      <c r="E1142" s="4420"/>
      <c r="F1142" s="4420"/>
      <c r="G1142" s="4420"/>
      <c r="H1142" s="4967"/>
      <c r="I1142" s="4967"/>
      <c r="J1142" s="4967"/>
      <c r="K1142" s="4967"/>
      <c r="L1142" s="4967"/>
      <c r="M1142" s="4967"/>
      <c r="N1142" s="4967"/>
      <c r="O1142" s="4968"/>
      <c r="P1142" s="4966"/>
      <c r="Q1142" s="4292"/>
      <c r="R1142" s="4292"/>
      <c r="S1142" s="4420"/>
      <c r="T1142" s="4420"/>
      <c r="U1142" s="4420"/>
      <c r="V1142" s="4420"/>
      <c r="W1142" s="4420"/>
      <c r="X1142" s="4292"/>
      <c r="Y1142" s="4423"/>
      <c r="Z1142" s="4292"/>
      <c r="AA1142" s="4292"/>
      <c r="AB1142" s="4292"/>
      <c r="AC1142" s="4292"/>
      <c r="AD1142" s="4292"/>
      <c r="AE1142" s="4292"/>
      <c r="AF1142" s="4292"/>
      <c r="AG1142" s="4292"/>
      <c r="AH1142" s="4292"/>
      <c r="AI1142" s="4292"/>
      <c r="AJ1142" s="4292"/>
      <c r="AK1142" s="4292"/>
      <c r="AL1142" s="4292"/>
      <c r="AM1142" s="4292"/>
      <c r="AN1142" s="4292"/>
      <c r="AO1142" s="4292"/>
      <c r="AP1142" s="4292"/>
      <c r="AQ1142" s="4292"/>
      <c r="AR1142" s="4292"/>
      <c r="AS1142" s="4292"/>
      <c r="AT1142" s="4292"/>
      <c r="AU1142" s="4292"/>
      <c r="AV1142" s="4292"/>
      <c r="AW1142" s="4292"/>
      <c r="AX1142" s="4292"/>
      <c r="AY1142" s="4292"/>
      <c r="AZ1142" s="4292"/>
      <c r="BA1142" s="4292"/>
      <c r="BB1142" s="4292"/>
      <c r="BC1142" s="4292"/>
      <c r="BD1142" s="4292"/>
      <c r="BE1142" s="4292"/>
      <c r="BF1142" s="4292"/>
      <c r="BG1142" s="4292"/>
      <c r="BH1142" s="4292"/>
      <c r="BI1142" s="4292"/>
      <c r="BJ1142" s="4292"/>
      <c r="BK1142" s="4292"/>
      <c r="BL1142" s="4292"/>
      <c r="BM1142" s="4292"/>
      <c r="BN1142" s="4292"/>
      <c r="BO1142" s="4292"/>
      <c r="BP1142" s="4292"/>
      <c r="BQ1142" s="4292"/>
      <c r="BR1142" s="4292"/>
      <c r="BS1142" s="4292"/>
      <c r="BT1142" s="4292"/>
      <c r="BU1142" s="4303"/>
      <c r="BV1142" s="4303"/>
      <c r="BW1142" s="4303"/>
      <c r="BX1142" s="4303"/>
      <c r="BY1142" s="4303"/>
      <c r="BZ1142" s="4303"/>
      <c r="CA1142" s="4303"/>
      <c r="CB1142" s="4303"/>
      <c r="CC1142" s="4303"/>
      <c r="CD1142" s="4303"/>
      <c r="CE1142" s="4303"/>
      <c r="CF1142" s="4303"/>
      <c r="CG1142" s="4303"/>
      <c r="CH1142" s="4303"/>
      <c r="CI1142" s="4303"/>
      <c r="CJ1142" s="4303"/>
      <c r="CK1142" s="4303"/>
      <c r="CL1142" s="4303"/>
      <c r="CM1142" s="4303"/>
      <c r="CN1142" s="4303"/>
      <c r="CO1142" s="4303"/>
      <c r="CP1142" s="4303"/>
      <c r="CQ1142" s="4303"/>
      <c r="CR1142" s="4303"/>
      <c r="CS1142" s="4303"/>
      <c r="CT1142" s="4303"/>
      <c r="CU1142" s="4303"/>
      <c r="CV1142" s="4303"/>
      <c r="CW1142" s="4303"/>
      <c r="CX1142" s="4303"/>
      <c r="CY1142" s="4303"/>
      <c r="CZ1142" s="4303"/>
      <c r="DA1142" s="4303"/>
      <c r="DB1142" s="4303"/>
      <c r="DC1142" s="4303"/>
      <c r="DD1142" s="4303"/>
      <c r="DE1142" s="4303"/>
      <c r="DF1142" s="4303"/>
      <c r="DG1142" s="4303"/>
      <c r="DH1142" s="4303"/>
      <c r="DI1142" s="4303"/>
      <c r="DJ1142" s="4303"/>
      <c r="DK1142" s="4303"/>
      <c r="DL1142" s="4303"/>
      <c r="DM1142" s="4303"/>
      <c r="DN1142" s="4303"/>
      <c r="DO1142" s="4303"/>
      <c r="DP1142" s="4303"/>
      <c r="DQ1142" s="4303"/>
      <c r="DR1142" s="4303"/>
      <c r="DS1142" s="4303"/>
      <c r="DT1142" s="4134"/>
      <c r="DU1142" s="4134"/>
    </row>
    <row r="1143" s="4133" customFormat="1" ht="14.25" customHeight="1" spans="1:125">
      <c r="A1143" s="4969"/>
      <c r="B1143" s="4970"/>
      <c r="C1143" s="4292"/>
      <c r="D1143" s="4292"/>
      <c r="E1143" s="4292"/>
      <c r="F1143" s="4292"/>
      <c r="G1143" s="4292"/>
      <c r="H1143" s="4292"/>
      <c r="I1143" s="4292"/>
      <c r="J1143" s="4292"/>
      <c r="K1143" s="4292"/>
      <c r="L1143" s="4292"/>
      <c r="M1143" s="4292"/>
      <c r="N1143" s="4292"/>
      <c r="O1143" s="4292"/>
      <c r="P1143" s="4292"/>
      <c r="Q1143" s="4292"/>
      <c r="R1143" s="4292"/>
      <c r="S1143" s="4292"/>
      <c r="T1143" s="4292"/>
      <c r="U1143" s="4292"/>
      <c r="V1143" s="4292"/>
      <c r="W1143" s="4292"/>
      <c r="X1143" s="4292"/>
      <c r="Y1143" s="4292"/>
      <c r="Z1143" s="4292"/>
      <c r="AA1143" s="4292"/>
      <c r="AB1143" s="4292"/>
      <c r="AC1143" s="4292"/>
      <c r="AD1143" s="4292"/>
      <c r="AE1143" s="4292"/>
      <c r="AF1143" s="4292"/>
      <c r="AG1143" s="4292"/>
      <c r="AH1143" s="4292"/>
      <c r="AI1143" s="4292"/>
      <c r="AJ1143" s="4292"/>
      <c r="AK1143" s="4292"/>
      <c r="AL1143" s="4292"/>
      <c r="AM1143" s="4292"/>
      <c r="AN1143" s="4292"/>
      <c r="AO1143" s="4292"/>
      <c r="AP1143" s="4292"/>
      <c r="AQ1143" s="4292"/>
      <c r="AR1143" s="4292"/>
      <c r="AS1143" s="4292"/>
      <c r="AT1143" s="4292"/>
      <c r="AU1143" s="4292"/>
      <c r="AV1143" s="4292"/>
      <c r="AW1143" s="4292"/>
      <c r="AX1143" s="4292"/>
      <c r="AY1143" s="4292"/>
      <c r="AZ1143" s="4292"/>
      <c r="BA1143" s="4292"/>
      <c r="BB1143" s="4292"/>
      <c r="BC1143" s="4292"/>
      <c r="BD1143" s="4292"/>
      <c r="BE1143" s="4292"/>
      <c r="BF1143" s="4292"/>
      <c r="BG1143" s="4292"/>
      <c r="BH1143" s="4292"/>
      <c r="BI1143" s="4292"/>
      <c r="BJ1143" s="4292"/>
      <c r="BK1143" s="4292"/>
      <c r="BL1143" s="4292"/>
      <c r="BM1143" s="4292"/>
      <c r="BN1143" s="4292"/>
      <c r="BO1143" s="4292"/>
      <c r="BP1143" s="4292"/>
      <c r="BQ1143" s="4292"/>
      <c r="BR1143" s="4292"/>
      <c r="BS1143" s="4292"/>
      <c r="BT1143" s="4292"/>
      <c r="BU1143" s="4303"/>
      <c r="BV1143" s="4303"/>
      <c r="BW1143" s="4303"/>
      <c r="BX1143" s="4303"/>
      <c r="BY1143" s="4303"/>
      <c r="BZ1143" s="4303"/>
      <c r="CA1143" s="4303"/>
      <c r="CB1143" s="4303"/>
      <c r="CC1143" s="4303"/>
      <c r="CD1143" s="4303"/>
      <c r="CE1143" s="4303"/>
      <c r="CF1143" s="4303"/>
      <c r="CG1143" s="4303"/>
      <c r="CH1143" s="4303"/>
      <c r="CI1143" s="4303"/>
      <c r="CJ1143" s="4303"/>
      <c r="CK1143" s="4303"/>
      <c r="CL1143" s="4303"/>
      <c r="CM1143" s="4303"/>
      <c r="CN1143" s="4303"/>
      <c r="CO1143" s="4303"/>
      <c r="CP1143" s="4303"/>
      <c r="CQ1143" s="4303"/>
      <c r="CR1143" s="4303"/>
      <c r="CS1143" s="4303"/>
      <c r="CT1143" s="4303"/>
      <c r="CU1143" s="4303"/>
      <c r="CV1143" s="4303"/>
      <c r="CW1143" s="4303"/>
      <c r="CX1143" s="4303"/>
      <c r="CY1143" s="4303"/>
      <c r="CZ1143" s="4303"/>
      <c r="DA1143" s="4303"/>
      <c r="DB1143" s="4303"/>
      <c r="DC1143" s="4303"/>
      <c r="DD1143" s="4303"/>
      <c r="DE1143" s="4303"/>
      <c r="DF1143" s="4303"/>
      <c r="DG1143" s="4303"/>
      <c r="DH1143" s="4303"/>
      <c r="DI1143" s="4303"/>
      <c r="DJ1143" s="4303"/>
      <c r="DK1143" s="4303"/>
      <c r="DL1143" s="4303"/>
      <c r="DM1143" s="4303"/>
      <c r="DN1143" s="4303"/>
      <c r="DO1143" s="4303"/>
      <c r="DP1143" s="4303"/>
      <c r="DQ1143" s="4303"/>
      <c r="DR1143" s="4303"/>
      <c r="DS1143" s="4303"/>
      <c r="DT1143" s="4134"/>
      <c r="DU1143" s="4134"/>
    </row>
    <row r="1144" s="4135" customFormat="1" ht="28.5" customHeight="1" spans="1:125">
      <c r="A1144" s="4481" t="str">
        <f>"9. "&amp;Text!B492&amp;" - "&amp;Text!B493</f>
        <v>9. (IZVJEŠTAJ O GOTOVINSKIM TOKOVIMA) - (Indirektna metoda)</v>
      </c>
      <c r="B1144" s="4481"/>
      <c r="C1144" s="4481"/>
      <c r="D1144" s="4481"/>
      <c r="E1144" s="4481"/>
      <c r="F1144" s="4481"/>
      <c r="G1144" s="4481"/>
      <c r="H1144" s="4481"/>
      <c r="I1144" s="4481"/>
      <c r="J1144" s="4481"/>
      <c r="K1144" s="4481"/>
      <c r="L1144" s="4481"/>
      <c r="M1144" s="4481"/>
      <c r="N1144" s="4481"/>
      <c r="O1144" s="4481"/>
      <c r="P1144" s="4481"/>
      <c r="Q1144" s="4481"/>
      <c r="R1144" s="4481"/>
      <c r="S1144" s="4481"/>
      <c r="T1144" s="4481"/>
      <c r="U1144" s="4481"/>
      <c r="V1144" s="4481"/>
      <c r="W1144" s="4481"/>
      <c r="X1144" s="4481"/>
      <c r="Y1144" s="4481"/>
      <c r="Z1144" s="4481"/>
      <c r="AA1144" s="4481"/>
      <c r="AB1144" s="4481"/>
      <c r="AC1144" s="4481"/>
      <c r="AD1144" s="4481"/>
      <c r="AE1144" s="4481"/>
      <c r="AF1144" s="4481"/>
      <c r="AG1144" s="4481"/>
      <c r="AH1144" s="4481"/>
      <c r="AI1144" s="4481"/>
      <c r="AJ1144" s="4481"/>
      <c r="AK1144" s="4481"/>
      <c r="AL1144" s="4481"/>
      <c r="AM1144" s="4481"/>
      <c r="AN1144" s="4481"/>
      <c r="AO1144" s="4481"/>
      <c r="AP1144" s="4481"/>
      <c r="AQ1144" s="4481"/>
      <c r="AR1144" s="4481"/>
      <c r="AS1144" s="4481"/>
      <c r="AT1144" s="4481"/>
      <c r="AU1144" s="4481"/>
      <c r="AV1144" s="4481"/>
      <c r="AW1144" s="4481"/>
      <c r="AX1144" s="4481"/>
      <c r="AY1144" s="4481"/>
      <c r="AZ1144" s="4481"/>
      <c r="BA1144" s="4481"/>
      <c r="BB1144" s="4481"/>
      <c r="BC1144" s="4481"/>
      <c r="BD1144" s="4481"/>
      <c r="BE1144" s="4481"/>
      <c r="BF1144" s="4481"/>
      <c r="BG1144" s="4481"/>
      <c r="BH1144" s="4481"/>
      <c r="BI1144" s="4481"/>
      <c r="BJ1144" s="4481"/>
      <c r="BK1144" s="4481"/>
      <c r="BL1144" s="4481"/>
      <c r="BM1144" s="4481"/>
      <c r="BN1144" s="4481"/>
      <c r="BO1144" s="4481"/>
      <c r="BP1144" s="4481"/>
      <c r="BQ1144" s="4481"/>
      <c r="BR1144" s="4481"/>
      <c r="BS1144" s="4481"/>
      <c r="BT1144" s="4481"/>
      <c r="BU1144" s="4481"/>
      <c r="BV1144" s="4481"/>
      <c r="BW1144" s="4481"/>
      <c r="BX1144" s="4481"/>
      <c r="BY1144" s="4481"/>
      <c r="BZ1144" s="4481"/>
      <c r="CA1144" s="4481"/>
      <c r="CB1144" s="4481"/>
      <c r="CC1144" s="4481"/>
      <c r="CD1144" s="4481"/>
      <c r="CE1144" s="4775"/>
      <c r="CF1144" s="4775"/>
      <c r="CG1144" s="4775"/>
      <c r="CH1144" s="4775"/>
      <c r="CI1144" s="4775"/>
      <c r="CJ1144" s="4775"/>
      <c r="CK1144" s="4775"/>
      <c r="CL1144" s="4775"/>
      <c r="CM1144" s="4775"/>
      <c r="CN1144" s="4775"/>
      <c r="CO1144" s="4775"/>
      <c r="CP1144" s="4775"/>
      <c r="CQ1144" s="4775"/>
      <c r="CR1144" s="4775"/>
      <c r="CS1144" s="4775"/>
      <c r="CT1144" s="4775"/>
      <c r="CU1144" s="4775"/>
      <c r="CV1144" s="4775"/>
      <c r="CW1144" s="4775"/>
      <c r="CX1144" s="4775"/>
      <c r="CY1144" s="4775"/>
      <c r="CZ1144" s="4775"/>
      <c r="DA1144" s="4775"/>
      <c r="DB1144" s="4775"/>
      <c r="DC1144" s="4775"/>
      <c r="DD1144" s="4775"/>
      <c r="DE1144" s="4775"/>
      <c r="DF1144" s="4775"/>
      <c r="DG1144" s="4775"/>
      <c r="DH1144" s="4775"/>
      <c r="DI1144" s="4775"/>
      <c r="DJ1144" s="4775"/>
      <c r="DK1144" s="4775"/>
      <c r="DL1144" s="4775"/>
      <c r="DM1144" s="4775"/>
      <c r="DN1144" s="4775"/>
      <c r="DO1144" s="4775"/>
      <c r="DP1144" s="4775"/>
      <c r="DQ1144" s="4775"/>
      <c r="DR1144" s="4775"/>
      <c r="DS1144" s="4775"/>
    </row>
    <row r="1145" s="4133" customFormat="1" spans="1:125">
      <c r="A1145" s="4292"/>
      <c r="B1145" s="4292"/>
      <c r="C1145" s="4292"/>
      <c r="D1145" s="4292"/>
      <c r="E1145" s="4292"/>
      <c r="F1145" s="4292"/>
      <c r="G1145" s="4292"/>
      <c r="H1145" s="4292"/>
      <c r="I1145" s="4292"/>
      <c r="J1145" s="4292"/>
      <c r="K1145" s="4292"/>
      <c r="L1145" s="4292"/>
      <c r="M1145" s="4292"/>
      <c r="N1145" s="4292"/>
      <c r="O1145" s="4292"/>
      <c r="P1145" s="4292"/>
      <c r="Q1145" s="4292"/>
      <c r="R1145" s="4292"/>
      <c r="S1145" s="4292"/>
      <c r="T1145" s="4292"/>
      <c r="U1145" s="4292"/>
      <c r="V1145" s="4292"/>
      <c r="W1145" s="4292"/>
      <c r="X1145" s="4292"/>
      <c r="Y1145" s="4292"/>
      <c r="Z1145" s="4292"/>
      <c r="AA1145" s="4292"/>
      <c r="AB1145" s="4292"/>
      <c r="AC1145" s="4292"/>
      <c r="AD1145" s="4292"/>
      <c r="AE1145" s="4292"/>
      <c r="AF1145" s="4292"/>
      <c r="AG1145" s="4292"/>
      <c r="AH1145" s="4292"/>
      <c r="AI1145" s="4292"/>
      <c r="AJ1145" s="4292"/>
      <c r="AK1145" s="4292"/>
      <c r="AL1145" s="4292"/>
      <c r="AM1145" s="4292"/>
      <c r="AN1145" s="4292"/>
      <c r="AO1145" s="4292"/>
      <c r="AP1145" s="4292"/>
      <c r="AQ1145" s="4292"/>
      <c r="AR1145" s="4292"/>
      <c r="AS1145" s="4292"/>
      <c r="AT1145" s="4292"/>
      <c r="AU1145" s="4292"/>
      <c r="AV1145" s="4292"/>
      <c r="AW1145" s="4292"/>
      <c r="AX1145" s="4292"/>
      <c r="AY1145" s="4292"/>
      <c r="AZ1145" s="4292"/>
      <c r="BA1145" s="4292"/>
      <c r="BB1145" s="4292"/>
      <c r="BC1145" s="4292"/>
      <c r="BD1145" s="4292"/>
      <c r="BE1145" s="4292"/>
      <c r="BF1145" s="4292"/>
      <c r="BG1145" s="4292"/>
      <c r="BH1145" s="4292"/>
      <c r="BI1145" s="4292"/>
      <c r="BJ1145" s="4292"/>
      <c r="BK1145" s="4292"/>
      <c r="BL1145" s="4292"/>
      <c r="BM1145" s="4292"/>
      <c r="BN1145" s="4292"/>
      <c r="BO1145" s="4292"/>
      <c r="BP1145" s="4292"/>
      <c r="BQ1145" s="4292"/>
      <c r="BR1145" s="4292"/>
      <c r="BS1145" s="4292"/>
      <c r="BT1145" s="4292"/>
      <c r="BU1145" s="4292"/>
      <c r="BV1145" s="4292"/>
      <c r="BW1145" s="4292"/>
      <c r="BX1145" s="4292"/>
      <c r="BY1145" s="4292"/>
      <c r="BZ1145" s="4292"/>
      <c r="CA1145" s="4292"/>
      <c r="CB1145" s="4292"/>
      <c r="CC1145" s="4292"/>
      <c r="CD1145" s="4292"/>
      <c r="CE1145" s="4292"/>
      <c r="CF1145" s="4292"/>
      <c r="CG1145" s="4292"/>
      <c r="CH1145" s="4292"/>
      <c r="CI1145" s="4292"/>
      <c r="CJ1145" s="4292"/>
      <c r="CK1145" s="4292"/>
      <c r="CL1145" s="4292"/>
      <c r="CM1145" s="4292"/>
      <c r="CN1145" s="4292"/>
      <c r="CO1145" s="4292"/>
      <c r="CP1145" s="4292"/>
      <c r="CQ1145" s="4292"/>
      <c r="CR1145" s="4292"/>
      <c r="CS1145" s="4292"/>
      <c r="CT1145" s="4292"/>
      <c r="CU1145" s="4292"/>
      <c r="CV1145" s="4292"/>
      <c r="CW1145" s="4292"/>
      <c r="CX1145" s="4292"/>
      <c r="CY1145" s="4292"/>
      <c r="CZ1145" s="4292"/>
      <c r="DA1145" s="4292"/>
      <c r="DB1145" s="4292"/>
      <c r="DC1145" s="4292"/>
      <c r="DD1145" s="4292"/>
      <c r="DE1145" s="4292"/>
      <c r="DF1145" s="4292"/>
      <c r="DG1145" s="4292"/>
      <c r="DH1145" s="4292"/>
      <c r="DI1145" s="4292"/>
      <c r="DJ1145" s="4292"/>
      <c r="DK1145" s="4292"/>
      <c r="DL1145" s="4292"/>
      <c r="DM1145" s="4292"/>
      <c r="DN1145" s="4292"/>
      <c r="DO1145" s="4292"/>
      <c r="DP1145" s="4292"/>
      <c r="DQ1145" s="4292"/>
      <c r="DR1145" s="4292"/>
      <c r="DS1145" s="4292"/>
    </row>
    <row r="1146" s="4133" customFormat="1" ht="26.25" spans="1:125">
      <c r="A1146" s="4292"/>
      <c r="B1146" s="4292"/>
      <c r="C1146" s="4292"/>
      <c r="D1146" s="4292"/>
      <c r="E1146" s="4292"/>
      <c r="F1146" s="4292"/>
      <c r="G1146" s="4292"/>
      <c r="H1146" s="4854">
        <f ca="1">PoslGod</f>
        <v>2025</v>
      </c>
      <c r="I1146" s="4854"/>
      <c r="J1146" s="4854"/>
      <c r="K1146" s="4854"/>
      <c r="L1146" s="4854"/>
      <c r="M1146" s="4854"/>
      <c r="N1146" s="4854"/>
      <c r="O1146" s="4292"/>
      <c r="P1146" s="4292"/>
      <c r="Q1146" s="4292"/>
      <c r="R1146" s="4292"/>
      <c r="S1146" s="4292"/>
      <c r="T1146" s="4292"/>
      <c r="U1146" s="4292"/>
      <c r="V1146" s="4292"/>
      <c r="W1146" s="4292"/>
      <c r="X1146" s="4292"/>
      <c r="Y1146" s="4971"/>
      <c r="Z1146" s="4971"/>
      <c r="AA1146" s="4971"/>
      <c r="AB1146" s="4971"/>
      <c r="AC1146" s="4971"/>
      <c r="AD1146" s="4971"/>
      <c r="AE1146" s="4971"/>
      <c r="AF1146" s="4971"/>
      <c r="AG1146" s="4971"/>
      <c r="AH1146" s="4971"/>
      <c r="AI1146" s="4971"/>
      <c r="AJ1146" s="4292"/>
      <c r="AK1146" s="4292"/>
      <c r="AL1146" s="4292"/>
      <c r="AM1146" s="4292"/>
      <c r="AN1146" s="4292"/>
      <c r="AO1146" s="4292"/>
      <c r="AP1146" s="4292"/>
      <c r="AQ1146" s="4292"/>
      <c r="AR1146" s="4292"/>
      <c r="AS1146" s="4292"/>
      <c r="AT1146" s="4292"/>
      <c r="AU1146" s="4292"/>
      <c r="AV1146" s="4292"/>
      <c r="AW1146" s="4292"/>
      <c r="AX1146" s="4292"/>
      <c r="AY1146" s="4292"/>
      <c r="AZ1146" s="4292"/>
      <c r="BA1146" s="4292"/>
      <c r="BB1146" s="4292"/>
      <c r="BC1146" s="4292"/>
      <c r="BD1146" s="4292"/>
      <c r="BE1146" s="4292"/>
      <c r="BF1146" s="4292"/>
      <c r="BG1146" s="4292"/>
      <c r="BH1146" s="4292"/>
      <c r="BI1146" s="4292"/>
      <c r="BJ1146" s="4292"/>
      <c r="BK1146" s="4292"/>
      <c r="BL1146" s="4292"/>
      <c r="BM1146" s="4292"/>
      <c r="BN1146" s="4292"/>
      <c r="BO1146" s="4292"/>
      <c r="BP1146" s="4292"/>
      <c r="BQ1146" s="4292"/>
      <c r="BR1146" s="4292"/>
      <c r="BS1146" s="4292"/>
      <c r="BT1146" s="4292"/>
      <c r="BU1146" s="4292"/>
      <c r="BV1146" s="4292"/>
      <c r="BW1146" s="4292"/>
      <c r="BX1146" s="4292"/>
      <c r="BY1146" s="4292"/>
      <c r="BZ1146" s="4292"/>
      <c r="CA1146" s="4292"/>
      <c r="CB1146" s="4292"/>
      <c r="CC1146" s="4292"/>
      <c r="CD1146" s="4292"/>
      <c r="CE1146" s="4292"/>
      <c r="CF1146" s="4292"/>
      <c r="CG1146" s="4292"/>
      <c r="CH1146" s="4292"/>
      <c r="CI1146" s="4292"/>
      <c r="CJ1146" s="4292"/>
      <c r="CK1146" s="4292"/>
      <c r="CL1146" s="4292"/>
      <c r="CM1146" s="4292"/>
      <c r="CN1146" s="4292"/>
      <c r="CO1146" s="4292"/>
      <c r="CP1146" s="4292"/>
      <c r="CQ1146" s="4292"/>
      <c r="CR1146" s="4292"/>
      <c r="CS1146" s="4292"/>
      <c r="CT1146" s="4292"/>
      <c r="CU1146" s="4292"/>
      <c r="CV1146" s="4292"/>
      <c r="CW1146" s="4292"/>
      <c r="CX1146" s="4292"/>
      <c r="CY1146" s="4292"/>
      <c r="CZ1146" s="4292"/>
      <c r="DA1146" s="4292"/>
      <c r="DB1146" s="4292"/>
      <c r="DC1146" s="4292"/>
      <c r="DD1146" s="4292"/>
      <c r="DE1146" s="4292"/>
      <c r="DF1146" s="4292"/>
      <c r="DG1146" s="4292"/>
      <c r="DH1146" s="4292"/>
      <c r="DI1146" s="4292"/>
      <c r="DJ1146" s="4292"/>
      <c r="DK1146" s="4292"/>
      <c r="DL1146" s="4292"/>
      <c r="DM1146" s="4292"/>
      <c r="DN1146" s="4292"/>
      <c r="DO1146" s="4292"/>
      <c r="DP1146" s="4292"/>
      <c r="DQ1146" s="4292"/>
      <c r="DR1146" s="4292"/>
      <c r="DS1146" s="4292"/>
    </row>
    <row r="1147" s="4133" customFormat="1" ht="24" customHeight="1" spans="1:125">
      <c r="A1147" s="4465" t="str">
        <f ca="1">PeriodOd&amp;"."&amp;" - "&amp;PeriodDo</f>
        <v>01.01.2025. - 31.12.2025</v>
      </c>
      <c r="B1147" s="4465"/>
      <c r="C1147" s="4465"/>
      <c r="D1147" s="4465"/>
      <c r="E1147" s="4465"/>
      <c r="F1147" s="4465"/>
      <c r="G1147" s="4465"/>
      <c r="H1147" s="4465"/>
      <c r="I1147" s="4465"/>
      <c r="J1147" s="4465"/>
      <c r="K1147" s="4465"/>
      <c r="L1147" s="4465"/>
      <c r="M1147" s="4465"/>
      <c r="N1147" s="4465"/>
      <c r="O1147" s="4292"/>
      <c r="P1147" s="4292"/>
      <c r="Q1147" s="4292"/>
      <c r="R1147" s="4292"/>
      <c r="S1147" s="4292"/>
      <c r="T1147" s="4292"/>
      <c r="U1147" s="4292"/>
      <c r="V1147" s="4292"/>
      <c r="W1147" s="4292"/>
      <c r="X1147" s="4292"/>
      <c r="Y1147" s="4971"/>
      <c r="Z1147" s="4971"/>
      <c r="AA1147" s="4971"/>
      <c r="AB1147" s="4971"/>
      <c r="AC1147" s="4971"/>
      <c r="AD1147" s="4971"/>
      <c r="AE1147" s="4971"/>
      <c r="AF1147" s="4971"/>
      <c r="AG1147" s="4971"/>
      <c r="AH1147" s="4971"/>
      <c r="AI1147" s="4971"/>
      <c r="AJ1147" s="4292"/>
      <c r="AK1147" s="4292"/>
      <c r="AL1147" s="4292"/>
      <c r="AM1147" s="4292"/>
      <c r="AN1147" s="4292"/>
      <c r="AO1147" s="4292"/>
      <c r="AP1147" s="4292"/>
      <c r="AQ1147" s="4292"/>
      <c r="AR1147" s="4292"/>
      <c r="AS1147" s="4292"/>
      <c r="AT1147" s="4292"/>
      <c r="AU1147" s="4292"/>
      <c r="AV1147" s="4292"/>
      <c r="AW1147" s="4292"/>
      <c r="AX1147" s="4292"/>
      <c r="AY1147" s="4292"/>
      <c r="AZ1147" s="4292"/>
      <c r="BA1147" s="4292"/>
      <c r="BB1147" s="4292"/>
      <c r="BC1147" s="4292"/>
      <c r="BD1147" s="4292"/>
      <c r="BE1147" s="4292"/>
      <c r="BF1147" s="4292"/>
      <c r="BG1147" s="4292"/>
      <c r="BH1147" s="4292"/>
      <c r="BI1147" s="4292"/>
      <c r="BJ1147" s="4292"/>
      <c r="BK1147" s="4292"/>
      <c r="BL1147" s="4292"/>
      <c r="BM1147" s="4292"/>
      <c r="BN1147" s="4292"/>
      <c r="BO1147" s="4292"/>
      <c r="BP1147" s="4292"/>
      <c r="BQ1147" s="4292"/>
      <c r="BR1147" s="4292"/>
      <c r="BS1147" s="4292"/>
      <c r="BT1147" s="4292"/>
      <c r="BU1147" s="4292"/>
      <c r="BV1147" s="4292"/>
      <c r="BW1147" s="4292"/>
      <c r="BX1147" s="4292"/>
      <c r="BY1147" s="4292"/>
      <c r="BZ1147" s="4292"/>
      <c r="CA1147" s="4292"/>
      <c r="CB1147" s="4292"/>
      <c r="CC1147" s="4292"/>
      <c r="CD1147" s="4292"/>
      <c r="CE1147" s="4292"/>
      <c r="CF1147" s="4292"/>
      <c r="CG1147" s="4292"/>
      <c r="CH1147" s="4292"/>
      <c r="CI1147" s="4292"/>
      <c r="CJ1147" s="4292"/>
      <c r="CK1147" s="4292"/>
      <c r="CL1147" s="4292"/>
      <c r="CM1147" s="4292"/>
      <c r="CN1147" s="4292"/>
      <c r="CO1147" s="4292"/>
      <c r="CP1147" s="4292"/>
      <c r="CQ1147" s="4292"/>
      <c r="CR1147" s="4292"/>
      <c r="CS1147" s="4292"/>
      <c r="CT1147" s="4292"/>
      <c r="CU1147" s="4292"/>
      <c r="CV1147" s="4292"/>
      <c r="CW1147" s="4292"/>
      <c r="CX1147" s="4292"/>
      <c r="CY1147" s="4292"/>
      <c r="CZ1147" s="4292"/>
      <c r="DA1147" s="4292"/>
      <c r="DB1147" s="4292"/>
      <c r="DC1147" s="4292"/>
      <c r="DD1147" s="4292"/>
      <c r="DE1147" s="4292"/>
      <c r="DF1147" s="4292"/>
      <c r="DG1147" s="4292"/>
      <c r="DH1147" s="4292"/>
      <c r="DI1147" s="4292"/>
      <c r="DJ1147" s="4292"/>
      <c r="DK1147" s="4292"/>
      <c r="DL1147" s="4292"/>
      <c r="DM1147" s="4292"/>
      <c r="DN1147" s="4292"/>
      <c r="DO1147" s="4292"/>
      <c r="DP1147" s="4292"/>
      <c r="DQ1147" s="4292"/>
      <c r="DR1147" s="4292"/>
      <c r="DS1147" s="4292"/>
    </row>
    <row r="1148" s="4135" customFormat="1" ht="22.5" customHeight="1" spans="1:125">
      <c r="A1148" s="4972" t="s">
        <v>5752</v>
      </c>
      <c r="B1148" s="4973"/>
      <c r="C1148" s="4973"/>
      <c r="D1148" s="4973"/>
      <c r="E1148" s="4973"/>
      <c r="F1148" s="4973"/>
      <c r="G1148" s="4973"/>
      <c r="H1148" s="4973"/>
      <c r="I1148" s="4973"/>
      <c r="J1148" s="4973"/>
      <c r="K1148" s="4973"/>
      <c r="L1148" s="4973"/>
      <c r="M1148" s="4973"/>
      <c r="N1148" s="4974"/>
      <c r="O1148" s="4588"/>
      <c r="P1148" s="4588"/>
      <c r="Q1148" s="4588"/>
      <c r="R1148" s="4588"/>
      <c r="S1148" s="4588"/>
      <c r="T1148" s="4588"/>
      <c r="U1148" s="4411"/>
      <c r="V1148" s="4411"/>
      <c r="W1148" s="4411"/>
      <c r="X1148" s="4411"/>
      <c r="Y1148" s="4971"/>
      <c r="Z1148" s="4971"/>
      <c r="AA1148" s="4971"/>
      <c r="AB1148" s="4971"/>
      <c r="AC1148" s="4971"/>
      <c r="AD1148" s="4971"/>
      <c r="AE1148" s="4971"/>
      <c r="AF1148" s="4971"/>
      <c r="AG1148" s="4971"/>
      <c r="AH1148" s="4971"/>
      <c r="AI1148" s="4971"/>
      <c r="AJ1148" s="4411"/>
      <c r="AK1148" s="4411"/>
      <c r="AL1148" s="4411"/>
      <c r="AM1148" s="4411"/>
      <c r="AN1148" s="4411"/>
      <c r="AO1148" s="4411"/>
      <c r="AP1148" s="4411"/>
      <c r="AQ1148" s="4411"/>
      <c r="AR1148" s="4411"/>
      <c r="AS1148" s="4411"/>
      <c r="AT1148" s="4411"/>
      <c r="AU1148" s="4411"/>
      <c r="AV1148" s="4411"/>
      <c r="AW1148" s="4411"/>
      <c r="AX1148" s="4411"/>
      <c r="AY1148" s="4411"/>
      <c r="AZ1148" s="4411"/>
      <c r="BA1148" s="4411"/>
      <c r="BB1148" s="4411"/>
      <c r="BC1148" s="4411"/>
      <c r="BD1148" s="4411"/>
      <c r="BE1148" s="4411"/>
      <c r="BF1148" s="4411"/>
      <c r="BG1148" s="4411"/>
      <c r="BH1148" s="4411"/>
      <c r="BI1148" s="4411"/>
      <c r="BJ1148" s="4411"/>
      <c r="BK1148" s="4411"/>
      <c r="BL1148" s="4411"/>
      <c r="BM1148" s="4411"/>
      <c r="BN1148" s="4411"/>
      <c r="BO1148" s="4411"/>
      <c r="BP1148" s="4411"/>
      <c r="BQ1148" s="4411"/>
      <c r="BR1148" s="4411"/>
      <c r="BS1148" s="4411"/>
      <c r="BT1148" s="4411"/>
      <c r="BU1148" s="4411"/>
      <c r="BV1148" s="4411"/>
      <c r="BW1148" s="4411"/>
      <c r="BX1148" s="4411"/>
      <c r="BY1148" s="4411"/>
      <c r="BZ1148" s="4411"/>
      <c r="CA1148" s="4411"/>
      <c r="CB1148" s="4411"/>
      <c r="CC1148" s="4411"/>
      <c r="CD1148" s="4411"/>
      <c r="CE1148" s="4411"/>
      <c r="CF1148" s="4411"/>
      <c r="CG1148" s="4411"/>
      <c r="CH1148" s="4411"/>
      <c r="CI1148" s="4411"/>
      <c r="CJ1148" s="4411"/>
      <c r="CK1148" s="4411"/>
      <c r="CL1148" s="4411"/>
      <c r="CM1148" s="4411"/>
      <c r="CN1148" s="4411"/>
      <c r="CO1148" s="4411"/>
      <c r="CP1148" s="4411"/>
      <c r="CQ1148" s="4411"/>
      <c r="CR1148" s="4411"/>
      <c r="CS1148" s="4411"/>
      <c r="CT1148" s="4411"/>
      <c r="CU1148" s="4411"/>
      <c r="CV1148" s="4411"/>
      <c r="CW1148" s="4411"/>
      <c r="CX1148" s="4411"/>
      <c r="CY1148" s="4411"/>
      <c r="CZ1148" s="4411"/>
      <c r="DA1148" s="4411"/>
      <c r="DB1148" s="4411"/>
      <c r="DC1148" s="4411"/>
      <c r="DD1148" s="4411"/>
      <c r="DE1148" s="4411"/>
      <c r="DF1148" s="4411"/>
      <c r="DG1148" s="4411"/>
      <c r="DH1148" s="4411"/>
      <c r="DI1148" s="4411"/>
      <c r="DJ1148" s="4411"/>
      <c r="DK1148" s="4411"/>
      <c r="DL1148" s="4411"/>
      <c r="DM1148" s="4411"/>
      <c r="DN1148" s="4411"/>
      <c r="DO1148" s="4411"/>
      <c r="DP1148" s="4411"/>
      <c r="DQ1148" s="4411"/>
      <c r="DR1148" s="4411"/>
      <c r="DS1148" s="4411"/>
    </row>
    <row r="1149" s="4134" customFormat="1" ht="17.25" customHeight="1" spans="1:125">
      <c r="A1149" s="4975" t="s">
        <v>3953</v>
      </c>
      <c r="B1149" s="4975"/>
      <c r="C1149" s="4976"/>
      <c r="D1149" s="4976"/>
      <c r="E1149" s="4697">
        <v>501</v>
      </c>
      <c r="F1149" s="4697"/>
      <c r="G1149" s="4697"/>
      <c r="H1149" s="4977">
        <f>B_Uspjeha!AI141-B_Uspjeha!AI142</f>
        <v>-59197</v>
      </c>
      <c r="I1149" s="4977"/>
      <c r="J1149" s="4977"/>
      <c r="K1149" s="4977"/>
      <c r="L1149" s="4977"/>
      <c r="M1149" s="4977"/>
      <c r="N1149" s="4977"/>
      <c r="O1149" s="4303"/>
      <c r="P1149" s="4303"/>
      <c r="Q1149" s="4303"/>
      <c r="R1149" s="4303"/>
      <c r="S1149" s="4303"/>
      <c r="T1149" s="4303"/>
      <c r="U1149" s="4303"/>
      <c r="V1149" s="4303"/>
      <c r="W1149" s="4303"/>
      <c r="X1149" s="4303"/>
      <c r="Y1149" s="4971"/>
      <c r="Z1149" s="4466" t="s">
        <v>5753</v>
      </c>
      <c r="AA1149" s="4466"/>
      <c r="AB1149" s="4303"/>
      <c r="AC1149" s="4303"/>
      <c r="AD1149" s="4971"/>
      <c r="AE1149" s="4971"/>
      <c r="AF1149" s="4971"/>
      <c r="AG1149" s="4971"/>
      <c r="AH1149" s="4971"/>
      <c r="AI1149" s="4971"/>
      <c r="AJ1149" s="4303"/>
      <c r="AK1149" s="4411"/>
      <c r="AL1149" s="4411"/>
      <c r="AM1149" s="4411"/>
      <c r="AN1149" s="4411"/>
      <c r="AO1149" s="4303"/>
      <c r="AP1149" s="4303"/>
      <c r="AQ1149" s="4303"/>
      <c r="AR1149" s="4303"/>
      <c r="AS1149" s="4303"/>
      <c r="AT1149" s="4303"/>
      <c r="AU1149" s="4303"/>
      <c r="AV1149" s="4303"/>
      <c r="AW1149" s="4303"/>
      <c r="AX1149" s="4303"/>
      <c r="AY1149" s="4303"/>
      <c r="AZ1149" s="4303"/>
      <c r="BA1149" s="4303"/>
      <c r="BB1149" s="4303"/>
      <c r="BC1149" s="4303"/>
      <c r="BD1149" s="4303"/>
      <c r="BE1149" s="4303"/>
      <c r="BF1149" s="4303"/>
      <c r="BG1149" s="4303"/>
      <c r="BH1149" s="4303"/>
      <c r="BI1149" s="4303"/>
      <c r="BJ1149" s="4303"/>
      <c r="BK1149" s="4303"/>
      <c r="BL1149" s="4303"/>
      <c r="BM1149" s="4303"/>
      <c r="BN1149" s="4303"/>
      <c r="BO1149" s="4303"/>
      <c r="BP1149" s="4303"/>
      <c r="BQ1149" s="4303"/>
      <c r="BR1149" s="4303"/>
      <c r="BS1149" s="4303"/>
      <c r="BT1149" s="4303"/>
      <c r="BU1149" s="4303"/>
      <c r="BV1149" s="4303"/>
      <c r="BW1149" s="4303"/>
      <c r="BX1149" s="4303"/>
      <c r="BY1149" s="4303"/>
      <c r="BZ1149" s="4303"/>
      <c r="CA1149" s="4303"/>
      <c r="CB1149" s="4303"/>
      <c r="CC1149" s="4303"/>
      <c r="CD1149" s="4303"/>
      <c r="CE1149" s="4303"/>
      <c r="CF1149" s="4303"/>
      <c r="CG1149" s="4303"/>
      <c r="CH1149" s="4303"/>
      <c r="CI1149" s="4303"/>
      <c r="CJ1149" s="4303"/>
      <c r="CK1149" s="4303"/>
      <c r="CL1149" s="4303"/>
      <c r="CM1149" s="4303"/>
      <c r="CN1149" s="4303"/>
      <c r="CO1149" s="4303"/>
      <c r="CP1149" s="4303"/>
      <c r="CQ1149" s="4303"/>
      <c r="CR1149" s="4303"/>
      <c r="CS1149" s="4303"/>
      <c r="CT1149" s="4303"/>
      <c r="CU1149" s="4303"/>
      <c r="CV1149" s="4303"/>
      <c r="CW1149" s="4303"/>
      <c r="CX1149" s="4303"/>
      <c r="CY1149" s="4303"/>
      <c r="CZ1149" s="4303"/>
      <c r="DA1149" s="4303"/>
      <c r="DB1149" s="4303"/>
      <c r="DC1149" s="4303"/>
      <c r="DD1149" s="4303"/>
      <c r="DE1149" s="4303"/>
      <c r="DF1149" s="4303"/>
      <c r="DG1149" s="4303"/>
      <c r="DH1149" s="4303"/>
      <c r="DI1149" s="4303"/>
      <c r="DJ1149" s="4303"/>
      <c r="DK1149" s="4303"/>
      <c r="DL1149" s="4303"/>
      <c r="DM1149" s="4303"/>
      <c r="DN1149" s="4303"/>
      <c r="DO1149" s="4303"/>
      <c r="DP1149" s="4303"/>
      <c r="DQ1149" s="4303"/>
      <c r="DR1149" s="4303"/>
      <c r="DS1149" s="4303"/>
    </row>
    <row r="1150" s="4134" customFormat="1" ht="17.25" customHeight="1" spans="1:125">
      <c r="A1150" s="4978"/>
      <c r="B1150" s="4978"/>
      <c r="C1150" s="4978"/>
      <c r="D1150" s="4978"/>
      <c r="E1150" s="4979"/>
      <c r="F1150" s="4979"/>
      <c r="G1150" s="4979"/>
      <c r="H1150" s="4980"/>
      <c r="I1150" s="4980"/>
      <c r="J1150" s="4980"/>
      <c r="K1150" s="4980"/>
      <c r="L1150" s="4980"/>
      <c r="M1150" s="4980"/>
      <c r="N1150" s="4980"/>
      <c r="O1150" s="4303"/>
      <c r="P1150" s="4303"/>
      <c r="Q1150" s="4303"/>
      <c r="R1150" s="4303"/>
      <c r="S1150" s="4303"/>
      <c r="T1150" s="4303"/>
      <c r="U1150" s="4303"/>
      <c r="V1150" s="4303"/>
      <c r="W1150" s="4303"/>
      <c r="X1150" s="4303"/>
      <c r="Y1150" s="4971"/>
      <c r="Z1150" s="4981" t="s">
        <v>5754</v>
      </c>
      <c r="AA1150" s="4981"/>
      <c r="AB1150" s="4303"/>
      <c r="AC1150" s="4303"/>
      <c r="AD1150" s="4971"/>
      <c r="AE1150" s="4971"/>
      <c r="AF1150" s="4971"/>
      <c r="AG1150" s="4971"/>
      <c r="AH1150" s="4971"/>
      <c r="AI1150" s="4971"/>
      <c r="AJ1150" s="4303"/>
      <c r="AK1150" s="4411"/>
      <c r="AL1150" s="4411"/>
      <c r="AM1150" s="4411"/>
      <c r="AN1150" s="4411"/>
      <c r="AO1150" s="4303"/>
      <c r="AP1150" s="4303"/>
      <c r="AQ1150" s="4303"/>
      <c r="AR1150" s="4303"/>
      <c r="AS1150" s="4303"/>
      <c r="AT1150" s="4303"/>
      <c r="AU1150" s="4303"/>
      <c r="AV1150" s="4303"/>
      <c r="AW1150" s="4303"/>
      <c r="AX1150" s="4303"/>
      <c r="AY1150" s="4303"/>
      <c r="AZ1150" s="4303"/>
      <c r="BA1150" s="4303"/>
      <c r="BB1150" s="4303"/>
      <c r="BC1150" s="4303"/>
      <c r="BD1150" s="4303"/>
      <c r="BE1150" s="4303"/>
      <c r="BF1150" s="4303"/>
      <c r="BG1150" s="4303"/>
      <c r="BH1150" s="4303"/>
      <c r="BI1150" s="4303"/>
      <c r="BJ1150" s="4303"/>
      <c r="BK1150" s="4303"/>
      <c r="BL1150" s="4303"/>
      <c r="BM1150" s="4303"/>
      <c r="BN1150" s="4303"/>
      <c r="BO1150" s="4303"/>
      <c r="BP1150" s="4303"/>
      <c r="BQ1150" s="4303"/>
      <c r="BR1150" s="4303"/>
      <c r="BS1150" s="4303"/>
      <c r="BT1150" s="4303"/>
      <c r="BU1150" s="4303"/>
      <c r="BV1150" s="4303"/>
      <c r="BW1150" s="4303"/>
      <c r="BX1150" s="4303"/>
      <c r="BY1150" s="4303"/>
      <c r="BZ1150" s="4303"/>
      <c r="CA1150" s="4303"/>
      <c r="CB1150" s="4303"/>
      <c r="CC1150" s="4303"/>
      <c r="CD1150" s="4303"/>
      <c r="CE1150" s="4303"/>
      <c r="CF1150" s="4303"/>
      <c r="CG1150" s="4303"/>
      <c r="CH1150" s="4303"/>
      <c r="CI1150" s="4303"/>
      <c r="CJ1150" s="4303"/>
      <c r="CK1150" s="4303"/>
      <c r="CL1150" s="4303"/>
      <c r="CM1150" s="4303"/>
      <c r="CN1150" s="4303"/>
      <c r="CO1150" s="4303"/>
      <c r="CP1150" s="4303"/>
      <c r="CQ1150" s="4303"/>
      <c r="CR1150" s="4303"/>
      <c r="CS1150" s="4303"/>
      <c r="CT1150" s="4303"/>
      <c r="CU1150" s="4303"/>
      <c r="CV1150" s="4303"/>
      <c r="CW1150" s="4303"/>
      <c r="CX1150" s="4303"/>
      <c r="CY1150" s="4303"/>
      <c r="CZ1150" s="4303"/>
      <c r="DA1150" s="4303"/>
      <c r="DB1150" s="4303"/>
      <c r="DC1150" s="4303"/>
      <c r="DD1150" s="4303"/>
      <c r="DE1150" s="4303"/>
      <c r="DF1150" s="4303"/>
      <c r="DG1150" s="4303"/>
      <c r="DH1150" s="4303"/>
      <c r="DI1150" s="4303"/>
      <c r="DJ1150" s="4303"/>
      <c r="DK1150" s="4303"/>
      <c r="DL1150" s="4303"/>
      <c r="DM1150" s="4303"/>
      <c r="DN1150" s="4303"/>
      <c r="DO1150" s="4303"/>
      <c r="DP1150" s="4303"/>
      <c r="DQ1150" s="4303"/>
      <c r="DR1150" s="4303"/>
      <c r="DS1150" s="4303"/>
    </row>
    <row r="1151" s="4134" customFormat="1" ht="17.25" customHeight="1" spans="1:125">
      <c r="A1151" s="4982" t="s">
        <v>3893</v>
      </c>
      <c r="B1151" s="4697"/>
      <c r="C1151" s="4697" t="s">
        <v>19</v>
      </c>
      <c r="D1151" s="4697"/>
      <c r="E1151" s="4697">
        <v>502</v>
      </c>
      <c r="F1151" s="4697"/>
      <c r="G1151" s="4697"/>
      <c r="H1151" s="4983">
        <f>B_Uspjeha!AI89</f>
        <v>4549</v>
      </c>
      <c r="I1151" s="4983"/>
      <c r="J1151" s="4983"/>
      <c r="K1151" s="4983"/>
      <c r="L1151" s="4983"/>
      <c r="M1151" s="4983"/>
      <c r="N1151" s="4983"/>
      <c r="O1151" s="4303"/>
      <c r="P1151" s="4303"/>
      <c r="Q1151" s="4303"/>
      <c r="R1151" s="4303"/>
      <c r="S1151" s="4303"/>
      <c r="T1151" s="4303"/>
      <c r="U1151" s="4303"/>
      <c r="V1151" s="4303"/>
      <c r="W1151" s="4303"/>
      <c r="X1151" s="4303"/>
      <c r="Y1151" s="4971"/>
      <c r="Z1151" s="4303" t="s">
        <v>2576</v>
      </c>
      <c r="AA1151" s="4303"/>
      <c r="AB1151" s="4303"/>
      <c r="AC1151" s="4303"/>
      <c r="AD1151" s="4971"/>
      <c r="AE1151" s="4971"/>
      <c r="AF1151" s="4971"/>
      <c r="AG1151" s="4971"/>
      <c r="AH1151" s="4971"/>
      <c r="AI1151" s="4971"/>
      <c r="AJ1151" s="4303"/>
      <c r="AK1151" s="4411"/>
      <c r="AL1151" s="4411"/>
      <c r="AM1151" s="4411"/>
      <c r="AN1151" s="4411"/>
      <c r="AO1151" s="4303"/>
      <c r="AP1151" s="4303"/>
      <c r="AQ1151" s="4303"/>
      <c r="AR1151" s="4303"/>
      <c r="AS1151" s="4303"/>
      <c r="AT1151" s="4303"/>
      <c r="AU1151" s="4303"/>
      <c r="AV1151" s="4303"/>
      <c r="AW1151" s="4303"/>
      <c r="AX1151" s="4303"/>
      <c r="AY1151" s="4303"/>
      <c r="AZ1151" s="4303"/>
      <c r="BA1151" s="4303"/>
      <c r="BB1151" s="4303"/>
      <c r="BC1151" s="4303"/>
      <c r="BD1151" s="4303"/>
      <c r="BE1151" s="4303"/>
      <c r="BF1151" s="4303"/>
      <c r="BG1151" s="4303"/>
      <c r="BH1151" s="4303"/>
      <c r="BI1151" s="4303"/>
      <c r="BJ1151" s="4303"/>
      <c r="BK1151" s="4303"/>
      <c r="BL1151" s="4303"/>
      <c r="BM1151" s="4303"/>
      <c r="BN1151" s="4303"/>
      <c r="BO1151" s="4303"/>
      <c r="BP1151" s="4303"/>
      <c r="BQ1151" s="4303"/>
      <c r="BR1151" s="4303"/>
      <c r="BS1151" s="4303"/>
      <c r="BT1151" s="4303"/>
      <c r="BU1151" s="4303"/>
      <c r="BV1151" s="4303"/>
      <c r="BW1151" s="4303"/>
      <c r="BX1151" s="4303"/>
      <c r="BY1151" s="4303"/>
      <c r="BZ1151" s="4303"/>
      <c r="CA1151" s="4303"/>
      <c r="CB1151" s="4303"/>
      <c r="CC1151" s="4303"/>
      <c r="CD1151" s="4303"/>
      <c r="CE1151" s="4303"/>
      <c r="CF1151" s="4303"/>
      <c r="CG1151" s="4303"/>
      <c r="CH1151" s="4303"/>
      <c r="CI1151" s="4303"/>
      <c r="CJ1151" s="4303"/>
      <c r="CK1151" s="4303"/>
      <c r="CL1151" s="4303"/>
      <c r="CM1151" s="4303"/>
      <c r="CN1151" s="4303"/>
      <c r="CO1151" s="4303"/>
      <c r="CP1151" s="4303"/>
      <c r="CQ1151" s="4303"/>
      <c r="CR1151" s="4303"/>
      <c r="CS1151" s="4303"/>
      <c r="CT1151" s="4303"/>
      <c r="CU1151" s="4303"/>
      <c r="CV1151" s="4303"/>
      <c r="CW1151" s="4303"/>
      <c r="CX1151" s="4303"/>
      <c r="CY1151" s="4303"/>
      <c r="CZ1151" s="4303"/>
      <c r="DA1151" s="4303"/>
      <c r="DB1151" s="4303"/>
      <c r="DC1151" s="4303"/>
      <c r="DD1151" s="4303"/>
      <c r="DE1151" s="4303"/>
      <c r="DF1151" s="4303"/>
      <c r="DG1151" s="4303"/>
      <c r="DH1151" s="4303"/>
      <c r="DI1151" s="4303"/>
      <c r="DJ1151" s="4303"/>
      <c r="DK1151" s="4303"/>
      <c r="DL1151" s="4303"/>
      <c r="DM1151" s="4303"/>
      <c r="DN1151" s="4303"/>
      <c r="DO1151" s="4303"/>
      <c r="DP1151" s="4303"/>
      <c r="DQ1151" s="4303"/>
      <c r="DR1151" s="4303"/>
      <c r="DS1151" s="4303"/>
    </row>
    <row r="1152" s="4134" customFormat="1" ht="17.25" customHeight="1" spans="1:125">
      <c r="A1152" s="4697" t="s">
        <v>3896</v>
      </c>
      <c r="B1152" s="4697"/>
      <c r="C1152" s="4697" t="s">
        <v>5755</v>
      </c>
      <c r="D1152" s="4697"/>
      <c r="E1152" s="4697">
        <v>503</v>
      </c>
      <c r="F1152" s="4697"/>
      <c r="G1152" s="4697"/>
      <c r="H1152" s="4983">
        <f>B_Uspjeha!AI100-B_Uspjeha!AI36</f>
        <v>0</v>
      </c>
      <c r="I1152" s="4983"/>
      <c r="J1152" s="4983"/>
      <c r="K1152" s="4983"/>
      <c r="L1152" s="4983"/>
      <c r="M1152" s="4983"/>
      <c r="N1152" s="4983"/>
      <c r="O1152" s="4303"/>
      <c r="P1152" s="4303"/>
      <c r="Q1152" s="4303"/>
      <c r="R1152" s="4303"/>
      <c r="S1152" s="4303"/>
      <c r="T1152" s="4303"/>
      <c r="U1152" s="4303"/>
      <c r="V1152" s="4303"/>
      <c r="W1152" s="4303"/>
      <c r="X1152" s="4303"/>
      <c r="Y1152" s="4971"/>
      <c r="Z1152" s="4303" t="s">
        <v>3421</v>
      </c>
      <c r="AA1152" s="4303"/>
      <c r="AB1152" s="4303"/>
      <c r="AC1152" s="4303"/>
      <c r="AD1152" s="4971"/>
      <c r="AE1152" s="4971"/>
      <c r="AF1152" s="4971"/>
      <c r="AG1152" s="4971"/>
      <c r="AH1152" s="4971"/>
      <c r="AI1152" s="4971"/>
      <c r="AJ1152" s="4303"/>
      <c r="AK1152" s="4411"/>
      <c r="AL1152" s="4411"/>
      <c r="AM1152" s="4411"/>
      <c r="AN1152" s="4411"/>
      <c r="AO1152" s="4303"/>
      <c r="AP1152" s="4303"/>
      <c r="AQ1152" s="4303"/>
      <c r="AR1152" s="4303"/>
      <c r="AS1152" s="4303"/>
      <c r="AT1152" s="4303"/>
      <c r="AU1152" s="4303"/>
      <c r="AV1152" s="4303"/>
      <c r="AW1152" s="4303"/>
      <c r="AX1152" s="4303"/>
      <c r="AY1152" s="4303"/>
      <c r="AZ1152" s="4303"/>
      <c r="BA1152" s="4303"/>
      <c r="BB1152" s="4303"/>
      <c r="BC1152" s="4303"/>
      <c r="BD1152" s="4303"/>
      <c r="BE1152" s="4303"/>
      <c r="BF1152" s="4303"/>
      <c r="BG1152" s="4303"/>
      <c r="BH1152" s="4303"/>
      <c r="BI1152" s="4303"/>
      <c r="BJ1152" s="4303"/>
      <c r="BK1152" s="4303"/>
      <c r="BL1152" s="4303"/>
      <c r="BM1152" s="4303"/>
      <c r="BN1152" s="4303"/>
      <c r="BO1152" s="4303"/>
      <c r="BP1152" s="4303"/>
      <c r="BQ1152" s="4303"/>
      <c r="BR1152" s="4303"/>
      <c r="BS1152" s="4303"/>
      <c r="BT1152" s="4303"/>
      <c r="BU1152" s="4303"/>
      <c r="BV1152" s="4303"/>
      <c r="BW1152" s="4303"/>
      <c r="BX1152" s="4303"/>
      <c r="BY1152" s="4303"/>
      <c r="BZ1152" s="4303"/>
      <c r="CA1152" s="4303"/>
      <c r="CB1152" s="4303"/>
      <c r="CC1152" s="4303"/>
      <c r="CD1152" s="4303"/>
      <c r="CE1152" s="4303"/>
      <c r="CF1152" s="4303"/>
      <c r="CG1152" s="4303"/>
      <c r="CH1152" s="4303"/>
      <c r="CI1152" s="4303"/>
      <c r="CJ1152" s="4303"/>
      <c r="CK1152" s="4303"/>
      <c r="CL1152" s="4303"/>
      <c r="CM1152" s="4303"/>
      <c r="CN1152" s="4303"/>
      <c r="CO1152" s="4303"/>
      <c r="CP1152" s="4303"/>
      <c r="CQ1152" s="4303"/>
      <c r="CR1152" s="4303"/>
      <c r="CS1152" s="4303"/>
      <c r="CT1152" s="4303"/>
      <c r="CU1152" s="4303"/>
      <c r="CV1152" s="4303"/>
      <c r="CW1152" s="4303"/>
      <c r="CX1152" s="4303"/>
      <c r="CY1152" s="4303"/>
      <c r="CZ1152" s="4303"/>
      <c r="DA1152" s="4303"/>
      <c r="DB1152" s="4303"/>
      <c r="DC1152" s="4303"/>
      <c r="DD1152" s="4303"/>
      <c r="DE1152" s="4303"/>
      <c r="DF1152" s="4303"/>
      <c r="DG1152" s="4303"/>
      <c r="DH1152" s="4303"/>
      <c r="DI1152" s="4303"/>
      <c r="DJ1152" s="4303"/>
      <c r="DK1152" s="4303"/>
      <c r="DL1152" s="4303"/>
      <c r="DM1152" s="4303"/>
      <c r="DN1152" s="4303"/>
      <c r="DO1152" s="4303"/>
      <c r="DP1152" s="4303"/>
      <c r="DQ1152" s="4303"/>
      <c r="DR1152" s="4303"/>
      <c r="DS1152" s="4303"/>
    </row>
    <row r="1153" s="4134" customFormat="1" ht="17.25" customHeight="1" spans="1:123">
      <c r="A1153" s="4982" t="s">
        <v>3893</v>
      </c>
      <c r="B1153" s="4697"/>
      <c r="C1153" s="4697" t="s">
        <v>5755</v>
      </c>
      <c r="D1153" s="4697"/>
      <c r="E1153" s="4697">
        <v>504</v>
      </c>
      <c r="F1153" s="4697"/>
      <c r="G1153" s="4697"/>
      <c r="H1153" s="4983">
        <f>B_Uspjeha!AI103-B_Uspjeha!AI39</f>
        <v>0</v>
      </c>
      <c r="I1153" s="4983"/>
      <c r="J1153" s="4983"/>
      <c r="K1153" s="4983"/>
      <c r="L1153" s="4983"/>
      <c r="M1153" s="4983"/>
      <c r="N1153" s="4983"/>
      <c r="O1153" s="4303"/>
      <c r="P1153" s="4303"/>
      <c r="Q1153" s="4303"/>
      <c r="R1153" s="4303"/>
      <c r="S1153" s="4303"/>
      <c r="T1153" s="4303"/>
      <c r="U1153" s="4303"/>
      <c r="V1153" s="4303"/>
      <c r="W1153" s="4303"/>
      <c r="X1153" s="4303"/>
      <c r="Y1153" s="4971"/>
      <c r="Z1153" s="4303" t="s">
        <v>3424</v>
      </c>
      <c r="AA1153" s="4303"/>
      <c r="AB1153" s="4303"/>
      <c r="AC1153" s="4303"/>
      <c r="AD1153" s="4971"/>
      <c r="AE1153" s="4971"/>
      <c r="AF1153" s="4971"/>
      <c r="AG1153" s="4971"/>
      <c r="AH1153" s="4971"/>
      <c r="AI1153" s="4971"/>
      <c r="AJ1153" s="4303"/>
      <c r="AK1153" s="4411"/>
      <c r="AL1153" s="4411"/>
      <c r="AM1153" s="4411"/>
      <c r="AN1153" s="4411"/>
      <c r="AO1153" s="4303"/>
      <c r="AP1153" s="4303"/>
      <c r="AQ1153" s="4303"/>
      <c r="AR1153" s="4303"/>
      <c r="AS1153" s="4303"/>
      <c r="AT1153" s="4303"/>
      <c r="AU1153" s="4303"/>
      <c r="AV1153" s="4303"/>
      <c r="AW1153" s="4303"/>
      <c r="AX1153" s="4303"/>
      <c r="AY1153" s="4303"/>
      <c r="AZ1153" s="4303"/>
      <c r="BA1153" s="4303"/>
      <c r="BB1153" s="4303"/>
      <c r="BC1153" s="4303"/>
      <c r="BD1153" s="4303"/>
      <c r="BE1153" s="4303"/>
      <c r="BF1153" s="4303"/>
      <c r="BG1153" s="4303"/>
      <c r="BH1153" s="4303"/>
      <c r="BI1153" s="4303"/>
      <c r="BJ1153" s="4303"/>
      <c r="BK1153" s="4303"/>
      <c r="BL1153" s="4303"/>
      <c r="BM1153" s="4303"/>
      <c r="BN1153" s="4303"/>
      <c r="BO1153" s="4303"/>
      <c r="BP1153" s="4303"/>
      <c r="BQ1153" s="4303"/>
      <c r="BR1153" s="4303"/>
      <c r="BS1153" s="4303"/>
      <c r="BT1153" s="4303"/>
      <c r="BU1153" s="4303"/>
      <c r="BV1153" s="4303"/>
      <c r="BW1153" s="4303"/>
      <c r="BX1153" s="4303"/>
      <c r="BY1153" s="4303"/>
      <c r="BZ1153" s="4303"/>
      <c r="CA1153" s="4303"/>
      <c r="CB1153" s="4303"/>
      <c r="CC1153" s="4303"/>
      <c r="CD1153" s="4303"/>
      <c r="CE1153" s="4303"/>
      <c r="CF1153" s="4303"/>
      <c r="CG1153" s="4303"/>
      <c r="CH1153" s="4303"/>
      <c r="CI1153" s="4303"/>
      <c r="CJ1153" s="4303"/>
      <c r="CK1153" s="4303"/>
      <c r="CL1153" s="4303"/>
      <c r="CM1153" s="4303"/>
      <c r="CN1153" s="4303"/>
      <c r="CO1153" s="4303"/>
      <c r="CP1153" s="4303"/>
      <c r="CQ1153" s="4303"/>
      <c r="CR1153" s="4303"/>
      <c r="CS1153" s="4303"/>
      <c r="CT1153" s="4303"/>
      <c r="CU1153" s="4303"/>
      <c r="CV1153" s="4303"/>
      <c r="CW1153" s="4303"/>
      <c r="CX1153" s="4303"/>
      <c r="CY1153" s="4303"/>
      <c r="CZ1153" s="4303"/>
      <c r="DA1153" s="4303"/>
      <c r="DB1153" s="4303"/>
      <c r="DC1153" s="4303"/>
      <c r="DD1153" s="4303"/>
      <c r="DE1153" s="4303"/>
      <c r="DF1153" s="4303"/>
      <c r="DG1153" s="4303"/>
      <c r="DH1153" s="4303"/>
      <c r="DI1153" s="4303"/>
      <c r="DJ1153" s="4303"/>
      <c r="DK1153" s="4303"/>
      <c r="DL1153" s="4303"/>
      <c r="DM1153" s="4303"/>
      <c r="DN1153" s="4303"/>
      <c r="DO1153" s="4303"/>
      <c r="DP1153" s="4303"/>
      <c r="DQ1153" s="4303"/>
      <c r="DR1153" s="4303"/>
      <c r="DS1153" s="4303"/>
    </row>
    <row r="1154" s="4134" customFormat="1" ht="17.25" customHeight="1" spans="1:123">
      <c r="A1154" s="4697" t="s">
        <v>3896</v>
      </c>
      <c r="B1154" s="4697"/>
      <c r="C1154" s="4697" t="s">
        <v>5755</v>
      </c>
      <c r="D1154" s="4697"/>
      <c r="E1154" s="4697">
        <v>505</v>
      </c>
      <c r="F1154" s="4697"/>
      <c r="G1154" s="4697"/>
      <c r="H1154" s="4983">
        <f>B_Uspjeha!AI106-B_Uspjeha!AI46</f>
        <v>0</v>
      </c>
      <c r="I1154" s="4983"/>
      <c r="J1154" s="4983"/>
      <c r="K1154" s="4983"/>
      <c r="L1154" s="4983"/>
      <c r="M1154" s="4983"/>
      <c r="N1154" s="4983"/>
      <c r="O1154" s="4303"/>
      <c r="P1154" s="4303"/>
      <c r="Q1154" s="4303"/>
      <c r="R1154" s="4303"/>
      <c r="S1154" s="4303"/>
      <c r="T1154" s="4303"/>
      <c r="U1154" s="4303"/>
      <c r="V1154" s="4303"/>
      <c r="W1154" s="4303"/>
      <c r="X1154" s="4303"/>
      <c r="Y1154" s="4971"/>
      <c r="Z1154" s="4303" t="s">
        <v>3427</v>
      </c>
      <c r="AA1154" s="4303"/>
      <c r="AB1154" s="4303"/>
      <c r="AC1154" s="4303"/>
      <c r="AD1154" s="4971"/>
      <c r="AE1154" s="4971"/>
      <c r="AF1154" s="4971"/>
      <c r="AG1154" s="4971"/>
      <c r="AH1154" s="4971"/>
      <c r="AI1154" s="4971"/>
      <c r="AJ1154" s="4303"/>
      <c r="AK1154" s="4411"/>
      <c r="AL1154" s="4411"/>
      <c r="AM1154" s="4411"/>
      <c r="AN1154" s="4411"/>
      <c r="AO1154" s="4303"/>
      <c r="AP1154" s="4303"/>
      <c r="AQ1154" s="4303"/>
      <c r="AR1154" s="4303"/>
      <c r="AS1154" s="4303"/>
      <c r="AT1154" s="4303"/>
      <c r="AU1154" s="4303"/>
      <c r="AV1154" s="4303"/>
      <c r="AW1154" s="4303"/>
      <c r="AX1154" s="4303"/>
      <c r="AY1154" s="4303"/>
      <c r="AZ1154" s="4303"/>
      <c r="BA1154" s="4303"/>
      <c r="BB1154" s="4303"/>
      <c r="BC1154" s="4303"/>
      <c r="BD1154" s="4303"/>
      <c r="BE1154" s="4303"/>
      <c r="BF1154" s="4303"/>
      <c r="BG1154" s="4303"/>
      <c r="BH1154" s="4303"/>
      <c r="BI1154" s="4303"/>
      <c r="BJ1154" s="4303"/>
      <c r="BK1154" s="4303"/>
      <c r="BL1154" s="4303"/>
      <c r="BM1154" s="4303"/>
      <c r="BN1154" s="4303"/>
      <c r="BO1154" s="4303"/>
      <c r="BP1154" s="4303"/>
      <c r="BQ1154" s="4303"/>
      <c r="BR1154" s="4303"/>
      <c r="BS1154" s="4303"/>
      <c r="BT1154" s="4303"/>
      <c r="BU1154" s="4303"/>
      <c r="BV1154" s="4303"/>
      <c r="BW1154" s="4303"/>
      <c r="BX1154" s="4303"/>
      <c r="BY1154" s="4303"/>
      <c r="BZ1154" s="4303"/>
      <c r="CA1154" s="4303"/>
      <c r="CB1154" s="4303"/>
      <c r="CC1154" s="4303"/>
      <c r="CD1154" s="4303"/>
      <c r="CE1154" s="4303"/>
      <c r="CF1154" s="4303"/>
      <c r="CG1154" s="4303"/>
      <c r="CH1154" s="4303"/>
      <c r="CI1154" s="4303"/>
      <c r="CJ1154" s="4303"/>
      <c r="CK1154" s="4303"/>
      <c r="CL1154" s="4303"/>
      <c r="CM1154" s="4303"/>
      <c r="CN1154" s="4303"/>
      <c r="CO1154" s="4303"/>
      <c r="CP1154" s="4303"/>
      <c r="CQ1154" s="4303"/>
      <c r="CR1154" s="4303"/>
      <c r="CS1154" s="4303"/>
      <c r="CT1154" s="4303"/>
      <c r="CU1154" s="4303"/>
      <c r="CV1154" s="4303"/>
      <c r="CW1154" s="4303"/>
      <c r="CX1154" s="4303"/>
      <c r="CY1154" s="4303"/>
      <c r="CZ1154" s="4303"/>
      <c r="DA1154" s="4303"/>
      <c r="DB1154" s="4303"/>
      <c r="DC1154" s="4303"/>
      <c r="DD1154" s="4303"/>
      <c r="DE1154" s="4303"/>
      <c r="DF1154" s="4303"/>
      <c r="DG1154" s="4303"/>
      <c r="DH1154" s="4303"/>
      <c r="DI1154" s="4303"/>
      <c r="DJ1154" s="4303"/>
      <c r="DK1154" s="4303"/>
      <c r="DL1154" s="4303"/>
      <c r="DM1154" s="4303"/>
      <c r="DN1154" s="4303"/>
      <c r="DO1154" s="4303"/>
      <c r="DP1154" s="4303"/>
      <c r="DQ1154" s="4303"/>
      <c r="DR1154" s="4303"/>
      <c r="DS1154" s="4303"/>
    </row>
    <row r="1155" s="4134" customFormat="1" ht="17.25" customHeight="1" spans="1:123">
      <c r="A1155" s="4982" t="s">
        <v>3893</v>
      </c>
      <c r="B1155" s="4697"/>
      <c r="C1155" s="4697" t="s">
        <v>5755</v>
      </c>
      <c r="D1155" s="4697"/>
      <c r="E1155" s="4697">
        <v>506</v>
      </c>
      <c r="F1155" s="4697"/>
      <c r="G1155" s="4697"/>
      <c r="H1155" s="4983">
        <f>B_Uspjeha!AI112-B_Uspjeha!AI52</f>
        <v>0</v>
      </c>
      <c r="I1155" s="4983"/>
      <c r="J1155" s="4983"/>
      <c r="K1155" s="4983"/>
      <c r="L1155" s="4983"/>
      <c r="M1155" s="4983"/>
      <c r="N1155" s="4983"/>
      <c r="O1155" s="4303"/>
      <c r="P1155" s="4303"/>
      <c r="Q1155" s="4303"/>
      <c r="R1155" s="4303"/>
      <c r="S1155" s="4303"/>
      <c r="T1155" s="4303"/>
      <c r="U1155" s="4303"/>
      <c r="V1155" s="4303"/>
      <c r="W1155" s="4303"/>
      <c r="X1155" s="4303"/>
      <c r="Y1155" s="4971"/>
      <c r="Z1155" s="4303" t="s">
        <v>3430</v>
      </c>
      <c r="AA1155" s="4303"/>
      <c r="AB1155" s="4303"/>
      <c r="AC1155" s="4303"/>
      <c r="AD1155" s="4971"/>
      <c r="AE1155" s="4971"/>
      <c r="AF1155" s="4971"/>
      <c r="AG1155" s="4971"/>
      <c r="AH1155" s="4971"/>
      <c r="AI1155" s="4971"/>
      <c r="AJ1155" s="4303"/>
      <c r="AK1155" s="4411"/>
      <c r="AL1155" s="4411"/>
      <c r="AM1155" s="4411"/>
      <c r="AN1155" s="4411"/>
      <c r="AO1155" s="4303"/>
      <c r="AP1155" s="4303"/>
      <c r="AQ1155" s="4303"/>
      <c r="AR1155" s="4303"/>
      <c r="AS1155" s="4303"/>
      <c r="AT1155" s="4303"/>
      <c r="AU1155" s="4303"/>
      <c r="AV1155" s="4303"/>
      <c r="AW1155" s="4303"/>
      <c r="AX1155" s="4303"/>
      <c r="AY1155" s="4303"/>
      <c r="AZ1155" s="4303"/>
      <c r="BA1155" s="4303"/>
      <c r="BB1155" s="4303"/>
      <c r="BC1155" s="4303"/>
      <c r="BD1155" s="4303"/>
      <c r="BE1155" s="4303"/>
      <c r="BF1155" s="4303"/>
      <c r="BG1155" s="4303"/>
      <c r="BH1155" s="4303"/>
      <c r="BI1155" s="4303"/>
      <c r="BJ1155" s="4303"/>
      <c r="BK1155" s="4303"/>
      <c r="BL1155" s="4303"/>
      <c r="BM1155" s="4303"/>
      <c r="BN1155" s="4303"/>
      <c r="BO1155" s="4303"/>
      <c r="BP1155" s="4303"/>
      <c r="BQ1155" s="4303"/>
      <c r="BR1155" s="4303"/>
      <c r="BS1155" s="4303"/>
      <c r="BT1155" s="4303"/>
      <c r="BU1155" s="4303"/>
      <c r="BV1155" s="4303"/>
      <c r="BW1155" s="4303"/>
      <c r="BX1155" s="4303"/>
      <c r="BY1155" s="4303"/>
      <c r="BZ1155" s="4303"/>
      <c r="CA1155" s="4303"/>
      <c r="CB1155" s="4303"/>
      <c r="CC1155" s="4303"/>
      <c r="CD1155" s="4303"/>
      <c r="CE1155" s="4303"/>
      <c r="CF1155" s="4303"/>
      <c r="CG1155" s="4303"/>
      <c r="CH1155" s="4303"/>
      <c r="CI1155" s="4303"/>
      <c r="CJ1155" s="4303"/>
      <c r="CK1155" s="4303"/>
      <c r="CL1155" s="4303"/>
      <c r="CM1155" s="4303"/>
      <c r="CN1155" s="4303"/>
      <c r="CO1155" s="4303"/>
      <c r="CP1155" s="4303"/>
      <c r="CQ1155" s="4303"/>
      <c r="CR1155" s="4303"/>
      <c r="CS1155" s="4303"/>
      <c r="CT1155" s="4303"/>
      <c r="CU1155" s="4303"/>
      <c r="CV1155" s="4303"/>
      <c r="CW1155" s="4303"/>
      <c r="CX1155" s="4303"/>
      <c r="CY1155" s="4303"/>
      <c r="CZ1155" s="4303"/>
      <c r="DA1155" s="4303"/>
      <c r="DB1155" s="4303"/>
      <c r="DC1155" s="4303"/>
      <c r="DD1155" s="4303"/>
      <c r="DE1155" s="4303"/>
      <c r="DF1155" s="4303"/>
      <c r="DG1155" s="4303"/>
      <c r="DH1155" s="4303"/>
      <c r="DI1155" s="4303"/>
      <c r="DJ1155" s="4303"/>
      <c r="DK1155" s="4303"/>
      <c r="DL1155" s="4303"/>
      <c r="DM1155" s="4303"/>
      <c r="DN1155" s="4303"/>
      <c r="DO1155" s="4303"/>
      <c r="DP1155" s="4303"/>
      <c r="DQ1155" s="4303"/>
      <c r="DR1155" s="4303"/>
      <c r="DS1155" s="4303"/>
    </row>
    <row r="1156" s="4134" customFormat="1" ht="17.25" customHeight="1" spans="1:123">
      <c r="A1156" s="4697" t="s">
        <v>3896</v>
      </c>
      <c r="B1156" s="4697"/>
      <c r="C1156" s="4697" t="s">
        <v>19</v>
      </c>
      <c r="D1156" s="4697"/>
      <c r="E1156" s="4697">
        <v>507</v>
      </c>
      <c r="F1156" s="4697"/>
      <c r="G1156" s="4697"/>
      <c r="H1156" s="4983">
        <f>B_Uspjeha!AI101</f>
        <v>0</v>
      </c>
      <c r="I1156" s="4983"/>
      <c r="J1156" s="4983"/>
      <c r="K1156" s="4983"/>
      <c r="L1156" s="4983"/>
      <c r="M1156" s="4983"/>
      <c r="N1156" s="4983"/>
      <c r="O1156" s="4303"/>
      <c r="P1156" s="4303"/>
      <c r="Q1156" s="4303"/>
      <c r="R1156" s="4303"/>
      <c r="S1156" s="4303"/>
      <c r="T1156" s="4303"/>
      <c r="U1156" s="4303"/>
      <c r="V1156" s="4303"/>
      <c r="W1156" s="4303"/>
      <c r="X1156" s="4303"/>
      <c r="Y1156" s="4971"/>
      <c r="Z1156" s="4303" t="s">
        <v>3433</v>
      </c>
      <c r="AA1156" s="4303"/>
      <c r="AB1156" s="4303"/>
      <c r="AC1156" s="4303"/>
      <c r="AD1156" s="4971"/>
      <c r="AE1156" s="4971"/>
      <c r="AF1156" s="4971"/>
      <c r="AG1156" s="4971"/>
      <c r="AH1156" s="4971"/>
      <c r="AI1156" s="4971"/>
      <c r="AJ1156" s="4303"/>
      <c r="AK1156" s="4411"/>
      <c r="AL1156" s="4411"/>
      <c r="AM1156" s="4411"/>
      <c r="AN1156" s="4411"/>
      <c r="AO1156" s="4303"/>
      <c r="AP1156" s="4303"/>
      <c r="AQ1156" s="4303"/>
      <c r="AR1156" s="4303"/>
      <c r="AS1156" s="4303"/>
      <c r="AT1156" s="4303"/>
      <c r="AU1156" s="4303"/>
      <c r="AV1156" s="4303"/>
      <c r="AW1156" s="4303"/>
      <c r="AX1156" s="4303"/>
      <c r="AY1156" s="4303"/>
      <c r="AZ1156" s="4303"/>
      <c r="BA1156" s="4303"/>
      <c r="BB1156" s="4303"/>
      <c r="BC1156" s="4303"/>
      <c r="BD1156" s="4303"/>
      <c r="BE1156" s="4303"/>
      <c r="BF1156" s="4303"/>
      <c r="BG1156" s="4303"/>
      <c r="BH1156" s="4303"/>
      <c r="BI1156" s="4303"/>
      <c r="BJ1156" s="4303"/>
      <c r="BK1156" s="4303"/>
      <c r="BL1156" s="4303"/>
      <c r="BM1156" s="4303"/>
      <c r="BN1156" s="4303"/>
      <c r="BO1156" s="4303"/>
      <c r="BP1156" s="4303"/>
      <c r="BQ1156" s="4303"/>
      <c r="BR1156" s="4303"/>
      <c r="BS1156" s="4303"/>
      <c r="BT1156" s="4303"/>
      <c r="BU1156" s="4303"/>
      <c r="BV1156" s="4303"/>
      <c r="BW1156" s="4303"/>
      <c r="BX1156" s="4303"/>
      <c r="BY1156" s="4303"/>
      <c r="BZ1156" s="4303"/>
      <c r="CA1156" s="4303"/>
      <c r="CB1156" s="4303"/>
      <c r="CC1156" s="4303"/>
      <c r="CD1156" s="4303"/>
      <c r="CE1156" s="4303"/>
      <c r="CF1156" s="4303"/>
      <c r="CG1156" s="4303"/>
      <c r="CH1156" s="4303"/>
      <c r="CI1156" s="4303"/>
      <c r="CJ1156" s="4303"/>
      <c r="CK1156" s="4303"/>
      <c r="CL1156" s="4303"/>
      <c r="CM1156" s="4303"/>
      <c r="CN1156" s="4303"/>
      <c r="CO1156" s="4303"/>
      <c r="CP1156" s="4303"/>
      <c r="CQ1156" s="4303"/>
      <c r="CR1156" s="4303"/>
      <c r="CS1156" s="4303"/>
      <c r="CT1156" s="4303"/>
      <c r="CU1156" s="4303"/>
      <c r="CV1156" s="4303"/>
      <c r="CW1156" s="4303"/>
      <c r="CX1156" s="4303"/>
      <c r="CY1156" s="4303"/>
      <c r="CZ1156" s="4303"/>
      <c r="DA1156" s="4303"/>
      <c r="DB1156" s="4303"/>
      <c r="DC1156" s="4303"/>
      <c r="DD1156" s="4303"/>
      <c r="DE1156" s="4303"/>
      <c r="DF1156" s="4303"/>
      <c r="DG1156" s="4303"/>
      <c r="DH1156" s="4303"/>
      <c r="DI1156" s="4303"/>
      <c r="DJ1156" s="4303"/>
      <c r="DK1156" s="4303"/>
      <c r="DL1156" s="4303"/>
      <c r="DM1156" s="4303"/>
      <c r="DN1156" s="4303"/>
      <c r="DO1156" s="4303"/>
      <c r="DP1156" s="4303"/>
      <c r="DQ1156" s="4303"/>
      <c r="DR1156" s="4303"/>
      <c r="DS1156" s="4303"/>
    </row>
    <row r="1157" s="4134" customFormat="1" ht="17.25" customHeight="1" spans="1:123">
      <c r="A1157" s="4982" t="s">
        <v>3893</v>
      </c>
      <c r="B1157" s="4697"/>
      <c r="C1157" s="4697" t="s">
        <v>19</v>
      </c>
      <c r="D1157" s="4697"/>
      <c r="E1157" s="4697">
        <v>508</v>
      </c>
      <c r="F1157" s="4697"/>
      <c r="G1157" s="4697"/>
      <c r="H1157" s="4983">
        <f>B_Uspjeha!AI105</f>
        <v>0</v>
      </c>
      <c r="I1157" s="4983"/>
      <c r="J1157" s="4983"/>
      <c r="K1157" s="4983"/>
      <c r="L1157" s="4983"/>
      <c r="M1157" s="4983"/>
      <c r="N1157" s="4983"/>
      <c r="O1157" s="4303"/>
      <c r="P1157" s="4303"/>
      <c r="Q1157" s="4303"/>
      <c r="R1157" s="4303"/>
      <c r="S1157" s="4303"/>
      <c r="T1157" s="4303"/>
      <c r="U1157" s="4303"/>
      <c r="V1157" s="4303"/>
      <c r="W1157" s="4303"/>
      <c r="X1157" s="4303"/>
      <c r="Y1157" s="4971"/>
      <c r="Z1157" s="4303" t="s">
        <v>3436</v>
      </c>
      <c r="AA1157" s="4303"/>
      <c r="AB1157" s="4303"/>
      <c r="AC1157" s="4303"/>
      <c r="AD1157" s="4971"/>
      <c r="AE1157" s="4971"/>
      <c r="AF1157" s="4971"/>
      <c r="AG1157" s="4971"/>
      <c r="AH1157" s="4971"/>
      <c r="AI1157" s="4971"/>
      <c r="AJ1157" s="4303"/>
      <c r="AK1157" s="4411"/>
      <c r="AL1157" s="4411"/>
      <c r="AM1157" s="4411"/>
      <c r="AN1157" s="4411"/>
      <c r="AO1157" s="4303"/>
      <c r="AP1157" s="4303"/>
      <c r="AQ1157" s="4303"/>
      <c r="AR1157" s="4303"/>
      <c r="AS1157" s="4303"/>
      <c r="AT1157" s="4303"/>
      <c r="AU1157" s="4303"/>
      <c r="AV1157" s="4303"/>
      <c r="AW1157" s="4303"/>
      <c r="AX1157" s="4303"/>
      <c r="AY1157" s="4303"/>
      <c r="AZ1157" s="4303"/>
      <c r="BA1157" s="4303"/>
      <c r="BB1157" s="4303"/>
      <c r="BC1157" s="4303"/>
      <c r="BD1157" s="4303"/>
      <c r="BE1157" s="4303"/>
      <c r="BF1157" s="4303"/>
      <c r="BG1157" s="4303"/>
      <c r="BH1157" s="4303"/>
      <c r="BI1157" s="4303"/>
      <c r="BJ1157" s="4303"/>
      <c r="BK1157" s="4303"/>
      <c r="BL1157" s="4303"/>
      <c r="BM1157" s="4303"/>
      <c r="BN1157" s="4303"/>
      <c r="BO1157" s="4303"/>
      <c r="BP1157" s="4303"/>
      <c r="BQ1157" s="4303"/>
      <c r="BR1157" s="4303"/>
      <c r="BS1157" s="4303"/>
      <c r="BT1157" s="4303"/>
      <c r="BU1157" s="4303"/>
      <c r="BV1157" s="4303"/>
      <c r="BW1157" s="4303"/>
      <c r="BX1157" s="4303"/>
      <c r="BY1157" s="4303"/>
      <c r="BZ1157" s="4303"/>
      <c r="CA1157" s="4303"/>
      <c r="CB1157" s="4303"/>
      <c r="CC1157" s="4303"/>
      <c r="CD1157" s="4303"/>
      <c r="CE1157" s="4303"/>
      <c r="CF1157" s="4303"/>
      <c r="CG1157" s="4303"/>
      <c r="CH1157" s="4303"/>
      <c r="CI1157" s="4303"/>
      <c r="CJ1157" s="4303"/>
      <c r="CK1157" s="4303"/>
      <c r="CL1157" s="4303"/>
      <c r="CM1157" s="4303"/>
      <c r="CN1157" s="4303"/>
      <c r="CO1157" s="4303"/>
      <c r="CP1157" s="4303"/>
      <c r="CQ1157" s="4303"/>
      <c r="CR1157" s="4303"/>
      <c r="CS1157" s="4303"/>
      <c r="CT1157" s="4303"/>
      <c r="CU1157" s="4303"/>
      <c r="CV1157" s="4303"/>
      <c r="CW1157" s="4303"/>
      <c r="CX1157" s="4303"/>
      <c r="CY1157" s="4303"/>
      <c r="CZ1157" s="4303"/>
      <c r="DA1157" s="4303"/>
      <c r="DB1157" s="4303"/>
      <c r="DC1157" s="4303"/>
      <c r="DD1157" s="4303"/>
      <c r="DE1157" s="4303"/>
      <c r="DF1157" s="4303"/>
      <c r="DG1157" s="4303"/>
      <c r="DH1157" s="4303"/>
      <c r="DI1157" s="4303"/>
      <c r="DJ1157" s="4303"/>
      <c r="DK1157" s="4303"/>
      <c r="DL1157" s="4303"/>
      <c r="DM1157" s="4303"/>
      <c r="DN1157" s="4303"/>
      <c r="DO1157" s="4303"/>
      <c r="DP1157" s="4303"/>
      <c r="DQ1157" s="4303"/>
      <c r="DR1157" s="4303"/>
      <c r="DS1157" s="4303"/>
    </row>
    <row r="1158" s="4134" customFormat="1" ht="17.25" customHeight="1" spans="1:123">
      <c r="A1158" s="4697" t="s">
        <v>3896</v>
      </c>
      <c r="B1158" s="4697"/>
      <c r="C1158" s="4697" t="s">
        <v>19</v>
      </c>
      <c r="D1158" s="4697"/>
      <c r="E1158" s="4697">
        <v>509</v>
      </c>
      <c r="F1158" s="4697"/>
      <c r="G1158" s="4697"/>
      <c r="H1158" s="4983">
        <f>B_Uspjeha!AI107</f>
        <v>0</v>
      </c>
      <c r="I1158" s="4983"/>
      <c r="J1158" s="4983"/>
      <c r="K1158" s="4983"/>
      <c r="L1158" s="4983"/>
      <c r="M1158" s="4983"/>
      <c r="N1158" s="4983"/>
      <c r="O1158" s="4303"/>
      <c r="P1158" s="4303"/>
      <c r="Q1158" s="4303"/>
      <c r="R1158" s="4303"/>
      <c r="S1158" s="4303"/>
      <c r="T1158" s="4303"/>
      <c r="U1158" s="4303"/>
      <c r="V1158" s="4303"/>
      <c r="W1158" s="4303"/>
      <c r="X1158" s="4303"/>
      <c r="Y1158" s="4971"/>
      <c r="Z1158" s="4303" t="s">
        <v>3439</v>
      </c>
      <c r="AA1158" s="4303"/>
      <c r="AB1158" s="4303"/>
      <c r="AC1158" s="4303"/>
      <c r="AD1158" s="4971"/>
      <c r="AE1158" s="4971"/>
      <c r="AF1158" s="4971"/>
      <c r="AG1158" s="4971"/>
      <c r="AH1158" s="4971"/>
      <c r="AI1158" s="4971"/>
      <c r="AJ1158" s="4303"/>
      <c r="AK1158" s="4411"/>
      <c r="AL1158" s="4411"/>
      <c r="AM1158" s="4411"/>
      <c r="AN1158" s="4411"/>
      <c r="AO1158" s="4303"/>
      <c r="AP1158" s="4303"/>
      <c r="AQ1158" s="4303"/>
      <c r="AR1158" s="4303"/>
      <c r="AS1158" s="4303"/>
      <c r="AT1158" s="4303"/>
      <c r="AU1158" s="4303"/>
      <c r="AV1158" s="4303"/>
      <c r="AW1158" s="4303"/>
      <c r="AX1158" s="4303"/>
      <c r="AY1158" s="4303"/>
      <c r="AZ1158" s="4303"/>
      <c r="BA1158" s="4303"/>
      <c r="BB1158" s="4303"/>
      <c r="BC1158" s="4303"/>
      <c r="BD1158" s="4303"/>
      <c r="BE1158" s="4303"/>
      <c r="BF1158" s="4303"/>
      <c r="BG1158" s="4303"/>
      <c r="BH1158" s="4303"/>
      <c r="BI1158" s="4303"/>
      <c r="BJ1158" s="4303"/>
      <c r="BK1158" s="4303"/>
      <c r="BL1158" s="4303"/>
      <c r="BM1158" s="4303"/>
      <c r="BN1158" s="4303"/>
      <c r="BO1158" s="4303"/>
      <c r="BP1158" s="4303"/>
      <c r="BQ1158" s="4303"/>
      <c r="BR1158" s="4303"/>
      <c r="BS1158" s="4303"/>
      <c r="BT1158" s="4303"/>
      <c r="BU1158" s="4303"/>
      <c r="BV1158" s="4303"/>
      <c r="BW1158" s="4303"/>
      <c r="BX1158" s="4303"/>
      <c r="BY1158" s="4303"/>
      <c r="BZ1158" s="4303"/>
      <c r="CA1158" s="4303"/>
      <c r="CB1158" s="4303"/>
      <c r="CC1158" s="4303"/>
      <c r="CD1158" s="4303"/>
      <c r="CE1158" s="4303"/>
      <c r="CF1158" s="4303"/>
      <c r="CG1158" s="4303"/>
      <c r="CH1158" s="4303"/>
      <c r="CI1158" s="4303"/>
      <c r="CJ1158" s="4303"/>
      <c r="CK1158" s="4303"/>
      <c r="CL1158" s="4303"/>
      <c r="CM1158" s="4303"/>
      <c r="CN1158" s="4303"/>
      <c r="CO1158" s="4303"/>
      <c r="CP1158" s="4303"/>
      <c r="CQ1158" s="4303"/>
      <c r="CR1158" s="4303"/>
      <c r="CS1158" s="4303"/>
      <c r="CT1158" s="4303"/>
      <c r="CU1158" s="4303"/>
      <c r="CV1158" s="4303"/>
      <c r="CW1158" s="4303"/>
      <c r="CX1158" s="4303"/>
      <c r="CY1158" s="4303"/>
      <c r="CZ1158" s="4303"/>
      <c r="DA1158" s="4303"/>
      <c r="DB1158" s="4303"/>
      <c r="DC1158" s="4303"/>
      <c r="DD1158" s="4303"/>
      <c r="DE1158" s="4303"/>
      <c r="DF1158" s="4303"/>
      <c r="DG1158" s="4303"/>
      <c r="DH1158" s="4303"/>
      <c r="DI1158" s="4303"/>
      <c r="DJ1158" s="4303"/>
      <c r="DK1158" s="4303"/>
      <c r="DL1158" s="4303"/>
      <c r="DM1158" s="4303"/>
      <c r="DN1158" s="4303"/>
      <c r="DO1158" s="4303"/>
      <c r="DP1158" s="4303"/>
      <c r="DQ1158" s="4303"/>
      <c r="DR1158" s="4303"/>
      <c r="DS1158" s="4303"/>
    </row>
    <row r="1159" s="4134" customFormat="1" ht="17.25" customHeight="1" spans="1:123">
      <c r="A1159" s="4982" t="s">
        <v>3893</v>
      </c>
      <c r="B1159" s="4697"/>
      <c r="C1159" s="4697" t="s">
        <v>5755</v>
      </c>
      <c r="D1159" s="4697"/>
      <c r="E1159" s="4697">
        <v>510</v>
      </c>
      <c r="F1159" s="4697"/>
      <c r="G1159" s="4697"/>
      <c r="H1159" s="4983">
        <f>B_Uspjeha!AI104-B_Uspjeha!AI44</f>
        <v>0</v>
      </c>
      <c r="I1159" s="4983"/>
      <c r="J1159" s="4983"/>
      <c r="K1159" s="4983"/>
      <c r="L1159" s="4983"/>
      <c r="M1159" s="4983"/>
      <c r="N1159" s="4983"/>
      <c r="O1159" s="4303"/>
      <c r="P1159" s="4303"/>
      <c r="Q1159" s="4303"/>
      <c r="R1159" s="4303"/>
      <c r="S1159" s="4303"/>
      <c r="T1159" s="4303"/>
      <c r="U1159" s="4303"/>
      <c r="V1159" s="4303"/>
      <c r="W1159" s="4303"/>
      <c r="X1159" s="4303"/>
      <c r="Y1159" s="4971"/>
      <c r="Z1159" s="4303" t="s">
        <v>3442</v>
      </c>
      <c r="AA1159" s="4303"/>
      <c r="AB1159" s="4303"/>
      <c r="AC1159" s="4303"/>
      <c r="AD1159" s="4971"/>
      <c r="AE1159" s="4971"/>
      <c r="AF1159" s="4971"/>
      <c r="AG1159" s="4971"/>
      <c r="AH1159" s="4971"/>
      <c r="AI1159" s="4971"/>
      <c r="AJ1159" s="4303"/>
      <c r="AK1159" s="4411"/>
      <c r="AL1159" s="4411"/>
      <c r="AM1159" s="4411"/>
      <c r="AN1159" s="4411"/>
      <c r="AO1159" s="4303"/>
      <c r="AP1159" s="4303"/>
      <c r="AQ1159" s="4303"/>
      <c r="AR1159" s="4303"/>
      <c r="AS1159" s="4303"/>
      <c r="AT1159" s="4303"/>
      <c r="AU1159" s="4303"/>
      <c r="AV1159" s="4303"/>
      <c r="AW1159" s="4303"/>
      <c r="AX1159" s="4303"/>
      <c r="AY1159" s="4303"/>
      <c r="AZ1159" s="4303"/>
      <c r="BA1159" s="4303"/>
      <c r="BB1159" s="4303"/>
      <c r="BC1159" s="4303"/>
      <c r="BD1159" s="4303"/>
      <c r="BE1159" s="4303"/>
      <c r="BF1159" s="4303"/>
      <c r="BG1159" s="4303"/>
      <c r="BH1159" s="4303"/>
      <c r="BI1159" s="4303"/>
      <c r="BJ1159" s="4303"/>
      <c r="BK1159" s="4303"/>
      <c r="BL1159" s="4303"/>
      <c r="BM1159" s="4303"/>
      <c r="BN1159" s="4303"/>
      <c r="BO1159" s="4303"/>
      <c r="BP1159" s="4303"/>
      <c r="BQ1159" s="4303"/>
      <c r="BR1159" s="4303"/>
      <c r="BS1159" s="4303"/>
      <c r="BT1159" s="4303"/>
      <c r="BU1159" s="4303"/>
      <c r="BV1159" s="4303"/>
      <c r="BW1159" s="4303"/>
      <c r="BX1159" s="4303"/>
      <c r="BY1159" s="4303"/>
      <c r="BZ1159" s="4303"/>
      <c r="CA1159" s="4303"/>
      <c r="CB1159" s="4303"/>
      <c r="CC1159" s="4303"/>
      <c r="CD1159" s="4303"/>
      <c r="CE1159" s="4303"/>
      <c r="CF1159" s="4303"/>
      <c r="CG1159" s="4303"/>
      <c r="CH1159" s="4303"/>
      <c r="CI1159" s="4303"/>
      <c r="CJ1159" s="4303"/>
      <c r="CK1159" s="4303"/>
      <c r="CL1159" s="4303"/>
      <c r="CM1159" s="4303"/>
      <c r="CN1159" s="4303"/>
      <c r="CO1159" s="4303"/>
      <c r="CP1159" s="4303"/>
      <c r="CQ1159" s="4303"/>
      <c r="CR1159" s="4303"/>
      <c r="CS1159" s="4303"/>
      <c r="CT1159" s="4303"/>
      <c r="CU1159" s="4303"/>
      <c r="CV1159" s="4303"/>
      <c r="CW1159" s="4303"/>
      <c r="CX1159" s="4303"/>
      <c r="CY1159" s="4303"/>
      <c r="CZ1159" s="4303"/>
      <c r="DA1159" s="4303"/>
      <c r="DB1159" s="4303"/>
      <c r="DC1159" s="4303"/>
      <c r="DD1159" s="4303"/>
      <c r="DE1159" s="4303"/>
      <c r="DF1159" s="4303"/>
      <c r="DG1159" s="4303"/>
      <c r="DH1159" s="4303"/>
      <c r="DI1159" s="4303"/>
      <c r="DJ1159" s="4303"/>
      <c r="DK1159" s="4303"/>
      <c r="DL1159" s="4303"/>
      <c r="DM1159" s="4303"/>
      <c r="DN1159" s="4303"/>
      <c r="DO1159" s="4303"/>
      <c r="DP1159" s="4303"/>
      <c r="DQ1159" s="4303"/>
      <c r="DR1159" s="4303"/>
      <c r="DS1159" s="4303"/>
    </row>
    <row r="1160" s="4134" customFormat="1" ht="17.25" customHeight="1" spans="1:123">
      <c r="A1160" s="4697" t="s">
        <v>3896</v>
      </c>
      <c r="B1160" s="4697"/>
      <c r="C1160" s="4697" t="s">
        <v>5755</v>
      </c>
      <c r="D1160" s="4697"/>
      <c r="E1160" s="4697">
        <v>511</v>
      </c>
      <c r="F1160" s="4697"/>
      <c r="G1160" s="4697"/>
      <c r="H1160" s="4983">
        <f>B_Uspjeha!AI110-B_Uspjeha!AI50</f>
        <v>0</v>
      </c>
      <c r="I1160" s="4983"/>
      <c r="J1160" s="4983"/>
      <c r="K1160" s="4983"/>
      <c r="L1160" s="4983"/>
      <c r="M1160" s="4983"/>
      <c r="N1160" s="4983"/>
      <c r="O1160" s="4303"/>
      <c r="P1160" s="4303"/>
      <c r="Q1160" s="4303"/>
      <c r="R1160" s="4303"/>
      <c r="S1160" s="4303"/>
      <c r="T1160" s="4303"/>
      <c r="U1160" s="4303"/>
      <c r="V1160" s="4303"/>
      <c r="W1160" s="4303"/>
      <c r="X1160" s="4303"/>
      <c r="Y1160" s="4971"/>
      <c r="Z1160" s="4303" t="s">
        <v>3445</v>
      </c>
      <c r="AA1160" s="4303"/>
      <c r="AB1160" s="4303"/>
      <c r="AC1160" s="4303"/>
      <c r="AD1160" s="4971"/>
      <c r="AE1160" s="4971"/>
      <c r="AF1160" s="4971"/>
      <c r="AG1160" s="4971"/>
      <c r="AH1160" s="4971"/>
      <c r="AI1160" s="4971"/>
      <c r="AJ1160" s="4303"/>
      <c r="AK1160" s="4411"/>
      <c r="AL1160" s="4411"/>
      <c r="AM1160" s="4411"/>
      <c r="AN1160" s="4411"/>
      <c r="AO1160" s="4303"/>
      <c r="AP1160" s="4303"/>
      <c r="AQ1160" s="4303"/>
      <c r="AR1160" s="4303"/>
      <c r="AS1160" s="4303"/>
      <c r="AT1160" s="4303"/>
      <c r="AU1160" s="4303"/>
      <c r="AV1160" s="4303"/>
      <c r="AW1160" s="4303"/>
      <c r="AX1160" s="4303"/>
      <c r="AY1160" s="4303"/>
      <c r="AZ1160" s="4303"/>
      <c r="BA1160" s="4303"/>
      <c r="BB1160" s="4303"/>
      <c r="BC1160" s="4303"/>
      <c r="BD1160" s="4303"/>
      <c r="BE1160" s="4303"/>
      <c r="BF1160" s="4303"/>
      <c r="BG1160" s="4303"/>
      <c r="BH1160" s="4303"/>
      <c r="BI1160" s="4303"/>
      <c r="BJ1160" s="4303"/>
      <c r="BK1160" s="4303"/>
      <c r="BL1160" s="4303"/>
      <c r="BM1160" s="4303"/>
      <c r="BN1160" s="4303"/>
      <c r="BO1160" s="4303"/>
      <c r="BP1160" s="4303"/>
      <c r="BQ1160" s="4303"/>
      <c r="BR1160" s="4303"/>
      <c r="BS1160" s="4303"/>
      <c r="BT1160" s="4303"/>
      <c r="BU1160" s="4303"/>
      <c r="BV1160" s="4303"/>
      <c r="BW1160" s="4303"/>
      <c r="BX1160" s="4303"/>
      <c r="BY1160" s="4303"/>
      <c r="BZ1160" s="4303"/>
      <c r="CA1160" s="4303"/>
      <c r="CB1160" s="4303"/>
      <c r="CC1160" s="4303"/>
      <c r="CD1160" s="4303"/>
      <c r="CE1160" s="4303"/>
      <c r="CF1160" s="4303"/>
      <c r="CG1160" s="4303"/>
      <c r="CH1160" s="4303"/>
      <c r="CI1160" s="4303"/>
      <c r="CJ1160" s="4303"/>
      <c r="CK1160" s="4303"/>
      <c r="CL1160" s="4303"/>
      <c r="CM1160" s="4303"/>
      <c r="CN1160" s="4303"/>
      <c r="CO1160" s="4303"/>
      <c r="CP1160" s="4303"/>
      <c r="CQ1160" s="4303"/>
      <c r="CR1160" s="4303"/>
      <c r="CS1160" s="4303"/>
      <c r="CT1160" s="4303"/>
      <c r="CU1160" s="4303"/>
      <c r="CV1160" s="4303"/>
      <c r="CW1160" s="4303"/>
      <c r="CX1160" s="4303"/>
      <c r="CY1160" s="4303"/>
      <c r="CZ1160" s="4303"/>
      <c r="DA1160" s="4303"/>
      <c r="DB1160" s="4303"/>
      <c r="DC1160" s="4303"/>
      <c r="DD1160" s="4303"/>
      <c r="DE1160" s="4303"/>
      <c r="DF1160" s="4303"/>
      <c r="DG1160" s="4303"/>
      <c r="DH1160" s="4303"/>
      <c r="DI1160" s="4303"/>
      <c r="DJ1160" s="4303"/>
      <c r="DK1160" s="4303"/>
      <c r="DL1160" s="4303"/>
      <c r="DM1160" s="4303"/>
      <c r="DN1160" s="4303"/>
      <c r="DO1160" s="4303"/>
      <c r="DP1160" s="4303"/>
      <c r="DQ1160" s="4303"/>
      <c r="DR1160" s="4303"/>
      <c r="DS1160" s="4303"/>
    </row>
    <row r="1161" s="4134" customFormat="1" ht="17.25" customHeight="1" spans="1:123">
      <c r="A1161" s="4982" t="s">
        <v>3893</v>
      </c>
      <c r="B1161" s="4697"/>
      <c r="C1161" s="4697" t="s">
        <v>5755</v>
      </c>
      <c r="D1161" s="4697"/>
      <c r="E1161" s="4697">
        <v>512</v>
      </c>
      <c r="F1161" s="4697"/>
      <c r="G1161" s="4697"/>
      <c r="H1161" s="4984"/>
      <c r="I1161" s="4984"/>
      <c r="J1161" s="4984"/>
      <c r="K1161" s="4984"/>
      <c r="L1161" s="4984"/>
      <c r="M1161" s="4984"/>
      <c r="N1161" s="4984"/>
      <c r="O1161" s="4303"/>
      <c r="P1161" s="4303"/>
      <c r="Q1161" s="4303"/>
      <c r="R1161" s="4303"/>
      <c r="S1161" s="4303"/>
      <c r="T1161" s="4303"/>
      <c r="U1161" s="4303"/>
      <c r="V1161" s="4303"/>
      <c r="W1161" s="4303"/>
      <c r="X1161" s="4303"/>
      <c r="Y1161" s="4971"/>
      <c r="Z1161" s="4303" t="s">
        <v>3448</v>
      </c>
      <c r="AA1161" s="4303"/>
      <c r="AB1161" s="4303"/>
      <c r="AC1161" s="4303"/>
      <c r="AD1161" s="4971"/>
      <c r="AE1161" s="4971"/>
      <c r="AF1161" s="4971"/>
      <c r="AG1161" s="4971"/>
      <c r="AH1161" s="4971"/>
      <c r="AI1161" s="4971"/>
      <c r="AJ1161" s="4303"/>
      <c r="AK1161" s="4411"/>
      <c r="AL1161" s="4411"/>
      <c r="AM1161" s="4411"/>
      <c r="AN1161" s="4411"/>
      <c r="AO1161" s="4303"/>
      <c r="AP1161" s="4303"/>
      <c r="AQ1161" s="4303"/>
      <c r="AR1161" s="4303"/>
      <c r="AS1161" s="4303"/>
      <c r="AT1161" s="4303"/>
      <c r="AU1161" s="4303"/>
      <c r="AV1161" s="4303"/>
      <c r="AW1161" s="4303"/>
      <c r="AX1161" s="4303"/>
      <c r="AY1161" s="4303"/>
      <c r="AZ1161" s="4303"/>
      <c r="BA1161" s="4303"/>
      <c r="BB1161" s="4303"/>
      <c r="BC1161" s="4303"/>
      <c r="BD1161" s="4303"/>
      <c r="BE1161" s="4303"/>
      <c r="BF1161" s="4303"/>
      <c r="BG1161" s="4303"/>
      <c r="BH1161" s="4303"/>
      <c r="BI1161" s="4303"/>
      <c r="BJ1161" s="4303"/>
      <c r="BK1161" s="4303"/>
      <c r="BL1161" s="4303"/>
      <c r="BM1161" s="4303"/>
      <c r="BN1161" s="4303"/>
      <c r="BO1161" s="4303"/>
      <c r="BP1161" s="4303"/>
      <c r="BQ1161" s="4303"/>
      <c r="BR1161" s="4303"/>
      <c r="BS1161" s="4303"/>
      <c r="BT1161" s="4303"/>
      <c r="BU1161" s="4303"/>
      <c r="BV1161" s="4303"/>
      <c r="BW1161" s="4303"/>
      <c r="BX1161" s="4303"/>
      <c r="BY1161" s="4303"/>
      <c r="BZ1161" s="4303"/>
      <c r="CA1161" s="4303"/>
      <c r="CB1161" s="4303"/>
      <c r="CC1161" s="4303"/>
      <c r="CD1161" s="4303"/>
      <c r="CE1161" s="4303"/>
      <c r="CF1161" s="4303"/>
      <c r="CG1161" s="4303"/>
      <c r="CH1161" s="4303"/>
      <c r="CI1161" s="4303"/>
      <c r="CJ1161" s="4303"/>
      <c r="CK1161" s="4303"/>
      <c r="CL1161" s="4303"/>
      <c r="CM1161" s="4303"/>
      <c r="CN1161" s="4303"/>
      <c r="CO1161" s="4303"/>
      <c r="CP1161" s="4303"/>
      <c r="CQ1161" s="4303"/>
      <c r="CR1161" s="4303"/>
      <c r="CS1161" s="4303"/>
      <c r="CT1161" s="4303"/>
      <c r="CU1161" s="4303"/>
      <c r="CV1161" s="4303"/>
      <c r="CW1161" s="4303"/>
      <c r="CX1161" s="4303"/>
      <c r="CY1161" s="4303"/>
      <c r="CZ1161" s="4303"/>
      <c r="DA1161" s="4303"/>
      <c r="DB1161" s="4303"/>
      <c r="DC1161" s="4303"/>
      <c r="DD1161" s="4303"/>
      <c r="DE1161" s="4303"/>
      <c r="DF1161" s="4303"/>
      <c r="DG1161" s="4303"/>
      <c r="DH1161" s="4303"/>
      <c r="DI1161" s="4303"/>
      <c r="DJ1161" s="4303"/>
      <c r="DK1161" s="4303"/>
      <c r="DL1161" s="4303"/>
      <c r="DM1161" s="4303"/>
      <c r="DN1161" s="4303"/>
      <c r="DO1161" s="4303"/>
      <c r="DP1161" s="4303"/>
      <c r="DQ1161" s="4303"/>
      <c r="DR1161" s="4303"/>
      <c r="DS1161" s="4303"/>
    </row>
    <row r="1162" s="4134" customFormat="1" ht="17.25" customHeight="1" spans="1:123">
      <c r="A1162" s="4697" t="s">
        <v>3896</v>
      </c>
      <c r="B1162" s="4697"/>
      <c r="C1162" s="4697" t="s">
        <v>5755</v>
      </c>
      <c r="D1162" s="4697"/>
      <c r="E1162" s="4697">
        <v>513</v>
      </c>
      <c r="F1162" s="4697"/>
      <c r="G1162" s="4697"/>
      <c r="H1162" s="4984"/>
      <c r="I1162" s="4984"/>
      <c r="J1162" s="4984"/>
      <c r="K1162" s="4984"/>
      <c r="L1162" s="4984"/>
      <c r="M1162" s="4984"/>
      <c r="N1162" s="4984"/>
      <c r="O1162" s="4303"/>
      <c r="P1162" s="4303"/>
      <c r="Q1162" s="4303"/>
      <c r="R1162" s="4303"/>
      <c r="S1162" s="4303"/>
      <c r="T1162" s="4303"/>
      <c r="U1162" s="4303"/>
      <c r="V1162" s="4303"/>
      <c r="W1162" s="4303"/>
      <c r="X1162" s="4303"/>
      <c r="Y1162" s="4971"/>
      <c r="Z1162" s="4303" t="s">
        <v>3452</v>
      </c>
      <c r="AA1162" s="4303"/>
      <c r="AB1162" s="4303"/>
      <c r="AC1162" s="4303"/>
      <c r="AD1162" s="4971"/>
      <c r="AE1162" s="4971"/>
      <c r="AF1162" s="4971"/>
      <c r="AG1162" s="4971"/>
      <c r="AH1162" s="4971"/>
      <c r="AI1162" s="4971"/>
      <c r="AJ1162" s="4303"/>
      <c r="AK1162" s="4411"/>
      <c r="AL1162" s="4411"/>
      <c r="AM1162" s="4411"/>
      <c r="AN1162" s="4411"/>
      <c r="AO1162" s="4303"/>
      <c r="AP1162" s="4303"/>
      <c r="AQ1162" s="4303"/>
      <c r="AR1162" s="4303"/>
      <c r="AS1162" s="4303"/>
      <c r="AT1162" s="4303"/>
      <c r="AU1162" s="4303"/>
      <c r="AV1162" s="4303"/>
      <c r="AW1162" s="4303"/>
      <c r="AX1162" s="4303"/>
      <c r="AY1162" s="4303"/>
      <c r="AZ1162" s="4303"/>
      <c r="BA1162" s="4303"/>
      <c r="BB1162" s="4303"/>
      <c r="BC1162" s="4303"/>
      <c r="BD1162" s="4303"/>
      <c r="BE1162" s="4303"/>
      <c r="BF1162" s="4303"/>
      <c r="BG1162" s="4303"/>
      <c r="BH1162" s="4303"/>
      <c r="BI1162" s="4303"/>
      <c r="BJ1162" s="4303"/>
      <c r="BK1162" s="4303"/>
      <c r="BL1162" s="4303"/>
      <c r="BM1162" s="4303"/>
      <c r="BN1162" s="4303"/>
      <c r="BO1162" s="4303"/>
      <c r="BP1162" s="4303"/>
      <c r="BQ1162" s="4303"/>
      <c r="BR1162" s="4303"/>
      <c r="BS1162" s="4303"/>
      <c r="BT1162" s="4303"/>
      <c r="BU1162" s="4303"/>
      <c r="BV1162" s="4303"/>
      <c r="BW1162" s="4303"/>
      <c r="BX1162" s="4303"/>
      <c r="BY1162" s="4303"/>
      <c r="BZ1162" s="4303"/>
      <c r="CA1162" s="4303"/>
      <c r="CB1162" s="4303"/>
      <c r="CC1162" s="4303"/>
      <c r="CD1162" s="4303"/>
      <c r="CE1162" s="4303"/>
      <c r="CF1162" s="4303"/>
      <c r="CG1162" s="4303"/>
      <c r="CH1162" s="4303"/>
      <c r="CI1162" s="4303"/>
      <c r="CJ1162" s="4303"/>
      <c r="CK1162" s="4303"/>
      <c r="CL1162" s="4303"/>
      <c r="CM1162" s="4303"/>
      <c r="CN1162" s="4303"/>
      <c r="CO1162" s="4303"/>
      <c r="CP1162" s="4303"/>
      <c r="CQ1162" s="4303"/>
      <c r="CR1162" s="4303"/>
      <c r="CS1162" s="4303"/>
      <c r="CT1162" s="4303"/>
      <c r="CU1162" s="4303"/>
      <c r="CV1162" s="4303"/>
      <c r="CW1162" s="4303"/>
      <c r="CX1162" s="4303"/>
      <c r="CY1162" s="4303"/>
      <c r="CZ1162" s="4303"/>
      <c r="DA1162" s="4303"/>
      <c r="DB1162" s="4303"/>
      <c r="DC1162" s="4303"/>
      <c r="DD1162" s="4303"/>
      <c r="DE1162" s="4303"/>
      <c r="DF1162" s="4303"/>
      <c r="DG1162" s="4303"/>
      <c r="DH1162" s="4303"/>
      <c r="DI1162" s="4303"/>
      <c r="DJ1162" s="4303"/>
      <c r="DK1162" s="4303"/>
      <c r="DL1162" s="4303"/>
      <c r="DM1162" s="4303"/>
      <c r="DN1162" s="4303"/>
      <c r="DO1162" s="4303"/>
      <c r="DP1162" s="4303"/>
      <c r="DQ1162" s="4303"/>
      <c r="DR1162" s="4303"/>
      <c r="DS1162" s="4303"/>
    </row>
    <row r="1163" s="4134" customFormat="1" ht="17.25" customHeight="1" spans="1:123">
      <c r="A1163" s="4982" t="s">
        <v>3893</v>
      </c>
      <c r="B1163" s="4697"/>
      <c r="C1163" s="4697" t="s">
        <v>5755</v>
      </c>
      <c r="D1163" s="4697"/>
      <c r="E1163" s="4697">
        <v>514</v>
      </c>
      <c r="F1163" s="4697"/>
      <c r="G1163" s="4697"/>
      <c r="H1163" s="4984"/>
      <c r="I1163" s="4984"/>
      <c r="J1163" s="4984"/>
      <c r="K1163" s="4984"/>
      <c r="L1163" s="4984"/>
      <c r="M1163" s="4984"/>
      <c r="N1163" s="4984"/>
      <c r="O1163" s="4303"/>
      <c r="P1163" s="4303"/>
      <c r="Q1163" s="4303"/>
      <c r="R1163" s="4303"/>
      <c r="S1163" s="4303"/>
      <c r="T1163" s="4303"/>
      <c r="U1163" s="4303"/>
      <c r="V1163" s="4303"/>
      <c r="W1163" s="4303"/>
      <c r="X1163" s="4303"/>
      <c r="Y1163" s="4971"/>
      <c r="Z1163" s="4303" t="s">
        <v>3455</v>
      </c>
      <c r="AA1163" s="4303"/>
      <c r="AB1163" s="4303"/>
      <c r="AC1163" s="4303"/>
      <c r="AD1163" s="4971"/>
      <c r="AE1163" s="4971"/>
      <c r="AF1163" s="4971"/>
      <c r="AG1163" s="4971"/>
      <c r="AH1163" s="4971"/>
      <c r="AI1163" s="4971"/>
      <c r="AJ1163" s="4303"/>
      <c r="AK1163" s="4411"/>
      <c r="AL1163" s="4411"/>
      <c r="AM1163" s="4411"/>
      <c r="AN1163" s="4411"/>
      <c r="AO1163" s="4303"/>
      <c r="AP1163" s="4303"/>
      <c r="AQ1163" s="4303"/>
      <c r="AR1163" s="4303"/>
      <c r="AS1163" s="4303"/>
      <c r="AT1163" s="4303"/>
      <c r="AU1163" s="4303"/>
      <c r="AV1163" s="4303"/>
      <c r="AW1163" s="4303"/>
      <c r="AX1163" s="4303"/>
      <c r="AY1163" s="4303"/>
      <c r="AZ1163" s="4303"/>
      <c r="BA1163" s="4303"/>
      <c r="BB1163" s="4303"/>
      <c r="BC1163" s="4303"/>
      <c r="BD1163" s="4303"/>
      <c r="BE1163" s="4303"/>
      <c r="BF1163" s="4303"/>
      <c r="BG1163" s="4303"/>
      <c r="BH1163" s="4303"/>
      <c r="BI1163" s="4303"/>
      <c r="BJ1163" s="4303"/>
      <c r="BK1163" s="4303"/>
      <c r="BL1163" s="4303"/>
      <c r="BM1163" s="4303"/>
      <c r="BN1163" s="4303"/>
      <c r="BO1163" s="4303"/>
      <c r="BP1163" s="4303"/>
      <c r="BQ1163" s="4303"/>
      <c r="BR1163" s="4303"/>
      <c r="BS1163" s="4303"/>
      <c r="BT1163" s="4303"/>
      <c r="BU1163" s="4303"/>
      <c r="BV1163" s="4303"/>
      <c r="BW1163" s="4303"/>
      <c r="BX1163" s="4303"/>
      <c r="BY1163" s="4303"/>
      <c r="BZ1163" s="4303"/>
      <c r="CA1163" s="4303"/>
      <c r="CB1163" s="4303"/>
      <c r="CC1163" s="4303"/>
      <c r="CD1163" s="4303"/>
      <c r="CE1163" s="4303"/>
      <c r="CF1163" s="4303"/>
      <c r="CG1163" s="4303"/>
      <c r="CH1163" s="4303"/>
      <c r="CI1163" s="4303"/>
      <c r="CJ1163" s="4303"/>
      <c r="CK1163" s="4303"/>
      <c r="CL1163" s="4303"/>
      <c r="CM1163" s="4303"/>
      <c r="CN1163" s="4303"/>
      <c r="CO1163" s="4303"/>
      <c r="CP1163" s="4303"/>
      <c r="CQ1163" s="4303"/>
      <c r="CR1163" s="4303"/>
      <c r="CS1163" s="4303"/>
      <c r="CT1163" s="4303"/>
      <c r="CU1163" s="4303"/>
      <c r="CV1163" s="4303"/>
      <c r="CW1163" s="4303"/>
      <c r="CX1163" s="4303"/>
      <c r="CY1163" s="4303"/>
      <c r="CZ1163" s="4303"/>
      <c r="DA1163" s="4303"/>
      <c r="DB1163" s="4303"/>
      <c r="DC1163" s="4303"/>
      <c r="DD1163" s="4303"/>
      <c r="DE1163" s="4303"/>
      <c r="DF1163" s="4303"/>
      <c r="DG1163" s="4303"/>
      <c r="DH1163" s="4303"/>
      <c r="DI1163" s="4303"/>
      <c r="DJ1163" s="4303"/>
      <c r="DK1163" s="4303"/>
      <c r="DL1163" s="4303"/>
      <c r="DM1163" s="4303"/>
      <c r="DN1163" s="4303"/>
      <c r="DO1163" s="4303"/>
      <c r="DP1163" s="4303"/>
      <c r="DQ1163" s="4303"/>
      <c r="DR1163" s="4303"/>
      <c r="DS1163" s="4303"/>
    </row>
    <row r="1164" s="4134" customFormat="1" ht="17.25" customHeight="1" spans="1:123">
      <c r="A1164" s="4697" t="s">
        <v>3896</v>
      </c>
      <c r="B1164" s="4697"/>
      <c r="C1164" s="4697" t="s">
        <v>5755</v>
      </c>
      <c r="D1164" s="4697"/>
      <c r="E1164" s="4697">
        <v>515</v>
      </c>
      <c r="F1164" s="4697"/>
      <c r="G1164" s="4697"/>
      <c r="H1164" s="4984"/>
      <c r="I1164" s="4984"/>
      <c r="J1164" s="4984"/>
      <c r="K1164" s="4984"/>
      <c r="L1164" s="4984"/>
      <c r="M1164" s="4984"/>
      <c r="N1164" s="4984"/>
      <c r="O1164" s="4303"/>
      <c r="P1164" s="4303"/>
      <c r="Q1164" s="4303"/>
      <c r="R1164" s="4303"/>
      <c r="S1164" s="4303"/>
      <c r="T1164" s="4303"/>
      <c r="U1164" s="4303"/>
      <c r="V1164" s="4303"/>
      <c r="W1164" s="4303"/>
      <c r="X1164" s="4303"/>
      <c r="Y1164" s="4971"/>
      <c r="Z1164" s="4303" t="s">
        <v>3459</v>
      </c>
      <c r="AA1164" s="4303"/>
      <c r="AB1164" s="4303"/>
      <c r="AC1164" s="4303"/>
      <c r="AD1164" s="4971"/>
      <c r="AE1164" s="4971"/>
      <c r="AF1164" s="4971"/>
      <c r="AG1164" s="4971"/>
      <c r="AH1164" s="4971"/>
      <c r="AI1164" s="4971"/>
      <c r="AJ1164" s="4303"/>
      <c r="AK1164" s="4411"/>
      <c r="AL1164" s="4411"/>
      <c r="AM1164" s="4411"/>
      <c r="AN1164" s="4411"/>
      <c r="AO1164" s="4303"/>
      <c r="AP1164" s="4303"/>
      <c r="AQ1164" s="4303"/>
      <c r="AR1164" s="4303"/>
      <c r="AS1164" s="4303"/>
      <c r="AT1164" s="4303"/>
      <c r="AU1164" s="4303"/>
      <c r="AV1164" s="4303"/>
      <c r="AW1164" s="4303"/>
      <c r="AX1164" s="4303"/>
      <c r="AY1164" s="4303"/>
      <c r="AZ1164" s="4303"/>
      <c r="BA1164" s="4303"/>
      <c r="BB1164" s="4303"/>
      <c r="BC1164" s="4303"/>
      <c r="BD1164" s="4303"/>
      <c r="BE1164" s="4303"/>
      <c r="BF1164" s="4303"/>
      <c r="BG1164" s="4303"/>
      <c r="BH1164" s="4303"/>
      <c r="BI1164" s="4303"/>
      <c r="BJ1164" s="4303"/>
      <c r="BK1164" s="4303"/>
      <c r="BL1164" s="4303"/>
      <c r="BM1164" s="4303"/>
      <c r="BN1164" s="4303"/>
      <c r="BO1164" s="4303"/>
      <c r="BP1164" s="4303"/>
      <c r="BQ1164" s="4303"/>
      <c r="BR1164" s="4303"/>
      <c r="BS1164" s="4303"/>
      <c r="BT1164" s="4303"/>
      <c r="BU1164" s="4303"/>
      <c r="BV1164" s="4303"/>
      <c r="BW1164" s="4303"/>
      <c r="BX1164" s="4303"/>
      <c r="BY1164" s="4303"/>
      <c r="BZ1164" s="4303"/>
      <c r="CA1164" s="4303"/>
      <c r="CB1164" s="4303"/>
      <c r="CC1164" s="4303"/>
      <c r="CD1164" s="4303"/>
      <c r="CE1164" s="4303"/>
      <c r="CF1164" s="4303"/>
      <c r="CG1164" s="4303"/>
      <c r="CH1164" s="4303"/>
      <c r="CI1164" s="4303"/>
      <c r="CJ1164" s="4303"/>
      <c r="CK1164" s="4303"/>
      <c r="CL1164" s="4303"/>
      <c r="CM1164" s="4303"/>
      <c r="CN1164" s="4303"/>
      <c r="CO1164" s="4303"/>
      <c r="CP1164" s="4303"/>
      <c r="CQ1164" s="4303"/>
      <c r="CR1164" s="4303"/>
      <c r="CS1164" s="4303"/>
      <c r="CT1164" s="4303"/>
      <c r="CU1164" s="4303"/>
      <c r="CV1164" s="4303"/>
      <c r="CW1164" s="4303"/>
      <c r="CX1164" s="4303"/>
      <c r="CY1164" s="4303"/>
      <c r="CZ1164" s="4303"/>
      <c r="DA1164" s="4303"/>
      <c r="DB1164" s="4303"/>
      <c r="DC1164" s="4303"/>
      <c r="DD1164" s="4303"/>
      <c r="DE1164" s="4303"/>
      <c r="DF1164" s="4303"/>
      <c r="DG1164" s="4303"/>
      <c r="DH1164" s="4303"/>
      <c r="DI1164" s="4303"/>
      <c r="DJ1164" s="4303"/>
      <c r="DK1164" s="4303"/>
      <c r="DL1164" s="4303"/>
      <c r="DM1164" s="4303"/>
      <c r="DN1164" s="4303"/>
      <c r="DO1164" s="4303"/>
      <c r="DP1164" s="4303"/>
      <c r="DQ1164" s="4303"/>
      <c r="DR1164" s="4303"/>
      <c r="DS1164" s="4303"/>
    </row>
    <row r="1165" s="4134" customFormat="1" ht="17.25" customHeight="1" spans="1:123">
      <c r="A1165" s="4982" t="s">
        <v>3893</v>
      </c>
      <c r="B1165" s="4697"/>
      <c r="C1165" s="4697" t="s">
        <v>5755</v>
      </c>
      <c r="D1165" s="4697"/>
      <c r="E1165" s="4697">
        <v>516</v>
      </c>
      <c r="F1165" s="4697"/>
      <c r="G1165" s="4697"/>
      <c r="H1165" s="4984"/>
      <c r="I1165" s="4984"/>
      <c r="J1165" s="4984"/>
      <c r="K1165" s="4984"/>
      <c r="L1165" s="4984"/>
      <c r="M1165" s="4984"/>
      <c r="N1165" s="4984"/>
      <c r="O1165" s="4303"/>
      <c r="P1165" s="4303"/>
      <c r="Q1165" s="4303"/>
      <c r="R1165" s="4303"/>
      <c r="S1165" s="4303"/>
      <c r="T1165" s="4303"/>
      <c r="U1165" s="4303"/>
      <c r="V1165" s="4303"/>
      <c r="W1165" s="4303"/>
      <c r="X1165" s="4303"/>
      <c r="Y1165" s="4971"/>
      <c r="Z1165" s="4303" t="s">
        <v>3463</v>
      </c>
      <c r="AA1165" s="4303"/>
      <c r="AB1165" s="4303"/>
      <c r="AC1165" s="4303"/>
      <c r="AD1165" s="4971"/>
      <c r="AE1165" s="4971"/>
      <c r="AF1165" s="4971"/>
      <c r="AG1165" s="4971"/>
      <c r="AH1165" s="4971"/>
      <c r="AI1165" s="4971"/>
      <c r="AJ1165" s="4303"/>
      <c r="AK1165" s="4411"/>
      <c r="AL1165" s="4411"/>
      <c r="AM1165" s="4411"/>
      <c r="AN1165" s="4411"/>
      <c r="AO1165" s="4303"/>
      <c r="AP1165" s="4303"/>
      <c r="AQ1165" s="4303"/>
      <c r="AR1165" s="4303"/>
      <c r="AS1165" s="4303"/>
      <c r="AT1165" s="4303"/>
      <c r="AU1165" s="4303"/>
      <c r="AV1165" s="4303"/>
      <c r="AW1165" s="4303"/>
      <c r="AX1165" s="4303"/>
      <c r="AY1165" s="4303"/>
      <c r="AZ1165" s="4303"/>
      <c r="BA1165" s="4303"/>
      <c r="BB1165" s="4303"/>
      <c r="BC1165" s="4303"/>
      <c r="BD1165" s="4303"/>
      <c r="BE1165" s="4303"/>
      <c r="BF1165" s="4303"/>
      <c r="BG1165" s="4303"/>
      <c r="BH1165" s="4303"/>
      <c r="BI1165" s="4303"/>
      <c r="BJ1165" s="4303"/>
      <c r="BK1165" s="4303"/>
      <c r="BL1165" s="4303"/>
      <c r="BM1165" s="4303"/>
      <c r="BN1165" s="4303"/>
      <c r="BO1165" s="4303"/>
      <c r="BP1165" s="4303"/>
      <c r="BQ1165" s="4303"/>
      <c r="BR1165" s="4303"/>
      <c r="BS1165" s="4303"/>
      <c r="BT1165" s="4303"/>
      <c r="BU1165" s="4303"/>
      <c r="BV1165" s="4303"/>
      <c r="BW1165" s="4303"/>
      <c r="BX1165" s="4303"/>
      <c r="BY1165" s="4303"/>
      <c r="BZ1165" s="4303"/>
      <c r="CA1165" s="4303"/>
      <c r="CB1165" s="4303"/>
      <c r="CC1165" s="4303"/>
      <c r="CD1165" s="4303"/>
      <c r="CE1165" s="4303"/>
      <c r="CF1165" s="4303"/>
      <c r="CG1165" s="4303"/>
      <c r="CH1165" s="4303"/>
      <c r="CI1165" s="4303"/>
      <c r="CJ1165" s="4303"/>
      <c r="CK1165" s="4303"/>
      <c r="CL1165" s="4303"/>
      <c r="CM1165" s="4303"/>
      <c r="CN1165" s="4303"/>
      <c r="CO1165" s="4303"/>
      <c r="CP1165" s="4303"/>
      <c r="CQ1165" s="4303"/>
      <c r="CR1165" s="4303"/>
      <c r="CS1165" s="4303"/>
      <c r="CT1165" s="4303"/>
      <c r="CU1165" s="4303"/>
      <c r="CV1165" s="4303"/>
      <c r="CW1165" s="4303"/>
      <c r="CX1165" s="4303"/>
      <c r="CY1165" s="4303"/>
      <c r="CZ1165" s="4303"/>
      <c r="DA1165" s="4303"/>
      <c r="DB1165" s="4303"/>
      <c r="DC1165" s="4303"/>
      <c r="DD1165" s="4303"/>
      <c r="DE1165" s="4303"/>
      <c r="DF1165" s="4303"/>
      <c r="DG1165" s="4303"/>
      <c r="DH1165" s="4303"/>
      <c r="DI1165" s="4303"/>
      <c r="DJ1165" s="4303"/>
      <c r="DK1165" s="4303"/>
      <c r="DL1165" s="4303"/>
      <c r="DM1165" s="4303"/>
      <c r="DN1165" s="4303"/>
      <c r="DO1165" s="4303"/>
      <c r="DP1165" s="4303"/>
      <c r="DQ1165" s="4303"/>
      <c r="DR1165" s="4303"/>
      <c r="DS1165" s="4303"/>
    </row>
    <row r="1166" s="4134" customFormat="1" ht="17.25" customHeight="1" spans="1:123">
      <c r="A1166" s="4697" t="s">
        <v>3896</v>
      </c>
      <c r="B1166" s="4697"/>
      <c r="C1166" s="4697" t="s">
        <v>5755</v>
      </c>
      <c r="D1166" s="4697"/>
      <c r="E1166" s="4697">
        <v>517</v>
      </c>
      <c r="F1166" s="4697"/>
      <c r="G1166" s="4697"/>
      <c r="H1166" s="4984"/>
      <c r="I1166" s="4984"/>
      <c r="J1166" s="4984"/>
      <c r="K1166" s="4984"/>
      <c r="L1166" s="4984"/>
      <c r="M1166" s="4984"/>
      <c r="N1166" s="4984"/>
      <c r="O1166" s="4303"/>
      <c r="P1166" s="4303"/>
      <c r="Q1166" s="4303"/>
      <c r="R1166" s="4303"/>
      <c r="S1166" s="4303"/>
      <c r="T1166" s="4303"/>
      <c r="U1166" s="4303"/>
      <c r="V1166" s="4303"/>
      <c r="W1166" s="4303"/>
      <c r="X1166" s="4303"/>
      <c r="Y1166" s="4971"/>
      <c r="Z1166" s="4303" t="s">
        <v>3467</v>
      </c>
      <c r="AA1166" s="4303"/>
      <c r="AB1166" s="4303"/>
      <c r="AC1166" s="4303"/>
      <c r="AD1166" s="4971"/>
      <c r="AE1166" s="4971"/>
      <c r="AF1166" s="4971"/>
      <c r="AG1166" s="4971"/>
      <c r="AH1166" s="4971"/>
      <c r="AI1166" s="4971"/>
      <c r="AJ1166" s="4303"/>
      <c r="AK1166" s="4411"/>
      <c r="AL1166" s="4411"/>
      <c r="AM1166" s="4411"/>
      <c r="AN1166" s="4411"/>
      <c r="AO1166" s="4303"/>
      <c r="AP1166" s="4303"/>
      <c r="AQ1166" s="4303"/>
      <c r="AR1166" s="4303"/>
      <c r="AS1166" s="4303"/>
      <c r="AT1166" s="4303"/>
      <c r="AU1166" s="4303"/>
      <c r="AV1166" s="4303"/>
      <c r="AW1166" s="4303"/>
      <c r="AX1166" s="4303"/>
      <c r="AY1166" s="4303"/>
      <c r="AZ1166" s="4303"/>
      <c r="BA1166" s="4303"/>
      <c r="BB1166" s="4303"/>
      <c r="BC1166" s="4303"/>
      <c r="BD1166" s="4303"/>
      <c r="BE1166" s="4303"/>
      <c r="BF1166" s="4303"/>
      <c r="BG1166" s="4303"/>
      <c r="BH1166" s="4303"/>
      <c r="BI1166" s="4303"/>
      <c r="BJ1166" s="4303"/>
      <c r="BK1166" s="4303"/>
      <c r="BL1166" s="4303"/>
      <c r="BM1166" s="4303"/>
      <c r="BN1166" s="4303"/>
      <c r="BO1166" s="4303"/>
      <c r="BP1166" s="4303"/>
      <c r="BQ1166" s="4303"/>
      <c r="BR1166" s="4303"/>
      <c r="BS1166" s="4303"/>
      <c r="BT1166" s="4303"/>
      <c r="BU1166" s="4303"/>
      <c r="BV1166" s="4303"/>
      <c r="BW1166" s="4303"/>
      <c r="BX1166" s="4303"/>
      <c r="BY1166" s="4303"/>
      <c r="BZ1166" s="4303"/>
      <c r="CA1166" s="4303"/>
      <c r="CB1166" s="4303"/>
      <c r="CC1166" s="4303"/>
      <c r="CD1166" s="4303"/>
      <c r="CE1166" s="4303"/>
      <c r="CF1166" s="4303"/>
      <c r="CG1166" s="4303"/>
      <c r="CH1166" s="4303"/>
      <c r="CI1166" s="4303"/>
      <c r="CJ1166" s="4303"/>
      <c r="CK1166" s="4303"/>
      <c r="CL1166" s="4303"/>
      <c r="CM1166" s="4303"/>
      <c r="CN1166" s="4303"/>
      <c r="CO1166" s="4303"/>
      <c r="CP1166" s="4303"/>
      <c r="CQ1166" s="4303"/>
      <c r="CR1166" s="4303"/>
      <c r="CS1166" s="4303"/>
      <c r="CT1166" s="4303"/>
      <c r="CU1166" s="4303"/>
      <c r="CV1166" s="4303"/>
      <c r="CW1166" s="4303"/>
      <c r="CX1166" s="4303"/>
      <c r="CY1166" s="4303"/>
      <c r="CZ1166" s="4303"/>
      <c r="DA1166" s="4303"/>
      <c r="DB1166" s="4303"/>
      <c r="DC1166" s="4303"/>
      <c r="DD1166" s="4303"/>
      <c r="DE1166" s="4303"/>
      <c r="DF1166" s="4303"/>
      <c r="DG1166" s="4303"/>
      <c r="DH1166" s="4303"/>
      <c r="DI1166" s="4303"/>
      <c r="DJ1166" s="4303"/>
      <c r="DK1166" s="4303"/>
      <c r="DL1166" s="4303"/>
      <c r="DM1166" s="4303"/>
      <c r="DN1166" s="4303"/>
      <c r="DO1166" s="4303"/>
      <c r="DP1166" s="4303"/>
      <c r="DQ1166" s="4303"/>
      <c r="DR1166" s="4303"/>
      <c r="DS1166" s="4303"/>
    </row>
    <row r="1167" s="4134" customFormat="1" ht="17.25" customHeight="1" spans="1:123">
      <c r="A1167" s="4982" t="s">
        <v>3893</v>
      </c>
      <c r="B1167" s="4697"/>
      <c r="C1167" s="4697" t="s">
        <v>5755</v>
      </c>
      <c r="D1167" s="4697"/>
      <c r="E1167" s="4697">
        <v>518</v>
      </c>
      <c r="F1167" s="4697"/>
      <c r="G1167" s="4697"/>
      <c r="H1167" s="4985">
        <f>B_Uspjeha!AI132-B_Uspjeha!AI68</f>
        <v>0</v>
      </c>
      <c r="I1167" s="4985"/>
      <c r="J1167" s="4985"/>
      <c r="K1167" s="4985"/>
      <c r="L1167" s="4985"/>
      <c r="M1167" s="4985"/>
      <c r="N1167" s="4985"/>
      <c r="O1167" s="4303"/>
      <c r="P1167" s="4303"/>
      <c r="Q1167" s="4303"/>
      <c r="R1167" s="4303"/>
      <c r="S1167" s="4303"/>
      <c r="T1167" s="4303"/>
      <c r="U1167" s="4303"/>
      <c r="V1167" s="4303"/>
      <c r="W1167" s="4303"/>
      <c r="X1167" s="4303"/>
      <c r="Y1167" s="4971"/>
      <c r="Z1167" s="4303" t="s">
        <v>3471</v>
      </c>
      <c r="AA1167" s="4303"/>
      <c r="AB1167" s="4303"/>
      <c r="AC1167" s="4303"/>
      <c r="AD1167" s="4971"/>
      <c r="AE1167" s="4971"/>
      <c r="AF1167" s="4971"/>
      <c r="AG1167" s="4971"/>
      <c r="AH1167" s="4971"/>
      <c r="AI1167" s="4971"/>
      <c r="AJ1167" s="4303"/>
      <c r="AK1167" s="4411"/>
      <c r="AL1167" s="4411"/>
      <c r="AM1167" s="4411"/>
      <c r="AN1167" s="4411"/>
      <c r="AO1167" s="4303"/>
      <c r="AP1167" s="4303"/>
      <c r="AQ1167" s="4303"/>
      <c r="AR1167" s="4303"/>
      <c r="AS1167" s="4303"/>
      <c r="AT1167" s="4303"/>
      <c r="AU1167" s="4303"/>
      <c r="AV1167" s="4303"/>
      <c r="AW1167" s="4303"/>
      <c r="AX1167" s="4303"/>
      <c r="AY1167" s="4303"/>
      <c r="AZ1167" s="4303"/>
      <c r="BA1167" s="4303"/>
      <c r="BB1167" s="4303"/>
      <c r="BC1167" s="4303"/>
      <c r="BD1167" s="4303"/>
      <c r="BE1167" s="4303"/>
      <c r="BF1167" s="4303"/>
      <c r="BG1167" s="4303"/>
      <c r="BH1167" s="4303"/>
      <c r="BI1167" s="4303"/>
      <c r="BJ1167" s="4303"/>
      <c r="BK1167" s="4303"/>
      <c r="BL1167" s="4303"/>
      <c r="BM1167" s="4303"/>
      <c r="BN1167" s="4303"/>
      <c r="BO1167" s="4303"/>
      <c r="BP1167" s="4303"/>
      <c r="BQ1167" s="4303"/>
      <c r="BR1167" s="4303"/>
      <c r="BS1167" s="4303"/>
      <c r="BT1167" s="4303"/>
      <c r="BU1167" s="4303"/>
      <c r="BV1167" s="4303"/>
      <c r="BW1167" s="4303"/>
      <c r="BX1167" s="4303"/>
      <c r="BY1167" s="4303"/>
      <c r="BZ1167" s="4303"/>
      <c r="CA1167" s="4303"/>
      <c r="CB1167" s="4303"/>
      <c r="CC1167" s="4303"/>
      <c r="CD1167" s="4303"/>
      <c r="CE1167" s="4303"/>
      <c r="CF1167" s="4303"/>
      <c r="CG1167" s="4303"/>
      <c r="CH1167" s="4303"/>
      <c r="CI1167" s="4303"/>
      <c r="CJ1167" s="4303"/>
      <c r="CK1167" s="4303"/>
      <c r="CL1167" s="4303"/>
      <c r="CM1167" s="4303"/>
      <c r="CN1167" s="4303"/>
      <c r="CO1167" s="4303"/>
      <c r="CP1167" s="4303"/>
      <c r="CQ1167" s="4303"/>
      <c r="CR1167" s="4303"/>
      <c r="CS1167" s="4303"/>
      <c r="CT1167" s="4303"/>
      <c r="CU1167" s="4303"/>
      <c r="CV1167" s="4303"/>
      <c r="CW1167" s="4303"/>
      <c r="CX1167" s="4303"/>
      <c r="CY1167" s="4303"/>
      <c r="CZ1167" s="4303"/>
      <c r="DA1167" s="4303"/>
      <c r="DB1167" s="4303"/>
      <c r="DC1167" s="4303"/>
      <c r="DD1167" s="4303"/>
      <c r="DE1167" s="4303"/>
      <c r="DF1167" s="4303"/>
      <c r="DG1167" s="4303"/>
      <c r="DH1167" s="4303"/>
      <c r="DI1167" s="4303"/>
      <c r="DJ1167" s="4303"/>
      <c r="DK1167" s="4303"/>
      <c r="DL1167" s="4303"/>
      <c r="DM1167" s="4303"/>
      <c r="DN1167" s="4303"/>
      <c r="DO1167" s="4303"/>
      <c r="DP1167" s="4303"/>
      <c r="DQ1167" s="4303"/>
      <c r="DR1167" s="4303"/>
      <c r="DS1167" s="4303"/>
    </row>
    <row r="1168" s="4134" customFormat="1" ht="17.25" customHeight="1" spans="1:123">
      <c r="A1168" s="4697" t="s">
        <v>3896</v>
      </c>
      <c r="B1168" s="4697"/>
      <c r="C1168" s="4697" t="s">
        <v>5756</v>
      </c>
      <c r="D1168" s="4697"/>
      <c r="E1168" s="4697">
        <v>519</v>
      </c>
      <c r="F1168" s="4697"/>
      <c r="G1168" s="4697"/>
      <c r="H1168" s="4984"/>
      <c r="I1168" s="4984"/>
      <c r="J1168" s="4984"/>
      <c r="K1168" s="4984"/>
      <c r="L1168" s="4984"/>
      <c r="M1168" s="4984"/>
      <c r="N1168" s="4984"/>
      <c r="O1168" s="4303"/>
      <c r="P1168" s="4303"/>
      <c r="Q1168" s="4303"/>
      <c r="R1168" s="4303"/>
      <c r="S1168" s="4303"/>
      <c r="T1168" s="4303"/>
      <c r="U1168" s="4303"/>
      <c r="V1168" s="4303"/>
      <c r="W1168" s="4303"/>
      <c r="X1168" s="4303"/>
      <c r="Y1168" s="4971"/>
      <c r="Z1168" s="4303" t="s">
        <v>3474</v>
      </c>
      <c r="AA1168" s="4303"/>
      <c r="AB1168" s="4303"/>
      <c r="AC1168" s="4303"/>
      <c r="AD1168" s="4971"/>
      <c r="AE1168" s="4971"/>
      <c r="AF1168" s="4971"/>
      <c r="AG1168" s="4971"/>
      <c r="AH1168" s="4971"/>
      <c r="AI1168" s="4971"/>
      <c r="AJ1168" s="4303"/>
      <c r="AK1168" s="4411"/>
      <c r="AL1168" s="4411"/>
      <c r="AM1168" s="4411"/>
      <c r="AN1168" s="4411"/>
      <c r="AO1168" s="4303"/>
      <c r="AP1168" s="4303"/>
      <c r="AQ1168" s="4303"/>
      <c r="AR1168" s="4303"/>
      <c r="AS1168" s="4303"/>
      <c r="AT1168" s="4303"/>
      <c r="AU1168" s="4303"/>
      <c r="AV1168" s="4303"/>
      <c r="AW1168" s="4303"/>
      <c r="AX1168" s="4303"/>
      <c r="AY1168" s="4303"/>
      <c r="AZ1168" s="4303"/>
      <c r="BA1168" s="4303"/>
      <c r="BB1168" s="4303"/>
      <c r="BC1168" s="4303"/>
      <c r="BD1168" s="4303"/>
      <c r="BE1168" s="4303"/>
      <c r="BF1168" s="4303"/>
      <c r="BG1168" s="4303"/>
      <c r="BH1168" s="4303"/>
      <c r="BI1168" s="4303"/>
      <c r="BJ1168" s="4303"/>
      <c r="BK1168" s="4303"/>
      <c r="BL1168" s="4303"/>
      <c r="BM1168" s="4303"/>
      <c r="BN1168" s="4303"/>
      <c r="BO1168" s="4303"/>
      <c r="BP1168" s="4303"/>
      <c r="BQ1168" s="4303"/>
      <c r="BR1168" s="4303"/>
      <c r="BS1168" s="4303"/>
      <c r="BT1168" s="4303"/>
      <c r="BU1168" s="4303"/>
      <c r="BV1168" s="4303"/>
      <c r="BW1168" s="4303"/>
      <c r="BX1168" s="4303"/>
      <c r="BY1168" s="4303"/>
      <c r="BZ1168" s="4303"/>
      <c r="CA1168" s="4303"/>
      <c r="CB1168" s="4303"/>
      <c r="CC1168" s="4303"/>
      <c r="CD1168" s="4303"/>
      <c r="CE1168" s="4303"/>
      <c r="CF1168" s="4303"/>
      <c r="CG1168" s="4303"/>
      <c r="CH1168" s="4303"/>
      <c r="CI1168" s="4303"/>
      <c r="CJ1168" s="4303"/>
      <c r="CK1168" s="4303"/>
      <c r="CL1168" s="4303"/>
      <c r="CM1168" s="4303"/>
      <c r="CN1168" s="4303"/>
      <c r="CO1168" s="4303"/>
      <c r="CP1168" s="4303"/>
      <c r="CQ1168" s="4303"/>
      <c r="CR1168" s="4303"/>
      <c r="CS1168" s="4303"/>
      <c r="CT1168" s="4303"/>
      <c r="CU1168" s="4303"/>
      <c r="CV1168" s="4303"/>
      <c r="CW1168" s="4303"/>
      <c r="CX1168" s="4303"/>
      <c r="CY1168" s="4303"/>
      <c r="CZ1168" s="4303"/>
      <c r="DA1168" s="4303"/>
      <c r="DB1168" s="4303"/>
      <c r="DC1168" s="4303"/>
      <c r="DD1168" s="4303"/>
      <c r="DE1168" s="4303"/>
      <c r="DF1168" s="4303"/>
      <c r="DG1168" s="4303"/>
      <c r="DH1168" s="4303"/>
      <c r="DI1168" s="4303"/>
      <c r="DJ1168" s="4303"/>
      <c r="DK1168" s="4303"/>
      <c r="DL1168" s="4303"/>
      <c r="DM1168" s="4303"/>
      <c r="DN1168" s="4303"/>
      <c r="DO1168" s="4303"/>
      <c r="DP1168" s="4303"/>
      <c r="DQ1168" s="4303"/>
      <c r="DR1168" s="4303"/>
      <c r="DS1168" s="4303"/>
    </row>
    <row r="1169" s="4134" customFormat="1" ht="17.25" customHeight="1" spans="1:123">
      <c r="A1169" s="4982" t="s">
        <v>3893</v>
      </c>
      <c r="B1169" s="4697"/>
      <c r="C1169" s="4697" t="s">
        <v>5755</v>
      </c>
      <c r="D1169" s="4697"/>
      <c r="E1169" s="4697">
        <v>520</v>
      </c>
      <c r="F1169" s="4697"/>
      <c r="G1169" s="4697"/>
      <c r="H1169" s="4984"/>
      <c r="I1169" s="4984"/>
      <c r="J1169" s="4984"/>
      <c r="K1169" s="4984"/>
      <c r="L1169" s="4984"/>
      <c r="M1169" s="4984"/>
      <c r="N1169" s="4984"/>
      <c r="O1169" s="4303"/>
      <c r="P1169" s="4303"/>
      <c r="Q1169" s="4303"/>
      <c r="R1169" s="4303"/>
      <c r="S1169" s="4303"/>
      <c r="T1169" s="4303"/>
      <c r="U1169" s="4303"/>
      <c r="V1169" s="4303"/>
      <c r="W1169" s="4303"/>
      <c r="X1169" s="4303"/>
      <c r="Y1169" s="4971"/>
      <c r="Z1169" s="4303" t="s">
        <v>3478</v>
      </c>
      <c r="AA1169" s="4303"/>
      <c r="AB1169" s="4303"/>
      <c r="AC1169" s="4303"/>
      <c r="AD1169" s="4971"/>
      <c r="AE1169" s="4971"/>
      <c r="AF1169" s="4971"/>
      <c r="AG1169" s="4971"/>
      <c r="AH1169" s="4971"/>
      <c r="AI1169" s="4971"/>
      <c r="AJ1169" s="4303"/>
      <c r="AK1169" s="4411"/>
      <c r="AL1169" s="4411"/>
      <c r="AM1169" s="4411"/>
      <c r="AN1169" s="4411"/>
      <c r="AO1169" s="4303"/>
      <c r="AP1169" s="4303"/>
      <c r="AQ1169" s="4303"/>
      <c r="AR1169" s="4303"/>
      <c r="AS1169" s="4303"/>
      <c r="AT1169" s="4303"/>
      <c r="AU1169" s="4303"/>
      <c r="AV1169" s="4303"/>
      <c r="AW1169" s="4303"/>
      <c r="AX1169" s="4303"/>
      <c r="AY1169" s="4303"/>
      <c r="AZ1169" s="4303"/>
      <c r="BA1169" s="4303"/>
      <c r="BB1169" s="4303"/>
      <c r="BC1169" s="4303"/>
      <c r="BD1169" s="4303"/>
      <c r="BE1169" s="4303"/>
      <c r="BF1169" s="4303"/>
      <c r="BG1169" s="4303"/>
      <c r="BH1169" s="4303"/>
      <c r="BI1169" s="4303"/>
      <c r="BJ1169" s="4303"/>
      <c r="BK1169" s="4303"/>
      <c r="BL1169" s="4303"/>
      <c r="BM1169" s="4303"/>
      <c r="BN1169" s="4303"/>
      <c r="BO1169" s="4303"/>
      <c r="BP1169" s="4303"/>
      <c r="BQ1169" s="4303"/>
      <c r="BR1169" s="4303"/>
      <c r="BS1169" s="4303"/>
      <c r="BT1169" s="4303"/>
      <c r="BU1169" s="4303"/>
      <c r="BV1169" s="4303"/>
      <c r="BW1169" s="4303"/>
      <c r="BX1169" s="4303"/>
      <c r="BY1169" s="4303"/>
      <c r="BZ1169" s="4303"/>
      <c r="CA1169" s="4303"/>
      <c r="CB1169" s="4303"/>
      <c r="CC1169" s="4303"/>
      <c r="CD1169" s="4303"/>
      <c r="CE1169" s="4303"/>
      <c r="CF1169" s="4303"/>
      <c r="CG1169" s="4303"/>
      <c r="CH1169" s="4303"/>
      <c r="CI1169" s="4303"/>
      <c r="CJ1169" s="4303"/>
      <c r="CK1169" s="4303"/>
      <c r="CL1169" s="4303"/>
      <c r="CM1169" s="4303"/>
      <c r="CN1169" s="4303"/>
      <c r="CO1169" s="4303"/>
      <c r="CP1169" s="4303"/>
      <c r="CQ1169" s="4303"/>
      <c r="CR1169" s="4303"/>
      <c r="CS1169" s="4303"/>
      <c r="CT1169" s="4303"/>
      <c r="CU1169" s="4303"/>
      <c r="CV1169" s="4303"/>
      <c r="CW1169" s="4303"/>
      <c r="CX1169" s="4303"/>
      <c r="CY1169" s="4303"/>
      <c r="CZ1169" s="4303"/>
      <c r="DA1169" s="4303"/>
      <c r="DB1169" s="4303"/>
      <c r="DC1169" s="4303"/>
      <c r="DD1169" s="4303"/>
      <c r="DE1169" s="4303"/>
      <c r="DF1169" s="4303"/>
      <c r="DG1169" s="4303"/>
      <c r="DH1169" s="4303"/>
      <c r="DI1169" s="4303"/>
      <c r="DJ1169" s="4303"/>
      <c r="DK1169" s="4303"/>
      <c r="DL1169" s="4303"/>
      <c r="DM1169" s="4303"/>
      <c r="DN1169" s="4303"/>
      <c r="DO1169" s="4303"/>
      <c r="DP1169" s="4303"/>
      <c r="DQ1169" s="4303"/>
      <c r="DR1169" s="4303"/>
      <c r="DS1169" s="4303"/>
    </row>
    <row r="1170" s="4134" customFormat="1" ht="17.25" customHeight="1" spans="1:123">
      <c r="A1170" s="4697" t="s">
        <v>3896</v>
      </c>
      <c r="B1170" s="4697"/>
      <c r="C1170" s="4697" t="s">
        <v>5755</v>
      </c>
      <c r="D1170" s="4697"/>
      <c r="E1170" s="4697">
        <v>521</v>
      </c>
      <c r="F1170" s="4697"/>
      <c r="G1170" s="4697"/>
      <c r="H1170" s="4984"/>
      <c r="I1170" s="4984"/>
      <c r="J1170" s="4984"/>
      <c r="K1170" s="4984"/>
      <c r="L1170" s="4984"/>
      <c r="M1170" s="4984"/>
      <c r="N1170" s="4984"/>
      <c r="O1170" s="4303"/>
      <c r="P1170" s="4303"/>
      <c r="Q1170" s="4303"/>
      <c r="R1170" s="4303"/>
      <c r="S1170" s="4303"/>
      <c r="T1170" s="4303"/>
      <c r="U1170" s="4303"/>
      <c r="V1170" s="4303"/>
      <c r="W1170" s="4303"/>
      <c r="X1170" s="4303"/>
      <c r="Y1170" s="4971"/>
      <c r="Z1170" s="4303" t="s">
        <v>3482</v>
      </c>
      <c r="AA1170" s="4303"/>
      <c r="AB1170" s="4303"/>
      <c r="AC1170" s="4303"/>
      <c r="AD1170" s="4971"/>
      <c r="AE1170" s="4971"/>
      <c r="AF1170" s="4971"/>
      <c r="AG1170" s="4971"/>
      <c r="AH1170" s="4971"/>
      <c r="AI1170" s="4971"/>
      <c r="AJ1170" s="4303"/>
      <c r="AK1170" s="4411"/>
      <c r="AL1170" s="4411"/>
      <c r="AM1170" s="4411"/>
      <c r="AN1170" s="4411"/>
      <c r="AO1170" s="4303"/>
      <c r="AP1170" s="4303"/>
      <c r="AQ1170" s="4303"/>
      <c r="AR1170" s="4303"/>
      <c r="AS1170" s="4303"/>
      <c r="AT1170" s="4303"/>
      <c r="AU1170" s="4303"/>
      <c r="AV1170" s="4303"/>
      <c r="AW1170" s="4303"/>
      <c r="AX1170" s="4303"/>
      <c r="AY1170" s="4303"/>
      <c r="AZ1170" s="4303"/>
      <c r="BA1170" s="4303"/>
      <c r="BB1170" s="4303"/>
      <c r="BC1170" s="4303"/>
      <c r="BD1170" s="4303"/>
      <c r="BE1170" s="4303"/>
      <c r="BF1170" s="4303"/>
      <c r="BG1170" s="4303"/>
      <c r="BH1170" s="4303"/>
      <c r="BI1170" s="4303"/>
      <c r="BJ1170" s="4303"/>
      <c r="BK1170" s="4303"/>
      <c r="BL1170" s="4303"/>
      <c r="BM1170" s="4303"/>
      <c r="BN1170" s="4303"/>
      <c r="BO1170" s="4303"/>
      <c r="BP1170" s="4303"/>
      <c r="BQ1170" s="4303"/>
      <c r="BR1170" s="4303"/>
      <c r="BS1170" s="4303"/>
      <c r="BT1170" s="4303"/>
      <c r="BU1170" s="4303"/>
      <c r="BV1170" s="4303"/>
      <c r="BW1170" s="4303"/>
      <c r="BX1170" s="4303"/>
      <c r="BY1170" s="4303"/>
      <c r="BZ1170" s="4303"/>
      <c r="CA1170" s="4303"/>
      <c r="CB1170" s="4303"/>
      <c r="CC1170" s="4303"/>
      <c r="CD1170" s="4303"/>
      <c r="CE1170" s="4303"/>
      <c r="CF1170" s="4303"/>
      <c r="CG1170" s="4303"/>
      <c r="CH1170" s="4303"/>
      <c r="CI1170" s="4303"/>
      <c r="CJ1170" s="4303"/>
      <c r="CK1170" s="4303"/>
      <c r="CL1170" s="4303"/>
      <c r="CM1170" s="4303"/>
      <c r="CN1170" s="4303"/>
      <c r="CO1170" s="4303"/>
      <c r="CP1170" s="4303"/>
      <c r="CQ1170" s="4303"/>
      <c r="CR1170" s="4303"/>
      <c r="CS1170" s="4303"/>
      <c r="CT1170" s="4303"/>
      <c r="CU1170" s="4303"/>
      <c r="CV1170" s="4303"/>
      <c r="CW1170" s="4303"/>
      <c r="CX1170" s="4303"/>
      <c r="CY1170" s="4303"/>
      <c r="CZ1170" s="4303"/>
      <c r="DA1170" s="4303"/>
      <c r="DB1170" s="4303"/>
      <c r="DC1170" s="4303"/>
      <c r="DD1170" s="4303"/>
      <c r="DE1170" s="4303"/>
      <c r="DF1170" s="4303"/>
      <c r="DG1170" s="4303"/>
      <c r="DH1170" s="4303"/>
      <c r="DI1170" s="4303"/>
      <c r="DJ1170" s="4303"/>
      <c r="DK1170" s="4303"/>
      <c r="DL1170" s="4303"/>
      <c r="DM1170" s="4303"/>
      <c r="DN1170" s="4303"/>
      <c r="DO1170" s="4303"/>
      <c r="DP1170" s="4303"/>
      <c r="DQ1170" s="4303"/>
      <c r="DR1170" s="4303"/>
      <c r="DS1170" s="4303"/>
    </row>
    <row r="1171" s="4134" customFormat="1" ht="17.25" customHeight="1" spans="1:123">
      <c r="A1171" s="4982" t="s">
        <v>3893</v>
      </c>
      <c r="B1171" s="4697"/>
      <c r="C1171" s="4697" t="s">
        <v>19</v>
      </c>
      <c r="D1171" s="4697"/>
      <c r="E1171" s="4697">
        <v>522</v>
      </c>
      <c r="F1171" s="4697"/>
      <c r="G1171" s="4697"/>
      <c r="H1171" s="4986">
        <f>B_Uspjeha!AI134</f>
        <v>0</v>
      </c>
      <c r="I1171" s="4986"/>
      <c r="J1171" s="4986"/>
      <c r="K1171" s="4986"/>
      <c r="L1171" s="4986"/>
      <c r="M1171" s="4986"/>
      <c r="N1171" s="4986"/>
      <c r="O1171" s="4303"/>
      <c r="P1171" s="4303"/>
      <c r="Q1171" s="4303"/>
      <c r="R1171" s="4303"/>
      <c r="S1171" s="4303"/>
      <c r="T1171" s="4303"/>
      <c r="U1171" s="4303"/>
      <c r="V1171" s="4303"/>
      <c r="W1171" s="4303"/>
      <c r="X1171" s="4303"/>
      <c r="Y1171" s="4971"/>
      <c r="Z1171" s="4303" t="s">
        <v>3485</v>
      </c>
      <c r="AA1171" s="4303"/>
      <c r="AB1171" s="4303"/>
      <c r="AC1171" s="4303"/>
      <c r="AD1171" s="4971"/>
      <c r="AE1171" s="4971"/>
      <c r="AF1171" s="4971"/>
      <c r="AG1171" s="4971"/>
      <c r="AH1171" s="4971"/>
      <c r="AI1171" s="4971"/>
      <c r="AJ1171" s="4303"/>
      <c r="AK1171" s="4411"/>
      <c r="AL1171" s="4411"/>
      <c r="AM1171" s="4411"/>
      <c r="AN1171" s="4411"/>
      <c r="AO1171" s="4303"/>
      <c r="AP1171" s="4303"/>
      <c r="AQ1171" s="4303"/>
      <c r="AR1171" s="4303"/>
      <c r="AS1171" s="4303"/>
      <c r="AT1171" s="4303"/>
      <c r="AU1171" s="4303"/>
      <c r="AV1171" s="4303"/>
      <c r="AW1171" s="4303"/>
      <c r="AX1171" s="4303"/>
      <c r="AY1171" s="4303"/>
      <c r="AZ1171" s="4303"/>
      <c r="BA1171" s="4303"/>
      <c r="BB1171" s="4303"/>
      <c r="BC1171" s="4303"/>
      <c r="BD1171" s="4303"/>
      <c r="BE1171" s="4303"/>
      <c r="BF1171" s="4303"/>
      <c r="BG1171" s="4303"/>
      <c r="BH1171" s="4303"/>
      <c r="BI1171" s="4303"/>
      <c r="BJ1171" s="4303"/>
      <c r="BK1171" s="4303"/>
      <c r="BL1171" s="4303"/>
      <c r="BM1171" s="4303"/>
      <c r="BN1171" s="4303"/>
      <c r="BO1171" s="4303"/>
      <c r="BP1171" s="4303"/>
      <c r="BQ1171" s="4303"/>
      <c r="BR1171" s="4303"/>
      <c r="BS1171" s="4303"/>
      <c r="BT1171" s="4303"/>
      <c r="BU1171" s="4303"/>
      <c r="BV1171" s="4303"/>
      <c r="BW1171" s="4303"/>
      <c r="BX1171" s="4303"/>
      <c r="BY1171" s="4303"/>
      <c r="BZ1171" s="4303"/>
      <c r="CA1171" s="4303"/>
      <c r="CB1171" s="4303"/>
      <c r="CC1171" s="4303"/>
      <c r="CD1171" s="4303"/>
      <c r="CE1171" s="4303"/>
      <c r="CF1171" s="4303"/>
      <c r="CG1171" s="4303"/>
      <c r="CH1171" s="4303"/>
      <c r="CI1171" s="4303"/>
      <c r="CJ1171" s="4303"/>
      <c r="CK1171" s="4303"/>
      <c r="CL1171" s="4303"/>
      <c r="CM1171" s="4303"/>
      <c r="CN1171" s="4303"/>
      <c r="CO1171" s="4303"/>
      <c r="CP1171" s="4303"/>
      <c r="CQ1171" s="4303"/>
      <c r="CR1171" s="4303"/>
      <c r="CS1171" s="4303"/>
      <c r="CT1171" s="4303"/>
      <c r="CU1171" s="4303"/>
      <c r="CV1171" s="4303"/>
      <c r="CW1171" s="4303"/>
      <c r="CX1171" s="4303"/>
      <c r="CY1171" s="4303"/>
      <c r="CZ1171" s="4303"/>
      <c r="DA1171" s="4303"/>
      <c r="DB1171" s="4303"/>
      <c r="DC1171" s="4303"/>
      <c r="DD1171" s="4303"/>
      <c r="DE1171" s="4303"/>
      <c r="DF1171" s="4303"/>
      <c r="DG1171" s="4303"/>
      <c r="DH1171" s="4303"/>
      <c r="DI1171" s="4303"/>
      <c r="DJ1171" s="4303"/>
      <c r="DK1171" s="4303"/>
      <c r="DL1171" s="4303"/>
      <c r="DM1171" s="4303"/>
      <c r="DN1171" s="4303"/>
      <c r="DO1171" s="4303"/>
      <c r="DP1171" s="4303"/>
      <c r="DQ1171" s="4303"/>
      <c r="DR1171" s="4303"/>
      <c r="DS1171" s="4303"/>
    </row>
    <row r="1172" s="4134" customFormat="1" ht="17.25" customHeight="1" spans="1:123">
      <c r="A1172" s="4697" t="s">
        <v>3896</v>
      </c>
      <c r="B1172" s="4697"/>
      <c r="C1172" s="4697" t="s">
        <v>5756</v>
      </c>
      <c r="D1172" s="4697"/>
      <c r="E1172" s="4697">
        <v>523</v>
      </c>
      <c r="F1172" s="4697"/>
      <c r="G1172" s="4697"/>
      <c r="H1172" s="4986">
        <f>B_Uspjeha!AI69*-1</f>
        <v>0</v>
      </c>
      <c r="I1172" s="4986"/>
      <c r="J1172" s="4986"/>
      <c r="K1172" s="4986"/>
      <c r="L1172" s="4986"/>
      <c r="M1172" s="4986"/>
      <c r="N1172" s="4986"/>
      <c r="O1172" s="4303"/>
      <c r="P1172" s="4303"/>
      <c r="Q1172" s="4303"/>
      <c r="R1172" s="4303"/>
      <c r="S1172" s="4303"/>
      <c r="T1172" s="4303"/>
      <c r="U1172" s="4303"/>
      <c r="V1172" s="4303"/>
      <c r="W1172" s="4303"/>
      <c r="X1172" s="4303"/>
      <c r="Y1172" s="4971"/>
      <c r="Z1172" s="4303" t="s">
        <v>3487</v>
      </c>
      <c r="AA1172" s="4303"/>
      <c r="AB1172" s="4303"/>
      <c r="AC1172" s="4303"/>
      <c r="AD1172" s="4971"/>
      <c r="AE1172" s="4971"/>
      <c r="AF1172" s="4971"/>
      <c r="AG1172" s="4971"/>
      <c r="AH1172" s="4971"/>
      <c r="AI1172" s="4971"/>
      <c r="AJ1172" s="4303"/>
      <c r="AK1172" s="4411"/>
      <c r="AL1172" s="4411"/>
      <c r="AM1172" s="4411"/>
      <c r="AN1172" s="4411"/>
      <c r="AO1172" s="4303"/>
      <c r="AP1172" s="4303"/>
      <c r="AQ1172" s="4303"/>
      <c r="AR1172" s="4303"/>
      <c r="AS1172" s="4303"/>
      <c r="AT1172" s="4303"/>
      <c r="AU1172" s="4303"/>
      <c r="AV1172" s="4303"/>
      <c r="AW1172" s="4303"/>
      <c r="AX1172" s="4303"/>
      <c r="AY1172" s="4303"/>
      <c r="AZ1172" s="4303"/>
      <c r="BA1172" s="4303"/>
      <c r="BB1172" s="4303"/>
      <c r="BC1172" s="4303"/>
      <c r="BD1172" s="4303"/>
      <c r="BE1172" s="4303"/>
      <c r="BF1172" s="4303"/>
      <c r="BG1172" s="4303"/>
      <c r="BH1172" s="4303"/>
      <c r="BI1172" s="4303"/>
      <c r="BJ1172" s="4303"/>
      <c r="BK1172" s="4303"/>
      <c r="BL1172" s="4303"/>
      <c r="BM1172" s="4303"/>
      <c r="BN1172" s="4303"/>
      <c r="BO1172" s="4303"/>
      <c r="BP1172" s="4303"/>
      <c r="BQ1172" s="4303"/>
      <c r="BR1172" s="4303"/>
      <c r="BS1172" s="4303"/>
      <c r="BT1172" s="4303"/>
      <c r="BU1172" s="4303"/>
      <c r="BV1172" s="4303"/>
      <c r="BW1172" s="4303"/>
      <c r="BX1172" s="4303"/>
      <c r="BY1172" s="4303"/>
      <c r="BZ1172" s="4303"/>
      <c r="CA1172" s="4303"/>
      <c r="CB1172" s="4303"/>
      <c r="CC1172" s="4303"/>
      <c r="CD1172" s="4303"/>
      <c r="CE1172" s="4303"/>
      <c r="CF1172" s="4303"/>
      <c r="CG1172" s="4303"/>
      <c r="CH1172" s="4303"/>
      <c r="CI1172" s="4303"/>
      <c r="CJ1172" s="4303"/>
      <c r="CK1172" s="4303"/>
      <c r="CL1172" s="4303"/>
      <c r="CM1172" s="4303"/>
      <c r="CN1172" s="4303"/>
      <c r="CO1172" s="4303"/>
      <c r="CP1172" s="4303"/>
      <c r="CQ1172" s="4303"/>
      <c r="CR1172" s="4303"/>
      <c r="CS1172" s="4303"/>
      <c r="CT1172" s="4303"/>
      <c r="CU1172" s="4303"/>
      <c r="CV1172" s="4303"/>
      <c r="CW1172" s="4303"/>
      <c r="CX1172" s="4303"/>
      <c r="CY1172" s="4303"/>
      <c r="CZ1172" s="4303"/>
      <c r="DA1172" s="4303"/>
      <c r="DB1172" s="4303"/>
      <c r="DC1172" s="4303"/>
      <c r="DD1172" s="4303"/>
      <c r="DE1172" s="4303"/>
      <c r="DF1172" s="4303"/>
      <c r="DG1172" s="4303"/>
      <c r="DH1172" s="4303"/>
      <c r="DI1172" s="4303"/>
      <c r="DJ1172" s="4303"/>
      <c r="DK1172" s="4303"/>
      <c r="DL1172" s="4303"/>
      <c r="DM1172" s="4303"/>
      <c r="DN1172" s="4303"/>
      <c r="DO1172" s="4303"/>
      <c r="DP1172" s="4303"/>
      <c r="DQ1172" s="4303"/>
      <c r="DR1172" s="4303"/>
      <c r="DS1172" s="4303"/>
    </row>
    <row r="1173" s="4134" customFormat="1" ht="17.25" customHeight="1" spans="1:123">
      <c r="A1173" s="4982" t="s">
        <v>3893</v>
      </c>
      <c r="B1173" s="4697"/>
      <c r="C1173" s="4697" t="s">
        <v>5756</v>
      </c>
      <c r="D1173" s="4697"/>
      <c r="E1173" s="4697">
        <v>524</v>
      </c>
      <c r="F1173" s="4697"/>
      <c r="G1173" s="4697"/>
      <c r="H1173" s="4986">
        <f>B_Uspjeha!AI72*-1</f>
        <v>-1319</v>
      </c>
      <c r="I1173" s="4986"/>
      <c r="J1173" s="4986"/>
      <c r="K1173" s="4986"/>
      <c r="L1173" s="4986"/>
      <c r="M1173" s="4986"/>
      <c r="N1173" s="4986"/>
      <c r="O1173" s="4303"/>
      <c r="P1173" s="4303"/>
      <c r="Q1173" s="4303"/>
      <c r="R1173" s="4303"/>
      <c r="S1173" s="4303"/>
      <c r="T1173" s="4303"/>
      <c r="U1173" s="4303"/>
      <c r="V1173" s="4303"/>
      <c r="W1173" s="4303"/>
      <c r="X1173" s="4303"/>
      <c r="Y1173" s="4971"/>
      <c r="Z1173" s="4303" t="s">
        <v>3491</v>
      </c>
      <c r="AA1173" s="4303"/>
      <c r="AB1173" s="4303"/>
      <c r="AC1173" s="4303"/>
      <c r="AD1173" s="4971"/>
      <c r="AE1173" s="4971"/>
      <c r="AF1173" s="4971"/>
      <c r="AG1173" s="4971"/>
      <c r="AH1173" s="4971"/>
      <c r="AI1173" s="4971"/>
      <c r="AJ1173" s="4303"/>
      <c r="AK1173" s="4411"/>
      <c r="AL1173" s="4411"/>
      <c r="AM1173" s="4411"/>
      <c r="AN1173" s="4411"/>
      <c r="AO1173" s="4303"/>
      <c r="AP1173" s="4303"/>
      <c r="AQ1173" s="4303"/>
      <c r="AR1173" s="4303"/>
      <c r="AS1173" s="4303"/>
      <c r="AT1173" s="4303"/>
      <c r="AU1173" s="4303"/>
      <c r="AV1173" s="4303"/>
      <c r="AW1173" s="4303"/>
      <c r="AX1173" s="4303"/>
      <c r="AY1173" s="4303"/>
      <c r="AZ1173" s="4303"/>
      <c r="BA1173" s="4303"/>
      <c r="BB1173" s="4303"/>
      <c r="BC1173" s="4303"/>
      <c r="BD1173" s="4303"/>
      <c r="BE1173" s="4303"/>
      <c r="BF1173" s="4303"/>
      <c r="BG1173" s="4303"/>
      <c r="BH1173" s="4303"/>
      <c r="BI1173" s="4303"/>
      <c r="BJ1173" s="4303"/>
      <c r="BK1173" s="4303"/>
      <c r="BL1173" s="4303"/>
      <c r="BM1173" s="4303"/>
      <c r="BN1173" s="4303"/>
      <c r="BO1173" s="4303"/>
      <c r="BP1173" s="4303"/>
      <c r="BQ1173" s="4303"/>
      <c r="BR1173" s="4303"/>
      <c r="BS1173" s="4303"/>
      <c r="BT1173" s="4303"/>
      <c r="BU1173" s="4303"/>
      <c r="BV1173" s="4303"/>
      <c r="BW1173" s="4303"/>
      <c r="BX1173" s="4303"/>
      <c r="BY1173" s="4303"/>
      <c r="BZ1173" s="4303"/>
      <c r="CA1173" s="4303"/>
      <c r="CB1173" s="4303"/>
      <c r="CC1173" s="4303"/>
      <c r="CD1173" s="4303"/>
      <c r="CE1173" s="4303"/>
      <c r="CF1173" s="4303"/>
      <c r="CG1173" s="4303"/>
      <c r="CH1173" s="4303"/>
      <c r="CI1173" s="4303"/>
      <c r="CJ1173" s="4303"/>
      <c r="CK1173" s="4303"/>
      <c r="CL1173" s="4303"/>
      <c r="CM1173" s="4303"/>
      <c r="CN1173" s="4303"/>
      <c r="CO1173" s="4303"/>
      <c r="CP1173" s="4303"/>
      <c r="CQ1173" s="4303"/>
      <c r="CR1173" s="4303"/>
      <c r="CS1173" s="4303"/>
      <c r="CT1173" s="4303"/>
      <c r="CU1173" s="4303"/>
      <c r="CV1173" s="4303"/>
      <c r="CW1173" s="4303"/>
      <c r="CX1173" s="4303"/>
      <c r="CY1173" s="4303"/>
      <c r="CZ1173" s="4303"/>
      <c r="DA1173" s="4303"/>
      <c r="DB1173" s="4303"/>
      <c r="DC1173" s="4303"/>
      <c r="DD1173" s="4303"/>
      <c r="DE1173" s="4303"/>
      <c r="DF1173" s="4303"/>
      <c r="DG1173" s="4303"/>
      <c r="DH1173" s="4303"/>
      <c r="DI1173" s="4303"/>
      <c r="DJ1173" s="4303"/>
      <c r="DK1173" s="4303"/>
      <c r="DL1173" s="4303"/>
      <c r="DM1173" s="4303"/>
      <c r="DN1173" s="4303"/>
      <c r="DO1173" s="4303"/>
      <c r="DP1173" s="4303"/>
      <c r="DQ1173" s="4303"/>
      <c r="DR1173" s="4303"/>
      <c r="DS1173" s="4303"/>
    </row>
    <row r="1174" s="4134" customFormat="1" ht="17.25" customHeight="1" spans="1:123">
      <c r="A1174" s="4697" t="s">
        <v>3896</v>
      </c>
      <c r="B1174" s="4697"/>
      <c r="C1174" s="4697" t="s">
        <v>19</v>
      </c>
      <c r="D1174" s="4697"/>
      <c r="E1174" s="4697">
        <v>525</v>
      </c>
      <c r="F1174" s="4697"/>
      <c r="G1174" s="4697"/>
      <c r="H1174" s="4986">
        <f>B_Uspjeha!AI135</f>
        <v>0</v>
      </c>
      <c r="I1174" s="4986"/>
      <c r="J1174" s="4986"/>
      <c r="K1174" s="4986"/>
      <c r="L1174" s="4986"/>
      <c r="M1174" s="4986"/>
      <c r="N1174" s="4986"/>
      <c r="O1174" s="4303"/>
      <c r="P1174" s="4303"/>
      <c r="Q1174" s="4303"/>
      <c r="R1174" s="4303"/>
      <c r="S1174" s="4303"/>
      <c r="T1174" s="4303"/>
      <c r="U1174" s="4303"/>
      <c r="V1174" s="4303"/>
      <c r="W1174" s="4303"/>
      <c r="X1174" s="4303"/>
      <c r="Y1174" s="4971"/>
      <c r="Z1174" s="4303" t="s">
        <v>3495</v>
      </c>
      <c r="AA1174" s="4303"/>
      <c r="AB1174" s="4303"/>
      <c r="AC1174" s="4303"/>
      <c r="AD1174" s="4971"/>
      <c r="AE1174" s="4971"/>
      <c r="AF1174" s="4971"/>
      <c r="AG1174" s="4971"/>
      <c r="AH1174" s="4971"/>
      <c r="AI1174" s="4971"/>
      <c r="AJ1174" s="4303"/>
      <c r="AK1174" s="4411"/>
      <c r="AL1174" s="4411"/>
      <c r="AM1174" s="4411"/>
      <c r="AN1174" s="4411"/>
      <c r="AO1174" s="4303"/>
      <c r="AP1174" s="4303"/>
      <c r="AQ1174" s="4303"/>
      <c r="AR1174" s="4303"/>
      <c r="AS1174" s="4303"/>
      <c r="AT1174" s="4303"/>
      <c r="AU1174" s="4303"/>
      <c r="AV1174" s="4303"/>
      <c r="AW1174" s="4303"/>
      <c r="AX1174" s="4303"/>
      <c r="AY1174" s="4303"/>
      <c r="AZ1174" s="4303"/>
      <c r="BA1174" s="4303"/>
      <c r="BB1174" s="4303"/>
      <c r="BC1174" s="4303"/>
      <c r="BD1174" s="4303"/>
      <c r="BE1174" s="4303"/>
      <c r="BF1174" s="4303"/>
      <c r="BG1174" s="4303"/>
      <c r="BH1174" s="4303"/>
      <c r="BI1174" s="4303"/>
      <c r="BJ1174" s="4303"/>
      <c r="BK1174" s="4303"/>
      <c r="BL1174" s="4303"/>
      <c r="BM1174" s="4303"/>
      <c r="BN1174" s="4303"/>
      <c r="BO1174" s="4303"/>
      <c r="BP1174" s="4303"/>
      <c r="BQ1174" s="4303"/>
      <c r="BR1174" s="4303"/>
      <c r="BS1174" s="4303"/>
      <c r="BT1174" s="4303"/>
      <c r="BU1174" s="4303"/>
      <c r="BV1174" s="4303"/>
      <c r="BW1174" s="4303"/>
      <c r="BX1174" s="4303"/>
      <c r="BY1174" s="4303"/>
      <c r="BZ1174" s="4303"/>
      <c r="CA1174" s="4303"/>
      <c r="CB1174" s="4303"/>
      <c r="CC1174" s="4303"/>
      <c r="CD1174" s="4303"/>
      <c r="CE1174" s="4303"/>
      <c r="CF1174" s="4303"/>
      <c r="CG1174" s="4303"/>
      <c r="CH1174" s="4303"/>
      <c r="CI1174" s="4303"/>
      <c r="CJ1174" s="4303"/>
      <c r="CK1174" s="4303"/>
      <c r="CL1174" s="4303"/>
      <c r="CM1174" s="4303"/>
      <c r="CN1174" s="4303"/>
      <c r="CO1174" s="4303"/>
      <c r="CP1174" s="4303"/>
      <c r="CQ1174" s="4303"/>
      <c r="CR1174" s="4303"/>
      <c r="CS1174" s="4303"/>
      <c r="CT1174" s="4303"/>
      <c r="CU1174" s="4303"/>
      <c r="CV1174" s="4303"/>
      <c r="CW1174" s="4303"/>
      <c r="CX1174" s="4303"/>
      <c r="CY1174" s="4303"/>
      <c r="CZ1174" s="4303"/>
      <c r="DA1174" s="4303"/>
      <c r="DB1174" s="4303"/>
      <c r="DC1174" s="4303"/>
      <c r="DD1174" s="4303"/>
      <c r="DE1174" s="4303"/>
      <c r="DF1174" s="4303"/>
      <c r="DG1174" s="4303"/>
      <c r="DH1174" s="4303"/>
      <c r="DI1174" s="4303"/>
      <c r="DJ1174" s="4303"/>
      <c r="DK1174" s="4303"/>
      <c r="DL1174" s="4303"/>
      <c r="DM1174" s="4303"/>
      <c r="DN1174" s="4303"/>
      <c r="DO1174" s="4303"/>
      <c r="DP1174" s="4303"/>
      <c r="DQ1174" s="4303"/>
      <c r="DR1174" s="4303"/>
      <c r="DS1174" s="4303"/>
    </row>
    <row r="1175" s="4134" customFormat="1" ht="17.25" customHeight="1" spans="1:123">
      <c r="A1175" s="4975" t="s">
        <v>3891</v>
      </c>
      <c r="B1175" s="4975"/>
      <c r="C1175" s="4976"/>
      <c r="D1175" s="4976"/>
      <c r="E1175" s="4697"/>
      <c r="F1175" s="4697"/>
      <c r="G1175" s="4697"/>
      <c r="H1175" s="4987">
        <f>SUM(H1151:N1174)</f>
        <v>3230</v>
      </c>
      <c r="I1175" s="4987"/>
      <c r="J1175" s="4987"/>
      <c r="K1175" s="4987"/>
      <c r="L1175" s="4987"/>
      <c r="M1175" s="4987"/>
      <c r="N1175" s="4987"/>
      <c r="O1175" s="4303"/>
      <c r="P1175" s="4303"/>
      <c r="Q1175" s="4303"/>
      <c r="R1175" s="4303"/>
      <c r="S1175" s="4303"/>
      <c r="T1175" s="4303"/>
      <c r="U1175" s="4303"/>
      <c r="V1175" s="4303"/>
      <c r="W1175" s="4303"/>
      <c r="X1175" s="4303"/>
      <c r="Y1175" s="4971"/>
      <c r="Z1175" s="4466" t="s">
        <v>5757</v>
      </c>
      <c r="AA1175" s="4466"/>
      <c r="AB1175" s="4303"/>
      <c r="AC1175" s="4303"/>
      <c r="AD1175" s="4971"/>
      <c r="AE1175" s="4971"/>
      <c r="AF1175" s="4971"/>
      <c r="AG1175" s="4971"/>
      <c r="AH1175" s="4971"/>
      <c r="AI1175" s="4971"/>
      <c r="AJ1175" s="4303"/>
      <c r="AK1175" s="4411"/>
      <c r="AL1175" s="4411"/>
      <c r="AM1175" s="4411"/>
      <c r="AN1175" s="4411"/>
      <c r="AO1175" s="4303"/>
      <c r="AP1175" s="4303"/>
      <c r="AQ1175" s="4303"/>
      <c r="AR1175" s="4303"/>
      <c r="AS1175" s="4303"/>
      <c r="AT1175" s="4303"/>
      <c r="AU1175" s="4303"/>
      <c r="AV1175" s="4303"/>
      <c r="AW1175" s="4303"/>
      <c r="AX1175" s="4303"/>
      <c r="AY1175" s="4303"/>
      <c r="AZ1175" s="4303"/>
      <c r="BA1175" s="4303"/>
      <c r="BB1175" s="4303"/>
      <c r="BC1175" s="4303"/>
      <c r="BD1175" s="4303"/>
      <c r="BE1175" s="4303"/>
      <c r="BF1175" s="4303"/>
      <c r="BG1175" s="4303"/>
      <c r="BH1175" s="4303"/>
      <c r="BI1175" s="4303"/>
      <c r="BJ1175" s="4303"/>
      <c r="BK1175" s="4303"/>
      <c r="BL1175" s="4303"/>
      <c r="BM1175" s="4303"/>
      <c r="BN1175" s="4303"/>
      <c r="BO1175" s="4303"/>
      <c r="BP1175" s="4303"/>
      <c r="BQ1175" s="4303"/>
      <c r="BR1175" s="4303"/>
      <c r="BS1175" s="4303"/>
      <c r="BT1175" s="4303"/>
      <c r="BU1175" s="4303"/>
      <c r="BV1175" s="4303"/>
      <c r="BW1175" s="4303"/>
      <c r="BX1175" s="4303"/>
      <c r="BY1175" s="4303"/>
      <c r="BZ1175" s="4303"/>
      <c r="CA1175" s="4303"/>
      <c r="CB1175" s="4303"/>
      <c r="CC1175" s="4303"/>
      <c r="CD1175" s="4303"/>
      <c r="CE1175" s="4303"/>
      <c r="CF1175" s="4303"/>
      <c r="CG1175" s="4303"/>
      <c r="CH1175" s="4303"/>
      <c r="CI1175" s="4303"/>
      <c r="CJ1175" s="4303"/>
      <c r="CK1175" s="4303"/>
      <c r="CL1175" s="4303"/>
      <c r="CM1175" s="4303"/>
      <c r="CN1175" s="4303"/>
      <c r="CO1175" s="4303"/>
      <c r="CP1175" s="4303"/>
      <c r="CQ1175" s="4303"/>
      <c r="CR1175" s="4303"/>
      <c r="CS1175" s="4303"/>
      <c r="CT1175" s="4303"/>
      <c r="CU1175" s="4303"/>
      <c r="CV1175" s="4303"/>
      <c r="CW1175" s="4303"/>
      <c r="CX1175" s="4303"/>
      <c r="CY1175" s="4303"/>
      <c r="CZ1175" s="4303"/>
      <c r="DA1175" s="4303"/>
      <c r="DB1175" s="4303"/>
      <c r="DC1175" s="4303"/>
      <c r="DD1175" s="4303"/>
      <c r="DE1175" s="4303"/>
      <c r="DF1175" s="4303"/>
      <c r="DG1175" s="4303"/>
      <c r="DH1175" s="4303"/>
      <c r="DI1175" s="4303"/>
      <c r="DJ1175" s="4303"/>
      <c r="DK1175" s="4303"/>
      <c r="DL1175" s="4303"/>
      <c r="DM1175" s="4303"/>
      <c r="DN1175" s="4303"/>
      <c r="DO1175" s="4303"/>
      <c r="DP1175" s="4303"/>
      <c r="DQ1175" s="4303"/>
      <c r="DR1175" s="4303"/>
      <c r="DS1175" s="4303"/>
    </row>
    <row r="1176" s="4134" customFormat="1" ht="17.25" customHeight="1" spans="1:123">
      <c r="A1176" s="4697" t="s">
        <v>3998</v>
      </c>
      <c r="B1176" s="4697"/>
      <c r="C1176" s="4697" t="s">
        <v>5755</v>
      </c>
      <c r="D1176" s="4697"/>
      <c r="E1176" s="4697">
        <v>526</v>
      </c>
      <c r="F1176" s="4697"/>
      <c r="G1176" s="4697"/>
      <c r="H1176" s="4986">
        <f>B_Stanja!AP60-B_Stanja!AI60</f>
        <v>0</v>
      </c>
      <c r="I1176" s="4986"/>
      <c r="J1176" s="4986"/>
      <c r="K1176" s="4986"/>
      <c r="L1176" s="4986"/>
      <c r="M1176" s="4986"/>
      <c r="N1176" s="4986"/>
      <c r="O1176" s="4303"/>
      <c r="P1176" s="4303"/>
      <c r="Q1176" s="4303"/>
      <c r="R1176" s="4303"/>
      <c r="S1176" s="4303"/>
      <c r="T1176" s="4303"/>
      <c r="U1176" s="4303"/>
      <c r="V1176" s="4303"/>
      <c r="W1176" s="4303"/>
      <c r="X1176" s="4303"/>
      <c r="Y1176" s="4971"/>
      <c r="Z1176" s="4303" t="s">
        <v>3501</v>
      </c>
      <c r="AA1176" s="4303"/>
      <c r="AB1176" s="4303"/>
      <c r="AC1176" s="4303"/>
      <c r="AD1176" s="4971"/>
      <c r="AE1176" s="4971"/>
      <c r="AF1176" s="4971"/>
      <c r="AG1176" s="4971"/>
      <c r="AH1176" s="4971"/>
      <c r="AI1176" s="4971"/>
      <c r="AJ1176" s="4303"/>
      <c r="AK1176" s="4411"/>
      <c r="AL1176" s="4411"/>
      <c r="AM1176" s="4411"/>
      <c r="AN1176" s="4411"/>
      <c r="AO1176" s="4303"/>
      <c r="AP1176" s="4303"/>
      <c r="AQ1176" s="4303"/>
      <c r="AR1176" s="4303"/>
      <c r="AS1176" s="4303"/>
      <c r="AT1176" s="4303"/>
      <c r="AU1176" s="4303"/>
      <c r="AV1176" s="4303"/>
      <c r="AW1176" s="4303"/>
      <c r="AX1176" s="4303"/>
      <c r="AY1176" s="4303"/>
      <c r="AZ1176" s="4303"/>
      <c r="BA1176" s="4303"/>
      <c r="BB1176" s="4303"/>
      <c r="BC1176" s="4303"/>
      <c r="BD1176" s="4303"/>
      <c r="BE1176" s="4303"/>
      <c r="BF1176" s="4303"/>
      <c r="BG1176" s="4303"/>
      <c r="BH1176" s="4303"/>
      <c r="BI1176" s="4303"/>
      <c r="BJ1176" s="4303"/>
      <c r="BK1176" s="4303"/>
      <c r="BL1176" s="4303"/>
      <c r="BM1176" s="4303"/>
      <c r="BN1176" s="4303"/>
      <c r="BO1176" s="4303"/>
      <c r="BP1176" s="4303"/>
      <c r="BQ1176" s="4303"/>
      <c r="BR1176" s="4303"/>
      <c r="BS1176" s="4303"/>
      <c r="BT1176" s="4303"/>
      <c r="BU1176" s="4303"/>
      <c r="BV1176" s="4303"/>
      <c r="BW1176" s="4303"/>
      <c r="BX1176" s="4303"/>
      <c r="BY1176" s="4303"/>
      <c r="BZ1176" s="4303"/>
      <c r="CA1176" s="4303"/>
      <c r="CB1176" s="4303"/>
      <c r="CC1176" s="4303"/>
      <c r="CD1176" s="4303"/>
      <c r="CE1176" s="4303"/>
      <c r="CF1176" s="4303"/>
      <c r="CG1176" s="4303"/>
      <c r="CH1176" s="4303"/>
      <c r="CI1176" s="4303"/>
      <c r="CJ1176" s="4303"/>
      <c r="CK1176" s="4303"/>
      <c r="CL1176" s="4303"/>
      <c r="CM1176" s="4303"/>
      <c r="CN1176" s="4303"/>
      <c r="CO1176" s="4303"/>
      <c r="CP1176" s="4303"/>
      <c r="CQ1176" s="4303"/>
      <c r="CR1176" s="4303"/>
      <c r="CS1176" s="4303"/>
      <c r="CT1176" s="4303"/>
      <c r="CU1176" s="4303"/>
      <c r="CV1176" s="4303"/>
      <c r="CW1176" s="4303"/>
      <c r="CX1176" s="4303"/>
      <c r="CY1176" s="4303"/>
      <c r="CZ1176" s="4303"/>
      <c r="DA1176" s="4303"/>
      <c r="DB1176" s="4303"/>
      <c r="DC1176" s="4303"/>
      <c r="DD1176" s="4303"/>
      <c r="DE1176" s="4303"/>
      <c r="DF1176" s="4303"/>
      <c r="DG1176" s="4303"/>
      <c r="DH1176" s="4303"/>
      <c r="DI1176" s="4303"/>
      <c r="DJ1176" s="4303"/>
      <c r="DK1176" s="4303"/>
      <c r="DL1176" s="4303"/>
      <c r="DM1176" s="4303"/>
      <c r="DN1176" s="4303"/>
      <c r="DO1176" s="4303"/>
      <c r="DP1176" s="4303"/>
      <c r="DQ1176" s="4303"/>
      <c r="DR1176" s="4303"/>
      <c r="DS1176" s="4303"/>
    </row>
    <row r="1177" s="4134" customFormat="1" ht="17.25" customHeight="1" spans="1:123">
      <c r="A1177" s="4697" t="s">
        <v>4000</v>
      </c>
      <c r="B1177" s="4697"/>
      <c r="C1177" s="4697" t="s">
        <v>5755</v>
      </c>
      <c r="D1177" s="4697"/>
      <c r="E1177" s="4697">
        <v>527</v>
      </c>
      <c r="F1177" s="4697"/>
      <c r="G1177" s="4697"/>
      <c r="H1177" s="4986">
        <f>B_Stanja!AP68-B_Stanja!AI68</f>
        <v>861</v>
      </c>
      <c r="I1177" s="4986"/>
      <c r="J1177" s="4986"/>
      <c r="K1177" s="4986"/>
      <c r="L1177" s="4986"/>
      <c r="M1177" s="4986"/>
      <c r="N1177" s="4986"/>
      <c r="O1177" s="4303"/>
      <c r="P1177" s="4303"/>
      <c r="Q1177" s="4303"/>
      <c r="R1177" s="4303"/>
      <c r="S1177" s="4303"/>
      <c r="T1177" s="4303"/>
      <c r="U1177" s="4303"/>
      <c r="V1177" s="4303"/>
      <c r="W1177" s="4303"/>
      <c r="X1177" s="4303"/>
      <c r="Y1177" s="4971"/>
      <c r="Z1177" s="4303" t="s">
        <v>3504</v>
      </c>
      <c r="AA1177" s="4303"/>
      <c r="AB1177" s="4303"/>
      <c r="AC1177" s="4303"/>
      <c r="AD1177" s="4971"/>
      <c r="AE1177" s="4971"/>
      <c r="AF1177" s="4971"/>
      <c r="AG1177" s="4971"/>
      <c r="AH1177" s="4971"/>
      <c r="AI1177" s="4971"/>
      <c r="AJ1177" s="4303"/>
      <c r="AK1177" s="4411"/>
      <c r="AL1177" s="4411"/>
      <c r="AM1177" s="4411"/>
      <c r="AN1177" s="4411"/>
      <c r="AO1177" s="4303"/>
      <c r="AP1177" s="4303"/>
      <c r="AQ1177" s="4303"/>
      <c r="AR1177" s="4303"/>
      <c r="AS1177" s="4303"/>
      <c r="AT1177" s="4303"/>
      <c r="AU1177" s="4303"/>
      <c r="AV1177" s="4303"/>
      <c r="AW1177" s="4303"/>
      <c r="AX1177" s="4303"/>
      <c r="AY1177" s="4303"/>
      <c r="AZ1177" s="4303"/>
      <c r="BA1177" s="4303"/>
      <c r="BB1177" s="4303"/>
      <c r="BC1177" s="4303"/>
      <c r="BD1177" s="4303"/>
      <c r="BE1177" s="4303"/>
      <c r="BF1177" s="4303"/>
      <c r="BG1177" s="4303"/>
      <c r="BH1177" s="4303"/>
      <c r="BI1177" s="4303"/>
      <c r="BJ1177" s="4303"/>
      <c r="BK1177" s="4303"/>
      <c r="BL1177" s="4303"/>
      <c r="BM1177" s="4303"/>
      <c r="BN1177" s="4303"/>
      <c r="BO1177" s="4303"/>
      <c r="BP1177" s="4303"/>
      <c r="BQ1177" s="4303"/>
      <c r="BR1177" s="4303"/>
      <c r="BS1177" s="4303"/>
      <c r="BT1177" s="4303"/>
      <c r="BU1177" s="4303"/>
      <c r="BV1177" s="4303"/>
      <c r="BW1177" s="4303"/>
      <c r="BX1177" s="4303"/>
      <c r="BY1177" s="4303"/>
      <c r="BZ1177" s="4303"/>
      <c r="CA1177" s="4303"/>
      <c r="CB1177" s="4303"/>
      <c r="CC1177" s="4303"/>
      <c r="CD1177" s="4303"/>
      <c r="CE1177" s="4303"/>
      <c r="CF1177" s="4303"/>
      <c r="CG1177" s="4303"/>
      <c r="CH1177" s="4303"/>
      <c r="CI1177" s="4303"/>
      <c r="CJ1177" s="4303"/>
      <c r="CK1177" s="4303"/>
      <c r="CL1177" s="4303"/>
      <c r="CM1177" s="4303"/>
      <c r="CN1177" s="4303"/>
      <c r="CO1177" s="4303"/>
      <c r="CP1177" s="4303"/>
      <c r="CQ1177" s="4303"/>
      <c r="CR1177" s="4303"/>
      <c r="CS1177" s="4303"/>
      <c r="CT1177" s="4303"/>
      <c r="CU1177" s="4303"/>
      <c r="CV1177" s="4303"/>
      <c r="CW1177" s="4303"/>
      <c r="CX1177" s="4303"/>
      <c r="CY1177" s="4303"/>
      <c r="CZ1177" s="4303"/>
      <c r="DA1177" s="4303"/>
      <c r="DB1177" s="4303"/>
      <c r="DC1177" s="4303"/>
      <c r="DD1177" s="4303"/>
      <c r="DE1177" s="4303"/>
      <c r="DF1177" s="4303"/>
      <c r="DG1177" s="4303"/>
      <c r="DH1177" s="4303"/>
      <c r="DI1177" s="4303"/>
      <c r="DJ1177" s="4303"/>
      <c r="DK1177" s="4303"/>
      <c r="DL1177" s="4303"/>
      <c r="DM1177" s="4303"/>
      <c r="DN1177" s="4303"/>
      <c r="DO1177" s="4303"/>
      <c r="DP1177" s="4303"/>
      <c r="DQ1177" s="4303"/>
      <c r="DR1177" s="4303"/>
      <c r="DS1177" s="4303"/>
    </row>
    <row r="1178" s="4134" customFormat="1" ht="17.25" customHeight="1" spans="1:123">
      <c r="A1178" s="4697" t="s">
        <v>4058</v>
      </c>
      <c r="B1178" s="4697"/>
      <c r="C1178" s="4697" t="s">
        <v>5755</v>
      </c>
      <c r="D1178" s="4697"/>
      <c r="E1178" s="4697">
        <v>528</v>
      </c>
      <c r="F1178" s="4697"/>
      <c r="G1178" s="4697"/>
      <c r="H1178" s="4986">
        <f>(B_Stanja!AP57+B_Stanja!AP82)-(B_Stanja!AI57+B_Stanja!AI82)</f>
        <v>-57791</v>
      </c>
      <c r="I1178" s="4986"/>
      <c r="J1178" s="4986"/>
      <c r="K1178" s="4986"/>
      <c r="L1178" s="4986"/>
      <c r="M1178" s="4986"/>
      <c r="N1178" s="4986"/>
      <c r="O1178" s="4303"/>
      <c r="P1178" s="4303"/>
      <c r="Q1178" s="4303"/>
      <c r="R1178" s="4303"/>
      <c r="S1178" s="4303"/>
      <c r="T1178" s="4303"/>
      <c r="U1178" s="4303"/>
      <c r="V1178" s="4303"/>
      <c r="W1178" s="4303"/>
      <c r="X1178" s="4303"/>
      <c r="Y1178" s="4971"/>
      <c r="Z1178" s="4303" t="s">
        <v>3507</v>
      </c>
      <c r="AA1178" s="4303"/>
      <c r="AB1178" s="4303"/>
      <c r="AC1178" s="4303"/>
      <c r="AD1178" s="4971"/>
      <c r="AE1178" s="4971"/>
      <c r="AF1178" s="4971"/>
      <c r="AG1178" s="4971"/>
      <c r="AH1178" s="4971"/>
      <c r="AI1178" s="4971"/>
      <c r="AJ1178" s="4303"/>
      <c r="AK1178" s="4411"/>
      <c r="AL1178" s="4411"/>
      <c r="AM1178" s="4411"/>
      <c r="AN1178" s="4411"/>
      <c r="AO1178" s="4303"/>
      <c r="AP1178" s="4303"/>
      <c r="AQ1178" s="4303"/>
      <c r="AR1178" s="4303"/>
      <c r="AS1178" s="4303"/>
      <c r="AT1178" s="4303"/>
      <c r="AU1178" s="4303"/>
      <c r="AV1178" s="4303"/>
      <c r="AW1178" s="4303"/>
      <c r="AX1178" s="4303"/>
      <c r="AY1178" s="4303"/>
      <c r="AZ1178" s="4303"/>
      <c r="BA1178" s="4303"/>
      <c r="BB1178" s="4303"/>
      <c r="BC1178" s="4303"/>
      <c r="BD1178" s="4303"/>
      <c r="BE1178" s="4303"/>
      <c r="BF1178" s="4303"/>
      <c r="BG1178" s="4303"/>
      <c r="BH1178" s="4303"/>
      <c r="BI1178" s="4303"/>
      <c r="BJ1178" s="4303"/>
      <c r="BK1178" s="4303"/>
      <c r="BL1178" s="4303"/>
      <c r="BM1178" s="4303"/>
      <c r="BN1178" s="4303"/>
      <c r="BO1178" s="4303"/>
      <c r="BP1178" s="4303"/>
      <c r="BQ1178" s="4303"/>
      <c r="BR1178" s="4303"/>
      <c r="BS1178" s="4303"/>
      <c r="BT1178" s="4303"/>
      <c r="BU1178" s="4303"/>
      <c r="BV1178" s="4303"/>
      <c r="BW1178" s="4303"/>
      <c r="BX1178" s="4303"/>
      <c r="BY1178" s="4303"/>
      <c r="BZ1178" s="4303"/>
      <c r="CA1178" s="4303"/>
      <c r="CB1178" s="4303"/>
      <c r="CC1178" s="4303"/>
      <c r="CD1178" s="4303"/>
      <c r="CE1178" s="4303"/>
      <c r="CF1178" s="4303"/>
      <c r="CG1178" s="4303"/>
      <c r="CH1178" s="4303"/>
      <c r="CI1178" s="4303"/>
      <c r="CJ1178" s="4303"/>
      <c r="CK1178" s="4303"/>
      <c r="CL1178" s="4303"/>
      <c r="CM1178" s="4303"/>
      <c r="CN1178" s="4303"/>
      <c r="CO1178" s="4303"/>
      <c r="CP1178" s="4303"/>
      <c r="CQ1178" s="4303"/>
      <c r="CR1178" s="4303"/>
      <c r="CS1178" s="4303"/>
      <c r="CT1178" s="4303"/>
      <c r="CU1178" s="4303"/>
      <c r="CV1178" s="4303"/>
      <c r="CW1178" s="4303"/>
      <c r="CX1178" s="4303"/>
      <c r="CY1178" s="4303"/>
      <c r="CZ1178" s="4303"/>
      <c r="DA1178" s="4303"/>
      <c r="DB1178" s="4303"/>
      <c r="DC1178" s="4303"/>
      <c r="DD1178" s="4303"/>
      <c r="DE1178" s="4303"/>
      <c r="DF1178" s="4303"/>
      <c r="DG1178" s="4303"/>
      <c r="DH1178" s="4303"/>
      <c r="DI1178" s="4303"/>
      <c r="DJ1178" s="4303"/>
      <c r="DK1178" s="4303"/>
      <c r="DL1178" s="4303"/>
      <c r="DM1178" s="4303"/>
      <c r="DN1178" s="4303"/>
      <c r="DO1178" s="4303"/>
      <c r="DP1178" s="4303"/>
      <c r="DQ1178" s="4303"/>
      <c r="DR1178" s="4303"/>
      <c r="DS1178" s="4303"/>
    </row>
    <row r="1179" s="4134" customFormat="1" ht="17.25" customHeight="1" spans="1:123">
      <c r="A1179" s="4697" t="s">
        <v>4000</v>
      </c>
      <c r="B1179" s="4697"/>
      <c r="C1179" s="4697" t="s">
        <v>5755</v>
      </c>
      <c r="D1179" s="4697"/>
      <c r="E1179" s="4697">
        <v>529</v>
      </c>
      <c r="F1179" s="4697"/>
      <c r="G1179" s="4697"/>
      <c r="H1179" s="4986">
        <f>B_Stanja!AP67-B_Stanja!AI67</f>
        <v>0</v>
      </c>
      <c r="I1179" s="4986"/>
      <c r="J1179" s="4986"/>
      <c r="K1179" s="4986"/>
      <c r="L1179" s="4986"/>
      <c r="M1179" s="4986"/>
      <c r="N1179" s="4986"/>
      <c r="O1179" s="4303"/>
      <c r="P1179" s="4303"/>
      <c r="Q1179" s="4303"/>
      <c r="R1179" s="4303"/>
      <c r="S1179" s="4303"/>
      <c r="T1179" s="4303"/>
      <c r="U1179" s="4303"/>
      <c r="V1179" s="4303"/>
      <c r="W1179" s="4303"/>
      <c r="X1179" s="4303"/>
      <c r="Y1179" s="4971"/>
      <c r="Z1179" s="4303" t="s">
        <v>3510</v>
      </c>
      <c r="AA1179" s="4303"/>
      <c r="AB1179" s="4303"/>
      <c r="AC1179" s="4303"/>
      <c r="AD1179" s="4971"/>
      <c r="AE1179" s="4971"/>
      <c r="AF1179" s="4971"/>
      <c r="AG1179" s="4971"/>
      <c r="AH1179" s="4971"/>
      <c r="AI1179" s="4971"/>
      <c r="AJ1179" s="4303"/>
      <c r="AK1179" s="4411"/>
      <c r="AL1179" s="4411"/>
      <c r="AM1179" s="4411"/>
      <c r="AN1179" s="4411"/>
      <c r="AO1179" s="4303"/>
      <c r="AP1179" s="4303"/>
      <c r="AQ1179" s="4303"/>
      <c r="AR1179" s="4303"/>
      <c r="AS1179" s="4303"/>
      <c r="AT1179" s="4303"/>
      <c r="AU1179" s="4303"/>
      <c r="AV1179" s="4303"/>
      <c r="AW1179" s="4303"/>
      <c r="AX1179" s="4303"/>
      <c r="AY1179" s="4303"/>
      <c r="AZ1179" s="4303"/>
      <c r="BA1179" s="4303"/>
      <c r="BB1179" s="4303"/>
      <c r="BC1179" s="4303"/>
      <c r="BD1179" s="4303"/>
      <c r="BE1179" s="4303"/>
      <c r="BF1179" s="4303"/>
      <c r="BG1179" s="4303"/>
      <c r="BH1179" s="4303"/>
      <c r="BI1179" s="4303"/>
      <c r="BJ1179" s="4303"/>
      <c r="BK1179" s="4303"/>
      <c r="BL1179" s="4303"/>
      <c r="BM1179" s="4303"/>
      <c r="BN1179" s="4303"/>
      <c r="BO1179" s="4303"/>
      <c r="BP1179" s="4303"/>
      <c r="BQ1179" s="4303"/>
      <c r="BR1179" s="4303"/>
      <c r="BS1179" s="4303"/>
      <c r="BT1179" s="4303"/>
      <c r="BU1179" s="4303"/>
      <c r="BV1179" s="4303"/>
      <c r="BW1179" s="4303"/>
      <c r="BX1179" s="4303"/>
      <c r="BY1179" s="4303"/>
      <c r="BZ1179" s="4303"/>
      <c r="CA1179" s="4303"/>
      <c r="CB1179" s="4303"/>
      <c r="CC1179" s="4303"/>
      <c r="CD1179" s="4303"/>
      <c r="CE1179" s="4303"/>
      <c r="CF1179" s="4303"/>
      <c r="CG1179" s="4303"/>
      <c r="CH1179" s="4303"/>
      <c r="CI1179" s="4303"/>
      <c r="CJ1179" s="4303"/>
      <c r="CK1179" s="4303"/>
      <c r="CL1179" s="4303"/>
      <c r="CM1179" s="4303"/>
      <c r="CN1179" s="4303"/>
      <c r="CO1179" s="4303"/>
      <c r="CP1179" s="4303"/>
      <c r="CQ1179" s="4303"/>
      <c r="CR1179" s="4303"/>
      <c r="CS1179" s="4303"/>
      <c r="CT1179" s="4303"/>
      <c r="CU1179" s="4303"/>
      <c r="CV1179" s="4303"/>
      <c r="CW1179" s="4303"/>
      <c r="CX1179" s="4303"/>
      <c r="CY1179" s="4303"/>
      <c r="CZ1179" s="4303"/>
      <c r="DA1179" s="4303"/>
      <c r="DB1179" s="4303"/>
      <c r="DC1179" s="4303"/>
      <c r="DD1179" s="4303"/>
      <c r="DE1179" s="4303"/>
      <c r="DF1179" s="4303"/>
      <c r="DG1179" s="4303"/>
      <c r="DH1179" s="4303"/>
      <c r="DI1179" s="4303"/>
      <c r="DJ1179" s="4303"/>
      <c r="DK1179" s="4303"/>
      <c r="DL1179" s="4303"/>
      <c r="DM1179" s="4303"/>
      <c r="DN1179" s="4303"/>
      <c r="DO1179" s="4303"/>
      <c r="DP1179" s="4303"/>
      <c r="DQ1179" s="4303"/>
      <c r="DR1179" s="4303"/>
      <c r="DS1179" s="4303"/>
    </row>
    <row r="1180" s="4134" customFormat="1" ht="17.25" customHeight="1" spans="1:123">
      <c r="A1180" s="4697" t="s">
        <v>4058</v>
      </c>
      <c r="B1180" s="4697"/>
      <c r="C1180" s="4697" t="s">
        <v>5755</v>
      </c>
      <c r="D1180" s="4697"/>
      <c r="E1180" s="4697">
        <v>530</v>
      </c>
      <c r="F1180" s="4697"/>
      <c r="G1180" s="4697"/>
      <c r="H1180" s="4986">
        <f>B_Stanja!AI137-B_Stanja!AP137</f>
        <v>-41326</v>
      </c>
      <c r="I1180" s="4986"/>
      <c r="J1180" s="4986"/>
      <c r="K1180" s="4986"/>
      <c r="L1180" s="4986"/>
      <c r="M1180" s="4986"/>
      <c r="N1180" s="4986"/>
      <c r="O1180" s="4303"/>
      <c r="P1180" s="4303"/>
      <c r="Q1180" s="4303"/>
      <c r="R1180" s="4303"/>
      <c r="S1180" s="4303"/>
      <c r="T1180" s="4303"/>
      <c r="U1180" s="4303"/>
      <c r="V1180" s="4303"/>
      <c r="W1180" s="4303"/>
      <c r="X1180" s="4303"/>
      <c r="Y1180" s="4971"/>
      <c r="Z1180" s="4303" t="s">
        <v>3513</v>
      </c>
      <c r="AA1180" s="4303"/>
      <c r="AB1180" s="4303"/>
      <c r="AC1180" s="4303"/>
      <c r="AD1180" s="4971"/>
      <c r="AE1180" s="4971"/>
      <c r="AF1180" s="4971"/>
      <c r="AG1180" s="4971"/>
      <c r="AH1180" s="4971"/>
      <c r="AI1180" s="4971"/>
      <c r="AJ1180" s="4303"/>
      <c r="AK1180" s="4411"/>
      <c r="AL1180" s="4411"/>
      <c r="AM1180" s="4411"/>
      <c r="AN1180" s="4411"/>
      <c r="AO1180" s="4303"/>
      <c r="AP1180" s="4303"/>
      <c r="AQ1180" s="4303"/>
      <c r="AR1180" s="4303"/>
      <c r="AS1180" s="4303"/>
      <c r="AT1180" s="4303"/>
      <c r="AU1180" s="4303"/>
      <c r="AV1180" s="4303"/>
      <c r="AW1180" s="4303"/>
      <c r="AX1180" s="4303"/>
      <c r="AY1180" s="4303"/>
      <c r="AZ1180" s="4303"/>
      <c r="BA1180" s="4303"/>
      <c r="BB1180" s="4303"/>
      <c r="BC1180" s="4303"/>
      <c r="BD1180" s="4303"/>
      <c r="BE1180" s="4303"/>
      <c r="BF1180" s="4303"/>
      <c r="BG1180" s="4303"/>
      <c r="BH1180" s="4303"/>
      <c r="BI1180" s="4303"/>
      <c r="BJ1180" s="4303"/>
      <c r="BK1180" s="4303"/>
      <c r="BL1180" s="4303"/>
      <c r="BM1180" s="4303"/>
      <c r="BN1180" s="4303"/>
      <c r="BO1180" s="4303"/>
      <c r="BP1180" s="4303"/>
      <c r="BQ1180" s="4303"/>
      <c r="BR1180" s="4303"/>
      <c r="BS1180" s="4303"/>
      <c r="BT1180" s="4303"/>
      <c r="BU1180" s="4303"/>
      <c r="BV1180" s="4303"/>
      <c r="BW1180" s="4303"/>
      <c r="BX1180" s="4303"/>
      <c r="BY1180" s="4303"/>
      <c r="BZ1180" s="4303"/>
      <c r="CA1180" s="4303"/>
      <c r="CB1180" s="4303"/>
      <c r="CC1180" s="4303"/>
      <c r="CD1180" s="4303"/>
      <c r="CE1180" s="4303"/>
      <c r="CF1180" s="4303"/>
      <c r="CG1180" s="4303"/>
      <c r="CH1180" s="4303"/>
      <c r="CI1180" s="4303"/>
      <c r="CJ1180" s="4303"/>
      <c r="CK1180" s="4303"/>
      <c r="CL1180" s="4303"/>
      <c r="CM1180" s="4303"/>
      <c r="CN1180" s="4303"/>
      <c r="CO1180" s="4303"/>
      <c r="CP1180" s="4303"/>
      <c r="CQ1180" s="4303"/>
      <c r="CR1180" s="4303"/>
      <c r="CS1180" s="4303"/>
      <c r="CT1180" s="4303"/>
      <c r="CU1180" s="4303"/>
      <c r="CV1180" s="4303"/>
      <c r="CW1180" s="4303"/>
      <c r="CX1180" s="4303"/>
      <c r="CY1180" s="4303"/>
      <c r="CZ1180" s="4303"/>
      <c r="DA1180" s="4303"/>
      <c r="DB1180" s="4303"/>
      <c r="DC1180" s="4303"/>
      <c r="DD1180" s="4303"/>
      <c r="DE1180" s="4303"/>
      <c r="DF1180" s="4303"/>
      <c r="DG1180" s="4303"/>
      <c r="DH1180" s="4303"/>
      <c r="DI1180" s="4303"/>
      <c r="DJ1180" s="4303"/>
      <c r="DK1180" s="4303"/>
      <c r="DL1180" s="4303"/>
      <c r="DM1180" s="4303"/>
      <c r="DN1180" s="4303"/>
      <c r="DO1180" s="4303"/>
      <c r="DP1180" s="4303"/>
      <c r="DQ1180" s="4303"/>
      <c r="DR1180" s="4303"/>
      <c r="DS1180" s="4303"/>
    </row>
    <row r="1181" s="4134" customFormat="1" ht="17.25" customHeight="1" spans="1:123">
      <c r="A1181" s="4697" t="s">
        <v>4000</v>
      </c>
      <c r="B1181" s="4697"/>
      <c r="C1181" s="4697" t="s">
        <v>5755</v>
      </c>
      <c r="D1181" s="4697"/>
      <c r="E1181" s="4697">
        <v>531</v>
      </c>
      <c r="F1181" s="4697"/>
      <c r="G1181" s="4697"/>
      <c r="H1181" s="4986">
        <f>B_Stanja!AI148-B_Stanja!AP148</f>
        <v>47070</v>
      </c>
      <c r="I1181" s="4986"/>
      <c r="J1181" s="4986"/>
      <c r="K1181" s="4986"/>
      <c r="L1181" s="4986"/>
      <c r="M1181" s="4986"/>
      <c r="N1181" s="4986"/>
      <c r="O1181" s="4303"/>
      <c r="P1181" s="4303"/>
      <c r="Q1181" s="4303"/>
      <c r="R1181" s="4303"/>
      <c r="S1181" s="4303"/>
      <c r="T1181" s="4303"/>
      <c r="U1181" s="4303"/>
      <c r="V1181" s="4303"/>
      <c r="W1181" s="4303"/>
      <c r="X1181" s="4303"/>
      <c r="Y1181" s="4971"/>
      <c r="Z1181" s="4303" t="s">
        <v>3517</v>
      </c>
      <c r="AA1181" s="4303"/>
      <c r="AB1181" s="4303"/>
      <c r="AC1181" s="4303"/>
      <c r="AD1181" s="4971"/>
      <c r="AE1181" s="4971"/>
      <c r="AF1181" s="4971"/>
      <c r="AG1181" s="4971"/>
      <c r="AH1181" s="4971"/>
      <c r="AI1181" s="4971"/>
      <c r="AJ1181" s="4303"/>
      <c r="AK1181" s="4411"/>
      <c r="AL1181" s="4411"/>
      <c r="AM1181" s="4411"/>
      <c r="AN1181" s="4411"/>
      <c r="AO1181" s="4303"/>
      <c r="AP1181" s="4303"/>
      <c r="AQ1181" s="4303"/>
      <c r="AR1181" s="4303"/>
      <c r="AS1181" s="4303"/>
      <c r="AT1181" s="4303"/>
      <c r="AU1181" s="4303"/>
      <c r="AV1181" s="4303"/>
      <c r="AW1181" s="4303"/>
      <c r="AX1181" s="4303"/>
      <c r="AY1181" s="4303"/>
      <c r="AZ1181" s="4303"/>
      <c r="BA1181" s="4303"/>
      <c r="BB1181" s="4303"/>
      <c r="BC1181" s="4303"/>
      <c r="BD1181" s="4303"/>
      <c r="BE1181" s="4303"/>
      <c r="BF1181" s="4303"/>
      <c r="BG1181" s="4303"/>
      <c r="BH1181" s="4303"/>
      <c r="BI1181" s="4303"/>
      <c r="BJ1181" s="4303"/>
      <c r="BK1181" s="4303"/>
      <c r="BL1181" s="4303"/>
      <c r="BM1181" s="4303"/>
      <c r="BN1181" s="4303"/>
      <c r="BO1181" s="4303"/>
      <c r="BP1181" s="4303"/>
      <c r="BQ1181" s="4303"/>
      <c r="BR1181" s="4303"/>
      <c r="BS1181" s="4303"/>
      <c r="BT1181" s="4303"/>
      <c r="BU1181" s="4303"/>
      <c r="BV1181" s="4303"/>
      <c r="BW1181" s="4303"/>
      <c r="BX1181" s="4303"/>
      <c r="BY1181" s="4303"/>
      <c r="BZ1181" s="4303"/>
      <c r="CA1181" s="4303"/>
      <c r="CB1181" s="4303"/>
      <c r="CC1181" s="4303"/>
      <c r="CD1181" s="4303"/>
      <c r="CE1181" s="4303"/>
      <c r="CF1181" s="4303"/>
      <c r="CG1181" s="4303"/>
      <c r="CH1181" s="4303"/>
      <c r="CI1181" s="4303"/>
      <c r="CJ1181" s="4303"/>
      <c r="CK1181" s="4303"/>
      <c r="CL1181" s="4303"/>
      <c r="CM1181" s="4303"/>
      <c r="CN1181" s="4303"/>
      <c r="CO1181" s="4303"/>
      <c r="CP1181" s="4303"/>
      <c r="CQ1181" s="4303"/>
      <c r="CR1181" s="4303"/>
      <c r="CS1181" s="4303"/>
      <c r="CT1181" s="4303"/>
      <c r="CU1181" s="4303"/>
      <c r="CV1181" s="4303"/>
      <c r="CW1181" s="4303"/>
      <c r="CX1181" s="4303"/>
      <c r="CY1181" s="4303"/>
      <c r="CZ1181" s="4303"/>
      <c r="DA1181" s="4303"/>
      <c r="DB1181" s="4303"/>
      <c r="DC1181" s="4303"/>
      <c r="DD1181" s="4303"/>
      <c r="DE1181" s="4303"/>
      <c r="DF1181" s="4303"/>
      <c r="DG1181" s="4303"/>
      <c r="DH1181" s="4303"/>
      <c r="DI1181" s="4303"/>
      <c r="DJ1181" s="4303"/>
      <c r="DK1181" s="4303"/>
      <c r="DL1181" s="4303"/>
      <c r="DM1181" s="4303"/>
      <c r="DN1181" s="4303"/>
      <c r="DO1181" s="4303"/>
      <c r="DP1181" s="4303"/>
      <c r="DQ1181" s="4303"/>
      <c r="DR1181" s="4303"/>
      <c r="DS1181" s="4303"/>
    </row>
    <row r="1182" s="4134" customFormat="1" ht="17.25" customHeight="1" spans="1:123">
      <c r="A1182" s="4697" t="s">
        <v>4058</v>
      </c>
      <c r="B1182" s="4697"/>
      <c r="C1182" s="4697" t="s">
        <v>5755</v>
      </c>
      <c r="D1182" s="4697"/>
      <c r="E1182" s="4697">
        <v>532</v>
      </c>
      <c r="F1182" s="4697"/>
      <c r="G1182" s="4697"/>
      <c r="H1182" s="4986">
        <f>B_Stanja!AI138-B_Stanja!AP138</f>
        <v>0</v>
      </c>
      <c r="I1182" s="4986"/>
      <c r="J1182" s="4986"/>
      <c r="K1182" s="4986"/>
      <c r="L1182" s="4986"/>
      <c r="M1182" s="4986"/>
      <c r="N1182" s="4986"/>
      <c r="O1182" s="4303"/>
      <c r="P1182" s="4303"/>
      <c r="Q1182" s="4303"/>
      <c r="R1182" s="4303"/>
      <c r="S1182" s="4303"/>
      <c r="T1182" s="4303"/>
      <c r="U1182" s="4303"/>
      <c r="V1182" s="4303"/>
      <c r="W1182" s="4303"/>
      <c r="X1182" s="4303"/>
      <c r="Y1182" s="4971"/>
      <c r="Z1182" s="4303" t="s">
        <v>3521</v>
      </c>
      <c r="AA1182" s="4303"/>
      <c r="AB1182" s="4303"/>
      <c r="AC1182" s="4303"/>
      <c r="AD1182" s="4971"/>
      <c r="AE1182" s="4971"/>
      <c r="AF1182" s="4971"/>
      <c r="AG1182" s="4971"/>
      <c r="AH1182" s="4971"/>
      <c r="AI1182" s="4971"/>
      <c r="AJ1182" s="4303"/>
      <c r="AK1182" s="4411"/>
      <c r="AL1182" s="4411"/>
      <c r="AM1182" s="4411"/>
      <c r="AN1182" s="4411"/>
      <c r="AO1182" s="4303"/>
      <c r="AP1182" s="4303"/>
      <c r="AQ1182" s="4303"/>
      <c r="AR1182" s="4303"/>
      <c r="AS1182" s="4303"/>
      <c r="AT1182" s="4303"/>
      <c r="AU1182" s="4303"/>
      <c r="AV1182" s="4303"/>
      <c r="AW1182" s="4303"/>
      <c r="AX1182" s="4303"/>
      <c r="AY1182" s="4303"/>
      <c r="AZ1182" s="4303"/>
      <c r="BA1182" s="4303"/>
      <c r="BB1182" s="4303"/>
      <c r="BC1182" s="4303"/>
      <c r="BD1182" s="4303"/>
      <c r="BE1182" s="4303"/>
      <c r="BF1182" s="4303"/>
      <c r="BG1182" s="4303"/>
      <c r="BH1182" s="4303"/>
      <c r="BI1182" s="4303"/>
      <c r="BJ1182" s="4303"/>
      <c r="BK1182" s="4303"/>
      <c r="BL1182" s="4303"/>
      <c r="BM1182" s="4303"/>
      <c r="BN1182" s="4303"/>
      <c r="BO1182" s="4303"/>
      <c r="BP1182" s="4303"/>
      <c r="BQ1182" s="4303"/>
      <c r="BR1182" s="4303"/>
      <c r="BS1182" s="4303"/>
      <c r="BT1182" s="4303"/>
      <c r="BU1182" s="4303"/>
      <c r="BV1182" s="4303"/>
      <c r="BW1182" s="4303"/>
      <c r="BX1182" s="4303"/>
      <c r="BY1182" s="4303"/>
      <c r="BZ1182" s="4303"/>
      <c r="CA1182" s="4303"/>
      <c r="CB1182" s="4303"/>
      <c r="CC1182" s="4303"/>
      <c r="CD1182" s="4303"/>
      <c r="CE1182" s="4303"/>
      <c r="CF1182" s="4303"/>
      <c r="CG1182" s="4303"/>
      <c r="CH1182" s="4303"/>
      <c r="CI1182" s="4303"/>
      <c r="CJ1182" s="4303"/>
      <c r="CK1182" s="4303"/>
      <c r="CL1182" s="4303"/>
      <c r="CM1182" s="4303"/>
      <c r="CN1182" s="4303"/>
      <c r="CO1182" s="4303"/>
      <c r="CP1182" s="4303"/>
      <c r="CQ1182" s="4303"/>
      <c r="CR1182" s="4303"/>
      <c r="CS1182" s="4303"/>
      <c r="CT1182" s="4303"/>
      <c r="CU1182" s="4303"/>
      <c r="CV1182" s="4303"/>
      <c r="CW1182" s="4303"/>
      <c r="CX1182" s="4303"/>
      <c r="CY1182" s="4303"/>
      <c r="CZ1182" s="4303"/>
      <c r="DA1182" s="4303"/>
      <c r="DB1182" s="4303"/>
      <c r="DC1182" s="4303"/>
      <c r="DD1182" s="4303"/>
      <c r="DE1182" s="4303"/>
      <c r="DF1182" s="4303"/>
      <c r="DG1182" s="4303"/>
      <c r="DH1182" s="4303"/>
      <c r="DI1182" s="4303"/>
      <c r="DJ1182" s="4303"/>
      <c r="DK1182" s="4303"/>
      <c r="DL1182" s="4303"/>
      <c r="DM1182" s="4303"/>
      <c r="DN1182" s="4303"/>
      <c r="DO1182" s="4303"/>
      <c r="DP1182" s="4303"/>
      <c r="DQ1182" s="4303"/>
      <c r="DR1182" s="4303"/>
      <c r="DS1182" s="4303"/>
    </row>
    <row r="1183" s="4134" customFormat="1" ht="17.25" customHeight="1" spans="1:123">
      <c r="A1183" s="4697" t="s">
        <v>3905</v>
      </c>
      <c r="B1183" s="4697"/>
      <c r="C1183" s="4988" t="s">
        <v>5758</v>
      </c>
      <c r="D1183" s="4988"/>
      <c r="E1183" s="4697">
        <v>533</v>
      </c>
      <c r="F1183" s="4697"/>
      <c r="G1183" s="4697"/>
      <c r="H1183" s="4986">
        <f>UnosPorBilans!Y127*-1</f>
        <v>0</v>
      </c>
      <c r="I1183" s="4986"/>
      <c r="J1183" s="4986"/>
      <c r="K1183" s="4986"/>
      <c r="L1183" s="4986"/>
      <c r="M1183" s="4986"/>
      <c r="N1183" s="4986"/>
      <c r="O1183" s="4303"/>
      <c r="P1183" s="4303"/>
      <c r="Q1183" s="4303"/>
      <c r="R1183" s="4303"/>
      <c r="S1183" s="4303"/>
      <c r="T1183" s="4303"/>
      <c r="U1183" s="4303"/>
      <c r="V1183" s="4303"/>
      <c r="W1183" s="4303"/>
      <c r="X1183" s="4303"/>
      <c r="Y1183" s="4971"/>
      <c r="Z1183" s="4303" t="s">
        <v>3525</v>
      </c>
      <c r="AA1183" s="4303"/>
      <c r="AB1183" s="4303"/>
      <c r="AC1183" s="4303"/>
      <c r="AD1183" s="4971"/>
      <c r="AE1183" s="4971"/>
      <c r="AF1183" s="4971"/>
      <c r="AG1183" s="4971"/>
      <c r="AH1183" s="4971"/>
      <c r="AI1183" s="4971"/>
      <c r="AJ1183" s="4303"/>
      <c r="AK1183" s="4411"/>
      <c r="AL1183" s="4411"/>
      <c r="AM1183" s="4411"/>
      <c r="AN1183" s="4411"/>
      <c r="AO1183" s="4303"/>
      <c r="AP1183" s="4303"/>
      <c r="AQ1183" s="4303"/>
      <c r="AR1183" s="4303"/>
      <c r="AS1183" s="4303"/>
      <c r="AT1183" s="4303"/>
      <c r="AU1183" s="4303"/>
      <c r="AV1183" s="4303"/>
      <c r="AW1183" s="4303"/>
      <c r="AX1183" s="4303"/>
      <c r="AY1183" s="4303"/>
      <c r="AZ1183" s="4303"/>
      <c r="BA1183" s="4303"/>
      <c r="BB1183" s="4303"/>
      <c r="BC1183" s="4303"/>
      <c r="BD1183" s="4303"/>
      <c r="BE1183" s="4303"/>
      <c r="BF1183" s="4303"/>
      <c r="BG1183" s="4303"/>
      <c r="BH1183" s="4303"/>
      <c r="BI1183" s="4303"/>
      <c r="BJ1183" s="4303"/>
      <c r="BK1183" s="4303"/>
      <c r="BL1183" s="4303"/>
      <c r="BM1183" s="4303"/>
      <c r="BN1183" s="4303"/>
      <c r="BO1183" s="4303"/>
      <c r="BP1183" s="4303"/>
      <c r="BQ1183" s="4303"/>
      <c r="BR1183" s="4303"/>
      <c r="BS1183" s="4303"/>
      <c r="BT1183" s="4303"/>
      <c r="BU1183" s="4303"/>
      <c r="BV1183" s="4303"/>
      <c r="BW1183" s="4303"/>
      <c r="BX1183" s="4303"/>
      <c r="BY1183" s="4303"/>
      <c r="BZ1183" s="4303"/>
      <c r="CA1183" s="4303"/>
      <c r="CB1183" s="4303"/>
      <c r="CC1183" s="4303"/>
      <c r="CD1183" s="4303"/>
      <c r="CE1183" s="4303"/>
      <c r="CF1183" s="4303"/>
      <c r="CG1183" s="4303"/>
      <c r="CH1183" s="4303"/>
      <c r="CI1183" s="4303"/>
      <c r="CJ1183" s="4303"/>
      <c r="CK1183" s="4303"/>
      <c r="CL1183" s="4303"/>
      <c r="CM1183" s="4303"/>
      <c r="CN1183" s="4303"/>
      <c r="CO1183" s="4303"/>
      <c r="CP1183" s="4303"/>
      <c r="CQ1183" s="4303"/>
      <c r="CR1183" s="4303"/>
      <c r="CS1183" s="4303"/>
      <c r="CT1183" s="4303"/>
      <c r="CU1183" s="4303"/>
      <c r="CV1183" s="4303"/>
      <c r="CW1183" s="4303"/>
      <c r="CX1183" s="4303"/>
      <c r="CY1183" s="4303"/>
      <c r="CZ1183" s="4303"/>
      <c r="DA1183" s="4303"/>
      <c r="DB1183" s="4303"/>
      <c r="DC1183" s="4303"/>
      <c r="DD1183" s="4303"/>
      <c r="DE1183" s="4303"/>
      <c r="DF1183" s="4303"/>
      <c r="DG1183" s="4303"/>
      <c r="DH1183" s="4303"/>
      <c r="DI1183" s="4303"/>
      <c r="DJ1183" s="4303"/>
      <c r="DK1183" s="4303"/>
      <c r="DL1183" s="4303"/>
      <c r="DM1183" s="4303"/>
      <c r="DN1183" s="4303"/>
      <c r="DO1183" s="4303"/>
      <c r="DP1183" s="4303"/>
      <c r="DQ1183" s="4303"/>
      <c r="DR1183" s="4303"/>
      <c r="DS1183" s="4303"/>
    </row>
    <row r="1184" s="4136" customFormat="1" ht="17.25" customHeight="1" spans="1:123">
      <c r="A1184" s="4697" t="s">
        <v>5759</v>
      </c>
      <c r="B1184" s="4697"/>
      <c r="C1184" s="4862"/>
      <c r="D1184" s="4862"/>
      <c r="E1184" s="4989"/>
      <c r="F1184" s="4989"/>
      <c r="G1184" s="4989"/>
      <c r="H1184" s="4990">
        <f>SUM(H1176:N1183)</f>
        <v>-51186</v>
      </c>
      <c r="I1184" s="4990"/>
      <c r="J1184" s="4990"/>
      <c r="K1184" s="4990"/>
      <c r="L1184" s="4990"/>
      <c r="M1184" s="4990"/>
      <c r="N1184" s="4990"/>
      <c r="O1184" s="4303"/>
      <c r="P1184" s="4303"/>
      <c r="Q1184" s="4303"/>
      <c r="R1184" s="4303"/>
      <c r="S1184" s="4303"/>
      <c r="T1184" s="4303"/>
      <c r="U1184" s="4303"/>
      <c r="V1184" s="4588"/>
      <c r="W1184" s="4588"/>
      <c r="X1184" s="4303"/>
      <c r="Y1184" s="4971"/>
      <c r="Z1184" s="4466" t="s">
        <v>5760</v>
      </c>
      <c r="AA1184" s="4991"/>
      <c r="AB1184" s="4588"/>
      <c r="AC1184" s="4588"/>
      <c r="AD1184" s="4971"/>
      <c r="AE1184" s="4971"/>
      <c r="AF1184" s="4971"/>
      <c r="AG1184" s="4971"/>
      <c r="AH1184" s="4971"/>
      <c r="AI1184" s="4971"/>
      <c r="AJ1184" s="4588"/>
      <c r="AK1184" s="4411"/>
      <c r="AL1184" s="4411"/>
      <c r="AM1184" s="4411"/>
      <c r="AN1184" s="4411"/>
      <c r="AO1184" s="4588"/>
      <c r="AP1184" s="4588"/>
      <c r="AQ1184" s="4588"/>
      <c r="AR1184" s="4588"/>
      <c r="AS1184" s="4588"/>
      <c r="AT1184" s="4303"/>
      <c r="AU1184" s="4303"/>
      <c r="AV1184" s="4303"/>
      <c r="AW1184" s="4588"/>
      <c r="AX1184" s="4588"/>
      <c r="AY1184" s="4588"/>
      <c r="AZ1184" s="4588"/>
      <c r="BA1184" s="4588"/>
      <c r="BB1184" s="4588"/>
      <c r="BC1184" s="4588"/>
      <c r="BD1184" s="4303"/>
      <c r="BE1184" s="4303"/>
      <c r="BF1184" s="4303"/>
      <c r="BG1184" s="4303"/>
      <c r="BH1184" s="4303"/>
      <c r="BI1184" s="4303"/>
      <c r="BJ1184" s="4303"/>
      <c r="BK1184" s="4303"/>
      <c r="BL1184" s="4303"/>
      <c r="BM1184" s="4303"/>
      <c r="BN1184" s="4303"/>
      <c r="BO1184" s="4303"/>
      <c r="BP1184" s="4303"/>
      <c r="BQ1184" s="4303"/>
      <c r="BR1184" s="4303"/>
      <c r="BS1184" s="4303"/>
      <c r="BT1184" s="4303"/>
      <c r="BU1184" s="4303"/>
      <c r="BV1184" s="4303"/>
      <c r="BW1184" s="4588"/>
      <c r="BX1184" s="4588"/>
      <c r="BY1184" s="4588"/>
      <c r="BZ1184" s="4588"/>
      <c r="CA1184" s="4588"/>
      <c r="CB1184" s="4588"/>
      <c r="CC1184" s="4588"/>
      <c r="CD1184" s="4588"/>
      <c r="CE1184" s="4588"/>
      <c r="CF1184" s="4588"/>
      <c r="CG1184" s="4588"/>
      <c r="CH1184" s="4588"/>
      <c r="CI1184" s="4588"/>
      <c r="CJ1184" s="4588"/>
      <c r="CK1184" s="4588"/>
      <c r="CL1184" s="4588"/>
      <c r="CM1184" s="4588"/>
      <c r="CN1184" s="4588"/>
      <c r="CO1184" s="4588"/>
      <c r="CP1184" s="4588"/>
      <c r="CQ1184" s="4588"/>
      <c r="CR1184" s="4588"/>
      <c r="CS1184" s="4588"/>
      <c r="CT1184" s="4588"/>
      <c r="CU1184" s="4588"/>
      <c r="CV1184" s="4588"/>
      <c r="CW1184" s="4588"/>
      <c r="CX1184" s="4588"/>
      <c r="CY1184" s="4588"/>
      <c r="CZ1184" s="4588"/>
      <c r="DA1184" s="4588"/>
      <c r="DB1184" s="4588"/>
      <c r="DC1184" s="4588"/>
      <c r="DD1184" s="4588"/>
      <c r="DE1184" s="4588"/>
      <c r="DF1184" s="4588"/>
      <c r="DG1184" s="4588"/>
      <c r="DH1184" s="4588"/>
      <c r="DI1184" s="4588"/>
      <c r="DJ1184" s="4588"/>
      <c r="DK1184" s="4588"/>
      <c r="DL1184" s="4588"/>
      <c r="DM1184" s="4588"/>
      <c r="DN1184" s="4588"/>
      <c r="DO1184" s="4588"/>
      <c r="DP1184" s="4588"/>
      <c r="DQ1184" s="4588"/>
      <c r="DR1184" s="4588"/>
      <c r="DS1184" s="4588"/>
    </row>
    <row r="1185" s="4136" customFormat="1" ht="17.25" customHeight="1" spans="1:123">
      <c r="A1185" s="4989"/>
      <c r="B1185" s="4989"/>
      <c r="C1185" s="4862"/>
      <c r="D1185" s="4862"/>
      <c r="E1185" s="4989">
        <v>534</v>
      </c>
      <c r="F1185" s="4989"/>
      <c r="G1185" s="4989"/>
      <c r="H1185" s="4990">
        <f>H1149+H1175+H1184</f>
        <v>-107153</v>
      </c>
      <c r="I1185" s="4990"/>
      <c r="J1185" s="4990"/>
      <c r="K1185" s="4990"/>
      <c r="L1185" s="4990"/>
      <c r="M1185" s="4990"/>
      <c r="N1185" s="4990"/>
      <c r="O1185" s="4303"/>
      <c r="P1185" s="4303"/>
      <c r="Q1185" s="4303"/>
      <c r="R1185" s="4303"/>
      <c r="S1185" s="4303"/>
      <c r="T1185" s="4303"/>
      <c r="U1185" s="4303"/>
      <c r="V1185" s="4588"/>
      <c r="W1185" s="4588"/>
      <c r="X1185" s="4303"/>
      <c r="Y1185" s="4971"/>
      <c r="Z1185" s="4991" t="s">
        <v>5761</v>
      </c>
      <c r="AA1185" s="4991"/>
      <c r="AB1185" s="4588"/>
      <c r="AC1185" s="4588"/>
      <c r="AD1185" s="4971"/>
      <c r="AE1185" s="4971"/>
      <c r="AF1185" s="4971"/>
      <c r="AG1185" s="4971"/>
      <c r="AH1185" s="4971"/>
      <c r="AI1185" s="4971"/>
      <c r="AJ1185" s="4588"/>
      <c r="AK1185" s="4411"/>
      <c r="AL1185" s="4411"/>
      <c r="AM1185" s="4411"/>
      <c r="AN1185" s="4411"/>
      <c r="AO1185" s="4588"/>
      <c r="AP1185" s="4588"/>
      <c r="AQ1185" s="4588"/>
      <c r="AR1185" s="4588"/>
      <c r="AS1185" s="4588"/>
      <c r="AT1185" s="4303"/>
      <c r="AU1185" s="4303"/>
      <c r="AV1185" s="4303"/>
      <c r="AW1185" s="4588"/>
      <c r="AX1185" s="4588"/>
      <c r="AY1185" s="4588"/>
      <c r="AZ1185" s="4588"/>
      <c r="BA1185" s="4588"/>
      <c r="BB1185" s="4588"/>
      <c r="BC1185" s="4588"/>
      <c r="BD1185" s="4303"/>
      <c r="BE1185" s="4303"/>
      <c r="BF1185" s="4303"/>
      <c r="BG1185" s="4303"/>
      <c r="BH1185" s="4303"/>
      <c r="BI1185" s="4303"/>
      <c r="BJ1185" s="4303"/>
      <c r="BK1185" s="4303"/>
      <c r="BL1185" s="4303"/>
      <c r="BM1185" s="4303"/>
      <c r="BN1185" s="4303"/>
      <c r="BO1185" s="4303"/>
      <c r="BP1185" s="4303"/>
      <c r="BQ1185" s="4303"/>
      <c r="BR1185" s="4303"/>
      <c r="BS1185" s="4303"/>
      <c r="BT1185" s="4303"/>
      <c r="BU1185" s="4303"/>
      <c r="BV1185" s="4303"/>
      <c r="BW1185" s="4588"/>
      <c r="BX1185" s="4588"/>
      <c r="BY1185" s="4588"/>
      <c r="BZ1185" s="4588"/>
      <c r="CA1185" s="4588"/>
      <c r="CB1185" s="4588"/>
      <c r="CC1185" s="4588"/>
      <c r="CD1185" s="4588"/>
      <c r="CE1185" s="4588"/>
      <c r="CF1185" s="4588"/>
      <c r="CG1185" s="4588"/>
      <c r="CH1185" s="4588"/>
      <c r="CI1185" s="4588"/>
      <c r="CJ1185" s="4588"/>
      <c r="CK1185" s="4588"/>
      <c r="CL1185" s="4588"/>
      <c r="CM1185" s="4588"/>
      <c r="CN1185" s="4588"/>
      <c r="CO1185" s="4588"/>
      <c r="CP1185" s="4588"/>
      <c r="CQ1185" s="4588"/>
      <c r="CR1185" s="4588"/>
      <c r="CS1185" s="4588"/>
      <c r="CT1185" s="4588"/>
      <c r="CU1185" s="4588"/>
      <c r="CV1185" s="4588"/>
      <c r="CW1185" s="4588"/>
      <c r="CX1185" s="4588"/>
      <c r="CY1185" s="4588"/>
      <c r="CZ1185" s="4588"/>
      <c r="DA1185" s="4588"/>
      <c r="DB1185" s="4588"/>
      <c r="DC1185" s="4588"/>
      <c r="DD1185" s="4588"/>
      <c r="DE1185" s="4588"/>
      <c r="DF1185" s="4588"/>
      <c r="DG1185" s="4588"/>
      <c r="DH1185" s="4588"/>
      <c r="DI1185" s="4588"/>
      <c r="DJ1185" s="4588"/>
      <c r="DK1185" s="4588"/>
      <c r="DL1185" s="4588"/>
      <c r="DM1185" s="4588"/>
      <c r="DN1185" s="4588"/>
      <c r="DO1185" s="4588"/>
      <c r="DP1185" s="4588"/>
      <c r="DQ1185" s="4588"/>
      <c r="DR1185" s="4588"/>
      <c r="DS1185" s="4588"/>
    </row>
    <row r="1186" s="4134" customFormat="1" ht="17.25" customHeight="1" spans="1:123">
      <c r="A1186" s="4303"/>
      <c r="B1186" s="4303"/>
      <c r="C1186" s="4303"/>
      <c r="D1186" s="4303"/>
      <c r="E1186" s="4303"/>
      <c r="F1186" s="4303"/>
      <c r="G1186" s="4303"/>
      <c r="H1186" s="4303"/>
      <c r="I1186" s="4303"/>
      <c r="J1186" s="4303"/>
      <c r="K1186" s="4303"/>
      <c r="L1186" s="4303"/>
      <c r="M1186" s="4303"/>
      <c r="N1186" s="4303"/>
      <c r="O1186" s="4303"/>
      <c r="P1186" s="4303"/>
      <c r="Q1186" s="4303"/>
      <c r="R1186" s="4303"/>
      <c r="S1186" s="4303"/>
      <c r="T1186" s="4303"/>
      <c r="U1186" s="4303"/>
      <c r="V1186" s="4303"/>
      <c r="W1186" s="4303"/>
      <c r="X1186" s="4303"/>
      <c r="Y1186" s="4971"/>
      <c r="Z1186" s="4303"/>
      <c r="AA1186" s="4303"/>
      <c r="AB1186" s="4303"/>
      <c r="AC1186" s="4303"/>
      <c r="AD1186" s="4971"/>
      <c r="AE1186" s="4971"/>
      <c r="AF1186" s="4971"/>
      <c r="AG1186" s="4971"/>
      <c r="AH1186" s="4971"/>
      <c r="AI1186" s="4971"/>
      <c r="AJ1186" s="4303"/>
      <c r="AK1186" s="4411"/>
      <c r="AL1186" s="4411"/>
      <c r="AM1186" s="4411"/>
      <c r="AN1186" s="4411"/>
      <c r="AO1186" s="4303"/>
      <c r="AP1186" s="4303"/>
      <c r="AQ1186" s="4303"/>
      <c r="AR1186" s="4303"/>
      <c r="AS1186" s="4303"/>
      <c r="AT1186" s="4303"/>
      <c r="AU1186" s="4303"/>
      <c r="AV1186" s="4303"/>
      <c r="AW1186" s="4303"/>
      <c r="AX1186" s="4303"/>
      <c r="AY1186" s="4303"/>
      <c r="AZ1186" s="4303"/>
      <c r="BA1186" s="4303"/>
      <c r="BB1186" s="4303"/>
      <c r="BC1186" s="4303"/>
      <c r="BD1186" s="4303"/>
      <c r="BE1186" s="4303"/>
      <c r="BF1186" s="4303"/>
      <c r="BG1186" s="4303"/>
      <c r="BH1186" s="4303"/>
      <c r="BI1186" s="4303"/>
      <c r="BJ1186" s="4303"/>
      <c r="BK1186" s="4303"/>
      <c r="BL1186" s="4303"/>
      <c r="BM1186" s="4303"/>
      <c r="BN1186" s="4303"/>
      <c r="BO1186" s="4303"/>
      <c r="BP1186" s="4303"/>
      <c r="BQ1186" s="4303"/>
      <c r="BR1186" s="4303"/>
      <c r="BS1186" s="4303"/>
      <c r="BT1186" s="4303"/>
      <c r="BU1186" s="4303"/>
      <c r="BV1186" s="4303"/>
      <c r="BW1186" s="4303"/>
      <c r="BX1186" s="4303"/>
      <c r="BY1186" s="4303"/>
      <c r="BZ1186" s="4303"/>
      <c r="CA1186" s="4303"/>
      <c r="CB1186" s="4303"/>
      <c r="CC1186" s="4303"/>
      <c r="CD1186" s="4303"/>
      <c r="CE1186" s="4303"/>
      <c r="CF1186" s="4303"/>
      <c r="CG1186" s="4303"/>
      <c r="CH1186" s="4303"/>
      <c r="CI1186" s="4303"/>
      <c r="CJ1186" s="4303"/>
      <c r="CK1186" s="4303"/>
      <c r="CL1186" s="4303"/>
      <c r="CM1186" s="4303"/>
      <c r="CN1186" s="4303"/>
      <c r="CO1186" s="4303"/>
      <c r="CP1186" s="4303"/>
      <c r="CQ1186" s="4303"/>
      <c r="CR1186" s="4303"/>
      <c r="CS1186" s="4303"/>
      <c r="CT1186" s="4303"/>
      <c r="CU1186" s="4303"/>
      <c r="CV1186" s="4303"/>
      <c r="CW1186" s="4303"/>
      <c r="CX1186" s="4303"/>
      <c r="CY1186" s="4303"/>
      <c r="CZ1186" s="4303"/>
      <c r="DA1186" s="4303"/>
      <c r="DB1186" s="4303"/>
      <c r="DC1186" s="4303"/>
      <c r="DD1186" s="4303"/>
      <c r="DE1186" s="4303"/>
      <c r="DF1186" s="4303"/>
      <c r="DG1186" s="4303"/>
      <c r="DH1186" s="4303"/>
      <c r="DI1186" s="4303"/>
      <c r="DJ1186" s="4303"/>
      <c r="DK1186" s="4303"/>
      <c r="DL1186" s="4303"/>
      <c r="DM1186" s="4303"/>
      <c r="DN1186" s="4303"/>
      <c r="DO1186" s="4303"/>
      <c r="DP1186" s="4303"/>
      <c r="DQ1186" s="4303"/>
      <c r="DR1186" s="4303"/>
      <c r="DS1186" s="4303"/>
    </row>
    <row r="1187" s="4134" customFormat="1" ht="17.25" customHeight="1" spans="1:123">
      <c r="A1187" s="4303"/>
      <c r="B1187" s="4303"/>
      <c r="C1187" s="4303"/>
      <c r="D1187" s="4303"/>
      <c r="E1187" s="4303"/>
      <c r="F1187" s="4303"/>
      <c r="G1187" s="4303"/>
      <c r="H1187" s="4992" t="s">
        <v>5725</v>
      </c>
      <c r="I1187" s="4992"/>
      <c r="J1187" s="4992"/>
      <c r="K1187" s="4992"/>
      <c r="L1187" s="4992"/>
      <c r="M1187" s="4992"/>
      <c r="N1187" s="4992"/>
      <c r="O1187" s="4992" t="s">
        <v>5726</v>
      </c>
      <c r="P1187" s="4992"/>
      <c r="Q1187" s="4992"/>
      <c r="R1187" s="4992"/>
      <c r="S1187" s="4992"/>
      <c r="T1187" s="4992"/>
      <c r="U1187" s="4992"/>
      <c r="V1187" s="4303"/>
      <c r="W1187" s="4303"/>
      <c r="X1187" s="4303"/>
      <c r="Y1187" s="4971"/>
      <c r="Z1187" s="4971"/>
      <c r="AA1187" s="4971"/>
      <c r="AB1187" s="4971"/>
      <c r="AC1187" s="4971"/>
      <c r="AD1187" s="4971"/>
      <c r="AE1187" s="4971"/>
      <c r="AF1187" s="4971"/>
      <c r="AG1187" s="4971"/>
      <c r="AH1187" s="4971"/>
      <c r="AI1187" s="4971"/>
      <c r="AJ1187" s="4303"/>
      <c r="AK1187" s="4303"/>
      <c r="AL1187" s="4303"/>
      <c r="AM1187" s="4303"/>
      <c r="AN1187" s="4303"/>
      <c r="AO1187" s="4303"/>
      <c r="AP1187" s="4303"/>
      <c r="AQ1187" s="4303"/>
      <c r="AR1187" s="4303"/>
      <c r="AS1187" s="4303"/>
      <c r="AT1187" s="4303"/>
      <c r="AU1187" s="4303"/>
      <c r="AV1187" s="4303"/>
      <c r="AW1187" s="4303"/>
      <c r="AX1187" s="4303"/>
      <c r="AY1187" s="4303"/>
      <c r="AZ1187" s="4303"/>
      <c r="BA1187" s="4303"/>
      <c r="BB1187" s="4303"/>
      <c r="BC1187" s="4303"/>
      <c r="BD1187" s="4303"/>
      <c r="BE1187" s="4303"/>
      <c r="BF1187" s="4303"/>
      <c r="BG1187" s="4303"/>
      <c r="BH1187" s="4303"/>
      <c r="BI1187" s="4303"/>
      <c r="BJ1187" s="4303"/>
      <c r="BK1187" s="4303"/>
      <c r="BL1187" s="4303"/>
      <c r="BM1187" s="4303"/>
      <c r="BN1187" s="4303"/>
      <c r="BO1187" s="4303"/>
      <c r="BP1187" s="4303"/>
      <c r="BQ1187" s="4303"/>
      <c r="BR1187" s="4303"/>
      <c r="BS1187" s="4303"/>
      <c r="BT1187" s="4303"/>
      <c r="BU1187" s="4303"/>
      <c r="BV1187" s="4303"/>
      <c r="BW1187" s="4303"/>
      <c r="BX1187" s="4303"/>
      <c r="BY1187" s="4303"/>
      <c r="BZ1187" s="4303"/>
      <c r="CA1187" s="4303"/>
      <c r="CB1187" s="4303"/>
      <c r="CC1187" s="4303"/>
      <c r="CD1187" s="4303"/>
      <c r="CE1187" s="4303"/>
      <c r="CF1187" s="4303"/>
      <c r="CG1187" s="4303"/>
      <c r="CH1187" s="4303"/>
      <c r="CI1187" s="4303"/>
      <c r="CJ1187" s="4303"/>
      <c r="CK1187" s="4303"/>
      <c r="CL1187" s="4303"/>
      <c r="CM1187" s="4303"/>
      <c r="CN1187" s="4303"/>
      <c r="CO1187" s="4303"/>
      <c r="CP1187" s="4303"/>
      <c r="CQ1187" s="4303"/>
      <c r="CR1187" s="4303"/>
      <c r="CS1187" s="4303"/>
      <c r="CT1187" s="4303"/>
      <c r="CU1187" s="4303"/>
      <c r="CV1187" s="4303"/>
      <c r="CW1187" s="4303"/>
      <c r="CX1187" s="4303"/>
      <c r="CY1187" s="4303"/>
      <c r="CZ1187" s="4303"/>
      <c r="DA1187" s="4303"/>
      <c r="DB1187" s="4303"/>
      <c r="DC1187" s="4303"/>
      <c r="DD1187" s="4303"/>
      <c r="DE1187" s="4303"/>
      <c r="DF1187" s="4303"/>
      <c r="DG1187" s="4303"/>
      <c r="DH1187" s="4303"/>
      <c r="DI1187" s="4303"/>
      <c r="DJ1187" s="4303"/>
      <c r="DK1187" s="4303"/>
      <c r="DL1187" s="4303"/>
      <c r="DM1187" s="4303"/>
      <c r="DN1187" s="4303"/>
      <c r="DO1187" s="4303"/>
      <c r="DP1187" s="4303"/>
      <c r="DQ1187" s="4303"/>
      <c r="DR1187" s="4303"/>
      <c r="DS1187" s="4303"/>
    </row>
    <row r="1188" s="4134" customFormat="1" ht="17.25" customHeight="1" spans="1:123">
      <c r="A1188" s="4557" t="s">
        <v>5762</v>
      </c>
      <c r="B1188" s="4557"/>
      <c r="C1188" s="4557"/>
      <c r="D1188" s="4557"/>
      <c r="E1188" s="4557"/>
      <c r="F1188" s="4557"/>
      <c r="G1188" s="4557"/>
      <c r="H1188" s="4993">
        <f>IF(H1185&gt;0,0,H1185*-1)</f>
        <v>107153</v>
      </c>
      <c r="I1188" s="4993"/>
      <c r="J1188" s="4993"/>
      <c r="K1188" s="4993"/>
      <c r="L1188" s="4993"/>
      <c r="M1188" s="4993"/>
      <c r="N1188" s="4993"/>
      <c r="O1188" s="4987">
        <f>IF(H1185&lt;0,0,H1185)</f>
        <v>0</v>
      </c>
      <c r="P1188" s="4987"/>
      <c r="Q1188" s="4987"/>
      <c r="R1188" s="4987"/>
      <c r="S1188" s="4987"/>
      <c r="T1188" s="4987"/>
      <c r="U1188" s="4987"/>
      <c r="V1188" s="4303"/>
      <c r="W1188" s="4303"/>
      <c r="X1188" s="4303"/>
      <c r="Y1188" s="4303"/>
      <c r="Z1188" s="4303"/>
      <c r="AA1188" s="4303"/>
      <c r="AB1188" s="4303"/>
      <c r="AC1188" s="4303"/>
      <c r="AD1188" s="4303"/>
      <c r="AE1188" s="4303"/>
      <c r="AF1188" s="4303"/>
      <c r="AG1188" s="4303"/>
      <c r="AH1188" s="4303"/>
      <c r="AI1188" s="4303"/>
      <c r="AJ1188" s="4303"/>
      <c r="AK1188" s="4303"/>
      <c r="AL1188" s="4303"/>
      <c r="AM1188" s="4303"/>
      <c r="AN1188" s="4303"/>
      <c r="AO1188" s="4303"/>
      <c r="AP1188" s="4303"/>
      <c r="AQ1188" s="4303"/>
      <c r="AR1188" s="4303"/>
      <c r="AS1188" s="4303"/>
      <c r="AT1188" s="4303"/>
      <c r="AU1188" s="4303"/>
      <c r="AV1188" s="4303"/>
      <c r="AW1188" s="4303"/>
      <c r="AX1188" s="4303"/>
      <c r="AY1188" s="4303"/>
      <c r="AZ1188" s="4303"/>
      <c r="BA1188" s="4303"/>
      <c r="BB1188" s="4303"/>
      <c r="BC1188" s="4303"/>
      <c r="BD1188" s="4303"/>
      <c r="BE1188" s="4303"/>
      <c r="BF1188" s="4303"/>
      <c r="BG1188" s="4303"/>
      <c r="BH1188" s="4303"/>
      <c r="BI1188" s="4303"/>
      <c r="BJ1188" s="4303"/>
      <c r="BK1188" s="4303"/>
      <c r="BL1188" s="4303"/>
      <c r="BM1188" s="4303"/>
      <c r="BN1188" s="4303"/>
      <c r="BO1188" s="4303"/>
      <c r="BP1188" s="4303"/>
      <c r="BQ1188" s="4303"/>
      <c r="BR1188" s="4303"/>
      <c r="BS1188" s="4303"/>
      <c r="BT1188" s="4303"/>
      <c r="BU1188" s="4303"/>
      <c r="BV1188" s="4303"/>
      <c r="BW1188" s="4303"/>
      <c r="BX1188" s="4303"/>
      <c r="BY1188" s="4303"/>
      <c r="BZ1188" s="4303"/>
      <c r="CA1188" s="4303"/>
      <c r="CB1188" s="4303"/>
      <c r="CC1188" s="4303"/>
      <c r="CD1188" s="4303"/>
      <c r="CE1188" s="4303"/>
      <c r="CF1188" s="4303"/>
      <c r="CG1188" s="4303"/>
      <c r="CH1188" s="4303"/>
      <c r="CI1188" s="4303"/>
      <c r="CJ1188" s="4303"/>
      <c r="CK1188" s="4303"/>
      <c r="CL1188" s="4303"/>
      <c r="CM1188" s="4303"/>
      <c r="CN1188" s="4303"/>
      <c r="CO1188" s="4303"/>
      <c r="CP1188" s="4303"/>
      <c r="CQ1188" s="4303"/>
      <c r="CR1188" s="4303"/>
      <c r="CS1188" s="4303"/>
      <c r="CT1188" s="4303"/>
      <c r="CU1188" s="4303"/>
      <c r="CV1188" s="4303"/>
      <c r="CW1188" s="4303"/>
      <c r="CX1188" s="4303"/>
      <c r="CY1188" s="4303"/>
      <c r="CZ1188" s="4303"/>
      <c r="DA1188" s="4303"/>
      <c r="DB1188" s="4303"/>
      <c r="DC1188" s="4303"/>
      <c r="DD1188" s="4303"/>
      <c r="DE1188" s="4303"/>
      <c r="DF1188" s="4303"/>
      <c r="DG1188" s="4303"/>
      <c r="DH1188" s="4303"/>
      <c r="DI1188" s="4303"/>
      <c r="DJ1188" s="4303"/>
      <c r="DK1188" s="4303"/>
      <c r="DL1188" s="4303"/>
      <c r="DM1188" s="4303"/>
      <c r="DN1188" s="4303"/>
      <c r="DO1188" s="4303"/>
      <c r="DP1188" s="4303"/>
      <c r="DQ1188" s="4303"/>
      <c r="DR1188" s="4303"/>
      <c r="DS1188" s="4303"/>
    </row>
    <row r="1189" s="4134" customFormat="1" ht="17.25" customHeight="1" spans="1:123">
      <c r="A1189" s="4303"/>
      <c r="B1189" s="4303"/>
      <c r="C1189" s="4303"/>
      <c r="D1189" s="4303"/>
      <c r="E1189" s="4303"/>
      <c r="F1189" s="4303"/>
      <c r="G1189" s="4303"/>
      <c r="H1189" s="4303"/>
      <c r="I1189" s="4303"/>
      <c r="J1189" s="4303"/>
      <c r="K1189" s="4303"/>
      <c r="L1189" s="4303"/>
      <c r="M1189" s="4303"/>
      <c r="N1189" s="4303"/>
      <c r="O1189" s="4303"/>
      <c r="P1189" s="4303"/>
      <c r="Q1189" s="4303"/>
      <c r="R1189" s="4303"/>
      <c r="S1189" s="4303"/>
      <c r="T1189" s="4303"/>
      <c r="U1189" s="4303"/>
      <c r="V1189" s="4303"/>
      <c r="W1189" s="4303"/>
      <c r="X1189" s="4303"/>
      <c r="Y1189" s="4303"/>
      <c r="Z1189" s="4303"/>
      <c r="AA1189" s="4303"/>
      <c r="AB1189" s="4303"/>
      <c r="AC1189" s="4303"/>
      <c r="AD1189" s="4303"/>
      <c r="AE1189" s="4303"/>
      <c r="AF1189" s="4303"/>
      <c r="AG1189" s="4303"/>
      <c r="AH1189" s="4303"/>
      <c r="AI1189" s="4303"/>
      <c r="AJ1189" s="4303"/>
      <c r="AK1189" s="4303"/>
      <c r="AL1189" s="4303"/>
      <c r="AM1189" s="4303"/>
      <c r="AN1189" s="4303"/>
      <c r="AO1189" s="4303"/>
      <c r="AP1189" s="4303"/>
      <c r="AQ1189" s="4303"/>
      <c r="AR1189" s="4303"/>
      <c r="AS1189" s="4303"/>
      <c r="AT1189" s="4303"/>
      <c r="AU1189" s="4303"/>
      <c r="AV1189" s="4303"/>
      <c r="AW1189" s="4303"/>
      <c r="AX1189" s="4303"/>
      <c r="AY1189" s="4303"/>
      <c r="AZ1189" s="4303"/>
      <c r="BA1189" s="4303"/>
      <c r="BB1189" s="4303"/>
      <c r="BC1189" s="4303"/>
      <c r="BD1189" s="4303"/>
      <c r="BE1189" s="4303"/>
      <c r="BF1189" s="4303"/>
      <c r="BG1189" s="4303"/>
      <c r="BH1189" s="4303"/>
      <c r="BI1189" s="4303"/>
      <c r="BJ1189" s="4303"/>
      <c r="BK1189" s="4303"/>
      <c r="BL1189" s="4303"/>
      <c r="BM1189" s="4303"/>
      <c r="BN1189" s="4303"/>
      <c r="BO1189" s="4303"/>
      <c r="BP1189" s="4303"/>
      <c r="BQ1189" s="4303"/>
      <c r="BR1189" s="4303"/>
      <c r="BS1189" s="4303"/>
      <c r="BT1189" s="4303"/>
      <c r="BU1189" s="4303"/>
      <c r="BV1189" s="4303"/>
      <c r="BW1189" s="4303"/>
      <c r="BX1189" s="4303"/>
      <c r="BY1189" s="4303"/>
      <c r="BZ1189" s="4303"/>
      <c r="CA1189" s="4303"/>
      <c r="CB1189" s="4303"/>
      <c r="CC1189" s="4303"/>
      <c r="CD1189" s="4303"/>
      <c r="CE1189" s="4303"/>
      <c r="CF1189" s="4303"/>
      <c r="CG1189" s="4303"/>
      <c r="CH1189" s="4303"/>
      <c r="CI1189" s="4303"/>
      <c r="CJ1189" s="4303"/>
      <c r="CK1189" s="4303"/>
      <c r="CL1189" s="4303"/>
      <c r="CM1189" s="4303"/>
      <c r="CN1189" s="4303"/>
      <c r="CO1189" s="4303"/>
      <c r="CP1189" s="4303"/>
      <c r="CQ1189" s="4303"/>
      <c r="CR1189" s="4303"/>
      <c r="CS1189" s="4303"/>
      <c r="CT1189" s="4303"/>
      <c r="CU1189" s="4303"/>
      <c r="CV1189" s="4303"/>
      <c r="CW1189" s="4303"/>
      <c r="CX1189" s="4303"/>
      <c r="CY1189" s="4303"/>
      <c r="CZ1189" s="4303"/>
      <c r="DA1189" s="4303"/>
      <c r="DB1189" s="4303"/>
      <c r="DC1189" s="4303"/>
      <c r="DD1189" s="4303"/>
      <c r="DE1189" s="4303"/>
      <c r="DF1189" s="4303"/>
      <c r="DG1189" s="4303"/>
      <c r="DH1189" s="4303"/>
      <c r="DI1189" s="4303"/>
      <c r="DJ1189" s="4303"/>
      <c r="DK1189" s="4303"/>
      <c r="DL1189" s="4303"/>
      <c r="DM1189" s="4303"/>
      <c r="DN1189" s="4303"/>
      <c r="DO1189" s="4303"/>
      <c r="DP1189" s="4303"/>
      <c r="DQ1189" s="4303"/>
      <c r="DR1189" s="4303"/>
      <c r="DS1189" s="4303"/>
    </row>
    <row r="1190" s="4134" customFormat="1" ht="17.25" customHeight="1" spans="1:123">
      <c r="A1190" s="4303"/>
      <c r="B1190" s="4303"/>
      <c r="C1190" s="4303"/>
      <c r="D1190" s="4303"/>
      <c r="E1190" s="4303"/>
      <c r="F1190" s="4303"/>
      <c r="G1190" s="4303"/>
      <c r="H1190" s="4303"/>
      <c r="I1190" s="4303"/>
      <c r="J1190" s="4303"/>
      <c r="K1190" s="4303"/>
      <c r="L1190" s="4303"/>
      <c r="M1190" s="4303"/>
      <c r="N1190" s="4303"/>
      <c r="O1190" s="4303"/>
      <c r="P1190" s="4303"/>
      <c r="Q1190" s="4303"/>
      <c r="R1190" s="4303"/>
      <c r="S1190" s="4303"/>
      <c r="T1190" s="4303"/>
      <c r="U1190" s="4303"/>
      <c r="V1190" s="4303"/>
      <c r="W1190" s="4303"/>
      <c r="X1190" s="4303"/>
      <c r="Y1190" s="4303"/>
      <c r="Z1190" s="4303"/>
      <c r="AA1190" s="4303"/>
      <c r="AB1190" s="4303"/>
      <c r="AC1190" s="4303"/>
      <c r="AD1190" s="4303"/>
      <c r="AE1190" s="4303"/>
      <c r="AF1190" s="4303"/>
      <c r="AG1190" s="4303"/>
      <c r="AH1190" s="4303"/>
      <c r="AI1190" s="4303"/>
      <c r="AJ1190" s="4303"/>
      <c r="AK1190" s="4303"/>
      <c r="AL1190" s="4303"/>
      <c r="AM1190" s="4303"/>
      <c r="AN1190" s="4303"/>
      <c r="AO1190" s="4303"/>
      <c r="AP1190" s="4303"/>
      <c r="AQ1190" s="4303"/>
      <c r="AR1190" s="4303"/>
      <c r="AS1190" s="4303"/>
      <c r="AT1190" s="4303"/>
      <c r="AU1190" s="4303"/>
      <c r="AV1190" s="4303"/>
      <c r="AW1190" s="4303"/>
      <c r="AX1190" s="4303"/>
      <c r="AY1190" s="4303"/>
      <c r="AZ1190" s="4303"/>
      <c r="BA1190" s="4303"/>
      <c r="BB1190" s="4303"/>
      <c r="BC1190" s="4303"/>
      <c r="BD1190" s="4303"/>
      <c r="BE1190" s="4303"/>
      <c r="BF1190" s="4303"/>
      <c r="BG1190" s="4303"/>
      <c r="BH1190" s="4303"/>
      <c r="BI1190" s="4303"/>
      <c r="BJ1190" s="4303"/>
      <c r="BK1190" s="4303"/>
      <c r="BL1190" s="4303"/>
      <c r="BM1190" s="4303"/>
      <c r="BN1190" s="4303"/>
      <c r="BO1190" s="4303"/>
      <c r="BP1190" s="4303"/>
      <c r="BQ1190" s="4303"/>
      <c r="BR1190" s="4303"/>
      <c r="BS1190" s="4303"/>
      <c r="BT1190" s="4303"/>
      <c r="BU1190" s="4303"/>
      <c r="BV1190" s="4303"/>
      <c r="BW1190" s="4303"/>
      <c r="BX1190" s="4303"/>
      <c r="BY1190" s="4303"/>
      <c r="BZ1190" s="4303"/>
      <c r="CA1190" s="4303"/>
      <c r="CB1190" s="4303"/>
      <c r="CC1190" s="4303"/>
      <c r="CD1190" s="4303"/>
      <c r="CE1190" s="4303"/>
      <c r="CF1190" s="4303"/>
      <c r="CG1190" s="4303"/>
      <c r="CH1190" s="4303"/>
      <c r="CI1190" s="4303"/>
      <c r="CJ1190" s="4303"/>
      <c r="CK1190" s="4303"/>
      <c r="CL1190" s="4303"/>
      <c r="CM1190" s="4303"/>
      <c r="CN1190" s="4303"/>
      <c r="CO1190" s="4303"/>
      <c r="CP1190" s="4303"/>
      <c r="CQ1190" s="4303"/>
      <c r="CR1190" s="4303"/>
      <c r="CS1190" s="4303"/>
      <c r="CT1190" s="4303"/>
      <c r="CU1190" s="4303"/>
      <c r="CV1190" s="4303"/>
      <c r="CW1190" s="4303"/>
      <c r="CX1190" s="4303"/>
      <c r="CY1190" s="4303"/>
      <c r="CZ1190" s="4303"/>
      <c r="DA1190" s="4303"/>
      <c r="DB1190" s="4303"/>
      <c r="DC1190" s="4303"/>
      <c r="DD1190" s="4303"/>
      <c r="DE1190" s="4303"/>
      <c r="DF1190" s="4303"/>
      <c r="DG1190" s="4303"/>
      <c r="DH1190" s="4303"/>
      <c r="DI1190" s="4303"/>
      <c r="DJ1190" s="4303"/>
      <c r="DK1190" s="4303"/>
      <c r="DL1190" s="4303"/>
      <c r="DM1190" s="4303"/>
      <c r="DN1190" s="4303"/>
      <c r="DO1190" s="4303"/>
      <c r="DP1190" s="4303"/>
      <c r="DQ1190" s="4303"/>
      <c r="DR1190" s="4303"/>
      <c r="DS1190" s="4303"/>
    </row>
    <row r="1191" s="4133" customFormat="1" spans="1:123">
      <c r="A1191" s="4292"/>
      <c r="B1191" s="4292"/>
      <c r="C1191" s="4292"/>
      <c r="D1191" s="4292"/>
      <c r="E1191" s="4292"/>
      <c r="F1191" s="4292"/>
      <c r="G1191" s="4292"/>
      <c r="H1191" s="4292"/>
      <c r="I1191" s="4292"/>
      <c r="J1191" s="4292"/>
      <c r="K1191" s="4292"/>
      <c r="L1191" s="4292"/>
      <c r="M1191" s="4292"/>
      <c r="N1191" s="4292"/>
      <c r="O1191" s="4292"/>
      <c r="P1191" s="4292"/>
      <c r="Q1191" s="4292"/>
      <c r="R1191" s="4292"/>
      <c r="S1191" s="4292"/>
      <c r="T1191" s="4292"/>
      <c r="U1191" s="4292"/>
      <c r="V1191" s="4292"/>
      <c r="W1191" s="4292"/>
      <c r="X1191" s="4292"/>
      <c r="Y1191" s="4292"/>
      <c r="Z1191" s="4292"/>
      <c r="AA1191" s="4292"/>
      <c r="AB1191" s="4292"/>
      <c r="AC1191" s="4292"/>
      <c r="AD1191" s="4292"/>
      <c r="AE1191" s="4292"/>
      <c r="AF1191" s="4292"/>
      <c r="AG1191" s="4292"/>
      <c r="AH1191" s="4292"/>
      <c r="AI1191" s="4292"/>
      <c r="AJ1191" s="4292"/>
      <c r="AK1191" s="4292"/>
      <c r="AL1191" s="4292"/>
      <c r="AM1191" s="4292"/>
      <c r="AN1191" s="4292"/>
      <c r="AO1191" s="4292"/>
      <c r="AP1191" s="4292"/>
      <c r="AQ1191" s="4292"/>
      <c r="AR1191" s="4292"/>
      <c r="AS1191" s="4292"/>
      <c r="AT1191" s="4292"/>
      <c r="AU1191" s="4292"/>
      <c r="AV1191" s="4292"/>
      <c r="AW1191" s="4292"/>
      <c r="AX1191" s="4292"/>
      <c r="AY1191" s="4292"/>
      <c r="AZ1191" s="4292"/>
      <c r="BA1191" s="4292"/>
      <c r="BB1191" s="4292"/>
      <c r="BC1191" s="4292"/>
      <c r="BD1191" s="4292"/>
      <c r="BE1191" s="4292"/>
      <c r="BF1191" s="4292"/>
      <c r="BG1191" s="4292"/>
      <c r="BH1191" s="4292"/>
      <c r="BI1191" s="4292"/>
      <c r="BJ1191" s="4292"/>
      <c r="BK1191" s="4292"/>
      <c r="BL1191" s="4292"/>
      <c r="BM1191" s="4292"/>
      <c r="BN1191" s="4292"/>
      <c r="BO1191" s="4292"/>
      <c r="BP1191" s="4292"/>
      <c r="BQ1191" s="4292"/>
      <c r="BR1191" s="4292"/>
      <c r="BS1191" s="4292"/>
      <c r="BT1191" s="4292"/>
      <c r="BU1191" s="4292"/>
      <c r="BV1191" s="4292"/>
      <c r="BW1191" s="4292"/>
      <c r="BX1191" s="4292"/>
      <c r="BY1191" s="4292"/>
      <c r="BZ1191" s="4292"/>
      <c r="CA1191" s="4292"/>
      <c r="CB1191" s="4292"/>
      <c r="CC1191" s="4292"/>
      <c r="CD1191" s="4292"/>
      <c r="CE1191" s="4292"/>
      <c r="CF1191" s="4292"/>
      <c r="CG1191" s="4292"/>
      <c r="CH1191" s="4292"/>
      <c r="CI1191" s="4292"/>
      <c r="CJ1191" s="4292"/>
      <c r="CK1191" s="4292"/>
      <c r="CL1191" s="4292"/>
      <c r="CM1191" s="4292"/>
      <c r="CN1191" s="4292"/>
      <c r="CO1191" s="4292"/>
      <c r="CP1191" s="4292"/>
      <c r="CQ1191" s="4292"/>
      <c r="CR1191" s="4292"/>
      <c r="CS1191" s="4292"/>
      <c r="CT1191" s="4292"/>
      <c r="CU1191" s="4292"/>
      <c r="CV1191" s="4292"/>
      <c r="CW1191" s="4292"/>
      <c r="CX1191" s="4292"/>
      <c r="CY1191" s="4292"/>
      <c r="CZ1191" s="4292"/>
      <c r="DA1191" s="4292"/>
      <c r="DB1191" s="4292"/>
      <c r="DC1191" s="4292"/>
      <c r="DD1191" s="4292"/>
      <c r="DE1191" s="4292"/>
      <c r="DF1191" s="4292"/>
      <c r="DG1191" s="4292"/>
      <c r="DH1191" s="4292"/>
      <c r="DI1191" s="4292"/>
      <c r="DJ1191" s="4292"/>
      <c r="DK1191" s="4292"/>
      <c r="DL1191" s="4292"/>
      <c r="DM1191" s="4292"/>
      <c r="DN1191" s="4292"/>
      <c r="DO1191" s="4292"/>
      <c r="DP1191" s="4292"/>
      <c r="DQ1191" s="4292"/>
      <c r="DR1191" s="4292"/>
      <c r="DS1191" s="4292"/>
    </row>
    <row r="1192" s="4133" customFormat="1" ht="19.5" customHeight="1" spans="1:123">
      <c r="A1192" s="4994" t="s">
        <v>5763</v>
      </c>
      <c r="B1192" s="4995"/>
      <c r="C1192" s="4995"/>
      <c r="D1192" s="4995"/>
      <c r="E1192" s="4995"/>
      <c r="F1192" s="4995"/>
      <c r="G1192" s="4995"/>
      <c r="H1192" s="4995"/>
      <c r="I1192" s="4995"/>
      <c r="J1192" s="4995"/>
      <c r="K1192" s="4995"/>
      <c r="L1192" s="4995"/>
      <c r="M1192" s="4995"/>
      <c r="N1192" s="4995"/>
      <c r="O1192" s="4995"/>
      <c r="P1192" s="4995"/>
      <c r="Q1192" s="4995"/>
      <c r="R1192" s="4995"/>
      <c r="S1192" s="4995"/>
      <c r="T1192" s="4995"/>
      <c r="U1192" s="4995"/>
      <c r="V1192" s="4996" t="s">
        <v>5719</v>
      </c>
      <c r="W1192" s="4996"/>
      <c r="X1192" s="4996"/>
      <c r="Y1192" s="4996"/>
      <c r="Z1192" s="4996"/>
      <c r="AA1192" s="4996"/>
      <c r="AB1192" s="4996"/>
      <c r="AC1192" s="4996"/>
      <c r="AD1192" s="4996"/>
      <c r="AE1192" s="4996"/>
      <c r="AF1192" s="4996"/>
      <c r="AG1192" s="4996"/>
      <c r="AH1192" s="4996"/>
      <c r="AI1192" s="4996"/>
      <c r="AJ1192" s="4996"/>
      <c r="AK1192" s="4996"/>
      <c r="AL1192" s="4996"/>
      <c r="AM1192" s="4292"/>
      <c r="AN1192" s="4292"/>
      <c r="AO1192" s="4292"/>
      <c r="AP1192" s="4292"/>
      <c r="AQ1192" s="4292"/>
      <c r="AR1192" s="4292"/>
      <c r="AS1192" s="4292"/>
      <c r="AT1192" s="4292"/>
      <c r="AU1192" s="4292"/>
      <c r="AV1192" s="4292"/>
      <c r="AW1192" s="4292"/>
      <c r="AX1192" s="4292"/>
      <c r="AY1192" s="4292"/>
      <c r="AZ1192" s="4292"/>
      <c r="BA1192" s="4292"/>
      <c r="BB1192" s="4292"/>
      <c r="BC1192" s="4292"/>
      <c r="BD1192" s="4292"/>
      <c r="BE1192" s="4292"/>
      <c r="BF1192" s="4292"/>
      <c r="BG1192" s="4292"/>
      <c r="BH1192" s="4292"/>
      <c r="BI1192" s="4292"/>
      <c r="BJ1192" s="4292"/>
      <c r="BK1192" s="4292"/>
      <c r="BL1192" s="4292"/>
      <c r="BM1192" s="4292"/>
      <c r="BN1192" s="4292"/>
      <c r="BO1192" s="4292"/>
      <c r="BP1192" s="4292"/>
      <c r="BQ1192" s="4292"/>
      <c r="BR1192" s="4292"/>
      <c r="BS1192" s="4292"/>
      <c r="BT1192" s="4292"/>
      <c r="BU1192" s="4292"/>
      <c r="BV1192" s="4292"/>
      <c r="BW1192" s="4292"/>
      <c r="BX1192" s="4292"/>
      <c r="BY1192" s="4292"/>
      <c r="BZ1192" s="4292"/>
      <c r="CA1192" s="4292"/>
      <c r="CB1192" s="4292"/>
      <c r="CC1192" s="4292"/>
      <c r="CD1192" s="4292"/>
      <c r="CE1192" s="4292"/>
      <c r="CF1192" s="4292"/>
      <c r="CG1192" s="4292"/>
      <c r="CH1192" s="4292"/>
      <c r="CI1192" s="4292"/>
      <c r="CJ1192" s="4292"/>
      <c r="CK1192" s="4292"/>
      <c r="CL1192" s="4292"/>
      <c r="CM1192" s="4292"/>
      <c r="CN1192" s="4292"/>
      <c r="CO1192" s="4292"/>
      <c r="CP1192" s="4292"/>
      <c r="CQ1192" s="4292"/>
      <c r="CR1192" s="4292"/>
      <c r="CS1192" s="4292"/>
      <c r="CT1192" s="4292"/>
      <c r="CU1192" s="4292"/>
      <c r="CV1192" s="4292"/>
      <c r="CW1192" s="4292"/>
      <c r="CX1192" s="4292"/>
      <c r="CY1192" s="4292"/>
      <c r="CZ1192" s="4292"/>
      <c r="DA1192" s="4292"/>
      <c r="DB1192" s="4292"/>
      <c r="DC1192" s="4292"/>
      <c r="DD1192" s="4292"/>
      <c r="DE1192" s="4292"/>
      <c r="DF1192" s="4292"/>
      <c r="DG1192" s="4292"/>
      <c r="DH1192" s="4292"/>
      <c r="DI1192" s="4292"/>
      <c r="DJ1192" s="4292"/>
      <c r="DK1192" s="4292"/>
      <c r="DL1192" s="4292"/>
      <c r="DM1192" s="4292"/>
      <c r="DN1192" s="4292"/>
      <c r="DO1192" s="4292"/>
      <c r="DP1192" s="4292"/>
      <c r="DQ1192" s="4292"/>
      <c r="DR1192" s="4292"/>
      <c r="DS1192" s="4292"/>
    </row>
    <row r="1193" s="4133" customFormat="1" ht="19.5" customHeight="1" spans="1:123">
      <c r="A1193" s="4997" t="s">
        <v>5764</v>
      </c>
      <c r="B1193" s="4998"/>
      <c r="C1193" s="4998"/>
      <c r="D1193" s="4998"/>
      <c r="E1193" s="4998"/>
      <c r="F1193" s="4998"/>
      <c r="G1193" s="4998"/>
      <c r="H1193" s="4998"/>
      <c r="I1193" s="4998"/>
      <c r="J1193" s="4998"/>
      <c r="K1193" s="4998"/>
      <c r="L1193" s="4998"/>
      <c r="M1193" s="4998"/>
      <c r="N1193" s="4998"/>
      <c r="O1193" s="4998"/>
      <c r="P1193" s="4998"/>
      <c r="Q1193" s="4998"/>
      <c r="R1193" s="4998"/>
      <c r="S1193" s="4998"/>
      <c r="T1193" s="4998"/>
      <c r="U1193" s="4998"/>
      <c r="V1193" s="4999" t="s">
        <v>5720</v>
      </c>
      <c r="W1193" s="4999"/>
      <c r="X1193" s="4999"/>
      <c r="Y1193" s="4999"/>
      <c r="Z1193" s="4999"/>
      <c r="AA1193" s="4999"/>
      <c r="AB1193" s="4999"/>
      <c r="AC1193" s="4999"/>
      <c r="AD1193" s="4999"/>
      <c r="AE1193" s="4999"/>
      <c r="AF1193" s="4999"/>
      <c r="AG1193" s="4999"/>
      <c r="AH1193" s="4999"/>
      <c r="AI1193" s="4999"/>
      <c r="AJ1193" s="4999"/>
      <c r="AK1193" s="4999"/>
      <c r="AL1193" s="4999"/>
      <c r="AM1193" s="4292"/>
      <c r="AN1193" s="4292"/>
      <c r="AO1193" s="4292"/>
      <c r="AP1193" s="4292"/>
      <c r="AQ1193" s="4292"/>
      <c r="AR1193" s="4292"/>
      <c r="AS1193" s="4292"/>
      <c r="AT1193" s="4292"/>
      <c r="AU1193" s="4292"/>
      <c r="AV1193" s="4292"/>
      <c r="AW1193" s="4292"/>
      <c r="AX1193" s="4292"/>
      <c r="AY1193" s="4292"/>
      <c r="AZ1193" s="4292"/>
      <c r="BA1193" s="4292"/>
      <c r="BB1193" s="4292"/>
      <c r="BC1193" s="4292"/>
      <c r="BD1193" s="4292"/>
      <c r="BE1193" s="4292"/>
      <c r="BF1193" s="4292"/>
      <c r="BG1193" s="4292"/>
      <c r="BH1193" s="4292"/>
      <c r="BI1193" s="4292"/>
      <c r="BJ1193" s="4292"/>
      <c r="BK1193" s="4292"/>
      <c r="BL1193" s="4292"/>
      <c r="BM1193" s="4292"/>
      <c r="BN1193" s="4292"/>
      <c r="BO1193" s="4292"/>
      <c r="BP1193" s="4292"/>
      <c r="BQ1193" s="4292"/>
      <c r="BR1193" s="4292"/>
      <c r="BS1193" s="4292"/>
      <c r="BT1193" s="4292"/>
      <c r="BU1193" s="4292"/>
      <c r="BV1193" s="4292"/>
      <c r="BW1193" s="4292"/>
      <c r="BX1193" s="4292"/>
      <c r="BY1193" s="4292"/>
      <c r="BZ1193" s="4292"/>
      <c r="CA1193" s="4292"/>
      <c r="CB1193" s="4292"/>
      <c r="CC1193" s="4292"/>
      <c r="CD1193" s="4292"/>
      <c r="CE1193" s="4292"/>
      <c r="CF1193" s="4292"/>
      <c r="CG1193" s="4292"/>
      <c r="CH1193" s="4292"/>
      <c r="CI1193" s="4292"/>
      <c r="CJ1193" s="4292"/>
      <c r="CK1193" s="4292"/>
      <c r="CL1193" s="4292"/>
      <c r="CM1193" s="4292"/>
      <c r="CN1193" s="4292"/>
      <c r="CO1193" s="4292"/>
      <c r="CP1193" s="4292"/>
      <c r="CQ1193" s="4292"/>
      <c r="CR1193" s="4292"/>
      <c r="CS1193" s="4292"/>
      <c r="CT1193" s="4292"/>
      <c r="CU1193" s="4292"/>
      <c r="CV1193" s="4292"/>
      <c r="CW1193" s="4292"/>
      <c r="CX1193" s="4292"/>
      <c r="CY1193" s="4292"/>
      <c r="CZ1193" s="4292"/>
      <c r="DA1193" s="4292"/>
      <c r="DB1193" s="4292"/>
      <c r="DC1193" s="4292"/>
      <c r="DD1193" s="4292"/>
      <c r="DE1193" s="4292"/>
      <c r="DF1193" s="4292"/>
      <c r="DG1193" s="4292"/>
      <c r="DH1193" s="4292"/>
      <c r="DI1193" s="4292"/>
      <c r="DJ1193" s="4292"/>
      <c r="DK1193" s="4292"/>
      <c r="DL1193" s="4292"/>
      <c r="DM1193" s="4292"/>
      <c r="DN1193" s="4292"/>
      <c r="DO1193" s="4292"/>
      <c r="DP1193" s="4292"/>
      <c r="DQ1193" s="4292"/>
      <c r="DR1193" s="4292"/>
      <c r="DS1193" s="4292"/>
    </row>
    <row r="1194" s="4133" customFormat="1" ht="19.5" customHeight="1" spans="1:123">
      <c r="A1194" s="4292"/>
      <c r="B1194" s="4292"/>
      <c r="C1194" s="4292"/>
      <c r="D1194" s="4292"/>
      <c r="E1194" s="4292"/>
      <c r="F1194" s="4292"/>
      <c r="G1194" s="4292"/>
      <c r="H1194" s="4292"/>
      <c r="I1194" s="4292"/>
      <c r="J1194" s="4292"/>
      <c r="K1194" s="4292"/>
      <c r="L1194" s="4292"/>
      <c r="M1194" s="4292"/>
      <c r="N1194" s="4292"/>
      <c r="O1194" s="4292"/>
      <c r="P1194" s="4292"/>
      <c r="Q1194" s="4292"/>
      <c r="R1194" s="4292"/>
      <c r="S1194" s="4292"/>
      <c r="T1194" s="4292"/>
      <c r="U1194" s="4292"/>
      <c r="V1194" s="4999"/>
      <c r="W1194" s="4999"/>
      <c r="X1194" s="4999"/>
      <c r="Y1194" s="4999"/>
      <c r="Z1194" s="4999"/>
      <c r="AA1194" s="4999"/>
      <c r="AB1194" s="4999"/>
      <c r="AC1194" s="4999"/>
      <c r="AD1194" s="4999"/>
      <c r="AE1194" s="4999"/>
      <c r="AF1194" s="4999"/>
      <c r="AG1194" s="4999"/>
      <c r="AH1194" s="4999"/>
      <c r="AI1194" s="4999"/>
      <c r="AJ1194" s="4999"/>
      <c r="AK1194" s="4999"/>
      <c r="AL1194" s="4999"/>
      <c r="AM1194" s="4292"/>
      <c r="AN1194" s="4292"/>
      <c r="AO1194" s="4292"/>
      <c r="AP1194" s="4292"/>
      <c r="AQ1194" s="4292"/>
      <c r="AR1194" s="4292"/>
      <c r="AS1194" s="4292"/>
      <c r="AT1194" s="4292"/>
      <c r="AU1194" s="4292"/>
      <c r="AV1194" s="4292"/>
      <c r="AW1194" s="4292"/>
      <c r="AX1194" s="4292"/>
      <c r="AY1194" s="4292"/>
      <c r="AZ1194" s="4292"/>
      <c r="BA1194" s="4292"/>
      <c r="BB1194" s="4292"/>
      <c r="BC1194" s="4292"/>
      <c r="BD1194" s="4292"/>
      <c r="BE1194" s="4292"/>
      <c r="BF1194" s="4292"/>
      <c r="BG1194" s="4292"/>
      <c r="BH1194" s="4292"/>
      <c r="BI1194" s="4292"/>
      <c r="BJ1194" s="4292"/>
      <c r="BK1194" s="4292"/>
      <c r="BL1194" s="4292"/>
      <c r="BM1194" s="4292"/>
      <c r="BN1194" s="4292"/>
      <c r="BO1194" s="4292"/>
      <c r="BP1194" s="4292"/>
      <c r="BQ1194" s="4292"/>
      <c r="BR1194" s="4292"/>
      <c r="BS1194" s="4292"/>
      <c r="BT1194" s="4292"/>
      <c r="BU1194" s="4292"/>
      <c r="BV1194" s="4292"/>
      <c r="BW1194" s="4292"/>
      <c r="BX1194" s="4292"/>
      <c r="BY1194" s="4292"/>
      <c r="BZ1194" s="4292"/>
      <c r="CA1194" s="4292"/>
      <c r="CB1194" s="4292"/>
      <c r="CC1194" s="4292"/>
      <c r="CD1194" s="4292"/>
      <c r="CE1194" s="4292"/>
      <c r="CF1194" s="4292"/>
      <c r="CG1194" s="4292"/>
      <c r="CH1194" s="4292"/>
      <c r="CI1194" s="4292"/>
      <c r="CJ1194" s="4292"/>
      <c r="CK1194" s="4292"/>
      <c r="CL1194" s="4292"/>
      <c r="CM1194" s="4292"/>
      <c r="CN1194" s="4292"/>
      <c r="CO1194" s="4292"/>
      <c r="CP1194" s="4292"/>
      <c r="CQ1194" s="4292"/>
      <c r="CR1194" s="4292"/>
      <c r="CS1194" s="4292"/>
      <c r="CT1194" s="4292"/>
      <c r="CU1194" s="4292"/>
      <c r="CV1194" s="4292"/>
      <c r="CW1194" s="4292"/>
      <c r="CX1194" s="4292"/>
      <c r="CY1194" s="4292"/>
      <c r="CZ1194" s="4292"/>
      <c r="DA1194" s="4292"/>
      <c r="DB1194" s="4292"/>
      <c r="DC1194" s="4292"/>
      <c r="DD1194" s="4292"/>
      <c r="DE1194" s="4292"/>
      <c r="DF1194" s="4292"/>
      <c r="DG1194" s="4292"/>
      <c r="DH1194" s="4292"/>
      <c r="DI1194" s="4292"/>
      <c r="DJ1194" s="4292"/>
      <c r="DK1194" s="4292"/>
      <c r="DL1194" s="4292"/>
      <c r="DM1194" s="4292"/>
      <c r="DN1194" s="4292"/>
      <c r="DO1194" s="4292"/>
      <c r="DP1194" s="4292"/>
      <c r="DQ1194" s="4292"/>
      <c r="DR1194" s="4292"/>
      <c r="DS1194" s="4292"/>
    </row>
    <row r="1195" s="4133" customFormat="1" ht="20.25" customHeight="1" spans="1:123">
      <c r="A1195" s="4303" t="s">
        <v>5721</v>
      </c>
      <c r="B1195" s="4858"/>
      <c r="C1195" s="4858"/>
      <c r="D1195" s="4858"/>
      <c r="E1195" s="4858"/>
      <c r="F1195" s="4292"/>
      <c r="G1195" s="4292"/>
      <c r="H1195" s="4292"/>
      <c r="I1195" s="4292"/>
      <c r="J1195" s="4292"/>
      <c r="K1195" s="4292"/>
      <c r="L1195" s="4292"/>
      <c r="M1195" s="4292"/>
      <c r="N1195" s="4292"/>
      <c r="O1195" s="4292"/>
      <c r="P1195" s="4292"/>
      <c r="Q1195" s="4292"/>
      <c r="R1195" s="4292"/>
      <c r="S1195" s="4292"/>
      <c r="T1195" s="4292"/>
      <c r="U1195" s="4292"/>
      <c r="V1195" s="4999"/>
      <c r="W1195" s="4999"/>
      <c r="X1195" s="4999"/>
      <c r="Y1195" s="4999"/>
      <c r="Z1195" s="4999"/>
      <c r="AA1195" s="4999"/>
      <c r="AB1195" s="4999"/>
      <c r="AC1195" s="4999"/>
      <c r="AD1195" s="4999"/>
      <c r="AE1195" s="4999"/>
      <c r="AF1195" s="4999"/>
      <c r="AG1195" s="4999"/>
      <c r="AH1195" s="4999"/>
      <c r="AI1195" s="4999"/>
      <c r="AJ1195" s="4999"/>
      <c r="AK1195" s="4999"/>
      <c r="AL1195" s="4999"/>
      <c r="AM1195" s="4292"/>
      <c r="AN1195" s="4292"/>
      <c r="AO1195" s="4292"/>
      <c r="AP1195" s="4292"/>
      <c r="AQ1195" s="4292"/>
      <c r="AR1195" s="4292"/>
      <c r="AS1195" s="4292"/>
      <c r="AT1195" s="4292"/>
      <c r="AU1195" s="4292"/>
      <c r="AV1195" s="4292"/>
      <c r="AW1195" s="4292"/>
      <c r="AX1195" s="4292"/>
      <c r="AY1195" s="4292"/>
      <c r="AZ1195" s="4292"/>
      <c r="BA1195" s="4292"/>
      <c r="BB1195" s="4292"/>
      <c r="BC1195" s="4292"/>
      <c r="BD1195" s="4292"/>
      <c r="BE1195" s="4292"/>
      <c r="BF1195" s="4292"/>
      <c r="BG1195" s="4292"/>
      <c r="BH1195" s="4292"/>
      <c r="BI1195" s="4292"/>
      <c r="BJ1195" s="4292"/>
      <c r="BK1195" s="4292"/>
      <c r="BL1195" s="4292"/>
      <c r="BM1195" s="4292"/>
      <c r="BN1195" s="4292"/>
      <c r="BO1195" s="4292"/>
      <c r="BP1195" s="4292"/>
      <c r="BQ1195" s="4292"/>
      <c r="BR1195" s="4292"/>
      <c r="BS1195" s="4292"/>
      <c r="BT1195" s="4292"/>
      <c r="BU1195" s="4292"/>
      <c r="BV1195" s="4292"/>
      <c r="BW1195" s="4292"/>
      <c r="BX1195" s="4292"/>
      <c r="BY1195" s="4292"/>
      <c r="BZ1195" s="4292"/>
      <c r="CA1195" s="4292"/>
      <c r="CB1195" s="4292"/>
      <c r="CC1195" s="4292"/>
      <c r="CD1195" s="4292"/>
      <c r="CE1195" s="4292"/>
      <c r="CF1195" s="4292"/>
      <c r="CG1195" s="4292"/>
      <c r="CH1195" s="4292"/>
      <c r="CI1195" s="4292"/>
      <c r="CJ1195" s="4292"/>
      <c r="CK1195" s="4292"/>
      <c r="CL1195" s="4292"/>
      <c r="CM1195" s="4292"/>
      <c r="CN1195" s="4292"/>
      <c r="CO1195" s="4292"/>
      <c r="CP1195" s="4292"/>
      <c r="CQ1195" s="4292"/>
      <c r="CR1195" s="4292"/>
      <c r="CS1195" s="4292"/>
      <c r="CT1195" s="4292"/>
      <c r="CU1195" s="4292"/>
      <c r="CV1195" s="4292"/>
      <c r="CW1195" s="4292"/>
      <c r="CX1195" s="4292"/>
      <c r="CY1195" s="4292"/>
      <c r="CZ1195" s="4292"/>
      <c r="DA1195" s="4292"/>
      <c r="DB1195" s="4292"/>
      <c r="DC1195" s="4292"/>
      <c r="DD1195" s="4292"/>
      <c r="DE1195" s="4292"/>
      <c r="DF1195" s="4292"/>
      <c r="DG1195" s="4292"/>
      <c r="DH1195" s="4292"/>
      <c r="DI1195" s="4292"/>
      <c r="DJ1195" s="4292"/>
      <c r="DK1195" s="4292"/>
      <c r="DL1195" s="4292"/>
      <c r="DM1195" s="4292"/>
      <c r="DN1195" s="4292"/>
      <c r="DO1195" s="4292"/>
      <c r="DP1195" s="4292"/>
      <c r="DQ1195" s="4292"/>
      <c r="DR1195" s="4292"/>
      <c r="DS1195" s="4292"/>
    </row>
    <row r="1196" s="4133" customFormat="1" ht="23.25" spans="1:123">
      <c r="A1196" s="4292"/>
      <c r="B1196" s="4292"/>
      <c r="C1196" s="4292"/>
      <c r="D1196" s="4292"/>
      <c r="E1196" s="4292"/>
      <c r="F1196" s="4292"/>
      <c r="G1196" s="4292"/>
      <c r="H1196" s="5000" t="str">
        <f ca="1">PeriodOd&amp;"."&amp;" - "&amp;PeriodDo</f>
        <v>01.01.2025. - 31.12.2025</v>
      </c>
      <c r="I1196" s="5000"/>
      <c r="J1196" s="5000"/>
      <c r="K1196" s="5000"/>
      <c r="L1196" s="5000"/>
      <c r="M1196" s="5000"/>
      <c r="N1196" s="5000"/>
      <c r="O1196" s="5000"/>
      <c r="P1196" s="5000"/>
      <c r="Q1196" s="5000"/>
      <c r="R1196" s="5000"/>
      <c r="S1196" s="5000"/>
      <c r="T1196" s="5000"/>
      <c r="U1196" s="5000"/>
      <c r="V1196" s="4292"/>
      <c r="W1196" s="4292"/>
      <c r="X1196" s="4292"/>
      <c r="Y1196" s="4292"/>
      <c r="Z1196" s="4292"/>
      <c r="AA1196" s="4292"/>
      <c r="AB1196" s="4292"/>
      <c r="AC1196" s="4292"/>
      <c r="AD1196" s="4292"/>
      <c r="AE1196" s="4292"/>
      <c r="AF1196" s="4292"/>
      <c r="AG1196" s="4292"/>
      <c r="AH1196" s="4292"/>
      <c r="AI1196" s="4292"/>
      <c r="AJ1196" s="4292"/>
      <c r="AK1196" s="4292"/>
      <c r="AL1196" s="4292"/>
      <c r="AM1196" s="4292"/>
      <c r="AN1196" s="4292"/>
      <c r="AO1196" s="4292"/>
      <c r="AP1196" s="4292"/>
      <c r="AQ1196" s="4292"/>
      <c r="AR1196" s="4292"/>
      <c r="AS1196" s="4292"/>
      <c r="AT1196" s="4292"/>
      <c r="AU1196" s="4292"/>
      <c r="AV1196" s="4292"/>
      <c r="AW1196" s="4292"/>
      <c r="AX1196" s="4292"/>
      <c r="AY1196" s="4292"/>
      <c r="AZ1196" s="4292"/>
      <c r="BA1196" s="4292"/>
      <c r="BB1196" s="4292"/>
      <c r="BC1196" s="4292"/>
      <c r="BD1196" s="4292"/>
      <c r="BE1196" s="4292"/>
      <c r="BF1196" s="4292"/>
      <c r="BG1196" s="4292"/>
      <c r="BH1196" s="4292"/>
      <c r="BI1196" s="4292"/>
      <c r="BJ1196" s="4292"/>
      <c r="BK1196" s="4292"/>
      <c r="BL1196" s="4292"/>
      <c r="BM1196" s="4292"/>
      <c r="BN1196" s="4292"/>
      <c r="BO1196" s="4292"/>
      <c r="BP1196" s="4292"/>
      <c r="BQ1196" s="4292"/>
      <c r="BR1196" s="4292"/>
      <c r="BS1196" s="4292"/>
      <c r="BT1196" s="4292"/>
      <c r="BU1196" s="4292"/>
      <c r="BV1196" s="4292"/>
      <c r="BW1196" s="4292"/>
      <c r="BX1196" s="4292"/>
      <c r="BY1196" s="4292"/>
      <c r="BZ1196" s="4292"/>
      <c r="CA1196" s="4292"/>
      <c r="CB1196" s="4292"/>
      <c r="CC1196" s="4292"/>
      <c r="CD1196" s="4292"/>
      <c r="CE1196" s="4292"/>
      <c r="CF1196" s="4292"/>
      <c r="CG1196" s="4292"/>
      <c r="CH1196" s="4292"/>
      <c r="CI1196" s="4292"/>
      <c r="CJ1196" s="4292"/>
      <c r="CK1196" s="4292"/>
      <c r="CL1196" s="4292"/>
      <c r="CM1196" s="4292"/>
      <c r="CN1196" s="4292"/>
      <c r="CO1196" s="4292"/>
      <c r="CP1196" s="4292"/>
      <c r="CQ1196" s="4292"/>
      <c r="CR1196" s="4292"/>
      <c r="CS1196" s="4292"/>
      <c r="CT1196" s="4292"/>
      <c r="CU1196" s="4292"/>
      <c r="CV1196" s="4292"/>
      <c r="CW1196" s="4292"/>
      <c r="CX1196" s="4292"/>
      <c r="CY1196" s="4292"/>
      <c r="CZ1196" s="4292"/>
      <c r="DA1196" s="4292"/>
      <c r="DB1196" s="4292"/>
      <c r="DC1196" s="4292"/>
      <c r="DD1196" s="4292"/>
      <c r="DE1196" s="4292"/>
      <c r="DF1196" s="4292"/>
      <c r="DG1196" s="4292"/>
      <c r="DH1196" s="4292"/>
      <c r="DI1196" s="4292"/>
      <c r="DJ1196" s="4292"/>
      <c r="DK1196" s="4292"/>
      <c r="DL1196" s="4292"/>
      <c r="DM1196" s="4292"/>
      <c r="DN1196" s="4292"/>
      <c r="DO1196" s="4292"/>
      <c r="DP1196" s="4292"/>
      <c r="DQ1196" s="4292"/>
      <c r="DR1196" s="4292"/>
      <c r="DS1196" s="4292"/>
    </row>
    <row r="1197" s="4133" customFormat="1" ht="18" customHeight="1" spans="1:123">
      <c r="A1197" s="4862" t="s">
        <v>5152</v>
      </c>
      <c r="B1197" s="4862"/>
      <c r="C1197" s="4862"/>
      <c r="D1197" s="4862"/>
      <c r="E1197" s="4863"/>
      <c r="F1197" s="5001" t="s">
        <v>2438</v>
      </c>
      <c r="G1197" s="5002"/>
      <c r="H1197" s="5003" t="s">
        <v>5722</v>
      </c>
      <c r="I1197" s="5003"/>
      <c r="J1197" s="5003"/>
      <c r="K1197" s="5003"/>
      <c r="L1197" s="5003"/>
      <c r="M1197" s="5003"/>
      <c r="N1197" s="5003"/>
      <c r="O1197" s="5003"/>
      <c r="P1197" s="5003"/>
      <c r="Q1197" s="5003"/>
      <c r="R1197" s="5003"/>
      <c r="S1197" s="5003"/>
      <c r="T1197" s="5003"/>
      <c r="U1197" s="5003"/>
      <c r="V1197" s="5001" t="s">
        <v>2438</v>
      </c>
      <c r="W1197" s="5002"/>
      <c r="X1197" s="4292"/>
      <c r="Y1197" s="4292"/>
      <c r="Z1197" s="4292"/>
      <c r="AA1197" s="4292"/>
      <c r="AB1197" s="4292"/>
      <c r="AC1197" s="4292"/>
      <c r="AD1197" s="4292"/>
      <c r="AE1197" s="4292"/>
      <c r="AF1197" s="4292"/>
      <c r="AG1197" s="4292"/>
      <c r="AH1197" s="4292"/>
      <c r="AI1197" s="4292"/>
      <c r="AJ1197" s="4292"/>
      <c r="AK1197" s="4292"/>
      <c r="AL1197" s="4292"/>
      <c r="AM1197" s="4292"/>
      <c r="AN1197" s="4292"/>
      <c r="AO1197" s="4292"/>
      <c r="AP1197" s="4292"/>
      <c r="AQ1197" s="4292"/>
      <c r="AR1197" s="4292"/>
      <c r="AS1197" s="4292"/>
      <c r="AT1197" s="4292"/>
      <c r="AU1197" s="4292"/>
      <c r="AV1197" s="4292"/>
      <c r="AW1197" s="4292"/>
      <c r="AX1197" s="4292"/>
      <c r="AY1197" s="4292"/>
      <c r="AZ1197" s="4292"/>
      <c r="BA1197" s="4292"/>
      <c r="BB1197" s="4292"/>
      <c r="BC1197" s="4292"/>
      <c r="BD1197" s="4292"/>
      <c r="BE1197" s="4292"/>
      <c r="BF1197" s="4292"/>
      <c r="BG1197" s="4292"/>
      <c r="BH1197" s="4292"/>
      <c r="BI1197" s="4292"/>
      <c r="BJ1197" s="4292"/>
      <c r="BK1197" s="4292"/>
      <c r="BL1197" s="4292"/>
      <c r="BM1197" s="4292"/>
      <c r="BN1197" s="4292"/>
      <c r="BO1197" s="4292"/>
      <c r="BP1197" s="4292"/>
      <c r="BQ1197" s="4292"/>
      <c r="BR1197" s="4292"/>
      <c r="BS1197" s="4292"/>
      <c r="BT1197" s="4292"/>
      <c r="BU1197" s="4292"/>
      <c r="BV1197" s="4292"/>
      <c r="BW1197" s="4292"/>
      <c r="BX1197" s="4292"/>
      <c r="BY1197" s="4292"/>
      <c r="BZ1197" s="4292"/>
      <c r="CA1197" s="4292"/>
      <c r="CB1197" s="4292"/>
      <c r="CC1197" s="4292"/>
      <c r="CD1197" s="4292"/>
      <c r="CE1197" s="4292"/>
      <c r="CF1197" s="4292"/>
      <c r="CG1197" s="4292"/>
      <c r="CH1197" s="4292"/>
      <c r="CI1197" s="4292"/>
      <c r="CJ1197" s="4292"/>
      <c r="CK1197" s="4292"/>
      <c r="CL1197" s="4292"/>
      <c r="CM1197" s="4292"/>
      <c r="CN1197" s="4292"/>
      <c r="CO1197" s="4292"/>
      <c r="CP1197" s="4292"/>
      <c r="CQ1197" s="4292"/>
      <c r="CR1197" s="4292"/>
      <c r="CS1197" s="4292"/>
      <c r="CT1197" s="4292"/>
      <c r="CU1197" s="4292"/>
      <c r="CV1197" s="4292"/>
      <c r="CW1197" s="4292"/>
      <c r="CX1197" s="4292"/>
      <c r="CY1197" s="4292"/>
      <c r="CZ1197" s="4292"/>
      <c r="DA1197" s="4292"/>
      <c r="DB1197" s="4292"/>
      <c r="DC1197" s="4292"/>
      <c r="DD1197" s="4292"/>
      <c r="DE1197" s="4292"/>
      <c r="DF1197" s="4292"/>
      <c r="DG1197" s="4292"/>
      <c r="DH1197" s="4292"/>
      <c r="DI1197" s="4292"/>
      <c r="DJ1197" s="4292"/>
      <c r="DK1197" s="4292"/>
      <c r="DL1197" s="4292"/>
      <c r="DM1197" s="4292"/>
      <c r="DN1197" s="4292"/>
      <c r="DO1197" s="4292"/>
      <c r="DP1197" s="4292"/>
      <c r="DQ1197" s="4292"/>
      <c r="DR1197" s="4292"/>
      <c r="DS1197" s="4292"/>
    </row>
    <row r="1198" s="4134" customFormat="1" ht="18.75" customHeight="1" spans="1:123">
      <c r="A1198" s="4869"/>
      <c r="B1198" s="4869"/>
      <c r="C1198" s="4869"/>
      <c r="D1198" s="4869"/>
      <c r="E1198" s="4870"/>
      <c r="F1198" s="5004"/>
      <c r="G1198" s="5005"/>
      <c r="H1198" s="4873" t="s">
        <v>5723</v>
      </c>
      <c r="I1198" s="4874"/>
      <c r="J1198" s="4874"/>
      <c r="K1198" s="4874"/>
      <c r="L1198" s="4874"/>
      <c r="M1198" s="4874"/>
      <c r="N1198" s="4874"/>
      <c r="O1198" s="4874" t="s">
        <v>5724</v>
      </c>
      <c r="P1198" s="4874"/>
      <c r="Q1198" s="4874"/>
      <c r="R1198" s="4874"/>
      <c r="S1198" s="4874"/>
      <c r="T1198" s="4874"/>
      <c r="U1198" s="5006"/>
      <c r="V1198" s="5004"/>
      <c r="W1198" s="5005"/>
      <c r="X1198" s="4303"/>
      <c r="Y1198" s="4303"/>
      <c r="Z1198" s="4303"/>
      <c r="AA1198" s="4292"/>
      <c r="AB1198" s="4292"/>
      <c r="AC1198" s="4292"/>
      <c r="AD1198" s="4292"/>
      <c r="AE1198" s="4292"/>
      <c r="AF1198" s="4292"/>
      <c r="AG1198" s="4292"/>
      <c r="AH1198" s="4292"/>
      <c r="AI1198" s="4292"/>
      <c r="AJ1198" s="4292"/>
      <c r="AK1198" s="4292"/>
      <c r="AL1198" s="4292"/>
      <c r="AM1198" s="4292"/>
      <c r="AN1198" s="4292"/>
      <c r="AO1198" s="4292"/>
      <c r="AP1198" s="4292"/>
      <c r="AQ1198" s="4292"/>
      <c r="AR1198" s="4292"/>
      <c r="AS1198" s="4292"/>
      <c r="AT1198" s="4292"/>
      <c r="AU1198" s="4292"/>
      <c r="AV1198" s="4292"/>
      <c r="AW1198" s="4292"/>
      <c r="AX1198" s="4292"/>
      <c r="AY1198" s="4292"/>
      <c r="AZ1198" s="4292"/>
      <c r="BA1198" s="4292"/>
      <c r="BB1198" s="4292"/>
      <c r="BC1198" s="4292"/>
      <c r="BD1198" s="4292"/>
      <c r="BE1198" s="4292"/>
      <c r="BF1198" s="4292"/>
      <c r="BG1198" s="4292"/>
      <c r="BH1198" s="4292"/>
      <c r="BI1198" s="4292"/>
      <c r="BJ1198" s="4292"/>
      <c r="BK1198" s="4292"/>
      <c r="BL1198" s="4292"/>
      <c r="BM1198" s="4292"/>
      <c r="BN1198" s="4292"/>
      <c r="BO1198" s="4292"/>
      <c r="BP1198" s="4292"/>
      <c r="BQ1198" s="4292"/>
      <c r="BR1198" s="4292"/>
      <c r="BS1198" s="4292"/>
      <c r="BT1198" s="4292"/>
      <c r="BU1198" s="4292"/>
      <c r="BV1198" s="4292"/>
      <c r="BW1198" s="4292"/>
      <c r="BX1198" s="4292"/>
      <c r="BY1198" s="4292"/>
      <c r="BZ1198" s="4292"/>
      <c r="CA1198" s="4292"/>
      <c r="CB1198" s="4292"/>
      <c r="CC1198" s="4292"/>
      <c r="CD1198" s="4292"/>
      <c r="CE1198" s="4292"/>
      <c r="CF1198" s="4292"/>
      <c r="CG1198" s="4292"/>
      <c r="CH1198" s="4292"/>
      <c r="CI1198" s="4292"/>
      <c r="CJ1198" s="4292"/>
      <c r="CK1198" s="4292"/>
      <c r="CL1198" s="4292"/>
      <c r="CM1198" s="4292"/>
      <c r="CN1198" s="4292"/>
      <c r="CO1198" s="4292"/>
      <c r="CP1198" s="4292"/>
      <c r="CQ1198" s="4292"/>
      <c r="CR1198" s="4292"/>
      <c r="CS1198" s="4292"/>
      <c r="CT1198" s="4292"/>
      <c r="CU1198" s="4292"/>
      <c r="CV1198" s="4292"/>
      <c r="CW1198" s="4292"/>
      <c r="CX1198" s="4292"/>
      <c r="CY1198" s="4292"/>
      <c r="CZ1198" s="4292"/>
      <c r="DA1198" s="4292"/>
      <c r="DB1198" s="4292"/>
      <c r="DC1198" s="4292"/>
      <c r="DD1198" s="4292"/>
      <c r="DE1198" s="4292"/>
      <c r="DF1198" s="4292"/>
      <c r="DG1198" s="4292"/>
      <c r="DH1198" s="4292"/>
      <c r="DI1198" s="4292"/>
      <c r="DJ1198" s="4292"/>
      <c r="DK1198" s="4292"/>
      <c r="DL1198" s="4292"/>
      <c r="DM1198" s="4292"/>
      <c r="DN1198" s="4292"/>
      <c r="DO1198" s="4292"/>
      <c r="DP1198" s="4292"/>
      <c r="DQ1198" s="4292"/>
      <c r="DR1198" s="4292"/>
      <c r="DS1198" s="4292"/>
    </row>
    <row r="1199" s="4134" customFormat="1" ht="18.75" customHeight="1" spans="1:123">
      <c r="A1199" s="4878"/>
      <c r="B1199" s="4878"/>
      <c r="C1199" s="4878"/>
      <c r="D1199" s="4878"/>
      <c r="E1199" s="4878"/>
      <c r="F1199" s="4879"/>
      <c r="G1199" s="4880"/>
      <c r="H1199" s="5007" t="s">
        <v>5725</v>
      </c>
      <c r="I1199" s="5008"/>
      <c r="J1199" s="5008"/>
      <c r="K1199" s="5008"/>
      <c r="L1199" s="5008"/>
      <c r="M1199" s="5008"/>
      <c r="N1199" s="5008"/>
      <c r="O1199" s="5008" t="s">
        <v>5726</v>
      </c>
      <c r="P1199" s="5008"/>
      <c r="Q1199" s="5008"/>
      <c r="R1199" s="5008"/>
      <c r="S1199" s="5008"/>
      <c r="T1199" s="5008"/>
      <c r="U1199" s="5009"/>
      <c r="V1199" s="4879"/>
      <c r="W1199" s="4880"/>
      <c r="X1199" s="4303"/>
      <c r="Y1199" s="4303"/>
      <c r="Z1199" s="4303"/>
      <c r="AA1199" s="4292"/>
      <c r="AB1199" s="4292"/>
      <c r="AC1199" s="4292"/>
      <c r="AD1199" s="4292"/>
      <c r="AE1199" s="4292"/>
      <c r="AF1199" s="4292"/>
      <c r="AG1199" s="4292"/>
      <c r="AH1199" s="4292"/>
      <c r="AI1199" s="4292"/>
      <c r="AJ1199" s="4292"/>
      <c r="AK1199" s="4292"/>
      <c r="AL1199" s="4292"/>
      <c r="AM1199" s="4292"/>
      <c r="AN1199" s="4292"/>
      <c r="AO1199" s="4292"/>
      <c r="AP1199" s="4292"/>
      <c r="AQ1199" s="4292"/>
      <c r="AR1199" s="4292"/>
      <c r="AS1199" s="4292"/>
      <c r="AT1199" s="4292"/>
      <c r="AU1199" s="4292"/>
      <c r="AV1199" s="4292"/>
      <c r="AW1199" s="4292"/>
      <c r="AX1199" s="4292"/>
      <c r="AY1199" s="4292"/>
      <c r="AZ1199" s="4292"/>
      <c r="BA1199" s="4292"/>
      <c r="BB1199" s="4292"/>
      <c r="BC1199" s="4292"/>
      <c r="BD1199" s="4292"/>
      <c r="BE1199" s="4292"/>
      <c r="BF1199" s="4292"/>
      <c r="BG1199" s="4292"/>
      <c r="BH1199" s="4292"/>
      <c r="BI1199" s="4292"/>
      <c r="BJ1199" s="4292"/>
      <c r="BK1199" s="4292"/>
      <c r="BL1199" s="4292"/>
      <c r="BM1199" s="4292"/>
      <c r="BN1199" s="4292"/>
      <c r="BO1199" s="4292"/>
      <c r="BP1199" s="4292"/>
      <c r="BQ1199" s="4292"/>
      <c r="BR1199" s="4292"/>
      <c r="BS1199" s="4292"/>
      <c r="BT1199" s="4292"/>
      <c r="BU1199" s="4292"/>
      <c r="BV1199" s="4292"/>
      <c r="BW1199" s="4292"/>
      <c r="BX1199" s="4292"/>
      <c r="BY1199" s="4292"/>
      <c r="BZ1199" s="4292"/>
      <c r="CA1199" s="4292"/>
      <c r="CB1199" s="4292"/>
      <c r="CC1199" s="4292"/>
      <c r="CD1199" s="4292"/>
      <c r="CE1199" s="4292"/>
      <c r="CF1199" s="4292"/>
      <c r="CG1199" s="4292"/>
      <c r="CH1199" s="4292"/>
      <c r="CI1199" s="4292"/>
      <c r="CJ1199" s="4292"/>
      <c r="CK1199" s="4292"/>
      <c r="CL1199" s="4292"/>
      <c r="CM1199" s="4292"/>
      <c r="CN1199" s="4292"/>
      <c r="CO1199" s="4292"/>
      <c r="CP1199" s="4292"/>
      <c r="CQ1199" s="4292"/>
      <c r="CR1199" s="4292"/>
      <c r="CS1199" s="4292"/>
      <c r="CT1199" s="4292"/>
      <c r="CU1199" s="4292"/>
      <c r="CV1199" s="4292"/>
      <c r="CW1199" s="4292"/>
      <c r="CX1199" s="4292"/>
      <c r="CY1199" s="4292"/>
      <c r="CZ1199" s="4292"/>
      <c r="DA1199" s="4292"/>
      <c r="DB1199" s="4292"/>
      <c r="DC1199" s="4292"/>
      <c r="DD1199" s="4292"/>
      <c r="DE1199" s="4292"/>
      <c r="DF1199" s="4292"/>
      <c r="DG1199" s="4292"/>
      <c r="DH1199" s="4292"/>
      <c r="DI1199" s="4292"/>
      <c r="DJ1199" s="4292"/>
      <c r="DK1199" s="4292"/>
      <c r="DL1199" s="4292"/>
      <c r="DM1199" s="4292"/>
      <c r="DN1199" s="4292"/>
      <c r="DO1199" s="4292"/>
      <c r="DP1199" s="4292"/>
      <c r="DQ1199" s="4292"/>
      <c r="DR1199" s="4292"/>
      <c r="DS1199" s="4292"/>
    </row>
    <row r="1200" s="4134" customFormat="1" ht="18.75" customHeight="1" spans="1:123">
      <c r="A1200" s="5010" t="s">
        <v>5295</v>
      </c>
      <c r="B1200" s="5011"/>
      <c r="C1200" s="5011"/>
      <c r="D1200" s="5011"/>
      <c r="E1200" s="5011"/>
      <c r="F1200" s="5012">
        <v>553</v>
      </c>
      <c r="G1200" s="5012"/>
      <c r="H1200" s="5013"/>
      <c r="I1200" s="5013"/>
      <c r="J1200" s="5013"/>
      <c r="K1200" s="5013"/>
      <c r="L1200" s="5013"/>
      <c r="M1200" s="5013"/>
      <c r="N1200" s="5013"/>
      <c r="O1200" s="5014"/>
      <c r="P1200" s="5014"/>
      <c r="Q1200" s="5014"/>
      <c r="R1200" s="5014"/>
      <c r="S1200" s="5014"/>
      <c r="T1200" s="5014"/>
      <c r="U1200" s="5014"/>
      <c r="V1200" s="5012">
        <v>554</v>
      </c>
      <c r="W1200" s="5012"/>
      <c r="X1200" s="4893">
        <v>1200</v>
      </c>
      <c r="Y1200" s="4893"/>
      <c r="Z1200" s="4302" t="s">
        <v>5296</v>
      </c>
      <c r="AA1200" s="4302"/>
      <c r="AB1200" s="4303"/>
      <c r="AC1200" s="4303"/>
      <c r="AD1200" s="4303"/>
      <c r="AE1200" s="4303"/>
      <c r="AF1200" s="4303"/>
      <c r="AG1200" s="4303"/>
      <c r="AH1200" s="4303"/>
      <c r="AI1200" s="4303"/>
      <c r="AJ1200" s="4303"/>
      <c r="AK1200" s="4303"/>
      <c r="AL1200" s="4303"/>
      <c r="AM1200" s="4292"/>
      <c r="AN1200" s="4292"/>
      <c r="AO1200" s="4292"/>
      <c r="AP1200" s="4292"/>
      <c r="AQ1200" s="4292"/>
      <c r="AR1200" s="4292"/>
      <c r="AS1200" s="4292"/>
      <c r="AT1200" s="4292"/>
      <c r="AU1200" s="4292"/>
      <c r="AV1200" s="4292"/>
      <c r="AW1200" s="4292"/>
      <c r="AX1200" s="4292"/>
      <c r="AY1200" s="4292"/>
      <c r="AZ1200" s="4292"/>
      <c r="BA1200" s="4292"/>
      <c r="BB1200" s="4292"/>
      <c r="BC1200" s="4292"/>
      <c r="BD1200" s="4292"/>
      <c r="BE1200" s="4292"/>
      <c r="BF1200" s="4292"/>
      <c r="BG1200" s="4292"/>
      <c r="BH1200" s="4292"/>
      <c r="BI1200" s="4292"/>
      <c r="BJ1200" s="4292"/>
      <c r="BK1200" s="4292"/>
      <c r="BL1200" s="4292"/>
      <c r="BM1200" s="4292"/>
      <c r="BN1200" s="4292"/>
      <c r="BO1200" s="4292"/>
      <c r="BP1200" s="4292"/>
      <c r="BQ1200" s="4292"/>
      <c r="BR1200" s="4292"/>
      <c r="BS1200" s="4292"/>
      <c r="BT1200" s="4292"/>
      <c r="BU1200" s="4292"/>
      <c r="BV1200" s="4292"/>
      <c r="BW1200" s="4292"/>
      <c r="BX1200" s="4292"/>
      <c r="BY1200" s="4292"/>
      <c r="BZ1200" s="4292"/>
      <c r="CA1200" s="4292"/>
      <c r="CB1200" s="4292"/>
      <c r="CC1200" s="4292"/>
      <c r="CD1200" s="4292"/>
      <c r="CE1200" s="4292"/>
      <c r="CF1200" s="4292"/>
      <c r="CG1200" s="4292"/>
      <c r="CH1200" s="4292"/>
      <c r="CI1200" s="4292"/>
      <c r="CJ1200" s="4292"/>
      <c r="CK1200" s="4292"/>
      <c r="CL1200" s="4292"/>
      <c r="CM1200" s="4292"/>
      <c r="CN1200" s="4292"/>
      <c r="CO1200" s="4292"/>
      <c r="CP1200" s="4292"/>
      <c r="CQ1200" s="4292"/>
      <c r="CR1200" s="4292"/>
      <c r="CS1200" s="4292"/>
      <c r="CT1200" s="4292"/>
      <c r="CU1200" s="4292"/>
      <c r="CV1200" s="4292"/>
      <c r="CW1200" s="4292"/>
      <c r="CX1200" s="4292"/>
      <c r="CY1200" s="4292"/>
      <c r="CZ1200" s="4292"/>
      <c r="DA1200" s="4292"/>
      <c r="DB1200" s="4292"/>
      <c r="DC1200" s="4292"/>
      <c r="DD1200" s="4292"/>
      <c r="DE1200" s="4292"/>
      <c r="DF1200" s="4292"/>
      <c r="DG1200" s="4292"/>
      <c r="DH1200" s="4292"/>
      <c r="DI1200" s="4292"/>
      <c r="DJ1200" s="4292"/>
      <c r="DK1200" s="4292"/>
      <c r="DL1200" s="4292"/>
      <c r="DM1200" s="4292"/>
      <c r="DN1200" s="4292"/>
      <c r="DO1200" s="4292"/>
      <c r="DP1200" s="4292"/>
      <c r="DQ1200" s="4292"/>
      <c r="DR1200" s="4292"/>
      <c r="DS1200" s="4292"/>
    </row>
    <row r="1201" s="4134" customFormat="1" ht="18.75" customHeight="1" spans="1:123">
      <c r="A1201" s="5010" t="s">
        <v>5297</v>
      </c>
      <c r="B1201" s="5011"/>
      <c r="C1201" s="5011"/>
      <c r="D1201" s="5011"/>
      <c r="E1201" s="5011"/>
      <c r="F1201" s="5012">
        <v>555</v>
      </c>
      <c r="G1201" s="5012"/>
      <c r="H1201" s="5013"/>
      <c r="I1201" s="5013"/>
      <c r="J1201" s="5013"/>
      <c r="K1201" s="5013"/>
      <c r="L1201" s="5013"/>
      <c r="M1201" s="5013"/>
      <c r="N1201" s="5013"/>
      <c r="O1201" s="5014"/>
      <c r="P1201" s="5014"/>
      <c r="Q1201" s="5014"/>
      <c r="R1201" s="5014"/>
      <c r="S1201" s="5014"/>
      <c r="T1201" s="5014"/>
      <c r="U1201" s="5014"/>
      <c r="V1201" s="5012">
        <v>556</v>
      </c>
      <c r="W1201" s="5012"/>
      <c r="X1201" s="4303"/>
      <c r="Y1201" s="4303"/>
      <c r="Z1201" s="4302" t="s">
        <v>5298</v>
      </c>
      <c r="AA1201" s="4303"/>
      <c r="AB1201" s="4303"/>
      <c r="AC1201" s="4303"/>
      <c r="AD1201" s="4303"/>
      <c r="AE1201" s="4303"/>
      <c r="AF1201" s="4303"/>
      <c r="AG1201" s="4303"/>
      <c r="AH1201" s="4303"/>
      <c r="AI1201" s="4303"/>
      <c r="AJ1201" s="4303"/>
      <c r="AK1201" s="4303"/>
      <c r="AL1201" s="4303"/>
      <c r="AM1201" s="4303"/>
      <c r="AN1201" s="4303"/>
      <c r="AO1201" s="4303"/>
      <c r="AP1201" s="4303"/>
      <c r="AQ1201" s="4303"/>
      <c r="AR1201" s="4303"/>
      <c r="AS1201" s="4303"/>
      <c r="AT1201" s="4303"/>
      <c r="AU1201" s="4303"/>
      <c r="AV1201" s="4303"/>
      <c r="AW1201" s="4303"/>
      <c r="AX1201" s="4303"/>
      <c r="AY1201" s="4303"/>
      <c r="AZ1201" s="4303"/>
      <c r="BA1201" s="4303"/>
      <c r="BB1201" s="4303"/>
      <c r="BC1201" s="4303"/>
      <c r="BD1201" s="4303"/>
      <c r="BE1201" s="4303"/>
      <c r="BF1201" s="4303"/>
      <c r="BG1201" s="4303"/>
      <c r="BH1201" s="4303"/>
      <c r="BI1201" s="4303"/>
      <c r="BJ1201" s="4303"/>
      <c r="BK1201" s="4303"/>
      <c r="BL1201" s="4303"/>
      <c r="BM1201" s="4303"/>
      <c r="BN1201" s="4303"/>
      <c r="BO1201" s="4303"/>
      <c r="BP1201" s="4303"/>
      <c r="BQ1201" s="4303"/>
      <c r="BR1201" s="4303"/>
      <c r="BS1201" s="4303"/>
      <c r="BT1201" s="4303"/>
      <c r="BU1201" s="4303"/>
      <c r="BV1201" s="4303"/>
      <c r="BW1201" s="4303"/>
      <c r="BX1201" s="4303"/>
      <c r="BY1201" s="4303"/>
      <c r="BZ1201" s="4303"/>
      <c r="CA1201" s="4303"/>
      <c r="CB1201" s="4303"/>
      <c r="CC1201" s="4303"/>
      <c r="CD1201" s="4303"/>
      <c r="CE1201" s="4303"/>
      <c r="CF1201" s="4303"/>
      <c r="CG1201" s="4303"/>
      <c r="CH1201" s="4303"/>
      <c r="CI1201" s="4303"/>
      <c r="CJ1201" s="4303"/>
      <c r="CK1201" s="4303"/>
      <c r="CL1201" s="4303"/>
      <c r="CM1201" s="4303"/>
      <c r="CN1201" s="4303"/>
      <c r="CO1201" s="4303"/>
      <c r="CP1201" s="4303"/>
      <c r="CQ1201" s="4303"/>
      <c r="CR1201" s="4303"/>
      <c r="CS1201" s="4303"/>
      <c r="CT1201" s="4303"/>
      <c r="CU1201" s="4303"/>
      <c r="CV1201" s="4303"/>
      <c r="CW1201" s="4303"/>
      <c r="CX1201" s="4303"/>
      <c r="CY1201" s="4303"/>
      <c r="CZ1201" s="4303"/>
      <c r="DA1201" s="4303"/>
      <c r="DB1201" s="4303"/>
      <c r="DC1201" s="4303"/>
      <c r="DD1201" s="4303"/>
      <c r="DE1201" s="4303"/>
      <c r="DF1201" s="4303"/>
      <c r="DG1201" s="4303"/>
      <c r="DH1201" s="4303"/>
      <c r="DI1201" s="4303"/>
      <c r="DJ1201" s="4303"/>
      <c r="DK1201" s="4303"/>
      <c r="DL1201" s="4303"/>
      <c r="DM1201" s="4303"/>
      <c r="DN1201" s="4303"/>
      <c r="DO1201" s="4303"/>
      <c r="DP1201" s="4303"/>
      <c r="DQ1201" s="4303"/>
      <c r="DR1201" s="4303"/>
      <c r="DS1201" s="4303"/>
    </row>
    <row r="1202" s="4134" customFormat="1" ht="18.75" customHeight="1" spans="1:123">
      <c r="A1202" s="5010" t="s">
        <v>5299</v>
      </c>
      <c r="B1202" s="5011"/>
      <c r="C1202" s="5011"/>
      <c r="D1202" s="5011"/>
      <c r="E1202" s="5011"/>
      <c r="F1202" s="5012">
        <v>557</v>
      </c>
      <c r="G1202" s="5012"/>
      <c r="H1202" s="5013"/>
      <c r="I1202" s="5013"/>
      <c r="J1202" s="5013"/>
      <c r="K1202" s="5013"/>
      <c r="L1202" s="5013"/>
      <c r="M1202" s="5013"/>
      <c r="N1202" s="5013"/>
      <c r="O1202" s="5014"/>
      <c r="P1202" s="5014"/>
      <c r="Q1202" s="5014"/>
      <c r="R1202" s="5014"/>
      <c r="S1202" s="5014"/>
      <c r="T1202" s="5014"/>
      <c r="U1202" s="5014"/>
      <c r="V1202" s="5012">
        <v>558</v>
      </c>
      <c r="W1202" s="5012"/>
      <c r="X1202" s="4303"/>
      <c r="Y1202" s="4303"/>
      <c r="Z1202" s="4302" t="s">
        <v>3086</v>
      </c>
      <c r="AA1202" s="4303"/>
      <c r="AB1202" s="4303"/>
      <c r="AC1202" s="4303"/>
      <c r="AD1202" s="4303"/>
      <c r="AE1202" s="4303"/>
      <c r="AF1202" s="4303"/>
      <c r="AG1202" s="4303"/>
      <c r="AH1202" s="4303"/>
      <c r="AI1202" s="4303"/>
      <c r="AJ1202" s="4303"/>
      <c r="AK1202" s="4303"/>
      <c r="AL1202" s="4303"/>
      <c r="AM1202" s="4303"/>
      <c r="AN1202" s="4303"/>
      <c r="AO1202" s="4303"/>
      <c r="AP1202" s="4303"/>
      <c r="AQ1202" s="4303"/>
      <c r="AR1202" s="4303"/>
      <c r="AS1202" s="4303"/>
      <c r="AT1202" s="4303"/>
      <c r="AU1202" s="4303"/>
      <c r="AV1202" s="4303"/>
      <c r="AW1202" s="4303"/>
      <c r="AX1202" s="4303"/>
      <c r="AY1202" s="4303"/>
      <c r="AZ1202" s="4303"/>
      <c r="BA1202" s="4303"/>
      <c r="BB1202" s="4303"/>
      <c r="BC1202" s="4303"/>
      <c r="BD1202" s="4303"/>
      <c r="BE1202" s="4303"/>
      <c r="BF1202" s="4303"/>
      <c r="BG1202" s="4303"/>
      <c r="BH1202" s="4303"/>
      <c r="BI1202" s="4303"/>
      <c r="BJ1202" s="4303"/>
      <c r="BK1202" s="4303"/>
      <c r="BL1202" s="4303"/>
      <c r="BM1202" s="4303"/>
      <c r="BN1202" s="4303"/>
      <c r="BO1202" s="4303"/>
      <c r="BP1202" s="4303"/>
      <c r="BQ1202" s="4303"/>
      <c r="BR1202" s="4303"/>
      <c r="BS1202" s="4303"/>
      <c r="BT1202" s="4303"/>
      <c r="BU1202" s="4303"/>
      <c r="BV1202" s="4303"/>
      <c r="BW1202" s="4303"/>
      <c r="BX1202" s="4303"/>
      <c r="BY1202" s="4303"/>
      <c r="BZ1202" s="4303"/>
      <c r="CA1202" s="4303"/>
      <c r="CB1202" s="4303"/>
      <c r="CC1202" s="4303"/>
      <c r="CD1202" s="4303"/>
      <c r="CE1202" s="4303"/>
      <c r="CF1202" s="4303"/>
      <c r="CG1202" s="4303"/>
      <c r="CH1202" s="4303"/>
      <c r="CI1202" s="4303"/>
      <c r="CJ1202" s="4303"/>
      <c r="CK1202" s="4303"/>
      <c r="CL1202" s="4303"/>
      <c r="CM1202" s="4303"/>
      <c r="CN1202" s="4303"/>
      <c r="CO1202" s="4303"/>
      <c r="CP1202" s="4303"/>
      <c r="CQ1202" s="4303"/>
      <c r="CR1202" s="4303"/>
      <c r="CS1202" s="4303"/>
      <c r="CT1202" s="4303"/>
      <c r="CU1202" s="4303"/>
      <c r="CV1202" s="4303"/>
      <c r="CW1202" s="4303"/>
      <c r="CX1202" s="4303"/>
      <c r="CY1202" s="4303"/>
      <c r="CZ1202" s="4303"/>
      <c r="DA1202" s="4303"/>
      <c r="DB1202" s="4303"/>
      <c r="DC1202" s="4303"/>
      <c r="DD1202" s="4303"/>
      <c r="DE1202" s="4303"/>
      <c r="DF1202" s="4303"/>
      <c r="DG1202" s="4303"/>
      <c r="DH1202" s="4303"/>
      <c r="DI1202" s="4303"/>
      <c r="DJ1202" s="4303"/>
      <c r="DK1202" s="4303"/>
      <c r="DL1202" s="4303"/>
      <c r="DM1202" s="4303"/>
      <c r="DN1202" s="4303"/>
      <c r="DO1202" s="4303"/>
      <c r="DP1202" s="4303"/>
      <c r="DQ1202" s="4303"/>
      <c r="DR1202" s="4303"/>
      <c r="DS1202" s="4303"/>
    </row>
    <row r="1203" s="4134" customFormat="1" ht="18.75" customHeight="1" spans="1:123">
      <c r="A1203" s="5010" t="s">
        <v>5301</v>
      </c>
      <c r="B1203" s="5010"/>
      <c r="C1203" s="5010"/>
      <c r="D1203" s="5010"/>
      <c r="E1203" s="5010"/>
      <c r="F1203" s="5012">
        <v>563</v>
      </c>
      <c r="G1203" s="5012"/>
      <c r="H1203" s="5013"/>
      <c r="I1203" s="5013"/>
      <c r="J1203" s="5013"/>
      <c r="K1203" s="5013"/>
      <c r="L1203" s="5013"/>
      <c r="M1203" s="5013"/>
      <c r="N1203" s="5013"/>
      <c r="O1203" s="5014"/>
      <c r="P1203" s="5014"/>
      <c r="Q1203" s="5014"/>
      <c r="R1203" s="5014"/>
      <c r="S1203" s="5014"/>
      <c r="T1203" s="5014"/>
      <c r="U1203" s="5014"/>
      <c r="V1203" s="5012">
        <v>562</v>
      </c>
      <c r="W1203" s="5012"/>
      <c r="X1203" s="4303"/>
      <c r="Y1203" s="4303"/>
      <c r="Z1203" s="4302" t="s">
        <v>5302</v>
      </c>
      <c r="AA1203" s="4303"/>
      <c r="AB1203" s="4303"/>
      <c r="AC1203" s="4303"/>
      <c r="AD1203" s="4303"/>
      <c r="AE1203" s="4303"/>
      <c r="AF1203" s="4303"/>
      <c r="AG1203" s="4303"/>
      <c r="AH1203" s="4303"/>
      <c r="AI1203" s="4303"/>
      <c r="AJ1203" s="4303"/>
      <c r="AK1203" s="4303"/>
      <c r="AL1203" s="4303"/>
      <c r="AM1203" s="4303"/>
      <c r="AN1203" s="4303"/>
      <c r="AO1203" s="4303"/>
      <c r="AP1203" s="4303"/>
      <c r="AQ1203" s="4303"/>
      <c r="AR1203" s="4303"/>
      <c r="AS1203" s="4303"/>
      <c r="AT1203" s="4303"/>
      <c r="AU1203" s="4303"/>
      <c r="AV1203" s="4303"/>
      <c r="AW1203" s="4303"/>
      <c r="AX1203" s="4303"/>
      <c r="AY1203" s="4303"/>
      <c r="AZ1203" s="4303"/>
      <c r="BA1203" s="4303"/>
      <c r="BB1203" s="4303"/>
      <c r="BC1203" s="4303"/>
      <c r="BD1203" s="4303"/>
      <c r="BE1203" s="4303"/>
      <c r="BF1203" s="4303"/>
      <c r="BG1203" s="4303"/>
      <c r="BH1203" s="4303"/>
      <c r="BI1203" s="4303"/>
      <c r="BJ1203" s="4303"/>
      <c r="BK1203" s="4303"/>
      <c r="BL1203" s="4303"/>
      <c r="BM1203" s="4303"/>
      <c r="BN1203" s="4303"/>
      <c r="BO1203" s="4303"/>
      <c r="BP1203" s="4303"/>
      <c r="BQ1203" s="4303"/>
      <c r="BR1203" s="4303"/>
      <c r="BS1203" s="4303"/>
      <c r="BT1203" s="4303"/>
      <c r="BU1203" s="4303"/>
      <c r="BV1203" s="4303"/>
      <c r="BW1203" s="4303"/>
      <c r="BX1203" s="4303"/>
      <c r="BY1203" s="4303"/>
      <c r="BZ1203" s="4303"/>
      <c r="CA1203" s="4303"/>
      <c r="CB1203" s="4303"/>
      <c r="CC1203" s="4303"/>
      <c r="CD1203" s="4303"/>
      <c r="CE1203" s="4303"/>
      <c r="CF1203" s="4303"/>
      <c r="CG1203" s="4303"/>
      <c r="CH1203" s="4303"/>
      <c r="CI1203" s="4303"/>
      <c r="CJ1203" s="4303"/>
      <c r="CK1203" s="4303"/>
      <c r="CL1203" s="4303"/>
      <c r="CM1203" s="4303"/>
      <c r="CN1203" s="4303"/>
      <c r="CO1203" s="4303"/>
      <c r="CP1203" s="4303"/>
      <c r="CQ1203" s="4303"/>
      <c r="CR1203" s="4303"/>
      <c r="CS1203" s="4303"/>
      <c r="CT1203" s="4303"/>
      <c r="CU1203" s="4303"/>
      <c r="CV1203" s="4303"/>
      <c r="CW1203" s="4303"/>
      <c r="CX1203" s="4303"/>
      <c r="CY1203" s="4303"/>
      <c r="CZ1203" s="4303"/>
      <c r="DA1203" s="4303"/>
      <c r="DB1203" s="4303"/>
      <c r="DC1203" s="4303"/>
      <c r="DD1203" s="4303"/>
      <c r="DE1203" s="4303"/>
      <c r="DF1203" s="4303"/>
      <c r="DG1203" s="4303"/>
      <c r="DH1203" s="4303"/>
      <c r="DI1203" s="4303"/>
      <c r="DJ1203" s="4303"/>
      <c r="DK1203" s="4303"/>
      <c r="DL1203" s="4303"/>
      <c r="DM1203" s="4303"/>
      <c r="DN1203" s="4303"/>
      <c r="DO1203" s="4303"/>
      <c r="DP1203" s="4303"/>
      <c r="DQ1203" s="4303"/>
      <c r="DR1203" s="4303"/>
      <c r="DS1203" s="4303"/>
    </row>
    <row r="1204" s="4134" customFormat="1" ht="18.75" customHeight="1" spans="1:123">
      <c r="A1204" s="5010" t="s">
        <v>5303</v>
      </c>
      <c r="B1204" s="5011"/>
      <c r="C1204" s="5011"/>
      <c r="D1204" s="5011"/>
      <c r="E1204" s="5011"/>
      <c r="F1204" s="5012">
        <v>575</v>
      </c>
      <c r="G1204" s="5012"/>
      <c r="H1204" s="5013"/>
      <c r="I1204" s="5013"/>
      <c r="J1204" s="5013"/>
      <c r="K1204" s="5013"/>
      <c r="L1204" s="5013"/>
      <c r="M1204" s="5013"/>
      <c r="N1204" s="5013"/>
      <c r="O1204" s="5014"/>
      <c r="P1204" s="5014"/>
      <c r="Q1204" s="5014"/>
      <c r="R1204" s="5014"/>
      <c r="S1204" s="5014"/>
      <c r="T1204" s="5014"/>
      <c r="U1204" s="5014"/>
      <c r="V1204" s="5012">
        <v>574</v>
      </c>
      <c r="W1204" s="5012"/>
      <c r="X1204" s="4303"/>
      <c r="Y1204" s="4303"/>
      <c r="Z1204" s="4302" t="s">
        <v>5304</v>
      </c>
      <c r="AA1204" s="4303"/>
      <c r="AB1204" s="4303"/>
      <c r="AC1204" s="4303"/>
      <c r="AD1204" s="4303"/>
      <c r="AE1204" s="4303"/>
      <c r="AF1204" s="4303"/>
      <c r="AG1204" s="4303"/>
      <c r="AH1204" s="4303"/>
      <c r="AI1204" s="4303"/>
      <c r="AJ1204" s="4303"/>
      <c r="AK1204" s="4303"/>
      <c r="AL1204" s="4303"/>
      <c r="AM1204" s="4303"/>
      <c r="AN1204" s="4303"/>
      <c r="AO1204" s="4303"/>
      <c r="AP1204" s="4303"/>
      <c r="AQ1204" s="4303"/>
      <c r="AR1204" s="4303"/>
      <c r="AS1204" s="4303"/>
      <c r="AT1204" s="4303"/>
      <c r="AU1204" s="4303"/>
      <c r="AV1204" s="4303"/>
      <c r="AW1204" s="4303"/>
      <c r="AX1204" s="4303"/>
      <c r="AY1204" s="4303"/>
      <c r="AZ1204" s="4303"/>
      <c r="BA1204" s="4303"/>
      <c r="BB1204" s="4303"/>
      <c r="BC1204" s="4303"/>
      <c r="BD1204" s="4303"/>
      <c r="BE1204" s="4303"/>
      <c r="BF1204" s="4303"/>
      <c r="BG1204" s="4303"/>
      <c r="BH1204" s="4303"/>
      <c r="BI1204" s="4303"/>
      <c r="BJ1204" s="4303"/>
      <c r="BK1204" s="4303"/>
      <c r="BL1204" s="4303"/>
      <c r="BM1204" s="4303"/>
      <c r="BN1204" s="4303"/>
      <c r="BO1204" s="4303"/>
      <c r="BP1204" s="4303"/>
      <c r="BQ1204" s="4303"/>
      <c r="BR1204" s="4303"/>
      <c r="BS1204" s="4303"/>
      <c r="BT1204" s="4303"/>
      <c r="BU1204" s="4303"/>
      <c r="BV1204" s="4303"/>
      <c r="BW1204" s="4303"/>
      <c r="BX1204" s="4303"/>
      <c r="BY1204" s="4303"/>
      <c r="BZ1204" s="4303"/>
      <c r="CA1204" s="4303"/>
      <c r="CB1204" s="4303"/>
      <c r="CC1204" s="4303"/>
      <c r="CD1204" s="4303"/>
      <c r="CE1204" s="4303"/>
      <c r="CF1204" s="4303"/>
      <c r="CG1204" s="4303"/>
      <c r="CH1204" s="4303"/>
      <c r="CI1204" s="4303"/>
      <c r="CJ1204" s="4303"/>
      <c r="CK1204" s="4303"/>
      <c r="CL1204" s="4303"/>
      <c r="CM1204" s="4303"/>
      <c r="CN1204" s="4303"/>
      <c r="CO1204" s="4303"/>
      <c r="CP1204" s="4303"/>
      <c r="CQ1204" s="4303"/>
      <c r="CR1204" s="4303"/>
      <c r="CS1204" s="4303"/>
      <c r="CT1204" s="4303"/>
      <c r="CU1204" s="4303"/>
      <c r="CV1204" s="4303"/>
      <c r="CW1204" s="4303"/>
      <c r="CX1204" s="4303"/>
      <c r="CY1204" s="4303"/>
      <c r="CZ1204" s="4303"/>
      <c r="DA1204" s="4303"/>
      <c r="DB1204" s="4303"/>
      <c r="DC1204" s="4303"/>
      <c r="DD1204" s="4303"/>
      <c r="DE1204" s="4303"/>
      <c r="DF1204" s="4303"/>
      <c r="DG1204" s="4303"/>
      <c r="DH1204" s="4303"/>
      <c r="DI1204" s="4303"/>
      <c r="DJ1204" s="4303"/>
      <c r="DK1204" s="4303"/>
      <c r="DL1204" s="4303"/>
      <c r="DM1204" s="4303"/>
      <c r="DN1204" s="4303"/>
      <c r="DO1204" s="4303"/>
      <c r="DP1204" s="4303"/>
      <c r="DQ1204" s="4303"/>
      <c r="DR1204" s="4303"/>
      <c r="DS1204" s="4303"/>
    </row>
    <row r="1205" s="4134" customFormat="1" ht="18.75" customHeight="1" spans="1:123">
      <c r="A1205" s="5010" t="s">
        <v>5305</v>
      </c>
      <c r="B1205" s="5011"/>
      <c r="C1205" s="5011"/>
      <c r="D1205" s="5011"/>
      <c r="E1205" s="5011"/>
      <c r="F1205" s="5012">
        <v>544</v>
      </c>
      <c r="G1205" s="5012"/>
      <c r="H1205" s="5013"/>
      <c r="I1205" s="5013"/>
      <c r="J1205" s="5013"/>
      <c r="K1205" s="5013"/>
      <c r="L1205" s="5013"/>
      <c r="M1205" s="5013"/>
      <c r="N1205" s="5013"/>
      <c r="O1205" s="5014"/>
      <c r="P1205" s="5014"/>
      <c r="Q1205" s="5014"/>
      <c r="R1205" s="5014"/>
      <c r="S1205" s="5014"/>
      <c r="T1205" s="5014"/>
      <c r="U1205" s="5014"/>
      <c r="V1205" s="5012">
        <v>545</v>
      </c>
      <c r="W1205" s="5012"/>
      <c r="X1205" s="4303"/>
      <c r="Y1205" s="4303"/>
      <c r="Z1205" s="4302" t="s">
        <v>5306</v>
      </c>
      <c r="AA1205" s="4303"/>
      <c r="AB1205" s="4303"/>
      <c r="AC1205" s="4303"/>
      <c r="AD1205" s="4303"/>
      <c r="AE1205" s="4303"/>
      <c r="AF1205" s="4303"/>
      <c r="AG1205" s="4303"/>
      <c r="AH1205" s="4303"/>
      <c r="AI1205" s="4303"/>
      <c r="AJ1205" s="4303"/>
      <c r="AK1205" s="4303"/>
      <c r="AL1205" s="4303"/>
      <c r="AM1205" s="4303"/>
      <c r="AN1205" s="4303"/>
      <c r="AO1205" s="4303"/>
      <c r="AP1205" s="4303"/>
      <c r="AQ1205" s="4303"/>
      <c r="AR1205" s="4303"/>
      <c r="AS1205" s="4303"/>
      <c r="AT1205" s="4303"/>
      <c r="AU1205" s="4303"/>
      <c r="AV1205" s="4303"/>
      <c r="AW1205" s="4303"/>
      <c r="AX1205" s="4303"/>
      <c r="AY1205" s="4303"/>
      <c r="AZ1205" s="4303"/>
      <c r="BA1205" s="4303"/>
      <c r="BB1205" s="4303"/>
      <c r="BC1205" s="4303"/>
      <c r="BD1205" s="4303"/>
      <c r="BE1205" s="4303"/>
      <c r="BF1205" s="4303"/>
      <c r="BG1205" s="4303"/>
      <c r="BH1205" s="4303"/>
      <c r="BI1205" s="4303"/>
      <c r="BJ1205" s="4303"/>
      <c r="BK1205" s="4303"/>
      <c r="BL1205" s="4303"/>
      <c r="BM1205" s="4303"/>
      <c r="BN1205" s="4303"/>
      <c r="BO1205" s="4303"/>
      <c r="BP1205" s="4303"/>
      <c r="BQ1205" s="4303"/>
      <c r="BR1205" s="4303"/>
      <c r="BS1205" s="4303"/>
      <c r="BT1205" s="4303"/>
      <c r="BU1205" s="4303"/>
      <c r="BV1205" s="4303"/>
      <c r="BW1205" s="4303"/>
      <c r="BX1205" s="4303"/>
      <c r="BY1205" s="4303"/>
      <c r="BZ1205" s="4303"/>
      <c r="CA1205" s="4303"/>
      <c r="CB1205" s="4303"/>
      <c r="CC1205" s="4303"/>
      <c r="CD1205" s="4303"/>
      <c r="CE1205" s="4303"/>
      <c r="CF1205" s="4303"/>
      <c r="CG1205" s="4303"/>
      <c r="CH1205" s="4303"/>
      <c r="CI1205" s="4303"/>
      <c r="CJ1205" s="4303"/>
      <c r="CK1205" s="4303"/>
      <c r="CL1205" s="4303"/>
      <c r="CM1205" s="4303"/>
      <c r="CN1205" s="4303"/>
      <c r="CO1205" s="4303"/>
      <c r="CP1205" s="4303"/>
      <c r="CQ1205" s="4303"/>
      <c r="CR1205" s="4303"/>
      <c r="CS1205" s="4303"/>
      <c r="CT1205" s="4303"/>
      <c r="CU1205" s="4303"/>
      <c r="CV1205" s="4303"/>
      <c r="CW1205" s="4303"/>
      <c r="CX1205" s="4303"/>
      <c r="CY1205" s="4303"/>
      <c r="CZ1205" s="4303"/>
      <c r="DA1205" s="4303"/>
      <c r="DB1205" s="4303"/>
      <c r="DC1205" s="4303"/>
      <c r="DD1205" s="4303"/>
      <c r="DE1205" s="4303"/>
      <c r="DF1205" s="4303"/>
      <c r="DG1205" s="4303"/>
      <c r="DH1205" s="4303"/>
      <c r="DI1205" s="4303"/>
      <c r="DJ1205" s="4303"/>
      <c r="DK1205" s="4303"/>
      <c r="DL1205" s="4303"/>
      <c r="DM1205" s="4303"/>
      <c r="DN1205" s="4303"/>
      <c r="DO1205" s="4303"/>
      <c r="DP1205" s="4303"/>
      <c r="DQ1205" s="4303"/>
      <c r="DR1205" s="4303"/>
      <c r="DS1205" s="4303"/>
    </row>
    <row r="1206" s="4134" customFormat="1" ht="18.75" customHeight="1" spans="1:123">
      <c r="A1206" s="5010" t="s">
        <v>5307</v>
      </c>
      <c r="B1206" s="5011"/>
      <c r="C1206" s="5011"/>
      <c r="D1206" s="5011"/>
      <c r="E1206" s="5011"/>
      <c r="F1206" s="5012">
        <v>577</v>
      </c>
      <c r="G1206" s="5012"/>
      <c r="H1206" s="5013"/>
      <c r="I1206" s="5013"/>
      <c r="J1206" s="5013"/>
      <c r="K1206" s="5013"/>
      <c r="L1206" s="5013"/>
      <c r="M1206" s="5013"/>
      <c r="N1206" s="5013"/>
      <c r="O1206" s="5014"/>
      <c r="P1206" s="5014"/>
      <c r="Q1206" s="5014"/>
      <c r="R1206" s="5014"/>
      <c r="S1206" s="5014"/>
      <c r="T1206" s="5014"/>
      <c r="U1206" s="5014"/>
      <c r="V1206" s="5012">
        <v>576</v>
      </c>
      <c r="W1206" s="5012"/>
      <c r="X1206" s="4303"/>
      <c r="Y1206" s="4303"/>
      <c r="Z1206" s="4302" t="s">
        <v>5308</v>
      </c>
      <c r="AA1206" s="4303"/>
      <c r="AB1206" s="4303"/>
      <c r="AC1206" s="4303"/>
      <c r="AD1206" s="4303"/>
      <c r="AE1206" s="4303"/>
      <c r="AF1206" s="4303"/>
      <c r="AG1206" s="4303"/>
      <c r="AH1206" s="4303"/>
      <c r="AI1206" s="4303"/>
      <c r="AJ1206" s="4303"/>
      <c r="AK1206" s="4303"/>
      <c r="AL1206" s="4303"/>
      <c r="AM1206" s="4303"/>
      <c r="AN1206" s="4303"/>
      <c r="AO1206" s="4303"/>
      <c r="AP1206" s="4303"/>
      <c r="AQ1206" s="4303"/>
      <c r="AR1206" s="4303"/>
      <c r="AS1206" s="4303"/>
      <c r="AT1206" s="4303"/>
      <c r="AU1206" s="4303"/>
      <c r="AV1206" s="4303"/>
      <c r="AW1206" s="4303"/>
      <c r="AX1206" s="4303"/>
      <c r="AY1206" s="4303"/>
      <c r="AZ1206" s="4303"/>
      <c r="BA1206" s="4303"/>
      <c r="BB1206" s="4303"/>
      <c r="BC1206" s="4303"/>
      <c r="BD1206" s="4303"/>
      <c r="BE1206" s="4303"/>
      <c r="BF1206" s="4303"/>
      <c r="BG1206" s="4303"/>
      <c r="BH1206" s="4303"/>
      <c r="BI1206" s="4303"/>
      <c r="BJ1206" s="4303"/>
      <c r="BK1206" s="4303"/>
      <c r="BL1206" s="4303"/>
      <c r="BM1206" s="4303"/>
      <c r="BN1206" s="4303"/>
      <c r="BO1206" s="4303"/>
      <c r="BP1206" s="4303"/>
      <c r="BQ1206" s="4303"/>
      <c r="BR1206" s="4303"/>
      <c r="BS1206" s="4303"/>
      <c r="BT1206" s="4303"/>
      <c r="BU1206" s="4303"/>
      <c r="BV1206" s="4303"/>
      <c r="BW1206" s="4303"/>
      <c r="BX1206" s="4303"/>
      <c r="BY1206" s="4303"/>
      <c r="BZ1206" s="4303"/>
      <c r="CA1206" s="4303"/>
      <c r="CB1206" s="4303"/>
      <c r="CC1206" s="4303"/>
      <c r="CD1206" s="4303"/>
      <c r="CE1206" s="4303"/>
      <c r="CF1206" s="4303"/>
      <c r="CG1206" s="4303"/>
      <c r="CH1206" s="4303"/>
      <c r="CI1206" s="4303"/>
      <c r="CJ1206" s="4303"/>
      <c r="CK1206" s="4303"/>
      <c r="CL1206" s="4303"/>
      <c r="CM1206" s="4303"/>
      <c r="CN1206" s="4303"/>
      <c r="CO1206" s="4303"/>
      <c r="CP1206" s="4303"/>
      <c r="CQ1206" s="4303"/>
      <c r="CR1206" s="4303"/>
      <c r="CS1206" s="4303"/>
      <c r="CT1206" s="4303"/>
      <c r="CU1206" s="4303"/>
      <c r="CV1206" s="4303"/>
      <c r="CW1206" s="4303"/>
      <c r="CX1206" s="4303"/>
      <c r="CY1206" s="4303"/>
      <c r="CZ1206" s="4303"/>
      <c r="DA1206" s="4303"/>
      <c r="DB1206" s="4303"/>
      <c r="DC1206" s="4303"/>
      <c r="DD1206" s="4303"/>
      <c r="DE1206" s="4303"/>
      <c r="DF1206" s="4303"/>
      <c r="DG1206" s="4303"/>
      <c r="DH1206" s="4303"/>
      <c r="DI1206" s="4303"/>
      <c r="DJ1206" s="4303"/>
      <c r="DK1206" s="4303"/>
      <c r="DL1206" s="4303"/>
      <c r="DM1206" s="4303"/>
      <c r="DN1206" s="4303"/>
      <c r="DO1206" s="4303"/>
      <c r="DP1206" s="4303"/>
      <c r="DQ1206" s="4303"/>
      <c r="DR1206" s="4303"/>
      <c r="DS1206" s="4303"/>
    </row>
    <row r="1207" s="4134" customFormat="1" ht="18.75" customHeight="1" spans="1:123">
      <c r="A1207" s="5010" t="s">
        <v>5310</v>
      </c>
      <c r="B1207" s="5011"/>
      <c r="C1207" s="5011"/>
      <c r="D1207" s="5011"/>
      <c r="E1207" s="5011"/>
      <c r="F1207" s="5012">
        <v>577</v>
      </c>
      <c r="G1207" s="5012"/>
      <c r="H1207" s="5013"/>
      <c r="I1207" s="5013"/>
      <c r="J1207" s="5013"/>
      <c r="K1207" s="5013"/>
      <c r="L1207" s="5013"/>
      <c r="M1207" s="5013"/>
      <c r="N1207" s="5013"/>
      <c r="O1207" s="5014"/>
      <c r="P1207" s="5014"/>
      <c r="Q1207" s="5014"/>
      <c r="R1207" s="5014"/>
      <c r="S1207" s="5014"/>
      <c r="T1207" s="5014"/>
      <c r="U1207" s="5014"/>
      <c r="V1207" s="5012">
        <v>576</v>
      </c>
      <c r="W1207" s="5012"/>
      <c r="X1207" s="4303"/>
      <c r="Y1207" s="4303"/>
      <c r="Z1207" s="4302" t="s">
        <v>3098</v>
      </c>
      <c r="AA1207" s="4303"/>
      <c r="AB1207" s="4303"/>
      <c r="AC1207" s="4303"/>
      <c r="AD1207" s="4303"/>
      <c r="AE1207" s="4303"/>
      <c r="AF1207" s="4303"/>
      <c r="AG1207" s="4303"/>
      <c r="AH1207" s="4303"/>
      <c r="AI1207" s="4303"/>
      <c r="AJ1207" s="4303"/>
      <c r="AK1207" s="4303"/>
      <c r="AL1207" s="4303"/>
      <c r="AM1207" s="4303"/>
      <c r="AN1207" s="4303"/>
      <c r="AO1207" s="4303"/>
      <c r="AP1207" s="4303"/>
      <c r="AQ1207" s="4303"/>
      <c r="AR1207" s="4303"/>
      <c r="AS1207" s="4303"/>
      <c r="AT1207" s="4303"/>
      <c r="AU1207" s="4303"/>
      <c r="AV1207" s="4303"/>
      <c r="AW1207" s="4303"/>
      <c r="AX1207" s="4303"/>
      <c r="AY1207" s="4303"/>
      <c r="AZ1207" s="4303"/>
      <c r="BA1207" s="4303"/>
      <c r="BB1207" s="4303"/>
      <c r="BC1207" s="4303"/>
      <c r="BD1207" s="4303"/>
      <c r="BE1207" s="4303"/>
      <c r="BF1207" s="4303"/>
      <c r="BG1207" s="4303"/>
      <c r="BH1207" s="4303"/>
      <c r="BI1207" s="4303"/>
      <c r="BJ1207" s="4303"/>
      <c r="BK1207" s="4303"/>
      <c r="BL1207" s="4303"/>
      <c r="BM1207" s="4303"/>
      <c r="BN1207" s="4303"/>
      <c r="BO1207" s="4303"/>
      <c r="BP1207" s="4303"/>
      <c r="BQ1207" s="4303"/>
      <c r="BR1207" s="4303"/>
      <c r="BS1207" s="4303"/>
      <c r="BT1207" s="4303"/>
      <c r="BU1207" s="4303"/>
      <c r="BV1207" s="4303"/>
      <c r="BW1207" s="4303"/>
      <c r="BX1207" s="4303"/>
      <c r="BY1207" s="4303"/>
      <c r="BZ1207" s="4303"/>
      <c r="CA1207" s="4303"/>
      <c r="CB1207" s="4303"/>
      <c r="CC1207" s="4303"/>
      <c r="CD1207" s="4303"/>
      <c r="CE1207" s="4303"/>
      <c r="CF1207" s="4303"/>
      <c r="CG1207" s="4303"/>
      <c r="CH1207" s="4303"/>
      <c r="CI1207" s="4303"/>
      <c r="CJ1207" s="4303"/>
      <c r="CK1207" s="4303"/>
      <c r="CL1207" s="4303"/>
      <c r="CM1207" s="4303"/>
      <c r="CN1207" s="4303"/>
      <c r="CO1207" s="4303"/>
      <c r="CP1207" s="4303"/>
      <c r="CQ1207" s="4303"/>
      <c r="CR1207" s="4303"/>
      <c r="CS1207" s="4303"/>
      <c r="CT1207" s="4303"/>
      <c r="CU1207" s="4303"/>
      <c r="CV1207" s="4303"/>
      <c r="CW1207" s="4303"/>
      <c r="CX1207" s="4303"/>
      <c r="CY1207" s="4303"/>
      <c r="CZ1207" s="4303"/>
      <c r="DA1207" s="4303"/>
      <c r="DB1207" s="4303"/>
      <c r="DC1207" s="4303"/>
      <c r="DD1207" s="4303"/>
      <c r="DE1207" s="4303"/>
      <c r="DF1207" s="4303"/>
      <c r="DG1207" s="4303"/>
      <c r="DH1207" s="4303"/>
      <c r="DI1207" s="4303"/>
      <c r="DJ1207" s="4303"/>
      <c r="DK1207" s="4303"/>
      <c r="DL1207" s="4303"/>
      <c r="DM1207" s="4303"/>
      <c r="DN1207" s="4303"/>
      <c r="DO1207" s="4303"/>
      <c r="DP1207" s="4303"/>
      <c r="DQ1207" s="4303"/>
      <c r="DR1207" s="4303"/>
      <c r="DS1207" s="4303"/>
    </row>
    <row r="1208" s="4134" customFormat="1" ht="18.75" customHeight="1" spans="1:123">
      <c r="A1208" s="5010" t="s">
        <v>5311</v>
      </c>
      <c r="B1208" s="5011"/>
      <c r="C1208" s="5011"/>
      <c r="D1208" s="5011"/>
      <c r="E1208" s="5011"/>
      <c r="F1208" s="5012">
        <v>577</v>
      </c>
      <c r="G1208" s="5012"/>
      <c r="H1208" s="5013"/>
      <c r="I1208" s="5013"/>
      <c r="J1208" s="5013"/>
      <c r="K1208" s="5013"/>
      <c r="L1208" s="5013"/>
      <c r="M1208" s="5013"/>
      <c r="N1208" s="5013"/>
      <c r="O1208" s="5014"/>
      <c r="P1208" s="5014"/>
      <c r="Q1208" s="5014"/>
      <c r="R1208" s="5014"/>
      <c r="S1208" s="5014"/>
      <c r="T1208" s="5014"/>
      <c r="U1208" s="5014"/>
      <c r="V1208" s="5012">
        <v>576</v>
      </c>
      <c r="W1208" s="5012"/>
      <c r="X1208" s="4303"/>
      <c r="Y1208" s="4303"/>
      <c r="Z1208" s="4302" t="s">
        <v>5312</v>
      </c>
      <c r="AA1208" s="4303"/>
      <c r="AB1208" s="4303"/>
      <c r="AC1208" s="4303"/>
      <c r="AD1208" s="4303"/>
      <c r="AE1208" s="4303"/>
      <c r="AF1208" s="4303"/>
      <c r="AG1208" s="4303"/>
      <c r="AH1208" s="4303"/>
      <c r="AI1208" s="4303"/>
      <c r="AJ1208" s="4303"/>
      <c r="AK1208" s="4303"/>
      <c r="AL1208" s="4303"/>
      <c r="AM1208" s="4303"/>
      <c r="AN1208" s="4303"/>
      <c r="AO1208" s="4303"/>
      <c r="AP1208" s="4303"/>
      <c r="AQ1208" s="4303"/>
      <c r="AR1208" s="4303"/>
      <c r="AS1208" s="4303"/>
      <c r="AT1208" s="4303"/>
      <c r="AU1208" s="4303"/>
      <c r="AV1208" s="4303"/>
      <c r="AW1208" s="4303"/>
      <c r="AX1208" s="4303"/>
      <c r="AY1208" s="4303"/>
      <c r="AZ1208" s="4303"/>
      <c r="BA1208" s="4303"/>
      <c r="BB1208" s="4303"/>
      <c r="BC1208" s="4303"/>
      <c r="BD1208" s="4303"/>
      <c r="BE1208" s="4303"/>
      <c r="BF1208" s="4303"/>
      <c r="BG1208" s="4303"/>
      <c r="BH1208" s="4303"/>
      <c r="BI1208" s="4303"/>
      <c r="BJ1208" s="4303"/>
      <c r="BK1208" s="4303"/>
      <c r="BL1208" s="4303"/>
      <c r="BM1208" s="4303"/>
      <c r="BN1208" s="4303"/>
      <c r="BO1208" s="4303"/>
      <c r="BP1208" s="4303"/>
      <c r="BQ1208" s="4303"/>
      <c r="BR1208" s="4303"/>
      <c r="BS1208" s="4303"/>
      <c r="BT1208" s="4303"/>
      <c r="BU1208" s="4303"/>
      <c r="BV1208" s="4303"/>
      <c r="BW1208" s="4303"/>
      <c r="BX1208" s="4303"/>
      <c r="BY1208" s="4303"/>
      <c r="BZ1208" s="4303"/>
      <c r="CA1208" s="4303"/>
      <c r="CB1208" s="4303"/>
      <c r="CC1208" s="4303"/>
      <c r="CD1208" s="4303"/>
      <c r="CE1208" s="4303"/>
      <c r="CF1208" s="4303"/>
      <c r="CG1208" s="4303"/>
      <c r="CH1208" s="4303"/>
      <c r="CI1208" s="4303"/>
      <c r="CJ1208" s="4303"/>
      <c r="CK1208" s="4303"/>
      <c r="CL1208" s="4303"/>
      <c r="CM1208" s="4303"/>
      <c r="CN1208" s="4303"/>
      <c r="CO1208" s="4303"/>
      <c r="CP1208" s="4303"/>
      <c r="CQ1208" s="4303"/>
      <c r="CR1208" s="4303"/>
      <c r="CS1208" s="4303"/>
      <c r="CT1208" s="4303"/>
      <c r="CU1208" s="4303"/>
      <c r="CV1208" s="4303"/>
      <c r="CW1208" s="4303"/>
      <c r="CX1208" s="4303"/>
      <c r="CY1208" s="4303"/>
      <c r="CZ1208" s="4303"/>
      <c r="DA1208" s="4303"/>
      <c r="DB1208" s="4303"/>
      <c r="DC1208" s="4303"/>
      <c r="DD1208" s="4303"/>
      <c r="DE1208" s="4303"/>
      <c r="DF1208" s="4303"/>
      <c r="DG1208" s="4303"/>
      <c r="DH1208" s="4303"/>
      <c r="DI1208" s="4303"/>
      <c r="DJ1208" s="4303"/>
      <c r="DK1208" s="4303"/>
      <c r="DL1208" s="4303"/>
      <c r="DM1208" s="4303"/>
      <c r="DN1208" s="4303"/>
      <c r="DO1208" s="4303"/>
      <c r="DP1208" s="4303"/>
      <c r="DQ1208" s="4303"/>
      <c r="DR1208" s="4303"/>
      <c r="DS1208" s="4303"/>
    </row>
    <row r="1209" s="4134" customFormat="1" ht="18.75" customHeight="1" spans="1:123">
      <c r="A1209" s="5010" t="s">
        <v>5313</v>
      </c>
      <c r="B1209" s="5011"/>
      <c r="C1209" s="5011"/>
      <c r="D1209" s="5011"/>
      <c r="E1209" s="5011"/>
      <c r="F1209" s="5012">
        <v>577</v>
      </c>
      <c r="G1209" s="5012"/>
      <c r="H1209" s="5013"/>
      <c r="I1209" s="5013"/>
      <c r="J1209" s="5013"/>
      <c r="K1209" s="5013"/>
      <c r="L1209" s="5013"/>
      <c r="M1209" s="5013"/>
      <c r="N1209" s="5013"/>
      <c r="O1209" s="5014"/>
      <c r="P1209" s="5014"/>
      <c r="Q1209" s="5014"/>
      <c r="R1209" s="5014"/>
      <c r="S1209" s="5014"/>
      <c r="T1209" s="5014"/>
      <c r="U1209" s="5014"/>
      <c r="V1209" s="5012">
        <v>576</v>
      </c>
      <c r="W1209" s="5012"/>
      <c r="X1209" s="4303"/>
      <c r="Y1209" s="4303"/>
      <c r="Z1209" s="4302" t="s">
        <v>3102</v>
      </c>
      <c r="AA1209" s="4303"/>
      <c r="AB1209" s="4303"/>
      <c r="AC1209" s="4303"/>
      <c r="AD1209" s="4303"/>
      <c r="AE1209" s="4303"/>
      <c r="AF1209" s="4303"/>
      <c r="AG1209" s="4303"/>
      <c r="AH1209" s="4303"/>
      <c r="AI1209" s="4303"/>
      <c r="AJ1209" s="4303"/>
      <c r="AK1209" s="4303"/>
      <c r="AL1209" s="4303"/>
      <c r="AM1209" s="4303"/>
      <c r="AN1209" s="4303"/>
      <c r="AO1209" s="4303"/>
      <c r="AP1209" s="4303"/>
      <c r="AQ1209" s="4303"/>
      <c r="AR1209" s="4303"/>
      <c r="AS1209" s="4303"/>
      <c r="AT1209" s="4303"/>
      <c r="AU1209" s="4303"/>
      <c r="AV1209" s="4303"/>
      <c r="AW1209" s="4303"/>
      <c r="AX1209" s="4303"/>
      <c r="AY1209" s="4303"/>
      <c r="AZ1209" s="4303"/>
      <c r="BA1209" s="4303"/>
      <c r="BB1209" s="4303"/>
      <c r="BC1209" s="4303"/>
      <c r="BD1209" s="4303"/>
      <c r="BE1209" s="4303"/>
      <c r="BF1209" s="4303"/>
      <c r="BG1209" s="4303"/>
      <c r="BH1209" s="4303"/>
      <c r="BI1209" s="4303"/>
      <c r="BJ1209" s="4303"/>
      <c r="BK1209" s="4303"/>
      <c r="BL1209" s="4303"/>
      <c r="BM1209" s="4303"/>
      <c r="BN1209" s="4303"/>
      <c r="BO1209" s="4303"/>
      <c r="BP1209" s="4303"/>
      <c r="BQ1209" s="4303"/>
      <c r="BR1209" s="4303"/>
      <c r="BS1209" s="4303"/>
      <c r="BT1209" s="4303"/>
      <c r="BU1209" s="4303"/>
      <c r="BV1209" s="4303"/>
      <c r="BW1209" s="4303"/>
      <c r="BX1209" s="4303"/>
      <c r="BY1209" s="4303"/>
      <c r="BZ1209" s="4303"/>
      <c r="CA1209" s="4303"/>
      <c r="CB1209" s="4303"/>
      <c r="CC1209" s="4303"/>
      <c r="CD1209" s="4303"/>
      <c r="CE1209" s="4303"/>
      <c r="CF1209" s="4303"/>
      <c r="CG1209" s="4303"/>
      <c r="CH1209" s="4303"/>
      <c r="CI1209" s="4303"/>
      <c r="CJ1209" s="4303"/>
      <c r="CK1209" s="4303"/>
      <c r="CL1209" s="4303"/>
      <c r="CM1209" s="4303"/>
      <c r="CN1209" s="4303"/>
      <c r="CO1209" s="4303"/>
      <c r="CP1209" s="4303"/>
      <c r="CQ1209" s="4303"/>
      <c r="CR1209" s="4303"/>
      <c r="CS1209" s="4303"/>
      <c r="CT1209" s="4303"/>
      <c r="CU1209" s="4303"/>
      <c r="CV1209" s="4303"/>
      <c r="CW1209" s="4303"/>
      <c r="CX1209" s="4303"/>
      <c r="CY1209" s="4303"/>
      <c r="CZ1209" s="4303"/>
      <c r="DA1209" s="4303"/>
      <c r="DB1209" s="4303"/>
      <c r="DC1209" s="4303"/>
      <c r="DD1209" s="4303"/>
      <c r="DE1209" s="4303"/>
      <c r="DF1209" s="4303"/>
      <c r="DG1209" s="4303"/>
      <c r="DH1209" s="4303"/>
      <c r="DI1209" s="4303"/>
      <c r="DJ1209" s="4303"/>
      <c r="DK1209" s="4303"/>
      <c r="DL1209" s="4303"/>
      <c r="DM1209" s="4303"/>
      <c r="DN1209" s="4303"/>
      <c r="DO1209" s="4303"/>
      <c r="DP1209" s="4303"/>
      <c r="DQ1209" s="4303"/>
      <c r="DR1209" s="4303"/>
      <c r="DS1209" s="4303"/>
    </row>
    <row r="1210" s="4134" customFormat="1" ht="18.75" customHeight="1" spans="1:123">
      <c r="A1210" s="5010" t="s">
        <v>5314</v>
      </c>
      <c r="B1210" s="5011"/>
      <c r="C1210" s="5011"/>
      <c r="D1210" s="5011"/>
      <c r="E1210" s="5011"/>
      <c r="F1210" s="5012">
        <v>577</v>
      </c>
      <c r="G1210" s="5012"/>
      <c r="H1210" s="5013"/>
      <c r="I1210" s="5013"/>
      <c r="J1210" s="5013"/>
      <c r="K1210" s="5013"/>
      <c r="L1210" s="5013"/>
      <c r="M1210" s="5013"/>
      <c r="N1210" s="5013"/>
      <c r="O1210" s="5014"/>
      <c r="P1210" s="5014"/>
      <c r="Q1210" s="5014"/>
      <c r="R1210" s="5014"/>
      <c r="S1210" s="5014"/>
      <c r="T1210" s="5014"/>
      <c r="U1210" s="5014"/>
      <c r="V1210" s="5012">
        <v>576</v>
      </c>
      <c r="W1210" s="5012"/>
      <c r="X1210" s="4303"/>
      <c r="Y1210" s="4303"/>
      <c r="Z1210" s="4302" t="s">
        <v>3104</v>
      </c>
      <c r="AA1210" s="4303"/>
      <c r="AB1210" s="4303"/>
      <c r="AC1210" s="4303"/>
      <c r="AD1210" s="4303"/>
      <c r="AE1210" s="4303"/>
      <c r="AF1210" s="4303"/>
      <c r="AG1210" s="4303"/>
      <c r="AH1210" s="4303"/>
      <c r="AI1210" s="4303"/>
      <c r="AJ1210" s="4303"/>
      <c r="AK1210" s="4303"/>
      <c r="AL1210" s="4303"/>
      <c r="AM1210" s="4303"/>
      <c r="AN1210" s="4303"/>
      <c r="AO1210" s="4303"/>
      <c r="AP1210" s="4303"/>
      <c r="AQ1210" s="4303"/>
      <c r="AR1210" s="4303"/>
      <c r="AS1210" s="4303"/>
      <c r="AT1210" s="4303"/>
      <c r="AU1210" s="4303"/>
      <c r="AV1210" s="4303"/>
      <c r="AW1210" s="4303"/>
      <c r="AX1210" s="4303"/>
      <c r="AY1210" s="4303"/>
      <c r="AZ1210" s="4303"/>
      <c r="BA1210" s="4303"/>
      <c r="BB1210" s="4303"/>
      <c r="BC1210" s="4303"/>
      <c r="BD1210" s="4303"/>
      <c r="BE1210" s="4303"/>
      <c r="BF1210" s="4303"/>
      <c r="BG1210" s="4303"/>
      <c r="BH1210" s="4303"/>
      <c r="BI1210" s="4303"/>
      <c r="BJ1210" s="4303"/>
      <c r="BK1210" s="4303"/>
      <c r="BL1210" s="4303"/>
      <c r="BM1210" s="4303"/>
      <c r="BN1210" s="4303"/>
      <c r="BO1210" s="4303"/>
      <c r="BP1210" s="4303"/>
      <c r="BQ1210" s="4303"/>
      <c r="BR1210" s="4303"/>
      <c r="BS1210" s="4303"/>
      <c r="BT1210" s="4303"/>
      <c r="BU1210" s="4303"/>
      <c r="BV1210" s="4303"/>
      <c r="BW1210" s="4303"/>
      <c r="BX1210" s="4303"/>
      <c r="BY1210" s="4303"/>
      <c r="BZ1210" s="4303"/>
      <c r="CA1210" s="4303"/>
      <c r="CB1210" s="4303"/>
      <c r="CC1210" s="4303"/>
      <c r="CD1210" s="4303"/>
      <c r="CE1210" s="4303"/>
      <c r="CF1210" s="4303"/>
      <c r="CG1210" s="4303"/>
      <c r="CH1210" s="4303"/>
      <c r="CI1210" s="4303"/>
      <c r="CJ1210" s="4303"/>
      <c r="CK1210" s="4303"/>
      <c r="CL1210" s="4303"/>
      <c r="CM1210" s="4303"/>
      <c r="CN1210" s="4303"/>
      <c r="CO1210" s="4303"/>
      <c r="CP1210" s="4303"/>
      <c r="CQ1210" s="4303"/>
      <c r="CR1210" s="4303"/>
      <c r="CS1210" s="4303"/>
      <c r="CT1210" s="4303"/>
      <c r="CU1210" s="4303"/>
      <c r="CV1210" s="4303"/>
      <c r="CW1210" s="4303"/>
      <c r="CX1210" s="4303"/>
      <c r="CY1210" s="4303"/>
      <c r="CZ1210" s="4303"/>
      <c r="DA1210" s="4303"/>
      <c r="DB1210" s="4303"/>
      <c r="DC1210" s="4303"/>
      <c r="DD1210" s="4303"/>
      <c r="DE1210" s="4303"/>
      <c r="DF1210" s="4303"/>
      <c r="DG1210" s="4303"/>
      <c r="DH1210" s="4303"/>
      <c r="DI1210" s="4303"/>
      <c r="DJ1210" s="4303"/>
      <c r="DK1210" s="4303"/>
      <c r="DL1210" s="4303"/>
      <c r="DM1210" s="4303"/>
      <c r="DN1210" s="4303"/>
      <c r="DO1210" s="4303"/>
      <c r="DP1210" s="4303"/>
      <c r="DQ1210" s="4303"/>
      <c r="DR1210" s="4303"/>
      <c r="DS1210" s="4303"/>
    </row>
    <row r="1211" s="4134" customFormat="1" ht="18.75" customHeight="1" spans="1:123">
      <c r="A1211" s="5010" t="s">
        <v>5315</v>
      </c>
      <c r="B1211" s="5011"/>
      <c r="C1211" s="5011"/>
      <c r="D1211" s="5011"/>
      <c r="E1211" s="5011"/>
      <c r="F1211" s="5012"/>
      <c r="G1211" s="5012"/>
      <c r="H1211" s="5015"/>
      <c r="I1211" s="5016"/>
      <c r="J1211" s="5016"/>
      <c r="K1211" s="5016"/>
      <c r="L1211" s="5016"/>
      <c r="M1211" s="5016"/>
      <c r="N1211" s="5017"/>
      <c r="O1211" s="5014"/>
      <c r="P1211" s="5014"/>
      <c r="Q1211" s="5014"/>
      <c r="R1211" s="5014"/>
      <c r="S1211" s="5014"/>
      <c r="T1211" s="5014"/>
      <c r="U1211" s="5014"/>
      <c r="V1211" s="5012">
        <v>551</v>
      </c>
      <c r="W1211" s="5012"/>
      <c r="X1211" s="4303"/>
      <c r="Y1211" s="4303"/>
      <c r="Z1211" s="4302" t="s">
        <v>5316</v>
      </c>
      <c r="AA1211" s="4303"/>
      <c r="AB1211" s="4303"/>
      <c r="AC1211" s="4303"/>
      <c r="AD1211" s="4303"/>
      <c r="AE1211" s="4303"/>
      <c r="AF1211" s="4303"/>
      <c r="AG1211" s="4303"/>
      <c r="AH1211" s="4303"/>
      <c r="AI1211" s="4303"/>
      <c r="AJ1211" s="4303"/>
      <c r="AK1211" s="4303"/>
      <c r="AL1211" s="4303"/>
      <c r="AM1211" s="4303"/>
      <c r="AN1211" s="4303"/>
      <c r="AO1211" s="4303"/>
      <c r="AP1211" s="4303"/>
      <c r="AQ1211" s="4303"/>
      <c r="AR1211" s="4303"/>
      <c r="AS1211" s="4303"/>
      <c r="AT1211" s="4303"/>
      <c r="AU1211" s="4303"/>
      <c r="AV1211" s="4303"/>
      <c r="AW1211" s="4303"/>
      <c r="AX1211" s="4303"/>
      <c r="AY1211" s="4303"/>
      <c r="AZ1211" s="4303"/>
      <c r="BA1211" s="4303"/>
      <c r="BB1211" s="4303"/>
      <c r="BC1211" s="4303"/>
      <c r="BD1211" s="4303"/>
      <c r="BE1211" s="4303"/>
      <c r="BF1211" s="4303"/>
      <c r="BG1211" s="4303"/>
      <c r="BH1211" s="4303"/>
      <c r="BI1211" s="4303"/>
      <c r="BJ1211" s="4303"/>
      <c r="BK1211" s="4303"/>
      <c r="BL1211" s="4303"/>
      <c r="BM1211" s="4303"/>
      <c r="BN1211" s="4303"/>
      <c r="BO1211" s="4303"/>
      <c r="BP1211" s="4303"/>
      <c r="BQ1211" s="4303"/>
      <c r="BR1211" s="4303"/>
      <c r="BS1211" s="4303"/>
      <c r="BT1211" s="4303"/>
      <c r="BU1211" s="4303"/>
      <c r="BV1211" s="4303"/>
      <c r="BW1211" s="4303"/>
      <c r="BX1211" s="4303"/>
      <c r="BY1211" s="4303"/>
      <c r="BZ1211" s="4303"/>
      <c r="CA1211" s="4303"/>
      <c r="CB1211" s="4303"/>
      <c r="CC1211" s="4303"/>
      <c r="CD1211" s="4303"/>
      <c r="CE1211" s="4303"/>
      <c r="CF1211" s="4303"/>
      <c r="CG1211" s="4303"/>
      <c r="CH1211" s="4303"/>
      <c r="CI1211" s="4303"/>
      <c r="CJ1211" s="4303"/>
      <c r="CK1211" s="4303"/>
      <c r="CL1211" s="4303"/>
      <c r="CM1211" s="4303"/>
      <c r="CN1211" s="4303"/>
      <c r="CO1211" s="4303"/>
      <c r="CP1211" s="4303"/>
      <c r="CQ1211" s="4303"/>
      <c r="CR1211" s="4303"/>
      <c r="CS1211" s="4303"/>
      <c r="CT1211" s="4303"/>
      <c r="CU1211" s="4303"/>
      <c r="CV1211" s="4303"/>
      <c r="CW1211" s="4303"/>
      <c r="CX1211" s="4303"/>
      <c r="CY1211" s="4303"/>
      <c r="CZ1211" s="4303"/>
      <c r="DA1211" s="4303"/>
      <c r="DB1211" s="4303"/>
      <c r="DC1211" s="4303"/>
      <c r="DD1211" s="4303"/>
      <c r="DE1211" s="4303"/>
      <c r="DF1211" s="4303"/>
      <c r="DG1211" s="4303"/>
      <c r="DH1211" s="4303"/>
      <c r="DI1211" s="4303"/>
      <c r="DJ1211" s="4303"/>
      <c r="DK1211" s="4303"/>
      <c r="DL1211" s="4303"/>
      <c r="DM1211" s="4303"/>
      <c r="DN1211" s="4303"/>
      <c r="DO1211" s="4303"/>
      <c r="DP1211" s="4303"/>
      <c r="DQ1211" s="4303"/>
      <c r="DR1211" s="4303"/>
      <c r="DS1211" s="4303"/>
    </row>
    <row r="1212" s="4134" customFormat="1" ht="18.75" customHeight="1" spans="1:123">
      <c r="A1212" s="5018" t="s">
        <v>5727</v>
      </c>
      <c r="B1212" s="5018"/>
      <c r="C1212" s="5018"/>
      <c r="D1212" s="5018"/>
      <c r="E1212" s="5018"/>
      <c r="F1212" s="5019"/>
      <c r="G1212" s="5019"/>
      <c r="H1212" s="5020"/>
      <c r="I1212" s="4303"/>
      <c r="J1212" s="4303"/>
      <c r="K1212" s="4303"/>
      <c r="L1212" s="4303"/>
      <c r="M1212" s="4303"/>
      <c r="N1212" s="5021"/>
      <c r="O1212" s="5014"/>
      <c r="P1212" s="5014"/>
      <c r="Q1212" s="5014"/>
      <c r="R1212" s="5014"/>
      <c r="S1212" s="5014"/>
      <c r="T1212" s="5014"/>
      <c r="U1212" s="5014"/>
      <c r="V1212" s="5012">
        <v>536</v>
      </c>
      <c r="W1212" s="5012"/>
      <c r="X1212" s="4303"/>
      <c r="Y1212" s="4303"/>
      <c r="Z1212" s="4912" t="s">
        <v>5728</v>
      </c>
      <c r="AA1212" s="4859"/>
      <c r="AB1212" s="4859"/>
      <c r="AC1212" s="4859"/>
      <c r="AD1212" s="4859"/>
      <c r="AE1212" s="4859"/>
      <c r="AF1212" s="4859"/>
      <c r="AG1212" s="4859"/>
      <c r="AH1212" s="4859"/>
      <c r="AI1212" s="4859"/>
      <c r="AJ1212" s="4859"/>
      <c r="AK1212" s="4859"/>
      <c r="AL1212" s="4859"/>
      <c r="AM1212" s="4859"/>
      <c r="AN1212" s="4859"/>
      <c r="AO1212" s="4859"/>
      <c r="AP1212" s="4859"/>
      <c r="AQ1212" s="4859"/>
      <c r="AR1212" s="4859"/>
      <c r="AS1212" s="4859"/>
      <c r="AT1212" s="4859"/>
      <c r="AU1212" s="4859"/>
      <c r="AV1212" s="4859"/>
      <c r="AW1212" s="4303"/>
      <c r="AX1212" s="4303"/>
      <c r="AY1212" s="4303"/>
      <c r="AZ1212" s="4303"/>
      <c r="BA1212" s="4303"/>
      <c r="BB1212" s="4303"/>
      <c r="BC1212" s="4303"/>
      <c r="BD1212" s="4303"/>
      <c r="BE1212" s="4303"/>
      <c r="BF1212" s="4303"/>
      <c r="BG1212" s="4303"/>
      <c r="BH1212" s="4303"/>
      <c r="BI1212" s="4303"/>
      <c r="BJ1212" s="4303"/>
      <c r="BK1212" s="4303"/>
      <c r="BL1212" s="4303"/>
      <c r="BM1212" s="4303"/>
      <c r="BN1212" s="4303"/>
      <c r="BO1212" s="4303"/>
      <c r="BP1212" s="4303"/>
      <c r="BQ1212" s="4303"/>
      <c r="BR1212" s="4303"/>
      <c r="BS1212" s="4303"/>
      <c r="BT1212" s="4303"/>
      <c r="BU1212" s="4303"/>
      <c r="BV1212" s="4303"/>
      <c r="BW1212" s="4303"/>
      <c r="BX1212" s="4303"/>
      <c r="BY1212" s="4303"/>
      <c r="BZ1212" s="4303"/>
      <c r="CA1212" s="4303"/>
      <c r="CB1212" s="4303"/>
      <c r="CC1212" s="4303"/>
      <c r="CD1212" s="4303"/>
      <c r="CE1212" s="4303"/>
      <c r="CF1212" s="4303"/>
      <c r="CG1212" s="4303"/>
      <c r="CH1212" s="4303"/>
      <c r="CI1212" s="4303"/>
      <c r="CJ1212" s="4303"/>
      <c r="CK1212" s="4303"/>
      <c r="CL1212" s="4303"/>
      <c r="CM1212" s="4303"/>
      <c r="CN1212" s="4303"/>
      <c r="CO1212" s="4303"/>
      <c r="CP1212" s="4303"/>
      <c r="CQ1212" s="4303"/>
      <c r="CR1212" s="4303"/>
      <c r="CS1212" s="4303"/>
      <c r="CT1212" s="4303"/>
      <c r="CU1212" s="4303"/>
      <c r="CV1212" s="4303"/>
      <c r="CW1212" s="4303"/>
      <c r="CX1212" s="4303"/>
      <c r="CY1212" s="4303"/>
      <c r="CZ1212" s="4303"/>
      <c r="DA1212" s="4303"/>
      <c r="DB1212" s="4303"/>
      <c r="DC1212" s="4303"/>
      <c r="DD1212" s="4303"/>
      <c r="DE1212" s="4303"/>
      <c r="DF1212" s="4303"/>
      <c r="DG1212" s="4303"/>
      <c r="DH1212" s="4303"/>
      <c r="DI1212" s="4303"/>
      <c r="DJ1212" s="4303"/>
      <c r="DK1212" s="4303"/>
      <c r="DL1212" s="4303"/>
      <c r="DM1212" s="4303"/>
      <c r="DN1212" s="4303"/>
      <c r="DO1212" s="4303"/>
      <c r="DP1212" s="4303"/>
      <c r="DQ1212" s="4303"/>
      <c r="DR1212" s="4303"/>
      <c r="DS1212" s="4303"/>
    </row>
    <row r="1213" s="4134" customFormat="1" ht="18.75" customHeight="1" spans="1:123">
      <c r="A1213" s="5018" t="s">
        <v>5727</v>
      </c>
      <c r="B1213" s="5018"/>
      <c r="C1213" s="5018"/>
      <c r="D1213" s="5018"/>
      <c r="E1213" s="5018"/>
      <c r="F1213" s="5019"/>
      <c r="G1213" s="5019"/>
      <c r="H1213" s="5020"/>
      <c r="I1213" s="4303"/>
      <c r="J1213" s="4303"/>
      <c r="K1213" s="4303"/>
      <c r="L1213" s="4303"/>
      <c r="M1213" s="4303"/>
      <c r="N1213" s="5021"/>
      <c r="O1213" s="5014"/>
      <c r="P1213" s="5014"/>
      <c r="Q1213" s="5014"/>
      <c r="R1213" s="5014"/>
      <c r="S1213" s="5014"/>
      <c r="T1213" s="5014"/>
      <c r="U1213" s="5014"/>
      <c r="V1213" s="5012">
        <v>538</v>
      </c>
      <c r="W1213" s="5012"/>
      <c r="X1213" s="4303"/>
      <c r="Y1213" s="4303"/>
      <c r="Z1213" s="4912" t="s">
        <v>5729</v>
      </c>
      <c r="AA1213" s="4859"/>
      <c r="AB1213" s="4859"/>
      <c r="AC1213" s="4859"/>
      <c r="AD1213" s="4859"/>
      <c r="AE1213" s="4859"/>
      <c r="AF1213" s="4859"/>
      <c r="AG1213" s="4859"/>
      <c r="AH1213" s="4859"/>
      <c r="AI1213" s="4859"/>
      <c r="AJ1213" s="4859"/>
      <c r="AK1213" s="4859"/>
      <c r="AL1213" s="4859"/>
      <c r="AM1213" s="4859"/>
      <c r="AN1213" s="4859"/>
      <c r="AO1213" s="4859"/>
      <c r="AP1213" s="4859"/>
      <c r="AQ1213" s="4859"/>
      <c r="AR1213" s="4859"/>
      <c r="AS1213" s="4859"/>
      <c r="AT1213" s="4859"/>
      <c r="AU1213" s="4859"/>
      <c r="AV1213" s="4859"/>
      <c r="AW1213" s="4303"/>
      <c r="AX1213" s="4303"/>
      <c r="AY1213" s="4303"/>
      <c r="AZ1213" s="4303"/>
      <c r="BA1213" s="4303"/>
      <c r="BB1213" s="4303"/>
      <c r="BC1213" s="4303"/>
      <c r="BD1213" s="4303"/>
      <c r="BE1213" s="4303"/>
      <c r="BF1213" s="4303"/>
      <c r="BG1213" s="4303"/>
      <c r="BH1213" s="4303"/>
      <c r="BI1213" s="4303"/>
      <c r="BJ1213" s="4303"/>
      <c r="BK1213" s="4303"/>
      <c r="BL1213" s="4303"/>
      <c r="BM1213" s="4303"/>
      <c r="BN1213" s="4303"/>
      <c r="BO1213" s="4303"/>
      <c r="BP1213" s="4303"/>
      <c r="BQ1213" s="4303"/>
      <c r="BR1213" s="4303"/>
      <c r="BS1213" s="4303"/>
      <c r="BT1213" s="4303"/>
      <c r="BU1213" s="4303"/>
      <c r="BV1213" s="4303"/>
      <c r="BW1213" s="4303"/>
      <c r="BX1213" s="4303"/>
      <c r="BY1213" s="4303"/>
      <c r="BZ1213" s="4303"/>
      <c r="CA1213" s="4303"/>
      <c r="CB1213" s="4303"/>
      <c r="CC1213" s="4303"/>
      <c r="CD1213" s="4303"/>
      <c r="CE1213" s="4303"/>
      <c r="CF1213" s="4303"/>
      <c r="CG1213" s="4303"/>
      <c r="CH1213" s="4303"/>
      <c r="CI1213" s="4303"/>
      <c r="CJ1213" s="4303"/>
      <c r="CK1213" s="4303"/>
      <c r="CL1213" s="4303"/>
      <c r="CM1213" s="4303"/>
      <c r="CN1213" s="4303"/>
      <c r="CO1213" s="4303"/>
      <c r="CP1213" s="4303"/>
      <c r="CQ1213" s="4303"/>
      <c r="CR1213" s="4303"/>
      <c r="CS1213" s="4303"/>
      <c r="CT1213" s="4303"/>
      <c r="CU1213" s="4303"/>
      <c r="CV1213" s="4303"/>
      <c r="CW1213" s="4303"/>
      <c r="CX1213" s="4303"/>
      <c r="CY1213" s="4303"/>
      <c r="CZ1213" s="4303"/>
      <c r="DA1213" s="4303"/>
      <c r="DB1213" s="4303"/>
      <c r="DC1213" s="4303"/>
      <c r="DD1213" s="4303"/>
      <c r="DE1213" s="4303"/>
      <c r="DF1213" s="4303"/>
      <c r="DG1213" s="4303"/>
      <c r="DH1213" s="4303"/>
      <c r="DI1213" s="4303"/>
      <c r="DJ1213" s="4303"/>
      <c r="DK1213" s="4303"/>
      <c r="DL1213" s="4303"/>
      <c r="DM1213" s="4303"/>
      <c r="DN1213" s="4303"/>
      <c r="DO1213" s="4303"/>
      <c r="DP1213" s="4303"/>
      <c r="DQ1213" s="4303"/>
      <c r="DR1213" s="4303"/>
      <c r="DS1213" s="4303"/>
    </row>
    <row r="1214" s="4134" customFormat="1" ht="18.75" customHeight="1" spans="1:123">
      <c r="A1214" s="5018" t="s">
        <v>5727</v>
      </c>
      <c r="B1214" s="5018"/>
      <c r="C1214" s="5018"/>
      <c r="D1214" s="5018"/>
      <c r="E1214" s="5018"/>
      <c r="F1214" s="5019"/>
      <c r="G1214" s="5019"/>
      <c r="H1214" s="5020"/>
      <c r="I1214" s="4303"/>
      <c r="J1214" s="4303"/>
      <c r="K1214" s="4303"/>
      <c r="L1214" s="4303"/>
      <c r="M1214" s="4303"/>
      <c r="N1214" s="5021"/>
      <c r="O1214" s="5014"/>
      <c r="P1214" s="5014"/>
      <c r="Q1214" s="5014"/>
      <c r="R1214" s="5014"/>
      <c r="S1214" s="5014"/>
      <c r="T1214" s="5014"/>
      <c r="U1214" s="5014"/>
      <c r="V1214" s="5012">
        <v>540</v>
      </c>
      <c r="W1214" s="5012"/>
      <c r="X1214" s="4303"/>
      <c r="Y1214" s="4303"/>
      <c r="Z1214" s="4912" t="s">
        <v>5730</v>
      </c>
      <c r="AA1214" s="4859"/>
      <c r="AB1214" s="4859"/>
      <c r="AC1214" s="4859"/>
      <c r="AD1214" s="4859"/>
      <c r="AE1214" s="4859"/>
      <c r="AF1214" s="4859"/>
      <c r="AG1214" s="4859"/>
      <c r="AH1214" s="4859"/>
      <c r="AI1214" s="4859"/>
      <c r="AJ1214" s="4859"/>
      <c r="AK1214" s="4859"/>
      <c r="AL1214" s="4859"/>
      <c r="AM1214" s="4859"/>
      <c r="AN1214" s="4859"/>
      <c r="AO1214" s="4859"/>
      <c r="AP1214" s="4859"/>
      <c r="AQ1214" s="4859"/>
      <c r="AR1214" s="4859"/>
      <c r="AS1214" s="4859"/>
      <c r="AT1214" s="4859"/>
      <c r="AU1214" s="4859"/>
      <c r="AV1214" s="4859"/>
      <c r="AW1214" s="4303"/>
      <c r="AX1214" s="4303"/>
      <c r="AY1214" s="4303"/>
      <c r="AZ1214" s="4303"/>
      <c r="BA1214" s="4303"/>
      <c r="BB1214" s="4303"/>
      <c r="BC1214" s="4303"/>
      <c r="BD1214" s="4303"/>
      <c r="BE1214" s="4303"/>
      <c r="BF1214" s="4303"/>
      <c r="BG1214" s="4303"/>
      <c r="BH1214" s="4303"/>
      <c r="BI1214" s="4303"/>
      <c r="BJ1214" s="4303"/>
      <c r="BK1214" s="4303"/>
      <c r="BL1214" s="4303"/>
      <c r="BM1214" s="4303"/>
      <c r="BN1214" s="4303"/>
      <c r="BO1214" s="4303"/>
      <c r="BP1214" s="4303"/>
      <c r="BQ1214" s="4303"/>
      <c r="BR1214" s="4303"/>
      <c r="BS1214" s="4303"/>
      <c r="BT1214" s="4303"/>
      <c r="BU1214" s="4303"/>
      <c r="BV1214" s="4303"/>
      <c r="BW1214" s="4303"/>
      <c r="BX1214" s="4303"/>
      <c r="BY1214" s="4303"/>
      <c r="BZ1214" s="4303"/>
      <c r="CA1214" s="4303"/>
      <c r="CB1214" s="4303"/>
      <c r="CC1214" s="4303"/>
      <c r="CD1214" s="4303"/>
      <c r="CE1214" s="4303"/>
      <c r="CF1214" s="4303"/>
      <c r="CG1214" s="4303"/>
      <c r="CH1214" s="4303"/>
      <c r="CI1214" s="4303"/>
      <c r="CJ1214" s="4303"/>
      <c r="CK1214" s="4303"/>
      <c r="CL1214" s="4303"/>
      <c r="CM1214" s="4303"/>
      <c r="CN1214" s="4303"/>
      <c r="CO1214" s="4303"/>
      <c r="CP1214" s="4303"/>
      <c r="CQ1214" s="4303"/>
      <c r="CR1214" s="4303"/>
      <c r="CS1214" s="4303"/>
      <c r="CT1214" s="4303"/>
      <c r="CU1214" s="4303"/>
      <c r="CV1214" s="4303"/>
      <c r="CW1214" s="4303"/>
      <c r="CX1214" s="4303"/>
      <c r="CY1214" s="4303"/>
      <c r="CZ1214" s="4303"/>
      <c r="DA1214" s="4303"/>
      <c r="DB1214" s="4303"/>
      <c r="DC1214" s="4303"/>
      <c r="DD1214" s="4303"/>
      <c r="DE1214" s="4303"/>
      <c r="DF1214" s="4303"/>
      <c r="DG1214" s="4303"/>
      <c r="DH1214" s="4303"/>
      <c r="DI1214" s="4303"/>
      <c r="DJ1214" s="4303"/>
      <c r="DK1214" s="4303"/>
      <c r="DL1214" s="4303"/>
      <c r="DM1214" s="4303"/>
      <c r="DN1214" s="4303"/>
      <c r="DO1214" s="4303"/>
      <c r="DP1214" s="4303"/>
      <c r="DQ1214" s="4303"/>
      <c r="DR1214" s="4303"/>
      <c r="DS1214" s="4303"/>
    </row>
    <row r="1215" s="4134" customFormat="1" ht="18.75" customHeight="1" spans="1:123">
      <c r="A1215" s="5018" t="s">
        <v>5727</v>
      </c>
      <c r="B1215" s="5018"/>
      <c r="C1215" s="5018"/>
      <c r="D1215" s="5018"/>
      <c r="E1215" s="5018"/>
      <c r="F1215" s="5019"/>
      <c r="G1215" s="5019"/>
      <c r="H1215" s="5020"/>
      <c r="I1215" s="4303"/>
      <c r="J1215" s="4303"/>
      <c r="K1215" s="4303"/>
      <c r="L1215" s="4303"/>
      <c r="M1215" s="4303"/>
      <c r="N1215" s="5021"/>
      <c r="O1215" s="5014"/>
      <c r="P1215" s="5014"/>
      <c r="Q1215" s="5014"/>
      <c r="R1215" s="5014"/>
      <c r="S1215" s="5014"/>
      <c r="T1215" s="5014"/>
      <c r="U1215" s="5014"/>
      <c r="V1215" s="5012">
        <v>542</v>
      </c>
      <c r="W1215" s="5012"/>
      <c r="X1215" s="4303"/>
      <c r="Y1215" s="4303"/>
      <c r="Z1215" s="4912" t="s">
        <v>5731</v>
      </c>
      <c r="AA1215" s="4859"/>
      <c r="AB1215" s="4859"/>
      <c r="AC1215" s="4859"/>
      <c r="AD1215" s="4859"/>
      <c r="AE1215" s="4859"/>
      <c r="AF1215" s="4859"/>
      <c r="AG1215" s="4859"/>
      <c r="AH1215" s="4859"/>
      <c r="AI1215" s="4859"/>
      <c r="AJ1215" s="4859"/>
      <c r="AK1215" s="4859"/>
      <c r="AL1215" s="4859"/>
      <c r="AM1215" s="4859"/>
      <c r="AN1215" s="4859"/>
      <c r="AO1215" s="4859"/>
      <c r="AP1215" s="4859"/>
      <c r="AQ1215" s="4859"/>
      <c r="AR1215" s="4859"/>
      <c r="AS1215" s="4859"/>
      <c r="AT1215" s="4859"/>
      <c r="AU1215" s="4859"/>
      <c r="AV1215" s="4859"/>
      <c r="AW1215" s="4303"/>
      <c r="AX1215" s="4303"/>
      <c r="AY1215" s="4303"/>
      <c r="AZ1215" s="4303"/>
      <c r="BA1215" s="4303"/>
      <c r="BB1215" s="4303"/>
      <c r="BC1215" s="4303"/>
      <c r="BD1215" s="4303"/>
      <c r="BE1215" s="4303"/>
      <c r="BF1215" s="4303"/>
      <c r="BG1215" s="4303"/>
      <c r="BH1215" s="4303"/>
      <c r="BI1215" s="4303"/>
      <c r="BJ1215" s="4303"/>
      <c r="BK1215" s="4303"/>
      <c r="BL1215" s="4303"/>
      <c r="BM1215" s="4303"/>
      <c r="BN1215" s="4303"/>
      <c r="BO1215" s="4303"/>
      <c r="BP1215" s="4303"/>
      <c r="BQ1215" s="4303"/>
      <c r="BR1215" s="4303"/>
      <c r="BS1215" s="4303"/>
      <c r="BT1215" s="4303"/>
      <c r="BU1215" s="4303"/>
      <c r="BV1215" s="4303"/>
      <c r="BW1215" s="4303"/>
      <c r="BX1215" s="4303"/>
      <c r="BY1215" s="4303"/>
      <c r="BZ1215" s="4303"/>
      <c r="CA1215" s="4303"/>
      <c r="CB1215" s="4303"/>
      <c r="CC1215" s="4303"/>
      <c r="CD1215" s="4303"/>
      <c r="CE1215" s="4303"/>
      <c r="CF1215" s="4303"/>
      <c r="CG1215" s="4303"/>
      <c r="CH1215" s="4303"/>
      <c r="CI1215" s="4303"/>
      <c r="CJ1215" s="4303"/>
      <c r="CK1215" s="4303"/>
      <c r="CL1215" s="4303"/>
      <c r="CM1215" s="4303"/>
      <c r="CN1215" s="4303"/>
      <c r="CO1215" s="4303"/>
      <c r="CP1215" s="4303"/>
      <c r="CQ1215" s="4303"/>
      <c r="CR1215" s="4303"/>
      <c r="CS1215" s="4303"/>
      <c r="CT1215" s="4303"/>
      <c r="CU1215" s="4303"/>
      <c r="CV1215" s="4303"/>
      <c r="CW1215" s="4303"/>
      <c r="CX1215" s="4303"/>
      <c r="CY1215" s="4303"/>
      <c r="CZ1215" s="4303"/>
      <c r="DA1215" s="4303"/>
      <c r="DB1215" s="4303"/>
      <c r="DC1215" s="4303"/>
      <c r="DD1215" s="4303"/>
      <c r="DE1215" s="4303"/>
      <c r="DF1215" s="4303"/>
      <c r="DG1215" s="4303"/>
      <c r="DH1215" s="4303"/>
      <c r="DI1215" s="4303"/>
      <c r="DJ1215" s="4303"/>
      <c r="DK1215" s="4303"/>
      <c r="DL1215" s="4303"/>
      <c r="DM1215" s="4303"/>
      <c r="DN1215" s="4303"/>
      <c r="DO1215" s="4303"/>
      <c r="DP1215" s="4303"/>
      <c r="DQ1215" s="4303"/>
      <c r="DR1215" s="4303"/>
      <c r="DS1215" s="4303"/>
    </row>
    <row r="1216" s="4134" customFormat="1" ht="18.75" customHeight="1" spans="1:123">
      <c r="A1216" s="5018" t="s">
        <v>5727</v>
      </c>
      <c r="B1216" s="5018"/>
      <c r="C1216" s="5018"/>
      <c r="D1216" s="5018"/>
      <c r="E1216" s="5018"/>
      <c r="F1216" s="5019"/>
      <c r="G1216" s="5019"/>
      <c r="H1216" s="5020"/>
      <c r="I1216" s="4303"/>
      <c r="J1216" s="4303"/>
      <c r="K1216" s="4303"/>
      <c r="L1216" s="4303"/>
      <c r="M1216" s="4303"/>
      <c r="N1216" s="5021"/>
      <c r="O1216" s="5014"/>
      <c r="P1216" s="5014"/>
      <c r="Q1216" s="5014"/>
      <c r="R1216" s="5014"/>
      <c r="S1216" s="5014"/>
      <c r="T1216" s="5014"/>
      <c r="U1216" s="5014"/>
      <c r="V1216" s="5012">
        <v>543</v>
      </c>
      <c r="W1216" s="5012"/>
      <c r="X1216" s="4303"/>
      <c r="Y1216" s="4303"/>
      <c r="Z1216" s="4912" t="s">
        <v>5732</v>
      </c>
      <c r="AA1216" s="4859"/>
      <c r="AB1216" s="4859"/>
      <c r="AC1216" s="4859"/>
      <c r="AD1216" s="4859"/>
      <c r="AE1216" s="4859"/>
      <c r="AF1216" s="4859"/>
      <c r="AG1216" s="4859"/>
      <c r="AH1216" s="4859"/>
      <c r="AI1216" s="4859"/>
      <c r="AJ1216" s="4859"/>
      <c r="AK1216" s="4859"/>
      <c r="AL1216" s="4859"/>
      <c r="AM1216" s="4859"/>
      <c r="AN1216" s="4859"/>
      <c r="AO1216" s="4859"/>
      <c r="AP1216" s="4859"/>
      <c r="AQ1216" s="4859"/>
      <c r="AR1216" s="4859"/>
      <c r="AS1216" s="4859"/>
      <c r="AT1216" s="4859"/>
      <c r="AU1216" s="4859"/>
      <c r="AV1216" s="4859"/>
      <c r="AW1216" s="4303"/>
      <c r="AX1216" s="4303"/>
      <c r="AY1216" s="4303"/>
      <c r="AZ1216" s="4303"/>
      <c r="BA1216" s="4303"/>
      <c r="BB1216" s="4303"/>
      <c r="BC1216" s="4303"/>
      <c r="BD1216" s="4303"/>
      <c r="BE1216" s="4303"/>
      <c r="BF1216" s="4303" t="s">
        <v>5765</v>
      </c>
      <c r="BG1216" s="4303"/>
      <c r="BH1216" s="4303"/>
      <c r="BI1216" s="4303"/>
      <c r="BJ1216" s="4303"/>
      <c r="BK1216" s="4303"/>
      <c r="BL1216" s="4303"/>
      <c r="BM1216" s="4303"/>
      <c r="BN1216" s="4303"/>
      <c r="BO1216" s="4303"/>
      <c r="BP1216" s="4303"/>
      <c r="BQ1216" s="4303"/>
      <c r="BR1216" s="4303"/>
      <c r="BS1216" s="4303"/>
      <c r="BT1216" s="4303"/>
      <c r="BU1216" s="4303"/>
      <c r="BV1216" s="4303"/>
      <c r="BW1216" s="4303"/>
      <c r="BX1216" s="4303"/>
      <c r="BY1216" s="4303"/>
      <c r="BZ1216" s="4303"/>
      <c r="CA1216" s="4303"/>
      <c r="CB1216" s="4303"/>
      <c r="CC1216" s="4303"/>
      <c r="CD1216" s="4303"/>
      <c r="CE1216" s="4303"/>
      <c r="CF1216" s="4303"/>
      <c r="CG1216" s="4303"/>
      <c r="CH1216" s="4303"/>
      <c r="CI1216" s="4303"/>
      <c r="CJ1216" s="4303"/>
      <c r="CK1216" s="4303"/>
      <c r="CL1216" s="4303"/>
      <c r="CM1216" s="4303"/>
      <c r="CN1216" s="4303"/>
      <c r="CO1216" s="4303"/>
      <c r="CP1216" s="4303"/>
      <c r="CQ1216" s="4303"/>
      <c r="CR1216" s="4303"/>
      <c r="CS1216" s="4303"/>
      <c r="CT1216" s="4303"/>
      <c r="CU1216" s="4303"/>
      <c r="CV1216" s="4303"/>
      <c r="CW1216" s="4303"/>
      <c r="CX1216" s="4303"/>
      <c r="CY1216" s="4303"/>
      <c r="CZ1216" s="4303"/>
      <c r="DA1216" s="4303"/>
      <c r="DB1216" s="4303"/>
      <c r="DC1216" s="4303"/>
      <c r="DD1216" s="4303"/>
      <c r="DE1216" s="4303"/>
      <c r="DF1216" s="4303"/>
      <c r="DG1216" s="4303"/>
      <c r="DH1216" s="4303"/>
      <c r="DI1216" s="4303"/>
      <c r="DJ1216" s="4303"/>
      <c r="DK1216" s="4303"/>
      <c r="DL1216" s="4303"/>
      <c r="DM1216" s="4303"/>
      <c r="DN1216" s="4303"/>
      <c r="DO1216" s="4303"/>
      <c r="DP1216" s="4303"/>
      <c r="DQ1216" s="4303"/>
      <c r="DR1216" s="4303"/>
      <c r="DS1216" s="4303"/>
    </row>
    <row r="1217" s="4134" customFormat="1" ht="18.75" customHeight="1" spans="1:123">
      <c r="A1217" s="5022" t="s">
        <v>5362</v>
      </c>
      <c r="B1217" s="5022"/>
      <c r="C1217" s="5022"/>
      <c r="D1217" s="5022"/>
      <c r="E1217" s="5022"/>
      <c r="F1217" s="5012">
        <v>561</v>
      </c>
      <c r="G1217" s="5012"/>
      <c r="H1217" s="5013"/>
      <c r="I1217" s="5013"/>
      <c r="J1217" s="5013"/>
      <c r="K1217" s="5013"/>
      <c r="L1217" s="5013"/>
      <c r="M1217" s="5013"/>
      <c r="N1217" s="5013"/>
      <c r="O1217" s="5014"/>
      <c r="P1217" s="5014"/>
      <c r="Q1217" s="5014"/>
      <c r="R1217" s="5014"/>
      <c r="S1217" s="5014"/>
      <c r="T1217" s="5014"/>
      <c r="U1217" s="5014"/>
      <c r="V1217" s="5012">
        <v>560</v>
      </c>
      <c r="W1217" s="5012"/>
      <c r="X1217" s="4303"/>
      <c r="Y1217" s="4303"/>
      <c r="Z1217" s="4311" t="s">
        <v>5363</v>
      </c>
      <c r="AA1217" s="4303"/>
      <c r="AB1217" s="4303"/>
      <c r="AC1217" s="4303"/>
      <c r="AD1217" s="4303"/>
      <c r="AE1217" s="4303"/>
      <c r="AF1217" s="4303"/>
      <c r="AG1217" s="4303"/>
      <c r="AH1217" s="4303"/>
      <c r="AI1217" s="4303"/>
      <c r="AJ1217" s="4303"/>
      <c r="AK1217" s="4303"/>
      <c r="AL1217" s="4303"/>
      <c r="AM1217" s="4303"/>
      <c r="AN1217" s="4303"/>
      <c r="AO1217" s="4303"/>
      <c r="AP1217" s="4303"/>
      <c r="AQ1217" s="4303"/>
      <c r="AR1217" s="4303"/>
      <c r="AS1217" s="4303"/>
      <c r="AT1217" s="4303"/>
      <c r="AU1217" s="4303"/>
      <c r="AV1217" s="4303"/>
      <c r="AW1217" s="4303"/>
      <c r="AX1217" s="4303"/>
      <c r="AY1217" s="4303"/>
      <c r="AZ1217" s="4303"/>
      <c r="BA1217" s="4303"/>
      <c r="BB1217" s="4303"/>
      <c r="BC1217" s="4303"/>
      <c r="BD1217" s="4303"/>
      <c r="BE1217" s="4303"/>
      <c r="BF1217" s="4303"/>
      <c r="BG1217" s="4303"/>
      <c r="BH1217" s="4303"/>
      <c r="BI1217" s="4303"/>
      <c r="BJ1217" s="4303"/>
      <c r="BK1217" s="4303"/>
      <c r="BL1217" s="4303"/>
      <c r="BM1217" s="4303"/>
      <c r="BN1217" s="4303"/>
      <c r="BO1217" s="4303"/>
      <c r="BP1217" s="4303"/>
      <c r="BQ1217" s="4303"/>
      <c r="BR1217" s="4303"/>
      <c r="BS1217" s="4303"/>
      <c r="BT1217" s="4303"/>
      <c r="BU1217" s="4303"/>
      <c r="BV1217" s="4303"/>
      <c r="BW1217" s="4303"/>
      <c r="BX1217" s="4303"/>
      <c r="BY1217" s="4303"/>
      <c r="BZ1217" s="4303"/>
      <c r="CA1217" s="4303"/>
      <c r="CB1217" s="4303"/>
      <c r="CC1217" s="4303"/>
      <c r="CD1217" s="4303"/>
      <c r="CE1217" s="4303"/>
      <c r="CF1217" s="4303"/>
      <c r="CG1217" s="4303"/>
      <c r="CH1217" s="4303"/>
      <c r="CI1217" s="4303"/>
      <c r="CJ1217" s="4303"/>
      <c r="CK1217" s="4303"/>
      <c r="CL1217" s="4303"/>
      <c r="CM1217" s="4303"/>
      <c r="CN1217" s="4303"/>
      <c r="CO1217" s="4303"/>
      <c r="CP1217" s="4303"/>
      <c r="CQ1217" s="4303"/>
      <c r="CR1217" s="4303"/>
      <c r="CS1217" s="4303"/>
      <c r="CT1217" s="4303"/>
      <c r="CU1217" s="4303"/>
      <c r="CV1217" s="4303"/>
      <c r="CW1217" s="4303"/>
      <c r="CX1217" s="4303"/>
      <c r="CY1217" s="4303"/>
      <c r="CZ1217" s="4303"/>
      <c r="DA1217" s="4303"/>
      <c r="DB1217" s="4303"/>
      <c r="DC1217" s="4303"/>
      <c r="DD1217" s="4303"/>
      <c r="DE1217" s="4303"/>
      <c r="DF1217" s="4303"/>
      <c r="DG1217" s="4303"/>
      <c r="DH1217" s="4303"/>
      <c r="DI1217" s="4303"/>
      <c r="DJ1217" s="4303"/>
      <c r="DK1217" s="4303"/>
      <c r="DL1217" s="4303"/>
      <c r="DM1217" s="4303"/>
      <c r="DN1217" s="4303"/>
      <c r="DO1217" s="4303"/>
      <c r="DP1217" s="4303"/>
      <c r="DQ1217" s="4303"/>
      <c r="DR1217" s="4303"/>
      <c r="DS1217" s="4303"/>
    </row>
    <row r="1218" s="4134" customFormat="1" ht="18.75" customHeight="1" spans="1:123">
      <c r="A1218" s="5022" t="s">
        <v>5364</v>
      </c>
      <c r="B1218" s="5022"/>
      <c r="C1218" s="5022"/>
      <c r="D1218" s="5022"/>
      <c r="E1218" s="5022"/>
      <c r="F1218" s="5012">
        <v>563</v>
      </c>
      <c r="G1218" s="5012"/>
      <c r="H1218" s="5013"/>
      <c r="I1218" s="5013"/>
      <c r="J1218" s="5013"/>
      <c r="K1218" s="5013"/>
      <c r="L1218" s="5013"/>
      <c r="M1218" s="5013"/>
      <c r="N1218" s="5013"/>
      <c r="O1218" s="5014"/>
      <c r="P1218" s="5014"/>
      <c r="Q1218" s="5014"/>
      <c r="R1218" s="5014"/>
      <c r="S1218" s="5014"/>
      <c r="T1218" s="5014"/>
      <c r="U1218" s="5014"/>
      <c r="V1218" s="5012">
        <v>562</v>
      </c>
      <c r="W1218" s="5012"/>
      <c r="X1218" s="4303"/>
      <c r="Y1218" s="4303"/>
      <c r="Z1218" s="4311" t="s">
        <v>5365</v>
      </c>
      <c r="AA1218" s="4303"/>
      <c r="AB1218" s="4303"/>
      <c r="AC1218" s="4303"/>
      <c r="AD1218" s="4303"/>
      <c r="AE1218" s="4303"/>
      <c r="AF1218" s="4303"/>
      <c r="AG1218" s="4303"/>
      <c r="AH1218" s="4303"/>
      <c r="AI1218" s="4303"/>
      <c r="AJ1218" s="4303"/>
      <c r="AK1218" s="4303"/>
      <c r="AL1218" s="4303"/>
      <c r="AM1218" s="4303"/>
      <c r="AN1218" s="4303"/>
      <c r="AO1218" s="4303"/>
      <c r="AP1218" s="4303"/>
      <c r="AQ1218" s="4303"/>
      <c r="AR1218" s="4303"/>
      <c r="AS1218" s="4303"/>
      <c r="AT1218" s="4303"/>
      <c r="AU1218" s="4303"/>
      <c r="AV1218" s="4303"/>
      <c r="AW1218" s="4303"/>
      <c r="AX1218" s="4303"/>
      <c r="AY1218" s="4303"/>
      <c r="AZ1218" s="4303"/>
      <c r="BA1218" s="4303"/>
      <c r="BB1218" s="4303"/>
      <c r="BC1218" s="4303"/>
      <c r="BD1218" s="4303"/>
      <c r="BE1218" s="4303"/>
      <c r="BF1218" s="4303"/>
      <c r="BG1218" s="4303"/>
      <c r="BH1218" s="4303"/>
      <c r="BI1218" s="4303"/>
      <c r="BJ1218" s="4303"/>
      <c r="BK1218" s="4303"/>
      <c r="BL1218" s="4303"/>
      <c r="BM1218" s="4303"/>
      <c r="BN1218" s="4303"/>
      <c r="BO1218" s="4303"/>
      <c r="BP1218" s="4303"/>
      <c r="BQ1218" s="4303"/>
      <c r="BR1218" s="4303"/>
      <c r="BS1218" s="4303"/>
      <c r="BT1218" s="4303"/>
      <c r="BU1218" s="4303"/>
      <c r="BV1218" s="4303"/>
      <c r="BW1218" s="4303"/>
      <c r="BX1218" s="4303"/>
      <c r="BY1218" s="4303"/>
      <c r="BZ1218" s="4303"/>
      <c r="CA1218" s="4303"/>
      <c r="CB1218" s="4303"/>
      <c r="CC1218" s="4303"/>
      <c r="CD1218" s="4303"/>
      <c r="CE1218" s="4303"/>
      <c r="CF1218" s="4303"/>
      <c r="CG1218" s="4303"/>
      <c r="CH1218" s="4303"/>
      <c r="CI1218" s="4303"/>
      <c r="CJ1218" s="4303"/>
      <c r="CK1218" s="4303"/>
      <c r="CL1218" s="4303"/>
      <c r="CM1218" s="4303"/>
      <c r="CN1218" s="4303"/>
      <c r="CO1218" s="4303"/>
      <c r="CP1218" s="4303"/>
      <c r="CQ1218" s="4303"/>
      <c r="CR1218" s="4303"/>
      <c r="CS1218" s="4303"/>
      <c r="CT1218" s="4303"/>
      <c r="CU1218" s="4303"/>
      <c r="CV1218" s="4303"/>
      <c r="CW1218" s="4303"/>
      <c r="CX1218" s="4303"/>
      <c r="CY1218" s="4303"/>
      <c r="CZ1218" s="4303"/>
      <c r="DA1218" s="4303"/>
      <c r="DB1218" s="4303"/>
      <c r="DC1218" s="4303"/>
      <c r="DD1218" s="4303"/>
      <c r="DE1218" s="4303"/>
      <c r="DF1218" s="4303"/>
      <c r="DG1218" s="4303"/>
      <c r="DH1218" s="4303"/>
      <c r="DI1218" s="4303"/>
      <c r="DJ1218" s="4303"/>
      <c r="DK1218" s="4303"/>
      <c r="DL1218" s="4303"/>
      <c r="DM1218" s="4303"/>
      <c r="DN1218" s="4303"/>
      <c r="DO1218" s="4303"/>
      <c r="DP1218" s="4303"/>
      <c r="DQ1218" s="4303"/>
      <c r="DR1218" s="4303"/>
      <c r="DS1218" s="4303"/>
    </row>
    <row r="1219" s="4134" customFormat="1" ht="18.75" customHeight="1" spans="1:123">
      <c r="A1219" s="5022" t="s">
        <v>5367</v>
      </c>
      <c r="B1219" s="5012"/>
      <c r="C1219" s="5012"/>
      <c r="D1219" s="5012"/>
      <c r="E1219" s="5012"/>
      <c r="F1219" s="5012"/>
      <c r="G1219" s="5012"/>
      <c r="H1219" s="5015"/>
      <c r="I1219" s="5016"/>
      <c r="J1219" s="5016"/>
      <c r="K1219" s="5016"/>
      <c r="L1219" s="5016"/>
      <c r="M1219" s="5016"/>
      <c r="N1219" s="5017"/>
      <c r="O1219" s="5014"/>
      <c r="P1219" s="5014"/>
      <c r="Q1219" s="5014"/>
      <c r="R1219" s="5014"/>
      <c r="S1219" s="5014"/>
      <c r="T1219" s="5014"/>
      <c r="U1219" s="5014"/>
      <c r="V1219" s="5012">
        <v>559</v>
      </c>
      <c r="W1219" s="5012"/>
      <c r="X1219" s="4303"/>
      <c r="Y1219" s="4303"/>
      <c r="Z1219" s="4311" t="s">
        <v>5368</v>
      </c>
      <c r="AA1219" s="4303"/>
      <c r="AB1219" s="4303"/>
      <c r="AC1219" s="4303"/>
      <c r="AD1219" s="4303"/>
      <c r="AE1219" s="4303"/>
      <c r="AF1219" s="4303"/>
      <c r="AG1219" s="4303"/>
      <c r="AH1219" s="4303"/>
      <c r="AI1219" s="4303"/>
      <c r="AJ1219" s="4303"/>
      <c r="AK1219" s="4303"/>
      <c r="AL1219" s="4303"/>
      <c r="AM1219" s="4303"/>
      <c r="AN1219" s="4303"/>
      <c r="AO1219" s="4303"/>
      <c r="AP1219" s="4303"/>
      <c r="AQ1219" s="4303"/>
      <c r="AR1219" s="4303"/>
      <c r="AS1219" s="4303"/>
      <c r="AT1219" s="4303"/>
      <c r="AU1219" s="4303"/>
      <c r="AV1219" s="4303"/>
      <c r="AW1219" s="4303"/>
      <c r="AX1219" s="4303"/>
      <c r="AY1219" s="4303"/>
      <c r="AZ1219" s="4303"/>
      <c r="BA1219" s="4303"/>
      <c r="BB1219" s="4303"/>
      <c r="BC1219" s="4303"/>
      <c r="BD1219" s="4303"/>
      <c r="BE1219" s="4303"/>
      <c r="BF1219" s="4303"/>
      <c r="BG1219" s="4303"/>
      <c r="BH1219" s="4303"/>
      <c r="BI1219" s="4303"/>
      <c r="BJ1219" s="4303"/>
      <c r="BK1219" s="4303"/>
      <c r="BL1219" s="4303"/>
      <c r="BM1219" s="4303"/>
      <c r="BN1219" s="4303"/>
      <c r="BO1219" s="4303"/>
      <c r="BP1219" s="4303"/>
      <c r="BQ1219" s="4303"/>
      <c r="BR1219" s="4303"/>
      <c r="BS1219" s="4303"/>
      <c r="BT1219" s="4303"/>
      <c r="BU1219" s="4303"/>
      <c r="BV1219" s="4303"/>
      <c r="BW1219" s="4303"/>
      <c r="BX1219" s="4303"/>
      <c r="BY1219" s="4303"/>
      <c r="BZ1219" s="4303"/>
      <c r="CA1219" s="4303"/>
      <c r="CB1219" s="4303"/>
      <c r="CC1219" s="4303"/>
      <c r="CD1219" s="4303"/>
      <c r="CE1219" s="4303"/>
      <c r="CF1219" s="4303"/>
      <c r="CG1219" s="4303"/>
      <c r="CH1219" s="4303"/>
      <c r="CI1219" s="4303"/>
      <c r="CJ1219" s="4303"/>
      <c r="CK1219" s="4303"/>
      <c r="CL1219" s="4303"/>
      <c r="CM1219" s="4303"/>
      <c r="CN1219" s="4303"/>
      <c r="CO1219" s="4303"/>
      <c r="CP1219" s="4303"/>
      <c r="CQ1219" s="4303"/>
      <c r="CR1219" s="4303"/>
      <c r="CS1219" s="4303"/>
      <c r="CT1219" s="4303"/>
      <c r="CU1219" s="4303"/>
      <c r="CV1219" s="4303"/>
      <c r="CW1219" s="4303"/>
      <c r="CX1219" s="4303"/>
      <c r="CY1219" s="4303"/>
      <c r="CZ1219" s="4303"/>
      <c r="DA1219" s="4303"/>
      <c r="DB1219" s="4303"/>
      <c r="DC1219" s="4303"/>
      <c r="DD1219" s="4303"/>
      <c r="DE1219" s="4303"/>
      <c r="DF1219" s="4303"/>
      <c r="DG1219" s="4303"/>
      <c r="DH1219" s="4303"/>
      <c r="DI1219" s="4303"/>
      <c r="DJ1219" s="4303"/>
      <c r="DK1219" s="4303"/>
      <c r="DL1219" s="4303"/>
      <c r="DM1219" s="4303"/>
      <c r="DN1219" s="4303"/>
      <c r="DO1219" s="4303"/>
      <c r="DP1219" s="4303"/>
      <c r="DQ1219" s="4303"/>
      <c r="DR1219" s="4303"/>
      <c r="DS1219" s="4303"/>
    </row>
    <row r="1220" s="4134" customFormat="1" ht="18.75" customHeight="1" spans="1:123">
      <c r="A1220" s="5010" t="s">
        <v>5369</v>
      </c>
      <c r="B1220" s="5011"/>
      <c r="C1220" s="5011"/>
      <c r="D1220" s="5011"/>
      <c r="E1220" s="5011"/>
      <c r="F1220" s="5012"/>
      <c r="G1220" s="5012"/>
      <c r="H1220" s="5020"/>
      <c r="I1220" s="4303"/>
      <c r="J1220" s="4303"/>
      <c r="K1220" s="4303"/>
      <c r="L1220" s="4303"/>
      <c r="M1220" s="4303"/>
      <c r="N1220" s="5021"/>
      <c r="O1220" s="5014"/>
      <c r="P1220" s="5014"/>
      <c r="Q1220" s="5014"/>
      <c r="R1220" s="5014"/>
      <c r="S1220" s="5014"/>
      <c r="T1220" s="5014"/>
      <c r="U1220" s="5014"/>
      <c r="V1220" s="5012">
        <v>550</v>
      </c>
      <c r="W1220" s="5012"/>
      <c r="X1220" s="4303"/>
      <c r="Y1220" s="4303"/>
      <c r="Z1220" s="4302" t="s">
        <v>5370</v>
      </c>
      <c r="AA1220" s="4303"/>
      <c r="AB1220" s="4303"/>
      <c r="AC1220" s="4303"/>
      <c r="AD1220" s="4303"/>
      <c r="AE1220" s="4303"/>
      <c r="AF1220" s="4303"/>
      <c r="AG1220" s="4303"/>
      <c r="AH1220" s="4303"/>
      <c r="AI1220" s="4303"/>
      <c r="AJ1220" s="4303"/>
      <c r="AK1220" s="4303"/>
      <c r="AL1220" s="4303"/>
      <c r="AM1220" s="4303"/>
      <c r="AN1220" s="4303"/>
      <c r="AO1220" s="4303"/>
      <c r="AP1220" s="4303"/>
      <c r="AQ1220" s="4303"/>
      <c r="AR1220" s="4303"/>
      <c r="AS1220" s="4303"/>
      <c r="AT1220" s="4303"/>
      <c r="AU1220" s="4303"/>
      <c r="AV1220" s="4303"/>
      <c r="AW1220" s="4303"/>
      <c r="AX1220" s="4303"/>
      <c r="AY1220" s="4303"/>
      <c r="AZ1220" s="4303"/>
      <c r="BA1220" s="4303"/>
      <c r="BB1220" s="4303"/>
      <c r="BC1220" s="4303"/>
      <c r="BD1220" s="4303"/>
      <c r="BE1220" s="4303"/>
      <c r="BF1220" s="4303"/>
      <c r="BG1220" s="4303"/>
      <c r="BH1220" s="4303"/>
      <c r="BI1220" s="4303"/>
      <c r="BJ1220" s="4303"/>
      <c r="BK1220" s="4303"/>
      <c r="BL1220" s="4303"/>
      <c r="BM1220" s="4303"/>
      <c r="BN1220" s="4303"/>
      <c r="BO1220" s="4303"/>
      <c r="BP1220" s="4303"/>
      <c r="BQ1220" s="4303"/>
      <c r="BR1220" s="4303"/>
      <c r="BS1220" s="4303"/>
      <c r="BT1220" s="4303"/>
      <c r="BU1220" s="4303"/>
      <c r="BV1220" s="4303"/>
      <c r="BW1220" s="4303"/>
      <c r="BX1220" s="4303"/>
      <c r="BY1220" s="4303"/>
      <c r="BZ1220" s="4303"/>
      <c r="CA1220" s="4303"/>
      <c r="CB1220" s="4303"/>
      <c r="CC1220" s="4303"/>
      <c r="CD1220" s="4303"/>
      <c r="CE1220" s="4303"/>
      <c r="CF1220" s="4303"/>
      <c r="CG1220" s="4303"/>
      <c r="CH1220" s="4303"/>
      <c r="CI1220" s="4303"/>
      <c r="CJ1220" s="4303"/>
      <c r="CK1220" s="4303"/>
      <c r="CL1220" s="4303"/>
      <c r="CM1220" s="4303"/>
      <c r="CN1220" s="4303"/>
      <c r="CO1220" s="4303"/>
      <c r="CP1220" s="4303"/>
      <c r="CQ1220" s="4303"/>
      <c r="CR1220" s="4303"/>
      <c r="CS1220" s="4303"/>
      <c r="CT1220" s="4303"/>
      <c r="CU1220" s="4303"/>
      <c r="CV1220" s="4303"/>
      <c r="CW1220" s="4303"/>
      <c r="CX1220" s="4303"/>
      <c r="CY1220" s="4303"/>
      <c r="CZ1220" s="4303"/>
      <c r="DA1220" s="4303"/>
      <c r="DB1220" s="4303"/>
      <c r="DC1220" s="4303"/>
      <c r="DD1220" s="4303"/>
      <c r="DE1220" s="4303"/>
      <c r="DF1220" s="4303"/>
      <c r="DG1220" s="4303"/>
      <c r="DH1220" s="4303"/>
      <c r="DI1220" s="4303"/>
      <c r="DJ1220" s="4303"/>
      <c r="DK1220" s="4303"/>
      <c r="DL1220" s="4303"/>
      <c r="DM1220" s="4303"/>
      <c r="DN1220" s="4303"/>
      <c r="DO1220" s="4303"/>
      <c r="DP1220" s="4303"/>
      <c r="DQ1220" s="4303"/>
      <c r="DR1220" s="4303"/>
      <c r="DS1220" s="4303"/>
    </row>
    <row r="1221" s="4134" customFormat="1" ht="18.75" customHeight="1" spans="1:123">
      <c r="A1221" s="5010" t="s">
        <v>5371</v>
      </c>
      <c r="B1221" s="5011"/>
      <c r="C1221" s="5011"/>
      <c r="D1221" s="5011"/>
      <c r="E1221" s="5011"/>
      <c r="F1221" s="5012"/>
      <c r="G1221" s="5012"/>
      <c r="H1221" s="5020"/>
      <c r="I1221" s="4303"/>
      <c r="J1221" s="4303"/>
      <c r="K1221" s="4303"/>
      <c r="L1221" s="4303"/>
      <c r="M1221" s="4303"/>
      <c r="N1221" s="5021"/>
      <c r="O1221" s="5014"/>
      <c r="P1221" s="5014"/>
      <c r="Q1221" s="5014"/>
      <c r="R1221" s="5014"/>
      <c r="S1221" s="5014"/>
      <c r="T1221" s="5014"/>
      <c r="U1221" s="5014"/>
      <c r="V1221" s="5012">
        <v>550</v>
      </c>
      <c r="W1221" s="5012"/>
      <c r="X1221" s="4303"/>
      <c r="Y1221" s="4303"/>
      <c r="Z1221" s="4302" t="s">
        <v>5372</v>
      </c>
      <c r="AA1221" s="4303"/>
      <c r="AB1221" s="4303"/>
      <c r="AC1221" s="4303"/>
      <c r="AD1221" s="4303"/>
      <c r="AE1221" s="4303"/>
      <c r="AF1221" s="4303"/>
      <c r="AG1221" s="4303"/>
      <c r="AH1221" s="4303"/>
      <c r="AI1221" s="4303"/>
      <c r="AJ1221" s="4303"/>
      <c r="AK1221" s="4303"/>
      <c r="AL1221" s="4303"/>
      <c r="AM1221" s="4303"/>
      <c r="AN1221" s="4303"/>
      <c r="AO1221" s="4303"/>
      <c r="AP1221" s="4303"/>
      <c r="AQ1221" s="4303"/>
      <c r="AR1221" s="4303"/>
      <c r="AS1221" s="4303"/>
      <c r="AT1221" s="4303"/>
      <c r="AU1221" s="4303"/>
      <c r="AV1221" s="4303"/>
      <c r="AW1221" s="4303"/>
      <c r="AX1221" s="4303"/>
      <c r="AY1221" s="4303"/>
      <c r="AZ1221" s="4303"/>
      <c r="BA1221" s="4303"/>
      <c r="BB1221" s="4303"/>
      <c r="BC1221" s="4303"/>
      <c r="BD1221" s="4303"/>
      <c r="BE1221" s="4303"/>
      <c r="BF1221" s="4303"/>
      <c r="BG1221" s="4303"/>
      <c r="BH1221" s="4303"/>
      <c r="BI1221" s="4303"/>
      <c r="BJ1221" s="4303"/>
      <c r="BK1221" s="4303"/>
      <c r="BL1221" s="4303"/>
      <c r="BM1221" s="4303"/>
      <c r="BN1221" s="4303"/>
      <c r="BO1221" s="4303"/>
      <c r="BP1221" s="4303"/>
      <c r="BQ1221" s="4303"/>
      <c r="BR1221" s="4303"/>
      <c r="BS1221" s="4303"/>
      <c r="BT1221" s="4303"/>
      <c r="BU1221" s="4303"/>
      <c r="BV1221" s="4303"/>
      <c r="BW1221" s="4303"/>
      <c r="BX1221" s="4303"/>
      <c r="BY1221" s="4303"/>
      <c r="BZ1221" s="4303"/>
      <c r="CA1221" s="4303"/>
      <c r="CB1221" s="4303"/>
      <c r="CC1221" s="4303"/>
      <c r="CD1221" s="4303"/>
      <c r="CE1221" s="4303"/>
      <c r="CF1221" s="4303"/>
      <c r="CG1221" s="4303"/>
      <c r="CH1221" s="4303"/>
      <c r="CI1221" s="4303"/>
      <c r="CJ1221" s="4303"/>
      <c r="CK1221" s="4303"/>
      <c r="CL1221" s="4303"/>
      <c r="CM1221" s="4303"/>
      <c r="CN1221" s="4303"/>
      <c r="CO1221" s="4303"/>
      <c r="CP1221" s="4303"/>
      <c r="CQ1221" s="4303"/>
      <c r="CR1221" s="4303"/>
      <c r="CS1221" s="4303"/>
      <c r="CT1221" s="4303"/>
      <c r="CU1221" s="4303"/>
      <c r="CV1221" s="4303"/>
      <c r="CW1221" s="4303"/>
      <c r="CX1221" s="4303"/>
      <c r="CY1221" s="4303"/>
      <c r="CZ1221" s="4303"/>
      <c r="DA1221" s="4303"/>
      <c r="DB1221" s="4303"/>
      <c r="DC1221" s="4303"/>
      <c r="DD1221" s="4303"/>
      <c r="DE1221" s="4303"/>
      <c r="DF1221" s="4303"/>
      <c r="DG1221" s="4303"/>
      <c r="DH1221" s="4303"/>
      <c r="DI1221" s="4303"/>
      <c r="DJ1221" s="4303"/>
      <c r="DK1221" s="4303"/>
      <c r="DL1221" s="4303"/>
      <c r="DM1221" s="4303"/>
      <c r="DN1221" s="4303"/>
      <c r="DO1221" s="4303"/>
      <c r="DP1221" s="4303"/>
      <c r="DQ1221" s="4303"/>
      <c r="DR1221" s="4303"/>
      <c r="DS1221" s="4303"/>
    </row>
    <row r="1222" s="4134" customFormat="1" ht="18.75" customHeight="1" spans="1:123">
      <c r="A1222" s="5010" t="s">
        <v>5373</v>
      </c>
      <c r="B1222" s="5011"/>
      <c r="C1222" s="5011"/>
      <c r="D1222" s="5011"/>
      <c r="E1222" s="5011"/>
      <c r="F1222" s="5012"/>
      <c r="G1222" s="5012"/>
      <c r="H1222" s="5020"/>
      <c r="I1222" s="4303"/>
      <c r="J1222" s="4303"/>
      <c r="K1222" s="4303"/>
      <c r="L1222" s="4303"/>
      <c r="M1222" s="4303"/>
      <c r="N1222" s="5021"/>
      <c r="O1222" s="5014"/>
      <c r="P1222" s="5014"/>
      <c r="Q1222" s="5014"/>
      <c r="R1222" s="5014"/>
      <c r="S1222" s="5014"/>
      <c r="T1222" s="5014"/>
      <c r="U1222" s="5014"/>
      <c r="V1222" s="5012">
        <v>550</v>
      </c>
      <c r="W1222" s="5012"/>
      <c r="X1222" s="4303"/>
      <c r="Y1222" s="4303"/>
      <c r="Z1222" s="4302" t="s">
        <v>5374</v>
      </c>
      <c r="AA1222" s="4303"/>
      <c r="AB1222" s="4303"/>
      <c r="AC1222" s="4303"/>
      <c r="AD1222" s="4303"/>
      <c r="AE1222" s="4303"/>
      <c r="AF1222" s="4303"/>
      <c r="AG1222" s="4303"/>
      <c r="AH1222" s="4303"/>
      <c r="AI1222" s="4303"/>
      <c r="AJ1222" s="4303"/>
      <c r="AK1222" s="4303"/>
      <c r="AL1222" s="4303"/>
      <c r="AM1222" s="4303"/>
      <c r="AN1222" s="4303"/>
      <c r="AO1222" s="4303"/>
      <c r="AP1222" s="4303"/>
      <c r="AQ1222" s="4303"/>
      <c r="AR1222" s="4303"/>
      <c r="AS1222" s="4303"/>
      <c r="AT1222" s="4303"/>
      <c r="AU1222" s="4303"/>
      <c r="AV1222" s="4303"/>
      <c r="AW1222" s="4303"/>
      <c r="AX1222" s="4303"/>
      <c r="AY1222" s="4303"/>
      <c r="AZ1222" s="4303"/>
      <c r="BA1222" s="4303"/>
      <c r="BB1222" s="4303"/>
      <c r="BC1222" s="4303"/>
      <c r="BD1222" s="4303"/>
      <c r="BE1222" s="4303"/>
      <c r="BF1222" s="4303"/>
      <c r="BG1222" s="4303"/>
      <c r="BH1222" s="4303"/>
      <c r="BI1222" s="4303"/>
      <c r="BJ1222" s="4303"/>
      <c r="BK1222" s="4303"/>
      <c r="BL1222" s="4303"/>
      <c r="BM1222" s="4303"/>
      <c r="BN1222" s="4303"/>
      <c r="BO1222" s="4303"/>
      <c r="BP1222" s="4303"/>
      <c r="BQ1222" s="4303"/>
      <c r="BR1222" s="4303"/>
      <c r="BS1222" s="4303"/>
      <c r="BT1222" s="4303"/>
      <c r="BU1222" s="4303"/>
      <c r="BV1222" s="4303"/>
      <c r="BW1222" s="4303"/>
      <c r="BX1222" s="4303"/>
      <c r="BY1222" s="4303"/>
      <c r="BZ1222" s="4303"/>
      <c r="CA1222" s="4303"/>
      <c r="CB1222" s="4303"/>
      <c r="CC1222" s="4303"/>
      <c r="CD1222" s="4303"/>
      <c r="CE1222" s="4303"/>
      <c r="CF1222" s="4303"/>
      <c r="CG1222" s="4303"/>
      <c r="CH1222" s="4303"/>
      <c r="CI1222" s="4303"/>
      <c r="CJ1222" s="4303"/>
      <c r="CK1222" s="4303"/>
      <c r="CL1222" s="4303"/>
      <c r="CM1222" s="4303"/>
      <c r="CN1222" s="4303"/>
      <c r="CO1222" s="4303"/>
      <c r="CP1222" s="4303"/>
      <c r="CQ1222" s="4303"/>
      <c r="CR1222" s="4303"/>
      <c r="CS1222" s="4303"/>
      <c r="CT1222" s="4303"/>
      <c r="CU1222" s="4303"/>
      <c r="CV1222" s="4303"/>
      <c r="CW1222" s="4303"/>
      <c r="CX1222" s="4303"/>
      <c r="CY1222" s="4303"/>
      <c r="CZ1222" s="4303"/>
      <c r="DA1222" s="4303"/>
      <c r="DB1222" s="4303"/>
      <c r="DC1222" s="4303"/>
      <c r="DD1222" s="4303"/>
      <c r="DE1222" s="4303"/>
      <c r="DF1222" s="4303"/>
      <c r="DG1222" s="4303"/>
      <c r="DH1222" s="4303"/>
      <c r="DI1222" s="4303"/>
      <c r="DJ1222" s="4303"/>
      <c r="DK1222" s="4303"/>
      <c r="DL1222" s="4303"/>
      <c r="DM1222" s="4303"/>
      <c r="DN1222" s="4303"/>
      <c r="DO1222" s="4303"/>
      <c r="DP1222" s="4303"/>
      <c r="DQ1222" s="4303"/>
      <c r="DR1222" s="4303"/>
      <c r="DS1222" s="4303"/>
    </row>
    <row r="1223" s="4134" customFormat="1" ht="18.75" customHeight="1" spans="1:123">
      <c r="A1223" s="5010" t="s">
        <v>5375</v>
      </c>
      <c r="B1223" s="5011"/>
      <c r="C1223" s="5011"/>
      <c r="D1223" s="5011"/>
      <c r="E1223" s="5011"/>
      <c r="F1223" s="5012"/>
      <c r="G1223" s="5012"/>
      <c r="H1223" s="5020"/>
      <c r="I1223" s="4303"/>
      <c r="J1223" s="4303"/>
      <c r="K1223" s="4303"/>
      <c r="L1223" s="4303"/>
      <c r="M1223" s="4303"/>
      <c r="N1223" s="5021"/>
      <c r="O1223" s="5014"/>
      <c r="P1223" s="5014"/>
      <c r="Q1223" s="5014"/>
      <c r="R1223" s="5014"/>
      <c r="S1223" s="5014"/>
      <c r="T1223" s="5014"/>
      <c r="U1223" s="5014"/>
      <c r="V1223" s="5012">
        <v>550</v>
      </c>
      <c r="W1223" s="5012"/>
      <c r="X1223" s="4303"/>
      <c r="Y1223" s="4303"/>
      <c r="Z1223" s="4302" t="s">
        <v>5376</v>
      </c>
      <c r="AA1223" s="4303"/>
      <c r="AB1223" s="4303"/>
      <c r="AC1223" s="4303"/>
      <c r="AD1223" s="4303"/>
      <c r="AE1223" s="4303"/>
      <c r="AF1223" s="4303"/>
      <c r="AG1223" s="4303"/>
      <c r="AH1223" s="4303"/>
      <c r="AI1223" s="4303"/>
      <c r="AJ1223" s="4303"/>
      <c r="AK1223" s="4303"/>
      <c r="AL1223" s="4303"/>
      <c r="AM1223" s="4303"/>
      <c r="AN1223" s="4303"/>
      <c r="AO1223" s="4303"/>
      <c r="AP1223" s="4303"/>
      <c r="AQ1223" s="4303"/>
      <c r="AR1223" s="4303"/>
      <c r="AS1223" s="4303"/>
      <c r="AT1223" s="4303"/>
      <c r="AU1223" s="4303"/>
      <c r="AV1223" s="4303"/>
      <c r="AW1223" s="4303"/>
      <c r="AX1223" s="4303"/>
      <c r="AY1223" s="4303"/>
      <c r="AZ1223" s="4303"/>
      <c r="BA1223" s="4303"/>
      <c r="BB1223" s="4303"/>
      <c r="BC1223" s="4303"/>
      <c r="BD1223" s="4303"/>
      <c r="BE1223" s="4303"/>
      <c r="BF1223" s="4303"/>
      <c r="BG1223" s="4303"/>
      <c r="BH1223" s="4303"/>
      <c r="BI1223" s="4303"/>
      <c r="BJ1223" s="4303"/>
      <c r="BK1223" s="4303"/>
      <c r="BL1223" s="4303"/>
      <c r="BM1223" s="4303"/>
      <c r="BN1223" s="4303"/>
      <c r="BO1223" s="4303"/>
      <c r="BP1223" s="4303"/>
      <c r="BQ1223" s="4303"/>
      <c r="BR1223" s="4303"/>
      <c r="BS1223" s="4303"/>
      <c r="BT1223" s="4303"/>
      <c r="BU1223" s="4303"/>
      <c r="BV1223" s="4303"/>
      <c r="BW1223" s="4303"/>
      <c r="BX1223" s="4303"/>
      <c r="BY1223" s="4303"/>
      <c r="BZ1223" s="4303"/>
      <c r="CA1223" s="4303"/>
      <c r="CB1223" s="4303"/>
      <c r="CC1223" s="4303"/>
      <c r="CD1223" s="4303"/>
      <c r="CE1223" s="4303"/>
      <c r="CF1223" s="4303"/>
      <c r="CG1223" s="4303"/>
      <c r="CH1223" s="4303"/>
      <c r="CI1223" s="4303"/>
      <c r="CJ1223" s="4303"/>
      <c r="CK1223" s="4303"/>
      <c r="CL1223" s="4303"/>
      <c r="CM1223" s="4303"/>
      <c r="CN1223" s="4303"/>
      <c r="CO1223" s="4303"/>
      <c r="CP1223" s="4303"/>
      <c r="CQ1223" s="4303"/>
      <c r="CR1223" s="4303"/>
      <c r="CS1223" s="4303"/>
      <c r="CT1223" s="4303"/>
      <c r="CU1223" s="4303"/>
      <c r="CV1223" s="4303"/>
      <c r="CW1223" s="4303"/>
      <c r="CX1223" s="4303"/>
      <c r="CY1223" s="4303"/>
      <c r="CZ1223" s="4303"/>
      <c r="DA1223" s="4303"/>
      <c r="DB1223" s="4303"/>
      <c r="DC1223" s="4303"/>
      <c r="DD1223" s="4303"/>
      <c r="DE1223" s="4303"/>
      <c r="DF1223" s="4303"/>
      <c r="DG1223" s="4303"/>
      <c r="DH1223" s="4303"/>
      <c r="DI1223" s="4303"/>
      <c r="DJ1223" s="4303"/>
      <c r="DK1223" s="4303"/>
      <c r="DL1223" s="4303"/>
      <c r="DM1223" s="4303"/>
      <c r="DN1223" s="4303"/>
      <c r="DO1223" s="4303"/>
      <c r="DP1223" s="4303"/>
      <c r="DQ1223" s="4303"/>
      <c r="DR1223" s="4303"/>
      <c r="DS1223" s="4303"/>
    </row>
    <row r="1224" s="4134" customFormat="1" ht="18.75" customHeight="1" spans="1:123">
      <c r="A1224" s="5010" t="s">
        <v>5377</v>
      </c>
      <c r="B1224" s="5011"/>
      <c r="C1224" s="5011"/>
      <c r="D1224" s="5011"/>
      <c r="E1224" s="5011"/>
      <c r="F1224" s="5012"/>
      <c r="G1224" s="5012"/>
      <c r="H1224" s="5023"/>
      <c r="I1224" s="5024"/>
      <c r="J1224" s="5024"/>
      <c r="K1224" s="5024"/>
      <c r="L1224" s="5024"/>
      <c r="M1224" s="5024"/>
      <c r="N1224" s="5025"/>
      <c r="O1224" s="5014"/>
      <c r="P1224" s="5014"/>
      <c r="Q1224" s="5014"/>
      <c r="R1224" s="5014"/>
      <c r="S1224" s="5014"/>
      <c r="T1224" s="5014"/>
      <c r="U1224" s="5014"/>
      <c r="V1224" s="5012">
        <v>550</v>
      </c>
      <c r="W1224" s="5012"/>
      <c r="X1224" s="4303"/>
      <c r="Y1224" s="4303"/>
      <c r="Z1224" s="4302" t="s">
        <v>5378</v>
      </c>
      <c r="AA1224" s="4303"/>
      <c r="AB1224" s="4303"/>
      <c r="AC1224" s="4303"/>
      <c r="AD1224" s="4303"/>
      <c r="AE1224" s="4303"/>
      <c r="AF1224" s="4303"/>
      <c r="AG1224" s="4303"/>
      <c r="AH1224" s="4303"/>
      <c r="AI1224" s="4303"/>
      <c r="AJ1224" s="4303"/>
      <c r="AK1224" s="4303"/>
      <c r="AL1224" s="4303"/>
      <c r="AM1224" s="4303"/>
      <c r="AN1224" s="4303"/>
      <c r="AO1224" s="4303"/>
      <c r="AP1224" s="4303"/>
      <c r="AQ1224" s="4303"/>
      <c r="AR1224" s="4303"/>
      <c r="AS1224" s="4303"/>
      <c r="AT1224" s="4303"/>
      <c r="AU1224" s="4303"/>
      <c r="AV1224" s="4303"/>
      <c r="AW1224" s="4303"/>
      <c r="AX1224" s="4303"/>
      <c r="AY1224" s="4303"/>
      <c r="AZ1224" s="4303"/>
      <c r="BA1224" s="4303"/>
      <c r="BB1224" s="4303"/>
      <c r="BC1224" s="4303"/>
      <c r="BD1224" s="4303"/>
      <c r="BE1224" s="4303"/>
      <c r="BF1224" s="4303"/>
      <c r="BG1224" s="4303"/>
      <c r="BH1224" s="4303"/>
      <c r="BI1224" s="4303"/>
      <c r="BJ1224" s="4303"/>
      <c r="BK1224" s="4303"/>
      <c r="BL1224" s="4303"/>
      <c r="BM1224" s="4303"/>
      <c r="BN1224" s="4303"/>
      <c r="BO1224" s="4303"/>
      <c r="BP1224" s="4303"/>
      <c r="BQ1224" s="4303"/>
      <c r="BR1224" s="4303"/>
      <c r="BS1224" s="4303"/>
      <c r="BT1224" s="4303"/>
      <c r="BU1224" s="4303"/>
      <c r="BV1224" s="4303"/>
      <c r="BW1224" s="4303"/>
      <c r="BX1224" s="4303"/>
      <c r="BY1224" s="4303"/>
      <c r="BZ1224" s="4303"/>
      <c r="CA1224" s="4303"/>
      <c r="CB1224" s="4303"/>
      <c r="CC1224" s="4303"/>
      <c r="CD1224" s="4303"/>
      <c r="CE1224" s="4303"/>
      <c r="CF1224" s="4303"/>
      <c r="CG1224" s="4303"/>
      <c r="CH1224" s="4303"/>
      <c r="CI1224" s="4303"/>
      <c r="CJ1224" s="4303"/>
      <c r="CK1224" s="4303"/>
      <c r="CL1224" s="4303"/>
      <c r="CM1224" s="4303"/>
      <c r="CN1224" s="4303"/>
      <c r="CO1224" s="4303"/>
      <c r="CP1224" s="4303"/>
      <c r="CQ1224" s="4303"/>
      <c r="CR1224" s="4303"/>
      <c r="CS1224" s="4303"/>
      <c r="CT1224" s="4303"/>
      <c r="CU1224" s="4303"/>
      <c r="CV1224" s="4303"/>
      <c r="CW1224" s="4303"/>
      <c r="CX1224" s="4303"/>
      <c r="CY1224" s="4303"/>
      <c r="CZ1224" s="4303"/>
      <c r="DA1224" s="4303"/>
      <c r="DB1224" s="4303"/>
      <c r="DC1224" s="4303"/>
      <c r="DD1224" s="4303"/>
      <c r="DE1224" s="4303"/>
      <c r="DF1224" s="4303"/>
      <c r="DG1224" s="4303"/>
      <c r="DH1224" s="4303"/>
      <c r="DI1224" s="4303"/>
      <c r="DJ1224" s="4303"/>
      <c r="DK1224" s="4303"/>
      <c r="DL1224" s="4303"/>
      <c r="DM1224" s="4303"/>
      <c r="DN1224" s="4303"/>
      <c r="DO1224" s="4303"/>
      <c r="DP1224" s="4303"/>
      <c r="DQ1224" s="4303"/>
      <c r="DR1224" s="4303"/>
      <c r="DS1224" s="4303"/>
    </row>
    <row r="1225" s="4134" customFormat="1" ht="18.75" customHeight="1" spans="1:123">
      <c r="A1225" s="5010" t="s">
        <v>5393</v>
      </c>
      <c r="B1225" s="5011"/>
      <c r="C1225" s="5011"/>
      <c r="D1225" s="5011"/>
      <c r="E1225" s="5011"/>
      <c r="F1225" s="5012">
        <v>577</v>
      </c>
      <c r="G1225" s="5012"/>
      <c r="H1225" s="5013"/>
      <c r="I1225" s="5013"/>
      <c r="J1225" s="5013"/>
      <c r="K1225" s="5013"/>
      <c r="L1225" s="5013"/>
      <c r="M1225" s="5013"/>
      <c r="N1225" s="5013"/>
      <c r="O1225" s="5014"/>
      <c r="P1225" s="5014"/>
      <c r="Q1225" s="5014"/>
      <c r="R1225" s="5014"/>
      <c r="S1225" s="5014"/>
      <c r="T1225" s="5014"/>
      <c r="U1225" s="5014"/>
      <c r="V1225" s="5012">
        <v>576</v>
      </c>
      <c r="W1225" s="5012"/>
      <c r="X1225" s="4303"/>
      <c r="Y1225" s="4303"/>
      <c r="Z1225" s="4302" t="s">
        <v>3098</v>
      </c>
      <c r="AA1225" s="4303"/>
      <c r="AB1225" s="4303"/>
      <c r="AC1225" s="4303"/>
      <c r="AD1225" s="4303"/>
      <c r="AE1225" s="4303"/>
      <c r="AF1225" s="4303"/>
      <c r="AG1225" s="4303"/>
      <c r="AH1225" s="4303"/>
      <c r="AI1225" s="4303"/>
      <c r="AJ1225" s="4303"/>
      <c r="AK1225" s="4303"/>
      <c r="AL1225" s="4303"/>
      <c r="AM1225" s="4303"/>
      <c r="AN1225" s="4303"/>
      <c r="AO1225" s="4303"/>
      <c r="AP1225" s="4303"/>
      <c r="AQ1225" s="4303"/>
      <c r="AR1225" s="4303"/>
      <c r="AS1225" s="4303"/>
      <c r="AT1225" s="4303"/>
      <c r="AU1225" s="4303"/>
      <c r="AV1225" s="4303"/>
      <c r="AW1225" s="4303"/>
      <c r="AX1225" s="4303"/>
      <c r="AY1225" s="4303"/>
      <c r="AZ1225" s="4303"/>
      <c r="BA1225" s="4303"/>
      <c r="BB1225" s="4303"/>
      <c r="BC1225" s="4303"/>
      <c r="BD1225" s="4303"/>
      <c r="BE1225" s="4303"/>
      <c r="BF1225" s="4303"/>
      <c r="BG1225" s="4303"/>
      <c r="BH1225" s="4303"/>
      <c r="BI1225" s="4303"/>
      <c r="BJ1225" s="4303"/>
      <c r="BK1225" s="4303"/>
      <c r="BL1225" s="4303"/>
      <c r="BM1225" s="4303"/>
      <c r="BN1225" s="4303"/>
      <c r="BO1225" s="4303"/>
      <c r="BP1225" s="4303"/>
      <c r="BQ1225" s="4303"/>
      <c r="BR1225" s="4303"/>
      <c r="BS1225" s="4303"/>
      <c r="BT1225" s="4303"/>
      <c r="BU1225" s="4303"/>
      <c r="BV1225" s="4303"/>
      <c r="BW1225" s="4303"/>
      <c r="BX1225" s="4303"/>
      <c r="BY1225" s="4303"/>
      <c r="BZ1225" s="4303"/>
      <c r="CA1225" s="4303"/>
      <c r="CB1225" s="4303"/>
      <c r="CC1225" s="4303"/>
      <c r="CD1225" s="4303"/>
      <c r="CE1225" s="4303"/>
      <c r="CF1225" s="4303"/>
      <c r="CG1225" s="4303"/>
      <c r="CH1225" s="4303"/>
      <c r="CI1225" s="4303"/>
      <c r="CJ1225" s="4303"/>
      <c r="CK1225" s="4303"/>
      <c r="CL1225" s="4303"/>
      <c r="CM1225" s="4303"/>
      <c r="CN1225" s="4303"/>
      <c r="CO1225" s="4303"/>
      <c r="CP1225" s="4303"/>
      <c r="CQ1225" s="4303"/>
      <c r="CR1225" s="4303"/>
      <c r="CS1225" s="4303"/>
      <c r="CT1225" s="4303"/>
      <c r="CU1225" s="4303"/>
      <c r="CV1225" s="4303"/>
      <c r="CW1225" s="4303"/>
      <c r="CX1225" s="4303"/>
      <c r="CY1225" s="4303"/>
      <c r="CZ1225" s="4303"/>
      <c r="DA1225" s="4303"/>
      <c r="DB1225" s="4303"/>
      <c r="DC1225" s="4303"/>
      <c r="DD1225" s="4303"/>
      <c r="DE1225" s="4303"/>
      <c r="DF1225" s="4303"/>
      <c r="DG1225" s="4303"/>
      <c r="DH1225" s="4303"/>
      <c r="DI1225" s="4303"/>
      <c r="DJ1225" s="4303"/>
      <c r="DK1225" s="4303"/>
      <c r="DL1225" s="4303"/>
      <c r="DM1225" s="4303"/>
      <c r="DN1225" s="4303"/>
      <c r="DO1225" s="4303"/>
      <c r="DP1225" s="4303"/>
      <c r="DQ1225" s="4303"/>
      <c r="DR1225" s="4303"/>
      <c r="DS1225" s="4303"/>
    </row>
    <row r="1226" s="4134" customFormat="1" ht="18.75" customHeight="1" spans="1:123">
      <c r="A1226" s="5010" t="s">
        <v>5394</v>
      </c>
      <c r="B1226" s="5011"/>
      <c r="C1226" s="5011"/>
      <c r="D1226" s="5011"/>
      <c r="E1226" s="5011"/>
      <c r="F1226" s="5012">
        <v>577</v>
      </c>
      <c r="G1226" s="5012"/>
      <c r="H1226" s="5013"/>
      <c r="I1226" s="5013"/>
      <c r="J1226" s="5013"/>
      <c r="K1226" s="5013"/>
      <c r="L1226" s="5013"/>
      <c r="M1226" s="5013"/>
      <c r="N1226" s="5013"/>
      <c r="O1226" s="5014"/>
      <c r="P1226" s="5014"/>
      <c r="Q1226" s="5014"/>
      <c r="R1226" s="5014"/>
      <c r="S1226" s="5014"/>
      <c r="T1226" s="5014"/>
      <c r="U1226" s="5014"/>
      <c r="V1226" s="5012">
        <v>576</v>
      </c>
      <c r="W1226" s="5012"/>
      <c r="X1226" s="4303"/>
      <c r="Y1226" s="4303"/>
      <c r="Z1226" s="4302" t="s">
        <v>5395</v>
      </c>
      <c r="AA1226" s="4303"/>
      <c r="AB1226" s="4303"/>
      <c r="AC1226" s="4303"/>
      <c r="AD1226" s="4303"/>
      <c r="AE1226" s="4303"/>
      <c r="AF1226" s="4303"/>
      <c r="AG1226" s="4303"/>
      <c r="AH1226" s="4303"/>
      <c r="AI1226" s="4303"/>
      <c r="AJ1226" s="4303"/>
      <c r="AK1226" s="4303"/>
      <c r="AL1226" s="4303"/>
      <c r="AM1226" s="4303"/>
      <c r="AN1226" s="4303"/>
      <c r="AO1226" s="4303"/>
      <c r="AP1226" s="4303"/>
      <c r="AQ1226" s="4303"/>
      <c r="AR1226" s="4303"/>
      <c r="AS1226" s="4303"/>
      <c r="AT1226" s="4303"/>
      <c r="AU1226" s="4303"/>
      <c r="AV1226" s="4303"/>
      <c r="AW1226" s="4303"/>
      <c r="AX1226" s="4303"/>
      <c r="AY1226" s="4303"/>
      <c r="AZ1226" s="4303"/>
      <c r="BA1226" s="4303"/>
      <c r="BB1226" s="4303"/>
      <c r="BC1226" s="4303"/>
      <c r="BD1226" s="4303"/>
      <c r="BE1226" s="4303"/>
      <c r="BF1226" s="4303"/>
      <c r="BG1226" s="4303"/>
      <c r="BH1226" s="4303"/>
      <c r="BI1226" s="4303"/>
      <c r="BJ1226" s="4303"/>
      <c r="BK1226" s="4303"/>
      <c r="BL1226" s="4303"/>
      <c r="BM1226" s="4303"/>
      <c r="BN1226" s="4303"/>
      <c r="BO1226" s="4303"/>
      <c r="BP1226" s="4303"/>
      <c r="BQ1226" s="4303"/>
      <c r="BR1226" s="4303"/>
      <c r="BS1226" s="4303"/>
      <c r="BT1226" s="4303"/>
      <c r="BU1226" s="4303"/>
      <c r="BV1226" s="4303"/>
      <c r="BW1226" s="4303"/>
      <c r="BX1226" s="4303"/>
      <c r="BY1226" s="4303"/>
      <c r="BZ1226" s="4303"/>
      <c r="CA1226" s="4303"/>
      <c r="CB1226" s="4303"/>
      <c r="CC1226" s="4303"/>
      <c r="CD1226" s="4303"/>
      <c r="CE1226" s="4303"/>
      <c r="CF1226" s="4303"/>
      <c r="CG1226" s="4303"/>
      <c r="CH1226" s="4303"/>
      <c r="CI1226" s="4303"/>
      <c r="CJ1226" s="4303"/>
      <c r="CK1226" s="4303"/>
      <c r="CL1226" s="4303"/>
      <c r="CM1226" s="4303"/>
      <c r="CN1226" s="4303"/>
      <c r="CO1226" s="4303"/>
      <c r="CP1226" s="4303"/>
      <c r="CQ1226" s="4303"/>
      <c r="CR1226" s="4303"/>
      <c r="CS1226" s="4303"/>
      <c r="CT1226" s="4303"/>
      <c r="CU1226" s="4303"/>
      <c r="CV1226" s="4303"/>
      <c r="CW1226" s="4303"/>
      <c r="CX1226" s="4303"/>
      <c r="CY1226" s="4303"/>
      <c r="CZ1226" s="4303"/>
      <c r="DA1226" s="4303"/>
      <c r="DB1226" s="4303"/>
      <c r="DC1226" s="4303"/>
      <c r="DD1226" s="4303"/>
      <c r="DE1226" s="4303"/>
      <c r="DF1226" s="4303"/>
      <c r="DG1226" s="4303"/>
      <c r="DH1226" s="4303"/>
      <c r="DI1226" s="4303"/>
      <c r="DJ1226" s="4303"/>
      <c r="DK1226" s="4303"/>
      <c r="DL1226" s="4303"/>
      <c r="DM1226" s="4303"/>
      <c r="DN1226" s="4303"/>
      <c r="DO1226" s="4303"/>
      <c r="DP1226" s="4303"/>
      <c r="DQ1226" s="4303"/>
      <c r="DR1226" s="4303"/>
      <c r="DS1226" s="4303"/>
    </row>
    <row r="1227" s="4134" customFormat="1" ht="18.75" customHeight="1" spans="1:123">
      <c r="A1227" s="5010" t="s">
        <v>5396</v>
      </c>
      <c r="B1227" s="5011"/>
      <c r="C1227" s="5011"/>
      <c r="D1227" s="5011"/>
      <c r="E1227" s="5011"/>
      <c r="F1227" s="5012">
        <v>577</v>
      </c>
      <c r="G1227" s="5012"/>
      <c r="H1227" s="5013"/>
      <c r="I1227" s="5013"/>
      <c r="J1227" s="5013"/>
      <c r="K1227" s="5013"/>
      <c r="L1227" s="5013"/>
      <c r="M1227" s="5013"/>
      <c r="N1227" s="5013"/>
      <c r="O1227" s="5014"/>
      <c r="P1227" s="5014"/>
      <c r="Q1227" s="5014"/>
      <c r="R1227" s="5014"/>
      <c r="S1227" s="5014"/>
      <c r="T1227" s="5014"/>
      <c r="U1227" s="5014"/>
      <c r="V1227" s="5012">
        <v>576</v>
      </c>
      <c r="W1227" s="5012"/>
      <c r="X1227" s="4303"/>
      <c r="Y1227" s="4303"/>
      <c r="Z1227" s="4302" t="s">
        <v>3102</v>
      </c>
      <c r="AA1227" s="4303"/>
      <c r="AB1227" s="4303"/>
      <c r="AC1227" s="4303"/>
      <c r="AD1227" s="4303"/>
      <c r="AE1227" s="4303"/>
      <c r="AF1227" s="4303"/>
      <c r="AG1227" s="4303"/>
      <c r="AH1227" s="4303"/>
      <c r="AI1227" s="4303"/>
      <c r="AJ1227" s="4303"/>
      <c r="AK1227" s="4303"/>
      <c r="AL1227" s="4303"/>
      <c r="AM1227" s="4303"/>
      <c r="AN1227" s="4303"/>
      <c r="AO1227" s="4303"/>
      <c r="AP1227" s="4303"/>
      <c r="AQ1227" s="4303"/>
      <c r="AR1227" s="4303"/>
      <c r="AS1227" s="4303"/>
      <c r="AT1227" s="4303"/>
      <c r="AU1227" s="4303"/>
      <c r="AV1227" s="4303"/>
      <c r="AW1227" s="4303"/>
      <c r="AX1227" s="4303"/>
      <c r="AY1227" s="4303"/>
      <c r="AZ1227" s="4303"/>
      <c r="BA1227" s="4303"/>
      <c r="BB1227" s="4303"/>
      <c r="BC1227" s="4303"/>
      <c r="BD1227" s="4303"/>
      <c r="BE1227" s="4303"/>
      <c r="BF1227" s="4303"/>
      <c r="BG1227" s="4303"/>
      <c r="BH1227" s="4303"/>
      <c r="BI1227" s="4303"/>
      <c r="BJ1227" s="4303"/>
      <c r="BK1227" s="4303"/>
      <c r="BL1227" s="4303"/>
      <c r="BM1227" s="4303"/>
      <c r="BN1227" s="4303"/>
      <c r="BO1227" s="4303"/>
      <c r="BP1227" s="4303"/>
      <c r="BQ1227" s="4303"/>
      <c r="BR1227" s="4303"/>
      <c r="BS1227" s="4303"/>
      <c r="BT1227" s="4303"/>
      <c r="BU1227" s="4303"/>
      <c r="BV1227" s="4303"/>
      <c r="BW1227" s="4303"/>
      <c r="BX1227" s="4303"/>
      <c r="BY1227" s="4303"/>
      <c r="BZ1227" s="4303"/>
      <c r="CA1227" s="4303"/>
      <c r="CB1227" s="4303"/>
      <c r="CC1227" s="4303"/>
      <c r="CD1227" s="4303"/>
      <c r="CE1227" s="4303"/>
      <c r="CF1227" s="4303"/>
      <c r="CG1227" s="4303"/>
      <c r="CH1227" s="4303"/>
      <c r="CI1227" s="4303"/>
      <c r="CJ1227" s="4303"/>
      <c r="CK1227" s="4303"/>
      <c r="CL1227" s="4303"/>
      <c r="CM1227" s="4303"/>
      <c r="CN1227" s="4303"/>
      <c r="CO1227" s="4303"/>
      <c r="CP1227" s="4303"/>
      <c r="CQ1227" s="4303"/>
      <c r="CR1227" s="4303"/>
      <c r="CS1227" s="4303"/>
      <c r="CT1227" s="4303"/>
      <c r="CU1227" s="4303"/>
      <c r="CV1227" s="4303"/>
      <c r="CW1227" s="4303"/>
      <c r="CX1227" s="4303"/>
      <c r="CY1227" s="4303"/>
      <c r="CZ1227" s="4303"/>
      <c r="DA1227" s="4303"/>
      <c r="DB1227" s="4303"/>
      <c r="DC1227" s="4303"/>
      <c r="DD1227" s="4303"/>
      <c r="DE1227" s="4303"/>
      <c r="DF1227" s="4303"/>
      <c r="DG1227" s="4303"/>
      <c r="DH1227" s="4303"/>
      <c r="DI1227" s="4303"/>
      <c r="DJ1227" s="4303"/>
      <c r="DK1227" s="4303"/>
      <c r="DL1227" s="4303"/>
      <c r="DM1227" s="4303"/>
      <c r="DN1227" s="4303"/>
      <c r="DO1227" s="4303"/>
      <c r="DP1227" s="4303"/>
      <c r="DQ1227" s="4303"/>
      <c r="DR1227" s="4303"/>
      <c r="DS1227" s="4303"/>
    </row>
    <row r="1228" s="4134" customFormat="1" ht="18.75" customHeight="1" spans="1:123">
      <c r="A1228" s="5010" t="s">
        <v>5397</v>
      </c>
      <c r="B1228" s="5011"/>
      <c r="C1228" s="5011"/>
      <c r="D1228" s="5011"/>
      <c r="E1228" s="5011"/>
      <c r="F1228" s="5012">
        <v>548</v>
      </c>
      <c r="G1228" s="5012"/>
      <c r="H1228" s="5013"/>
      <c r="I1228" s="5013"/>
      <c r="J1228" s="5013"/>
      <c r="K1228" s="5013"/>
      <c r="L1228" s="5013"/>
      <c r="M1228" s="5013"/>
      <c r="N1228" s="5013"/>
      <c r="O1228" s="5014"/>
      <c r="P1228" s="5014"/>
      <c r="Q1228" s="5014"/>
      <c r="R1228" s="5014"/>
      <c r="S1228" s="5014"/>
      <c r="T1228" s="5014"/>
      <c r="U1228" s="5014"/>
      <c r="V1228" s="5012">
        <v>549</v>
      </c>
      <c r="W1228" s="5012"/>
      <c r="X1228" s="4303"/>
      <c r="Y1228" s="4303"/>
      <c r="Z1228" s="4302" t="s">
        <v>3104</v>
      </c>
      <c r="AA1228" s="4303"/>
      <c r="AB1228" s="4303"/>
      <c r="AC1228" s="4303"/>
      <c r="AD1228" s="4303"/>
      <c r="AE1228" s="4303"/>
      <c r="AF1228" s="4303"/>
      <c r="AG1228" s="4303"/>
      <c r="AH1228" s="4303"/>
      <c r="AI1228" s="4303"/>
      <c r="AJ1228" s="4303"/>
      <c r="AK1228" s="4303"/>
      <c r="AL1228" s="4303"/>
      <c r="AM1228" s="4303"/>
      <c r="AN1228" s="4303"/>
      <c r="AO1228" s="4303"/>
      <c r="AP1228" s="4303"/>
      <c r="AQ1228" s="4303"/>
      <c r="AR1228" s="4303"/>
      <c r="AS1228" s="4303"/>
      <c r="AT1228" s="4303"/>
      <c r="AU1228" s="4303"/>
      <c r="AV1228" s="4303"/>
      <c r="AW1228" s="4303"/>
      <c r="AX1228" s="4303"/>
      <c r="AY1228" s="4303"/>
      <c r="AZ1228" s="4303"/>
      <c r="BA1228" s="4303"/>
      <c r="BB1228" s="4303"/>
      <c r="BC1228" s="4303"/>
      <c r="BD1228" s="4303"/>
      <c r="BE1228" s="4303"/>
      <c r="BF1228" s="4303"/>
      <c r="BG1228" s="4303"/>
      <c r="BH1228" s="4303"/>
      <c r="BI1228" s="4303"/>
      <c r="BJ1228" s="4303"/>
      <c r="BK1228" s="4303"/>
      <c r="BL1228" s="4303"/>
      <c r="BM1228" s="4303"/>
      <c r="BN1228" s="4303"/>
      <c r="BO1228" s="4303"/>
      <c r="BP1228" s="4303"/>
      <c r="BQ1228" s="4303"/>
      <c r="BR1228" s="4303"/>
      <c r="BS1228" s="4303"/>
      <c r="BT1228" s="4303"/>
      <c r="BU1228" s="4303"/>
      <c r="BV1228" s="4303"/>
      <c r="BW1228" s="4303"/>
      <c r="BX1228" s="4303"/>
      <c r="BY1228" s="4303"/>
      <c r="BZ1228" s="4303"/>
      <c r="CA1228" s="4303"/>
      <c r="CB1228" s="4303"/>
      <c r="CC1228" s="4303"/>
      <c r="CD1228" s="4303"/>
      <c r="CE1228" s="4303"/>
      <c r="CF1228" s="4303"/>
      <c r="CG1228" s="4303"/>
      <c r="CH1228" s="4303"/>
      <c r="CI1228" s="4303"/>
      <c r="CJ1228" s="4303"/>
      <c r="CK1228" s="4303"/>
      <c r="CL1228" s="4303"/>
      <c r="CM1228" s="4303"/>
      <c r="CN1228" s="4303"/>
      <c r="CO1228" s="4303"/>
      <c r="CP1228" s="4303"/>
      <c r="CQ1228" s="4303"/>
      <c r="CR1228" s="4303"/>
      <c r="CS1228" s="4303"/>
      <c r="CT1228" s="4303"/>
      <c r="CU1228" s="4303"/>
      <c r="CV1228" s="4303"/>
      <c r="CW1228" s="4303"/>
      <c r="CX1228" s="4303"/>
      <c r="CY1228" s="4303"/>
      <c r="CZ1228" s="4303"/>
      <c r="DA1228" s="4303"/>
      <c r="DB1228" s="4303"/>
      <c r="DC1228" s="4303"/>
      <c r="DD1228" s="4303"/>
      <c r="DE1228" s="4303"/>
      <c r="DF1228" s="4303"/>
      <c r="DG1228" s="4303"/>
      <c r="DH1228" s="4303"/>
      <c r="DI1228" s="4303"/>
      <c r="DJ1228" s="4303"/>
      <c r="DK1228" s="4303"/>
      <c r="DL1228" s="4303"/>
      <c r="DM1228" s="4303"/>
      <c r="DN1228" s="4303"/>
      <c r="DO1228" s="4303"/>
      <c r="DP1228" s="4303"/>
      <c r="DQ1228" s="4303"/>
      <c r="DR1228" s="4303"/>
      <c r="DS1228" s="4303"/>
    </row>
    <row r="1229" s="4134" customFormat="1" ht="18.75" customHeight="1" spans="1:123">
      <c r="A1229" s="5022" t="s">
        <v>5399</v>
      </c>
      <c r="B1229" s="5012"/>
      <c r="C1229" s="5012"/>
      <c r="D1229" s="5012"/>
      <c r="E1229" s="5012"/>
      <c r="F1229" s="5012">
        <v>546</v>
      </c>
      <c r="G1229" s="5012"/>
      <c r="H1229" s="5013"/>
      <c r="I1229" s="5013"/>
      <c r="J1229" s="5013"/>
      <c r="K1229" s="5013"/>
      <c r="L1229" s="5013"/>
      <c r="M1229" s="5013"/>
      <c r="N1229" s="5013"/>
      <c r="O1229" s="5014"/>
      <c r="P1229" s="5014"/>
      <c r="Q1229" s="5014"/>
      <c r="R1229" s="5014"/>
      <c r="S1229" s="5014"/>
      <c r="T1229" s="5014"/>
      <c r="U1229" s="5014"/>
      <c r="V1229" s="5012">
        <v>547</v>
      </c>
      <c r="W1229" s="5012"/>
      <c r="X1229" s="4303"/>
      <c r="Y1229" s="4303"/>
      <c r="Z1229" s="4311" t="s">
        <v>3143</v>
      </c>
      <c r="AA1229" s="4303"/>
      <c r="AB1229" s="4303"/>
      <c r="AC1229" s="4303"/>
      <c r="AD1229" s="4303"/>
      <c r="AE1229" s="4303"/>
      <c r="AF1229" s="4303"/>
      <c r="AG1229" s="4303"/>
      <c r="AH1229" s="4303"/>
      <c r="AI1229" s="4303"/>
      <c r="AJ1229" s="4303"/>
      <c r="AK1229" s="4303"/>
      <c r="AL1229" s="4303"/>
      <c r="AM1229" s="4303"/>
      <c r="AN1229" s="4303"/>
      <c r="AO1229" s="4303"/>
      <c r="AP1229" s="4303"/>
      <c r="AQ1229" s="4303"/>
      <c r="AR1229" s="4303"/>
      <c r="AS1229" s="4303"/>
      <c r="AT1229" s="4303"/>
      <c r="AU1229" s="4303"/>
      <c r="AV1229" s="4303"/>
      <c r="AW1229" s="4303"/>
      <c r="AX1229" s="4303"/>
      <c r="AY1229" s="4303"/>
      <c r="AZ1229" s="4303"/>
      <c r="BA1229" s="4303"/>
      <c r="BB1229" s="4303"/>
      <c r="BC1229" s="4303"/>
      <c r="BD1229" s="4303"/>
      <c r="BE1229" s="4303"/>
      <c r="BF1229" s="4303"/>
      <c r="BG1229" s="4303"/>
      <c r="BH1229" s="4303"/>
      <c r="BI1229" s="4303"/>
      <c r="BJ1229" s="4303"/>
      <c r="BK1229" s="4303"/>
      <c r="BL1229" s="4303"/>
      <c r="BM1229" s="4303"/>
      <c r="BN1229" s="4303"/>
      <c r="BO1229" s="4303"/>
      <c r="BP1229" s="4303"/>
      <c r="BQ1229" s="4303"/>
      <c r="BR1229" s="4303"/>
      <c r="BS1229" s="4303"/>
      <c r="BT1229" s="4303"/>
      <c r="BU1229" s="4303"/>
      <c r="BV1229" s="4303"/>
      <c r="BW1229" s="4303"/>
      <c r="BX1229" s="4303"/>
      <c r="BY1229" s="4303"/>
      <c r="BZ1229" s="4303"/>
      <c r="CA1229" s="4303"/>
      <c r="CB1229" s="4303"/>
      <c r="CC1229" s="4303"/>
      <c r="CD1229" s="4303"/>
      <c r="CE1229" s="4303"/>
      <c r="CF1229" s="4303"/>
      <c r="CG1229" s="4303"/>
      <c r="CH1229" s="4303"/>
      <c r="CI1229" s="4303"/>
      <c r="CJ1229" s="4303"/>
      <c r="CK1229" s="4303"/>
      <c r="CL1229" s="4303"/>
      <c r="CM1229" s="4303"/>
      <c r="CN1229" s="4303"/>
      <c r="CO1229" s="4303"/>
      <c r="CP1229" s="4303"/>
      <c r="CQ1229" s="4303"/>
      <c r="CR1229" s="4303"/>
      <c r="CS1229" s="4303"/>
      <c r="CT1229" s="4303"/>
      <c r="CU1229" s="4303"/>
      <c r="CV1229" s="4303"/>
      <c r="CW1229" s="4303"/>
      <c r="CX1229" s="4303"/>
      <c r="CY1229" s="4303"/>
      <c r="CZ1229" s="4303"/>
      <c r="DA1229" s="4303"/>
      <c r="DB1229" s="4303"/>
      <c r="DC1229" s="4303"/>
      <c r="DD1229" s="4303"/>
      <c r="DE1229" s="4303"/>
      <c r="DF1229" s="4303"/>
      <c r="DG1229" s="4303"/>
      <c r="DH1229" s="4303"/>
      <c r="DI1229" s="4303"/>
      <c r="DJ1229" s="4303"/>
      <c r="DK1229" s="4303"/>
      <c r="DL1229" s="4303"/>
      <c r="DM1229" s="4303"/>
      <c r="DN1229" s="4303"/>
      <c r="DO1229" s="4303"/>
      <c r="DP1229" s="4303"/>
      <c r="DQ1229" s="4303"/>
      <c r="DR1229" s="4303"/>
      <c r="DS1229" s="4303"/>
    </row>
    <row r="1230" s="4134" customFormat="1" ht="18.75" customHeight="1" spans="1:123">
      <c r="A1230" s="5022" t="s">
        <v>5400</v>
      </c>
      <c r="B1230" s="5012"/>
      <c r="C1230" s="5012"/>
      <c r="D1230" s="5012"/>
      <c r="E1230" s="5012"/>
      <c r="F1230" s="5012"/>
      <c r="G1230" s="5012"/>
      <c r="H1230" s="5015"/>
      <c r="I1230" s="5016"/>
      <c r="J1230" s="5016"/>
      <c r="K1230" s="5016"/>
      <c r="L1230" s="5016"/>
      <c r="M1230" s="5016"/>
      <c r="N1230" s="5017"/>
      <c r="O1230" s="5014"/>
      <c r="P1230" s="5014"/>
      <c r="Q1230" s="5014"/>
      <c r="R1230" s="5014"/>
      <c r="S1230" s="5014"/>
      <c r="T1230" s="5014"/>
      <c r="U1230" s="5014"/>
      <c r="V1230" s="5012">
        <v>551</v>
      </c>
      <c r="W1230" s="5012"/>
      <c r="X1230" s="4303"/>
      <c r="Y1230" s="4303"/>
      <c r="Z1230" s="4311" t="s">
        <v>5401</v>
      </c>
      <c r="AA1230" s="4303"/>
      <c r="AB1230" s="4303"/>
      <c r="AC1230" s="4303"/>
      <c r="AD1230" s="4303"/>
      <c r="AE1230" s="4303"/>
      <c r="AF1230" s="4303"/>
      <c r="AG1230" s="4303"/>
      <c r="AH1230" s="4303"/>
      <c r="AI1230" s="4303"/>
      <c r="AJ1230" s="4303"/>
      <c r="AK1230" s="4303"/>
      <c r="AL1230" s="4303"/>
      <c r="AM1230" s="4303"/>
      <c r="AN1230" s="4303"/>
      <c r="AO1230" s="4303"/>
      <c r="AP1230" s="4303"/>
      <c r="AQ1230" s="4303"/>
      <c r="AR1230" s="4303"/>
      <c r="AS1230" s="4303"/>
      <c r="AT1230" s="4303"/>
      <c r="AU1230" s="4303"/>
      <c r="AV1230" s="4303"/>
      <c r="AW1230" s="4303"/>
      <c r="AX1230" s="4303"/>
      <c r="AY1230" s="4303"/>
      <c r="AZ1230" s="4303"/>
      <c r="BA1230" s="4303"/>
      <c r="BB1230" s="4303"/>
      <c r="BC1230" s="4303"/>
      <c r="BD1230" s="4303"/>
      <c r="BE1230" s="4303"/>
      <c r="BF1230" s="4303"/>
      <c r="BG1230" s="4303"/>
      <c r="BH1230" s="4303"/>
      <c r="BI1230" s="4303"/>
      <c r="BJ1230" s="4303"/>
      <c r="BK1230" s="4303"/>
      <c r="BL1230" s="4303"/>
      <c r="BM1230" s="4303"/>
      <c r="BN1230" s="4303"/>
      <c r="BO1230" s="4303"/>
      <c r="BP1230" s="4303"/>
      <c r="BQ1230" s="4303"/>
      <c r="BR1230" s="4303"/>
      <c r="BS1230" s="4303"/>
      <c r="BT1230" s="4303"/>
      <c r="BU1230" s="4303"/>
      <c r="BV1230" s="4303"/>
      <c r="BW1230" s="4303"/>
      <c r="BX1230" s="4303"/>
      <c r="BY1230" s="4303"/>
      <c r="BZ1230" s="4303"/>
      <c r="CA1230" s="4303"/>
      <c r="CB1230" s="4303"/>
      <c r="CC1230" s="4303"/>
      <c r="CD1230" s="4303"/>
      <c r="CE1230" s="4303"/>
      <c r="CF1230" s="4303"/>
      <c r="CG1230" s="4303"/>
      <c r="CH1230" s="4303"/>
      <c r="CI1230" s="4303"/>
      <c r="CJ1230" s="4303"/>
      <c r="CK1230" s="4303"/>
      <c r="CL1230" s="4303"/>
      <c r="CM1230" s="4303"/>
      <c r="CN1230" s="4303"/>
      <c r="CO1230" s="4303"/>
      <c r="CP1230" s="4303"/>
      <c r="CQ1230" s="4303"/>
      <c r="CR1230" s="4303"/>
      <c r="CS1230" s="4303"/>
      <c r="CT1230" s="4303"/>
      <c r="CU1230" s="4303"/>
      <c r="CV1230" s="4303"/>
      <c r="CW1230" s="4303"/>
      <c r="CX1230" s="4303"/>
      <c r="CY1230" s="4303"/>
      <c r="CZ1230" s="4303"/>
      <c r="DA1230" s="4303"/>
      <c r="DB1230" s="4303"/>
      <c r="DC1230" s="4303"/>
      <c r="DD1230" s="4303"/>
      <c r="DE1230" s="4303"/>
      <c r="DF1230" s="4303"/>
      <c r="DG1230" s="4303"/>
      <c r="DH1230" s="4303"/>
      <c r="DI1230" s="4303"/>
      <c r="DJ1230" s="4303"/>
      <c r="DK1230" s="4303"/>
      <c r="DL1230" s="4303"/>
      <c r="DM1230" s="4303"/>
      <c r="DN1230" s="4303"/>
      <c r="DO1230" s="4303"/>
      <c r="DP1230" s="4303"/>
      <c r="DQ1230" s="4303"/>
      <c r="DR1230" s="4303"/>
      <c r="DS1230" s="4303"/>
    </row>
    <row r="1231" s="4134" customFormat="1" ht="18.75" customHeight="1" spans="1:123">
      <c r="A1231" s="5022" t="s">
        <v>5766</v>
      </c>
      <c r="B1231" s="5012"/>
      <c r="C1231" s="5012"/>
      <c r="D1231" s="5012"/>
      <c r="E1231" s="5012"/>
      <c r="F1231" s="5012"/>
      <c r="G1231" s="5012"/>
      <c r="H1231" s="5020"/>
      <c r="I1231" s="4303"/>
      <c r="J1231" s="4303"/>
      <c r="K1231" s="4303"/>
      <c r="L1231" s="4303"/>
      <c r="M1231" s="4303"/>
      <c r="N1231" s="5021"/>
      <c r="O1231" s="5014"/>
      <c r="P1231" s="5014"/>
      <c r="Q1231" s="5014"/>
      <c r="R1231" s="5014"/>
      <c r="S1231" s="5014"/>
      <c r="T1231" s="5014"/>
      <c r="U1231" s="5014"/>
      <c r="V1231" s="5012">
        <v>552</v>
      </c>
      <c r="W1231" s="5012"/>
      <c r="X1231" s="4303"/>
      <c r="Y1231" s="4303"/>
      <c r="Z1231" s="4311" t="s">
        <v>3328</v>
      </c>
      <c r="AA1231" s="4303"/>
      <c r="AB1231" s="4303"/>
      <c r="AC1231" s="4303"/>
      <c r="AD1231" s="4303"/>
      <c r="AE1231" s="4303"/>
      <c r="AF1231" s="4303"/>
      <c r="AG1231" s="4303"/>
      <c r="AH1231" s="4303"/>
      <c r="AI1231" s="4303"/>
      <c r="AJ1231" s="4303"/>
      <c r="AK1231" s="4303"/>
      <c r="AL1231" s="4303"/>
      <c r="AM1231" s="4303"/>
      <c r="AN1231" s="4303"/>
      <c r="AO1231" s="4303"/>
      <c r="AP1231" s="4303"/>
      <c r="AQ1231" s="4303"/>
      <c r="AR1231" s="4303"/>
      <c r="AS1231" s="4303"/>
      <c r="AT1231" s="4303"/>
      <c r="AU1231" s="4303"/>
      <c r="AV1231" s="4303"/>
      <c r="AW1231" s="4303"/>
      <c r="AX1231" s="4303"/>
      <c r="AY1231" s="4303"/>
      <c r="AZ1231" s="4303"/>
      <c r="BA1231" s="4303"/>
      <c r="BB1231" s="4303"/>
      <c r="BC1231" s="4303"/>
      <c r="BD1231" s="4303"/>
      <c r="BE1231" s="4303"/>
      <c r="BF1231" s="4303"/>
      <c r="BG1231" s="4303"/>
      <c r="BH1231" s="4303"/>
      <c r="BI1231" s="4303"/>
      <c r="BJ1231" s="4303"/>
      <c r="BK1231" s="4303"/>
      <c r="BL1231" s="4303"/>
      <c r="BM1231" s="4303"/>
      <c r="BN1231" s="4303"/>
      <c r="BO1231" s="4303"/>
      <c r="BP1231" s="4303"/>
      <c r="BQ1231" s="4303"/>
      <c r="BR1231" s="4303"/>
      <c r="BS1231" s="4303"/>
      <c r="BT1231" s="4303"/>
      <c r="BU1231" s="4303"/>
      <c r="BV1231" s="4303"/>
      <c r="BW1231" s="4303"/>
      <c r="BX1231" s="4303"/>
      <c r="BY1231" s="4303"/>
      <c r="BZ1231" s="4303"/>
      <c r="CA1231" s="4303"/>
      <c r="CB1231" s="4303"/>
      <c r="CC1231" s="4303"/>
      <c r="CD1231" s="4303"/>
      <c r="CE1231" s="4303"/>
      <c r="CF1231" s="4303"/>
      <c r="CG1231" s="4303"/>
      <c r="CH1231" s="4303"/>
      <c r="CI1231" s="4303"/>
      <c r="CJ1231" s="4303"/>
      <c r="CK1231" s="4303"/>
      <c r="CL1231" s="4303"/>
      <c r="CM1231" s="4303"/>
      <c r="CN1231" s="4303"/>
      <c r="CO1231" s="4303"/>
      <c r="CP1231" s="4303"/>
      <c r="CQ1231" s="4303"/>
      <c r="CR1231" s="4303"/>
      <c r="CS1231" s="4303"/>
      <c r="CT1231" s="4303"/>
      <c r="CU1231" s="4303"/>
      <c r="CV1231" s="4303"/>
      <c r="CW1231" s="4303"/>
      <c r="CX1231" s="4303"/>
      <c r="CY1231" s="4303"/>
      <c r="CZ1231" s="4303"/>
      <c r="DA1231" s="4303"/>
      <c r="DB1231" s="4303"/>
      <c r="DC1231" s="4303"/>
      <c r="DD1231" s="4303"/>
      <c r="DE1231" s="4303"/>
      <c r="DF1231" s="4303"/>
      <c r="DG1231" s="4303"/>
      <c r="DH1231" s="4303"/>
      <c r="DI1231" s="4303"/>
      <c r="DJ1231" s="4303"/>
      <c r="DK1231" s="4303"/>
      <c r="DL1231" s="4303"/>
      <c r="DM1231" s="4303"/>
      <c r="DN1231" s="4303"/>
      <c r="DO1231" s="4303"/>
      <c r="DP1231" s="4303"/>
      <c r="DQ1231" s="4303"/>
      <c r="DR1231" s="4303"/>
      <c r="DS1231" s="4303"/>
    </row>
    <row r="1232" s="4134" customFormat="1" ht="18.75" customHeight="1" spans="1:123">
      <c r="A1232" s="5022" t="s">
        <v>5435</v>
      </c>
      <c r="B1232" s="5012"/>
      <c r="C1232" s="5012"/>
      <c r="D1232" s="5012"/>
      <c r="E1232" s="5012"/>
      <c r="F1232" s="5012"/>
      <c r="G1232" s="5012"/>
      <c r="H1232" s="5020"/>
      <c r="I1232" s="4303"/>
      <c r="J1232" s="4303"/>
      <c r="K1232" s="4303"/>
      <c r="L1232" s="4303"/>
      <c r="M1232" s="4303"/>
      <c r="N1232" s="5021"/>
      <c r="O1232" s="5014"/>
      <c r="P1232" s="5014"/>
      <c r="Q1232" s="5014"/>
      <c r="R1232" s="5014"/>
      <c r="S1232" s="5014"/>
      <c r="T1232" s="5014"/>
      <c r="U1232" s="5014"/>
      <c r="V1232" s="5012">
        <v>565</v>
      </c>
      <c r="W1232" s="5012"/>
      <c r="X1232" s="4303"/>
      <c r="Y1232" s="4303"/>
      <c r="Z1232" s="4311" t="s">
        <v>5436</v>
      </c>
      <c r="AA1232" s="4303"/>
      <c r="AB1232" s="4303"/>
      <c r="AC1232" s="4303"/>
      <c r="AD1232" s="4303"/>
      <c r="AE1232" s="4303"/>
      <c r="AF1232" s="4303"/>
      <c r="AG1232" s="4303"/>
      <c r="AH1232" s="4303"/>
      <c r="AI1232" s="4303"/>
      <c r="AJ1232" s="4303"/>
      <c r="AK1232" s="4303"/>
      <c r="AL1232" s="4303"/>
      <c r="AM1232" s="4303"/>
      <c r="AN1232" s="4303"/>
      <c r="AO1232" s="4303"/>
      <c r="AP1232" s="4303"/>
      <c r="AQ1232" s="4303"/>
      <c r="AR1232" s="4303"/>
      <c r="AS1232" s="4303"/>
      <c r="AT1232" s="4303"/>
      <c r="AU1232" s="4303"/>
      <c r="AV1232" s="4303"/>
      <c r="AW1232" s="4303"/>
      <c r="AX1232" s="4303"/>
      <c r="AY1232" s="4303"/>
      <c r="AZ1232" s="4303"/>
      <c r="BA1232" s="4303"/>
      <c r="BB1232" s="4303"/>
      <c r="BC1232" s="4303"/>
      <c r="BD1232" s="4303"/>
      <c r="BE1232" s="4303"/>
      <c r="BF1232" s="4303"/>
      <c r="BG1232" s="4303"/>
      <c r="BH1232" s="4303"/>
      <c r="BI1232" s="4303"/>
      <c r="BJ1232" s="4303"/>
      <c r="BK1232" s="4303"/>
      <c r="BL1232" s="4303"/>
      <c r="BM1232" s="4303"/>
      <c r="BN1232" s="4303"/>
      <c r="BO1232" s="4303"/>
      <c r="BP1232" s="4303"/>
      <c r="BQ1232" s="4303"/>
      <c r="BR1232" s="4303"/>
      <c r="BS1232" s="4303"/>
      <c r="BT1232" s="4303"/>
      <c r="BU1232" s="4303"/>
      <c r="BV1232" s="4303"/>
      <c r="BW1232" s="4303"/>
      <c r="BX1232" s="4303"/>
      <c r="BY1232" s="4303"/>
      <c r="BZ1232" s="4303"/>
      <c r="CA1232" s="4303"/>
      <c r="CB1232" s="4303"/>
      <c r="CC1232" s="4303"/>
      <c r="CD1232" s="4303"/>
      <c r="CE1232" s="4303"/>
      <c r="CF1232" s="4303"/>
      <c r="CG1232" s="4303"/>
      <c r="CH1232" s="4303"/>
      <c r="CI1232" s="4303"/>
      <c r="CJ1232" s="4303"/>
      <c r="CK1232" s="4303"/>
      <c r="CL1232" s="4303"/>
      <c r="CM1232" s="4303"/>
      <c r="CN1232" s="4303"/>
      <c r="CO1232" s="4303"/>
      <c r="CP1232" s="4303"/>
      <c r="CQ1232" s="4303"/>
      <c r="CR1232" s="4303"/>
      <c r="CS1232" s="4303"/>
      <c r="CT1232" s="4303"/>
      <c r="CU1232" s="4303"/>
      <c r="CV1232" s="4303"/>
      <c r="CW1232" s="4303"/>
      <c r="CX1232" s="4303"/>
      <c r="CY1232" s="4303"/>
      <c r="CZ1232" s="4303"/>
      <c r="DA1232" s="4303"/>
      <c r="DB1232" s="4303"/>
      <c r="DC1232" s="4303"/>
      <c r="DD1232" s="4303"/>
      <c r="DE1232" s="4303"/>
      <c r="DF1232" s="4303"/>
      <c r="DG1232" s="4303"/>
      <c r="DH1232" s="4303"/>
      <c r="DI1232" s="4303"/>
      <c r="DJ1232" s="4303"/>
      <c r="DK1232" s="4303"/>
      <c r="DL1232" s="4303"/>
      <c r="DM1232" s="4303"/>
      <c r="DN1232" s="4303"/>
      <c r="DO1232" s="4303"/>
      <c r="DP1232" s="4303"/>
      <c r="DQ1232" s="4303"/>
      <c r="DR1232" s="4303"/>
      <c r="DS1232" s="4303"/>
    </row>
    <row r="1233" s="4134" customFormat="1" ht="18.75" customHeight="1" spans="1:123">
      <c r="A1233" s="5022" t="s">
        <v>5437</v>
      </c>
      <c r="B1233" s="5012"/>
      <c r="C1233" s="5012"/>
      <c r="D1233" s="5012"/>
      <c r="E1233" s="5012"/>
      <c r="F1233" s="5012"/>
      <c r="G1233" s="5012"/>
      <c r="H1233" s="5020"/>
      <c r="I1233" s="4303"/>
      <c r="J1233" s="4303"/>
      <c r="K1233" s="4303"/>
      <c r="L1233" s="4303"/>
      <c r="M1233" s="4303"/>
      <c r="N1233" s="5021"/>
      <c r="O1233" s="5014"/>
      <c r="P1233" s="5014"/>
      <c r="Q1233" s="5014"/>
      <c r="R1233" s="5014"/>
      <c r="S1233" s="5014"/>
      <c r="T1233" s="5014"/>
      <c r="U1233" s="5014"/>
      <c r="V1233" s="5012">
        <v>565</v>
      </c>
      <c r="W1233" s="5012"/>
      <c r="X1233" s="4303"/>
      <c r="Y1233" s="4303"/>
      <c r="Z1233" s="4311" t="s">
        <v>5438</v>
      </c>
      <c r="AA1233" s="4303"/>
      <c r="AB1233" s="4303"/>
      <c r="AC1233" s="4303"/>
      <c r="AD1233" s="4303"/>
      <c r="AE1233" s="4303"/>
      <c r="AF1233" s="4303"/>
      <c r="AG1233" s="4303"/>
      <c r="AH1233" s="4303"/>
      <c r="AI1233" s="4303"/>
      <c r="AJ1233" s="4303"/>
      <c r="AK1233" s="4303"/>
      <c r="AL1233" s="4303"/>
      <c r="AM1233" s="4303"/>
      <c r="AN1233" s="4303"/>
      <c r="AO1233" s="4303"/>
      <c r="AP1233" s="4303"/>
      <c r="AQ1233" s="4303"/>
      <c r="AR1233" s="4303"/>
      <c r="AS1233" s="4303"/>
      <c r="AT1233" s="4303"/>
      <c r="AU1233" s="4303"/>
      <c r="AV1233" s="4303"/>
      <c r="AW1233" s="4303"/>
      <c r="AX1233" s="4303"/>
      <c r="AY1233" s="4303"/>
      <c r="AZ1233" s="4303"/>
      <c r="BA1233" s="4303"/>
      <c r="BB1233" s="4303"/>
      <c r="BC1233" s="4303"/>
      <c r="BD1233" s="4303"/>
      <c r="BE1233" s="4303"/>
      <c r="BF1233" s="4303"/>
      <c r="BG1233" s="4303"/>
      <c r="BH1233" s="4303"/>
      <c r="BI1233" s="4303"/>
      <c r="BJ1233" s="4303"/>
      <c r="BK1233" s="4303"/>
      <c r="BL1233" s="4303"/>
      <c r="BM1233" s="4303"/>
      <c r="BN1233" s="4303"/>
      <c r="BO1233" s="4303"/>
      <c r="BP1233" s="4303"/>
      <c r="BQ1233" s="4303"/>
      <c r="BR1233" s="4303"/>
      <c r="BS1233" s="4303"/>
      <c r="BT1233" s="4303"/>
      <c r="BU1233" s="4303"/>
      <c r="BV1233" s="4303"/>
      <c r="BW1233" s="4303"/>
      <c r="BX1233" s="4303"/>
      <c r="BY1233" s="4303"/>
      <c r="BZ1233" s="4303"/>
      <c r="CA1233" s="4303"/>
      <c r="CB1233" s="4303"/>
      <c r="CC1233" s="4303"/>
      <c r="CD1233" s="4303"/>
      <c r="CE1233" s="4303"/>
      <c r="CF1233" s="4303"/>
      <c r="CG1233" s="4303"/>
      <c r="CH1233" s="4303"/>
      <c r="CI1233" s="4303"/>
      <c r="CJ1233" s="4303"/>
      <c r="CK1233" s="4303"/>
      <c r="CL1233" s="4303"/>
      <c r="CM1233" s="4303"/>
      <c r="CN1233" s="4303"/>
      <c r="CO1233" s="4303"/>
      <c r="CP1233" s="4303"/>
      <c r="CQ1233" s="4303"/>
      <c r="CR1233" s="4303"/>
      <c r="CS1233" s="4303"/>
      <c r="CT1233" s="4303"/>
      <c r="CU1233" s="4303"/>
      <c r="CV1233" s="4303"/>
      <c r="CW1233" s="4303"/>
      <c r="CX1233" s="4303"/>
      <c r="CY1233" s="4303"/>
      <c r="CZ1233" s="4303"/>
      <c r="DA1233" s="4303"/>
      <c r="DB1233" s="4303"/>
      <c r="DC1233" s="4303"/>
      <c r="DD1233" s="4303"/>
      <c r="DE1233" s="4303"/>
      <c r="DF1233" s="4303"/>
      <c r="DG1233" s="4303"/>
      <c r="DH1233" s="4303"/>
      <c r="DI1233" s="4303"/>
      <c r="DJ1233" s="4303"/>
      <c r="DK1233" s="4303"/>
      <c r="DL1233" s="4303"/>
      <c r="DM1233" s="4303"/>
      <c r="DN1233" s="4303"/>
      <c r="DO1233" s="4303"/>
      <c r="DP1233" s="4303"/>
      <c r="DQ1233" s="4303"/>
      <c r="DR1233" s="4303"/>
      <c r="DS1233" s="4303"/>
    </row>
    <row r="1234" s="4134" customFormat="1" ht="18.75" customHeight="1" spans="1:123">
      <c r="A1234" s="5022" t="s">
        <v>5439</v>
      </c>
      <c r="B1234" s="5012"/>
      <c r="C1234" s="5012"/>
      <c r="D1234" s="5012"/>
      <c r="E1234" s="5012"/>
      <c r="F1234" s="5012"/>
      <c r="G1234" s="5012"/>
      <c r="H1234" s="5020"/>
      <c r="I1234" s="4303"/>
      <c r="J1234" s="4303"/>
      <c r="K1234" s="4303"/>
      <c r="L1234" s="4303"/>
      <c r="M1234" s="4303"/>
      <c r="N1234" s="5021"/>
      <c r="O1234" s="5014"/>
      <c r="P1234" s="5014"/>
      <c r="Q1234" s="5014"/>
      <c r="R1234" s="5014"/>
      <c r="S1234" s="5014"/>
      <c r="T1234" s="5014"/>
      <c r="U1234" s="5014"/>
      <c r="V1234" s="5012">
        <v>565</v>
      </c>
      <c r="W1234" s="5012"/>
      <c r="X1234" s="4303"/>
      <c r="Y1234" s="4303"/>
      <c r="Z1234" s="4311" t="s">
        <v>5440</v>
      </c>
      <c r="AA1234" s="4303"/>
      <c r="AB1234" s="4303"/>
      <c r="AC1234" s="4303"/>
      <c r="AD1234" s="4303"/>
      <c r="AE1234" s="4303"/>
      <c r="AF1234" s="4303"/>
      <c r="AG1234" s="4303"/>
      <c r="AH1234" s="4303"/>
      <c r="AI1234" s="4303"/>
      <c r="AJ1234" s="4303"/>
      <c r="AK1234" s="4303"/>
      <c r="AL1234" s="4303"/>
      <c r="AM1234" s="4303"/>
      <c r="AN1234" s="4303"/>
      <c r="AO1234" s="4303"/>
      <c r="AP1234" s="4303"/>
      <c r="AQ1234" s="4303"/>
      <c r="AR1234" s="4303"/>
      <c r="AS1234" s="4303"/>
      <c r="AT1234" s="4303"/>
      <c r="AU1234" s="4303"/>
      <c r="AV1234" s="4303"/>
      <c r="AW1234" s="4303"/>
      <c r="AX1234" s="4303"/>
      <c r="AY1234" s="4303"/>
      <c r="AZ1234" s="4303"/>
      <c r="BA1234" s="4303"/>
      <c r="BB1234" s="4303"/>
      <c r="BC1234" s="4303"/>
      <c r="BD1234" s="4303"/>
      <c r="BE1234" s="4303"/>
      <c r="BF1234" s="4303"/>
      <c r="BG1234" s="4303"/>
      <c r="BH1234" s="4303"/>
      <c r="BI1234" s="4303"/>
      <c r="BJ1234" s="4303"/>
      <c r="BK1234" s="4303"/>
      <c r="BL1234" s="4303"/>
      <c r="BM1234" s="4303"/>
      <c r="BN1234" s="4303"/>
      <c r="BO1234" s="4303"/>
      <c r="BP1234" s="4303"/>
      <c r="BQ1234" s="4303"/>
      <c r="BR1234" s="4303"/>
      <c r="BS1234" s="4303"/>
      <c r="BT1234" s="4303"/>
      <c r="BU1234" s="4303"/>
      <c r="BV1234" s="4303"/>
      <c r="BW1234" s="4303"/>
      <c r="BX1234" s="4303"/>
      <c r="BY1234" s="4303"/>
      <c r="BZ1234" s="4303"/>
      <c r="CA1234" s="4303"/>
      <c r="CB1234" s="4303"/>
      <c r="CC1234" s="4303"/>
      <c r="CD1234" s="4303"/>
      <c r="CE1234" s="4303"/>
      <c r="CF1234" s="4303"/>
      <c r="CG1234" s="4303"/>
      <c r="CH1234" s="4303"/>
      <c r="CI1234" s="4303"/>
      <c r="CJ1234" s="4303"/>
      <c r="CK1234" s="4303"/>
      <c r="CL1234" s="4303"/>
      <c r="CM1234" s="4303"/>
      <c r="CN1234" s="4303"/>
      <c r="CO1234" s="4303"/>
      <c r="CP1234" s="4303"/>
      <c r="CQ1234" s="4303"/>
      <c r="CR1234" s="4303"/>
      <c r="CS1234" s="4303"/>
      <c r="CT1234" s="4303"/>
      <c r="CU1234" s="4303"/>
      <c r="CV1234" s="4303"/>
      <c r="CW1234" s="4303"/>
      <c r="CX1234" s="4303"/>
      <c r="CY1234" s="4303"/>
      <c r="CZ1234" s="4303"/>
      <c r="DA1234" s="4303"/>
      <c r="DB1234" s="4303"/>
      <c r="DC1234" s="4303"/>
      <c r="DD1234" s="4303"/>
      <c r="DE1234" s="4303"/>
      <c r="DF1234" s="4303"/>
      <c r="DG1234" s="4303"/>
      <c r="DH1234" s="4303"/>
      <c r="DI1234" s="4303"/>
      <c r="DJ1234" s="4303"/>
      <c r="DK1234" s="4303"/>
      <c r="DL1234" s="4303"/>
      <c r="DM1234" s="4303"/>
      <c r="DN1234" s="4303"/>
      <c r="DO1234" s="4303"/>
      <c r="DP1234" s="4303"/>
      <c r="DQ1234" s="4303"/>
      <c r="DR1234" s="4303"/>
      <c r="DS1234" s="4303"/>
    </row>
    <row r="1235" s="4134" customFormat="1" ht="18.75" customHeight="1" spans="1:123">
      <c r="A1235" s="5022" t="s">
        <v>5441</v>
      </c>
      <c r="B1235" s="5012"/>
      <c r="C1235" s="5012"/>
      <c r="D1235" s="5012"/>
      <c r="E1235" s="5012"/>
      <c r="F1235" s="5012"/>
      <c r="G1235" s="5012"/>
      <c r="H1235" s="5020"/>
      <c r="I1235" s="4303"/>
      <c r="J1235" s="4303"/>
      <c r="K1235" s="4303"/>
      <c r="L1235" s="4303"/>
      <c r="M1235" s="4303"/>
      <c r="N1235" s="5021"/>
      <c r="O1235" s="5014"/>
      <c r="P1235" s="5014"/>
      <c r="Q1235" s="5014"/>
      <c r="R1235" s="5014"/>
      <c r="S1235" s="5014"/>
      <c r="T1235" s="5014"/>
      <c r="U1235" s="5014"/>
      <c r="V1235" s="5012">
        <v>565</v>
      </c>
      <c r="W1235" s="5012"/>
      <c r="X1235" s="4303"/>
      <c r="Y1235" s="4303"/>
      <c r="Z1235" s="4311" t="s">
        <v>3167</v>
      </c>
      <c r="AA1235" s="4303"/>
      <c r="AB1235" s="4303"/>
      <c r="AC1235" s="4303"/>
      <c r="AD1235" s="4303"/>
      <c r="AE1235" s="4303"/>
      <c r="AF1235" s="4303"/>
      <c r="AG1235" s="4303"/>
      <c r="AH1235" s="4303"/>
      <c r="AI1235" s="4303"/>
      <c r="AJ1235" s="4303"/>
      <c r="AK1235" s="4303"/>
      <c r="AL1235" s="4303"/>
      <c r="AM1235" s="4303"/>
      <c r="AN1235" s="4303"/>
      <c r="AO1235" s="4303"/>
      <c r="AP1235" s="4303"/>
      <c r="AQ1235" s="4303"/>
      <c r="AR1235" s="4303"/>
      <c r="AS1235" s="4303"/>
      <c r="AT1235" s="4303"/>
      <c r="AU1235" s="4303"/>
      <c r="AV1235" s="4303"/>
      <c r="AW1235" s="4303"/>
      <c r="AX1235" s="4303"/>
      <c r="AY1235" s="4303"/>
      <c r="AZ1235" s="4303"/>
      <c r="BA1235" s="4303"/>
      <c r="BB1235" s="4303"/>
      <c r="BC1235" s="4303"/>
      <c r="BD1235" s="4303"/>
      <c r="BE1235" s="4303"/>
      <c r="BF1235" s="4303"/>
      <c r="BG1235" s="4303"/>
      <c r="BH1235" s="4303"/>
      <c r="BI1235" s="4303"/>
      <c r="BJ1235" s="4303"/>
      <c r="BK1235" s="4303"/>
      <c r="BL1235" s="4303"/>
      <c r="BM1235" s="4303"/>
      <c r="BN1235" s="4303"/>
      <c r="BO1235" s="4303"/>
      <c r="BP1235" s="4303"/>
      <c r="BQ1235" s="4303"/>
      <c r="BR1235" s="4303"/>
      <c r="BS1235" s="4303"/>
      <c r="BT1235" s="4303"/>
      <c r="BU1235" s="4303"/>
      <c r="BV1235" s="4303"/>
      <c r="BW1235" s="4303"/>
      <c r="BX1235" s="4303"/>
      <c r="BY1235" s="4303"/>
      <c r="BZ1235" s="4303"/>
      <c r="CA1235" s="4303"/>
      <c r="CB1235" s="4303"/>
      <c r="CC1235" s="4303"/>
      <c r="CD1235" s="4303"/>
      <c r="CE1235" s="4303"/>
      <c r="CF1235" s="4303"/>
      <c r="CG1235" s="4303"/>
      <c r="CH1235" s="4303"/>
      <c r="CI1235" s="4303"/>
      <c r="CJ1235" s="4303"/>
      <c r="CK1235" s="4303"/>
      <c r="CL1235" s="4303"/>
      <c r="CM1235" s="4303"/>
      <c r="CN1235" s="4303"/>
      <c r="CO1235" s="4303"/>
      <c r="CP1235" s="4303"/>
      <c r="CQ1235" s="4303"/>
      <c r="CR1235" s="4303"/>
      <c r="CS1235" s="4303"/>
      <c r="CT1235" s="4303"/>
      <c r="CU1235" s="4303"/>
      <c r="CV1235" s="4303"/>
      <c r="CW1235" s="4303"/>
      <c r="CX1235" s="4303"/>
      <c r="CY1235" s="4303"/>
      <c r="CZ1235" s="4303"/>
      <c r="DA1235" s="4303"/>
      <c r="DB1235" s="4303"/>
      <c r="DC1235" s="4303"/>
      <c r="DD1235" s="4303"/>
      <c r="DE1235" s="4303"/>
      <c r="DF1235" s="4303"/>
      <c r="DG1235" s="4303"/>
      <c r="DH1235" s="4303"/>
      <c r="DI1235" s="4303"/>
      <c r="DJ1235" s="4303"/>
      <c r="DK1235" s="4303"/>
      <c r="DL1235" s="4303"/>
      <c r="DM1235" s="4303"/>
      <c r="DN1235" s="4303"/>
      <c r="DO1235" s="4303"/>
      <c r="DP1235" s="4303"/>
      <c r="DQ1235" s="4303"/>
      <c r="DR1235" s="4303"/>
      <c r="DS1235" s="4303"/>
    </row>
    <row r="1236" s="4134" customFormat="1" ht="18.75" customHeight="1" spans="1:123">
      <c r="A1236" s="5022" t="s">
        <v>5468</v>
      </c>
      <c r="B1236" s="5012"/>
      <c r="C1236" s="5012"/>
      <c r="D1236" s="5012"/>
      <c r="E1236" s="5012"/>
      <c r="F1236" s="5012">
        <v>566</v>
      </c>
      <c r="G1236" s="5012"/>
      <c r="H1236" s="5013"/>
      <c r="I1236" s="5013"/>
      <c r="J1236" s="5013"/>
      <c r="K1236" s="5013"/>
      <c r="L1236" s="5013"/>
      <c r="M1236" s="5013"/>
      <c r="N1236" s="5013"/>
      <c r="O1236" s="5014"/>
      <c r="P1236" s="5014"/>
      <c r="Q1236" s="5014"/>
      <c r="R1236" s="5014"/>
      <c r="S1236" s="5014"/>
      <c r="T1236" s="5014"/>
      <c r="U1236" s="5014"/>
      <c r="V1236" s="5012">
        <v>567</v>
      </c>
      <c r="W1236" s="5012"/>
      <c r="X1236" s="4303"/>
      <c r="Y1236" s="4303"/>
      <c r="Z1236" s="4311" t="s">
        <v>3160</v>
      </c>
      <c r="AA1236" s="4303"/>
      <c r="AB1236" s="4303"/>
      <c r="AC1236" s="4303"/>
      <c r="AD1236" s="4303"/>
      <c r="AE1236" s="4303"/>
      <c r="AF1236" s="4303"/>
      <c r="AG1236" s="4303"/>
      <c r="AH1236" s="4303"/>
      <c r="AI1236" s="4303"/>
      <c r="AJ1236" s="4303"/>
      <c r="AK1236" s="4303"/>
      <c r="AL1236" s="4303"/>
      <c r="AM1236" s="4303"/>
      <c r="AN1236" s="4303"/>
      <c r="AO1236" s="4303"/>
      <c r="AP1236" s="4303"/>
      <c r="AQ1236" s="4303"/>
      <c r="AR1236" s="4303"/>
      <c r="AS1236" s="4303"/>
      <c r="AT1236" s="4303"/>
      <c r="AU1236" s="4303"/>
      <c r="AV1236" s="4303"/>
      <c r="AW1236" s="4303"/>
      <c r="AX1236" s="4303"/>
      <c r="AY1236" s="4303"/>
      <c r="AZ1236" s="4303"/>
      <c r="BA1236" s="4303"/>
      <c r="BB1236" s="4303"/>
      <c r="BC1236" s="4303"/>
      <c r="BD1236" s="4303"/>
      <c r="BE1236" s="4303"/>
      <c r="BF1236" s="4303"/>
      <c r="BG1236" s="4303"/>
      <c r="BH1236" s="4303"/>
      <c r="BI1236" s="4303"/>
      <c r="BJ1236" s="4303"/>
      <c r="BK1236" s="4303"/>
      <c r="BL1236" s="4303"/>
      <c r="BM1236" s="4303"/>
      <c r="BN1236" s="4303"/>
      <c r="BO1236" s="4303"/>
      <c r="BP1236" s="4303"/>
      <c r="BQ1236" s="4303"/>
      <c r="BR1236" s="4303"/>
      <c r="BS1236" s="4303"/>
      <c r="BT1236" s="4303"/>
      <c r="BU1236" s="4303"/>
      <c r="BV1236" s="4303"/>
      <c r="BW1236" s="4303"/>
      <c r="BX1236" s="4303"/>
      <c r="BY1236" s="4303"/>
      <c r="BZ1236" s="4303"/>
      <c r="CA1236" s="4303"/>
      <c r="CB1236" s="4303"/>
      <c r="CC1236" s="4303"/>
      <c r="CD1236" s="4303"/>
      <c r="CE1236" s="4303"/>
      <c r="CF1236" s="4303"/>
      <c r="CG1236" s="4303"/>
      <c r="CH1236" s="4303"/>
      <c r="CI1236" s="4303"/>
      <c r="CJ1236" s="4303"/>
      <c r="CK1236" s="4303"/>
      <c r="CL1236" s="4303"/>
      <c r="CM1236" s="4303"/>
      <c r="CN1236" s="4303"/>
      <c r="CO1236" s="4303"/>
      <c r="CP1236" s="4303"/>
      <c r="CQ1236" s="4303"/>
      <c r="CR1236" s="4303"/>
      <c r="CS1236" s="4303"/>
      <c r="CT1236" s="4303"/>
      <c r="CU1236" s="4303"/>
      <c r="CV1236" s="4303"/>
      <c r="CW1236" s="4303"/>
      <c r="CX1236" s="4303"/>
      <c r="CY1236" s="4303"/>
      <c r="CZ1236" s="4303"/>
      <c r="DA1236" s="4303"/>
      <c r="DB1236" s="4303"/>
      <c r="DC1236" s="4303"/>
      <c r="DD1236" s="4303"/>
      <c r="DE1236" s="4303"/>
      <c r="DF1236" s="4303"/>
      <c r="DG1236" s="4303"/>
      <c r="DH1236" s="4303"/>
      <c r="DI1236" s="4303"/>
      <c r="DJ1236" s="4303"/>
      <c r="DK1236" s="4303"/>
      <c r="DL1236" s="4303"/>
      <c r="DM1236" s="4303"/>
      <c r="DN1236" s="4303"/>
      <c r="DO1236" s="4303"/>
      <c r="DP1236" s="4303"/>
      <c r="DQ1236" s="4303"/>
      <c r="DR1236" s="4303"/>
      <c r="DS1236" s="4303"/>
    </row>
    <row r="1237" s="4134" customFormat="1" ht="18.75" customHeight="1" spans="1:123">
      <c r="A1237" s="5022" t="s">
        <v>4577</v>
      </c>
      <c r="B1237" s="5012"/>
      <c r="C1237" s="5012"/>
      <c r="D1237" s="5012"/>
      <c r="E1237" s="5012"/>
      <c r="F1237" s="5012">
        <v>570</v>
      </c>
      <c r="G1237" s="5012"/>
      <c r="H1237" s="5013"/>
      <c r="I1237" s="5013"/>
      <c r="J1237" s="5013"/>
      <c r="K1237" s="5013"/>
      <c r="L1237" s="5013"/>
      <c r="M1237" s="5013"/>
      <c r="N1237" s="5013"/>
      <c r="O1237" s="5014"/>
      <c r="P1237" s="5014"/>
      <c r="Q1237" s="5014"/>
      <c r="R1237" s="5014"/>
      <c r="S1237" s="5014"/>
      <c r="T1237" s="5014"/>
      <c r="U1237" s="5014"/>
      <c r="V1237" s="5012">
        <v>569</v>
      </c>
      <c r="W1237" s="5012"/>
      <c r="X1237" s="4303"/>
      <c r="Y1237" s="4303"/>
      <c r="Z1237" s="4311" t="s">
        <v>5487</v>
      </c>
      <c r="AA1237" s="4303"/>
      <c r="AB1237" s="4303"/>
      <c r="AC1237" s="4303"/>
      <c r="AD1237" s="4303"/>
      <c r="AE1237" s="4303"/>
      <c r="AF1237" s="4303"/>
      <c r="AG1237" s="4303"/>
      <c r="AH1237" s="4303"/>
      <c r="AI1237" s="4303"/>
      <c r="AJ1237" s="4303"/>
      <c r="AK1237" s="4303"/>
      <c r="AL1237" s="4303"/>
      <c r="AM1237" s="4303"/>
      <c r="AN1237" s="4303"/>
      <c r="AO1237" s="4303"/>
      <c r="AP1237" s="4303"/>
      <c r="AQ1237" s="4303"/>
      <c r="AR1237" s="4303"/>
      <c r="AS1237" s="4303"/>
      <c r="AT1237" s="4303"/>
      <c r="AU1237" s="4303"/>
      <c r="AV1237" s="4303"/>
      <c r="AW1237" s="4303"/>
      <c r="AX1237" s="4303"/>
      <c r="AY1237" s="4303"/>
      <c r="AZ1237" s="4303"/>
      <c r="BA1237" s="4303"/>
      <c r="BB1237" s="4303"/>
      <c r="BC1237" s="4303"/>
      <c r="BD1237" s="4303"/>
      <c r="BE1237" s="4303"/>
      <c r="BF1237" s="4303"/>
      <c r="BG1237" s="4303"/>
      <c r="BH1237" s="4303"/>
      <c r="BI1237" s="4303"/>
      <c r="BJ1237" s="4303"/>
      <c r="BK1237" s="4303"/>
      <c r="BL1237" s="4303"/>
      <c r="BM1237" s="4303"/>
      <c r="BN1237" s="4303"/>
      <c r="BO1237" s="4303"/>
      <c r="BP1237" s="4303"/>
      <c r="BQ1237" s="4303"/>
      <c r="BR1237" s="4303"/>
      <c r="BS1237" s="4303"/>
      <c r="BT1237" s="4303"/>
      <c r="BU1237" s="4303"/>
      <c r="BV1237" s="4303"/>
      <c r="BW1237" s="4303"/>
      <c r="BX1237" s="4303"/>
      <c r="BY1237" s="4303"/>
      <c r="BZ1237" s="4303"/>
      <c r="CA1237" s="4303"/>
      <c r="CB1237" s="4303"/>
      <c r="CC1237" s="4303"/>
      <c r="CD1237" s="4303"/>
      <c r="CE1237" s="4303"/>
      <c r="CF1237" s="4303"/>
      <c r="CG1237" s="4303"/>
      <c r="CH1237" s="4303"/>
      <c r="CI1237" s="4303"/>
      <c r="CJ1237" s="4303"/>
      <c r="CK1237" s="4303"/>
      <c r="CL1237" s="4303"/>
      <c r="CM1237" s="4303"/>
      <c r="CN1237" s="4303"/>
      <c r="CO1237" s="4303"/>
      <c r="CP1237" s="4303"/>
      <c r="CQ1237" s="4303"/>
      <c r="CR1237" s="4303"/>
      <c r="CS1237" s="4303"/>
      <c r="CT1237" s="4303"/>
      <c r="CU1237" s="4303"/>
      <c r="CV1237" s="4303"/>
      <c r="CW1237" s="4303"/>
      <c r="CX1237" s="4303"/>
      <c r="CY1237" s="4303"/>
      <c r="CZ1237" s="4303"/>
      <c r="DA1237" s="4303"/>
      <c r="DB1237" s="4303"/>
      <c r="DC1237" s="4303"/>
      <c r="DD1237" s="4303"/>
      <c r="DE1237" s="4303"/>
      <c r="DF1237" s="4303"/>
      <c r="DG1237" s="4303"/>
      <c r="DH1237" s="4303"/>
      <c r="DI1237" s="4303"/>
      <c r="DJ1237" s="4303"/>
      <c r="DK1237" s="4303"/>
      <c r="DL1237" s="4303"/>
      <c r="DM1237" s="4303"/>
      <c r="DN1237" s="4303"/>
      <c r="DO1237" s="4303"/>
      <c r="DP1237" s="4303"/>
      <c r="DQ1237" s="4303"/>
      <c r="DR1237" s="4303"/>
      <c r="DS1237" s="4303"/>
    </row>
    <row r="1238" s="4134" customFormat="1" ht="18.75" customHeight="1" spans="1:123">
      <c r="A1238" s="5022" t="s">
        <v>4578</v>
      </c>
      <c r="B1238" s="5012"/>
      <c r="C1238" s="5012"/>
      <c r="D1238" s="5012"/>
      <c r="E1238" s="5012"/>
      <c r="F1238" s="5012">
        <v>570</v>
      </c>
      <c r="G1238" s="5012"/>
      <c r="H1238" s="5013"/>
      <c r="I1238" s="5013"/>
      <c r="J1238" s="5013"/>
      <c r="K1238" s="5013"/>
      <c r="L1238" s="5013"/>
      <c r="M1238" s="5013"/>
      <c r="N1238" s="5013"/>
      <c r="O1238" s="5014"/>
      <c r="P1238" s="5014"/>
      <c r="Q1238" s="5014"/>
      <c r="R1238" s="5014"/>
      <c r="S1238" s="5014"/>
      <c r="T1238" s="5014"/>
      <c r="U1238" s="5014"/>
      <c r="V1238" s="5012">
        <v>569</v>
      </c>
      <c r="W1238" s="5012"/>
      <c r="X1238" s="4303"/>
      <c r="Y1238" s="4303"/>
      <c r="Z1238" s="4311" t="s">
        <v>5488</v>
      </c>
      <c r="AA1238" s="4303"/>
      <c r="AB1238" s="4303"/>
      <c r="AC1238" s="4303"/>
      <c r="AD1238" s="4303"/>
      <c r="AE1238" s="4303"/>
      <c r="AF1238" s="4303"/>
      <c r="AG1238" s="4303"/>
      <c r="AH1238" s="4303"/>
      <c r="AI1238" s="4303"/>
      <c r="AJ1238" s="4303"/>
      <c r="AK1238" s="4303"/>
      <c r="AL1238" s="4303"/>
      <c r="AM1238" s="4303"/>
      <c r="AN1238" s="4303"/>
      <c r="AO1238" s="4303"/>
      <c r="AP1238" s="4303"/>
      <c r="AQ1238" s="4303"/>
      <c r="AR1238" s="4303"/>
      <c r="AS1238" s="4303"/>
      <c r="AT1238" s="4303"/>
      <c r="AU1238" s="4303"/>
      <c r="AV1238" s="4303"/>
      <c r="AW1238" s="4303"/>
      <c r="AX1238" s="4303"/>
      <c r="AY1238" s="4303"/>
      <c r="AZ1238" s="4303"/>
      <c r="BA1238" s="4303"/>
      <c r="BB1238" s="4303"/>
      <c r="BC1238" s="4303"/>
      <c r="BD1238" s="4303"/>
      <c r="BE1238" s="4303"/>
      <c r="BF1238" s="4303"/>
      <c r="BG1238" s="4303"/>
      <c r="BH1238" s="4303"/>
      <c r="BI1238" s="4303"/>
      <c r="BJ1238" s="4303"/>
      <c r="BK1238" s="4303"/>
      <c r="BL1238" s="4303"/>
      <c r="BM1238" s="4303"/>
      <c r="BN1238" s="4303"/>
      <c r="BO1238" s="4303"/>
      <c r="BP1238" s="4303"/>
      <c r="BQ1238" s="4303"/>
      <c r="BR1238" s="4303"/>
      <c r="BS1238" s="4303"/>
      <c r="BT1238" s="4303"/>
      <c r="BU1238" s="4303"/>
      <c r="BV1238" s="4303"/>
      <c r="BW1238" s="4303"/>
      <c r="BX1238" s="4303"/>
      <c r="BY1238" s="4303"/>
      <c r="BZ1238" s="4303"/>
      <c r="CA1238" s="4303"/>
      <c r="CB1238" s="4303"/>
      <c r="CC1238" s="4303"/>
      <c r="CD1238" s="4303"/>
      <c r="CE1238" s="4303"/>
      <c r="CF1238" s="4303"/>
      <c r="CG1238" s="4303"/>
      <c r="CH1238" s="4303"/>
      <c r="CI1238" s="4303"/>
      <c r="CJ1238" s="4303"/>
      <c r="CK1238" s="4303"/>
      <c r="CL1238" s="4303"/>
      <c r="CM1238" s="4303"/>
      <c r="CN1238" s="4303"/>
      <c r="CO1238" s="4303"/>
      <c r="CP1238" s="4303"/>
      <c r="CQ1238" s="4303"/>
      <c r="CR1238" s="4303"/>
      <c r="CS1238" s="4303"/>
      <c r="CT1238" s="4303"/>
      <c r="CU1238" s="4303"/>
      <c r="CV1238" s="4303"/>
      <c r="CW1238" s="4303"/>
      <c r="CX1238" s="4303"/>
      <c r="CY1238" s="4303"/>
      <c r="CZ1238" s="4303"/>
      <c r="DA1238" s="4303"/>
      <c r="DB1238" s="4303"/>
      <c r="DC1238" s="4303"/>
      <c r="DD1238" s="4303"/>
      <c r="DE1238" s="4303"/>
      <c r="DF1238" s="4303"/>
      <c r="DG1238" s="4303"/>
      <c r="DH1238" s="4303"/>
      <c r="DI1238" s="4303"/>
      <c r="DJ1238" s="4303"/>
      <c r="DK1238" s="4303"/>
      <c r="DL1238" s="4303"/>
      <c r="DM1238" s="4303"/>
      <c r="DN1238" s="4303"/>
      <c r="DO1238" s="4303"/>
      <c r="DP1238" s="4303"/>
      <c r="DQ1238" s="4303"/>
      <c r="DR1238" s="4303"/>
      <c r="DS1238" s="4303"/>
    </row>
    <row r="1239" s="4134" customFormat="1" ht="18.75" customHeight="1" spans="1:123">
      <c r="A1239" s="5022" t="s">
        <v>4579</v>
      </c>
      <c r="B1239" s="5012"/>
      <c r="C1239" s="5012"/>
      <c r="D1239" s="5012"/>
      <c r="E1239" s="5012"/>
      <c r="F1239" s="5012">
        <v>572</v>
      </c>
      <c r="G1239" s="5012"/>
      <c r="H1239" s="5013"/>
      <c r="I1239" s="5013"/>
      <c r="J1239" s="5013"/>
      <c r="K1239" s="5013"/>
      <c r="L1239" s="5013"/>
      <c r="M1239" s="5013"/>
      <c r="N1239" s="5013"/>
      <c r="O1239" s="5015"/>
      <c r="P1239" s="5016"/>
      <c r="Q1239" s="5016"/>
      <c r="R1239" s="5016"/>
      <c r="S1239" s="5016"/>
      <c r="T1239" s="5016"/>
      <c r="U1239" s="5017"/>
      <c r="V1239" s="5012"/>
      <c r="W1239" s="5012"/>
      <c r="X1239" s="4303"/>
      <c r="Y1239" s="4303"/>
      <c r="Z1239" s="4311" t="s">
        <v>5489</v>
      </c>
      <c r="AA1239" s="4303"/>
      <c r="AB1239" s="4303"/>
      <c r="AC1239" s="4303"/>
      <c r="AD1239" s="4303"/>
      <c r="AE1239" s="4303"/>
      <c r="AF1239" s="4303"/>
      <c r="AG1239" s="4303"/>
      <c r="AH1239" s="4303"/>
      <c r="AI1239" s="4303"/>
      <c r="AJ1239" s="4303"/>
      <c r="AK1239" s="4303"/>
      <c r="AL1239" s="4303"/>
      <c r="AM1239" s="4303"/>
      <c r="AN1239" s="4303"/>
      <c r="AO1239" s="4303"/>
      <c r="AP1239" s="4303"/>
      <c r="AQ1239" s="4303"/>
      <c r="AR1239" s="4303"/>
      <c r="AS1239" s="4303"/>
      <c r="AT1239" s="4303"/>
      <c r="AU1239" s="4303"/>
      <c r="AV1239" s="4303"/>
      <c r="AW1239" s="4303"/>
      <c r="AX1239" s="4606"/>
      <c r="AY1239" s="4303"/>
      <c r="AZ1239" s="4303"/>
      <c r="BA1239" s="4303"/>
      <c r="BB1239" s="4303"/>
      <c r="BC1239" s="4303"/>
      <c r="BD1239" s="4303"/>
      <c r="BE1239" s="4303"/>
      <c r="BF1239" s="4303"/>
      <c r="BG1239" s="4303"/>
      <c r="BH1239" s="4303"/>
      <c r="BI1239" s="4303"/>
      <c r="BJ1239" s="4303"/>
      <c r="BK1239" s="4303"/>
      <c r="BL1239" s="4303"/>
      <c r="BM1239" s="4303"/>
      <c r="BN1239" s="4303"/>
      <c r="BO1239" s="4303"/>
      <c r="BP1239" s="4303"/>
      <c r="BQ1239" s="4303"/>
      <c r="BR1239" s="4303"/>
      <c r="BS1239" s="4303"/>
      <c r="BT1239" s="4303"/>
      <c r="BU1239" s="4303"/>
      <c r="BV1239" s="4303"/>
      <c r="BW1239" s="4303"/>
      <c r="BX1239" s="4303"/>
      <c r="BY1239" s="4303"/>
      <c r="BZ1239" s="4303"/>
      <c r="CA1239" s="4303"/>
      <c r="CB1239" s="4303"/>
      <c r="CC1239" s="4303"/>
      <c r="CD1239" s="4303"/>
      <c r="CE1239" s="4303"/>
      <c r="CF1239" s="4303"/>
      <c r="CG1239" s="4303"/>
      <c r="CH1239" s="4303"/>
      <c r="CI1239" s="4303"/>
      <c r="CJ1239" s="4303"/>
      <c r="CK1239" s="4303"/>
      <c r="CL1239" s="4303"/>
      <c r="CM1239" s="4303"/>
      <c r="CN1239" s="4303"/>
      <c r="CO1239" s="4303"/>
      <c r="CP1239" s="4303"/>
      <c r="CQ1239" s="4303"/>
      <c r="CR1239" s="4303"/>
      <c r="CS1239" s="4303"/>
      <c r="CT1239" s="4303"/>
      <c r="CU1239" s="4303"/>
      <c r="CV1239" s="4303"/>
      <c r="CW1239" s="4303"/>
      <c r="CX1239" s="4303"/>
      <c r="CY1239" s="4303"/>
      <c r="CZ1239" s="4303"/>
      <c r="DA1239" s="4303"/>
      <c r="DB1239" s="4303"/>
      <c r="DC1239" s="4303"/>
      <c r="DD1239" s="4303"/>
      <c r="DE1239" s="4303"/>
      <c r="DF1239" s="4303"/>
      <c r="DG1239" s="4303"/>
      <c r="DH1239" s="4303"/>
      <c r="DI1239" s="4303"/>
      <c r="DJ1239" s="4303"/>
      <c r="DK1239" s="4303"/>
      <c r="DL1239" s="4303"/>
      <c r="DM1239" s="4303"/>
      <c r="DN1239" s="4303"/>
      <c r="DO1239" s="4303"/>
      <c r="DP1239" s="4303"/>
      <c r="DQ1239" s="4303"/>
      <c r="DR1239" s="4303"/>
      <c r="DS1239" s="4303"/>
    </row>
    <row r="1240" s="4134" customFormat="1" ht="18.75" customHeight="1" spans="1:123">
      <c r="A1240" s="5022" t="s">
        <v>4580</v>
      </c>
      <c r="B1240" s="5012"/>
      <c r="C1240" s="5012"/>
      <c r="D1240" s="5012"/>
      <c r="E1240" s="5012"/>
      <c r="F1240" s="5012">
        <v>572</v>
      </c>
      <c r="G1240" s="5012"/>
      <c r="H1240" s="5013"/>
      <c r="I1240" s="5013"/>
      <c r="J1240" s="5013"/>
      <c r="K1240" s="5013"/>
      <c r="L1240" s="5013"/>
      <c r="M1240" s="5013"/>
      <c r="N1240" s="5013"/>
      <c r="O1240" s="5020"/>
      <c r="P1240" s="4303"/>
      <c r="Q1240" s="4303"/>
      <c r="R1240" s="4303"/>
      <c r="S1240" s="4303"/>
      <c r="T1240" s="4303"/>
      <c r="U1240" s="5021"/>
      <c r="V1240" s="5012"/>
      <c r="W1240" s="5012"/>
      <c r="X1240" s="4303"/>
      <c r="Y1240" s="4303"/>
      <c r="Z1240" s="4311" t="s">
        <v>5490</v>
      </c>
      <c r="AA1240" s="4303"/>
      <c r="AB1240" s="4303"/>
      <c r="AC1240" s="4303"/>
      <c r="AD1240" s="4303"/>
      <c r="AE1240" s="4303"/>
      <c r="AF1240" s="4303"/>
      <c r="AG1240" s="4303"/>
      <c r="AH1240" s="4303"/>
      <c r="AI1240" s="4303"/>
      <c r="AJ1240" s="4303"/>
      <c r="AK1240" s="4303"/>
      <c r="AL1240" s="4303"/>
      <c r="AM1240" s="4303"/>
      <c r="AN1240" s="4303"/>
      <c r="AO1240" s="4303"/>
      <c r="AP1240" s="4303"/>
      <c r="AQ1240" s="4303"/>
      <c r="AR1240" s="4303"/>
      <c r="AS1240" s="4303"/>
      <c r="AT1240" s="4303"/>
      <c r="AU1240" s="4303"/>
      <c r="AV1240" s="4303"/>
      <c r="AW1240" s="4303"/>
      <c r="AX1240" s="4303"/>
      <c r="AY1240" s="4303"/>
      <c r="AZ1240" s="4303"/>
      <c r="BA1240" s="4303"/>
      <c r="BB1240" s="4303"/>
      <c r="BC1240" s="4303"/>
      <c r="BD1240" s="4303"/>
      <c r="BE1240" s="4303"/>
      <c r="BF1240" s="4303"/>
      <c r="BG1240" s="4303"/>
      <c r="BH1240" s="4303"/>
      <c r="BI1240" s="4303"/>
      <c r="BJ1240" s="4303"/>
      <c r="BK1240" s="4303"/>
      <c r="BL1240" s="4303"/>
      <c r="BM1240" s="4303"/>
      <c r="BN1240" s="4303"/>
      <c r="BO1240" s="4303"/>
      <c r="BP1240" s="4303"/>
      <c r="BQ1240" s="4303"/>
      <c r="BR1240" s="4303"/>
      <c r="BS1240" s="4303"/>
      <c r="BT1240" s="4303"/>
      <c r="BU1240" s="4303"/>
      <c r="BV1240" s="4303"/>
      <c r="BW1240" s="4303"/>
      <c r="BX1240" s="4303"/>
      <c r="BY1240" s="4303"/>
      <c r="BZ1240" s="4303"/>
      <c r="CA1240" s="4303"/>
      <c r="CB1240" s="4303"/>
      <c r="CC1240" s="4303"/>
      <c r="CD1240" s="4303"/>
      <c r="CE1240" s="4303"/>
      <c r="CF1240" s="4303"/>
      <c r="CG1240" s="4303"/>
      <c r="CH1240" s="4303"/>
      <c r="CI1240" s="4303"/>
      <c r="CJ1240" s="4303"/>
      <c r="CK1240" s="4303"/>
      <c r="CL1240" s="4303"/>
      <c r="CM1240" s="4303"/>
      <c r="CN1240" s="4303"/>
      <c r="CO1240" s="4303"/>
      <c r="CP1240" s="4303"/>
      <c r="CQ1240" s="4303"/>
      <c r="CR1240" s="4303"/>
      <c r="CS1240" s="4303"/>
      <c r="CT1240" s="4303"/>
      <c r="CU1240" s="4303"/>
      <c r="CV1240" s="4303"/>
      <c r="CW1240" s="4303"/>
      <c r="CX1240" s="4303"/>
      <c r="CY1240" s="4303"/>
      <c r="CZ1240" s="4303"/>
      <c r="DA1240" s="4303"/>
      <c r="DB1240" s="4303"/>
      <c r="DC1240" s="4303"/>
      <c r="DD1240" s="4303"/>
      <c r="DE1240" s="4303"/>
      <c r="DF1240" s="4303"/>
      <c r="DG1240" s="4303"/>
      <c r="DH1240" s="4303"/>
      <c r="DI1240" s="4303"/>
      <c r="DJ1240" s="4303"/>
      <c r="DK1240" s="4303"/>
      <c r="DL1240" s="4303"/>
      <c r="DM1240" s="4303"/>
      <c r="DN1240" s="4303"/>
      <c r="DO1240" s="4303"/>
      <c r="DP1240" s="4303"/>
      <c r="DQ1240" s="4303"/>
      <c r="DR1240" s="4303"/>
      <c r="DS1240" s="4303"/>
    </row>
    <row r="1241" s="4134" customFormat="1" ht="18.75" customHeight="1" spans="1:123">
      <c r="A1241" s="5022" t="s">
        <v>4586</v>
      </c>
      <c r="B1241" s="5012"/>
      <c r="C1241" s="5012"/>
      <c r="D1241" s="5012"/>
      <c r="E1241" s="5012"/>
      <c r="F1241" s="5012">
        <v>570</v>
      </c>
      <c r="G1241" s="5012"/>
      <c r="H1241" s="5013"/>
      <c r="I1241" s="5013"/>
      <c r="J1241" s="5013"/>
      <c r="K1241" s="5013"/>
      <c r="L1241" s="5013"/>
      <c r="M1241" s="5013"/>
      <c r="N1241" s="5013"/>
      <c r="O1241" s="5014"/>
      <c r="P1241" s="5014"/>
      <c r="Q1241" s="5014"/>
      <c r="R1241" s="5014"/>
      <c r="S1241" s="5014"/>
      <c r="T1241" s="5014"/>
      <c r="U1241" s="5014"/>
      <c r="V1241" s="5012">
        <v>569</v>
      </c>
      <c r="W1241" s="5012"/>
      <c r="X1241" s="4303"/>
      <c r="Y1241" s="4303"/>
      <c r="Z1241" s="4311" t="s">
        <v>5495</v>
      </c>
      <c r="AA1241" s="4303"/>
      <c r="AB1241" s="4303"/>
      <c r="AC1241" s="4303"/>
      <c r="AD1241" s="4303"/>
      <c r="AE1241" s="4303"/>
      <c r="AF1241" s="4303"/>
      <c r="AG1241" s="4303"/>
      <c r="AH1241" s="4303"/>
      <c r="AI1241" s="4303"/>
      <c r="AJ1241" s="4303"/>
      <c r="AK1241" s="4303"/>
      <c r="AL1241" s="4303"/>
      <c r="AM1241" s="4303"/>
      <c r="AN1241" s="4303"/>
      <c r="AO1241" s="4303"/>
      <c r="AP1241" s="4303"/>
      <c r="AQ1241" s="4303"/>
      <c r="AR1241" s="4303"/>
      <c r="AS1241" s="4303"/>
      <c r="AT1241" s="4303"/>
      <c r="AU1241" s="4303"/>
      <c r="AV1241" s="4303"/>
      <c r="AW1241" s="4303"/>
      <c r="AX1241" s="4303"/>
      <c r="AY1241" s="4303"/>
      <c r="AZ1241" s="4303"/>
      <c r="BA1241" s="4303"/>
      <c r="BB1241" s="4303"/>
      <c r="BC1241" s="4303"/>
      <c r="BD1241" s="4303"/>
      <c r="BE1241" s="4303"/>
      <c r="BF1241" s="4303"/>
      <c r="BG1241" s="4303"/>
      <c r="BH1241" s="4303"/>
      <c r="BI1241" s="4303"/>
      <c r="BJ1241" s="4303"/>
      <c r="BK1241" s="4303"/>
      <c r="BL1241" s="4303"/>
      <c r="BM1241" s="4303"/>
      <c r="BN1241" s="4303"/>
      <c r="BO1241" s="4303"/>
      <c r="BP1241" s="4303"/>
      <c r="BQ1241" s="4303"/>
      <c r="BR1241" s="4303"/>
      <c r="BS1241" s="4303"/>
      <c r="BT1241" s="4303"/>
      <c r="BU1241" s="4303"/>
      <c r="BV1241" s="4303"/>
      <c r="BW1241" s="4303"/>
      <c r="BX1241" s="4303"/>
      <c r="BY1241" s="4303"/>
      <c r="BZ1241" s="4303"/>
      <c r="CA1241" s="4303"/>
      <c r="CB1241" s="4303"/>
      <c r="CC1241" s="4303"/>
      <c r="CD1241" s="4303"/>
      <c r="CE1241" s="4303"/>
      <c r="CF1241" s="4303"/>
      <c r="CG1241" s="4303"/>
      <c r="CH1241" s="4303"/>
      <c r="CI1241" s="4303"/>
      <c r="CJ1241" s="4303"/>
      <c r="CK1241" s="4303"/>
      <c r="CL1241" s="4303"/>
      <c r="CM1241" s="4303"/>
      <c r="CN1241" s="4303"/>
      <c r="CO1241" s="4303"/>
      <c r="CP1241" s="4303"/>
      <c r="CQ1241" s="4303"/>
      <c r="CR1241" s="4303"/>
      <c r="CS1241" s="4303"/>
      <c r="CT1241" s="4303"/>
      <c r="CU1241" s="4303"/>
      <c r="CV1241" s="4303"/>
      <c r="CW1241" s="4303"/>
      <c r="CX1241" s="4303"/>
      <c r="CY1241" s="4303"/>
      <c r="CZ1241" s="4303"/>
      <c r="DA1241" s="4303"/>
      <c r="DB1241" s="4303"/>
      <c r="DC1241" s="4303"/>
      <c r="DD1241" s="4303"/>
      <c r="DE1241" s="4303"/>
      <c r="DF1241" s="4303"/>
      <c r="DG1241" s="4303"/>
      <c r="DH1241" s="4303"/>
      <c r="DI1241" s="4303"/>
      <c r="DJ1241" s="4303"/>
      <c r="DK1241" s="4303"/>
      <c r="DL1241" s="4303"/>
      <c r="DM1241" s="4303"/>
      <c r="DN1241" s="4303"/>
      <c r="DO1241" s="4303"/>
      <c r="DP1241" s="4303"/>
      <c r="DQ1241" s="4303"/>
      <c r="DR1241" s="4303"/>
      <c r="DS1241" s="4303"/>
    </row>
    <row r="1242" s="4134" customFormat="1" ht="18.75" customHeight="1" spans="1:123">
      <c r="A1242" s="5022" t="s">
        <v>4587</v>
      </c>
      <c r="B1242" s="5012"/>
      <c r="C1242" s="5012"/>
      <c r="D1242" s="5012"/>
      <c r="E1242" s="5012"/>
      <c r="F1242" s="5012">
        <v>570</v>
      </c>
      <c r="G1242" s="5012"/>
      <c r="H1242" s="5013"/>
      <c r="I1242" s="5013"/>
      <c r="J1242" s="5013"/>
      <c r="K1242" s="5013"/>
      <c r="L1242" s="5013"/>
      <c r="M1242" s="5013"/>
      <c r="N1242" s="5013"/>
      <c r="O1242" s="5014"/>
      <c r="P1242" s="5014"/>
      <c r="Q1242" s="5014"/>
      <c r="R1242" s="5014"/>
      <c r="S1242" s="5014"/>
      <c r="T1242" s="5014"/>
      <c r="U1242" s="5014"/>
      <c r="V1242" s="5012">
        <v>569</v>
      </c>
      <c r="W1242" s="5012"/>
      <c r="X1242" s="4303"/>
      <c r="Y1242" s="4303"/>
      <c r="Z1242" s="4311" t="s">
        <v>5496</v>
      </c>
      <c r="AA1242" s="4303"/>
      <c r="AB1242" s="4303"/>
      <c r="AC1242" s="4303"/>
      <c r="AD1242" s="4303"/>
      <c r="AE1242" s="4303"/>
      <c r="AF1242" s="4303"/>
      <c r="AG1242" s="4303"/>
      <c r="AH1242" s="4303"/>
      <c r="AI1242" s="4303"/>
      <c r="AJ1242" s="4303"/>
      <c r="AK1242" s="4303"/>
      <c r="AL1242" s="4303"/>
      <c r="AM1242" s="4303"/>
      <c r="AN1242" s="4303"/>
      <c r="AO1242" s="4303"/>
      <c r="AP1242" s="4303"/>
      <c r="AQ1242" s="4303"/>
      <c r="AR1242" s="4303"/>
      <c r="AS1242" s="4303"/>
      <c r="AT1242" s="4303"/>
      <c r="AU1242" s="4303"/>
      <c r="AV1242" s="4303"/>
      <c r="AW1242" s="4303"/>
      <c r="AX1242" s="4303"/>
      <c r="AY1242" s="4303"/>
      <c r="AZ1242" s="4303"/>
      <c r="BA1242" s="4303"/>
      <c r="BB1242" s="4303"/>
      <c r="BC1242" s="4303"/>
      <c r="BD1242" s="4303"/>
      <c r="BE1242" s="4303"/>
      <c r="BF1242" s="4303"/>
      <c r="BG1242" s="4303"/>
      <c r="BH1242" s="4303"/>
      <c r="BI1242" s="4303"/>
      <c r="BJ1242" s="4303"/>
      <c r="BK1242" s="4303"/>
      <c r="BL1242" s="4303"/>
      <c r="BM1242" s="4303"/>
      <c r="BN1242" s="4303"/>
      <c r="BO1242" s="4303"/>
      <c r="BP1242" s="4303"/>
      <c r="BQ1242" s="4303"/>
      <c r="BR1242" s="4303"/>
      <c r="BS1242" s="4303"/>
      <c r="BT1242" s="4303"/>
      <c r="BU1242" s="4303"/>
      <c r="BV1242" s="4303"/>
      <c r="BW1242" s="4303"/>
      <c r="BX1242" s="4303"/>
      <c r="BY1242" s="4303"/>
      <c r="BZ1242" s="4303"/>
      <c r="CA1242" s="4303"/>
      <c r="CB1242" s="4303"/>
      <c r="CC1242" s="4303"/>
      <c r="CD1242" s="4303"/>
      <c r="CE1242" s="4303"/>
      <c r="CF1242" s="4303"/>
      <c r="CG1242" s="4303"/>
      <c r="CH1242" s="4303"/>
      <c r="CI1242" s="4303"/>
      <c r="CJ1242" s="4303"/>
      <c r="CK1242" s="4303"/>
      <c r="CL1242" s="4303"/>
      <c r="CM1242" s="4303"/>
      <c r="CN1242" s="4303"/>
      <c r="CO1242" s="4303"/>
      <c r="CP1242" s="4303"/>
      <c r="CQ1242" s="4303"/>
      <c r="CR1242" s="4303"/>
      <c r="CS1242" s="4303"/>
      <c r="CT1242" s="4303"/>
      <c r="CU1242" s="4303"/>
      <c r="CV1242" s="4303"/>
      <c r="CW1242" s="4303"/>
      <c r="CX1242" s="4303"/>
      <c r="CY1242" s="4303"/>
      <c r="CZ1242" s="4303"/>
      <c r="DA1242" s="4303"/>
      <c r="DB1242" s="4303"/>
      <c r="DC1242" s="4303"/>
      <c r="DD1242" s="4303"/>
      <c r="DE1242" s="4303"/>
      <c r="DF1242" s="4303"/>
      <c r="DG1242" s="4303"/>
      <c r="DH1242" s="4303"/>
      <c r="DI1242" s="4303"/>
      <c r="DJ1242" s="4303"/>
      <c r="DK1242" s="4303"/>
      <c r="DL1242" s="4303"/>
      <c r="DM1242" s="4303"/>
      <c r="DN1242" s="4303"/>
      <c r="DO1242" s="4303"/>
      <c r="DP1242" s="4303"/>
      <c r="DQ1242" s="4303"/>
      <c r="DR1242" s="4303"/>
      <c r="DS1242" s="4303"/>
    </row>
    <row r="1243" s="4134" customFormat="1" ht="18.75" customHeight="1" spans="1:123">
      <c r="A1243" s="5022" t="s">
        <v>4588</v>
      </c>
      <c r="B1243" s="5012"/>
      <c r="C1243" s="5012"/>
      <c r="D1243" s="5012"/>
      <c r="E1243" s="5012"/>
      <c r="F1243" s="5012">
        <v>570</v>
      </c>
      <c r="G1243" s="5012"/>
      <c r="H1243" s="5013"/>
      <c r="I1243" s="5013"/>
      <c r="J1243" s="5013"/>
      <c r="K1243" s="5013"/>
      <c r="L1243" s="5013"/>
      <c r="M1243" s="5013"/>
      <c r="N1243" s="5013"/>
      <c r="O1243" s="5014"/>
      <c r="P1243" s="5014"/>
      <c r="Q1243" s="5014"/>
      <c r="R1243" s="5014"/>
      <c r="S1243" s="5014"/>
      <c r="T1243" s="5014"/>
      <c r="U1243" s="5014"/>
      <c r="V1243" s="5012">
        <v>569</v>
      </c>
      <c r="W1243" s="5012"/>
      <c r="X1243" s="4303"/>
      <c r="Y1243" s="4303"/>
      <c r="Z1243" s="4311" t="s">
        <v>5497</v>
      </c>
      <c r="AA1243" s="4303"/>
      <c r="AB1243" s="4303"/>
      <c r="AC1243" s="4303"/>
      <c r="AD1243" s="4303"/>
      <c r="AE1243" s="4303"/>
      <c r="AF1243" s="4303"/>
      <c r="AG1243" s="4303"/>
      <c r="AH1243" s="4303"/>
      <c r="AI1243" s="4303"/>
      <c r="AJ1243" s="4303"/>
      <c r="AK1243" s="4303"/>
      <c r="AL1243" s="4303"/>
      <c r="AM1243" s="4303"/>
      <c r="AN1243" s="4303"/>
      <c r="AO1243" s="4303"/>
      <c r="AP1243" s="4303"/>
      <c r="AQ1243" s="4303"/>
      <c r="AR1243" s="4303"/>
      <c r="AS1243" s="4303"/>
      <c r="AT1243" s="4303"/>
      <c r="AU1243" s="4303"/>
      <c r="AV1243" s="4303"/>
      <c r="AW1243" s="4303"/>
      <c r="AX1243" s="4303"/>
      <c r="AY1243" s="4303"/>
      <c r="AZ1243" s="4303"/>
      <c r="BA1243" s="4303"/>
      <c r="BB1243" s="4303"/>
      <c r="BC1243" s="4303"/>
      <c r="BD1243" s="4303"/>
      <c r="BE1243" s="4303"/>
      <c r="BF1243" s="4303"/>
      <c r="BG1243" s="4303"/>
      <c r="BH1243" s="4303"/>
      <c r="BI1243" s="4303"/>
      <c r="BJ1243" s="4303"/>
      <c r="BK1243" s="4303"/>
      <c r="BL1243" s="4303"/>
      <c r="BM1243" s="4303"/>
      <c r="BN1243" s="4303"/>
      <c r="BO1243" s="4303"/>
      <c r="BP1243" s="4303"/>
      <c r="BQ1243" s="4303"/>
      <c r="BR1243" s="4303"/>
      <c r="BS1243" s="4303"/>
      <c r="BT1243" s="4303"/>
      <c r="BU1243" s="4303"/>
      <c r="BV1243" s="4303"/>
      <c r="BW1243" s="4303"/>
      <c r="BX1243" s="4303"/>
      <c r="BY1243" s="4303"/>
      <c r="BZ1243" s="4303"/>
      <c r="CA1243" s="4303"/>
      <c r="CB1243" s="4303"/>
      <c r="CC1243" s="4303"/>
      <c r="CD1243" s="4303"/>
      <c r="CE1243" s="4303"/>
      <c r="CF1243" s="4303"/>
      <c r="CG1243" s="4303"/>
      <c r="CH1243" s="4303"/>
      <c r="CI1243" s="4303"/>
      <c r="CJ1243" s="4303"/>
      <c r="CK1243" s="4303"/>
      <c r="CL1243" s="4303"/>
      <c r="CM1243" s="4303"/>
      <c r="CN1243" s="4303"/>
      <c r="CO1243" s="4303"/>
      <c r="CP1243" s="4303"/>
      <c r="CQ1243" s="4303"/>
      <c r="CR1243" s="4303"/>
      <c r="CS1243" s="4303"/>
      <c r="CT1243" s="4303"/>
      <c r="CU1243" s="4303"/>
      <c r="CV1243" s="4303"/>
      <c r="CW1243" s="4303"/>
      <c r="CX1243" s="4303"/>
      <c r="CY1243" s="4303"/>
      <c r="CZ1243" s="4303"/>
      <c r="DA1243" s="4303"/>
      <c r="DB1243" s="4303"/>
      <c r="DC1243" s="4303"/>
      <c r="DD1243" s="4303"/>
      <c r="DE1243" s="4303"/>
      <c r="DF1243" s="4303"/>
      <c r="DG1243" s="4303"/>
      <c r="DH1243" s="4303"/>
      <c r="DI1243" s="4303"/>
      <c r="DJ1243" s="4303"/>
      <c r="DK1243" s="4303"/>
      <c r="DL1243" s="4303"/>
      <c r="DM1243" s="4303"/>
      <c r="DN1243" s="4303"/>
      <c r="DO1243" s="4303"/>
      <c r="DP1243" s="4303"/>
      <c r="DQ1243" s="4303"/>
      <c r="DR1243" s="4303"/>
      <c r="DS1243" s="4303"/>
    </row>
    <row r="1244" s="4134" customFormat="1" ht="18.75" customHeight="1" spans="1:123">
      <c r="A1244" s="5022" t="s">
        <v>4589</v>
      </c>
      <c r="B1244" s="5012"/>
      <c r="C1244" s="5012"/>
      <c r="D1244" s="5012"/>
      <c r="E1244" s="5012"/>
      <c r="F1244" s="5012">
        <v>577</v>
      </c>
      <c r="G1244" s="5012"/>
      <c r="H1244" s="5013"/>
      <c r="I1244" s="5013"/>
      <c r="J1244" s="5013"/>
      <c r="K1244" s="5013"/>
      <c r="L1244" s="5013"/>
      <c r="M1244" s="5013"/>
      <c r="N1244" s="5013"/>
      <c r="O1244" s="5014"/>
      <c r="P1244" s="5014"/>
      <c r="Q1244" s="5014"/>
      <c r="R1244" s="5014"/>
      <c r="S1244" s="5014"/>
      <c r="T1244" s="5014"/>
      <c r="U1244" s="5014"/>
      <c r="V1244" s="5012">
        <v>576</v>
      </c>
      <c r="W1244" s="5012"/>
      <c r="X1244" s="4303"/>
      <c r="Y1244" s="4303"/>
      <c r="Z1244" s="4311" t="s">
        <v>5498</v>
      </c>
      <c r="AA1244" s="4303"/>
      <c r="AB1244" s="4303"/>
      <c r="AC1244" s="4303"/>
      <c r="AD1244" s="4303"/>
      <c r="AE1244" s="4303"/>
      <c r="AF1244" s="4303"/>
      <c r="AG1244" s="4303"/>
      <c r="AH1244" s="4303"/>
      <c r="AI1244" s="4303"/>
      <c r="AJ1244" s="4303"/>
      <c r="AK1244" s="4303"/>
      <c r="AL1244" s="4303"/>
      <c r="AM1244" s="4303"/>
      <c r="AN1244" s="4303"/>
      <c r="AO1244" s="4303"/>
      <c r="AP1244" s="4303"/>
      <c r="AQ1244" s="4303"/>
      <c r="AR1244" s="4303"/>
      <c r="AS1244" s="4303"/>
      <c r="AT1244" s="4303"/>
      <c r="AU1244" s="4303"/>
      <c r="AV1244" s="4303"/>
      <c r="AW1244" s="4303"/>
      <c r="AX1244" s="4303"/>
      <c r="AY1244" s="4303"/>
      <c r="AZ1244" s="4303"/>
      <c r="BA1244" s="4303"/>
      <c r="BB1244" s="4303"/>
      <c r="BC1244" s="4303"/>
      <c r="BD1244" s="4303"/>
      <c r="BE1244" s="4303"/>
      <c r="BF1244" s="4303"/>
      <c r="BG1244" s="4303"/>
      <c r="BH1244" s="4303"/>
      <c r="BI1244" s="4303"/>
      <c r="BJ1244" s="4303"/>
      <c r="BK1244" s="4303"/>
      <c r="BL1244" s="4303"/>
      <c r="BM1244" s="4303"/>
      <c r="BN1244" s="4303"/>
      <c r="BO1244" s="4303"/>
      <c r="BP1244" s="4303"/>
      <c r="BQ1244" s="4303"/>
      <c r="BR1244" s="4303"/>
      <c r="BS1244" s="4303"/>
      <c r="BT1244" s="4303"/>
      <c r="BU1244" s="4303"/>
      <c r="BV1244" s="4303"/>
      <c r="BW1244" s="4303"/>
      <c r="BX1244" s="4303"/>
      <c r="BY1244" s="4303"/>
      <c r="BZ1244" s="4303"/>
      <c r="CA1244" s="4303"/>
      <c r="CB1244" s="4303"/>
      <c r="CC1244" s="4303"/>
      <c r="CD1244" s="4303"/>
      <c r="CE1244" s="4303"/>
      <c r="CF1244" s="4303"/>
      <c r="CG1244" s="4303"/>
      <c r="CH1244" s="4303"/>
      <c r="CI1244" s="4303"/>
      <c r="CJ1244" s="4303"/>
      <c r="CK1244" s="4303"/>
      <c r="CL1244" s="4303"/>
      <c r="CM1244" s="4303"/>
      <c r="CN1244" s="4303"/>
      <c r="CO1244" s="4303"/>
      <c r="CP1244" s="4303"/>
      <c r="CQ1244" s="4303"/>
      <c r="CR1244" s="4303"/>
      <c r="CS1244" s="4303"/>
      <c r="CT1244" s="4303"/>
      <c r="CU1244" s="4303"/>
      <c r="CV1244" s="4303"/>
      <c r="CW1244" s="4303"/>
      <c r="CX1244" s="4303"/>
      <c r="CY1244" s="4303"/>
      <c r="CZ1244" s="4303"/>
      <c r="DA1244" s="4303"/>
      <c r="DB1244" s="4303"/>
      <c r="DC1244" s="4303"/>
      <c r="DD1244" s="4303"/>
      <c r="DE1244" s="4303"/>
      <c r="DF1244" s="4303"/>
      <c r="DG1244" s="4303"/>
      <c r="DH1244" s="4303"/>
      <c r="DI1244" s="4303"/>
      <c r="DJ1244" s="4303"/>
      <c r="DK1244" s="4303"/>
      <c r="DL1244" s="4303"/>
      <c r="DM1244" s="4303"/>
      <c r="DN1244" s="4303"/>
      <c r="DO1244" s="4303"/>
      <c r="DP1244" s="4303"/>
      <c r="DQ1244" s="4303"/>
      <c r="DR1244" s="4303"/>
      <c r="DS1244" s="4303"/>
    </row>
    <row r="1245" s="4134" customFormat="1" ht="18.75" customHeight="1" spans="1:123">
      <c r="A1245" s="5022" t="s">
        <v>4590</v>
      </c>
      <c r="B1245" s="5012"/>
      <c r="C1245" s="5012"/>
      <c r="D1245" s="5012"/>
      <c r="E1245" s="5012"/>
      <c r="F1245" s="5012">
        <v>577</v>
      </c>
      <c r="G1245" s="5012"/>
      <c r="H1245" s="5013"/>
      <c r="I1245" s="5013"/>
      <c r="J1245" s="5013"/>
      <c r="K1245" s="5013"/>
      <c r="L1245" s="5013"/>
      <c r="M1245" s="5013"/>
      <c r="N1245" s="5013"/>
      <c r="O1245" s="5014"/>
      <c r="P1245" s="5014"/>
      <c r="Q1245" s="5014"/>
      <c r="R1245" s="5014"/>
      <c r="S1245" s="5014"/>
      <c r="T1245" s="5014"/>
      <c r="U1245" s="5014"/>
      <c r="V1245" s="5012">
        <v>576</v>
      </c>
      <c r="W1245" s="5012"/>
      <c r="X1245" s="4303"/>
      <c r="Y1245" s="4303"/>
      <c r="Z1245" s="4311" t="s">
        <v>5499</v>
      </c>
      <c r="AA1245" s="4303"/>
      <c r="AB1245" s="4303"/>
      <c r="AC1245" s="4303"/>
      <c r="AD1245" s="4303"/>
      <c r="AE1245" s="4303"/>
      <c r="AF1245" s="4303"/>
      <c r="AG1245" s="4303"/>
      <c r="AH1245" s="4303"/>
      <c r="AI1245" s="4303"/>
      <c r="AJ1245" s="4303"/>
      <c r="AK1245" s="4303"/>
      <c r="AL1245" s="4303"/>
      <c r="AM1245" s="4303"/>
      <c r="AN1245" s="4303"/>
      <c r="AO1245" s="4303"/>
      <c r="AP1245" s="4303"/>
      <c r="AQ1245" s="4303"/>
      <c r="AR1245" s="4303"/>
      <c r="AS1245" s="4303"/>
      <c r="AT1245" s="4303"/>
      <c r="AU1245" s="4303"/>
      <c r="AV1245" s="4303"/>
      <c r="AW1245" s="4303"/>
      <c r="AX1245" s="4303"/>
      <c r="AY1245" s="4303"/>
      <c r="AZ1245" s="4303"/>
      <c r="BA1245" s="4303"/>
      <c r="BB1245" s="4303"/>
      <c r="BC1245" s="4303"/>
      <c r="BD1245" s="4303"/>
      <c r="BE1245" s="4303"/>
      <c r="BF1245" s="4303"/>
      <c r="BG1245" s="4303"/>
      <c r="BH1245" s="4303"/>
      <c r="BI1245" s="4303"/>
      <c r="BJ1245" s="4303"/>
      <c r="BK1245" s="4303"/>
      <c r="BL1245" s="4303"/>
      <c r="BM1245" s="4303"/>
      <c r="BN1245" s="4303"/>
      <c r="BO1245" s="4303"/>
      <c r="BP1245" s="4303"/>
      <c r="BQ1245" s="4303"/>
      <c r="BR1245" s="4303"/>
      <c r="BS1245" s="4303"/>
      <c r="BT1245" s="4303"/>
      <c r="BU1245" s="4303"/>
      <c r="BV1245" s="4303"/>
      <c r="BW1245" s="4303"/>
      <c r="BX1245" s="4303"/>
      <c r="BY1245" s="4303"/>
      <c r="BZ1245" s="4303"/>
      <c r="CA1245" s="4303"/>
      <c r="CB1245" s="4303"/>
      <c r="CC1245" s="4303"/>
      <c r="CD1245" s="4303"/>
      <c r="CE1245" s="4303"/>
      <c r="CF1245" s="4303"/>
      <c r="CG1245" s="4303"/>
      <c r="CH1245" s="4303"/>
      <c r="CI1245" s="4303"/>
      <c r="CJ1245" s="4303"/>
      <c r="CK1245" s="4303"/>
      <c r="CL1245" s="4303"/>
      <c r="CM1245" s="4303"/>
      <c r="CN1245" s="4303"/>
      <c r="CO1245" s="4303"/>
      <c r="CP1245" s="4303"/>
      <c r="CQ1245" s="4303"/>
      <c r="CR1245" s="4303"/>
      <c r="CS1245" s="4303"/>
      <c r="CT1245" s="4303"/>
      <c r="CU1245" s="4303"/>
      <c r="CV1245" s="4303"/>
      <c r="CW1245" s="4303"/>
      <c r="CX1245" s="4303"/>
      <c r="CY1245" s="4303"/>
      <c r="CZ1245" s="4303"/>
      <c r="DA1245" s="4303"/>
      <c r="DB1245" s="4303"/>
      <c r="DC1245" s="4303"/>
      <c r="DD1245" s="4303"/>
      <c r="DE1245" s="4303"/>
      <c r="DF1245" s="4303"/>
      <c r="DG1245" s="4303"/>
      <c r="DH1245" s="4303"/>
      <c r="DI1245" s="4303"/>
      <c r="DJ1245" s="4303"/>
      <c r="DK1245" s="4303"/>
      <c r="DL1245" s="4303"/>
      <c r="DM1245" s="4303"/>
      <c r="DN1245" s="4303"/>
      <c r="DO1245" s="4303"/>
      <c r="DP1245" s="4303"/>
      <c r="DQ1245" s="4303"/>
      <c r="DR1245" s="4303"/>
      <c r="DS1245" s="4303"/>
    </row>
    <row r="1246" s="4134" customFormat="1" ht="18.75" customHeight="1" spans="1:123">
      <c r="A1246" s="5022" t="s">
        <v>4591</v>
      </c>
      <c r="B1246" s="5012"/>
      <c r="C1246" s="5012"/>
      <c r="D1246" s="5012"/>
      <c r="E1246" s="5012"/>
      <c r="F1246" s="5012">
        <v>577</v>
      </c>
      <c r="G1246" s="5012"/>
      <c r="H1246" s="5013"/>
      <c r="I1246" s="5013"/>
      <c r="J1246" s="5013"/>
      <c r="K1246" s="5013"/>
      <c r="L1246" s="5013"/>
      <c r="M1246" s="5013"/>
      <c r="N1246" s="5013"/>
      <c r="O1246" s="5014"/>
      <c r="P1246" s="5014"/>
      <c r="Q1246" s="5014"/>
      <c r="R1246" s="5014"/>
      <c r="S1246" s="5014"/>
      <c r="T1246" s="5014"/>
      <c r="U1246" s="5014"/>
      <c r="V1246" s="5012">
        <v>576</v>
      </c>
      <c r="W1246" s="5012"/>
      <c r="X1246" s="4303"/>
      <c r="Y1246" s="4303"/>
      <c r="Z1246" s="4311" t="s">
        <v>5500</v>
      </c>
      <c r="AA1246" s="4303"/>
      <c r="AB1246" s="4303"/>
      <c r="AC1246" s="4303"/>
      <c r="AD1246" s="4303"/>
      <c r="AE1246" s="4303"/>
      <c r="AF1246" s="4303"/>
      <c r="AG1246" s="4303"/>
      <c r="AH1246" s="4303"/>
      <c r="AI1246" s="4303"/>
      <c r="AJ1246" s="4303"/>
      <c r="AK1246" s="4303"/>
      <c r="AL1246" s="4303"/>
      <c r="AM1246" s="4303"/>
      <c r="AN1246" s="4303"/>
      <c r="AO1246" s="4303"/>
      <c r="AP1246" s="4303"/>
      <c r="AQ1246" s="4303"/>
      <c r="AR1246" s="4303"/>
      <c r="AS1246" s="4303"/>
      <c r="AT1246" s="4303"/>
      <c r="AU1246" s="4303"/>
      <c r="AV1246" s="4303"/>
      <c r="AW1246" s="4303"/>
      <c r="AX1246" s="4303"/>
      <c r="AY1246" s="4303"/>
      <c r="AZ1246" s="4303"/>
      <c r="BA1246" s="4303"/>
      <c r="BB1246" s="4303"/>
      <c r="BC1246" s="4303"/>
      <c r="BD1246" s="4303"/>
      <c r="BE1246" s="4303"/>
      <c r="BF1246" s="4303"/>
      <c r="BG1246" s="4303"/>
      <c r="BH1246" s="4303"/>
      <c r="BI1246" s="4303"/>
      <c r="BJ1246" s="4303"/>
      <c r="BK1246" s="4303"/>
      <c r="BL1246" s="4303"/>
      <c r="BM1246" s="4303"/>
      <c r="BN1246" s="4303"/>
      <c r="BO1246" s="4303"/>
      <c r="BP1246" s="4303"/>
      <c r="BQ1246" s="4303"/>
      <c r="BR1246" s="4303"/>
      <c r="BS1246" s="4303"/>
      <c r="BT1246" s="4303"/>
      <c r="BU1246" s="4303"/>
      <c r="BV1246" s="4303"/>
      <c r="BW1246" s="4303"/>
      <c r="BX1246" s="4303"/>
      <c r="BY1246" s="4303"/>
      <c r="BZ1246" s="4303"/>
      <c r="CA1246" s="4303"/>
      <c r="CB1246" s="4303"/>
      <c r="CC1246" s="4303"/>
      <c r="CD1246" s="4303"/>
      <c r="CE1246" s="4303"/>
      <c r="CF1246" s="4303"/>
      <c r="CG1246" s="4303"/>
      <c r="CH1246" s="4303"/>
      <c r="CI1246" s="4303"/>
      <c r="CJ1246" s="4303"/>
      <c r="CK1246" s="4303"/>
      <c r="CL1246" s="4303"/>
      <c r="CM1246" s="4303"/>
      <c r="CN1246" s="4303"/>
      <c r="CO1246" s="4303"/>
      <c r="CP1246" s="4303"/>
      <c r="CQ1246" s="4303"/>
      <c r="CR1246" s="4303"/>
      <c r="CS1246" s="4303"/>
      <c r="CT1246" s="4303"/>
      <c r="CU1246" s="4303"/>
      <c r="CV1246" s="4303"/>
      <c r="CW1246" s="4303"/>
      <c r="CX1246" s="4303"/>
      <c r="CY1246" s="4303"/>
      <c r="CZ1246" s="4303"/>
      <c r="DA1246" s="4303"/>
      <c r="DB1246" s="4303"/>
      <c r="DC1246" s="4303"/>
      <c r="DD1246" s="4303"/>
      <c r="DE1246" s="4303"/>
      <c r="DF1246" s="4303"/>
      <c r="DG1246" s="4303"/>
      <c r="DH1246" s="4303"/>
      <c r="DI1246" s="4303"/>
      <c r="DJ1246" s="4303"/>
      <c r="DK1246" s="4303"/>
      <c r="DL1246" s="4303"/>
      <c r="DM1246" s="4303"/>
      <c r="DN1246" s="4303"/>
      <c r="DO1246" s="4303"/>
      <c r="DP1246" s="4303"/>
      <c r="DQ1246" s="4303"/>
      <c r="DR1246" s="4303"/>
      <c r="DS1246" s="4303"/>
    </row>
    <row r="1247" s="4134" customFormat="1" ht="18.75" customHeight="1" spans="1:123">
      <c r="A1247" s="5022" t="s">
        <v>4592</v>
      </c>
      <c r="B1247" s="5012"/>
      <c r="C1247" s="5012"/>
      <c r="D1247" s="5012"/>
      <c r="E1247" s="5012"/>
      <c r="F1247" s="5012">
        <v>577</v>
      </c>
      <c r="G1247" s="5012"/>
      <c r="H1247" s="5013"/>
      <c r="I1247" s="5013"/>
      <c r="J1247" s="5013"/>
      <c r="K1247" s="5013"/>
      <c r="L1247" s="5013"/>
      <c r="M1247" s="5013"/>
      <c r="N1247" s="5013"/>
      <c r="O1247" s="5014"/>
      <c r="P1247" s="5014"/>
      <c r="Q1247" s="5014"/>
      <c r="R1247" s="5014"/>
      <c r="S1247" s="5014"/>
      <c r="T1247" s="5014"/>
      <c r="U1247" s="5014"/>
      <c r="V1247" s="5012">
        <v>576</v>
      </c>
      <c r="W1247" s="5012"/>
      <c r="X1247" s="4303"/>
      <c r="Y1247" s="4303"/>
      <c r="Z1247" s="4311" t="s">
        <v>5501</v>
      </c>
      <c r="AA1247" s="4303"/>
      <c r="AB1247" s="4303"/>
      <c r="AC1247" s="4303"/>
      <c r="AD1247" s="4303"/>
      <c r="AE1247" s="4303"/>
      <c r="AF1247" s="4303"/>
      <c r="AG1247" s="4303"/>
      <c r="AH1247" s="4303"/>
      <c r="AI1247" s="4303"/>
      <c r="AJ1247" s="4303"/>
      <c r="AK1247" s="4303"/>
      <c r="AL1247" s="4303"/>
      <c r="AM1247" s="4303"/>
      <c r="AN1247" s="4303"/>
      <c r="AO1247" s="4303"/>
      <c r="AP1247" s="4303"/>
      <c r="AQ1247" s="4303"/>
      <c r="AR1247" s="4303"/>
      <c r="AS1247" s="4303"/>
      <c r="AT1247" s="4303"/>
      <c r="AU1247" s="4303"/>
      <c r="AV1247" s="4303"/>
      <c r="AW1247" s="4303"/>
      <c r="AX1247" s="4303"/>
      <c r="AY1247" s="4303"/>
      <c r="AZ1247" s="4303"/>
      <c r="BA1247" s="4303"/>
      <c r="BB1247" s="4303"/>
      <c r="BC1247" s="4303"/>
      <c r="BD1247" s="4303"/>
      <c r="BE1247" s="4303"/>
      <c r="BF1247" s="4303"/>
      <c r="BG1247" s="4303"/>
      <c r="BH1247" s="4303"/>
      <c r="BI1247" s="4303"/>
      <c r="BJ1247" s="4303"/>
      <c r="BK1247" s="4303"/>
      <c r="BL1247" s="4303"/>
      <c r="BM1247" s="4303"/>
      <c r="BN1247" s="4303"/>
      <c r="BO1247" s="4303"/>
      <c r="BP1247" s="4303"/>
      <c r="BQ1247" s="4303"/>
      <c r="BR1247" s="4303"/>
      <c r="BS1247" s="4303"/>
      <c r="BT1247" s="4303"/>
      <c r="BU1247" s="4303"/>
      <c r="BV1247" s="4303"/>
      <c r="BW1247" s="4303"/>
      <c r="BX1247" s="4303"/>
      <c r="BY1247" s="4303"/>
      <c r="BZ1247" s="4303"/>
      <c r="CA1247" s="4303"/>
      <c r="CB1247" s="4303"/>
      <c r="CC1247" s="4303"/>
      <c r="CD1247" s="4303"/>
      <c r="CE1247" s="4303"/>
      <c r="CF1247" s="4303"/>
      <c r="CG1247" s="4303"/>
      <c r="CH1247" s="4303"/>
      <c r="CI1247" s="4303"/>
      <c r="CJ1247" s="4303"/>
      <c r="CK1247" s="4303"/>
      <c r="CL1247" s="4303"/>
      <c r="CM1247" s="4303"/>
      <c r="CN1247" s="4303"/>
      <c r="CO1247" s="4303"/>
      <c r="CP1247" s="4303"/>
      <c r="CQ1247" s="4303"/>
      <c r="CR1247" s="4303"/>
      <c r="CS1247" s="4303"/>
      <c r="CT1247" s="4303"/>
      <c r="CU1247" s="4303"/>
      <c r="CV1247" s="4303"/>
      <c r="CW1247" s="4303"/>
      <c r="CX1247" s="4303"/>
      <c r="CY1247" s="4303"/>
      <c r="CZ1247" s="4303"/>
      <c r="DA1247" s="4303"/>
      <c r="DB1247" s="4303"/>
      <c r="DC1247" s="4303"/>
      <c r="DD1247" s="4303"/>
      <c r="DE1247" s="4303"/>
      <c r="DF1247" s="4303"/>
      <c r="DG1247" s="4303"/>
      <c r="DH1247" s="4303"/>
      <c r="DI1247" s="4303"/>
      <c r="DJ1247" s="4303"/>
      <c r="DK1247" s="4303"/>
      <c r="DL1247" s="4303"/>
      <c r="DM1247" s="4303"/>
      <c r="DN1247" s="4303"/>
      <c r="DO1247" s="4303"/>
      <c r="DP1247" s="4303"/>
      <c r="DQ1247" s="4303"/>
      <c r="DR1247" s="4303"/>
      <c r="DS1247" s="4303"/>
    </row>
    <row r="1248" s="4134" customFormat="1" ht="18.75" customHeight="1" spans="1:123">
      <c r="A1248" s="5022" t="s">
        <v>4594</v>
      </c>
      <c r="B1248" s="5012"/>
      <c r="C1248" s="5012"/>
      <c r="D1248" s="5012"/>
      <c r="E1248" s="5012"/>
      <c r="F1248" s="5012">
        <v>577</v>
      </c>
      <c r="G1248" s="5012"/>
      <c r="H1248" s="5013"/>
      <c r="I1248" s="5013"/>
      <c r="J1248" s="5013"/>
      <c r="K1248" s="5013"/>
      <c r="L1248" s="5013"/>
      <c r="M1248" s="5013"/>
      <c r="N1248" s="5013"/>
      <c r="O1248" s="5015"/>
      <c r="P1248" s="5016"/>
      <c r="Q1248" s="5016"/>
      <c r="R1248" s="5016"/>
      <c r="S1248" s="5016"/>
      <c r="T1248" s="5016"/>
      <c r="U1248" s="5017"/>
      <c r="V1248" s="5012"/>
      <c r="W1248" s="5012"/>
      <c r="X1248" s="4303"/>
      <c r="Y1248" s="4303"/>
      <c r="Z1248" s="4311" t="s">
        <v>5503</v>
      </c>
      <c r="AA1248" s="4303"/>
      <c r="AB1248" s="4303"/>
      <c r="AC1248" s="4303"/>
      <c r="AD1248" s="4303"/>
      <c r="AE1248" s="4303"/>
      <c r="AF1248" s="4303"/>
      <c r="AG1248" s="4303"/>
      <c r="AH1248" s="4303"/>
      <c r="AI1248" s="4303"/>
      <c r="AJ1248" s="4303"/>
      <c r="AK1248" s="4303"/>
      <c r="AL1248" s="4303"/>
      <c r="AM1248" s="4303"/>
      <c r="AN1248" s="4303"/>
      <c r="AO1248" s="4303"/>
      <c r="AP1248" s="4303"/>
      <c r="AQ1248" s="4303"/>
      <c r="AR1248" s="4303"/>
      <c r="AS1248" s="4303"/>
      <c r="AT1248" s="4303"/>
      <c r="AU1248" s="4303"/>
      <c r="AV1248" s="4303"/>
      <c r="AW1248" s="4303"/>
      <c r="AX1248" s="4303"/>
      <c r="AY1248" s="4303"/>
      <c r="AZ1248" s="4303"/>
      <c r="BA1248" s="4303"/>
      <c r="BB1248" s="4303"/>
      <c r="BC1248" s="4303"/>
      <c r="BD1248" s="4303"/>
      <c r="BE1248" s="4303"/>
      <c r="BF1248" s="4303"/>
      <c r="BG1248" s="4303"/>
      <c r="BH1248" s="4303"/>
      <c r="BI1248" s="4303"/>
      <c r="BJ1248" s="4303"/>
      <c r="BK1248" s="4303"/>
      <c r="BL1248" s="4303"/>
      <c r="BM1248" s="4303"/>
      <c r="BN1248" s="4303"/>
      <c r="BO1248" s="4303"/>
      <c r="BP1248" s="4303"/>
      <c r="BQ1248" s="4303"/>
      <c r="BR1248" s="4303"/>
      <c r="BS1248" s="4303"/>
      <c r="BT1248" s="4303"/>
      <c r="BU1248" s="4303"/>
      <c r="BV1248" s="4303"/>
      <c r="BW1248" s="4303"/>
      <c r="BX1248" s="4303"/>
      <c r="BY1248" s="4303"/>
      <c r="BZ1248" s="4303"/>
      <c r="CA1248" s="4303"/>
      <c r="CB1248" s="4303"/>
      <c r="CC1248" s="4303"/>
      <c r="CD1248" s="4303"/>
      <c r="CE1248" s="4303"/>
      <c r="CF1248" s="4303"/>
      <c r="CG1248" s="4303"/>
      <c r="CH1248" s="4303"/>
      <c r="CI1248" s="4303"/>
      <c r="CJ1248" s="4303"/>
      <c r="CK1248" s="4303"/>
      <c r="CL1248" s="4303"/>
      <c r="CM1248" s="4303"/>
      <c r="CN1248" s="4303"/>
      <c r="CO1248" s="4303"/>
      <c r="CP1248" s="4303"/>
      <c r="CQ1248" s="4303"/>
      <c r="CR1248" s="4303"/>
      <c r="CS1248" s="4303"/>
      <c r="CT1248" s="4303"/>
      <c r="CU1248" s="4303"/>
      <c r="CV1248" s="4303"/>
      <c r="CW1248" s="4303"/>
      <c r="CX1248" s="4303"/>
      <c r="CY1248" s="4303"/>
      <c r="CZ1248" s="4303"/>
      <c r="DA1248" s="4303"/>
      <c r="DB1248" s="4303"/>
      <c r="DC1248" s="4303"/>
      <c r="DD1248" s="4303"/>
      <c r="DE1248" s="4303"/>
      <c r="DF1248" s="4303"/>
      <c r="DG1248" s="4303"/>
      <c r="DH1248" s="4303"/>
      <c r="DI1248" s="4303"/>
      <c r="DJ1248" s="4303"/>
      <c r="DK1248" s="4303"/>
      <c r="DL1248" s="4303"/>
      <c r="DM1248" s="4303"/>
      <c r="DN1248" s="4303"/>
      <c r="DO1248" s="4303"/>
      <c r="DP1248" s="4303"/>
      <c r="DQ1248" s="4303"/>
      <c r="DR1248" s="4303"/>
      <c r="DS1248" s="4303"/>
    </row>
    <row r="1249" s="4134" customFormat="1" ht="18.75" customHeight="1" spans="1:123">
      <c r="A1249" s="5018" t="s">
        <v>5737</v>
      </c>
      <c r="B1249" s="5018"/>
      <c r="C1249" s="5018"/>
      <c r="D1249" s="5018"/>
      <c r="E1249" s="5018"/>
      <c r="F1249" s="5026">
        <v>535</v>
      </c>
      <c r="G1249" s="5026"/>
      <c r="H1249" s="5013"/>
      <c r="I1249" s="5013"/>
      <c r="J1249" s="5013"/>
      <c r="K1249" s="5013"/>
      <c r="L1249" s="5013"/>
      <c r="M1249" s="5013"/>
      <c r="N1249" s="5013"/>
      <c r="O1249" s="5020"/>
      <c r="P1249" s="4303"/>
      <c r="Q1249" s="4303"/>
      <c r="R1249" s="4303"/>
      <c r="S1249" s="4303"/>
      <c r="T1249" s="4303"/>
      <c r="U1249" s="5021"/>
      <c r="V1249" s="5012"/>
      <c r="W1249" s="5012"/>
      <c r="X1249" s="4303"/>
      <c r="Y1249" s="4303"/>
      <c r="Z1249" s="4912" t="s">
        <v>5738</v>
      </c>
      <c r="AA1249" s="4859"/>
      <c r="AB1249" s="4859"/>
      <c r="AC1249" s="4859"/>
      <c r="AD1249" s="4859"/>
      <c r="AE1249" s="4859"/>
      <c r="AF1249" s="4859"/>
      <c r="AG1249" s="4859"/>
      <c r="AH1249" s="4859"/>
      <c r="AI1249" s="4859"/>
      <c r="AJ1249" s="4859"/>
      <c r="AK1249" s="4859"/>
      <c r="AL1249" s="4859"/>
      <c r="AM1249" s="4859"/>
      <c r="AN1249" s="4859"/>
      <c r="AO1249" s="4859"/>
      <c r="AP1249" s="4859"/>
      <c r="AQ1249" s="4859"/>
      <c r="AR1249" s="4859"/>
      <c r="AS1249" s="4859"/>
      <c r="AT1249" s="4859"/>
      <c r="AU1249" s="4859"/>
      <c r="AV1249" s="4859"/>
      <c r="AW1249" s="4303"/>
      <c r="AX1249" s="4303"/>
      <c r="AY1249" s="4303"/>
      <c r="AZ1249" s="4303"/>
      <c r="BA1249" s="4303"/>
      <c r="BB1249" s="4303"/>
      <c r="BC1249" s="4303"/>
      <c r="BD1249" s="4303"/>
      <c r="BE1249" s="4303"/>
      <c r="BF1249" s="4303"/>
      <c r="BG1249" s="4303"/>
      <c r="BH1249" s="4303"/>
      <c r="BI1249" s="4303"/>
      <c r="BJ1249" s="4303"/>
      <c r="BK1249" s="4303"/>
      <c r="BL1249" s="4303"/>
      <c r="BM1249" s="4303"/>
      <c r="BN1249" s="4303"/>
      <c r="BO1249" s="4303"/>
      <c r="BP1249" s="4303"/>
      <c r="BQ1249" s="4303"/>
      <c r="BR1249" s="4303"/>
      <c r="BS1249" s="4303"/>
      <c r="BT1249" s="4303"/>
      <c r="BU1249" s="4303"/>
      <c r="BV1249" s="4303"/>
      <c r="BW1249" s="4303"/>
      <c r="BX1249" s="4303"/>
      <c r="BY1249" s="4303"/>
      <c r="BZ1249" s="4303"/>
      <c r="CA1249" s="4303"/>
      <c r="CB1249" s="4303"/>
      <c r="CC1249" s="4303"/>
      <c r="CD1249" s="4303"/>
      <c r="CE1249" s="4303"/>
      <c r="CF1249" s="4303"/>
      <c r="CG1249" s="4303"/>
      <c r="CH1249" s="4303"/>
      <c r="CI1249" s="4303"/>
      <c r="CJ1249" s="4303"/>
      <c r="CK1249" s="4303"/>
      <c r="CL1249" s="4303"/>
      <c r="CM1249" s="4303"/>
      <c r="CN1249" s="4303"/>
      <c r="CO1249" s="4303"/>
      <c r="CP1249" s="4303"/>
      <c r="CQ1249" s="4303"/>
      <c r="CR1249" s="4303"/>
      <c r="CS1249" s="4303"/>
      <c r="CT1249" s="4303"/>
      <c r="CU1249" s="4303"/>
      <c r="CV1249" s="4303"/>
      <c r="CW1249" s="4303"/>
      <c r="CX1249" s="4303"/>
      <c r="CY1249" s="4303"/>
      <c r="CZ1249" s="4303"/>
      <c r="DA1249" s="4303"/>
      <c r="DB1249" s="4303"/>
      <c r="DC1249" s="4303"/>
      <c r="DD1249" s="4303"/>
      <c r="DE1249" s="4303"/>
      <c r="DF1249" s="4303"/>
      <c r="DG1249" s="4303"/>
      <c r="DH1249" s="4303"/>
      <c r="DI1249" s="4303"/>
      <c r="DJ1249" s="4303"/>
      <c r="DK1249" s="4303"/>
      <c r="DL1249" s="4303"/>
      <c r="DM1249" s="4303"/>
      <c r="DN1249" s="4303"/>
      <c r="DO1249" s="4303"/>
      <c r="DP1249" s="4303"/>
      <c r="DQ1249" s="4303"/>
      <c r="DR1249" s="4303"/>
      <c r="DS1249" s="4303"/>
    </row>
    <row r="1250" s="4134" customFormat="1" ht="18.75" customHeight="1" spans="1:123">
      <c r="A1250" s="5018" t="s">
        <v>5737</v>
      </c>
      <c r="B1250" s="5018"/>
      <c r="C1250" s="5018"/>
      <c r="D1250" s="5018"/>
      <c r="E1250" s="5018"/>
      <c r="F1250" s="5026">
        <v>537</v>
      </c>
      <c r="G1250" s="5026"/>
      <c r="H1250" s="5013"/>
      <c r="I1250" s="5013"/>
      <c r="J1250" s="5013"/>
      <c r="K1250" s="5013"/>
      <c r="L1250" s="5013"/>
      <c r="M1250" s="5013"/>
      <c r="N1250" s="5013"/>
      <c r="O1250" s="5020"/>
      <c r="P1250" s="4303"/>
      <c r="Q1250" s="4303"/>
      <c r="R1250" s="4303"/>
      <c r="S1250" s="4303"/>
      <c r="T1250" s="4303"/>
      <c r="U1250" s="5021"/>
      <c r="V1250" s="5012"/>
      <c r="W1250" s="5012"/>
      <c r="X1250" s="4303"/>
      <c r="Y1250" s="4303"/>
      <c r="Z1250" s="4912" t="s">
        <v>5739</v>
      </c>
      <c r="AA1250" s="4859"/>
      <c r="AB1250" s="4859"/>
      <c r="AC1250" s="4859"/>
      <c r="AD1250" s="4859"/>
      <c r="AE1250" s="4859"/>
      <c r="AF1250" s="4859"/>
      <c r="AG1250" s="4859"/>
      <c r="AH1250" s="4859"/>
      <c r="AI1250" s="4859"/>
      <c r="AJ1250" s="4859"/>
      <c r="AK1250" s="4859"/>
      <c r="AL1250" s="4859"/>
      <c r="AM1250" s="4859"/>
      <c r="AN1250" s="4859"/>
      <c r="AO1250" s="4859"/>
      <c r="AP1250" s="4859"/>
      <c r="AQ1250" s="4859"/>
      <c r="AR1250" s="4859"/>
      <c r="AS1250" s="4859"/>
      <c r="AT1250" s="4859"/>
      <c r="AU1250" s="4859"/>
      <c r="AV1250" s="4859"/>
      <c r="AW1250" s="4303"/>
      <c r="AX1250" s="4303"/>
      <c r="AY1250" s="4303"/>
      <c r="AZ1250" s="4303"/>
      <c r="BA1250" s="4303"/>
      <c r="BB1250" s="4303"/>
      <c r="BC1250" s="4303"/>
      <c r="BD1250" s="4303"/>
      <c r="BE1250" s="4303"/>
      <c r="BF1250" s="4303"/>
      <c r="BG1250" s="4303"/>
      <c r="BH1250" s="4303"/>
      <c r="BI1250" s="4303"/>
      <c r="BJ1250" s="4303"/>
      <c r="BK1250" s="4303"/>
      <c r="BL1250" s="4303"/>
      <c r="BM1250" s="4303"/>
      <c r="BN1250" s="4303"/>
      <c r="BO1250" s="4303"/>
      <c r="BP1250" s="4303"/>
      <c r="BQ1250" s="4303"/>
      <c r="BR1250" s="4303"/>
      <c r="BS1250" s="4303"/>
      <c r="BT1250" s="4303"/>
      <c r="BU1250" s="4303"/>
      <c r="BV1250" s="4303"/>
      <c r="BW1250" s="4303"/>
      <c r="BX1250" s="4303"/>
      <c r="BY1250" s="4303"/>
      <c r="BZ1250" s="4303"/>
      <c r="CA1250" s="4303"/>
      <c r="CB1250" s="4303"/>
      <c r="CC1250" s="4303"/>
      <c r="CD1250" s="4303"/>
      <c r="CE1250" s="4303"/>
      <c r="CF1250" s="4303"/>
      <c r="CG1250" s="4303"/>
      <c r="CH1250" s="4303"/>
      <c r="CI1250" s="4303"/>
      <c r="CJ1250" s="4303"/>
      <c r="CK1250" s="4303"/>
      <c r="CL1250" s="4303"/>
      <c r="CM1250" s="4303"/>
      <c r="CN1250" s="4303"/>
      <c r="CO1250" s="4303"/>
      <c r="CP1250" s="4303"/>
      <c r="CQ1250" s="4303"/>
      <c r="CR1250" s="4303"/>
      <c r="CS1250" s="4303"/>
      <c r="CT1250" s="4303"/>
      <c r="CU1250" s="4303"/>
      <c r="CV1250" s="4303"/>
      <c r="CW1250" s="4303"/>
      <c r="CX1250" s="4303"/>
      <c r="CY1250" s="4303"/>
      <c r="CZ1250" s="4303"/>
      <c r="DA1250" s="4303"/>
      <c r="DB1250" s="4303"/>
      <c r="DC1250" s="4303"/>
      <c r="DD1250" s="4303"/>
      <c r="DE1250" s="4303"/>
      <c r="DF1250" s="4303"/>
      <c r="DG1250" s="4303"/>
      <c r="DH1250" s="4303"/>
      <c r="DI1250" s="4303"/>
      <c r="DJ1250" s="4303"/>
      <c r="DK1250" s="4303"/>
      <c r="DL1250" s="4303"/>
      <c r="DM1250" s="4303"/>
      <c r="DN1250" s="4303"/>
      <c r="DO1250" s="4303"/>
      <c r="DP1250" s="4303"/>
      <c r="DQ1250" s="4303"/>
      <c r="DR1250" s="4303"/>
      <c r="DS1250" s="4303"/>
    </row>
    <row r="1251" s="4134" customFormat="1" ht="18.75" customHeight="1" spans="1:123">
      <c r="A1251" s="5018" t="s">
        <v>5737</v>
      </c>
      <c r="B1251" s="5018"/>
      <c r="C1251" s="5018"/>
      <c r="D1251" s="5018"/>
      <c r="E1251" s="5018"/>
      <c r="F1251" s="5026">
        <v>539</v>
      </c>
      <c r="G1251" s="5026"/>
      <c r="H1251" s="5013"/>
      <c r="I1251" s="5013"/>
      <c r="J1251" s="5013"/>
      <c r="K1251" s="5013"/>
      <c r="L1251" s="5013"/>
      <c r="M1251" s="5013"/>
      <c r="N1251" s="5013"/>
      <c r="O1251" s="5020"/>
      <c r="P1251" s="4303"/>
      <c r="Q1251" s="4303"/>
      <c r="R1251" s="4303"/>
      <c r="S1251" s="4303"/>
      <c r="T1251" s="4303"/>
      <c r="U1251" s="5021"/>
      <c r="V1251" s="5012"/>
      <c r="W1251" s="5012"/>
      <c r="X1251" s="4303"/>
      <c r="Y1251" s="4303"/>
      <c r="Z1251" s="4912" t="s">
        <v>5740</v>
      </c>
      <c r="AA1251" s="4859"/>
      <c r="AB1251" s="4859"/>
      <c r="AC1251" s="4859"/>
      <c r="AD1251" s="4859"/>
      <c r="AE1251" s="4859"/>
      <c r="AF1251" s="4859"/>
      <c r="AG1251" s="4859"/>
      <c r="AH1251" s="4859"/>
      <c r="AI1251" s="4859"/>
      <c r="AJ1251" s="4859"/>
      <c r="AK1251" s="4859"/>
      <c r="AL1251" s="4859"/>
      <c r="AM1251" s="4859"/>
      <c r="AN1251" s="4859"/>
      <c r="AO1251" s="4859"/>
      <c r="AP1251" s="4859"/>
      <c r="AQ1251" s="4859"/>
      <c r="AR1251" s="4859"/>
      <c r="AS1251" s="4859"/>
      <c r="AT1251" s="4859"/>
      <c r="AU1251" s="4859"/>
      <c r="AV1251" s="4859"/>
      <c r="AW1251" s="4303"/>
      <c r="AX1251" s="4303"/>
      <c r="AY1251" s="4303"/>
      <c r="AZ1251" s="4303"/>
      <c r="BA1251" s="4303"/>
      <c r="BB1251" s="4303"/>
      <c r="BC1251" s="4303"/>
      <c r="BD1251" s="4303"/>
      <c r="BE1251" s="4303"/>
      <c r="BF1251" s="4303"/>
      <c r="BG1251" s="4303"/>
      <c r="BH1251" s="4303"/>
      <c r="BI1251" s="4303"/>
      <c r="BJ1251" s="4303"/>
      <c r="BK1251" s="4303"/>
      <c r="BL1251" s="4303"/>
      <c r="BM1251" s="4303"/>
      <c r="BN1251" s="4303"/>
      <c r="BO1251" s="4303"/>
      <c r="BP1251" s="4303"/>
      <c r="BQ1251" s="4303"/>
      <c r="BR1251" s="4303"/>
      <c r="BS1251" s="4303"/>
      <c r="BT1251" s="4303"/>
      <c r="BU1251" s="4303"/>
      <c r="BV1251" s="4303"/>
      <c r="BW1251" s="4303"/>
      <c r="BX1251" s="4303"/>
      <c r="BY1251" s="4303"/>
      <c r="BZ1251" s="4303"/>
      <c r="CA1251" s="4303"/>
      <c r="CB1251" s="4303"/>
      <c r="CC1251" s="4303"/>
      <c r="CD1251" s="4303"/>
      <c r="CE1251" s="4303"/>
      <c r="CF1251" s="4303"/>
      <c r="CG1251" s="4303"/>
      <c r="CH1251" s="4303"/>
      <c r="CI1251" s="4303"/>
      <c r="CJ1251" s="4303"/>
      <c r="CK1251" s="4303"/>
      <c r="CL1251" s="4303"/>
      <c r="CM1251" s="4303"/>
      <c r="CN1251" s="4303"/>
      <c r="CO1251" s="4303"/>
      <c r="CP1251" s="4303"/>
      <c r="CQ1251" s="4303"/>
      <c r="CR1251" s="4303"/>
      <c r="CS1251" s="4303"/>
      <c r="CT1251" s="4303"/>
      <c r="CU1251" s="4303"/>
      <c r="CV1251" s="4303"/>
      <c r="CW1251" s="4303"/>
      <c r="CX1251" s="4303"/>
      <c r="CY1251" s="4303"/>
      <c r="CZ1251" s="4303"/>
      <c r="DA1251" s="4303"/>
      <c r="DB1251" s="4303"/>
      <c r="DC1251" s="4303"/>
      <c r="DD1251" s="4303"/>
      <c r="DE1251" s="4303"/>
      <c r="DF1251" s="4303"/>
      <c r="DG1251" s="4303"/>
      <c r="DH1251" s="4303"/>
      <c r="DI1251" s="4303"/>
      <c r="DJ1251" s="4303"/>
      <c r="DK1251" s="4303"/>
      <c r="DL1251" s="4303"/>
      <c r="DM1251" s="4303"/>
      <c r="DN1251" s="4303"/>
      <c r="DO1251" s="4303"/>
      <c r="DP1251" s="4303"/>
      <c r="DQ1251" s="4303"/>
      <c r="DR1251" s="4303"/>
      <c r="DS1251" s="4303"/>
    </row>
    <row r="1252" s="4134" customFormat="1" ht="18.75" customHeight="1" spans="1:123">
      <c r="A1252" s="5018" t="s">
        <v>5737</v>
      </c>
      <c r="B1252" s="5018"/>
      <c r="C1252" s="5018"/>
      <c r="D1252" s="5018"/>
      <c r="E1252" s="5018"/>
      <c r="F1252" s="5026">
        <v>541</v>
      </c>
      <c r="G1252" s="5026"/>
      <c r="H1252" s="5013"/>
      <c r="I1252" s="5013"/>
      <c r="J1252" s="5013"/>
      <c r="K1252" s="5013"/>
      <c r="L1252" s="5013"/>
      <c r="M1252" s="5013"/>
      <c r="N1252" s="5013"/>
      <c r="O1252" s="5020"/>
      <c r="P1252" s="4303"/>
      <c r="Q1252" s="4303"/>
      <c r="R1252" s="4303"/>
      <c r="S1252" s="4303"/>
      <c r="T1252" s="4303"/>
      <c r="U1252" s="5021"/>
      <c r="V1252" s="5012"/>
      <c r="W1252" s="5012"/>
      <c r="X1252" s="4303"/>
      <c r="Y1252" s="4303"/>
      <c r="Z1252" s="4912" t="s">
        <v>5741</v>
      </c>
      <c r="AA1252" s="4859"/>
      <c r="AB1252" s="4859"/>
      <c r="AC1252" s="4859"/>
      <c r="AD1252" s="4859"/>
      <c r="AE1252" s="4859"/>
      <c r="AF1252" s="4859"/>
      <c r="AG1252" s="4859"/>
      <c r="AH1252" s="4859"/>
      <c r="AI1252" s="4859"/>
      <c r="AJ1252" s="4859"/>
      <c r="AK1252" s="4859"/>
      <c r="AL1252" s="4859"/>
      <c r="AM1252" s="4859"/>
      <c r="AN1252" s="4859"/>
      <c r="AO1252" s="4859"/>
      <c r="AP1252" s="4859"/>
      <c r="AQ1252" s="4859"/>
      <c r="AR1252" s="4859"/>
      <c r="AS1252" s="4859"/>
      <c r="AT1252" s="4859"/>
      <c r="AU1252" s="4859"/>
      <c r="AV1252" s="4859"/>
      <c r="AW1252" s="4303"/>
      <c r="AX1252" s="4303"/>
      <c r="AY1252" s="4303"/>
      <c r="AZ1252" s="4303"/>
      <c r="BA1252" s="4303"/>
      <c r="BB1252" s="4303"/>
      <c r="BC1252" s="4303"/>
      <c r="BD1252" s="4303"/>
      <c r="BE1252" s="4303"/>
      <c r="BF1252" s="4303"/>
      <c r="BG1252" s="4303"/>
      <c r="BH1252" s="4303"/>
      <c r="BI1252" s="4303"/>
      <c r="BJ1252" s="4303"/>
      <c r="BK1252" s="4303"/>
      <c r="BL1252" s="4303"/>
      <c r="BM1252" s="4303"/>
      <c r="BN1252" s="4303"/>
      <c r="BO1252" s="4303"/>
      <c r="BP1252" s="4303"/>
      <c r="BQ1252" s="4303"/>
      <c r="BR1252" s="4303"/>
      <c r="BS1252" s="4303"/>
      <c r="BT1252" s="4303"/>
      <c r="BU1252" s="4303"/>
      <c r="BV1252" s="4303"/>
      <c r="BW1252" s="4303"/>
      <c r="BX1252" s="4303"/>
      <c r="BY1252" s="4303"/>
      <c r="BZ1252" s="4303"/>
      <c r="CA1252" s="4303"/>
      <c r="CB1252" s="4303"/>
      <c r="CC1252" s="4303"/>
      <c r="CD1252" s="4303"/>
      <c r="CE1252" s="4303"/>
      <c r="CF1252" s="4303"/>
      <c r="CG1252" s="4303"/>
      <c r="CH1252" s="4303"/>
      <c r="CI1252" s="4303"/>
      <c r="CJ1252" s="4303"/>
      <c r="CK1252" s="4303"/>
      <c r="CL1252" s="4303"/>
      <c r="CM1252" s="4303"/>
      <c r="CN1252" s="4303"/>
      <c r="CO1252" s="4303"/>
      <c r="CP1252" s="4303"/>
      <c r="CQ1252" s="4303"/>
      <c r="CR1252" s="4303"/>
      <c r="CS1252" s="4303"/>
      <c r="CT1252" s="4303"/>
      <c r="CU1252" s="4303"/>
      <c r="CV1252" s="4303"/>
      <c r="CW1252" s="4303"/>
      <c r="CX1252" s="4303"/>
      <c r="CY1252" s="4303"/>
      <c r="CZ1252" s="4303"/>
      <c r="DA1252" s="4303"/>
      <c r="DB1252" s="4303"/>
      <c r="DC1252" s="4303"/>
      <c r="DD1252" s="4303"/>
      <c r="DE1252" s="4303"/>
      <c r="DF1252" s="4303"/>
      <c r="DG1252" s="4303"/>
      <c r="DH1252" s="4303"/>
      <c r="DI1252" s="4303"/>
      <c r="DJ1252" s="4303"/>
      <c r="DK1252" s="4303"/>
      <c r="DL1252" s="4303"/>
      <c r="DM1252" s="4303"/>
      <c r="DN1252" s="4303"/>
      <c r="DO1252" s="4303"/>
      <c r="DP1252" s="4303"/>
      <c r="DQ1252" s="4303"/>
      <c r="DR1252" s="4303"/>
      <c r="DS1252" s="4303"/>
    </row>
    <row r="1253" s="4134" customFormat="1" ht="18.75" customHeight="1" spans="1:123">
      <c r="A1253" s="5022" t="s">
        <v>4604</v>
      </c>
      <c r="B1253" s="5012"/>
      <c r="C1253" s="5012"/>
      <c r="D1253" s="5012"/>
      <c r="E1253" s="5012"/>
      <c r="F1253" s="5012">
        <v>577</v>
      </c>
      <c r="G1253" s="5012"/>
      <c r="H1253" s="5013"/>
      <c r="I1253" s="5013"/>
      <c r="J1253" s="5013"/>
      <c r="K1253" s="5013"/>
      <c r="L1253" s="5013"/>
      <c r="M1253" s="5013"/>
      <c r="N1253" s="5013"/>
      <c r="O1253" s="5020"/>
      <c r="P1253" s="4303"/>
      <c r="Q1253" s="4303"/>
      <c r="R1253" s="4303"/>
      <c r="S1253" s="4303"/>
      <c r="T1253" s="4303"/>
      <c r="U1253" s="5021"/>
      <c r="V1253" s="5012"/>
      <c r="W1253" s="5012"/>
      <c r="X1253" s="4303"/>
      <c r="Y1253" s="4303"/>
      <c r="Z1253" s="4311" t="s">
        <v>5512</v>
      </c>
      <c r="AA1253" s="4303"/>
      <c r="AB1253" s="4303"/>
      <c r="AC1253" s="4303"/>
      <c r="AD1253" s="4303"/>
      <c r="AE1253" s="4303"/>
      <c r="AF1253" s="4303"/>
      <c r="AG1253" s="4303"/>
      <c r="AH1253" s="4303"/>
      <c r="AI1253" s="4303"/>
      <c r="AJ1253" s="4303"/>
      <c r="AK1253" s="4303"/>
      <c r="AL1253" s="4303"/>
      <c r="AM1253" s="4303"/>
      <c r="AN1253" s="4303"/>
      <c r="AO1253" s="4303"/>
      <c r="AP1253" s="4303"/>
      <c r="AQ1253" s="4303"/>
      <c r="AR1253" s="4303"/>
      <c r="AS1253" s="4303"/>
      <c r="AT1253" s="4303"/>
      <c r="AU1253" s="4303"/>
      <c r="AV1253" s="4303"/>
      <c r="AW1253" s="4303"/>
      <c r="AX1253" s="4303"/>
      <c r="AY1253" s="4303"/>
      <c r="AZ1253" s="4303"/>
      <c r="BA1253" s="4303"/>
      <c r="BB1253" s="4303"/>
      <c r="BC1253" s="4303"/>
      <c r="BD1253" s="4303"/>
      <c r="BE1253" s="4303"/>
      <c r="BF1253" s="4303"/>
      <c r="BG1253" s="4303"/>
      <c r="BH1253" s="4303"/>
      <c r="BI1253" s="4303"/>
      <c r="BJ1253" s="4303"/>
      <c r="BK1253" s="4303"/>
      <c r="BL1253" s="4303"/>
      <c r="BM1253" s="4303"/>
      <c r="BN1253" s="4303"/>
      <c r="BO1253" s="4303"/>
      <c r="BP1253" s="4303"/>
      <c r="BQ1253" s="4303"/>
      <c r="BR1253" s="4303"/>
      <c r="BS1253" s="4303"/>
      <c r="BT1253" s="4303"/>
      <c r="BU1253" s="4303"/>
      <c r="BV1253" s="4303"/>
      <c r="BW1253" s="4303"/>
      <c r="BX1253" s="4303"/>
      <c r="BY1253" s="4303"/>
      <c r="BZ1253" s="4303"/>
      <c r="CA1253" s="4303"/>
      <c r="CB1253" s="4303"/>
      <c r="CC1253" s="4303"/>
      <c r="CD1253" s="4303"/>
      <c r="CE1253" s="4303"/>
      <c r="CF1253" s="4303"/>
      <c r="CG1253" s="4303"/>
      <c r="CH1253" s="4303"/>
      <c r="CI1253" s="4303"/>
      <c r="CJ1253" s="4303"/>
      <c r="CK1253" s="4303"/>
      <c r="CL1253" s="4303"/>
      <c r="CM1253" s="4303"/>
      <c r="CN1253" s="4303"/>
      <c r="CO1253" s="4303"/>
      <c r="CP1253" s="4303"/>
      <c r="CQ1253" s="4303"/>
      <c r="CR1253" s="4303"/>
      <c r="CS1253" s="4303"/>
      <c r="CT1253" s="4303"/>
      <c r="CU1253" s="4303"/>
      <c r="CV1253" s="4303"/>
      <c r="CW1253" s="4303"/>
      <c r="CX1253" s="4303"/>
      <c r="CY1253" s="4303"/>
      <c r="CZ1253" s="4303"/>
      <c r="DA1253" s="4303"/>
      <c r="DB1253" s="4303"/>
      <c r="DC1253" s="4303"/>
      <c r="DD1253" s="4303"/>
      <c r="DE1253" s="4303"/>
      <c r="DF1253" s="4303"/>
      <c r="DG1253" s="4303"/>
      <c r="DH1253" s="4303"/>
      <c r="DI1253" s="4303"/>
      <c r="DJ1253" s="4303"/>
      <c r="DK1253" s="4303"/>
      <c r="DL1253" s="4303"/>
      <c r="DM1253" s="4303"/>
      <c r="DN1253" s="4303"/>
      <c r="DO1253" s="4303"/>
      <c r="DP1253" s="4303"/>
      <c r="DQ1253" s="4303"/>
      <c r="DR1253" s="4303"/>
      <c r="DS1253" s="4303"/>
    </row>
    <row r="1254" s="4134" customFormat="1" ht="18.75" customHeight="1" spans="1:123">
      <c r="A1254" s="5022" t="s">
        <v>4605</v>
      </c>
      <c r="B1254" s="5012"/>
      <c r="C1254" s="5012"/>
      <c r="D1254" s="5012"/>
      <c r="E1254" s="5012"/>
      <c r="F1254" s="5012">
        <v>577</v>
      </c>
      <c r="G1254" s="5012"/>
      <c r="H1254" s="5013"/>
      <c r="I1254" s="5013"/>
      <c r="J1254" s="5013"/>
      <c r="K1254" s="5013"/>
      <c r="L1254" s="5013"/>
      <c r="M1254" s="5013"/>
      <c r="N1254" s="5013"/>
      <c r="O1254" s="5020"/>
      <c r="P1254" s="4303"/>
      <c r="Q1254" s="4303"/>
      <c r="R1254" s="4303"/>
      <c r="S1254" s="4303"/>
      <c r="T1254" s="4303"/>
      <c r="U1254" s="5021"/>
      <c r="V1254" s="5012"/>
      <c r="W1254" s="5012"/>
      <c r="X1254" s="4303"/>
      <c r="Y1254" s="4303"/>
      <c r="Z1254" s="4311" t="s">
        <v>5513</v>
      </c>
      <c r="AA1254" s="4303"/>
      <c r="AB1254" s="4303"/>
      <c r="AC1254" s="4303"/>
      <c r="AD1254" s="4303"/>
      <c r="AE1254" s="4303"/>
      <c r="AF1254" s="4303"/>
      <c r="AG1254" s="4303"/>
      <c r="AH1254" s="4303"/>
      <c r="AI1254" s="4303"/>
      <c r="AJ1254" s="4303"/>
      <c r="AK1254" s="4303"/>
      <c r="AL1254" s="4303"/>
      <c r="AM1254" s="4303"/>
      <c r="AN1254" s="4303"/>
      <c r="AO1254" s="4303"/>
      <c r="AP1254" s="4303"/>
      <c r="AQ1254" s="4303"/>
      <c r="AR1254" s="4303"/>
      <c r="AS1254" s="4303"/>
      <c r="AT1254" s="4303"/>
      <c r="AU1254" s="4303"/>
      <c r="AV1254" s="4303"/>
      <c r="AW1254" s="4303"/>
      <c r="AX1254" s="4303"/>
      <c r="AY1254" s="4303"/>
      <c r="AZ1254" s="4303"/>
      <c r="BA1254" s="4303"/>
      <c r="BB1254" s="4303"/>
      <c r="BC1254" s="4303"/>
      <c r="BD1254" s="4303"/>
      <c r="BE1254" s="4303"/>
      <c r="BF1254" s="4303"/>
      <c r="BG1254" s="4303"/>
      <c r="BH1254" s="4303"/>
      <c r="BI1254" s="4303"/>
      <c r="BJ1254" s="4303"/>
      <c r="BK1254" s="4303"/>
      <c r="BL1254" s="4303"/>
      <c r="BM1254" s="4303"/>
      <c r="BN1254" s="4303"/>
      <c r="BO1254" s="4303"/>
      <c r="BP1254" s="4303"/>
      <c r="BQ1254" s="4303"/>
      <c r="BR1254" s="4303"/>
      <c r="BS1254" s="4303"/>
      <c r="BT1254" s="4303"/>
      <c r="BU1254" s="4303"/>
      <c r="BV1254" s="4303"/>
      <c r="BW1254" s="4303"/>
      <c r="BX1254" s="4303"/>
      <c r="BY1254" s="4303"/>
      <c r="BZ1254" s="4303"/>
      <c r="CA1254" s="4303"/>
      <c r="CB1254" s="4303"/>
      <c r="CC1254" s="4303"/>
      <c r="CD1254" s="4303"/>
      <c r="CE1254" s="4303"/>
      <c r="CF1254" s="4303"/>
      <c r="CG1254" s="4303"/>
      <c r="CH1254" s="4303"/>
      <c r="CI1254" s="4303"/>
      <c r="CJ1254" s="4303"/>
      <c r="CK1254" s="4303"/>
      <c r="CL1254" s="4303"/>
      <c r="CM1254" s="4303"/>
      <c r="CN1254" s="4303"/>
      <c r="CO1254" s="4303"/>
      <c r="CP1254" s="4303"/>
      <c r="CQ1254" s="4303"/>
      <c r="CR1254" s="4303"/>
      <c r="CS1254" s="4303"/>
      <c r="CT1254" s="4303"/>
      <c r="CU1254" s="4303"/>
      <c r="CV1254" s="4303"/>
      <c r="CW1254" s="4303"/>
      <c r="CX1254" s="4303"/>
      <c r="CY1254" s="4303"/>
      <c r="CZ1254" s="4303"/>
      <c r="DA1254" s="4303"/>
      <c r="DB1254" s="4303"/>
      <c r="DC1254" s="4303"/>
      <c r="DD1254" s="4303"/>
      <c r="DE1254" s="4303"/>
      <c r="DF1254" s="4303"/>
      <c r="DG1254" s="4303"/>
      <c r="DH1254" s="4303"/>
      <c r="DI1254" s="4303"/>
      <c r="DJ1254" s="4303"/>
      <c r="DK1254" s="4303"/>
      <c r="DL1254" s="4303"/>
      <c r="DM1254" s="4303"/>
      <c r="DN1254" s="4303"/>
      <c r="DO1254" s="4303"/>
      <c r="DP1254" s="4303"/>
      <c r="DQ1254" s="4303"/>
      <c r="DR1254" s="4303"/>
      <c r="DS1254" s="4303"/>
    </row>
    <row r="1255" s="4134" customFormat="1" ht="18.75" customHeight="1" spans="1:123">
      <c r="A1255" s="5010" t="s">
        <v>5527</v>
      </c>
      <c r="B1255" s="5011"/>
      <c r="C1255" s="5011"/>
      <c r="D1255" s="5011"/>
      <c r="E1255" s="5011"/>
      <c r="F1255" s="5012">
        <v>571</v>
      </c>
      <c r="G1255" s="5012"/>
      <c r="H1255" s="5013"/>
      <c r="I1255" s="5013"/>
      <c r="J1255" s="5013"/>
      <c r="K1255" s="5013"/>
      <c r="L1255" s="5013"/>
      <c r="M1255" s="5013"/>
      <c r="N1255" s="5013"/>
      <c r="O1255" s="5020"/>
      <c r="P1255" s="4303"/>
      <c r="Q1255" s="4303"/>
      <c r="R1255" s="4303"/>
      <c r="S1255" s="4303"/>
      <c r="T1255" s="4303"/>
      <c r="U1255" s="5021"/>
      <c r="V1255" s="5012"/>
      <c r="W1255" s="5012"/>
      <c r="X1255" s="4303"/>
      <c r="Y1255" s="4303"/>
      <c r="Z1255" s="4302" t="s">
        <v>5528</v>
      </c>
      <c r="AA1255" s="4303"/>
      <c r="AB1255" s="4303"/>
      <c r="AC1255" s="4303"/>
      <c r="AD1255" s="4303"/>
      <c r="AE1255" s="4303"/>
      <c r="AF1255" s="4303"/>
      <c r="AG1255" s="4303"/>
      <c r="AH1255" s="4303"/>
      <c r="AI1255" s="4303"/>
      <c r="AJ1255" s="4303"/>
      <c r="AK1255" s="4303"/>
      <c r="AL1255" s="4303"/>
      <c r="AM1255" s="4303"/>
      <c r="AN1255" s="4303"/>
      <c r="AO1255" s="4303"/>
      <c r="AP1255" s="4303"/>
      <c r="AQ1255" s="4303"/>
      <c r="AR1255" s="4303"/>
      <c r="AS1255" s="4303"/>
      <c r="AT1255" s="4303"/>
      <c r="AU1255" s="4303"/>
      <c r="AV1255" s="4303"/>
      <c r="AW1255" s="4303"/>
      <c r="AX1255" s="4303"/>
      <c r="AY1255" s="4303"/>
      <c r="AZ1255" s="4303"/>
      <c r="BA1255" s="4303"/>
      <c r="BB1255" s="4303"/>
      <c r="BC1255" s="4303"/>
      <c r="BD1255" s="4303"/>
      <c r="BE1255" s="4303"/>
      <c r="BF1255" s="4303"/>
      <c r="BG1255" s="4303"/>
      <c r="BH1255" s="4303"/>
      <c r="BI1255" s="4303"/>
      <c r="BJ1255" s="4303"/>
      <c r="BK1255" s="4303"/>
      <c r="BL1255" s="4303"/>
      <c r="BM1255" s="4303"/>
      <c r="BN1255" s="4303"/>
      <c r="BO1255" s="4303"/>
      <c r="BP1255" s="4303"/>
      <c r="BQ1255" s="4303"/>
      <c r="BR1255" s="4303"/>
      <c r="BS1255" s="4303"/>
      <c r="BT1255" s="4303"/>
      <c r="BU1255" s="4303"/>
      <c r="BV1255" s="4303"/>
      <c r="BW1255" s="4303"/>
      <c r="BX1255" s="4303"/>
      <c r="BY1255" s="4303"/>
      <c r="BZ1255" s="4303"/>
      <c r="CA1255" s="4303"/>
      <c r="CB1255" s="4303"/>
      <c r="CC1255" s="4303"/>
      <c r="CD1255" s="4303"/>
      <c r="CE1255" s="4303"/>
      <c r="CF1255" s="4303"/>
      <c r="CG1255" s="4303"/>
      <c r="CH1255" s="4303"/>
      <c r="CI1255" s="4303"/>
      <c r="CJ1255" s="4303"/>
      <c r="CK1255" s="4303"/>
      <c r="CL1255" s="4303"/>
      <c r="CM1255" s="4303"/>
      <c r="CN1255" s="4303"/>
      <c r="CO1255" s="4303"/>
      <c r="CP1255" s="4303"/>
      <c r="CQ1255" s="4303"/>
      <c r="CR1255" s="4303"/>
      <c r="CS1255" s="4303"/>
      <c r="CT1255" s="4303"/>
      <c r="CU1255" s="4303"/>
      <c r="CV1255" s="4303"/>
      <c r="CW1255" s="4303"/>
      <c r="CX1255" s="4303"/>
      <c r="CY1255" s="4303"/>
      <c r="CZ1255" s="4303"/>
      <c r="DA1255" s="4303"/>
      <c r="DB1255" s="4303"/>
      <c r="DC1255" s="4303"/>
      <c r="DD1255" s="4303"/>
      <c r="DE1255" s="4303"/>
      <c r="DF1255" s="4303"/>
      <c r="DG1255" s="4303"/>
      <c r="DH1255" s="4303"/>
      <c r="DI1255" s="4303"/>
      <c r="DJ1255" s="4303"/>
      <c r="DK1255" s="4303"/>
      <c r="DL1255" s="4303"/>
      <c r="DM1255" s="4303"/>
      <c r="DN1255" s="4303"/>
      <c r="DO1255" s="4303"/>
      <c r="DP1255" s="4303"/>
      <c r="DQ1255" s="4303"/>
      <c r="DR1255" s="4303"/>
      <c r="DS1255" s="4303"/>
    </row>
    <row r="1256" s="4134" customFormat="1" ht="18.75" customHeight="1" spans="1:123">
      <c r="A1256" s="5010" t="s">
        <v>5529</v>
      </c>
      <c r="B1256" s="5011"/>
      <c r="C1256" s="5011"/>
      <c r="D1256" s="5011"/>
      <c r="E1256" s="5011"/>
      <c r="F1256" s="5012">
        <v>573</v>
      </c>
      <c r="G1256" s="5012"/>
      <c r="H1256" s="5013"/>
      <c r="I1256" s="5013"/>
      <c r="J1256" s="5013"/>
      <c r="K1256" s="5013"/>
      <c r="L1256" s="5013"/>
      <c r="M1256" s="5013"/>
      <c r="N1256" s="5013"/>
      <c r="O1256" s="5020"/>
      <c r="P1256" s="4303"/>
      <c r="Q1256" s="4303"/>
      <c r="R1256" s="4303"/>
      <c r="S1256" s="4303"/>
      <c r="T1256" s="4303"/>
      <c r="U1256" s="5021"/>
      <c r="V1256" s="5012"/>
      <c r="W1256" s="5012"/>
      <c r="X1256" s="4303"/>
      <c r="Y1256" s="4303"/>
      <c r="Z1256" s="4302" t="s">
        <v>5530</v>
      </c>
      <c r="AA1256" s="4303"/>
      <c r="AB1256" s="4303"/>
      <c r="AC1256" s="4303"/>
      <c r="AD1256" s="4303"/>
      <c r="AE1256" s="4303"/>
      <c r="AF1256" s="4303"/>
      <c r="AG1256" s="4303"/>
      <c r="AH1256" s="4303"/>
      <c r="AI1256" s="4303"/>
      <c r="AJ1256" s="4303"/>
      <c r="AK1256" s="4303"/>
      <c r="AL1256" s="4303"/>
      <c r="AM1256" s="4303"/>
      <c r="AN1256" s="4303"/>
      <c r="AO1256" s="4303"/>
      <c r="AP1256" s="4303"/>
      <c r="AQ1256" s="4303"/>
      <c r="AR1256" s="4303"/>
      <c r="AS1256" s="4303"/>
      <c r="AT1256" s="4303"/>
      <c r="AU1256" s="4303"/>
      <c r="AV1256" s="4303"/>
      <c r="AW1256" s="4303"/>
      <c r="AX1256" s="4303"/>
      <c r="AY1256" s="4303"/>
      <c r="AZ1256" s="4303"/>
      <c r="BA1256" s="4303"/>
      <c r="BB1256" s="4303"/>
      <c r="BC1256" s="4303"/>
      <c r="BD1256" s="4303"/>
      <c r="BE1256" s="4303"/>
      <c r="BF1256" s="4303"/>
      <c r="BG1256" s="4303"/>
      <c r="BH1256" s="4303"/>
      <c r="BI1256" s="4303"/>
      <c r="BJ1256" s="4303"/>
      <c r="BK1256" s="4303"/>
      <c r="BL1256" s="4303"/>
      <c r="BM1256" s="4303"/>
      <c r="BN1256" s="4303"/>
      <c r="BO1256" s="4303"/>
      <c r="BP1256" s="4303"/>
      <c r="BQ1256" s="4303"/>
      <c r="BR1256" s="4303"/>
      <c r="BS1256" s="4303"/>
      <c r="BT1256" s="4303"/>
      <c r="BU1256" s="4303"/>
      <c r="BV1256" s="4303"/>
      <c r="BW1256" s="4303"/>
      <c r="BX1256" s="4303"/>
      <c r="BY1256" s="4303"/>
      <c r="BZ1256" s="4303"/>
      <c r="CA1256" s="4303"/>
      <c r="CB1256" s="4303"/>
      <c r="CC1256" s="4303"/>
      <c r="CD1256" s="4303"/>
      <c r="CE1256" s="4303"/>
      <c r="CF1256" s="4303"/>
      <c r="CG1256" s="4303"/>
      <c r="CH1256" s="4303"/>
      <c r="CI1256" s="4303"/>
      <c r="CJ1256" s="4303"/>
      <c r="CK1256" s="4303"/>
      <c r="CL1256" s="4303"/>
      <c r="CM1256" s="4303"/>
      <c r="CN1256" s="4303"/>
      <c r="CO1256" s="4303"/>
      <c r="CP1256" s="4303"/>
      <c r="CQ1256" s="4303"/>
      <c r="CR1256" s="4303"/>
      <c r="CS1256" s="4303"/>
      <c r="CT1256" s="4303"/>
      <c r="CU1256" s="4303"/>
      <c r="CV1256" s="4303"/>
      <c r="CW1256" s="4303"/>
      <c r="CX1256" s="4303"/>
      <c r="CY1256" s="4303"/>
      <c r="CZ1256" s="4303"/>
      <c r="DA1256" s="4303"/>
      <c r="DB1256" s="4303"/>
      <c r="DC1256" s="4303"/>
      <c r="DD1256" s="4303"/>
      <c r="DE1256" s="4303"/>
      <c r="DF1256" s="4303"/>
      <c r="DG1256" s="4303"/>
      <c r="DH1256" s="4303"/>
      <c r="DI1256" s="4303"/>
      <c r="DJ1256" s="4303"/>
      <c r="DK1256" s="4303"/>
      <c r="DL1256" s="4303"/>
      <c r="DM1256" s="4303"/>
      <c r="DN1256" s="4303"/>
      <c r="DO1256" s="4303"/>
      <c r="DP1256" s="4303"/>
      <c r="DQ1256" s="4303"/>
      <c r="DR1256" s="4303"/>
      <c r="DS1256" s="4303"/>
    </row>
    <row r="1257" s="4134" customFormat="1" ht="18.75" customHeight="1" spans="1:123">
      <c r="A1257" s="5010" t="s">
        <v>5531</v>
      </c>
      <c r="B1257" s="5011"/>
      <c r="C1257" s="5011"/>
      <c r="D1257" s="5011"/>
      <c r="E1257" s="5011"/>
      <c r="F1257" s="5012">
        <v>571</v>
      </c>
      <c r="G1257" s="5012"/>
      <c r="H1257" s="5013"/>
      <c r="I1257" s="5013"/>
      <c r="J1257" s="5013"/>
      <c r="K1257" s="5013"/>
      <c r="L1257" s="5013"/>
      <c r="M1257" s="5013"/>
      <c r="N1257" s="5013"/>
      <c r="O1257" s="5020"/>
      <c r="P1257" s="4303"/>
      <c r="Q1257" s="4303"/>
      <c r="R1257" s="4303"/>
      <c r="S1257" s="4303"/>
      <c r="T1257" s="4303"/>
      <c r="U1257" s="5021"/>
      <c r="V1257" s="5012"/>
      <c r="W1257" s="5012"/>
      <c r="X1257" s="4303"/>
      <c r="Y1257" s="4303"/>
      <c r="Z1257" s="4302" t="s">
        <v>5532</v>
      </c>
      <c r="AA1257" s="4303"/>
      <c r="AB1257" s="4303"/>
      <c r="AC1257" s="4303"/>
      <c r="AD1257" s="4303"/>
      <c r="AE1257" s="4303"/>
      <c r="AF1257" s="4303"/>
      <c r="AG1257" s="4303"/>
      <c r="AH1257" s="4303"/>
      <c r="AI1257" s="4303"/>
      <c r="AJ1257" s="4303"/>
      <c r="AK1257" s="4303"/>
      <c r="AL1257" s="4303"/>
      <c r="AM1257" s="4303"/>
      <c r="AN1257" s="4303"/>
      <c r="AO1257" s="4303"/>
      <c r="AP1257" s="4303"/>
      <c r="AQ1257" s="4303"/>
      <c r="AR1257" s="4303"/>
      <c r="AS1257" s="4303"/>
      <c r="AT1257" s="4303"/>
      <c r="AU1257" s="4303"/>
      <c r="AV1257" s="4303"/>
      <c r="AW1257" s="4303"/>
      <c r="AX1257" s="4303"/>
      <c r="AY1257" s="4303"/>
      <c r="AZ1257" s="4303"/>
      <c r="BA1257" s="4303"/>
      <c r="BB1257" s="4303"/>
      <c r="BC1257" s="4303"/>
      <c r="BD1257" s="4303"/>
      <c r="BE1257" s="4303"/>
      <c r="BF1257" s="4303"/>
      <c r="BG1257" s="4303"/>
      <c r="BH1257" s="4303"/>
      <c r="BI1257" s="4303"/>
      <c r="BJ1257" s="4303"/>
      <c r="BK1257" s="4303"/>
      <c r="BL1257" s="4303"/>
      <c r="BM1257" s="4303"/>
      <c r="BN1257" s="4303"/>
      <c r="BO1257" s="4303"/>
      <c r="BP1257" s="4303"/>
      <c r="BQ1257" s="4303"/>
      <c r="BR1257" s="4303"/>
      <c r="BS1257" s="4303"/>
      <c r="BT1257" s="4303"/>
      <c r="BU1257" s="4303"/>
      <c r="BV1257" s="4303"/>
      <c r="BW1257" s="4303"/>
      <c r="BX1257" s="4303"/>
      <c r="BY1257" s="4303"/>
      <c r="BZ1257" s="4303"/>
      <c r="CA1257" s="4303"/>
      <c r="CB1257" s="4303"/>
      <c r="CC1257" s="4303"/>
      <c r="CD1257" s="4303"/>
      <c r="CE1257" s="4303"/>
      <c r="CF1257" s="4303"/>
      <c r="CG1257" s="4303"/>
      <c r="CH1257" s="4303"/>
      <c r="CI1257" s="4303"/>
      <c r="CJ1257" s="4303"/>
      <c r="CK1257" s="4303"/>
      <c r="CL1257" s="4303"/>
      <c r="CM1257" s="4303"/>
      <c r="CN1257" s="4303"/>
      <c r="CO1257" s="4303"/>
      <c r="CP1257" s="4303"/>
      <c r="CQ1257" s="4303"/>
      <c r="CR1257" s="4303"/>
      <c r="CS1257" s="4303"/>
      <c r="CT1257" s="4303"/>
      <c r="CU1257" s="4303"/>
      <c r="CV1257" s="4303"/>
      <c r="CW1257" s="4303"/>
      <c r="CX1257" s="4303"/>
      <c r="CY1257" s="4303"/>
      <c r="CZ1257" s="4303"/>
      <c r="DA1257" s="4303"/>
      <c r="DB1257" s="4303"/>
      <c r="DC1257" s="4303"/>
      <c r="DD1257" s="4303"/>
      <c r="DE1257" s="4303"/>
      <c r="DF1257" s="4303"/>
      <c r="DG1257" s="4303"/>
      <c r="DH1257" s="4303"/>
      <c r="DI1257" s="4303"/>
      <c r="DJ1257" s="4303"/>
      <c r="DK1257" s="4303"/>
      <c r="DL1257" s="4303"/>
      <c r="DM1257" s="4303"/>
      <c r="DN1257" s="4303"/>
      <c r="DO1257" s="4303"/>
      <c r="DP1257" s="4303"/>
      <c r="DQ1257" s="4303"/>
      <c r="DR1257" s="4303"/>
      <c r="DS1257" s="4303"/>
    </row>
    <row r="1258" s="4134" customFormat="1" ht="18.75" customHeight="1" spans="1:123">
      <c r="A1258" s="5010" t="s">
        <v>5533</v>
      </c>
      <c r="B1258" s="5011"/>
      <c r="C1258" s="5011"/>
      <c r="D1258" s="5011"/>
      <c r="E1258" s="5011"/>
      <c r="F1258" s="5012">
        <v>571</v>
      </c>
      <c r="G1258" s="5012"/>
      <c r="H1258" s="5013"/>
      <c r="I1258" s="5013"/>
      <c r="J1258" s="5013"/>
      <c r="K1258" s="5013"/>
      <c r="L1258" s="5013"/>
      <c r="M1258" s="5013"/>
      <c r="N1258" s="5013"/>
      <c r="O1258" s="5020"/>
      <c r="P1258" s="4303"/>
      <c r="Q1258" s="4303"/>
      <c r="R1258" s="4303"/>
      <c r="S1258" s="4303"/>
      <c r="T1258" s="4303"/>
      <c r="U1258" s="5021"/>
      <c r="V1258" s="5012"/>
      <c r="W1258" s="5012"/>
      <c r="X1258" s="4303"/>
      <c r="Y1258" s="4303"/>
      <c r="Z1258" s="4302" t="s">
        <v>5534</v>
      </c>
      <c r="AA1258" s="4303"/>
      <c r="AB1258" s="4303"/>
      <c r="AC1258" s="4303"/>
      <c r="AD1258" s="4303"/>
      <c r="AE1258" s="4303"/>
      <c r="AF1258" s="4303"/>
      <c r="AG1258" s="4303"/>
      <c r="AH1258" s="4303"/>
      <c r="AI1258" s="4303"/>
      <c r="AJ1258" s="4303"/>
      <c r="AK1258" s="4303"/>
      <c r="AL1258" s="4303"/>
      <c r="AM1258" s="4303"/>
      <c r="AN1258" s="4303"/>
      <c r="AO1258" s="4303"/>
      <c r="AP1258" s="4303"/>
      <c r="AQ1258" s="4303"/>
      <c r="AR1258" s="4303"/>
      <c r="AS1258" s="4303"/>
      <c r="AT1258" s="4303"/>
      <c r="AU1258" s="4303"/>
      <c r="AV1258" s="4303"/>
      <c r="AW1258" s="4303"/>
      <c r="AX1258" s="4303"/>
      <c r="AY1258" s="4303"/>
      <c r="AZ1258" s="4303"/>
      <c r="BA1258" s="4303"/>
      <c r="BB1258" s="4303"/>
      <c r="BC1258" s="4303"/>
      <c r="BD1258" s="4303"/>
      <c r="BE1258" s="4303"/>
      <c r="BF1258" s="4303"/>
      <c r="BG1258" s="4303"/>
      <c r="BH1258" s="4303"/>
      <c r="BI1258" s="4303"/>
      <c r="BJ1258" s="4303"/>
      <c r="BK1258" s="4303"/>
      <c r="BL1258" s="4303"/>
      <c r="BM1258" s="4303"/>
      <c r="BN1258" s="4303"/>
      <c r="BO1258" s="4303"/>
      <c r="BP1258" s="4303"/>
      <c r="BQ1258" s="4303"/>
      <c r="BR1258" s="4303"/>
      <c r="BS1258" s="4303"/>
      <c r="BT1258" s="4303"/>
      <c r="BU1258" s="4303"/>
      <c r="BV1258" s="4303"/>
      <c r="BW1258" s="4303"/>
      <c r="BX1258" s="4303"/>
      <c r="BY1258" s="4303"/>
      <c r="BZ1258" s="4303"/>
      <c r="CA1258" s="4303"/>
      <c r="CB1258" s="4303"/>
      <c r="CC1258" s="4303"/>
      <c r="CD1258" s="4303"/>
      <c r="CE1258" s="4303"/>
      <c r="CF1258" s="4303"/>
      <c r="CG1258" s="4303"/>
      <c r="CH1258" s="4303"/>
      <c r="CI1258" s="4303"/>
      <c r="CJ1258" s="4303"/>
      <c r="CK1258" s="4303"/>
      <c r="CL1258" s="4303"/>
      <c r="CM1258" s="4303"/>
      <c r="CN1258" s="4303"/>
      <c r="CO1258" s="4303"/>
      <c r="CP1258" s="4303"/>
      <c r="CQ1258" s="4303"/>
      <c r="CR1258" s="4303"/>
      <c r="CS1258" s="4303"/>
      <c r="CT1258" s="4303"/>
      <c r="CU1258" s="4303"/>
      <c r="CV1258" s="4303"/>
      <c r="CW1258" s="4303"/>
      <c r="CX1258" s="4303"/>
      <c r="CY1258" s="4303"/>
      <c r="CZ1258" s="4303"/>
      <c r="DA1258" s="4303"/>
      <c r="DB1258" s="4303"/>
      <c r="DC1258" s="4303"/>
      <c r="DD1258" s="4303"/>
      <c r="DE1258" s="4303"/>
      <c r="DF1258" s="4303"/>
      <c r="DG1258" s="4303"/>
      <c r="DH1258" s="4303"/>
      <c r="DI1258" s="4303"/>
      <c r="DJ1258" s="4303"/>
      <c r="DK1258" s="4303"/>
      <c r="DL1258" s="4303"/>
      <c r="DM1258" s="4303"/>
      <c r="DN1258" s="4303"/>
      <c r="DO1258" s="4303"/>
      <c r="DP1258" s="4303"/>
      <c r="DQ1258" s="4303"/>
      <c r="DR1258" s="4303"/>
      <c r="DS1258" s="4303"/>
    </row>
    <row r="1259" s="4134" customFormat="1" ht="18.75" customHeight="1" spans="1:123">
      <c r="A1259" s="5022" t="s">
        <v>5537</v>
      </c>
      <c r="B1259" s="5012"/>
      <c r="C1259" s="5012"/>
      <c r="D1259" s="5012"/>
      <c r="E1259" s="5012"/>
      <c r="F1259" s="5012">
        <v>568</v>
      </c>
      <c r="G1259" s="5012"/>
      <c r="H1259" s="5013"/>
      <c r="I1259" s="5013"/>
      <c r="J1259" s="5013"/>
      <c r="K1259" s="5013"/>
      <c r="L1259" s="5013"/>
      <c r="M1259" s="5013"/>
      <c r="N1259" s="5013"/>
      <c r="O1259" s="5020"/>
      <c r="P1259" s="4303"/>
      <c r="Q1259" s="4303"/>
      <c r="R1259" s="4303"/>
      <c r="S1259" s="4303"/>
      <c r="T1259" s="4303"/>
      <c r="U1259" s="5021"/>
      <c r="V1259" s="5012"/>
      <c r="W1259" s="5012"/>
      <c r="X1259" s="4303"/>
      <c r="Y1259" s="4303"/>
      <c r="Z1259" s="4311" t="s">
        <v>5538</v>
      </c>
      <c r="AA1259" s="4303"/>
      <c r="AB1259" s="4303"/>
      <c r="AC1259" s="4303"/>
      <c r="AD1259" s="4303"/>
      <c r="AE1259" s="4303"/>
      <c r="AF1259" s="4303"/>
      <c r="AG1259" s="4303"/>
      <c r="AH1259" s="4303"/>
      <c r="AI1259" s="4303"/>
      <c r="AJ1259" s="4303"/>
      <c r="AK1259" s="4303"/>
      <c r="AL1259" s="4303"/>
      <c r="AM1259" s="4303"/>
      <c r="AN1259" s="4303"/>
      <c r="AO1259" s="4303"/>
      <c r="AP1259" s="4303"/>
      <c r="AQ1259" s="4303"/>
      <c r="AR1259" s="4303"/>
      <c r="AS1259" s="4303"/>
      <c r="AT1259" s="4303"/>
      <c r="AU1259" s="4303"/>
      <c r="AV1259" s="4303"/>
      <c r="AW1259" s="4303"/>
      <c r="AX1259" s="4303"/>
      <c r="AY1259" s="4303"/>
      <c r="AZ1259" s="4303"/>
      <c r="BA1259" s="4303"/>
      <c r="BB1259" s="4303"/>
      <c r="BC1259" s="4303"/>
      <c r="BD1259" s="4303"/>
      <c r="BE1259" s="4303"/>
      <c r="BF1259" s="4303"/>
      <c r="BG1259" s="4303"/>
      <c r="BH1259" s="4303"/>
      <c r="BI1259" s="4303"/>
      <c r="BJ1259" s="4303"/>
      <c r="BK1259" s="4303"/>
      <c r="BL1259" s="4303"/>
      <c r="BM1259" s="4303"/>
      <c r="BN1259" s="4303"/>
      <c r="BO1259" s="4303"/>
      <c r="BP1259" s="4303"/>
      <c r="BQ1259" s="4303"/>
      <c r="BR1259" s="4303"/>
      <c r="BS1259" s="4303"/>
      <c r="BT1259" s="4303"/>
      <c r="BU1259" s="4303"/>
      <c r="BV1259" s="4303"/>
      <c r="BW1259" s="4303"/>
      <c r="BX1259" s="4303"/>
      <c r="BY1259" s="4303"/>
      <c r="BZ1259" s="4303"/>
      <c r="CA1259" s="4303"/>
      <c r="CB1259" s="4303"/>
      <c r="CC1259" s="4303"/>
      <c r="CD1259" s="4303"/>
      <c r="CE1259" s="4303"/>
      <c r="CF1259" s="4303"/>
      <c r="CG1259" s="4303"/>
      <c r="CH1259" s="4303"/>
      <c r="CI1259" s="4303"/>
      <c r="CJ1259" s="4303"/>
      <c r="CK1259" s="4303"/>
      <c r="CL1259" s="4303"/>
      <c r="CM1259" s="4303"/>
      <c r="CN1259" s="4303"/>
      <c r="CO1259" s="4303"/>
      <c r="CP1259" s="4303"/>
      <c r="CQ1259" s="4303"/>
      <c r="CR1259" s="4303"/>
      <c r="CS1259" s="4303"/>
      <c r="CT1259" s="4303"/>
      <c r="CU1259" s="4303"/>
      <c r="CV1259" s="4303"/>
      <c r="CW1259" s="4303"/>
      <c r="CX1259" s="4303"/>
      <c r="CY1259" s="4303"/>
      <c r="CZ1259" s="4303"/>
      <c r="DA1259" s="4303"/>
      <c r="DB1259" s="4303"/>
      <c r="DC1259" s="4303"/>
      <c r="DD1259" s="4303"/>
      <c r="DE1259" s="4303"/>
      <c r="DF1259" s="4303"/>
      <c r="DG1259" s="4303"/>
      <c r="DH1259" s="4303"/>
      <c r="DI1259" s="4303"/>
      <c r="DJ1259" s="4303"/>
      <c r="DK1259" s="4303"/>
      <c r="DL1259" s="4303"/>
      <c r="DM1259" s="4303"/>
      <c r="DN1259" s="4303"/>
      <c r="DO1259" s="4303"/>
      <c r="DP1259" s="4303"/>
      <c r="DQ1259" s="4303"/>
      <c r="DR1259" s="4303"/>
      <c r="DS1259" s="4303"/>
    </row>
    <row r="1260" s="4134" customFormat="1" ht="18.75" customHeight="1" spans="1:123">
      <c r="A1260" s="5022" t="s">
        <v>5539</v>
      </c>
      <c r="B1260" s="5012"/>
      <c r="C1260" s="5012"/>
      <c r="D1260" s="5012"/>
      <c r="E1260" s="5012"/>
      <c r="F1260" s="5012">
        <v>568</v>
      </c>
      <c r="G1260" s="5012"/>
      <c r="H1260" s="5013"/>
      <c r="I1260" s="5013"/>
      <c r="J1260" s="5013"/>
      <c r="K1260" s="5013"/>
      <c r="L1260" s="5013"/>
      <c r="M1260" s="5013"/>
      <c r="N1260" s="5013"/>
      <c r="O1260" s="5020"/>
      <c r="P1260" s="4303"/>
      <c r="Q1260" s="4303"/>
      <c r="R1260" s="4303"/>
      <c r="S1260" s="4303"/>
      <c r="T1260" s="4303"/>
      <c r="U1260" s="5021"/>
      <c r="V1260" s="5012"/>
      <c r="W1260" s="5012"/>
      <c r="X1260" s="4303"/>
      <c r="Y1260" s="4303"/>
      <c r="Z1260" s="4311" t="s">
        <v>5540</v>
      </c>
      <c r="AA1260" s="4303"/>
      <c r="AB1260" s="4303"/>
      <c r="AC1260" s="4303"/>
      <c r="AD1260" s="4303"/>
      <c r="AE1260" s="4303"/>
      <c r="AF1260" s="4303"/>
      <c r="AG1260" s="4303"/>
      <c r="AH1260" s="4303"/>
      <c r="AI1260" s="4303"/>
      <c r="AJ1260" s="4303"/>
      <c r="AK1260" s="4303"/>
      <c r="AL1260" s="4303"/>
      <c r="AM1260" s="4303"/>
      <c r="AN1260" s="4303"/>
      <c r="AO1260" s="4303"/>
      <c r="AP1260" s="4303"/>
      <c r="AQ1260" s="4303"/>
      <c r="AR1260" s="4303"/>
      <c r="AS1260" s="4303"/>
      <c r="AT1260" s="4303"/>
      <c r="AU1260" s="4303"/>
      <c r="AV1260" s="4303"/>
      <c r="AW1260" s="4303"/>
      <c r="AX1260" s="4303"/>
      <c r="AY1260" s="4303"/>
      <c r="AZ1260" s="4303"/>
      <c r="BA1260" s="4303"/>
      <c r="BB1260" s="4303"/>
      <c r="BC1260" s="4303"/>
      <c r="BD1260" s="4303"/>
      <c r="BE1260" s="4303"/>
      <c r="BF1260" s="4303"/>
      <c r="BG1260" s="4303"/>
      <c r="BH1260" s="4303"/>
      <c r="BI1260" s="4303"/>
      <c r="BJ1260" s="4303"/>
      <c r="BK1260" s="4303"/>
      <c r="BL1260" s="4303"/>
      <c r="BM1260" s="4303"/>
      <c r="BN1260" s="4303"/>
      <c r="BO1260" s="4303"/>
      <c r="BP1260" s="4303"/>
      <c r="BQ1260" s="4303"/>
      <c r="BR1260" s="4303"/>
      <c r="BS1260" s="4303"/>
      <c r="BT1260" s="4303"/>
      <c r="BU1260" s="4303"/>
      <c r="BV1260" s="4303"/>
      <c r="BW1260" s="4303"/>
      <c r="BX1260" s="4303"/>
      <c r="BY1260" s="4303"/>
      <c r="BZ1260" s="4303"/>
      <c r="CA1260" s="4303"/>
      <c r="CB1260" s="4303"/>
      <c r="CC1260" s="4303"/>
      <c r="CD1260" s="4303"/>
      <c r="CE1260" s="4303"/>
      <c r="CF1260" s="4303"/>
      <c r="CG1260" s="4303"/>
      <c r="CH1260" s="4303"/>
      <c r="CI1260" s="4303"/>
      <c r="CJ1260" s="4303"/>
      <c r="CK1260" s="4303"/>
      <c r="CL1260" s="4303"/>
      <c r="CM1260" s="4303"/>
      <c r="CN1260" s="4303"/>
      <c r="CO1260" s="4303"/>
      <c r="CP1260" s="4303"/>
      <c r="CQ1260" s="4303"/>
      <c r="CR1260" s="4303"/>
      <c r="CS1260" s="4303"/>
      <c r="CT1260" s="4303"/>
      <c r="CU1260" s="4303"/>
      <c r="CV1260" s="4303"/>
      <c r="CW1260" s="4303"/>
      <c r="CX1260" s="4303"/>
      <c r="CY1260" s="4303"/>
      <c r="CZ1260" s="4303"/>
      <c r="DA1260" s="4303"/>
      <c r="DB1260" s="4303"/>
      <c r="DC1260" s="4303"/>
      <c r="DD1260" s="4303"/>
      <c r="DE1260" s="4303"/>
      <c r="DF1260" s="4303"/>
      <c r="DG1260" s="4303"/>
      <c r="DH1260" s="4303"/>
      <c r="DI1260" s="4303"/>
      <c r="DJ1260" s="4303"/>
      <c r="DK1260" s="4303"/>
      <c r="DL1260" s="4303"/>
      <c r="DM1260" s="4303"/>
      <c r="DN1260" s="4303"/>
      <c r="DO1260" s="4303"/>
      <c r="DP1260" s="4303"/>
      <c r="DQ1260" s="4303"/>
      <c r="DR1260" s="4303"/>
      <c r="DS1260" s="4303"/>
    </row>
    <row r="1261" s="4134" customFormat="1" ht="18.75" customHeight="1" spans="1:123">
      <c r="A1261" s="5027" t="s">
        <v>5742</v>
      </c>
      <c r="B1261" s="5027"/>
      <c r="C1261" s="5027"/>
      <c r="D1261" s="5027"/>
      <c r="E1261" s="5027"/>
      <c r="F1261" s="5028"/>
      <c r="G1261" s="5028"/>
      <c r="H1261" s="5029"/>
      <c r="I1261" s="4564"/>
      <c r="J1261" s="4564"/>
      <c r="K1261" s="4564"/>
      <c r="L1261" s="4564"/>
      <c r="M1261" s="4564"/>
      <c r="N1261" s="4564"/>
      <c r="O1261" s="5030"/>
      <c r="P1261" s="5030"/>
      <c r="Q1261" s="5030"/>
      <c r="R1261" s="5030"/>
      <c r="S1261" s="5030"/>
      <c r="T1261" s="5030"/>
      <c r="U1261" s="5030"/>
      <c r="V1261" s="5012">
        <v>581</v>
      </c>
      <c r="W1261" s="5012"/>
      <c r="X1261" s="4303"/>
      <c r="Y1261" s="4303"/>
      <c r="Z1261" s="4939" t="s">
        <v>5743</v>
      </c>
      <c r="AA1261" s="4303"/>
      <c r="AB1261" s="4303"/>
      <c r="AC1261" s="4303"/>
      <c r="AD1261" s="4303"/>
      <c r="AE1261" s="4303"/>
      <c r="AF1261" s="4303"/>
      <c r="AG1261" s="4303"/>
      <c r="AH1261" s="4303"/>
      <c r="AI1261" s="4303"/>
      <c r="AJ1261" s="4303"/>
      <c r="AK1261" s="4303"/>
      <c r="AL1261" s="4303"/>
      <c r="AM1261" s="4303"/>
      <c r="AN1261" s="4303"/>
      <c r="AO1261" s="4303"/>
      <c r="AP1261" s="4303"/>
      <c r="AQ1261" s="4303"/>
      <c r="AR1261" s="4303"/>
      <c r="AS1261" s="4303"/>
      <c r="AT1261" s="4303"/>
      <c r="AU1261" s="4303"/>
      <c r="AV1261" s="4303"/>
      <c r="AW1261" s="4303"/>
      <c r="AX1261" s="4303"/>
      <c r="AY1261" s="4303"/>
      <c r="AZ1261" s="4303"/>
      <c r="BA1261" s="4303"/>
      <c r="BB1261" s="4303"/>
      <c r="BC1261" s="4303"/>
      <c r="BD1261" s="4303"/>
      <c r="BE1261" s="4303"/>
      <c r="BF1261" s="4303"/>
      <c r="BG1261" s="4303"/>
      <c r="BH1261" s="4303"/>
      <c r="BI1261" s="4303"/>
      <c r="BJ1261" s="4303"/>
      <c r="BK1261" s="4303"/>
      <c r="BL1261" s="4303"/>
      <c r="BM1261" s="4303"/>
      <c r="BN1261" s="4303"/>
      <c r="BO1261" s="4303"/>
      <c r="BP1261" s="4303"/>
      <c r="BQ1261" s="4303"/>
      <c r="BR1261" s="4303"/>
      <c r="BS1261" s="4303"/>
      <c r="BT1261" s="4303"/>
      <c r="BU1261" s="4303"/>
      <c r="BV1261" s="4303"/>
      <c r="BW1261" s="4303"/>
      <c r="BX1261" s="4303"/>
      <c r="BY1261" s="4303"/>
      <c r="BZ1261" s="4303"/>
      <c r="CA1261" s="4303"/>
      <c r="CB1261" s="4303"/>
      <c r="CC1261" s="4303"/>
      <c r="CD1261" s="4303"/>
      <c r="CE1261" s="4303"/>
      <c r="CF1261" s="4303"/>
      <c r="CG1261" s="4303"/>
      <c r="CH1261" s="4303"/>
      <c r="CI1261" s="4303"/>
      <c r="CJ1261" s="4303"/>
      <c r="CK1261" s="4303"/>
      <c r="CL1261" s="4303"/>
      <c r="CM1261" s="4303"/>
      <c r="CN1261" s="4303"/>
      <c r="CO1261" s="4303"/>
      <c r="CP1261" s="4303"/>
      <c r="CQ1261" s="4303"/>
      <c r="CR1261" s="4303"/>
      <c r="CS1261" s="4303"/>
      <c r="CT1261" s="4303"/>
      <c r="CU1261" s="4303"/>
      <c r="CV1261" s="4303"/>
      <c r="CW1261" s="4303"/>
      <c r="CX1261" s="4303"/>
      <c r="CY1261" s="4303"/>
      <c r="CZ1261" s="4303"/>
      <c r="DA1261" s="4303"/>
      <c r="DB1261" s="4303"/>
      <c r="DC1261" s="4303"/>
      <c r="DD1261" s="4303"/>
      <c r="DE1261" s="4303"/>
      <c r="DF1261" s="4303"/>
      <c r="DG1261" s="4303"/>
      <c r="DH1261" s="4303"/>
      <c r="DI1261" s="4303"/>
      <c r="DJ1261" s="4303"/>
      <c r="DK1261" s="4303"/>
      <c r="DL1261" s="4303"/>
      <c r="DM1261" s="4303"/>
      <c r="DN1261" s="4303"/>
      <c r="DO1261" s="4303"/>
      <c r="DP1261" s="4303"/>
      <c r="DQ1261" s="4303"/>
      <c r="DR1261" s="4303"/>
      <c r="DS1261" s="4303"/>
    </row>
    <row r="1262" s="4134" customFormat="1" ht="18.75" customHeight="1" spans="1:123">
      <c r="A1262" s="5027" t="s">
        <v>5744</v>
      </c>
      <c r="B1262" s="5027"/>
      <c r="C1262" s="5027"/>
      <c r="D1262" s="5027"/>
      <c r="E1262" s="5027"/>
      <c r="F1262" s="5028">
        <v>581</v>
      </c>
      <c r="G1262" s="5028"/>
      <c r="H1262" s="5013"/>
      <c r="I1262" s="5013"/>
      <c r="J1262" s="5013"/>
      <c r="K1262" s="5013"/>
      <c r="L1262" s="5013"/>
      <c r="M1262" s="5013"/>
      <c r="N1262" s="5013"/>
      <c r="O1262" s="5031"/>
      <c r="P1262" s="5032"/>
      <c r="Q1262" s="5032"/>
      <c r="R1262" s="5032"/>
      <c r="S1262" s="5032"/>
      <c r="T1262" s="5032"/>
      <c r="U1262" s="5032"/>
      <c r="V1262" s="4903"/>
      <c r="W1262" s="4903"/>
      <c r="X1262" s="4303"/>
      <c r="Y1262" s="4303"/>
      <c r="Z1262" s="4939" t="s">
        <v>5745</v>
      </c>
      <c r="AA1262" s="4303"/>
      <c r="AB1262" s="4303"/>
      <c r="AC1262" s="4303"/>
      <c r="AD1262" s="4303"/>
      <c r="AE1262" s="4303"/>
      <c r="AF1262" s="4303"/>
      <c r="AG1262" s="4303"/>
      <c r="AH1262" s="4303"/>
      <c r="AI1262" s="4303"/>
      <c r="AJ1262" s="4303"/>
      <c r="AK1262" s="4303"/>
      <c r="AL1262" s="4303"/>
      <c r="AM1262" s="4303"/>
      <c r="AN1262" s="4303"/>
      <c r="AO1262" s="4303"/>
      <c r="AP1262" s="4303"/>
      <c r="AQ1262" s="4303"/>
      <c r="AR1262" s="4303"/>
      <c r="AS1262" s="4303"/>
      <c r="AT1262" s="4303"/>
      <c r="AU1262" s="4303"/>
      <c r="AV1262" s="4303"/>
      <c r="AW1262" s="4303"/>
      <c r="AX1262" s="4303"/>
      <c r="AY1262" s="4303"/>
      <c r="AZ1262" s="4303"/>
      <c r="BA1262" s="4303"/>
      <c r="BB1262" s="4303"/>
      <c r="BC1262" s="4303"/>
      <c r="BD1262" s="4303"/>
      <c r="BE1262" s="4303"/>
      <c r="BF1262" s="4303"/>
      <c r="BG1262" s="4303"/>
      <c r="BH1262" s="4303"/>
      <c r="BI1262" s="4303"/>
      <c r="BJ1262" s="4303"/>
      <c r="BK1262" s="4303"/>
      <c r="BL1262" s="4303"/>
      <c r="BM1262" s="4303"/>
      <c r="BN1262" s="4303"/>
      <c r="BO1262" s="4303"/>
      <c r="BP1262" s="4303"/>
      <c r="BQ1262" s="4303"/>
      <c r="BR1262" s="4303"/>
      <c r="BS1262" s="4303"/>
      <c r="BT1262" s="4303"/>
      <c r="BU1262" s="4303"/>
      <c r="BV1262" s="4303"/>
      <c r="BW1262" s="4303"/>
      <c r="BX1262" s="4303"/>
      <c r="BY1262" s="4303"/>
      <c r="BZ1262" s="4303"/>
      <c r="CA1262" s="4303"/>
      <c r="CB1262" s="4303"/>
      <c r="CC1262" s="4303"/>
      <c r="CD1262" s="4303"/>
      <c r="CE1262" s="4303"/>
      <c r="CF1262" s="4303"/>
      <c r="CG1262" s="4303"/>
      <c r="CH1262" s="4303"/>
      <c r="CI1262" s="4303"/>
      <c r="CJ1262" s="4303"/>
      <c r="CK1262" s="4303"/>
      <c r="CL1262" s="4303"/>
      <c r="CM1262" s="4303"/>
      <c r="CN1262" s="4303"/>
      <c r="CO1262" s="4303"/>
      <c r="CP1262" s="4303"/>
      <c r="CQ1262" s="4303"/>
      <c r="CR1262" s="4303"/>
      <c r="CS1262" s="4303"/>
      <c r="CT1262" s="4303"/>
      <c r="CU1262" s="4303"/>
      <c r="CV1262" s="4303"/>
      <c r="CW1262" s="4303"/>
      <c r="CX1262" s="4303"/>
      <c r="CY1262" s="4303"/>
      <c r="CZ1262" s="4303"/>
      <c r="DA1262" s="4303"/>
      <c r="DB1262" s="4303"/>
      <c r="DC1262" s="4303"/>
      <c r="DD1262" s="4303"/>
      <c r="DE1262" s="4303"/>
      <c r="DF1262" s="4303"/>
      <c r="DG1262" s="4303"/>
      <c r="DH1262" s="4303"/>
      <c r="DI1262" s="4303"/>
      <c r="DJ1262" s="4303"/>
      <c r="DK1262" s="4303"/>
      <c r="DL1262" s="4303"/>
      <c r="DM1262" s="4303"/>
      <c r="DN1262" s="4303"/>
      <c r="DO1262" s="4303"/>
      <c r="DP1262" s="4303"/>
      <c r="DQ1262" s="4303"/>
      <c r="DR1262" s="4303"/>
      <c r="DS1262" s="4303"/>
    </row>
    <row r="1263" s="4134" customFormat="1" ht="18.75" customHeight="1" spans="1:123">
      <c r="A1263" s="5033" t="s">
        <v>5746</v>
      </c>
      <c r="B1263" s="5033"/>
      <c r="C1263" s="5033"/>
      <c r="D1263" s="5033"/>
      <c r="E1263" s="5033"/>
      <c r="F1263" s="5028">
        <v>563</v>
      </c>
      <c r="G1263" s="5028"/>
      <c r="H1263" s="5013"/>
      <c r="I1263" s="5013"/>
      <c r="J1263" s="5013"/>
      <c r="K1263" s="5013"/>
      <c r="L1263" s="5013"/>
      <c r="M1263" s="5013"/>
      <c r="N1263" s="5013"/>
      <c r="O1263" s="5030">
        <v>0</v>
      </c>
      <c r="P1263" s="5030"/>
      <c r="Q1263" s="5030"/>
      <c r="R1263" s="5030"/>
      <c r="S1263" s="5030"/>
      <c r="T1263" s="5030"/>
      <c r="U1263" s="5030"/>
      <c r="V1263" s="5012">
        <v>562</v>
      </c>
      <c r="W1263" s="5012"/>
      <c r="X1263" s="4303"/>
      <c r="Y1263" s="4303"/>
      <c r="Z1263" s="4943" t="s">
        <v>5767</v>
      </c>
      <c r="AA1263" s="4303"/>
      <c r="AB1263" s="4303"/>
      <c r="AC1263" s="4303"/>
      <c r="AD1263" s="4303"/>
      <c r="AE1263" s="4303"/>
      <c r="AF1263" s="4303"/>
      <c r="AG1263" s="4303"/>
      <c r="AH1263" s="4303"/>
      <c r="AI1263" s="4303"/>
      <c r="AJ1263" s="4303"/>
      <c r="AK1263" s="4303"/>
      <c r="AL1263" s="4303"/>
      <c r="AM1263" s="4303"/>
      <c r="AN1263" s="4303"/>
      <c r="AO1263" s="4303"/>
      <c r="AP1263" s="4303"/>
      <c r="AQ1263" s="4303"/>
      <c r="AR1263" s="4303"/>
      <c r="AS1263" s="4303"/>
      <c r="AT1263" s="4303"/>
      <c r="AU1263" s="4303"/>
      <c r="AV1263" s="4303"/>
      <c r="AW1263" s="4303"/>
      <c r="AX1263" s="4303"/>
      <c r="AY1263" s="4303"/>
      <c r="AZ1263" s="4303"/>
      <c r="BA1263" s="4303"/>
      <c r="BB1263" s="4303"/>
      <c r="BC1263" s="4303"/>
      <c r="BD1263" s="4303"/>
      <c r="BE1263" s="4303"/>
      <c r="BF1263" s="4303"/>
      <c r="BG1263" s="4303"/>
      <c r="BH1263" s="4303"/>
      <c r="BI1263" s="4303"/>
      <c r="BJ1263" s="4303"/>
      <c r="BK1263" s="4303"/>
      <c r="BL1263" s="4303"/>
      <c r="BM1263" s="4303"/>
      <c r="BN1263" s="4303"/>
      <c r="BO1263" s="4303"/>
      <c r="BP1263" s="4303"/>
      <c r="BQ1263" s="4303"/>
      <c r="BR1263" s="4303"/>
      <c r="BS1263" s="4303"/>
      <c r="BT1263" s="4303"/>
      <c r="BU1263" s="4303"/>
      <c r="BV1263" s="4303"/>
      <c r="BW1263" s="4303"/>
      <c r="BX1263" s="4303"/>
      <c r="BY1263" s="4303"/>
      <c r="BZ1263" s="4303"/>
      <c r="CA1263" s="4303"/>
      <c r="CB1263" s="4303"/>
      <c r="CC1263" s="4303"/>
      <c r="CD1263" s="4303"/>
      <c r="CE1263" s="4303"/>
      <c r="CF1263" s="4303"/>
      <c r="CG1263" s="4303"/>
      <c r="CH1263" s="4303"/>
      <c r="CI1263" s="4303"/>
      <c r="CJ1263" s="4303"/>
      <c r="CK1263" s="4303"/>
      <c r="CL1263" s="4303"/>
      <c r="CM1263" s="4303"/>
      <c r="CN1263" s="4303"/>
      <c r="CO1263" s="4303"/>
      <c r="CP1263" s="4303"/>
      <c r="CQ1263" s="4303"/>
      <c r="CR1263" s="4303"/>
      <c r="CS1263" s="4303"/>
      <c r="CT1263" s="4303"/>
      <c r="CU1263" s="4303"/>
      <c r="CV1263" s="4303"/>
      <c r="CW1263" s="4303"/>
      <c r="CX1263" s="4303"/>
      <c r="CY1263" s="4303"/>
      <c r="CZ1263" s="4303"/>
      <c r="DA1263" s="4303"/>
      <c r="DB1263" s="4303"/>
      <c r="DC1263" s="4303"/>
      <c r="DD1263" s="4303"/>
      <c r="DE1263" s="4303"/>
      <c r="DF1263" s="4303"/>
      <c r="DG1263" s="4303"/>
      <c r="DH1263" s="4303"/>
      <c r="DI1263" s="4303"/>
      <c r="DJ1263" s="4303"/>
      <c r="DK1263" s="4303"/>
      <c r="DL1263" s="4303"/>
      <c r="DM1263" s="4303"/>
      <c r="DN1263" s="4303"/>
      <c r="DO1263" s="4303"/>
      <c r="DP1263" s="4303"/>
      <c r="DQ1263" s="4303"/>
      <c r="DR1263" s="4303"/>
      <c r="DS1263" s="4303"/>
    </row>
    <row r="1264" s="4134" customFormat="1" ht="18.75" customHeight="1" spans="1:123">
      <c r="A1264" s="5033" t="s">
        <v>5768</v>
      </c>
      <c r="B1264" s="5033"/>
      <c r="C1264" s="5033"/>
      <c r="D1264" s="5033"/>
      <c r="E1264" s="5033"/>
      <c r="F1264" s="5028">
        <v>577</v>
      </c>
      <c r="G1264" s="5028"/>
      <c r="H1264" s="5013"/>
      <c r="I1264" s="5013"/>
      <c r="J1264" s="5013"/>
      <c r="K1264" s="5013"/>
      <c r="L1264" s="5013"/>
      <c r="M1264" s="5013"/>
      <c r="N1264" s="5013"/>
      <c r="O1264" s="5030"/>
      <c r="P1264" s="5030"/>
      <c r="Q1264" s="5030"/>
      <c r="R1264" s="5030"/>
      <c r="S1264" s="5030"/>
      <c r="T1264" s="5030"/>
      <c r="U1264" s="5030"/>
      <c r="V1264" s="5012">
        <v>576</v>
      </c>
      <c r="W1264" s="5012"/>
      <c r="X1264" s="4303"/>
      <c r="Y1264" s="4303"/>
      <c r="Z1264" s="4943" t="s">
        <v>5769</v>
      </c>
      <c r="AA1264" s="4303"/>
      <c r="AB1264" s="4303"/>
      <c r="AC1264" s="4303"/>
      <c r="AD1264" s="4303"/>
      <c r="AE1264" s="4303"/>
      <c r="AF1264" s="4303"/>
      <c r="AG1264" s="4303"/>
      <c r="AH1264" s="4303"/>
      <c r="AI1264" s="4303"/>
      <c r="AJ1264" s="4303"/>
      <c r="AK1264" s="4303"/>
      <c r="AL1264" s="4303"/>
      <c r="AM1264" s="4303"/>
      <c r="AN1264" s="4303"/>
      <c r="AO1264" s="4303"/>
      <c r="AP1264" s="4303"/>
      <c r="AQ1264" s="4303"/>
      <c r="AR1264" s="4303"/>
      <c r="AS1264" s="4303"/>
      <c r="AT1264" s="4303"/>
      <c r="AU1264" s="4303"/>
      <c r="AV1264" s="4303"/>
      <c r="AW1264" s="4303"/>
      <c r="AX1264" s="4303"/>
      <c r="AY1264" s="4303"/>
      <c r="AZ1264" s="4303"/>
      <c r="BA1264" s="4303"/>
      <c r="BB1264" s="4303"/>
      <c r="BC1264" s="4303"/>
      <c r="BD1264" s="4303"/>
      <c r="BE1264" s="4303"/>
      <c r="BF1264" s="4303"/>
      <c r="BG1264" s="4303"/>
      <c r="BH1264" s="4303"/>
      <c r="BI1264" s="4303"/>
      <c r="BJ1264" s="4303"/>
      <c r="BK1264" s="4303"/>
      <c r="BL1264" s="4303"/>
      <c r="BM1264" s="4303"/>
      <c r="BN1264" s="4303"/>
      <c r="BO1264" s="4303"/>
      <c r="BP1264" s="4303"/>
      <c r="BQ1264" s="4303"/>
      <c r="BR1264" s="4303"/>
      <c r="BS1264" s="4303"/>
      <c r="BT1264" s="4303"/>
      <c r="BU1264" s="4303"/>
      <c r="BV1264" s="4303"/>
      <c r="BW1264" s="4303"/>
      <c r="BX1264" s="4303"/>
      <c r="BY1264" s="4303"/>
      <c r="BZ1264" s="4303"/>
      <c r="CA1264" s="4303"/>
      <c r="CB1264" s="4303"/>
      <c r="CC1264" s="4303"/>
      <c r="CD1264" s="4303"/>
      <c r="CE1264" s="4303"/>
      <c r="CF1264" s="4303"/>
      <c r="CG1264" s="4303"/>
      <c r="CH1264" s="4303"/>
      <c r="CI1264" s="4303"/>
      <c r="CJ1264" s="4303"/>
      <c r="CK1264" s="4303"/>
      <c r="CL1264" s="4303"/>
      <c r="CM1264" s="4303"/>
      <c r="CN1264" s="4303"/>
      <c r="CO1264" s="4303"/>
      <c r="CP1264" s="4303"/>
      <c r="CQ1264" s="4303"/>
      <c r="CR1264" s="4303"/>
      <c r="CS1264" s="4303"/>
      <c r="CT1264" s="4303"/>
      <c r="CU1264" s="4303"/>
      <c r="CV1264" s="4303"/>
      <c r="CW1264" s="4303"/>
      <c r="CX1264" s="4303"/>
      <c r="CY1264" s="4303"/>
      <c r="CZ1264" s="4303"/>
      <c r="DA1264" s="4303"/>
      <c r="DB1264" s="4303"/>
      <c r="DC1264" s="4303"/>
      <c r="DD1264" s="4303"/>
      <c r="DE1264" s="4303"/>
      <c r="DF1264" s="4303"/>
      <c r="DG1264" s="4303"/>
      <c r="DH1264" s="4303"/>
      <c r="DI1264" s="4303"/>
      <c r="DJ1264" s="4303"/>
      <c r="DK1264" s="4303"/>
      <c r="DL1264" s="4303"/>
      <c r="DM1264" s="4303"/>
      <c r="DN1264" s="4303"/>
      <c r="DO1264" s="4303"/>
      <c r="DP1264" s="4303"/>
      <c r="DQ1264" s="4303"/>
      <c r="DR1264" s="4303"/>
      <c r="DS1264" s="4303"/>
    </row>
    <row r="1265" s="4134" customFormat="1" ht="18.75" customHeight="1" spans="1:125">
      <c r="A1265" s="5034" t="s">
        <v>5667</v>
      </c>
      <c r="B1265" s="5034"/>
      <c r="C1265" s="5034"/>
      <c r="D1265" s="5034"/>
      <c r="E1265" s="5034"/>
      <c r="F1265" s="5028"/>
      <c r="G1265" s="5028"/>
      <c r="H1265" s="5035">
        <f>H1188+SUM(H1200:N1264)-SUM(H1249:N1252)</f>
        <v>107153</v>
      </c>
      <c r="I1265" s="5035"/>
      <c r="J1265" s="5035"/>
      <c r="K1265" s="5035"/>
      <c r="L1265" s="5035"/>
      <c r="M1265" s="5035"/>
      <c r="N1265" s="5035"/>
      <c r="O1265" s="5036">
        <f>O1188+SUM(O1200:U1264)-SUM(O1212:U1216)</f>
        <v>0</v>
      </c>
      <c r="P1265" s="5036"/>
      <c r="Q1265" s="5036"/>
      <c r="R1265" s="5036"/>
      <c r="S1265" s="5036"/>
      <c r="T1265" s="5036"/>
      <c r="U1265" s="5036"/>
      <c r="V1265" s="5012"/>
      <c r="W1265" s="5012"/>
      <c r="X1265" s="4303"/>
      <c r="Y1265" s="4303"/>
      <c r="Z1265" s="4939"/>
      <c r="AA1265" s="4303"/>
      <c r="AB1265" s="4303"/>
      <c r="AC1265" s="4303"/>
      <c r="AD1265" s="4303"/>
      <c r="AE1265" s="4303"/>
      <c r="AF1265" s="4303"/>
      <c r="AG1265" s="4303"/>
      <c r="AH1265" s="4303"/>
      <c r="AI1265" s="4303"/>
      <c r="AJ1265" s="4303"/>
      <c r="AK1265" s="4303"/>
      <c r="AL1265" s="4303"/>
      <c r="AM1265" s="4303"/>
      <c r="AN1265" s="4303"/>
      <c r="AO1265" s="4303"/>
      <c r="AP1265" s="4303"/>
      <c r="AQ1265" s="4303"/>
      <c r="AR1265" s="4303"/>
      <c r="AS1265" s="4303"/>
      <c r="AT1265" s="4303"/>
      <c r="AU1265" s="4303"/>
      <c r="AV1265" s="4303"/>
      <c r="AW1265" s="4303"/>
      <c r="AX1265" s="4303"/>
      <c r="AY1265" s="4303"/>
      <c r="AZ1265" s="4303"/>
      <c r="BA1265" s="4303"/>
      <c r="BB1265" s="4303"/>
      <c r="BC1265" s="4303"/>
      <c r="BD1265" s="4303"/>
      <c r="BE1265" s="4303"/>
      <c r="BF1265" s="4303"/>
      <c r="BG1265" s="4303"/>
      <c r="BH1265" s="4303"/>
      <c r="BI1265" s="4303"/>
      <c r="BJ1265" s="4303"/>
      <c r="BK1265" s="4303"/>
      <c r="BL1265" s="4303"/>
      <c r="BM1265" s="4303"/>
      <c r="BN1265" s="4303"/>
      <c r="BO1265" s="4303"/>
      <c r="BP1265" s="4303"/>
      <c r="BQ1265" s="4303"/>
      <c r="BR1265" s="4303"/>
      <c r="BS1265" s="4303"/>
      <c r="BT1265" s="4303"/>
      <c r="BU1265" s="4303"/>
      <c r="BV1265" s="4303"/>
      <c r="BW1265" s="4303"/>
      <c r="BX1265" s="4303"/>
      <c r="BY1265" s="4303"/>
      <c r="BZ1265" s="4303"/>
      <c r="CA1265" s="4303"/>
      <c r="CB1265" s="4303"/>
      <c r="CC1265" s="4303"/>
      <c r="CD1265" s="4303"/>
      <c r="CE1265" s="4303"/>
      <c r="CF1265" s="4303"/>
      <c r="CG1265" s="4303"/>
      <c r="CH1265" s="4303"/>
      <c r="CI1265" s="4303"/>
      <c r="CJ1265" s="4303"/>
      <c r="CK1265" s="4303"/>
      <c r="CL1265" s="4303"/>
      <c r="CM1265" s="4303"/>
      <c r="CN1265" s="4303"/>
      <c r="CO1265" s="4303"/>
      <c r="CP1265" s="4303"/>
      <c r="CQ1265" s="4303"/>
      <c r="CR1265" s="4303"/>
      <c r="CS1265" s="4303"/>
      <c r="CT1265" s="4303"/>
      <c r="CU1265" s="4303"/>
      <c r="CV1265" s="4303"/>
      <c r="CW1265" s="4303"/>
      <c r="CX1265" s="4303"/>
      <c r="CY1265" s="4303"/>
      <c r="CZ1265" s="4303"/>
      <c r="DA1265" s="4303"/>
      <c r="DB1265" s="4303"/>
      <c r="DC1265" s="4303"/>
      <c r="DD1265" s="4303"/>
      <c r="DE1265" s="4303"/>
      <c r="DF1265" s="4303"/>
      <c r="DG1265" s="4303"/>
      <c r="DH1265" s="4303"/>
      <c r="DI1265" s="4303"/>
      <c r="DJ1265" s="4303"/>
      <c r="DK1265" s="4303"/>
      <c r="DL1265" s="4303"/>
      <c r="DM1265" s="4303"/>
      <c r="DN1265" s="4303"/>
      <c r="DO1265" s="4303"/>
      <c r="DP1265" s="4303"/>
      <c r="DQ1265" s="4303"/>
      <c r="DR1265" s="4303"/>
      <c r="DS1265" s="4303"/>
    </row>
    <row r="1266" s="4134" customFormat="1" ht="18.75" customHeight="1" spans="1:125">
      <c r="A1266" s="5037" t="s">
        <v>5748</v>
      </c>
      <c r="B1266" s="5037"/>
      <c r="C1266" s="5037"/>
      <c r="D1266" s="5037"/>
      <c r="E1266" s="5037"/>
      <c r="F1266" s="5028">
        <v>531</v>
      </c>
      <c r="G1266" s="5038"/>
      <c r="H1266" s="5039">
        <f>IF(H1265-O1265-(H1268-H1269)&gt;0,0,(H1265-O1265-(H1268-H1269))*-1)</f>
        <v>0</v>
      </c>
      <c r="I1266" s="5040"/>
      <c r="J1266" s="5040"/>
      <c r="K1266" s="5040"/>
      <c r="L1266" s="5040"/>
      <c r="M1266" s="5040"/>
      <c r="N1266" s="5041"/>
      <c r="O1266" s="5042">
        <f>IF(H1265-O1265-(H1268-H1269)&lt;0,0,H1265-O1265-(H1268-H1269))</f>
        <v>109433</v>
      </c>
      <c r="P1266" s="5043"/>
      <c r="Q1266" s="5043"/>
      <c r="R1266" s="5043"/>
      <c r="S1266" s="5043"/>
      <c r="T1266" s="5043"/>
      <c r="U1266" s="5043"/>
      <c r="V1266" s="5028">
        <v>531</v>
      </c>
      <c r="W1266" s="5028"/>
      <c r="X1266" s="4303"/>
      <c r="Y1266" s="4303"/>
      <c r="Z1266" s="4943" t="s">
        <v>5770</v>
      </c>
      <c r="AA1266" s="4303"/>
      <c r="AB1266" s="4303"/>
      <c r="AC1266" s="4303"/>
      <c r="AD1266" s="4303"/>
      <c r="AE1266" s="4303"/>
      <c r="AF1266" s="4303"/>
      <c r="AG1266" s="4303"/>
      <c r="AH1266" s="4303"/>
      <c r="AI1266" s="4303"/>
      <c r="AJ1266" s="4303"/>
      <c r="AK1266" s="4303"/>
      <c r="AL1266" s="4303"/>
      <c r="AM1266" s="4303"/>
      <c r="AN1266" s="4303"/>
      <c r="AO1266" s="4303"/>
      <c r="AP1266" s="4303"/>
      <c r="AQ1266" s="4303"/>
      <c r="AR1266" s="4303"/>
      <c r="AS1266" s="4303"/>
      <c r="AT1266" s="4303"/>
      <c r="AU1266" s="4303"/>
      <c r="AV1266" s="4303"/>
      <c r="AW1266" s="4303"/>
      <c r="AX1266" s="4303"/>
      <c r="AY1266" s="4303"/>
      <c r="AZ1266" s="4303"/>
      <c r="BA1266" s="4303"/>
      <c r="BB1266" s="4303"/>
      <c r="BC1266" s="4303"/>
      <c r="BD1266" s="4303"/>
      <c r="BE1266" s="4303"/>
      <c r="BF1266" s="4303"/>
      <c r="BG1266" s="4303"/>
      <c r="BH1266" s="4303"/>
      <c r="BI1266" s="4303"/>
      <c r="BJ1266" s="4303"/>
      <c r="BK1266" s="4303"/>
      <c r="BL1266" s="4303"/>
      <c r="BM1266" s="4303"/>
      <c r="BN1266" s="4303"/>
      <c r="BO1266" s="4303"/>
      <c r="BP1266" s="4303"/>
      <c r="BQ1266" s="4303"/>
      <c r="BR1266" s="4303"/>
      <c r="BS1266" s="4303"/>
      <c r="BT1266" s="4303"/>
      <c r="BU1266" s="4303"/>
      <c r="BV1266" s="4303"/>
      <c r="BW1266" s="4303"/>
      <c r="BX1266" s="4303"/>
      <c r="BY1266" s="4303"/>
      <c r="BZ1266" s="4303"/>
      <c r="CA1266" s="4303"/>
      <c r="CB1266" s="4303"/>
      <c r="CC1266" s="4303"/>
      <c r="CD1266" s="4303"/>
      <c r="CE1266" s="4303"/>
      <c r="CF1266" s="4303"/>
      <c r="CG1266" s="4303"/>
      <c r="CH1266" s="4303"/>
      <c r="CI1266" s="4303"/>
      <c r="CJ1266" s="4303"/>
      <c r="CK1266" s="4303"/>
      <c r="CL1266" s="4303"/>
      <c r="CM1266" s="4303"/>
      <c r="CN1266" s="4303"/>
      <c r="CO1266" s="4303"/>
      <c r="CP1266" s="4303"/>
      <c r="CQ1266" s="4303"/>
      <c r="CR1266" s="4303"/>
      <c r="CS1266" s="4303"/>
      <c r="CT1266" s="4303"/>
      <c r="CU1266" s="4303"/>
      <c r="CV1266" s="4303"/>
      <c r="CW1266" s="4303"/>
      <c r="CX1266" s="4303"/>
      <c r="CY1266" s="4303"/>
      <c r="CZ1266" s="4303"/>
      <c r="DA1266" s="4303"/>
      <c r="DB1266" s="4303"/>
      <c r="DC1266" s="4303"/>
      <c r="DD1266" s="4303"/>
      <c r="DE1266" s="4303"/>
      <c r="DF1266" s="4303"/>
      <c r="DG1266" s="4303"/>
      <c r="DH1266" s="4303"/>
      <c r="DI1266" s="4303"/>
      <c r="DJ1266" s="4303"/>
      <c r="DK1266" s="4303"/>
      <c r="DL1266" s="4303"/>
      <c r="DM1266" s="4303"/>
      <c r="DN1266" s="4303"/>
      <c r="DO1266" s="4303"/>
      <c r="DP1266" s="4303"/>
      <c r="DQ1266" s="4303"/>
      <c r="DR1266" s="4303"/>
      <c r="DS1266" s="4303"/>
    </row>
    <row r="1267" s="4134" customFormat="1" ht="18.75" customHeight="1" spans="1:125">
      <c r="A1267" s="5044"/>
      <c r="B1267" s="5044"/>
      <c r="C1267" s="5044"/>
      <c r="D1267" s="5044"/>
      <c r="E1267" s="5044"/>
      <c r="F1267" s="4965"/>
      <c r="G1267" s="4965"/>
      <c r="H1267" s="5045"/>
      <c r="I1267" s="5045"/>
      <c r="J1267" s="5045"/>
      <c r="K1267" s="5045"/>
      <c r="L1267" s="5045"/>
      <c r="M1267" s="5045"/>
      <c r="N1267" s="5045"/>
      <c r="O1267" s="5046"/>
      <c r="P1267" s="5046"/>
      <c r="Q1267" s="5046"/>
      <c r="R1267" s="5046"/>
      <c r="S1267" s="5046"/>
      <c r="T1267" s="4965"/>
      <c r="U1267" s="4965"/>
      <c r="V1267" s="5047"/>
      <c r="W1267" s="5047"/>
      <c r="X1267" s="4965"/>
      <c r="Y1267" s="4965"/>
      <c r="Z1267" s="4939"/>
      <c r="AA1267" s="4303"/>
      <c r="AB1267" s="4303"/>
      <c r="AC1267" s="4303"/>
      <c r="AD1267" s="4303"/>
      <c r="AE1267" s="4303"/>
      <c r="AF1267" s="4303"/>
      <c r="AG1267" s="4303"/>
      <c r="AH1267" s="4303"/>
      <c r="AI1267" s="4303"/>
      <c r="AJ1267" s="4303"/>
      <c r="AK1267" s="4303"/>
      <c r="AL1267" s="4303"/>
      <c r="AM1267" s="4303"/>
      <c r="AN1267" s="4303"/>
      <c r="AO1267" s="4303"/>
      <c r="AP1267" s="4303"/>
      <c r="AQ1267" s="4303"/>
      <c r="AR1267" s="4303"/>
      <c r="AS1267" s="4303"/>
      <c r="AT1267" s="4303"/>
      <c r="AU1267" s="4303"/>
      <c r="AV1267" s="4303"/>
      <c r="AW1267" s="4303"/>
      <c r="AX1267" s="4303"/>
      <c r="AY1267" s="4303"/>
      <c r="AZ1267" s="4303"/>
      <c r="BA1267" s="4303"/>
      <c r="BB1267" s="4303"/>
      <c r="BC1267" s="4303"/>
      <c r="BD1267" s="4303"/>
      <c r="BE1267" s="4303"/>
      <c r="BF1267" s="4303"/>
      <c r="BG1267" s="4303"/>
      <c r="BH1267" s="4303"/>
      <c r="BI1267" s="4303"/>
      <c r="BJ1267" s="4303"/>
      <c r="BK1267" s="4303"/>
      <c r="BL1267" s="4303"/>
      <c r="BM1267" s="4303"/>
      <c r="BN1267" s="4303"/>
      <c r="BO1267" s="4303"/>
      <c r="BP1267" s="4303"/>
      <c r="BQ1267" s="4303"/>
      <c r="BR1267" s="4303"/>
      <c r="BS1267" s="4303"/>
      <c r="BT1267" s="4303"/>
      <c r="BU1267" s="4303"/>
      <c r="BV1267" s="4303"/>
      <c r="BW1267" s="4303"/>
      <c r="BX1267" s="4303"/>
      <c r="BY1267" s="4303"/>
      <c r="BZ1267" s="4303"/>
      <c r="CA1267" s="4303"/>
      <c r="CB1267" s="4303"/>
      <c r="CC1267" s="4303"/>
      <c r="CD1267" s="4303"/>
      <c r="CE1267" s="4303"/>
      <c r="CF1267" s="4303"/>
      <c r="CG1267" s="4303"/>
      <c r="CH1267" s="4303"/>
      <c r="CI1267" s="4303"/>
      <c r="CJ1267" s="4303"/>
      <c r="CK1267" s="4303"/>
      <c r="CL1267" s="4303"/>
      <c r="CM1267" s="4303"/>
      <c r="CN1267" s="4303"/>
      <c r="CO1267" s="4303"/>
      <c r="CP1267" s="4303"/>
      <c r="CQ1267" s="4303"/>
      <c r="CR1267" s="4303"/>
      <c r="CS1267" s="4303"/>
      <c r="CT1267" s="4303"/>
      <c r="CU1267" s="4303"/>
      <c r="CV1267" s="4303"/>
      <c r="CW1267" s="4303"/>
      <c r="CX1267" s="4303"/>
      <c r="CY1267" s="4303"/>
      <c r="CZ1267" s="4303"/>
      <c r="DA1267" s="4303"/>
      <c r="DB1267" s="4303"/>
      <c r="DC1267" s="4303"/>
      <c r="DD1267" s="4303"/>
      <c r="DE1267" s="4303"/>
      <c r="DF1267" s="4303"/>
      <c r="DG1267" s="4303"/>
      <c r="DH1267" s="4303"/>
      <c r="DI1267" s="4303"/>
      <c r="DJ1267" s="4303"/>
      <c r="DK1267" s="4303"/>
      <c r="DL1267" s="4303"/>
      <c r="DM1267" s="4303"/>
      <c r="DN1267" s="4303"/>
      <c r="DO1267" s="4303"/>
      <c r="DP1267" s="4303"/>
      <c r="DQ1267" s="4303"/>
      <c r="DR1267" s="4303"/>
      <c r="DS1267" s="4303"/>
    </row>
    <row r="1268" s="4134" customFormat="1" ht="18.75" customHeight="1" spans="1:125">
      <c r="A1268" s="5048" t="str">
        <f>"Stanje grupe 20 : "&amp;PeriodOd</f>
        <v>Stanje grupe 20 : 01.01.2025</v>
      </c>
      <c r="B1268" s="4960"/>
      <c r="C1268" s="4960"/>
      <c r="D1268" s="4960"/>
      <c r="E1268" s="4960"/>
      <c r="F1268" s="4960"/>
      <c r="G1268" s="5049"/>
      <c r="H1268" s="5050">
        <f>B_Stanja!AP80</f>
        <v>47</v>
      </c>
      <c r="I1268" s="5051"/>
      <c r="J1268" s="5051"/>
      <c r="K1268" s="5051"/>
      <c r="L1268" s="5051"/>
      <c r="M1268" s="5051"/>
      <c r="N1268" s="5052"/>
      <c r="O1268" s="5046"/>
      <c r="P1268" s="5046"/>
      <c r="Q1268" s="5046"/>
      <c r="R1268" s="5046"/>
      <c r="S1268" s="5046"/>
      <c r="T1268" s="4965"/>
      <c r="U1268" s="4965"/>
      <c r="V1268" s="4965"/>
      <c r="W1268" s="4965"/>
      <c r="X1268" s="4965"/>
      <c r="Y1268" s="4965"/>
      <c r="Z1268" s="4939" t="s">
        <v>5750</v>
      </c>
      <c r="AA1268" s="4303"/>
      <c r="AB1268" s="4303"/>
      <c r="AC1268" s="4303"/>
      <c r="AD1268" s="4303"/>
      <c r="AE1268" s="4303"/>
      <c r="AF1268" s="4303"/>
      <c r="AG1268" s="4303"/>
      <c r="AH1268" s="4303"/>
      <c r="AI1268" s="4303"/>
      <c r="AJ1268" s="4303"/>
      <c r="AK1268" s="4303"/>
      <c r="AL1268" s="4303"/>
      <c r="AM1268" s="4303"/>
      <c r="AN1268" s="4303"/>
      <c r="AO1268" s="4303"/>
      <c r="AP1268" s="4303"/>
      <c r="AQ1268" s="4303"/>
      <c r="AR1268" s="4303"/>
      <c r="AS1268" s="4303"/>
      <c r="AT1268" s="4303"/>
      <c r="AU1268" s="4303"/>
      <c r="AV1268" s="4303"/>
      <c r="AW1268" s="4303"/>
      <c r="AX1268" s="4303"/>
      <c r="AY1268" s="4303"/>
      <c r="AZ1268" s="4303"/>
      <c r="BA1268" s="4303"/>
      <c r="BB1268" s="4303"/>
      <c r="BC1268" s="4303"/>
      <c r="BD1268" s="4303"/>
      <c r="BE1268" s="4303"/>
      <c r="BF1268" s="4303"/>
      <c r="BG1268" s="4303"/>
      <c r="BH1268" s="4303"/>
      <c r="BI1268" s="4303"/>
      <c r="BJ1268" s="4303"/>
      <c r="BK1268" s="4303"/>
      <c r="BL1268" s="4303"/>
      <c r="BM1268" s="4303"/>
      <c r="BN1268" s="4303"/>
      <c r="BO1268" s="4303"/>
      <c r="BP1268" s="4303"/>
      <c r="BQ1268" s="4303"/>
      <c r="BR1268" s="4303"/>
      <c r="BS1268" s="4303"/>
      <c r="BT1268" s="4303"/>
      <c r="BU1268" s="4303"/>
      <c r="BV1268" s="4303"/>
      <c r="BW1268" s="4303"/>
      <c r="BX1268" s="4303"/>
      <c r="BY1268" s="4303"/>
      <c r="BZ1268" s="4303"/>
      <c r="CA1268" s="4303"/>
      <c r="CB1268" s="4303"/>
      <c r="CC1268" s="4303"/>
      <c r="CD1268" s="4303"/>
      <c r="CE1268" s="4303"/>
      <c r="CF1268" s="4303"/>
      <c r="CG1268" s="4303"/>
      <c r="CH1268" s="4303"/>
      <c r="CI1268" s="4303"/>
      <c r="CJ1268" s="4303"/>
      <c r="CK1268" s="4303"/>
      <c r="CL1268" s="4303"/>
      <c r="CM1268" s="4303"/>
      <c r="CN1268" s="4303"/>
      <c r="CO1268" s="4303"/>
      <c r="CP1268" s="4303"/>
      <c r="CQ1268" s="4303"/>
      <c r="CR1268" s="4303"/>
      <c r="CS1268" s="4303"/>
      <c r="CT1268" s="4303"/>
      <c r="CU1268" s="4303"/>
      <c r="CV1268" s="4303"/>
      <c r="CW1268" s="4303"/>
      <c r="CX1268" s="4303"/>
      <c r="CY1268" s="4303"/>
      <c r="CZ1268" s="4303"/>
      <c r="DA1268" s="4303"/>
      <c r="DB1268" s="4303"/>
      <c r="DC1268" s="4303"/>
      <c r="DD1268" s="4303"/>
      <c r="DE1268" s="4303"/>
      <c r="DF1268" s="4303"/>
      <c r="DG1268" s="4303"/>
      <c r="DH1268" s="4303"/>
      <c r="DI1268" s="4303"/>
      <c r="DJ1268" s="4303"/>
      <c r="DK1268" s="4303"/>
      <c r="DL1268" s="4303"/>
      <c r="DM1268" s="4303"/>
      <c r="DN1268" s="4303"/>
      <c r="DO1268" s="4303"/>
      <c r="DP1268" s="4303"/>
      <c r="DQ1268" s="4303"/>
      <c r="DR1268" s="4303"/>
      <c r="DS1268" s="4303"/>
    </row>
    <row r="1269" s="4134" customFormat="1" ht="18.75" customHeight="1" spans="1:125">
      <c r="A1269" s="5048" t="str">
        <f ca="1">"Stanje grupe 20 : "&amp;PeriodDo</f>
        <v>Stanje grupe 20 : 31.12.2025</v>
      </c>
      <c r="B1269" s="4960"/>
      <c r="C1269" s="4960"/>
      <c r="D1269" s="4960"/>
      <c r="E1269" s="4960"/>
      <c r="F1269" s="4960"/>
      <c r="G1269" s="5049"/>
      <c r="H1269" s="5053">
        <f>B_Stanja!AI80</f>
        <v>2327</v>
      </c>
      <c r="I1269" s="5054"/>
      <c r="J1269" s="5054"/>
      <c r="K1269" s="5054"/>
      <c r="L1269" s="5054"/>
      <c r="M1269" s="5054"/>
      <c r="N1269" s="5055"/>
      <c r="O1269" s="5046"/>
      <c r="P1269" s="5046"/>
      <c r="Q1269" s="5046"/>
      <c r="R1269" s="5046"/>
      <c r="S1269" s="5046"/>
      <c r="T1269" s="4965"/>
      <c r="U1269" s="4965"/>
      <c r="V1269" s="4965"/>
      <c r="W1269" s="4965"/>
      <c r="X1269" s="4965"/>
      <c r="Y1269" s="4965"/>
      <c r="Z1269" s="4939" t="s">
        <v>5751</v>
      </c>
      <c r="AA1269" s="4303"/>
      <c r="AB1269" s="4303"/>
      <c r="AC1269" s="4303"/>
      <c r="AD1269" s="4303"/>
      <c r="AE1269" s="4303"/>
      <c r="AF1269" s="4303"/>
      <c r="AG1269" s="4303"/>
      <c r="AH1269" s="4303"/>
      <c r="AI1269" s="4303"/>
      <c r="AJ1269" s="4303"/>
      <c r="AK1269" s="4303"/>
      <c r="AL1269" s="4303"/>
      <c r="AM1269" s="4303"/>
      <c r="AN1269" s="4303"/>
      <c r="AO1269" s="4303"/>
      <c r="AP1269" s="4303"/>
      <c r="AQ1269" s="4303"/>
      <c r="AR1269" s="4303"/>
      <c r="AS1269" s="4303"/>
      <c r="AT1269" s="4303"/>
      <c r="AU1269" s="4303"/>
      <c r="AV1269" s="4303"/>
      <c r="AW1269" s="4303"/>
      <c r="AX1269" s="4303"/>
      <c r="AY1269" s="4303"/>
      <c r="AZ1269" s="4303"/>
      <c r="BA1269" s="4303"/>
      <c r="BB1269" s="4303"/>
      <c r="BC1269" s="4303"/>
      <c r="BD1269" s="4303"/>
      <c r="BE1269" s="4303"/>
      <c r="BF1269" s="4303"/>
      <c r="BG1269" s="4303"/>
      <c r="BH1269" s="4303"/>
      <c r="BI1269" s="4303"/>
      <c r="BJ1269" s="4303"/>
      <c r="BK1269" s="4303"/>
      <c r="BL1269" s="4303"/>
      <c r="BM1269" s="4303"/>
      <c r="BN1269" s="4303"/>
      <c r="BO1269" s="4303"/>
      <c r="BP1269" s="4303"/>
      <c r="BQ1269" s="4303"/>
      <c r="BR1269" s="4303"/>
      <c r="BS1269" s="4303"/>
      <c r="BT1269" s="4303"/>
      <c r="BU1269" s="4303"/>
      <c r="BV1269" s="4303"/>
      <c r="BW1269" s="4303"/>
      <c r="BX1269" s="4303"/>
      <c r="BY1269" s="4303"/>
      <c r="BZ1269" s="4303"/>
      <c r="CA1269" s="4303"/>
      <c r="CB1269" s="4303"/>
      <c r="CC1269" s="4303"/>
      <c r="CD1269" s="4303"/>
      <c r="CE1269" s="4303"/>
      <c r="CF1269" s="4303"/>
      <c r="CG1269" s="4303"/>
      <c r="CH1269" s="4303"/>
      <c r="CI1269" s="4303"/>
      <c r="CJ1269" s="4303"/>
      <c r="CK1269" s="4303"/>
      <c r="CL1269" s="4303"/>
      <c r="CM1269" s="4303"/>
      <c r="CN1269" s="4303"/>
      <c r="CO1269" s="4303"/>
      <c r="CP1269" s="4303"/>
      <c r="CQ1269" s="4303"/>
      <c r="CR1269" s="4303"/>
      <c r="CS1269" s="4303"/>
      <c r="CT1269" s="4303"/>
      <c r="CU1269" s="4303"/>
      <c r="CV1269" s="4303"/>
      <c r="CW1269" s="4303"/>
      <c r="CX1269" s="4303"/>
      <c r="CY1269" s="4303"/>
      <c r="CZ1269" s="4303"/>
      <c r="DA1269" s="4303"/>
      <c r="DB1269" s="4303"/>
      <c r="DC1269" s="4303"/>
      <c r="DD1269" s="4303"/>
      <c r="DE1269" s="4303"/>
      <c r="DF1269" s="4303"/>
      <c r="DG1269" s="4303"/>
      <c r="DH1269" s="4303"/>
      <c r="DI1269" s="4303"/>
      <c r="DJ1269" s="4303"/>
      <c r="DK1269" s="4303"/>
      <c r="DL1269" s="4303"/>
      <c r="DM1269" s="4303"/>
      <c r="DN1269" s="4303"/>
      <c r="DO1269" s="4303"/>
      <c r="DP1269" s="4303"/>
      <c r="DQ1269" s="4303"/>
      <c r="DR1269" s="4303"/>
      <c r="DS1269" s="4303"/>
    </row>
    <row r="1270" s="679" customFormat="1" ht="18.75" customHeight="1" spans="1:125">
      <c r="A1270" s="4965"/>
      <c r="B1270" s="4965"/>
      <c r="C1270" s="4965"/>
      <c r="D1270" s="4965"/>
      <c r="E1270" s="4965"/>
      <c r="F1270" s="4965"/>
      <c r="G1270" s="4965"/>
      <c r="H1270" s="4964">
        <f>GotTok_Indirekt!AI113</f>
        <v>0</v>
      </c>
      <c r="I1270" s="4964"/>
      <c r="J1270" s="4964"/>
      <c r="K1270" s="4964"/>
      <c r="L1270" s="4964"/>
      <c r="M1270" s="4964"/>
      <c r="N1270" s="4964"/>
      <c r="O1270" s="4965"/>
      <c r="P1270" s="4965"/>
      <c r="Q1270" s="4965"/>
      <c r="R1270" s="4965"/>
      <c r="S1270" s="4965"/>
      <c r="T1270" s="4965"/>
      <c r="U1270" s="4965"/>
      <c r="V1270" s="4965"/>
      <c r="W1270" s="4965"/>
      <c r="X1270" s="4965"/>
      <c r="Y1270" s="4965"/>
      <c r="Z1270" s="4965"/>
      <c r="AA1270" s="4292"/>
      <c r="AB1270" s="4292"/>
      <c r="AC1270" s="4292"/>
      <c r="AD1270" s="4292"/>
      <c r="AE1270" s="4292"/>
      <c r="AF1270" s="4292"/>
      <c r="AG1270" s="4292"/>
      <c r="AH1270" s="4292"/>
      <c r="AI1270" s="4292"/>
      <c r="AJ1270" s="4292"/>
      <c r="AK1270" s="4292"/>
      <c r="AL1270" s="4292"/>
      <c r="AM1270" s="4292"/>
      <c r="AN1270" s="4292"/>
      <c r="AO1270" s="4292"/>
      <c r="AP1270" s="4292"/>
      <c r="AQ1270" s="4292"/>
      <c r="AR1270" s="4292"/>
      <c r="AS1270" s="4292"/>
      <c r="AT1270" s="4303"/>
      <c r="AU1270" s="4303"/>
      <c r="AV1270" s="4303"/>
      <c r="AW1270" s="4303"/>
      <c r="AX1270" s="4303"/>
      <c r="AY1270" s="4303"/>
      <c r="AZ1270" s="4303"/>
      <c r="BA1270" s="4303"/>
      <c r="BB1270" s="4303"/>
      <c r="BC1270" s="4303"/>
      <c r="BD1270" s="4303"/>
      <c r="BE1270" s="4303"/>
      <c r="BF1270" s="4303"/>
      <c r="BG1270" s="4303"/>
      <c r="BH1270" s="4303"/>
      <c r="BI1270" s="4303"/>
      <c r="BJ1270" s="4303"/>
      <c r="BK1270" s="4303"/>
      <c r="BL1270" s="4303"/>
      <c r="BM1270" s="4303"/>
      <c r="BN1270" s="4303"/>
      <c r="BO1270" s="4303"/>
      <c r="BP1270" s="4303"/>
      <c r="BQ1270" s="4303"/>
      <c r="BR1270" s="4303"/>
      <c r="BS1270" s="4303"/>
      <c r="BT1270" s="4303"/>
      <c r="BU1270" s="4303"/>
      <c r="BV1270" s="4303"/>
      <c r="BW1270" s="4303"/>
      <c r="BX1270" s="4303"/>
      <c r="BY1270" s="4303"/>
      <c r="BZ1270" s="4303"/>
      <c r="CA1270" s="4303"/>
      <c r="CB1270" s="4303"/>
      <c r="CC1270" s="4303"/>
      <c r="CD1270" s="4303"/>
      <c r="CE1270" s="4303"/>
      <c r="CF1270" s="4303"/>
      <c r="CG1270" s="4303"/>
      <c r="CH1270" s="4303"/>
      <c r="CI1270" s="4303"/>
      <c r="CJ1270" s="4303"/>
      <c r="CK1270" s="4303"/>
      <c r="CL1270" s="4303"/>
      <c r="CM1270" s="4303"/>
      <c r="CN1270" s="4303"/>
      <c r="CO1270" s="4303"/>
      <c r="CP1270" s="4303"/>
      <c r="CQ1270" s="4303"/>
      <c r="CR1270" s="4303"/>
      <c r="CS1270" s="4303"/>
      <c r="CT1270" s="4303"/>
      <c r="CU1270" s="4303"/>
      <c r="CV1270" s="4303"/>
      <c r="CW1270" s="4303"/>
      <c r="CX1270" s="4303"/>
      <c r="CY1270" s="4303"/>
      <c r="CZ1270" s="4303"/>
      <c r="DA1270" s="4303"/>
      <c r="DB1270" s="4303"/>
      <c r="DC1270" s="4303"/>
      <c r="DD1270" s="4303"/>
      <c r="DE1270" s="4303"/>
      <c r="DF1270" s="4303"/>
      <c r="DG1270" s="4303"/>
      <c r="DH1270" s="4303"/>
      <c r="DI1270" s="4303"/>
      <c r="DJ1270" s="4303"/>
      <c r="DK1270" s="4303"/>
      <c r="DL1270" s="4303"/>
      <c r="DM1270" s="4303"/>
      <c r="DN1270" s="4303"/>
      <c r="DO1270" s="4303"/>
      <c r="DP1270" s="4303"/>
      <c r="DQ1270" s="4303"/>
      <c r="DR1270" s="4303"/>
      <c r="DS1270" s="4303"/>
      <c r="DT1270" s="4134"/>
      <c r="DU1270" s="4134"/>
    </row>
    <row r="1271" s="489" customFormat="1" ht="15.75" customHeight="1" spans="1:125">
      <c r="A1271" s="4420"/>
      <c r="B1271" s="4420"/>
      <c r="C1271" s="4420"/>
      <c r="D1271" s="4420"/>
      <c r="E1271" s="4420"/>
      <c r="F1271" s="4420"/>
      <c r="G1271" s="4420"/>
      <c r="H1271" s="5056"/>
      <c r="I1271" s="5056"/>
      <c r="J1271" s="5056"/>
      <c r="K1271" s="5056"/>
      <c r="L1271" s="5056"/>
      <c r="M1271" s="5056"/>
      <c r="N1271" s="5056"/>
      <c r="O1271" s="5056"/>
      <c r="P1271" s="5056"/>
      <c r="Q1271" s="5056"/>
      <c r="R1271" s="5056"/>
      <c r="S1271" s="5056"/>
      <c r="T1271" s="5056"/>
      <c r="U1271" s="5056"/>
      <c r="V1271" s="4420"/>
      <c r="W1271" s="4420"/>
      <c r="X1271" s="4292"/>
      <c r="Y1271" s="4292"/>
      <c r="Z1271" s="4292"/>
      <c r="AA1271" s="4292"/>
      <c r="AB1271" s="4292"/>
      <c r="AC1271" s="4292"/>
      <c r="AD1271" s="4292"/>
      <c r="AE1271" s="4292"/>
      <c r="AF1271" s="4292"/>
      <c r="AG1271" s="4292"/>
      <c r="AH1271" s="4292"/>
      <c r="AI1271" s="4292"/>
      <c r="AJ1271" s="4292"/>
      <c r="AK1271" s="4292"/>
      <c r="AL1271" s="4292"/>
      <c r="AM1271" s="4292"/>
      <c r="AN1271" s="4292"/>
      <c r="AO1271" s="4292"/>
      <c r="AP1271" s="4292"/>
      <c r="AQ1271" s="4292"/>
      <c r="AR1271" s="4292"/>
      <c r="AS1271" s="4292"/>
      <c r="AT1271" s="4292"/>
      <c r="AU1271" s="4292"/>
      <c r="AV1271" s="4292"/>
      <c r="AW1271" s="4292"/>
      <c r="AX1271" s="4292"/>
      <c r="AY1271" s="4292"/>
      <c r="AZ1271" s="4292"/>
      <c r="BA1271" s="4292"/>
      <c r="BB1271" s="4292"/>
      <c r="BC1271" s="4292"/>
      <c r="BD1271" s="4303"/>
      <c r="BE1271" s="4303"/>
      <c r="BF1271" s="4303"/>
      <c r="BG1271" s="4303"/>
      <c r="BH1271" s="4303"/>
      <c r="BI1271" s="4303"/>
      <c r="BJ1271" s="4303"/>
      <c r="BK1271" s="4303"/>
      <c r="BL1271" s="4303"/>
      <c r="BM1271" s="4303"/>
      <c r="BN1271" s="4303"/>
      <c r="BO1271" s="4303"/>
      <c r="BP1271" s="4303"/>
      <c r="BQ1271" s="4303"/>
      <c r="BR1271" s="4303"/>
      <c r="BS1271" s="4303"/>
      <c r="BT1271" s="4303"/>
      <c r="BU1271" s="4303"/>
      <c r="BV1271" s="4303"/>
      <c r="BW1271" s="4303"/>
      <c r="BX1271" s="4303"/>
      <c r="BY1271" s="4303"/>
      <c r="BZ1271" s="4303"/>
      <c r="CA1271" s="4303"/>
      <c r="CB1271" s="4303"/>
      <c r="CC1271" s="4303"/>
      <c r="CD1271" s="4303"/>
      <c r="CE1271" s="4303"/>
      <c r="CF1271" s="4303"/>
      <c r="CG1271" s="4303"/>
      <c r="CH1271" s="4303"/>
      <c r="CI1271" s="4303"/>
      <c r="CJ1271" s="4303"/>
      <c r="CK1271" s="4303"/>
      <c r="CL1271" s="4303"/>
      <c r="CM1271" s="4303"/>
      <c r="CN1271" s="4303"/>
      <c r="CO1271" s="4303"/>
      <c r="CP1271" s="4303"/>
      <c r="CQ1271" s="4303"/>
      <c r="CR1271" s="4303"/>
      <c r="CS1271" s="4303"/>
      <c r="CT1271" s="4303"/>
      <c r="CU1271" s="4303"/>
      <c r="CV1271" s="4303"/>
      <c r="CW1271" s="4303"/>
      <c r="CX1271" s="4303"/>
      <c r="CY1271" s="4303"/>
      <c r="CZ1271" s="4303"/>
      <c r="DA1271" s="4303"/>
      <c r="DB1271" s="4303"/>
      <c r="DC1271" s="4303"/>
      <c r="DD1271" s="4303"/>
      <c r="DE1271" s="4303"/>
      <c r="DF1271" s="4303"/>
      <c r="DG1271" s="4303"/>
      <c r="DH1271" s="4303"/>
      <c r="DI1271" s="4303"/>
      <c r="DJ1271" s="4303"/>
      <c r="DK1271" s="4303"/>
      <c r="DL1271" s="4303"/>
      <c r="DM1271" s="4303"/>
      <c r="DN1271" s="4303"/>
      <c r="DO1271" s="4303"/>
      <c r="DP1271" s="4303"/>
      <c r="DQ1271" s="4303"/>
      <c r="DR1271" s="4303"/>
      <c r="DS1271" s="4303"/>
      <c r="DT1271" s="4134"/>
      <c r="DU1271" s="4134"/>
    </row>
    <row r="1272" s="489" customFormat="1" ht="15.75" spans="1:125">
      <c r="A1272" s="4420"/>
      <c r="B1272" s="4420"/>
      <c r="C1272" s="4420"/>
      <c r="D1272" s="4420"/>
      <c r="E1272" s="4420"/>
      <c r="F1272" s="4420"/>
      <c r="G1272" s="4420"/>
      <c r="H1272" s="4964"/>
      <c r="I1272" s="4964"/>
      <c r="J1272" s="4964"/>
      <c r="K1272" s="4964"/>
      <c r="L1272" s="4964"/>
      <c r="M1272" s="4964"/>
      <c r="N1272" s="4964"/>
      <c r="O1272" s="4968"/>
      <c r="P1272" s="4966"/>
      <c r="Q1272" s="4292"/>
      <c r="R1272" s="4292"/>
      <c r="S1272" s="4420"/>
      <c r="T1272" s="4420"/>
      <c r="U1272" s="4420"/>
      <c r="V1272" s="4420"/>
      <c r="W1272" s="4420"/>
      <c r="X1272" s="4292"/>
      <c r="Y1272" s="4292"/>
      <c r="Z1272" s="4292"/>
      <c r="AA1272" s="4292"/>
      <c r="AB1272" s="4292"/>
      <c r="AC1272" s="4292"/>
      <c r="AD1272" s="4292"/>
      <c r="AE1272" s="4292"/>
      <c r="AF1272" s="4292"/>
      <c r="AG1272" s="4292"/>
      <c r="AH1272" s="4292"/>
      <c r="AI1272" s="4292"/>
      <c r="AJ1272" s="4292"/>
      <c r="AK1272" s="4292"/>
      <c r="AL1272" s="4292"/>
      <c r="AM1272" s="4292"/>
      <c r="AN1272" s="4292"/>
      <c r="AO1272" s="4292"/>
      <c r="AP1272" s="4292"/>
      <c r="AQ1272" s="4292"/>
      <c r="AR1272" s="4292"/>
      <c r="AS1272" s="4292"/>
      <c r="AT1272" s="4292"/>
      <c r="AU1272" s="4292"/>
      <c r="AV1272" s="4292"/>
      <c r="AW1272" s="4292"/>
      <c r="AX1272" s="4292"/>
      <c r="AY1272" s="4292"/>
      <c r="AZ1272" s="4292"/>
      <c r="BA1272" s="4292"/>
      <c r="BB1272" s="4292"/>
      <c r="BC1272" s="4292"/>
      <c r="BD1272" s="4303"/>
      <c r="BE1272" s="4303"/>
      <c r="BF1272" s="4303"/>
      <c r="BG1272" s="4303"/>
      <c r="BH1272" s="4303"/>
      <c r="BI1272" s="4303"/>
      <c r="BJ1272" s="4303"/>
      <c r="BK1272" s="4303"/>
      <c r="BL1272" s="4303"/>
      <c r="BM1272" s="4303"/>
      <c r="BN1272" s="4303"/>
      <c r="BO1272" s="4303"/>
      <c r="BP1272" s="4303"/>
      <c r="BQ1272" s="4303"/>
      <c r="BR1272" s="4303"/>
      <c r="BS1272" s="4303"/>
      <c r="BT1272" s="4303"/>
      <c r="BU1272" s="4303"/>
      <c r="BV1272" s="4303"/>
      <c r="BW1272" s="4303"/>
      <c r="BX1272" s="4303"/>
      <c r="BY1272" s="4303"/>
      <c r="BZ1272" s="4303"/>
      <c r="CA1272" s="4303"/>
      <c r="CB1272" s="4303"/>
      <c r="CC1272" s="4303"/>
      <c r="CD1272" s="4303"/>
      <c r="CE1272" s="4303"/>
      <c r="CF1272" s="4303"/>
      <c r="CG1272" s="4303"/>
      <c r="CH1272" s="4303"/>
      <c r="CI1272" s="4303"/>
      <c r="CJ1272" s="4303"/>
      <c r="CK1272" s="4303"/>
      <c r="CL1272" s="4303"/>
      <c r="CM1272" s="4303"/>
      <c r="CN1272" s="4303"/>
      <c r="CO1272" s="4303"/>
      <c r="CP1272" s="4303"/>
      <c r="CQ1272" s="4303"/>
      <c r="CR1272" s="4303"/>
      <c r="CS1272" s="4303"/>
      <c r="CT1272" s="4303"/>
      <c r="CU1272" s="4303"/>
      <c r="CV1272" s="4303"/>
      <c r="CW1272" s="4303"/>
      <c r="CX1272" s="4303"/>
      <c r="CY1272" s="4303"/>
      <c r="CZ1272" s="4303"/>
      <c r="DA1272" s="4303"/>
      <c r="DB1272" s="4303"/>
      <c r="DC1272" s="4303"/>
      <c r="DD1272" s="4303"/>
      <c r="DE1272" s="4303"/>
      <c r="DF1272" s="4303"/>
      <c r="DG1272" s="4303"/>
      <c r="DH1272" s="4303"/>
      <c r="DI1272" s="4303"/>
      <c r="DJ1272" s="4303"/>
      <c r="DK1272" s="4303"/>
      <c r="DL1272" s="4303"/>
      <c r="DM1272" s="4303"/>
      <c r="DN1272" s="4303"/>
      <c r="DO1272" s="4303"/>
      <c r="DP1272" s="4303"/>
      <c r="DQ1272" s="4303"/>
      <c r="DR1272" s="4303"/>
      <c r="DS1272" s="4303"/>
      <c r="DT1272" s="4134"/>
      <c r="DU1272" s="4134"/>
    </row>
    <row r="1273" s="489" customFormat="1" ht="21" spans="1:125">
      <c r="A1273" s="4420"/>
      <c r="B1273" s="4420"/>
      <c r="C1273" s="4420"/>
      <c r="D1273" s="4420"/>
      <c r="E1273" s="4420"/>
      <c r="F1273" s="4420"/>
      <c r="G1273" s="4420"/>
      <c r="H1273" s="4964"/>
      <c r="I1273" s="4964"/>
      <c r="J1273" s="4964"/>
      <c r="K1273" s="4964"/>
      <c r="L1273" s="4964"/>
      <c r="M1273" s="4964"/>
      <c r="N1273" s="4964"/>
      <c r="O1273" s="4968"/>
      <c r="P1273" s="4966"/>
      <c r="Q1273" s="4292"/>
      <c r="R1273" s="4292"/>
      <c r="S1273" s="4420"/>
      <c r="T1273" s="4420"/>
      <c r="U1273" s="5057"/>
      <c r="V1273" s="4420"/>
      <c r="W1273" s="4420"/>
      <c r="X1273" s="4292"/>
      <c r="Y1273" s="4292"/>
      <c r="Z1273" s="4292"/>
      <c r="AA1273" s="4292"/>
      <c r="AB1273" s="4292"/>
      <c r="AC1273" s="4292"/>
      <c r="AD1273" s="4292"/>
      <c r="AE1273" s="4292"/>
      <c r="AF1273" s="4292"/>
      <c r="AG1273" s="4292"/>
      <c r="AH1273" s="4292"/>
      <c r="AI1273" s="4292"/>
      <c r="AJ1273" s="4295"/>
      <c r="AK1273" s="4292"/>
      <c r="AL1273" s="4292"/>
      <c r="AM1273" s="4292"/>
      <c r="AN1273" s="4292"/>
      <c r="AO1273" s="4292"/>
      <c r="AP1273" s="4292"/>
      <c r="AQ1273" s="4292"/>
      <c r="AR1273" s="4292"/>
      <c r="AS1273" s="4292"/>
      <c r="AT1273" s="4292"/>
      <c r="AU1273" s="4292"/>
      <c r="AV1273" s="4292"/>
      <c r="AW1273" s="4292"/>
      <c r="AX1273" s="4292"/>
      <c r="AY1273" s="4292"/>
      <c r="AZ1273" s="4292"/>
      <c r="BA1273" s="4292"/>
      <c r="BB1273" s="4292"/>
      <c r="BC1273" s="4292"/>
      <c r="BD1273" s="4303"/>
      <c r="BE1273" s="4303"/>
      <c r="BF1273" s="4303"/>
      <c r="BG1273" s="4303"/>
      <c r="BH1273" s="4303"/>
      <c r="BI1273" s="4303"/>
      <c r="BJ1273" s="4303"/>
      <c r="BK1273" s="4303"/>
      <c r="BL1273" s="4303"/>
      <c r="BM1273" s="4303"/>
      <c r="BN1273" s="4303"/>
      <c r="BO1273" s="4303"/>
      <c r="BP1273" s="4303"/>
      <c r="BQ1273" s="4303"/>
      <c r="BR1273" s="4303"/>
      <c r="BS1273" s="4303"/>
      <c r="BT1273" s="4303"/>
      <c r="BU1273" s="4303"/>
      <c r="BV1273" s="4303"/>
      <c r="BW1273" s="4303"/>
      <c r="BX1273" s="4303"/>
      <c r="BY1273" s="4303"/>
      <c r="BZ1273" s="4303"/>
      <c r="CA1273" s="4303"/>
      <c r="CB1273" s="4303"/>
      <c r="CC1273" s="4303"/>
      <c r="CD1273" s="4303"/>
      <c r="CE1273" s="4303"/>
      <c r="CF1273" s="4303"/>
      <c r="CG1273" s="4303"/>
      <c r="CH1273" s="4303"/>
      <c r="CI1273" s="4303"/>
      <c r="CJ1273" s="4303"/>
      <c r="CK1273" s="4303"/>
      <c r="CL1273" s="4303"/>
      <c r="CM1273" s="4303"/>
      <c r="CN1273" s="4303"/>
      <c r="CO1273" s="4303"/>
      <c r="CP1273" s="4303"/>
      <c r="CQ1273" s="4303"/>
      <c r="CR1273" s="4303"/>
      <c r="CS1273" s="4303"/>
      <c r="CT1273" s="4303"/>
      <c r="CU1273" s="4303"/>
      <c r="CV1273" s="4303"/>
      <c r="CW1273" s="4303"/>
      <c r="CX1273" s="4303"/>
      <c r="CY1273" s="4303"/>
      <c r="CZ1273" s="4303"/>
      <c r="DA1273" s="4303"/>
      <c r="DB1273" s="4303"/>
      <c r="DC1273" s="4303"/>
      <c r="DD1273" s="4303"/>
      <c r="DE1273" s="4303"/>
      <c r="DF1273" s="4303"/>
      <c r="DG1273" s="4303"/>
      <c r="DH1273" s="4303"/>
      <c r="DI1273" s="4303"/>
      <c r="DJ1273" s="4303"/>
      <c r="DK1273" s="4303"/>
      <c r="DL1273" s="4303"/>
      <c r="DM1273" s="4303"/>
      <c r="DN1273" s="4303"/>
      <c r="DO1273" s="4303"/>
      <c r="DP1273" s="4303"/>
      <c r="DQ1273" s="4303"/>
      <c r="DR1273" s="4303"/>
      <c r="DS1273" s="4303"/>
      <c r="DT1273" s="4134"/>
      <c r="DU1273" s="4134"/>
    </row>
    <row r="1274" s="4133" customFormat="1" ht="15.75" spans="1:125">
      <c r="A1274" s="4292"/>
      <c r="B1274" s="4292"/>
      <c r="C1274" s="4292"/>
      <c r="D1274" s="4292"/>
      <c r="E1274" s="4292"/>
      <c r="F1274" s="4292"/>
      <c r="G1274" s="4292"/>
      <c r="H1274" s="4292"/>
      <c r="I1274" s="4292"/>
      <c r="J1274" s="4292"/>
      <c r="K1274" s="4292"/>
      <c r="L1274" s="4292"/>
      <c r="M1274" s="4292"/>
      <c r="N1274" s="4292"/>
      <c r="O1274" s="4292"/>
      <c r="P1274" s="4292"/>
      <c r="Q1274" s="4292"/>
      <c r="R1274" s="4292" t="s">
        <v>5771</v>
      </c>
      <c r="S1274" s="4292"/>
      <c r="T1274" s="4292"/>
      <c r="U1274" s="4292"/>
      <c r="V1274" s="4292"/>
      <c r="W1274" s="4292"/>
      <c r="X1274" s="4292"/>
      <c r="Y1274" s="4292"/>
      <c r="Z1274" s="4292"/>
      <c r="AA1274" s="4292"/>
      <c r="AB1274" s="4292"/>
      <c r="AC1274" s="4292"/>
      <c r="AD1274" s="4292"/>
      <c r="AE1274" s="4292"/>
      <c r="AF1274" s="4292"/>
      <c r="AG1274" s="4292"/>
      <c r="AH1274" s="4292"/>
      <c r="AI1274" s="4292"/>
      <c r="AJ1274" s="4292"/>
      <c r="AK1274" s="4292"/>
      <c r="AL1274" s="4292"/>
      <c r="AM1274" s="4292"/>
      <c r="AN1274" s="4292"/>
      <c r="AO1274" s="4292"/>
      <c r="AP1274" s="4292"/>
      <c r="AQ1274" s="4292"/>
      <c r="AR1274" s="4292"/>
      <c r="AS1274" s="4292"/>
      <c r="AT1274" s="4292"/>
      <c r="AU1274" s="4292"/>
      <c r="AV1274" s="4292"/>
      <c r="AW1274" s="4292"/>
      <c r="AX1274" s="4292"/>
      <c r="AY1274" s="4292"/>
      <c r="AZ1274" s="4292"/>
      <c r="BA1274" s="4292"/>
      <c r="BB1274" s="4292"/>
      <c r="BC1274" s="4292"/>
      <c r="BD1274" s="4303"/>
      <c r="BE1274" s="4303"/>
      <c r="BF1274" s="4303"/>
      <c r="BG1274" s="4303"/>
      <c r="BH1274" s="4303"/>
      <c r="BI1274" s="4303"/>
      <c r="BJ1274" s="4303"/>
      <c r="BK1274" s="4303"/>
      <c r="BL1274" s="4303"/>
      <c r="BM1274" s="4303"/>
      <c r="BN1274" s="4303"/>
      <c r="BO1274" s="4303"/>
      <c r="BP1274" s="4303"/>
      <c r="BQ1274" s="4303"/>
      <c r="BR1274" s="4303"/>
      <c r="BS1274" s="4303"/>
      <c r="BT1274" s="4303"/>
      <c r="BU1274" s="4303"/>
      <c r="BV1274" s="4303"/>
      <c r="BW1274" s="4303"/>
      <c r="BX1274" s="4303"/>
      <c r="BY1274" s="4303"/>
      <c r="BZ1274" s="4303"/>
      <c r="CA1274" s="4303"/>
      <c r="CB1274" s="4303"/>
      <c r="CC1274" s="4303"/>
      <c r="CD1274" s="4303"/>
      <c r="CE1274" s="4303"/>
      <c r="CF1274" s="4303"/>
      <c r="CG1274" s="4303"/>
      <c r="CH1274" s="4303"/>
      <c r="CI1274" s="4303"/>
      <c r="CJ1274" s="4303"/>
      <c r="CK1274" s="4303"/>
      <c r="CL1274" s="4303"/>
      <c r="CM1274" s="4303"/>
      <c r="CN1274" s="4303"/>
      <c r="CO1274" s="4303"/>
      <c r="CP1274" s="4303"/>
      <c r="CQ1274" s="4303"/>
      <c r="CR1274" s="4303"/>
      <c r="CS1274" s="4303"/>
      <c r="CT1274" s="4303"/>
      <c r="CU1274" s="4303"/>
      <c r="CV1274" s="4303"/>
      <c r="CW1274" s="4303"/>
      <c r="CX1274" s="4303"/>
      <c r="CY1274" s="4303"/>
      <c r="CZ1274" s="4303"/>
      <c r="DA1274" s="4303"/>
      <c r="DB1274" s="4303"/>
      <c r="DC1274" s="4303"/>
      <c r="DD1274" s="4303"/>
      <c r="DE1274" s="4303"/>
      <c r="DF1274" s="4303"/>
      <c r="DG1274" s="4303"/>
      <c r="DH1274" s="4303"/>
      <c r="DI1274" s="4303"/>
      <c r="DJ1274" s="4303"/>
      <c r="DK1274" s="4303"/>
      <c r="DL1274" s="4303"/>
      <c r="DM1274" s="4303"/>
      <c r="DN1274" s="4303"/>
      <c r="DO1274" s="4303"/>
      <c r="DP1274" s="4303"/>
      <c r="DQ1274" s="4303"/>
      <c r="DR1274" s="4303"/>
      <c r="DS1274" s="4303"/>
      <c r="DT1274" s="4134"/>
      <c r="DU1274" s="4134"/>
    </row>
    <row r="1275" s="4133" customFormat="1" ht="15.75" spans="1:125">
      <c r="A1275" s="4292"/>
      <c r="B1275" s="4292"/>
      <c r="C1275" s="4292"/>
      <c r="D1275" s="4292"/>
      <c r="E1275" s="4292"/>
      <c r="F1275" s="4292"/>
      <c r="G1275" s="4292"/>
      <c r="H1275" s="4292"/>
      <c r="I1275" s="4292"/>
      <c r="J1275" s="4292"/>
      <c r="K1275" s="4292"/>
      <c r="L1275" s="4292"/>
      <c r="M1275" s="4292"/>
      <c r="N1275" s="4292"/>
      <c r="O1275" s="4292"/>
      <c r="P1275" s="4292"/>
      <c r="Q1275" s="4292"/>
      <c r="R1275" s="4292"/>
      <c r="S1275" s="4292"/>
      <c r="T1275" s="4292"/>
      <c r="U1275" s="4292"/>
      <c r="V1275" s="4292"/>
      <c r="W1275" s="4292"/>
      <c r="X1275" s="4292"/>
      <c r="Y1275" s="4292"/>
      <c r="Z1275" s="4292"/>
      <c r="AA1275" s="4292"/>
      <c r="AB1275" s="4292"/>
      <c r="AC1275" s="4292"/>
      <c r="AD1275" s="4292"/>
      <c r="AE1275" s="4292"/>
      <c r="AF1275" s="4292"/>
      <c r="AG1275" s="4292"/>
      <c r="AH1275" s="4292"/>
      <c r="AI1275" s="4292"/>
      <c r="AJ1275" s="4292"/>
      <c r="AK1275" s="4292"/>
      <c r="AL1275" s="4292"/>
      <c r="AM1275" s="4292"/>
      <c r="AN1275" s="4292"/>
      <c r="AO1275" s="4292"/>
      <c r="AP1275" s="4292"/>
      <c r="AQ1275" s="4292"/>
      <c r="AR1275" s="4292"/>
      <c r="AS1275" s="4292"/>
      <c r="AT1275" s="4292"/>
      <c r="AU1275" s="4292"/>
      <c r="AV1275" s="4292"/>
      <c r="AW1275" s="4292"/>
      <c r="AX1275" s="4292"/>
      <c r="AY1275" s="4292"/>
      <c r="AZ1275" s="4292"/>
      <c r="BA1275" s="4292"/>
      <c r="BB1275" s="4292"/>
      <c r="BC1275" s="4292"/>
      <c r="BD1275" s="4303"/>
      <c r="BE1275" s="4303"/>
      <c r="BF1275" s="4303"/>
      <c r="BG1275" s="4303"/>
      <c r="BH1275" s="4303"/>
      <c r="BI1275" s="4303"/>
      <c r="BJ1275" s="4303"/>
      <c r="BK1275" s="4303"/>
      <c r="BL1275" s="4303"/>
      <c r="BM1275" s="4303"/>
      <c r="BN1275" s="4303"/>
      <c r="BO1275" s="4303"/>
      <c r="BP1275" s="4303"/>
      <c r="BQ1275" s="4303"/>
      <c r="BR1275" s="4303"/>
      <c r="BS1275" s="4303"/>
      <c r="BT1275" s="4303"/>
      <c r="BU1275" s="4303"/>
      <c r="BV1275" s="4303"/>
      <c r="BW1275" s="4303"/>
      <c r="BX1275" s="4303"/>
      <c r="BY1275" s="4303"/>
      <c r="BZ1275" s="4303"/>
      <c r="CA1275" s="4303"/>
      <c r="CB1275" s="4303"/>
      <c r="CC1275" s="4303"/>
      <c r="CD1275" s="4303"/>
      <c r="CE1275" s="4303"/>
      <c r="CF1275" s="4303"/>
      <c r="CG1275" s="4303"/>
      <c r="CH1275" s="4303"/>
      <c r="CI1275" s="4303"/>
      <c r="CJ1275" s="4303"/>
      <c r="CK1275" s="4303"/>
      <c r="CL1275" s="4303"/>
      <c r="CM1275" s="4303"/>
      <c r="CN1275" s="4303"/>
      <c r="CO1275" s="4303"/>
      <c r="CP1275" s="4303"/>
      <c r="CQ1275" s="4303"/>
      <c r="CR1275" s="4303"/>
      <c r="CS1275" s="4303"/>
      <c r="CT1275" s="4303"/>
      <c r="CU1275" s="4303"/>
      <c r="CV1275" s="4303"/>
      <c r="CW1275" s="4303"/>
      <c r="CX1275" s="4303"/>
      <c r="CY1275" s="4303"/>
      <c r="CZ1275" s="4303"/>
      <c r="DA1275" s="4303"/>
      <c r="DB1275" s="4303"/>
      <c r="DC1275" s="4303"/>
      <c r="DD1275" s="4303"/>
      <c r="DE1275" s="4303"/>
      <c r="DF1275" s="4303"/>
      <c r="DG1275" s="4303"/>
      <c r="DH1275" s="4303"/>
      <c r="DI1275" s="4303"/>
      <c r="DJ1275" s="4303"/>
      <c r="DK1275" s="4303"/>
      <c r="DL1275" s="4303"/>
      <c r="DM1275" s="4303"/>
      <c r="DN1275" s="4303"/>
      <c r="DO1275" s="4303"/>
      <c r="DP1275" s="4303"/>
      <c r="DQ1275" s="4303"/>
      <c r="DR1275" s="4303"/>
      <c r="DS1275" s="4303"/>
      <c r="DT1275" s="4134"/>
      <c r="DU1275" s="4134"/>
    </row>
    <row r="1276" s="4133" customFormat="1" ht="18.75" customHeight="1" spans="1:125">
      <c r="A1276" s="4397"/>
      <c r="B1276" s="4292"/>
      <c r="C1276" s="4292"/>
      <c r="D1276" s="4292"/>
      <c r="E1276" s="4292"/>
      <c r="F1276" s="4292"/>
      <c r="G1276" s="4292"/>
      <c r="H1276" s="4292"/>
      <c r="I1276" s="4292"/>
      <c r="J1276" s="4292"/>
      <c r="K1276" s="4292"/>
      <c r="L1276" s="4292"/>
      <c r="M1276" s="4292"/>
      <c r="N1276" s="4292"/>
      <c r="O1276" s="4292"/>
      <c r="P1276" s="4292"/>
      <c r="Q1276" s="4292"/>
      <c r="R1276" s="4292"/>
      <c r="S1276" s="4292"/>
      <c r="T1276" s="4292"/>
      <c r="U1276" s="4292"/>
      <c r="V1276" s="4292"/>
      <c r="W1276" s="4292"/>
      <c r="X1276" s="4292"/>
      <c r="Y1276" s="4292"/>
      <c r="Z1276" s="4292"/>
      <c r="AA1276" s="4292"/>
      <c r="AB1276" s="4292"/>
      <c r="AC1276" s="4292"/>
      <c r="AD1276" s="4292"/>
      <c r="AE1276" s="4292"/>
      <c r="AF1276" s="4292"/>
      <c r="AG1276" s="4292"/>
      <c r="AH1276" s="4292"/>
      <c r="AI1276" s="4292"/>
      <c r="AJ1276" s="4292"/>
      <c r="AK1276" s="4292"/>
      <c r="AL1276" s="4292"/>
      <c r="AM1276" s="4292"/>
      <c r="AN1276" s="4292"/>
      <c r="AO1276" s="4292"/>
      <c r="AP1276" s="4292"/>
      <c r="AQ1276" s="4292"/>
      <c r="AR1276" s="4292"/>
      <c r="AS1276" s="4292"/>
      <c r="AT1276" s="4292"/>
      <c r="AU1276" s="4292"/>
      <c r="AV1276" s="4292"/>
      <c r="AW1276" s="4292"/>
      <c r="AX1276" s="4292"/>
      <c r="AY1276" s="4292"/>
      <c r="AZ1276" s="4292"/>
      <c r="BA1276" s="4292"/>
      <c r="BB1276" s="4292"/>
      <c r="BC1276" s="4292"/>
      <c r="BD1276" s="4303"/>
      <c r="BE1276" s="4303"/>
      <c r="BF1276" s="4303"/>
      <c r="BG1276" s="4303"/>
      <c r="BH1276" s="4303"/>
      <c r="BI1276" s="4303"/>
      <c r="BJ1276" s="4303"/>
      <c r="BK1276" s="4303"/>
      <c r="BL1276" s="4303"/>
      <c r="BM1276" s="4303"/>
      <c r="BN1276" s="4303"/>
      <c r="BO1276" s="4303"/>
      <c r="BP1276" s="4303"/>
      <c r="BQ1276" s="4303"/>
      <c r="BR1276" s="4303"/>
      <c r="BS1276" s="4303"/>
      <c r="BT1276" s="4303"/>
      <c r="BU1276" s="4303"/>
      <c r="BV1276" s="4303"/>
      <c r="BW1276" s="4303"/>
      <c r="BX1276" s="4303"/>
      <c r="BY1276" s="4303"/>
      <c r="BZ1276" s="4303"/>
      <c r="CA1276" s="4303"/>
      <c r="CB1276" s="4303"/>
      <c r="CC1276" s="4303"/>
      <c r="CD1276" s="4303"/>
      <c r="CE1276" s="4303"/>
      <c r="CF1276" s="4303"/>
      <c r="CG1276" s="4303"/>
      <c r="CH1276" s="4303"/>
      <c r="CI1276" s="4303"/>
      <c r="CJ1276" s="4303"/>
      <c r="CK1276" s="4303"/>
      <c r="CL1276" s="4303"/>
      <c r="CM1276" s="4303"/>
      <c r="CN1276" s="4303"/>
      <c r="CO1276" s="4303"/>
      <c r="CP1276" s="4303"/>
      <c r="CQ1276" s="4303"/>
      <c r="CR1276" s="4303"/>
      <c r="CS1276" s="4303"/>
      <c r="CT1276" s="4303"/>
      <c r="CU1276" s="4303"/>
      <c r="CV1276" s="4303"/>
      <c r="CW1276" s="4303"/>
      <c r="CX1276" s="4303"/>
      <c r="CY1276" s="4303"/>
      <c r="CZ1276" s="4303"/>
      <c r="DA1276" s="4303"/>
      <c r="DB1276" s="4303"/>
      <c r="DC1276" s="4303"/>
      <c r="DD1276" s="4303"/>
      <c r="DE1276" s="4303"/>
      <c r="DF1276" s="4303"/>
      <c r="DG1276" s="4303"/>
      <c r="DH1276" s="4303"/>
      <c r="DI1276" s="4303"/>
      <c r="DJ1276" s="4303"/>
      <c r="DK1276" s="4303"/>
      <c r="DL1276" s="4303"/>
      <c r="DM1276" s="4303"/>
      <c r="DN1276" s="4303"/>
      <c r="DO1276" s="4303"/>
      <c r="DP1276" s="4303"/>
      <c r="DQ1276" s="4303"/>
      <c r="DR1276" s="4303"/>
      <c r="DS1276" s="4303"/>
      <c r="DT1276" s="4134"/>
      <c r="DU1276" s="4134"/>
    </row>
    <row r="1277" s="4133" customFormat="1" ht="15.75" hidden="1" spans="1:125">
      <c r="A1277" s="4397"/>
      <c r="B1277" s="4292"/>
      <c r="C1277" s="4292"/>
      <c r="D1277" s="4292"/>
      <c r="E1277" s="4292"/>
      <c r="F1277" s="4292"/>
      <c r="G1277" s="4292"/>
      <c r="H1277" s="4292"/>
      <c r="I1277" s="4292"/>
      <c r="J1277" s="4292"/>
      <c r="K1277" s="4292"/>
      <c r="L1277" s="4292"/>
      <c r="M1277" s="4292"/>
      <c r="N1277" s="4292"/>
      <c r="O1277" s="4292"/>
      <c r="P1277" s="4292"/>
      <c r="Q1277" s="4292"/>
      <c r="R1277" s="4292"/>
      <c r="S1277" s="4292"/>
      <c r="T1277" s="4292"/>
      <c r="U1277" s="4292"/>
      <c r="V1277" s="4292"/>
      <c r="W1277" s="4292"/>
      <c r="X1277" s="4292"/>
      <c r="Y1277" s="4292"/>
      <c r="Z1277" s="4292"/>
      <c r="AA1277" s="4292"/>
      <c r="AB1277" s="4292"/>
      <c r="AC1277" s="4292"/>
      <c r="AD1277" s="4292"/>
      <c r="AE1277" s="4292"/>
      <c r="AF1277" s="4292"/>
      <c r="AG1277" s="4292"/>
      <c r="AH1277" s="4292"/>
      <c r="AI1277" s="4292"/>
      <c r="AJ1277" s="4292"/>
      <c r="AK1277" s="4292"/>
      <c r="AL1277" s="4292"/>
      <c r="AM1277" s="4292"/>
      <c r="AN1277" s="4292"/>
      <c r="AO1277" s="4292"/>
      <c r="AP1277" s="4292"/>
      <c r="AQ1277" s="4292"/>
      <c r="AR1277" s="4292"/>
      <c r="AS1277" s="4292"/>
      <c r="AT1277" s="4292"/>
      <c r="AU1277" s="4292"/>
      <c r="AV1277" s="4292"/>
      <c r="AW1277" s="4292"/>
      <c r="AX1277" s="4292"/>
      <c r="AY1277" s="4292"/>
      <c r="AZ1277" s="4292"/>
      <c r="BA1277" s="4292"/>
      <c r="BB1277" s="4292"/>
      <c r="BC1277" s="4292"/>
      <c r="BD1277" s="4303"/>
      <c r="BE1277" s="4303"/>
      <c r="BF1277" s="4303"/>
      <c r="BG1277" s="4303"/>
      <c r="BH1277" s="4303"/>
      <c r="BI1277" s="4303"/>
      <c r="BJ1277" s="4303"/>
      <c r="BK1277" s="4303"/>
      <c r="BL1277" s="4303"/>
      <c r="BM1277" s="4303"/>
      <c r="BN1277" s="4303"/>
      <c r="BO1277" s="4303"/>
      <c r="BP1277" s="4303"/>
      <c r="BQ1277" s="4303"/>
      <c r="BR1277" s="4303"/>
      <c r="BS1277" s="4303"/>
      <c r="BT1277" s="4303"/>
      <c r="BU1277" s="4303"/>
      <c r="BV1277" s="4303"/>
      <c r="BW1277" s="4303"/>
      <c r="BX1277" s="4303"/>
      <c r="BY1277" s="4303"/>
      <c r="BZ1277" s="4303"/>
      <c r="CA1277" s="4303"/>
      <c r="CB1277" s="4303"/>
      <c r="CC1277" s="4303"/>
      <c r="CD1277" s="4303"/>
      <c r="CE1277" s="4303"/>
      <c r="CF1277" s="4303"/>
      <c r="CG1277" s="4303"/>
      <c r="CH1277" s="4303"/>
      <c r="CI1277" s="4303"/>
      <c r="CJ1277" s="4303"/>
      <c r="CK1277" s="4303"/>
      <c r="CL1277" s="4303"/>
      <c r="CM1277" s="4303"/>
      <c r="CN1277" s="4303"/>
      <c r="CO1277" s="4303"/>
      <c r="CP1277" s="4303"/>
      <c r="CQ1277" s="4303"/>
      <c r="CR1277" s="4303"/>
      <c r="CS1277" s="4303"/>
      <c r="CT1277" s="4303"/>
      <c r="CU1277" s="4303"/>
      <c r="CV1277" s="4303"/>
      <c r="CW1277" s="4303"/>
      <c r="CX1277" s="4303"/>
      <c r="CY1277" s="4303"/>
      <c r="CZ1277" s="4303"/>
      <c r="DA1277" s="4303"/>
      <c r="DB1277" s="4303"/>
      <c r="DC1277" s="4303"/>
      <c r="DD1277" s="4303"/>
      <c r="DE1277" s="4303"/>
      <c r="DF1277" s="4303"/>
      <c r="DG1277" s="4303"/>
      <c r="DH1277" s="4303"/>
      <c r="DI1277" s="4303"/>
      <c r="DJ1277" s="4303"/>
      <c r="DK1277" s="4303"/>
      <c r="DL1277" s="4303"/>
      <c r="DM1277" s="4303"/>
      <c r="DN1277" s="4303"/>
      <c r="DO1277" s="4303"/>
      <c r="DP1277" s="4303"/>
      <c r="DQ1277" s="4303"/>
      <c r="DR1277" s="4303"/>
      <c r="DS1277" s="4303"/>
      <c r="DT1277" s="4134"/>
      <c r="DU1277" s="4134"/>
    </row>
    <row r="1278" s="4133" customFormat="1" ht="15.75" hidden="1" spans="1:125">
      <c r="A1278" s="4397"/>
      <c r="B1278" s="4292"/>
      <c r="C1278" s="4292"/>
      <c r="D1278" s="4292"/>
      <c r="E1278" s="4292"/>
      <c r="F1278" s="4292"/>
      <c r="G1278" s="4292"/>
      <c r="H1278" s="4292"/>
      <c r="I1278" s="4292"/>
      <c r="J1278" s="4292"/>
      <c r="K1278" s="4292"/>
      <c r="L1278" s="4292"/>
      <c r="M1278" s="4292"/>
      <c r="N1278" s="4292"/>
      <c r="O1278" s="4292"/>
      <c r="P1278" s="4292"/>
      <c r="Q1278" s="4292"/>
      <c r="R1278" s="4292"/>
      <c r="S1278" s="4292"/>
      <c r="T1278" s="4292"/>
      <c r="U1278" s="4292"/>
      <c r="V1278" s="4292"/>
      <c r="W1278" s="4292"/>
      <c r="X1278" s="4292"/>
      <c r="Y1278" s="4292"/>
      <c r="Z1278" s="4292"/>
      <c r="AA1278" s="4292"/>
      <c r="AB1278" s="4292"/>
      <c r="AC1278" s="4292"/>
      <c r="AD1278" s="4292"/>
      <c r="AE1278" s="4292"/>
      <c r="AF1278" s="4292"/>
      <c r="AG1278" s="4292"/>
      <c r="AH1278" s="4292"/>
      <c r="AI1278" s="4292"/>
      <c r="AJ1278" s="4292"/>
      <c r="AK1278" s="4292"/>
      <c r="AL1278" s="4292"/>
      <c r="AM1278" s="4292"/>
      <c r="AN1278" s="4292"/>
      <c r="AO1278" s="4292"/>
      <c r="AP1278" s="4292"/>
      <c r="AQ1278" s="4292"/>
      <c r="AR1278" s="4292"/>
      <c r="AS1278" s="4292"/>
      <c r="AT1278" s="4292"/>
      <c r="AU1278" s="4292"/>
      <c r="AV1278" s="4292"/>
      <c r="AW1278" s="4292"/>
      <c r="AX1278" s="4292"/>
      <c r="AY1278" s="4292"/>
      <c r="AZ1278" s="4292"/>
      <c r="BA1278" s="4292"/>
      <c r="BB1278" s="4292"/>
      <c r="BC1278" s="4292"/>
      <c r="BD1278" s="4303"/>
      <c r="BE1278" s="4303"/>
      <c r="BF1278" s="4303"/>
      <c r="BG1278" s="4303"/>
      <c r="BH1278" s="4303"/>
      <c r="BI1278" s="4303"/>
      <c r="BJ1278" s="4303"/>
      <c r="BK1278" s="4303"/>
      <c r="BL1278" s="4303"/>
      <c r="BM1278" s="4303"/>
      <c r="BN1278" s="4303"/>
      <c r="BO1278" s="4303"/>
      <c r="BP1278" s="4303"/>
      <c r="BQ1278" s="4303"/>
      <c r="BR1278" s="4303"/>
      <c r="BS1278" s="4303"/>
      <c r="BT1278" s="4303"/>
      <c r="BU1278" s="4303"/>
      <c r="BV1278" s="4303"/>
      <c r="BW1278" s="4303"/>
      <c r="BX1278" s="4303"/>
      <c r="BY1278" s="4303"/>
      <c r="BZ1278" s="4303"/>
      <c r="CA1278" s="4303"/>
      <c r="CB1278" s="4303"/>
      <c r="CC1278" s="4303"/>
      <c r="CD1278" s="4303"/>
      <c r="CE1278" s="4303"/>
      <c r="CF1278" s="4303"/>
      <c r="CG1278" s="4303"/>
      <c r="CH1278" s="4303"/>
      <c r="CI1278" s="4303"/>
      <c r="CJ1278" s="4303"/>
      <c r="CK1278" s="4303"/>
      <c r="CL1278" s="4303"/>
      <c r="CM1278" s="4303"/>
      <c r="CN1278" s="4303"/>
      <c r="CO1278" s="4303"/>
      <c r="CP1278" s="4303"/>
      <c r="CQ1278" s="4303"/>
      <c r="CR1278" s="4303"/>
      <c r="CS1278" s="4303"/>
      <c r="CT1278" s="4303"/>
      <c r="CU1278" s="4303"/>
      <c r="CV1278" s="4303"/>
      <c r="CW1278" s="4303"/>
      <c r="CX1278" s="4303"/>
      <c r="CY1278" s="4303"/>
      <c r="CZ1278" s="4303"/>
      <c r="DA1278" s="4303"/>
      <c r="DB1278" s="4303"/>
      <c r="DC1278" s="4303"/>
      <c r="DD1278" s="4303"/>
      <c r="DE1278" s="4303"/>
      <c r="DF1278" s="4303"/>
      <c r="DG1278" s="4303"/>
      <c r="DH1278" s="4303"/>
      <c r="DI1278" s="4303"/>
      <c r="DJ1278" s="4303"/>
      <c r="DK1278" s="4303"/>
      <c r="DL1278" s="4303"/>
      <c r="DM1278" s="4303"/>
      <c r="DN1278" s="4303"/>
      <c r="DO1278" s="4303"/>
      <c r="DP1278" s="4303"/>
      <c r="DQ1278" s="4303"/>
      <c r="DR1278" s="4303"/>
      <c r="DS1278" s="4303"/>
      <c r="DT1278" s="4134"/>
      <c r="DU1278" s="4134"/>
    </row>
    <row r="1279" s="4133" customFormat="1" ht="15.75" hidden="1" spans="1:125">
      <c r="A1279" s="4397"/>
      <c r="B1279" s="4292"/>
      <c r="C1279" s="4292"/>
      <c r="D1279" s="4292"/>
      <c r="E1279" s="4292"/>
      <c r="F1279" s="4292"/>
      <c r="G1279" s="4292"/>
      <c r="H1279" s="4292"/>
      <c r="I1279" s="4292"/>
      <c r="J1279" s="4292"/>
      <c r="K1279" s="4292"/>
      <c r="L1279" s="4292"/>
      <c r="M1279" s="4292"/>
      <c r="N1279" s="4292"/>
      <c r="O1279" s="4292"/>
      <c r="P1279" s="4292"/>
      <c r="Q1279" s="4292"/>
      <c r="R1279" s="4292"/>
      <c r="S1279" s="4292"/>
      <c r="T1279" s="4292"/>
      <c r="U1279" s="4292"/>
      <c r="V1279" s="4292"/>
      <c r="W1279" s="4292"/>
      <c r="X1279" s="4292"/>
      <c r="Y1279" s="4292"/>
      <c r="Z1279" s="4292"/>
      <c r="AA1279" s="4292"/>
      <c r="AB1279" s="4292"/>
      <c r="AC1279" s="4292"/>
      <c r="AD1279" s="4292"/>
      <c r="AE1279" s="4292"/>
      <c r="AF1279" s="4292"/>
      <c r="AG1279" s="4292"/>
      <c r="AH1279" s="4292"/>
      <c r="AI1279" s="4292"/>
      <c r="AJ1279" s="4292"/>
      <c r="AK1279" s="4292"/>
      <c r="AL1279" s="4292"/>
      <c r="AM1279" s="4292"/>
      <c r="AN1279" s="4292"/>
      <c r="AO1279" s="4292"/>
      <c r="AP1279" s="4292"/>
      <c r="AQ1279" s="4292"/>
      <c r="AR1279" s="4292"/>
      <c r="AS1279" s="4292"/>
      <c r="AT1279" s="4292"/>
      <c r="AU1279" s="4292"/>
      <c r="AV1279" s="4292"/>
      <c r="AW1279" s="4292"/>
      <c r="AX1279" s="4292"/>
      <c r="AY1279" s="4292"/>
      <c r="AZ1279" s="4292"/>
      <c r="BA1279" s="4292"/>
      <c r="BB1279" s="4292"/>
      <c r="BC1279" s="4292"/>
      <c r="BD1279" s="4303"/>
      <c r="BE1279" s="4303"/>
      <c r="BF1279" s="4303"/>
      <c r="BG1279" s="4303"/>
      <c r="BH1279" s="4303"/>
      <c r="BI1279" s="4303"/>
      <c r="BJ1279" s="4303"/>
      <c r="BK1279" s="4303"/>
      <c r="BL1279" s="4303"/>
      <c r="BM1279" s="4303"/>
      <c r="BN1279" s="4303"/>
      <c r="BO1279" s="4303"/>
      <c r="BP1279" s="4303"/>
      <c r="BQ1279" s="4303"/>
      <c r="BR1279" s="4303"/>
      <c r="BS1279" s="4303"/>
      <c r="BT1279" s="4303"/>
      <c r="BU1279" s="4303"/>
      <c r="BV1279" s="4303"/>
      <c r="BW1279" s="4303"/>
      <c r="BX1279" s="4303"/>
      <c r="BY1279" s="4303"/>
      <c r="BZ1279" s="4303"/>
      <c r="CA1279" s="4303"/>
      <c r="CB1279" s="4303"/>
      <c r="CC1279" s="4303"/>
      <c r="CD1279" s="4303"/>
      <c r="CE1279" s="4303"/>
      <c r="CF1279" s="4303"/>
      <c r="CG1279" s="4303"/>
      <c r="CH1279" s="4303"/>
      <c r="CI1279" s="4303"/>
      <c r="CJ1279" s="4303"/>
      <c r="CK1279" s="4303"/>
      <c r="CL1279" s="4303"/>
      <c r="CM1279" s="4303"/>
      <c r="CN1279" s="4303"/>
      <c r="CO1279" s="4303"/>
      <c r="CP1279" s="4303"/>
      <c r="CQ1279" s="4303"/>
      <c r="CR1279" s="4303"/>
      <c r="CS1279" s="4303"/>
      <c r="CT1279" s="4303"/>
      <c r="CU1279" s="4303"/>
      <c r="CV1279" s="4303"/>
      <c r="CW1279" s="4303"/>
      <c r="CX1279" s="4303"/>
      <c r="CY1279" s="4303"/>
      <c r="CZ1279" s="4303"/>
      <c r="DA1279" s="4303"/>
      <c r="DB1279" s="4303"/>
      <c r="DC1279" s="4303"/>
      <c r="DD1279" s="4303"/>
      <c r="DE1279" s="4303"/>
      <c r="DF1279" s="4303"/>
      <c r="DG1279" s="4303"/>
      <c r="DH1279" s="4303"/>
      <c r="DI1279" s="4303"/>
      <c r="DJ1279" s="4303"/>
      <c r="DK1279" s="4303"/>
      <c r="DL1279" s="4303"/>
      <c r="DM1279" s="4303"/>
      <c r="DN1279" s="4303"/>
      <c r="DO1279" s="4303"/>
      <c r="DP1279" s="4303"/>
      <c r="DQ1279" s="4303"/>
      <c r="DR1279" s="4303"/>
      <c r="DS1279" s="4303"/>
      <c r="DT1279" s="4134"/>
      <c r="DU1279" s="4134"/>
    </row>
    <row r="1280" s="4133" customFormat="1" ht="15.75" hidden="1" spans="1:125">
      <c r="A1280" s="4397"/>
      <c r="B1280" s="4292"/>
      <c r="C1280" s="4292"/>
      <c r="D1280" s="4292"/>
      <c r="E1280" s="4292"/>
      <c r="F1280" s="4292"/>
      <c r="G1280" s="4292"/>
      <c r="H1280" s="4292"/>
      <c r="I1280" s="4292"/>
      <c r="J1280" s="4292"/>
      <c r="K1280" s="4292"/>
      <c r="L1280" s="4292"/>
      <c r="M1280" s="4292"/>
      <c r="N1280" s="4292"/>
      <c r="O1280" s="4292"/>
      <c r="P1280" s="4292"/>
      <c r="Q1280" s="4292"/>
      <c r="R1280" s="4292"/>
      <c r="S1280" s="4292"/>
      <c r="T1280" s="4292"/>
      <c r="U1280" s="4292"/>
      <c r="V1280" s="4292"/>
      <c r="W1280" s="4292"/>
      <c r="X1280" s="4292"/>
      <c r="Y1280" s="4292"/>
      <c r="Z1280" s="4292"/>
      <c r="AA1280" s="4292"/>
      <c r="AB1280" s="4292"/>
      <c r="AC1280" s="4292"/>
      <c r="AD1280" s="4292"/>
      <c r="AE1280" s="4292"/>
      <c r="AF1280" s="4292"/>
      <c r="AG1280" s="4292"/>
      <c r="AH1280" s="4292"/>
      <c r="AI1280" s="4292"/>
      <c r="AJ1280" s="4292"/>
      <c r="AK1280" s="4292"/>
      <c r="AL1280" s="4292"/>
      <c r="AM1280" s="4292"/>
      <c r="AN1280" s="4292"/>
      <c r="AO1280" s="4292"/>
      <c r="AP1280" s="4292"/>
      <c r="AQ1280" s="4292"/>
      <c r="AR1280" s="4292"/>
      <c r="AS1280" s="4292"/>
      <c r="AT1280" s="4292"/>
      <c r="AU1280" s="4292"/>
      <c r="AV1280" s="4292"/>
      <c r="AW1280" s="4292"/>
      <c r="AX1280" s="4292"/>
      <c r="AY1280" s="4292"/>
      <c r="AZ1280" s="4292"/>
      <c r="BA1280" s="4292"/>
      <c r="BB1280" s="4292"/>
      <c r="BC1280" s="4292"/>
      <c r="BD1280" s="4303"/>
      <c r="BE1280" s="4303"/>
      <c r="BF1280" s="4303"/>
      <c r="BG1280" s="4303"/>
      <c r="BH1280" s="4303"/>
      <c r="BI1280" s="4303"/>
      <c r="BJ1280" s="4303"/>
      <c r="BK1280" s="4303"/>
      <c r="BL1280" s="4303"/>
      <c r="BM1280" s="4303"/>
      <c r="BN1280" s="4303"/>
      <c r="BO1280" s="4303"/>
      <c r="BP1280" s="4303"/>
      <c r="BQ1280" s="4303"/>
      <c r="BR1280" s="4303"/>
      <c r="BS1280" s="4303"/>
      <c r="BT1280" s="4303"/>
      <c r="BU1280" s="4303"/>
      <c r="BV1280" s="4303"/>
      <c r="BW1280" s="4303"/>
      <c r="BX1280" s="4303"/>
      <c r="BY1280" s="4303"/>
      <c r="BZ1280" s="4303"/>
      <c r="CA1280" s="4303"/>
      <c r="CB1280" s="4303"/>
      <c r="CC1280" s="4303"/>
      <c r="CD1280" s="4303"/>
      <c r="CE1280" s="4303"/>
      <c r="CF1280" s="4303"/>
      <c r="CG1280" s="4303"/>
      <c r="CH1280" s="4303"/>
      <c r="CI1280" s="4303"/>
      <c r="CJ1280" s="4303"/>
      <c r="CK1280" s="4303"/>
      <c r="CL1280" s="4303"/>
      <c r="CM1280" s="4303"/>
      <c r="CN1280" s="4303"/>
      <c r="CO1280" s="4303"/>
      <c r="CP1280" s="4303"/>
      <c r="CQ1280" s="4303"/>
      <c r="CR1280" s="4303"/>
      <c r="CS1280" s="4303"/>
      <c r="CT1280" s="4303"/>
      <c r="CU1280" s="4303"/>
      <c r="CV1280" s="4303"/>
      <c r="CW1280" s="4303"/>
      <c r="CX1280" s="4303"/>
      <c r="CY1280" s="4303"/>
      <c r="CZ1280" s="4303"/>
      <c r="DA1280" s="4303"/>
      <c r="DB1280" s="4303"/>
      <c r="DC1280" s="4303"/>
      <c r="DD1280" s="4303"/>
      <c r="DE1280" s="4303"/>
      <c r="DF1280" s="4303"/>
      <c r="DG1280" s="4303"/>
      <c r="DH1280" s="4303"/>
      <c r="DI1280" s="4303"/>
      <c r="DJ1280" s="4303"/>
      <c r="DK1280" s="4303"/>
      <c r="DL1280" s="4303"/>
      <c r="DM1280" s="4303"/>
      <c r="DN1280" s="4303"/>
      <c r="DO1280" s="4303"/>
      <c r="DP1280" s="4303"/>
      <c r="DQ1280" s="4303"/>
      <c r="DR1280" s="4303"/>
      <c r="DS1280" s="4303"/>
      <c r="DT1280" s="4134"/>
      <c r="DU1280" s="4134"/>
    </row>
    <row r="1281" s="4133" customFormat="1" ht="15.75" hidden="1" spans="1:125">
      <c r="A1281" s="4397"/>
      <c r="B1281" s="4292"/>
      <c r="C1281" s="4292"/>
      <c r="D1281" s="4292"/>
      <c r="E1281" s="4292"/>
      <c r="F1281" s="4292"/>
      <c r="G1281" s="4292"/>
      <c r="H1281" s="4292"/>
      <c r="I1281" s="4292"/>
      <c r="J1281" s="4292"/>
      <c r="K1281" s="4292"/>
      <c r="L1281" s="4292"/>
      <c r="M1281" s="4292"/>
      <c r="N1281" s="4292"/>
      <c r="O1281" s="4292"/>
      <c r="P1281" s="4292"/>
      <c r="Q1281" s="4292"/>
      <c r="R1281" s="4292"/>
      <c r="S1281" s="4292"/>
      <c r="T1281" s="4292"/>
      <c r="U1281" s="4292"/>
      <c r="V1281" s="4292"/>
      <c r="W1281" s="4292"/>
      <c r="X1281" s="4292"/>
      <c r="Y1281" s="4292"/>
      <c r="Z1281" s="4292"/>
      <c r="AA1281" s="4292"/>
      <c r="AB1281" s="4292"/>
      <c r="AC1281" s="4292"/>
      <c r="AD1281" s="4292"/>
      <c r="AE1281" s="4292"/>
      <c r="AF1281" s="4292"/>
      <c r="AG1281" s="4292"/>
      <c r="AH1281" s="4292"/>
      <c r="AI1281" s="4292"/>
      <c r="AJ1281" s="4292"/>
      <c r="AK1281" s="4292"/>
      <c r="AL1281" s="4292"/>
      <c r="AM1281" s="4292"/>
      <c r="AN1281" s="4292"/>
      <c r="AO1281" s="4292"/>
      <c r="AP1281" s="4292"/>
      <c r="AQ1281" s="4292"/>
      <c r="AR1281" s="4292"/>
      <c r="AS1281" s="4292"/>
      <c r="AT1281" s="4292"/>
      <c r="AU1281" s="4292"/>
      <c r="AV1281" s="4292"/>
      <c r="AW1281" s="4292"/>
      <c r="AX1281" s="4292"/>
      <c r="AY1281" s="4292"/>
      <c r="AZ1281" s="4292"/>
      <c r="BA1281" s="4292"/>
      <c r="BB1281" s="4292"/>
      <c r="BC1281" s="4292"/>
      <c r="BD1281" s="4303"/>
      <c r="BE1281" s="4303"/>
      <c r="BF1281" s="4303"/>
      <c r="BG1281" s="4303"/>
      <c r="BH1281" s="4303"/>
      <c r="BI1281" s="4303"/>
      <c r="BJ1281" s="4303"/>
      <c r="BK1281" s="4303"/>
      <c r="BL1281" s="4303"/>
      <c r="BM1281" s="4303"/>
      <c r="BN1281" s="4303"/>
      <c r="BO1281" s="4303"/>
      <c r="BP1281" s="4303"/>
      <c r="BQ1281" s="4303"/>
      <c r="BR1281" s="4303"/>
      <c r="BS1281" s="4303"/>
      <c r="BT1281" s="4303"/>
      <c r="BU1281" s="4303"/>
      <c r="BV1281" s="4303"/>
      <c r="BW1281" s="4303"/>
      <c r="BX1281" s="4303"/>
      <c r="BY1281" s="4303"/>
      <c r="BZ1281" s="4303"/>
      <c r="CA1281" s="4303"/>
      <c r="CB1281" s="4303"/>
      <c r="CC1281" s="4303"/>
      <c r="CD1281" s="4303"/>
      <c r="CE1281" s="4303"/>
      <c r="CF1281" s="4303"/>
      <c r="CG1281" s="4303"/>
      <c r="CH1281" s="4303"/>
      <c r="CI1281" s="4303"/>
      <c r="CJ1281" s="4303"/>
      <c r="CK1281" s="4303"/>
      <c r="CL1281" s="4303"/>
      <c r="CM1281" s="4303"/>
      <c r="CN1281" s="4303"/>
      <c r="CO1281" s="4303"/>
      <c r="CP1281" s="4303"/>
      <c r="CQ1281" s="4303"/>
      <c r="CR1281" s="4303"/>
      <c r="CS1281" s="4303"/>
      <c r="CT1281" s="4303"/>
      <c r="CU1281" s="4303"/>
      <c r="CV1281" s="4303"/>
      <c r="CW1281" s="4303"/>
      <c r="CX1281" s="4303"/>
      <c r="CY1281" s="4303"/>
      <c r="CZ1281" s="4303"/>
      <c r="DA1281" s="4303"/>
      <c r="DB1281" s="4303"/>
      <c r="DC1281" s="4303"/>
      <c r="DD1281" s="4303"/>
      <c r="DE1281" s="4303"/>
      <c r="DF1281" s="4303"/>
      <c r="DG1281" s="4303"/>
      <c r="DH1281" s="4303"/>
      <c r="DI1281" s="4303"/>
      <c r="DJ1281" s="4303"/>
      <c r="DK1281" s="4303"/>
      <c r="DL1281" s="4303"/>
      <c r="DM1281" s="4303"/>
      <c r="DN1281" s="4303"/>
      <c r="DO1281" s="4303"/>
      <c r="DP1281" s="4303"/>
      <c r="DQ1281" s="4303"/>
      <c r="DR1281" s="4303"/>
      <c r="DS1281" s="4303"/>
      <c r="DT1281" s="4134"/>
      <c r="DU1281" s="4134"/>
    </row>
    <row r="1282" s="4133" customFormat="1" ht="15.75" hidden="1" spans="1:125">
      <c r="A1282" s="4397"/>
      <c r="B1282" s="4292"/>
      <c r="C1282" s="4292"/>
      <c r="D1282" s="4292"/>
      <c r="E1282" s="4292"/>
      <c r="F1282" s="4292"/>
      <c r="G1282" s="4292"/>
      <c r="H1282" s="4292"/>
      <c r="I1282" s="4292"/>
      <c r="J1282" s="4292"/>
      <c r="K1282" s="4292"/>
      <c r="L1282" s="4292"/>
      <c r="M1282" s="4292"/>
      <c r="N1282" s="4292"/>
      <c r="O1282" s="4292"/>
      <c r="P1282" s="4292"/>
      <c r="Q1282" s="4292"/>
      <c r="R1282" s="4292"/>
      <c r="S1282" s="4292"/>
      <c r="T1282" s="4292"/>
      <c r="U1282" s="4292"/>
      <c r="V1282" s="4292"/>
      <c r="W1282" s="4292"/>
      <c r="X1282" s="4292"/>
      <c r="Y1282" s="4292"/>
      <c r="Z1282" s="4292"/>
      <c r="AA1282" s="4292"/>
      <c r="AB1282" s="4292"/>
      <c r="AC1282" s="4292"/>
      <c r="AD1282" s="4292"/>
      <c r="AE1282" s="4292"/>
      <c r="AF1282" s="4292"/>
      <c r="AG1282" s="4292"/>
      <c r="AH1282" s="4292"/>
      <c r="AI1282" s="4292"/>
      <c r="AJ1282" s="4292"/>
      <c r="AK1282" s="4292"/>
      <c r="AL1282" s="4292"/>
      <c r="AM1282" s="4292"/>
      <c r="AN1282" s="4292"/>
      <c r="AO1282" s="4292"/>
      <c r="AP1282" s="4292"/>
      <c r="AQ1282" s="4292"/>
      <c r="AR1282" s="4292"/>
      <c r="AS1282" s="4292"/>
      <c r="AT1282" s="4292"/>
      <c r="AU1282" s="4292"/>
      <c r="AV1282" s="4292"/>
      <c r="AW1282" s="4292"/>
      <c r="AX1282" s="4292"/>
      <c r="AY1282" s="4292"/>
      <c r="AZ1282" s="4292"/>
      <c r="BA1282" s="4292"/>
      <c r="BB1282" s="4292"/>
      <c r="BC1282" s="4292"/>
      <c r="BD1282" s="4303"/>
      <c r="BE1282" s="4303"/>
      <c r="BF1282" s="4303"/>
      <c r="BG1282" s="4303"/>
      <c r="BH1282" s="4303"/>
      <c r="BI1282" s="4303"/>
      <c r="BJ1282" s="4303"/>
      <c r="BK1282" s="4303"/>
      <c r="BL1282" s="4303"/>
      <c r="BM1282" s="4303"/>
      <c r="BN1282" s="4303"/>
      <c r="BO1282" s="4303"/>
      <c r="BP1282" s="4303"/>
      <c r="BQ1282" s="4303"/>
      <c r="BR1282" s="4303"/>
      <c r="BS1282" s="4303"/>
      <c r="BT1282" s="4303"/>
      <c r="BU1282" s="4303"/>
      <c r="BV1282" s="4303"/>
      <c r="BW1282" s="4303"/>
      <c r="BX1282" s="4303"/>
      <c r="BY1282" s="4303"/>
      <c r="BZ1282" s="4303"/>
      <c r="CA1282" s="4303"/>
      <c r="CB1282" s="4303"/>
      <c r="CC1282" s="4303"/>
      <c r="CD1282" s="4303"/>
      <c r="CE1282" s="4303"/>
      <c r="CF1282" s="4303"/>
      <c r="CG1282" s="4303"/>
      <c r="CH1282" s="4303"/>
      <c r="CI1282" s="4303"/>
      <c r="CJ1282" s="4303"/>
      <c r="CK1282" s="4303"/>
      <c r="CL1282" s="4303"/>
      <c r="CM1282" s="4303"/>
      <c r="CN1282" s="4303"/>
      <c r="CO1282" s="4303"/>
      <c r="CP1282" s="4303"/>
      <c r="CQ1282" s="4303"/>
      <c r="CR1282" s="4303"/>
      <c r="CS1282" s="4303"/>
      <c r="CT1282" s="4303"/>
      <c r="CU1282" s="4303"/>
      <c r="CV1282" s="4303"/>
      <c r="CW1282" s="4303"/>
      <c r="CX1282" s="4303"/>
      <c r="CY1282" s="4303"/>
      <c r="CZ1282" s="4303"/>
      <c r="DA1282" s="4303"/>
      <c r="DB1282" s="4303"/>
      <c r="DC1282" s="4303"/>
      <c r="DD1282" s="4303"/>
      <c r="DE1282" s="4303"/>
      <c r="DF1282" s="4303"/>
      <c r="DG1282" s="4303"/>
      <c r="DH1282" s="4303"/>
      <c r="DI1282" s="4303"/>
      <c r="DJ1282" s="4303"/>
      <c r="DK1282" s="4303"/>
      <c r="DL1282" s="4303"/>
      <c r="DM1282" s="4303"/>
      <c r="DN1282" s="4303"/>
      <c r="DO1282" s="4303"/>
      <c r="DP1282" s="4303"/>
      <c r="DQ1282" s="4303"/>
      <c r="DR1282" s="4303"/>
      <c r="DS1282" s="4303"/>
      <c r="DT1282" s="4134"/>
      <c r="DU1282" s="4134"/>
    </row>
    <row r="1283" s="4133" customFormat="1" ht="15.75" hidden="1" spans="1:125">
      <c r="A1283" s="4397"/>
      <c r="B1283" s="4292"/>
      <c r="C1283" s="4292"/>
      <c r="D1283" s="4292"/>
      <c r="E1283" s="4292"/>
      <c r="F1283" s="4292"/>
      <c r="G1283" s="4292"/>
      <c r="H1283" s="4292"/>
      <c r="I1283" s="4292"/>
      <c r="J1283" s="4292"/>
      <c r="K1283" s="4292"/>
      <c r="L1283" s="4292"/>
      <c r="M1283" s="4292"/>
      <c r="N1283" s="4292"/>
      <c r="O1283" s="4292"/>
      <c r="P1283" s="4292"/>
      <c r="Q1283" s="4292"/>
      <c r="R1283" s="4292"/>
      <c r="S1283" s="4292"/>
      <c r="T1283" s="4292"/>
      <c r="U1283" s="4292"/>
      <c r="V1283" s="4292"/>
      <c r="W1283" s="4292"/>
      <c r="X1283" s="4292"/>
      <c r="Y1283" s="4292"/>
      <c r="Z1283" s="4292"/>
      <c r="AA1283" s="4292"/>
      <c r="AB1283" s="4292"/>
      <c r="AC1283" s="4292"/>
      <c r="AD1283" s="4292"/>
      <c r="AE1283" s="4292"/>
      <c r="AF1283" s="4292"/>
      <c r="AG1283" s="4292"/>
      <c r="AH1283" s="4292"/>
      <c r="AI1283" s="4292"/>
      <c r="AJ1283" s="4292"/>
      <c r="AK1283" s="4292"/>
      <c r="AL1283" s="4292"/>
      <c r="AM1283" s="4292"/>
      <c r="AN1283" s="4292"/>
      <c r="AO1283" s="4292"/>
      <c r="AP1283" s="4292"/>
      <c r="AQ1283" s="4292"/>
      <c r="AR1283" s="4292"/>
      <c r="AS1283" s="4292"/>
      <c r="AT1283" s="4292"/>
      <c r="AU1283" s="4292"/>
      <c r="AV1283" s="4292"/>
      <c r="AW1283" s="4292"/>
      <c r="AX1283" s="4292"/>
      <c r="AY1283" s="4292"/>
      <c r="AZ1283" s="4292"/>
      <c r="BA1283" s="4292"/>
      <c r="BB1283" s="4292"/>
      <c r="BC1283" s="4292"/>
      <c r="BD1283" s="4303"/>
      <c r="BE1283" s="4303"/>
      <c r="BF1283" s="4303"/>
      <c r="BG1283" s="4303"/>
      <c r="BH1283" s="4303"/>
      <c r="BI1283" s="4303"/>
      <c r="BJ1283" s="4303"/>
      <c r="BK1283" s="4303"/>
      <c r="BL1283" s="4303"/>
      <c r="BM1283" s="4303"/>
      <c r="BN1283" s="4303"/>
      <c r="BO1283" s="4303"/>
      <c r="BP1283" s="4303"/>
      <c r="BQ1283" s="4303"/>
      <c r="BR1283" s="4303"/>
      <c r="BS1283" s="4303"/>
      <c r="BT1283" s="4303"/>
      <c r="BU1283" s="4303"/>
      <c r="BV1283" s="4303"/>
      <c r="BW1283" s="4303"/>
      <c r="BX1283" s="4303"/>
      <c r="BY1283" s="4303"/>
      <c r="BZ1283" s="4303"/>
      <c r="CA1283" s="4303"/>
      <c r="CB1283" s="4303"/>
      <c r="CC1283" s="4303"/>
      <c r="CD1283" s="4303"/>
      <c r="CE1283" s="4303"/>
      <c r="CF1283" s="4303"/>
      <c r="CG1283" s="4303"/>
      <c r="CH1283" s="4303"/>
      <c r="CI1283" s="4303"/>
      <c r="CJ1283" s="4303"/>
      <c r="CK1283" s="4303"/>
      <c r="CL1283" s="4303"/>
      <c r="CM1283" s="4303"/>
      <c r="CN1283" s="4303"/>
      <c r="CO1283" s="4303"/>
      <c r="CP1283" s="4303"/>
      <c r="CQ1283" s="4303"/>
      <c r="CR1283" s="4303"/>
      <c r="CS1283" s="4303"/>
      <c r="CT1283" s="4303"/>
      <c r="CU1283" s="4303"/>
      <c r="CV1283" s="4303"/>
      <c r="CW1283" s="4303"/>
      <c r="CX1283" s="4303"/>
      <c r="CY1283" s="4303"/>
      <c r="CZ1283" s="4303"/>
      <c r="DA1283" s="4303"/>
      <c r="DB1283" s="4303"/>
      <c r="DC1283" s="4303"/>
      <c r="DD1283" s="4303"/>
      <c r="DE1283" s="4303"/>
      <c r="DF1283" s="4303"/>
      <c r="DG1283" s="4303"/>
      <c r="DH1283" s="4303"/>
      <c r="DI1283" s="4303"/>
      <c r="DJ1283" s="4303"/>
      <c r="DK1283" s="4303"/>
      <c r="DL1283" s="4303"/>
      <c r="DM1283" s="4303"/>
      <c r="DN1283" s="4303"/>
      <c r="DO1283" s="4303"/>
      <c r="DP1283" s="4303"/>
      <c r="DQ1283" s="4303"/>
      <c r="DR1283" s="4303"/>
      <c r="DS1283" s="4303"/>
      <c r="DT1283" s="4134"/>
      <c r="DU1283" s="4134"/>
    </row>
    <row r="1284" s="4133" customFormat="1" ht="15.75" hidden="1" spans="1:125">
      <c r="A1284" s="4397"/>
      <c r="B1284" s="4292"/>
      <c r="C1284" s="4292"/>
      <c r="D1284" s="4292"/>
      <c r="E1284" s="4292"/>
      <c r="F1284" s="4292"/>
      <c r="G1284" s="4292"/>
      <c r="H1284" s="4292"/>
      <c r="I1284" s="4292"/>
      <c r="J1284" s="4292"/>
      <c r="K1284" s="4292"/>
      <c r="L1284" s="4292"/>
      <c r="M1284" s="4292"/>
      <c r="N1284" s="4292"/>
      <c r="O1284" s="4292"/>
      <c r="P1284" s="4292"/>
      <c r="Q1284" s="4292"/>
      <c r="R1284" s="4292"/>
      <c r="S1284" s="4292"/>
      <c r="T1284" s="4292"/>
      <c r="U1284" s="4292"/>
      <c r="V1284" s="4292"/>
      <c r="W1284" s="4292"/>
      <c r="X1284" s="4292"/>
      <c r="Y1284" s="4292"/>
      <c r="Z1284" s="4292"/>
      <c r="AA1284" s="4292"/>
      <c r="AB1284" s="4292"/>
      <c r="AC1284" s="4292"/>
      <c r="AD1284" s="4292"/>
      <c r="AE1284" s="4292"/>
      <c r="AF1284" s="4292"/>
      <c r="AG1284" s="4292"/>
      <c r="AH1284" s="4292"/>
      <c r="AI1284" s="4292"/>
      <c r="AJ1284" s="4292"/>
      <c r="AK1284" s="4292"/>
      <c r="AL1284" s="4292"/>
      <c r="AM1284" s="4292"/>
      <c r="AN1284" s="4292"/>
      <c r="AO1284" s="4292"/>
      <c r="AP1284" s="4292"/>
      <c r="AQ1284" s="4292"/>
      <c r="AR1284" s="4292"/>
      <c r="AS1284" s="4292"/>
      <c r="AT1284" s="4292"/>
      <c r="AU1284" s="4292"/>
      <c r="AV1284" s="4292"/>
      <c r="AW1284" s="4292"/>
      <c r="AX1284" s="4292"/>
      <c r="AY1284" s="4292"/>
      <c r="AZ1284" s="4292"/>
      <c r="BA1284" s="4292"/>
      <c r="BB1284" s="4292"/>
      <c r="BC1284" s="4292"/>
      <c r="BD1284" s="4303"/>
      <c r="BE1284" s="4303"/>
      <c r="BF1284" s="4303"/>
      <c r="BG1284" s="4303"/>
      <c r="BH1284" s="4303"/>
      <c r="BI1284" s="4303"/>
      <c r="BJ1284" s="4303"/>
      <c r="BK1284" s="4303"/>
      <c r="BL1284" s="4303"/>
      <c r="BM1284" s="4303"/>
      <c r="BN1284" s="4303"/>
      <c r="BO1284" s="4303"/>
      <c r="BP1284" s="4303"/>
      <c r="BQ1284" s="4303"/>
      <c r="BR1284" s="4303"/>
      <c r="BS1284" s="4303"/>
      <c r="BT1284" s="4303"/>
      <c r="BU1284" s="4303"/>
      <c r="BV1284" s="4303"/>
      <c r="BW1284" s="4303"/>
      <c r="BX1284" s="4303"/>
      <c r="BY1284" s="4303"/>
      <c r="BZ1284" s="4303"/>
      <c r="CA1284" s="4303"/>
      <c r="CB1284" s="4303"/>
      <c r="CC1284" s="4303"/>
      <c r="CD1284" s="4303"/>
      <c r="CE1284" s="4303"/>
      <c r="CF1284" s="4303"/>
      <c r="CG1284" s="4303"/>
      <c r="CH1284" s="4303"/>
      <c r="CI1284" s="4303"/>
      <c r="CJ1284" s="4303"/>
      <c r="CK1284" s="4303"/>
      <c r="CL1284" s="4303"/>
      <c r="CM1284" s="4303"/>
      <c r="CN1284" s="4303"/>
      <c r="CO1284" s="4303"/>
      <c r="CP1284" s="4303"/>
      <c r="CQ1284" s="4303"/>
      <c r="CR1284" s="4303"/>
      <c r="CS1284" s="4303"/>
      <c r="CT1284" s="4303"/>
      <c r="CU1284" s="4303"/>
      <c r="CV1284" s="4303"/>
      <c r="CW1284" s="4303"/>
      <c r="CX1284" s="4303"/>
      <c r="CY1284" s="4303"/>
      <c r="CZ1284" s="4303"/>
      <c r="DA1284" s="4303"/>
      <c r="DB1284" s="4303"/>
      <c r="DC1284" s="4303"/>
      <c r="DD1284" s="4303"/>
      <c r="DE1284" s="4303"/>
      <c r="DF1284" s="4303"/>
      <c r="DG1284" s="4303"/>
      <c r="DH1284" s="4303"/>
      <c r="DI1284" s="4303"/>
      <c r="DJ1284" s="4303"/>
      <c r="DK1284" s="4303"/>
      <c r="DL1284" s="4303"/>
      <c r="DM1284" s="4303"/>
      <c r="DN1284" s="4303"/>
      <c r="DO1284" s="4303"/>
      <c r="DP1284" s="4303"/>
      <c r="DQ1284" s="4303"/>
      <c r="DR1284" s="4303"/>
      <c r="DS1284" s="4303"/>
      <c r="DT1284" s="4134"/>
      <c r="DU1284" s="4134"/>
    </row>
    <row r="1285" s="4133" customFormat="1" ht="15.75" hidden="1" spans="1:125">
      <c r="A1285" s="4397"/>
      <c r="B1285" s="4292"/>
      <c r="C1285" s="4292"/>
      <c r="D1285" s="4292"/>
      <c r="E1285" s="4292"/>
      <c r="F1285" s="4292"/>
      <c r="G1285" s="4292"/>
      <c r="H1285" s="4292"/>
      <c r="I1285" s="4292"/>
      <c r="J1285" s="4292"/>
      <c r="K1285" s="4292"/>
      <c r="L1285" s="4292"/>
      <c r="M1285" s="4292"/>
      <c r="N1285" s="4292"/>
      <c r="O1285" s="4292"/>
      <c r="P1285" s="4292"/>
      <c r="Q1285" s="4292"/>
      <c r="R1285" s="4292"/>
      <c r="S1285" s="4292"/>
      <c r="T1285" s="4292"/>
      <c r="U1285" s="4292"/>
      <c r="V1285" s="4292"/>
      <c r="W1285" s="4292"/>
      <c r="X1285" s="4292"/>
      <c r="Y1285" s="4292"/>
      <c r="Z1285" s="4292"/>
      <c r="AA1285" s="4292"/>
      <c r="AB1285" s="4292"/>
      <c r="AC1285" s="4292"/>
      <c r="AD1285" s="4292"/>
      <c r="AE1285" s="4292"/>
      <c r="AF1285" s="4292"/>
      <c r="AG1285" s="4292"/>
      <c r="AH1285" s="4292"/>
      <c r="AI1285" s="4292"/>
      <c r="AJ1285" s="4292"/>
      <c r="AK1285" s="4292"/>
      <c r="AL1285" s="4292"/>
      <c r="AM1285" s="4292"/>
      <c r="AN1285" s="4292"/>
      <c r="AO1285" s="4292"/>
      <c r="AP1285" s="4292"/>
      <c r="AQ1285" s="4292"/>
      <c r="AR1285" s="4292"/>
      <c r="AS1285" s="4292"/>
      <c r="AT1285" s="4292"/>
      <c r="AU1285" s="4292"/>
      <c r="AV1285" s="4292"/>
      <c r="AW1285" s="4292"/>
      <c r="AX1285" s="4292"/>
      <c r="AY1285" s="4292"/>
      <c r="AZ1285" s="4292"/>
      <c r="BA1285" s="4292"/>
      <c r="BB1285" s="4292"/>
      <c r="BC1285" s="4292"/>
      <c r="BD1285" s="4303"/>
      <c r="BE1285" s="4303"/>
      <c r="BF1285" s="4303"/>
      <c r="BG1285" s="4303"/>
      <c r="BH1285" s="4303"/>
      <c r="BI1285" s="4303"/>
      <c r="BJ1285" s="4303"/>
      <c r="BK1285" s="4303"/>
      <c r="BL1285" s="4303"/>
      <c r="BM1285" s="4303"/>
      <c r="BN1285" s="4303"/>
      <c r="BO1285" s="4303"/>
      <c r="BP1285" s="4303"/>
      <c r="BQ1285" s="4303"/>
      <c r="BR1285" s="4303"/>
      <c r="BS1285" s="4303"/>
      <c r="BT1285" s="4303"/>
      <c r="BU1285" s="4303"/>
      <c r="BV1285" s="4303"/>
      <c r="BW1285" s="4303"/>
      <c r="BX1285" s="4303"/>
      <c r="BY1285" s="4303"/>
      <c r="BZ1285" s="4303"/>
      <c r="CA1285" s="4303"/>
      <c r="CB1285" s="4303"/>
      <c r="CC1285" s="4303"/>
      <c r="CD1285" s="4303"/>
      <c r="CE1285" s="4303"/>
      <c r="CF1285" s="4303"/>
      <c r="CG1285" s="4303"/>
      <c r="CH1285" s="4303"/>
      <c r="CI1285" s="4303"/>
      <c r="CJ1285" s="4303"/>
      <c r="CK1285" s="4303"/>
      <c r="CL1285" s="4303"/>
      <c r="CM1285" s="4303"/>
      <c r="CN1285" s="4303"/>
      <c r="CO1285" s="4303"/>
      <c r="CP1285" s="4303"/>
      <c r="CQ1285" s="4303"/>
      <c r="CR1285" s="4303"/>
      <c r="CS1285" s="4303"/>
      <c r="CT1285" s="4303"/>
      <c r="CU1285" s="4303"/>
      <c r="CV1285" s="4303"/>
      <c r="CW1285" s="4303"/>
      <c r="CX1285" s="4303"/>
      <c r="CY1285" s="4303"/>
      <c r="CZ1285" s="4303"/>
      <c r="DA1285" s="4303"/>
      <c r="DB1285" s="4303"/>
      <c r="DC1285" s="4303"/>
      <c r="DD1285" s="4303"/>
      <c r="DE1285" s="4303"/>
      <c r="DF1285" s="4303"/>
      <c r="DG1285" s="4303"/>
      <c r="DH1285" s="4303"/>
      <c r="DI1285" s="4303"/>
      <c r="DJ1285" s="4303"/>
      <c r="DK1285" s="4303"/>
      <c r="DL1285" s="4303"/>
      <c r="DM1285" s="4303"/>
      <c r="DN1285" s="4303"/>
      <c r="DO1285" s="4303"/>
      <c r="DP1285" s="4303"/>
      <c r="DQ1285" s="4303"/>
      <c r="DR1285" s="4303"/>
      <c r="DS1285" s="4303"/>
      <c r="DT1285" s="4134"/>
      <c r="DU1285" s="4134"/>
    </row>
    <row r="1286" s="4133" customFormat="1" ht="15.75" hidden="1" spans="1:125">
      <c r="A1286" s="4397"/>
      <c r="B1286" s="4292"/>
      <c r="C1286" s="4292"/>
      <c r="D1286" s="4292"/>
      <c r="E1286" s="4292"/>
      <c r="F1286" s="4292"/>
      <c r="G1286" s="4292"/>
      <c r="H1286" s="4292"/>
      <c r="I1286" s="4292"/>
      <c r="J1286" s="4292"/>
      <c r="K1286" s="4292"/>
      <c r="L1286" s="4292"/>
      <c r="M1286" s="4292"/>
      <c r="N1286" s="4292"/>
      <c r="O1286" s="4292"/>
      <c r="P1286" s="4292"/>
      <c r="Q1286" s="4292"/>
      <c r="R1286" s="4292"/>
      <c r="S1286" s="4292"/>
      <c r="T1286" s="4292"/>
      <c r="U1286" s="4292"/>
      <c r="V1286" s="4292"/>
      <c r="W1286" s="4292"/>
      <c r="X1286" s="4292"/>
      <c r="Y1286" s="4292"/>
      <c r="Z1286" s="4292"/>
      <c r="AA1286" s="4292"/>
      <c r="AB1286" s="4292"/>
      <c r="AC1286" s="4292"/>
      <c r="AD1286" s="4292"/>
      <c r="AE1286" s="4292"/>
      <c r="AF1286" s="4292"/>
      <c r="AG1286" s="4292"/>
      <c r="AH1286" s="4292"/>
      <c r="AI1286" s="4292"/>
      <c r="AJ1286" s="4292"/>
      <c r="AK1286" s="4292"/>
      <c r="AL1286" s="4292"/>
      <c r="AM1286" s="4292"/>
      <c r="AN1286" s="4292"/>
      <c r="AO1286" s="4292"/>
      <c r="AP1286" s="4292"/>
      <c r="AQ1286" s="4292"/>
      <c r="AR1286" s="4292"/>
      <c r="AS1286" s="4292"/>
      <c r="AT1286" s="4292"/>
      <c r="AU1286" s="4292"/>
      <c r="AV1286" s="4292"/>
      <c r="AW1286" s="4292"/>
      <c r="AX1286" s="4292"/>
      <c r="AY1286" s="4292"/>
      <c r="AZ1286" s="4292"/>
      <c r="BA1286" s="4292"/>
      <c r="BB1286" s="4292"/>
      <c r="BC1286" s="4292"/>
      <c r="BD1286" s="4303"/>
      <c r="BE1286" s="4303"/>
      <c r="BF1286" s="4303"/>
      <c r="BG1286" s="4303"/>
      <c r="BH1286" s="4303"/>
      <c r="BI1286" s="4303"/>
      <c r="BJ1286" s="4303"/>
      <c r="BK1286" s="4303"/>
      <c r="BL1286" s="4303"/>
      <c r="BM1286" s="4303"/>
      <c r="BN1286" s="4303"/>
      <c r="BO1286" s="4303"/>
      <c r="BP1286" s="4303"/>
      <c r="BQ1286" s="4303"/>
      <c r="BR1286" s="4303"/>
      <c r="BS1286" s="4303"/>
      <c r="BT1286" s="4303"/>
      <c r="BU1286" s="4303"/>
      <c r="BV1286" s="4303"/>
      <c r="BW1286" s="4303"/>
      <c r="BX1286" s="4303"/>
      <c r="BY1286" s="4303"/>
      <c r="BZ1286" s="4303"/>
      <c r="CA1286" s="4303"/>
      <c r="CB1286" s="4303"/>
      <c r="CC1286" s="4303"/>
      <c r="CD1286" s="4303"/>
      <c r="CE1286" s="4303"/>
      <c r="CF1286" s="4303"/>
      <c r="CG1286" s="4303"/>
      <c r="CH1286" s="4303"/>
      <c r="CI1286" s="4303"/>
      <c r="CJ1286" s="4303"/>
      <c r="CK1286" s="4303"/>
      <c r="CL1286" s="4303"/>
      <c r="CM1286" s="4303"/>
      <c r="CN1286" s="4303"/>
      <c r="CO1286" s="4303"/>
      <c r="CP1286" s="4303"/>
      <c r="CQ1286" s="4303"/>
      <c r="CR1286" s="4303"/>
      <c r="CS1286" s="4303"/>
      <c r="CT1286" s="4303"/>
      <c r="CU1286" s="4303"/>
      <c r="CV1286" s="4303"/>
      <c r="CW1286" s="4303"/>
      <c r="CX1286" s="4303"/>
      <c r="CY1286" s="4303"/>
      <c r="CZ1286" s="4303"/>
      <c r="DA1286" s="4303"/>
      <c r="DB1286" s="4303"/>
      <c r="DC1286" s="4303"/>
      <c r="DD1286" s="4303"/>
      <c r="DE1286" s="4303"/>
      <c r="DF1286" s="4303"/>
      <c r="DG1286" s="4303"/>
      <c r="DH1286" s="4303"/>
      <c r="DI1286" s="4303"/>
      <c r="DJ1286" s="4303"/>
      <c r="DK1286" s="4303"/>
      <c r="DL1286" s="4303"/>
      <c r="DM1286" s="4303"/>
      <c r="DN1286" s="4303"/>
      <c r="DO1286" s="4303"/>
      <c r="DP1286" s="4303"/>
      <c r="DQ1286" s="4303"/>
      <c r="DR1286" s="4303"/>
      <c r="DS1286" s="4303"/>
      <c r="DT1286" s="4134"/>
      <c r="DU1286" s="4134"/>
    </row>
    <row r="1287" s="4133" customFormat="1" ht="15.75" hidden="1" spans="1:125">
      <c r="A1287" s="4397"/>
      <c r="B1287" s="4292"/>
      <c r="C1287" s="4292"/>
      <c r="D1287" s="4292"/>
      <c r="E1287" s="4292"/>
      <c r="F1287" s="4292"/>
      <c r="G1287" s="4292"/>
      <c r="H1287" s="4292"/>
      <c r="I1287" s="4292"/>
      <c r="J1287" s="4292"/>
      <c r="K1287" s="4292"/>
      <c r="L1287" s="4292"/>
      <c r="M1287" s="4292"/>
      <c r="N1287" s="4292"/>
      <c r="O1287" s="4292"/>
      <c r="P1287" s="4292"/>
      <c r="Q1287" s="4292"/>
      <c r="R1287" s="4292"/>
      <c r="S1287" s="4292"/>
      <c r="T1287" s="4292"/>
      <c r="U1287" s="4292"/>
      <c r="V1287" s="4292"/>
      <c r="W1287" s="4292"/>
      <c r="X1287" s="4292"/>
      <c r="Y1287" s="4292"/>
      <c r="Z1287" s="4292"/>
      <c r="AA1287" s="4292"/>
      <c r="AB1287" s="4292"/>
      <c r="AC1287" s="4292"/>
      <c r="AD1287" s="4292"/>
      <c r="AE1287" s="4292"/>
      <c r="AF1287" s="4292"/>
      <c r="AG1287" s="4292"/>
      <c r="AH1287" s="4292"/>
      <c r="AI1287" s="4292"/>
      <c r="AJ1287" s="4292"/>
      <c r="AK1287" s="4292"/>
      <c r="AL1287" s="4292"/>
      <c r="AM1287" s="4292"/>
      <c r="AN1287" s="4292"/>
      <c r="AO1287" s="4292"/>
      <c r="AP1287" s="4292"/>
      <c r="AQ1287" s="4292"/>
      <c r="AR1287" s="4292"/>
      <c r="AS1287" s="4292"/>
      <c r="AT1287" s="4292"/>
      <c r="AU1287" s="4292"/>
      <c r="AV1287" s="4292"/>
      <c r="AW1287" s="4292"/>
      <c r="AX1287" s="4292"/>
      <c r="AY1287" s="4292"/>
      <c r="AZ1287" s="4292"/>
      <c r="BA1287" s="4292"/>
      <c r="BB1287" s="4292"/>
      <c r="BC1287" s="4292"/>
      <c r="BD1287" s="4303"/>
      <c r="BE1287" s="4303"/>
      <c r="BF1287" s="4303"/>
      <c r="BG1287" s="4303"/>
      <c r="BH1287" s="4303"/>
      <c r="BI1287" s="4303"/>
      <c r="BJ1287" s="4303"/>
      <c r="BK1287" s="4303"/>
      <c r="BL1287" s="4303"/>
      <c r="BM1287" s="4303"/>
      <c r="BN1287" s="4303"/>
      <c r="BO1287" s="4303"/>
      <c r="BP1287" s="4303"/>
      <c r="BQ1287" s="4303"/>
      <c r="BR1287" s="4303"/>
      <c r="BS1287" s="4303"/>
      <c r="BT1287" s="4303"/>
      <c r="BU1287" s="4303"/>
      <c r="BV1287" s="4303"/>
      <c r="BW1287" s="4303"/>
      <c r="BX1287" s="4303"/>
      <c r="BY1287" s="4303"/>
      <c r="BZ1287" s="4303"/>
      <c r="CA1287" s="4303"/>
      <c r="CB1287" s="4303"/>
      <c r="CC1287" s="4303"/>
      <c r="CD1287" s="4303"/>
      <c r="CE1287" s="4303"/>
      <c r="CF1287" s="4303"/>
      <c r="CG1287" s="4303"/>
      <c r="CH1287" s="4303"/>
      <c r="CI1287" s="4303"/>
      <c r="CJ1287" s="4303"/>
      <c r="CK1287" s="4303"/>
      <c r="CL1287" s="4303"/>
      <c r="CM1287" s="4303"/>
      <c r="CN1287" s="4303"/>
      <c r="CO1287" s="4303"/>
      <c r="CP1287" s="4303"/>
      <c r="CQ1287" s="4303"/>
      <c r="CR1287" s="4303"/>
      <c r="CS1287" s="4303"/>
      <c r="CT1287" s="4303"/>
      <c r="CU1287" s="4303"/>
      <c r="CV1287" s="4303"/>
      <c r="CW1287" s="4303"/>
      <c r="CX1287" s="4303"/>
      <c r="CY1287" s="4303"/>
      <c r="CZ1287" s="4303"/>
      <c r="DA1287" s="4303"/>
      <c r="DB1287" s="4303"/>
      <c r="DC1287" s="4303"/>
      <c r="DD1287" s="4303"/>
      <c r="DE1287" s="4303"/>
      <c r="DF1287" s="4303"/>
      <c r="DG1287" s="4303"/>
      <c r="DH1287" s="4303"/>
      <c r="DI1287" s="4303"/>
      <c r="DJ1287" s="4303"/>
      <c r="DK1287" s="4303"/>
      <c r="DL1287" s="4303"/>
      <c r="DM1287" s="4303"/>
      <c r="DN1287" s="4303"/>
      <c r="DO1287" s="4303"/>
      <c r="DP1287" s="4303"/>
      <c r="DQ1287" s="4303"/>
      <c r="DR1287" s="4303"/>
      <c r="DS1287" s="4303"/>
      <c r="DT1287" s="4134"/>
      <c r="DU1287" s="4134"/>
    </row>
    <row r="1288" s="4133" customFormat="1" ht="15.75" hidden="1" spans="1:125">
      <c r="A1288" s="4397"/>
      <c r="B1288" s="4292"/>
      <c r="C1288" s="4292"/>
      <c r="D1288" s="4292"/>
      <c r="E1288" s="4292"/>
      <c r="F1288" s="4292"/>
      <c r="G1288" s="4292"/>
      <c r="H1288" s="4292"/>
      <c r="I1288" s="4292"/>
      <c r="J1288" s="4292"/>
      <c r="K1288" s="4292"/>
      <c r="L1288" s="4292"/>
      <c r="M1288" s="4292"/>
      <c r="N1288" s="4292"/>
      <c r="O1288" s="4292"/>
      <c r="P1288" s="4292"/>
      <c r="Q1288" s="4292"/>
      <c r="R1288" s="4292"/>
      <c r="S1288" s="4292"/>
      <c r="T1288" s="4292"/>
      <c r="U1288" s="4292"/>
      <c r="V1288" s="4292"/>
      <c r="W1288" s="4292"/>
      <c r="X1288" s="4292"/>
      <c r="Y1288" s="4292"/>
      <c r="Z1288" s="4292"/>
      <c r="AA1288" s="4292"/>
      <c r="AB1288" s="4292"/>
      <c r="AC1288" s="4292"/>
      <c r="AD1288" s="4292"/>
      <c r="AE1288" s="4292"/>
      <c r="AF1288" s="4292"/>
      <c r="AG1288" s="4292"/>
      <c r="AH1288" s="4292"/>
      <c r="AI1288" s="4292"/>
      <c r="AJ1288" s="4292"/>
      <c r="AK1288" s="4292"/>
      <c r="AL1288" s="4292"/>
      <c r="AM1288" s="4292"/>
      <c r="AN1288" s="4292"/>
      <c r="AO1288" s="4292"/>
      <c r="AP1288" s="4292"/>
      <c r="AQ1288" s="4292"/>
      <c r="AR1288" s="4292"/>
      <c r="AS1288" s="4292"/>
      <c r="AT1288" s="4292"/>
      <c r="AU1288" s="4292"/>
      <c r="AV1288" s="4292"/>
      <c r="AW1288" s="4292"/>
      <c r="AX1288" s="4292"/>
      <c r="AY1288" s="4292"/>
      <c r="AZ1288" s="4292"/>
      <c r="BA1288" s="4292"/>
      <c r="BB1288" s="4292"/>
      <c r="BC1288" s="4292"/>
      <c r="BD1288" s="4303"/>
      <c r="BE1288" s="4303"/>
      <c r="BF1288" s="4303"/>
      <c r="BG1288" s="4303"/>
      <c r="BH1288" s="4303"/>
      <c r="BI1288" s="4303"/>
      <c r="BJ1288" s="4303"/>
      <c r="BK1288" s="4303"/>
      <c r="BL1288" s="4303"/>
      <c r="BM1288" s="4303"/>
      <c r="BN1288" s="4303"/>
      <c r="BO1288" s="4303"/>
      <c r="BP1288" s="4303"/>
      <c r="BQ1288" s="4303"/>
      <c r="BR1288" s="4303"/>
      <c r="BS1288" s="4303"/>
      <c r="BT1288" s="4303"/>
      <c r="BU1288" s="4303"/>
      <c r="BV1288" s="4303"/>
      <c r="BW1288" s="4303"/>
      <c r="BX1288" s="4303"/>
      <c r="BY1288" s="4303"/>
      <c r="BZ1288" s="4303"/>
      <c r="CA1288" s="4303"/>
      <c r="CB1288" s="4303"/>
      <c r="CC1288" s="4303"/>
      <c r="CD1288" s="4303"/>
      <c r="CE1288" s="4303"/>
      <c r="CF1288" s="4303"/>
      <c r="CG1288" s="4303"/>
      <c r="CH1288" s="4303"/>
      <c r="CI1288" s="4303"/>
      <c r="CJ1288" s="4303"/>
      <c r="CK1288" s="4303"/>
      <c r="CL1288" s="4303"/>
      <c r="CM1288" s="4303"/>
      <c r="CN1288" s="4303"/>
      <c r="CO1288" s="4303"/>
      <c r="CP1288" s="4303"/>
      <c r="CQ1288" s="4303"/>
      <c r="CR1288" s="4303"/>
      <c r="CS1288" s="4303"/>
      <c r="CT1288" s="4303"/>
      <c r="CU1288" s="4303"/>
      <c r="CV1288" s="4303"/>
      <c r="CW1288" s="4303"/>
      <c r="CX1288" s="4303"/>
      <c r="CY1288" s="4303"/>
      <c r="CZ1288" s="4303"/>
      <c r="DA1288" s="4303"/>
      <c r="DB1288" s="4303"/>
      <c r="DC1288" s="4303"/>
      <c r="DD1288" s="4303"/>
      <c r="DE1288" s="4303"/>
      <c r="DF1288" s="4303"/>
      <c r="DG1288" s="4303"/>
      <c r="DH1288" s="4303"/>
      <c r="DI1288" s="4303"/>
      <c r="DJ1288" s="4303"/>
      <c r="DK1288" s="4303"/>
      <c r="DL1288" s="4303"/>
      <c r="DM1288" s="4303"/>
      <c r="DN1288" s="4303"/>
      <c r="DO1288" s="4303"/>
      <c r="DP1288" s="4303"/>
      <c r="DQ1288" s="4303"/>
      <c r="DR1288" s="4303"/>
      <c r="DS1288" s="4303"/>
      <c r="DT1288" s="4134"/>
      <c r="DU1288" s="4134"/>
    </row>
    <row r="1289" s="4133" customFormat="1" ht="15.75" hidden="1" spans="1:125">
      <c r="A1289" s="4397"/>
      <c r="B1289" s="4292"/>
      <c r="C1289" s="4292"/>
      <c r="D1289" s="4292"/>
      <c r="E1289" s="4292"/>
      <c r="F1289" s="4292"/>
      <c r="G1289" s="4292"/>
      <c r="H1289" s="4292"/>
      <c r="I1289" s="4292"/>
      <c r="J1289" s="4292"/>
      <c r="K1289" s="4292"/>
      <c r="L1289" s="4292"/>
      <c r="M1289" s="4292"/>
      <c r="N1289" s="4292"/>
      <c r="O1289" s="4292"/>
      <c r="P1289" s="4292"/>
      <c r="Q1289" s="4292"/>
      <c r="R1289" s="4292"/>
      <c r="S1289" s="4292"/>
      <c r="T1289" s="4292"/>
      <c r="U1289" s="4292"/>
      <c r="V1289" s="4292"/>
      <c r="W1289" s="4292"/>
      <c r="X1289" s="4292"/>
      <c r="Y1289" s="4292"/>
      <c r="Z1289" s="4292"/>
      <c r="AA1289" s="4292"/>
      <c r="AB1289" s="4292"/>
      <c r="AC1289" s="4292"/>
      <c r="AD1289" s="4292"/>
      <c r="AE1289" s="4292"/>
      <c r="AF1289" s="4292"/>
      <c r="AG1289" s="4292"/>
      <c r="AH1289" s="4292"/>
      <c r="AI1289" s="4292"/>
      <c r="AJ1289" s="4292"/>
      <c r="AK1289" s="4292"/>
      <c r="AL1289" s="4292"/>
      <c r="AM1289" s="4292"/>
      <c r="AN1289" s="4292"/>
      <c r="AO1289" s="4292"/>
      <c r="AP1289" s="4292"/>
      <c r="AQ1289" s="4292"/>
      <c r="AR1289" s="4292"/>
      <c r="AS1289" s="4292"/>
      <c r="AT1289" s="4292"/>
      <c r="AU1289" s="4292"/>
      <c r="AV1289" s="4292"/>
      <c r="AW1289" s="4292"/>
      <c r="AX1289" s="4292"/>
      <c r="AY1289" s="4292"/>
      <c r="AZ1289" s="4292"/>
      <c r="BA1289" s="4292"/>
      <c r="BB1289" s="4292"/>
      <c r="BC1289" s="4292"/>
      <c r="BD1289" s="4303"/>
      <c r="BE1289" s="4303"/>
      <c r="BF1289" s="4303"/>
      <c r="BG1289" s="4303"/>
      <c r="BH1289" s="4303"/>
      <c r="BI1289" s="4303"/>
      <c r="BJ1289" s="4303"/>
      <c r="BK1289" s="4303"/>
      <c r="BL1289" s="4303"/>
      <c r="BM1289" s="4303"/>
      <c r="BN1289" s="4303"/>
      <c r="BO1289" s="4303"/>
      <c r="BP1289" s="4303"/>
      <c r="BQ1289" s="4303"/>
      <c r="BR1289" s="4303"/>
      <c r="BS1289" s="4303"/>
      <c r="BT1289" s="4303"/>
      <c r="BU1289" s="4303"/>
      <c r="BV1289" s="4303"/>
      <c r="BW1289" s="4303"/>
      <c r="BX1289" s="4303"/>
      <c r="BY1289" s="4303"/>
      <c r="BZ1289" s="4303"/>
      <c r="CA1289" s="4303"/>
      <c r="CB1289" s="4303"/>
      <c r="CC1289" s="4303"/>
      <c r="CD1289" s="4303"/>
      <c r="CE1289" s="4303"/>
      <c r="CF1289" s="4303"/>
      <c r="CG1289" s="4303"/>
      <c r="CH1289" s="4303"/>
      <c r="CI1289" s="4303"/>
      <c r="CJ1289" s="4303"/>
      <c r="CK1289" s="4303"/>
      <c r="CL1289" s="4303"/>
      <c r="CM1289" s="4303"/>
      <c r="CN1289" s="4303"/>
      <c r="CO1289" s="4303"/>
      <c r="CP1289" s="4303"/>
      <c r="CQ1289" s="4303"/>
      <c r="CR1289" s="4303"/>
      <c r="CS1289" s="4303"/>
      <c r="CT1289" s="4303"/>
      <c r="CU1289" s="4303"/>
      <c r="CV1289" s="4303"/>
      <c r="CW1289" s="4303"/>
      <c r="CX1289" s="4303"/>
      <c r="CY1289" s="4303"/>
      <c r="CZ1289" s="4303"/>
      <c r="DA1289" s="4303"/>
      <c r="DB1289" s="4303"/>
      <c r="DC1289" s="4303"/>
      <c r="DD1289" s="4303"/>
      <c r="DE1289" s="4303"/>
      <c r="DF1289" s="4303"/>
      <c r="DG1289" s="4303"/>
      <c r="DH1289" s="4303"/>
      <c r="DI1289" s="4303"/>
      <c r="DJ1289" s="4303"/>
      <c r="DK1289" s="4303"/>
      <c r="DL1289" s="4303"/>
      <c r="DM1289" s="4303"/>
      <c r="DN1289" s="4303"/>
      <c r="DO1289" s="4303"/>
      <c r="DP1289" s="4303"/>
      <c r="DQ1289" s="4303"/>
      <c r="DR1289" s="4303"/>
      <c r="DS1289" s="4303"/>
      <c r="DT1289" s="4134"/>
      <c r="DU1289" s="4134"/>
    </row>
    <row r="1290" s="4133" customFormat="1" ht="15.75" hidden="1" spans="1:125">
      <c r="A1290" s="4397"/>
      <c r="B1290" s="4292"/>
      <c r="C1290" s="4292"/>
      <c r="D1290" s="4292"/>
      <c r="E1290" s="4292"/>
      <c r="F1290" s="4292"/>
      <c r="G1290" s="4292"/>
      <c r="H1290" s="4292"/>
      <c r="I1290" s="4292"/>
      <c r="J1290" s="4292"/>
      <c r="K1290" s="4292"/>
      <c r="L1290" s="4292"/>
      <c r="M1290" s="4292"/>
      <c r="N1290" s="4292"/>
      <c r="O1290" s="4292"/>
      <c r="P1290" s="4292"/>
      <c r="Q1290" s="4292"/>
      <c r="R1290" s="4292"/>
      <c r="S1290" s="4292"/>
      <c r="T1290" s="4292"/>
      <c r="U1290" s="4292"/>
      <c r="V1290" s="4292"/>
      <c r="W1290" s="4292"/>
      <c r="X1290" s="4292"/>
      <c r="Y1290" s="4292"/>
      <c r="Z1290" s="4292"/>
      <c r="AA1290" s="4292"/>
      <c r="AB1290" s="4292"/>
      <c r="AC1290" s="4292"/>
      <c r="AD1290" s="4292"/>
      <c r="AE1290" s="4292"/>
      <c r="AF1290" s="4292"/>
      <c r="AG1290" s="4292"/>
      <c r="AH1290" s="4292"/>
      <c r="AI1290" s="4292"/>
      <c r="AJ1290" s="4292"/>
      <c r="AK1290" s="4292"/>
      <c r="AL1290" s="4292"/>
      <c r="AM1290" s="4292"/>
      <c r="AN1290" s="4292"/>
      <c r="AO1290" s="4292"/>
      <c r="AP1290" s="4292"/>
      <c r="AQ1290" s="4292"/>
      <c r="AR1290" s="4292"/>
      <c r="AS1290" s="4292"/>
      <c r="AT1290" s="4292"/>
      <c r="AU1290" s="4292"/>
      <c r="AV1290" s="4292"/>
      <c r="AW1290" s="4292"/>
      <c r="AX1290" s="4292"/>
      <c r="AY1290" s="4292"/>
      <c r="AZ1290" s="4292"/>
      <c r="BA1290" s="4292"/>
      <c r="BB1290" s="4292"/>
      <c r="BC1290" s="4292"/>
      <c r="BD1290" s="4303"/>
      <c r="BE1290" s="4303"/>
      <c r="BF1290" s="4303"/>
      <c r="BG1290" s="4303"/>
      <c r="BH1290" s="4303"/>
      <c r="BI1290" s="4303"/>
      <c r="BJ1290" s="4303"/>
      <c r="BK1290" s="4303"/>
      <c r="BL1290" s="4303"/>
      <c r="BM1290" s="4303"/>
      <c r="BN1290" s="4303"/>
      <c r="BO1290" s="4303"/>
      <c r="BP1290" s="4303"/>
      <c r="BQ1290" s="4303"/>
      <c r="BR1290" s="4303"/>
      <c r="BS1290" s="4303"/>
      <c r="BT1290" s="4303"/>
      <c r="BU1290" s="4303"/>
      <c r="BV1290" s="4303"/>
      <c r="BW1290" s="4303"/>
      <c r="BX1290" s="4303"/>
      <c r="BY1290" s="4303"/>
      <c r="BZ1290" s="4303"/>
      <c r="CA1290" s="4303"/>
      <c r="CB1290" s="4303"/>
      <c r="CC1290" s="4303"/>
      <c r="CD1290" s="4303"/>
      <c r="CE1290" s="4303"/>
      <c r="CF1290" s="4303"/>
      <c r="CG1290" s="4303"/>
      <c r="CH1290" s="4303"/>
      <c r="CI1290" s="4303"/>
      <c r="CJ1290" s="4303"/>
      <c r="CK1290" s="4303"/>
      <c r="CL1290" s="4303"/>
      <c r="CM1290" s="4303"/>
      <c r="CN1290" s="4303"/>
      <c r="CO1290" s="4303"/>
      <c r="CP1290" s="4303"/>
      <c r="CQ1290" s="4303"/>
      <c r="CR1290" s="4303"/>
      <c r="CS1290" s="4303"/>
      <c r="CT1290" s="4303"/>
      <c r="CU1290" s="4303"/>
      <c r="CV1290" s="4303"/>
      <c r="CW1290" s="4303"/>
      <c r="CX1290" s="4303"/>
      <c r="CY1290" s="4303"/>
      <c r="CZ1290" s="4303"/>
      <c r="DA1290" s="4303"/>
      <c r="DB1290" s="4303"/>
      <c r="DC1290" s="4303"/>
      <c r="DD1290" s="4303"/>
      <c r="DE1290" s="4303"/>
      <c r="DF1290" s="4303"/>
      <c r="DG1290" s="4303"/>
      <c r="DH1290" s="4303"/>
      <c r="DI1290" s="4303"/>
      <c r="DJ1290" s="4303"/>
      <c r="DK1290" s="4303"/>
      <c r="DL1290" s="4303"/>
      <c r="DM1290" s="4303"/>
      <c r="DN1290" s="4303"/>
      <c r="DO1290" s="4303"/>
      <c r="DP1290" s="4303"/>
      <c r="DQ1290" s="4303"/>
      <c r="DR1290" s="4303"/>
      <c r="DS1290" s="4303"/>
      <c r="DT1290" s="4134"/>
      <c r="DU1290" s="4134"/>
    </row>
    <row r="1291" s="4133" customFormat="1" ht="15.75" hidden="1" spans="1:125">
      <c r="A1291" s="4397"/>
      <c r="B1291" s="4292"/>
      <c r="C1291" s="4292"/>
      <c r="D1291" s="4292"/>
      <c r="E1291" s="4292"/>
      <c r="F1291" s="4292"/>
      <c r="G1291" s="4292"/>
      <c r="H1291" s="4292"/>
      <c r="I1291" s="4292"/>
      <c r="J1291" s="4292"/>
      <c r="K1291" s="4292"/>
      <c r="L1291" s="4292"/>
      <c r="M1291" s="4292"/>
      <c r="N1291" s="4292"/>
      <c r="O1291" s="4292"/>
      <c r="P1291" s="4292"/>
      <c r="Q1291" s="4292"/>
      <c r="R1291" s="4292"/>
      <c r="S1291" s="4292"/>
      <c r="T1291" s="4292"/>
      <c r="U1291" s="4292"/>
      <c r="V1291" s="4292"/>
      <c r="W1291" s="4292"/>
      <c r="X1291" s="4292"/>
      <c r="Y1291" s="4292"/>
      <c r="Z1291" s="4292"/>
      <c r="AA1291" s="4292"/>
      <c r="AB1291" s="4292"/>
      <c r="AC1291" s="4292"/>
      <c r="AD1291" s="4292"/>
      <c r="AE1291" s="4292"/>
      <c r="AF1291" s="4292"/>
      <c r="AG1291" s="4292"/>
      <c r="AH1291" s="4292"/>
      <c r="AI1291" s="4292"/>
      <c r="AJ1291" s="4292"/>
      <c r="AK1291" s="4292"/>
      <c r="AL1291" s="4292"/>
      <c r="AM1291" s="4292"/>
      <c r="AN1291" s="4292"/>
      <c r="AO1291" s="4292"/>
      <c r="AP1291" s="4292"/>
      <c r="AQ1291" s="4292"/>
      <c r="AR1291" s="4292"/>
      <c r="AS1291" s="4292"/>
      <c r="AT1291" s="4292"/>
      <c r="AU1291" s="4292"/>
      <c r="AV1291" s="4292"/>
      <c r="AW1291" s="4292"/>
      <c r="AX1291" s="4292"/>
      <c r="AY1291" s="4292"/>
      <c r="AZ1291" s="4292"/>
      <c r="BA1291" s="4292"/>
      <c r="BB1291" s="4292"/>
      <c r="BC1291" s="4292"/>
      <c r="BD1291" s="4303"/>
      <c r="BE1291" s="4303"/>
      <c r="BF1291" s="4303"/>
      <c r="BG1291" s="4303"/>
      <c r="BH1291" s="4303"/>
      <c r="BI1291" s="4303"/>
      <c r="BJ1291" s="4303"/>
      <c r="BK1291" s="4303"/>
      <c r="BL1291" s="4303"/>
      <c r="BM1291" s="4303"/>
      <c r="BN1291" s="4303"/>
      <c r="BO1291" s="4303"/>
      <c r="BP1291" s="4303"/>
      <c r="BQ1291" s="4303"/>
      <c r="BR1291" s="4303"/>
      <c r="BS1291" s="4303"/>
      <c r="BT1291" s="4303"/>
      <c r="BU1291" s="4303"/>
      <c r="BV1291" s="4303"/>
      <c r="BW1291" s="4303"/>
      <c r="BX1291" s="4303"/>
      <c r="BY1291" s="4303"/>
      <c r="BZ1291" s="4303"/>
      <c r="CA1291" s="4303"/>
      <c r="CB1291" s="4303"/>
      <c r="CC1291" s="4303"/>
      <c r="CD1291" s="4303"/>
      <c r="CE1291" s="4303"/>
      <c r="CF1291" s="4303"/>
      <c r="CG1291" s="4303"/>
      <c r="CH1291" s="4303"/>
      <c r="CI1291" s="4303"/>
      <c r="CJ1291" s="4303"/>
      <c r="CK1291" s="4303"/>
      <c r="CL1291" s="4303"/>
      <c r="CM1291" s="4303"/>
      <c r="CN1291" s="4303"/>
      <c r="CO1291" s="4303"/>
      <c r="CP1291" s="4303"/>
      <c r="CQ1291" s="4303"/>
      <c r="CR1291" s="4303"/>
      <c r="CS1291" s="4303"/>
      <c r="CT1291" s="4303"/>
      <c r="CU1291" s="4303"/>
      <c r="CV1291" s="4303"/>
      <c r="CW1291" s="4303"/>
      <c r="CX1291" s="4303"/>
      <c r="CY1291" s="4303"/>
      <c r="CZ1291" s="4303"/>
      <c r="DA1291" s="4303"/>
      <c r="DB1291" s="4303"/>
      <c r="DC1291" s="4303"/>
      <c r="DD1291" s="4303"/>
      <c r="DE1291" s="4303"/>
      <c r="DF1291" s="4303"/>
      <c r="DG1291" s="4303"/>
      <c r="DH1291" s="4303"/>
      <c r="DI1291" s="4303"/>
      <c r="DJ1291" s="4303"/>
      <c r="DK1291" s="4303"/>
      <c r="DL1291" s="4303"/>
      <c r="DM1291" s="4303"/>
      <c r="DN1291" s="4303"/>
      <c r="DO1291" s="4303"/>
      <c r="DP1291" s="4303"/>
      <c r="DQ1291" s="4303"/>
      <c r="DR1291" s="4303"/>
      <c r="DS1291" s="4303"/>
      <c r="DT1291" s="4134"/>
      <c r="DU1291" s="4134"/>
    </row>
    <row r="1292" s="4133" customFormat="1" ht="15.75" hidden="1" spans="1:125">
      <c r="A1292" s="4397"/>
      <c r="B1292" s="4292"/>
      <c r="C1292" s="4292"/>
      <c r="D1292" s="4292"/>
      <c r="E1292" s="4292"/>
      <c r="F1292" s="4292"/>
      <c r="G1292" s="4292"/>
      <c r="H1292" s="4292"/>
      <c r="I1292" s="4292"/>
      <c r="J1292" s="4292"/>
      <c r="K1292" s="4292"/>
      <c r="L1292" s="4292"/>
      <c r="M1292" s="4292"/>
      <c r="N1292" s="4292"/>
      <c r="O1292" s="4292"/>
      <c r="P1292" s="4292"/>
      <c r="Q1292" s="4292"/>
      <c r="R1292" s="4292"/>
      <c r="S1292" s="4292"/>
      <c r="T1292" s="4292"/>
      <c r="U1292" s="4292"/>
      <c r="V1292" s="4292"/>
      <c r="W1292" s="4292"/>
      <c r="X1292" s="4292"/>
      <c r="Y1292" s="4292"/>
      <c r="Z1292" s="4292"/>
      <c r="AA1292" s="4292"/>
      <c r="AB1292" s="4292"/>
      <c r="AC1292" s="4292"/>
      <c r="AD1292" s="4292"/>
      <c r="AE1292" s="4292"/>
      <c r="AF1292" s="4292"/>
      <c r="AG1292" s="4292"/>
      <c r="AH1292" s="4292"/>
      <c r="AI1292" s="4292"/>
      <c r="AJ1292" s="4292"/>
      <c r="AK1292" s="4292"/>
      <c r="AL1292" s="4292"/>
      <c r="AM1292" s="4292"/>
      <c r="AN1292" s="4292"/>
      <c r="AO1292" s="4292"/>
      <c r="AP1292" s="4292"/>
      <c r="AQ1292" s="4292"/>
      <c r="AR1292" s="4292"/>
      <c r="AS1292" s="4292"/>
      <c r="AT1292" s="4292"/>
      <c r="AU1292" s="4292"/>
      <c r="AV1292" s="4292"/>
      <c r="AW1292" s="4292"/>
      <c r="AX1292" s="4292"/>
      <c r="AY1292" s="4292"/>
      <c r="AZ1292" s="4292"/>
      <c r="BA1292" s="4292"/>
      <c r="BB1292" s="4292"/>
      <c r="BC1292" s="4292"/>
      <c r="BD1292" s="4303"/>
      <c r="BE1292" s="4303"/>
      <c r="BF1292" s="4303"/>
      <c r="BG1292" s="4303"/>
      <c r="BH1292" s="4303"/>
      <c r="BI1292" s="4303"/>
      <c r="BJ1292" s="4303"/>
      <c r="BK1292" s="4303"/>
      <c r="BL1292" s="4303"/>
      <c r="BM1292" s="4303"/>
      <c r="BN1292" s="4303"/>
      <c r="BO1292" s="4303"/>
      <c r="BP1292" s="4303"/>
      <c r="BQ1292" s="4303"/>
      <c r="BR1292" s="4303"/>
      <c r="BS1292" s="4303"/>
      <c r="BT1292" s="4303"/>
      <c r="BU1292" s="4303"/>
      <c r="BV1292" s="4303"/>
      <c r="BW1292" s="4303"/>
      <c r="BX1292" s="4303"/>
      <c r="BY1292" s="4303"/>
      <c r="BZ1292" s="4303"/>
      <c r="CA1292" s="4303"/>
      <c r="CB1292" s="4303"/>
      <c r="CC1292" s="4303"/>
      <c r="CD1292" s="4303"/>
      <c r="CE1292" s="4303"/>
      <c r="CF1292" s="4303"/>
      <c r="CG1292" s="4303"/>
      <c r="CH1292" s="4303"/>
      <c r="CI1292" s="4303"/>
      <c r="CJ1292" s="4303"/>
      <c r="CK1292" s="4303"/>
      <c r="CL1292" s="4303"/>
      <c r="CM1292" s="4303"/>
      <c r="CN1292" s="4303"/>
      <c r="CO1292" s="4303"/>
      <c r="CP1292" s="4303"/>
      <c r="CQ1292" s="4303"/>
      <c r="CR1292" s="4303"/>
      <c r="CS1292" s="4303"/>
      <c r="CT1292" s="4303"/>
      <c r="CU1292" s="4303"/>
      <c r="CV1292" s="4303"/>
      <c r="CW1292" s="4303"/>
      <c r="CX1292" s="4303"/>
      <c r="CY1292" s="4303"/>
      <c r="CZ1292" s="4303"/>
      <c r="DA1292" s="4303"/>
      <c r="DB1292" s="4303"/>
      <c r="DC1292" s="4303"/>
      <c r="DD1292" s="4303"/>
      <c r="DE1292" s="4303"/>
      <c r="DF1292" s="4303"/>
      <c r="DG1292" s="4303"/>
      <c r="DH1292" s="4303"/>
      <c r="DI1292" s="4303"/>
      <c r="DJ1292" s="4303"/>
      <c r="DK1292" s="4303"/>
      <c r="DL1292" s="4303"/>
      <c r="DM1292" s="4303"/>
      <c r="DN1292" s="4303"/>
      <c r="DO1292" s="4303"/>
      <c r="DP1292" s="4303"/>
      <c r="DQ1292" s="4303"/>
      <c r="DR1292" s="4303"/>
      <c r="DS1292" s="4303"/>
      <c r="DT1292" s="4134"/>
      <c r="DU1292" s="4134"/>
    </row>
    <row r="1293" s="4133" customFormat="1" ht="15.75" hidden="1" spans="1:125">
      <c r="A1293" s="4397"/>
      <c r="B1293" s="4292"/>
      <c r="C1293" s="4292"/>
      <c r="D1293" s="4292"/>
      <c r="E1293" s="4292"/>
      <c r="F1293" s="4292"/>
      <c r="G1293" s="4292"/>
      <c r="H1293" s="4292"/>
      <c r="I1293" s="4292"/>
      <c r="J1293" s="4292"/>
      <c r="K1293" s="4292"/>
      <c r="L1293" s="4292"/>
      <c r="M1293" s="4292"/>
      <c r="N1293" s="4292"/>
      <c r="O1293" s="4292"/>
      <c r="P1293" s="4292"/>
      <c r="Q1293" s="4292"/>
      <c r="R1293" s="4292"/>
      <c r="S1293" s="4292"/>
      <c r="T1293" s="4292"/>
      <c r="U1293" s="4292"/>
      <c r="V1293" s="4292"/>
      <c r="W1293" s="4292"/>
      <c r="X1293" s="4292"/>
      <c r="Y1293" s="4292"/>
      <c r="Z1293" s="4292"/>
      <c r="AA1293" s="4292"/>
      <c r="AB1293" s="4292"/>
      <c r="AC1293" s="4292"/>
      <c r="AD1293" s="4292"/>
      <c r="AE1293" s="4292"/>
      <c r="AF1293" s="4292"/>
      <c r="AG1293" s="4292"/>
      <c r="AH1293" s="4292"/>
      <c r="AI1293" s="4292"/>
      <c r="AJ1293" s="4292"/>
      <c r="AK1293" s="4292"/>
      <c r="AL1293" s="4292"/>
      <c r="AM1293" s="4292"/>
      <c r="AN1293" s="4292"/>
      <c r="AO1293" s="4292"/>
      <c r="AP1293" s="4292"/>
      <c r="AQ1293" s="4292"/>
      <c r="AR1293" s="4292"/>
      <c r="AS1293" s="4292"/>
      <c r="AT1293" s="4292"/>
      <c r="AU1293" s="4292"/>
      <c r="AV1293" s="4292"/>
      <c r="AW1293" s="4292"/>
      <c r="AX1293" s="4292"/>
      <c r="AY1293" s="4292"/>
      <c r="AZ1293" s="4292"/>
      <c r="BA1293" s="4292"/>
      <c r="BB1293" s="4292"/>
      <c r="BC1293" s="4292"/>
      <c r="BD1293" s="4303"/>
      <c r="BE1293" s="4303"/>
      <c r="BF1293" s="4303"/>
      <c r="BG1293" s="4303"/>
      <c r="BH1293" s="4303"/>
      <c r="BI1293" s="4303"/>
      <c r="BJ1293" s="4303"/>
      <c r="BK1293" s="4303"/>
      <c r="BL1293" s="4303"/>
      <c r="BM1293" s="4303"/>
      <c r="BN1293" s="4303"/>
      <c r="BO1293" s="4303"/>
      <c r="BP1293" s="4303"/>
      <c r="BQ1293" s="4303"/>
      <c r="BR1293" s="4303"/>
      <c r="BS1293" s="4303"/>
      <c r="BT1293" s="4303"/>
      <c r="BU1293" s="4303"/>
      <c r="BV1293" s="4303"/>
      <c r="BW1293" s="4303"/>
      <c r="BX1293" s="4303"/>
      <c r="BY1293" s="4303"/>
      <c r="BZ1293" s="4303"/>
      <c r="CA1293" s="4303"/>
      <c r="CB1293" s="4303"/>
      <c r="CC1293" s="4303"/>
      <c r="CD1293" s="4303"/>
      <c r="CE1293" s="4303"/>
      <c r="CF1293" s="4303"/>
      <c r="CG1293" s="4303"/>
      <c r="CH1293" s="4303"/>
      <c r="CI1293" s="4303"/>
      <c r="CJ1293" s="4303"/>
      <c r="CK1293" s="4303"/>
      <c r="CL1293" s="4303"/>
      <c r="CM1293" s="4303"/>
      <c r="CN1293" s="4303"/>
      <c r="CO1293" s="4303"/>
      <c r="CP1293" s="4303"/>
      <c r="CQ1293" s="4303"/>
      <c r="CR1293" s="4303"/>
      <c r="CS1293" s="4303"/>
      <c r="CT1293" s="4303"/>
      <c r="CU1293" s="4303"/>
      <c r="CV1293" s="4303"/>
      <c r="CW1293" s="4303"/>
      <c r="CX1293" s="4303"/>
      <c r="CY1293" s="4303"/>
      <c r="CZ1293" s="4303"/>
      <c r="DA1293" s="4303"/>
      <c r="DB1293" s="4303"/>
      <c r="DC1293" s="4303"/>
      <c r="DD1293" s="4303"/>
      <c r="DE1293" s="4303"/>
      <c r="DF1293" s="4303"/>
      <c r="DG1293" s="4303"/>
      <c r="DH1293" s="4303"/>
      <c r="DI1293" s="4303"/>
      <c r="DJ1293" s="4303"/>
      <c r="DK1293" s="4303"/>
      <c r="DL1293" s="4303"/>
      <c r="DM1293" s="4303"/>
      <c r="DN1293" s="4303"/>
      <c r="DO1293" s="4303"/>
      <c r="DP1293" s="4303"/>
      <c r="DQ1293" s="4303"/>
      <c r="DR1293" s="4303"/>
      <c r="DS1293" s="4303"/>
      <c r="DT1293" s="4134"/>
      <c r="DU1293" s="4134"/>
    </row>
    <row r="1294" s="4133" customFormat="1" ht="15.75" hidden="1" spans="1:125">
      <c r="A1294" s="4397"/>
      <c r="B1294" s="4292"/>
      <c r="C1294" s="4292"/>
      <c r="D1294" s="4292"/>
      <c r="E1294" s="4292"/>
      <c r="F1294" s="4292"/>
      <c r="G1294" s="4292"/>
      <c r="H1294" s="4292"/>
      <c r="I1294" s="4292"/>
      <c r="J1294" s="4292"/>
      <c r="K1294" s="4292"/>
      <c r="L1294" s="4292"/>
      <c r="M1294" s="4292"/>
      <c r="N1294" s="4292"/>
      <c r="O1294" s="4292"/>
      <c r="P1294" s="4292"/>
      <c r="Q1294" s="4292"/>
      <c r="R1294" s="4292"/>
      <c r="S1294" s="4292"/>
      <c r="T1294" s="4292"/>
      <c r="U1294" s="4292"/>
      <c r="V1294" s="4292"/>
      <c r="W1294" s="4292"/>
      <c r="X1294" s="4292"/>
      <c r="Y1294" s="4292"/>
      <c r="Z1294" s="4292"/>
      <c r="AA1294" s="4292"/>
      <c r="AB1294" s="4292"/>
      <c r="AC1294" s="4292"/>
      <c r="AD1294" s="4292"/>
      <c r="AE1294" s="4292"/>
      <c r="AF1294" s="4292"/>
      <c r="AG1294" s="4292"/>
      <c r="AH1294" s="4292"/>
      <c r="AI1294" s="4292"/>
      <c r="AJ1294" s="4292"/>
      <c r="AK1294" s="4292"/>
      <c r="AL1294" s="4292"/>
      <c r="AM1294" s="4292"/>
      <c r="AN1294" s="4292"/>
      <c r="AO1294" s="4292"/>
      <c r="AP1294" s="4292"/>
      <c r="AQ1294" s="4292"/>
      <c r="AR1294" s="4292"/>
      <c r="AS1294" s="4292"/>
      <c r="AT1294" s="4292"/>
      <c r="AU1294" s="4292"/>
      <c r="AV1294" s="4292"/>
      <c r="AW1294" s="4292"/>
      <c r="AX1294" s="4292"/>
      <c r="AY1294" s="4292"/>
      <c r="AZ1294" s="4292"/>
      <c r="BA1294" s="4292"/>
      <c r="BB1294" s="4292"/>
      <c r="BC1294" s="4292"/>
      <c r="BD1294" s="4303"/>
      <c r="BE1294" s="4303"/>
      <c r="BF1294" s="4303"/>
      <c r="BG1294" s="4303"/>
      <c r="BH1294" s="4303"/>
      <c r="BI1294" s="4303"/>
      <c r="BJ1294" s="4303"/>
      <c r="BK1294" s="4303"/>
      <c r="BL1294" s="4303"/>
      <c r="BM1294" s="4303"/>
      <c r="BN1294" s="4303"/>
      <c r="BO1294" s="4303"/>
      <c r="BP1294" s="4303"/>
      <c r="BQ1294" s="4303"/>
      <c r="BR1294" s="4303"/>
      <c r="BS1294" s="4303"/>
      <c r="BT1294" s="4303"/>
      <c r="BU1294" s="4303"/>
      <c r="BV1294" s="4303"/>
      <c r="BW1294" s="4303"/>
      <c r="BX1294" s="4303"/>
      <c r="BY1294" s="4303"/>
      <c r="BZ1294" s="4303"/>
      <c r="CA1294" s="4303"/>
      <c r="CB1294" s="4303"/>
      <c r="CC1294" s="4303"/>
      <c r="CD1294" s="4303"/>
      <c r="CE1294" s="4303"/>
      <c r="CF1294" s="4303"/>
      <c r="CG1294" s="4303"/>
      <c r="CH1294" s="4303"/>
      <c r="CI1294" s="4303"/>
      <c r="CJ1294" s="4303"/>
      <c r="CK1294" s="4303"/>
      <c r="CL1294" s="4303"/>
      <c r="CM1294" s="4303"/>
      <c r="CN1294" s="4303"/>
      <c r="CO1294" s="4303"/>
      <c r="CP1294" s="4303"/>
      <c r="CQ1294" s="4303"/>
      <c r="CR1294" s="4303"/>
      <c r="CS1294" s="4303"/>
      <c r="CT1294" s="4303"/>
      <c r="CU1294" s="4303"/>
      <c r="CV1294" s="4303"/>
      <c r="CW1294" s="4303"/>
      <c r="CX1294" s="4303"/>
      <c r="CY1294" s="4303"/>
      <c r="CZ1294" s="4303"/>
      <c r="DA1294" s="4303"/>
      <c r="DB1294" s="4303"/>
      <c r="DC1294" s="4303"/>
      <c r="DD1294" s="4303"/>
      <c r="DE1294" s="4303"/>
      <c r="DF1294" s="4303"/>
      <c r="DG1294" s="4303"/>
      <c r="DH1294" s="4303"/>
      <c r="DI1294" s="4303"/>
      <c r="DJ1294" s="4303"/>
      <c r="DK1294" s="4303"/>
      <c r="DL1294" s="4303"/>
      <c r="DM1294" s="4303"/>
      <c r="DN1294" s="4303"/>
      <c r="DO1294" s="4303"/>
      <c r="DP1294" s="4303"/>
      <c r="DQ1294" s="4303"/>
      <c r="DR1294" s="4303"/>
      <c r="DS1294" s="4303"/>
      <c r="DT1294" s="4134"/>
      <c r="DU1294" s="4134"/>
    </row>
    <row r="1295" s="4133" customFormat="1" ht="15.75" hidden="1" spans="1:125">
      <c r="A1295" s="4397"/>
      <c r="B1295" s="4292"/>
      <c r="C1295" s="4292"/>
      <c r="D1295" s="4292"/>
      <c r="E1295" s="4292"/>
      <c r="F1295" s="4292"/>
      <c r="G1295" s="4292"/>
      <c r="H1295" s="4292"/>
      <c r="I1295" s="4292"/>
      <c r="J1295" s="4292"/>
      <c r="K1295" s="4292"/>
      <c r="L1295" s="4292"/>
      <c r="M1295" s="4292"/>
      <c r="N1295" s="4292"/>
      <c r="O1295" s="4292"/>
      <c r="P1295" s="4292"/>
      <c r="Q1295" s="4292"/>
      <c r="R1295" s="4292"/>
      <c r="S1295" s="4292"/>
      <c r="T1295" s="4292"/>
      <c r="U1295" s="4292"/>
      <c r="V1295" s="4292"/>
      <c r="W1295" s="4292"/>
      <c r="X1295" s="4292"/>
      <c r="Y1295" s="4292"/>
      <c r="Z1295" s="4292"/>
      <c r="AA1295" s="4292"/>
      <c r="AB1295" s="4292"/>
      <c r="AC1295" s="4292"/>
      <c r="AD1295" s="4292"/>
      <c r="AE1295" s="4292"/>
      <c r="AF1295" s="4292"/>
      <c r="AG1295" s="4292"/>
      <c r="AH1295" s="4292"/>
      <c r="AI1295" s="4292"/>
      <c r="AJ1295" s="4292"/>
      <c r="AK1295" s="4292"/>
      <c r="AL1295" s="4292"/>
      <c r="AM1295" s="4292"/>
      <c r="AN1295" s="4292"/>
      <c r="AO1295" s="4292"/>
      <c r="AP1295" s="4292"/>
      <c r="AQ1295" s="4292"/>
      <c r="AR1295" s="4292"/>
      <c r="AS1295" s="4292"/>
      <c r="AT1295" s="4292"/>
      <c r="AU1295" s="4292"/>
      <c r="AV1295" s="4292"/>
      <c r="AW1295" s="4292"/>
      <c r="AX1295" s="4292"/>
      <c r="AY1295" s="4292"/>
      <c r="AZ1295" s="4292"/>
      <c r="BA1295" s="4292"/>
      <c r="BB1295" s="4292"/>
      <c r="BC1295" s="4292"/>
      <c r="BD1295" s="4303"/>
      <c r="BE1295" s="4303"/>
      <c r="BF1295" s="4303"/>
      <c r="BG1295" s="4303"/>
      <c r="BH1295" s="4303"/>
      <c r="BI1295" s="4303"/>
      <c r="BJ1295" s="4303"/>
      <c r="BK1295" s="4303"/>
      <c r="BL1295" s="4303"/>
      <c r="BM1295" s="4303"/>
      <c r="BN1295" s="4303"/>
      <c r="BO1295" s="4303"/>
      <c r="BP1295" s="4303"/>
      <c r="BQ1295" s="4303"/>
      <c r="BR1295" s="4303"/>
      <c r="BS1295" s="4303"/>
      <c r="BT1295" s="4303"/>
      <c r="BU1295" s="4303"/>
      <c r="BV1295" s="4303"/>
      <c r="BW1295" s="4303"/>
      <c r="BX1295" s="4303"/>
      <c r="BY1295" s="4303"/>
      <c r="BZ1295" s="4303"/>
      <c r="CA1295" s="4303"/>
      <c r="CB1295" s="4303"/>
      <c r="CC1295" s="4303"/>
      <c r="CD1295" s="4303"/>
      <c r="CE1295" s="4303"/>
      <c r="CF1295" s="4303"/>
      <c r="CG1295" s="4303"/>
      <c r="CH1295" s="4303"/>
      <c r="CI1295" s="4303"/>
      <c r="CJ1295" s="4303"/>
      <c r="CK1295" s="4303"/>
      <c r="CL1295" s="4303"/>
      <c r="CM1295" s="4303"/>
      <c r="CN1295" s="4303"/>
      <c r="CO1295" s="4303"/>
      <c r="CP1295" s="4303"/>
      <c r="CQ1295" s="4303"/>
      <c r="CR1295" s="4303"/>
      <c r="CS1295" s="4303"/>
      <c r="CT1295" s="4303"/>
      <c r="CU1295" s="4303"/>
      <c r="CV1295" s="4303"/>
      <c r="CW1295" s="4303"/>
      <c r="CX1295" s="4303"/>
      <c r="CY1295" s="4303"/>
      <c r="CZ1295" s="4303"/>
      <c r="DA1295" s="4303"/>
      <c r="DB1295" s="4303"/>
      <c r="DC1295" s="4303"/>
      <c r="DD1295" s="4303"/>
      <c r="DE1295" s="4303"/>
      <c r="DF1295" s="4303"/>
      <c r="DG1295" s="4303"/>
      <c r="DH1295" s="4303"/>
      <c r="DI1295" s="4303"/>
      <c r="DJ1295" s="4303"/>
      <c r="DK1295" s="4303"/>
      <c r="DL1295" s="4303"/>
      <c r="DM1295" s="4303"/>
      <c r="DN1295" s="4303"/>
      <c r="DO1295" s="4303"/>
      <c r="DP1295" s="4303"/>
      <c r="DQ1295" s="4303"/>
      <c r="DR1295" s="4303"/>
      <c r="DS1295" s="4303"/>
      <c r="DT1295" s="4134"/>
      <c r="DU1295" s="4134"/>
    </row>
    <row r="1296" s="4133" customFormat="1" ht="15.75" hidden="1" spans="1:125">
      <c r="A1296" s="4397"/>
      <c r="B1296" s="4292"/>
      <c r="C1296" s="4292"/>
      <c r="D1296" s="4292"/>
      <c r="E1296" s="4292"/>
      <c r="F1296" s="4292"/>
      <c r="G1296" s="4292"/>
      <c r="H1296" s="4292"/>
      <c r="I1296" s="4292"/>
      <c r="J1296" s="4292"/>
      <c r="K1296" s="4292"/>
      <c r="L1296" s="4292"/>
      <c r="M1296" s="4292"/>
      <c r="N1296" s="4292"/>
      <c r="O1296" s="4292"/>
      <c r="P1296" s="4292"/>
      <c r="Q1296" s="4292"/>
      <c r="R1296" s="4292"/>
      <c r="S1296" s="4292"/>
      <c r="T1296" s="4292"/>
      <c r="U1296" s="4292"/>
      <c r="V1296" s="4292"/>
      <c r="W1296" s="4292"/>
      <c r="X1296" s="4292"/>
      <c r="Y1296" s="4292"/>
      <c r="Z1296" s="4292"/>
      <c r="AA1296" s="4292"/>
      <c r="AB1296" s="4292"/>
      <c r="AC1296" s="4292"/>
      <c r="AD1296" s="4292"/>
      <c r="AE1296" s="4292"/>
      <c r="AF1296" s="4292"/>
      <c r="AG1296" s="4292"/>
      <c r="AH1296" s="4292"/>
      <c r="AI1296" s="4292"/>
      <c r="AJ1296" s="4292"/>
      <c r="AK1296" s="4292"/>
      <c r="AL1296" s="4292"/>
      <c r="AM1296" s="4292"/>
      <c r="AN1296" s="4292"/>
      <c r="AO1296" s="4292"/>
      <c r="AP1296" s="4292"/>
      <c r="AQ1296" s="4292"/>
      <c r="AR1296" s="4292"/>
      <c r="AS1296" s="4292"/>
      <c r="AT1296" s="4292"/>
      <c r="AU1296" s="4292"/>
      <c r="AV1296" s="4292"/>
      <c r="AW1296" s="4292"/>
      <c r="AX1296" s="4292"/>
      <c r="AY1296" s="4292"/>
      <c r="AZ1296" s="4292"/>
      <c r="BA1296" s="4292"/>
      <c r="BB1296" s="4292"/>
      <c r="BC1296" s="4292"/>
      <c r="BD1296" s="4303"/>
      <c r="BE1296" s="4303"/>
      <c r="BF1296" s="4303"/>
      <c r="BG1296" s="4303"/>
      <c r="BH1296" s="4303"/>
      <c r="BI1296" s="4303"/>
      <c r="BJ1296" s="4303"/>
      <c r="BK1296" s="4303"/>
      <c r="BL1296" s="4303"/>
      <c r="BM1296" s="4303"/>
      <c r="BN1296" s="4303"/>
      <c r="BO1296" s="4303"/>
      <c r="BP1296" s="4303"/>
      <c r="BQ1296" s="4303"/>
      <c r="BR1296" s="4303"/>
      <c r="BS1296" s="4303"/>
      <c r="BT1296" s="4303"/>
      <c r="BU1296" s="4303"/>
      <c r="BV1296" s="4303"/>
      <c r="BW1296" s="4303"/>
      <c r="BX1296" s="4303"/>
      <c r="BY1296" s="4303"/>
      <c r="BZ1296" s="4303"/>
      <c r="CA1296" s="4303"/>
      <c r="CB1296" s="4303"/>
      <c r="CC1296" s="4303"/>
      <c r="CD1296" s="4303"/>
      <c r="CE1296" s="4303"/>
      <c r="CF1296" s="4303"/>
      <c r="CG1296" s="4303"/>
      <c r="CH1296" s="4303"/>
      <c r="CI1296" s="4303"/>
      <c r="CJ1296" s="4303"/>
      <c r="CK1296" s="4303"/>
      <c r="CL1296" s="4303"/>
      <c r="CM1296" s="4303"/>
      <c r="CN1296" s="4303"/>
      <c r="CO1296" s="4303"/>
      <c r="CP1296" s="4303"/>
      <c r="CQ1296" s="4303"/>
      <c r="CR1296" s="4303"/>
      <c r="CS1296" s="4303"/>
      <c r="CT1296" s="4303"/>
      <c r="CU1296" s="4303"/>
      <c r="CV1296" s="4303"/>
      <c r="CW1296" s="4303"/>
      <c r="CX1296" s="4303"/>
      <c r="CY1296" s="4303"/>
      <c r="CZ1296" s="4303"/>
      <c r="DA1296" s="4303"/>
      <c r="DB1296" s="4303"/>
      <c r="DC1296" s="4303"/>
      <c r="DD1296" s="4303"/>
      <c r="DE1296" s="4303"/>
      <c r="DF1296" s="4303"/>
      <c r="DG1296" s="4303"/>
      <c r="DH1296" s="4303"/>
      <c r="DI1296" s="4303"/>
      <c r="DJ1296" s="4303"/>
      <c r="DK1296" s="4303"/>
      <c r="DL1296" s="4303"/>
      <c r="DM1296" s="4303"/>
      <c r="DN1296" s="4303"/>
      <c r="DO1296" s="4303"/>
      <c r="DP1296" s="4303"/>
      <c r="DQ1296" s="4303"/>
      <c r="DR1296" s="4303"/>
      <c r="DS1296" s="4303"/>
      <c r="DT1296" s="4134"/>
      <c r="DU1296" s="4134"/>
    </row>
    <row r="1297" s="4133" customFormat="1" ht="15.75" hidden="1" spans="1:125">
      <c r="A1297" s="4397"/>
      <c r="B1297" s="4292"/>
      <c r="C1297" s="4292"/>
      <c r="D1297" s="4292"/>
      <c r="E1297" s="4292"/>
      <c r="F1297" s="4292"/>
      <c r="G1297" s="4292"/>
      <c r="H1297" s="4292"/>
      <c r="I1297" s="4292"/>
      <c r="J1297" s="4292"/>
      <c r="K1297" s="4292"/>
      <c r="L1297" s="4292"/>
      <c r="M1297" s="4292"/>
      <c r="N1297" s="4292"/>
      <c r="O1297" s="4292"/>
      <c r="P1297" s="4292"/>
      <c r="Q1297" s="4292"/>
      <c r="R1297" s="4292"/>
      <c r="S1297" s="4292"/>
      <c r="T1297" s="4292"/>
      <c r="U1297" s="4292"/>
      <c r="V1297" s="4292"/>
      <c r="W1297" s="4292"/>
      <c r="X1297" s="4292"/>
      <c r="Y1297" s="4292"/>
      <c r="Z1297" s="4292"/>
      <c r="AA1297" s="4292"/>
      <c r="AB1297" s="4292"/>
      <c r="AC1297" s="4292"/>
      <c r="AD1297" s="4292"/>
      <c r="AE1297" s="4292"/>
      <c r="AF1297" s="4292"/>
      <c r="AG1297" s="4292"/>
      <c r="AH1297" s="4292"/>
      <c r="AI1297" s="4292"/>
      <c r="AJ1297" s="4292"/>
      <c r="AK1297" s="4292"/>
      <c r="AL1297" s="4292"/>
      <c r="AM1297" s="4292"/>
      <c r="AN1297" s="4292"/>
      <c r="AO1297" s="4292"/>
      <c r="AP1297" s="4292"/>
      <c r="AQ1297" s="4292"/>
      <c r="AR1297" s="4292"/>
      <c r="AS1297" s="4292"/>
      <c r="AT1297" s="4292"/>
      <c r="AU1297" s="4292"/>
      <c r="AV1297" s="4292"/>
      <c r="AW1297" s="4292"/>
      <c r="AX1297" s="4292"/>
      <c r="AY1297" s="4292"/>
      <c r="AZ1297" s="4292"/>
      <c r="BA1297" s="4292"/>
      <c r="BB1297" s="4292"/>
      <c r="BC1297" s="4292"/>
      <c r="BD1297" s="4303"/>
      <c r="BE1297" s="4303"/>
      <c r="BF1297" s="4303"/>
      <c r="BG1297" s="4303"/>
      <c r="BH1297" s="4303"/>
      <c r="BI1297" s="4303"/>
      <c r="BJ1297" s="4303"/>
      <c r="BK1297" s="4303"/>
      <c r="BL1297" s="4303"/>
      <c r="BM1297" s="4303"/>
      <c r="BN1297" s="4303"/>
      <c r="BO1297" s="4303"/>
      <c r="BP1297" s="4303"/>
      <c r="BQ1297" s="4303"/>
      <c r="BR1297" s="4303"/>
      <c r="BS1297" s="4303"/>
      <c r="BT1297" s="4303"/>
      <c r="BU1297" s="4303"/>
      <c r="BV1297" s="4303"/>
      <c r="BW1297" s="4303"/>
      <c r="BX1297" s="4303"/>
      <c r="BY1297" s="4303"/>
      <c r="BZ1297" s="4303"/>
      <c r="CA1297" s="4303"/>
      <c r="CB1297" s="4303"/>
      <c r="CC1297" s="4303"/>
      <c r="CD1297" s="4303"/>
      <c r="CE1297" s="4303"/>
      <c r="CF1297" s="4303"/>
      <c r="CG1297" s="4303"/>
      <c r="CH1297" s="4303"/>
      <c r="CI1297" s="4303"/>
      <c r="CJ1297" s="4303"/>
      <c r="CK1297" s="4303"/>
      <c r="CL1297" s="4303"/>
      <c r="CM1297" s="4303"/>
      <c r="CN1297" s="4303"/>
      <c r="CO1297" s="4303"/>
      <c r="CP1297" s="4303"/>
      <c r="CQ1297" s="4303"/>
      <c r="CR1297" s="4303"/>
      <c r="CS1297" s="4303"/>
      <c r="CT1297" s="4303"/>
      <c r="CU1297" s="4303"/>
      <c r="CV1297" s="4303"/>
      <c r="CW1297" s="4303"/>
      <c r="CX1297" s="4303"/>
      <c r="CY1297" s="4303"/>
      <c r="CZ1297" s="4303"/>
      <c r="DA1297" s="4303"/>
      <c r="DB1297" s="4303"/>
      <c r="DC1297" s="4303"/>
      <c r="DD1297" s="4303"/>
      <c r="DE1297" s="4303"/>
      <c r="DF1297" s="4303"/>
      <c r="DG1297" s="4303"/>
      <c r="DH1297" s="4303"/>
      <c r="DI1297" s="4303"/>
      <c r="DJ1297" s="4303"/>
      <c r="DK1297" s="4303"/>
      <c r="DL1297" s="4303"/>
      <c r="DM1297" s="4303"/>
      <c r="DN1297" s="4303"/>
      <c r="DO1297" s="4303"/>
      <c r="DP1297" s="4303"/>
      <c r="DQ1297" s="4303"/>
      <c r="DR1297" s="4303"/>
      <c r="DS1297" s="4303"/>
      <c r="DT1297" s="4134"/>
      <c r="DU1297" s="4134"/>
    </row>
    <row r="1298" s="4133" customFormat="1" ht="15.75" hidden="1" spans="1:125">
      <c r="A1298" s="4397"/>
      <c r="B1298" s="4292"/>
      <c r="C1298" s="4292"/>
      <c r="D1298" s="4292"/>
      <c r="E1298" s="4292"/>
      <c r="F1298" s="4292"/>
      <c r="G1298" s="4292"/>
      <c r="H1298" s="4292"/>
      <c r="I1298" s="4292"/>
      <c r="J1298" s="4292"/>
      <c r="K1298" s="4292"/>
      <c r="L1298" s="4292"/>
      <c r="M1298" s="4292"/>
      <c r="N1298" s="4292"/>
      <c r="O1298" s="4292"/>
      <c r="P1298" s="4292"/>
      <c r="Q1298" s="4292"/>
      <c r="R1298" s="4292"/>
      <c r="S1298" s="4292"/>
      <c r="T1298" s="4292"/>
      <c r="U1298" s="4292"/>
      <c r="V1298" s="4292"/>
      <c r="W1298" s="4292"/>
      <c r="X1298" s="4292"/>
      <c r="Y1298" s="4292"/>
      <c r="Z1298" s="4292"/>
      <c r="AA1298" s="4292"/>
      <c r="AB1298" s="4292"/>
      <c r="AC1298" s="4292"/>
      <c r="AD1298" s="4292"/>
      <c r="AE1298" s="4292"/>
      <c r="AF1298" s="4292"/>
      <c r="AG1298" s="4292"/>
      <c r="AH1298" s="4292"/>
      <c r="AI1298" s="4292"/>
      <c r="AJ1298" s="4292"/>
      <c r="AK1298" s="4292"/>
      <c r="AL1298" s="4292"/>
      <c r="AM1298" s="4292"/>
      <c r="AN1298" s="4292"/>
      <c r="AO1298" s="4292"/>
      <c r="AP1298" s="4292"/>
      <c r="AQ1298" s="4292"/>
      <c r="AR1298" s="4292"/>
      <c r="AS1298" s="4292"/>
      <c r="AT1298" s="4292"/>
      <c r="AU1298" s="4292"/>
      <c r="AV1298" s="4292"/>
      <c r="AW1298" s="4292"/>
      <c r="AX1298" s="4292"/>
      <c r="AY1298" s="4292"/>
      <c r="AZ1298" s="4292"/>
      <c r="BA1298" s="4292"/>
      <c r="BB1298" s="4292"/>
      <c r="BC1298" s="4292"/>
      <c r="BD1298" s="4303"/>
      <c r="BE1298" s="4303"/>
      <c r="BF1298" s="4303"/>
      <c r="BG1298" s="4303"/>
      <c r="BH1298" s="4303"/>
      <c r="BI1298" s="4303"/>
      <c r="BJ1298" s="4303"/>
      <c r="BK1298" s="4303"/>
      <c r="BL1298" s="4303"/>
      <c r="BM1298" s="4303"/>
      <c r="BN1298" s="4303"/>
      <c r="BO1298" s="4303"/>
      <c r="BP1298" s="4303"/>
      <c r="BQ1298" s="4303"/>
      <c r="BR1298" s="4303"/>
      <c r="BS1298" s="4303"/>
      <c r="BT1298" s="4303"/>
      <c r="BU1298" s="4303"/>
      <c r="BV1298" s="4303"/>
      <c r="BW1298" s="4303"/>
      <c r="BX1298" s="4303"/>
      <c r="BY1298" s="4303"/>
      <c r="BZ1298" s="4303"/>
      <c r="CA1298" s="4303"/>
      <c r="CB1298" s="4303"/>
      <c r="CC1298" s="4303"/>
      <c r="CD1298" s="4303"/>
      <c r="CE1298" s="4303"/>
      <c r="CF1298" s="4303"/>
      <c r="CG1298" s="4303"/>
      <c r="CH1298" s="4303"/>
      <c r="CI1298" s="4303"/>
      <c r="CJ1298" s="4303"/>
      <c r="CK1298" s="4303"/>
      <c r="CL1298" s="4303"/>
      <c r="CM1298" s="4303"/>
      <c r="CN1298" s="4303"/>
      <c r="CO1298" s="4303"/>
      <c r="CP1298" s="4303"/>
      <c r="CQ1298" s="4303"/>
      <c r="CR1298" s="4303"/>
      <c r="CS1298" s="4303"/>
      <c r="CT1298" s="4303"/>
      <c r="CU1298" s="4303"/>
      <c r="CV1298" s="4303"/>
      <c r="CW1298" s="4303"/>
      <c r="CX1298" s="4303"/>
      <c r="CY1298" s="4303"/>
      <c r="CZ1298" s="4303"/>
      <c r="DA1298" s="4303"/>
      <c r="DB1298" s="4303"/>
      <c r="DC1298" s="4303"/>
      <c r="DD1298" s="4303"/>
      <c r="DE1298" s="4303"/>
      <c r="DF1298" s="4303"/>
      <c r="DG1298" s="4303"/>
      <c r="DH1298" s="4303"/>
      <c r="DI1298" s="4303"/>
      <c r="DJ1298" s="4303"/>
      <c r="DK1298" s="4303"/>
      <c r="DL1298" s="4303"/>
      <c r="DM1298" s="4303"/>
      <c r="DN1298" s="4303"/>
      <c r="DO1298" s="4303"/>
      <c r="DP1298" s="4303"/>
      <c r="DQ1298" s="4303"/>
      <c r="DR1298" s="4303"/>
      <c r="DS1298" s="4303"/>
      <c r="DT1298" s="4134"/>
      <c r="DU1298" s="4134"/>
    </row>
    <row r="1299" s="4133" customFormat="1" ht="15.75" hidden="1" spans="1:125">
      <c r="A1299" s="4397"/>
      <c r="B1299" s="4292"/>
      <c r="C1299" s="4292"/>
      <c r="D1299" s="4292"/>
      <c r="E1299" s="4292"/>
      <c r="F1299" s="4292"/>
      <c r="G1299" s="4292"/>
      <c r="H1299" s="4292"/>
      <c r="I1299" s="4292"/>
      <c r="J1299" s="4292"/>
      <c r="K1299" s="4292"/>
      <c r="L1299" s="4292"/>
      <c r="M1299" s="4292"/>
      <c r="N1299" s="4292"/>
      <c r="O1299" s="4292"/>
      <c r="P1299" s="4292"/>
      <c r="Q1299" s="4292"/>
      <c r="R1299" s="4292"/>
      <c r="S1299" s="4292"/>
      <c r="T1299" s="4292"/>
      <c r="U1299" s="4292"/>
      <c r="V1299" s="4292"/>
      <c r="W1299" s="4292"/>
      <c r="X1299" s="4292"/>
      <c r="Y1299" s="4292"/>
      <c r="Z1299" s="4292"/>
      <c r="AA1299" s="4292"/>
      <c r="AB1299" s="4292"/>
      <c r="AC1299" s="4292"/>
      <c r="AD1299" s="4292"/>
      <c r="AE1299" s="4292"/>
      <c r="AF1299" s="4292"/>
      <c r="AG1299" s="4292"/>
      <c r="AH1299" s="4292"/>
      <c r="AI1299" s="4292"/>
      <c r="AJ1299" s="4292"/>
      <c r="AK1299" s="4292"/>
      <c r="AL1299" s="4292"/>
      <c r="AM1299" s="4292"/>
      <c r="AN1299" s="4292"/>
      <c r="AO1299" s="4292"/>
      <c r="AP1299" s="4292"/>
      <c r="AQ1299" s="4292"/>
      <c r="AR1299" s="4292"/>
      <c r="AS1299" s="4292"/>
      <c r="AT1299" s="4292"/>
      <c r="AU1299" s="4292"/>
      <c r="AV1299" s="4292"/>
      <c r="AW1299" s="4292"/>
      <c r="AX1299" s="4292"/>
      <c r="AY1299" s="4292"/>
      <c r="AZ1299" s="4292"/>
      <c r="BA1299" s="4292"/>
      <c r="BB1299" s="4292"/>
      <c r="BC1299" s="4292"/>
      <c r="BD1299" s="4303"/>
      <c r="BE1299" s="4303"/>
      <c r="BF1299" s="4303"/>
      <c r="BG1299" s="4303"/>
      <c r="BH1299" s="4303"/>
      <c r="BI1299" s="4303"/>
      <c r="BJ1299" s="4303"/>
      <c r="BK1299" s="4303"/>
      <c r="BL1299" s="4303"/>
      <c r="BM1299" s="4303"/>
      <c r="BN1299" s="4303"/>
      <c r="BO1299" s="4303"/>
      <c r="BP1299" s="4303"/>
      <c r="BQ1299" s="4303"/>
      <c r="BR1299" s="4303"/>
      <c r="BS1299" s="4303"/>
      <c r="BT1299" s="4303"/>
      <c r="BU1299" s="4303"/>
      <c r="BV1299" s="4303"/>
      <c r="BW1299" s="4303"/>
      <c r="BX1299" s="4303"/>
      <c r="BY1299" s="4303"/>
      <c r="BZ1299" s="4303"/>
      <c r="CA1299" s="4303"/>
      <c r="CB1299" s="4303"/>
      <c r="CC1299" s="4303"/>
      <c r="CD1299" s="4303"/>
      <c r="CE1299" s="4303"/>
      <c r="CF1299" s="4303"/>
      <c r="CG1299" s="4303"/>
      <c r="CH1299" s="4303"/>
      <c r="CI1299" s="4303"/>
      <c r="CJ1299" s="4303"/>
      <c r="CK1299" s="4303"/>
      <c r="CL1299" s="4303"/>
      <c r="CM1299" s="4303"/>
      <c r="CN1299" s="4303"/>
      <c r="CO1299" s="4303"/>
      <c r="CP1299" s="4303"/>
      <c r="CQ1299" s="4303"/>
      <c r="CR1299" s="4303"/>
      <c r="CS1299" s="4303"/>
      <c r="CT1299" s="4303"/>
      <c r="CU1299" s="4303"/>
      <c r="CV1299" s="4303"/>
      <c r="CW1299" s="4303"/>
      <c r="CX1299" s="4303"/>
      <c r="CY1299" s="4303"/>
      <c r="CZ1299" s="4303"/>
      <c r="DA1299" s="4303"/>
      <c r="DB1299" s="4303"/>
      <c r="DC1299" s="4303"/>
      <c r="DD1299" s="4303"/>
      <c r="DE1299" s="4303"/>
      <c r="DF1299" s="4303"/>
      <c r="DG1299" s="4303"/>
      <c r="DH1299" s="4303"/>
      <c r="DI1299" s="4303"/>
      <c r="DJ1299" s="4303"/>
      <c r="DK1299" s="4303"/>
      <c r="DL1299" s="4303"/>
      <c r="DM1299" s="4303"/>
      <c r="DN1299" s="4303"/>
      <c r="DO1299" s="4303"/>
      <c r="DP1299" s="4303"/>
      <c r="DQ1299" s="4303"/>
      <c r="DR1299" s="4303"/>
      <c r="DS1299" s="4303"/>
      <c r="DT1299" s="4134"/>
      <c r="DU1299" s="4134"/>
    </row>
    <row r="1300" s="4133" customFormat="1" ht="15.75" hidden="1" spans="1:125">
      <c r="A1300" s="4397"/>
      <c r="B1300" s="4292"/>
      <c r="C1300" s="4292"/>
      <c r="D1300" s="4292"/>
      <c r="E1300" s="4292"/>
      <c r="F1300" s="4292"/>
      <c r="G1300" s="4292"/>
      <c r="H1300" s="4292"/>
      <c r="I1300" s="4292"/>
      <c r="J1300" s="4292"/>
      <c r="K1300" s="4292"/>
      <c r="L1300" s="4292"/>
      <c r="M1300" s="4292"/>
      <c r="N1300" s="4292"/>
      <c r="O1300" s="4292"/>
      <c r="P1300" s="4292"/>
      <c r="Q1300" s="4292"/>
      <c r="R1300" s="4292"/>
      <c r="S1300" s="4292"/>
      <c r="T1300" s="4292"/>
      <c r="U1300" s="4292"/>
      <c r="V1300" s="4292"/>
      <c r="W1300" s="4292"/>
      <c r="X1300" s="4292"/>
      <c r="Y1300" s="4292"/>
      <c r="Z1300" s="4292"/>
      <c r="AA1300" s="4292"/>
      <c r="AB1300" s="4292"/>
      <c r="AC1300" s="4292"/>
      <c r="AD1300" s="4292"/>
      <c r="AE1300" s="4292"/>
      <c r="AF1300" s="4292"/>
      <c r="AG1300" s="4292"/>
      <c r="AH1300" s="4292"/>
      <c r="AI1300" s="4292"/>
      <c r="AJ1300" s="4292"/>
      <c r="AK1300" s="4292"/>
      <c r="AL1300" s="4292"/>
      <c r="AM1300" s="4292"/>
      <c r="AN1300" s="4292"/>
      <c r="AO1300" s="4292"/>
      <c r="AP1300" s="4292"/>
      <c r="AQ1300" s="4292"/>
      <c r="AR1300" s="4292"/>
      <c r="AS1300" s="4292"/>
      <c r="AT1300" s="4292"/>
      <c r="AU1300" s="4292"/>
      <c r="AV1300" s="4292"/>
      <c r="AW1300" s="4292"/>
      <c r="AX1300" s="4292"/>
      <c r="AY1300" s="4292"/>
      <c r="AZ1300" s="4292"/>
      <c r="BA1300" s="4292"/>
      <c r="BB1300" s="4292"/>
      <c r="BC1300" s="4292"/>
      <c r="BD1300" s="4303"/>
      <c r="BE1300" s="4303"/>
      <c r="BF1300" s="4303"/>
      <c r="BG1300" s="4303"/>
      <c r="BH1300" s="4303"/>
      <c r="BI1300" s="4303"/>
      <c r="BJ1300" s="4303"/>
      <c r="BK1300" s="4303"/>
      <c r="BL1300" s="4303"/>
      <c r="BM1300" s="4303"/>
      <c r="BN1300" s="4303"/>
      <c r="BO1300" s="4303"/>
      <c r="BP1300" s="4303"/>
      <c r="BQ1300" s="4303"/>
      <c r="BR1300" s="4303"/>
      <c r="BS1300" s="4303"/>
      <c r="BT1300" s="4303"/>
      <c r="BU1300" s="4303"/>
      <c r="BV1300" s="4303"/>
      <c r="BW1300" s="4303"/>
      <c r="BX1300" s="4303"/>
      <c r="BY1300" s="4303"/>
      <c r="BZ1300" s="4303"/>
      <c r="CA1300" s="4303"/>
      <c r="CB1300" s="4303"/>
      <c r="CC1300" s="4303"/>
      <c r="CD1300" s="4303"/>
      <c r="CE1300" s="4303"/>
      <c r="CF1300" s="4303"/>
      <c r="CG1300" s="4303"/>
      <c r="CH1300" s="4303"/>
      <c r="CI1300" s="4303"/>
      <c r="CJ1300" s="4303"/>
      <c r="CK1300" s="4303"/>
      <c r="CL1300" s="4303"/>
      <c r="CM1300" s="4303"/>
      <c r="CN1300" s="4303"/>
      <c r="CO1300" s="4303"/>
      <c r="CP1300" s="4303"/>
      <c r="CQ1300" s="4303"/>
      <c r="CR1300" s="4303"/>
      <c r="CS1300" s="4303"/>
      <c r="CT1300" s="4303"/>
      <c r="CU1300" s="4303"/>
      <c r="CV1300" s="4303"/>
      <c r="CW1300" s="4303"/>
      <c r="CX1300" s="4303"/>
      <c r="CY1300" s="4303"/>
      <c r="CZ1300" s="4303"/>
      <c r="DA1300" s="4303"/>
      <c r="DB1300" s="4303"/>
      <c r="DC1300" s="4303"/>
      <c r="DD1300" s="4303"/>
      <c r="DE1300" s="4303"/>
      <c r="DF1300" s="4303"/>
      <c r="DG1300" s="4303"/>
      <c r="DH1300" s="4303"/>
      <c r="DI1300" s="4303"/>
      <c r="DJ1300" s="4303"/>
      <c r="DK1300" s="4303"/>
      <c r="DL1300" s="4303"/>
      <c r="DM1300" s="4303"/>
      <c r="DN1300" s="4303"/>
      <c r="DO1300" s="4303"/>
      <c r="DP1300" s="4303"/>
      <c r="DQ1300" s="4303"/>
      <c r="DR1300" s="4303"/>
      <c r="DS1300" s="4303"/>
      <c r="DT1300" s="4134"/>
      <c r="DU1300" s="4134"/>
    </row>
    <row r="1301" s="4133" customFormat="1" ht="15.75" hidden="1" spans="1:125">
      <c r="A1301" s="4397"/>
      <c r="B1301" s="4292"/>
      <c r="C1301" s="4292"/>
      <c r="D1301" s="4292"/>
      <c r="E1301" s="4292"/>
      <c r="F1301" s="4292"/>
      <c r="G1301" s="4292"/>
      <c r="H1301" s="4292"/>
      <c r="I1301" s="4292"/>
      <c r="J1301" s="4292"/>
      <c r="K1301" s="4292"/>
      <c r="L1301" s="4292"/>
      <c r="M1301" s="4292"/>
      <c r="N1301" s="4292"/>
      <c r="O1301" s="4292"/>
      <c r="P1301" s="4292"/>
      <c r="Q1301" s="4292"/>
      <c r="R1301" s="4292"/>
      <c r="S1301" s="4292"/>
      <c r="T1301" s="4292"/>
      <c r="U1301" s="4292"/>
      <c r="V1301" s="4292"/>
      <c r="W1301" s="4292"/>
      <c r="X1301" s="4292"/>
      <c r="Y1301" s="4292"/>
      <c r="Z1301" s="4292"/>
      <c r="AA1301" s="4292"/>
      <c r="AB1301" s="4292"/>
      <c r="AC1301" s="4292"/>
      <c r="AD1301" s="4292"/>
      <c r="AE1301" s="4292"/>
      <c r="AF1301" s="4292"/>
      <c r="AG1301" s="4292"/>
      <c r="AH1301" s="4292"/>
      <c r="AI1301" s="4292"/>
      <c r="AJ1301" s="4292"/>
      <c r="AK1301" s="4292"/>
      <c r="AL1301" s="4292"/>
      <c r="AM1301" s="4292"/>
      <c r="AN1301" s="4292"/>
      <c r="AO1301" s="4292"/>
      <c r="AP1301" s="4292"/>
      <c r="AQ1301" s="4292"/>
      <c r="AR1301" s="4292"/>
      <c r="AS1301" s="4292"/>
      <c r="AT1301" s="4292"/>
      <c r="AU1301" s="4292"/>
      <c r="AV1301" s="4292"/>
      <c r="AW1301" s="4292"/>
      <c r="AX1301" s="4292"/>
      <c r="AY1301" s="4292"/>
      <c r="AZ1301" s="4292"/>
      <c r="BA1301" s="4292"/>
      <c r="BB1301" s="4292"/>
      <c r="BC1301" s="4292"/>
      <c r="BD1301" s="4303"/>
      <c r="BE1301" s="4303"/>
      <c r="BF1301" s="4303"/>
      <c r="BG1301" s="4303"/>
      <c r="BH1301" s="4303"/>
      <c r="BI1301" s="4303"/>
      <c r="BJ1301" s="4303"/>
      <c r="BK1301" s="4303"/>
      <c r="BL1301" s="4303"/>
      <c r="BM1301" s="4303"/>
      <c r="BN1301" s="4303"/>
      <c r="BO1301" s="4303"/>
      <c r="BP1301" s="4303"/>
      <c r="BQ1301" s="4303"/>
      <c r="BR1301" s="4303"/>
      <c r="BS1301" s="4303"/>
      <c r="BT1301" s="4303"/>
      <c r="BU1301" s="4303"/>
      <c r="BV1301" s="4303"/>
      <c r="BW1301" s="4303"/>
      <c r="BX1301" s="4303"/>
      <c r="BY1301" s="4303"/>
      <c r="BZ1301" s="4303"/>
      <c r="CA1301" s="4303"/>
      <c r="CB1301" s="4303"/>
      <c r="CC1301" s="4303"/>
      <c r="CD1301" s="4303"/>
      <c r="CE1301" s="4303"/>
      <c r="CF1301" s="4303"/>
      <c r="CG1301" s="4303"/>
      <c r="CH1301" s="4303"/>
      <c r="CI1301" s="4303"/>
      <c r="CJ1301" s="4303"/>
      <c r="CK1301" s="4303"/>
      <c r="CL1301" s="4303"/>
      <c r="CM1301" s="4303"/>
      <c r="CN1301" s="4303"/>
      <c r="CO1301" s="4303"/>
      <c r="CP1301" s="4303"/>
      <c r="CQ1301" s="4303"/>
      <c r="CR1301" s="4303"/>
      <c r="CS1301" s="4303"/>
      <c r="CT1301" s="4303"/>
      <c r="CU1301" s="4303"/>
      <c r="CV1301" s="4303"/>
      <c r="CW1301" s="4303"/>
      <c r="CX1301" s="4303"/>
      <c r="CY1301" s="4303"/>
      <c r="CZ1301" s="4303"/>
      <c r="DA1301" s="4303"/>
      <c r="DB1301" s="4303"/>
      <c r="DC1301" s="4303"/>
      <c r="DD1301" s="4303"/>
      <c r="DE1301" s="4303"/>
      <c r="DF1301" s="4303"/>
      <c r="DG1301" s="4303"/>
      <c r="DH1301" s="4303"/>
      <c r="DI1301" s="4303"/>
      <c r="DJ1301" s="4303"/>
      <c r="DK1301" s="4303"/>
      <c r="DL1301" s="4303"/>
      <c r="DM1301" s="4303"/>
      <c r="DN1301" s="4303"/>
      <c r="DO1301" s="4303"/>
      <c r="DP1301" s="4303"/>
      <c r="DQ1301" s="4303"/>
      <c r="DR1301" s="4303"/>
      <c r="DS1301" s="4303"/>
      <c r="DT1301" s="4134"/>
      <c r="DU1301" s="4134"/>
    </row>
    <row r="1302" s="4133" customFormat="1" ht="15.75" hidden="1" spans="1:125">
      <c r="A1302" s="4397"/>
      <c r="B1302" s="4292"/>
      <c r="C1302" s="4292"/>
      <c r="D1302" s="4292"/>
      <c r="E1302" s="4292"/>
      <c r="F1302" s="4292"/>
      <c r="G1302" s="4292"/>
      <c r="H1302" s="4292"/>
      <c r="I1302" s="4292"/>
      <c r="J1302" s="4292"/>
      <c r="K1302" s="4292"/>
      <c r="L1302" s="4292"/>
      <c r="M1302" s="4292"/>
      <c r="N1302" s="4292"/>
      <c r="O1302" s="4292"/>
      <c r="P1302" s="4292"/>
      <c r="Q1302" s="4292"/>
      <c r="R1302" s="4292"/>
      <c r="S1302" s="4292"/>
      <c r="T1302" s="4292"/>
      <c r="U1302" s="4292"/>
      <c r="V1302" s="4292"/>
      <c r="W1302" s="4292"/>
      <c r="X1302" s="4292"/>
      <c r="Y1302" s="4292"/>
      <c r="Z1302" s="4292"/>
      <c r="AA1302" s="4292"/>
      <c r="AB1302" s="4292"/>
      <c r="AC1302" s="4292"/>
      <c r="AD1302" s="4292"/>
      <c r="AE1302" s="4292"/>
      <c r="AF1302" s="4292"/>
      <c r="AG1302" s="4292"/>
      <c r="AH1302" s="4292"/>
      <c r="AI1302" s="4292"/>
      <c r="AJ1302" s="4292"/>
      <c r="AK1302" s="4292"/>
      <c r="AL1302" s="4292"/>
      <c r="AM1302" s="4292"/>
      <c r="AN1302" s="4292"/>
      <c r="AO1302" s="4292"/>
      <c r="AP1302" s="4292"/>
      <c r="AQ1302" s="4292"/>
      <c r="AR1302" s="4292"/>
      <c r="AS1302" s="4292"/>
      <c r="AT1302" s="4292"/>
      <c r="AU1302" s="4292"/>
      <c r="AV1302" s="4292"/>
      <c r="AW1302" s="4292"/>
      <c r="AX1302" s="4292"/>
      <c r="AY1302" s="4292"/>
      <c r="AZ1302" s="4292"/>
      <c r="BA1302" s="4292"/>
      <c r="BB1302" s="4292"/>
      <c r="BC1302" s="4292"/>
      <c r="BD1302" s="4303"/>
      <c r="BE1302" s="4303"/>
      <c r="BF1302" s="4303"/>
      <c r="BG1302" s="4303"/>
      <c r="BH1302" s="4303"/>
      <c r="BI1302" s="4303"/>
      <c r="BJ1302" s="4303"/>
      <c r="BK1302" s="4303"/>
      <c r="BL1302" s="4303"/>
      <c r="BM1302" s="4303"/>
      <c r="BN1302" s="4303"/>
      <c r="BO1302" s="4303"/>
      <c r="BP1302" s="4303"/>
      <c r="BQ1302" s="4303"/>
      <c r="BR1302" s="4303"/>
      <c r="BS1302" s="4303"/>
      <c r="BT1302" s="4303"/>
      <c r="BU1302" s="4303"/>
      <c r="BV1302" s="4303"/>
      <c r="BW1302" s="4303"/>
      <c r="BX1302" s="4303"/>
      <c r="BY1302" s="4303"/>
      <c r="BZ1302" s="4303"/>
      <c r="CA1302" s="4303"/>
      <c r="CB1302" s="4303"/>
      <c r="CC1302" s="4303"/>
      <c r="CD1302" s="4303"/>
      <c r="CE1302" s="4303"/>
      <c r="CF1302" s="4303"/>
      <c r="CG1302" s="4303"/>
      <c r="CH1302" s="4303"/>
      <c r="CI1302" s="4303"/>
      <c r="CJ1302" s="4303"/>
      <c r="CK1302" s="4303"/>
      <c r="CL1302" s="4303"/>
      <c r="CM1302" s="4303"/>
      <c r="CN1302" s="4303"/>
      <c r="CO1302" s="4303"/>
      <c r="CP1302" s="4303"/>
      <c r="CQ1302" s="4303"/>
      <c r="CR1302" s="4303"/>
      <c r="CS1302" s="4303"/>
      <c r="CT1302" s="4303"/>
      <c r="CU1302" s="4303"/>
      <c r="CV1302" s="4303"/>
      <c r="CW1302" s="4303"/>
      <c r="CX1302" s="4303"/>
      <c r="CY1302" s="4303"/>
      <c r="CZ1302" s="4303"/>
      <c r="DA1302" s="4303"/>
      <c r="DB1302" s="4303"/>
      <c r="DC1302" s="4303"/>
      <c r="DD1302" s="4303"/>
      <c r="DE1302" s="4303"/>
      <c r="DF1302" s="4303"/>
      <c r="DG1302" s="4303"/>
      <c r="DH1302" s="4303"/>
      <c r="DI1302" s="4303"/>
      <c r="DJ1302" s="4303"/>
      <c r="DK1302" s="4303"/>
      <c r="DL1302" s="4303"/>
      <c r="DM1302" s="4303"/>
      <c r="DN1302" s="4303"/>
      <c r="DO1302" s="4303"/>
      <c r="DP1302" s="4303"/>
      <c r="DQ1302" s="4303"/>
      <c r="DR1302" s="4303"/>
      <c r="DS1302" s="4303"/>
      <c r="DT1302" s="4134"/>
      <c r="DU1302" s="4134"/>
    </row>
    <row r="1303" s="4133" customFormat="1" ht="15.75" hidden="1" spans="1:125">
      <c r="A1303" s="4397"/>
      <c r="B1303" s="4292"/>
      <c r="C1303" s="4292"/>
      <c r="D1303" s="4292"/>
      <c r="E1303" s="4292"/>
      <c r="F1303" s="4292"/>
      <c r="G1303" s="4292"/>
      <c r="H1303" s="4292"/>
      <c r="I1303" s="4292"/>
      <c r="J1303" s="4292"/>
      <c r="K1303" s="4292"/>
      <c r="L1303" s="4292"/>
      <c r="M1303" s="4292"/>
      <c r="N1303" s="4292"/>
      <c r="O1303" s="4292"/>
      <c r="P1303" s="4292"/>
      <c r="Q1303" s="4292"/>
      <c r="R1303" s="4292"/>
      <c r="S1303" s="4292"/>
      <c r="T1303" s="4292"/>
      <c r="U1303" s="4292"/>
      <c r="V1303" s="4292"/>
      <c r="W1303" s="4292"/>
      <c r="X1303" s="4292"/>
      <c r="Y1303" s="4292"/>
      <c r="Z1303" s="4292"/>
      <c r="AA1303" s="4292"/>
      <c r="AB1303" s="4292"/>
      <c r="AC1303" s="4292"/>
      <c r="AD1303" s="4292"/>
      <c r="AE1303" s="4292"/>
      <c r="AF1303" s="4292"/>
      <c r="AG1303" s="4292"/>
      <c r="AH1303" s="4292"/>
      <c r="AI1303" s="4292"/>
      <c r="AJ1303" s="4292"/>
      <c r="AK1303" s="4292"/>
      <c r="AL1303" s="4292"/>
      <c r="AM1303" s="4292"/>
      <c r="AN1303" s="4292"/>
      <c r="AO1303" s="4292"/>
      <c r="AP1303" s="4292"/>
      <c r="AQ1303" s="4292"/>
      <c r="AR1303" s="4292"/>
      <c r="AS1303" s="4292"/>
      <c r="AT1303" s="4292"/>
      <c r="AU1303" s="4292"/>
      <c r="AV1303" s="4292"/>
      <c r="AW1303" s="4292"/>
      <c r="AX1303" s="4292"/>
      <c r="AY1303" s="4292"/>
      <c r="AZ1303" s="4292"/>
      <c r="BA1303" s="4292"/>
      <c r="BB1303" s="4292"/>
      <c r="BC1303" s="4292"/>
      <c r="BD1303" s="4303"/>
      <c r="BE1303" s="4303"/>
      <c r="BF1303" s="4303"/>
      <c r="BG1303" s="4303"/>
      <c r="BH1303" s="4303"/>
      <c r="BI1303" s="4303"/>
      <c r="BJ1303" s="4303"/>
      <c r="BK1303" s="4303"/>
      <c r="BL1303" s="4303"/>
      <c r="BM1303" s="4303"/>
      <c r="BN1303" s="4303"/>
      <c r="BO1303" s="4303"/>
      <c r="BP1303" s="4303"/>
      <c r="BQ1303" s="4303"/>
      <c r="BR1303" s="4303"/>
      <c r="BS1303" s="4303"/>
      <c r="BT1303" s="4303"/>
      <c r="BU1303" s="4303"/>
      <c r="BV1303" s="4303"/>
      <c r="BW1303" s="4303"/>
      <c r="BX1303" s="4303"/>
      <c r="BY1303" s="4303"/>
      <c r="BZ1303" s="4303"/>
      <c r="CA1303" s="4303"/>
      <c r="CB1303" s="4303"/>
      <c r="CC1303" s="4303"/>
      <c r="CD1303" s="4303"/>
      <c r="CE1303" s="4303"/>
      <c r="CF1303" s="4303"/>
      <c r="CG1303" s="4303"/>
      <c r="CH1303" s="4303"/>
      <c r="CI1303" s="4303"/>
      <c r="CJ1303" s="4303"/>
      <c r="CK1303" s="4303"/>
      <c r="CL1303" s="4303"/>
      <c r="CM1303" s="4303"/>
      <c r="CN1303" s="4303"/>
      <c r="CO1303" s="4303"/>
      <c r="CP1303" s="4303"/>
      <c r="CQ1303" s="4303"/>
      <c r="CR1303" s="4303"/>
      <c r="CS1303" s="4303"/>
      <c r="CT1303" s="4303"/>
      <c r="CU1303" s="4303"/>
      <c r="CV1303" s="4303"/>
      <c r="CW1303" s="4303"/>
      <c r="CX1303" s="4303"/>
      <c r="CY1303" s="4303"/>
      <c r="CZ1303" s="4303"/>
      <c r="DA1303" s="4303"/>
      <c r="DB1303" s="4303"/>
      <c r="DC1303" s="4303"/>
      <c r="DD1303" s="4303"/>
      <c r="DE1303" s="4303"/>
      <c r="DF1303" s="4303"/>
      <c r="DG1303" s="4303"/>
      <c r="DH1303" s="4303"/>
      <c r="DI1303" s="4303"/>
      <c r="DJ1303" s="4303"/>
      <c r="DK1303" s="4303"/>
      <c r="DL1303" s="4303"/>
      <c r="DM1303" s="4303"/>
      <c r="DN1303" s="4303"/>
      <c r="DO1303" s="4303"/>
      <c r="DP1303" s="4303"/>
      <c r="DQ1303" s="4303"/>
      <c r="DR1303" s="4303"/>
      <c r="DS1303" s="4303"/>
      <c r="DT1303" s="4134"/>
      <c r="DU1303" s="4134"/>
    </row>
    <row r="1304" s="4133" customFormat="1" ht="15.75" hidden="1" spans="1:125">
      <c r="A1304" s="4397"/>
      <c r="B1304" s="4292"/>
      <c r="C1304" s="4292"/>
      <c r="D1304" s="4292"/>
      <c r="E1304" s="4292"/>
      <c r="F1304" s="4292"/>
      <c r="G1304" s="4292"/>
      <c r="H1304" s="4292"/>
      <c r="I1304" s="4292"/>
      <c r="J1304" s="4292"/>
      <c r="K1304" s="4292"/>
      <c r="L1304" s="4292"/>
      <c r="M1304" s="4292"/>
      <c r="N1304" s="4292"/>
      <c r="O1304" s="4292"/>
      <c r="P1304" s="4292"/>
      <c r="Q1304" s="4292"/>
      <c r="R1304" s="4292"/>
      <c r="S1304" s="4292"/>
      <c r="T1304" s="4292"/>
      <c r="U1304" s="4292"/>
      <c r="V1304" s="4292"/>
      <c r="W1304" s="4292"/>
      <c r="X1304" s="4292"/>
      <c r="Y1304" s="4292"/>
      <c r="Z1304" s="4292"/>
      <c r="AA1304" s="4292"/>
      <c r="AB1304" s="4292"/>
      <c r="AC1304" s="4292"/>
      <c r="AD1304" s="4292"/>
      <c r="AE1304" s="4292"/>
      <c r="AF1304" s="4292"/>
      <c r="AG1304" s="4292"/>
      <c r="AH1304" s="4292"/>
      <c r="AI1304" s="4292"/>
      <c r="AJ1304" s="4292"/>
      <c r="AK1304" s="4292"/>
      <c r="AL1304" s="4292"/>
      <c r="AM1304" s="4292"/>
      <c r="AN1304" s="4292"/>
      <c r="AO1304" s="4292"/>
      <c r="AP1304" s="4292"/>
      <c r="AQ1304" s="4292"/>
      <c r="AR1304" s="4292"/>
      <c r="AS1304" s="4292"/>
      <c r="AT1304" s="4292"/>
      <c r="AU1304" s="4292"/>
      <c r="AV1304" s="4292"/>
      <c r="AW1304" s="4292"/>
      <c r="AX1304" s="4292"/>
      <c r="AY1304" s="4292"/>
      <c r="AZ1304" s="4292"/>
      <c r="BA1304" s="4292"/>
      <c r="BB1304" s="4292"/>
      <c r="BC1304" s="4292"/>
      <c r="BD1304" s="4303"/>
      <c r="BE1304" s="4303"/>
      <c r="BF1304" s="4303"/>
      <c r="BG1304" s="4303"/>
      <c r="BH1304" s="4303"/>
      <c r="BI1304" s="4303"/>
      <c r="BJ1304" s="4303"/>
      <c r="BK1304" s="4303"/>
      <c r="BL1304" s="4303"/>
      <c r="BM1304" s="4303"/>
      <c r="BN1304" s="4303"/>
      <c r="BO1304" s="4303"/>
      <c r="BP1304" s="4303"/>
      <c r="BQ1304" s="4303"/>
      <c r="BR1304" s="4303"/>
      <c r="BS1304" s="4303"/>
      <c r="BT1304" s="4303"/>
      <c r="BU1304" s="4303"/>
      <c r="BV1304" s="4303"/>
      <c r="BW1304" s="4303"/>
      <c r="BX1304" s="4303"/>
      <c r="BY1304" s="4303"/>
      <c r="BZ1304" s="4303"/>
      <c r="CA1304" s="4303"/>
      <c r="CB1304" s="4303"/>
      <c r="CC1304" s="4303"/>
      <c r="CD1304" s="4303"/>
      <c r="CE1304" s="4303"/>
      <c r="CF1304" s="4303"/>
      <c r="CG1304" s="4303"/>
      <c r="CH1304" s="4303"/>
      <c r="CI1304" s="4303"/>
      <c r="CJ1304" s="4303"/>
      <c r="CK1304" s="4303"/>
      <c r="CL1304" s="4303"/>
      <c r="CM1304" s="4303"/>
      <c r="CN1304" s="4303"/>
      <c r="CO1304" s="4303"/>
      <c r="CP1304" s="4303"/>
      <c r="CQ1304" s="4303"/>
      <c r="CR1304" s="4303"/>
      <c r="CS1304" s="4303"/>
      <c r="CT1304" s="4303"/>
      <c r="CU1304" s="4303"/>
      <c r="CV1304" s="4303"/>
      <c r="CW1304" s="4303"/>
      <c r="CX1304" s="4303"/>
      <c r="CY1304" s="4303"/>
      <c r="CZ1304" s="4303"/>
      <c r="DA1304" s="4303"/>
      <c r="DB1304" s="4303"/>
      <c r="DC1304" s="4303"/>
      <c r="DD1304" s="4303"/>
      <c r="DE1304" s="4303"/>
      <c r="DF1304" s="4303"/>
      <c r="DG1304" s="4303"/>
      <c r="DH1304" s="4303"/>
      <c r="DI1304" s="4303"/>
      <c r="DJ1304" s="4303"/>
      <c r="DK1304" s="4303"/>
      <c r="DL1304" s="4303"/>
      <c r="DM1304" s="4303"/>
      <c r="DN1304" s="4303"/>
      <c r="DO1304" s="4303"/>
      <c r="DP1304" s="4303"/>
      <c r="DQ1304" s="4303"/>
      <c r="DR1304" s="4303"/>
      <c r="DS1304" s="4303"/>
      <c r="DT1304" s="4134"/>
      <c r="DU1304" s="4134"/>
    </row>
    <row r="1305" s="4133" customFormat="1" ht="15.75" hidden="1" spans="1:125">
      <c r="A1305" s="4397"/>
      <c r="B1305" s="4292"/>
      <c r="C1305" s="4292"/>
      <c r="D1305" s="4292"/>
      <c r="E1305" s="4292"/>
      <c r="F1305" s="4292"/>
      <c r="G1305" s="4292"/>
      <c r="H1305" s="4292"/>
      <c r="I1305" s="4292"/>
      <c r="J1305" s="4292"/>
      <c r="K1305" s="4292"/>
      <c r="L1305" s="4292"/>
      <c r="M1305" s="4292"/>
      <c r="N1305" s="4292"/>
      <c r="O1305" s="4292"/>
      <c r="P1305" s="4292"/>
      <c r="Q1305" s="4292"/>
      <c r="R1305" s="4292"/>
      <c r="S1305" s="4292"/>
      <c r="T1305" s="4292"/>
      <c r="U1305" s="4292"/>
      <c r="V1305" s="4292"/>
      <c r="W1305" s="4292"/>
      <c r="X1305" s="4292"/>
      <c r="Y1305" s="4292"/>
      <c r="Z1305" s="4292"/>
      <c r="AA1305" s="4292"/>
      <c r="AB1305" s="4292"/>
      <c r="AC1305" s="4292"/>
      <c r="AD1305" s="4292"/>
      <c r="AE1305" s="4292"/>
      <c r="AF1305" s="4292"/>
      <c r="AG1305" s="4292"/>
      <c r="AH1305" s="4292"/>
      <c r="AI1305" s="4292"/>
      <c r="AJ1305" s="4292"/>
      <c r="AK1305" s="4292"/>
      <c r="AL1305" s="4292"/>
      <c r="AM1305" s="4292"/>
      <c r="AN1305" s="4292"/>
      <c r="AO1305" s="4292"/>
      <c r="AP1305" s="4292"/>
      <c r="AQ1305" s="4292"/>
      <c r="AR1305" s="4292"/>
      <c r="AS1305" s="4292"/>
      <c r="AT1305" s="4292"/>
      <c r="AU1305" s="4292"/>
      <c r="AV1305" s="4292"/>
      <c r="AW1305" s="4292"/>
      <c r="AX1305" s="4292"/>
      <c r="AY1305" s="4292"/>
      <c r="AZ1305" s="4292"/>
      <c r="BA1305" s="4292"/>
      <c r="BB1305" s="4292"/>
      <c r="BC1305" s="4292"/>
      <c r="BD1305" s="4303"/>
      <c r="BE1305" s="4303"/>
      <c r="BF1305" s="4303"/>
      <c r="BG1305" s="4303"/>
      <c r="BH1305" s="4303"/>
      <c r="BI1305" s="4303"/>
      <c r="BJ1305" s="4303"/>
      <c r="BK1305" s="4303"/>
      <c r="BL1305" s="4303"/>
      <c r="BM1305" s="4303"/>
      <c r="BN1305" s="4303"/>
      <c r="BO1305" s="4303"/>
      <c r="BP1305" s="4303"/>
      <c r="BQ1305" s="4303"/>
      <c r="BR1305" s="4303"/>
      <c r="BS1305" s="4303"/>
      <c r="BT1305" s="4303"/>
      <c r="BU1305" s="4303"/>
      <c r="BV1305" s="4303"/>
      <c r="BW1305" s="4303"/>
      <c r="BX1305" s="4303"/>
      <c r="BY1305" s="4303"/>
      <c r="BZ1305" s="4303"/>
      <c r="CA1305" s="4303"/>
      <c r="CB1305" s="4303"/>
      <c r="CC1305" s="4303"/>
      <c r="CD1305" s="4303"/>
      <c r="CE1305" s="4303"/>
      <c r="CF1305" s="4303"/>
      <c r="CG1305" s="4303"/>
      <c r="CH1305" s="4303"/>
      <c r="CI1305" s="4303"/>
      <c r="CJ1305" s="4303"/>
      <c r="CK1305" s="4303"/>
      <c r="CL1305" s="4303"/>
      <c r="CM1305" s="4303"/>
      <c r="CN1305" s="4303"/>
      <c r="CO1305" s="4303"/>
      <c r="CP1305" s="4303"/>
      <c r="CQ1305" s="4303"/>
      <c r="CR1305" s="4303"/>
      <c r="CS1305" s="4303"/>
      <c r="CT1305" s="4303"/>
      <c r="CU1305" s="4303"/>
      <c r="CV1305" s="4303"/>
      <c r="CW1305" s="4303"/>
      <c r="CX1305" s="4303"/>
      <c r="CY1305" s="4303"/>
      <c r="CZ1305" s="4303"/>
      <c r="DA1305" s="4303"/>
      <c r="DB1305" s="4303"/>
      <c r="DC1305" s="4303"/>
      <c r="DD1305" s="4303"/>
      <c r="DE1305" s="4303"/>
      <c r="DF1305" s="4303"/>
      <c r="DG1305" s="4303"/>
      <c r="DH1305" s="4303"/>
      <c r="DI1305" s="4303"/>
      <c r="DJ1305" s="4303"/>
      <c r="DK1305" s="4303"/>
      <c r="DL1305" s="4303"/>
      <c r="DM1305" s="4303"/>
      <c r="DN1305" s="4303"/>
      <c r="DO1305" s="4303"/>
      <c r="DP1305" s="4303"/>
      <c r="DQ1305" s="4303"/>
      <c r="DR1305" s="4303"/>
      <c r="DS1305" s="4303"/>
      <c r="DT1305" s="4134"/>
      <c r="DU1305" s="4134"/>
    </row>
    <row r="1306" s="4133" customFormat="1" ht="15.75" hidden="1" spans="1:125">
      <c r="A1306" s="4397"/>
      <c r="B1306" s="4292"/>
      <c r="C1306" s="4292"/>
      <c r="D1306" s="4292"/>
      <c r="E1306" s="4292"/>
      <c r="F1306" s="4292"/>
      <c r="G1306" s="4292"/>
      <c r="H1306" s="4292"/>
      <c r="I1306" s="4292"/>
      <c r="J1306" s="4292"/>
      <c r="K1306" s="4292"/>
      <c r="L1306" s="4292"/>
      <c r="M1306" s="4292"/>
      <c r="N1306" s="4292"/>
      <c r="O1306" s="4292"/>
      <c r="P1306" s="4292"/>
      <c r="Q1306" s="4292"/>
      <c r="R1306" s="4292"/>
      <c r="S1306" s="4292"/>
      <c r="T1306" s="4292"/>
      <c r="U1306" s="4292"/>
      <c r="V1306" s="4292"/>
      <c r="W1306" s="4292"/>
      <c r="X1306" s="4292"/>
      <c r="Y1306" s="4292"/>
      <c r="Z1306" s="4292"/>
      <c r="AA1306" s="4292"/>
      <c r="AB1306" s="4292"/>
      <c r="AC1306" s="4292"/>
      <c r="AD1306" s="4292"/>
      <c r="AE1306" s="4292"/>
      <c r="AF1306" s="4292"/>
      <c r="AG1306" s="4292"/>
      <c r="AH1306" s="4292"/>
      <c r="AI1306" s="4292"/>
      <c r="AJ1306" s="4292"/>
      <c r="AK1306" s="4292"/>
      <c r="AL1306" s="4292"/>
      <c r="AM1306" s="4292"/>
      <c r="AN1306" s="4292"/>
      <c r="AO1306" s="4292"/>
      <c r="AP1306" s="4292"/>
      <c r="AQ1306" s="4292"/>
      <c r="AR1306" s="4292"/>
      <c r="AS1306" s="4292"/>
      <c r="AT1306" s="4292"/>
      <c r="AU1306" s="4292"/>
      <c r="AV1306" s="4292"/>
      <c r="AW1306" s="4292"/>
      <c r="AX1306" s="4292"/>
      <c r="AY1306" s="4292"/>
      <c r="AZ1306" s="4292"/>
      <c r="BA1306" s="4292"/>
      <c r="BB1306" s="4292"/>
      <c r="BC1306" s="4292"/>
      <c r="BD1306" s="4303"/>
      <c r="BE1306" s="4303"/>
      <c r="BF1306" s="4303"/>
      <c r="BG1306" s="4303"/>
      <c r="BH1306" s="4303"/>
      <c r="BI1306" s="4303"/>
      <c r="BJ1306" s="4303"/>
      <c r="BK1306" s="4303"/>
      <c r="BL1306" s="4303"/>
      <c r="BM1306" s="4303"/>
      <c r="BN1306" s="4303"/>
      <c r="BO1306" s="4303"/>
      <c r="BP1306" s="4303"/>
      <c r="BQ1306" s="4303"/>
      <c r="BR1306" s="4303"/>
      <c r="BS1306" s="4303"/>
      <c r="BT1306" s="4303"/>
      <c r="BU1306" s="4303"/>
      <c r="BV1306" s="4303"/>
      <c r="BW1306" s="4303"/>
      <c r="BX1306" s="4303"/>
      <c r="BY1306" s="4303"/>
      <c r="BZ1306" s="4303"/>
      <c r="CA1306" s="4303"/>
      <c r="CB1306" s="4303"/>
      <c r="CC1306" s="4303"/>
      <c r="CD1306" s="4303"/>
      <c r="CE1306" s="4303"/>
      <c r="CF1306" s="4303"/>
      <c r="CG1306" s="4303"/>
      <c r="CH1306" s="4303"/>
      <c r="CI1306" s="4303"/>
      <c r="CJ1306" s="4303"/>
      <c r="CK1306" s="4303"/>
      <c r="CL1306" s="4303"/>
      <c r="CM1306" s="4303"/>
      <c r="CN1306" s="4303"/>
      <c r="CO1306" s="4303"/>
      <c r="CP1306" s="4303"/>
      <c r="CQ1306" s="4303"/>
      <c r="CR1306" s="4303"/>
      <c r="CS1306" s="4303"/>
      <c r="CT1306" s="4303"/>
      <c r="CU1306" s="4303"/>
      <c r="CV1306" s="4303"/>
      <c r="CW1306" s="4303"/>
      <c r="CX1306" s="4303"/>
      <c r="CY1306" s="4303"/>
      <c r="CZ1306" s="4303"/>
      <c r="DA1306" s="4303"/>
      <c r="DB1306" s="4303"/>
      <c r="DC1306" s="4303"/>
      <c r="DD1306" s="4303"/>
      <c r="DE1306" s="4303"/>
      <c r="DF1306" s="4303"/>
      <c r="DG1306" s="4303"/>
      <c r="DH1306" s="4303"/>
      <c r="DI1306" s="4303"/>
      <c r="DJ1306" s="4303"/>
      <c r="DK1306" s="4303"/>
      <c r="DL1306" s="4303"/>
      <c r="DM1306" s="4303"/>
      <c r="DN1306" s="4303"/>
      <c r="DO1306" s="4303"/>
      <c r="DP1306" s="4303"/>
      <c r="DQ1306" s="4303"/>
      <c r="DR1306" s="4303"/>
      <c r="DS1306" s="4303"/>
      <c r="DT1306" s="4134"/>
      <c r="DU1306" s="4134"/>
    </row>
    <row r="1307" s="4133" customFormat="1" ht="15.75" hidden="1" spans="1:125">
      <c r="A1307" s="4397"/>
      <c r="B1307" s="4292"/>
      <c r="C1307" s="4292"/>
      <c r="D1307" s="4292"/>
      <c r="E1307" s="4292"/>
      <c r="F1307" s="4292"/>
      <c r="G1307" s="4292"/>
      <c r="H1307" s="4292"/>
      <c r="I1307" s="4292"/>
      <c r="J1307" s="4292"/>
      <c r="K1307" s="4292"/>
      <c r="L1307" s="4292"/>
      <c r="M1307" s="4292"/>
      <c r="N1307" s="4292"/>
      <c r="O1307" s="4292"/>
      <c r="P1307" s="4292"/>
      <c r="Q1307" s="4292"/>
      <c r="R1307" s="4292"/>
      <c r="S1307" s="4292"/>
      <c r="T1307" s="4292"/>
      <c r="U1307" s="4292"/>
      <c r="V1307" s="4292"/>
      <c r="W1307" s="4292"/>
      <c r="X1307" s="4292"/>
      <c r="Y1307" s="4292"/>
      <c r="Z1307" s="4292"/>
      <c r="AA1307" s="4292"/>
      <c r="AB1307" s="4292"/>
      <c r="AC1307" s="4292"/>
      <c r="AD1307" s="4292"/>
      <c r="AE1307" s="4292"/>
      <c r="AF1307" s="4292"/>
      <c r="AG1307" s="4292"/>
      <c r="AH1307" s="4292"/>
      <c r="AI1307" s="4292"/>
      <c r="AJ1307" s="4292"/>
      <c r="AK1307" s="4292"/>
      <c r="AL1307" s="4292"/>
      <c r="AM1307" s="4292"/>
      <c r="AN1307" s="4292"/>
      <c r="AO1307" s="4292"/>
      <c r="AP1307" s="4292"/>
      <c r="AQ1307" s="4292"/>
      <c r="AR1307" s="4292"/>
      <c r="AS1307" s="4292"/>
      <c r="AT1307" s="4292"/>
      <c r="AU1307" s="4292"/>
      <c r="AV1307" s="4292"/>
      <c r="AW1307" s="4292"/>
      <c r="AX1307" s="4292"/>
      <c r="AY1307" s="4292"/>
      <c r="AZ1307" s="4292"/>
      <c r="BA1307" s="4292"/>
      <c r="BB1307" s="4292"/>
      <c r="BC1307" s="4292"/>
      <c r="BD1307" s="4303"/>
      <c r="BE1307" s="4303"/>
      <c r="BF1307" s="4303"/>
      <c r="BG1307" s="4303"/>
      <c r="BH1307" s="4303"/>
      <c r="BI1307" s="4303"/>
      <c r="BJ1307" s="4303"/>
      <c r="BK1307" s="4303"/>
      <c r="BL1307" s="4303"/>
      <c r="BM1307" s="4303"/>
      <c r="BN1307" s="4303"/>
      <c r="BO1307" s="4303"/>
      <c r="BP1307" s="4303"/>
      <c r="BQ1307" s="4303"/>
      <c r="BR1307" s="4303"/>
      <c r="BS1307" s="4303"/>
      <c r="BT1307" s="4303"/>
      <c r="BU1307" s="4303"/>
      <c r="BV1307" s="4303"/>
      <c r="BW1307" s="4303"/>
      <c r="BX1307" s="4303"/>
      <c r="BY1307" s="4303"/>
      <c r="BZ1307" s="4303"/>
      <c r="CA1307" s="4303"/>
      <c r="CB1307" s="4303"/>
      <c r="CC1307" s="4303"/>
      <c r="CD1307" s="4303"/>
      <c r="CE1307" s="4303"/>
      <c r="CF1307" s="4303"/>
      <c r="CG1307" s="4303"/>
      <c r="CH1307" s="4303"/>
      <c r="CI1307" s="4303"/>
      <c r="CJ1307" s="4303"/>
      <c r="CK1307" s="4303"/>
      <c r="CL1307" s="4303"/>
      <c r="CM1307" s="4303"/>
      <c r="CN1307" s="4303"/>
      <c r="CO1307" s="4303"/>
      <c r="CP1307" s="4303"/>
      <c r="CQ1307" s="4303"/>
      <c r="CR1307" s="4303"/>
      <c r="CS1307" s="4303"/>
      <c r="CT1307" s="4303"/>
      <c r="CU1307" s="4303"/>
      <c r="CV1307" s="4303"/>
      <c r="CW1307" s="4303"/>
      <c r="CX1307" s="4303"/>
      <c r="CY1307" s="4303"/>
      <c r="CZ1307" s="4303"/>
      <c r="DA1307" s="4303"/>
      <c r="DB1307" s="4303"/>
      <c r="DC1307" s="4303"/>
      <c r="DD1307" s="4303"/>
      <c r="DE1307" s="4303"/>
      <c r="DF1307" s="4303"/>
      <c r="DG1307" s="4303"/>
      <c r="DH1307" s="4303"/>
      <c r="DI1307" s="4303"/>
      <c r="DJ1307" s="4303"/>
      <c r="DK1307" s="4303"/>
      <c r="DL1307" s="4303"/>
      <c r="DM1307" s="4303"/>
      <c r="DN1307" s="4303"/>
      <c r="DO1307" s="4303"/>
      <c r="DP1307" s="4303"/>
      <c r="DQ1307" s="4303"/>
      <c r="DR1307" s="4303"/>
      <c r="DS1307" s="4303"/>
      <c r="DT1307" s="4134"/>
      <c r="DU1307" s="4134"/>
    </row>
    <row r="1308" s="4133" customFormat="1" ht="15.75" hidden="1" spans="1:125">
      <c r="A1308" s="4397"/>
      <c r="B1308" s="4292"/>
      <c r="C1308" s="4292"/>
      <c r="D1308" s="4292"/>
      <c r="E1308" s="4292"/>
      <c r="F1308" s="4292"/>
      <c r="G1308" s="4292"/>
      <c r="H1308" s="4292"/>
      <c r="I1308" s="4292"/>
      <c r="J1308" s="4292"/>
      <c r="K1308" s="4292"/>
      <c r="L1308" s="4292"/>
      <c r="M1308" s="4292"/>
      <c r="N1308" s="4292"/>
      <c r="O1308" s="4292"/>
      <c r="P1308" s="4292"/>
      <c r="Q1308" s="4292"/>
      <c r="R1308" s="4292"/>
      <c r="S1308" s="4292"/>
      <c r="T1308" s="4292"/>
      <c r="U1308" s="4292"/>
      <c r="V1308" s="4292"/>
      <c r="W1308" s="4292"/>
      <c r="X1308" s="4292"/>
      <c r="Y1308" s="4292"/>
      <c r="Z1308" s="4292"/>
      <c r="AA1308" s="4292"/>
      <c r="AB1308" s="4292"/>
      <c r="AC1308" s="4292"/>
      <c r="AD1308" s="4292"/>
      <c r="AE1308" s="4292"/>
      <c r="AF1308" s="4292"/>
      <c r="AG1308" s="4292"/>
      <c r="AH1308" s="4292"/>
      <c r="AI1308" s="4292"/>
      <c r="AJ1308" s="4292"/>
      <c r="AK1308" s="4292"/>
      <c r="AL1308" s="4292"/>
      <c r="AM1308" s="4292"/>
      <c r="AN1308" s="4292"/>
      <c r="AO1308" s="4292"/>
      <c r="AP1308" s="4292"/>
      <c r="AQ1308" s="4292"/>
      <c r="AR1308" s="4292"/>
      <c r="AS1308" s="4292"/>
      <c r="AT1308" s="4292"/>
      <c r="AU1308" s="4292"/>
      <c r="AV1308" s="4292"/>
      <c r="AW1308" s="4292"/>
      <c r="AX1308" s="4292"/>
      <c r="AY1308" s="4292"/>
      <c r="AZ1308" s="4292"/>
      <c r="BA1308" s="4292"/>
      <c r="BB1308" s="4292"/>
      <c r="BC1308" s="4292"/>
      <c r="BD1308" s="4303"/>
      <c r="BE1308" s="4303"/>
      <c r="BF1308" s="4303"/>
      <c r="BG1308" s="4303"/>
      <c r="BH1308" s="4303"/>
      <c r="BI1308" s="4303"/>
      <c r="BJ1308" s="4303"/>
      <c r="BK1308" s="4303"/>
      <c r="BL1308" s="4303"/>
      <c r="BM1308" s="4303"/>
      <c r="BN1308" s="4303"/>
      <c r="BO1308" s="4303"/>
      <c r="BP1308" s="4303"/>
      <c r="BQ1308" s="4303"/>
      <c r="BR1308" s="4303"/>
      <c r="BS1308" s="4303"/>
      <c r="BT1308" s="4303"/>
      <c r="BU1308" s="4303"/>
      <c r="BV1308" s="4303"/>
      <c r="BW1308" s="4303"/>
      <c r="BX1308" s="4303"/>
      <c r="BY1308" s="4303"/>
      <c r="BZ1308" s="4303"/>
      <c r="CA1308" s="4303"/>
      <c r="CB1308" s="4303"/>
      <c r="CC1308" s="4303"/>
      <c r="CD1308" s="4303"/>
      <c r="CE1308" s="4303"/>
      <c r="CF1308" s="4303"/>
      <c r="CG1308" s="4303"/>
      <c r="CH1308" s="4303"/>
      <c r="CI1308" s="4303"/>
      <c r="CJ1308" s="4303"/>
      <c r="CK1308" s="4303"/>
      <c r="CL1308" s="4303"/>
      <c r="CM1308" s="4303"/>
      <c r="CN1308" s="4303"/>
      <c r="CO1308" s="4303"/>
      <c r="CP1308" s="4303"/>
      <c r="CQ1308" s="4303"/>
      <c r="CR1308" s="4303"/>
      <c r="CS1308" s="4303"/>
      <c r="CT1308" s="4303"/>
      <c r="CU1308" s="4303"/>
      <c r="CV1308" s="4303"/>
      <c r="CW1308" s="4303"/>
      <c r="CX1308" s="4303"/>
      <c r="CY1308" s="4303"/>
      <c r="CZ1308" s="4303"/>
      <c r="DA1308" s="4303"/>
      <c r="DB1308" s="4303"/>
      <c r="DC1308" s="4303"/>
      <c r="DD1308" s="4303"/>
      <c r="DE1308" s="4303"/>
      <c r="DF1308" s="4303"/>
      <c r="DG1308" s="4303"/>
      <c r="DH1308" s="4303"/>
      <c r="DI1308" s="4303"/>
      <c r="DJ1308" s="4303"/>
      <c r="DK1308" s="4303"/>
      <c r="DL1308" s="4303"/>
      <c r="DM1308" s="4303"/>
      <c r="DN1308" s="4303"/>
      <c r="DO1308" s="4303"/>
      <c r="DP1308" s="4303"/>
      <c r="DQ1308" s="4303"/>
      <c r="DR1308" s="4303"/>
      <c r="DS1308" s="4303"/>
      <c r="DT1308" s="4134"/>
      <c r="DU1308" s="4134"/>
    </row>
    <row r="1309" s="4133" customFormat="1" ht="15.75" hidden="1" spans="1:125">
      <c r="A1309" s="4397"/>
      <c r="B1309" s="4292"/>
      <c r="C1309" s="4292"/>
      <c r="D1309" s="4292"/>
      <c r="E1309" s="4292"/>
      <c r="F1309" s="4292"/>
      <c r="G1309" s="4292"/>
      <c r="H1309" s="4292"/>
      <c r="I1309" s="4292"/>
      <c r="J1309" s="4292"/>
      <c r="K1309" s="4292"/>
      <c r="L1309" s="4292"/>
      <c r="M1309" s="4292"/>
      <c r="N1309" s="4292"/>
      <c r="O1309" s="4292"/>
      <c r="P1309" s="4292"/>
      <c r="Q1309" s="4292"/>
      <c r="R1309" s="4292"/>
      <c r="S1309" s="4292"/>
      <c r="T1309" s="4292"/>
      <c r="U1309" s="4292"/>
      <c r="V1309" s="4292"/>
      <c r="W1309" s="4292"/>
      <c r="X1309" s="4292"/>
      <c r="Y1309" s="4292"/>
      <c r="Z1309" s="4292"/>
      <c r="AA1309" s="4292"/>
      <c r="AB1309" s="4292"/>
      <c r="AC1309" s="4292"/>
      <c r="AD1309" s="4292"/>
      <c r="AE1309" s="4292"/>
      <c r="AF1309" s="4292"/>
      <c r="AG1309" s="4292"/>
      <c r="AH1309" s="4292"/>
      <c r="AI1309" s="4292"/>
      <c r="AJ1309" s="4292"/>
      <c r="AK1309" s="4292"/>
      <c r="AL1309" s="4292"/>
      <c r="AM1309" s="4292"/>
      <c r="AN1309" s="4292"/>
      <c r="AO1309" s="4292"/>
      <c r="AP1309" s="4292"/>
      <c r="AQ1309" s="4292"/>
      <c r="AR1309" s="4292"/>
      <c r="AS1309" s="4292"/>
      <c r="AT1309" s="4292"/>
      <c r="AU1309" s="4292"/>
      <c r="AV1309" s="4292"/>
      <c r="AW1309" s="4292"/>
      <c r="AX1309" s="4292"/>
      <c r="AY1309" s="4292"/>
      <c r="AZ1309" s="4292"/>
      <c r="BA1309" s="4292"/>
      <c r="BB1309" s="4292"/>
      <c r="BC1309" s="4292"/>
      <c r="BD1309" s="4303"/>
      <c r="BE1309" s="4303"/>
      <c r="BF1309" s="4303"/>
      <c r="BG1309" s="4303"/>
      <c r="BH1309" s="4303"/>
      <c r="BI1309" s="4303"/>
      <c r="BJ1309" s="4303"/>
      <c r="BK1309" s="4303"/>
      <c r="BL1309" s="4303"/>
      <c r="BM1309" s="4303"/>
      <c r="BN1309" s="4303"/>
      <c r="BO1309" s="4303"/>
      <c r="BP1309" s="4303"/>
      <c r="BQ1309" s="4303"/>
      <c r="BR1309" s="4303"/>
      <c r="BS1309" s="4303"/>
      <c r="BT1309" s="4303"/>
      <c r="BU1309" s="4303"/>
      <c r="BV1309" s="4303"/>
      <c r="BW1309" s="4303"/>
      <c r="BX1309" s="4303"/>
      <c r="BY1309" s="4303"/>
      <c r="BZ1309" s="4303"/>
      <c r="CA1309" s="4303"/>
      <c r="CB1309" s="4303"/>
      <c r="CC1309" s="4303"/>
      <c r="CD1309" s="4303"/>
      <c r="CE1309" s="4303"/>
      <c r="CF1309" s="4303"/>
      <c r="CG1309" s="4303"/>
      <c r="CH1309" s="4303"/>
      <c r="CI1309" s="4303"/>
      <c r="CJ1309" s="4303"/>
      <c r="CK1309" s="4303"/>
      <c r="CL1309" s="4303"/>
      <c r="CM1309" s="4303"/>
      <c r="CN1309" s="4303"/>
      <c r="CO1309" s="4303"/>
      <c r="CP1309" s="4303"/>
      <c r="CQ1309" s="4303"/>
      <c r="CR1309" s="4303"/>
      <c r="CS1309" s="4303"/>
      <c r="CT1309" s="4303"/>
      <c r="CU1309" s="4303"/>
      <c r="CV1309" s="4303"/>
      <c r="CW1309" s="4303"/>
      <c r="CX1309" s="4303"/>
      <c r="CY1309" s="4303"/>
      <c r="CZ1309" s="4303"/>
      <c r="DA1309" s="4303"/>
      <c r="DB1309" s="4303"/>
      <c r="DC1309" s="4303"/>
      <c r="DD1309" s="4303"/>
      <c r="DE1309" s="4303"/>
      <c r="DF1309" s="4303"/>
      <c r="DG1309" s="4303"/>
      <c r="DH1309" s="4303"/>
      <c r="DI1309" s="4303"/>
      <c r="DJ1309" s="4303"/>
      <c r="DK1309" s="4303"/>
      <c r="DL1309" s="4303"/>
      <c r="DM1309" s="4303"/>
      <c r="DN1309" s="4303"/>
      <c r="DO1309" s="4303"/>
      <c r="DP1309" s="4303"/>
      <c r="DQ1309" s="4303"/>
      <c r="DR1309" s="4303"/>
      <c r="DS1309" s="4303"/>
      <c r="DT1309" s="4134"/>
      <c r="DU1309" s="4134"/>
    </row>
    <row r="1310" s="4133" customFormat="1" ht="15.75" hidden="1" spans="1:125">
      <c r="A1310" s="4397"/>
      <c r="B1310" s="4292"/>
      <c r="C1310" s="4292"/>
      <c r="D1310" s="4292"/>
      <c r="E1310" s="4292"/>
      <c r="F1310" s="4292"/>
      <c r="G1310" s="4292"/>
      <c r="H1310" s="4292"/>
      <c r="I1310" s="4292"/>
      <c r="J1310" s="4292"/>
      <c r="K1310" s="4292"/>
      <c r="L1310" s="4292"/>
      <c r="M1310" s="4292"/>
      <c r="N1310" s="4292"/>
      <c r="O1310" s="4292"/>
      <c r="P1310" s="4292"/>
      <c r="Q1310" s="4292"/>
      <c r="R1310" s="4292"/>
      <c r="S1310" s="4292"/>
      <c r="T1310" s="4292"/>
      <c r="U1310" s="4292"/>
      <c r="V1310" s="4292"/>
      <c r="W1310" s="4292"/>
      <c r="X1310" s="4292"/>
      <c r="Y1310" s="4292"/>
      <c r="Z1310" s="4292"/>
      <c r="AA1310" s="4292"/>
      <c r="AB1310" s="4292"/>
      <c r="AC1310" s="4292"/>
      <c r="AD1310" s="4292"/>
      <c r="AE1310" s="4292"/>
      <c r="AF1310" s="4292"/>
      <c r="AG1310" s="4292"/>
      <c r="AH1310" s="4292"/>
      <c r="AI1310" s="4292"/>
      <c r="AJ1310" s="4292"/>
      <c r="AK1310" s="4292"/>
      <c r="AL1310" s="4292"/>
      <c r="AM1310" s="4292"/>
      <c r="AN1310" s="4292"/>
      <c r="AO1310" s="4292"/>
      <c r="AP1310" s="4292"/>
      <c r="AQ1310" s="4292"/>
      <c r="AR1310" s="4292"/>
      <c r="AS1310" s="4292"/>
      <c r="AT1310" s="4292"/>
      <c r="AU1310" s="4292"/>
      <c r="AV1310" s="4292"/>
      <c r="AW1310" s="4292"/>
      <c r="AX1310" s="4292"/>
      <c r="AY1310" s="4292"/>
      <c r="AZ1310" s="4292"/>
      <c r="BA1310" s="4292"/>
      <c r="BB1310" s="4292"/>
      <c r="BC1310" s="4292"/>
      <c r="BD1310" s="4303"/>
      <c r="BE1310" s="4303"/>
      <c r="BF1310" s="4303"/>
      <c r="BG1310" s="4303"/>
      <c r="BH1310" s="4303"/>
      <c r="BI1310" s="4303"/>
      <c r="BJ1310" s="4303"/>
      <c r="BK1310" s="4303"/>
      <c r="BL1310" s="4303"/>
      <c r="BM1310" s="4303"/>
      <c r="BN1310" s="4303"/>
      <c r="BO1310" s="4303"/>
      <c r="BP1310" s="4303"/>
      <c r="BQ1310" s="4303"/>
      <c r="BR1310" s="4303"/>
      <c r="BS1310" s="4303"/>
      <c r="BT1310" s="4303"/>
      <c r="BU1310" s="4303"/>
      <c r="BV1310" s="4303"/>
      <c r="BW1310" s="4303"/>
      <c r="BX1310" s="4303"/>
      <c r="BY1310" s="4303"/>
      <c r="BZ1310" s="4303"/>
      <c r="CA1310" s="4303"/>
      <c r="CB1310" s="4303"/>
      <c r="CC1310" s="4303"/>
      <c r="CD1310" s="4303"/>
      <c r="CE1310" s="4303"/>
      <c r="CF1310" s="4303"/>
      <c r="CG1310" s="4303"/>
      <c r="CH1310" s="4303"/>
      <c r="CI1310" s="4303"/>
      <c r="CJ1310" s="4303"/>
      <c r="CK1310" s="4303"/>
      <c r="CL1310" s="4303"/>
      <c r="CM1310" s="4303"/>
      <c r="CN1310" s="4303"/>
      <c r="CO1310" s="4303"/>
      <c r="CP1310" s="4303"/>
      <c r="CQ1310" s="4303"/>
      <c r="CR1310" s="4303"/>
      <c r="CS1310" s="4303"/>
      <c r="CT1310" s="4303"/>
      <c r="CU1310" s="4303"/>
      <c r="CV1310" s="4303"/>
      <c r="CW1310" s="4303"/>
      <c r="CX1310" s="4303"/>
      <c r="CY1310" s="4303"/>
      <c r="CZ1310" s="4303"/>
      <c r="DA1310" s="4303"/>
      <c r="DB1310" s="4303"/>
      <c r="DC1310" s="4303"/>
      <c r="DD1310" s="4303"/>
      <c r="DE1310" s="4303"/>
      <c r="DF1310" s="4303"/>
      <c r="DG1310" s="4303"/>
      <c r="DH1310" s="4303"/>
      <c r="DI1310" s="4303"/>
      <c r="DJ1310" s="4303"/>
      <c r="DK1310" s="4303"/>
      <c r="DL1310" s="4303"/>
      <c r="DM1310" s="4303"/>
      <c r="DN1310" s="4303"/>
      <c r="DO1310" s="4303"/>
      <c r="DP1310" s="4303"/>
      <c r="DQ1310" s="4303"/>
      <c r="DR1310" s="4303"/>
      <c r="DS1310" s="4303"/>
      <c r="DT1310" s="4134"/>
      <c r="DU1310" s="4134"/>
    </row>
    <row r="1311" s="4133" customFormat="1" ht="15.75" hidden="1" spans="1:125">
      <c r="A1311" s="4397"/>
      <c r="B1311" s="4292"/>
      <c r="C1311" s="4292"/>
      <c r="D1311" s="4292"/>
      <c r="E1311" s="4292"/>
      <c r="F1311" s="4292"/>
      <c r="G1311" s="4292"/>
      <c r="H1311" s="4292"/>
      <c r="I1311" s="4292"/>
      <c r="J1311" s="4292"/>
      <c r="K1311" s="4292"/>
      <c r="L1311" s="4292"/>
      <c r="M1311" s="4292"/>
      <c r="N1311" s="4292"/>
      <c r="O1311" s="4292"/>
      <c r="P1311" s="4292"/>
      <c r="Q1311" s="4292"/>
      <c r="R1311" s="4292"/>
      <c r="S1311" s="4292"/>
      <c r="T1311" s="4292"/>
      <c r="U1311" s="4292"/>
      <c r="V1311" s="4292"/>
      <c r="W1311" s="4292"/>
      <c r="X1311" s="4292"/>
      <c r="Y1311" s="4292"/>
      <c r="Z1311" s="4292"/>
      <c r="AA1311" s="4292"/>
      <c r="AB1311" s="4292"/>
      <c r="AC1311" s="4292"/>
      <c r="AD1311" s="4292"/>
      <c r="AE1311" s="4292"/>
      <c r="AF1311" s="4292"/>
      <c r="AG1311" s="4292"/>
      <c r="AH1311" s="4292"/>
      <c r="AI1311" s="4292"/>
      <c r="AJ1311" s="4292"/>
      <c r="AK1311" s="4292"/>
      <c r="AL1311" s="4292"/>
      <c r="AM1311" s="4292"/>
      <c r="AN1311" s="4292"/>
      <c r="AO1311" s="4292"/>
      <c r="AP1311" s="4292"/>
      <c r="AQ1311" s="4292"/>
      <c r="AR1311" s="4292"/>
      <c r="AS1311" s="4292"/>
      <c r="AT1311" s="4292"/>
      <c r="AU1311" s="4292"/>
      <c r="AV1311" s="4292"/>
      <c r="AW1311" s="4292"/>
      <c r="AX1311" s="4292"/>
      <c r="AY1311" s="4292"/>
      <c r="AZ1311" s="4292"/>
      <c r="BA1311" s="4292"/>
      <c r="BB1311" s="4292"/>
      <c r="BC1311" s="4292"/>
      <c r="BD1311" s="4303"/>
      <c r="BE1311" s="4303"/>
      <c r="BF1311" s="4303"/>
      <c r="BG1311" s="4303"/>
      <c r="BH1311" s="4303"/>
      <c r="BI1311" s="4303"/>
      <c r="BJ1311" s="4303"/>
      <c r="BK1311" s="4303"/>
      <c r="BL1311" s="4303"/>
      <c r="BM1311" s="4303"/>
      <c r="BN1311" s="4303"/>
      <c r="BO1311" s="4303"/>
      <c r="BP1311" s="4303"/>
      <c r="BQ1311" s="4303"/>
      <c r="BR1311" s="4303"/>
      <c r="BS1311" s="4303"/>
      <c r="BT1311" s="4303"/>
      <c r="BU1311" s="4303"/>
      <c r="BV1311" s="4303"/>
      <c r="BW1311" s="4303"/>
      <c r="BX1311" s="4303"/>
      <c r="BY1311" s="4303"/>
      <c r="BZ1311" s="4303"/>
      <c r="CA1311" s="4303"/>
      <c r="CB1311" s="4303"/>
      <c r="CC1311" s="4303"/>
      <c r="CD1311" s="4303"/>
      <c r="CE1311" s="4303"/>
      <c r="CF1311" s="4303"/>
      <c r="CG1311" s="4303"/>
      <c r="CH1311" s="4303"/>
      <c r="CI1311" s="4303"/>
      <c r="CJ1311" s="4303"/>
      <c r="CK1311" s="4303"/>
      <c r="CL1311" s="4303"/>
      <c r="CM1311" s="4303"/>
      <c r="CN1311" s="4303"/>
      <c r="CO1311" s="4303"/>
      <c r="CP1311" s="4303"/>
      <c r="CQ1311" s="4303"/>
      <c r="CR1311" s="4303"/>
      <c r="CS1311" s="4303"/>
      <c r="CT1311" s="4303"/>
      <c r="CU1311" s="4303"/>
      <c r="CV1311" s="4303"/>
      <c r="CW1311" s="4303"/>
      <c r="CX1311" s="4303"/>
      <c r="CY1311" s="4303"/>
      <c r="CZ1311" s="4303"/>
      <c r="DA1311" s="4303"/>
      <c r="DB1311" s="4303"/>
      <c r="DC1311" s="4303"/>
      <c r="DD1311" s="4303"/>
      <c r="DE1311" s="4303"/>
      <c r="DF1311" s="4303"/>
      <c r="DG1311" s="4303"/>
      <c r="DH1311" s="4303"/>
      <c r="DI1311" s="4303"/>
      <c r="DJ1311" s="4303"/>
      <c r="DK1311" s="4303"/>
      <c r="DL1311" s="4303"/>
      <c r="DM1311" s="4303"/>
      <c r="DN1311" s="4303"/>
      <c r="DO1311" s="4303"/>
      <c r="DP1311" s="4303"/>
      <c r="DQ1311" s="4303"/>
      <c r="DR1311" s="4303"/>
      <c r="DS1311" s="4303"/>
      <c r="DT1311" s="4134"/>
      <c r="DU1311" s="4134"/>
    </row>
    <row r="1312" s="4133" customFormat="1" ht="15.75" hidden="1" spans="1:125">
      <c r="A1312" s="4397"/>
      <c r="B1312" s="4292"/>
      <c r="C1312" s="4292"/>
      <c r="D1312" s="4292"/>
      <c r="E1312" s="4292"/>
      <c r="F1312" s="4292"/>
      <c r="G1312" s="4292"/>
      <c r="H1312" s="4292"/>
      <c r="I1312" s="4292"/>
      <c r="J1312" s="4292"/>
      <c r="K1312" s="4292"/>
      <c r="L1312" s="4292"/>
      <c r="M1312" s="4292"/>
      <c r="N1312" s="4292"/>
      <c r="O1312" s="4292"/>
      <c r="P1312" s="4292"/>
      <c r="Q1312" s="4292"/>
      <c r="R1312" s="4292"/>
      <c r="S1312" s="4292"/>
      <c r="T1312" s="4292"/>
      <c r="U1312" s="4292"/>
      <c r="V1312" s="4292"/>
      <c r="W1312" s="4292"/>
      <c r="X1312" s="4292"/>
      <c r="Y1312" s="4292"/>
      <c r="Z1312" s="4292"/>
      <c r="AA1312" s="4292"/>
      <c r="AB1312" s="4292"/>
      <c r="AC1312" s="4292"/>
      <c r="AD1312" s="4292"/>
      <c r="AE1312" s="4292"/>
      <c r="AF1312" s="4292"/>
      <c r="AG1312" s="4292"/>
      <c r="AH1312" s="4292"/>
      <c r="AI1312" s="4292"/>
      <c r="AJ1312" s="4292"/>
      <c r="AK1312" s="4292"/>
      <c r="AL1312" s="4292"/>
      <c r="AM1312" s="4292"/>
      <c r="AN1312" s="4292"/>
      <c r="AO1312" s="4292"/>
      <c r="AP1312" s="4292"/>
      <c r="AQ1312" s="4292"/>
      <c r="AR1312" s="4292"/>
      <c r="AS1312" s="4292"/>
      <c r="AT1312" s="4292"/>
      <c r="AU1312" s="4292"/>
      <c r="AV1312" s="4292"/>
      <c r="AW1312" s="4292"/>
      <c r="AX1312" s="4292"/>
      <c r="AY1312" s="4292"/>
      <c r="AZ1312" s="4292"/>
      <c r="BA1312" s="4292"/>
      <c r="BB1312" s="4292"/>
      <c r="BC1312" s="4292"/>
      <c r="BD1312" s="4303"/>
      <c r="BE1312" s="4303"/>
      <c r="BF1312" s="4303"/>
      <c r="BG1312" s="4303"/>
      <c r="BH1312" s="4303"/>
      <c r="BI1312" s="4303"/>
      <c r="BJ1312" s="4303"/>
      <c r="BK1312" s="4303"/>
      <c r="BL1312" s="4303"/>
      <c r="BM1312" s="4303"/>
      <c r="BN1312" s="4303"/>
      <c r="BO1312" s="4303"/>
      <c r="BP1312" s="4303"/>
      <c r="BQ1312" s="4303"/>
      <c r="BR1312" s="4303"/>
      <c r="BS1312" s="4303"/>
      <c r="BT1312" s="4303"/>
      <c r="BU1312" s="4303"/>
      <c r="BV1312" s="4303"/>
      <c r="BW1312" s="4303"/>
      <c r="BX1312" s="4303"/>
      <c r="BY1312" s="4303"/>
      <c r="BZ1312" s="4303"/>
      <c r="CA1312" s="4303"/>
      <c r="CB1312" s="4303"/>
      <c r="CC1312" s="4303"/>
      <c r="CD1312" s="4303"/>
      <c r="CE1312" s="4303"/>
      <c r="CF1312" s="4303"/>
      <c r="CG1312" s="4303"/>
      <c r="CH1312" s="4303"/>
      <c r="CI1312" s="4303"/>
      <c r="CJ1312" s="4303"/>
      <c r="CK1312" s="4303"/>
      <c r="CL1312" s="4303"/>
      <c r="CM1312" s="4303"/>
      <c r="CN1312" s="4303"/>
      <c r="CO1312" s="4303"/>
      <c r="CP1312" s="4303"/>
      <c r="CQ1312" s="4303"/>
      <c r="CR1312" s="4303"/>
      <c r="CS1312" s="4303"/>
      <c r="CT1312" s="4303"/>
      <c r="CU1312" s="4303"/>
      <c r="CV1312" s="4303"/>
      <c r="CW1312" s="4303"/>
      <c r="CX1312" s="4303"/>
      <c r="CY1312" s="4303"/>
      <c r="CZ1312" s="4303"/>
      <c r="DA1312" s="4303"/>
      <c r="DB1312" s="4303"/>
      <c r="DC1312" s="4303"/>
      <c r="DD1312" s="4303"/>
      <c r="DE1312" s="4303"/>
      <c r="DF1312" s="4303"/>
      <c r="DG1312" s="4303"/>
      <c r="DH1312" s="4303"/>
      <c r="DI1312" s="4303"/>
      <c r="DJ1312" s="4303"/>
      <c r="DK1312" s="4303"/>
      <c r="DL1312" s="4303"/>
      <c r="DM1312" s="4303"/>
      <c r="DN1312" s="4303"/>
      <c r="DO1312" s="4303"/>
      <c r="DP1312" s="4303"/>
      <c r="DQ1312" s="4303"/>
      <c r="DR1312" s="4303"/>
      <c r="DS1312" s="4303"/>
      <c r="DT1312" s="4134"/>
      <c r="DU1312" s="4134"/>
    </row>
    <row r="1313" s="4133" customFormat="1" ht="15.75" hidden="1" spans="1:125">
      <c r="A1313" s="4397"/>
      <c r="B1313" s="4292"/>
      <c r="C1313" s="4292"/>
      <c r="D1313" s="4292"/>
      <c r="E1313" s="4292"/>
      <c r="F1313" s="4292"/>
      <c r="G1313" s="4292"/>
      <c r="H1313" s="4292"/>
      <c r="I1313" s="4292"/>
      <c r="J1313" s="4292"/>
      <c r="K1313" s="4292"/>
      <c r="L1313" s="4292"/>
      <c r="M1313" s="4292"/>
      <c r="N1313" s="4292"/>
      <c r="O1313" s="4292"/>
      <c r="P1313" s="4292"/>
      <c r="Q1313" s="4292"/>
      <c r="R1313" s="4292"/>
      <c r="S1313" s="4292"/>
      <c r="T1313" s="4292"/>
      <c r="U1313" s="4292"/>
      <c r="V1313" s="4292"/>
      <c r="W1313" s="4292"/>
      <c r="X1313" s="4292"/>
      <c r="Y1313" s="4292"/>
      <c r="Z1313" s="4292"/>
      <c r="AA1313" s="4292"/>
      <c r="AB1313" s="4292"/>
      <c r="AC1313" s="4292"/>
      <c r="AD1313" s="4292"/>
      <c r="AE1313" s="4292"/>
      <c r="AF1313" s="4292"/>
      <c r="AG1313" s="4292"/>
      <c r="AH1313" s="4292"/>
      <c r="AI1313" s="4292"/>
      <c r="AJ1313" s="4292"/>
      <c r="AK1313" s="4292"/>
      <c r="AL1313" s="4292"/>
      <c r="AM1313" s="4292"/>
      <c r="AN1313" s="4292"/>
      <c r="AO1313" s="4292"/>
      <c r="AP1313" s="4292"/>
      <c r="AQ1313" s="4292"/>
      <c r="AR1313" s="4292"/>
      <c r="AS1313" s="4292"/>
      <c r="AT1313" s="4292"/>
      <c r="AU1313" s="4292"/>
      <c r="AV1313" s="4292"/>
      <c r="AW1313" s="4292"/>
      <c r="AX1313" s="4292"/>
      <c r="AY1313" s="4292"/>
      <c r="AZ1313" s="4292"/>
      <c r="BA1313" s="4292"/>
      <c r="BB1313" s="4292"/>
      <c r="BC1313" s="4292"/>
      <c r="BD1313" s="4303"/>
      <c r="BE1313" s="4303"/>
      <c r="BF1313" s="4303"/>
      <c r="BG1313" s="4303"/>
      <c r="BH1313" s="4303"/>
      <c r="BI1313" s="4303"/>
      <c r="BJ1313" s="4303"/>
      <c r="BK1313" s="4303"/>
      <c r="BL1313" s="4303"/>
      <c r="BM1313" s="4303"/>
      <c r="BN1313" s="4303"/>
      <c r="BO1313" s="4303"/>
      <c r="BP1313" s="4303"/>
      <c r="BQ1313" s="4303"/>
      <c r="BR1313" s="4303"/>
      <c r="BS1313" s="4303"/>
      <c r="BT1313" s="4303"/>
      <c r="BU1313" s="4303"/>
      <c r="BV1313" s="4303"/>
      <c r="BW1313" s="4303"/>
      <c r="BX1313" s="4303"/>
      <c r="BY1313" s="4303"/>
      <c r="BZ1313" s="4303"/>
      <c r="CA1313" s="4303"/>
      <c r="CB1313" s="4303"/>
      <c r="CC1313" s="4303"/>
      <c r="CD1313" s="4303"/>
      <c r="CE1313" s="4303"/>
      <c r="CF1313" s="4303"/>
      <c r="CG1313" s="4303"/>
      <c r="CH1313" s="4303"/>
      <c r="CI1313" s="4303"/>
      <c r="CJ1313" s="4303"/>
      <c r="CK1313" s="4303"/>
      <c r="CL1313" s="4303"/>
      <c r="CM1313" s="4303"/>
      <c r="CN1313" s="4303"/>
      <c r="CO1313" s="4303"/>
      <c r="CP1313" s="4303"/>
      <c r="CQ1313" s="4303"/>
      <c r="CR1313" s="4303"/>
      <c r="CS1313" s="4303"/>
      <c r="CT1313" s="4303"/>
      <c r="CU1313" s="4303"/>
      <c r="CV1313" s="4303"/>
      <c r="CW1313" s="4303"/>
      <c r="CX1313" s="4303"/>
      <c r="CY1313" s="4303"/>
      <c r="CZ1313" s="4303"/>
      <c r="DA1313" s="4303"/>
      <c r="DB1313" s="4303"/>
      <c r="DC1313" s="4303"/>
      <c r="DD1313" s="4303"/>
      <c r="DE1313" s="4303"/>
      <c r="DF1313" s="4303"/>
      <c r="DG1313" s="4303"/>
      <c r="DH1313" s="4303"/>
      <c r="DI1313" s="4303"/>
      <c r="DJ1313" s="4303"/>
      <c r="DK1313" s="4303"/>
      <c r="DL1313" s="4303"/>
      <c r="DM1313" s="4303"/>
      <c r="DN1313" s="4303"/>
      <c r="DO1313" s="4303"/>
      <c r="DP1313" s="4303"/>
      <c r="DQ1313" s="4303"/>
      <c r="DR1313" s="4303"/>
      <c r="DS1313" s="4303"/>
      <c r="DT1313" s="4134"/>
      <c r="DU1313" s="4134"/>
    </row>
    <row r="1314" s="4133" customFormat="1" ht="15.75" hidden="1" spans="1:125">
      <c r="A1314" s="4397"/>
      <c r="B1314" s="4292"/>
      <c r="C1314" s="4292"/>
      <c r="D1314" s="4292"/>
      <c r="E1314" s="4292"/>
      <c r="F1314" s="4292"/>
      <c r="G1314" s="4292"/>
      <c r="H1314" s="4292"/>
      <c r="I1314" s="4292"/>
      <c r="J1314" s="4292"/>
      <c r="K1314" s="4292"/>
      <c r="L1314" s="4292"/>
      <c r="M1314" s="4292"/>
      <c r="N1314" s="4292"/>
      <c r="O1314" s="4292"/>
      <c r="P1314" s="4292"/>
      <c r="Q1314" s="4292"/>
      <c r="R1314" s="4292"/>
      <c r="S1314" s="4292"/>
      <c r="T1314" s="4292"/>
      <c r="U1314" s="4292"/>
      <c r="V1314" s="4292"/>
      <c r="W1314" s="4292"/>
      <c r="X1314" s="4292"/>
      <c r="Y1314" s="4292"/>
      <c r="Z1314" s="4292"/>
      <c r="AA1314" s="4292"/>
      <c r="AB1314" s="4292"/>
      <c r="AC1314" s="4292"/>
      <c r="AD1314" s="4292"/>
      <c r="AE1314" s="4292"/>
      <c r="AF1314" s="4292"/>
      <c r="AG1314" s="4292"/>
      <c r="AH1314" s="4292"/>
      <c r="AI1314" s="4292"/>
      <c r="AJ1314" s="4292"/>
      <c r="AK1314" s="4292"/>
      <c r="AL1314" s="4292"/>
      <c r="AM1314" s="4292"/>
      <c r="AN1314" s="4292"/>
      <c r="AO1314" s="4292"/>
      <c r="AP1314" s="4292"/>
      <c r="AQ1314" s="4292"/>
      <c r="AR1314" s="4292"/>
      <c r="AS1314" s="4292"/>
      <c r="AT1314" s="4292"/>
      <c r="AU1314" s="4292"/>
      <c r="AV1314" s="4292"/>
      <c r="AW1314" s="4292"/>
      <c r="AX1314" s="4292"/>
      <c r="AY1314" s="4292"/>
      <c r="AZ1314" s="4292"/>
      <c r="BA1314" s="4292"/>
      <c r="BB1314" s="4292"/>
      <c r="BC1314" s="4292"/>
      <c r="BD1314" s="4303"/>
      <c r="BE1314" s="4303"/>
      <c r="BF1314" s="4303"/>
      <c r="BG1314" s="4303"/>
      <c r="BH1314" s="4303"/>
      <c r="BI1314" s="4303"/>
      <c r="BJ1314" s="4303"/>
      <c r="BK1314" s="4303"/>
      <c r="BL1314" s="4303"/>
      <c r="BM1314" s="4303"/>
      <c r="BN1314" s="4303"/>
      <c r="BO1314" s="4303"/>
      <c r="BP1314" s="4303"/>
      <c r="BQ1314" s="4303"/>
      <c r="BR1314" s="4303"/>
      <c r="BS1314" s="4303"/>
      <c r="BT1314" s="4303"/>
      <c r="BU1314" s="4303"/>
      <c r="BV1314" s="4303"/>
      <c r="BW1314" s="4303"/>
      <c r="BX1314" s="4303"/>
      <c r="BY1314" s="4303"/>
      <c r="BZ1314" s="4303"/>
      <c r="CA1314" s="4303"/>
      <c r="CB1314" s="4303"/>
      <c r="CC1314" s="4303"/>
      <c r="CD1314" s="4303"/>
      <c r="CE1314" s="4303"/>
      <c r="CF1314" s="4303"/>
      <c r="CG1314" s="4303"/>
      <c r="CH1314" s="4303"/>
      <c r="CI1314" s="4303"/>
      <c r="CJ1314" s="4303"/>
      <c r="CK1314" s="4303"/>
      <c r="CL1314" s="4303"/>
      <c r="CM1314" s="4303"/>
      <c r="CN1314" s="4303"/>
      <c r="CO1314" s="4303"/>
      <c r="CP1314" s="4303"/>
      <c r="CQ1314" s="4303"/>
      <c r="CR1314" s="4303"/>
      <c r="CS1314" s="4303"/>
      <c r="CT1314" s="4303"/>
      <c r="CU1314" s="4303"/>
      <c r="CV1314" s="4303"/>
      <c r="CW1314" s="4303"/>
      <c r="CX1314" s="4303"/>
      <c r="CY1314" s="4303"/>
      <c r="CZ1314" s="4303"/>
      <c r="DA1314" s="4303"/>
      <c r="DB1314" s="4303"/>
      <c r="DC1314" s="4303"/>
      <c r="DD1314" s="4303"/>
      <c r="DE1314" s="4303"/>
      <c r="DF1314" s="4303"/>
      <c r="DG1314" s="4303"/>
      <c r="DH1314" s="4303"/>
      <c r="DI1314" s="4303"/>
      <c r="DJ1314" s="4303"/>
      <c r="DK1314" s="4303"/>
      <c r="DL1314" s="4303"/>
      <c r="DM1314" s="4303"/>
      <c r="DN1314" s="4303"/>
      <c r="DO1314" s="4303"/>
      <c r="DP1314" s="4303"/>
      <c r="DQ1314" s="4303"/>
      <c r="DR1314" s="4303"/>
      <c r="DS1314" s="4303"/>
      <c r="DT1314" s="4134"/>
      <c r="DU1314" s="4134"/>
    </row>
    <row r="1315" s="4133" customFormat="1" ht="15.75" hidden="1" spans="1:125">
      <c r="A1315" s="4397"/>
      <c r="B1315" s="4292"/>
      <c r="C1315" s="4292"/>
      <c r="D1315" s="4292"/>
      <c r="E1315" s="4292"/>
      <c r="F1315" s="4292"/>
      <c r="G1315" s="4292"/>
      <c r="H1315" s="4292"/>
      <c r="I1315" s="4292"/>
      <c r="J1315" s="4292"/>
      <c r="K1315" s="4292"/>
      <c r="L1315" s="4292"/>
      <c r="M1315" s="4292"/>
      <c r="N1315" s="4292"/>
      <c r="O1315" s="4292"/>
      <c r="P1315" s="4292"/>
      <c r="Q1315" s="4292"/>
      <c r="R1315" s="4292"/>
      <c r="S1315" s="4292"/>
      <c r="T1315" s="4292"/>
      <c r="U1315" s="4292"/>
      <c r="V1315" s="4292"/>
      <c r="W1315" s="4292"/>
      <c r="X1315" s="4292"/>
      <c r="Y1315" s="4292"/>
      <c r="Z1315" s="4292"/>
      <c r="AA1315" s="4292"/>
      <c r="AB1315" s="4292"/>
      <c r="AC1315" s="4292"/>
      <c r="AD1315" s="4292"/>
      <c r="AE1315" s="4292"/>
      <c r="AF1315" s="4292"/>
      <c r="AG1315" s="4292"/>
      <c r="AH1315" s="4292"/>
      <c r="AI1315" s="4292"/>
      <c r="AJ1315" s="4292"/>
      <c r="AK1315" s="4292"/>
      <c r="AL1315" s="4292"/>
      <c r="AM1315" s="4292"/>
      <c r="AN1315" s="4292"/>
      <c r="AO1315" s="4292"/>
      <c r="AP1315" s="4292"/>
      <c r="AQ1315" s="4292"/>
      <c r="AR1315" s="4292"/>
      <c r="AS1315" s="4292"/>
      <c r="AT1315" s="4292"/>
      <c r="AU1315" s="4292"/>
      <c r="AV1315" s="4292"/>
      <c r="AW1315" s="4292"/>
      <c r="AX1315" s="4292"/>
      <c r="AY1315" s="4292"/>
      <c r="AZ1315" s="4292"/>
      <c r="BA1315" s="4292"/>
      <c r="BB1315" s="4292"/>
      <c r="BC1315" s="4292"/>
      <c r="BD1315" s="4303"/>
      <c r="BE1315" s="4303"/>
      <c r="BF1315" s="4303"/>
      <c r="BG1315" s="4303"/>
      <c r="BH1315" s="4303"/>
      <c r="BI1315" s="4303"/>
      <c r="BJ1315" s="4303"/>
      <c r="BK1315" s="4303"/>
      <c r="BL1315" s="4303"/>
      <c r="BM1315" s="4303"/>
      <c r="BN1315" s="4303"/>
      <c r="BO1315" s="4303"/>
      <c r="BP1315" s="4303"/>
      <c r="BQ1315" s="4303"/>
      <c r="BR1315" s="4303"/>
      <c r="BS1315" s="4303"/>
      <c r="BT1315" s="4303"/>
      <c r="BU1315" s="4303"/>
      <c r="BV1315" s="4303"/>
      <c r="BW1315" s="4303"/>
      <c r="BX1315" s="4303"/>
      <c r="BY1315" s="4303"/>
      <c r="BZ1315" s="4303"/>
      <c r="CA1315" s="4303"/>
      <c r="CB1315" s="4303"/>
      <c r="CC1315" s="4303"/>
      <c r="CD1315" s="4303"/>
      <c r="CE1315" s="4303"/>
      <c r="CF1315" s="4303"/>
      <c r="CG1315" s="4303"/>
      <c r="CH1315" s="4303"/>
      <c r="CI1315" s="4303"/>
      <c r="CJ1315" s="4303"/>
      <c r="CK1315" s="4303"/>
      <c r="CL1315" s="4303"/>
      <c r="CM1315" s="4303"/>
      <c r="CN1315" s="4303"/>
      <c r="CO1315" s="4303"/>
      <c r="CP1315" s="4303"/>
      <c r="CQ1315" s="4303"/>
      <c r="CR1315" s="4303"/>
      <c r="CS1315" s="4303"/>
      <c r="CT1315" s="4303"/>
      <c r="CU1315" s="4303"/>
      <c r="CV1315" s="4303"/>
      <c r="CW1315" s="4303"/>
      <c r="CX1315" s="4303"/>
      <c r="CY1315" s="4303"/>
      <c r="CZ1315" s="4303"/>
      <c r="DA1315" s="4303"/>
      <c r="DB1315" s="4303"/>
      <c r="DC1315" s="4303"/>
      <c r="DD1315" s="4303"/>
      <c r="DE1315" s="4303"/>
      <c r="DF1315" s="4303"/>
      <c r="DG1315" s="4303"/>
      <c r="DH1315" s="4303"/>
      <c r="DI1315" s="4303"/>
      <c r="DJ1315" s="4303"/>
      <c r="DK1315" s="4303"/>
      <c r="DL1315" s="4303"/>
      <c r="DM1315" s="4303"/>
      <c r="DN1315" s="4303"/>
      <c r="DO1315" s="4303"/>
      <c r="DP1315" s="4303"/>
      <c r="DQ1315" s="4303"/>
      <c r="DR1315" s="4303"/>
      <c r="DS1315" s="4303"/>
      <c r="DT1315" s="4134"/>
      <c r="DU1315" s="4134"/>
    </row>
    <row r="1316" s="4133" customFormat="1" ht="15.75" hidden="1" spans="1:125">
      <c r="A1316" s="4397"/>
      <c r="B1316" s="4292"/>
      <c r="C1316" s="4292"/>
      <c r="D1316" s="4292"/>
      <c r="E1316" s="4292"/>
      <c r="F1316" s="4292"/>
      <c r="G1316" s="4292"/>
      <c r="H1316" s="4292"/>
      <c r="I1316" s="4292"/>
      <c r="J1316" s="4292"/>
      <c r="K1316" s="4292"/>
      <c r="L1316" s="4292"/>
      <c r="M1316" s="4292"/>
      <c r="N1316" s="4292"/>
      <c r="O1316" s="4292"/>
      <c r="P1316" s="4292"/>
      <c r="Q1316" s="4292"/>
      <c r="R1316" s="4292"/>
      <c r="S1316" s="4292"/>
      <c r="T1316" s="4292"/>
      <c r="U1316" s="4292"/>
      <c r="V1316" s="4292"/>
      <c r="W1316" s="4292"/>
      <c r="X1316" s="4292"/>
      <c r="Y1316" s="4292"/>
      <c r="Z1316" s="4292"/>
      <c r="AA1316" s="4292"/>
      <c r="AB1316" s="4292"/>
      <c r="AC1316" s="4292"/>
      <c r="AD1316" s="4292"/>
      <c r="AE1316" s="4292"/>
      <c r="AF1316" s="4292"/>
      <c r="AG1316" s="4292"/>
      <c r="AH1316" s="4292"/>
      <c r="AI1316" s="4292"/>
      <c r="AJ1316" s="4292"/>
      <c r="AK1316" s="4292"/>
      <c r="AL1316" s="4292"/>
      <c r="AM1316" s="4292"/>
      <c r="AN1316" s="4292"/>
      <c r="AO1316" s="4292"/>
      <c r="AP1316" s="4292"/>
      <c r="AQ1316" s="4292"/>
      <c r="AR1316" s="4292"/>
      <c r="AS1316" s="4292"/>
      <c r="AT1316" s="4292"/>
      <c r="AU1316" s="4292"/>
      <c r="AV1316" s="4292"/>
      <c r="AW1316" s="4292"/>
      <c r="AX1316" s="4292"/>
      <c r="AY1316" s="4292"/>
      <c r="AZ1316" s="4292"/>
      <c r="BA1316" s="4292"/>
      <c r="BB1316" s="4292"/>
      <c r="BC1316" s="4292"/>
      <c r="BD1316" s="4303"/>
      <c r="BE1316" s="4303"/>
      <c r="BF1316" s="4303"/>
      <c r="BG1316" s="4303"/>
      <c r="BH1316" s="4303"/>
      <c r="BI1316" s="4303"/>
      <c r="BJ1316" s="4303"/>
      <c r="BK1316" s="4303"/>
      <c r="BL1316" s="4303"/>
      <c r="BM1316" s="4303"/>
      <c r="BN1316" s="4303"/>
      <c r="BO1316" s="4303"/>
      <c r="BP1316" s="4303"/>
      <c r="BQ1316" s="4303"/>
      <c r="BR1316" s="4303"/>
      <c r="BS1316" s="4303"/>
      <c r="BT1316" s="4303"/>
      <c r="BU1316" s="4303"/>
      <c r="BV1316" s="4303"/>
      <c r="BW1316" s="4303"/>
      <c r="BX1316" s="4303"/>
      <c r="BY1316" s="4303"/>
      <c r="BZ1316" s="4303"/>
      <c r="CA1316" s="4303"/>
      <c r="CB1316" s="4303"/>
      <c r="CC1316" s="4303"/>
      <c r="CD1316" s="4303"/>
      <c r="CE1316" s="4303"/>
      <c r="CF1316" s="4303"/>
      <c r="CG1316" s="4303"/>
      <c r="CH1316" s="4303"/>
      <c r="CI1316" s="4303"/>
      <c r="CJ1316" s="4303"/>
      <c r="CK1316" s="4303"/>
      <c r="CL1316" s="4303"/>
      <c r="CM1316" s="4303"/>
      <c r="CN1316" s="4303"/>
      <c r="CO1316" s="4303"/>
      <c r="CP1316" s="4303"/>
      <c r="CQ1316" s="4303"/>
      <c r="CR1316" s="4303"/>
      <c r="CS1316" s="4303"/>
      <c r="CT1316" s="4303"/>
      <c r="CU1316" s="4303"/>
      <c r="CV1316" s="4303"/>
      <c r="CW1316" s="4303"/>
      <c r="CX1316" s="4303"/>
      <c r="CY1316" s="4303"/>
      <c r="CZ1316" s="4303"/>
      <c r="DA1316" s="4303"/>
      <c r="DB1316" s="4303"/>
      <c r="DC1316" s="4303"/>
      <c r="DD1316" s="4303"/>
      <c r="DE1316" s="4303"/>
      <c r="DF1316" s="4303"/>
      <c r="DG1316" s="4303"/>
      <c r="DH1316" s="4303"/>
      <c r="DI1316" s="4303"/>
      <c r="DJ1316" s="4303"/>
      <c r="DK1316" s="4303"/>
      <c r="DL1316" s="4303"/>
      <c r="DM1316" s="4303"/>
      <c r="DN1316" s="4303"/>
      <c r="DO1316" s="4303"/>
      <c r="DP1316" s="4303"/>
      <c r="DQ1316" s="4303"/>
      <c r="DR1316" s="4303"/>
      <c r="DS1316" s="4303"/>
      <c r="DT1316" s="4134"/>
      <c r="DU1316" s="4134"/>
    </row>
    <row r="1317" s="4133" customFormat="1" ht="15.75" hidden="1" spans="1:125">
      <c r="A1317" s="4397"/>
      <c r="B1317" s="4292"/>
      <c r="C1317" s="4292"/>
      <c r="D1317" s="4292"/>
      <c r="E1317" s="4292"/>
      <c r="F1317" s="4292"/>
      <c r="G1317" s="4292"/>
      <c r="H1317" s="4292"/>
      <c r="I1317" s="4292"/>
      <c r="J1317" s="4292"/>
      <c r="K1317" s="4292"/>
      <c r="L1317" s="4292"/>
      <c r="M1317" s="4292"/>
      <c r="N1317" s="4292"/>
      <c r="O1317" s="4292"/>
      <c r="P1317" s="4292"/>
      <c r="Q1317" s="4292"/>
      <c r="R1317" s="4292"/>
      <c r="S1317" s="4292"/>
      <c r="T1317" s="4292"/>
      <c r="U1317" s="4292"/>
      <c r="V1317" s="4292"/>
      <c r="W1317" s="4292"/>
      <c r="X1317" s="4292"/>
      <c r="Y1317" s="4292"/>
      <c r="Z1317" s="4292"/>
      <c r="AA1317" s="4292"/>
      <c r="AB1317" s="4292"/>
      <c r="AC1317" s="4292"/>
      <c r="AD1317" s="4292"/>
      <c r="AE1317" s="4292"/>
      <c r="AF1317" s="4292"/>
      <c r="AG1317" s="4292"/>
      <c r="AH1317" s="4292"/>
      <c r="AI1317" s="4292"/>
      <c r="AJ1317" s="4292"/>
      <c r="AK1317" s="4292"/>
      <c r="AL1317" s="4292"/>
      <c r="AM1317" s="4292"/>
      <c r="AN1317" s="4292"/>
      <c r="AO1317" s="4292"/>
      <c r="AP1317" s="4292"/>
      <c r="AQ1317" s="4292"/>
      <c r="AR1317" s="4292"/>
      <c r="AS1317" s="4292"/>
      <c r="AT1317" s="4292"/>
      <c r="AU1317" s="4292"/>
      <c r="AV1317" s="4292"/>
      <c r="AW1317" s="4292"/>
      <c r="AX1317" s="4292"/>
      <c r="AY1317" s="4292"/>
      <c r="AZ1317" s="4292"/>
      <c r="BA1317" s="4292"/>
      <c r="BB1317" s="4292"/>
      <c r="BC1317" s="4292"/>
      <c r="BD1317" s="4303"/>
      <c r="BE1317" s="4303"/>
      <c r="BF1317" s="4303"/>
      <c r="BG1317" s="4303"/>
      <c r="BH1317" s="4303"/>
      <c r="BI1317" s="4303"/>
      <c r="BJ1317" s="4303"/>
      <c r="BK1317" s="4303"/>
      <c r="BL1317" s="4303"/>
      <c r="BM1317" s="4303"/>
      <c r="BN1317" s="4303"/>
      <c r="BO1317" s="4303"/>
      <c r="BP1317" s="4303"/>
      <c r="BQ1317" s="4303"/>
      <c r="BR1317" s="4303"/>
      <c r="BS1317" s="4303"/>
      <c r="BT1317" s="4303"/>
      <c r="BU1317" s="4303"/>
      <c r="BV1317" s="4303"/>
      <c r="BW1317" s="4303"/>
      <c r="BX1317" s="4303"/>
      <c r="BY1317" s="4303"/>
      <c r="BZ1317" s="4303"/>
      <c r="CA1317" s="4303"/>
      <c r="CB1317" s="4303"/>
      <c r="CC1317" s="4303"/>
      <c r="CD1317" s="4303"/>
      <c r="CE1317" s="4303"/>
      <c r="CF1317" s="4303"/>
      <c r="CG1317" s="4303"/>
      <c r="CH1317" s="4303"/>
      <c r="CI1317" s="4303"/>
      <c r="CJ1317" s="4303"/>
      <c r="CK1317" s="4303"/>
      <c r="CL1317" s="4303"/>
      <c r="CM1317" s="4303"/>
      <c r="CN1317" s="4303"/>
      <c r="CO1317" s="4303"/>
      <c r="CP1317" s="4303"/>
      <c r="CQ1317" s="4303"/>
      <c r="CR1317" s="4303"/>
      <c r="CS1317" s="4303"/>
      <c r="CT1317" s="4303"/>
      <c r="CU1317" s="4303"/>
      <c r="CV1317" s="4303"/>
      <c r="CW1317" s="4303"/>
      <c r="CX1317" s="4303"/>
      <c r="CY1317" s="4303"/>
      <c r="CZ1317" s="4303"/>
      <c r="DA1317" s="4303"/>
      <c r="DB1317" s="4303"/>
      <c r="DC1317" s="4303"/>
      <c r="DD1317" s="4303"/>
      <c r="DE1317" s="4303"/>
      <c r="DF1317" s="4303"/>
      <c r="DG1317" s="4303"/>
      <c r="DH1317" s="4303"/>
      <c r="DI1317" s="4303"/>
      <c r="DJ1317" s="4303"/>
      <c r="DK1317" s="4303"/>
      <c r="DL1317" s="4303"/>
      <c r="DM1317" s="4303"/>
      <c r="DN1317" s="4303"/>
      <c r="DO1317" s="4303"/>
      <c r="DP1317" s="4303"/>
      <c r="DQ1317" s="4303"/>
      <c r="DR1317" s="4303"/>
      <c r="DS1317" s="4303"/>
      <c r="DT1317" s="4134"/>
      <c r="DU1317" s="4134"/>
    </row>
    <row r="1318" s="4133" customFormat="1" ht="15.75" hidden="1" spans="1:125">
      <c r="A1318" s="4397"/>
      <c r="B1318" s="4292"/>
      <c r="C1318" s="4292"/>
      <c r="D1318" s="4292"/>
      <c r="E1318" s="4292"/>
      <c r="F1318" s="4292"/>
      <c r="G1318" s="4292"/>
      <c r="H1318" s="4292"/>
      <c r="I1318" s="4292"/>
      <c r="J1318" s="4292"/>
      <c r="K1318" s="4292"/>
      <c r="L1318" s="4292"/>
      <c r="M1318" s="4292"/>
      <c r="N1318" s="4292"/>
      <c r="O1318" s="4292"/>
      <c r="P1318" s="4292"/>
      <c r="Q1318" s="4292"/>
      <c r="R1318" s="4292"/>
      <c r="S1318" s="4292"/>
      <c r="T1318" s="4292"/>
      <c r="U1318" s="4292"/>
      <c r="V1318" s="4292"/>
      <c r="W1318" s="4292"/>
      <c r="X1318" s="4292"/>
      <c r="Y1318" s="4292"/>
      <c r="Z1318" s="4292"/>
      <c r="AA1318" s="4292"/>
      <c r="AB1318" s="4292"/>
      <c r="AC1318" s="4292"/>
      <c r="AD1318" s="4292"/>
      <c r="AE1318" s="4292"/>
      <c r="AF1318" s="4292"/>
      <c r="AG1318" s="4292"/>
      <c r="AH1318" s="4292"/>
      <c r="AI1318" s="4292"/>
      <c r="AJ1318" s="4292"/>
      <c r="AK1318" s="4292"/>
      <c r="AL1318" s="4292"/>
      <c r="AM1318" s="4292"/>
      <c r="AN1318" s="4292"/>
      <c r="AO1318" s="4292"/>
      <c r="AP1318" s="4292"/>
      <c r="AQ1318" s="4292"/>
      <c r="AR1318" s="4292"/>
      <c r="AS1318" s="4292"/>
      <c r="AT1318" s="4292"/>
      <c r="AU1318" s="4292"/>
      <c r="AV1318" s="4292"/>
      <c r="AW1318" s="4292"/>
      <c r="AX1318" s="4292"/>
      <c r="AY1318" s="4292"/>
      <c r="AZ1318" s="4292"/>
      <c r="BA1318" s="4292"/>
      <c r="BB1318" s="4292"/>
      <c r="BC1318" s="4292"/>
      <c r="BD1318" s="4303"/>
      <c r="BE1318" s="4303"/>
      <c r="BF1318" s="4303"/>
      <c r="BG1318" s="4303"/>
      <c r="BH1318" s="4303"/>
      <c r="BI1318" s="4303"/>
      <c r="BJ1318" s="4303"/>
      <c r="BK1318" s="4303"/>
      <c r="BL1318" s="4303"/>
      <c r="BM1318" s="4303"/>
      <c r="BN1318" s="4303"/>
      <c r="BO1318" s="4303"/>
      <c r="BP1318" s="4303"/>
      <c r="BQ1318" s="4303"/>
      <c r="BR1318" s="4303"/>
      <c r="BS1318" s="4303"/>
      <c r="BT1318" s="4303"/>
      <c r="BU1318" s="4303"/>
      <c r="BV1318" s="4303"/>
      <c r="BW1318" s="4303"/>
      <c r="BX1318" s="4303"/>
      <c r="BY1318" s="4303"/>
      <c r="BZ1318" s="4303"/>
      <c r="CA1318" s="4303"/>
      <c r="CB1318" s="4303"/>
      <c r="CC1318" s="4303"/>
      <c r="CD1318" s="4303"/>
      <c r="CE1318" s="4303"/>
      <c r="CF1318" s="4303"/>
      <c r="CG1318" s="4303"/>
      <c r="CH1318" s="4303"/>
      <c r="CI1318" s="4303"/>
      <c r="CJ1318" s="4303"/>
      <c r="CK1318" s="4303"/>
      <c r="CL1318" s="4303"/>
      <c r="CM1318" s="4303"/>
      <c r="CN1318" s="4303"/>
      <c r="CO1318" s="4303"/>
      <c r="CP1318" s="4303"/>
      <c r="CQ1318" s="4303"/>
      <c r="CR1318" s="4303"/>
      <c r="CS1318" s="4303"/>
      <c r="CT1318" s="4303"/>
      <c r="CU1318" s="4303"/>
      <c r="CV1318" s="4303"/>
      <c r="CW1318" s="4303"/>
      <c r="CX1318" s="4303"/>
      <c r="CY1318" s="4303"/>
      <c r="CZ1318" s="4303"/>
      <c r="DA1318" s="4303"/>
      <c r="DB1318" s="4303"/>
      <c r="DC1318" s="4303"/>
      <c r="DD1318" s="4303"/>
      <c r="DE1318" s="4303"/>
      <c r="DF1318" s="4303"/>
      <c r="DG1318" s="4303"/>
      <c r="DH1318" s="4303"/>
      <c r="DI1318" s="4303"/>
      <c r="DJ1318" s="4303"/>
      <c r="DK1318" s="4303"/>
      <c r="DL1318" s="4303"/>
      <c r="DM1318" s="4303"/>
      <c r="DN1318" s="4303"/>
      <c r="DO1318" s="4303"/>
      <c r="DP1318" s="4303"/>
      <c r="DQ1318" s="4303"/>
      <c r="DR1318" s="4303"/>
      <c r="DS1318" s="4303"/>
      <c r="DT1318" s="4134"/>
      <c r="DU1318" s="4134"/>
    </row>
    <row r="1319" s="4133" customFormat="1" ht="15.75" hidden="1" spans="1:125">
      <c r="A1319" s="4397"/>
      <c r="B1319" s="4292"/>
      <c r="C1319" s="4292"/>
      <c r="D1319" s="4292"/>
      <c r="E1319" s="4292"/>
      <c r="F1319" s="4292"/>
      <c r="G1319" s="4292"/>
      <c r="H1319" s="4292"/>
      <c r="I1319" s="4292"/>
      <c r="J1319" s="4292"/>
      <c r="K1319" s="4292"/>
      <c r="L1319" s="4292"/>
      <c r="M1319" s="4292"/>
      <c r="N1319" s="4292"/>
      <c r="O1319" s="4292"/>
      <c r="P1319" s="4292"/>
      <c r="Q1319" s="4292"/>
      <c r="R1319" s="4292"/>
      <c r="S1319" s="4292"/>
      <c r="T1319" s="4292"/>
      <c r="U1319" s="4292"/>
      <c r="V1319" s="4292"/>
      <c r="W1319" s="4292"/>
      <c r="X1319" s="4292"/>
      <c r="Y1319" s="4292"/>
      <c r="Z1319" s="4292"/>
      <c r="AA1319" s="4292"/>
      <c r="AB1319" s="4292"/>
      <c r="AC1319" s="4292"/>
      <c r="AD1319" s="4292"/>
      <c r="AE1319" s="4292"/>
      <c r="AF1319" s="4292"/>
      <c r="AG1319" s="4292"/>
      <c r="AH1319" s="4292"/>
      <c r="AI1319" s="4292"/>
      <c r="AJ1319" s="4292"/>
      <c r="AK1319" s="4292"/>
      <c r="AL1319" s="4292"/>
      <c r="AM1319" s="4292"/>
      <c r="AN1319" s="4292"/>
      <c r="AO1319" s="4292"/>
      <c r="AP1319" s="4292"/>
      <c r="AQ1319" s="4292"/>
      <c r="AR1319" s="4292"/>
      <c r="AS1319" s="4292"/>
      <c r="AT1319" s="4292"/>
      <c r="AU1319" s="4292"/>
      <c r="AV1319" s="4292"/>
      <c r="AW1319" s="4292"/>
      <c r="AX1319" s="4292"/>
      <c r="AY1319" s="4292"/>
      <c r="AZ1319" s="4292"/>
      <c r="BA1319" s="4292"/>
      <c r="BB1319" s="4292"/>
      <c r="BC1319" s="4292"/>
      <c r="BD1319" s="4303"/>
      <c r="BE1319" s="4303"/>
      <c r="BF1319" s="4303"/>
      <c r="BG1319" s="4303"/>
      <c r="BH1319" s="4303"/>
      <c r="BI1319" s="4303"/>
      <c r="BJ1319" s="4303"/>
      <c r="BK1319" s="4303"/>
      <c r="BL1319" s="4303"/>
      <c r="BM1319" s="4303"/>
      <c r="BN1319" s="4303"/>
      <c r="BO1319" s="4303"/>
      <c r="BP1319" s="4303"/>
      <c r="BQ1319" s="4303"/>
      <c r="BR1319" s="4303"/>
      <c r="BS1319" s="4303"/>
      <c r="BT1319" s="4303"/>
      <c r="BU1319" s="4303"/>
      <c r="BV1319" s="4303"/>
      <c r="BW1319" s="4303"/>
      <c r="BX1319" s="4303"/>
      <c r="BY1319" s="4303"/>
      <c r="BZ1319" s="4303"/>
      <c r="CA1319" s="4303"/>
      <c r="CB1319" s="4303"/>
      <c r="CC1319" s="4303"/>
      <c r="CD1319" s="4303"/>
      <c r="CE1319" s="4303"/>
      <c r="CF1319" s="4303"/>
      <c r="CG1319" s="4303"/>
      <c r="CH1319" s="4303"/>
      <c r="CI1319" s="4303"/>
      <c r="CJ1319" s="4303"/>
      <c r="CK1319" s="4303"/>
      <c r="CL1319" s="4303"/>
      <c r="CM1319" s="4303"/>
      <c r="CN1319" s="4303"/>
      <c r="CO1319" s="4303"/>
      <c r="CP1319" s="4303"/>
      <c r="CQ1319" s="4303"/>
      <c r="CR1319" s="4303"/>
      <c r="CS1319" s="4303"/>
      <c r="CT1319" s="4303"/>
      <c r="CU1319" s="4303"/>
      <c r="CV1319" s="4303"/>
      <c r="CW1319" s="4303"/>
      <c r="CX1319" s="4303"/>
      <c r="CY1319" s="4303"/>
      <c r="CZ1319" s="4303"/>
      <c r="DA1319" s="4303"/>
      <c r="DB1319" s="4303"/>
      <c r="DC1319" s="4303"/>
      <c r="DD1319" s="4303"/>
      <c r="DE1319" s="4303"/>
      <c r="DF1319" s="4303"/>
      <c r="DG1319" s="4303"/>
      <c r="DH1319" s="4303"/>
      <c r="DI1319" s="4303"/>
      <c r="DJ1319" s="4303"/>
      <c r="DK1319" s="4303"/>
      <c r="DL1319" s="4303"/>
      <c r="DM1319" s="4303"/>
      <c r="DN1319" s="4303"/>
      <c r="DO1319" s="4303"/>
      <c r="DP1319" s="4303"/>
      <c r="DQ1319" s="4303"/>
      <c r="DR1319" s="4303"/>
      <c r="DS1319" s="4303"/>
      <c r="DT1319" s="4134"/>
      <c r="DU1319" s="4134"/>
    </row>
    <row r="1320" s="4133" customFormat="1" ht="15.75" hidden="1" spans="1:125">
      <c r="A1320" s="4397"/>
      <c r="B1320" s="4292"/>
      <c r="C1320" s="4292"/>
      <c r="D1320" s="4292"/>
      <c r="E1320" s="4292"/>
      <c r="F1320" s="4292"/>
      <c r="G1320" s="4292"/>
      <c r="H1320" s="4292"/>
      <c r="I1320" s="4292"/>
      <c r="J1320" s="4292"/>
      <c r="K1320" s="4292"/>
      <c r="L1320" s="4292"/>
      <c r="M1320" s="4292"/>
      <c r="N1320" s="4292"/>
      <c r="O1320" s="4292"/>
      <c r="P1320" s="4292"/>
      <c r="Q1320" s="4292"/>
      <c r="R1320" s="4292"/>
      <c r="S1320" s="4292"/>
      <c r="T1320" s="4292"/>
      <c r="U1320" s="4292"/>
      <c r="V1320" s="4292"/>
      <c r="W1320" s="4292"/>
      <c r="X1320" s="4292"/>
      <c r="Y1320" s="4292"/>
      <c r="Z1320" s="4292"/>
      <c r="AA1320" s="4292"/>
      <c r="AB1320" s="4292"/>
      <c r="AC1320" s="4292"/>
      <c r="AD1320" s="4292"/>
      <c r="AE1320" s="4292"/>
      <c r="AF1320" s="4292"/>
      <c r="AG1320" s="4292"/>
      <c r="AH1320" s="4292"/>
      <c r="AI1320" s="4292"/>
      <c r="AJ1320" s="4292"/>
      <c r="AK1320" s="4292"/>
      <c r="AL1320" s="4292"/>
      <c r="AM1320" s="4292"/>
      <c r="AN1320" s="4292"/>
      <c r="AO1320" s="4292"/>
      <c r="AP1320" s="4292"/>
      <c r="AQ1320" s="4292"/>
      <c r="AR1320" s="4292"/>
      <c r="AS1320" s="4292"/>
      <c r="AT1320" s="4292"/>
      <c r="AU1320" s="4292"/>
      <c r="AV1320" s="4292"/>
      <c r="AW1320" s="4292"/>
      <c r="AX1320" s="4292"/>
      <c r="AY1320" s="4292"/>
      <c r="AZ1320" s="4292"/>
      <c r="BA1320" s="4292"/>
      <c r="BB1320" s="4292"/>
      <c r="BC1320" s="4292"/>
      <c r="BD1320" s="4303"/>
      <c r="BE1320" s="4303"/>
      <c r="BF1320" s="4303"/>
      <c r="BG1320" s="4303"/>
      <c r="BH1320" s="4303"/>
      <c r="BI1320" s="4303"/>
      <c r="BJ1320" s="4303"/>
      <c r="BK1320" s="4303"/>
      <c r="BL1320" s="4303"/>
      <c r="BM1320" s="4303"/>
      <c r="BN1320" s="4303"/>
      <c r="BO1320" s="4303"/>
      <c r="BP1320" s="4303"/>
      <c r="BQ1320" s="4303"/>
      <c r="BR1320" s="4303"/>
      <c r="BS1320" s="4303"/>
      <c r="BT1320" s="4303"/>
      <c r="BU1320" s="4303"/>
      <c r="BV1320" s="4303"/>
      <c r="BW1320" s="4303"/>
      <c r="BX1320" s="4303"/>
      <c r="BY1320" s="4303"/>
      <c r="BZ1320" s="4303"/>
      <c r="CA1320" s="4303"/>
      <c r="CB1320" s="4303"/>
      <c r="CC1320" s="4303"/>
      <c r="CD1320" s="4303"/>
      <c r="CE1320" s="4303"/>
      <c r="CF1320" s="4303"/>
      <c r="CG1320" s="4303"/>
      <c r="CH1320" s="4303"/>
      <c r="CI1320" s="4303"/>
      <c r="CJ1320" s="4303"/>
      <c r="CK1320" s="4303"/>
      <c r="CL1320" s="4303"/>
      <c r="CM1320" s="4303"/>
      <c r="CN1320" s="4303"/>
      <c r="CO1320" s="4303"/>
      <c r="CP1320" s="4303"/>
      <c r="CQ1320" s="4303"/>
      <c r="CR1320" s="4303"/>
      <c r="CS1320" s="4303"/>
      <c r="CT1320" s="4303"/>
      <c r="CU1320" s="4303"/>
      <c r="CV1320" s="4303"/>
      <c r="CW1320" s="4303"/>
      <c r="CX1320" s="4303"/>
      <c r="CY1320" s="4303"/>
      <c r="CZ1320" s="4303"/>
      <c r="DA1320" s="4303"/>
      <c r="DB1320" s="4303"/>
      <c r="DC1320" s="4303"/>
      <c r="DD1320" s="4303"/>
      <c r="DE1320" s="4303"/>
      <c r="DF1320" s="4303"/>
      <c r="DG1320" s="4303"/>
      <c r="DH1320" s="4303"/>
      <c r="DI1320" s="4303"/>
      <c r="DJ1320" s="4303"/>
      <c r="DK1320" s="4303"/>
      <c r="DL1320" s="4303"/>
      <c r="DM1320" s="4303"/>
      <c r="DN1320" s="4303"/>
      <c r="DO1320" s="4303"/>
      <c r="DP1320" s="4303"/>
      <c r="DQ1320" s="4303"/>
      <c r="DR1320" s="4303"/>
      <c r="DS1320" s="4303"/>
      <c r="DT1320" s="4134"/>
      <c r="DU1320" s="4134"/>
    </row>
    <row r="1321" s="4133" customFormat="1" ht="15.75" hidden="1" spans="1:125">
      <c r="A1321" s="4397"/>
      <c r="B1321" s="4292"/>
      <c r="C1321" s="4292"/>
      <c r="D1321" s="4292"/>
      <c r="E1321" s="4292"/>
      <c r="F1321" s="4292"/>
      <c r="G1321" s="4292"/>
      <c r="H1321" s="4292"/>
      <c r="I1321" s="4292"/>
      <c r="J1321" s="4292"/>
      <c r="K1321" s="4292"/>
      <c r="L1321" s="4292"/>
      <c r="M1321" s="4292"/>
      <c r="N1321" s="4292"/>
      <c r="O1321" s="4292"/>
      <c r="P1321" s="4292"/>
      <c r="Q1321" s="4292"/>
      <c r="R1321" s="4292"/>
      <c r="S1321" s="4292"/>
      <c r="T1321" s="4292"/>
      <c r="U1321" s="4292"/>
      <c r="V1321" s="4292"/>
      <c r="W1321" s="4292"/>
      <c r="X1321" s="4292"/>
      <c r="Y1321" s="4292"/>
      <c r="Z1321" s="4292"/>
      <c r="AA1321" s="4292"/>
      <c r="AB1321" s="4292"/>
      <c r="AC1321" s="4292"/>
      <c r="AD1321" s="4292"/>
      <c r="AE1321" s="4292"/>
      <c r="AF1321" s="4292"/>
      <c r="AG1321" s="4292"/>
      <c r="AH1321" s="4292"/>
      <c r="AI1321" s="4292"/>
      <c r="AJ1321" s="4292"/>
      <c r="AK1321" s="4292"/>
      <c r="AL1321" s="4292"/>
      <c r="AM1321" s="4292"/>
      <c r="AN1321" s="4292"/>
      <c r="AO1321" s="4292"/>
      <c r="AP1321" s="4292"/>
      <c r="AQ1321" s="4292"/>
      <c r="AR1321" s="4292"/>
      <c r="AS1321" s="4292"/>
      <c r="AT1321" s="4292"/>
      <c r="AU1321" s="4292"/>
      <c r="AV1321" s="4292"/>
      <c r="AW1321" s="4292"/>
      <c r="AX1321" s="4292"/>
      <c r="AY1321" s="4292"/>
      <c r="AZ1321" s="4292"/>
      <c r="BA1321" s="4292"/>
      <c r="BB1321" s="4292"/>
      <c r="BC1321" s="4292"/>
      <c r="BD1321" s="4303"/>
      <c r="BE1321" s="4303"/>
      <c r="BF1321" s="4303"/>
      <c r="BG1321" s="4303"/>
      <c r="BH1321" s="4303"/>
      <c r="BI1321" s="4303"/>
      <c r="BJ1321" s="4303"/>
      <c r="BK1321" s="4303"/>
      <c r="BL1321" s="4303"/>
      <c r="BM1321" s="4303"/>
      <c r="BN1321" s="4303"/>
      <c r="BO1321" s="4303"/>
      <c r="BP1321" s="4303"/>
      <c r="BQ1321" s="4303"/>
      <c r="BR1321" s="4303"/>
      <c r="BS1321" s="4303"/>
      <c r="BT1321" s="4303"/>
      <c r="BU1321" s="4303"/>
      <c r="BV1321" s="4303"/>
      <c r="BW1321" s="4303"/>
      <c r="BX1321" s="4303"/>
      <c r="BY1321" s="4303"/>
      <c r="BZ1321" s="4303"/>
      <c r="CA1321" s="4303"/>
      <c r="CB1321" s="4303"/>
      <c r="CC1321" s="4303"/>
      <c r="CD1321" s="4303"/>
      <c r="CE1321" s="4303"/>
      <c r="CF1321" s="4303"/>
      <c r="CG1321" s="4303"/>
      <c r="CH1321" s="4303"/>
      <c r="CI1321" s="4303"/>
      <c r="CJ1321" s="4303"/>
      <c r="CK1321" s="4303"/>
      <c r="CL1321" s="4303"/>
      <c r="CM1321" s="4303"/>
      <c r="CN1321" s="4303"/>
      <c r="CO1321" s="4303"/>
      <c r="CP1321" s="4303"/>
      <c r="CQ1321" s="4303"/>
      <c r="CR1321" s="4303"/>
      <c r="CS1321" s="4303"/>
      <c r="CT1321" s="4303"/>
      <c r="CU1321" s="4303"/>
      <c r="CV1321" s="4303"/>
      <c r="CW1321" s="4303"/>
      <c r="CX1321" s="4303"/>
      <c r="CY1321" s="4303"/>
      <c r="CZ1321" s="4303"/>
      <c r="DA1321" s="4303"/>
      <c r="DB1321" s="4303"/>
      <c r="DC1321" s="4303"/>
      <c r="DD1321" s="4303"/>
      <c r="DE1321" s="4303"/>
      <c r="DF1321" s="4303"/>
      <c r="DG1321" s="4303"/>
      <c r="DH1321" s="4303"/>
      <c r="DI1321" s="4303"/>
      <c r="DJ1321" s="4303"/>
      <c r="DK1321" s="4303"/>
      <c r="DL1321" s="4303"/>
      <c r="DM1321" s="4303"/>
      <c r="DN1321" s="4303"/>
      <c r="DO1321" s="4303"/>
      <c r="DP1321" s="4303"/>
      <c r="DQ1321" s="4303"/>
      <c r="DR1321" s="4303"/>
      <c r="DS1321" s="4303"/>
      <c r="DT1321" s="4134"/>
      <c r="DU1321" s="4134"/>
    </row>
    <row r="1322" s="4133" customFormat="1" ht="15.75" hidden="1" spans="1:125">
      <c r="A1322" s="4397"/>
      <c r="B1322" s="4292"/>
      <c r="C1322" s="4292"/>
      <c r="D1322" s="4292"/>
      <c r="E1322" s="4292"/>
      <c r="F1322" s="4292"/>
      <c r="G1322" s="4292"/>
      <c r="H1322" s="4292"/>
      <c r="I1322" s="4292"/>
      <c r="J1322" s="4292"/>
      <c r="K1322" s="4292"/>
      <c r="L1322" s="4292"/>
      <c r="M1322" s="4292"/>
      <c r="N1322" s="4292"/>
      <c r="O1322" s="4292"/>
      <c r="P1322" s="4292"/>
      <c r="Q1322" s="4292"/>
      <c r="R1322" s="4292"/>
      <c r="S1322" s="4292"/>
      <c r="T1322" s="4292"/>
      <c r="U1322" s="4292"/>
      <c r="V1322" s="4292"/>
      <c r="W1322" s="4292"/>
      <c r="X1322" s="4292"/>
      <c r="Y1322" s="4292"/>
      <c r="Z1322" s="4292"/>
      <c r="AA1322" s="4292"/>
      <c r="AB1322" s="4292"/>
      <c r="AC1322" s="4292"/>
      <c r="AD1322" s="4292"/>
      <c r="AE1322" s="4292"/>
      <c r="AF1322" s="4292"/>
      <c r="AG1322" s="4292"/>
      <c r="AH1322" s="4292"/>
      <c r="AI1322" s="4292"/>
      <c r="AJ1322" s="4292"/>
      <c r="AK1322" s="4292"/>
      <c r="AL1322" s="4292"/>
      <c r="AM1322" s="4292"/>
      <c r="AN1322" s="4292"/>
      <c r="AO1322" s="4292"/>
      <c r="AP1322" s="4292"/>
      <c r="AQ1322" s="4292"/>
      <c r="AR1322" s="4292"/>
      <c r="AS1322" s="4292"/>
      <c r="AT1322" s="4292"/>
      <c r="AU1322" s="4292"/>
      <c r="AV1322" s="4292"/>
      <c r="AW1322" s="4292"/>
      <c r="AX1322" s="4292"/>
      <c r="AY1322" s="4292"/>
      <c r="AZ1322" s="4292"/>
      <c r="BA1322" s="4292"/>
      <c r="BB1322" s="4292"/>
      <c r="BC1322" s="4292"/>
      <c r="BD1322" s="4303"/>
      <c r="BE1322" s="4303"/>
      <c r="BF1322" s="4303"/>
      <c r="BG1322" s="4303"/>
      <c r="BH1322" s="4303"/>
      <c r="BI1322" s="4303"/>
      <c r="BJ1322" s="4303"/>
      <c r="BK1322" s="4303"/>
      <c r="BL1322" s="4303"/>
      <c r="BM1322" s="4303"/>
      <c r="BN1322" s="4303"/>
      <c r="BO1322" s="4303"/>
      <c r="BP1322" s="4303"/>
      <c r="BQ1322" s="4303"/>
      <c r="BR1322" s="4303"/>
      <c r="BS1322" s="4303"/>
      <c r="BT1322" s="4303"/>
      <c r="BU1322" s="4303"/>
      <c r="BV1322" s="4303"/>
      <c r="BW1322" s="4303"/>
      <c r="BX1322" s="4303"/>
      <c r="BY1322" s="4303"/>
      <c r="BZ1322" s="4303"/>
      <c r="CA1322" s="4303"/>
      <c r="CB1322" s="4303"/>
      <c r="CC1322" s="4303"/>
      <c r="CD1322" s="4303"/>
      <c r="CE1322" s="4303"/>
      <c r="CF1322" s="4303"/>
      <c r="CG1322" s="4303"/>
      <c r="CH1322" s="4303"/>
      <c r="CI1322" s="4303"/>
      <c r="CJ1322" s="4303"/>
      <c r="CK1322" s="4303"/>
      <c r="CL1322" s="4303"/>
      <c r="CM1322" s="4303"/>
      <c r="CN1322" s="4303"/>
      <c r="CO1322" s="4303"/>
      <c r="CP1322" s="4303"/>
      <c r="CQ1322" s="4303"/>
      <c r="CR1322" s="4303"/>
      <c r="CS1322" s="4303"/>
      <c r="CT1322" s="4303"/>
      <c r="CU1322" s="4303"/>
      <c r="CV1322" s="4303"/>
      <c r="CW1322" s="4303"/>
      <c r="CX1322" s="4303"/>
      <c r="CY1322" s="4303"/>
      <c r="CZ1322" s="4303"/>
      <c r="DA1322" s="4303"/>
      <c r="DB1322" s="4303"/>
      <c r="DC1322" s="4303"/>
      <c r="DD1322" s="4303"/>
      <c r="DE1322" s="4303"/>
      <c r="DF1322" s="4303"/>
      <c r="DG1322" s="4303"/>
      <c r="DH1322" s="4303"/>
      <c r="DI1322" s="4303"/>
      <c r="DJ1322" s="4303"/>
      <c r="DK1322" s="4303"/>
      <c r="DL1322" s="4303"/>
      <c r="DM1322" s="4303"/>
      <c r="DN1322" s="4303"/>
      <c r="DO1322" s="4303"/>
      <c r="DP1322" s="4303"/>
      <c r="DQ1322" s="4303"/>
      <c r="DR1322" s="4303"/>
      <c r="DS1322" s="4303"/>
      <c r="DT1322" s="4134"/>
      <c r="DU1322" s="4134"/>
    </row>
    <row r="1323" s="4133" customFormat="1" ht="15.75" hidden="1" spans="1:125">
      <c r="A1323" s="4397"/>
      <c r="B1323" s="4292"/>
      <c r="C1323" s="4292"/>
      <c r="D1323" s="4292"/>
      <c r="E1323" s="4292"/>
      <c r="F1323" s="4292"/>
      <c r="G1323" s="4292"/>
      <c r="H1323" s="4292"/>
      <c r="I1323" s="4292"/>
      <c r="J1323" s="4292"/>
      <c r="K1323" s="4292"/>
      <c r="L1323" s="4292"/>
      <c r="M1323" s="4292"/>
      <c r="N1323" s="4292"/>
      <c r="O1323" s="4292"/>
      <c r="P1323" s="4292"/>
      <c r="Q1323" s="4292"/>
      <c r="R1323" s="4292"/>
      <c r="S1323" s="4292"/>
      <c r="T1323" s="4292"/>
      <c r="U1323" s="4292"/>
      <c r="V1323" s="4292"/>
      <c r="W1323" s="4292"/>
      <c r="X1323" s="4292"/>
      <c r="Y1323" s="4292"/>
      <c r="Z1323" s="4292"/>
      <c r="AA1323" s="4292"/>
      <c r="AB1323" s="4292"/>
      <c r="AC1323" s="4292"/>
      <c r="AD1323" s="4292"/>
      <c r="AE1323" s="4292"/>
      <c r="AF1323" s="4292"/>
      <c r="AG1323" s="4292"/>
      <c r="AH1323" s="4292"/>
      <c r="AI1323" s="4292"/>
      <c r="AJ1323" s="4292"/>
      <c r="AK1323" s="4292"/>
      <c r="AL1323" s="4292"/>
      <c r="AM1323" s="4292"/>
      <c r="AN1323" s="4292"/>
      <c r="AO1323" s="4292"/>
      <c r="AP1323" s="4292"/>
      <c r="AQ1323" s="4292"/>
      <c r="AR1323" s="4292"/>
      <c r="AS1323" s="4292"/>
      <c r="AT1323" s="4292"/>
      <c r="AU1323" s="4292"/>
      <c r="AV1323" s="4292"/>
      <c r="AW1323" s="4292"/>
      <c r="AX1323" s="4292"/>
      <c r="AY1323" s="4292"/>
      <c r="AZ1323" s="4292"/>
      <c r="BA1323" s="4292"/>
      <c r="BB1323" s="4292"/>
      <c r="BC1323" s="4292"/>
      <c r="BD1323" s="4303"/>
      <c r="BE1323" s="4303"/>
      <c r="BF1323" s="4303"/>
      <c r="BG1323" s="4303"/>
      <c r="BH1323" s="4303"/>
      <c r="BI1323" s="4303"/>
      <c r="BJ1323" s="4303"/>
      <c r="BK1323" s="4303"/>
      <c r="BL1323" s="4303"/>
      <c r="BM1323" s="4303"/>
      <c r="BN1323" s="4303"/>
      <c r="BO1323" s="4303"/>
      <c r="BP1323" s="4303"/>
      <c r="BQ1323" s="4303"/>
      <c r="BR1323" s="4303"/>
      <c r="BS1323" s="4303"/>
      <c r="BT1323" s="4303"/>
      <c r="BU1323" s="4303"/>
      <c r="BV1323" s="4303"/>
      <c r="BW1323" s="4303"/>
      <c r="BX1323" s="4303"/>
      <c r="BY1323" s="4303"/>
      <c r="BZ1323" s="4303"/>
      <c r="CA1323" s="4303"/>
      <c r="CB1323" s="4303"/>
      <c r="CC1323" s="4303"/>
      <c r="CD1323" s="4303"/>
      <c r="CE1323" s="4303"/>
      <c r="CF1323" s="4303"/>
      <c r="CG1323" s="4303"/>
      <c r="CH1323" s="4303"/>
      <c r="CI1323" s="4303"/>
      <c r="CJ1323" s="4303"/>
      <c r="CK1323" s="4303"/>
      <c r="CL1323" s="4303"/>
      <c r="CM1323" s="4303"/>
      <c r="CN1323" s="4303"/>
      <c r="CO1323" s="4303"/>
      <c r="CP1323" s="4303"/>
      <c r="CQ1323" s="4303"/>
      <c r="CR1323" s="4303"/>
      <c r="CS1323" s="4303"/>
      <c r="CT1323" s="4303"/>
      <c r="CU1323" s="4303"/>
      <c r="CV1323" s="4303"/>
      <c r="CW1323" s="4303"/>
      <c r="CX1323" s="4303"/>
      <c r="CY1323" s="4303"/>
      <c r="CZ1323" s="4303"/>
      <c r="DA1323" s="4303"/>
      <c r="DB1323" s="4303"/>
      <c r="DC1323" s="4303"/>
      <c r="DD1323" s="4303"/>
      <c r="DE1323" s="4303"/>
      <c r="DF1323" s="4303"/>
      <c r="DG1323" s="4303"/>
      <c r="DH1323" s="4303"/>
      <c r="DI1323" s="4303"/>
      <c r="DJ1323" s="4303"/>
      <c r="DK1323" s="4303"/>
      <c r="DL1323" s="4303"/>
      <c r="DM1323" s="4303"/>
      <c r="DN1323" s="4303"/>
      <c r="DO1323" s="4303"/>
      <c r="DP1323" s="4303"/>
      <c r="DQ1323" s="4303"/>
      <c r="DR1323" s="4303"/>
      <c r="DS1323" s="4303"/>
      <c r="DT1323" s="4134"/>
      <c r="DU1323" s="4134"/>
    </row>
    <row r="1324" s="4133" customFormat="1" ht="15.75" hidden="1" spans="1:125">
      <c r="A1324" s="4397"/>
      <c r="B1324" s="4292"/>
      <c r="C1324" s="4292"/>
      <c r="D1324" s="4292"/>
      <c r="E1324" s="4292"/>
      <c r="F1324" s="4292"/>
      <c r="G1324" s="4292"/>
      <c r="H1324" s="4292"/>
      <c r="I1324" s="4292"/>
      <c r="J1324" s="4292"/>
      <c r="K1324" s="4292"/>
      <c r="L1324" s="4292"/>
      <c r="M1324" s="4292"/>
      <c r="N1324" s="4292"/>
      <c r="O1324" s="4292"/>
      <c r="P1324" s="4292"/>
      <c r="Q1324" s="4292"/>
      <c r="R1324" s="4292"/>
      <c r="S1324" s="4292"/>
      <c r="T1324" s="4292"/>
      <c r="U1324" s="4292"/>
      <c r="V1324" s="4292"/>
      <c r="W1324" s="4292"/>
      <c r="X1324" s="4292"/>
      <c r="Y1324" s="4292"/>
      <c r="Z1324" s="4292"/>
      <c r="AA1324" s="4292"/>
      <c r="AB1324" s="4292"/>
      <c r="AC1324" s="4292"/>
      <c r="AD1324" s="4292"/>
      <c r="AE1324" s="4292"/>
      <c r="AF1324" s="4292"/>
      <c r="AG1324" s="4292"/>
      <c r="AH1324" s="4292"/>
      <c r="AI1324" s="4292"/>
      <c r="AJ1324" s="4292"/>
      <c r="AK1324" s="4292"/>
      <c r="AL1324" s="4292"/>
      <c r="AM1324" s="4292"/>
      <c r="AN1324" s="4292"/>
      <c r="AO1324" s="4292"/>
      <c r="AP1324" s="4292"/>
      <c r="AQ1324" s="4292"/>
      <c r="AR1324" s="4292"/>
      <c r="AS1324" s="4292"/>
      <c r="AT1324" s="4292"/>
      <c r="AU1324" s="4292"/>
      <c r="AV1324" s="4292"/>
      <c r="AW1324" s="4292"/>
      <c r="AX1324" s="4292"/>
      <c r="AY1324" s="4292"/>
      <c r="AZ1324" s="4292"/>
      <c r="BA1324" s="4292"/>
      <c r="BB1324" s="4292"/>
      <c r="BC1324" s="4292"/>
      <c r="BD1324" s="4303"/>
      <c r="BE1324" s="4303"/>
      <c r="BF1324" s="4303"/>
      <c r="BG1324" s="4303"/>
      <c r="BH1324" s="4303"/>
      <c r="BI1324" s="4303"/>
      <c r="BJ1324" s="4303"/>
      <c r="BK1324" s="4303"/>
      <c r="BL1324" s="4303"/>
      <c r="BM1324" s="4303"/>
      <c r="BN1324" s="4303"/>
      <c r="BO1324" s="4303"/>
      <c r="BP1324" s="4303"/>
      <c r="BQ1324" s="4303"/>
      <c r="BR1324" s="4303"/>
      <c r="BS1324" s="4303"/>
      <c r="BT1324" s="4303"/>
      <c r="BU1324" s="4303"/>
      <c r="BV1324" s="4303"/>
      <c r="BW1324" s="4303"/>
      <c r="BX1324" s="4303"/>
      <c r="BY1324" s="4303"/>
      <c r="BZ1324" s="4303"/>
      <c r="CA1324" s="4303"/>
      <c r="CB1324" s="4303"/>
      <c r="CC1324" s="4303"/>
      <c r="CD1324" s="4303"/>
      <c r="CE1324" s="4303"/>
      <c r="CF1324" s="4303"/>
      <c r="CG1324" s="4303"/>
      <c r="CH1324" s="4303"/>
      <c r="CI1324" s="4303"/>
      <c r="CJ1324" s="4303"/>
      <c r="CK1324" s="4303"/>
      <c r="CL1324" s="4303"/>
      <c r="CM1324" s="4303"/>
      <c r="CN1324" s="4303"/>
      <c r="CO1324" s="4303"/>
      <c r="CP1324" s="4303"/>
      <c r="CQ1324" s="4303"/>
      <c r="CR1324" s="4303"/>
      <c r="CS1324" s="4303"/>
      <c r="CT1324" s="4303"/>
      <c r="CU1324" s="4303"/>
      <c r="CV1324" s="4303"/>
      <c r="CW1324" s="4303"/>
      <c r="CX1324" s="4303"/>
      <c r="CY1324" s="4303"/>
      <c r="CZ1324" s="4303"/>
      <c r="DA1324" s="4303"/>
      <c r="DB1324" s="4303"/>
      <c r="DC1324" s="4303"/>
      <c r="DD1324" s="4303"/>
      <c r="DE1324" s="4303"/>
      <c r="DF1324" s="4303"/>
      <c r="DG1324" s="4303"/>
      <c r="DH1324" s="4303"/>
      <c r="DI1324" s="4303"/>
      <c r="DJ1324" s="4303"/>
      <c r="DK1324" s="4303"/>
      <c r="DL1324" s="4303"/>
      <c r="DM1324" s="4303"/>
      <c r="DN1324" s="4303"/>
      <c r="DO1324" s="4303"/>
      <c r="DP1324" s="4303"/>
      <c r="DQ1324" s="4303"/>
      <c r="DR1324" s="4303"/>
      <c r="DS1324" s="4303"/>
      <c r="DT1324" s="4134"/>
      <c r="DU1324" s="4134"/>
    </row>
    <row r="1325" s="4133" customFormat="1" ht="15.75" hidden="1" spans="1:125">
      <c r="A1325" s="4397"/>
      <c r="B1325" s="4292"/>
      <c r="C1325" s="4292"/>
      <c r="D1325" s="4292"/>
      <c r="E1325" s="4292"/>
      <c r="F1325" s="4292"/>
      <c r="G1325" s="4292"/>
      <c r="H1325" s="4292"/>
      <c r="I1325" s="4292"/>
      <c r="J1325" s="4292"/>
      <c r="K1325" s="4292"/>
      <c r="L1325" s="4292"/>
      <c r="M1325" s="4292"/>
      <c r="N1325" s="4292"/>
      <c r="O1325" s="4292"/>
      <c r="P1325" s="4292"/>
      <c r="Q1325" s="4292"/>
      <c r="R1325" s="4292"/>
      <c r="S1325" s="4292"/>
      <c r="T1325" s="4292"/>
      <c r="U1325" s="4292"/>
      <c r="V1325" s="4292"/>
      <c r="W1325" s="4292"/>
      <c r="X1325" s="4292"/>
      <c r="Y1325" s="4292"/>
      <c r="Z1325" s="4292"/>
      <c r="AA1325" s="4292"/>
      <c r="AB1325" s="4292"/>
      <c r="AC1325" s="4292"/>
      <c r="AD1325" s="4292"/>
      <c r="AE1325" s="4292"/>
      <c r="AF1325" s="4292"/>
      <c r="AG1325" s="4292"/>
      <c r="AH1325" s="4292"/>
      <c r="AI1325" s="4292"/>
      <c r="AJ1325" s="4292"/>
      <c r="AK1325" s="4292"/>
      <c r="AL1325" s="4292"/>
      <c r="AM1325" s="4292"/>
      <c r="AN1325" s="4292"/>
      <c r="AO1325" s="4292"/>
      <c r="AP1325" s="4292"/>
      <c r="AQ1325" s="4292"/>
      <c r="AR1325" s="4292"/>
      <c r="AS1325" s="4292"/>
      <c r="AT1325" s="4292"/>
      <c r="AU1325" s="4292"/>
      <c r="AV1325" s="4292"/>
      <c r="AW1325" s="4292"/>
      <c r="AX1325" s="4292"/>
      <c r="AY1325" s="4292"/>
      <c r="AZ1325" s="4292"/>
      <c r="BA1325" s="4292"/>
      <c r="BB1325" s="4292"/>
      <c r="BC1325" s="4292"/>
      <c r="BD1325" s="4303"/>
      <c r="BE1325" s="4303"/>
      <c r="BF1325" s="4303"/>
      <c r="BG1325" s="4303"/>
      <c r="BH1325" s="4303"/>
      <c r="BI1325" s="4303"/>
      <c r="BJ1325" s="4303"/>
      <c r="BK1325" s="4303"/>
      <c r="BL1325" s="4303"/>
      <c r="BM1325" s="4303"/>
      <c r="BN1325" s="4303"/>
      <c r="BO1325" s="4303"/>
      <c r="BP1325" s="4303"/>
      <c r="BQ1325" s="4303"/>
      <c r="BR1325" s="4303"/>
      <c r="BS1325" s="4303"/>
      <c r="BT1325" s="4303"/>
      <c r="BU1325" s="4303"/>
      <c r="BV1325" s="4303"/>
      <c r="BW1325" s="4303"/>
      <c r="BX1325" s="4303"/>
      <c r="BY1325" s="4303"/>
      <c r="BZ1325" s="4303"/>
      <c r="CA1325" s="4303"/>
      <c r="CB1325" s="4303"/>
      <c r="CC1325" s="4303"/>
      <c r="CD1325" s="4303"/>
      <c r="CE1325" s="4303"/>
      <c r="CF1325" s="4303"/>
      <c r="CG1325" s="4303"/>
      <c r="CH1325" s="4303"/>
      <c r="CI1325" s="4303"/>
      <c r="CJ1325" s="4303"/>
      <c r="CK1325" s="4303"/>
      <c r="CL1325" s="4303"/>
      <c r="CM1325" s="4303"/>
      <c r="CN1325" s="4303"/>
      <c r="CO1325" s="4303"/>
      <c r="CP1325" s="4303"/>
      <c r="CQ1325" s="4303"/>
      <c r="CR1325" s="4303"/>
      <c r="CS1325" s="4303"/>
      <c r="CT1325" s="4303"/>
      <c r="CU1325" s="4303"/>
      <c r="CV1325" s="4303"/>
      <c r="CW1325" s="4303"/>
      <c r="CX1325" s="4303"/>
      <c r="CY1325" s="4303"/>
      <c r="CZ1325" s="4303"/>
      <c r="DA1325" s="4303"/>
      <c r="DB1325" s="4303"/>
      <c r="DC1325" s="4303"/>
      <c r="DD1325" s="4303"/>
      <c r="DE1325" s="4303"/>
      <c r="DF1325" s="4303"/>
      <c r="DG1325" s="4303"/>
      <c r="DH1325" s="4303"/>
      <c r="DI1325" s="4303"/>
      <c r="DJ1325" s="4303"/>
      <c r="DK1325" s="4303"/>
      <c r="DL1325" s="4303"/>
      <c r="DM1325" s="4303"/>
      <c r="DN1325" s="4303"/>
      <c r="DO1325" s="4303"/>
      <c r="DP1325" s="4303"/>
      <c r="DQ1325" s="4303"/>
      <c r="DR1325" s="4303"/>
      <c r="DS1325" s="4303"/>
      <c r="DT1325" s="4134"/>
      <c r="DU1325" s="4134"/>
    </row>
    <row r="1326" s="4133" customFormat="1" ht="15.75" hidden="1" spans="1:125">
      <c r="A1326" s="4397"/>
      <c r="B1326" s="4292"/>
      <c r="C1326" s="4292"/>
      <c r="D1326" s="4292"/>
      <c r="E1326" s="4292"/>
      <c r="F1326" s="4292"/>
      <c r="G1326" s="4292"/>
      <c r="H1326" s="4292"/>
      <c r="I1326" s="4292"/>
      <c r="J1326" s="4292"/>
      <c r="K1326" s="4292"/>
      <c r="L1326" s="4292"/>
      <c r="M1326" s="4292"/>
      <c r="N1326" s="4292"/>
      <c r="O1326" s="4292"/>
      <c r="P1326" s="4292"/>
      <c r="Q1326" s="4292"/>
      <c r="R1326" s="4292"/>
      <c r="S1326" s="4292"/>
      <c r="T1326" s="4292"/>
      <c r="U1326" s="4292"/>
      <c r="V1326" s="4292"/>
      <c r="W1326" s="4292"/>
      <c r="X1326" s="4292"/>
      <c r="Y1326" s="4292"/>
      <c r="Z1326" s="4292"/>
      <c r="AA1326" s="4292"/>
      <c r="AB1326" s="4292"/>
      <c r="AC1326" s="4292"/>
      <c r="AD1326" s="4292"/>
      <c r="AE1326" s="4292"/>
      <c r="AF1326" s="4292"/>
      <c r="AG1326" s="4292"/>
      <c r="AH1326" s="4292"/>
      <c r="AI1326" s="4292"/>
      <c r="AJ1326" s="4292"/>
      <c r="AK1326" s="4292"/>
      <c r="AL1326" s="4292"/>
      <c r="AM1326" s="4292"/>
      <c r="AN1326" s="4292"/>
      <c r="AO1326" s="4292"/>
      <c r="AP1326" s="4292"/>
      <c r="AQ1326" s="4292"/>
      <c r="AR1326" s="4292"/>
      <c r="AS1326" s="4292"/>
      <c r="AT1326" s="4292"/>
      <c r="AU1326" s="4292"/>
      <c r="AV1326" s="4292"/>
      <c r="AW1326" s="4292"/>
      <c r="AX1326" s="4292"/>
      <c r="AY1326" s="4292"/>
      <c r="AZ1326" s="4292"/>
      <c r="BA1326" s="4292"/>
      <c r="BB1326" s="4292"/>
      <c r="BC1326" s="4292"/>
      <c r="BD1326" s="4303"/>
      <c r="BE1326" s="4303"/>
      <c r="BF1326" s="4303"/>
      <c r="BG1326" s="4303"/>
      <c r="BH1326" s="4303"/>
      <c r="BI1326" s="4303"/>
      <c r="BJ1326" s="4303"/>
      <c r="BK1326" s="4303"/>
      <c r="BL1326" s="4303"/>
      <c r="BM1326" s="4303"/>
      <c r="BN1326" s="4303"/>
      <c r="BO1326" s="4303"/>
      <c r="BP1326" s="4303"/>
      <c r="BQ1326" s="4303"/>
      <c r="BR1326" s="4303"/>
      <c r="BS1326" s="4303"/>
      <c r="BT1326" s="4303"/>
      <c r="BU1326" s="4303"/>
      <c r="BV1326" s="4303"/>
      <c r="BW1326" s="4303"/>
      <c r="BX1326" s="4303"/>
      <c r="BY1326" s="4303"/>
      <c r="BZ1326" s="4303"/>
      <c r="CA1326" s="4303"/>
      <c r="CB1326" s="4303"/>
      <c r="CC1326" s="4303"/>
      <c r="CD1326" s="4303"/>
      <c r="CE1326" s="4303"/>
      <c r="CF1326" s="4303"/>
      <c r="CG1326" s="4303"/>
      <c r="CH1326" s="4303"/>
      <c r="CI1326" s="4303"/>
      <c r="CJ1326" s="4303"/>
      <c r="CK1326" s="4303"/>
      <c r="CL1326" s="4303"/>
      <c r="CM1326" s="4303"/>
      <c r="CN1326" s="4303"/>
      <c r="CO1326" s="4303"/>
      <c r="CP1326" s="4303"/>
      <c r="CQ1326" s="4303"/>
      <c r="CR1326" s="4303"/>
      <c r="CS1326" s="4303"/>
      <c r="CT1326" s="4303"/>
      <c r="CU1326" s="4303"/>
      <c r="CV1326" s="4303"/>
      <c r="CW1326" s="4303"/>
      <c r="CX1326" s="4303"/>
      <c r="CY1326" s="4303"/>
      <c r="CZ1326" s="4303"/>
      <c r="DA1326" s="4303"/>
      <c r="DB1326" s="4303"/>
      <c r="DC1326" s="4303"/>
      <c r="DD1326" s="4303"/>
      <c r="DE1326" s="4303"/>
      <c r="DF1326" s="4303"/>
      <c r="DG1326" s="4303"/>
      <c r="DH1326" s="4303"/>
      <c r="DI1326" s="4303"/>
      <c r="DJ1326" s="4303"/>
      <c r="DK1326" s="4303"/>
      <c r="DL1326" s="4303"/>
      <c r="DM1326" s="4303"/>
      <c r="DN1326" s="4303"/>
      <c r="DO1326" s="4303"/>
      <c r="DP1326" s="4303"/>
      <c r="DQ1326" s="4303"/>
      <c r="DR1326" s="4303"/>
      <c r="DS1326" s="4303"/>
      <c r="DT1326" s="4134"/>
      <c r="DU1326" s="4134"/>
    </row>
    <row r="1327" s="4133" customFormat="1" ht="15.75" hidden="1" spans="1:125">
      <c r="A1327" s="4397"/>
      <c r="B1327" s="4292"/>
      <c r="C1327" s="4292"/>
      <c r="D1327" s="4292"/>
      <c r="E1327" s="4292"/>
      <c r="F1327" s="4292"/>
      <c r="G1327" s="4292"/>
      <c r="H1327" s="4292"/>
      <c r="I1327" s="4292"/>
      <c r="J1327" s="4292"/>
      <c r="K1327" s="4292"/>
      <c r="L1327" s="4292"/>
      <c r="M1327" s="4292"/>
      <c r="N1327" s="4292"/>
      <c r="O1327" s="4292"/>
      <c r="P1327" s="4292"/>
      <c r="Q1327" s="4292"/>
      <c r="R1327" s="4292"/>
      <c r="S1327" s="4292"/>
      <c r="T1327" s="4292"/>
      <c r="U1327" s="4292"/>
      <c r="V1327" s="4292"/>
      <c r="W1327" s="4292"/>
      <c r="X1327" s="4292"/>
      <c r="Y1327" s="4292"/>
      <c r="Z1327" s="4292"/>
      <c r="AA1327" s="4292"/>
      <c r="AB1327" s="4292"/>
      <c r="AC1327" s="4292"/>
      <c r="AD1327" s="4292"/>
      <c r="AE1327" s="4292"/>
      <c r="AF1327" s="4292"/>
      <c r="AG1327" s="4292"/>
      <c r="AH1327" s="4292"/>
      <c r="AI1327" s="4292"/>
      <c r="AJ1327" s="4292"/>
      <c r="AK1327" s="4292"/>
      <c r="AL1327" s="4292"/>
      <c r="AM1327" s="4292"/>
      <c r="AN1327" s="4292"/>
      <c r="AO1327" s="4292"/>
      <c r="AP1327" s="4292"/>
      <c r="AQ1327" s="4292"/>
      <c r="AR1327" s="4292"/>
      <c r="AS1327" s="4292"/>
      <c r="AT1327" s="4292"/>
      <c r="AU1327" s="4292"/>
      <c r="AV1327" s="4292"/>
      <c r="AW1327" s="4292"/>
      <c r="AX1327" s="4292"/>
      <c r="AY1327" s="4292"/>
      <c r="AZ1327" s="4292"/>
      <c r="BA1327" s="4292"/>
      <c r="BB1327" s="4292"/>
      <c r="BC1327" s="4292"/>
      <c r="BD1327" s="4303"/>
      <c r="BE1327" s="4303"/>
      <c r="BF1327" s="4303"/>
      <c r="BG1327" s="4303"/>
      <c r="BH1327" s="4303"/>
      <c r="BI1327" s="4303"/>
      <c r="BJ1327" s="4303"/>
      <c r="BK1327" s="4303"/>
      <c r="BL1327" s="4303"/>
      <c r="BM1327" s="4303"/>
      <c r="BN1327" s="4303"/>
      <c r="BO1327" s="4303"/>
      <c r="BP1327" s="4303"/>
      <c r="BQ1327" s="4303"/>
      <c r="BR1327" s="4303"/>
      <c r="BS1327" s="4303"/>
      <c r="BT1327" s="4303"/>
      <c r="BU1327" s="4303"/>
      <c r="BV1327" s="4303"/>
      <c r="BW1327" s="4303"/>
      <c r="BX1327" s="4303"/>
      <c r="BY1327" s="4303"/>
      <c r="BZ1327" s="4303"/>
      <c r="CA1327" s="4303"/>
      <c r="CB1327" s="4303"/>
      <c r="CC1327" s="4303"/>
      <c r="CD1327" s="4303"/>
      <c r="CE1327" s="4303"/>
      <c r="CF1327" s="4303"/>
      <c r="CG1327" s="4303"/>
      <c r="CH1327" s="4303"/>
      <c r="CI1327" s="4303"/>
      <c r="CJ1327" s="4303"/>
      <c r="CK1327" s="4303"/>
      <c r="CL1327" s="4303"/>
      <c r="CM1327" s="4303"/>
      <c r="CN1327" s="4303"/>
      <c r="CO1327" s="4303"/>
      <c r="CP1327" s="4303"/>
      <c r="CQ1327" s="4303"/>
      <c r="CR1327" s="4303"/>
      <c r="CS1327" s="4303"/>
      <c r="CT1327" s="4303"/>
      <c r="CU1327" s="4303"/>
      <c r="CV1327" s="4303"/>
      <c r="CW1327" s="4303"/>
      <c r="CX1327" s="4303"/>
      <c r="CY1327" s="4303"/>
      <c r="CZ1327" s="4303"/>
      <c r="DA1327" s="4303"/>
      <c r="DB1327" s="4303"/>
      <c r="DC1327" s="4303"/>
      <c r="DD1327" s="4303"/>
      <c r="DE1327" s="4303"/>
      <c r="DF1327" s="4303"/>
      <c r="DG1327" s="4303"/>
      <c r="DH1327" s="4303"/>
      <c r="DI1327" s="4303"/>
      <c r="DJ1327" s="4303"/>
      <c r="DK1327" s="4303"/>
      <c r="DL1327" s="4303"/>
      <c r="DM1327" s="4303"/>
      <c r="DN1327" s="4303"/>
      <c r="DO1327" s="4303"/>
      <c r="DP1327" s="4303"/>
      <c r="DQ1327" s="4303"/>
      <c r="DR1327" s="4303"/>
      <c r="DS1327" s="4303"/>
      <c r="DT1327" s="4134"/>
      <c r="DU1327" s="4134"/>
    </row>
    <row r="1328" s="4133" customFormat="1" ht="15.75" hidden="1" spans="1:125">
      <c r="A1328" s="4397"/>
      <c r="B1328" s="4292"/>
      <c r="C1328" s="4292"/>
      <c r="D1328" s="4292"/>
      <c r="E1328" s="4292"/>
      <c r="F1328" s="4292"/>
      <c r="G1328" s="4292"/>
      <c r="H1328" s="4292"/>
      <c r="I1328" s="4292"/>
      <c r="J1328" s="4292"/>
      <c r="K1328" s="4292"/>
      <c r="L1328" s="4292"/>
      <c r="M1328" s="4292"/>
      <c r="N1328" s="4292"/>
      <c r="O1328" s="4292"/>
      <c r="P1328" s="4292"/>
      <c r="Q1328" s="4292"/>
      <c r="R1328" s="4292"/>
      <c r="S1328" s="4292"/>
      <c r="T1328" s="4292"/>
      <c r="U1328" s="4292"/>
      <c r="V1328" s="4292"/>
      <c r="W1328" s="4292"/>
      <c r="X1328" s="4292"/>
      <c r="Y1328" s="4292"/>
      <c r="Z1328" s="4292"/>
      <c r="AA1328" s="4292"/>
      <c r="AB1328" s="4292"/>
      <c r="AC1328" s="4292"/>
      <c r="AD1328" s="4292"/>
      <c r="AE1328" s="4292"/>
      <c r="AF1328" s="4292"/>
      <c r="AG1328" s="4292"/>
      <c r="AH1328" s="4292"/>
      <c r="AI1328" s="4292"/>
      <c r="AJ1328" s="4292"/>
      <c r="AK1328" s="4292"/>
      <c r="AL1328" s="4292"/>
      <c r="AM1328" s="4292"/>
      <c r="AN1328" s="4292"/>
      <c r="AO1328" s="4292"/>
      <c r="AP1328" s="4292"/>
      <c r="AQ1328" s="4292"/>
      <c r="AR1328" s="4292"/>
      <c r="AS1328" s="4292"/>
      <c r="AT1328" s="4292"/>
      <c r="AU1328" s="4292"/>
      <c r="AV1328" s="4292"/>
      <c r="AW1328" s="4292"/>
      <c r="AX1328" s="4292"/>
      <c r="AY1328" s="4292"/>
      <c r="AZ1328" s="4292"/>
      <c r="BA1328" s="4292"/>
      <c r="BB1328" s="4292"/>
      <c r="BC1328" s="4292"/>
      <c r="BD1328" s="4303"/>
      <c r="BE1328" s="4303"/>
      <c r="BF1328" s="4303"/>
      <c r="BG1328" s="4303"/>
      <c r="BH1328" s="4303"/>
      <c r="BI1328" s="4303"/>
      <c r="BJ1328" s="4303"/>
      <c r="BK1328" s="4303"/>
      <c r="BL1328" s="4303"/>
      <c r="BM1328" s="4303"/>
      <c r="BN1328" s="4303"/>
      <c r="BO1328" s="4303"/>
      <c r="BP1328" s="4303"/>
      <c r="BQ1328" s="4303"/>
      <c r="BR1328" s="4303"/>
      <c r="BS1328" s="4303"/>
      <c r="BT1328" s="4303"/>
      <c r="BU1328" s="4303"/>
      <c r="BV1328" s="4303"/>
      <c r="BW1328" s="4303"/>
      <c r="BX1328" s="4303"/>
      <c r="BY1328" s="4303"/>
      <c r="BZ1328" s="4303"/>
      <c r="CA1328" s="4303"/>
      <c r="CB1328" s="4303"/>
      <c r="CC1328" s="4303"/>
      <c r="CD1328" s="4303"/>
      <c r="CE1328" s="4303"/>
      <c r="CF1328" s="4303"/>
      <c r="CG1328" s="4303"/>
      <c r="CH1328" s="4303"/>
      <c r="CI1328" s="4303"/>
      <c r="CJ1328" s="4303"/>
      <c r="CK1328" s="4303"/>
      <c r="CL1328" s="4303"/>
      <c r="CM1328" s="4303"/>
      <c r="CN1328" s="4303"/>
      <c r="CO1328" s="4303"/>
      <c r="CP1328" s="4303"/>
      <c r="CQ1328" s="4303"/>
      <c r="CR1328" s="4303"/>
      <c r="CS1328" s="4303"/>
      <c r="CT1328" s="4303"/>
      <c r="CU1328" s="4303"/>
      <c r="CV1328" s="4303"/>
      <c r="CW1328" s="4303"/>
      <c r="CX1328" s="4303"/>
      <c r="CY1328" s="4303"/>
      <c r="CZ1328" s="4303"/>
      <c r="DA1328" s="4303"/>
      <c r="DB1328" s="4303"/>
      <c r="DC1328" s="4303"/>
      <c r="DD1328" s="4303"/>
      <c r="DE1328" s="4303"/>
      <c r="DF1328" s="4303"/>
      <c r="DG1328" s="4303"/>
      <c r="DH1328" s="4303"/>
      <c r="DI1328" s="4303"/>
      <c r="DJ1328" s="4303"/>
      <c r="DK1328" s="4303"/>
      <c r="DL1328" s="4303"/>
      <c r="DM1328" s="4303"/>
      <c r="DN1328" s="4303"/>
      <c r="DO1328" s="4303"/>
      <c r="DP1328" s="4303"/>
      <c r="DQ1328" s="4303"/>
      <c r="DR1328" s="4303"/>
      <c r="DS1328" s="4303"/>
      <c r="DT1328" s="4134"/>
      <c r="DU1328" s="4134"/>
    </row>
    <row r="1329" s="4133" customFormat="1" ht="15.75" hidden="1" spans="1:125">
      <c r="A1329" s="4397"/>
      <c r="B1329" s="4292"/>
      <c r="C1329" s="4292"/>
      <c r="D1329" s="4292"/>
      <c r="E1329" s="4292"/>
      <c r="F1329" s="4292"/>
      <c r="G1329" s="4292"/>
      <c r="H1329" s="4292"/>
      <c r="I1329" s="4292"/>
      <c r="J1329" s="4292"/>
      <c r="K1329" s="4292"/>
      <c r="L1329" s="4292"/>
      <c r="M1329" s="4292"/>
      <c r="N1329" s="4292"/>
      <c r="O1329" s="4292"/>
      <c r="P1329" s="4292"/>
      <c r="Q1329" s="4292"/>
      <c r="R1329" s="4292"/>
      <c r="S1329" s="4292"/>
      <c r="T1329" s="4292"/>
      <c r="U1329" s="4292"/>
      <c r="V1329" s="4292"/>
      <c r="W1329" s="4292"/>
      <c r="X1329" s="4292"/>
      <c r="Y1329" s="4292"/>
      <c r="Z1329" s="4292"/>
      <c r="AA1329" s="4292"/>
      <c r="AB1329" s="4292"/>
      <c r="AC1329" s="4292"/>
      <c r="AD1329" s="4292"/>
      <c r="AE1329" s="4292"/>
      <c r="AF1329" s="4292"/>
      <c r="AG1329" s="4292"/>
      <c r="AH1329" s="4292"/>
      <c r="AI1329" s="4292"/>
      <c r="AJ1329" s="4292"/>
      <c r="AK1329" s="4292"/>
      <c r="AL1329" s="4292"/>
      <c r="AM1329" s="4292"/>
      <c r="AN1329" s="4292"/>
      <c r="AO1329" s="4292"/>
      <c r="AP1329" s="4292"/>
      <c r="AQ1329" s="4292"/>
      <c r="AR1329" s="4292"/>
      <c r="AS1329" s="4292"/>
      <c r="AT1329" s="4292"/>
      <c r="AU1329" s="4292"/>
      <c r="AV1329" s="4292"/>
      <c r="AW1329" s="4292"/>
      <c r="AX1329" s="4292"/>
      <c r="AY1329" s="4292"/>
      <c r="AZ1329" s="4292"/>
      <c r="BA1329" s="4292"/>
      <c r="BB1329" s="4292"/>
      <c r="BC1329" s="4292"/>
      <c r="BD1329" s="4303"/>
      <c r="BE1329" s="4303"/>
      <c r="BF1329" s="4303"/>
      <c r="BG1329" s="4303"/>
      <c r="BH1329" s="4303"/>
      <c r="BI1329" s="4303"/>
      <c r="BJ1329" s="4303"/>
      <c r="BK1329" s="4303"/>
      <c r="BL1329" s="4303"/>
      <c r="BM1329" s="4303"/>
      <c r="BN1329" s="4303"/>
      <c r="BO1329" s="4303"/>
      <c r="BP1329" s="4303"/>
      <c r="BQ1329" s="4303"/>
      <c r="BR1329" s="4303"/>
      <c r="BS1329" s="4303"/>
      <c r="BT1329" s="4303"/>
      <c r="BU1329" s="4303"/>
      <c r="BV1329" s="4303"/>
      <c r="BW1329" s="4303"/>
      <c r="BX1329" s="4303"/>
      <c r="BY1329" s="4303"/>
      <c r="BZ1329" s="4303"/>
      <c r="CA1329" s="4303"/>
      <c r="CB1329" s="4303"/>
      <c r="CC1329" s="4303"/>
      <c r="CD1329" s="4303"/>
      <c r="CE1329" s="4303"/>
      <c r="CF1329" s="4303"/>
      <c r="CG1329" s="4303"/>
      <c r="CH1329" s="4303"/>
      <c r="CI1329" s="4303"/>
      <c r="CJ1329" s="4303"/>
      <c r="CK1329" s="4303"/>
      <c r="CL1329" s="4303"/>
      <c r="CM1329" s="4303"/>
      <c r="CN1329" s="4303"/>
      <c r="CO1329" s="4303"/>
      <c r="CP1329" s="4303"/>
      <c r="CQ1329" s="4303"/>
      <c r="CR1329" s="4303"/>
      <c r="CS1329" s="4303"/>
      <c r="CT1329" s="4303"/>
      <c r="CU1329" s="4303"/>
      <c r="CV1329" s="4303"/>
      <c r="CW1329" s="4303"/>
      <c r="CX1329" s="4303"/>
      <c r="CY1329" s="4303"/>
      <c r="CZ1329" s="4303"/>
      <c r="DA1329" s="4303"/>
      <c r="DB1329" s="4303"/>
      <c r="DC1329" s="4303"/>
      <c r="DD1329" s="4303"/>
      <c r="DE1329" s="4303"/>
      <c r="DF1329" s="4303"/>
      <c r="DG1329" s="4303"/>
      <c r="DH1329" s="4303"/>
      <c r="DI1329" s="4303"/>
      <c r="DJ1329" s="4303"/>
      <c r="DK1329" s="4303"/>
      <c r="DL1329" s="4303"/>
      <c r="DM1329" s="4303"/>
      <c r="DN1329" s="4303"/>
      <c r="DO1329" s="4303"/>
      <c r="DP1329" s="4303"/>
      <c r="DQ1329" s="4303"/>
      <c r="DR1329" s="4303"/>
      <c r="DS1329" s="4303"/>
      <c r="DT1329" s="4134"/>
      <c r="DU1329" s="4134"/>
    </row>
    <row r="1330" s="4133" customFormat="1" ht="15.75" hidden="1" spans="1:125">
      <c r="A1330" s="4397"/>
      <c r="B1330" s="4292"/>
      <c r="C1330" s="4292"/>
      <c r="D1330" s="4292"/>
      <c r="E1330" s="4292"/>
      <c r="F1330" s="4292"/>
      <c r="G1330" s="4292"/>
      <c r="H1330" s="4292"/>
      <c r="I1330" s="4292"/>
      <c r="J1330" s="4292"/>
      <c r="K1330" s="4292"/>
      <c r="L1330" s="4292"/>
      <c r="M1330" s="4292"/>
      <c r="N1330" s="4292"/>
      <c r="O1330" s="4292"/>
      <c r="P1330" s="4292"/>
      <c r="Q1330" s="4292"/>
      <c r="R1330" s="4292"/>
      <c r="S1330" s="4292"/>
      <c r="T1330" s="4292"/>
      <c r="U1330" s="4292"/>
      <c r="V1330" s="4292"/>
      <c r="W1330" s="4292"/>
      <c r="X1330" s="4292"/>
      <c r="Y1330" s="4292"/>
      <c r="Z1330" s="4292"/>
      <c r="AA1330" s="4292"/>
      <c r="AB1330" s="4292"/>
      <c r="AC1330" s="4292"/>
      <c r="AD1330" s="4292"/>
      <c r="AE1330" s="4292"/>
      <c r="AF1330" s="4292"/>
      <c r="AG1330" s="4292"/>
      <c r="AH1330" s="4292"/>
      <c r="AI1330" s="4292"/>
      <c r="AJ1330" s="4292"/>
      <c r="AK1330" s="4292"/>
      <c r="AL1330" s="4292"/>
      <c r="AM1330" s="4292"/>
      <c r="AN1330" s="4292"/>
      <c r="AO1330" s="4292"/>
      <c r="AP1330" s="4292"/>
      <c r="AQ1330" s="4292"/>
      <c r="AR1330" s="4292"/>
      <c r="AS1330" s="4292"/>
      <c r="AT1330" s="4292"/>
      <c r="AU1330" s="4292"/>
      <c r="AV1330" s="4292"/>
      <c r="AW1330" s="4292"/>
      <c r="AX1330" s="4292"/>
      <c r="AY1330" s="4292"/>
      <c r="AZ1330" s="4292"/>
      <c r="BA1330" s="4292"/>
      <c r="BB1330" s="4292"/>
      <c r="BC1330" s="4292"/>
      <c r="BD1330" s="4303"/>
      <c r="BE1330" s="4303"/>
      <c r="BF1330" s="4303"/>
      <c r="BG1330" s="4303"/>
      <c r="BH1330" s="4303"/>
      <c r="BI1330" s="4303"/>
      <c r="BJ1330" s="4303"/>
      <c r="BK1330" s="4303"/>
      <c r="BL1330" s="4303"/>
      <c r="BM1330" s="4303"/>
      <c r="BN1330" s="4303"/>
      <c r="BO1330" s="4303"/>
      <c r="BP1330" s="4303"/>
      <c r="BQ1330" s="4303"/>
      <c r="BR1330" s="4303"/>
      <c r="BS1330" s="4303"/>
      <c r="BT1330" s="4303"/>
      <c r="BU1330" s="4303"/>
      <c r="BV1330" s="4303"/>
      <c r="BW1330" s="4303"/>
      <c r="BX1330" s="4303"/>
      <c r="BY1330" s="4303"/>
      <c r="BZ1330" s="4303"/>
      <c r="CA1330" s="4303"/>
      <c r="CB1330" s="4303"/>
      <c r="CC1330" s="4303"/>
      <c r="CD1330" s="4303"/>
      <c r="CE1330" s="4303"/>
      <c r="CF1330" s="4303"/>
      <c r="CG1330" s="4303"/>
      <c r="CH1330" s="4303"/>
      <c r="CI1330" s="4303"/>
      <c r="CJ1330" s="4303"/>
      <c r="CK1330" s="4303"/>
      <c r="CL1330" s="4303"/>
      <c r="CM1330" s="4303"/>
      <c r="CN1330" s="4303"/>
      <c r="CO1330" s="4303"/>
      <c r="CP1330" s="4303"/>
      <c r="CQ1330" s="4303"/>
      <c r="CR1330" s="4303"/>
      <c r="CS1330" s="4303"/>
      <c r="CT1330" s="4303"/>
      <c r="CU1330" s="4303"/>
      <c r="CV1330" s="4303"/>
      <c r="CW1330" s="4303"/>
      <c r="CX1330" s="4303"/>
      <c r="CY1330" s="4303"/>
      <c r="CZ1330" s="4303"/>
      <c r="DA1330" s="4303"/>
      <c r="DB1330" s="4303"/>
      <c r="DC1330" s="4303"/>
      <c r="DD1330" s="4303"/>
      <c r="DE1330" s="4303"/>
      <c r="DF1330" s="4303"/>
      <c r="DG1330" s="4303"/>
      <c r="DH1330" s="4303"/>
      <c r="DI1330" s="4303"/>
      <c r="DJ1330" s="4303"/>
      <c r="DK1330" s="4303"/>
      <c r="DL1330" s="4303"/>
      <c r="DM1330" s="4303"/>
      <c r="DN1330" s="4303"/>
      <c r="DO1330" s="4303"/>
      <c r="DP1330" s="4303"/>
      <c r="DQ1330" s="4303"/>
      <c r="DR1330" s="4303"/>
      <c r="DS1330" s="4303"/>
      <c r="DT1330" s="4134"/>
      <c r="DU1330" s="4134"/>
    </row>
    <row r="1331" s="4133" customFormat="1" ht="15.75" hidden="1" spans="1:125">
      <c r="A1331" s="4397"/>
      <c r="B1331" s="4292"/>
      <c r="C1331" s="4292"/>
      <c r="D1331" s="4292"/>
      <c r="E1331" s="4292"/>
      <c r="F1331" s="4292"/>
      <c r="G1331" s="4292"/>
      <c r="H1331" s="4292"/>
      <c r="I1331" s="4292"/>
      <c r="J1331" s="4292"/>
      <c r="K1331" s="4292"/>
      <c r="L1331" s="4292"/>
      <c r="M1331" s="4292"/>
      <c r="N1331" s="4292"/>
      <c r="O1331" s="4292"/>
      <c r="P1331" s="4292"/>
      <c r="Q1331" s="4292"/>
      <c r="R1331" s="4292"/>
      <c r="S1331" s="4292"/>
      <c r="T1331" s="4292"/>
      <c r="U1331" s="4292"/>
      <c r="V1331" s="4292"/>
      <c r="W1331" s="4292"/>
      <c r="X1331" s="4292"/>
      <c r="Y1331" s="4292"/>
      <c r="Z1331" s="4292"/>
      <c r="AA1331" s="4292"/>
      <c r="AB1331" s="4292"/>
      <c r="AC1331" s="4292"/>
      <c r="AD1331" s="4292"/>
      <c r="AE1331" s="4292"/>
      <c r="AF1331" s="4292"/>
      <c r="AG1331" s="4292"/>
      <c r="AH1331" s="4292"/>
      <c r="AI1331" s="4292"/>
      <c r="AJ1331" s="4292"/>
      <c r="AK1331" s="4292"/>
      <c r="AL1331" s="4292"/>
      <c r="AM1331" s="4292"/>
      <c r="AN1331" s="4292"/>
      <c r="AO1331" s="4292"/>
      <c r="AP1331" s="4292"/>
      <c r="AQ1331" s="4292"/>
      <c r="AR1331" s="4292"/>
      <c r="AS1331" s="4292"/>
      <c r="AT1331" s="4292"/>
      <c r="AU1331" s="4292"/>
      <c r="AV1331" s="4292"/>
      <c r="AW1331" s="4292"/>
      <c r="AX1331" s="4292"/>
      <c r="AY1331" s="4292"/>
      <c r="AZ1331" s="4292"/>
      <c r="BA1331" s="4292"/>
      <c r="BB1331" s="4292"/>
      <c r="BC1331" s="4292"/>
      <c r="BD1331" s="4303"/>
      <c r="BE1331" s="4303"/>
      <c r="BF1331" s="4303"/>
      <c r="BG1331" s="4303"/>
      <c r="BH1331" s="4303"/>
      <c r="BI1331" s="4303"/>
      <c r="BJ1331" s="4303"/>
      <c r="BK1331" s="4303"/>
      <c r="BL1331" s="4303"/>
      <c r="BM1331" s="4303"/>
      <c r="BN1331" s="4303"/>
      <c r="BO1331" s="4303"/>
      <c r="BP1331" s="4303"/>
      <c r="BQ1331" s="4303"/>
      <c r="BR1331" s="4303"/>
      <c r="BS1331" s="4303"/>
      <c r="BT1331" s="4303"/>
      <c r="BU1331" s="4303"/>
      <c r="BV1331" s="4303"/>
      <c r="BW1331" s="4303"/>
      <c r="BX1331" s="4303"/>
      <c r="BY1331" s="4303"/>
      <c r="BZ1331" s="4303"/>
      <c r="CA1331" s="4303"/>
      <c r="CB1331" s="4303"/>
      <c r="CC1331" s="4303"/>
      <c r="CD1331" s="4303"/>
      <c r="CE1331" s="4303"/>
      <c r="CF1331" s="4303"/>
      <c r="CG1331" s="4303"/>
      <c r="CH1331" s="4303"/>
      <c r="CI1331" s="4303"/>
      <c r="CJ1331" s="4303"/>
      <c r="CK1331" s="4303"/>
      <c r="CL1331" s="4303"/>
      <c r="CM1331" s="4303"/>
      <c r="CN1331" s="4303"/>
      <c r="CO1331" s="4303"/>
      <c r="CP1331" s="4303"/>
      <c r="CQ1331" s="4303"/>
      <c r="CR1331" s="4303"/>
      <c r="CS1331" s="4303"/>
      <c r="CT1331" s="4303"/>
      <c r="CU1331" s="4303"/>
      <c r="CV1331" s="4303"/>
      <c r="CW1331" s="4303"/>
      <c r="CX1331" s="4303"/>
      <c r="CY1331" s="4303"/>
      <c r="CZ1331" s="4303"/>
      <c r="DA1331" s="4303"/>
      <c r="DB1331" s="4303"/>
      <c r="DC1331" s="4303"/>
      <c r="DD1331" s="4303"/>
      <c r="DE1331" s="4303"/>
      <c r="DF1331" s="4303"/>
      <c r="DG1331" s="4303"/>
      <c r="DH1331" s="4303"/>
      <c r="DI1331" s="4303"/>
      <c r="DJ1331" s="4303"/>
      <c r="DK1331" s="4303"/>
      <c r="DL1331" s="4303"/>
      <c r="DM1331" s="4303"/>
      <c r="DN1331" s="4303"/>
      <c r="DO1331" s="4303"/>
      <c r="DP1331" s="4303"/>
      <c r="DQ1331" s="4303"/>
      <c r="DR1331" s="4303"/>
      <c r="DS1331" s="4303"/>
      <c r="DT1331" s="4134"/>
      <c r="DU1331" s="4134"/>
    </row>
    <row r="1332" s="4133" customFormat="1" ht="15.75" hidden="1" spans="1:125">
      <c r="A1332" s="4397"/>
      <c r="B1332" s="4292"/>
      <c r="C1332" s="4292"/>
      <c r="D1332" s="4292"/>
      <c r="E1332" s="4292"/>
      <c r="F1332" s="4292"/>
      <c r="G1332" s="4292"/>
      <c r="H1332" s="4292"/>
      <c r="I1332" s="4292"/>
      <c r="J1332" s="4292"/>
      <c r="K1332" s="4292"/>
      <c r="L1332" s="4292"/>
      <c r="M1332" s="4292"/>
      <c r="N1332" s="4292"/>
      <c r="O1332" s="4292"/>
      <c r="P1332" s="4292"/>
      <c r="Q1332" s="4292"/>
      <c r="R1332" s="4292"/>
      <c r="S1332" s="4292"/>
      <c r="T1332" s="4292"/>
      <c r="U1332" s="4292"/>
      <c r="V1332" s="4292"/>
      <c r="W1332" s="4292"/>
      <c r="X1332" s="4292"/>
      <c r="Y1332" s="4292"/>
      <c r="Z1332" s="4292"/>
      <c r="AA1332" s="4292"/>
      <c r="AB1332" s="4292"/>
      <c r="AC1332" s="4292"/>
      <c r="AD1332" s="4292"/>
      <c r="AE1332" s="4292"/>
      <c r="AF1332" s="4292"/>
      <c r="AG1332" s="4292"/>
      <c r="AH1332" s="4292"/>
      <c r="AI1332" s="4292"/>
      <c r="AJ1332" s="4292"/>
      <c r="AK1332" s="4292"/>
      <c r="AL1332" s="4292"/>
      <c r="AM1332" s="4292"/>
      <c r="AN1332" s="4292"/>
      <c r="AO1332" s="4292"/>
      <c r="AP1332" s="4292"/>
      <c r="AQ1332" s="4292"/>
      <c r="AR1332" s="4292"/>
      <c r="AS1332" s="4292"/>
      <c r="AT1332" s="4292"/>
      <c r="AU1332" s="4292"/>
      <c r="AV1332" s="4292"/>
      <c r="AW1332" s="4292"/>
      <c r="AX1332" s="4292"/>
      <c r="AY1332" s="4292"/>
      <c r="AZ1332" s="4292"/>
      <c r="BA1332" s="4292"/>
      <c r="BB1332" s="4292"/>
      <c r="BC1332" s="4292"/>
      <c r="BD1332" s="4303"/>
      <c r="BE1332" s="4303"/>
      <c r="BF1332" s="4303"/>
      <c r="BG1332" s="4303"/>
      <c r="BH1332" s="4303"/>
      <c r="BI1332" s="4303"/>
      <c r="BJ1332" s="4303"/>
      <c r="BK1332" s="4303"/>
      <c r="BL1332" s="4303"/>
      <c r="BM1332" s="4303"/>
      <c r="BN1332" s="4303"/>
      <c r="BO1332" s="4303"/>
      <c r="BP1332" s="4303"/>
      <c r="BQ1332" s="4303"/>
      <c r="BR1332" s="4303"/>
      <c r="BS1332" s="4303"/>
      <c r="BT1332" s="4303"/>
      <c r="BU1332" s="4303"/>
      <c r="BV1332" s="4303"/>
      <c r="BW1332" s="4303"/>
      <c r="BX1332" s="4303"/>
      <c r="BY1332" s="4303"/>
      <c r="BZ1332" s="4303"/>
      <c r="CA1332" s="4303"/>
      <c r="CB1332" s="4303"/>
      <c r="CC1332" s="4303"/>
      <c r="CD1332" s="4303"/>
      <c r="CE1332" s="4303"/>
      <c r="CF1332" s="4303"/>
      <c r="CG1332" s="4303"/>
      <c r="CH1332" s="4303"/>
      <c r="CI1332" s="4303"/>
      <c r="CJ1332" s="4303"/>
      <c r="CK1332" s="4303"/>
      <c r="CL1332" s="4303"/>
      <c r="CM1332" s="4303"/>
      <c r="CN1332" s="4303"/>
      <c r="CO1332" s="4303"/>
      <c r="CP1332" s="4303"/>
      <c r="CQ1332" s="4303"/>
      <c r="CR1332" s="4303"/>
      <c r="CS1332" s="4303"/>
      <c r="CT1332" s="4303"/>
      <c r="CU1332" s="4303"/>
      <c r="CV1332" s="4303"/>
      <c r="CW1332" s="4303"/>
      <c r="CX1332" s="4303"/>
      <c r="CY1332" s="4303"/>
      <c r="CZ1332" s="4303"/>
      <c r="DA1332" s="4303"/>
      <c r="DB1332" s="4303"/>
      <c r="DC1332" s="4303"/>
      <c r="DD1332" s="4303"/>
      <c r="DE1332" s="4303"/>
      <c r="DF1332" s="4303"/>
      <c r="DG1332" s="4303"/>
      <c r="DH1332" s="4303"/>
      <c r="DI1332" s="4303"/>
      <c r="DJ1332" s="4303"/>
      <c r="DK1332" s="4303"/>
      <c r="DL1332" s="4303"/>
      <c r="DM1332" s="4303"/>
      <c r="DN1332" s="4303"/>
      <c r="DO1332" s="4303"/>
      <c r="DP1332" s="4303"/>
      <c r="DQ1332" s="4303"/>
      <c r="DR1332" s="4303"/>
      <c r="DS1332" s="4303"/>
      <c r="DT1332" s="4134"/>
      <c r="DU1332" s="4134"/>
    </row>
    <row r="1333" s="4133" customFormat="1" ht="15.75" hidden="1" spans="1:125">
      <c r="A1333" s="4397"/>
      <c r="B1333" s="4292"/>
      <c r="C1333" s="4292"/>
      <c r="D1333" s="4292"/>
      <c r="E1333" s="4292"/>
      <c r="F1333" s="4292"/>
      <c r="G1333" s="4292"/>
      <c r="H1333" s="4292"/>
      <c r="I1333" s="4292"/>
      <c r="J1333" s="4292"/>
      <c r="K1333" s="4292"/>
      <c r="L1333" s="4292"/>
      <c r="M1333" s="4292"/>
      <c r="N1333" s="4292"/>
      <c r="O1333" s="4292"/>
      <c r="P1333" s="4292"/>
      <c r="Q1333" s="4292"/>
      <c r="R1333" s="4292"/>
      <c r="S1333" s="4292"/>
      <c r="T1333" s="4292"/>
      <c r="U1333" s="4292"/>
      <c r="V1333" s="4292"/>
      <c r="W1333" s="4292"/>
      <c r="X1333" s="4292"/>
      <c r="Y1333" s="4292"/>
      <c r="Z1333" s="4292"/>
      <c r="AA1333" s="4292"/>
      <c r="AB1333" s="4292"/>
      <c r="AC1333" s="4292"/>
      <c r="AD1333" s="4292"/>
      <c r="AE1333" s="4292"/>
      <c r="AF1333" s="4292"/>
      <c r="AG1333" s="4292"/>
      <c r="AH1333" s="4292"/>
      <c r="AI1333" s="4292"/>
      <c r="AJ1333" s="4292"/>
      <c r="AK1333" s="4292"/>
      <c r="AL1333" s="4292"/>
      <c r="AM1333" s="4292"/>
      <c r="AN1333" s="4292"/>
      <c r="AO1333" s="4292"/>
      <c r="AP1333" s="4292"/>
      <c r="AQ1333" s="4292"/>
      <c r="AR1333" s="4292"/>
      <c r="AS1333" s="4292"/>
      <c r="AT1333" s="4292"/>
      <c r="AU1333" s="4292"/>
      <c r="AV1333" s="4292"/>
      <c r="AW1333" s="4292"/>
      <c r="AX1333" s="4292"/>
      <c r="AY1333" s="4292"/>
      <c r="AZ1333" s="4292"/>
      <c r="BA1333" s="4292"/>
      <c r="BB1333" s="4292"/>
      <c r="BC1333" s="4292"/>
      <c r="BD1333" s="4303"/>
      <c r="BE1333" s="4303"/>
      <c r="BF1333" s="4303"/>
      <c r="BG1333" s="4303"/>
      <c r="BH1333" s="4303"/>
      <c r="BI1333" s="4303"/>
      <c r="BJ1333" s="4303"/>
      <c r="BK1333" s="4303"/>
      <c r="BL1333" s="4303"/>
      <c r="BM1333" s="4303"/>
      <c r="BN1333" s="4303"/>
      <c r="BO1333" s="4303"/>
      <c r="BP1333" s="4303"/>
      <c r="BQ1333" s="4303"/>
      <c r="BR1333" s="4303"/>
      <c r="BS1333" s="4303"/>
      <c r="BT1333" s="4303"/>
      <c r="BU1333" s="4303"/>
      <c r="BV1333" s="4303"/>
      <c r="BW1333" s="4303"/>
      <c r="BX1333" s="4303"/>
      <c r="BY1333" s="4303"/>
      <c r="BZ1333" s="4303"/>
      <c r="CA1333" s="4303"/>
      <c r="CB1333" s="4303"/>
      <c r="CC1333" s="4303"/>
      <c r="CD1333" s="4303"/>
      <c r="CE1333" s="4303"/>
      <c r="CF1333" s="4303"/>
      <c r="CG1333" s="4303"/>
      <c r="CH1333" s="4303"/>
      <c r="CI1333" s="4303"/>
      <c r="CJ1333" s="4303"/>
      <c r="CK1333" s="4303"/>
      <c r="CL1333" s="4303"/>
      <c r="CM1333" s="4303"/>
      <c r="CN1333" s="4303"/>
      <c r="CO1333" s="4303"/>
      <c r="CP1333" s="4303"/>
      <c r="CQ1333" s="4303"/>
      <c r="CR1333" s="4303"/>
      <c r="CS1333" s="4303"/>
      <c r="CT1333" s="4303"/>
      <c r="CU1333" s="4303"/>
      <c r="CV1333" s="4303"/>
      <c r="CW1333" s="4303"/>
      <c r="CX1333" s="4303"/>
      <c r="CY1333" s="4303"/>
      <c r="CZ1333" s="4303"/>
      <c r="DA1333" s="4303"/>
      <c r="DB1333" s="4303"/>
      <c r="DC1333" s="4303"/>
      <c r="DD1333" s="4303"/>
      <c r="DE1333" s="4303"/>
      <c r="DF1333" s="4303"/>
      <c r="DG1333" s="4303"/>
      <c r="DH1333" s="4303"/>
      <c r="DI1333" s="4303"/>
      <c r="DJ1333" s="4303"/>
      <c r="DK1333" s="4303"/>
      <c r="DL1333" s="4303"/>
      <c r="DM1333" s="4303"/>
      <c r="DN1333" s="4303"/>
      <c r="DO1333" s="4303"/>
      <c r="DP1333" s="4303"/>
      <c r="DQ1333" s="4303"/>
      <c r="DR1333" s="4303"/>
      <c r="DS1333" s="4303"/>
      <c r="DT1333" s="4134"/>
      <c r="DU1333" s="4134"/>
    </row>
    <row r="1334" s="4133" customFormat="1" ht="15.75" hidden="1" spans="1:125">
      <c r="A1334" s="4397"/>
      <c r="B1334" s="4292"/>
      <c r="C1334" s="4292"/>
      <c r="D1334" s="4292"/>
      <c r="E1334" s="4292"/>
      <c r="F1334" s="4292"/>
      <c r="G1334" s="4292"/>
      <c r="H1334" s="4292"/>
      <c r="I1334" s="4292"/>
      <c r="J1334" s="4292"/>
      <c r="K1334" s="4292"/>
      <c r="L1334" s="4292"/>
      <c r="M1334" s="4292"/>
      <c r="N1334" s="4292"/>
      <c r="O1334" s="4292"/>
      <c r="P1334" s="4292"/>
      <c r="Q1334" s="4292"/>
      <c r="R1334" s="4292"/>
      <c r="S1334" s="4292"/>
      <c r="T1334" s="4292"/>
      <c r="U1334" s="4292"/>
      <c r="V1334" s="4292"/>
      <c r="W1334" s="4292"/>
      <c r="X1334" s="4292"/>
      <c r="Y1334" s="4292"/>
      <c r="Z1334" s="4292"/>
      <c r="AA1334" s="4292"/>
      <c r="AB1334" s="4292"/>
      <c r="AC1334" s="4292"/>
      <c r="AD1334" s="4292"/>
      <c r="AE1334" s="4292"/>
      <c r="AF1334" s="4292"/>
      <c r="AG1334" s="4292"/>
      <c r="AH1334" s="4292"/>
      <c r="AI1334" s="4292"/>
      <c r="AJ1334" s="4292"/>
      <c r="AK1334" s="4292"/>
      <c r="AL1334" s="4292"/>
      <c r="AM1334" s="4292"/>
      <c r="AN1334" s="4292"/>
      <c r="AO1334" s="4292"/>
      <c r="AP1334" s="4292"/>
      <c r="AQ1334" s="4292"/>
      <c r="AR1334" s="4292"/>
      <c r="AS1334" s="4292"/>
      <c r="AT1334" s="4292"/>
      <c r="AU1334" s="4292"/>
      <c r="AV1334" s="4292"/>
      <c r="AW1334" s="4292"/>
      <c r="AX1334" s="4292"/>
      <c r="AY1334" s="4292"/>
      <c r="AZ1334" s="4292"/>
      <c r="BA1334" s="4292"/>
      <c r="BB1334" s="4292"/>
      <c r="BC1334" s="4292"/>
      <c r="BD1334" s="4303"/>
      <c r="BE1334" s="4303"/>
      <c r="BF1334" s="4303"/>
      <c r="BG1334" s="4303"/>
      <c r="BH1334" s="4303"/>
      <c r="BI1334" s="4303"/>
      <c r="BJ1334" s="4303"/>
      <c r="BK1334" s="4303"/>
      <c r="BL1334" s="4303"/>
      <c r="BM1334" s="4303"/>
      <c r="BN1334" s="4303"/>
      <c r="BO1334" s="4303"/>
      <c r="BP1334" s="4303"/>
      <c r="BQ1334" s="4303"/>
      <c r="BR1334" s="4303"/>
      <c r="BS1334" s="4303"/>
      <c r="BT1334" s="4303"/>
      <c r="BU1334" s="4303"/>
      <c r="BV1334" s="4303"/>
      <c r="BW1334" s="4303"/>
      <c r="BX1334" s="4303"/>
      <c r="BY1334" s="4303"/>
      <c r="BZ1334" s="4303"/>
      <c r="CA1334" s="4303"/>
      <c r="CB1334" s="4303"/>
      <c r="CC1334" s="4303"/>
      <c r="CD1334" s="4303"/>
      <c r="CE1334" s="4303"/>
      <c r="CF1334" s="4303"/>
      <c r="CG1334" s="4303"/>
      <c r="CH1334" s="4303"/>
      <c r="CI1334" s="4303"/>
      <c r="CJ1334" s="4303"/>
      <c r="CK1334" s="4303"/>
      <c r="CL1334" s="4303"/>
      <c r="CM1334" s="4303"/>
      <c r="CN1334" s="4303"/>
      <c r="CO1334" s="4303"/>
      <c r="CP1334" s="4303"/>
      <c r="CQ1334" s="4303"/>
      <c r="CR1334" s="4303"/>
      <c r="CS1334" s="4303"/>
      <c r="CT1334" s="4303"/>
      <c r="CU1334" s="4303"/>
      <c r="CV1334" s="4303"/>
      <c r="CW1334" s="4303"/>
      <c r="CX1334" s="4303"/>
      <c r="CY1334" s="4303"/>
      <c r="CZ1334" s="4303"/>
      <c r="DA1334" s="4303"/>
      <c r="DB1334" s="4303"/>
      <c r="DC1334" s="4303"/>
      <c r="DD1334" s="4303"/>
      <c r="DE1334" s="4303"/>
      <c r="DF1334" s="4303"/>
      <c r="DG1334" s="4303"/>
      <c r="DH1334" s="4303"/>
      <c r="DI1334" s="4303"/>
      <c r="DJ1334" s="4303"/>
      <c r="DK1334" s="4303"/>
      <c r="DL1334" s="4303"/>
      <c r="DM1334" s="4303"/>
      <c r="DN1334" s="4303"/>
      <c r="DO1334" s="4303"/>
      <c r="DP1334" s="4303"/>
      <c r="DQ1334" s="4303"/>
      <c r="DR1334" s="4303"/>
      <c r="DS1334" s="4303"/>
      <c r="DT1334" s="4134"/>
      <c r="DU1334" s="4134"/>
    </row>
    <row r="1335" s="4133" customFormat="1" ht="15.75" hidden="1" spans="1:125">
      <c r="A1335" s="4397"/>
      <c r="B1335" s="4292"/>
      <c r="C1335" s="4292"/>
      <c r="D1335" s="4292"/>
      <c r="E1335" s="4292"/>
      <c r="F1335" s="4292"/>
      <c r="G1335" s="4292"/>
      <c r="H1335" s="4292"/>
      <c r="I1335" s="4292"/>
      <c r="J1335" s="4292"/>
      <c r="K1335" s="4292"/>
      <c r="L1335" s="4292"/>
      <c r="M1335" s="4292"/>
      <c r="N1335" s="4292"/>
      <c r="O1335" s="4292"/>
      <c r="P1335" s="4292"/>
      <c r="Q1335" s="4292"/>
      <c r="R1335" s="4292"/>
      <c r="S1335" s="4292"/>
      <c r="T1335" s="4292"/>
      <c r="U1335" s="4292"/>
      <c r="V1335" s="4292"/>
      <c r="W1335" s="4292"/>
      <c r="X1335" s="4292"/>
      <c r="Y1335" s="4292"/>
      <c r="Z1335" s="4292"/>
      <c r="AA1335" s="4292"/>
      <c r="AB1335" s="4292"/>
      <c r="AC1335" s="4292"/>
      <c r="AD1335" s="4292"/>
      <c r="AE1335" s="4292"/>
      <c r="AF1335" s="4292"/>
      <c r="AG1335" s="4292"/>
      <c r="AH1335" s="4292"/>
      <c r="AI1335" s="4292"/>
      <c r="AJ1335" s="4292"/>
      <c r="AK1335" s="4292"/>
      <c r="AL1335" s="4292"/>
      <c r="AM1335" s="4292"/>
      <c r="AN1335" s="4292"/>
      <c r="AO1335" s="4292"/>
      <c r="AP1335" s="4292"/>
      <c r="AQ1335" s="4292"/>
      <c r="AR1335" s="4292"/>
      <c r="AS1335" s="4292"/>
      <c r="AT1335" s="4292"/>
      <c r="AU1335" s="4292"/>
      <c r="AV1335" s="4292"/>
      <c r="AW1335" s="4292"/>
      <c r="AX1335" s="4292"/>
      <c r="AY1335" s="4292"/>
      <c r="AZ1335" s="4292"/>
      <c r="BA1335" s="4292"/>
      <c r="BB1335" s="4292"/>
      <c r="BC1335" s="4292"/>
      <c r="BD1335" s="4303"/>
      <c r="BE1335" s="4303"/>
      <c r="BF1335" s="4303"/>
      <c r="BG1335" s="4303"/>
      <c r="BH1335" s="4303"/>
      <c r="BI1335" s="4303"/>
      <c r="BJ1335" s="4303"/>
      <c r="BK1335" s="4303"/>
      <c r="BL1335" s="4303"/>
      <c r="BM1335" s="4303"/>
      <c r="BN1335" s="4303"/>
      <c r="BO1335" s="4303"/>
      <c r="BP1335" s="4303"/>
      <c r="BQ1335" s="4303"/>
      <c r="BR1335" s="4303"/>
      <c r="BS1335" s="4303"/>
      <c r="BT1335" s="4303"/>
      <c r="BU1335" s="4303"/>
      <c r="BV1335" s="4303"/>
      <c r="BW1335" s="4303"/>
      <c r="BX1335" s="4303"/>
      <c r="BY1335" s="4303"/>
      <c r="BZ1335" s="4303"/>
      <c r="CA1335" s="4303"/>
      <c r="CB1335" s="4303"/>
      <c r="CC1335" s="4303"/>
      <c r="CD1335" s="4303"/>
      <c r="CE1335" s="4303"/>
      <c r="CF1335" s="4303"/>
      <c r="CG1335" s="4303"/>
      <c r="CH1335" s="4303"/>
      <c r="CI1335" s="4303"/>
      <c r="CJ1335" s="4303"/>
      <c r="CK1335" s="4303"/>
      <c r="CL1335" s="4303"/>
      <c r="CM1335" s="4303"/>
      <c r="CN1335" s="4303"/>
      <c r="CO1335" s="4303"/>
      <c r="CP1335" s="4303"/>
      <c r="CQ1335" s="4303"/>
      <c r="CR1335" s="4303"/>
      <c r="CS1335" s="4303"/>
      <c r="CT1335" s="4303"/>
      <c r="CU1335" s="4303"/>
      <c r="CV1335" s="4303"/>
      <c r="CW1335" s="4303"/>
      <c r="CX1335" s="4303"/>
      <c r="CY1335" s="4303"/>
      <c r="CZ1335" s="4303"/>
      <c r="DA1335" s="4303"/>
      <c r="DB1335" s="4303"/>
      <c r="DC1335" s="4303"/>
      <c r="DD1335" s="4303"/>
      <c r="DE1335" s="4303"/>
      <c r="DF1335" s="4303"/>
      <c r="DG1335" s="4303"/>
      <c r="DH1335" s="4303"/>
      <c r="DI1335" s="4303"/>
      <c r="DJ1335" s="4303"/>
      <c r="DK1335" s="4303"/>
      <c r="DL1335" s="4303"/>
      <c r="DM1335" s="4303"/>
      <c r="DN1335" s="4303"/>
      <c r="DO1335" s="4303"/>
      <c r="DP1335" s="4303"/>
      <c r="DQ1335" s="4303"/>
      <c r="DR1335" s="4303"/>
      <c r="DS1335" s="4303"/>
      <c r="DT1335" s="4134"/>
      <c r="DU1335" s="4134"/>
    </row>
    <row r="1336" s="4133" customFormat="1" ht="15.75" hidden="1" spans="1:125">
      <c r="A1336" s="4397"/>
      <c r="B1336" s="4292"/>
      <c r="C1336" s="4292"/>
      <c r="D1336" s="4292"/>
      <c r="E1336" s="4292"/>
      <c r="F1336" s="4292"/>
      <c r="G1336" s="4292"/>
      <c r="H1336" s="4292"/>
      <c r="I1336" s="4292"/>
      <c r="J1336" s="4292"/>
      <c r="K1336" s="4292"/>
      <c r="L1336" s="4292"/>
      <c r="M1336" s="4292"/>
      <c r="N1336" s="4292"/>
      <c r="O1336" s="4292"/>
      <c r="P1336" s="4292"/>
      <c r="Q1336" s="4292"/>
      <c r="R1336" s="4292"/>
      <c r="S1336" s="4292"/>
      <c r="T1336" s="4292"/>
      <c r="U1336" s="4292"/>
      <c r="V1336" s="4292"/>
      <c r="W1336" s="4292"/>
      <c r="X1336" s="4292"/>
      <c r="Y1336" s="4292"/>
      <c r="Z1336" s="4292"/>
      <c r="AA1336" s="4292"/>
      <c r="AB1336" s="4292"/>
      <c r="AC1336" s="4292"/>
      <c r="AD1336" s="4292"/>
      <c r="AE1336" s="4292"/>
      <c r="AF1336" s="4292"/>
      <c r="AG1336" s="4292"/>
      <c r="AH1336" s="4292"/>
      <c r="AI1336" s="4292"/>
      <c r="AJ1336" s="4292"/>
      <c r="AK1336" s="4292"/>
      <c r="AL1336" s="4292"/>
      <c r="AM1336" s="4292"/>
      <c r="AN1336" s="4292"/>
      <c r="AO1336" s="4292"/>
      <c r="AP1336" s="4292"/>
      <c r="AQ1336" s="4292"/>
      <c r="AR1336" s="4292"/>
      <c r="AS1336" s="4292"/>
      <c r="AT1336" s="4292"/>
      <c r="AU1336" s="4292"/>
      <c r="AV1336" s="4292"/>
      <c r="AW1336" s="4292"/>
      <c r="AX1336" s="4292"/>
      <c r="AY1336" s="4292"/>
      <c r="AZ1336" s="4292"/>
      <c r="BA1336" s="4292"/>
      <c r="BB1336" s="4292"/>
      <c r="BC1336" s="4292"/>
      <c r="BD1336" s="4303"/>
      <c r="BE1336" s="4303"/>
      <c r="BF1336" s="4303"/>
      <c r="BG1336" s="4303"/>
      <c r="BH1336" s="4303"/>
      <c r="BI1336" s="4303"/>
      <c r="BJ1336" s="4303"/>
      <c r="BK1336" s="4303"/>
      <c r="BL1336" s="4303"/>
      <c r="BM1336" s="4303"/>
      <c r="BN1336" s="4303"/>
      <c r="BO1336" s="4303"/>
      <c r="BP1336" s="4303"/>
      <c r="BQ1336" s="4303"/>
      <c r="BR1336" s="4303"/>
      <c r="BS1336" s="4303"/>
      <c r="BT1336" s="4303"/>
      <c r="BU1336" s="4303"/>
      <c r="BV1336" s="4303"/>
      <c r="BW1336" s="4303"/>
      <c r="BX1336" s="4303"/>
      <c r="BY1336" s="4303"/>
      <c r="BZ1336" s="4303"/>
      <c r="CA1336" s="4303"/>
      <c r="CB1336" s="4303"/>
      <c r="CC1336" s="4303"/>
      <c r="CD1336" s="4303"/>
      <c r="CE1336" s="4303"/>
      <c r="CF1336" s="4303"/>
      <c r="CG1336" s="4303"/>
      <c r="CH1336" s="4303"/>
      <c r="CI1336" s="4303"/>
      <c r="CJ1336" s="4303"/>
      <c r="CK1336" s="4303"/>
      <c r="CL1336" s="4303"/>
      <c r="CM1336" s="4303"/>
      <c r="CN1336" s="4303"/>
      <c r="CO1336" s="4303"/>
      <c r="CP1336" s="4303"/>
      <c r="CQ1336" s="4303"/>
      <c r="CR1336" s="4303"/>
      <c r="CS1336" s="4303"/>
      <c r="CT1336" s="4303"/>
      <c r="CU1336" s="4303"/>
      <c r="CV1336" s="4303"/>
      <c r="CW1336" s="4303"/>
      <c r="CX1336" s="4303"/>
      <c r="CY1336" s="4303"/>
      <c r="CZ1336" s="4303"/>
      <c r="DA1336" s="4303"/>
      <c r="DB1336" s="4303"/>
      <c r="DC1336" s="4303"/>
      <c r="DD1336" s="4303"/>
      <c r="DE1336" s="4303"/>
      <c r="DF1336" s="4303"/>
      <c r="DG1336" s="4303"/>
      <c r="DH1336" s="4303"/>
      <c r="DI1336" s="4303"/>
      <c r="DJ1336" s="4303"/>
      <c r="DK1336" s="4303"/>
      <c r="DL1336" s="4303"/>
      <c r="DM1336" s="4303"/>
      <c r="DN1336" s="4303"/>
      <c r="DO1336" s="4303"/>
      <c r="DP1336" s="4303"/>
      <c r="DQ1336" s="4303"/>
      <c r="DR1336" s="4303"/>
      <c r="DS1336" s="4303"/>
      <c r="DT1336" s="4134"/>
      <c r="DU1336" s="4134"/>
    </row>
    <row r="1337" s="4133" customFormat="1" ht="15.75" hidden="1" spans="1:125">
      <c r="A1337" s="4397"/>
      <c r="B1337" s="4292"/>
      <c r="C1337" s="4292"/>
      <c r="D1337" s="4292"/>
      <c r="E1337" s="4292"/>
      <c r="F1337" s="4292"/>
      <c r="G1337" s="4292"/>
      <c r="H1337" s="4292"/>
      <c r="I1337" s="4292"/>
      <c r="J1337" s="4292"/>
      <c r="K1337" s="4292"/>
      <c r="L1337" s="4292"/>
      <c r="M1337" s="4292"/>
      <c r="N1337" s="4292"/>
      <c r="O1337" s="4292"/>
      <c r="P1337" s="4292"/>
      <c r="Q1337" s="4292"/>
      <c r="R1337" s="4292"/>
      <c r="S1337" s="4292"/>
      <c r="T1337" s="4292"/>
      <c r="U1337" s="4292"/>
      <c r="V1337" s="4292"/>
      <c r="W1337" s="4292"/>
      <c r="X1337" s="4292"/>
      <c r="Y1337" s="4292"/>
      <c r="Z1337" s="4292"/>
      <c r="AA1337" s="4292"/>
      <c r="AB1337" s="4292"/>
      <c r="AC1337" s="4292"/>
      <c r="AD1337" s="4292"/>
      <c r="AE1337" s="4292"/>
      <c r="AF1337" s="4292"/>
      <c r="AG1337" s="4292"/>
      <c r="AH1337" s="4292"/>
      <c r="AI1337" s="4292"/>
      <c r="AJ1337" s="4292"/>
      <c r="AK1337" s="4292"/>
      <c r="AL1337" s="4292"/>
      <c r="AM1337" s="4292"/>
      <c r="AN1337" s="4292"/>
      <c r="AO1337" s="4292"/>
      <c r="AP1337" s="4292"/>
      <c r="AQ1337" s="4292"/>
      <c r="AR1337" s="4292"/>
      <c r="AS1337" s="4292"/>
      <c r="AT1337" s="4292"/>
      <c r="AU1337" s="4292"/>
      <c r="AV1337" s="4292"/>
      <c r="AW1337" s="4292"/>
      <c r="AX1337" s="4292"/>
      <c r="AY1337" s="4292"/>
      <c r="AZ1337" s="4292"/>
      <c r="BA1337" s="4292"/>
      <c r="BB1337" s="4292"/>
      <c r="BC1337" s="4292"/>
      <c r="BD1337" s="4303"/>
      <c r="BE1337" s="4303"/>
      <c r="BF1337" s="4303"/>
      <c r="BG1337" s="4303"/>
      <c r="BH1337" s="4303"/>
      <c r="BI1337" s="4303"/>
      <c r="BJ1337" s="4303"/>
      <c r="BK1337" s="4303"/>
      <c r="BL1337" s="4303"/>
      <c r="BM1337" s="4303"/>
      <c r="BN1337" s="4303"/>
      <c r="BO1337" s="4303"/>
      <c r="BP1337" s="4303"/>
      <c r="BQ1337" s="4303"/>
      <c r="BR1337" s="4303"/>
      <c r="BS1337" s="4303"/>
      <c r="BT1337" s="4303"/>
      <c r="BU1337" s="4303"/>
      <c r="BV1337" s="4303"/>
      <c r="BW1337" s="4303"/>
      <c r="BX1337" s="4303"/>
      <c r="BY1337" s="4303"/>
      <c r="BZ1337" s="4303"/>
      <c r="CA1337" s="4303"/>
      <c r="CB1337" s="4303"/>
      <c r="CC1337" s="4303"/>
      <c r="CD1337" s="4303"/>
      <c r="CE1337" s="4303"/>
      <c r="CF1337" s="4303"/>
      <c r="CG1337" s="4303"/>
      <c r="CH1337" s="4303"/>
      <c r="CI1337" s="4303"/>
      <c r="CJ1337" s="4303"/>
      <c r="CK1337" s="4303"/>
      <c r="CL1337" s="4303"/>
      <c r="CM1337" s="4303"/>
      <c r="CN1337" s="4303"/>
      <c r="CO1337" s="4303"/>
      <c r="CP1337" s="4303"/>
      <c r="CQ1337" s="4303"/>
      <c r="CR1337" s="4303"/>
      <c r="CS1337" s="4303"/>
      <c r="CT1337" s="4303"/>
      <c r="CU1337" s="4303"/>
      <c r="CV1337" s="4303"/>
      <c r="CW1337" s="4303"/>
      <c r="CX1337" s="4303"/>
      <c r="CY1337" s="4303"/>
      <c r="CZ1337" s="4303"/>
      <c r="DA1337" s="4303"/>
      <c r="DB1337" s="4303"/>
      <c r="DC1337" s="4303"/>
      <c r="DD1337" s="4303"/>
      <c r="DE1337" s="4303"/>
      <c r="DF1337" s="4303"/>
      <c r="DG1337" s="4303"/>
      <c r="DH1337" s="4303"/>
      <c r="DI1337" s="4303"/>
      <c r="DJ1337" s="4303"/>
      <c r="DK1337" s="4303"/>
      <c r="DL1337" s="4303"/>
      <c r="DM1337" s="4303"/>
      <c r="DN1337" s="4303"/>
      <c r="DO1337" s="4303"/>
      <c r="DP1337" s="4303"/>
      <c r="DQ1337" s="4303"/>
      <c r="DR1337" s="4303"/>
      <c r="DS1337" s="4303"/>
      <c r="DT1337" s="4134"/>
      <c r="DU1337" s="4134"/>
    </row>
    <row r="1338" s="4133" customFormat="1" ht="15.75" hidden="1" spans="1:125">
      <c r="A1338" s="4397"/>
      <c r="B1338" s="4292"/>
      <c r="C1338" s="4292"/>
      <c r="D1338" s="4292"/>
      <c r="E1338" s="4292"/>
      <c r="F1338" s="4292"/>
      <c r="G1338" s="4292"/>
      <c r="H1338" s="4292"/>
      <c r="I1338" s="4292"/>
      <c r="J1338" s="4292"/>
      <c r="K1338" s="4292"/>
      <c r="L1338" s="4292"/>
      <c r="M1338" s="4292"/>
      <c r="N1338" s="4292"/>
      <c r="O1338" s="4292"/>
      <c r="P1338" s="4292"/>
      <c r="Q1338" s="4292"/>
      <c r="R1338" s="4292"/>
      <c r="S1338" s="4292"/>
      <c r="T1338" s="4292"/>
      <c r="U1338" s="4292"/>
      <c r="V1338" s="4292"/>
      <c r="W1338" s="4292"/>
      <c r="X1338" s="4292"/>
      <c r="Y1338" s="4292"/>
      <c r="Z1338" s="4292"/>
      <c r="AA1338" s="4292"/>
      <c r="AB1338" s="4292"/>
      <c r="AC1338" s="4292"/>
      <c r="AD1338" s="4292"/>
      <c r="AE1338" s="4292"/>
      <c r="AF1338" s="4292"/>
      <c r="AG1338" s="4292"/>
      <c r="AH1338" s="4292"/>
      <c r="AI1338" s="4292"/>
      <c r="AJ1338" s="4292"/>
      <c r="AK1338" s="4292"/>
      <c r="AL1338" s="4292"/>
      <c r="AM1338" s="4292"/>
      <c r="AN1338" s="4292"/>
      <c r="AO1338" s="4292"/>
      <c r="AP1338" s="4292"/>
      <c r="AQ1338" s="4292"/>
      <c r="AR1338" s="4292"/>
      <c r="AS1338" s="4292"/>
      <c r="AT1338" s="4292"/>
      <c r="AU1338" s="4292"/>
      <c r="AV1338" s="4292"/>
      <c r="AW1338" s="4292"/>
      <c r="AX1338" s="4292"/>
      <c r="AY1338" s="4292"/>
      <c r="AZ1338" s="4292"/>
      <c r="BA1338" s="4292"/>
      <c r="BB1338" s="4292"/>
      <c r="BC1338" s="4292"/>
      <c r="BD1338" s="4303"/>
      <c r="BE1338" s="4303"/>
      <c r="BF1338" s="4303"/>
      <c r="BG1338" s="4303"/>
      <c r="BH1338" s="4303"/>
      <c r="BI1338" s="4303"/>
      <c r="BJ1338" s="4303"/>
      <c r="BK1338" s="4303"/>
      <c r="BL1338" s="4303"/>
      <c r="BM1338" s="4303"/>
      <c r="BN1338" s="4303"/>
      <c r="BO1338" s="4303"/>
      <c r="BP1338" s="4303"/>
      <c r="BQ1338" s="4303"/>
      <c r="BR1338" s="4303"/>
      <c r="BS1338" s="4303"/>
      <c r="BT1338" s="4303"/>
      <c r="BU1338" s="4303"/>
      <c r="BV1338" s="4303"/>
      <c r="BW1338" s="4303"/>
      <c r="BX1338" s="4303"/>
      <c r="BY1338" s="4303"/>
      <c r="BZ1338" s="4303"/>
      <c r="CA1338" s="4303"/>
      <c r="CB1338" s="4303"/>
      <c r="CC1338" s="4303"/>
      <c r="CD1338" s="4303"/>
      <c r="CE1338" s="4303"/>
      <c r="CF1338" s="4303"/>
      <c r="CG1338" s="4303"/>
      <c r="CH1338" s="4303"/>
      <c r="CI1338" s="4303"/>
      <c r="CJ1338" s="4303"/>
      <c r="CK1338" s="4303"/>
      <c r="CL1338" s="4303"/>
      <c r="CM1338" s="4303"/>
      <c r="CN1338" s="4303"/>
      <c r="CO1338" s="4303"/>
      <c r="CP1338" s="4303"/>
      <c r="CQ1338" s="4303"/>
      <c r="CR1338" s="4303"/>
      <c r="CS1338" s="4303"/>
      <c r="CT1338" s="4303"/>
      <c r="CU1338" s="4303"/>
      <c r="CV1338" s="4303"/>
      <c r="CW1338" s="4303"/>
      <c r="CX1338" s="4303"/>
      <c r="CY1338" s="4303"/>
      <c r="CZ1338" s="4303"/>
      <c r="DA1338" s="4303"/>
      <c r="DB1338" s="4303"/>
      <c r="DC1338" s="4303"/>
      <c r="DD1338" s="4303"/>
      <c r="DE1338" s="4303"/>
      <c r="DF1338" s="4303"/>
      <c r="DG1338" s="4303"/>
      <c r="DH1338" s="4303"/>
      <c r="DI1338" s="4303"/>
      <c r="DJ1338" s="4303"/>
      <c r="DK1338" s="4303"/>
      <c r="DL1338" s="4303"/>
      <c r="DM1338" s="4303"/>
      <c r="DN1338" s="4303"/>
      <c r="DO1338" s="4303"/>
      <c r="DP1338" s="4303"/>
      <c r="DQ1338" s="4303"/>
      <c r="DR1338" s="4303"/>
      <c r="DS1338" s="4303"/>
      <c r="DT1338" s="4134"/>
      <c r="DU1338" s="4134"/>
    </row>
    <row r="1339" s="4133" customFormat="1" ht="15.75" hidden="1" spans="1:125">
      <c r="A1339" s="4397"/>
      <c r="B1339" s="4292"/>
      <c r="C1339" s="4292"/>
      <c r="D1339" s="4292"/>
      <c r="E1339" s="4292"/>
      <c r="F1339" s="4292"/>
      <c r="G1339" s="4292"/>
      <c r="H1339" s="4292"/>
      <c r="I1339" s="4292"/>
      <c r="J1339" s="4292"/>
      <c r="K1339" s="4292"/>
      <c r="L1339" s="4292"/>
      <c r="M1339" s="4292"/>
      <c r="N1339" s="4292"/>
      <c r="O1339" s="4292"/>
      <c r="P1339" s="4292"/>
      <c r="Q1339" s="4292"/>
      <c r="R1339" s="4292"/>
      <c r="S1339" s="4292"/>
      <c r="T1339" s="4292"/>
      <c r="U1339" s="4292"/>
      <c r="V1339" s="4292"/>
      <c r="W1339" s="4292"/>
      <c r="X1339" s="4292"/>
      <c r="Y1339" s="4292"/>
      <c r="Z1339" s="4292"/>
      <c r="AA1339" s="4292"/>
      <c r="AB1339" s="4292"/>
      <c r="AC1339" s="4292"/>
      <c r="AD1339" s="4292"/>
      <c r="AE1339" s="4292"/>
      <c r="AF1339" s="4292"/>
      <c r="AG1339" s="4292"/>
      <c r="AH1339" s="4292"/>
      <c r="AI1339" s="4292"/>
      <c r="AJ1339" s="4292"/>
      <c r="AK1339" s="4292"/>
      <c r="AL1339" s="4292"/>
      <c r="AM1339" s="4292"/>
      <c r="AN1339" s="4292"/>
      <c r="AO1339" s="4292"/>
      <c r="AP1339" s="4292"/>
      <c r="AQ1339" s="4292"/>
      <c r="AR1339" s="4292"/>
      <c r="AS1339" s="4292"/>
      <c r="AT1339" s="4292"/>
      <c r="AU1339" s="4292"/>
      <c r="AV1339" s="4292"/>
      <c r="AW1339" s="4292"/>
      <c r="AX1339" s="4292"/>
      <c r="AY1339" s="4292"/>
      <c r="AZ1339" s="4292"/>
      <c r="BA1339" s="4292"/>
      <c r="BB1339" s="4292"/>
      <c r="BC1339" s="4292"/>
      <c r="BD1339" s="4303"/>
      <c r="BE1339" s="4303"/>
      <c r="BF1339" s="4303"/>
      <c r="BG1339" s="4303"/>
      <c r="BH1339" s="4303"/>
      <c r="BI1339" s="4303"/>
      <c r="BJ1339" s="4303"/>
      <c r="BK1339" s="4303"/>
      <c r="BL1339" s="4303"/>
      <c r="BM1339" s="4303"/>
      <c r="BN1339" s="4303"/>
      <c r="BO1339" s="4303"/>
      <c r="BP1339" s="4303"/>
      <c r="BQ1339" s="4303"/>
      <c r="BR1339" s="4303"/>
      <c r="BS1339" s="4303"/>
      <c r="BT1339" s="4303"/>
      <c r="BU1339" s="4303"/>
      <c r="BV1339" s="4303"/>
      <c r="BW1339" s="4303"/>
      <c r="BX1339" s="4303"/>
      <c r="BY1339" s="4303"/>
      <c r="BZ1339" s="4303"/>
      <c r="CA1339" s="4303"/>
      <c r="CB1339" s="4303"/>
      <c r="CC1339" s="4303"/>
      <c r="CD1339" s="4303"/>
      <c r="CE1339" s="4303"/>
      <c r="CF1339" s="4303"/>
      <c r="CG1339" s="4303"/>
      <c r="CH1339" s="4303"/>
      <c r="CI1339" s="4303"/>
      <c r="CJ1339" s="4303"/>
      <c r="CK1339" s="4303"/>
      <c r="CL1339" s="4303"/>
      <c r="CM1339" s="4303"/>
      <c r="CN1339" s="4303"/>
      <c r="CO1339" s="4303"/>
      <c r="CP1339" s="4303"/>
      <c r="CQ1339" s="4303"/>
      <c r="CR1339" s="4303"/>
      <c r="CS1339" s="4303"/>
      <c r="CT1339" s="4303"/>
      <c r="CU1339" s="4303"/>
      <c r="CV1339" s="4303"/>
      <c r="CW1339" s="4303"/>
      <c r="CX1339" s="4303"/>
      <c r="CY1339" s="4303"/>
      <c r="CZ1339" s="4303"/>
      <c r="DA1339" s="4303"/>
      <c r="DB1339" s="4303"/>
      <c r="DC1339" s="4303"/>
      <c r="DD1339" s="4303"/>
      <c r="DE1339" s="4303"/>
      <c r="DF1339" s="4303"/>
      <c r="DG1339" s="4303"/>
      <c r="DH1339" s="4303"/>
      <c r="DI1339" s="4303"/>
      <c r="DJ1339" s="4303"/>
      <c r="DK1339" s="4303"/>
      <c r="DL1339" s="4303"/>
      <c r="DM1339" s="4303"/>
      <c r="DN1339" s="4303"/>
      <c r="DO1339" s="4303"/>
      <c r="DP1339" s="4303"/>
      <c r="DQ1339" s="4303"/>
      <c r="DR1339" s="4303"/>
      <c r="DS1339" s="4303"/>
      <c r="DT1339" s="4134"/>
      <c r="DU1339" s="4134"/>
    </row>
    <row r="1340" s="4133" customFormat="1" ht="15.75" hidden="1" spans="1:125">
      <c r="A1340" s="4397"/>
      <c r="B1340" s="4292"/>
      <c r="C1340" s="4292"/>
      <c r="D1340" s="4292"/>
      <c r="E1340" s="4292"/>
      <c r="F1340" s="4292"/>
      <c r="G1340" s="4292"/>
      <c r="H1340" s="4292"/>
      <c r="I1340" s="4292"/>
      <c r="J1340" s="4292"/>
      <c r="K1340" s="4292"/>
      <c r="L1340" s="4292"/>
      <c r="M1340" s="4292"/>
      <c r="N1340" s="4292"/>
      <c r="O1340" s="4292"/>
      <c r="P1340" s="4292"/>
      <c r="Q1340" s="4292"/>
      <c r="R1340" s="4292"/>
      <c r="S1340" s="4292"/>
      <c r="T1340" s="4292"/>
      <c r="U1340" s="4292"/>
      <c r="V1340" s="4292"/>
      <c r="W1340" s="4292"/>
      <c r="X1340" s="4292"/>
      <c r="Y1340" s="4292"/>
      <c r="Z1340" s="4292"/>
      <c r="AA1340" s="4292"/>
      <c r="AB1340" s="4292"/>
      <c r="AC1340" s="4292"/>
      <c r="AD1340" s="4292"/>
      <c r="AE1340" s="4292"/>
      <c r="AF1340" s="4292"/>
      <c r="AG1340" s="4292"/>
      <c r="AH1340" s="4292"/>
      <c r="AI1340" s="4292"/>
      <c r="AJ1340" s="4292"/>
      <c r="AK1340" s="4292"/>
      <c r="AL1340" s="4292"/>
      <c r="AM1340" s="4292"/>
      <c r="AN1340" s="4292"/>
      <c r="AO1340" s="4292"/>
      <c r="AP1340" s="4292"/>
      <c r="AQ1340" s="4292"/>
      <c r="AR1340" s="4292"/>
      <c r="AS1340" s="4292"/>
      <c r="AT1340" s="4292"/>
      <c r="AU1340" s="4292"/>
      <c r="AV1340" s="4292"/>
      <c r="AW1340" s="4292"/>
      <c r="AX1340" s="4292"/>
      <c r="AY1340" s="4292"/>
      <c r="AZ1340" s="4292"/>
      <c r="BA1340" s="4292"/>
      <c r="BB1340" s="4292"/>
      <c r="BC1340" s="4292"/>
      <c r="BD1340" s="4303"/>
      <c r="BE1340" s="4303"/>
      <c r="BF1340" s="4303"/>
      <c r="BG1340" s="4303"/>
      <c r="BH1340" s="4303"/>
      <c r="BI1340" s="4303"/>
      <c r="BJ1340" s="4303"/>
      <c r="BK1340" s="4303"/>
      <c r="BL1340" s="4303"/>
      <c r="BM1340" s="4303"/>
      <c r="BN1340" s="4303"/>
      <c r="BO1340" s="4303"/>
      <c r="BP1340" s="4303"/>
      <c r="BQ1340" s="4303"/>
      <c r="BR1340" s="4303"/>
      <c r="BS1340" s="4303"/>
      <c r="BT1340" s="4303"/>
      <c r="BU1340" s="4303"/>
      <c r="BV1340" s="4303"/>
      <c r="BW1340" s="4303"/>
      <c r="BX1340" s="4303"/>
      <c r="BY1340" s="4303"/>
      <c r="BZ1340" s="4303"/>
      <c r="CA1340" s="4303"/>
      <c r="CB1340" s="4303"/>
      <c r="CC1340" s="4303"/>
      <c r="CD1340" s="4303"/>
      <c r="CE1340" s="4303"/>
      <c r="CF1340" s="4303"/>
      <c r="CG1340" s="4303"/>
      <c r="CH1340" s="4303"/>
      <c r="CI1340" s="4303"/>
      <c r="CJ1340" s="4303"/>
      <c r="CK1340" s="4303"/>
      <c r="CL1340" s="4303"/>
      <c r="CM1340" s="4303"/>
      <c r="CN1340" s="4303"/>
      <c r="CO1340" s="4303"/>
      <c r="CP1340" s="4303"/>
      <c r="CQ1340" s="4303"/>
      <c r="CR1340" s="4303"/>
      <c r="CS1340" s="4303"/>
      <c r="CT1340" s="4303"/>
      <c r="CU1340" s="4303"/>
      <c r="CV1340" s="4303"/>
      <c r="CW1340" s="4303"/>
      <c r="CX1340" s="4303"/>
      <c r="CY1340" s="4303"/>
      <c r="CZ1340" s="4303"/>
      <c r="DA1340" s="4303"/>
      <c r="DB1340" s="4303"/>
      <c r="DC1340" s="4303"/>
      <c r="DD1340" s="4303"/>
      <c r="DE1340" s="4303"/>
      <c r="DF1340" s="4303"/>
      <c r="DG1340" s="4303"/>
      <c r="DH1340" s="4303"/>
      <c r="DI1340" s="4303"/>
      <c r="DJ1340" s="4303"/>
      <c r="DK1340" s="4303"/>
      <c r="DL1340" s="4303"/>
      <c r="DM1340" s="4303"/>
      <c r="DN1340" s="4303"/>
      <c r="DO1340" s="4303"/>
      <c r="DP1340" s="4303"/>
      <c r="DQ1340" s="4303"/>
      <c r="DR1340" s="4303"/>
      <c r="DS1340" s="4303"/>
      <c r="DT1340" s="4134"/>
      <c r="DU1340" s="4134"/>
    </row>
    <row r="1341" s="4133" customFormat="1" ht="15.75" hidden="1" spans="1:125">
      <c r="A1341" s="4397"/>
      <c r="B1341" s="4292"/>
      <c r="C1341" s="4292"/>
      <c r="D1341" s="4292"/>
      <c r="E1341" s="4292"/>
      <c r="F1341" s="4292"/>
      <c r="G1341" s="4292"/>
      <c r="H1341" s="4292"/>
      <c r="I1341" s="4292"/>
      <c r="J1341" s="4292"/>
      <c r="K1341" s="4292"/>
      <c r="L1341" s="4292"/>
      <c r="M1341" s="4292"/>
      <c r="N1341" s="4292"/>
      <c r="O1341" s="4292"/>
      <c r="P1341" s="4292"/>
      <c r="Q1341" s="4292"/>
      <c r="R1341" s="4292"/>
      <c r="S1341" s="4292"/>
      <c r="T1341" s="4292"/>
      <c r="U1341" s="4292"/>
      <c r="V1341" s="4292"/>
      <c r="W1341" s="4292"/>
      <c r="X1341" s="4292"/>
      <c r="Y1341" s="4292"/>
      <c r="Z1341" s="4292"/>
      <c r="AA1341" s="4292"/>
      <c r="AB1341" s="4292"/>
      <c r="AC1341" s="4292"/>
      <c r="AD1341" s="4292"/>
      <c r="AE1341" s="4292"/>
      <c r="AF1341" s="4292"/>
      <c r="AG1341" s="4292"/>
      <c r="AH1341" s="4292"/>
      <c r="AI1341" s="4292"/>
      <c r="AJ1341" s="4292"/>
      <c r="AK1341" s="4292"/>
      <c r="AL1341" s="4292"/>
      <c r="AM1341" s="4292"/>
      <c r="AN1341" s="4292"/>
      <c r="AO1341" s="4292"/>
      <c r="AP1341" s="4292"/>
      <c r="AQ1341" s="4292"/>
      <c r="AR1341" s="4292"/>
      <c r="AS1341" s="4292"/>
      <c r="AT1341" s="4292"/>
      <c r="AU1341" s="4292"/>
      <c r="AV1341" s="4292"/>
      <c r="AW1341" s="4292"/>
      <c r="AX1341" s="4292"/>
      <c r="AY1341" s="4292"/>
      <c r="AZ1341" s="4292"/>
      <c r="BA1341" s="4292"/>
      <c r="BB1341" s="4292"/>
      <c r="BC1341" s="4292"/>
      <c r="BD1341" s="4303"/>
      <c r="BE1341" s="4303"/>
      <c r="BF1341" s="4303"/>
      <c r="BG1341" s="4303"/>
      <c r="BH1341" s="4303"/>
      <c r="BI1341" s="4303"/>
      <c r="BJ1341" s="4303"/>
      <c r="BK1341" s="4303"/>
      <c r="BL1341" s="4303"/>
      <c r="BM1341" s="4303"/>
      <c r="BN1341" s="4303"/>
      <c r="BO1341" s="4303"/>
      <c r="BP1341" s="4303"/>
      <c r="BQ1341" s="4303"/>
      <c r="BR1341" s="4303"/>
      <c r="BS1341" s="4303"/>
      <c r="BT1341" s="4303"/>
      <c r="BU1341" s="4303"/>
      <c r="BV1341" s="4303"/>
      <c r="BW1341" s="4303"/>
      <c r="BX1341" s="4303"/>
      <c r="BY1341" s="4303"/>
      <c r="BZ1341" s="4303"/>
      <c r="CA1341" s="4303"/>
      <c r="CB1341" s="4303"/>
      <c r="CC1341" s="4303"/>
      <c r="CD1341" s="4303"/>
      <c r="CE1341" s="4303"/>
      <c r="CF1341" s="4303"/>
      <c r="CG1341" s="4303"/>
      <c r="CH1341" s="4303"/>
      <c r="CI1341" s="4303"/>
      <c r="CJ1341" s="4303"/>
      <c r="CK1341" s="4303"/>
      <c r="CL1341" s="4303"/>
      <c r="CM1341" s="4303"/>
      <c r="CN1341" s="4303"/>
      <c r="CO1341" s="4303"/>
      <c r="CP1341" s="4303"/>
      <c r="CQ1341" s="4303"/>
      <c r="CR1341" s="4303"/>
      <c r="CS1341" s="4303"/>
      <c r="CT1341" s="4303"/>
      <c r="CU1341" s="4303"/>
      <c r="CV1341" s="4303"/>
      <c r="CW1341" s="4303"/>
      <c r="CX1341" s="4303"/>
      <c r="CY1341" s="4303"/>
      <c r="CZ1341" s="4303"/>
      <c r="DA1341" s="4303"/>
      <c r="DB1341" s="4303"/>
      <c r="DC1341" s="4303"/>
      <c r="DD1341" s="4303"/>
      <c r="DE1341" s="4303"/>
      <c r="DF1341" s="4303"/>
      <c r="DG1341" s="4303"/>
      <c r="DH1341" s="4303"/>
      <c r="DI1341" s="4303"/>
      <c r="DJ1341" s="4303"/>
      <c r="DK1341" s="4303"/>
      <c r="DL1341" s="4303"/>
      <c r="DM1341" s="4303"/>
      <c r="DN1341" s="4303"/>
      <c r="DO1341" s="4303"/>
      <c r="DP1341" s="4303"/>
      <c r="DQ1341" s="4303"/>
      <c r="DR1341" s="4303"/>
      <c r="DS1341" s="4303"/>
      <c r="DT1341" s="4134"/>
      <c r="DU1341" s="4134"/>
    </row>
    <row r="1342" s="4133" customFormat="1" ht="15.75" hidden="1" spans="1:125">
      <c r="A1342" s="4397"/>
      <c r="B1342" s="4292"/>
      <c r="C1342" s="4292"/>
      <c r="D1342" s="4292"/>
      <c r="E1342" s="4292"/>
      <c r="F1342" s="4292"/>
      <c r="G1342" s="4292"/>
      <c r="H1342" s="4292"/>
      <c r="I1342" s="4292"/>
      <c r="J1342" s="4292"/>
      <c r="K1342" s="4292"/>
      <c r="L1342" s="4292"/>
      <c r="M1342" s="4292"/>
      <c r="N1342" s="4292"/>
      <c r="O1342" s="4292"/>
      <c r="P1342" s="4292"/>
      <c r="Q1342" s="4292"/>
      <c r="R1342" s="4292"/>
      <c r="S1342" s="4292"/>
      <c r="T1342" s="4292"/>
      <c r="U1342" s="4292"/>
      <c r="V1342" s="4292"/>
      <c r="W1342" s="4292"/>
      <c r="X1342" s="4292"/>
      <c r="Y1342" s="4292"/>
      <c r="Z1342" s="4292"/>
      <c r="AA1342" s="4292"/>
      <c r="AB1342" s="4292"/>
      <c r="AC1342" s="4292"/>
      <c r="AD1342" s="4292"/>
      <c r="AE1342" s="4292"/>
      <c r="AF1342" s="4292"/>
      <c r="AG1342" s="4292"/>
      <c r="AH1342" s="4292"/>
      <c r="AI1342" s="4292"/>
      <c r="AJ1342" s="4292"/>
      <c r="AK1342" s="4292"/>
      <c r="AL1342" s="4292"/>
      <c r="AM1342" s="4292"/>
      <c r="AN1342" s="4292"/>
      <c r="AO1342" s="4292"/>
      <c r="AP1342" s="4292"/>
      <c r="AQ1342" s="4292"/>
      <c r="AR1342" s="4292"/>
      <c r="AS1342" s="4292"/>
      <c r="AT1342" s="4292"/>
      <c r="AU1342" s="4292"/>
      <c r="AV1342" s="4292"/>
      <c r="AW1342" s="4292"/>
      <c r="AX1342" s="4292"/>
      <c r="AY1342" s="4292"/>
      <c r="AZ1342" s="4292"/>
      <c r="BA1342" s="4292"/>
      <c r="BB1342" s="4292"/>
      <c r="BC1342" s="4292"/>
      <c r="BD1342" s="4303"/>
      <c r="BE1342" s="4303"/>
      <c r="BF1342" s="4303"/>
      <c r="BG1342" s="4303"/>
      <c r="BH1342" s="4303"/>
      <c r="BI1342" s="4303"/>
      <c r="BJ1342" s="4303"/>
      <c r="BK1342" s="4303"/>
      <c r="BL1342" s="4303"/>
      <c r="BM1342" s="4303"/>
      <c r="BN1342" s="4303"/>
      <c r="BO1342" s="4303"/>
      <c r="BP1342" s="4303"/>
      <c r="BQ1342" s="4303"/>
      <c r="BR1342" s="4303"/>
      <c r="BS1342" s="4303"/>
      <c r="BT1342" s="4303"/>
      <c r="BU1342" s="4303"/>
      <c r="BV1342" s="4303"/>
      <c r="BW1342" s="4303"/>
      <c r="BX1342" s="4303"/>
      <c r="BY1342" s="4303"/>
      <c r="BZ1342" s="4303"/>
      <c r="CA1342" s="4303"/>
      <c r="CB1342" s="4303"/>
      <c r="CC1342" s="4303"/>
      <c r="CD1342" s="4303"/>
      <c r="CE1342" s="4303"/>
      <c r="CF1342" s="4303"/>
      <c r="CG1342" s="4303"/>
      <c r="CH1342" s="4303"/>
      <c r="CI1342" s="4303"/>
      <c r="CJ1342" s="4303"/>
      <c r="CK1342" s="4303"/>
      <c r="CL1342" s="4303"/>
      <c r="CM1342" s="4303"/>
      <c r="CN1342" s="4303"/>
      <c r="CO1342" s="4303"/>
      <c r="CP1342" s="4303"/>
      <c r="CQ1342" s="4303"/>
      <c r="CR1342" s="4303"/>
      <c r="CS1342" s="4303"/>
      <c r="CT1342" s="4303"/>
      <c r="CU1342" s="4303"/>
      <c r="CV1342" s="4303"/>
      <c r="CW1342" s="4303"/>
      <c r="CX1342" s="4303"/>
      <c r="CY1342" s="4303"/>
      <c r="CZ1342" s="4303"/>
      <c r="DA1342" s="4303"/>
      <c r="DB1342" s="4303"/>
      <c r="DC1342" s="4303"/>
      <c r="DD1342" s="4303"/>
      <c r="DE1342" s="4303"/>
      <c r="DF1342" s="4303"/>
      <c r="DG1342" s="4303"/>
      <c r="DH1342" s="4303"/>
      <c r="DI1342" s="4303"/>
      <c r="DJ1342" s="4303"/>
      <c r="DK1342" s="4303"/>
      <c r="DL1342" s="4303"/>
      <c r="DM1342" s="4303"/>
      <c r="DN1342" s="4303"/>
      <c r="DO1342" s="4303"/>
      <c r="DP1342" s="4303"/>
      <c r="DQ1342" s="4303"/>
      <c r="DR1342" s="4303"/>
      <c r="DS1342" s="4303"/>
      <c r="DT1342" s="4134"/>
      <c r="DU1342" s="4134"/>
    </row>
    <row r="1343" s="4133" customFormat="1" ht="15.75" hidden="1" spans="1:125">
      <c r="A1343" s="4397"/>
      <c r="B1343" s="4292"/>
      <c r="C1343" s="4292"/>
      <c r="D1343" s="4292"/>
      <c r="E1343" s="4292"/>
      <c r="F1343" s="4292"/>
      <c r="G1343" s="4292"/>
      <c r="H1343" s="4292"/>
      <c r="I1343" s="4292"/>
      <c r="J1343" s="4292"/>
      <c r="K1343" s="4292"/>
      <c r="L1343" s="4292"/>
      <c r="M1343" s="4292"/>
      <c r="N1343" s="4292"/>
      <c r="O1343" s="4292"/>
      <c r="P1343" s="4292"/>
      <c r="Q1343" s="4292"/>
      <c r="R1343" s="4292"/>
      <c r="S1343" s="4292"/>
      <c r="T1343" s="4292"/>
      <c r="U1343" s="4292"/>
      <c r="V1343" s="4292"/>
      <c r="W1343" s="4292"/>
      <c r="X1343" s="4292"/>
      <c r="Y1343" s="4292"/>
      <c r="Z1343" s="4292"/>
      <c r="AA1343" s="4292"/>
      <c r="AB1343" s="4292"/>
      <c r="AC1343" s="4292"/>
      <c r="AD1343" s="4292"/>
      <c r="AE1343" s="4292"/>
      <c r="AF1343" s="4292"/>
      <c r="AG1343" s="4292"/>
      <c r="AH1343" s="4292"/>
      <c r="AI1343" s="4292"/>
      <c r="AJ1343" s="4292"/>
      <c r="AK1343" s="4292"/>
      <c r="AL1343" s="4292"/>
      <c r="AM1343" s="4292"/>
      <c r="AN1343" s="4292"/>
      <c r="AO1343" s="4292"/>
      <c r="AP1343" s="4292"/>
      <c r="AQ1343" s="4292"/>
      <c r="AR1343" s="4292"/>
      <c r="AS1343" s="4292"/>
      <c r="AT1343" s="4292"/>
      <c r="AU1343" s="4292"/>
      <c r="AV1343" s="4292"/>
      <c r="AW1343" s="4292"/>
      <c r="AX1343" s="4292"/>
      <c r="AY1343" s="4292"/>
      <c r="AZ1343" s="4292"/>
      <c r="BA1343" s="4292"/>
      <c r="BB1343" s="4292"/>
      <c r="BC1343" s="4292"/>
      <c r="BD1343" s="4303"/>
      <c r="BE1343" s="4303"/>
      <c r="BF1343" s="4303"/>
      <c r="BG1343" s="4303"/>
      <c r="BH1343" s="4303"/>
      <c r="BI1343" s="4303"/>
      <c r="BJ1343" s="4303"/>
      <c r="BK1343" s="4303"/>
      <c r="BL1343" s="4303"/>
      <c r="BM1343" s="4303"/>
      <c r="BN1343" s="4303"/>
      <c r="BO1343" s="4303"/>
      <c r="BP1343" s="4303"/>
      <c r="BQ1343" s="4303"/>
      <c r="BR1343" s="4303"/>
      <c r="BS1343" s="4303"/>
      <c r="BT1343" s="4303"/>
      <c r="BU1343" s="4303"/>
      <c r="BV1343" s="4303"/>
      <c r="BW1343" s="4303"/>
      <c r="BX1343" s="4303"/>
      <c r="BY1343" s="4303"/>
      <c r="BZ1343" s="4303"/>
      <c r="CA1343" s="4303"/>
      <c r="CB1343" s="4303"/>
      <c r="CC1343" s="4303"/>
      <c r="CD1343" s="4303"/>
      <c r="CE1343" s="4303"/>
      <c r="CF1343" s="4303"/>
      <c r="CG1343" s="4303"/>
      <c r="CH1343" s="4303"/>
      <c r="CI1343" s="4303"/>
      <c r="CJ1343" s="4303"/>
      <c r="CK1343" s="4303"/>
      <c r="CL1343" s="4303"/>
      <c r="CM1343" s="4303"/>
      <c r="CN1343" s="4303"/>
      <c r="CO1343" s="4303"/>
      <c r="CP1343" s="4303"/>
      <c r="CQ1343" s="4303"/>
      <c r="CR1343" s="4303"/>
      <c r="CS1343" s="4303"/>
      <c r="CT1343" s="4303"/>
      <c r="CU1343" s="4303"/>
      <c r="CV1343" s="4303"/>
      <c r="CW1343" s="4303"/>
      <c r="CX1343" s="4303"/>
      <c r="CY1343" s="4303"/>
      <c r="CZ1343" s="4303"/>
      <c r="DA1343" s="4303"/>
      <c r="DB1343" s="4303"/>
      <c r="DC1343" s="4303"/>
      <c r="DD1343" s="4303"/>
      <c r="DE1343" s="4303"/>
      <c r="DF1343" s="4303"/>
      <c r="DG1343" s="4303"/>
      <c r="DH1343" s="4303"/>
      <c r="DI1343" s="4303"/>
      <c r="DJ1343" s="4303"/>
      <c r="DK1343" s="4303"/>
      <c r="DL1343" s="4303"/>
      <c r="DM1343" s="4303"/>
      <c r="DN1343" s="4303"/>
      <c r="DO1343" s="4303"/>
      <c r="DP1343" s="4303"/>
      <c r="DQ1343" s="4303"/>
      <c r="DR1343" s="4303"/>
      <c r="DS1343" s="4303"/>
      <c r="DT1343" s="4134"/>
      <c r="DU1343" s="4134"/>
    </row>
    <row r="1344" s="4133" customFormat="1" ht="15.75" hidden="1" spans="1:125">
      <c r="A1344" s="4397"/>
      <c r="B1344" s="4292"/>
      <c r="C1344" s="4292"/>
      <c r="D1344" s="4292"/>
      <c r="E1344" s="4292"/>
      <c r="F1344" s="4292"/>
      <c r="G1344" s="4292"/>
      <c r="H1344" s="4292"/>
      <c r="I1344" s="4292"/>
      <c r="J1344" s="4292"/>
      <c r="K1344" s="4292"/>
      <c r="L1344" s="4292"/>
      <c r="M1344" s="4292"/>
      <c r="N1344" s="4292"/>
      <c r="O1344" s="4292"/>
      <c r="P1344" s="4292"/>
      <c r="Q1344" s="4292"/>
      <c r="R1344" s="4292"/>
      <c r="S1344" s="4292"/>
      <c r="T1344" s="4292"/>
      <c r="U1344" s="4292"/>
      <c r="V1344" s="4292"/>
      <c r="W1344" s="4292"/>
      <c r="X1344" s="4292"/>
      <c r="Y1344" s="4292"/>
      <c r="Z1344" s="4292"/>
      <c r="AA1344" s="4292"/>
      <c r="AB1344" s="4292"/>
      <c r="AC1344" s="4292"/>
      <c r="AD1344" s="4292"/>
      <c r="AE1344" s="4292"/>
      <c r="AF1344" s="4292"/>
      <c r="AG1344" s="4292"/>
      <c r="AH1344" s="4292"/>
      <c r="AI1344" s="4292"/>
      <c r="AJ1344" s="4292"/>
      <c r="AK1344" s="4292"/>
      <c r="AL1344" s="4292"/>
      <c r="AM1344" s="4292"/>
      <c r="AN1344" s="4292"/>
      <c r="AO1344" s="4292"/>
      <c r="AP1344" s="4292"/>
      <c r="AQ1344" s="4292"/>
      <c r="AR1344" s="4292"/>
      <c r="AS1344" s="4292"/>
      <c r="AT1344" s="4292"/>
      <c r="AU1344" s="4292"/>
      <c r="AV1344" s="4292"/>
      <c r="AW1344" s="4292"/>
      <c r="AX1344" s="4292"/>
      <c r="AY1344" s="4292"/>
      <c r="AZ1344" s="4292"/>
      <c r="BA1344" s="4292"/>
      <c r="BB1344" s="4292"/>
      <c r="BC1344" s="4292"/>
      <c r="BD1344" s="4303"/>
      <c r="BE1344" s="4303"/>
      <c r="BF1344" s="4303"/>
      <c r="BG1344" s="4303"/>
      <c r="BH1344" s="4303"/>
      <c r="BI1344" s="4303"/>
      <c r="BJ1344" s="4303"/>
      <c r="BK1344" s="4303"/>
      <c r="BL1344" s="4303"/>
      <c r="BM1344" s="4303"/>
      <c r="BN1344" s="4303"/>
      <c r="BO1344" s="4303"/>
      <c r="BP1344" s="4303"/>
      <c r="BQ1344" s="4303"/>
      <c r="BR1344" s="4303"/>
      <c r="BS1344" s="4303"/>
      <c r="BT1344" s="4303"/>
      <c r="BU1344" s="4303"/>
      <c r="BV1344" s="4303"/>
      <c r="BW1344" s="4303"/>
      <c r="BX1344" s="4303"/>
      <c r="BY1344" s="4303"/>
      <c r="BZ1344" s="4303"/>
      <c r="CA1344" s="4303"/>
      <c r="CB1344" s="4303"/>
      <c r="CC1344" s="4303"/>
      <c r="CD1344" s="4303"/>
      <c r="CE1344" s="4303"/>
      <c r="CF1344" s="4303"/>
      <c r="CG1344" s="4303"/>
      <c r="CH1344" s="4303"/>
      <c r="CI1344" s="4303"/>
      <c r="CJ1344" s="4303"/>
      <c r="CK1344" s="4303"/>
      <c r="CL1344" s="4303"/>
      <c r="CM1344" s="4303"/>
      <c r="CN1344" s="4303"/>
      <c r="CO1344" s="4303"/>
      <c r="CP1344" s="4303"/>
      <c r="CQ1344" s="4303"/>
      <c r="CR1344" s="4303"/>
      <c r="CS1344" s="4303"/>
      <c r="CT1344" s="4303"/>
      <c r="CU1344" s="4303"/>
      <c r="CV1344" s="4303"/>
      <c r="CW1344" s="4303"/>
      <c r="CX1344" s="4303"/>
      <c r="CY1344" s="4303"/>
      <c r="CZ1344" s="4303"/>
      <c r="DA1344" s="4303"/>
      <c r="DB1344" s="4303"/>
      <c r="DC1344" s="4303"/>
      <c r="DD1344" s="4303"/>
      <c r="DE1344" s="4303"/>
      <c r="DF1344" s="4303"/>
      <c r="DG1344" s="4303"/>
      <c r="DH1344" s="4303"/>
      <c r="DI1344" s="4303"/>
      <c r="DJ1344" s="4303"/>
      <c r="DK1344" s="4303"/>
      <c r="DL1344" s="4303"/>
      <c r="DM1344" s="4303"/>
      <c r="DN1344" s="4303"/>
      <c r="DO1344" s="4303"/>
      <c r="DP1344" s="4303"/>
      <c r="DQ1344" s="4303"/>
      <c r="DR1344" s="4303"/>
      <c r="DS1344" s="4303"/>
      <c r="DT1344" s="4134"/>
      <c r="DU1344" s="4134"/>
    </row>
    <row r="1345" s="4133" customFormat="1" ht="15.75" hidden="1" spans="1:125">
      <c r="A1345" s="4397"/>
      <c r="B1345" s="4292"/>
      <c r="C1345" s="4292"/>
      <c r="D1345" s="4292"/>
      <c r="E1345" s="4292"/>
      <c r="F1345" s="4292"/>
      <c r="G1345" s="4292"/>
      <c r="H1345" s="4292"/>
      <c r="I1345" s="4292"/>
      <c r="J1345" s="4292"/>
      <c r="K1345" s="4292"/>
      <c r="L1345" s="4292"/>
      <c r="M1345" s="4292"/>
      <c r="N1345" s="4292"/>
      <c r="O1345" s="4292"/>
      <c r="P1345" s="4292"/>
      <c r="Q1345" s="4292"/>
      <c r="R1345" s="4292"/>
      <c r="S1345" s="4292"/>
      <c r="T1345" s="4292"/>
      <c r="U1345" s="4292"/>
      <c r="V1345" s="4292"/>
      <c r="W1345" s="4292"/>
      <c r="X1345" s="4292"/>
      <c r="Y1345" s="4292"/>
      <c r="Z1345" s="4292"/>
      <c r="AA1345" s="4292"/>
      <c r="AB1345" s="4292"/>
      <c r="AC1345" s="4292"/>
      <c r="AD1345" s="4292"/>
      <c r="AE1345" s="4292"/>
      <c r="AF1345" s="4292"/>
      <c r="AG1345" s="4292"/>
      <c r="AH1345" s="4292"/>
      <c r="AI1345" s="4292"/>
      <c r="AJ1345" s="4292"/>
      <c r="AK1345" s="4292"/>
      <c r="AL1345" s="4292"/>
      <c r="AM1345" s="4292"/>
      <c r="AN1345" s="4292"/>
      <c r="AO1345" s="4292"/>
      <c r="AP1345" s="4292"/>
      <c r="AQ1345" s="4292"/>
      <c r="AR1345" s="4292"/>
      <c r="AS1345" s="4292"/>
      <c r="AT1345" s="4292"/>
      <c r="AU1345" s="4292"/>
      <c r="AV1345" s="4292"/>
      <c r="AW1345" s="4292"/>
      <c r="AX1345" s="4292"/>
      <c r="AY1345" s="4292"/>
      <c r="AZ1345" s="4292"/>
      <c r="BA1345" s="4292"/>
      <c r="BB1345" s="4292"/>
      <c r="BC1345" s="4292"/>
      <c r="BD1345" s="4303"/>
      <c r="BE1345" s="4303"/>
      <c r="BF1345" s="4303"/>
      <c r="BG1345" s="4303"/>
      <c r="BH1345" s="4303"/>
      <c r="BI1345" s="4303"/>
      <c r="BJ1345" s="4303"/>
      <c r="BK1345" s="4303"/>
      <c r="BL1345" s="4303"/>
      <c r="BM1345" s="4303"/>
      <c r="BN1345" s="4303"/>
      <c r="BO1345" s="4303"/>
      <c r="BP1345" s="4303"/>
      <c r="BQ1345" s="4303"/>
      <c r="BR1345" s="4303"/>
      <c r="BS1345" s="4303"/>
      <c r="BT1345" s="4303"/>
      <c r="BU1345" s="4303"/>
      <c r="BV1345" s="4303"/>
      <c r="BW1345" s="4303"/>
      <c r="BX1345" s="4303"/>
      <c r="BY1345" s="4303"/>
      <c r="BZ1345" s="4303"/>
      <c r="CA1345" s="4303"/>
      <c r="CB1345" s="4303"/>
      <c r="CC1345" s="4303"/>
      <c r="CD1345" s="4303"/>
      <c r="CE1345" s="4303"/>
      <c r="CF1345" s="4303"/>
      <c r="CG1345" s="4303"/>
      <c r="CH1345" s="4303"/>
      <c r="CI1345" s="4303"/>
      <c r="CJ1345" s="4303"/>
      <c r="CK1345" s="4303"/>
      <c r="CL1345" s="4303"/>
      <c r="CM1345" s="4303"/>
      <c r="CN1345" s="4303"/>
      <c r="CO1345" s="4303"/>
      <c r="CP1345" s="4303"/>
      <c r="CQ1345" s="4303"/>
      <c r="CR1345" s="4303"/>
      <c r="CS1345" s="4303"/>
      <c r="CT1345" s="4303"/>
      <c r="CU1345" s="4303"/>
      <c r="CV1345" s="4303"/>
      <c r="CW1345" s="4303"/>
      <c r="CX1345" s="4303"/>
      <c r="CY1345" s="4303"/>
      <c r="CZ1345" s="4303"/>
      <c r="DA1345" s="4303"/>
      <c r="DB1345" s="4303"/>
      <c r="DC1345" s="4303"/>
      <c r="DD1345" s="4303"/>
      <c r="DE1345" s="4303"/>
      <c r="DF1345" s="4303"/>
      <c r="DG1345" s="4303"/>
      <c r="DH1345" s="4303"/>
      <c r="DI1345" s="4303"/>
      <c r="DJ1345" s="4303"/>
      <c r="DK1345" s="4303"/>
      <c r="DL1345" s="4303"/>
      <c r="DM1345" s="4303"/>
      <c r="DN1345" s="4303"/>
      <c r="DO1345" s="4303"/>
      <c r="DP1345" s="4303"/>
      <c r="DQ1345" s="4303"/>
      <c r="DR1345" s="4303"/>
      <c r="DS1345" s="4303"/>
      <c r="DT1345" s="4134"/>
      <c r="DU1345" s="4134"/>
    </row>
    <row r="1346" s="4133" customFormat="1" ht="15.75" hidden="1" spans="1:125">
      <c r="A1346" s="4397"/>
      <c r="B1346" s="4292"/>
      <c r="C1346" s="4292"/>
      <c r="D1346" s="4292"/>
      <c r="E1346" s="4292"/>
      <c r="F1346" s="4292"/>
      <c r="G1346" s="4292"/>
      <c r="H1346" s="4292"/>
      <c r="I1346" s="4292"/>
      <c r="J1346" s="4292"/>
      <c r="K1346" s="4292"/>
      <c r="L1346" s="4292"/>
      <c r="M1346" s="4292"/>
      <c r="N1346" s="4292"/>
      <c r="O1346" s="4292"/>
      <c r="P1346" s="4292"/>
      <c r="Q1346" s="4292"/>
      <c r="R1346" s="4292"/>
      <c r="S1346" s="4292"/>
      <c r="T1346" s="4292"/>
      <c r="U1346" s="4292"/>
      <c r="V1346" s="4292"/>
      <c r="W1346" s="4292"/>
      <c r="X1346" s="4292"/>
      <c r="Y1346" s="4292"/>
      <c r="Z1346" s="4292"/>
      <c r="AA1346" s="4292"/>
      <c r="AB1346" s="4292"/>
      <c r="AC1346" s="4292"/>
      <c r="AD1346" s="4292"/>
      <c r="AE1346" s="4292"/>
      <c r="AF1346" s="4292"/>
      <c r="AG1346" s="4292"/>
      <c r="AH1346" s="4292"/>
      <c r="AI1346" s="4292"/>
      <c r="AJ1346" s="4292"/>
      <c r="AK1346" s="4292"/>
      <c r="AL1346" s="4292"/>
      <c r="AM1346" s="4292"/>
      <c r="AN1346" s="4292"/>
      <c r="AO1346" s="4292"/>
      <c r="AP1346" s="4292"/>
      <c r="AQ1346" s="4292"/>
      <c r="AR1346" s="4292"/>
      <c r="AS1346" s="4292"/>
      <c r="AT1346" s="4292"/>
      <c r="AU1346" s="4292"/>
      <c r="AV1346" s="4292"/>
      <c r="AW1346" s="4292"/>
      <c r="AX1346" s="4292"/>
      <c r="AY1346" s="4292"/>
      <c r="AZ1346" s="4292"/>
      <c r="BA1346" s="4292"/>
      <c r="BB1346" s="4292"/>
      <c r="BC1346" s="4292"/>
      <c r="BD1346" s="4303"/>
      <c r="BE1346" s="4303"/>
      <c r="BF1346" s="4303"/>
      <c r="BG1346" s="4303"/>
      <c r="BH1346" s="4303"/>
      <c r="BI1346" s="4303"/>
      <c r="BJ1346" s="4303"/>
      <c r="BK1346" s="4303"/>
      <c r="BL1346" s="4303"/>
      <c r="BM1346" s="4303"/>
      <c r="BN1346" s="4303"/>
      <c r="BO1346" s="4303"/>
      <c r="BP1346" s="4303"/>
      <c r="BQ1346" s="4303"/>
      <c r="BR1346" s="4303"/>
      <c r="BS1346" s="4303"/>
      <c r="BT1346" s="4303"/>
      <c r="BU1346" s="4303"/>
      <c r="BV1346" s="4303"/>
      <c r="BW1346" s="4303"/>
      <c r="BX1346" s="4303"/>
      <c r="BY1346" s="4303"/>
      <c r="BZ1346" s="4303"/>
      <c r="CA1346" s="4303"/>
      <c r="CB1346" s="4303"/>
      <c r="CC1346" s="4303"/>
      <c r="CD1346" s="4303"/>
      <c r="CE1346" s="4303"/>
      <c r="CF1346" s="4303"/>
      <c r="CG1346" s="4303"/>
      <c r="CH1346" s="4303"/>
      <c r="CI1346" s="4303"/>
      <c r="CJ1346" s="4303"/>
      <c r="CK1346" s="4303"/>
      <c r="CL1346" s="4303"/>
      <c r="CM1346" s="4303"/>
      <c r="CN1346" s="4303"/>
      <c r="CO1346" s="4303"/>
      <c r="CP1346" s="4303"/>
      <c r="CQ1346" s="4303"/>
      <c r="CR1346" s="4303"/>
      <c r="CS1346" s="4303"/>
      <c r="CT1346" s="4303"/>
      <c r="CU1346" s="4303"/>
      <c r="CV1346" s="4303"/>
      <c r="CW1346" s="4303"/>
      <c r="CX1346" s="4303"/>
      <c r="CY1346" s="4303"/>
      <c r="CZ1346" s="4303"/>
      <c r="DA1346" s="4303"/>
      <c r="DB1346" s="4303"/>
      <c r="DC1346" s="4303"/>
      <c r="DD1346" s="4303"/>
      <c r="DE1346" s="4303"/>
      <c r="DF1346" s="4303"/>
      <c r="DG1346" s="4303"/>
      <c r="DH1346" s="4303"/>
      <c r="DI1346" s="4303"/>
      <c r="DJ1346" s="4303"/>
      <c r="DK1346" s="4303"/>
      <c r="DL1346" s="4303"/>
      <c r="DM1346" s="4303"/>
      <c r="DN1346" s="4303"/>
      <c r="DO1346" s="4303"/>
      <c r="DP1346" s="4303"/>
      <c r="DQ1346" s="4303"/>
      <c r="DR1346" s="4303"/>
      <c r="DS1346" s="4303"/>
      <c r="DT1346" s="4134"/>
      <c r="DU1346" s="4134"/>
    </row>
    <row r="1347" s="4133" customFormat="1" ht="15.75" hidden="1" spans="1:125">
      <c r="A1347" s="4397"/>
      <c r="B1347" s="4292"/>
      <c r="C1347" s="4292"/>
      <c r="D1347" s="4292"/>
      <c r="E1347" s="4292"/>
      <c r="F1347" s="4292"/>
      <c r="G1347" s="4292"/>
      <c r="H1347" s="4292"/>
      <c r="I1347" s="4292"/>
      <c r="J1347" s="4292"/>
      <c r="K1347" s="4292"/>
      <c r="L1347" s="4292"/>
      <c r="M1347" s="4292"/>
      <c r="N1347" s="4292"/>
      <c r="O1347" s="4292"/>
      <c r="P1347" s="4292"/>
      <c r="Q1347" s="4292"/>
      <c r="R1347" s="4292"/>
      <c r="S1347" s="4292"/>
      <c r="T1347" s="4292"/>
      <c r="U1347" s="4292"/>
      <c r="V1347" s="4292"/>
      <c r="W1347" s="4292"/>
      <c r="X1347" s="4292"/>
      <c r="Y1347" s="4292"/>
      <c r="Z1347" s="4292"/>
      <c r="AA1347" s="4292"/>
      <c r="AB1347" s="4292"/>
      <c r="AC1347" s="4292"/>
      <c r="AD1347" s="4292"/>
      <c r="AE1347" s="4292"/>
      <c r="AF1347" s="4292"/>
      <c r="AG1347" s="4292"/>
      <c r="AH1347" s="4292"/>
      <c r="AI1347" s="4292"/>
      <c r="AJ1347" s="4292"/>
      <c r="AK1347" s="4292"/>
      <c r="AL1347" s="4292"/>
      <c r="AM1347" s="4292"/>
      <c r="AN1347" s="4292"/>
      <c r="AO1347" s="4292"/>
      <c r="AP1347" s="4292"/>
      <c r="AQ1347" s="4292"/>
      <c r="AR1347" s="4292"/>
      <c r="AS1347" s="4292"/>
      <c r="AT1347" s="4292"/>
      <c r="AU1347" s="4292"/>
      <c r="AV1347" s="4292"/>
      <c r="AW1347" s="4292"/>
      <c r="AX1347" s="4292"/>
      <c r="AY1347" s="4292"/>
      <c r="AZ1347" s="4292"/>
      <c r="BA1347" s="4292"/>
      <c r="BB1347" s="4292"/>
      <c r="BC1347" s="4292"/>
      <c r="BD1347" s="4303"/>
      <c r="BE1347" s="4303"/>
      <c r="BF1347" s="4303"/>
      <c r="BG1347" s="4303"/>
      <c r="BH1347" s="4303"/>
      <c r="BI1347" s="4303"/>
      <c r="BJ1347" s="4303"/>
      <c r="BK1347" s="4303"/>
      <c r="BL1347" s="4303"/>
      <c r="BM1347" s="4303"/>
      <c r="BN1347" s="4303"/>
      <c r="BO1347" s="4303"/>
      <c r="BP1347" s="4303"/>
      <c r="BQ1347" s="4303"/>
      <c r="BR1347" s="4303"/>
      <c r="BS1347" s="4303"/>
      <c r="BT1347" s="4303"/>
      <c r="BU1347" s="4303"/>
      <c r="BV1347" s="4303"/>
      <c r="BW1347" s="4303"/>
      <c r="BX1347" s="4303"/>
      <c r="BY1347" s="4303"/>
      <c r="BZ1347" s="4303"/>
      <c r="CA1347" s="4303"/>
      <c r="CB1347" s="4303"/>
      <c r="CC1347" s="4303"/>
      <c r="CD1347" s="4303"/>
      <c r="CE1347" s="4303"/>
      <c r="CF1347" s="4303"/>
      <c r="CG1347" s="4303"/>
      <c r="CH1347" s="4303"/>
      <c r="CI1347" s="4303"/>
      <c r="CJ1347" s="4303"/>
      <c r="CK1347" s="4303"/>
      <c r="CL1347" s="4303"/>
      <c r="CM1347" s="4303"/>
      <c r="CN1347" s="4303"/>
      <c r="CO1347" s="4303"/>
      <c r="CP1347" s="4303"/>
      <c r="CQ1347" s="4303"/>
      <c r="CR1347" s="4303"/>
      <c r="CS1347" s="4303"/>
      <c r="CT1347" s="4303"/>
      <c r="CU1347" s="4303"/>
      <c r="CV1347" s="4303"/>
      <c r="CW1347" s="4303"/>
      <c r="CX1347" s="4303"/>
      <c r="CY1347" s="4303"/>
      <c r="CZ1347" s="4303"/>
      <c r="DA1347" s="4303"/>
      <c r="DB1347" s="4303"/>
      <c r="DC1347" s="4303"/>
      <c r="DD1347" s="4303"/>
      <c r="DE1347" s="4303"/>
      <c r="DF1347" s="4303"/>
      <c r="DG1347" s="4303"/>
      <c r="DH1347" s="4303"/>
      <c r="DI1347" s="4303"/>
      <c r="DJ1347" s="4303"/>
      <c r="DK1347" s="4303"/>
      <c r="DL1347" s="4303"/>
      <c r="DM1347" s="4303"/>
      <c r="DN1347" s="4303"/>
      <c r="DO1347" s="4303"/>
      <c r="DP1347" s="4303"/>
      <c r="DQ1347" s="4303"/>
      <c r="DR1347" s="4303"/>
      <c r="DS1347" s="4303"/>
      <c r="DT1347" s="4134"/>
      <c r="DU1347" s="4134"/>
    </row>
    <row r="1348" s="4133" customFormat="1" ht="15.75" hidden="1" spans="1:125">
      <c r="A1348" s="4397"/>
      <c r="B1348" s="4292"/>
      <c r="C1348" s="4292"/>
      <c r="D1348" s="4292"/>
      <c r="E1348" s="4292"/>
      <c r="F1348" s="4292"/>
      <c r="G1348" s="4292"/>
      <c r="H1348" s="4292"/>
      <c r="I1348" s="4292"/>
      <c r="J1348" s="4292"/>
      <c r="K1348" s="4292"/>
      <c r="L1348" s="4292"/>
      <c r="M1348" s="4292"/>
      <c r="N1348" s="4292"/>
      <c r="O1348" s="4292"/>
      <c r="P1348" s="4292"/>
      <c r="Q1348" s="4292"/>
      <c r="R1348" s="4292"/>
      <c r="S1348" s="4292"/>
      <c r="T1348" s="4292"/>
      <c r="U1348" s="4292"/>
      <c r="V1348" s="4292"/>
      <c r="W1348" s="4292"/>
      <c r="X1348" s="4292"/>
      <c r="Y1348" s="4292"/>
      <c r="Z1348" s="4292"/>
      <c r="AA1348" s="4292"/>
      <c r="AB1348" s="4292"/>
      <c r="AC1348" s="4292"/>
      <c r="AD1348" s="4292"/>
      <c r="AE1348" s="4292"/>
      <c r="AF1348" s="4292"/>
      <c r="AG1348" s="4292"/>
      <c r="AH1348" s="4292"/>
      <c r="AI1348" s="4292"/>
      <c r="AJ1348" s="4292"/>
      <c r="AK1348" s="4292"/>
      <c r="AL1348" s="4292"/>
      <c r="AM1348" s="4292"/>
      <c r="AN1348" s="4292"/>
      <c r="AO1348" s="4292"/>
      <c r="AP1348" s="4292"/>
      <c r="AQ1348" s="4292"/>
      <c r="AR1348" s="4292"/>
      <c r="AS1348" s="4292"/>
      <c r="AT1348" s="4292"/>
      <c r="AU1348" s="4292"/>
      <c r="AV1348" s="4292"/>
      <c r="AW1348" s="4292"/>
      <c r="AX1348" s="4292"/>
      <c r="AY1348" s="4292"/>
      <c r="AZ1348" s="4292"/>
      <c r="BA1348" s="4292"/>
      <c r="BB1348" s="4292"/>
      <c r="BC1348" s="4292"/>
      <c r="BD1348" s="4303"/>
      <c r="BE1348" s="4303"/>
      <c r="BF1348" s="4303"/>
      <c r="BG1348" s="4303"/>
      <c r="BH1348" s="4303"/>
      <c r="BI1348" s="4303"/>
      <c r="BJ1348" s="4303"/>
      <c r="BK1348" s="4303"/>
      <c r="BL1348" s="4303"/>
      <c r="BM1348" s="4303"/>
      <c r="BN1348" s="4303"/>
      <c r="BO1348" s="4303"/>
      <c r="BP1348" s="4303"/>
      <c r="BQ1348" s="4303"/>
      <c r="BR1348" s="4303"/>
      <c r="BS1348" s="4303"/>
      <c r="BT1348" s="4303"/>
      <c r="BU1348" s="4303"/>
      <c r="BV1348" s="4303"/>
      <c r="BW1348" s="4303"/>
      <c r="BX1348" s="4303"/>
      <c r="BY1348" s="4303"/>
      <c r="BZ1348" s="4303"/>
      <c r="CA1348" s="4303"/>
      <c r="CB1348" s="4303"/>
      <c r="CC1348" s="4303"/>
      <c r="CD1348" s="4303"/>
      <c r="CE1348" s="4303"/>
      <c r="CF1348" s="4303"/>
      <c r="CG1348" s="4303"/>
      <c r="CH1348" s="4303"/>
      <c r="CI1348" s="4303"/>
      <c r="CJ1348" s="4303"/>
      <c r="CK1348" s="4303"/>
      <c r="CL1348" s="4303"/>
      <c r="CM1348" s="4303"/>
      <c r="CN1348" s="4303"/>
      <c r="CO1348" s="4303"/>
      <c r="CP1348" s="4303"/>
      <c r="CQ1348" s="4303"/>
      <c r="CR1348" s="4303"/>
      <c r="CS1348" s="4303"/>
      <c r="CT1348" s="4303"/>
      <c r="CU1348" s="4303"/>
      <c r="CV1348" s="4303"/>
      <c r="CW1348" s="4303"/>
      <c r="CX1348" s="4303"/>
      <c r="CY1348" s="4303"/>
      <c r="CZ1348" s="4303"/>
      <c r="DA1348" s="4303"/>
      <c r="DB1348" s="4303"/>
      <c r="DC1348" s="4303"/>
      <c r="DD1348" s="4303"/>
      <c r="DE1348" s="4303"/>
      <c r="DF1348" s="4303"/>
      <c r="DG1348" s="4303"/>
      <c r="DH1348" s="4303"/>
      <c r="DI1348" s="4303"/>
      <c r="DJ1348" s="4303"/>
      <c r="DK1348" s="4303"/>
      <c r="DL1348" s="4303"/>
      <c r="DM1348" s="4303"/>
      <c r="DN1348" s="4303"/>
      <c r="DO1348" s="4303"/>
      <c r="DP1348" s="4303"/>
      <c r="DQ1348" s="4303"/>
      <c r="DR1348" s="4303"/>
      <c r="DS1348" s="4303"/>
      <c r="DT1348" s="4134"/>
      <c r="DU1348" s="4134"/>
    </row>
    <row r="1349" s="4133" customFormat="1" ht="15.75" hidden="1" spans="1:125">
      <c r="A1349" s="4397"/>
      <c r="B1349" s="4292"/>
      <c r="C1349" s="4292"/>
      <c r="D1349" s="4292"/>
      <c r="E1349" s="4292"/>
      <c r="F1349" s="4292"/>
      <c r="G1349" s="4292"/>
      <c r="H1349" s="4292"/>
      <c r="I1349" s="4292"/>
      <c r="J1349" s="4292"/>
      <c r="K1349" s="4292"/>
      <c r="L1349" s="4292"/>
      <c r="M1349" s="4292"/>
      <c r="N1349" s="4292"/>
      <c r="O1349" s="4292"/>
      <c r="P1349" s="4292"/>
      <c r="Q1349" s="4292"/>
      <c r="R1349" s="4292"/>
      <c r="S1349" s="4292"/>
      <c r="T1349" s="4292"/>
      <c r="U1349" s="4292"/>
      <c r="V1349" s="4292"/>
      <c r="W1349" s="4292"/>
      <c r="X1349" s="4292"/>
      <c r="Y1349" s="4292"/>
      <c r="Z1349" s="4292"/>
      <c r="AA1349" s="4292"/>
      <c r="AB1349" s="4292"/>
      <c r="AC1349" s="4292"/>
      <c r="AD1349" s="4292"/>
      <c r="AE1349" s="4292"/>
      <c r="AF1349" s="4292"/>
      <c r="AG1349" s="4292"/>
      <c r="AH1349" s="4292"/>
      <c r="AI1349" s="4292"/>
      <c r="AJ1349" s="4292"/>
      <c r="AK1349" s="4292"/>
      <c r="AL1349" s="4292"/>
      <c r="AM1349" s="4292"/>
      <c r="AN1349" s="4292"/>
      <c r="AO1349" s="4292"/>
      <c r="AP1349" s="4292"/>
      <c r="AQ1349" s="4292"/>
      <c r="AR1349" s="4292"/>
      <c r="AS1349" s="4292"/>
      <c r="AT1349" s="4292"/>
      <c r="AU1349" s="4292"/>
      <c r="AV1349" s="4292"/>
      <c r="AW1349" s="4292"/>
      <c r="AX1349" s="4292"/>
      <c r="AY1349" s="4292"/>
      <c r="AZ1349" s="4292"/>
      <c r="BA1349" s="4292"/>
      <c r="BB1349" s="4292"/>
      <c r="BC1349" s="4292"/>
      <c r="BD1349" s="4303"/>
      <c r="BE1349" s="4303"/>
      <c r="BF1349" s="4303"/>
      <c r="BG1349" s="4303"/>
      <c r="BH1349" s="4303"/>
      <c r="BI1349" s="4303"/>
      <c r="BJ1349" s="4303"/>
      <c r="BK1349" s="4303"/>
      <c r="BL1349" s="4303"/>
      <c r="BM1349" s="4303"/>
      <c r="BN1349" s="4303"/>
      <c r="BO1349" s="4303"/>
      <c r="BP1349" s="4303"/>
      <c r="BQ1349" s="4303"/>
      <c r="BR1349" s="4303"/>
      <c r="BS1349" s="4303"/>
      <c r="BT1349" s="4303"/>
      <c r="BU1349" s="4303"/>
      <c r="BV1349" s="4303"/>
      <c r="BW1349" s="4303"/>
      <c r="BX1349" s="4303"/>
      <c r="BY1349" s="4303"/>
      <c r="BZ1349" s="4303"/>
      <c r="CA1349" s="4303"/>
      <c r="CB1349" s="4303"/>
      <c r="CC1349" s="4303"/>
      <c r="CD1349" s="4303"/>
      <c r="CE1349" s="4303"/>
      <c r="CF1349" s="4303"/>
      <c r="CG1349" s="4303"/>
      <c r="CH1349" s="4303"/>
      <c r="CI1349" s="4303"/>
      <c r="CJ1349" s="4303"/>
      <c r="CK1349" s="4303"/>
      <c r="CL1349" s="4303"/>
      <c r="CM1349" s="4303"/>
      <c r="CN1349" s="4303"/>
      <c r="CO1349" s="4303"/>
      <c r="CP1349" s="4303"/>
      <c r="CQ1349" s="4303"/>
      <c r="CR1349" s="4303"/>
      <c r="CS1349" s="4303"/>
      <c r="CT1349" s="4303"/>
      <c r="CU1349" s="4303"/>
      <c r="CV1349" s="4303"/>
      <c r="CW1349" s="4303"/>
      <c r="CX1349" s="4303"/>
      <c r="CY1349" s="4303"/>
      <c r="CZ1349" s="4303"/>
      <c r="DA1349" s="4303"/>
      <c r="DB1349" s="4303"/>
      <c r="DC1349" s="4303"/>
      <c r="DD1349" s="4303"/>
      <c r="DE1349" s="4303"/>
      <c r="DF1349" s="4303"/>
      <c r="DG1349" s="4303"/>
      <c r="DH1349" s="4303"/>
      <c r="DI1349" s="4303"/>
      <c r="DJ1349" s="4303"/>
      <c r="DK1349" s="4303"/>
      <c r="DL1349" s="4303"/>
      <c r="DM1349" s="4303"/>
      <c r="DN1349" s="4303"/>
      <c r="DO1349" s="4303"/>
      <c r="DP1349" s="4303"/>
      <c r="DQ1349" s="4303"/>
      <c r="DR1349" s="4303"/>
      <c r="DS1349" s="4303"/>
      <c r="DT1349" s="4134"/>
      <c r="DU1349" s="4134"/>
    </row>
    <row r="1350" s="4133" customFormat="1" ht="15.75" hidden="1" spans="1:125">
      <c r="A1350" s="4397"/>
      <c r="B1350" s="4292"/>
      <c r="C1350" s="4292"/>
      <c r="D1350" s="4292"/>
      <c r="E1350" s="4292"/>
      <c r="F1350" s="4292"/>
      <c r="G1350" s="4292"/>
      <c r="H1350" s="4292"/>
      <c r="I1350" s="4292"/>
      <c r="J1350" s="4292"/>
      <c r="K1350" s="4292"/>
      <c r="L1350" s="4292"/>
      <c r="M1350" s="4292"/>
      <c r="N1350" s="4292"/>
      <c r="O1350" s="4292"/>
      <c r="P1350" s="4292"/>
      <c r="Q1350" s="4292"/>
      <c r="R1350" s="4292"/>
      <c r="S1350" s="4292"/>
      <c r="T1350" s="4292"/>
      <c r="U1350" s="4292"/>
      <c r="V1350" s="4292"/>
      <c r="W1350" s="4292"/>
      <c r="X1350" s="4292"/>
      <c r="Y1350" s="4292"/>
      <c r="Z1350" s="4292"/>
      <c r="AA1350" s="4292"/>
      <c r="AB1350" s="4292"/>
      <c r="AC1350" s="4292"/>
      <c r="AD1350" s="4292"/>
      <c r="AE1350" s="4292"/>
      <c r="AF1350" s="4292"/>
      <c r="AG1350" s="4292"/>
      <c r="AH1350" s="4292"/>
      <c r="AI1350" s="4292"/>
      <c r="AJ1350" s="4292"/>
      <c r="AK1350" s="4292"/>
      <c r="AL1350" s="4292"/>
      <c r="AM1350" s="4292"/>
      <c r="AN1350" s="4292"/>
      <c r="AO1350" s="4292"/>
      <c r="AP1350" s="4292"/>
      <c r="AQ1350" s="4292"/>
      <c r="AR1350" s="4292"/>
      <c r="AS1350" s="4292"/>
      <c r="AT1350" s="4292"/>
      <c r="AU1350" s="4292"/>
      <c r="AV1350" s="4292"/>
      <c r="AW1350" s="4292"/>
      <c r="AX1350" s="4292"/>
      <c r="AY1350" s="4292"/>
      <c r="AZ1350" s="4292"/>
      <c r="BA1350" s="4292"/>
      <c r="BB1350" s="4292"/>
      <c r="BC1350" s="4292"/>
      <c r="BD1350" s="4303"/>
      <c r="BE1350" s="4303"/>
      <c r="BF1350" s="4303"/>
      <c r="BG1350" s="4303"/>
      <c r="BH1350" s="4303"/>
      <c r="BI1350" s="4303"/>
      <c r="BJ1350" s="4303"/>
      <c r="BK1350" s="4303"/>
      <c r="BL1350" s="4303"/>
      <c r="BM1350" s="4303"/>
      <c r="BN1350" s="4303"/>
      <c r="BO1350" s="4303"/>
      <c r="BP1350" s="4303"/>
      <c r="BQ1350" s="4303"/>
      <c r="BR1350" s="4303"/>
      <c r="BS1350" s="4303"/>
      <c r="BT1350" s="4303"/>
      <c r="BU1350" s="4303"/>
      <c r="BV1350" s="4303"/>
      <c r="BW1350" s="4303"/>
      <c r="BX1350" s="4303"/>
      <c r="BY1350" s="4303"/>
      <c r="BZ1350" s="4303"/>
      <c r="CA1350" s="4303"/>
      <c r="CB1350" s="4303"/>
      <c r="CC1350" s="4303"/>
      <c r="CD1350" s="4303"/>
      <c r="CE1350" s="4303"/>
      <c r="CF1350" s="4303"/>
      <c r="CG1350" s="4303"/>
      <c r="CH1350" s="4303"/>
      <c r="CI1350" s="4303"/>
      <c r="CJ1350" s="4303"/>
      <c r="CK1350" s="4303"/>
      <c r="CL1350" s="4303"/>
      <c r="CM1350" s="4303"/>
      <c r="CN1350" s="4303"/>
      <c r="CO1350" s="4303"/>
      <c r="CP1350" s="4303"/>
      <c r="CQ1350" s="4303"/>
      <c r="CR1350" s="4303"/>
      <c r="CS1350" s="4303"/>
      <c r="CT1350" s="4303"/>
      <c r="CU1350" s="4303"/>
      <c r="CV1350" s="4303"/>
      <c r="CW1350" s="4303"/>
      <c r="CX1350" s="4303"/>
      <c r="CY1350" s="4303"/>
      <c r="CZ1350" s="4303"/>
      <c r="DA1350" s="4303"/>
      <c r="DB1350" s="4303"/>
      <c r="DC1350" s="4303"/>
      <c r="DD1350" s="4303"/>
      <c r="DE1350" s="4303"/>
      <c r="DF1350" s="4303"/>
      <c r="DG1350" s="4303"/>
      <c r="DH1350" s="4303"/>
      <c r="DI1350" s="4303"/>
      <c r="DJ1350" s="4303"/>
      <c r="DK1350" s="4303"/>
      <c r="DL1350" s="4303"/>
      <c r="DM1350" s="4303"/>
      <c r="DN1350" s="4303"/>
      <c r="DO1350" s="4303"/>
      <c r="DP1350" s="4303"/>
      <c r="DQ1350" s="4303"/>
      <c r="DR1350" s="4303"/>
      <c r="DS1350" s="4303"/>
      <c r="DT1350" s="4134"/>
      <c r="DU1350" s="4134"/>
    </row>
    <row r="1351" s="4133" customFormat="1" ht="15.75" hidden="1" spans="1:125">
      <c r="A1351" s="4397"/>
      <c r="B1351" s="4292"/>
      <c r="C1351" s="4292"/>
      <c r="D1351" s="4292"/>
      <c r="E1351" s="4292"/>
      <c r="F1351" s="4292"/>
      <c r="G1351" s="4292"/>
      <c r="H1351" s="4292"/>
      <c r="I1351" s="4292"/>
      <c r="J1351" s="4292"/>
      <c r="K1351" s="4292"/>
      <c r="L1351" s="4292"/>
      <c r="M1351" s="4292"/>
      <c r="N1351" s="4292"/>
      <c r="O1351" s="4292"/>
      <c r="P1351" s="4292"/>
      <c r="Q1351" s="4292"/>
      <c r="R1351" s="4292"/>
      <c r="S1351" s="4292"/>
      <c r="T1351" s="4292"/>
      <c r="U1351" s="4292"/>
      <c r="V1351" s="4292"/>
      <c r="W1351" s="4292"/>
      <c r="X1351" s="4292"/>
      <c r="Y1351" s="4292"/>
      <c r="Z1351" s="4292"/>
      <c r="AA1351" s="4292"/>
      <c r="AB1351" s="4292"/>
      <c r="AC1351" s="4292"/>
      <c r="AD1351" s="4292"/>
      <c r="AE1351" s="4292"/>
      <c r="AF1351" s="4292"/>
      <c r="AG1351" s="4292"/>
      <c r="AH1351" s="4292"/>
      <c r="AI1351" s="4292"/>
      <c r="AJ1351" s="4292"/>
      <c r="AK1351" s="4292"/>
      <c r="AL1351" s="4292"/>
      <c r="AM1351" s="4292"/>
      <c r="AN1351" s="4292"/>
      <c r="AO1351" s="4292"/>
      <c r="AP1351" s="4292"/>
      <c r="AQ1351" s="4292"/>
      <c r="AR1351" s="4292"/>
      <c r="AS1351" s="4292"/>
      <c r="AT1351" s="4292"/>
      <c r="AU1351" s="4292"/>
      <c r="AV1351" s="4292"/>
      <c r="AW1351" s="4292"/>
      <c r="AX1351" s="4292"/>
      <c r="AY1351" s="4292"/>
      <c r="AZ1351" s="4292"/>
      <c r="BA1351" s="4292"/>
      <c r="BB1351" s="4292"/>
      <c r="BC1351" s="4292"/>
      <c r="BD1351" s="4303"/>
      <c r="BE1351" s="4303"/>
      <c r="BF1351" s="4303"/>
      <c r="BG1351" s="4303"/>
      <c r="BH1351" s="4303"/>
      <c r="BI1351" s="4303"/>
      <c r="BJ1351" s="4303"/>
      <c r="BK1351" s="4303"/>
      <c r="BL1351" s="4303"/>
      <c r="BM1351" s="4303"/>
      <c r="BN1351" s="4303"/>
      <c r="BO1351" s="4303"/>
      <c r="BP1351" s="4303"/>
      <c r="BQ1351" s="4303"/>
      <c r="BR1351" s="4303"/>
      <c r="BS1351" s="4303"/>
      <c r="BT1351" s="4303"/>
      <c r="BU1351" s="4303"/>
      <c r="BV1351" s="4303"/>
      <c r="BW1351" s="4303"/>
      <c r="BX1351" s="4303"/>
      <c r="BY1351" s="4303"/>
      <c r="BZ1351" s="4303"/>
      <c r="CA1351" s="4303"/>
      <c r="CB1351" s="4303"/>
      <c r="CC1351" s="4303"/>
      <c r="CD1351" s="4303"/>
      <c r="CE1351" s="4303"/>
      <c r="CF1351" s="4303"/>
      <c r="CG1351" s="4303"/>
      <c r="CH1351" s="4303"/>
      <c r="CI1351" s="4303"/>
      <c r="CJ1351" s="4303"/>
      <c r="CK1351" s="4303"/>
      <c r="CL1351" s="4303"/>
      <c r="CM1351" s="4303"/>
      <c r="CN1351" s="4303"/>
      <c r="CO1351" s="4303"/>
      <c r="CP1351" s="4303"/>
      <c r="CQ1351" s="4303"/>
      <c r="CR1351" s="4303"/>
      <c r="CS1351" s="4303"/>
      <c r="CT1351" s="4303"/>
      <c r="CU1351" s="4303"/>
      <c r="CV1351" s="4303"/>
      <c r="CW1351" s="4303"/>
      <c r="CX1351" s="4303"/>
      <c r="CY1351" s="4303"/>
      <c r="CZ1351" s="4303"/>
      <c r="DA1351" s="4303"/>
      <c r="DB1351" s="4303"/>
      <c r="DC1351" s="4303"/>
      <c r="DD1351" s="4303"/>
      <c r="DE1351" s="4303"/>
      <c r="DF1351" s="4303"/>
      <c r="DG1351" s="4303"/>
      <c r="DH1351" s="4303"/>
      <c r="DI1351" s="4303"/>
      <c r="DJ1351" s="4303"/>
      <c r="DK1351" s="4303"/>
      <c r="DL1351" s="4303"/>
      <c r="DM1351" s="4303"/>
      <c r="DN1351" s="4303"/>
      <c r="DO1351" s="4303"/>
      <c r="DP1351" s="4303"/>
      <c r="DQ1351" s="4303"/>
      <c r="DR1351" s="4303"/>
      <c r="DS1351" s="4303"/>
      <c r="DT1351" s="4134"/>
      <c r="DU1351" s="4134"/>
    </row>
    <row r="1352" s="4133" customFormat="1" ht="15.75" hidden="1" spans="1:125">
      <c r="A1352" s="4397"/>
      <c r="B1352" s="4292"/>
      <c r="C1352" s="4292"/>
      <c r="D1352" s="4292"/>
      <c r="E1352" s="4292"/>
      <c r="F1352" s="4292"/>
      <c r="G1352" s="4292"/>
      <c r="H1352" s="4292"/>
      <c r="I1352" s="4292"/>
      <c r="J1352" s="4292"/>
      <c r="K1352" s="4292"/>
      <c r="L1352" s="4292"/>
      <c r="M1352" s="4292"/>
      <c r="N1352" s="4292"/>
      <c r="O1352" s="4292"/>
      <c r="P1352" s="4292"/>
      <c r="Q1352" s="4292"/>
      <c r="R1352" s="4292"/>
      <c r="S1352" s="4292"/>
      <c r="T1352" s="4292"/>
      <c r="U1352" s="4292"/>
      <c r="V1352" s="4292"/>
      <c r="W1352" s="4292"/>
      <c r="X1352" s="4292"/>
      <c r="Y1352" s="4292"/>
      <c r="Z1352" s="4292"/>
      <c r="AA1352" s="4292"/>
      <c r="AB1352" s="4292"/>
      <c r="AC1352" s="4292"/>
      <c r="AD1352" s="4292"/>
      <c r="AE1352" s="4292"/>
      <c r="AF1352" s="4292"/>
      <c r="AG1352" s="4292"/>
      <c r="AH1352" s="4292"/>
      <c r="AI1352" s="4292"/>
      <c r="AJ1352" s="4292"/>
      <c r="AK1352" s="4292"/>
      <c r="AL1352" s="4292"/>
      <c r="AM1352" s="4292"/>
      <c r="AN1352" s="4292"/>
      <c r="AO1352" s="4292"/>
      <c r="AP1352" s="4292"/>
      <c r="AQ1352" s="4292"/>
      <c r="AR1352" s="4292"/>
      <c r="AS1352" s="4292"/>
      <c r="AT1352" s="4292"/>
      <c r="AU1352" s="4292"/>
      <c r="AV1352" s="4292"/>
      <c r="AW1352" s="4292"/>
      <c r="AX1352" s="4292"/>
      <c r="AY1352" s="4292"/>
      <c r="AZ1352" s="4292"/>
      <c r="BA1352" s="4292"/>
      <c r="BB1352" s="4292"/>
      <c r="BC1352" s="4292"/>
      <c r="BD1352" s="4303"/>
      <c r="BE1352" s="4303"/>
      <c r="BF1352" s="4303"/>
      <c r="BG1352" s="4303"/>
      <c r="BH1352" s="4303"/>
      <c r="BI1352" s="4303"/>
      <c r="BJ1352" s="4303"/>
      <c r="BK1352" s="4303"/>
      <c r="BL1352" s="4303"/>
      <c r="BM1352" s="4303"/>
      <c r="BN1352" s="4303"/>
      <c r="BO1352" s="4303"/>
      <c r="BP1352" s="4303"/>
      <c r="BQ1352" s="4303"/>
      <c r="BR1352" s="4303"/>
      <c r="BS1352" s="4303"/>
      <c r="BT1352" s="4303"/>
      <c r="BU1352" s="4303"/>
      <c r="BV1352" s="4303"/>
      <c r="BW1352" s="4303"/>
      <c r="BX1352" s="4303"/>
      <c r="BY1352" s="4303"/>
      <c r="BZ1352" s="4303"/>
      <c r="CA1352" s="4303"/>
      <c r="CB1352" s="4303"/>
      <c r="CC1352" s="4303"/>
      <c r="CD1352" s="4303"/>
      <c r="CE1352" s="4303"/>
      <c r="CF1352" s="4303"/>
      <c r="CG1352" s="4303"/>
      <c r="CH1352" s="4303"/>
      <c r="CI1352" s="4303"/>
      <c r="CJ1352" s="4303"/>
      <c r="CK1352" s="4303"/>
      <c r="CL1352" s="4303"/>
      <c r="CM1352" s="4303"/>
      <c r="CN1352" s="4303"/>
      <c r="CO1352" s="4303"/>
      <c r="CP1352" s="4303"/>
      <c r="CQ1352" s="4303"/>
      <c r="CR1352" s="4303"/>
      <c r="CS1352" s="4303"/>
      <c r="CT1352" s="4303"/>
      <c r="CU1352" s="4303"/>
      <c r="CV1352" s="4303"/>
      <c r="CW1352" s="4303"/>
      <c r="CX1352" s="4303"/>
      <c r="CY1352" s="4303"/>
      <c r="CZ1352" s="4303"/>
      <c r="DA1352" s="4303"/>
      <c r="DB1352" s="4303"/>
      <c r="DC1352" s="4303"/>
      <c r="DD1352" s="4303"/>
      <c r="DE1352" s="4303"/>
      <c r="DF1352" s="4303"/>
      <c r="DG1352" s="4303"/>
      <c r="DH1352" s="4303"/>
      <c r="DI1352" s="4303"/>
      <c r="DJ1352" s="4303"/>
      <c r="DK1352" s="4303"/>
      <c r="DL1352" s="4303"/>
      <c r="DM1352" s="4303"/>
      <c r="DN1352" s="4303"/>
      <c r="DO1352" s="4303"/>
      <c r="DP1352" s="4303"/>
      <c r="DQ1352" s="4303"/>
      <c r="DR1352" s="4303"/>
      <c r="DS1352" s="4303"/>
      <c r="DT1352" s="4134"/>
      <c r="DU1352" s="4134"/>
    </row>
    <row r="1353" s="4133" customFormat="1" ht="15.75" hidden="1" spans="1:125">
      <c r="A1353" s="4397"/>
      <c r="B1353" s="4292"/>
      <c r="C1353" s="4292"/>
      <c r="D1353" s="4292"/>
      <c r="E1353" s="4292"/>
      <c r="F1353" s="4292"/>
      <c r="G1353" s="4292"/>
      <c r="H1353" s="4292"/>
      <c r="I1353" s="4292"/>
      <c r="J1353" s="4292"/>
      <c r="K1353" s="4292"/>
      <c r="L1353" s="4292"/>
      <c r="M1353" s="4292"/>
      <c r="N1353" s="4292"/>
      <c r="O1353" s="4292"/>
      <c r="P1353" s="4292"/>
      <c r="Q1353" s="4292"/>
      <c r="R1353" s="4292"/>
      <c r="S1353" s="4292"/>
      <c r="T1353" s="4292"/>
      <c r="U1353" s="4292"/>
      <c r="V1353" s="4292"/>
      <c r="W1353" s="4292"/>
      <c r="X1353" s="4292"/>
      <c r="Y1353" s="4292"/>
      <c r="Z1353" s="4292"/>
      <c r="AA1353" s="4292"/>
      <c r="AB1353" s="4292"/>
      <c r="AC1353" s="4292"/>
      <c r="AD1353" s="4292"/>
      <c r="AE1353" s="4292"/>
      <c r="AF1353" s="4292"/>
      <c r="AG1353" s="4292"/>
      <c r="AH1353" s="4292"/>
      <c r="AI1353" s="4292"/>
      <c r="AJ1353" s="4292"/>
      <c r="AK1353" s="4292"/>
      <c r="AL1353" s="4292"/>
      <c r="AM1353" s="4292"/>
      <c r="AN1353" s="4292"/>
      <c r="AO1353" s="4292"/>
      <c r="AP1353" s="4292"/>
      <c r="AQ1353" s="4292"/>
      <c r="AR1353" s="4292"/>
      <c r="AS1353" s="4292"/>
      <c r="AT1353" s="4292"/>
      <c r="AU1353" s="4292"/>
      <c r="AV1353" s="4292"/>
      <c r="AW1353" s="4292"/>
      <c r="AX1353" s="4292"/>
      <c r="AY1353" s="4292"/>
      <c r="AZ1353" s="4292"/>
      <c r="BA1353" s="4292"/>
      <c r="BB1353" s="4292"/>
      <c r="BC1353" s="4292"/>
      <c r="BD1353" s="4303"/>
      <c r="BE1353" s="4303"/>
      <c r="BF1353" s="4303"/>
      <c r="BG1353" s="4303"/>
      <c r="BH1353" s="4303"/>
      <c r="BI1353" s="4303"/>
      <c r="BJ1353" s="4303"/>
      <c r="BK1353" s="4303"/>
      <c r="BL1353" s="4303"/>
      <c r="BM1353" s="4303"/>
      <c r="BN1353" s="4303"/>
      <c r="BO1353" s="4303"/>
      <c r="BP1353" s="4303"/>
      <c r="BQ1353" s="4303"/>
      <c r="BR1353" s="4303"/>
      <c r="BS1353" s="4303"/>
      <c r="BT1353" s="4303"/>
      <c r="BU1353" s="4303"/>
      <c r="BV1353" s="4303"/>
      <c r="BW1353" s="4303"/>
      <c r="BX1353" s="4303"/>
      <c r="BY1353" s="4303"/>
      <c r="BZ1353" s="4303"/>
      <c r="CA1353" s="4303"/>
      <c r="CB1353" s="4303"/>
      <c r="CC1353" s="4303"/>
      <c r="CD1353" s="4303"/>
      <c r="CE1353" s="4303"/>
      <c r="CF1353" s="4303"/>
      <c r="CG1353" s="4303"/>
      <c r="CH1353" s="4303"/>
      <c r="CI1353" s="4303"/>
      <c r="CJ1353" s="4303"/>
      <c r="CK1353" s="4303"/>
      <c r="CL1353" s="4303"/>
      <c r="CM1353" s="4303"/>
      <c r="CN1353" s="4303"/>
      <c r="CO1353" s="4303"/>
      <c r="CP1353" s="4303"/>
      <c r="CQ1353" s="4303"/>
      <c r="CR1353" s="4303"/>
      <c r="CS1353" s="4303"/>
      <c r="CT1353" s="4303"/>
      <c r="CU1353" s="4303"/>
      <c r="CV1353" s="4303"/>
      <c r="CW1353" s="4303"/>
      <c r="CX1353" s="4303"/>
      <c r="CY1353" s="4303"/>
      <c r="CZ1353" s="4303"/>
      <c r="DA1353" s="4303"/>
      <c r="DB1353" s="4303"/>
      <c r="DC1353" s="4303"/>
      <c r="DD1353" s="4303"/>
      <c r="DE1353" s="4303"/>
      <c r="DF1353" s="4303"/>
      <c r="DG1353" s="4303"/>
      <c r="DH1353" s="4303"/>
      <c r="DI1353" s="4303"/>
      <c r="DJ1353" s="4303"/>
      <c r="DK1353" s="4303"/>
      <c r="DL1353" s="4303"/>
      <c r="DM1353" s="4303"/>
      <c r="DN1353" s="4303"/>
      <c r="DO1353" s="4303"/>
      <c r="DP1353" s="4303"/>
      <c r="DQ1353" s="4303"/>
      <c r="DR1353" s="4303"/>
      <c r="DS1353" s="4303"/>
      <c r="DT1353" s="4134"/>
      <c r="DU1353" s="4134"/>
    </row>
    <row r="1354" s="4133" customFormat="1" ht="15.75" hidden="1" spans="1:125">
      <c r="A1354" s="4397"/>
      <c r="B1354" s="4292"/>
      <c r="C1354" s="4292"/>
      <c r="D1354" s="4292"/>
      <c r="E1354" s="4292"/>
      <c r="F1354" s="4292"/>
      <c r="G1354" s="4292"/>
      <c r="H1354" s="4292"/>
      <c r="I1354" s="4292"/>
      <c r="J1354" s="4292"/>
      <c r="K1354" s="4292"/>
      <c r="L1354" s="4292"/>
      <c r="M1354" s="4292"/>
      <c r="N1354" s="4292"/>
      <c r="O1354" s="4292"/>
      <c r="P1354" s="4292"/>
      <c r="Q1354" s="4292"/>
      <c r="R1354" s="4292"/>
      <c r="S1354" s="4292"/>
      <c r="T1354" s="4292"/>
      <c r="U1354" s="4292"/>
      <c r="V1354" s="4292"/>
      <c r="W1354" s="4292"/>
      <c r="X1354" s="4292"/>
      <c r="Y1354" s="4292"/>
      <c r="Z1354" s="4292"/>
      <c r="AA1354" s="4292"/>
      <c r="AB1354" s="4292"/>
      <c r="AC1354" s="4292"/>
      <c r="AD1354" s="4292"/>
      <c r="AE1354" s="4292"/>
      <c r="AF1354" s="4292"/>
      <c r="AG1354" s="4292"/>
      <c r="AH1354" s="4292"/>
      <c r="AI1354" s="4292"/>
      <c r="AJ1354" s="4292"/>
      <c r="AK1354" s="4292"/>
      <c r="AL1354" s="4292"/>
      <c r="AM1354" s="4292"/>
      <c r="AN1354" s="4292"/>
      <c r="AO1354" s="4292"/>
      <c r="AP1354" s="4292"/>
      <c r="AQ1354" s="4292"/>
      <c r="AR1354" s="4292"/>
      <c r="AS1354" s="4292"/>
      <c r="AT1354" s="4292"/>
      <c r="AU1354" s="4292"/>
      <c r="AV1354" s="4292"/>
      <c r="AW1354" s="4292"/>
      <c r="AX1354" s="4292"/>
      <c r="AY1354" s="4292"/>
      <c r="AZ1354" s="4292"/>
      <c r="BA1354" s="4292"/>
      <c r="BB1354" s="4292"/>
      <c r="BC1354" s="4292"/>
      <c r="BD1354" s="4303"/>
      <c r="BE1354" s="4303"/>
      <c r="BF1354" s="4303"/>
      <c r="BG1354" s="4303"/>
      <c r="BH1354" s="4303"/>
      <c r="BI1354" s="4303"/>
      <c r="BJ1354" s="4303"/>
      <c r="BK1354" s="4303"/>
      <c r="BL1354" s="4303"/>
      <c r="BM1354" s="4303"/>
      <c r="BN1354" s="4303"/>
      <c r="BO1354" s="4303"/>
      <c r="BP1354" s="4303"/>
      <c r="BQ1354" s="4303"/>
      <c r="BR1354" s="4303"/>
      <c r="BS1354" s="4303"/>
      <c r="BT1354" s="4303"/>
      <c r="BU1354" s="4303"/>
      <c r="BV1354" s="4303"/>
      <c r="BW1354" s="4303"/>
      <c r="BX1354" s="4303"/>
      <c r="BY1354" s="4303"/>
      <c r="BZ1354" s="4303"/>
      <c r="CA1354" s="4303"/>
      <c r="CB1354" s="4303"/>
      <c r="CC1354" s="4303"/>
      <c r="CD1354" s="4303"/>
      <c r="CE1354" s="4303"/>
      <c r="CF1354" s="4303"/>
      <c r="CG1354" s="4303"/>
      <c r="CH1354" s="4303"/>
      <c r="CI1354" s="4303"/>
      <c r="CJ1354" s="4303"/>
      <c r="CK1354" s="4303"/>
      <c r="CL1354" s="4303"/>
      <c r="CM1354" s="4303"/>
      <c r="CN1354" s="4303"/>
      <c r="CO1354" s="4303"/>
      <c r="CP1354" s="4303"/>
      <c r="CQ1354" s="4303"/>
      <c r="CR1354" s="4303"/>
      <c r="CS1354" s="4303"/>
      <c r="CT1354" s="4303"/>
      <c r="CU1354" s="4303"/>
      <c r="CV1354" s="4303"/>
      <c r="CW1354" s="4303"/>
      <c r="CX1354" s="4303"/>
      <c r="CY1354" s="4303"/>
      <c r="CZ1354" s="4303"/>
      <c r="DA1354" s="4303"/>
      <c r="DB1354" s="4303"/>
      <c r="DC1354" s="4303"/>
      <c r="DD1354" s="4303"/>
      <c r="DE1354" s="4303"/>
      <c r="DF1354" s="4303"/>
      <c r="DG1354" s="4303"/>
      <c r="DH1354" s="4303"/>
      <c r="DI1354" s="4303"/>
      <c r="DJ1354" s="4303"/>
      <c r="DK1354" s="4303"/>
      <c r="DL1354" s="4303"/>
      <c r="DM1354" s="4303"/>
      <c r="DN1354" s="4303"/>
      <c r="DO1354" s="4303"/>
      <c r="DP1354" s="4303"/>
      <c r="DQ1354" s="4303"/>
      <c r="DR1354" s="4303"/>
      <c r="DS1354" s="4303"/>
      <c r="DT1354" s="4134"/>
      <c r="DU1354" s="4134"/>
    </row>
    <row r="1355" s="4133" customFormat="1" ht="15.75" hidden="1" spans="1:125">
      <c r="A1355" s="4397"/>
      <c r="B1355" s="4292"/>
      <c r="C1355" s="4292"/>
      <c r="D1355" s="4292"/>
      <c r="E1355" s="4292"/>
      <c r="F1355" s="4292"/>
      <c r="G1355" s="4292"/>
      <c r="H1355" s="4292"/>
      <c r="I1355" s="4292"/>
      <c r="J1355" s="4292"/>
      <c r="K1355" s="4292"/>
      <c r="L1355" s="4292"/>
      <c r="M1355" s="4292"/>
      <c r="N1355" s="4292"/>
      <c r="O1355" s="4292"/>
      <c r="P1355" s="4292"/>
      <c r="Q1355" s="4292"/>
      <c r="R1355" s="4292"/>
      <c r="S1355" s="4292"/>
      <c r="T1355" s="4292"/>
      <c r="U1355" s="4292"/>
      <c r="V1355" s="4292"/>
      <c r="W1355" s="4292"/>
      <c r="X1355" s="4292"/>
      <c r="Y1355" s="4292"/>
      <c r="Z1355" s="4292"/>
      <c r="AA1355" s="4292"/>
      <c r="AB1355" s="4292"/>
      <c r="AC1355" s="4292"/>
      <c r="AD1355" s="4292"/>
      <c r="AE1355" s="4292"/>
      <c r="AF1355" s="4292"/>
      <c r="AG1355" s="4292"/>
      <c r="AH1355" s="4292"/>
      <c r="AI1355" s="4292"/>
      <c r="AJ1355" s="4292"/>
      <c r="AK1355" s="4292"/>
      <c r="AL1355" s="4292"/>
      <c r="AM1355" s="4292"/>
      <c r="AN1355" s="4292"/>
      <c r="AO1355" s="4292"/>
      <c r="AP1355" s="4292"/>
      <c r="AQ1355" s="4292"/>
      <c r="AR1355" s="4292"/>
      <c r="AS1355" s="4292"/>
      <c r="AT1355" s="4292"/>
      <c r="AU1355" s="4292"/>
      <c r="AV1355" s="4292"/>
      <c r="AW1355" s="4292"/>
      <c r="AX1355" s="4292"/>
      <c r="AY1355" s="4292"/>
      <c r="AZ1355" s="4292"/>
      <c r="BA1355" s="4292"/>
      <c r="BB1355" s="4292"/>
      <c r="BC1355" s="4292"/>
      <c r="BD1355" s="4303"/>
      <c r="BE1355" s="4303"/>
      <c r="BF1355" s="4303"/>
      <c r="BG1355" s="4303"/>
      <c r="BH1355" s="4303"/>
      <c r="BI1355" s="4303"/>
      <c r="BJ1355" s="4303"/>
      <c r="BK1355" s="4303"/>
      <c r="BL1355" s="4303"/>
      <c r="BM1355" s="4303"/>
      <c r="BN1355" s="4303"/>
      <c r="BO1355" s="4303"/>
      <c r="BP1355" s="4303"/>
      <c r="BQ1355" s="4303"/>
      <c r="BR1355" s="4303"/>
      <c r="BS1355" s="4303"/>
      <c r="BT1355" s="4303"/>
      <c r="BU1355" s="4303"/>
      <c r="BV1355" s="4303"/>
      <c r="BW1355" s="4303"/>
      <c r="BX1355" s="4303"/>
      <c r="BY1355" s="4303"/>
      <c r="BZ1355" s="4303"/>
      <c r="CA1355" s="4303"/>
      <c r="CB1355" s="4303"/>
      <c r="CC1355" s="4303"/>
      <c r="CD1355" s="4303"/>
      <c r="CE1355" s="4303"/>
      <c r="CF1355" s="4303"/>
      <c r="CG1355" s="4303"/>
      <c r="CH1355" s="4303"/>
      <c r="CI1355" s="4303"/>
      <c r="CJ1355" s="4303"/>
      <c r="CK1355" s="4303"/>
      <c r="CL1355" s="4303"/>
      <c r="CM1355" s="4303"/>
      <c r="CN1355" s="4303"/>
      <c r="CO1355" s="4303"/>
      <c r="CP1355" s="4303"/>
      <c r="CQ1355" s="4303"/>
      <c r="CR1355" s="4303"/>
      <c r="CS1355" s="4303"/>
      <c r="CT1355" s="4303"/>
      <c r="CU1355" s="4303"/>
      <c r="CV1355" s="4303"/>
      <c r="CW1355" s="4303"/>
      <c r="CX1355" s="4303"/>
      <c r="CY1355" s="4303"/>
      <c r="CZ1355" s="4303"/>
      <c r="DA1355" s="4303"/>
      <c r="DB1355" s="4303"/>
      <c r="DC1355" s="4303"/>
      <c r="DD1355" s="4303"/>
      <c r="DE1355" s="4303"/>
      <c r="DF1355" s="4303"/>
      <c r="DG1355" s="4303"/>
      <c r="DH1355" s="4303"/>
      <c r="DI1355" s="4303"/>
      <c r="DJ1355" s="4303"/>
      <c r="DK1355" s="4303"/>
      <c r="DL1355" s="4303"/>
      <c r="DM1355" s="4303"/>
      <c r="DN1355" s="4303"/>
      <c r="DO1355" s="4303"/>
      <c r="DP1355" s="4303"/>
      <c r="DQ1355" s="4303"/>
      <c r="DR1355" s="4303"/>
      <c r="DS1355" s="4303"/>
      <c r="DT1355" s="4134"/>
      <c r="DU1355" s="4134"/>
    </row>
    <row r="1356" s="4133" customFormat="1" ht="15.75" hidden="1" spans="1:125">
      <c r="A1356" s="4397"/>
      <c r="B1356" s="4292"/>
      <c r="C1356" s="4292"/>
      <c r="D1356" s="4292"/>
      <c r="E1356" s="4292"/>
      <c r="F1356" s="4292"/>
      <c r="G1356" s="4292"/>
      <c r="H1356" s="4292"/>
      <c r="I1356" s="4292"/>
      <c r="J1356" s="4292"/>
      <c r="K1356" s="4292"/>
      <c r="L1356" s="4292"/>
      <c r="M1356" s="4292"/>
      <c r="N1356" s="4292"/>
      <c r="O1356" s="4292"/>
      <c r="P1356" s="4292"/>
      <c r="Q1356" s="4292"/>
      <c r="R1356" s="4292"/>
      <c r="S1356" s="4292"/>
      <c r="T1356" s="4292"/>
      <c r="U1356" s="4292"/>
      <c r="V1356" s="4292"/>
      <c r="W1356" s="4292"/>
      <c r="X1356" s="4292"/>
      <c r="Y1356" s="4292"/>
      <c r="Z1356" s="4292"/>
      <c r="AA1356" s="4292"/>
      <c r="AB1356" s="4292"/>
      <c r="AC1356" s="4292"/>
      <c r="AD1356" s="4292"/>
      <c r="AE1356" s="4292"/>
      <c r="AF1356" s="4292"/>
      <c r="AG1356" s="4292"/>
      <c r="AH1356" s="4292"/>
      <c r="AI1356" s="4292"/>
      <c r="AJ1356" s="4292"/>
      <c r="AK1356" s="4292"/>
      <c r="AL1356" s="4292"/>
      <c r="AM1356" s="4292"/>
      <c r="AN1356" s="4292"/>
      <c r="AO1356" s="4292"/>
      <c r="AP1356" s="4292"/>
      <c r="AQ1356" s="4292"/>
      <c r="AR1356" s="4292"/>
      <c r="AS1356" s="4292"/>
      <c r="AT1356" s="4292"/>
      <c r="AU1356" s="4292"/>
      <c r="AV1356" s="4292"/>
      <c r="AW1356" s="4292"/>
      <c r="AX1356" s="4292"/>
      <c r="AY1356" s="4292"/>
      <c r="AZ1356" s="4292"/>
      <c r="BA1356" s="4292"/>
      <c r="BB1356" s="4292"/>
      <c r="BC1356" s="4292"/>
      <c r="BD1356" s="4303"/>
      <c r="BE1356" s="4303"/>
      <c r="BF1356" s="4303"/>
      <c r="BG1356" s="4303"/>
      <c r="BH1356" s="4303"/>
      <c r="BI1356" s="4303"/>
      <c r="BJ1356" s="4303"/>
      <c r="BK1356" s="4303"/>
      <c r="BL1356" s="4303"/>
      <c r="BM1356" s="4303"/>
      <c r="BN1356" s="4303"/>
      <c r="BO1356" s="4303"/>
      <c r="BP1356" s="4303"/>
      <c r="BQ1356" s="4303"/>
      <c r="BR1356" s="4303"/>
      <c r="BS1356" s="4303"/>
      <c r="BT1356" s="4303"/>
      <c r="BU1356" s="4303"/>
      <c r="BV1356" s="4303"/>
      <c r="BW1356" s="4303"/>
      <c r="BX1356" s="4303"/>
      <c r="BY1356" s="4303"/>
      <c r="BZ1356" s="4303"/>
      <c r="CA1356" s="4303"/>
      <c r="CB1356" s="4303"/>
      <c r="CC1356" s="4303"/>
      <c r="CD1356" s="4303"/>
      <c r="CE1356" s="4303"/>
      <c r="CF1356" s="4303"/>
      <c r="CG1356" s="4303"/>
      <c r="CH1356" s="4303"/>
      <c r="CI1356" s="4303"/>
      <c r="CJ1356" s="4303"/>
      <c r="CK1356" s="4303"/>
      <c r="CL1356" s="4303"/>
      <c r="CM1356" s="4303"/>
      <c r="CN1356" s="4303"/>
      <c r="CO1356" s="4303"/>
      <c r="CP1356" s="4303"/>
      <c r="CQ1356" s="4303"/>
      <c r="CR1356" s="4303"/>
      <c r="CS1356" s="4303"/>
      <c r="CT1356" s="4303"/>
      <c r="CU1356" s="4303"/>
      <c r="CV1356" s="4303"/>
      <c r="CW1356" s="4303"/>
      <c r="CX1356" s="4303"/>
      <c r="CY1356" s="4303"/>
      <c r="CZ1356" s="4303"/>
      <c r="DA1356" s="4303"/>
      <c r="DB1356" s="4303"/>
      <c r="DC1356" s="4303"/>
      <c r="DD1356" s="4303"/>
      <c r="DE1356" s="4303"/>
      <c r="DF1356" s="4303"/>
      <c r="DG1356" s="4303"/>
      <c r="DH1356" s="4303"/>
      <c r="DI1356" s="4303"/>
      <c r="DJ1356" s="4303"/>
      <c r="DK1356" s="4303"/>
      <c r="DL1356" s="4303"/>
      <c r="DM1356" s="4303"/>
      <c r="DN1356" s="4303"/>
      <c r="DO1356" s="4303"/>
      <c r="DP1356" s="4303"/>
      <c r="DQ1356" s="4303"/>
      <c r="DR1356" s="4303"/>
      <c r="DS1356" s="4303"/>
      <c r="DT1356" s="4134"/>
      <c r="DU1356" s="4134"/>
    </row>
    <row r="1357" s="4133" customFormat="1" ht="15.75" hidden="1" spans="1:125">
      <c r="A1357" s="4397"/>
      <c r="B1357" s="4292"/>
      <c r="C1357" s="4292"/>
      <c r="D1357" s="4292"/>
      <c r="E1357" s="4292"/>
      <c r="F1357" s="4292"/>
      <c r="G1357" s="4292"/>
      <c r="H1357" s="4292"/>
      <c r="I1357" s="4292"/>
      <c r="J1357" s="4292"/>
      <c r="K1357" s="4292"/>
      <c r="L1357" s="4292"/>
      <c r="M1357" s="4292"/>
      <c r="N1357" s="4292"/>
      <c r="O1357" s="4292"/>
      <c r="P1357" s="4292"/>
      <c r="Q1357" s="4292"/>
      <c r="R1357" s="4292"/>
      <c r="S1357" s="4292"/>
      <c r="T1357" s="4292"/>
      <c r="U1357" s="4292"/>
      <c r="V1357" s="4292"/>
      <c r="W1357" s="4292"/>
      <c r="X1357" s="4292"/>
      <c r="Y1357" s="4292"/>
      <c r="Z1357" s="4292"/>
      <c r="AA1357" s="4292"/>
      <c r="AB1357" s="4292"/>
      <c r="AC1357" s="4292"/>
      <c r="AD1357" s="4292"/>
      <c r="AE1357" s="4292"/>
      <c r="AF1357" s="4292"/>
      <c r="AG1357" s="4292"/>
      <c r="AH1357" s="4292"/>
      <c r="AI1357" s="4292"/>
      <c r="AJ1357" s="4292"/>
      <c r="AK1357" s="4292"/>
      <c r="AL1357" s="4292"/>
      <c r="AM1357" s="4292"/>
      <c r="AN1357" s="4292"/>
      <c r="AO1357" s="4292"/>
      <c r="AP1357" s="4292"/>
      <c r="AQ1357" s="4292"/>
      <c r="AR1357" s="4292"/>
      <c r="AS1357" s="4292"/>
      <c r="AT1357" s="4292"/>
      <c r="AU1357" s="4292"/>
      <c r="AV1357" s="4292"/>
      <c r="AW1357" s="4292"/>
      <c r="AX1357" s="4292"/>
      <c r="AY1357" s="4292"/>
      <c r="AZ1357" s="4292"/>
      <c r="BA1357" s="4292"/>
      <c r="BB1357" s="4292"/>
      <c r="BC1357" s="4292"/>
      <c r="BD1357" s="4303"/>
      <c r="BE1357" s="4303"/>
      <c r="BF1357" s="4303"/>
      <c r="BG1357" s="4303"/>
      <c r="BH1357" s="4303"/>
      <c r="BI1357" s="4303"/>
      <c r="BJ1357" s="4303"/>
      <c r="BK1357" s="4303"/>
      <c r="BL1357" s="4303"/>
      <c r="BM1357" s="4303"/>
      <c r="BN1357" s="4303"/>
      <c r="BO1357" s="4303"/>
      <c r="BP1357" s="4303"/>
      <c r="BQ1357" s="4303"/>
      <c r="BR1357" s="4303"/>
      <c r="BS1357" s="4303"/>
      <c r="BT1357" s="4303"/>
      <c r="BU1357" s="4303"/>
      <c r="BV1357" s="4303"/>
      <c r="BW1357" s="4303"/>
      <c r="BX1357" s="4303"/>
      <c r="BY1357" s="4303"/>
      <c r="BZ1357" s="4303"/>
      <c r="CA1357" s="4303"/>
      <c r="CB1357" s="4303"/>
      <c r="CC1357" s="4303"/>
      <c r="CD1357" s="4303"/>
      <c r="CE1357" s="4303"/>
      <c r="CF1357" s="4303"/>
      <c r="CG1357" s="4303"/>
      <c r="CH1357" s="4303"/>
      <c r="CI1357" s="4303"/>
      <c r="CJ1357" s="4303"/>
      <c r="CK1357" s="4303"/>
      <c r="CL1357" s="4303"/>
      <c r="CM1357" s="4303"/>
      <c r="CN1357" s="4303"/>
      <c r="CO1357" s="4303"/>
      <c r="CP1357" s="4303"/>
      <c r="CQ1357" s="4303"/>
      <c r="CR1357" s="4303"/>
      <c r="CS1357" s="4303"/>
      <c r="CT1357" s="4303"/>
      <c r="CU1357" s="4303"/>
      <c r="CV1357" s="4303"/>
      <c r="CW1357" s="4303"/>
      <c r="CX1357" s="4303"/>
      <c r="CY1357" s="4303"/>
      <c r="CZ1357" s="4303"/>
      <c r="DA1357" s="4303"/>
      <c r="DB1357" s="4303"/>
      <c r="DC1357" s="4303"/>
      <c r="DD1357" s="4303"/>
      <c r="DE1357" s="4303"/>
      <c r="DF1357" s="4303"/>
      <c r="DG1357" s="4303"/>
      <c r="DH1357" s="4303"/>
      <c r="DI1357" s="4303"/>
      <c r="DJ1357" s="4303"/>
      <c r="DK1357" s="4303"/>
      <c r="DL1357" s="4303"/>
      <c r="DM1357" s="4303"/>
      <c r="DN1357" s="4303"/>
      <c r="DO1357" s="4303"/>
      <c r="DP1357" s="4303"/>
      <c r="DQ1357" s="4303"/>
      <c r="DR1357" s="4303"/>
      <c r="DS1357" s="4303"/>
      <c r="DT1357" s="4134"/>
      <c r="DU1357" s="4134"/>
    </row>
    <row r="1358" s="4133" customFormat="1" ht="15.75" hidden="1" spans="1:125">
      <c r="A1358" s="4397"/>
      <c r="B1358" s="4292"/>
      <c r="C1358" s="4292"/>
      <c r="D1358" s="4292"/>
      <c r="E1358" s="4292"/>
      <c r="F1358" s="4292"/>
      <c r="G1358" s="4292"/>
      <c r="H1358" s="4292"/>
      <c r="I1358" s="4292"/>
      <c r="J1358" s="4292"/>
      <c r="K1358" s="4292"/>
      <c r="L1358" s="4292"/>
      <c r="M1358" s="4292"/>
      <c r="N1358" s="4292"/>
      <c r="O1358" s="4292"/>
      <c r="P1358" s="4292"/>
      <c r="Q1358" s="4292"/>
      <c r="R1358" s="4292"/>
      <c r="S1358" s="4292"/>
      <c r="T1358" s="4292"/>
      <c r="U1358" s="4292"/>
      <c r="V1358" s="4292"/>
      <c r="W1358" s="4292"/>
      <c r="X1358" s="4292"/>
      <c r="Y1358" s="4292"/>
      <c r="Z1358" s="4292"/>
      <c r="AA1358" s="4292"/>
      <c r="AB1358" s="4292"/>
      <c r="AC1358" s="4292"/>
      <c r="AD1358" s="4292"/>
      <c r="AE1358" s="4292"/>
      <c r="AF1358" s="4292"/>
      <c r="AG1358" s="4292"/>
      <c r="AH1358" s="4292"/>
      <c r="AI1358" s="4292"/>
      <c r="AJ1358" s="4292"/>
      <c r="AK1358" s="4292"/>
      <c r="AL1358" s="4292"/>
      <c r="AM1358" s="4292"/>
      <c r="AN1358" s="4292"/>
      <c r="AO1358" s="4292"/>
      <c r="AP1358" s="4292"/>
      <c r="AQ1358" s="4292"/>
      <c r="AR1358" s="4292"/>
      <c r="AS1358" s="4292"/>
      <c r="AT1358" s="4292"/>
      <c r="AU1358" s="4292"/>
      <c r="AV1358" s="4292"/>
      <c r="AW1358" s="4292"/>
      <c r="AX1358" s="4292"/>
      <c r="AY1358" s="4292"/>
      <c r="AZ1358" s="4292"/>
      <c r="BA1358" s="4292"/>
      <c r="BB1358" s="4292"/>
      <c r="BC1358" s="4292"/>
      <c r="BD1358" s="4303"/>
      <c r="BE1358" s="4303"/>
      <c r="BF1358" s="4303"/>
      <c r="BG1358" s="4303"/>
      <c r="BH1358" s="4303"/>
      <c r="BI1358" s="4303"/>
      <c r="BJ1358" s="4303"/>
      <c r="BK1358" s="4303"/>
      <c r="BL1358" s="4303"/>
      <c r="BM1358" s="4303"/>
      <c r="BN1358" s="4303"/>
      <c r="BO1358" s="4303"/>
      <c r="BP1358" s="4303"/>
      <c r="BQ1358" s="4303"/>
      <c r="BR1358" s="4303"/>
      <c r="BS1358" s="4303"/>
      <c r="BT1358" s="4303"/>
      <c r="BU1358" s="4303"/>
      <c r="BV1358" s="4303"/>
      <c r="BW1358" s="4303"/>
      <c r="BX1358" s="4303"/>
      <c r="BY1358" s="4303"/>
      <c r="BZ1358" s="4303"/>
      <c r="CA1358" s="4303"/>
      <c r="CB1358" s="4303"/>
      <c r="CC1358" s="4303"/>
      <c r="CD1358" s="4303"/>
      <c r="CE1358" s="4303"/>
      <c r="CF1358" s="4303"/>
      <c r="CG1358" s="4303"/>
      <c r="CH1358" s="4303"/>
      <c r="CI1358" s="4303"/>
      <c r="CJ1358" s="4303"/>
      <c r="CK1358" s="4303"/>
      <c r="CL1358" s="4303"/>
      <c r="CM1358" s="4303"/>
      <c r="CN1358" s="4303"/>
      <c r="CO1358" s="4303"/>
      <c r="CP1358" s="4303"/>
      <c r="CQ1358" s="4303"/>
      <c r="CR1358" s="4303"/>
      <c r="CS1358" s="4303"/>
      <c r="CT1358" s="4303"/>
      <c r="CU1358" s="4303"/>
      <c r="CV1358" s="4303"/>
      <c r="CW1358" s="4303"/>
      <c r="CX1358" s="4303"/>
      <c r="CY1358" s="4303"/>
      <c r="CZ1358" s="4303"/>
      <c r="DA1358" s="4303"/>
      <c r="DB1358" s="4303"/>
      <c r="DC1358" s="4303"/>
      <c r="DD1358" s="4303"/>
      <c r="DE1358" s="4303"/>
      <c r="DF1358" s="4303"/>
      <c r="DG1358" s="4303"/>
      <c r="DH1358" s="4303"/>
      <c r="DI1358" s="4303"/>
      <c r="DJ1358" s="4303"/>
      <c r="DK1358" s="4303"/>
      <c r="DL1358" s="4303"/>
      <c r="DM1358" s="4303"/>
      <c r="DN1358" s="4303"/>
      <c r="DO1358" s="4303"/>
      <c r="DP1358" s="4303"/>
      <c r="DQ1358" s="4303"/>
      <c r="DR1358" s="4303"/>
      <c r="DS1358" s="4303"/>
      <c r="DT1358" s="4134"/>
      <c r="DU1358" s="4134"/>
    </row>
    <row r="1359" s="4133" customFormat="1" ht="15.75" hidden="1" spans="1:125">
      <c r="A1359" s="4397"/>
      <c r="B1359" s="4292"/>
      <c r="C1359" s="4292"/>
      <c r="D1359" s="4292"/>
      <c r="E1359" s="4292"/>
      <c r="F1359" s="4292"/>
      <c r="G1359" s="4292"/>
      <c r="H1359" s="4292"/>
      <c r="I1359" s="4292"/>
      <c r="J1359" s="4292"/>
      <c r="K1359" s="4292"/>
      <c r="L1359" s="4292"/>
      <c r="M1359" s="4292"/>
      <c r="N1359" s="4292"/>
      <c r="O1359" s="4292"/>
      <c r="P1359" s="4292"/>
      <c r="Q1359" s="4292"/>
      <c r="R1359" s="4292"/>
      <c r="S1359" s="4292"/>
      <c r="T1359" s="4292"/>
      <c r="U1359" s="4292"/>
      <c r="V1359" s="4292"/>
      <c r="W1359" s="4292"/>
      <c r="X1359" s="4292"/>
      <c r="Y1359" s="4292"/>
      <c r="Z1359" s="4292"/>
      <c r="AA1359" s="4292"/>
      <c r="AB1359" s="4292"/>
      <c r="AC1359" s="4292"/>
      <c r="AD1359" s="4292"/>
      <c r="AE1359" s="4292"/>
      <c r="AF1359" s="4292"/>
      <c r="AG1359" s="4292"/>
      <c r="AH1359" s="4292"/>
      <c r="AI1359" s="4292"/>
      <c r="AJ1359" s="4292"/>
      <c r="AK1359" s="4292"/>
      <c r="AL1359" s="4292"/>
      <c r="AM1359" s="4292"/>
      <c r="AN1359" s="4292"/>
      <c r="AO1359" s="4292"/>
      <c r="AP1359" s="4292"/>
      <c r="AQ1359" s="4292"/>
      <c r="AR1359" s="4292"/>
      <c r="AS1359" s="4292"/>
      <c r="AT1359" s="4292"/>
      <c r="AU1359" s="4292"/>
      <c r="AV1359" s="4292"/>
      <c r="AW1359" s="4292"/>
      <c r="AX1359" s="4292"/>
      <c r="AY1359" s="4292"/>
      <c r="AZ1359" s="4292"/>
      <c r="BA1359" s="4292"/>
      <c r="BB1359" s="4292"/>
      <c r="BC1359" s="4292"/>
      <c r="BD1359" s="4303"/>
      <c r="BE1359" s="4303"/>
      <c r="BF1359" s="4303"/>
      <c r="BG1359" s="4303"/>
      <c r="BH1359" s="4303"/>
      <c r="BI1359" s="4303"/>
      <c r="BJ1359" s="4303"/>
      <c r="BK1359" s="4303"/>
      <c r="BL1359" s="4303"/>
      <c r="BM1359" s="4303"/>
      <c r="BN1359" s="4303"/>
      <c r="BO1359" s="4303"/>
      <c r="BP1359" s="4303"/>
      <c r="BQ1359" s="4303"/>
      <c r="BR1359" s="4303"/>
      <c r="BS1359" s="4303"/>
      <c r="BT1359" s="4303"/>
      <c r="BU1359" s="4303"/>
      <c r="BV1359" s="4303"/>
      <c r="BW1359" s="4303"/>
      <c r="BX1359" s="4303"/>
      <c r="BY1359" s="4303"/>
      <c r="BZ1359" s="4303"/>
      <c r="CA1359" s="4303"/>
      <c r="CB1359" s="4303"/>
      <c r="CC1359" s="4303"/>
      <c r="CD1359" s="4303"/>
      <c r="CE1359" s="4303"/>
      <c r="CF1359" s="4303"/>
      <c r="CG1359" s="4303"/>
      <c r="CH1359" s="4303"/>
      <c r="CI1359" s="4303"/>
      <c r="CJ1359" s="4303"/>
      <c r="CK1359" s="4303"/>
      <c r="CL1359" s="4303"/>
      <c r="CM1359" s="4303"/>
      <c r="CN1359" s="4303"/>
      <c r="CO1359" s="4303"/>
      <c r="CP1359" s="4303"/>
      <c r="CQ1359" s="4303"/>
      <c r="CR1359" s="4303"/>
      <c r="CS1359" s="4303"/>
      <c r="CT1359" s="4303"/>
      <c r="CU1359" s="4303"/>
      <c r="CV1359" s="4303"/>
      <c r="CW1359" s="4303"/>
      <c r="CX1359" s="4303"/>
      <c r="CY1359" s="4303"/>
      <c r="CZ1359" s="4303"/>
      <c r="DA1359" s="4303"/>
      <c r="DB1359" s="4303"/>
      <c r="DC1359" s="4303"/>
      <c r="DD1359" s="4303"/>
      <c r="DE1359" s="4303"/>
      <c r="DF1359" s="4303"/>
      <c r="DG1359" s="4303"/>
      <c r="DH1359" s="4303"/>
      <c r="DI1359" s="4303"/>
      <c r="DJ1359" s="4303"/>
      <c r="DK1359" s="4303"/>
      <c r="DL1359" s="4303"/>
      <c r="DM1359" s="4303"/>
      <c r="DN1359" s="4303"/>
      <c r="DO1359" s="4303"/>
      <c r="DP1359" s="4303"/>
      <c r="DQ1359" s="4303"/>
      <c r="DR1359" s="4303"/>
      <c r="DS1359" s="4303"/>
      <c r="DT1359" s="4134"/>
      <c r="DU1359" s="4134"/>
    </row>
    <row r="1360" s="4133" customFormat="1" ht="15.75" hidden="1" spans="1:125">
      <c r="A1360" s="4397"/>
      <c r="B1360" s="4292"/>
      <c r="C1360" s="4292"/>
      <c r="D1360" s="4292"/>
      <c r="E1360" s="4292"/>
      <c r="F1360" s="4292"/>
      <c r="G1360" s="4292"/>
      <c r="H1360" s="4292"/>
      <c r="I1360" s="4292"/>
      <c r="J1360" s="4292"/>
      <c r="K1360" s="4292"/>
      <c r="L1360" s="4292"/>
      <c r="M1360" s="4292"/>
      <c r="N1360" s="4292"/>
      <c r="O1360" s="4292"/>
      <c r="P1360" s="4292"/>
      <c r="Q1360" s="4292"/>
      <c r="R1360" s="4292"/>
      <c r="S1360" s="4292"/>
      <c r="T1360" s="4292"/>
      <c r="U1360" s="4292"/>
      <c r="V1360" s="4292"/>
      <c r="W1360" s="4292"/>
      <c r="X1360" s="4292"/>
      <c r="Y1360" s="4292"/>
      <c r="Z1360" s="4292"/>
      <c r="AA1360" s="4292"/>
      <c r="AB1360" s="4292"/>
      <c r="AC1360" s="4292"/>
      <c r="AD1360" s="4292"/>
      <c r="AE1360" s="4292"/>
      <c r="AF1360" s="4292"/>
      <c r="AG1360" s="4292"/>
      <c r="AH1360" s="4292"/>
      <c r="AI1360" s="4292"/>
      <c r="AJ1360" s="4292"/>
      <c r="AK1360" s="4292"/>
      <c r="AL1360" s="4292"/>
      <c r="AM1360" s="4292"/>
      <c r="AN1360" s="4292"/>
      <c r="AO1360" s="4292"/>
      <c r="AP1360" s="4292"/>
      <c r="AQ1360" s="4292"/>
      <c r="AR1360" s="4292"/>
      <c r="AS1360" s="4292"/>
      <c r="AT1360" s="4292"/>
      <c r="AU1360" s="4292"/>
      <c r="AV1360" s="4292"/>
      <c r="AW1360" s="4292"/>
      <c r="AX1360" s="4292"/>
      <c r="AY1360" s="4292"/>
      <c r="AZ1360" s="4292"/>
      <c r="BA1360" s="4292"/>
      <c r="BB1360" s="4292"/>
      <c r="BC1360" s="4292"/>
      <c r="BD1360" s="4303"/>
      <c r="BE1360" s="4303"/>
      <c r="BF1360" s="4303"/>
      <c r="BG1360" s="4303"/>
      <c r="BH1360" s="4303"/>
      <c r="BI1360" s="4303"/>
      <c r="BJ1360" s="4303"/>
      <c r="BK1360" s="4303"/>
      <c r="BL1360" s="4303"/>
      <c r="BM1360" s="4303"/>
      <c r="BN1360" s="4303"/>
      <c r="BO1360" s="4303"/>
      <c r="BP1360" s="4303"/>
      <c r="BQ1360" s="4303"/>
      <c r="BR1360" s="4303"/>
      <c r="BS1360" s="4303"/>
      <c r="BT1360" s="4303"/>
      <c r="BU1360" s="4303"/>
      <c r="BV1360" s="4303"/>
      <c r="BW1360" s="4303"/>
      <c r="BX1360" s="4303"/>
      <c r="BY1360" s="4303"/>
      <c r="BZ1360" s="4303"/>
      <c r="CA1360" s="4303"/>
      <c r="CB1360" s="4303"/>
      <c r="CC1360" s="4303"/>
      <c r="CD1360" s="4303"/>
      <c r="CE1360" s="4303"/>
      <c r="CF1360" s="4303"/>
      <c r="CG1360" s="4303"/>
      <c r="CH1360" s="4303"/>
      <c r="CI1360" s="4303"/>
      <c r="CJ1360" s="4303"/>
      <c r="CK1360" s="4303"/>
      <c r="CL1360" s="4303"/>
      <c r="CM1360" s="4303"/>
      <c r="CN1360" s="4303"/>
      <c r="CO1360" s="4303"/>
      <c r="CP1360" s="4303"/>
      <c r="CQ1360" s="4303"/>
      <c r="CR1360" s="4303"/>
      <c r="CS1360" s="4303"/>
      <c r="CT1360" s="4303"/>
      <c r="CU1360" s="4303"/>
      <c r="CV1360" s="4303"/>
      <c r="CW1360" s="4303"/>
      <c r="CX1360" s="4303"/>
      <c r="CY1360" s="4303"/>
      <c r="CZ1360" s="4303"/>
      <c r="DA1360" s="4303"/>
      <c r="DB1360" s="4303"/>
      <c r="DC1360" s="4303"/>
      <c r="DD1360" s="4303"/>
      <c r="DE1360" s="4303"/>
      <c r="DF1360" s="4303"/>
      <c r="DG1360" s="4303"/>
      <c r="DH1360" s="4303"/>
      <c r="DI1360" s="4303"/>
      <c r="DJ1360" s="4303"/>
      <c r="DK1360" s="4303"/>
      <c r="DL1360" s="4303"/>
      <c r="DM1360" s="4303"/>
      <c r="DN1360" s="4303"/>
      <c r="DO1360" s="4303"/>
      <c r="DP1360" s="4303"/>
      <c r="DQ1360" s="4303"/>
      <c r="DR1360" s="4303"/>
      <c r="DS1360" s="4303"/>
      <c r="DT1360" s="4134"/>
      <c r="DU1360" s="4134"/>
    </row>
    <row r="1361" s="4133" customFormat="1" ht="15.75" hidden="1" spans="1:125">
      <c r="A1361" s="4397"/>
      <c r="B1361" s="4292"/>
      <c r="C1361" s="4292"/>
      <c r="D1361" s="4292"/>
      <c r="E1361" s="4292"/>
      <c r="F1361" s="4292"/>
      <c r="G1361" s="4292"/>
      <c r="H1361" s="4292"/>
      <c r="I1361" s="4292"/>
      <c r="J1361" s="4292"/>
      <c r="K1361" s="4292"/>
      <c r="L1361" s="4292"/>
      <c r="M1361" s="4292"/>
      <c r="N1361" s="4292"/>
      <c r="O1361" s="4292"/>
      <c r="P1361" s="4292"/>
      <c r="Q1361" s="4292"/>
      <c r="R1361" s="4292"/>
      <c r="S1361" s="4292"/>
      <c r="T1361" s="4292"/>
      <c r="U1361" s="4292"/>
      <c r="V1361" s="4292"/>
      <c r="W1361" s="4292"/>
      <c r="X1361" s="4292"/>
      <c r="Y1361" s="4292"/>
      <c r="Z1361" s="4292"/>
      <c r="AA1361" s="4292"/>
      <c r="AB1361" s="4292"/>
      <c r="AC1361" s="4292"/>
      <c r="AD1361" s="4292"/>
      <c r="AE1361" s="4292"/>
      <c r="AF1361" s="4292"/>
      <c r="AG1361" s="4292"/>
      <c r="AH1361" s="4292"/>
      <c r="AI1361" s="4292"/>
      <c r="AJ1361" s="4292"/>
      <c r="AK1361" s="4292"/>
      <c r="AL1361" s="4292"/>
      <c r="AM1361" s="4292"/>
      <c r="AN1361" s="4292"/>
      <c r="AO1361" s="4292"/>
      <c r="AP1361" s="4292"/>
      <c r="AQ1361" s="4292"/>
      <c r="AR1361" s="4292"/>
      <c r="AS1361" s="4292"/>
      <c r="AT1361" s="4292"/>
      <c r="AU1361" s="4292"/>
      <c r="AV1361" s="4292"/>
      <c r="AW1361" s="4292"/>
      <c r="AX1361" s="4292"/>
      <c r="AY1361" s="4292"/>
      <c r="AZ1361" s="4292"/>
      <c r="BA1361" s="4292"/>
      <c r="BB1361" s="4292"/>
      <c r="BC1361" s="4292"/>
      <c r="BD1361" s="4303"/>
      <c r="BE1361" s="4303"/>
      <c r="BF1361" s="4303"/>
      <c r="BG1361" s="4303"/>
      <c r="BH1361" s="4303"/>
      <c r="BI1361" s="4303"/>
      <c r="BJ1361" s="4303"/>
      <c r="BK1361" s="4303"/>
      <c r="BL1361" s="4303"/>
      <c r="BM1361" s="4303"/>
      <c r="BN1361" s="4303"/>
      <c r="BO1361" s="4303"/>
      <c r="BP1361" s="4303"/>
      <c r="BQ1361" s="4303"/>
      <c r="BR1361" s="4303"/>
      <c r="BS1361" s="4303"/>
      <c r="BT1361" s="4303"/>
      <c r="BU1361" s="4303"/>
      <c r="BV1361" s="4303"/>
      <c r="BW1361" s="4303"/>
      <c r="BX1361" s="4303"/>
      <c r="BY1361" s="4303"/>
      <c r="BZ1361" s="4303"/>
      <c r="CA1361" s="4303"/>
      <c r="CB1361" s="4303"/>
      <c r="CC1361" s="4303"/>
      <c r="CD1361" s="4303"/>
      <c r="CE1361" s="4303"/>
      <c r="CF1361" s="4303"/>
      <c r="CG1361" s="4303"/>
      <c r="CH1361" s="4303"/>
      <c r="CI1361" s="4303"/>
      <c r="CJ1361" s="4303"/>
      <c r="CK1361" s="4303"/>
      <c r="CL1361" s="4303"/>
      <c r="CM1361" s="4303"/>
      <c r="CN1361" s="4303"/>
      <c r="CO1361" s="4303"/>
      <c r="CP1361" s="4303"/>
      <c r="CQ1361" s="4303"/>
      <c r="CR1361" s="4303"/>
      <c r="CS1361" s="4303"/>
      <c r="CT1361" s="4303"/>
      <c r="CU1361" s="4303"/>
      <c r="CV1361" s="4303"/>
      <c r="CW1361" s="4303"/>
      <c r="CX1361" s="4303"/>
      <c r="CY1361" s="4303"/>
      <c r="CZ1361" s="4303"/>
      <c r="DA1361" s="4303"/>
      <c r="DB1361" s="4303"/>
      <c r="DC1361" s="4303"/>
      <c r="DD1361" s="4303"/>
      <c r="DE1361" s="4303"/>
      <c r="DF1361" s="4303"/>
      <c r="DG1361" s="4303"/>
      <c r="DH1361" s="4303"/>
      <c r="DI1361" s="4303"/>
      <c r="DJ1361" s="4303"/>
      <c r="DK1361" s="4303"/>
      <c r="DL1361" s="4303"/>
      <c r="DM1361" s="4303"/>
      <c r="DN1361" s="4303"/>
      <c r="DO1361" s="4303"/>
      <c r="DP1361" s="4303"/>
      <c r="DQ1361" s="4303"/>
      <c r="DR1361" s="4303"/>
      <c r="DS1361" s="4303"/>
      <c r="DT1361" s="4134"/>
      <c r="DU1361" s="4134"/>
    </row>
    <row r="1362" s="4133" customFormat="1" ht="15.75" hidden="1" spans="1:125">
      <c r="A1362" s="4397"/>
      <c r="B1362" s="4292"/>
      <c r="C1362" s="4292"/>
      <c r="D1362" s="4292"/>
      <c r="E1362" s="4292"/>
      <c r="F1362" s="4292"/>
      <c r="G1362" s="4292"/>
      <c r="H1362" s="4292"/>
      <c r="I1362" s="4292"/>
      <c r="J1362" s="4292"/>
      <c r="K1362" s="4292"/>
      <c r="L1362" s="4292"/>
      <c r="M1362" s="4292"/>
      <c r="N1362" s="4292"/>
      <c r="O1362" s="4292"/>
      <c r="P1362" s="4292"/>
      <c r="Q1362" s="4292"/>
      <c r="R1362" s="4292"/>
      <c r="S1362" s="4292"/>
      <c r="T1362" s="4292"/>
      <c r="U1362" s="4292"/>
      <c r="V1362" s="4292"/>
      <c r="W1362" s="4292"/>
      <c r="X1362" s="4292"/>
      <c r="Y1362" s="4292"/>
      <c r="Z1362" s="4292"/>
      <c r="AA1362" s="4292"/>
      <c r="AB1362" s="4292"/>
      <c r="AC1362" s="4292"/>
      <c r="AD1362" s="4292"/>
      <c r="AE1362" s="4292"/>
      <c r="AF1362" s="4292"/>
      <c r="AG1362" s="4292"/>
      <c r="AH1362" s="4292"/>
      <c r="AI1362" s="4292"/>
      <c r="AJ1362" s="4292"/>
      <c r="AK1362" s="4292"/>
      <c r="AL1362" s="4292"/>
      <c r="AM1362" s="4292"/>
      <c r="AN1362" s="4292"/>
      <c r="AO1362" s="4292"/>
      <c r="AP1362" s="4292"/>
      <c r="AQ1362" s="4292"/>
      <c r="AR1362" s="4292"/>
      <c r="AS1362" s="4292"/>
      <c r="AT1362" s="4292"/>
      <c r="AU1362" s="4292"/>
      <c r="AV1362" s="4292"/>
      <c r="AW1362" s="4292"/>
      <c r="AX1362" s="4292"/>
      <c r="AY1362" s="4292"/>
      <c r="AZ1362" s="4292"/>
      <c r="BA1362" s="4292"/>
      <c r="BB1362" s="4292"/>
      <c r="BC1362" s="4292"/>
      <c r="BD1362" s="4303"/>
      <c r="BE1362" s="4303"/>
      <c r="BF1362" s="4303"/>
      <c r="BG1362" s="4303"/>
      <c r="BH1362" s="4303"/>
      <c r="BI1362" s="4303"/>
      <c r="BJ1362" s="4303"/>
      <c r="BK1362" s="4303"/>
      <c r="BL1362" s="4303"/>
      <c r="BM1362" s="4303"/>
      <c r="BN1362" s="4303"/>
      <c r="BO1362" s="4303"/>
      <c r="BP1362" s="4303"/>
      <c r="BQ1362" s="4303"/>
      <c r="BR1362" s="4303"/>
      <c r="BS1362" s="4303"/>
      <c r="BT1362" s="4303"/>
      <c r="BU1362" s="4303"/>
      <c r="BV1362" s="4303"/>
      <c r="BW1362" s="4303"/>
      <c r="BX1362" s="4303"/>
      <c r="BY1362" s="4303"/>
      <c r="BZ1362" s="4303"/>
      <c r="CA1362" s="4303"/>
      <c r="CB1362" s="4303"/>
      <c r="CC1362" s="4303"/>
      <c r="CD1362" s="4303"/>
      <c r="CE1362" s="4303"/>
      <c r="CF1362" s="4303"/>
      <c r="CG1362" s="4303"/>
      <c r="CH1362" s="4303"/>
      <c r="CI1362" s="4303"/>
      <c r="CJ1362" s="4303"/>
      <c r="CK1362" s="4303"/>
      <c r="CL1362" s="4303"/>
      <c r="CM1362" s="4303"/>
      <c r="CN1362" s="4303"/>
      <c r="CO1362" s="4303"/>
      <c r="CP1362" s="4303"/>
      <c r="CQ1362" s="4303"/>
      <c r="CR1362" s="4303"/>
      <c r="CS1362" s="4303"/>
      <c r="CT1362" s="4303"/>
      <c r="CU1362" s="4303"/>
      <c r="CV1362" s="4303"/>
      <c r="CW1362" s="4303"/>
      <c r="CX1362" s="4303"/>
      <c r="CY1362" s="4303"/>
      <c r="CZ1362" s="4303"/>
      <c r="DA1362" s="4303"/>
      <c r="DB1362" s="4303"/>
      <c r="DC1362" s="4303"/>
      <c r="DD1362" s="4303"/>
      <c r="DE1362" s="4303"/>
      <c r="DF1362" s="4303"/>
      <c r="DG1362" s="4303"/>
      <c r="DH1362" s="4303"/>
      <c r="DI1362" s="4303"/>
      <c r="DJ1362" s="4303"/>
      <c r="DK1362" s="4303"/>
      <c r="DL1362" s="4303"/>
      <c r="DM1362" s="4303"/>
      <c r="DN1362" s="4303"/>
      <c r="DO1362" s="4303"/>
      <c r="DP1362" s="4303"/>
      <c r="DQ1362" s="4303"/>
      <c r="DR1362" s="4303"/>
      <c r="DS1362" s="4303"/>
      <c r="DT1362" s="4134"/>
      <c r="DU1362" s="4134"/>
    </row>
    <row r="1363" s="4133" customFormat="1" ht="15.75" hidden="1" spans="1:125">
      <c r="A1363" s="4397"/>
      <c r="B1363" s="4292"/>
      <c r="C1363" s="4292"/>
      <c r="D1363" s="4292"/>
      <c r="E1363" s="4292"/>
      <c r="F1363" s="4292"/>
      <c r="G1363" s="4292"/>
      <c r="H1363" s="4292"/>
      <c r="I1363" s="4292"/>
      <c r="J1363" s="4292"/>
      <c r="K1363" s="4292"/>
      <c r="L1363" s="4292"/>
      <c r="M1363" s="4292"/>
      <c r="N1363" s="4292"/>
      <c r="O1363" s="4292"/>
      <c r="P1363" s="4292"/>
      <c r="Q1363" s="4292"/>
      <c r="R1363" s="4292"/>
      <c r="S1363" s="4292"/>
      <c r="T1363" s="4292"/>
      <c r="U1363" s="4292"/>
      <c r="V1363" s="4292"/>
      <c r="W1363" s="4292"/>
      <c r="X1363" s="4292"/>
      <c r="Y1363" s="4292"/>
      <c r="Z1363" s="4292"/>
      <c r="AA1363" s="4292"/>
      <c r="AB1363" s="4292"/>
      <c r="AC1363" s="4292"/>
      <c r="AD1363" s="4292"/>
      <c r="AE1363" s="4292"/>
      <c r="AF1363" s="4292"/>
      <c r="AG1363" s="4292"/>
      <c r="AH1363" s="4292"/>
      <c r="AI1363" s="4292"/>
      <c r="AJ1363" s="4292"/>
      <c r="AK1363" s="4292"/>
      <c r="AL1363" s="4292"/>
      <c r="AM1363" s="4292"/>
      <c r="AN1363" s="4292"/>
      <c r="AO1363" s="4292"/>
      <c r="AP1363" s="4292"/>
      <c r="AQ1363" s="4292"/>
      <c r="AR1363" s="4292"/>
      <c r="AS1363" s="4292"/>
      <c r="AT1363" s="4292"/>
      <c r="AU1363" s="4292"/>
      <c r="AV1363" s="4292"/>
      <c r="AW1363" s="4292"/>
      <c r="AX1363" s="4292"/>
      <c r="AY1363" s="4292"/>
      <c r="AZ1363" s="4292"/>
      <c r="BA1363" s="4292"/>
      <c r="BB1363" s="4292"/>
      <c r="BC1363" s="4292"/>
      <c r="BD1363" s="4303"/>
      <c r="BE1363" s="4303"/>
      <c r="BF1363" s="4303"/>
      <c r="BG1363" s="4303"/>
      <c r="BH1363" s="4303"/>
      <c r="BI1363" s="4303"/>
      <c r="BJ1363" s="4303"/>
      <c r="BK1363" s="4303"/>
      <c r="BL1363" s="4303"/>
      <c r="BM1363" s="4303"/>
      <c r="BN1363" s="4303"/>
      <c r="BO1363" s="4303"/>
      <c r="BP1363" s="4303"/>
      <c r="BQ1363" s="4303"/>
      <c r="BR1363" s="4303"/>
      <c r="BS1363" s="4303"/>
      <c r="BT1363" s="4303"/>
      <c r="BU1363" s="4303"/>
      <c r="BV1363" s="4303"/>
      <c r="BW1363" s="4303"/>
      <c r="BX1363" s="4303"/>
      <c r="BY1363" s="4303"/>
      <c r="BZ1363" s="4303"/>
      <c r="CA1363" s="4303"/>
      <c r="CB1363" s="4303"/>
      <c r="CC1363" s="4303"/>
      <c r="CD1363" s="4303"/>
      <c r="CE1363" s="4303"/>
      <c r="CF1363" s="4303"/>
      <c r="CG1363" s="4303"/>
      <c r="CH1363" s="4303"/>
      <c r="CI1363" s="4303"/>
      <c r="CJ1363" s="4303"/>
      <c r="CK1363" s="4303"/>
      <c r="CL1363" s="4303"/>
      <c r="CM1363" s="4303"/>
      <c r="CN1363" s="4303"/>
      <c r="CO1363" s="4303"/>
      <c r="CP1363" s="4303"/>
      <c r="CQ1363" s="4303"/>
      <c r="CR1363" s="4303"/>
      <c r="CS1363" s="4303"/>
      <c r="CT1363" s="4303"/>
      <c r="CU1363" s="4303"/>
      <c r="CV1363" s="4303"/>
      <c r="CW1363" s="4303"/>
      <c r="CX1363" s="4303"/>
      <c r="CY1363" s="4303"/>
      <c r="CZ1363" s="4303"/>
      <c r="DA1363" s="4303"/>
      <c r="DB1363" s="4303"/>
      <c r="DC1363" s="4303"/>
      <c r="DD1363" s="4303"/>
      <c r="DE1363" s="4303"/>
      <c r="DF1363" s="4303"/>
      <c r="DG1363" s="4303"/>
      <c r="DH1363" s="4303"/>
      <c r="DI1363" s="4303"/>
      <c r="DJ1363" s="4303"/>
      <c r="DK1363" s="4303"/>
      <c r="DL1363" s="4303"/>
      <c r="DM1363" s="4303"/>
      <c r="DN1363" s="4303"/>
      <c r="DO1363" s="4303"/>
      <c r="DP1363" s="4303"/>
      <c r="DQ1363" s="4303"/>
      <c r="DR1363" s="4303"/>
      <c r="DS1363" s="4303"/>
      <c r="DT1363" s="4134"/>
      <c r="DU1363" s="4134"/>
    </row>
    <row r="1364" s="4133" customFormat="1" ht="15.75" hidden="1" spans="1:125">
      <c r="A1364" s="4397"/>
      <c r="B1364" s="4292"/>
      <c r="C1364" s="4292"/>
      <c r="D1364" s="4292"/>
      <c r="E1364" s="4292"/>
      <c r="F1364" s="4292"/>
      <c r="G1364" s="4292"/>
      <c r="H1364" s="4292"/>
      <c r="I1364" s="4292"/>
      <c r="J1364" s="4292"/>
      <c r="K1364" s="4292"/>
      <c r="L1364" s="4292"/>
      <c r="M1364" s="4292"/>
      <c r="N1364" s="4292"/>
      <c r="O1364" s="4292"/>
      <c r="P1364" s="4292"/>
      <c r="Q1364" s="4292"/>
      <c r="R1364" s="4292"/>
      <c r="S1364" s="4292"/>
      <c r="T1364" s="4292"/>
      <c r="U1364" s="4292"/>
      <c r="V1364" s="4292"/>
      <c r="W1364" s="4292"/>
      <c r="X1364" s="4292"/>
      <c r="Y1364" s="4292"/>
      <c r="Z1364" s="4292"/>
      <c r="AA1364" s="4292"/>
      <c r="AB1364" s="4292"/>
      <c r="AC1364" s="4292"/>
      <c r="AD1364" s="4292"/>
      <c r="AE1364" s="4292"/>
      <c r="AF1364" s="4292"/>
      <c r="AG1364" s="4292"/>
      <c r="AH1364" s="4292"/>
      <c r="AI1364" s="4292"/>
      <c r="AJ1364" s="4292"/>
      <c r="AK1364" s="4292"/>
      <c r="AL1364" s="4292"/>
      <c r="AM1364" s="4292"/>
      <c r="AN1364" s="4292"/>
      <c r="AO1364" s="4292"/>
      <c r="AP1364" s="4292"/>
      <c r="AQ1364" s="4292"/>
      <c r="AR1364" s="4292"/>
      <c r="AS1364" s="4292"/>
      <c r="AT1364" s="4292"/>
      <c r="AU1364" s="4292"/>
      <c r="AV1364" s="4292"/>
      <c r="AW1364" s="4292"/>
      <c r="AX1364" s="4292"/>
      <c r="AY1364" s="4292"/>
      <c r="AZ1364" s="4292"/>
      <c r="BA1364" s="4292"/>
      <c r="BB1364" s="4292"/>
      <c r="BC1364" s="4292"/>
      <c r="BD1364" s="4303"/>
      <c r="BE1364" s="4303"/>
      <c r="BF1364" s="4303"/>
      <c r="BG1364" s="4303"/>
      <c r="BH1364" s="4303"/>
      <c r="BI1364" s="4303"/>
      <c r="BJ1364" s="4303"/>
      <c r="BK1364" s="4303"/>
      <c r="BL1364" s="4303"/>
      <c r="BM1364" s="4303"/>
      <c r="BN1364" s="4303"/>
      <c r="BO1364" s="4303"/>
      <c r="BP1364" s="4303"/>
      <c r="BQ1364" s="4303"/>
      <c r="BR1364" s="4303"/>
      <c r="BS1364" s="4303"/>
      <c r="BT1364" s="4303"/>
      <c r="BU1364" s="4303"/>
      <c r="BV1364" s="4303"/>
      <c r="BW1364" s="4303"/>
      <c r="BX1364" s="4303"/>
      <c r="BY1364" s="4303"/>
      <c r="BZ1364" s="4303"/>
      <c r="CA1364" s="4303"/>
      <c r="CB1364" s="4303"/>
      <c r="CC1364" s="4303"/>
      <c r="CD1364" s="4303"/>
      <c r="CE1364" s="4303"/>
      <c r="CF1364" s="4303"/>
      <c r="CG1364" s="4303"/>
      <c r="CH1364" s="4303"/>
      <c r="CI1364" s="4303"/>
      <c r="CJ1364" s="4303"/>
      <c r="CK1364" s="4303"/>
      <c r="CL1364" s="4303"/>
      <c r="CM1364" s="4303"/>
      <c r="CN1364" s="4303"/>
      <c r="CO1364" s="4303"/>
      <c r="CP1364" s="4303"/>
      <c r="CQ1364" s="4303"/>
      <c r="CR1364" s="4303"/>
      <c r="CS1364" s="4303"/>
      <c r="CT1364" s="4303"/>
      <c r="CU1364" s="4303"/>
      <c r="CV1364" s="4303"/>
      <c r="CW1364" s="4303"/>
      <c r="CX1364" s="4303"/>
      <c r="CY1364" s="4303"/>
      <c r="CZ1364" s="4303"/>
      <c r="DA1364" s="4303"/>
      <c r="DB1364" s="4303"/>
      <c r="DC1364" s="4303"/>
      <c r="DD1364" s="4303"/>
      <c r="DE1364" s="4303"/>
      <c r="DF1364" s="4303"/>
      <c r="DG1364" s="4303"/>
      <c r="DH1364" s="4303"/>
      <c r="DI1364" s="4303"/>
      <c r="DJ1364" s="4303"/>
      <c r="DK1364" s="4303"/>
      <c r="DL1364" s="4303"/>
      <c r="DM1364" s="4303"/>
      <c r="DN1364" s="4303"/>
      <c r="DO1364" s="4303"/>
      <c r="DP1364" s="4303"/>
      <c r="DQ1364" s="4303"/>
      <c r="DR1364" s="4303"/>
      <c r="DS1364" s="4303"/>
      <c r="DT1364" s="4134"/>
      <c r="DU1364" s="4134"/>
    </row>
    <row r="1365" s="4133" customFormat="1" ht="15.75" hidden="1" spans="1:125">
      <c r="A1365" s="4397"/>
      <c r="B1365" s="4292"/>
      <c r="C1365" s="4292"/>
      <c r="D1365" s="4292"/>
      <c r="E1365" s="4292"/>
      <c r="F1365" s="4292"/>
      <c r="G1365" s="4292"/>
      <c r="H1365" s="4292"/>
      <c r="I1365" s="4292"/>
      <c r="J1365" s="4292"/>
      <c r="K1365" s="4292"/>
      <c r="L1365" s="4292"/>
      <c r="M1365" s="4292"/>
      <c r="N1365" s="4292"/>
      <c r="O1365" s="4292"/>
      <c r="P1365" s="4292"/>
      <c r="Q1365" s="4292"/>
      <c r="R1365" s="4292"/>
      <c r="S1365" s="4292"/>
      <c r="T1365" s="4292"/>
      <c r="U1365" s="4292"/>
      <c r="V1365" s="4292"/>
      <c r="W1365" s="4292"/>
      <c r="X1365" s="4292"/>
      <c r="Y1365" s="4292"/>
      <c r="Z1365" s="4292"/>
      <c r="AA1365" s="4292"/>
      <c r="AB1365" s="4292"/>
      <c r="AC1365" s="4292"/>
      <c r="AD1365" s="4292"/>
      <c r="AE1365" s="4292"/>
      <c r="AF1365" s="4292"/>
      <c r="AG1365" s="4292"/>
      <c r="AH1365" s="4292"/>
      <c r="AI1365" s="4292"/>
      <c r="AJ1365" s="4292"/>
      <c r="AK1365" s="4292"/>
      <c r="AL1365" s="4292"/>
      <c r="AM1365" s="4292"/>
      <c r="AN1365" s="4292"/>
      <c r="AO1365" s="4292"/>
      <c r="AP1365" s="4292"/>
      <c r="AQ1365" s="4292"/>
      <c r="AR1365" s="4292"/>
      <c r="AS1365" s="4292"/>
      <c r="AT1365" s="4292"/>
      <c r="AU1365" s="4292"/>
      <c r="AV1365" s="4292"/>
      <c r="AW1365" s="4292"/>
      <c r="AX1365" s="4292"/>
      <c r="AY1365" s="4292"/>
      <c r="AZ1365" s="4292"/>
      <c r="BA1365" s="4292"/>
      <c r="BB1365" s="4292"/>
      <c r="BC1365" s="4292"/>
      <c r="BD1365" s="4303"/>
      <c r="BE1365" s="4303"/>
      <c r="BF1365" s="4303"/>
      <c r="BG1365" s="4303"/>
      <c r="BH1365" s="4303"/>
      <c r="BI1365" s="4303"/>
      <c r="BJ1365" s="4303"/>
      <c r="BK1365" s="4303"/>
      <c r="BL1365" s="4303"/>
      <c r="BM1365" s="4303"/>
      <c r="BN1365" s="4303"/>
      <c r="BO1365" s="4303"/>
      <c r="BP1365" s="4303"/>
      <c r="BQ1365" s="4303"/>
      <c r="BR1365" s="4303"/>
      <c r="BS1365" s="4303"/>
      <c r="BT1365" s="4303"/>
      <c r="BU1365" s="4303"/>
      <c r="BV1365" s="4303"/>
      <c r="BW1365" s="4303"/>
      <c r="BX1365" s="4303"/>
      <c r="BY1365" s="4303"/>
      <c r="BZ1365" s="4303"/>
      <c r="CA1365" s="4303"/>
      <c r="CB1365" s="4303"/>
      <c r="CC1365" s="4303"/>
      <c r="CD1365" s="4303"/>
      <c r="CE1365" s="4303"/>
      <c r="CF1365" s="4303"/>
      <c r="CG1365" s="4303"/>
      <c r="CH1365" s="4303"/>
      <c r="CI1365" s="4303"/>
      <c r="CJ1365" s="4303"/>
      <c r="CK1365" s="4303"/>
      <c r="CL1365" s="4303"/>
      <c r="CM1365" s="4303"/>
      <c r="CN1365" s="4303"/>
      <c r="CO1365" s="4303"/>
      <c r="CP1365" s="4303"/>
      <c r="CQ1365" s="4303"/>
      <c r="CR1365" s="4303"/>
      <c r="CS1365" s="4303"/>
      <c r="CT1365" s="4303"/>
      <c r="CU1365" s="4303"/>
      <c r="CV1365" s="4303"/>
      <c r="CW1365" s="4303"/>
      <c r="CX1365" s="4303"/>
      <c r="CY1365" s="4303"/>
      <c r="CZ1365" s="4303"/>
      <c r="DA1365" s="4303"/>
      <c r="DB1365" s="4303"/>
      <c r="DC1365" s="4303"/>
      <c r="DD1365" s="4303"/>
      <c r="DE1365" s="4303"/>
      <c r="DF1365" s="4303"/>
      <c r="DG1365" s="4303"/>
      <c r="DH1365" s="4303"/>
      <c r="DI1365" s="4303"/>
      <c r="DJ1365" s="4303"/>
      <c r="DK1365" s="4303"/>
      <c r="DL1365" s="4303"/>
      <c r="DM1365" s="4303"/>
      <c r="DN1365" s="4303"/>
      <c r="DO1365" s="4303"/>
      <c r="DP1365" s="4303"/>
      <c r="DQ1365" s="4303"/>
      <c r="DR1365" s="4303"/>
      <c r="DS1365" s="4303"/>
      <c r="DT1365" s="4134"/>
      <c r="DU1365" s="4134"/>
    </row>
    <row r="1366" s="4133" customFormat="1" ht="15.75" hidden="1" spans="1:125">
      <c r="A1366" s="4397"/>
      <c r="B1366" s="4292"/>
      <c r="C1366" s="4292"/>
      <c r="D1366" s="4292"/>
      <c r="E1366" s="4292"/>
      <c r="F1366" s="4292"/>
      <c r="G1366" s="4292"/>
      <c r="H1366" s="4292"/>
      <c r="I1366" s="4292"/>
      <c r="J1366" s="4292"/>
      <c r="K1366" s="4292"/>
      <c r="L1366" s="4292"/>
      <c r="M1366" s="4292"/>
      <c r="N1366" s="4292"/>
      <c r="O1366" s="4292"/>
      <c r="P1366" s="4292"/>
      <c r="Q1366" s="4292"/>
      <c r="R1366" s="4292"/>
      <c r="S1366" s="4292"/>
      <c r="T1366" s="4292"/>
      <c r="U1366" s="4292"/>
      <c r="V1366" s="4292"/>
      <c r="W1366" s="4292"/>
      <c r="X1366" s="4292"/>
      <c r="Y1366" s="4292"/>
      <c r="Z1366" s="4292"/>
      <c r="AA1366" s="4292"/>
      <c r="AB1366" s="4292"/>
      <c r="AC1366" s="4292"/>
      <c r="AD1366" s="4292"/>
      <c r="AE1366" s="4292"/>
      <c r="AF1366" s="4292"/>
      <c r="AG1366" s="4292"/>
      <c r="AH1366" s="4292"/>
      <c r="AI1366" s="4292"/>
      <c r="AJ1366" s="4292"/>
      <c r="AK1366" s="4292"/>
      <c r="AL1366" s="4292"/>
      <c r="AM1366" s="4292"/>
      <c r="AN1366" s="4292"/>
      <c r="AO1366" s="4292"/>
      <c r="AP1366" s="4292"/>
      <c r="AQ1366" s="4292"/>
      <c r="AR1366" s="4292"/>
      <c r="AS1366" s="4292"/>
      <c r="AT1366" s="4292"/>
      <c r="AU1366" s="4292"/>
      <c r="AV1366" s="4292"/>
      <c r="AW1366" s="4292"/>
      <c r="AX1366" s="4292"/>
      <c r="AY1366" s="4292"/>
      <c r="AZ1366" s="4292"/>
      <c r="BA1366" s="4292"/>
      <c r="BB1366" s="4292"/>
      <c r="BC1366" s="4292"/>
      <c r="BD1366" s="4303"/>
      <c r="BE1366" s="4303"/>
      <c r="BF1366" s="4303"/>
      <c r="BG1366" s="4303"/>
      <c r="BH1366" s="4303"/>
      <c r="BI1366" s="4303"/>
      <c r="BJ1366" s="4303"/>
      <c r="BK1366" s="4303"/>
      <c r="BL1366" s="4303"/>
      <c r="BM1366" s="4303"/>
      <c r="BN1366" s="4303"/>
      <c r="BO1366" s="4303"/>
      <c r="BP1366" s="4303"/>
      <c r="BQ1366" s="4303"/>
      <c r="BR1366" s="4303"/>
      <c r="BS1366" s="4303"/>
      <c r="BT1366" s="4303"/>
      <c r="BU1366" s="4303"/>
      <c r="BV1366" s="4303"/>
      <c r="BW1366" s="4303"/>
      <c r="BX1366" s="4303"/>
      <c r="BY1366" s="4303"/>
      <c r="BZ1366" s="4303"/>
      <c r="CA1366" s="4303"/>
      <c r="CB1366" s="4303"/>
      <c r="CC1366" s="4303"/>
      <c r="CD1366" s="4303"/>
      <c r="CE1366" s="4303"/>
      <c r="CF1366" s="4303"/>
      <c r="CG1366" s="4303"/>
      <c r="CH1366" s="4303"/>
      <c r="CI1366" s="4303"/>
      <c r="CJ1366" s="4303"/>
      <c r="CK1366" s="4303"/>
      <c r="CL1366" s="4303"/>
      <c r="CM1366" s="4303"/>
      <c r="CN1366" s="4303"/>
      <c r="CO1366" s="4303"/>
      <c r="CP1366" s="4303"/>
      <c r="CQ1366" s="4303"/>
      <c r="CR1366" s="4303"/>
      <c r="CS1366" s="4303"/>
      <c r="CT1366" s="4303"/>
      <c r="CU1366" s="4303"/>
      <c r="CV1366" s="4303"/>
      <c r="CW1366" s="4303"/>
      <c r="CX1366" s="4303"/>
      <c r="CY1366" s="4303"/>
      <c r="CZ1366" s="4303"/>
      <c r="DA1366" s="4303"/>
      <c r="DB1366" s="4303"/>
      <c r="DC1366" s="4303"/>
      <c r="DD1366" s="4303"/>
      <c r="DE1366" s="4303"/>
      <c r="DF1366" s="4303"/>
      <c r="DG1366" s="4303"/>
      <c r="DH1366" s="4303"/>
      <c r="DI1366" s="4303"/>
      <c r="DJ1366" s="4303"/>
      <c r="DK1366" s="4303"/>
      <c r="DL1366" s="4303"/>
      <c r="DM1366" s="4303"/>
      <c r="DN1366" s="4303"/>
      <c r="DO1366" s="4303"/>
      <c r="DP1366" s="4303"/>
      <c r="DQ1366" s="4303"/>
      <c r="DR1366" s="4303"/>
      <c r="DS1366" s="4303"/>
      <c r="DT1366" s="4134"/>
      <c r="DU1366" s="4134"/>
    </row>
    <row r="1367" s="4133" customFormat="1" ht="15.75" hidden="1" spans="1:125">
      <c r="A1367" s="4397"/>
      <c r="B1367" s="4292"/>
      <c r="C1367" s="4292"/>
      <c r="D1367" s="4292"/>
      <c r="E1367" s="4292"/>
      <c r="F1367" s="4292"/>
      <c r="G1367" s="4292"/>
      <c r="H1367" s="4292"/>
      <c r="I1367" s="4292"/>
      <c r="J1367" s="4292"/>
      <c r="K1367" s="4292"/>
      <c r="L1367" s="4292"/>
      <c r="M1367" s="4292"/>
      <c r="N1367" s="4292"/>
      <c r="O1367" s="4292"/>
      <c r="P1367" s="4292"/>
      <c r="Q1367" s="4292"/>
      <c r="R1367" s="4292"/>
      <c r="S1367" s="4292"/>
      <c r="T1367" s="4292"/>
      <c r="U1367" s="4292"/>
      <c r="V1367" s="4292"/>
      <c r="W1367" s="4292"/>
      <c r="X1367" s="4292"/>
      <c r="Y1367" s="4292"/>
      <c r="Z1367" s="4292"/>
      <c r="AA1367" s="4292"/>
      <c r="AB1367" s="4292"/>
      <c r="AC1367" s="4292"/>
      <c r="AD1367" s="4292"/>
      <c r="AE1367" s="4292"/>
      <c r="AF1367" s="4292"/>
      <c r="AG1367" s="4292"/>
      <c r="AH1367" s="4292"/>
      <c r="AI1367" s="4292"/>
      <c r="AJ1367" s="4292"/>
      <c r="AK1367" s="4292"/>
      <c r="AL1367" s="4292"/>
      <c r="AM1367" s="4292"/>
      <c r="AN1367" s="4292"/>
      <c r="AO1367" s="4292"/>
      <c r="AP1367" s="4292"/>
      <c r="AQ1367" s="4292"/>
      <c r="AR1367" s="4292"/>
      <c r="AS1367" s="4292"/>
      <c r="AT1367" s="4292"/>
      <c r="AU1367" s="4292"/>
      <c r="AV1367" s="4292"/>
      <c r="AW1367" s="4292"/>
      <c r="AX1367" s="4292"/>
      <c r="AY1367" s="4292"/>
      <c r="AZ1367" s="4292"/>
      <c r="BA1367" s="4292"/>
      <c r="BB1367" s="4292"/>
      <c r="BC1367" s="4292"/>
      <c r="BD1367" s="4303"/>
      <c r="BE1367" s="4303"/>
      <c r="BF1367" s="4303"/>
      <c r="BG1367" s="4303"/>
      <c r="BH1367" s="4303"/>
      <c r="BI1367" s="4303"/>
      <c r="BJ1367" s="4303"/>
      <c r="BK1367" s="4303"/>
      <c r="BL1367" s="4303"/>
      <c r="BM1367" s="4303"/>
      <c r="BN1367" s="4303"/>
      <c r="BO1367" s="4303"/>
      <c r="BP1367" s="4303"/>
      <c r="BQ1367" s="4303"/>
      <c r="BR1367" s="4303"/>
      <c r="BS1367" s="4303"/>
      <c r="BT1367" s="4303"/>
      <c r="BU1367" s="4303"/>
      <c r="BV1367" s="4303"/>
      <c r="BW1367" s="4303"/>
      <c r="BX1367" s="4303"/>
      <c r="BY1367" s="4303"/>
      <c r="BZ1367" s="4303"/>
      <c r="CA1367" s="4303"/>
      <c r="CB1367" s="4303"/>
      <c r="CC1367" s="4303"/>
      <c r="CD1367" s="4303"/>
      <c r="CE1367" s="4303"/>
      <c r="CF1367" s="4303"/>
      <c r="CG1367" s="4303"/>
      <c r="CH1367" s="4303"/>
      <c r="CI1367" s="4303"/>
      <c r="CJ1367" s="4303"/>
      <c r="CK1367" s="4303"/>
      <c r="CL1367" s="4303"/>
      <c r="CM1367" s="4303"/>
      <c r="CN1367" s="4303"/>
      <c r="CO1367" s="4303"/>
      <c r="CP1367" s="4303"/>
      <c r="CQ1367" s="4303"/>
      <c r="CR1367" s="4303"/>
      <c r="CS1367" s="4303"/>
      <c r="CT1367" s="4303"/>
      <c r="CU1367" s="4303"/>
      <c r="CV1367" s="4303"/>
      <c r="CW1367" s="4303"/>
      <c r="CX1367" s="4303"/>
      <c r="CY1367" s="4303"/>
      <c r="CZ1367" s="4303"/>
      <c r="DA1367" s="4303"/>
      <c r="DB1367" s="4303"/>
      <c r="DC1367" s="4303"/>
      <c r="DD1367" s="4303"/>
      <c r="DE1367" s="4303"/>
      <c r="DF1367" s="4303"/>
      <c r="DG1367" s="4303"/>
      <c r="DH1367" s="4303"/>
      <c r="DI1367" s="4303"/>
      <c r="DJ1367" s="4303"/>
      <c r="DK1367" s="4303"/>
      <c r="DL1367" s="4303"/>
      <c r="DM1367" s="4303"/>
      <c r="DN1367" s="4303"/>
      <c r="DO1367" s="4303"/>
      <c r="DP1367" s="4303"/>
      <c r="DQ1367" s="4303"/>
      <c r="DR1367" s="4303"/>
      <c r="DS1367" s="4303"/>
      <c r="DT1367" s="4134"/>
      <c r="DU1367" s="4134"/>
    </row>
    <row r="1368" s="4133" customFormat="1" ht="15.75" hidden="1" spans="1:125">
      <c r="A1368" s="4397"/>
      <c r="B1368" s="4292"/>
      <c r="C1368" s="4292"/>
      <c r="D1368" s="4292"/>
      <c r="E1368" s="4292"/>
      <c r="F1368" s="4292"/>
      <c r="G1368" s="4292"/>
      <c r="H1368" s="4292"/>
      <c r="I1368" s="4292"/>
      <c r="J1368" s="4292"/>
      <c r="K1368" s="4292"/>
      <c r="L1368" s="4292"/>
      <c r="M1368" s="4292"/>
      <c r="N1368" s="4292"/>
      <c r="O1368" s="4292"/>
      <c r="P1368" s="4292"/>
      <c r="Q1368" s="4292"/>
      <c r="R1368" s="4292"/>
      <c r="S1368" s="4292"/>
      <c r="T1368" s="4292"/>
      <c r="U1368" s="4292"/>
      <c r="V1368" s="4292"/>
      <c r="W1368" s="4292"/>
      <c r="X1368" s="4292"/>
      <c r="Y1368" s="4292"/>
      <c r="Z1368" s="4292"/>
      <c r="AA1368" s="4292"/>
      <c r="AB1368" s="4292"/>
      <c r="AC1368" s="4292"/>
      <c r="AD1368" s="4292"/>
      <c r="AE1368" s="4292"/>
      <c r="AF1368" s="4292"/>
      <c r="AG1368" s="4292"/>
      <c r="AH1368" s="4292"/>
      <c r="AI1368" s="4292"/>
      <c r="AJ1368" s="4292"/>
      <c r="AK1368" s="4292"/>
      <c r="AL1368" s="4292"/>
      <c r="AM1368" s="4292"/>
      <c r="AN1368" s="4292"/>
      <c r="AO1368" s="4292"/>
      <c r="AP1368" s="4292"/>
      <c r="AQ1368" s="4292"/>
      <c r="AR1368" s="4292"/>
      <c r="AS1368" s="4292"/>
      <c r="AT1368" s="4292"/>
      <c r="AU1368" s="4292"/>
      <c r="AV1368" s="4292"/>
      <c r="AW1368" s="4292"/>
      <c r="AX1368" s="4292"/>
      <c r="AY1368" s="4292"/>
      <c r="AZ1368" s="4292"/>
      <c r="BA1368" s="4292"/>
      <c r="BB1368" s="4292"/>
      <c r="BC1368" s="4292"/>
      <c r="BD1368" s="4303"/>
      <c r="BE1368" s="4303"/>
      <c r="BF1368" s="4303"/>
      <c r="BG1368" s="4303"/>
      <c r="BH1368" s="4303"/>
      <c r="BI1368" s="4303"/>
      <c r="BJ1368" s="4303"/>
      <c r="BK1368" s="4303"/>
      <c r="BL1368" s="4303"/>
      <c r="BM1368" s="4303"/>
      <c r="BN1368" s="4303"/>
      <c r="BO1368" s="4303"/>
      <c r="BP1368" s="4303"/>
      <c r="BQ1368" s="4303"/>
      <c r="BR1368" s="4303"/>
      <c r="BS1368" s="4303"/>
      <c r="BT1368" s="4303"/>
      <c r="BU1368" s="4303"/>
      <c r="BV1368" s="4303"/>
      <c r="BW1368" s="4303"/>
      <c r="BX1368" s="4303"/>
      <c r="BY1368" s="4303"/>
      <c r="BZ1368" s="4303"/>
      <c r="CA1368" s="4303"/>
      <c r="CB1368" s="4303"/>
      <c r="CC1368" s="4303"/>
      <c r="CD1368" s="4303"/>
      <c r="CE1368" s="4303"/>
      <c r="CF1368" s="4303"/>
      <c r="CG1368" s="4303"/>
      <c r="CH1368" s="4303"/>
      <c r="CI1368" s="4303"/>
      <c r="CJ1368" s="4303"/>
      <c r="CK1368" s="4303"/>
      <c r="CL1368" s="4303"/>
      <c r="CM1368" s="4303"/>
      <c r="CN1368" s="4303"/>
      <c r="CO1368" s="4303"/>
      <c r="CP1368" s="4303"/>
      <c r="CQ1368" s="4303"/>
      <c r="CR1368" s="4303"/>
      <c r="CS1368" s="4303"/>
      <c r="CT1368" s="4303"/>
      <c r="CU1368" s="4303"/>
      <c r="CV1368" s="4303"/>
      <c r="CW1368" s="4303"/>
      <c r="CX1368" s="4303"/>
      <c r="CY1368" s="4303"/>
      <c r="CZ1368" s="4303"/>
      <c r="DA1368" s="4303"/>
      <c r="DB1368" s="4303"/>
      <c r="DC1368" s="4303"/>
      <c r="DD1368" s="4303"/>
      <c r="DE1368" s="4303"/>
      <c r="DF1368" s="4303"/>
      <c r="DG1368" s="4303"/>
      <c r="DH1368" s="4303"/>
      <c r="DI1368" s="4303"/>
      <c r="DJ1368" s="4303"/>
      <c r="DK1368" s="4303"/>
      <c r="DL1368" s="4303"/>
      <c r="DM1368" s="4303"/>
      <c r="DN1368" s="4303"/>
      <c r="DO1368" s="4303"/>
      <c r="DP1368" s="4303"/>
      <c r="DQ1368" s="4303"/>
      <c r="DR1368" s="4303"/>
      <c r="DS1368" s="4303"/>
      <c r="DT1368" s="4134"/>
      <c r="DU1368" s="4134"/>
    </row>
    <row r="1369" s="4133" customFormat="1" ht="15.75" hidden="1" spans="1:125">
      <c r="A1369" s="4397"/>
      <c r="B1369" s="4292"/>
      <c r="C1369" s="4292"/>
      <c r="D1369" s="4292"/>
      <c r="E1369" s="4292"/>
      <c r="F1369" s="4292"/>
      <c r="G1369" s="4292"/>
      <c r="H1369" s="4292"/>
      <c r="I1369" s="4292"/>
      <c r="J1369" s="4292"/>
      <c r="K1369" s="4292"/>
      <c r="L1369" s="4292"/>
      <c r="M1369" s="4292"/>
      <c r="N1369" s="4292"/>
      <c r="O1369" s="4292"/>
      <c r="P1369" s="4292"/>
      <c r="Q1369" s="4292"/>
      <c r="R1369" s="4292"/>
      <c r="S1369" s="4292"/>
      <c r="T1369" s="4292"/>
      <c r="U1369" s="4292"/>
      <c r="V1369" s="4292"/>
      <c r="W1369" s="4292"/>
      <c r="X1369" s="4292"/>
      <c r="Y1369" s="4292"/>
      <c r="Z1369" s="4292"/>
      <c r="AA1369" s="4292"/>
      <c r="AB1369" s="4292"/>
      <c r="AC1369" s="4292"/>
      <c r="AD1369" s="4292"/>
      <c r="AE1369" s="4292"/>
      <c r="AF1369" s="4292"/>
      <c r="AG1369" s="4292"/>
      <c r="AH1369" s="4292"/>
      <c r="AI1369" s="4292"/>
      <c r="AJ1369" s="4292"/>
      <c r="AK1369" s="4292"/>
      <c r="AL1369" s="4292"/>
      <c r="AM1369" s="4292"/>
      <c r="AN1369" s="4292"/>
      <c r="AO1369" s="4292"/>
      <c r="AP1369" s="4292"/>
      <c r="AQ1369" s="4292"/>
      <c r="AR1369" s="4292"/>
      <c r="AS1369" s="4292"/>
      <c r="AT1369" s="4292"/>
      <c r="AU1369" s="4292"/>
      <c r="AV1369" s="4292"/>
      <c r="AW1369" s="4292"/>
      <c r="AX1369" s="4292"/>
      <c r="AY1369" s="4292"/>
      <c r="AZ1369" s="4292"/>
      <c r="BA1369" s="4292"/>
      <c r="BB1369" s="4292"/>
      <c r="BC1369" s="4292"/>
      <c r="BD1369" s="4303"/>
      <c r="BE1369" s="4303"/>
      <c r="BF1369" s="4303"/>
      <c r="BG1369" s="4303"/>
      <c r="BH1369" s="4303"/>
      <c r="BI1369" s="4303"/>
      <c r="BJ1369" s="4303"/>
      <c r="BK1369" s="4303"/>
      <c r="BL1369" s="4303"/>
      <c r="BM1369" s="4303"/>
      <c r="BN1369" s="4303"/>
      <c r="BO1369" s="4303"/>
      <c r="BP1369" s="4303"/>
      <c r="BQ1369" s="4303"/>
      <c r="BR1369" s="4303"/>
      <c r="BS1369" s="4303"/>
      <c r="BT1369" s="4303"/>
      <c r="BU1369" s="4303"/>
      <c r="BV1369" s="4303"/>
      <c r="BW1369" s="4303"/>
      <c r="BX1369" s="4303"/>
      <c r="BY1369" s="4303"/>
      <c r="BZ1369" s="4303"/>
      <c r="CA1369" s="4303"/>
      <c r="CB1369" s="4303"/>
      <c r="CC1369" s="4303"/>
      <c r="CD1369" s="4303"/>
      <c r="CE1369" s="4303"/>
      <c r="CF1369" s="4303"/>
      <c r="CG1369" s="4303"/>
      <c r="CH1369" s="4303"/>
      <c r="CI1369" s="4303"/>
      <c r="CJ1369" s="4303"/>
      <c r="CK1369" s="4303"/>
      <c r="CL1369" s="4303"/>
      <c r="CM1369" s="4303"/>
      <c r="CN1369" s="4303"/>
      <c r="CO1369" s="4303"/>
      <c r="CP1369" s="4303"/>
      <c r="CQ1369" s="4303"/>
      <c r="CR1369" s="4303"/>
      <c r="CS1369" s="4303"/>
      <c r="CT1369" s="4303"/>
      <c r="CU1369" s="4303"/>
      <c r="CV1369" s="4303"/>
      <c r="CW1369" s="4303"/>
      <c r="CX1369" s="4303"/>
      <c r="CY1369" s="4303"/>
      <c r="CZ1369" s="4303"/>
      <c r="DA1369" s="4303"/>
      <c r="DB1369" s="4303"/>
      <c r="DC1369" s="4303"/>
      <c r="DD1369" s="4303"/>
      <c r="DE1369" s="4303"/>
      <c r="DF1369" s="4303"/>
      <c r="DG1369" s="4303"/>
      <c r="DH1369" s="4303"/>
      <c r="DI1369" s="4303"/>
      <c r="DJ1369" s="4303"/>
      <c r="DK1369" s="4303"/>
      <c r="DL1369" s="4303"/>
      <c r="DM1369" s="4303"/>
      <c r="DN1369" s="4303"/>
      <c r="DO1369" s="4303"/>
      <c r="DP1369" s="4303"/>
      <c r="DQ1369" s="4303"/>
      <c r="DR1369" s="4303"/>
      <c r="DS1369" s="4303"/>
      <c r="DT1369" s="4134"/>
      <c r="DU1369" s="4134"/>
    </row>
    <row r="1370" s="4133" customFormat="1" ht="15.75" hidden="1" spans="1:125">
      <c r="A1370" s="4397"/>
      <c r="B1370" s="4292"/>
      <c r="C1370" s="4292"/>
      <c r="D1370" s="4292"/>
      <c r="E1370" s="4292"/>
      <c r="F1370" s="4292"/>
      <c r="G1370" s="4292"/>
      <c r="H1370" s="4292"/>
      <c r="I1370" s="4292"/>
      <c r="J1370" s="4292"/>
      <c r="K1370" s="4292"/>
      <c r="L1370" s="4292"/>
      <c r="M1370" s="4292"/>
      <c r="N1370" s="4292"/>
      <c r="O1370" s="4292"/>
      <c r="P1370" s="4292"/>
      <c r="Q1370" s="4292"/>
      <c r="R1370" s="4292"/>
      <c r="S1370" s="4292"/>
      <c r="T1370" s="4292"/>
      <c r="U1370" s="4292"/>
      <c r="V1370" s="4292"/>
      <c r="W1370" s="4292"/>
      <c r="X1370" s="4292"/>
      <c r="Y1370" s="4292"/>
      <c r="Z1370" s="4292"/>
      <c r="AA1370" s="4292"/>
      <c r="AB1370" s="4292"/>
      <c r="AC1370" s="4292"/>
      <c r="AD1370" s="4292"/>
      <c r="AE1370" s="4292"/>
      <c r="AF1370" s="4292"/>
      <c r="AG1370" s="4292"/>
      <c r="AH1370" s="4292"/>
      <c r="AI1370" s="4292"/>
      <c r="AJ1370" s="4292"/>
      <c r="AK1370" s="4292"/>
      <c r="AL1370" s="4292"/>
      <c r="AM1370" s="4292"/>
      <c r="AN1370" s="4292"/>
      <c r="AO1370" s="4292"/>
      <c r="AP1370" s="4292"/>
      <c r="AQ1370" s="4292"/>
      <c r="AR1370" s="4292"/>
      <c r="AS1370" s="4292"/>
      <c r="AT1370" s="4292"/>
      <c r="AU1370" s="4292"/>
      <c r="AV1370" s="4292"/>
      <c r="AW1370" s="4292"/>
      <c r="AX1370" s="4292"/>
      <c r="AY1370" s="4292"/>
      <c r="AZ1370" s="4292"/>
      <c r="BA1370" s="4292"/>
      <c r="BB1370" s="4292"/>
      <c r="BC1370" s="4292"/>
      <c r="BD1370" s="4303"/>
      <c r="BE1370" s="4303"/>
      <c r="BF1370" s="4303"/>
      <c r="BG1370" s="4303"/>
      <c r="BH1370" s="4303"/>
      <c r="BI1370" s="4303"/>
      <c r="BJ1370" s="4303"/>
      <c r="BK1370" s="4303"/>
      <c r="BL1370" s="4303"/>
      <c r="BM1370" s="4303"/>
      <c r="BN1370" s="4303"/>
      <c r="BO1370" s="4303"/>
      <c r="BP1370" s="4303"/>
      <c r="BQ1370" s="4303"/>
      <c r="BR1370" s="4303"/>
      <c r="BS1370" s="4303"/>
      <c r="BT1370" s="4303"/>
      <c r="BU1370" s="4303"/>
      <c r="BV1370" s="4303"/>
      <c r="BW1370" s="4303"/>
      <c r="BX1370" s="4303"/>
      <c r="BY1370" s="4303"/>
      <c r="BZ1370" s="4303"/>
      <c r="CA1370" s="4303"/>
      <c r="CB1370" s="4303"/>
      <c r="CC1370" s="4303"/>
      <c r="CD1370" s="4303"/>
      <c r="CE1370" s="4303"/>
      <c r="CF1370" s="4303"/>
      <c r="CG1370" s="4303"/>
      <c r="CH1370" s="4303"/>
      <c r="CI1370" s="4303"/>
      <c r="CJ1370" s="4303"/>
      <c r="CK1370" s="4303"/>
      <c r="CL1370" s="4303"/>
      <c r="CM1370" s="4303"/>
      <c r="CN1370" s="4303"/>
      <c r="CO1370" s="4303"/>
      <c r="CP1370" s="4303"/>
      <c r="CQ1370" s="4303"/>
      <c r="CR1370" s="4303"/>
      <c r="CS1370" s="4303"/>
      <c r="CT1370" s="4303"/>
      <c r="CU1370" s="4303"/>
      <c r="CV1370" s="4303"/>
      <c r="CW1370" s="4303"/>
      <c r="CX1370" s="4303"/>
      <c r="CY1370" s="4303"/>
      <c r="CZ1370" s="4303"/>
      <c r="DA1370" s="4303"/>
      <c r="DB1370" s="4303"/>
      <c r="DC1370" s="4303"/>
      <c r="DD1370" s="4303"/>
      <c r="DE1370" s="4303"/>
      <c r="DF1370" s="4303"/>
      <c r="DG1370" s="4303"/>
      <c r="DH1370" s="4303"/>
      <c r="DI1370" s="4303"/>
      <c r="DJ1370" s="4303"/>
      <c r="DK1370" s="4303"/>
      <c r="DL1370" s="4303"/>
      <c r="DM1370" s="4303"/>
      <c r="DN1370" s="4303"/>
      <c r="DO1370" s="4303"/>
      <c r="DP1370" s="4303"/>
      <c r="DQ1370" s="4303"/>
      <c r="DR1370" s="4303"/>
      <c r="DS1370" s="4303"/>
      <c r="DT1370" s="4134"/>
      <c r="DU1370" s="4134"/>
    </row>
    <row r="1371" s="4133" customFormat="1" ht="15.75" hidden="1" spans="1:125">
      <c r="A1371" s="4397"/>
      <c r="B1371" s="4292"/>
      <c r="C1371" s="4292"/>
      <c r="D1371" s="4292"/>
      <c r="E1371" s="4292"/>
      <c r="F1371" s="4292"/>
      <c r="G1371" s="4292"/>
      <c r="H1371" s="4292"/>
      <c r="I1371" s="4292"/>
      <c r="J1371" s="4292"/>
      <c r="K1371" s="4292"/>
      <c r="L1371" s="4292"/>
      <c r="M1371" s="4292"/>
      <c r="N1371" s="4292"/>
      <c r="O1371" s="4292"/>
      <c r="P1371" s="4292"/>
      <c r="Q1371" s="4292"/>
      <c r="R1371" s="4292"/>
      <c r="S1371" s="4292"/>
      <c r="T1371" s="4292"/>
      <c r="U1371" s="4292"/>
      <c r="V1371" s="4292"/>
      <c r="W1371" s="4292"/>
      <c r="X1371" s="4292"/>
      <c r="Y1371" s="4292"/>
      <c r="Z1371" s="4292"/>
      <c r="AA1371" s="4292"/>
      <c r="AB1371" s="4292"/>
      <c r="AC1371" s="4292"/>
      <c r="AD1371" s="4292"/>
      <c r="AE1371" s="4292"/>
      <c r="AF1371" s="4292"/>
      <c r="AG1371" s="4292"/>
      <c r="AH1371" s="4292"/>
      <c r="AI1371" s="4292"/>
      <c r="AJ1371" s="4292"/>
      <c r="AK1371" s="4292"/>
      <c r="AL1371" s="4292"/>
      <c r="AM1371" s="4292"/>
      <c r="AN1371" s="4292"/>
      <c r="AO1371" s="4292"/>
      <c r="AP1371" s="4292"/>
      <c r="AQ1371" s="4292"/>
      <c r="AR1371" s="4292"/>
      <c r="AS1371" s="4292"/>
      <c r="AT1371" s="4292"/>
      <c r="AU1371" s="4292"/>
      <c r="AV1371" s="4292"/>
      <c r="AW1371" s="4292"/>
      <c r="AX1371" s="4292"/>
      <c r="AY1371" s="4292"/>
      <c r="AZ1371" s="4292"/>
      <c r="BA1371" s="4292"/>
      <c r="BB1371" s="4292"/>
      <c r="BC1371" s="4292"/>
      <c r="BD1371" s="4303"/>
      <c r="BE1371" s="4303"/>
      <c r="BF1371" s="4303"/>
      <c r="BG1371" s="4303"/>
      <c r="BH1371" s="4303"/>
      <c r="BI1371" s="4303"/>
      <c r="BJ1371" s="4303"/>
      <c r="BK1371" s="4303"/>
      <c r="BL1371" s="4303"/>
      <c r="BM1371" s="4303"/>
      <c r="BN1371" s="4303"/>
      <c r="BO1371" s="4303"/>
      <c r="BP1371" s="4303"/>
      <c r="BQ1371" s="4303"/>
      <c r="BR1371" s="4303"/>
      <c r="BS1371" s="4303"/>
      <c r="BT1371" s="4303"/>
      <c r="BU1371" s="4303"/>
      <c r="BV1371" s="4303"/>
      <c r="BW1371" s="4303"/>
      <c r="BX1371" s="4303"/>
      <c r="BY1371" s="4303"/>
      <c r="BZ1371" s="4303"/>
      <c r="CA1371" s="4303"/>
      <c r="CB1371" s="4303"/>
      <c r="CC1371" s="4303"/>
      <c r="CD1371" s="4303"/>
      <c r="CE1371" s="4303"/>
      <c r="CF1371" s="4303"/>
      <c r="CG1371" s="4303"/>
      <c r="CH1371" s="4303"/>
      <c r="CI1371" s="4303"/>
      <c r="CJ1371" s="4303"/>
      <c r="CK1371" s="4303"/>
      <c r="CL1371" s="4303"/>
      <c r="CM1371" s="4303"/>
      <c r="CN1371" s="4303"/>
      <c r="CO1371" s="4303"/>
      <c r="CP1371" s="4303"/>
      <c r="CQ1371" s="4303"/>
      <c r="CR1371" s="4303"/>
      <c r="CS1371" s="4303"/>
      <c r="CT1371" s="4303"/>
      <c r="CU1371" s="4303"/>
      <c r="CV1371" s="4303"/>
      <c r="CW1371" s="4303"/>
      <c r="CX1371" s="4303"/>
      <c r="CY1371" s="4303"/>
      <c r="CZ1371" s="4303"/>
      <c r="DA1371" s="4303"/>
      <c r="DB1371" s="4303"/>
      <c r="DC1371" s="4303"/>
      <c r="DD1371" s="4303"/>
      <c r="DE1371" s="4303"/>
      <c r="DF1371" s="4303"/>
      <c r="DG1371" s="4303"/>
      <c r="DH1371" s="4303"/>
      <c r="DI1371" s="4303"/>
      <c r="DJ1371" s="4303"/>
      <c r="DK1371" s="4303"/>
      <c r="DL1371" s="4303"/>
      <c r="DM1371" s="4303"/>
      <c r="DN1371" s="4303"/>
      <c r="DO1371" s="4303"/>
      <c r="DP1371" s="4303"/>
      <c r="DQ1371" s="4303"/>
      <c r="DR1371" s="4303"/>
      <c r="DS1371" s="4303"/>
      <c r="DT1371" s="4134"/>
      <c r="DU1371" s="4134"/>
    </row>
    <row r="1372" s="4133" customFormat="1" ht="15.75" hidden="1" spans="1:125">
      <c r="A1372" s="4397"/>
      <c r="B1372" s="4292"/>
      <c r="C1372" s="4292"/>
      <c r="D1372" s="4292"/>
      <c r="E1372" s="4292"/>
      <c r="F1372" s="4292"/>
      <c r="G1372" s="4292"/>
      <c r="H1372" s="4292"/>
      <c r="I1372" s="4292"/>
      <c r="J1372" s="4292"/>
      <c r="K1372" s="4292"/>
      <c r="L1372" s="4292"/>
      <c r="M1372" s="4292"/>
      <c r="N1372" s="4292"/>
      <c r="O1372" s="4292"/>
      <c r="P1372" s="4292"/>
      <c r="Q1372" s="4292"/>
      <c r="R1372" s="4292"/>
      <c r="S1372" s="4292"/>
      <c r="T1372" s="4292"/>
      <c r="U1372" s="4292"/>
      <c r="V1372" s="4292"/>
      <c r="W1372" s="4292"/>
      <c r="X1372" s="4292"/>
      <c r="Y1372" s="4292"/>
      <c r="Z1372" s="4292"/>
      <c r="AA1372" s="4292"/>
      <c r="AB1372" s="4292"/>
      <c r="AC1372" s="4292"/>
      <c r="AD1372" s="4292"/>
      <c r="AE1372" s="4292"/>
      <c r="AF1372" s="4292"/>
      <c r="AG1372" s="4292"/>
      <c r="AH1372" s="4292"/>
      <c r="AI1372" s="4292"/>
      <c r="AJ1372" s="4292"/>
      <c r="AK1372" s="4292"/>
      <c r="AL1372" s="4292"/>
      <c r="AM1372" s="4292"/>
      <c r="AN1372" s="4292"/>
      <c r="AO1372" s="4292"/>
      <c r="AP1372" s="4292"/>
      <c r="AQ1372" s="4292"/>
      <c r="AR1372" s="4292"/>
      <c r="AS1372" s="4292"/>
      <c r="AT1372" s="4292"/>
      <c r="AU1372" s="4292"/>
      <c r="AV1372" s="4292"/>
      <c r="AW1372" s="4292"/>
      <c r="AX1372" s="4292"/>
      <c r="AY1372" s="4292"/>
      <c r="AZ1372" s="4292"/>
      <c r="BA1372" s="4292"/>
      <c r="BB1372" s="4292"/>
      <c r="BC1372" s="4292"/>
      <c r="BD1372" s="4303"/>
      <c r="BE1372" s="4303"/>
      <c r="BF1372" s="4303"/>
      <c r="BG1372" s="4303"/>
      <c r="BH1372" s="4303"/>
      <c r="BI1372" s="4303"/>
      <c r="BJ1372" s="4303"/>
      <c r="BK1372" s="4303"/>
      <c r="BL1372" s="4303"/>
      <c r="BM1372" s="4303"/>
      <c r="BN1372" s="4303"/>
      <c r="BO1372" s="4303"/>
      <c r="BP1372" s="4303"/>
      <c r="BQ1372" s="4303"/>
      <c r="BR1372" s="4303"/>
      <c r="BS1372" s="4303"/>
      <c r="BT1372" s="4303"/>
      <c r="BU1372" s="4303"/>
      <c r="BV1372" s="4303"/>
      <c r="BW1372" s="4303"/>
      <c r="BX1372" s="4303"/>
      <c r="BY1372" s="4303"/>
      <c r="BZ1372" s="4303"/>
      <c r="CA1372" s="4303"/>
      <c r="CB1372" s="4303"/>
      <c r="CC1372" s="4303"/>
      <c r="CD1372" s="4303"/>
      <c r="CE1372" s="4303"/>
      <c r="CF1372" s="4303"/>
      <c r="CG1372" s="4303"/>
      <c r="CH1372" s="4303"/>
      <c r="CI1372" s="4303"/>
      <c r="CJ1372" s="4303"/>
      <c r="CK1372" s="4303"/>
      <c r="CL1372" s="4303"/>
      <c r="CM1372" s="4303"/>
      <c r="CN1372" s="4303"/>
      <c r="CO1372" s="4303"/>
      <c r="CP1372" s="4303"/>
      <c r="CQ1372" s="4303"/>
      <c r="CR1372" s="4303"/>
      <c r="CS1372" s="4303"/>
      <c r="CT1372" s="4303"/>
      <c r="CU1372" s="4303"/>
      <c r="CV1372" s="4303"/>
      <c r="CW1372" s="4303"/>
      <c r="CX1372" s="4303"/>
      <c r="CY1372" s="4303"/>
      <c r="CZ1372" s="4303"/>
      <c r="DA1372" s="4303"/>
      <c r="DB1372" s="4303"/>
      <c r="DC1372" s="4303"/>
      <c r="DD1372" s="4303"/>
      <c r="DE1372" s="4303"/>
      <c r="DF1372" s="4303"/>
      <c r="DG1372" s="4303"/>
      <c r="DH1372" s="4303"/>
      <c r="DI1372" s="4303"/>
      <c r="DJ1372" s="4303"/>
      <c r="DK1372" s="4303"/>
      <c r="DL1372" s="4303"/>
      <c r="DM1372" s="4303"/>
      <c r="DN1372" s="4303"/>
      <c r="DO1372" s="4303"/>
      <c r="DP1372" s="4303"/>
      <c r="DQ1372" s="4303"/>
      <c r="DR1372" s="4303"/>
      <c r="DS1372" s="4303"/>
      <c r="DT1372" s="4134"/>
      <c r="DU1372" s="4134"/>
    </row>
    <row r="1373" s="4133" customFormat="1" ht="15.75" hidden="1" spans="1:125">
      <c r="A1373" s="4397"/>
      <c r="B1373" s="4292"/>
      <c r="C1373" s="4292"/>
      <c r="D1373" s="4292"/>
      <c r="E1373" s="4292"/>
      <c r="F1373" s="4292"/>
      <c r="G1373" s="4292"/>
      <c r="H1373" s="4292"/>
      <c r="I1373" s="4292"/>
      <c r="J1373" s="4292"/>
      <c r="K1373" s="4292"/>
      <c r="L1373" s="4292"/>
      <c r="M1373" s="4292"/>
      <c r="N1373" s="4292"/>
      <c r="O1373" s="4292"/>
      <c r="P1373" s="4292"/>
      <c r="Q1373" s="4292"/>
      <c r="R1373" s="4292"/>
      <c r="S1373" s="4292"/>
      <c r="T1373" s="4292"/>
      <c r="U1373" s="4292"/>
      <c r="V1373" s="4292"/>
      <c r="W1373" s="4292"/>
      <c r="X1373" s="4292"/>
      <c r="Y1373" s="4292"/>
      <c r="Z1373" s="4292"/>
      <c r="AA1373" s="4292"/>
      <c r="AB1373" s="4292"/>
      <c r="AC1373" s="4292"/>
      <c r="AD1373" s="4292"/>
      <c r="AE1373" s="4292"/>
      <c r="AF1373" s="4292"/>
      <c r="AG1373" s="4292"/>
      <c r="AH1373" s="4292"/>
      <c r="AI1373" s="4292"/>
      <c r="AJ1373" s="4292"/>
      <c r="AK1373" s="4292"/>
      <c r="AL1373" s="4292"/>
      <c r="AM1373" s="4292"/>
      <c r="AN1373" s="4292"/>
      <c r="AO1373" s="4292"/>
      <c r="AP1373" s="4292"/>
      <c r="AQ1373" s="4292"/>
      <c r="AR1373" s="4292"/>
      <c r="AS1373" s="4292"/>
      <c r="AT1373" s="4292"/>
      <c r="AU1373" s="4292"/>
      <c r="AV1373" s="4292"/>
      <c r="AW1373" s="4292"/>
      <c r="AX1373" s="4292"/>
      <c r="AY1373" s="4292"/>
      <c r="AZ1373" s="4292"/>
      <c r="BA1373" s="4292"/>
      <c r="BB1373" s="4292"/>
      <c r="BC1373" s="4292"/>
      <c r="BD1373" s="4303"/>
      <c r="BE1373" s="4303"/>
      <c r="BF1373" s="4303"/>
      <c r="BG1373" s="4303"/>
      <c r="BH1373" s="4303"/>
      <c r="BI1373" s="4303"/>
      <c r="BJ1373" s="4303"/>
      <c r="BK1373" s="4303"/>
      <c r="BL1373" s="4303"/>
      <c r="BM1373" s="4303"/>
      <c r="BN1373" s="4303"/>
      <c r="BO1373" s="4303"/>
      <c r="BP1373" s="4303"/>
      <c r="BQ1373" s="4303"/>
      <c r="BR1373" s="4303"/>
      <c r="BS1373" s="4303"/>
      <c r="BT1373" s="4303"/>
      <c r="BU1373" s="4303"/>
      <c r="BV1373" s="4303"/>
      <c r="BW1373" s="4303"/>
      <c r="BX1373" s="4303"/>
      <c r="BY1373" s="4303"/>
      <c r="BZ1373" s="4303"/>
      <c r="CA1373" s="4303"/>
      <c r="CB1373" s="4303"/>
      <c r="CC1373" s="4303"/>
      <c r="CD1373" s="4303"/>
      <c r="CE1373" s="4303"/>
      <c r="CF1373" s="4303"/>
      <c r="CG1373" s="4303"/>
      <c r="CH1373" s="4303"/>
      <c r="CI1373" s="4303"/>
      <c r="CJ1373" s="4303"/>
      <c r="CK1373" s="4303"/>
      <c r="CL1373" s="4303"/>
      <c r="CM1373" s="4303"/>
      <c r="CN1373" s="4303"/>
      <c r="CO1373" s="4303"/>
      <c r="CP1373" s="4303"/>
      <c r="CQ1373" s="4303"/>
      <c r="CR1373" s="4303"/>
      <c r="CS1373" s="4303"/>
      <c r="CT1373" s="4303"/>
      <c r="CU1373" s="4303"/>
      <c r="CV1373" s="4303"/>
      <c r="CW1373" s="4303"/>
      <c r="CX1373" s="4303"/>
      <c r="CY1373" s="4303"/>
      <c r="CZ1373" s="4303"/>
      <c r="DA1373" s="4303"/>
      <c r="DB1373" s="4303"/>
      <c r="DC1373" s="4303"/>
      <c r="DD1373" s="4303"/>
      <c r="DE1373" s="4303"/>
      <c r="DF1373" s="4303"/>
      <c r="DG1373" s="4303"/>
      <c r="DH1373" s="4303"/>
      <c r="DI1373" s="4303"/>
      <c r="DJ1373" s="4303"/>
      <c r="DK1373" s="4303"/>
      <c r="DL1373" s="4303"/>
      <c r="DM1373" s="4303"/>
      <c r="DN1373" s="4303"/>
      <c r="DO1373" s="4303"/>
      <c r="DP1373" s="4303"/>
      <c r="DQ1373" s="4303"/>
      <c r="DR1373" s="4303"/>
      <c r="DS1373" s="4303"/>
      <c r="DT1373" s="4134"/>
      <c r="DU1373" s="4134"/>
    </row>
    <row r="1374" s="4133" customFormat="1" ht="15.75" hidden="1" spans="1:125">
      <c r="A1374" s="4397"/>
      <c r="B1374" s="4292"/>
      <c r="C1374" s="4292"/>
      <c r="D1374" s="4292"/>
      <c r="E1374" s="4292"/>
      <c r="F1374" s="4292"/>
      <c r="G1374" s="4292"/>
      <c r="H1374" s="4292"/>
      <c r="I1374" s="4292"/>
      <c r="J1374" s="4292"/>
      <c r="K1374" s="4292"/>
      <c r="L1374" s="4292"/>
      <c r="M1374" s="4292"/>
      <c r="N1374" s="4292"/>
      <c r="O1374" s="4292"/>
      <c r="P1374" s="4292"/>
      <c r="Q1374" s="4292"/>
      <c r="R1374" s="4292"/>
      <c r="S1374" s="4292"/>
      <c r="T1374" s="4292"/>
      <c r="U1374" s="4292"/>
      <c r="V1374" s="4292"/>
      <c r="W1374" s="4292"/>
      <c r="X1374" s="4292"/>
      <c r="Y1374" s="4292"/>
      <c r="Z1374" s="4292"/>
      <c r="AA1374" s="4292"/>
      <c r="AB1374" s="4292"/>
      <c r="AC1374" s="4292"/>
      <c r="AD1374" s="4292"/>
      <c r="AE1374" s="4292"/>
      <c r="AF1374" s="4292"/>
      <c r="AG1374" s="4292"/>
      <c r="AH1374" s="4292"/>
      <c r="AI1374" s="4292"/>
      <c r="AJ1374" s="4292"/>
      <c r="AK1374" s="4292"/>
      <c r="AL1374" s="4292"/>
      <c r="AM1374" s="4292"/>
      <c r="AN1374" s="4292"/>
      <c r="AO1374" s="4292"/>
      <c r="AP1374" s="4292"/>
      <c r="AQ1374" s="4292"/>
      <c r="AR1374" s="4292"/>
      <c r="AS1374" s="4292"/>
      <c r="AT1374" s="4292"/>
      <c r="AU1374" s="4292"/>
      <c r="AV1374" s="4292"/>
      <c r="AW1374" s="4292"/>
      <c r="AX1374" s="4292"/>
      <c r="AY1374" s="4292"/>
      <c r="AZ1374" s="4292"/>
      <c r="BA1374" s="4292"/>
      <c r="BB1374" s="4292"/>
      <c r="BC1374" s="4292"/>
      <c r="BD1374" s="4303"/>
      <c r="BE1374" s="4303"/>
      <c r="BF1374" s="4303"/>
      <c r="BG1374" s="4303"/>
      <c r="BH1374" s="4303"/>
      <c r="BI1374" s="4303"/>
      <c r="BJ1374" s="4303"/>
      <c r="BK1374" s="4303"/>
      <c r="BL1374" s="4303"/>
      <c r="BM1374" s="4303"/>
      <c r="BN1374" s="4303"/>
      <c r="BO1374" s="4303"/>
      <c r="BP1374" s="4303"/>
      <c r="BQ1374" s="4303"/>
      <c r="BR1374" s="4303"/>
      <c r="BS1374" s="4303"/>
      <c r="BT1374" s="4303"/>
      <c r="BU1374" s="4303"/>
      <c r="BV1374" s="4303"/>
      <c r="BW1374" s="4303"/>
      <c r="BX1374" s="4303"/>
      <c r="BY1374" s="4303"/>
      <c r="BZ1374" s="4303"/>
      <c r="CA1374" s="4303"/>
      <c r="CB1374" s="4303"/>
      <c r="CC1374" s="4303"/>
      <c r="CD1374" s="4303"/>
      <c r="CE1374" s="4303"/>
      <c r="CF1374" s="4303"/>
      <c r="CG1374" s="4303"/>
      <c r="CH1374" s="4303"/>
      <c r="CI1374" s="4303"/>
      <c r="CJ1374" s="4303"/>
      <c r="CK1374" s="4303"/>
      <c r="CL1374" s="4303"/>
      <c r="CM1374" s="4303"/>
      <c r="CN1374" s="4303"/>
      <c r="CO1374" s="4303"/>
      <c r="CP1374" s="4303"/>
      <c r="CQ1374" s="4303"/>
      <c r="CR1374" s="4303"/>
      <c r="CS1374" s="4303"/>
      <c r="CT1374" s="4303"/>
      <c r="CU1374" s="4303"/>
      <c r="CV1374" s="4303"/>
      <c r="CW1374" s="4303"/>
      <c r="CX1374" s="4303"/>
      <c r="CY1374" s="4303"/>
      <c r="CZ1374" s="4303"/>
      <c r="DA1374" s="4303"/>
      <c r="DB1374" s="4303"/>
      <c r="DC1374" s="4303"/>
      <c r="DD1374" s="4303"/>
      <c r="DE1374" s="4303"/>
      <c r="DF1374" s="4303"/>
      <c r="DG1374" s="4303"/>
      <c r="DH1374" s="4303"/>
      <c r="DI1374" s="4303"/>
      <c r="DJ1374" s="4303"/>
      <c r="DK1374" s="4303"/>
      <c r="DL1374" s="4303"/>
      <c r="DM1374" s="4303"/>
      <c r="DN1374" s="4303"/>
      <c r="DO1374" s="4303"/>
      <c r="DP1374" s="4303"/>
      <c r="DQ1374" s="4303"/>
      <c r="DR1374" s="4303"/>
      <c r="DS1374" s="4303"/>
      <c r="DT1374" s="4134"/>
      <c r="DU1374" s="4134"/>
    </row>
    <row r="1375" s="4133" customFormat="1" ht="15.75" hidden="1" spans="1:125">
      <c r="A1375" s="4397"/>
      <c r="B1375" s="4292"/>
      <c r="C1375" s="4292"/>
      <c r="D1375" s="4292"/>
      <c r="E1375" s="4292"/>
      <c r="F1375" s="4292"/>
      <c r="G1375" s="4292"/>
      <c r="H1375" s="4292"/>
      <c r="I1375" s="4292"/>
      <c r="J1375" s="4292"/>
      <c r="K1375" s="4292"/>
      <c r="L1375" s="4292"/>
      <c r="M1375" s="4292"/>
      <c r="N1375" s="4292"/>
      <c r="O1375" s="4292"/>
      <c r="P1375" s="4292"/>
      <c r="Q1375" s="4292"/>
      <c r="R1375" s="4292"/>
      <c r="S1375" s="4292"/>
      <c r="T1375" s="4292"/>
      <c r="U1375" s="4292"/>
      <c r="V1375" s="4292"/>
      <c r="W1375" s="4292"/>
      <c r="X1375" s="4292"/>
      <c r="Y1375" s="4292"/>
      <c r="Z1375" s="4292"/>
      <c r="AA1375" s="4292"/>
      <c r="AB1375" s="4292"/>
      <c r="AC1375" s="4292"/>
      <c r="AD1375" s="4292"/>
      <c r="AE1375" s="4292"/>
      <c r="AF1375" s="4292"/>
      <c r="AG1375" s="4292"/>
      <c r="AH1375" s="4292"/>
      <c r="AI1375" s="4292"/>
      <c r="AJ1375" s="4292"/>
      <c r="AK1375" s="4292"/>
      <c r="AL1375" s="4292"/>
      <c r="AM1375" s="4292"/>
      <c r="AN1375" s="4292"/>
      <c r="AO1375" s="4292"/>
      <c r="AP1375" s="4292"/>
      <c r="AQ1375" s="4292"/>
      <c r="AR1375" s="4292"/>
      <c r="AS1375" s="4292"/>
      <c r="AT1375" s="4292"/>
      <c r="AU1375" s="4292"/>
      <c r="AV1375" s="4292"/>
      <c r="AW1375" s="4292"/>
      <c r="AX1375" s="4292"/>
      <c r="AY1375" s="4292"/>
      <c r="AZ1375" s="4292"/>
      <c r="BA1375" s="4292"/>
      <c r="BB1375" s="4292"/>
      <c r="BC1375" s="4292"/>
      <c r="BD1375" s="4303"/>
      <c r="BE1375" s="4303"/>
      <c r="BF1375" s="4303"/>
      <c r="BG1375" s="4303"/>
      <c r="BH1375" s="4303"/>
      <c r="BI1375" s="4303"/>
      <c r="BJ1375" s="4303"/>
      <c r="BK1375" s="4303"/>
      <c r="BL1375" s="4303"/>
      <c r="BM1375" s="4303"/>
      <c r="BN1375" s="4303"/>
      <c r="BO1375" s="4303"/>
      <c r="BP1375" s="4303"/>
      <c r="BQ1375" s="4303"/>
      <c r="BR1375" s="4303"/>
      <c r="BS1375" s="4303"/>
      <c r="BT1375" s="4303"/>
      <c r="BU1375" s="4303"/>
      <c r="BV1375" s="4303"/>
      <c r="BW1375" s="4303"/>
      <c r="BX1375" s="4303"/>
      <c r="BY1375" s="4303"/>
      <c r="BZ1375" s="4303"/>
      <c r="CA1375" s="4303"/>
      <c r="CB1375" s="4303"/>
      <c r="CC1375" s="4303"/>
      <c r="CD1375" s="4303"/>
      <c r="CE1375" s="4303"/>
      <c r="CF1375" s="4303"/>
      <c r="CG1375" s="4303"/>
      <c r="CH1375" s="4303"/>
      <c r="CI1375" s="4303"/>
      <c r="CJ1375" s="4303"/>
      <c r="CK1375" s="4303"/>
      <c r="CL1375" s="4303"/>
      <c r="CM1375" s="4303"/>
      <c r="CN1375" s="4303"/>
      <c r="CO1375" s="4303"/>
      <c r="CP1375" s="4303"/>
      <c r="CQ1375" s="4303"/>
      <c r="CR1375" s="4303"/>
      <c r="CS1375" s="4303"/>
      <c r="CT1375" s="4303"/>
      <c r="CU1375" s="4303"/>
      <c r="CV1375" s="4303"/>
      <c r="CW1375" s="4303"/>
      <c r="CX1375" s="4303"/>
      <c r="CY1375" s="4303"/>
      <c r="CZ1375" s="4303"/>
      <c r="DA1375" s="4303"/>
      <c r="DB1375" s="4303"/>
      <c r="DC1375" s="4303"/>
      <c r="DD1375" s="4303"/>
      <c r="DE1375" s="4303"/>
      <c r="DF1375" s="4303"/>
      <c r="DG1375" s="4303"/>
      <c r="DH1375" s="4303"/>
      <c r="DI1375" s="4303"/>
      <c r="DJ1375" s="4303"/>
      <c r="DK1375" s="4303"/>
      <c r="DL1375" s="4303"/>
      <c r="DM1375" s="4303"/>
      <c r="DN1375" s="4303"/>
      <c r="DO1375" s="4303"/>
      <c r="DP1375" s="4303"/>
      <c r="DQ1375" s="4303"/>
      <c r="DR1375" s="4303"/>
      <c r="DS1375" s="4303"/>
      <c r="DT1375" s="4134"/>
      <c r="DU1375" s="4134"/>
    </row>
    <row r="1376" s="4133" customFormat="1" ht="15.75" hidden="1" spans="1:125">
      <c r="A1376" s="4397"/>
      <c r="B1376" s="4292"/>
      <c r="C1376" s="4292"/>
      <c r="D1376" s="4292"/>
      <c r="E1376" s="4292"/>
      <c r="F1376" s="4292"/>
      <c r="G1376" s="4292"/>
      <c r="H1376" s="4292"/>
      <c r="I1376" s="4292"/>
      <c r="J1376" s="4292"/>
      <c r="K1376" s="4292"/>
      <c r="L1376" s="4292"/>
      <c r="M1376" s="4292"/>
      <c r="N1376" s="4292"/>
      <c r="O1376" s="4292"/>
      <c r="P1376" s="4292"/>
      <c r="Q1376" s="4292"/>
      <c r="R1376" s="4292"/>
      <c r="S1376" s="4292"/>
      <c r="T1376" s="4292"/>
      <c r="U1376" s="4292"/>
      <c r="V1376" s="4292"/>
      <c r="W1376" s="4292"/>
      <c r="X1376" s="4292"/>
      <c r="Y1376" s="4292"/>
      <c r="Z1376" s="4292"/>
      <c r="AA1376" s="4292"/>
      <c r="AB1376" s="4292"/>
      <c r="AC1376" s="4292"/>
      <c r="AD1376" s="4292"/>
      <c r="AE1376" s="4292"/>
      <c r="AF1376" s="4292"/>
      <c r="AG1376" s="4292"/>
      <c r="AH1376" s="4292"/>
      <c r="AI1376" s="4292"/>
      <c r="AJ1376" s="4292"/>
      <c r="AK1376" s="4292"/>
      <c r="AL1376" s="4292"/>
      <c r="AM1376" s="4292"/>
      <c r="AN1376" s="4292"/>
      <c r="AO1376" s="4292"/>
      <c r="AP1376" s="4292"/>
      <c r="AQ1376" s="4292"/>
      <c r="AR1376" s="4292"/>
      <c r="AS1376" s="4292"/>
      <c r="AT1376" s="4292"/>
      <c r="AU1376" s="4292"/>
      <c r="AV1376" s="4292"/>
      <c r="AW1376" s="4292"/>
      <c r="AX1376" s="4292"/>
      <c r="AY1376" s="4292"/>
      <c r="AZ1376" s="4292"/>
      <c r="BA1376" s="4292"/>
      <c r="BB1376" s="4292"/>
      <c r="BC1376" s="4292"/>
      <c r="BD1376" s="4303"/>
      <c r="BE1376" s="4303"/>
      <c r="BF1376" s="4303"/>
      <c r="BG1376" s="4303"/>
      <c r="BH1376" s="4303"/>
      <c r="BI1376" s="4303"/>
      <c r="BJ1376" s="4303"/>
      <c r="BK1376" s="4303"/>
      <c r="BL1376" s="4303"/>
      <c r="BM1376" s="4303"/>
      <c r="BN1376" s="4303"/>
      <c r="BO1376" s="4303"/>
      <c r="BP1376" s="4303"/>
      <c r="BQ1376" s="4303"/>
      <c r="BR1376" s="4303"/>
      <c r="BS1376" s="4303"/>
      <c r="BT1376" s="4303"/>
      <c r="BU1376" s="4303"/>
      <c r="BV1376" s="4303"/>
      <c r="BW1376" s="4303"/>
      <c r="BX1376" s="4303"/>
      <c r="BY1376" s="4303"/>
      <c r="BZ1376" s="4303"/>
      <c r="CA1376" s="4303"/>
      <c r="CB1376" s="4303"/>
      <c r="CC1376" s="4303"/>
      <c r="CD1376" s="4303"/>
      <c r="CE1376" s="4303"/>
      <c r="CF1376" s="4303"/>
      <c r="CG1376" s="4303"/>
      <c r="CH1376" s="4303"/>
      <c r="CI1376" s="4303"/>
      <c r="CJ1376" s="4303"/>
      <c r="CK1376" s="4303"/>
      <c r="CL1376" s="4303"/>
      <c r="CM1376" s="4303"/>
      <c r="CN1376" s="4303"/>
      <c r="CO1376" s="4303"/>
      <c r="CP1376" s="4303"/>
      <c r="CQ1376" s="4303"/>
      <c r="CR1376" s="4303"/>
      <c r="CS1376" s="4303"/>
      <c r="CT1376" s="4303"/>
      <c r="CU1376" s="4303"/>
      <c r="CV1376" s="4303"/>
      <c r="CW1376" s="4303"/>
      <c r="CX1376" s="4303"/>
      <c r="CY1376" s="4303"/>
      <c r="CZ1376" s="4303"/>
      <c r="DA1376" s="4303"/>
      <c r="DB1376" s="4303"/>
      <c r="DC1376" s="4303"/>
      <c r="DD1376" s="4303"/>
      <c r="DE1376" s="4303"/>
      <c r="DF1376" s="4303"/>
      <c r="DG1376" s="4303"/>
      <c r="DH1376" s="4303"/>
      <c r="DI1376" s="4303"/>
      <c r="DJ1376" s="4303"/>
      <c r="DK1376" s="4303"/>
      <c r="DL1376" s="4303"/>
      <c r="DM1376" s="4303"/>
      <c r="DN1376" s="4303"/>
      <c r="DO1376" s="4303"/>
      <c r="DP1376" s="4303"/>
      <c r="DQ1376" s="4303"/>
      <c r="DR1376" s="4303"/>
      <c r="DS1376" s="4303"/>
      <c r="DT1376" s="4134"/>
      <c r="DU1376" s="4134"/>
    </row>
    <row r="1377" s="4133" customFormat="1" ht="15.75" hidden="1" spans="1:125">
      <c r="A1377" s="4397"/>
      <c r="B1377" s="4292"/>
      <c r="C1377" s="4292"/>
      <c r="D1377" s="4292"/>
      <c r="E1377" s="4292"/>
      <c r="F1377" s="4292"/>
      <c r="G1377" s="4292"/>
      <c r="H1377" s="4292"/>
      <c r="I1377" s="4292"/>
      <c r="J1377" s="4292"/>
      <c r="K1377" s="4292"/>
      <c r="L1377" s="4292"/>
      <c r="M1377" s="4292"/>
      <c r="N1377" s="4292"/>
      <c r="O1377" s="4292"/>
      <c r="P1377" s="4292"/>
      <c r="Q1377" s="4292"/>
      <c r="R1377" s="4292"/>
      <c r="S1377" s="4292"/>
      <c r="T1377" s="4292"/>
      <c r="U1377" s="4292"/>
      <c r="V1377" s="4292"/>
      <c r="W1377" s="4292"/>
      <c r="X1377" s="4292"/>
      <c r="Y1377" s="4292"/>
      <c r="Z1377" s="4292"/>
      <c r="AA1377" s="4292"/>
      <c r="AB1377" s="4292"/>
      <c r="AC1377" s="4292"/>
      <c r="AD1377" s="4292"/>
      <c r="AE1377" s="4292"/>
      <c r="AF1377" s="4292"/>
      <c r="AG1377" s="4292"/>
      <c r="AH1377" s="4292"/>
      <c r="AI1377" s="4292"/>
      <c r="AJ1377" s="4292"/>
      <c r="AK1377" s="4292"/>
      <c r="AL1377" s="4292"/>
      <c r="AM1377" s="4292"/>
      <c r="AN1377" s="4292"/>
      <c r="AO1377" s="4292"/>
      <c r="AP1377" s="4292"/>
      <c r="AQ1377" s="4292"/>
      <c r="AR1377" s="4292"/>
      <c r="AS1377" s="4292"/>
      <c r="AT1377" s="4292"/>
      <c r="AU1377" s="4292"/>
      <c r="AV1377" s="4292"/>
      <c r="AW1377" s="4292"/>
      <c r="AX1377" s="4292"/>
      <c r="AY1377" s="4292"/>
      <c r="AZ1377" s="4292"/>
      <c r="BA1377" s="4292"/>
      <c r="BB1377" s="4292"/>
      <c r="BC1377" s="4292"/>
      <c r="BD1377" s="4303"/>
      <c r="BE1377" s="4303"/>
      <c r="BF1377" s="4303"/>
      <c r="BG1377" s="4303"/>
      <c r="BH1377" s="4303"/>
      <c r="BI1377" s="4303"/>
      <c r="BJ1377" s="4303"/>
      <c r="BK1377" s="4303"/>
      <c r="BL1377" s="4303"/>
      <c r="BM1377" s="4303"/>
      <c r="BN1377" s="4303"/>
      <c r="BO1377" s="4303"/>
      <c r="BP1377" s="4303"/>
      <c r="BQ1377" s="4303"/>
      <c r="BR1377" s="4303"/>
      <c r="BS1377" s="4303"/>
      <c r="BT1377" s="4303"/>
      <c r="BU1377" s="4303"/>
      <c r="BV1377" s="4303"/>
      <c r="BW1377" s="4303"/>
      <c r="BX1377" s="4303"/>
      <c r="BY1377" s="4303"/>
      <c r="BZ1377" s="4303"/>
      <c r="CA1377" s="4303"/>
      <c r="CB1377" s="4303"/>
      <c r="CC1377" s="4303"/>
      <c r="CD1377" s="4303"/>
      <c r="CE1377" s="4303"/>
      <c r="CF1377" s="4303"/>
      <c r="CG1377" s="4303"/>
      <c r="CH1377" s="4303"/>
      <c r="CI1377" s="4303"/>
      <c r="CJ1377" s="4303"/>
      <c r="CK1377" s="4303"/>
      <c r="CL1377" s="4303"/>
      <c r="CM1377" s="4303"/>
      <c r="CN1377" s="4303"/>
      <c r="CO1377" s="4303"/>
      <c r="CP1377" s="4303"/>
      <c r="CQ1377" s="4303"/>
      <c r="CR1377" s="4303"/>
      <c r="CS1377" s="4303"/>
      <c r="CT1377" s="4303"/>
      <c r="CU1377" s="4303"/>
      <c r="CV1377" s="4303"/>
      <c r="CW1377" s="4303"/>
      <c r="CX1377" s="4303"/>
      <c r="CY1377" s="4303"/>
      <c r="CZ1377" s="4303"/>
      <c r="DA1377" s="4303"/>
      <c r="DB1377" s="4303"/>
      <c r="DC1377" s="4303"/>
      <c r="DD1377" s="4303"/>
      <c r="DE1377" s="4303"/>
      <c r="DF1377" s="4303"/>
      <c r="DG1377" s="4303"/>
      <c r="DH1377" s="4303"/>
      <c r="DI1377" s="4303"/>
      <c r="DJ1377" s="4303"/>
      <c r="DK1377" s="4303"/>
      <c r="DL1377" s="4303"/>
      <c r="DM1377" s="4303"/>
      <c r="DN1377" s="4303"/>
      <c r="DO1377" s="4303"/>
      <c r="DP1377" s="4303"/>
      <c r="DQ1377" s="4303"/>
      <c r="DR1377" s="4303"/>
      <c r="DS1377" s="4303"/>
      <c r="DT1377" s="4134"/>
      <c r="DU1377" s="4134"/>
    </row>
    <row r="1378" s="4133" customFormat="1" ht="15.75" hidden="1" spans="1:125">
      <c r="A1378" s="4397"/>
      <c r="B1378" s="4292"/>
      <c r="C1378" s="4292"/>
      <c r="D1378" s="4292"/>
      <c r="E1378" s="4292"/>
      <c r="F1378" s="4292"/>
      <c r="G1378" s="4292"/>
      <c r="H1378" s="4292"/>
      <c r="I1378" s="4292"/>
      <c r="J1378" s="4292"/>
      <c r="K1378" s="4292"/>
      <c r="L1378" s="4292"/>
      <c r="M1378" s="4292"/>
      <c r="N1378" s="4292"/>
      <c r="O1378" s="4292"/>
      <c r="P1378" s="4292"/>
      <c r="Q1378" s="4292"/>
      <c r="R1378" s="4292"/>
      <c r="S1378" s="4292"/>
      <c r="T1378" s="4292"/>
      <c r="U1378" s="4292"/>
      <c r="V1378" s="4292"/>
      <c r="W1378" s="4292"/>
      <c r="X1378" s="4292"/>
      <c r="Y1378" s="4292"/>
      <c r="Z1378" s="4292"/>
      <c r="AA1378" s="4292"/>
      <c r="AB1378" s="4292"/>
      <c r="AC1378" s="4292"/>
      <c r="AD1378" s="4292"/>
      <c r="AE1378" s="4292"/>
      <c r="AF1378" s="4292"/>
      <c r="AG1378" s="4292"/>
      <c r="AH1378" s="4292"/>
      <c r="AI1378" s="4292"/>
      <c r="AJ1378" s="4292"/>
      <c r="AK1378" s="4292"/>
      <c r="AL1378" s="4292"/>
      <c r="AM1378" s="4292"/>
      <c r="AN1378" s="4292"/>
      <c r="AO1378" s="4292"/>
      <c r="AP1378" s="4292"/>
      <c r="AQ1378" s="4292"/>
      <c r="AR1378" s="4292"/>
      <c r="AS1378" s="4292"/>
      <c r="AT1378" s="4292"/>
      <c r="AU1378" s="4292"/>
      <c r="AV1378" s="4292"/>
      <c r="AW1378" s="4292"/>
      <c r="AX1378" s="4292"/>
      <c r="AY1378" s="4292"/>
      <c r="AZ1378" s="4292"/>
      <c r="BA1378" s="4292"/>
      <c r="BB1378" s="4292"/>
      <c r="BC1378" s="4292"/>
      <c r="BD1378" s="4303"/>
      <c r="BE1378" s="4303"/>
      <c r="BF1378" s="4303"/>
      <c r="BG1378" s="4303"/>
      <c r="BH1378" s="4303"/>
      <c r="BI1378" s="4303"/>
      <c r="BJ1378" s="4303"/>
      <c r="BK1378" s="4303"/>
      <c r="BL1378" s="4303"/>
      <c r="BM1378" s="4303"/>
      <c r="BN1378" s="4303"/>
      <c r="BO1378" s="4303"/>
      <c r="BP1378" s="4303"/>
      <c r="BQ1378" s="4303"/>
      <c r="BR1378" s="4303"/>
      <c r="BS1378" s="4303"/>
      <c r="BT1378" s="4303"/>
      <c r="BU1378" s="4303"/>
      <c r="BV1378" s="4303"/>
      <c r="BW1378" s="4303"/>
      <c r="BX1378" s="4303"/>
      <c r="BY1378" s="4303"/>
      <c r="BZ1378" s="4303"/>
      <c r="CA1378" s="4303"/>
      <c r="CB1378" s="4303"/>
      <c r="CC1378" s="4303"/>
      <c r="CD1378" s="4303"/>
      <c r="CE1378" s="4303"/>
      <c r="CF1378" s="4303"/>
      <c r="CG1378" s="4303"/>
      <c r="CH1378" s="4303"/>
      <c r="CI1378" s="4303"/>
      <c r="CJ1378" s="4303"/>
      <c r="CK1378" s="4303"/>
      <c r="CL1378" s="4303"/>
      <c r="CM1378" s="4303"/>
      <c r="CN1378" s="4303"/>
      <c r="CO1378" s="4303"/>
      <c r="CP1378" s="4303"/>
      <c r="CQ1378" s="4303"/>
      <c r="CR1378" s="4303"/>
      <c r="CS1378" s="4303"/>
      <c r="CT1378" s="4303"/>
      <c r="CU1378" s="4303"/>
      <c r="CV1378" s="4303"/>
      <c r="CW1378" s="4303"/>
      <c r="CX1378" s="4303"/>
      <c r="CY1378" s="4303"/>
      <c r="CZ1378" s="4303"/>
      <c r="DA1378" s="4303"/>
      <c r="DB1378" s="4303"/>
      <c r="DC1378" s="4303"/>
      <c r="DD1378" s="4303"/>
      <c r="DE1378" s="4303"/>
      <c r="DF1378" s="4303"/>
      <c r="DG1378" s="4303"/>
      <c r="DH1378" s="4303"/>
      <c r="DI1378" s="4303"/>
      <c r="DJ1378" s="4303"/>
      <c r="DK1378" s="4303"/>
      <c r="DL1378" s="4303"/>
      <c r="DM1378" s="4303"/>
      <c r="DN1378" s="4303"/>
      <c r="DO1378" s="4303"/>
      <c r="DP1378" s="4303"/>
      <c r="DQ1378" s="4303"/>
      <c r="DR1378" s="4303"/>
      <c r="DS1378" s="4303"/>
      <c r="DT1378" s="4134"/>
      <c r="DU1378" s="4134"/>
    </row>
    <row r="1379" s="4133" customFormat="1" ht="15.75" hidden="1" spans="1:125">
      <c r="A1379" s="4397"/>
      <c r="B1379" s="4292"/>
      <c r="C1379" s="4292"/>
      <c r="D1379" s="4292"/>
      <c r="E1379" s="4292"/>
      <c r="F1379" s="4292"/>
      <c r="G1379" s="4292"/>
      <c r="H1379" s="4292"/>
      <c r="I1379" s="4292"/>
      <c r="J1379" s="4292"/>
      <c r="K1379" s="4292"/>
      <c r="L1379" s="4292"/>
      <c r="M1379" s="4292"/>
      <c r="N1379" s="4292"/>
      <c r="O1379" s="4292"/>
      <c r="P1379" s="4292"/>
      <c r="Q1379" s="4292"/>
      <c r="R1379" s="4292"/>
      <c r="S1379" s="4292"/>
      <c r="T1379" s="4292"/>
      <c r="U1379" s="4292"/>
      <c r="V1379" s="4292"/>
      <c r="W1379" s="4292"/>
      <c r="X1379" s="4292"/>
      <c r="Y1379" s="4292"/>
      <c r="Z1379" s="4292"/>
      <c r="AA1379" s="4292"/>
      <c r="AB1379" s="4292"/>
      <c r="AC1379" s="4292"/>
      <c r="AD1379" s="4292"/>
      <c r="AE1379" s="4292"/>
      <c r="AF1379" s="4292"/>
      <c r="AG1379" s="4292"/>
      <c r="AH1379" s="4292"/>
      <c r="AI1379" s="4292"/>
      <c r="AJ1379" s="4292"/>
      <c r="AK1379" s="4292"/>
      <c r="AL1379" s="4292"/>
      <c r="AM1379" s="4292"/>
      <c r="AN1379" s="4292"/>
      <c r="AO1379" s="4292"/>
      <c r="AP1379" s="4292"/>
      <c r="AQ1379" s="4292"/>
      <c r="AR1379" s="4292"/>
      <c r="AS1379" s="4292"/>
      <c r="AT1379" s="4292"/>
      <c r="AU1379" s="4292"/>
      <c r="AV1379" s="4292"/>
      <c r="AW1379" s="4292"/>
      <c r="AX1379" s="4292"/>
      <c r="AY1379" s="4292"/>
      <c r="AZ1379" s="4292"/>
      <c r="BA1379" s="4292"/>
      <c r="BB1379" s="4292"/>
      <c r="BC1379" s="4292"/>
      <c r="BD1379" s="4303"/>
      <c r="BE1379" s="4303"/>
      <c r="BF1379" s="4303"/>
      <c r="BG1379" s="4303"/>
      <c r="BH1379" s="4303"/>
      <c r="BI1379" s="4303"/>
      <c r="BJ1379" s="4303"/>
      <c r="BK1379" s="4303"/>
      <c r="BL1379" s="4303"/>
      <c r="BM1379" s="4303"/>
      <c r="BN1379" s="4303"/>
      <c r="BO1379" s="4303"/>
      <c r="BP1379" s="4303"/>
      <c r="BQ1379" s="4303"/>
      <c r="BR1379" s="4303"/>
      <c r="BS1379" s="4303"/>
      <c r="BT1379" s="4303"/>
      <c r="BU1379" s="4303"/>
      <c r="BV1379" s="4303"/>
      <c r="BW1379" s="4303"/>
      <c r="BX1379" s="4303"/>
      <c r="BY1379" s="4303"/>
      <c r="BZ1379" s="4303"/>
      <c r="CA1379" s="4303"/>
      <c r="CB1379" s="4303"/>
      <c r="CC1379" s="4303"/>
      <c r="CD1379" s="4303"/>
      <c r="CE1379" s="4303"/>
      <c r="CF1379" s="4303"/>
      <c r="CG1379" s="4303"/>
      <c r="CH1379" s="4303"/>
      <c r="CI1379" s="4303"/>
      <c r="CJ1379" s="4303"/>
      <c r="CK1379" s="4303"/>
      <c r="CL1379" s="4303"/>
      <c r="CM1379" s="4303"/>
      <c r="CN1379" s="4303"/>
      <c r="CO1379" s="4303"/>
      <c r="CP1379" s="4303"/>
      <c r="CQ1379" s="4303"/>
      <c r="CR1379" s="4303"/>
      <c r="CS1379" s="4303"/>
      <c r="CT1379" s="4303"/>
      <c r="CU1379" s="4303"/>
      <c r="CV1379" s="4303"/>
      <c r="CW1379" s="4303"/>
      <c r="CX1379" s="4303"/>
      <c r="CY1379" s="4303"/>
      <c r="CZ1379" s="4303"/>
      <c r="DA1379" s="4303"/>
      <c r="DB1379" s="4303"/>
      <c r="DC1379" s="4303"/>
      <c r="DD1379" s="4303"/>
      <c r="DE1379" s="4303"/>
      <c r="DF1379" s="4303"/>
      <c r="DG1379" s="4303"/>
      <c r="DH1379" s="4303"/>
      <c r="DI1379" s="4303"/>
      <c r="DJ1379" s="4303"/>
      <c r="DK1379" s="4303"/>
      <c r="DL1379" s="4303"/>
      <c r="DM1379" s="4303"/>
      <c r="DN1379" s="4303"/>
      <c r="DO1379" s="4303"/>
      <c r="DP1379" s="4303"/>
      <c r="DQ1379" s="4303"/>
      <c r="DR1379" s="4303"/>
      <c r="DS1379" s="4303"/>
      <c r="DT1379" s="4134"/>
      <c r="DU1379" s="4134"/>
    </row>
    <row r="1380" s="4133" customFormat="1" ht="15.75" hidden="1" spans="1:125">
      <c r="A1380" s="4397"/>
      <c r="B1380" s="4292"/>
      <c r="C1380" s="4292"/>
      <c r="D1380" s="4292"/>
      <c r="E1380" s="4292"/>
      <c r="F1380" s="4292"/>
      <c r="G1380" s="4292"/>
      <c r="H1380" s="4292"/>
      <c r="I1380" s="4292"/>
      <c r="J1380" s="4292"/>
      <c r="K1380" s="4292"/>
      <c r="L1380" s="4292"/>
      <c r="M1380" s="4292"/>
      <c r="N1380" s="4292"/>
      <c r="O1380" s="4292"/>
      <c r="P1380" s="4292"/>
      <c r="Q1380" s="4292"/>
      <c r="R1380" s="4292"/>
      <c r="S1380" s="4292"/>
      <c r="T1380" s="4292"/>
      <c r="U1380" s="4292"/>
      <c r="V1380" s="4292"/>
      <c r="W1380" s="4292"/>
      <c r="X1380" s="4292"/>
      <c r="Y1380" s="4292"/>
      <c r="Z1380" s="4292"/>
      <c r="AA1380" s="4292"/>
      <c r="AB1380" s="4292"/>
      <c r="AC1380" s="4292"/>
      <c r="AD1380" s="4292"/>
      <c r="AE1380" s="4292"/>
      <c r="AF1380" s="4292"/>
      <c r="AG1380" s="4292"/>
      <c r="AH1380" s="4292"/>
      <c r="AI1380" s="4292"/>
      <c r="AJ1380" s="4292"/>
      <c r="AK1380" s="4292"/>
      <c r="AL1380" s="4292"/>
      <c r="AM1380" s="4292"/>
      <c r="AN1380" s="4292"/>
      <c r="AO1380" s="4292"/>
      <c r="AP1380" s="4292"/>
      <c r="AQ1380" s="4292"/>
      <c r="AR1380" s="4292"/>
      <c r="AS1380" s="4292"/>
      <c r="AT1380" s="4292"/>
      <c r="AU1380" s="4292"/>
      <c r="AV1380" s="4292"/>
      <c r="AW1380" s="4292"/>
      <c r="AX1380" s="4292"/>
      <c r="AY1380" s="4292"/>
      <c r="AZ1380" s="4292"/>
      <c r="BA1380" s="4292"/>
      <c r="BB1380" s="4292"/>
      <c r="BC1380" s="4292"/>
      <c r="BD1380" s="4303"/>
      <c r="BE1380" s="4303"/>
      <c r="BF1380" s="4303"/>
      <c r="BG1380" s="4303"/>
      <c r="BH1380" s="4303"/>
      <c r="BI1380" s="4303"/>
      <c r="BJ1380" s="4303"/>
      <c r="BK1380" s="4303"/>
      <c r="BL1380" s="4303"/>
      <c r="BM1380" s="4303"/>
      <c r="BN1380" s="4303"/>
      <c r="BO1380" s="4303"/>
      <c r="BP1380" s="4303"/>
      <c r="BQ1380" s="4303"/>
      <c r="BR1380" s="4303"/>
      <c r="BS1380" s="4303"/>
      <c r="BT1380" s="4303"/>
      <c r="BU1380" s="4303"/>
      <c r="BV1380" s="4303"/>
      <c r="BW1380" s="4303"/>
      <c r="BX1380" s="4303"/>
      <c r="BY1380" s="4303"/>
      <c r="BZ1380" s="4303"/>
      <c r="CA1380" s="4303"/>
      <c r="CB1380" s="4303"/>
      <c r="CC1380" s="4303"/>
      <c r="CD1380" s="4303"/>
      <c r="CE1380" s="4303"/>
      <c r="CF1380" s="4303"/>
      <c r="CG1380" s="4303"/>
      <c r="CH1380" s="4303"/>
      <c r="CI1380" s="4303"/>
      <c r="CJ1380" s="4303"/>
      <c r="CK1380" s="4303"/>
      <c r="CL1380" s="4303"/>
      <c r="CM1380" s="4303"/>
      <c r="CN1380" s="4303"/>
      <c r="CO1380" s="4303"/>
      <c r="CP1380" s="4303"/>
      <c r="CQ1380" s="4303"/>
      <c r="CR1380" s="4303"/>
      <c r="CS1380" s="4303"/>
      <c r="CT1380" s="4303"/>
      <c r="CU1380" s="4303"/>
      <c r="CV1380" s="4303"/>
      <c r="CW1380" s="4303"/>
      <c r="CX1380" s="4303"/>
      <c r="CY1380" s="4303"/>
      <c r="CZ1380" s="4303"/>
      <c r="DA1380" s="4303"/>
      <c r="DB1380" s="4303"/>
      <c r="DC1380" s="4303"/>
      <c r="DD1380" s="4303"/>
      <c r="DE1380" s="4303"/>
      <c r="DF1380" s="4303"/>
      <c r="DG1380" s="4303"/>
      <c r="DH1380" s="4303"/>
      <c r="DI1380" s="4303"/>
      <c r="DJ1380" s="4303"/>
      <c r="DK1380" s="4303"/>
      <c r="DL1380" s="4303"/>
      <c r="DM1380" s="4303"/>
      <c r="DN1380" s="4303"/>
      <c r="DO1380" s="4303"/>
      <c r="DP1380" s="4303"/>
      <c r="DQ1380" s="4303"/>
      <c r="DR1380" s="4303"/>
      <c r="DS1380" s="4303"/>
      <c r="DT1380" s="4134"/>
      <c r="DU1380" s="4134"/>
    </row>
    <row r="1381" s="4133" customFormat="1" ht="15.75" hidden="1" spans="1:125">
      <c r="A1381" s="4397"/>
      <c r="B1381" s="4292"/>
      <c r="C1381" s="4292"/>
      <c r="D1381" s="4292"/>
      <c r="E1381" s="4292"/>
      <c r="F1381" s="4292"/>
      <c r="G1381" s="4292"/>
      <c r="H1381" s="4292"/>
      <c r="I1381" s="4292"/>
      <c r="J1381" s="4292"/>
      <c r="K1381" s="4292"/>
      <c r="L1381" s="4292"/>
      <c r="M1381" s="4292"/>
      <c r="N1381" s="4292"/>
      <c r="O1381" s="4292"/>
      <c r="P1381" s="4292"/>
      <c r="Q1381" s="4292"/>
      <c r="R1381" s="4292"/>
      <c r="S1381" s="4292"/>
      <c r="T1381" s="4292"/>
      <c r="U1381" s="4292"/>
      <c r="V1381" s="4292"/>
      <c r="W1381" s="4292"/>
      <c r="X1381" s="4292"/>
      <c r="Y1381" s="4292"/>
      <c r="Z1381" s="4292"/>
      <c r="AA1381" s="4292"/>
      <c r="AB1381" s="4292"/>
      <c r="AC1381" s="4292"/>
      <c r="AD1381" s="4292"/>
      <c r="AE1381" s="4292"/>
      <c r="AF1381" s="4292"/>
      <c r="AG1381" s="4292"/>
      <c r="AH1381" s="4292"/>
      <c r="AI1381" s="4292"/>
      <c r="AJ1381" s="4292"/>
      <c r="AK1381" s="4292"/>
      <c r="AL1381" s="4292"/>
      <c r="AM1381" s="4292"/>
      <c r="AN1381" s="4292"/>
      <c r="AO1381" s="4292"/>
      <c r="AP1381" s="4292"/>
      <c r="AQ1381" s="4292"/>
      <c r="AR1381" s="4292"/>
      <c r="AS1381" s="4292"/>
      <c r="AT1381" s="4292"/>
      <c r="AU1381" s="4292"/>
      <c r="AV1381" s="4292"/>
      <c r="AW1381" s="4292"/>
      <c r="AX1381" s="4292"/>
      <c r="AY1381" s="4292"/>
      <c r="AZ1381" s="4292"/>
      <c r="BA1381" s="4292"/>
      <c r="BB1381" s="4292"/>
      <c r="BC1381" s="4292"/>
      <c r="BD1381" s="4303"/>
      <c r="BE1381" s="4303"/>
      <c r="BF1381" s="4303"/>
      <c r="BG1381" s="4303"/>
      <c r="BH1381" s="4303"/>
      <c r="BI1381" s="4303"/>
      <c r="BJ1381" s="4303"/>
      <c r="BK1381" s="4303"/>
      <c r="BL1381" s="4303"/>
      <c r="BM1381" s="4303"/>
      <c r="BN1381" s="4303"/>
      <c r="BO1381" s="4303"/>
      <c r="BP1381" s="4303"/>
      <c r="BQ1381" s="4303"/>
      <c r="BR1381" s="4303"/>
      <c r="BS1381" s="4303"/>
      <c r="BT1381" s="4303"/>
      <c r="BU1381" s="4303"/>
      <c r="BV1381" s="4303"/>
      <c r="BW1381" s="4303"/>
      <c r="BX1381" s="4303"/>
      <c r="BY1381" s="4303"/>
      <c r="BZ1381" s="4303"/>
      <c r="CA1381" s="4303"/>
      <c r="CB1381" s="4303"/>
      <c r="CC1381" s="4303"/>
      <c r="CD1381" s="4303"/>
      <c r="CE1381" s="4303"/>
      <c r="CF1381" s="4303"/>
      <c r="CG1381" s="4303"/>
      <c r="CH1381" s="4303"/>
      <c r="CI1381" s="4303"/>
      <c r="CJ1381" s="4303"/>
      <c r="CK1381" s="4303"/>
      <c r="CL1381" s="4303"/>
      <c r="CM1381" s="4303"/>
      <c r="CN1381" s="4303"/>
      <c r="CO1381" s="4303"/>
      <c r="CP1381" s="4303"/>
      <c r="CQ1381" s="4303"/>
      <c r="CR1381" s="4303"/>
      <c r="CS1381" s="4303"/>
      <c r="CT1381" s="4303"/>
      <c r="CU1381" s="4303"/>
      <c r="CV1381" s="4303"/>
      <c r="CW1381" s="4303"/>
      <c r="CX1381" s="4303"/>
      <c r="CY1381" s="4303"/>
      <c r="CZ1381" s="4303"/>
      <c r="DA1381" s="4303"/>
      <c r="DB1381" s="4303"/>
      <c r="DC1381" s="4303"/>
      <c r="DD1381" s="4303"/>
      <c r="DE1381" s="4303"/>
      <c r="DF1381" s="4303"/>
      <c r="DG1381" s="4303"/>
      <c r="DH1381" s="4303"/>
      <c r="DI1381" s="4303"/>
      <c r="DJ1381" s="4303"/>
      <c r="DK1381" s="4303"/>
      <c r="DL1381" s="4303"/>
      <c r="DM1381" s="4303"/>
      <c r="DN1381" s="4303"/>
      <c r="DO1381" s="4303"/>
      <c r="DP1381" s="4303"/>
      <c r="DQ1381" s="4303"/>
      <c r="DR1381" s="4303"/>
      <c r="DS1381" s="4303"/>
      <c r="DT1381" s="4134"/>
      <c r="DU1381" s="4134"/>
    </row>
    <row r="1382" s="4133" customFormat="1" ht="15.75" hidden="1" spans="1:125">
      <c r="A1382" s="4397"/>
      <c r="B1382" s="4292"/>
      <c r="C1382" s="4292"/>
      <c r="D1382" s="4292"/>
      <c r="E1382" s="4292"/>
      <c r="F1382" s="4292"/>
      <c r="G1382" s="4292"/>
      <c r="H1382" s="4292"/>
      <c r="I1382" s="4292"/>
      <c r="J1382" s="4292"/>
      <c r="K1382" s="4292"/>
      <c r="L1382" s="4292"/>
      <c r="M1382" s="4292"/>
      <c r="N1382" s="4292"/>
      <c r="O1382" s="4292"/>
      <c r="P1382" s="4292"/>
      <c r="Q1382" s="4292"/>
      <c r="R1382" s="4292"/>
      <c r="S1382" s="4292"/>
      <c r="T1382" s="4292"/>
      <c r="U1382" s="4292"/>
      <c r="V1382" s="4292"/>
      <c r="W1382" s="4292"/>
      <c r="X1382" s="4292"/>
      <c r="Y1382" s="4292"/>
      <c r="Z1382" s="4292"/>
      <c r="AA1382" s="4292"/>
      <c r="AB1382" s="4292"/>
      <c r="AC1382" s="4292"/>
      <c r="AD1382" s="4292"/>
      <c r="AE1382" s="4292"/>
      <c r="AF1382" s="4292"/>
      <c r="AG1382" s="4292"/>
      <c r="AH1382" s="4292"/>
      <c r="AI1382" s="4292"/>
      <c r="AJ1382" s="4292"/>
      <c r="AK1382" s="4292"/>
      <c r="AL1382" s="4292"/>
      <c r="AM1382" s="4292"/>
      <c r="AN1382" s="4292"/>
      <c r="AO1382" s="4292"/>
      <c r="AP1382" s="4292"/>
      <c r="AQ1382" s="4292"/>
      <c r="AR1382" s="4292"/>
      <c r="AS1382" s="4292"/>
      <c r="AT1382" s="4292"/>
      <c r="AU1382" s="4292"/>
      <c r="AV1382" s="4292"/>
      <c r="AW1382" s="4292"/>
      <c r="AX1382" s="4292"/>
      <c r="AY1382" s="4292"/>
      <c r="AZ1382" s="4292"/>
      <c r="BA1382" s="4292"/>
      <c r="BB1382" s="4292"/>
      <c r="BC1382" s="4292"/>
      <c r="BD1382" s="4303"/>
      <c r="BE1382" s="4303"/>
      <c r="BF1382" s="4303"/>
      <c r="BG1382" s="4303"/>
      <c r="BH1382" s="4303"/>
      <c r="BI1382" s="4303"/>
      <c r="BJ1382" s="4303"/>
      <c r="BK1382" s="4303"/>
      <c r="BL1382" s="4303"/>
      <c r="BM1382" s="4303"/>
      <c r="BN1382" s="4303"/>
      <c r="BO1382" s="4303"/>
      <c r="BP1382" s="4303"/>
      <c r="BQ1382" s="4303"/>
      <c r="BR1382" s="4303"/>
      <c r="BS1382" s="4303"/>
      <c r="BT1382" s="4303"/>
      <c r="BU1382" s="4303"/>
      <c r="BV1382" s="4303"/>
      <c r="BW1382" s="4303"/>
      <c r="BX1382" s="4303"/>
      <c r="BY1382" s="4303"/>
      <c r="BZ1382" s="4303"/>
      <c r="CA1382" s="4303"/>
      <c r="CB1382" s="4303"/>
      <c r="CC1382" s="4303"/>
      <c r="CD1382" s="4303"/>
      <c r="CE1382" s="4303"/>
      <c r="CF1382" s="4303"/>
      <c r="CG1382" s="4303"/>
      <c r="CH1382" s="4303"/>
      <c r="CI1382" s="4303"/>
      <c r="CJ1382" s="4303"/>
      <c r="CK1382" s="4303"/>
      <c r="CL1382" s="4303"/>
      <c r="CM1382" s="4303"/>
      <c r="CN1382" s="4303"/>
      <c r="CO1382" s="4303"/>
      <c r="CP1382" s="4303"/>
      <c r="CQ1382" s="4303"/>
      <c r="CR1382" s="4303"/>
      <c r="CS1382" s="4303"/>
      <c r="CT1382" s="4303"/>
      <c r="CU1382" s="4303"/>
      <c r="CV1382" s="4303"/>
      <c r="CW1382" s="4303"/>
      <c r="CX1382" s="4303"/>
      <c r="CY1382" s="4303"/>
      <c r="CZ1382" s="4303"/>
      <c r="DA1382" s="4303"/>
      <c r="DB1382" s="4303"/>
      <c r="DC1382" s="4303"/>
      <c r="DD1382" s="4303"/>
      <c r="DE1382" s="4303"/>
      <c r="DF1382" s="4303"/>
      <c r="DG1382" s="4303"/>
      <c r="DH1382" s="4303"/>
      <c r="DI1382" s="4303"/>
      <c r="DJ1382" s="4303"/>
      <c r="DK1382" s="4303"/>
      <c r="DL1382" s="4303"/>
      <c r="DM1382" s="4303"/>
      <c r="DN1382" s="4303"/>
      <c r="DO1382" s="4303"/>
      <c r="DP1382" s="4303"/>
      <c r="DQ1382" s="4303"/>
      <c r="DR1382" s="4303"/>
      <c r="DS1382" s="4303"/>
      <c r="DT1382" s="4134"/>
      <c r="DU1382" s="4134"/>
    </row>
    <row r="1383" s="4133" customFormat="1" ht="15.75" hidden="1" spans="1:125">
      <c r="A1383" s="4397"/>
      <c r="B1383" s="4292"/>
      <c r="C1383" s="4292"/>
      <c r="D1383" s="4292"/>
      <c r="E1383" s="4292"/>
      <c r="F1383" s="4292"/>
      <c r="G1383" s="4292"/>
      <c r="H1383" s="4292"/>
      <c r="I1383" s="4292"/>
      <c r="J1383" s="4292"/>
      <c r="K1383" s="4292"/>
      <c r="L1383" s="4292"/>
      <c r="M1383" s="4292"/>
      <c r="N1383" s="4292"/>
      <c r="O1383" s="4292"/>
      <c r="P1383" s="4292"/>
      <c r="Q1383" s="4292"/>
      <c r="R1383" s="4292"/>
      <c r="S1383" s="4292"/>
      <c r="T1383" s="4292"/>
      <c r="U1383" s="4292"/>
      <c r="V1383" s="4292"/>
      <c r="W1383" s="4292"/>
      <c r="X1383" s="4292"/>
      <c r="Y1383" s="4292"/>
      <c r="Z1383" s="4292"/>
      <c r="AA1383" s="4292"/>
      <c r="AB1383" s="4292"/>
      <c r="AC1383" s="4292"/>
      <c r="AD1383" s="4292"/>
      <c r="AE1383" s="4292"/>
      <c r="AF1383" s="4292"/>
      <c r="AG1383" s="4292"/>
      <c r="AH1383" s="4292"/>
      <c r="AI1383" s="4292"/>
      <c r="AJ1383" s="4292"/>
      <c r="AK1383" s="4292"/>
      <c r="AL1383" s="4292"/>
      <c r="AM1383" s="4292"/>
      <c r="AN1383" s="4292"/>
      <c r="AO1383" s="4292"/>
      <c r="AP1383" s="4292"/>
      <c r="AQ1383" s="4292"/>
      <c r="AR1383" s="4292"/>
      <c r="AS1383" s="4292"/>
      <c r="AT1383" s="4292"/>
      <c r="AU1383" s="4292"/>
      <c r="AV1383" s="4292"/>
      <c r="AW1383" s="4292"/>
      <c r="AX1383" s="4292"/>
      <c r="AY1383" s="4292"/>
      <c r="AZ1383" s="4292"/>
      <c r="BA1383" s="4292"/>
      <c r="BB1383" s="4292"/>
      <c r="BC1383" s="4292"/>
      <c r="BD1383" s="4303"/>
      <c r="BE1383" s="4303"/>
      <c r="BF1383" s="4303"/>
      <c r="BG1383" s="4303"/>
      <c r="BH1383" s="4303"/>
      <c r="BI1383" s="4303"/>
      <c r="BJ1383" s="4303"/>
      <c r="BK1383" s="4303"/>
      <c r="BL1383" s="4303"/>
      <c r="BM1383" s="4303"/>
      <c r="BN1383" s="4303"/>
      <c r="BO1383" s="4303"/>
      <c r="BP1383" s="4303"/>
      <c r="BQ1383" s="4303"/>
      <c r="BR1383" s="4303"/>
      <c r="BS1383" s="4303"/>
      <c r="BT1383" s="4303"/>
      <c r="BU1383" s="4303"/>
      <c r="BV1383" s="4303"/>
      <c r="BW1383" s="4303"/>
      <c r="BX1383" s="4303"/>
      <c r="BY1383" s="4303"/>
      <c r="BZ1383" s="4303"/>
      <c r="CA1383" s="4303"/>
      <c r="CB1383" s="4303"/>
      <c r="CC1383" s="4303"/>
      <c r="CD1383" s="4303"/>
      <c r="CE1383" s="4303"/>
      <c r="CF1383" s="4303"/>
      <c r="CG1383" s="4303"/>
      <c r="CH1383" s="4303"/>
      <c r="CI1383" s="4303"/>
      <c r="CJ1383" s="4303"/>
      <c r="CK1383" s="4303"/>
      <c r="CL1383" s="4303"/>
      <c r="CM1383" s="4303"/>
      <c r="CN1383" s="4303"/>
      <c r="CO1383" s="4303"/>
      <c r="CP1383" s="4303"/>
      <c r="CQ1383" s="4303"/>
      <c r="CR1383" s="4303"/>
      <c r="CS1383" s="4303"/>
      <c r="CT1383" s="4303"/>
      <c r="CU1383" s="4303"/>
      <c r="CV1383" s="4303"/>
      <c r="CW1383" s="4303"/>
      <c r="CX1383" s="4303"/>
      <c r="CY1383" s="4303"/>
      <c r="CZ1383" s="4303"/>
      <c r="DA1383" s="4303"/>
      <c r="DB1383" s="4303"/>
      <c r="DC1383" s="4303"/>
      <c r="DD1383" s="4303"/>
      <c r="DE1383" s="4303"/>
      <c r="DF1383" s="4303"/>
      <c r="DG1383" s="4303"/>
      <c r="DH1383" s="4303"/>
      <c r="DI1383" s="4303"/>
      <c r="DJ1383" s="4303"/>
      <c r="DK1383" s="4303"/>
      <c r="DL1383" s="4303"/>
      <c r="DM1383" s="4303"/>
      <c r="DN1383" s="4303"/>
      <c r="DO1383" s="4303"/>
      <c r="DP1383" s="4303"/>
      <c r="DQ1383" s="4303"/>
      <c r="DR1383" s="4303"/>
      <c r="DS1383" s="4303"/>
      <c r="DT1383" s="4134"/>
      <c r="DU1383" s="4134"/>
    </row>
    <row r="1384" s="4133" customFormat="1" ht="15.75" hidden="1" spans="1:125">
      <c r="A1384" s="4397"/>
      <c r="B1384" s="4292"/>
      <c r="C1384" s="4292"/>
      <c r="D1384" s="4292"/>
      <c r="E1384" s="4292"/>
      <c r="F1384" s="4292"/>
      <c r="G1384" s="4292"/>
      <c r="H1384" s="4292"/>
      <c r="I1384" s="4292"/>
      <c r="J1384" s="4292"/>
      <c r="K1384" s="4292"/>
      <c r="L1384" s="4292"/>
      <c r="M1384" s="4292"/>
      <c r="N1384" s="4292"/>
      <c r="O1384" s="4292"/>
      <c r="P1384" s="4292"/>
      <c r="Q1384" s="4292"/>
      <c r="R1384" s="4292"/>
      <c r="S1384" s="4292"/>
      <c r="T1384" s="4292"/>
      <c r="U1384" s="4292"/>
      <c r="V1384" s="4292"/>
      <c r="W1384" s="4292"/>
      <c r="X1384" s="4292"/>
      <c r="Y1384" s="4292"/>
      <c r="Z1384" s="4292"/>
      <c r="AA1384" s="4292"/>
      <c r="AB1384" s="4292"/>
      <c r="AC1384" s="4292"/>
      <c r="AD1384" s="4292"/>
      <c r="AE1384" s="4292"/>
      <c r="AF1384" s="4292"/>
      <c r="AG1384" s="4292"/>
      <c r="AH1384" s="4292"/>
      <c r="AI1384" s="4292"/>
      <c r="AJ1384" s="4292"/>
      <c r="AK1384" s="4292"/>
      <c r="AL1384" s="4292"/>
      <c r="AM1384" s="4292"/>
      <c r="AN1384" s="4292"/>
      <c r="AO1384" s="4292"/>
      <c r="AP1384" s="4292"/>
      <c r="AQ1384" s="4292"/>
      <c r="AR1384" s="4292"/>
      <c r="AS1384" s="4292"/>
      <c r="AT1384" s="4292"/>
      <c r="AU1384" s="4292"/>
      <c r="AV1384" s="4292"/>
      <c r="AW1384" s="4292"/>
      <c r="AX1384" s="4292"/>
      <c r="AY1384" s="4292"/>
      <c r="AZ1384" s="4292"/>
      <c r="BA1384" s="4292"/>
      <c r="BB1384" s="4292"/>
      <c r="BC1384" s="4292"/>
      <c r="BD1384" s="4303"/>
      <c r="BE1384" s="4303"/>
      <c r="BF1384" s="4303"/>
      <c r="BG1384" s="4303"/>
      <c r="BH1384" s="4303"/>
      <c r="BI1384" s="4303"/>
      <c r="BJ1384" s="4303"/>
      <c r="BK1384" s="4303"/>
      <c r="BL1384" s="4303"/>
      <c r="BM1384" s="4303"/>
      <c r="BN1384" s="4303"/>
      <c r="BO1384" s="4303"/>
      <c r="BP1384" s="4303"/>
      <c r="BQ1384" s="4303"/>
      <c r="BR1384" s="4303"/>
      <c r="BS1384" s="4303"/>
      <c r="BT1384" s="4303"/>
      <c r="BU1384" s="4303"/>
      <c r="BV1384" s="4303"/>
      <c r="BW1384" s="4303"/>
      <c r="BX1384" s="4303"/>
      <c r="BY1384" s="4303"/>
      <c r="BZ1384" s="4303"/>
      <c r="CA1384" s="4303"/>
      <c r="CB1384" s="4303"/>
      <c r="CC1384" s="4303"/>
      <c r="CD1384" s="4303"/>
      <c r="CE1384" s="4303"/>
      <c r="CF1384" s="4303"/>
      <c r="CG1384" s="4303"/>
      <c r="CH1384" s="4303"/>
      <c r="CI1384" s="4303"/>
      <c r="CJ1384" s="4303"/>
      <c r="CK1384" s="4303"/>
      <c r="CL1384" s="4303"/>
      <c r="CM1384" s="4303"/>
      <c r="CN1384" s="4303"/>
      <c r="CO1384" s="4303"/>
      <c r="CP1384" s="4303"/>
      <c r="CQ1384" s="4303"/>
      <c r="CR1384" s="4303"/>
      <c r="CS1384" s="4303"/>
      <c r="CT1384" s="4303"/>
      <c r="CU1384" s="4303"/>
      <c r="CV1384" s="4303"/>
      <c r="CW1384" s="4303"/>
      <c r="CX1384" s="4303"/>
      <c r="CY1384" s="4303"/>
      <c r="CZ1384" s="4303"/>
      <c r="DA1384" s="4303"/>
      <c r="DB1384" s="4303"/>
      <c r="DC1384" s="4303"/>
      <c r="DD1384" s="4303"/>
      <c r="DE1384" s="4303"/>
      <c r="DF1384" s="4303"/>
      <c r="DG1384" s="4303"/>
      <c r="DH1384" s="4303"/>
      <c r="DI1384" s="4303"/>
      <c r="DJ1384" s="4303"/>
      <c r="DK1384" s="4303"/>
      <c r="DL1384" s="4303"/>
      <c r="DM1384" s="4303"/>
      <c r="DN1384" s="4303"/>
      <c r="DO1384" s="4303"/>
      <c r="DP1384" s="4303"/>
      <c r="DQ1384" s="4303"/>
      <c r="DR1384" s="4303"/>
      <c r="DS1384" s="4303"/>
      <c r="DT1384" s="4134"/>
      <c r="DU1384" s="4134"/>
    </row>
    <row r="1385" s="4133" customFormat="1" ht="15.75" hidden="1" spans="1:125">
      <c r="A1385" s="4397"/>
      <c r="B1385" s="4292"/>
      <c r="C1385" s="4292"/>
      <c r="D1385" s="4292"/>
      <c r="E1385" s="4292"/>
      <c r="F1385" s="4292"/>
      <c r="G1385" s="4292"/>
      <c r="H1385" s="4292"/>
      <c r="I1385" s="4292"/>
      <c r="J1385" s="4292"/>
      <c r="K1385" s="4292"/>
      <c r="L1385" s="4292"/>
      <c r="M1385" s="4292"/>
      <c r="N1385" s="4292"/>
      <c r="O1385" s="4292"/>
      <c r="P1385" s="4292"/>
      <c r="Q1385" s="4292"/>
      <c r="R1385" s="4292"/>
      <c r="S1385" s="4292"/>
      <c r="T1385" s="4292"/>
      <c r="U1385" s="4292"/>
      <c r="V1385" s="4292"/>
      <c r="W1385" s="4292"/>
      <c r="X1385" s="4292"/>
      <c r="Y1385" s="4292"/>
      <c r="Z1385" s="4292"/>
      <c r="AA1385" s="4292"/>
      <c r="AB1385" s="4292"/>
      <c r="AC1385" s="4292"/>
      <c r="AD1385" s="4292"/>
      <c r="AE1385" s="4292"/>
      <c r="AF1385" s="4292"/>
      <c r="AG1385" s="4292"/>
      <c r="AH1385" s="4292"/>
      <c r="AI1385" s="4292"/>
      <c r="AJ1385" s="4292"/>
      <c r="AK1385" s="4292"/>
      <c r="AL1385" s="4292"/>
      <c r="AM1385" s="4292"/>
      <c r="AN1385" s="4292"/>
      <c r="AO1385" s="4292"/>
      <c r="AP1385" s="4292"/>
      <c r="AQ1385" s="4292"/>
      <c r="AR1385" s="4292"/>
      <c r="AS1385" s="4292"/>
      <c r="AT1385" s="4292"/>
      <c r="AU1385" s="4292"/>
      <c r="AV1385" s="4292"/>
      <c r="AW1385" s="4292"/>
      <c r="AX1385" s="4292"/>
      <c r="AY1385" s="4292"/>
      <c r="AZ1385" s="4292"/>
      <c r="BA1385" s="4292"/>
      <c r="BB1385" s="4292"/>
      <c r="BC1385" s="4292"/>
      <c r="BD1385" s="4303"/>
      <c r="BE1385" s="4303"/>
      <c r="BF1385" s="4303"/>
      <c r="BG1385" s="4303"/>
      <c r="BH1385" s="4303"/>
      <c r="BI1385" s="4303"/>
      <c r="BJ1385" s="4303"/>
      <c r="BK1385" s="4303"/>
      <c r="BL1385" s="4303"/>
      <c r="BM1385" s="4303"/>
      <c r="BN1385" s="4303"/>
      <c r="BO1385" s="4303"/>
      <c r="BP1385" s="4303"/>
      <c r="BQ1385" s="4303"/>
      <c r="BR1385" s="4303"/>
      <c r="BS1385" s="4303"/>
      <c r="BT1385" s="4303"/>
      <c r="BU1385" s="4303"/>
      <c r="BV1385" s="4303"/>
      <c r="BW1385" s="4303"/>
      <c r="BX1385" s="4303"/>
      <c r="BY1385" s="4303"/>
      <c r="BZ1385" s="4303"/>
      <c r="CA1385" s="4303"/>
      <c r="CB1385" s="4303"/>
      <c r="CC1385" s="4303"/>
      <c r="CD1385" s="4303"/>
      <c r="CE1385" s="4303"/>
      <c r="CF1385" s="4303"/>
      <c r="CG1385" s="4303"/>
      <c r="CH1385" s="4303"/>
      <c r="CI1385" s="4303"/>
      <c r="CJ1385" s="4303"/>
      <c r="CK1385" s="4303"/>
      <c r="CL1385" s="4303"/>
      <c r="CM1385" s="4303"/>
      <c r="CN1385" s="4303"/>
      <c r="CO1385" s="4303"/>
      <c r="CP1385" s="4303"/>
      <c r="CQ1385" s="4303"/>
      <c r="CR1385" s="4303"/>
      <c r="CS1385" s="4303"/>
      <c r="CT1385" s="4303"/>
      <c r="CU1385" s="4303"/>
      <c r="CV1385" s="4303"/>
      <c r="CW1385" s="4303"/>
      <c r="CX1385" s="4303"/>
      <c r="CY1385" s="4303"/>
      <c r="CZ1385" s="4303"/>
      <c r="DA1385" s="4303"/>
      <c r="DB1385" s="4303"/>
      <c r="DC1385" s="4303"/>
      <c r="DD1385" s="4303"/>
      <c r="DE1385" s="4303"/>
      <c r="DF1385" s="4303"/>
      <c r="DG1385" s="4303"/>
      <c r="DH1385" s="4303"/>
      <c r="DI1385" s="4303"/>
      <c r="DJ1385" s="4303"/>
      <c r="DK1385" s="4303"/>
      <c r="DL1385" s="4303"/>
      <c r="DM1385" s="4303"/>
      <c r="DN1385" s="4303"/>
      <c r="DO1385" s="4303"/>
      <c r="DP1385" s="4303"/>
      <c r="DQ1385" s="4303"/>
      <c r="DR1385" s="4303"/>
      <c r="DS1385" s="4303"/>
      <c r="DT1385" s="4134"/>
      <c r="DU1385" s="4134"/>
    </row>
    <row r="1386" s="4133" customFormat="1" ht="15.75" hidden="1" spans="1:125">
      <c r="A1386" s="4397"/>
      <c r="B1386" s="4292"/>
      <c r="C1386" s="4292"/>
      <c r="D1386" s="4292"/>
      <c r="E1386" s="4292"/>
      <c r="F1386" s="4292"/>
      <c r="G1386" s="4292"/>
      <c r="H1386" s="4292"/>
      <c r="I1386" s="4292"/>
      <c r="J1386" s="4292"/>
      <c r="K1386" s="4292"/>
      <c r="L1386" s="4292"/>
      <c r="M1386" s="4292"/>
      <c r="N1386" s="4292"/>
      <c r="O1386" s="4292"/>
      <c r="P1386" s="4292"/>
      <c r="Q1386" s="4292"/>
      <c r="R1386" s="4292"/>
      <c r="S1386" s="4292"/>
      <c r="T1386" s="4292"/>
      <c r="U1386" s="4292"/>
      <c r="V1386" s="4292"/>
      <c r="W1386" s="4292"/>
      <c r="X1386" s="4292"/>
      <c r="Y1386" s="4292"/>
      <c r="Z1386" s="4292"/>
      <c r="AA1386" s="4292"/>
      <c r="AB1386" s="4292"/>
      <c r="AC1386" s="4292"/>
      <c r="AD1386" s="4292"/>
      <c r="AE1386" s="4292"/>
      <c r="AF1386" s="4292"/>
      <c r="AG1386" s="4292"/>
      <c r="AH1386" s="4292"/>
      <c r="AI1386" s="4292"/>
      <c r="AJ1386" s="4292"/>
      <c r="AK1386" s="4292"/>
      <c r="AL1386" s="4292"/>
      <c r="AM1386" s="4292"/>
      <c r="AN1386" s="4292"/>
      <c r="AO1386" s="4292"/>
      <c r="AP1386" s="4292"/>
      <c r="AQ1386" s="4292"/>
      <c r="AR1386" s="4292"/>
      <c r="AS1386" s="4292"/>
      <c r="AT1386" s="4292"/>
      <c r="AU1386" s="4292"/>
      <c r="AV1386" s="4292"/>
      <c r="AW1386" s="4292"/>
      <c r="AX1386" s="4292"/>
      <c r="AY1386" s="4292"/>
      <c r="AZ1386" s="4292"/>
      <c r="BA1386" s="4292"/>
      <c r="BB1386" s="4292"/>
      <c r="BC1386" s="4292"/>
      <c r="BD1386" s="4303"/>
      <c r="BE1386" s="4303"/>
      <c r="BF1386" s="4303"/>
      <c r="BG1386" s="4303"/>
      <c r="BH1386" s="4303"/>
      <c r="BI1386" s="4303"/>
      <c r="BJ1386" s="4303"/>
      <c r="BK1386" s="4303"/>
      <c r="BL1386" s="4303"/>
      <c r="BM1386" s="4303"/>
      <c r="BN1386" s="4303"/>
      <c r="BO1386" s="4303"/>
      <c r="BP1386" s="4303"/>
      <c r="BQ1386" s="4303"/>
      <c r="BR1386" s="4303"/>
      <c r="BS1386" s="4303"/>
      <c r="BT1386" s="4303"/>
      <c r="BU1386" s="4303"/>
      <c r="BV1386" s="4303"/>
      <c r="BW1386" s="4303"/>
      <c r="BX1386" s="4303"/>
      <c r="BY1386" s="4303"/>
      <c r="BZ1386" s="4303"/>
      <c r="CA1386" s="4303"/>
      <c r="CB1386" s="4303"/>
      <c r="CC1386" s="4303"/>
      <c r="CD1386" s="4303"/>
      <c r="CE1386" s="4303"/>
      <c r="CF1386" s="4303"/>
      <c r="CG1386" s="4303"/>
      <c r="CH1386" s="4303"/>
      <c r="CI1386" s="4303"/>
      <c r="CJ1386" s="4303"/>
      <c r="CK1386" s="4303"/>
      <c r="CL1386" s="4303"/>
      <c r="CM1386" s="4303"/>
      <c r="CN1386" s="4303"/>
      <c r="CO1386" s="4303"/>
      <c r="CP1386" s="4303"/>
      <c r="CQ1386" s="4303"/>
      <c r="CR1386" s="4303"/>
      <c r="CS1386" s="4303"/>
      <c r="CT1386" s="4303"/>
      <c r="CU1386" s="4303"/>
      <c r="CV1386" s="4303"/>
      <c r="CW1386" s="4303"/>
      <c r="CX1386" s="4303"/>
      <c r="CY1386" s="4303"/>
      <c r="CZ1386" s="4303"/>
      <c r="DA1386" s="4303"/>
      <c r="DB1386" s="4303"/>
      <c r="DC1386" s="4303"/>
      <c r="DD1386" s="4303"/>
      <c r="DE1386" s="4303"/>
      <c r="DF1386" s="4303"/>
      <c r="DG1386" s="4303"/>
      <c r="DH1386" s="4303"/>
      <c r="DI1386" s="4303"/>
      <c r="DJ1386" s="4303"/>
      <c r="DK1386" s="4303"/>
      <c r="DL1386" s="4303"/>
      <c r="DM1386" s="4303"/>
      <c r="DN1386" s="4303"/>
      <c r="DO1386" s="4303"/>
      <c r="DP1386" s="4303"/>
      <c r="DQ1386" s="4303"/>
      <c r="DR1386" s="4303"/>
      <c r="DS1386" s="4303"/>
      <c r="DT1386" s="4134"/>
      <c r="DU1386" s="4134"/>
    </row>
    <row r="1387" s="4133" customFormat="1" ht="15.75" hidden="1" spans="1:125">
      <c r="A1387" s="4397"/>
      <c r="B1387" s="4292"/>
      <c r="C1387" s="4292"/>
      <c r="D1387" s="4292"/>
      <c r="E1387" s="4292"/>
      <c r="F1387" s="4292"/>
      <c r="G1387" s="4292"/>
      <c r="H1387" s="4292"/>
      <c r="I1387" s="4292"/>
      <c r="J1387" s="4292"/>
      <c r="K1387" s="4292"/>
      <c r="L1387" s="4292"/>
      <c r="M1387" s="4292"/>
      <c r="N1387" s="4292"/>
      <c r="O1387" s="4292"/>
      <c r="P1387" s="4292"/>
      <c r="Q1387" s="4292"/>
      <c r="R1387" s="4292"/>
      <c r="S1387" s="4292"/>
      <c r="T1387" s="4292"/>
      <c r="U1387" s="4292"/>
      <c r="V1387" s="4292"/>
      <c r="W1387" s="4292"/>
      <c r="X1387" s="4292"/>
      <c r="Y1387" s="4292"/>
      <c r="Z1387" s="4292"/>
      <c r="AA1387" s="4292"/>
      <c r="AB1387" s="4292"/>
      <c r="AC1387" s="4292"/>
      <c r="AD1387" s="4292"/>
      <c r="AE1387" s="4292"/>
      <c r="AF1387" s="4292"/>
      <c r="AG1387" s="4292"/>
      <c r="AH1387" s="4292"/>
      <c r="AI1387" s="4292"/>
      <c r="AJ1387" s="4292"/>
      <c r="AK1387" s="4292"/>
      <c r="AL1387" s="4292"/>
      <c r="AM1387" s="4292"/>
      <c r="AN1387" s="4292"/>
      <c r="AO1387" s="4292"/>
      <c r="AP1387" s="4292"/>
      <c r="AQ1387" s="4292"/>
      <c r="AR1387" s="4292"/>
      <c r="AS1387" s="4292"/>
      <c r="AT1387" s="4292"/>
      <c r="AU1387" s="4292"/>
      <c r="AV1387" s="4292"/>
      <c r="AW1387" s="4292"/>
      <c r="AX1387" s="4292"/>
      <c r="AY1387" s="4292"/>
      <c r="AZ1387" s="4292"/>
      <c r="BA1387" s="4292"/>
      <c r="BB1387" s="4292"/>
      <c r="BC1387" s="4292"/>
      <c r="BD1387" s="4303"/>
      <c r="BE1387" s="4303"/>
      <c r="BF1387" s="4303"/>
      <c r="BG1387" s="4303"/>
      <c r="BH1387" s="4303"/>
      <c r="BI1387" s="4303"/>
      <c r="BJ1387" s="4303"/>
      <c r="BK1387" s="4303"/>
      <c r="BL1387" s="4303"/>
      <c r="BM1387" s="4303"/>
      <c r="BN1387" s="4303"/>
      <c r="BO1387" s="4303"/>
      <c r="BP1387" s="4303"/>
      <c r="BQ1387" s="4303"/>
      <c r="BR1387" s="4303"/>
      <c r="BS1387" s="4303"/>
      <c r="BT1387" s="4303"/>
      <c r="BU1387" s="4303"/>
      <c r="BV1387" s="4303"/>
      <c r="BW1387" s="4303"/>
      <c r="BX1387" s="4303"/>
      <c r="BY1387" s="4303"/>
      <c r="BZ1387" s="4303"/>
      <c r="CA1387" s="4303"/>
      <c r="CB1387" s="4303"/>
      <c r="CC1387" s="4303"/>
      <c r="CD1387" s="4303"/>
      <c r="CE1387" s="4303"/>
      <c r="CF1387" s="4303"/>
      <c r="CG1387" s="4303"/>
      <c r="CH1387" s="4303"/>
      <c r="CI1387" s="4303"/>
      <c r="CJ1387" s="4303"/>
      <c r="CK1387" s="4303"/>
      <c r="CL1387" s="4303"/>
      <c r="CM1387" s="4303"/>
      <c r="CN1387" s="4303"/>
      <c r="CO1387" s="4303"/>
      <c r="CP1387" s="4303"/>
      <c r="CQ1387" s="4303"/>
      <c r="CR1387" s="4303"/>
      <c r="CS1387" s="4303"/>
      <c r="CT1387" s="4303"/>
      <c r="CU1387" s="4303"/>
      <c r="CV1387" s="4303"/>
      <c r="CW1387" s="4303"/>
      <c r="CX1387" s="4303"/>
      <c r="CY1387" s="4303"/>
      <c r="CZ1387" s="4303"/>
      <c r="DA1387" s="4303"/>
      <c r="DB1387" s="4303"/>
      <c r="DC1387" s="4303"/>
      <c r="DD1387" s="4303"/>
      <c r="DE1387" s="4303"/>
      <c r="DF1387" s="4303"/>
      <c r="DG1387" s="4303"/>
      <c r="DH1387" s="4303"/>
      <c r="DI1387" s="4303"/>
      <c r="DJ1387" s="4303"/>
      <c r="DK1387" s="4303"/>
      <c r="DL1387" s="4303"/>
      <c r="DM1387" s="4303"/>
      <c r="DN1387" s="4303"/>
      <c r="DO1387" s="4303"/>
      <c r="DP1387" s="4303"/>
      <c r="DQ1387" s="4303"/>
      <c r="DR1387" s="4303"/>
      <c r="DS1387" s="4303"/>
      <c r="DT1387" s="4134"/>
      <c r="DU1387" s="4134"/>
    </row>
    <row r="1388" s="4133" customFormat="1" ht="15.75" hidden="1" spans="1:125">
      <c r="A1388" s="4397"/>
      <c r="B1388" s="4292"/>
      <c r="C1388" s="4292"/>
      <c r="D1388" s="4292"/>
      <c r="E1388" s="4292"/>
      <c r="F1388" s="4292"/>
      <c r="G1388" s="4292"/>
      <c r="H1388" s="4292"/>
      <c r="I1388" s="4292"/>
      <c r="J1388" s="4292"/>
      <c r="K1388" s="4292"/>
      <c r="L1388" s="4292"/>
      <c r="M1388" s="4292"/>
      <c r="N1388" s="4292"/>
      <c r="O1388" s="4292"/>
      <c r="P1388" s="4292"/>
      <c r="Q1388" s="4292"/>
      <c r="R1388" s="4292"/>
      <c r="S1388" s="4292"/>
      <c r="T1388" s="4292"/>
      <c r="U1388" s="4292"/>
      <c r="V1388" s="4292"/>
      <c r="W1388" s="4292"/>
      <c r="X1388" s="4292"/>
      <c r="Y1388" s="4292"/>
      <c r="Z1388" s="4292"/>
      <c r="AA1388" s="4292"/>
      <c r="AB1388" s="4292"/>
      <c r="AC1388" s="4292"/>
      <c r="AD1388" s="4292"/>
      <c r="AE1388" s="4292"/>
      <c r="AF1388" s="4292"/>
      <c r="AG1388" s="4292"/>
      <c r="AH1388" s="4292"/>
      <c r="AI1388" s="4292"/>
      <c r="AJ1388" s="4292"/>
      <c r="AK1388" s="4292"/>
      <c r="AL1388" s="4292"/>
      <c r="AM1388" s="4292"/>
      <c r="AN1388" s="4292"/>
      <c r="AO1388" s="4292"/>
      <c r="AP1388" s="4292"/>
      <c r="AQ1388" s="4292"/>
      <c r="AR1388" s="4292"/>
      <c r="AS1388" s="4292"/>
      <c r="AT1388" s="4292"/>
      <c r="AU1388" s="4292"/>
      <c r="AV1388" s="4292"/>
      <c r="AW1388" s="4292"/>
      <c r="AX1388" s="4292"/>
      <c r="AY1388" s="4292"/>
      <c r="AZ1388" s="4292"/>
      <c r="BA1388" s="4292"/>
      <c r="BB1388" s="4292"/>
      <c r="BC1388" s="4292"/>
      <c r="BD1388" s="4303"/>
      <c r="BE1388" s="4303"/>
      <c r="BF1388" s="4303"/>
      <c r="BG1388" s="4303"/>
      <c r="BH1388" s="4303"/>
      <c r="BI1388" s="4303"/>
      <c r="BJ1388" s="4303"/>
      <c r="BK1388" s="4303"/>
      <c r="BL1388" s="4303"/>
      <c r="BM1388" s="4303"/>
      <c r="BN1388" s="4303"/>
      <c r="BO1388" s="4303"/>
      <c r="BP1388" s="4303"/>
      <c r="BQ1388" s="4303"/>
      <c r="BR1388" s="4303"/>
      <c r="BS1388" s="4303"/>
      <c r="BT1388" s="4303"/>
      <c r="BU1388" s="4303"/>
      <c r="BV1388" s="4303"/>
      <c r="BW1388" s="4303"/>
      <c r="BX1388" s="4303"/>
      <c r="BY1388" s="4303"/>
      <c r="BZ1388" s="4303"/>
      <c r="CA1388" s="4303"/>
      <c r="CB1388" s="4303"/>
      <c r="CC1388" s="4303"/>
      <c r="CD1388" s="4303"/>
      <c r="CE1388" s="4303"/>
      <c r="CF1388" s="4303"/>
      <c r="CG1388" s="4303"/>
      <c r="CH1388" s="4303"/>
      <c r="CI1388" s="4303"/>
      <c r="CJ1388" s="4303"/>
      <c r="CK1388" s="4303"/>
      <c r="CL1388" s="4303"/>
      <c r="CM1388" s="4303"/>
      <c r="CN1388" s="4303"/>
      <c r="CO1388" s="4303"/>
      <c r="CP1388" s="4303"/>
      <c r="CQ1388" s="4303"/>
      <c r="CR1388" s="4303"/>
      <c r="CS1388" s="4303"/>
      <c r="CT1388" s="4303"/>
      <c r="CU1388" s="4303"/>
      <c r="CV1388" s="4303"/>
      <c r="CW1388" s="4303"/>
      <c r="CX1388" s="4303"/>
      <c r="CY1388" s="4303"/>
      <c r="CZ1388" s="4303"/>
      <c r="DA1388" s="4303"/>
      <c r="DB1388" s="4303"/>
      <c r="DC1388" s="4303"/>
      <c r="DD1388" s="4303"/>
      <c r="DE1388" s="4303"/>
      <c r="DF1388" s="4303"/>
      <c r="DG1388" s="4303"/>
      <c r="DH1388" s="4303"/>
      <c r="DI1388" s="4303"/>
      <c r="DJ1388" s="4303"/>
      <c r="DK1388" s="4303"/>
      <c r="DL1388" s="4303"/>
      <c r="DM1388" s="4303"/>
      <c r="DN1388" s="4303"/>
      <c r="DO1388" s="4303"/>
      <c r="DP1388" s="4303"/>
      <c r="DQ1388" s="4303"/>
      <c r="DR1388" s="4303"/>
      <c r="DS1388" s="4303"/>
      <c r="DT1388" s="4134"/>
      <c r="DU1388" s="4134"/>
    </row>
    <row r="1389" s="4133" customFormat="1" ht="15.75" hidden="1" spans="1:125">
      <c r="A1389" s="4397"/>
      <c r="B1389" s="4292"/>
      <c r="C1389" s="4292"/>
      <c r="D1389" s="4292"/>
      <c r="E1389" s="4292"/>
      <c r="F1389" s="4292"/>
      <c r="G1389" s="4292"/>
      <c r="H1389" s="4292"/>
      <c r="I1389" s="4292"/>
      <c r="J1389" s="4292"/>
      <c r="K1389" s="4292"/>
      <c r="L1389" s="4292"/>
      <c r="M1389" s="4292"/>
      <c r="N1389" s="4292"/>
      <c r="O1389" s="4292"/>
      <c r="P1389" s="4292"/>
      <c r="Q1389" s="4292"/>
      <c r="R1389" s="4292"/>
      <c r="S1389" s="4292"/>
      <c r="T1389" s="4292"/>
      <c r="U1389" s="4292"/>
      <c r="V1389" s="4292"/>
      <c r="W1389" s="4292"/>
      <c r="X1389" s="4292"/>
      <c r="Y1389" s="4292"/>
      <c r="Z1389" s="4292"/>
      <c r="AA1389" s="4292"/>
      <c r="AB1389" s="4292"/>
      <c r="AC1389" s="4292"/>
      <c r="AD1389" s="4292"/>
      <c r="AE1389" s="4292"/>
      <c r="AF1389" s="4292"/>
      <c r="AG1389" s="4292"/>
      <c r="AH1389" s="4292"/>
      <c r="AI1389" s="4292"/>
      <c r="AJ1389" s="4292"/>
      <c r="AK1389" s="4292"/>
      <c r="AL1389" s="4292"/>
      <c r="AM1389" s="4292"/>
      <c r="AN1389" s="4292"/>
      <c r="AO1389" s="4292"/>
      <c r="AP1389" s="4292"/>
      <c r="AQ1389" s="4292"/>
      <c r="AR1389" s="4292"/>
      <c r="AS1389" s="4292"/>
      <c r="AT1389" s="4292"/>
      <c r="AU1389" s="4292"/>
      <c r="AV1389" s="4292"/>
      <c r="AW1389" s="4292"/>
      <c r="AX1389" s="4292"/>
      <c r="AY1389" s="4292"/>
      <c r="AZ1389" s="4292"/>
      <c r="BA1389" s="4292"/>
      <c r="BB1389" s="4292"/>
      <c r="BC1389" s="4292"/>
      <c r="BD1389" s="4303"/>
      <c r="BE1389" s="4303"/>
      <c r="BF1389" s="4303"/>
      <c r="BG1389" s="4303"/>
      <c r="BH1389" s="4303"/>
      <c r="BI1389" s="4303"/>
      <c r="BJ1389" s="4303"/>
      <c r="BK1389" s="4303"/>
      <c r="BL1389" s="4303"/>
      <c r="BM1389" s="4303"/>
      <c r="BN1389" s="4303"/>
      <c r="BO1389" s="4303"/>
      <c r="BP1389" s="4303"/>
      <c r="BQ1389" s="4303"/>
      <c r="BR1389" s="4303"/>
      <c r="BS1389" s="4303"/>
      <c r="BT1389" s="4303"/>
      <c r="BU1389" s="4303"/>
      <c r="BV1389" s="4303"/>
      <c r="BW1389" s="4303"/>
      <c r="BX1389" s="4303"/>
      <c r="BY1389" s="4303"/>
      <c r="BZ1389" s="4303"/>
      <c r="CA1389" s="4303"/>
      <c r="CB1389" s="4303"/>
      <c r="CC1389" s="4303"/>
      <c r="CD1389" s="4303"/>
      <c r="CE1389" s="4303"/>
      <c r="CF1389" s="4303"/>
      <c r="CG1389" s="4303"/>
      <c r="CH1389" s="4303"/>
      <c r="CI1389" s="4303"/>
      <c r="CJ1389" s="4303"/>
      <c r="CK1389" s="4303"/>
      <c r="CL1389" s="4303"/>
      <c r="CM1389" s="4303"/>
      <c r="CN1389" s="4303"/>
      <c r="CO1389" s="4303"/>
      <c r="CP1389" s="4303"/>
      <c r="CQ1389" s="4303"/>
      <c r="CR1389" s="4303"/>
      <c r="CS1389" s="4303"/>
      <c r="CT1389" s="4303"/>
      <c r="CU1389" s="4303"/>
      <c r="CV1389" s="4303"/>
      <c r="CW1389" s="4303"/>
      <c r="CX1389" s="4303"/>
      <c r="CY1389" s="4303"/>
      <c r="CZ1389" s="4303"/>
      <c r="DA1389" s="4303"/>
      <c r="DB1389" s="4303"/>
      <c r="DC1389" s="4303"/>
      <c r="DD1389" s="4303"/>
      <c r="DE1389" s="4303"/>
      <c r="DF1389" s="4303"/>
      <c r="DG1389" s="4303"/>
      <c r="DH1389" s="4303"/>
      <c r="DI1389" s="4303"/>
      <c r="DJ1389" s="4303"/>
      <c r="DK1389" s="4303"/>
      <c r="DL1389" s="4303"/>
      <c r="DM1389" s="4303"/>
      <c r="DN1389" s="4303"/>
      <c r="DO1389" s="4303"/>
      <c r="DP1389" s="4303"/>
      <c r="DQ1389" s="4303"/>
      <c r="DR1389" s="4303"/>
      <c r="DS1389" s="4303"/>
      <c r="DT1389" s="4134"/>
      <c r="DU1389" s="4134"/>
    </row>
    <row r="1390" s="4133" customFormat="1" ht="15.75" hidden="1" spans="1:125">
      <c r="A1390" s="4397"/>
      <c r="B1390" s="4292"/>
      <c r="C1390" s="4292"/>
      <c r="D1390" s="4292"/>
      <c r="E1390" s="4292"/>
      <c r="F1390" s="4292"/>
      <c r="G1390" s="4292"/>
      <c r="H1390" s="4292"/>
      <c r="I1390" s="4292"/>
      <c r="J1390" s="4292"/>
      <c r="K1390" s="4292"/>
      <c r="L1390" s="4292"/>
      <c r="M1390" s="4292"/>
      <c r="N1390" s="4292"/>
      <c r="O1390" s="4292"/>
      <c r="P1390" s="4292"/>
      <c r="Q1390" s="4292"/>
      <c r="R1390" s="4292"/>
      <c r="S1390" s="4292"/>
      <c r="T1390" s="4292"/>
      <c r="U1390" s="4292"/>
      <c r="V1390" s="4292"/>
      <c r="W1390" s="4292"/>
      <c r="X1390" s="4292"/>
      <c r="Y1390" s="4292"/>
      <c r="Z1390" s="4292"/>
      <c r="AA1390" s="4292"/>
      <c r="AB1390" s="4292"/>
      <c r="AC1390" s="4292"/>
      <c r="AD1390" s="4292"/>
      <c r="AE1390" s="4292"/>
      <c r="AF1390" s="4292"/>
      <c r="AG1390" s="4292"/>
      <c r="AH1390" s="4292"/>
      <c r="AI1390" s="4292"/>
      <c r="AJ1390" s="4292"/>
      <c r="AK1390" s="4292"/>
      <c r="AL1390" s="4292"/>
      <c r="AM1390" s="4292"/>
      <c r="AN1390" s="4292"/>
      <c r="AO1390" s="4292"/>
      <c r="AP1390" s="4292"/>
      <c r="AQ1390" s="4292"/>
      <c r="AR1390" s="4292"/>
      <c r="AS1390" s="4292"/>
      <c r="AT1390" s="4292"/>
      <c r="AU1390" s="4292"/>
      <c r="AV1390" s="4292"/>
      <c r="AW1390" s="4292"/>
      <c r="AX1390" s="4292"/>
      <c r="AY1390" s="4292"/>
      <c r="AZ1390" s="4292"/>
      <c r="BA1390" s="4292"/>
      <c r="BB1390" s="4292"/>
      <c r="BC1390" s="4292"/>
      <c r="BD1390" s="4303"/>
      <c r="BE1390" s="4303"/>
      <c r="BF1390" s="4303"/>
      <c r="BG1390" s="4303"/>
      <c r="BH1390" s="4303"/>
      <c r="BI1390" s="4303"/>
      <c r="BJ1390" s="4303"/>
      <c r="BK1390" s="4303"/>
      <c r="BL1390" s="4303"/>
      <c r="BM1390" s="4303"/>
      <c r="BN1390" s="4303"/>
      <c r="BO1390" s="4303"/>
      <c r="BP1390" s="4303"/>
      <c r="BQ1390" s="4303"/>
      <c r="BR1390" s="4303"/>
      <c r="BS1390" s="4303"/>
      <c r="BT1390" s="4303"/>
      <c r="BU1390" s="4303"/>
      <c r="BV1390" s="4303"/>
      <c r="BW1390" s="4303"/>
      <c r="BX1390" s="4303"/>
      <c r="BY1390" s="4303"/>
      <c r="BZ1390" s="4303"/>
      <c r="CA1390" s="4303"/>
      <c r="CB1390" s="4303"/>
      <c r="CC1390" s="4303"/>
      <c r="CD1390" s="4303"/>
      <c r="CE1390" s="4303"/>
      <c r="CF1390" s="4303"/>
      <c r="CG1390" s="4303"/>
      <c r="CH1390" s="4303"/>
      <c r="CI1390" s="4303"/>
      <c r="CJ1390" s="4303"/>
      <c r="CK1390" s="4303"/>
      <c r="CL1390" s="4303"/>
      <c r="CM1390" s="4303"/>
      <c r="CN1390" s="4303"/>
      <c r="CO1390" s="4303"/>
      <c r="CP1390" s="4303"/>
      <c r="CQ1390" s="4303"/>
      <c r="CR1390" s="4303"/>
      <c r="CS1390" s="4303"/>
      <c r="CT1390" s="4303"/>
      <c r="CU1390" s="4303"/>
      <c r="CV1390" s="4303"/>
      <c r="CW1390" s="4303"/>
      <c r="CX1390" s="4303"/>
      <c r="CY1390" s="4303"/>
      <c r="CZ1390" s="4303"/>
      <c r="DA1390" s="4303"/>
      <c r="DB1390" s="4303"/>
      <c r="DC1390" s="4303"/>
      <c r="DD1390" s="4303"/>
      <c r="DE1390" s="4303"/>
      <c r="DF1390" s="4303"/>
      <c r="DG1390" s="4303"/>
      <c r="DH1390" s="4303"/>
      <c r="DI1390" s="4303"/>
      <c r="DJ1390" s="4303"/>
      <c r="DK1390" s="4303"/>
      <c r="DL1390" s="4303"/>
      <c r="DM1390" s="4303"/>
      <c r="DN1390" s="4303"/>
      <c r="DO1390" s="4303"/>
      <c r="DP1390" s="4303"/>
      <c r="DQ1390" s="4303"/>
      <c r="DR1390" s="4303"/>
      <c r="DS1390" s="4303"/>
      <c r="DT1390" s="4134"/>
      <c r="DU1390" s="4134"/>
    </row>
    <row r="1391" s="4133" customFormat="1" ht="15.75" hidden="1" spans="1:125">
      <c r="A1391" s="4397"/>
      <c r="B1391" s="4292"/>
      <c r="C1391" s="4292"/>
      <c r="D1391" s="4292"/>
      <c r="E1391" s="4292"/>
      <c r="F1391" s="4292"/>
      <c r="G1391" s="4292"/>
      <c r="H1391" s="4292"/>
      <c r="I1391" s="4292"/>
      <c r="J1391" s="4292"/>
      <c r="K1391" s="4292"/>
      <c r="L1391" s="4292"/>
      <c r="M1391" s="4292"/>
      <c r="N1391" s="4292"/>
      <c r="O1391" s="4292"/>
      <c r="P1391" s="4292"/>
      <c r="Q1391" s="4292"/>
      <c r="R1391" s="4292"/>
      <c r="S1391" s="4292"/>
      <c r="T1391" s="4292"/>
      <c r="U1391" s="4292"/>
      <c r="V1391" s="4292"/>
      <c r="W1391" s="4292"/>
      <c r="X1391" s="4292"/>
      <c r="Y1391" s="4292"/>
      <c r="Z1391" s="4292"/>
      <c r="AA1391" s="4292"/>
      <c r="AB1391" s="4292"/>
      <c r="AC1391" s="4292"/>
      <c r="AD1391" s="4292"/>
      <c r="AE1391" s="4292"/>
      <c r="AF1391" s="4292"/>
      <c r="AG1391" s="4292"/>
      <c r="AH1391" s="4292"/>
      <c r="AI1391" s="4292"/>
      <c r="AJ1391" s="4292"/>
      <c r="AK1391" s="4292"/>
      <c r="AL1391" s="4292"/>
      <c r="AM1391" s="4292"/>
      <c r="AN1391" s="4292"/>
      <c r="AO1391" s="4292"/>
      <c r="AP1391" s="4292"/>
      <c r="AQ1391" s="4292"/>
      <c r="AR1391" s="4292"/>
      <c r="AS1391" s="4292"/>
      <c r="AT1391" s="4292"/>
      <c r="AU1391" s="4292"/>
      <c r="AV1391" s="4292"/>
      <c r="AW1391" s="4292"/>
      <c r="AX1391" s="4292"/>
      <c r="AY1391" s="4292"/>
      <c r="AZ1391" s="4292"/>
      <c r="BA1391" s="4292"/>
      <c r="BB1391" s="4292"/>
      <c r="BC1391" s="4292"/>
      <c r="BD1391" s="4303"/>
      <c r="BE1391" s="4303"/>
      <c r="BF1391" s="4303"/>
      <c r="BG1391" s="4303"/>
      <c r="BH1391" s="4303"/>
      <c r="BI1391" s="4303"/>
      <c r="BJ1391" s="4303"/>
      <c r="BK1391" s="4303"/>
      <c r="BL1391" s="4303"/>
      <c r="BM1391" s="4303"/>
      <c r="BN1391" s="4303"/>
      <c r="BO1391" s="4303"/>
      <c r="BP1391" s="4303"/>
      <c r="BQ1391" s="4303"/>
      <c r="BR1391" s="4303"/>
      <c r="BS1391" s="4303"/>
      <c r="BT1391" s="4303"/>
      <c r="BU1391" s="4303"/>
      <c r="BV1391" s="4303"/>
      <c r="BW1391" s="4303"/>
      <c r="BX1391" s="4303"/>
      <c r="BY1391" s="4303"/>
      <c r="BZ1391" s="4303"/>
      <c r="CA1391" s="4303"/>
      <c r="CB1391" s="4303"/>
      <c r="CC1391" s="4303"/>
      <c r="CD1391" s="4303"/>
      <c r="CE1391" s="4303"/>
      <c r="CF1391" s="4303"/>
      <c r="CG1391" s="4303"/>
      <c r="CH1391" s="4303"/>
      <c r="CI1391" s="4303"/>
      <c r="CJ1391" s="4303"/>
      <c r="CK1391" s="4303"/>
      <c r="CL1391" s="4303"/>
      <c r="CM1391" s="4303"/>
      <c r="CN1391" s="4303"/>
      <c r="CO1391" s="4303"/>
      <c r="CP1391" s="4303"/>
      <c r="CQ1391" s="4303"/>
      <c r="CR1391" s="4303"/>
      <c r="CS1391" s="4303"/>
      <c r="CT1391" s="4303"/>
      <c r="CU1391" s="4303"/>
      <c r="CV1391" s="4303"/>
      <c r="CW1391" s="4303"/>
      <c r="CX1391" s="4303"/>
      <c r="CY1391" s="4303"/>
      <c r="CZ1391" s="4303"/>
      <c r="DA1391" s="4303"/>
      <c r="DB1391" s="4303"/>
      <c r="DC1391" s="4303"/>
      <c r="DD1391" s="4303"/>
      <c r="DE1391" s="4303"/>
      <c r="DF1391" s="4303"/>
      <c r="DG1391" s="4303"/>
      <c r="DH1391" s="4303"/>
      <c r="DI1391" s="4303"/>
      <c r="DJ1391" s="4303"/>
      <c r="DK1391" s="4303"/>
      <c r="DL1391" s="4303"/>
      <c r="DM1391" s="4303"/>
      <c r="DN1391" s="4303"/>
      <c r="DO1391" s="4303"/>
      <c r="DP1391" s="4303"/>
      <c r="DQ1391" s="4303"/>
      <c r="DR1391" s="4303"/>
      <c r="DS1391" s="4303"/>
      <c r="DT1391" s="4134"/>
      <c r="DU1391" s="4134"/>
    </row>
    <row r="1392" s="4133" customFormat="1" ht="15.75" hidden="1" spans="1:125">
      <c r="A1392" s="4397"/>
      <c r="B1392" s="4292"/>
      <c r="C1392" s="4292"/>
      <c r="D1392" s="4292"/>
      <c r="E1392" s="4292"/>
      <c r="F1392" s="4292"/>
      <c r="G1392" s="4292"/>
      <c r="H1392" s="4292"/>
      <c r="I1392" s="4292"/>
      <c r="J1392" s="4292"/>
      <c r="K1392" s="4292"/>
      <c r="L1392" s="4292"/>
      <c r="M1392" s="4292"/>
      <c r="N1392" s="4292"/>
      <c r="O1392" s="4292"/>
      <c r="P1392" s="4292"/>
      <c r="Q1392" s="4292"/>
      <c r="R1392" s="4292"/>
      <c r="S1392" s="4292"/>
      <c r="T1392" s="4292"/>
      <c r="U1392" s="4292"/>
      <c r="V1392" s="4292"/>
      <c r="W1392" s="4292"/>
      <c r="X1392" s="4292"/>
      <c r="Y1392" s="4292"/>
      <c r="Z1392" s="4292"/>
      <c r="AA1392" s="4292"/>
      <c r="AB1392" s="4292"/>
      <c r="AC1392" s="4292"/>
      <c r="AD1392" s="4292"/>
      <c r="AE1392" s="4292"/>
      <c r="AF1392" s="4292"/>
      <c r="AG1392" s="4292"/>
      <c r="AH1392" s="4292"/>
      <c r="AI1392" s="4292"/>
      <c r="AJ1392" s="4292"/>
      <c r="AK1392" s="4292"/>
      <c r="AL1392" s="4292"/>
      <c r="AM1392" s="4292"/>
      <c r="AN1392" s="4292"/>
      <c r="AO1392" s="4292"/>
      <c r="AP1392" s="4292"/>
      <c r="AQ1392" s="4292"/>
      <c r="AR1392" s="4292"/>
      <c r="AS1392" s="4292"/>
      <c r="AT1392" s="4292"/>
      <c r="AU1392" s="4292"/>
      <c r="AV1392" s="4292"/>
      <c r="AW1392" s="4292"/>
      <c r="AX1392" s="4292"/>
      <c r="AY1392" s="4292"/>
      <c r="AZ1392" s="4292"/>
      <c r="BA1392" s="4292"/>
      <c r="BB1392" s="4292"/>
      <c r="BC1392" s="4292"/>
      <c r="BD1392" s="4303"/>
      <c r="BE1392" s="4303"/>
      <c r="BF1392" s="4303"/>
      <c r="BG1392" s="4303"/>
      <c r="BH1392" s="4303"/>
      <c r="BI1392" s="4303"/>
      <c r="BJ1392" s="4303"/>
      <c r="BK1392" s="4303"/>
      <c r="BL1392" s="4303"/>
      <c r="BM1392" s="4303"/>
      <c r="BN1392" s="4303"/>
      <c r="BO1392" s="4303"/>
      <c r="BP1392" s="4303"/>
      <c r="BQ1392" s="4303"/>
      <c r="BR1392" s="4303"/>
      <c r="BS1392" s="4303"/>
      <c r="BT1392" s="4303"/>
      <c r="BU1392" s="4303"/>
      <c r="BV1392" s="4303"/>
      <c r="BW1392" s="4303"/>
      <c r="BX1392" s="4303"/>
      <c r="BY1392" s="4303"/>
      <c r="BZ1392" s="4303"/>
      <c r="CA1392" s="4303"/>
      <c r="CB1392" s="4303"/>
      <c r="CC1392" s="4303"/>
      <c r="CD1392" s="4303"/>
      <c r="CE1392" s="4303"/>
      <c r="CF1392" s="4303"/>
      <c r="CG1392" s="4303"/>
      <c r="CH1392" s="4303"/>
      <c r="CI1392" s="4303"/>
      <c r="CJ1392" s="4303"/>
      <c r="CK1392" s="4303"/>
      <c r="CL1392" s="4303"/>
      <c r="CM1392" s="4303"/>
      <c r="CN1392" s="4303"/>
      <c r="CO1392" s="4303"/>
      <c r="CP1392" s="4303"/>
      <c r="CQ1392" s="4303"/>
      <c r="CR1392" s="4303"/>
      <c r="CS1392" s="4303"/>
      <c r="CT1392" s="4303"/>
      <c r="CU1392" s="4303"/>
      <c r="CV1392" s="4303"/>
      <c r="CW1392" s="4303"/>
      <c r="CX1392" s="4303"/>
      <c r="CY1392" s="4303"/>
      <c r="CZ1392" s="4303"/>
      <c r="DA1392" s="4303"/>
      <c r="DB1392" s="4303"/>
      <c r="DC1392" s="4303"/>
      <c r="DD1392" s="4303"/>
      <c r="DE1392" s="4303"/>
      <c r="DF1392" s="4303"/>
      <c r="DG1392" s="4303"/>
      <c r="DH1392" s="4303"/>
      <c r="DI1392" s="4303"/>
      <c r="DJ1392" s="4303"/>
      <c r="DK1392" s="4303"/>
      <c r="DL1392" s="4303"/>
      <c r="DM1392" s="4303"/>
      <c r="DN1392" s="4303"/>
      <c r="DO1392" s="4303"/>
      <c r="DP1392" s="4303"/>
      <c r="DQ1392" s="4303"/>
      <c r="DR1392" s="4303"/>
      <c r="DS1392" s="4303"/>
      <c r="DT1392" s="4134"/>
      <c r="DU1392" s="4134"/>
    </row>
    <row r="1393" s="4133" customFormat="1" ht="15.75" hidden="1" spans="1:125">
      <c r="A1393" s="4397"/>
      <c r="B1393" s="4292"/>
      <c r="C1393" s="4292"/>
      <c r="D1393" s="4292"/>
      <c r="E1393" s="4292"/>
      <c r="F1393" s="4292"/>
      <c r="G1393" s="4292"/>
      <c r="H1393" s="4292"/>
      <c r="I1393" s="4292"/>
      <c r="J1393" s="4292"/>
      <c r="K1393" s="4292"/>
      <c r="L1393" s="4292"/>
      <c r="M1393" s="4292"/>
      <c r="N1393" s="4292"/>
      <c r="O1393" s="4292"/>
      <c r="P1393" s="4292"/>
      <c r="Q1393" s="4292"/>
      <c r="R1393" s="4292"/>
      <c r="S1393" s="4292"/>
      <c r="T1393" s="4292"/>
      <c r="U1393" s="4292"/>
      <c r="V1393" s="4292"/>
      <c r="W1393" s="4292"/>
      <c r="X1393" s="4292"/>
      <c r="Y1393" s="4292"/>
      <c r="Z1393" s="4292"/>
      <c r="AA1393" s="4292"/>
      <c r="AB1393" s="4292"/>
      <c r="AC1393" s="4292"/>
      <c r="AD1393" s="4292"/>
      <c r="AE1393" s="4292"/>
      <c r="AF1393" s="4292"/>
      <c r="AG1393" s="4292"/>
      <c r="AH1393" s="4292"/>
      <c r="AI1393" s="4292"/>
      <c r="AJ1393" s="4292"/>
      <c r="AK1393" s="4292"/>
      <c r="AL1393" s="4292"/>
      <c r="AM1393" s="4292"/>
      <c r="AN1393" s="4292"/>
      <c r="AO1393" s="4292"/>
      <c r="AP1393" s="4292"/>
      <c r="AQ1393" s="4292"/>
      <c r="AR1393" s="4292"/>
      <c r="AS1393" s="4292"/>
      <c r="AT1393" s="4292"/>
      <c r="AU1393" s="4292"/>
      <c r="AV1393" s="4292"/>
      <c r="AW1393" s="4292"/>
      <c r="AX1393" s="4292"/>
      <c r="AY1393" s="4292"/>
      <c r="AZ1393" s="4292"/>
      <c r="BA1393" s="4292"/>
      <c r="BB1393" s="4292"/>
      <c r="BC1393" s="4292"/>
      <c r="BD1393" s="4303"/>
      <c r="BE1393" s="4303"/>
      <c r="BF1393" s="4303"/>
      <c r="BG1393" s="4303"/>
      <c r="BH1393" s="4303"/>
      <c r="BI1393" s="4303"/>
      <c r="BJ1393" s="4303"/>
      <c r="BK1393" s="4303"/>
      <c r="BL1393" s="4303"/>
      <c r="BM1393" s="4303"/>
      <c r="BN1393" s="4303"/>
      <c r="BO1393" s="4303"/>
      <c r="BP1393" s="4303"/>
      <c r="BQ1393" s="4303"/>
      <c r="BR1393" s="4303"/>
      <c r="BS1393" s="4303"/>
      <c r="BT1393" s="4303"/>
      <c r="BU1393" s="4303"/>
      <c r="BV1393" s="4303"/>
      <c r="BW1393" s="4303"/>
      <c r="BX1393" s="4303"/>
      <c r="BY1393" s="4303"/>
      <c r="BZ1393" s="4303"/>
      <c r="CA1393" s="4303"/>
      <c r="CB1393" s="4303"/>
      <c r="CC1393" s="4303"/>
      <c r="CD1393" s="4303"/>
      <c r="CE1393" s="4303"/>
      <c r="CF1393" s="4303"/>
      <c r="CG1393" s="4303"/>
      <c r="CH1393" s="4303"/>
      <c r="CI1393" s="4303"/>
      <c r="CJ1393" s="4303"/>
      <c r="CK1393" s="4303"/>
      <c r="CL1393" s="4303"/>
      <c r="CM1393" s="4303"/>
      <c r="CN1393" s="4303"/>
      <c r="CO1393" s="4303"/>
      <c r="CP1393" s="4303"/>
      <c r="CQ1393" s="4303"/>
      <c r="CR1393" s="4303"/>
      <c r="CS1393" s="4303"/>
      <c r="CT1393" s="4303"/>
      <c r="CU1393" s="4303"/>
      <c r="CV1393" s="4303"/>
      <c r="CW1393" s="4303"/>
      <c r="CX1393" s="4303"/>
      <c r="CY1393" s="4303"/>
      <c r="CZ1393" s="4303"/>
      <c r="DA1393" s="4303"/>
      <c r="DB1393" s="4303"/>
      <c r="DC1393" s="4303"/>
      <c r="DD1393" s="4303"/>
      <c r="DE1393" s="4303"/>
      <c r="DF1393" s="4303"/>
      <c r="DG1393" s="4303"/>
      <c r="DH1393" s="4303"/>
      <c r="DI1393" s="4303"/>
      <c r="DJ1393" s="4303"/>
      <c r="DK1393" s="4303"/>
      <c r="DL1393" s="4303"/>
      <c r="DM1393" s="4303"/>
      <c r="DN1393" s="4303"/>
      <c r="DO1393" s="4303"/>
      <c r="DP1393" s="4303"/>
      <c r="DQ1393" s="4303"/>
      <c r="DR1393" s="4303"/>
      <c r="DS1393" s="4303"/>
      <c r="DT1393" s="4134"/>
      <c r="DU1393" s="4134"/>
    </row>
    <row r="1394" s="4133" customFormat="1" ht="15.75" hidden="1" spans="1:125">
      <c r="A1394" s="4397"/>
      <c r="B1394" s="4292"/>
      <c r="C1394" s="4292"/>
      <c r="D1394" s="4292"/>
      <c r="E1394" s="4292"/>
      <c r="F1394" s="4292"/>
      <c r="G1394" s="4292"/>
      <c r="H1394" s="4292"/>
      <c r="I1394" s="4292"/>
      <c r="J1394" s="4292"/>
      <c r="K1394" s="4292"/>
      <c r="L1394" s="4292"/>
      <c r="M1394" s="4292"/>
      <c r="N1394" s="4292"/>
      <c r="O1394" s="4292"/>
      <c r="P1394" s="4292"/>
      <c r="Q1394" s="4292"/>
      <c r="R1394" s="4292"/>
      <c r="S1394" s="4292"/>
      <c r="T1394" s="4292"/>
      <c r="U1394" s="4292"/>
      <c r="V1394" s="4292"/>
      <c r="W1394" s="4292"/>
      <c r="X1394" s="4292"/>
      <c r="Y1394" s="4292"/>
      <c r="Z1394" s="4292"/>
      <c r="AA1394" s="4292"/>
      <c r="AB1394" s="4292"/>
      <c r="AC1394" s="4292"/>
      <c r="AD1394" s="4292"/>
      <c r="AE1394" s="4292"/>
      <c r="AF1394" s="4292"/>
      <c r="AG1394" s="4292"/>
      <c r="AH1394" s="4292"/>
      <c r="AI1394" s="4292"/>
      <c r="AJ1394" s="4292"/>
      <c r="AK1394" s="4292"/>
      <c r="AL1394" s="4292"/>
      <c r="AM1394" s="4292"/>
      <c r="AN1394" s="4292"/>
      <c r="AO1394" s="4292"/>
      <c r="AP1394" s="4292"/>
      <c r="AQ1394" s="4292"/>
      <c r="AR1394" s="4292"/>
      <c r="AS1394" s="4292"/>
      <c r="AT1394" s="4292"/>
      <c r="AU1394" s="4292"/>
      <c r="AV1394" s="4292"/>
      <c r="AW1394" s="4292"/>
      <c r="AX1394" s="4292"/>
      <c r="AY1394" s="4292"/>
      <c r="AZ1394" s="4292"/>
      <c r="BA1394" s="4292"/>
      <c r="BB1394" s="4292"/>
      <c r="BC1394" s="4292"/>
      <c r="BD1394" s="4303"/>
      <c r="BE1394" s="4303"/>
      <c r="BF1394" s="4303"/>
      <c r="BG1394" s="4303"/>
      <c r="BH1394" s="4303"/>
      <c r="BI1394" s="4303"/>
      <c r="BJ1394" s="4303"/>
      <c r="BK1394" s="4303"/>
      <c r="BL1394" s="4303"/>
      <c r="BM1394" s="4303"/>
      <c r="BN1394" s="4303"/>
      <c r="BO1394" s="4303"/>
      <c r="BP1394" s="4303"/>
      <c r="BQ1394" s="4303"/>
      <c r="BR1394" s="4303"/>
      <c r="BS1394" s="4303"/>
      <c r="BT1394" s="4303"/>
      <c r="BU1394" s="4303"/>
      <c r="BV1394" s="4303"/>
      <c r="BW1394" s="4303"/>
      <c r="BX1394" s="4303"/>
      <c r="BY1394" s="4303"/>
      <c r="BZ1394" s="4303"/>
      <c r="CA1394" s="4303"/>
      <c r="CB1394" s="4303"/>
      <c r="CC1394" s="4303"/>
      <c r="CD1394" s="4303"/>
      <c r="CE1394" s="4303"/>
      <c r="CF1394" s="4303"/>
      <c r="CG1394" s="4303"/>
      <c r="CH1394" s="4303"/>
      <c r="CI1394" s="4303"/>
      <c r="CJ1394" s="4303"/>
      <c r="CK1394" s="4303"/>
      <c r="CL1394" s="4303"/>
      <c r="CM1394" s="4303"/>
      <c r="CN1394" s="4303"/>
      <c r="CO1394" s="4303"/>
      <c r="CP1394" s="4303"/>
      <c r="CQ1394" s="4303"/>
      <c r="CR1394" s="4303"/>
      <c r="CS1394" s="4303"/>
      <c r="CT1394" s="4303"/>
      <c r="CU1394" s="4303"/>
      <c r="CV1394" s="4303"/>
      <c r="CW1394" s="4303"/>
      <c r="CX1394" s="4303"/>
      <c r="CY1394" s="4303"/>
      <c r="CZ1394" s="4303"/>
      <c r="DA1394" s="4303"/>
      <c r="DB1394" s="4303"/>
      <c r="DC1394" s="4303"/>
      <c r="DD1394" s="4303"/>
      <c r="DE1394" s="4303"/>
      <c r="DF1394" s="4303"/>
      <c r="DG1394" s="4303"/>
      <c r="DH1394" s="4303"/>
      <c r="DI1394" s="4303"/>
      <c r="DJ1394" s="4303"/>
      <c r="DK1394" s="4303"/>
      <c r="DL1394" s="4303"/>
      <c r="DM1394" s="4303"/>
      <c r="DN1394" s="4303"/>
      <c r="DO1394" s="4303"/>
      <c r="DP1394" s="4303"/>
      <c r="DQ1394" s="4303"/>
      <c r="DR1394" s="4303"/>
      <c r="DS1394" s="4303"/>
      <c r="DT1394" s="4134"/>
      <c r="DU1394" s="4134"/>
    </row>
    <row r="1395" s="4133" customFormat="1" customHeight="1" spans="1:125">
      <c r="A1395" s="5058"/>
      <c r="B1395" s="4970"/>
      <c r="C1395" s="4292"/>
      <c r="D1395" s="4292"/>
      <c r="E1395" s="4292"/>
      <c r="F1395" s="4292"/>
      <c r="G1395" s="4292"/>
      <c r="H1395" s="4292"/>
      <c r="I1395" s="4292"/>
      <c r="J1395" s="4292"/>
      <c r="K1395" s="4292"/>
      <c r="L1395" s="4292"/>
      <c r="M1395" s="4292"/>
      <c r="N1395" s="4292"/>
      <c r="O1395" s="4292"/>
      <c r="P1395" s="4292"/>
      <c r="Q1395" s="4292"/>
      <c r="R1395" s="4292"/>
      <c r="S1395" s="4292"/>
      <c r="T1395" s="4292"/>
      <c r="U1395" s="4292"/>
      <c r="V1395" s="4292"/>
      <c r="W1395" s="4292"/>
      <c r="X1395" s="4292"/>
      <c r="Y1395" s="4292"/>
      <c r="Z1395" s="4292"/>
      <c r="AA1395" s="4292"/>
      <c r="AB1395" s="4292"/>
      <c r="AC1395" s="4292"/>
      <c r="AD1395" s="4292"/>
      <c r="AE1395" s="4292"/>
      <c r="AF1395" s="4292"/>
      <c r="AG1395" s="4292"/>
      <c r="AH1395" s="4292"/>
      <c r="AI1395" s="4292"/>
      <c r="AJ1395" s="4292"/>
      <c r="AK1395" s="4292"/>
      <c r="AL1395" s="4292"/>
      <c r="AM1395" s="4292"/>
      <c r="AN1395" s="4292"/>
      <c r="AO1395" s="4292"/>
      <c r="AP1395" s="4292"/>
      <c r="AQ1395" s="4292"/>
      <c r="AR1395" s="4292"/>
      <c r="AS1395" s="4292"/>
      <c r="AT1395" s="4292"/>
      <c r="AU1395" s="4292"/>
      <c r="AV1395" s="4292"/>
      <c r="AW1395" s="4292"/>
      <c r="AX1395" s="4292"/>
      <c r="AY1395" s="4292"/>
      <c r="AZ1395" s="4292"/>
      <c r="BA1395" s="4292"/>
      <c r="BB1395" s="4292"/>
      <c r="BC1395" s="4292"/>
      <c r="BD1395" s="4303"/>
      <c r="BE1395" s="4303"/>
      <c r="BF1395" s="4303"/>
      <c r="BG1395" s="4303"/>
      <c r="BH1395" s="4303"/>
      <c r="BI1395" s="4303"/>
      <c r="BJ1395" s="4303"/>
      <c r="BK1395" s="4303"/>
      <c r="BL1395" s="4303"/>
      <c r="BM1395" s="4303"/>
      <c r="BN1395" s="4303"/>
      <c r="BO1395" s="4303"/>
      <c r="BP1395" s="4303"/>
      <c r="BQ1395" s="4303"/>
      <c r="BR1395" s="4303"/>
      <c r="BS1395" s="4303"/>
      <c r="BT1395" s="4303"/>
      <c r="BU1395" s="4303"/>
      <c r="BV1395" s="4303"/>
      <c r="BW1395" s="4303"/>
      <c r="BX1395" s="4303"/>
      <c r="BY1395" s="4303"/>
      <c r="BZ1395" s="4303"/>
      <c r="CA1395" s="4303"/>
      <c r="CB1395" s="4303"/>
      <c r="CC1395" s="4303"/>
      <c r="CD1395" s="4303"/>
      <c r="CE1395" s="4303"/>
      <c r="CF1395" s="4303"/>
      <c r="CG1395" s="4303"/>
      <c r="CH1395" s="4303"/>
      <c r="CI1395" s="4303"/>
      <c r="CJ1395" s="4303"/>
      <c r="CK1395" s="4303"/>
      <c r="CL1395" s="4303"/>
      <c r="CM1395" s="4303"/>
      <c r="CN1395" s="4303"/>
      <c r="CO1395" s="4303"/>
      <c r="CP1395" s="4303"/>
      <c r="CQ1395" s="4303"/>
      <c r="CR1395" s="4303"/>
      <c r="CS1395" s="4303"/>
      <c r="CT1395" s="4303"/>
      <c r="CU1395" s="4303"/>
      <c r="CV1395" s="4303"/>
      <c r="CW1395" s="4303"/>
      <c r="CX1395" s="4303"/>
      <c r="CY1395" s="4303"/>
      <c r="CZ1395" s="4303"/>
      <c r="DA1395" s="4303"/>
      <c r="DB1395" s="4303"/>
      <c r="DC1395" s="4303"/>
      <c r="DD1395" s="4303"/>
      <c r="DE1395" s="4303"/>
      <c r="DF1395" s="4303"/>
      <c r="DG1395" s="4303"/>
      <c r="DH1395" s="4303"/>
      <c r="DI1395" s="4303"/>
      <c r="DJ1395" s="4303"/>
      <c r="DK1395" s="4303"/>
      <c r="DL1395" s="4303"/>
      <c r="DM1395" s="4303"/>
      <c r="DN1395" s="4303"/>
      <c r="DO1395" s="4303"/>
      <c r="DP1395" s="4303"/>
      <c r="DQ1395" s="4303"/>
      <c r="DR1395" s="4303"/>
      <c r="DS1395" s="4303"/>
      <c r="DT1395" s="4134"/>
      <c r="DU1395" s="4134"/>
    </row>
    <row r="1396" s="4133" customFormat="1" ht="14.25" customHeight="1" spans="1:125">
      <c r="A1396" s="4969"/>
      <c r="B1396" s="4970"/>
      <c r="C1396" s="4970"/>
      <c r="D1396" s="4970"/>
      <c r="E1396" s="4970"/>
      <c r="F1396" s="4970"/>
      <c r="G1396" s="4970"/>
      <c r="H1396" s="4970"/>
      <c r="I1396" s="4970"/>
      <c r="J1396" s="4970"/>
      <c r="K1396" s="4970"/>
      <c r="L1396" s="4970"/>
      <c r="M1396" s="4970"/>
      <c r="N1396" s="4970"/>
      <c r="O1396" s="4970"/>
      <c r="P1396" s="4970"/>
      <c r="Q1396" s="4970"/>
      <c r="R1396" s="4970"/>
      <c r="S1396" s="4970"/>
      <c r="T1396" s="4970"/>
      <c r="U1396" s="4970"/>
      <c r="V1396" s="4970"/>
      <c r="W1396" s="4970"/>
      <c r="X1396" s="4970"/>
      <c r="Y1396" s="4970"/>
      <c r="Z1396" s="4970"/>
      <c r="AA1396" s="4970"/>
      <c r="AB1396" s="4970"/>
      <c r="AC1396" s="4970"/>
      <c r="AD1396" s="4970"/>
      <c r="AE1396" s="4970"/>
      <c r="AF1396" s="4970"/>
      <c r="AG1396" s="4970"/>
      <c r="AH1396" s="4970"/>
      <c r="AI1396" s="4970"/>
      <c r="AJ1396" s="4970"/>
      <c r="AK1396" s="4970"/>
      <c r="AL1396" s="4970"/>
      <c r="AM1396" s="4970"/>
      <c r="AN1396" s="4970"/>
      <c r="AO1396" s="4970"/>
      <c r="AP1396" s="4970"/>
      <c r="AQ1396" s="4970"/>
      <c r="AR1396" s="4970"/>
      <c r="AS1396" s="4970"/>
      <c r="AT1396" s="4970"/>
      <c r="AU1396" s="4970"/>
      <c r="AV1396" s="4970"/>
      <c r="AW1396" s="4970"/>
      <c r="AX1396" s="4970"/>
      <c r="AY1396" s="4970"/>
      <c r="AZ1396" s="4970"/>
      <c r="BA1396" s="4970"/>
      <c r="BB1396" s="4970"/>
      <c r="BC1396" s="4970"/>
      <c r="BD1396" s="4303"/>
      <c r="BE1396" s="4303"/>
      <c r="BF1396" s="4303"/>
      <c r="BG1396" s="4303"/>
      <c r="BH1396" s="4303"/>
      <c r="BI1396" s="4303"/>
      <c r="BJ1396" s="4303"/>
      <c r="BK1396" s="4303"/>
      <c r="BL1396" s="4303"/>
      <c r="BM1396" s="4303"/>
      <c r="BN1396" s="4303"/>
      <c r="BO1396" s="4303"/>
      <c r="BP1396" s="4303"/>
      <c r="BQ1396" s="4303"/>
      <c r="BR1396" s="4303"/>
      <c r="BS1396" s="4303"/>
      <c r="BT1396" s="4303"/>
      <c r="BU1396" s="4303"/>
      <c r="BV1396" s="4303"/>
      <c r="BW1396" s="4303"/>
      <c r="BX1396" s="4303"/>
      <c r="BY1396" s="4303"/>
      <c r="BZ1396" s="4303"/>
      <c r="CA1396" s="4303"/>
      <c r="CB1396" s="4303"/>
      <c r="CC1396" s="4303"/>
      <c r="CD1396" s="4303"/>
      <c r="CE1396" s="4303"/>
      <c r="CF1396" s="4303"/>
      <c r="CG1396" s="4303"/>
      <c r="CH1396" s="4303"/>
      <c r="CI1396" s="4303"/>
      <c r="CJ1396" s="4303"/>
      <c r="CK1396" s="4303"/>
      <c r="CL1396" s="4303"/>
      <c r="CM1396" s="4303"/>
      <c r="CN1396" s="4303"/>
      <c r="CO1396" s="4303"/>
      <c r="CP1396" s="4303"/>
      <c r="CQ1396" s="4303"/>
      <c r="CR1396" s="4303"/>
      <c r="CS1396" s="4303"/>
      <c r="CT1396" s="4303"/>
      <c r="CU1396" s="4303"/>
      <c r="CV1396" s="4303"/>
      <c r="CW1396" s="4303"/>
      <c r="CX1396" s="4303"/>
      <c r="CY1396" s="4303"/>
      <c r="CZ1396" s="4303"/>
      <c r="DA1396" s="4303"/>
      <c r="DB1396" s="4303"/>
      <c r="DC1396" s="4303"/>
      <c r="DD1396" s="4303"/>
      <c r="DE1396" s="4303"/>
      <c r="DF1396" s="4303"/>
      <c r="DG1396" s="4303"/>
      <c r="DH1396" s="4303"/>
      <c r="DI1396" s="4303"/>
      <c r="DJ1396" s="4303"/>
      <c r="DK1396" s="4303"/>
      <c r="DL1396" s="4303"/>
      <c r="DM1396" s="4303"/>
      <c r="DN1396" s="4303"/>
      <c r="DO1396" s="4303"/>
      <c r="DP1396" s="4303"/>
      <c r="DQ1396" s="4303"/>
      <c r="DR1396" s="4303"/>
      <c r="DS1396" s="4303"/>
      <c r="DT1396" s="4134"/>
      <c r="DU1396" s="4134"/>
    </row>
    <row r="1397" s="4133" customFormat="1" ht="28.5" customHeight="1" spans="1:125">
      <c r="A1397" s="4481" t="str">
        <f>"10. "&amp;Text!B17&amp;" - DODATNA OBJAVLJIVANJA "</f>
        <v>10. BILJEŠKE UZ FINANSIJSKE IZVJEŠTAJE - DODATNA OBJAVLJIVANJA </v>
      </c>
      <c r="B1397" s="4481"/>
      <c r="C1397" s="4481"/>
      <c r="D1397" s="4481"/>
      <c r="E1397" s="4481"/>
      <c r="F1397" s="4481"/>
      <c r="G1397" s="4481"/>
      <c r="H1397" s="4481"/>
      <c r="I1397" s="4481"/>
      <c r="J1397" s="4481"/>
      <c r="K1397" s="4481"/>
      <c r="L1397" s="4481"/>
      <c r="M1397" s="4481"/>
      <c r="N1397" s="4481"/>
      <c r="O1397" s="4481"/>
      <c r="P1397" s="4481"/>
      <c r="Q1397" s="4481"/>
      <c r="R1397" s="4481"/>
      <c r="S1397" s="4481"/>
      <c r="T1397" s="4481"/>
      <c r="U1397" s="4481"/>
      <c r="V1397" s="4481"/>
      <c r="W1397" s="4481"/>
      <c r="X1397" s="4481"/>
      <c r="Y1397" s="4481"/>
      <c r="Z1397" s="4481"/>
      <c r="AA1397" s="4481"/>
      <c r="AB1397" s="4481"/>
      <c r="AC1397" s="4481"/>
      <c r="AD1397" s="4481"/>
      <c r="AE1397" s="4481"/>
      <c r="AF1397" s="4481"/>
      <c r="AG1397" s="4481"/>
      <c r="AH1397" s="4481"/>
      <c r="AI1397" s="4481"/>
      <c r="AJ1397" s="4481"/>
      <c r="AK1397" s="4481"/>
      <c r="AL1397" s="4481"/>
      <c r="AM1397" s="4481"/>
      <c r="AN1397" s="4481"/>
      <c r="AO1397" s="4481"/>
      <c r="AP1397" s="4481"/>
      <c r="AQ1397" s="4481"/>
      <c r="AR1397" s="4481"/>
      <c r="AS1397" s="4481"/>
      <c r="AT1397" s="4481"/>
      <c r="AU1397" s="4481"/>
      <c r="AV1397" s="4481"/>
      <c r="AW1397" s="4481"/>
      <c r="AX1397" s="4481"/>
      <c r="AY1397" s="4481"/>
      <c r="AZ1397" s="4481"/>
      <c r="BA1397" s="4481"/>
      <c r="BB1397" s="4481"/>
      <c r="BC1397" s="4481"/>
      <c r="BD1397" s="4481"/>
      <c r="BE1397" s="4481"/>
      <c r="BF1397" s="4481"/>
      <c r="BG1397" s="4481"/>
      <c r="BH1397" s="4481"/>
      <c r="BI1397" s="5059"/>
      <c r="BJ1397" s="5059"/>
      <c r="BK1397" s="5059"/>
      <c r="BL1397" s="5059"/>
      <c r="BM1397" s="5059"/>
      <c r="BN1397" s="5059"/>
      <c r="BO1397" s="5059"/>
      <c r="BP1397" s="5059"/>
      <c r="BQ1397" s="5059"/>
      <c r="BR1397" s="5059"/>
      <c r="BS1397" s="5059"/>
      <c r="BT1397" s="5059"/>
      <c r="BU1397" s="5059"/>
      <c r="BV1397" s="5059"/>
      <c r="BW1397" s="5059"/>
      <c r="BX1397" s="5059"/>
      <c r="BY1397" s="5059"/>
      <c r="BZ1397" s="5059"/>
      <c r="CA1397" s="5059"/>
      <c r="CB1397" s="5059"/>
      <c r="CC1397" s="5059"/>
      <c r="CD1397" s="5059"/>
      <c r="CE1397" s="5059"/>
      <c r="CF1397" s="5059"/>
      <c r="CG1397" s="5059"/>
      <c r="CH1397" s="5059"/>
      <c r="CI1397" s="5059"/>
      <c r="CJ1397" s="5059"/>
      <c r="CK1397" s="5059"/>
      <c r="CL1397" s="5059"/>
      <c r="CM1397" s="5059"/>
      <c r="CN1397" s="5059"/>
      <c r="CO1397" s="5059"/>
      <c r="CP1397" s="5059"/>
      <c r="CQ1397" s="5059"/>
      <c r="CR1397" s="5059"/>
      <c r="CS1397" s="5059"/>
      <c r="CT1397" s="5059"/>
      <c r="CU1397" s="5059"/>
      <c r="CV1397" s="5059"/>
      <c r="CW1397" s="5059"/>
      <c r="CX1397" s="5059"/>
      <c r="CY1397" s="5059"/>
      <c r="CZ1397" s="5059"/>
      <c r="DA1397" s="5059"/>
      <c r="DB1397" s="5059"/>
      <c r="DC1397" s="5059"/>
      <c r="DD1397" s="5059"/>
      <c r="DE1397" s="5059"/>
      <c r="DF1397" s="5059"/>
      <c r="DG1397" s="5059"/>
      <c r="DH1397" s="5059"/>
      <c r="DI1397" s="5059"/>
      <c r="DJ1397" s="5059"/>
      <c r="DK1397" s="5059"/>
      <c r="DL1397" s="5059"/>
      <c r="DM1397" s="5059"/>
      <c r="DN1397" s="5059"/>
      <c r="DO1397" s="5059"/>
      <c r="DP1397" s="5059"/>
      <c r="DQ1397" s="5059"/>
      <c r="DR1397" s="5059"/>
      <c r="DS1397" s="5059"/>
    </row>
    <row r="1398" s="4133" customFormat="1" ht="21.75" customHeight="1" spans="1:125">
      <c r="A1398" s="5060" t="s">
        <v>5772</v>
      </c>
      <c r="B1398" s="5061"/>
      <c r="C1398" s="5062"/>
      <c r="D1398" s="5063"/>
      <c r="E1398" s="5063"/>
      <c r="F1398" s="5063"/>
      <c r="G1398" s="5063"/>
      <c r="H1398" s="5063"/>
      <c r="I1398" s="5063"/>
      <c r="J1398" s="5063"/>
      <c r="K1398" s="5063"/>
      <c r="L1398" s="5063"/>
      <c r="M1398" s="5063"/>
      <c r="N1398" s="5063"/>
      <c r="O1398" s="5064"/>
      <c r="P1398" s="5064"/>
      <c r="Q1398" s="5064"/>
      <c r="R1398" s="5064"/>
      <c r="S1398" s="5064"/>
      <c r="T1398" s="5064"/>
      <c r="U1398" s="5064"/>
      <c r="V1398" s="5064"/>
      <c r="W1398" s="5064"/>
      <c r="X1398" s="5064"/>
      <c r="Y1398" s="5064"/>
      <c r="Z1398" s="5064"/>
      <c r="AA1398" s="5064"/>
      <c r="AB1398" s="5064"/>
      <c r="AC1398" s="5064"/>
      <c r="AD1398" s="5064"/>
      <c r="AE1398" s="5064"/>
      <c r="AF1398" s="5064"/>
      <c r="AG1398" s="5064"/>
      <c r="AH1398" s="5064"/>
      <c r="AI1398" s="5064"/>
      <c r="AJ1398" s="5064"/>
      <c r="AK1398" s="5064"/>
      <c r="AL1398" s="5064"/>
      <c r="AM1398" s="5064"/>
      <c r="AN1398" s="5064"/>
      <c r="AO1398" s="5064"/>
      <c r="AP1398" s="5064"/>
      <c r="AQ1398" s="5064"/>
      <c r="AR1398" s="5064"/>
      <c r="AS1398" s="5064"/>
      <c r="AT1398" s="5065"/>
      <c r="AU1398" s="4295"/>
      <c r="AV1398" s="4295"/>
      <c r="AW1398" s="4295"/>
      <c r="AX1398" s="4295"/>
      <c r="AY1398" s="4295"/>
      <c r="AZ1398" s="4295"/>
      <c r="BA1398" s="4295"/>
      <c r="BB1398" s="4295"/>
      <c r="BC1398" s="4295"/>
      <c r="BD1398" s="4295"/>
      <c r="BE1398" s="4295"/>
      <c r="BF1398" s="4295"/>
      <c r="BG1398" s="4295"/>
      <c r="BH1398" s="4295"/>
      <c r="BI1398" s="4295"/>
      <c r="BJ1398" s="4295"/>
      <c r="BK1398" s="4295"/>
      <c r="BL1398" s="4295"/>
      <c r="BM1398" s="4295"/>
      <c r="BN1398" s="4295"/>
      <c r="BO1398" s="4295"/>
      <c r="BP1398" s="4295"/>
      <c r="BQ1398" s="4295"/>
      <c r="BR1398" s="4295"/>
      <c r="BS1398" s="4295"/>
      <c r="BT1398" s="4295"/>
      <c r="BU1398" s="4295"/>
      <c r="BV1398" s="4295"/>
      <c r="BW1398" s="4295"/>
      <c r="BX1398" s="4295"/>
      <c r="BY1398" s="4295"/>
      <c r="BZ1398" s="4295"/>
      <c r="CA1398" s="4295"/>
      <c r="CB1398" s="4295"/>
      <c r="CC1398" s="4295"/>
      <c r="CD1398" s="4295"/>
      <c r="CE1398" s="4295"/>
      <c r="CF1398" s="4295"/>
      <c r="CG1398" s="4295"/>
      <c r="CH1398" s="4295"/>
      <c r="CI1398" s="4295"/>
      <c r="CJ1398" s="4295"/>
      <c r="CK1398" s="4295"/>
      <c r="CL1398" s="4295"/>
      <c r="CM1398" s="4295"/>
      <c r="CN1398" s="4295"/>
      <c r="CO1398" s="4295"/>
      <c r="CP1398" s="4295"/>
      <c r="CQ1398" s="4295"/>
      <c r="CR1398" s="4295"/>
      <c r="CS1398" s="4295"/>
      <c r="CT1398" s="4295"/>
      <c r="CU1398" s="4295"/>
      <c r="CV1398" s="4295"/>
      <c r="CW1398" s="4295"/>
      <c r="CX1398" s="4295"/>
      <c r="CY1398" s="4295"/>
      <c r="CZ1398" s="4295"/>
      <c r="DA1398" s="4295"/>
      <c r="DB1398" s="4295"/>
      <c r="DC1398" s="4295"/>
      <c r="DD1398" s="4295"/>
      <c r="DE1398" s="4295"/>
      <c r="DF1398" s="4295"/>
      <c r="DG1398" s="4295"/>
      <c r="DH1398" s="4295"/>
      <c r="DI1398" s="4295"/>
      <c r="DJ1398" s="4295"/>
      <c r="DK1398" s="4295"/>
      <c r="DL1398" s="4295"/>
      <c r="DM1398" s="4295"/>
      <c r="DN1398" s="4295"/>
      <c r="DO1398" s="4295"/>
      <c r="DP1398" s="4295"/>
      <c r="DQ1398" s="4295"/>
      <c r="DR1398" s="4295"/>
      <c r="DS1398" s="4295"/>
    </row>
    <row r="1399" s="4133" customFormat="1" customHeight="1" spans="1:125">
      <c r="A1399" s="5066"/>
      <c r="B1399" s="5067"/>
      <c r="C1399" s="4853"/>
      <c r="D1399" s="4853"/>
      <c r="E1399" s="4853"/>
      <c r="F1399" s="4853"/>
      <c r="G1399" s="4853"/>
      <c r="H1399" s="4853"/>
      <c r="I1399" s="4853"/>
      <c r="J1399" s="4853"/>
      <c r="K1399" s="4853"/>
      <c r="L1399" s="4853"/>
      <c r="M1399" s="4853"/>
      <c r="N1399" s="4853"/>
      <c r="O1399" s="4853"/>
      <c r="P1399" s="4853"/>
      <c r="Q1399" s="4853"/>
      <c r="R1399" s="4853"/>
      <c r="S1399" s="4853"/>
      <c r="T1399" s="4853"/>
      <c r="U1399" s="4853"/>
      <c r="V1399" s="4853"/>
      <c r="W1399" s="4853"/>
      <c r="X1399" s="4853"/>
      <c r="Y1399" s="4853"/>
      <c r="Z1399" s="4853"/>
      <c r="AA1399" s="4853"/>
      <c r="AB1399" s="4853"/>
      <c r="AC1399" s="4853"/>
      <c r="AD1399" s="4853"/>
      <c r="AE1399" s="4853"/>
      <c r="AF1399" s="4853"/>
      <c r="AG1399" s="4853"/>
      <c r="AH1399" s="4853"/>
      <c r="AI1399" s="4853"/>
      <c r="AJ1399" s="4853"/>
      <c r="AK1399" s="4853"/>
      <c r="AL1399" s="4853"/>
      <c r="AM1399" s="4853"/>
      <c r="AN1399" s="4853"/>
      <c r="AO1399" s="4853"/>
      <c r="AP1399" s="4853"/>
      <c r="AQ1399" s="4853"/>
      <c r="AR1399" s="4853"/>
      <c r="AS1399" s="4853"/>
      <c r="AT1399" s="4853"/>
      <c r="AU1399" s="4295"/>
      <c r="AV1399" s="4295"/>
      <c r="AW1399" s="4295"/>
      <c r="AX1399" s="4295"/>
      <c r="AY1399" s="4295"/>
      <c r="AZ1399" s="4295"/>
      <c r="BA1399" s="4295"/>
      <c r="BB1399" s="4295"/>
      <c r="BC1399" s="4295"/>
      <c r="BD1399" s="4295"/>
      <c r="BE1399" s="4295"/>
      <c r="BF1399" s="4295"/>
      <c r="BG1399" s="4295"/>
      <c r="BH1399" s="4295"/>
      <c r="BI1399" s="4295"/>
      <c r="BJ1399" s="4295"/>
      <c r="BK1399" s="4295"/>
      <c r="BL1399" s="4295"/>
      <c r="BM1399" s="4295"/>
      <c r="BN1399" s="4295"/>
      <c r="BO1399" s="4295"/>
      <c r="BP1399" s="4295"/>
      <c r="BQ1399" s="4295"/>
      <c r="BR1399" s="4295"/>
      <c r="BS1399" s="4295"/>
      <c r="BT1399" s="4295"/>
      <c r="BU1399" s="4295"/>
      <c r="BV1399" s="4295"/>
      <c r="BW1399" s="4295"/>
      <c r="BX1399" s="4295"/>
      <c r="BY1399" s="4295"/>
      <c r="BZ1399" s="4295"/>
      <c r="CA1399" s="4295"/>
      <c r="CB1399" s="4295"/>
      <c r="CC1399" s="4295"/>
      <c r="CD1399" s="4295"/>
      <c r="CE1399" s="4295"/>
      <c r="CF1399" s="4295"/>
      <c r="CG1399" s="4295"/>
      <c r="CH1399" s="4295"/>
      <c r="CI1399" s="4295"/>
      <c r="CJ1399" s="4295"/>
      <c r="CK1399" s="4295"/>
      <c r="CL1399" s="4295"/>
      <c r="CM1399" s="4295"/>
      <c r="CN1399" s="4295"/>
      <c r="CO1399" s="4295"/>
      <c r="CP1399" s="4295"/>
      <c r="CQ1399" s="4295"/>
      <c r="CR1399" s="4295"/>
      <c r="CS1399" s="4295"/>
      <c r="CT1399" s="4295"/>
      <c r="CU1399" s="4295"/>
      <c r="CV1399" s="4295"/>
      <c r="CW1399" s="4295"/>
      <c r="CX1399" s="4295"/>
      <c r="CY1399" s="4295"/>
      <c r="CZ1399" s="4295"/>
      <c r="DA1399" s="4295"/>
      <c r="DB1399" s="4295"/>
      <c r="DC1399" s="4295"/>
      <c r="DD1399" s="4295"/>
      <c r="DE1399" s="4295"/>
      <c r="DF1399" s="4295"/>
      <c r="DG1399" s="4295"/>
      <c r="DH1399" s="4295"/>
      <c r="DI1399" s="4295"/>
      <c r="DJ1399" s="4295"/>
      <c r="DK1399" s="4295"/>
      <c r="DL1399" s="4295"/>
      <c r="DM1399" s="4295"/>
      <c r="DN1399" s="4295"/>
      <c r="DO1399" s="4295"/>
      <c r="DP1399" s="4295"/>
      <c r="DQ1399" s="4295"/>
      <c r="DR1399" s="4295"/>
      <c r="DS1399" s="4295"/>
    </row>
    <row r="1400" s="4133" customFormat="1" ht="16.5" customHeight="1" spans="1:125">
      <c r="A1400" s="5068" t="s">
        <v>5773</v>
      </c>
      <c r="B1400" s="5068"/>
      <c r="C1400" s="4853"/>
      <c r="D1400" s="4853"/>
      <c r="E1400" s="4853"/>
      <c r="F1400" s="4853"/>
      <c r="G1400" s="4853"/>
      <c r="H1400" s="4853"/>
      <c r="I1400" s="4853"/>
      <c r="J1400" s="4853"/>
      <c r="K1400" s="4853"/>
      <c r="L1400" s="4853"/>
      <c r="M1400" s="4853"/>
      <c r="N1400" s="4853"/>
      <c r="O1400" s="4853"/>
      <c r="P1400" s="4853"/>
      <c r="Q1400" s="4853"/>
      <c r="R1400" s="4853"/>
      <c r="S1400" s="4853"/>
      <c r="T1400" s="4853"/>
      <c r="U1400" s="4853"/>
      <c r="V1400" s="4853"/>
      <c r="W1400" s="4853"/>
      <c r="X1400" s="4853"/>
      <c r="Y1400" s="4853"/>
      <c r="Z1400" s="4853"/>
      <c r="AA1400" s="4853"/>
      <c r="AB1400" s="4853"/>
      <c r="AC1400" s="4853"/>
      <c r="AD1400" s="4853"/>
      <c r="AE1400" s="4853"/>
      <c r="AF1400" s="4853"/>
      <c r="AG1400" s="4853"/>
      <c r="AH1400" s="4853"/>
      <c r="AI1400" s="4853"/>
      <c r="AJ1400" s="4853"/>
      <c r="AK1400" s="4853"/>
      <c r="AL1400" s="4853"/>
      <c r="AM1400" s="4853"/>
      <c r="AN1400" s="4853"/>
      <c r="AO1400" s="4853"/>
      <c r="AP1400" s="4853"/>
      <c r="AQ1400" s="4853"/>
      <c r="AR1400" s="4853"/>
      <c r="AS1400" s="4853"/>
      <c r="AT1400" s="4853"/>
      <c r="AU1400" s="4295"/>
      <c r="AV1400" s="4295"/>
      <c r="AW1400" s="4295"/>
      <c r="AX1400" s="4295"/>
      <c r="AY1400" s="4295"/>
      <c r="AZ1400" s="4295"/>
      <c r="BA1400" s="4295"/>
      <c r="BB1400" s="4295"/>
      <c r="BC1400" s="4295"/>
      <c r="BD1400" s="4295"/>
      <c r="BE1400" s="4295"/>
      <c r="BF1400" s="4295"/>
      <c r="BG1400" s="4295"/>
      <c r="BH1400" s="4295"/>
      <c r="BI1400" s="4295"/>
      <c r="BJ1400" s="4295"/>
      <c r="BK1400" s="4295"/>
      <c r="BL1400" s="4295"/>
      <c r="BM1400" s="4295"/>
      <c r="BN1400" s="4295"/>
      <c r="BO1400" s="4295"/>
      <c r="BP1400" s="4295"/>
      <c r="BQ1400" s="4295"/>
      <c r="BR1400" s="4295"/>
      <c r="BS1400" s="4295"/>
      <c r="BT1400" s="4295"/>
      <c r="BU1400" s="4295"/>
      <c r="BV1400" s="4295"/>
      <c r="BW1400" s="4295"/>
      <c r="BX1400" s="4295"/>
      <c r="BY1400" s="4295"/>
      <c r="BZ1400" s="4295"/>
      <c r="CA1400" s="4295"/>
      <c r="CB1400" s="4295"/>
      <c r="CC1400" s="4295"/>
      <c r="CD1400" s="4295"/>
      <c r="CE1400" s="4295"/>
      <c r="CF1400" s="4295"/>
      <c r="CG1400" s="4295"/>
      <c r="CH1400" s="4295"/>
      <c r="CI1400" s="4295"/>
      <c r="CJ1400" s="4295"/>
      <c r="CK1400" s="4295"/>
      <c r="CL1400" s="4295"/>
      <c r="CM1400" s="4295"/>
      <c r="CN1400" s="4295"/>
      <c r="CO1400" s="4295"/>
      <c r="CP1400" s="4295"/>
      <c r="CQ1400" s="4295"/>
      <c r="CR1400" s="4295"/>
      <c r="CS1400" s="4295"/>
      <c r="CT1400" s="4295"/>
      <c r="CU1400" s="4295"/>
      <c r="CV1400" s="4295"/>
      <c r="CW1400" s="4295"/>
      <c r="CX1400" s="4295"/>
      <c r="CY1400" s="4295"/>
      <c r="CZ1400" s="4295"/>
      <c r="DA1400" s="4295"/>
      <c r="DB1400" s="4295"/>
      <c r="DC1400" s="4295"/>
      <c r="DD1400" s="4295"/>
      <c r="DE1400" s="4295"/>
      <c r="DF1400" s="4295"/>
      <c r="DG1400" s="4295"/>
      <c r="DH1400" s="4295"/>
      <c r="DI1400" s="4295"/>
      <c r="DJ1400" s="4295"/>
      <c r="DK1400" s="4295"/>
      <c r="DL1400" s="4295"/>
      <c r="DM1400" s="4295"/>
      <c r="DN1400" s="4295"/>
      <c r="DO1400" s="4295"/>
      <c r="DP1400" s="4295"/>
      <c r="DQ1400" s="4295"/>
      <c r="DR1400" s="4295"/>
      <c r="DS1400" s="4295"/>
    </row>
    <row r="1401" s="4133" customFormat="1" ht="18.75" customHeight="1" spans="1:125">
      <c r="A1401" s="5069" t="str">
        <f ca="1">Analiza!A65</f>
        <v>-Ostvareni neto ukupan prihod prema bilansu uspjeha u periodu 01.01.2025. do 31.12.2025. godine, iznosi: 247.772 KM, što je u odnosu na isti period prethodne godine, SMANJENJE za 136.751 KM ili 35,6 %.</v>
      </c>
      <c r="B1401" s="5069"/>
      <c r="C1401" s="5069"/>
      <c r="D1401" s="5069"/>
      <c r="E1401" s="5069"/>
      <c r="F1401" s="5069"/>
      <c r="G1401" s="5069"/>
      <c r="H1401" s="5069"/>
      <c r="I1401" s="5069"/>
      <c r="J1401" s="5069"/>
      <c r="K1401" s="5069"/>
      <c r="L1401" s="5069"/>
      <c r="M1401" s="5069"/>
      <c r="N1401" s="5069"/>
      <c r="O1401" s="5069"/>
      <c r="P1401" s="5069"/>
      <c r="Q1401" s="5069"/>
      <c r="R1401" s="5069"/>
      <c r="S1401" s="5069"/>
      <c r="T1401" s="5069"/>
      <c r="U1401" s="5069"/>
      <c r="V1401" s="5069"/>
      <c r="W1401" s="5069"/>
      <c r="X1401" s="5069"/>
      <c r="Y1401" s="5069"/>
      <c r="Z1401" s="5069"/>
      <c r="AA1401" s="5069"/>
      <c r="AB1401" s="5069"/>
      <c r="AC1401" s="5069"/>
      <c r="AD1401" s="5069"/>
      <c r="AE1401" s="5069"/>
      <c r="AF1401" s="5069"/>
      <c r="AG1401" s="5069"/>
      <c r="AH1401" s="5069"/>
      <c r="AI1401" s="5069"/>
      <c r="AJ1401" s="5069"/>
      <c r="AK1401" s="5069"/>
      <c r="AL1401" s="5069"/>
      <c r="AM1401" s="5069"/>
      <c r="AN1401" s="5069"/>
      <c r="AO1401" s="5069"/>
      <c r="AP1401" s="5069"/>
      <c r="AQ1401" s="5069"/>
      <c r="AR1401" s="5069"/>
      <c r="AS1401" s="5069"/>
      <c r="AT1401" s="5069"/>
      <c r="AU1401" s="4295"/>
      <c r="AV1401" s="4295"/>
      <c r="AW1401" s="4295"/>
      <c r="AX1401" s="4295"/>
      <c r="AY1401" s="4295"/>
      <c r="AZ1401" s="4295"/>
      <c r="BA1401" s="4295"/>
      <c r="BB1401" s="4295"/>
      <c r="BC1401" s="4295"/>
      <c r="BD1401" s="4295"/>
      <c r="BE1401" s="4295"/>
      <c r="BF1401" s="4295"/>
      <c r="BG1401" s="4295"/>
      <c r="BH1401" s="4295"/>
      <c r="BI1401" s="4295"/>
      <c r="BJ1401" s="4295"/>
      <c r="BK1401" s="4295"/>
      <c r="BL1401" s="4295"/>
      <c r="BM1401" s="4295"/>
      <c r="BN1401" s="4295"/>
      <c r="BO1401" s="4295"/>
      <c r="BP1401" s="4295"/>
      <c r="BQ1401" s="4295"/>
      <c r="BR1401" s="4295"/>
      <c r="BS1401" s="4295"/>
      <c r="BT1401" s="4295"/>
      <c r="BU1401" s="4295"/>
      <c r="BV1401" s="4295"/>
      <c r="BW1401" s="4295"/>
      <c r="BX1401" s="4295"/>
      <c r="BY1401" s="4295"/>
      <c r="BZ1401" s="4295"/>
      <c r="CA1401" s="4295"/>
      <c r="CB1401" s="4295"/>
      <c r="CC1401" s="4295"/>
      <c r="CD1401" s="4295"/>
      <c r="CE1401" s="4295"/>
      <c r="CF1401" s="4295"/>
      <c r="CG1401" s="4295"/>
      <c r="CH1401" s="4295"/>
      <c r="CI1401" s="4295"/>
      <c r="CJ1401" s="4295"/>
      <c r="CK1401" s="4295"/>
      <c r="CL1401" s="4295"/>
      <c r="CM1401" s="4295"/>
      <c r="CN1401" s="4295"/>
      <c r="CO1401" s="4295"/>
      <c r="CP1401" s="4295"/>
      <c r="CQ1401" s="4295"/>
      <c r="CR1401" s="4295"/>
      <c r="CS1401" s="4295"/>
      <c r="CT1401" s="4295"/>
      <c r="CU1401" s="4295"/>
      <c r="CV1401" s="4295"/>
      <c r="CW1401" s="4295"/>
      <c r="CX1401" s="4295"/>
      <c r="CY1401" s="4295"/>
      <c r="CZ1401" s="4295"/>
      <c r="DA1401" s="4295"/>
      <c r="DB1401" s="4295"/>
      <c r="DC1401" s="4295"/>
      <c r="DD1401" s="4295"/>
      <c r="DE1401" s="4295"/>
      <c r="DF1401" s="4295"/>
      <c r="DG1401" s="4295"/>
      <c r="DH1401" s="4295"/>
      <c r="DI1401" s="4295"/>
      <c r="DJ1401" s="4295"/>
      <c r="DK1401" s="4295"/>
      <c r="DL1401" s="4295"/>
      <c r="DM1401" s="4295"/>
      <c r="DN1401" s="4295"/>
      <c r="DO1401" s="4295"/>
      <c r="DP1401" s="4295"/>
      <c r="DQ1401" s="4295"/>
      <c r="DR1401" s="4295"/>
      <c r="DS1401" s="4295"/>
    </row>
    <row r="1402" s="4133" customFormat="1" ht="18.75" customHeight="1" spans="1:125">
      <c r="A1402" s="5069"/>
      <c r="B1402" s="5069"/>
      <c r="C1402" s="5069"/>
      <c r="D1402" s="5069"/>
      <c r="E1402" s="5069"/>
      <c r="F1402" s="5069"/>
      <c r="G1402" s="5069"/>
      <c r="H1402" s="5069"/>
      <c r="I1402" s="5069"/>
      <c r="J1402" s="5069"/>
      <c r="K1402" s="5069"/>
      <c r="L1402" s="5069"/>
      <c r="M1402" s="5069"/>
      <c r="N1402" s="5069"/>
      <c r="O1402" s="5069"/>
      <c r="P1402" s="5069"/>
      <c r="Q1402" s="5069"/>
      <c r="R1402" s="5069"/>
      <c r="S1402" s="5069"/>
      <c r="T1402" s="5069"/>
      <c r="U1402" s="5069"/>
      <c r="V1402" s="5069"/>
      <c r="W1402" s="5069"/>
      <c r="X1402" s="5069"/>
      <c r="Y1402" s="5069"/>
      <c r="Z1402" s="5069"/>
      <c r="AA1402" s="5069"/>
      <c r="AB1402" s="5069"/>
      <c r="AC1402" s="5069"/>
      <c r="AD1402" s="5069"/>
      <c r="AE1402" s="5069"/>
      <c r="AF1402" s="5069"/>
      <c r="AG1402" s="5069"/>
      <c r="AH1402" s="5069"/>
      <c r="AI1402" s="5069"/>
      <c r="AJ1402" s="5069"/>
      <c r="AK1402" s="5069"/>
      <c r="AL1402" s="5069"/>
      <c r="AM1402" s="5069"/>
      <c r="AN1402" s="5069"/>
      <c r="AO1402" s="5069"/>
      <c r="AP1402" s="5069"/>
      <c r="AQ1402" s="5069"/>
      <c r="AR1402" s="5069"/>
      <c r="AS1402" s="5069"/>
      <c r="AT1402" s="5069"/>
      <c r="AU1402" s="4295"/>
      <c r="AV1402" s="4295"/>
      <c r="AW1402" s="4295"/>
      <c r="AX1402" s="4295"/>
      <c r="AY1402" s="4295"/>
      <c r="AZ1402" s="4295"/>
      <c r="BA1402" s="4295"/>
      <c r="BB1402" s="4295"/>
      <c r="BC1402" s="4295"/>
      <c r="BD1402" s="4295"/>
      <c r="BE1402" s="4295"/>
      <c r="BF1402" s="4295"/>
      <c r="BG1402" s="4295"/>
      <c r="BH1402" s="4295"/>
      <c r="BI1402" s="4295"/>
      <c r="BJ1402" s="4295"/>
      <c r="BK1402" s="4295"/>
      <c r="BL1402" s="4295"/>
      <c r="BM1402" s="4295"/>
      <c r="BN1402" s="4295"/>
      <c r="BO1402" s="4295"/>
      <c r="BP1402" s="4295"/>
      <c r="BQ1402" s="4295"/>
      <c r="BR1402" s="4295"/>
      <c r="BS1402" s="4295"/>
      <c r="BT1402" s="4295"/>
      <c r="BU1402" s="4295"/>
      <c r="BV1402" s="4295"/>
      <c r="BW1402" s="4295"/>
      <c r="BX1402" s="4295"/>
      <c r="BY1402" s="4295"/>
      <c r="BZ1402" s="4295"/>
      <c r="CA1402" s="4295"/>
      <c r="CB1402" s="4295"/>
      <c r="CC1402" s="4295"/>
      <c r="CD1402" s="4295"/>
      <c r="CE1402" s="4295"/>
      <c r="CF1402" s="4295"/>
      <c r="CG1402" s="4295"/>
      <c r="CH1402" s="4295"/>
      <c r="CI1402" s="4295"/>
      <c r="CJ1402" s="4295"/>
      <c r="CK1402" s="4295"/>
      <c r="CL1402" s="4295"/>
      <c r="CM1402" s="4295"/>
      <c r="CN1402" s="4295"/>
      <c r="CO1402" s="4295"/>
      <c r="CP1402" s="4295"/>
      <c r="CQ1402" s="4295"/>
      <c r="CR1402" s="4295"/>
      <c r="CS1402" s="4295"/>
      <c r="CT1402" s="4295"/>
      <c r="CU1402" s="4295"/>
      <c r="CV1402" s="4295"/>
      <c r="CW1402" s="4295"/>
      <c r="CX1402" s="4295"/>
      <c r="CY1402" s="4295"/>
      <c r="CZ1402" s="4295"/>
      <c r="DA1402" s="4295"/>
      <c r="DB1402" s="4295"/>
      <c r="DC1402" s="4295"/>
      <c r="DD1402" s="4295"/>
      <c r="DE1402" s="4295"/>
      <c r="DF1402" s="4295"/>
      <c r="DG1402" s="4295"/>
      <c r="DH1402" s="4295"/>
      <c r="DI1402" s="4295"/>
      <c r="DJ1402" s="4295"/>
      <c r="DK1402" s="4295"/>
      <c r="DL1402" s="4295"/>
      <c r="DM1402" s="4295"/>
      <c r="DN1402" s="4295"/>
      <c r="DO1402" s="4295"/>
      <c r="DP1402" s="4295"/>
      <c r="DQ1402" s="4295"/>
      <c r="DR1402" s="4295"/>
      <c r="DS1402" s="4295"/>
    </row>
    <row r="1403" s="4133" customFormat="1" ht="18.75" customHeight="1" spans="1:125">
      <c r="A1403" s="5069" t="str">
        <f ca="1">Analiza!A68</f>
        <v>U obračunskom periodu 2025. godine, POSLOVNI PRIHODI iznose 245.707 KM, što je 99,2% ukupnog prihoda.</v>
      </c>
      <c r="B1403" s="5069"/>
      <c r="C1403" s="5069"/>
      <c r="D1403" s="5069"/>
      <c r="E1403" s="5069"/>
      <c r="F1403" s="5069"/>
      <c r="G1403" s="5069"/>
      <c r="H1403" s="5069"/>
      <c r="I1403" s="5069"/>
      <c r="J1403" s="5069"/>
      <c r="K1403" s="5069"/>
      <c r="L1403" s="5069"/>
      <c r="M1403" s="5069"/>
      <c r="N1403" s="5069"/>
      <c r="O1403" s="5069"/>
      <c r="P1403" s="5069"/>
      <c r="Q1403" s="5069"/>
      <c r="R1403" s="5069"/>
      <c r="S1403" s="5069"/>
      <c r="T1403" s="5069"/>
      <c r="U1403" s="5069"/>
      <c r="V1403" s="5069"/>
      <c r="W1403" s="5069"/>
      <c r="X1403" s="5069"/>
      <c r="Y1403" s="5069"/>
      <c r="Z1403" s="5069"/>
      <c r="AA1403" s="5069"/>
      <c r="AB1403" s="5069"/>
      <c r="AC1403" s="5069"/>
      <c r="AD1403" s="5069"/>
      <c r="AE1403" s="5069"/>
      <c r="AF1403" s="5069"/>
      <c r="AG1403" s="5069"/>
      <c r="AH1403" s="5069"/>
      <c r="AI1403" s="5069"/>
      <c r="AJ1403" s="5069"/>
      <c r="AK1403" s="5069"/>
      <c r="AL1403" s="5069"/>
      <c r="AM1403" s="5069"/>
      <c r="AN1403" s="5069"/>
      <c r="AO1403" s="5069"/>
      <c r="AP1403" s="5069"/>
      <c r="AQ1403" s="5069"/>
      <c r="AR1403" s="5069"/>
      <c r="AS1403" s="5069"/>
      <c r="AT1403" s="5069"/>
      <c r="AU1403" s="4295"/>
      <c r="AV1403" s="4295"/>
      <c r="AW1403" s="4295"/>
      <c r="AX1403" s="4295"/>
      <c r="AY1403" s="4295"/>
      <c r="AZ1403" s="4295"/>
      <c r="BA1403" s="4295"/>
      <c r="BB1403" s="4295"/>
      <c r="BC1403" s="4295"/>
      <c r="BD1403" s="4295"/>
      <c r="BE1403" s="4295"/>
      <c r="BF1403" s="4295"/>
      <c r="BG1403" s="4295"/>
      <c r="BH1403" s="4295"/>
      <c r="BI1403" s="4295"/>
      <c r="BJ1403" s="4295"/>
      <c r="BK1403" s="4295"/>
      <c r="BL1403" s="4295"/>
      <c r="BM1403" s="4295"/>
      <c r="BN1403" s="4295"/>
      <c r="BO1403" s="4295"/>
      <c r="BP1403" s="4295"/>
      <c r="BQ1403" s="4295"/>
      <c r="BR1403" s="4295"/>
      <c r="BS1403" s="4295"/>
      <c r="BT1403" s="4295"/>
      <c r="BU1403" s="4295"/>
      <c r="BV1403" s="4295"/>
      <c r="BW1403" s="4295"/>
      <c r="BX1403" s="4295"/>
      <c r="BY1403" s="4295"/>
      <c r="BZ1403" s="4295"/>
      <c r="CA1403" s="4295"/>
      <c r="CB1403" s="4295"/>
      <c r="CC1403" s="4295"/>
      <c r="CD1403" s="4295"/>
      <c r="CE1403" s="4295"/>
      <c r="CF1403" s="4295"/>
      <c r="CG1403" s="4295"/>
      <c r="CH1403" s="4295"/>
      <c r="CI1403" s="4295"/>
      <c r="CJ1403" s="4295"/>
      <c r="CK1403" s="4295"/>
      <c r="CL1403" s="4295"/>
      <c r="CM1403" s="4295"/>
      <c r="CN1403" s="4295"/>
      <c r="CO1403" s="4295"/>
      <c r="CP1403" s="4295"/>
      <c r="CQ1403" s="4295"/>
      <c r="CR1403" s="4295"/>
      <c r="CS1403" s="4295"/>
      <c r="CT1403" s="4295"/>
      <c r="CU1403" s="4295"/>
      <c r="CV1403" s="4295"/>
      <c r="CW1403" s="4295"/>
      <c r="CX1403" s="4295"/>
      <c r="CY1403" s="4295"/>
      <c r="CZ1403" s="4295"/>
      <c r="DA1403" s="4295"/>
      <c r="DB1403" s="4295"/>
      <c r="DC1403" s="4295"/>
      <c r="DD1403" s="4295"/>
      <c r="DE1403" s="4295"/>
      <c r="DF1403" s="4295"/>
      <c r="DG1403" s="4295"/>
      <c r="DH1403" s="4295"/>
      <c r="DI1403" s="4295"/>
      <c r="DJ1403" s="4295"/>
      <c r="DK1403" s="4295"/>
      <c r="DL1403" s="4295"/>
      <c r="DM1403" s="4295"/>
      <c r="DN1403" s="4295"/>
      <c r="DO1403" s="4295"/>
      <c r="DP1403" s="4295"/>
      <c r="DQ1403" s="4295"/>
      <c r="DR1403" s="4295"/>
      <c r="DS1403" s="4295"/>
    </row>
    <row r="1404" s="4133" customFormat="1" ht="18.75" customHeight="1" spans="1:125">
      <c r="A1404" s="5069"/>
      <c r="B1404" s="5069"/>
      <c r="C1404" s="5069"/>
      <c r="D1404" s="5069"/>
      <c r="E1404" s="5069"/>
      <c r="F1404" s="5069"/>
      <c r="G1404" s="5069"/>
      <c r="H1404" s="5069"/>
      <c r="I1404" s="5069"/>
      <c r="J1404" s="5069"/>
      <c r="K1404" s="5069"/>
      <c r="L1404" s="5069"/>
      <c r="M1404" s="5069"/>
      <c r="N1404" s="5069"/>
      <c r="O1404" s="5069"/>
      <c r="P1404" s="5069"/>
      <c r="Q1404" s="5069"/>
      <c r="R1404" s="5069"/>
      <c r="S1404" s="5069"/>
      <c r="T1404" s="5069"/>
      <c r="U1404" s="5069"/>
      <c r="V1404" s="5069"/>
      <c r="W1404" s="5069"/>
      <c r="X1404" s="5069"/>
      <c r="Y1404" s="5069"/>
      <c r="Z1404" s="5069"/>
      <c r="AA1404" s="5069"/>
      <c r="AB1404" s="5069"/>
      <c r="AC1404" s="5069"/>
      <c r="AD1404" s="5069"/>
      <c r="AE1404" s="5069"/>
      <c r="AF1404" s="5069"/>
      <c r="AG1404" s="5069"/>
      <c r="AH1404" s="5069"/>
      <c r="AI1404" s="5069"/>
      <c r="AJ1404" s="5069"/>
      <c r="AK1404" s="5069"/>
      <c r="AL1404" s="5069"/>
      <c r="AM1404" s="5069"/>
      <c r="AN1404" s="5069"/>
      <c r="AO1404" s="5069"/>
      <c r="AP1404" s="5069"/>
      <c r="AQ1404" s="5069"/>
      <c r="AR1404" s="5069"/>
      <c r="AS1404" s="5069"/>
      <c r="AT1404" s="5069"/>
      <c r="AU1404" s="4295"/>
      <c r="AV1404" s="4295"/>
      <c r="AW1404" s="4295"/>
      <c r="AX1404" s="4295"/>
      <c r="AY1404" s="4295"/>
      <c r="AZ1404" s="4295"/>
      <c r="BA1404" s="4295"/>
      <c r="BB1404" s="4295"/>
      <c r="BC1404" s="4295"/>
      <c r="BD1404" s="4295"/>
      <c r="BE1404" s="4295"/>
      <c r="BF1404" s="4295"/>
      <c r="BG1404" s="4295"/>
      <c r="BH1404" s="4295"/>
      <c r="BI1404" s="4295"/>
      <c r="BJ1404" s="4295"/>
      <c r="BK1404" s="4295"/>
      <c r="BL1404" s="4295"/>
      <c r="BM1404" s="4295"/>
      <c r="BN1404" s="4295"/>
      <c r="BO1404" s="4295"/>
      <c r="BP1404" s="4295"/>
      <c r="BQ1404" s="4295"/>
      <c r="BR1404" s="4295"/>
      <c r="BS1404" s="4295"/>
      <c r="BT1404" s="4295"/>
      <c r="BU1404" s="4295"/>
      <c r="BV1404" s="4295"/>
      <c r="BW1404" s="4295"/>
      <c r="BX1404" s="4295"/>
      <c r="BY1404" s="4295"/>
      <c r="BZ1404" s="4295"/>
      <c r="CA1404" s="4295"/>
      <c r="CB1404" s="4295"/>
      <c r="CC1404" s="4295"/>
      <c r="CD1404" s="4295"/>
      <c r="CE1404" s="4295"/>
      <c r="CF1404" s="4295"/>
      <c r="CG1404" s="4295"/>
      <c r="CH1404" s="4295"/>
      <c r="CI1404" s="4295"/>
      <c r="CJ1404" s="4295"/>
      <c r="CK1404" s="4295"/>
      <c r="CL1404" s="4295"/>
      <c r="CM1404" s="4295"/>
      <c r="CN1404" s="4295"/>
      <c r="CO1404" s="4295"/>
      <c r="CP1404" s="4295"/>
      <c r="CQ1404" s="4295"/>
      <c r="CR1404" s="4295"/>
      <c r="CS1404" s="4295"/>
      <c r="CT1404" s="4295"/>
      <c r="CU1404" s="4295"/>
      <c r="CV1404" s="4295"/>
      <c r="CW1404" s="4295"/>
      <c r="CX1404" s="4295"/>
      <c r="CY1404" s="4295"/>
      <c r="CZ1404" s="4295"/>
      <c r="DA1404" s="4295"/>
      <c r="DB1404" s="4295"/>
      <c r="DC1404" s="4295"/>
      <c r="DD1404" s="4295"/>
      <c r="DE1404" s="4295"/>
      <c r="DF1404" s="4295"/>
      <c r="DG1404" s="4295"/>
      <c r="DH1404" s="4295"/>
      <c r="DI1404" s="4295"/>
      <c r="DJ1404" s="4295"/>
      <c r="DK1404" s="4295"/>
      <c r="DL1404" s="4295"/>
      <c r="DM1404" s="4295"/>
      <c r="DN1404" s="4295"/>
      <c r="DO1404" s="4295"/>
      <c r="DP1404" s="4295"/>
      <c r="DQ1404" s="4295"/>
      <c r="DR1404" s="4295"/>
      <c r="DS1404" s="4295"/>
    </row>
    <row r="1405" s="4133" customFormat="1" ht="18.75" customHeight="1" spans="1:125">
      <c r="A1405" s="5069" t="str">
        <f>Analiza!A70</f>
        <v>U odnosu na isti period prethodne godine, ovi prihodi imaju SMANJENJE za 62.793 KM ili 20,4 %.</v>
      </c>
      <c r="B1405" s="5069"/>
      <c r="C1405" s="5069"/>
      <c r="D1405" s="5069"/>
      <c r="E1405" s="5069"/>
      <c r="F1405" s="5069"/>
      <c r="G1405" s="5069"/>
      <c r="H1405" s="5069"/>
      <c r="I1405" s="5069"/>
      <c r="J1405" s="5069"/>
      <c r="K1405" s="5069"/>
      <c r="L1405" s="5069"/>
      <c r="M1405" s="5069"/>
      <c r="N1405" s="5069"/>
      <c r="O1405" s="5069"/>
      <c r="P1405" s="5069"/>
      <c r="Q1405" s="5069"/>
      <c r="R1405" s="5069"/>
      <c r="S1405" s="5069"/>
      <c r="T1405" s="5069"/>
      <c r="U1405" s="5069"/>
      <c r="V1405" s="5069"/>
      <c r="W1405" s="5069"/>
      <c r="X1405" s="5069"/>
      <c r="Y1405" s="5069"/>
      <c r="Z1405" s="5069"/>
      <c r="AA1405" s="5069"/>
      <c r="AB1405" s="5069"/>
      <c r="AC1405" s="5069"/>
      <c r="AD1405" s="5069"/>
      <c r="AE1405" s="5069"/>
      <c r="AF1405" s="5069"/>
      <c r="AG1405" s="5069"/>
      <c r="AH1405" s="5069"/>
      <c r="AI1405" s="5069"/>
      <c r="AJ1405" s="5069"/>
      <c r="AK1405" s="5069"/>
      <c r="AL1405" s="5069"/>
      <c r="AM1405" s="5069"/>
      <c r="AN1405" s="5069"/>
      <c r="AO1405" s="5069"/>
      <c r="AP1405" s="5069"/>
      <c r="AQ1405" s="5069"/>
      <c r="AR1405" s="5069"/>
      <c r="AS1405" s="5069"/>
      <c r="AT1405" s="5069"/>
      <c r="AU1405" s="4295"/>
      <c r="AV1405" s="4295"/>
      <c r="AW1405" s="4295"/>
      <c r="AX1405" s="4295"/>
      <c r="AY1405" s="4295"/>
      <c r="AZ1405" s="4295"/>
      <c r="BA1405" s="4295"/>
      <c r="BB1405" s="4295"/>
      <c r="BC1405" s="4295"/>
      <c r="BD1405" s="4295"/>
      <c r="BE1405" s="4295"/>
      <c r="BF1405" s="4295"/>
      <c r="BG1405" s="4295"/>
      <c r="BH1405" s="4295"/>
      <c r="BI1405" s="4295"/>
      <c r="BJ1405" s="4295"/>
      <c r="BK1405" s="4295"/>
      <c r="BL1405" s="4295"/>
      <c r="BM1405" s="4295"/>
      <c r="BN1405" s="4295"/>
      <c r="BO1405" s="4295"/>
      <c r="BP1405" s="4295"/>
      <c r="BQ1405" s="4295"/>
      <c r="BR1405" s="4295"/>
      <c r="BS1405" s="4295"/>
      <c r="BT1405" s="4295"/>
      <c r="BU1405" s="4295"/>
      <c r="BV1405" s="4295"/>
      <c r="BW1405" s="4295"/>
      <c r="BX1405" s="4295"/>
      <c r="BY1405" s="4295"/>
      <c r="BZ1405" s="4295"/>
      <c r="CA1405" s="4295"/>
      <c r="CB1405" s="4295"/>
      <c r="CC1405" s="4295"/>
      <c r="CD1405" s="4295"/>
      <c r="CE1405" s="4295"/>
      <c r="CF1405" s="4295"/>
      <c r="CG1405" s="4295"/>
      <c r="CH1405" s="4295"/>
      <c r="CI1405" s="4295"/>
      <c r="CJ1405" s="4295"/>
      <c r="CK1405" s="4295"/>
      <c r="CL1405" s="4295"/>
      <c r="CM1405" s="4295"/>
      <c r="CN1405" s="4295"/>
      <c r="CO1405" s="4295"/>
      <c r="CP1405" s="4295"/>
      <c r="CQ1405" s="4295"/>
      <c r="CR1405" s="4295"/>
      <c r="CS1405" s="4295"/>
      <c r="CT1405" s="4295"/>
      <c r="CU1405" s="4295"/>
      <c r="CV1405" s="4295"/>
      <c r="CW1405" s="4295"/>
      <c r="CX1405" s="4295"/>
      <c r="CY1405" s="4295"/>
      <c r="CZ1405" s="4295"/>
      <c r="DA1405" s="4295"/>
      <c r="DB1405" s="4295"/>
      <c r="DC1405" s="4295"/>
      <c r="DD1405" s="4295"/>
      <c r="DE1405" s="4295"/>
      <c r="DF1405" s="4295"/>
      <c r="DG1405" s="4295"/>
      <c r="DH1405" s="4295"/>
      <c r="DI1405" s="4295"/>
      <c r="DJ1405" s="4295"/>
      <c r="DK1405" s="4295"/>
      <c r="DL1405" s="4295"/>
      <c r="DM1405" s="4295"/>
      <c r="DN1405" s="4295"/>
      <c r="DO1405" s="4295"/>
      <c r="DP1405" s="4295"/>
      <c r="DQ1405" s="4295"/>
      <c r="DR1405" s="4295"/>
      <c r="DS1405" s="4295"/>
    </row>
    <row r="1406" s="4133" customFormat="1" ht="18.75" customHeight="1" spans="1:125">
      <c r="A1406" s="5069" t="str">
        <f ca="1">Analiza!A71</f>
        <v>P1 -U obračunskom periodu 2025. godine, najveći prihodi su : Prihodi od pruženih usluga na domaćem tržištu (AOP 209), u iznosu od 245.707 KM, što je 99,2% ukupnog prihoda.</v>
      </c>
      <c r="B1406" s="5069"/>
      <c r="C1406" s="5069"/>
      <c r="D1406" s="5069"/>
      <c r="E1406" s="5069"/>
      <c r="F1406" s="5069"/>
      <c r="G1406" s="5069"/>
      <c r="H1406" s="5069"/>
      <c r="I1406" s="5069"/>
      <c r="J1406" s="5069"/>
      <c r="K1406" s="5069"/>
      <c r="L1406" s="5069"/>
      <c r="M1406" s="5069"/>
      <c r="N1406" s="5069"/>
      <c r="O1406" s="5069"/>
      <c r="P1406" s="5069"/>
      <c r="Q1406" s="5069"/>
      <c r="R1406" s="5069"/>
      <c r="S1406" s="5069"/>
      <c r="T1406" s="5069"/>
      <c r="U1406" s="5069"/>
      <c r="V1406" s="5069"/>
      <c r="W1406" s="5069"/>
      <c r="X1406" s="5069"/>
      <c r="Y1406" s="5069"/>
      <c r="Z1406" s="5069"/>
      <c r="AA1406" s="5069"/>
      <c r="AB1406" s="5069"/>
      <c r="AC1406" s="5069"/>
      <c r="AD1406" s="5069"/>
      <c r="AE1406" s="5069"/>
      <c r="AF1406" s="5069"/>
      <c r="AG1406" s="5069"/>
      <c r="AH1406" s="5069"/>
      <c r="AI1406" s="5069"/>
      <c r="AJ1406" s="5069"/>
      <c r="AK1406" s="5069"/>
      <c r="AL1406" s="5069"/>
      <c r="AM1406" s="5069"/>
      <c r="AN1406" s="5069"/>
      <c r="AO1406" s="5069"/>
      <c r="AP1406" s="5069"/>
      <c r="AQ1406" s="5069"/>
      <c r="AR1406" s="5069"/>
      <c r="AS1406" s="5069"/>
      <c r="AT1406" s="5069"/>
      <c r="AU1406" s="4295"/>
      <c r="AV1406" s="4295"/>
      <c r="AW1406" s="4295"/>
      <c r="AX1406" s="4295"/>
      <c r="AY1406" s="4295"/>
      <c r="AZ1406" s="4295"/>
      <c r="BA1406" s="4295"/>
      <c r="BB1406" s="4295"/>
      <c r="BC1406" s="4295"/>
      <c r="BD1406" s="4295"/>
      <c r="BE1406" s="4295"/>
      <c r="BF1406" s="4295"/>
      <c r="BG1406" s="4295"/>
      <c r="BH1406" s="4295"/>
      <c r="BI1406" s="4295"/>
      <c r="BJ1406" s="4295"/>
      <c r="BK1406" s="4295"/>
      <c r="BL1406" s="4295"/>
      <c r="BM1406" s="4295"/>
      <c r="BN1406" s="4295"/>
      <c r="BO1406" s="4295"/>
      <c r="BP1406" s="4295"/>
      <c r="BQ1406" s="4295"/>
      <c r="BR1406" s="4295"/>
      <c r="BS1406" s="4295"/>
      <c r="BT1406" s="4295"/>
      <c r="BU1406" s="4295"/>
      <c r="BV1406" s="4295"/>
      <c r="BW1406" s="4295"/>
      <c r="BX1406" s="4295"/>
      <c r="BY1406" s="4295"/>
      <c r="BZ1406" s="4295"/>
      <c r="CA1406" s="4295"/>
      <c r="CB1406" s="4295"/>
      <c r="CC1406" s="4295"/>
      <c r="CD1406" s="4295"/>
      <c r="CE1406" s="4295"/>
      <c r="CF1406" s="4295"/>
      <c r="CG1406" s="4295"/>
      <c r="CH1406" s="4295"/>
      <c r="CI1406" s="4295"/>
      <c r="CJ1406" s="4295"/>
      <c r="CK1406" s="4295"/>
      <c r="CL1406" s="4295"/>
      <c r="CM1406" s="4295"/>
      <c r="CN1406" s="4295"/>
      <c r="CO1406" s="4295"/>
      <c r="CP1406" s="4295"/>
      <c r="CQ1406" s="4295"/>
      <c r="CR1406" s="4295"/>
      <c r="CS1406" s="4295"/>
      <c r="CT1406" s="4295"/>
      <c r="CU1406" s="4295"/>
      <c r="CV1406" s="4295"/>
      <c r="CW1406" s="4295"/>
      <c r="CX1406" s="4295"/>
      <c r="CY1406" s="4295"/>
      <c r="CZ1406" s="4295"/>
      <c r="DA1406" s="4295"/>
      <c r="DB1406" s="4295"/>
      <c r="DC1406" s="4295"/>
      <c r="DD1406" s="4295"/>
      <c r="DE1406" s="4295"/>
      <c r="DF1406" s="4295"/>
      <c r="DG1406" s="4295"/>
      <c r="DH1406" s="4295"/>
      <c r="DI1406" s="4295"/>
      <c r="DJ1406" s="4295"/>
      <c r="DK1406" s="4295"/>
      <c r="DL1406" s="4295"/>
      <c r="DM1406" s="4295"/>
      <c r="DN1406" s="4295"/>
      <c r="DO1406" s="4295"/>
      <c r="DP1406" s="4295"/>
      <c r="DQ1406" s="4295"/>
      <c r="DR1406" s="4295"/>
      <c r="DS1406" s="4295"/>
    </row>
    <row r="1407" s="4133" customFormat="1" ht="18.75" customHeight="1" spans="1:125">
      <c r="A1407" s="5069"/>
      <c r="B1407" s="5069"/>
      <c r="C1407" s="5069"/>
      <c r="D1407" s="5069"/>
      <c r="E1407" s="5069"/>
      <c r="F1407" s="5069"/>
      <c r="G1407" s="5069"/>
      <c r="H1407" s="5069"/>
      <c r="I1407" s="5069"/>
      <c r="J1407" s="5069"/>
      <c r="K1407" s="5069"/>
      <c r="L1407" s="5069"/>
      <c r="M1407" s="5069"/>
      <c r="N1407" s="5069"/>
      <c r="O1407" s="5069"/>
      <c r="P1407" s="5069"/>
      <c r="Q1407" s="5069"/>
      <c r="R1407" s="5069"/>
      <c r="S1407" s="5069"/>
      <c r="T1407" s="5069"/>
      <c r="U1407" s="5069"/>
      <c r="V1407" s="5069"/>
      <c r="W1407" s="5069"/>
      <c r="X1407" s="5069"/>
      <c r="Y1407" s="5069"/>
      <c r="Z1407" s="5069"/>
      <c r="AA1407" s="5069"/>
      <c r="AB1407" s="5069"/>
      <c r="AC1407" s="5069"/>
      <c r="AD1407" s="5069"/>
      <c r="AE1407" s="5069"/>
      <c r="AF1407" s="5069"/>
      <c r="AG1407" s="5069"/>
      <c r="AH1407" s="5069"/>
      <c r="AI1407" s="5069"/>
      <c r="AJ1407" s="5069"/>
      <c r="AK1407" s="5069"/>
      <c r="AL1407" s="5069"/>
      <c r="AM1407" s="5069"/>
      <c r="AN1407" s="5069"/>
      <c r="AO1407" s="5069"/>
      <c r="AP1407" s="5069"/>
      <c r="AQ1407" s="5069"/>
      <c r="AR1407" s="5069"/>
      <c r="AS1407" s="5069"/>
      <c r="AT1407" s="5069"/>
      <c r="AU1407" s="4295"/>
      <c r="AV1407" s="4295"/>
      <c r="AW1407" s="4295"/>
      <c r="AX1407" s="4295"/>
      <c r="AY1407" s="4295"/>
      <c r="AZ1407" s="4295"/>
      <c r="BA1407" s="4295"/>
      <c r="BB1407" s="4295"/>
      <c r="BC1407" s="4295"/>
      <c r="BD1407" s="4295"/>
      <c r="BE1407" s="4295"/>
      <c r="BF1407" s="4295"/>
      <c r="BG1407" s="4295"/>
      <c r="BH1407" s="4295"/>
      <c r="BI1407" s="4295"/>
      <c r="BJ1407" s="4295"/>
      <c r="BK1407" s="4295"/>
      <c r="BL1407" s="4295"/>
      <c r="BM1407" s="4295"/>
      <c r="BN1407" s="4295"/>
      <c r="BO1407" s="4295"/>
      <c r="BP1407" s="4295"/>
      <c r="BQ1407" s="4295"/>
      <c r="BR1407" s="4295"/>
      <c r="BS1407" s="4295"/>
      <c r="BT1407" s="4295"/>
      <c r="BU1407" s="4295"/>
      <c r="BV1407" s="4295"/>
      <c r="BW1407" s="4295"/>
      <c r="BX1407" s="4295"/>
      <c r="BY1407" s="4295"/>
      <c r="BZ1407" s="4295"/>
      <c r="CA1407" s="4295"/>
      <c r="CB1407" s="4295"/>
      <c r="CC1407" s="4295"/>
      <c r="CD1407" s="4295"/>
      <c r="CE1407" s="4295"/>
      <c r="CF1407" s="4295"/>
      <c r="CG1407" s="4295"/>
      <c r="CH1407" s="4295"/>
      <c r="CI1407" s="4295"/>
      <c r="CJ1407" s="4295"/>
      <c r="CK1407" s="4295"/>
      <c r="CL1407" s="4295"/>
      <c r="CM1407" s="4295"/>
      <c r="CN1407" s="4295"/>
      <c r="CO1407" s="4295"/>
      <c r="CP1407" s="4295"/>
      <c r="CQ1407" s="4295"/>
      <c r="CR1407" s="4295"/>
      <c r="CS1407" s="4295"/>
      <c r="CT1407" s="4295"/>
      <c r="CU1407" s="4295"/>
      <c r="CV1407" s="4295"/>
      <c r="CW1407" s="4295"/>
      <c r="CX1407" s="4295"/>
      <c r="CY1407" s="4295"/>
      <c r="CZ1407" s="4295"/>
      <c r="DA1407" s="4295"/>
      <c r="DB1407" s="4295"/>
      <c r="DC1407" s="4295"/>
      <c r="DD1407" s="4295"/>
      <c r="DE1407" s="4295"/>
      <c r="DF1407" s="4295"/>
      <c r="DG1407" s="4295"/>
      <c r="DH1407" s="4295"/>
      <c r="DI1407" s="4295"/>
      <c r="DJ1407" s="4295"/>
      <c r="DK1407" s="4295"/>
      <c r="DL1407" s="4295"/>
      <c r="DM1407" s="4295"/>
      <c r="DN1407" s="4295"/>
      <c r="DO1407" s="4295"/>
      <c r="DP1407" s="4295"/>
      <c r="DQ1407" s="4295"/>
      <c r="DR1407" s="4295"/>
      <c r="DS1407" s="4295"/>
    </row>
    <row r="1408" s="4133" customFormat="1" ht="18.75" customHeight="1" spans="1:125">
      <c r="A1408" s="5069" t="str">
        <f>Analiza!A73</f>
        <v>U odnosu na isti period prethodne godine, ovaj prihod ima SMANJENJE za 62.793 KM ili 20,4 %.</v>
      </c>
      <c r="B1408" s="5069"/>
      <c r="C1408" s="5069"/>
      <c r="D1408" s="5069"/>
      <c r="E1408" s="5069"/>
      <c r="F1408" s="5069"/>
      <c r="G1408" s="5069"/>
      <c r="H1408" s="5069"/>
      <c r="I1408" s="5069"/>
      <c r="J1408" s="5069"/>
      <c r="K1408" s="5069"/>
      <c r="L1408" s="5069"/>
      <c r="M1408" s="5069"/>
      <c r="N1408" s="5069"/>
      <c r="O1408" s="5069"/>
      <c r="P1408" s="5069"/>
      <c r="Q1408" s="5069"/>
      <c r="R1408" s="5069"/>
      <c r="S1408" s="5069"/>
      <c r="T1408" s="5069"/>
      <c r="U1408" s="5069"/>
      <c r="V1408" s="5069"/>
      <c r="W1408" s="5069"/>
      <c r="X1408" s="5069"/>
      <c r="Y1408" s="5069"/>
      <c r="Z1408" s="5069"/>
      <c r="AA1408" s="5069"/>
      <c r="AB1408" s="5069"/>
      <c r="AC1408" s="5069"/>
      <c r="AD1408" s="5069"/>
      <c r="AE1408" s="5069"/>
      <c r="AF1408" s="5069"/>
      <c r="AG1408" s="5069"/>
      <c r="AH1408" s="5069"/>
      <c r="AI1408" s="5069"/>
      <c r="AJ1408" s="5069"/>
      <c r="AK1408" s="5069"/>
      <c r="AL1408" s="5069"/>
      <c r="AM1408" s="5069"/>
      <c r="AN1408" s="5069"/>
      <c r="AO1408" s="5069"/>
      <c r="AP1408" s="5069"/>
      <c r="AQ1408" s="5069"/>
      <c r="AR1408" s="5069"/>
      <c r="AS1408" s="5069"/>
      <c r="AT1408" s="5069"/>
      <c r="AU1408" s="4295"/>
      <c r="AV1408" s="4295"/>
      <c r="AW1408" s="4295"/>
      <c r="AX1408" s="4295"/>
      <c r="AY1408" s="4295"/>
      <c r="AZ1408" s="4295"/>
      <c r="BA1408" s="4295"/>
      <c r="BB1408" s="4295"/>
      <c r="BC1408" s="4295"/>
      <c r="BD1408" s="4295"/>
      <c r="BE1408" s="4295"/>
      <c r="BF1408" s="4295"/>
      <c r="BG1408" s="4295"/>
      <c r="BH1408" s="4295"/>
      <c r="BI1408" s="4295"/>
      <c r="BJ1408" s="4295"/>
      <c r="BK1408" s="4295"/>
      <c r="BL1408" s="4295"/>
      <c r="BM1408" s="4295"/>
      <c r="BN1408" s="4295"/>
      <c r="BO1408" s="4295"/>
      <c r="BP1408" s="4295"/>
      <c r="BQ1408" s="4295"/>
      <c r="BR1408" s="4295"/>
      <c r="BS1408" s="4295"/>
      <c r="BT1408" s="4295"/>
      <c r="BU1408" s="4295"/>
      <c r="BV1408" s="4295"/>
      <c r="BW1408" s="4295"/>
      <c r="BX1408" s="4295"/>
      <c r="BY1408" s="4295"/>
      <c r="BZ1408" s="4295"/>
      <c r="CA1408" s="4295"/>
      <c r="CB1408" s="4295"/>
      <c r="CC1408" s="4295"/>
      <c r="CD1408" s="4295"/>
      <c r="CE1408" s="4295"/>
      <c r="CF1408" s="4295"/>
      <c r="CG1408" s="4295"/>
      <c r="CH1408" s="4295"/>
      <c r="CI1408" s="4295"/>
      <c r="CJ1408" s="4295"/>
      <c r="CK1408" s="4295"/>
      <c r="CL1408" s="4295"/>
      <c r="CM1408" s="4295"/>
      <c r="CN1408" s="4295"/>
      <c r="CO1408" s="4295"/>
      <c r="CP1408" s="4295"/>
      <c r="CQ1408" s="4295"/>
      <c r="CR1408" s="4295"/>
      <c r="CS1408" s="4295"/>
      <c r="CT1408" s="4295"/>
      <c r="CU1408" s="4295"/>
      <c r="CV1408" s="4295"/>
      <c r="CW1408" s="4295"/>
      <c r="CX1408" s="4295"/>
      <c r="CY1408" s="4295"/>
      <c r="CZ1408" s="4295"/>
      <c r="DA1408" s="4295"/>
      <c r="DB1408" s="4295"/>
      <c r="DC1408" s="4295"/>
      <c r="DD1408" s="4295"/>
      <c r="DE1408" s="4295"/>
      <c r="DF1408" s="4295"/>
      <c r="DG1408" s="4295"/>
      <c r="DH1408" s="4295"/>
      <c r="DI1408" s="4295"/>
      <c r="DJ1408" s="4295"/>
      <c r="DK1408" s="4295"/>
      <c r="DL1408" s="4295"/>
      <c r="DM1408" s="4295"/>
      <c r="DN1408" s="4295"/>
      <c r="DO1408" s="4295"/>
      <c r="DP1408" s="4295"/>
      <c r="DQ1408" s="4295"/>
      <c r="DR1408" s="4295"/>
      <c r="DS1408" s="4295"/>
    </row>
    <row r="1409" s="4133" customFormat="1" ht="18.75" customHeight="1" spans="1:123">
      <c r="A1409" s="5070" t="str">
        <f>IF(Baza!I27=0,"-",Baza!I27)</f>
        <v>-</v>
      </c>
      <c r="B1409" s="5070"/>
      <c r="C1409" s="5070"/>
      <c r="D1409" s="5070"/>
      <c r="E1409" s="5070"/>
      <c r="F1409" s="5070"/>
      <c r="G1409" s="5070"/>
      <c r="H1409" s="5070"/>
      <c r="I1409" s="5070"/>
      <c r="J1409" s="5070"/>
      <c r="K1409" s="5070"/>
      <c r="L1409" s="5070"/>
      <c r="M1409" s="5070"/>
      <c r="N1409" s="5070"/>
      <c r="O1409" s="5070"/>
      <c r="P1409" s="5070"/>
      <c r="Q1409" s="5070"/>
      <c r="R1409" s="5070"/>
      <c r="S1409" s="5070"/>
      <c r="T1409" s="5070"/>
      <c r="U1409" s="5070"/>
      <c r="V1409" s="5070"/>
      <c r="W1409" s="5070"/>
      <c r="X1409" s="5070"/>
      <c r="Y1409" s="5070"/>
      <c r="Z1409" s="5070"/>
      <c r="AA1409" s="5070"/>
      <c r="AB1409" s="5070"/>
      <c r="AC1409" s="5070"/>
      <c r="AD1409" s="5070"/>
      <c r="AE1409" s="5070"/>
      <c r="AF1409" s="5070"/>
      <c r="AG1409" s="5070"/>
      <c r="AH1409" s="5070"/>
      <c r="AI1409" s="5070"/>
      <c r="AJ1409" s="5070"/>
      <c r="AK1409" s="5070"/>
      <c r="AL1409" s="5070"/>
      <c r="AM1409" s="5070"/>
      <c r="AN1409" s="5070"/>
      <c r="AO1409" s="5070"/>
      <c r="AP1409" s="5070"/>
      <c r="AQ1409" s="5070"/>
      <c r="AR1409" s="5070"/>
      <c r="AS1409" s="5070"/>
      <c r="AT1409" s="5070"/>
      <c r="AU1409" s="4295"/>
      <c r="AV1409" s="4295"/>
      <c r="AW1409" s="4295"/>
      <c r="AX1409" s="4295"/>
      <c r="AY1409" s="4295"/>
      <c r="AZ1409" s="4295"/>
      <c r="BA1409" s="4295"/>
      <c r="BB1409" s="4295"/>
      <c r="BC1409" s="4295"/>
      <c r="BD1409" s="4295"/>
      <c r="BE1409" s="4295"/>
      <c r="BF1409" s="4295"/>
      <c r="BG1409" s="4295"/>
      <c r="BH1409" s="4295"/>
      <c r="BI1409" s="4295"/>
      <c r="BJ1409" s="4295"/>
      <c r="BK1409" s="4295"/>
      <c r="BL1409" s="4295"/>
      <c r="BM1409" s="4295"/>
      <c r="BN1409" s="4295"/>
      <c r="BO1409" s="4295"/>
      <c r="BP1409" s="4295"/>
      <c r="BQ1409" s="4295"/>
      <c r="BR1409" s="4295"/>
      <c r="BS1409" s="4295"/>
      <c r="BT1409" s="4295"/>
      <c r="BU1409" s="4295"/>
      <c r="BV1409" s="4295"/>
      <c r="BW1409" s="4295"/>
      <c r="BX1409" s="4295"/>
      <c r="BY1409" s="4295"/>
      <c r="BZ1409" s="4295"/>
      <c r="CA1409" s="4295"/>
      <c r="CB1409" s="4295"/>
      <c r="CC1409" s="4295"/>
      <c r="CD1409" s="4295"/>
      <c r="CE1409" s="4295"/>
      <c r="CF1409" s="4295"/>
      <c r="CG1409" s="4295"/>
      <c r="CH1409" s="4295"/>
      <c r="CI1409" s="4295"/>
      <c r="CJ1409" s="4295"/>
      <c r="CK1409" s="4295"/>
      <c r="CL1409" s="4295"/>
      <c r="CM1409" s="4295"/>
      <c r="CN1409" s="4295"/>
      <c r="CO1409" s="4295"/>
      <c r="CP1409" s="4295"/>
      <c r="CQ1409" s="4295"/>
      <c r="CR1409" s="4295"/>
      <c r="CS1409" s="4295"/>
      <c r="CT1409" s="4295"/>
      <c r="CU1409" s="4295"/>
      <c r="CV1409" s="4295"/>
      <c r="CW1409" s="4295"/>
      <c r="CX1409" s="4295"/>
      <c r="CY1409" s="4295"/>
      <c r="CZ1409" s="4295"/>
      <c r="DA1409" s="4295"/>
      <c r="DB1409" s="4295"/>
      <c r="DC1409" s="4295"/>
      <c r="DD1409" s="4295"/>
      <c r="DE1409" s="4295"/>
      <c r="DF1409" s="4295"/>
      <c r="DG1409" s="4295"/>
      <c r="DH1409" s="4295"/>
      <c r="DI1409" s="4295"/>
      <c r="DJ1409" s="4295"/>
      <c r="DK1409" s="4295"/>
      <c r="DL1409" s="4295"/>
      <c r="DM1409" s="4295"/>
      <c r="DN1409" s="4295"/>
      <c r="DO1409" s="4295"/>
      <c r="DP1409" s="4295"/>
      <c r="DQ1409" s="4295"/>
      <c r="DR1409" s="4295"/>
      <c r="DS1409" s="4295"/>
    </row>
    <row r="1410" s="4133" customFormat="1" ht="25.5" customHeight="1" spans="1:123">
      <c r="A1410" s="5071"/>
      <c r="B1410" s="5071"/>
      <c r="C1410" s="5071"/>
      <c r="D1410" s="5071"/>
      <c r="E1410" s="5071"/>
      <c r="F1410" s="5071"/>
      <c r="G1410" s="5071"/>
      <c r="H1410" s="5071"/>
      <c r="I1410" s="5071"/>
      <c r="J1410" s="5071"/>
      <c r="K1410" s="5071"/>
      <c r="L1410" s="5071"/>
      <c r="M1410" s="5071"/>
      <c r="N1410" s="5071"/>
      <c r="O1410" s="5071"/>
      <c r="P1410" s="5071"/>
      <c r="Q1410" s="5071"/>
      <c r="R1410" s="5071"/>
      <c r="S1410" s="5071"/>
      <c r="T1410" s="5071"/>
      <c r="U1410" s="5071"/>
      <c r="V1410" s="5071"/>
      <c r="W1410" s="5071"/>
      <c r="X1410" s="5071"/>
      <c r="Y1410" s="5071"/>
      <c r="Z1410" s="5071"/>
      <c r="AA1410" s="5071"/>
      <c r="AB1410" s="5071"/>
      <c r="AC1410" s="5071"/>
      <c r="AD1410" s="5071"/>
      <c r="AE1410" s="5071"/>
      <c r="AF1410" s="5071"/>
      <c r="AG1410" s="5071"/>
      <c r="AH1410" s="5071"/>
      <c r="AI1410" s="5071"/>
      <c r="AJ1410" s="5071"/>
      <c r="AK1410" s="5071"/>
      <c r="AL1410" s="5071"/>
      <c r="AM1410" s="5071"/>
      <c r="AN1410" s="5071"/>
      <c r="AO1410" s="5071"/>
      <c r="AP1410" s="5071"/>
      <c r="AQ1410" s="5071"/>
      <c r="AR1410" s="5071"/>
      <c r="AS1410" s="5071"/>
      <c r="AT1410" s="5071"/>
      <c r="AU1410" s="4295"/>
      <c r="AV1410" s="4295"/>
      <c r="AW1410" s="4295"/>
      <c r="AX1410" s="4295"/>
      <c r="AY1410" s="4295"/>
      <c r="AZ1410" s="4295"/>
      <c r="BA1410" s="4295"/>
      <c r="BB1410" s="4295"/>
      <c r="BC1410" s="4295"/>
      <c r="BD1410" s="4295"/>
      <c r="BE1410" s="4295"/>
      <c r="BF1410" s="4295"/>
      <c r="BG1410" s="4295"/>
      <c r="BH1410" s="4295"/>
      <c r="BI1410" s="4295"/>
      <c r="BJ1410" s="4295"/>
      <c r="BK1410" s="4295"/>
      <c r="BL1410" s="4295"/>
      <c r="BM1410" s="4295"/>
      <c r="BN1410" s="4295"/>
      <c r="BO1410" s="4295"/>
      <c r="BP1410" s="4295"/>
      <c r="BQ1410" s="4295"/>
      <c r="BR1410" s="4295"/>
      <c r="BS1410" s="4295"/>
      <c r="BT1410" s="4295"/>
      <c r="BU1410" s="4295"/>
      <c r="BV1410" s="4295"/>
      <c r="BW1410" s="4295"/>
      <c r="BX1410" s="4295"/>
      <c r="BY1410" s="4295"/>
      <c r="BZ1410" s="4295"/>
      <c r="CA1410" s="4295"/>
      <c r="CB1410" s="4295"/>
      <c r="CC1410" s="4295"/>
      <c r="CD1410" s="4295"/>
      <c r="CE1410" s="4295"/>
      <c r="CF1410" s="4295"/>
      <c r="CG1410" s="4295"/>
      <c r="CH1410" s="4295"/>
      <c r="CI1410" s="4295"/>
      <c r="CJ1410" s="4295"/>
      <c r="CK1410" s="4295"/>
      <c r="CL1410" s="4295"/>
      <c r="CM1410" s="4295"/>
      <c r="CN1410" s="4295"/>
      <c r="CO1410" s="4295"/>
      <c r="CP1410" s="4295"/>
      <c r="CQ1410" s="4295"/>
      <c r="CR1410" s="4295"/>
      <c r="CS1410" s="4295"/>
      <c r="CT1410" s="4295"/>
      <c r="CU1410" s="4295"/>
      <c r="CV1410" s="4295"/>
      <c r="CW1410" s="4295"/>
      <c r="CX1410" s="4295"/>
      <c r="CY1410" s="4295"/>
      <c r="CZ1410" s="4295"/>
      <c r="DA1410" s="4295"/>
      <c r="DB1410" s="4295"/>
      <c r="DC1410" s="4295"/>
      <c r="DD1410" s="4295"/>
      <c r="DE1410" s="4295"/>
      <c r="DF1410" s="4295"/>
      <c r="DG1410" s="4295"/>
      <c r="DH1410" s="4295"/>
      <c r="DI1410" s="4295"/>
      <c r="DJ1410" s="4295"/>
      <c r="DK1410" s="4295"/>
      <c r="DL1410" s="4295"/>
      <c r="DM1410" s="4295"/>
      <c r="DN1410" s="4295"/>
      <c r="DO1410" s="4295"/>
      <c r="DP1410" s="4295"/>
      <c r="DQ1410" s="4295"/>
      <c r="DR1410" s="4295"/>
      <c r="DS1410" s="4295"/>
    </row>
    <row r="1411" s="4133" customFormat="1" ht="25.5" customHeight="1" spans="1:123">
      <c r="A1411" s="5071"/>
      <c r="B1411" s="5071"/>
      <c r="C1411" s="5071"/>
      <c r="D1411" s="5071"/>
      <c r="E1411" s="5071"/>
      <c r="F1411" s="5071"/>
      <c r="G1411" s="5071"/>
      <c r="H1411" s="5071"/>
      <c r="I1411" s="5071"/>
      <c r="J1411" s="5071"/>
      <c r="K1411" s="5071"/>
      <c r="L1411" s="5071"/>
      <c r="M1411" s="5071"/>
      <c r="N1411" s="5071"/>
      <c r="O1411" s="5071"/>
      <c r="P1411" s="5071"/>
      <c r="Q1411" s="5071"/>
      <c r="R1411" s="5071"/>
      <c r="S1411" s="5071"/>
      <c r="T1411" s="5071"/>
      <c r="U1411" s="5071"/>
      <c r="V1411" s="5071"/>
      <c r="W1411" s="5071"/>
      <c r="X1411" s="5071"/>
      <c r="Y1411" s="5071"/>
      <c r="Z1411" s="5071"/>
      <c r="AA1411" s="5071"/>
      <c r="AB1411" s="5071"/>
      <c r="AC1411" s="5071"/>
      <c r="AD1411" s="5071"/>
      <c r="AE1411" s="5071"/>
      <c r="AF1411" s="5071"/>
      <c r="AG1411" s="5071"/>
      <c r="AH1411" s="5071"/>
      <c r="AI1411" s="5071"/>
      <c r="AJ1411" s="5071"/>
      <c r="AK1411" s="5071"/>
      <c r="AL1411" s="5071"/>
      <c r="AM1411" s="5071"/>
      <c r="AN1411" s="5071"/>
      <c r="AO1411" s="5071"/>
      <c r="AP1411" s="5071"/>
      <c r="AQ1411" s="5071"/>
      <c r="AR1411" s="5071"/>
      <c r="AS1411" s="5071"/>
      <c r="AT1411" s="5071"/>
      <c r="AU1411" s="4295"/>
      <c r="AV1411" s="4295"/>
      <c r="AW1411" s="4295"/>
      <c r="AX1411" s="4295"/>
      <c r="AY1411" s="4295"/>
      <c r="AZ1411" s="4295"/>
      <c r="BA1411" s="4295"/>
      <c r="BB1411" s="4295"/>
      <c r="BC1411" s="4295"/>
      <c r="BD1411" s="4295"/>
      <c r="BE1411" s="4295"/>
      <c r="BF1411" s="4295"/>
      <c r="BG1411" s="4295"/>
      <c r="BH1411" s="4295"/>
      <c r="BI1411" s="4295"/>
      <c r="BJ1411" s="4295"/>
      <c r="BK1411" s="4295"/>
      <c r="BL1411" s="4295"/>
      <c r="BM1411" s="4295"/>
      <c r="BN1411" s="4295"/>
      <c r="BO1411" s="4295"/>
      <c r="BP1411" s="4295"/>
      <c r="BQ1411" s="4295"/>
      <c r="BR1411" s="4295"/>
      <c r="BS1411" s="4295"/>
      <c r="BT1411" s="4295"/>
      <c r="BU1411" s="4295"/>
      <c r="BV1411" s="4295"/>
      <c r="BW1411" s="4295"/>
      <c r="BX1411" s="4295"/>
      <c r="BY1411" s="4295"/>
      <c r="BZ1411" s="4295"/>
      <c r="CA1411" s="4295"/>
      <c r="CB1411" s="4295"/>
      <c r="CC1411" s="4295"/>
      <c r="CD1411" s="4295"/>
      <c r="CE1411" s="4295"/>
      <c r="CF1411" s="4295"/>
      <c r="CG1411" s="4295"/>
      <c r="CH1411" s="4295"/>
      <c r="CI1411" s="4295"/>
      <c r="CJ1411" s="4295"/>
      <c r="CK1411" s="4295"/>
      <c r="CL1411" s="4295"/>
      <c r="CM1411" s="4295"/>
      <c r="CN1411" s="4295"/>
      <c r="CO1411" s="4295"/>
      <c r="CP1411" s="4295"/>
      <c r="CQ1411" s="4295"/>
      <c r="CR1411" s="4295"/>
      <c r="CS1411" s="4295"/>
      <c r="CT1411" s="4295"/>
      <c r="CU1411" s="4295"/>
      <c r="CV1411" s="4295"/>
      <c r="CW1411" s="4295"/>
      <c r="CX1411" s="4295"/>
      <c r="CY1411" s="4295"/>
      <c r="CZ1411" s="4295"/>
      <c r="DA1411" s="4295"/>
      <c r="DB1411" s="4295"/>
      <c r="DC1411" s="4295"/>
      <c r="DD1411" s="4295"/>
      <c r="DE1411" s="4295"/>
      <c r="DF1411" s="4295"/>
      <c r="DG1411" s="4295"/>
      <c r="DH1411" s="4295"/>
      <c r="DI1411" s="4295"/>
      <c r="DJ1411" s="4295"/>
      <c r="DK1411" s="4295"/>
      <c r="DL1411" s="4295"/>
      <c r="DM1411" s="4295"/>
      <c r="DN1411" s="4295"/>
      <c r="DO1411" s="4295"/>
      <c r="DP1411" s="4295"/>
      <c r="DQ1411" s="4295"/>
      <c r="DR1411" s="4295"/>
      <c r="DS1411" s="4295"/>
    </row>
    <row r="1412" s="4133" customFormat="1" ht="25.5" customHeight="1" spans="1:123">
      <c r="A1412" s="5071"/>
      <c r="B1412" s="5071"/>
      <c r="C1412" s="5071"/>
      <c r="D1412" s="5071"/>
      <c r="E1412" s="5071"/>
      <c r="F1412" s="5071"/>
      <c r="G1412" s="5071"/>
      <c r="H1412" s="5071"/>
      <c r="I1412" s="5071"/>
      <c r="J1412" s="5071"/>
      <c r="K1412" s="5071"/>
      <c r="L1412" s="5071"/>
      <c r="M1412" s="5071"/>
      <c r="N1412" s="5071"/>
      <c r="O1412" s="5071"/>
      <c r="P1412" s="5071"/>
      <c r="Q1412" s="5071"/>
      <c r="R1412" s="5071"/>
      <c r="S1412" s="5071"/>
      <c r="T1412" s="5071"/>
      <c r="U1412" s="5071"/>
      <c r="V1412" s="5071"/>
      <c r="W1412" s="5071"/>
      <c r="X1412" s="5071"/>
      <c r="Y1412" s="5071"/>
      <c r="Z1412" s="5071"/>
      <c r="AA1412" s="5071"/>
      <c r="AB1412" s="5071"/>
      <c r="AC1412" s="5071"/>
      <c r="AD1412" s="5071"/>
      <c r="AE1412" s="5071"/>
      <c r="AF1412" s="5071"/>
      <c r="AG1412" s="5071"/>
      <c r="AH1412" s="5071"/>
      <c r="AI1412" s="5071"/>
      <c r="AJ1412" s="5071"/>
      <c r="AK1412" s="5071"/>
      <c r="AL1412" s="5071"/>
      <c r="AM1412" s="5071"/>
      <c r="AN1412" s="5071"/>
      <c r="AO1412" s="5071"/>
      <c r="AP1412" s="5071"/>
      <c r="AQ1412" s="5071"/>
      <c r="AR1412" s="5071"/>
      <c r="AS1412" s="5071"/>
      <c r="AT1412" s="5071"/>
      <c r="AU1412" s="4295"/>
      <c r="AV1412" s="4295"/>
      <c r="AW1412" s="4295"/>
      <c r="AX1412" s="4295"/>
      <c r="AY1412" s="4295"/>
      <c r="AZ1412" s="4295"/>
      <c r="BA1412" s="4295"/>
      <c r="BB1412" s="4295"/>
      <c r="BC1412" s="4295"/>
      <c r="BD1412" s="4295"/>
      <c r="BE1412" s="4295"/>
      <c r="BF1412" s="4295"/>
      <c r="BG1412" s="4295"/>
      <c r="BH1412" s="4295"/>
      <c r="BI1412" s="4295"/>
      <c r="BJ1412" s="4295"/>
      <c r="BK1412" s="4295"/>
      <c r="BL1412" s="4295"/>
      <c r="BM1412" s="4295"/>
      <c r="BN1412" s="4295"/>
      <c r="BO1412" s="4295"/>
      <c r="BP1412" s="4295"/>
      <c r="BQ1412" s="4295"/>
      <c r="BR1412" s="4295"/>
      <c r="BS1412" s="4295"/>
      <c r="BT1412" s="4295"/>
      <c r="BU1412" s="4295"/>
      <c r="BV1412" s="4295"/>
      <c r="BW1412" s="4295"/>
      <c r="BX1412" s="4295"/>
      <c r="BY1412" s="4295"/>
      <c r="BZ1412" s="4295"/>
      <c r="CA1412" s="4295"/>
      <c r="CB1412" s="4295"/>
      <c r="CC1412" s="4295"/>
      <c r="CD1412" s="4295"/>
      <c r="CE1412" s="4295"/>
      <c r="CF1412" s="4295"/>
      <c r="CG1412" s="4295"/>
      <c r="CH1412" s="4295"/>
      <c r="CI1412" s="4295"/>
      <c r="CJ1412" s="4295"/>
      <c r="CK1412" s="4295"/>
      <c r="CL1412" s="4295"/>
      <c r="CM1412" s="4295"/>
      <c r="CN1412" s="4295"/>
      <c r="CO1412" s="4295"/>
      <c r="CP1412" s="4295"/>
      <c r="CQ1412" s="4295"/>
      <c r="CR1412" s="4295"/>
      <c r="CS1412" s="4295"/>
      <c r="CT1412" s="4295"/>
      <c r="CU1412" s="4295"/>
      <c r="CV1412" s="4295"/>
      <c r="CW1412" s="4295"/>
      <c r="CX1412" s="4295"/>
      <c r="CY1412" s="4295"/>
      <c r="CZ1412" s="4295"/>
      <c r="DA1412" s="4295"/>
      <c r="DB1412" s="4295"/>
      <c r="DC1412" s="4295"/>
      <c r="DD1412" s="4295"/>
      <c r="DE1412" s="4295"/>
      <c r="DF1412" s="4295"/>
      <c r="DG1412" s="4295"/>
      <c r="DH1412" s="4295"/>
      <c r="DI1412" s="4295"/>
      <c r="DJ1412" s="4295"/>
      <c r="DK1412" s="4295"/>
      <c r="DL1412" s="4295"/>
      <c r="DM1412" s="4295"/>
      <c r="DN1412" s="4295"/>
      <c r="DO1412" s="4295"/>
      <c r="DP1412" s="4295"/>
      <c r="DQ1412" s="4295"/>
      <c r="DR1412" s="4295"/>
      <c r="DS1412" s="4295"/>
    </row>
    <row r="1413" s="4133" customFormat="1" ht="18.75" customHeight="1" spans="1:123">
      <c r="A1413" s="5072" t="str">
        <f>Analiza!A74</f>
        <v>P2. -Na drugom mjestu po veličini su : Finansijski rashodi (AOP 247), u iznosu od 1.319 KM, što je 0,5% ukupnog prihoda. </v>
      </c>
      <c r="B1413" s="5072"/>
      <c r="C1413" s="5072"/>
      <c r="D1413" s="5072"/>
      <c r="E1413" s="5072"/>
      <c r="F1413" s="5072"/>
      <c r="G1413" s="5072"/>
      <c r="H1413" s="5072"/>
      <c r="I1413" s="5072"/>
      <c r="J1413" s="5072"/>
      <c r="K1413" s="5072"/>
      <c r="L1413" s="5072"/>
      <c r="M1413" s="5072"/>
      <c r="N1413" s="5072"/>
      <c r="O1413" s="5072"/>
      <c r="P1413" s="5072"/>
      <c r="Q1413" s="5072"/>
      <c r="R1413" s="5072"/>
      <c r="S1413" s="5072"/>
      <c r="T1413" s="5072"/>
      <c r="U1413" s="5072"/>
      <c r="V1413" s="5072"/>
      <c r="W1413" s="5072"/>
      <c r="X1413" s="5072"/>
      <c r="Y1413" s="5072"/>
      <c r="Z1413" s="5072"/>
      <c r="AA1413" s="5072"/>
      <c r="AB1413" s="5072"/>
      <c r="AC1413" s="5072"/>
      <c r="AD1413" s="5072"/>
      <c r="AE1413" s="5072"/>
      <c r="AF1413" s="5072"/>
      <c r="AG1413" s="5072"/>
      <c r="AH1413" s="5072"/>
      <c r="AI1413" s="5072"/>
      <c r="AJ1413" s="5072"/>
      <c r="AK1413" s="5072"/>
      <c r="AL1413" s="5072"/>
      <c r="AM1413" s="5072"/>
      <c r="AN1413" s="5072"/>
      <c r="AO1413" s="5072"/>
      <c r="AP1413" s="5072"/>
      <c r="AQ1413" s="5072"/>
      <c r="AR1413" s="5072"/>
      <c r="AS1413" s="5072"/>
      <c r="AT1413" s="5072"/>
      <c r="AU1413" s="4295"/>
      <c r="AV1413" s="4295"/>
      <c r="AW1413" s="4295"/>
      <c r="AX1413" s="4295"/>
      <c r="AY1413" s="4295"/>
      <c r="AZ1413" s="4295"/>
      <c r="BA1413" s="4295"/>
      <c r="BB1413" s="4295"/>
      <c r="BC1413" s="4295"/>
      <c r="BD1413" s="4295"/>
      <c r="BE1413" s="4295"/>
      <c r="BF1413" s="4295"/>
      <c r="BG1413" s="4295"/>
      <c r="BH1413" s="4295"/>
      <c r="BI1413" s="4295"/>
      <c r="BJ1413" s="4295"/>
      <c r="BK1413" s="4295"/>
      <c r="BL1413" s="4295"/>
      <c r="BM1413" s="4295"/>
      <c r="BN1413" s="4295"/>
      <c r="BO1413" s="4295"/>
      <c r="BP1413" s="4295"/>
      <c r="BQ1413" s="4295"/>
      <c r="BR1413" s="4295"/>
      <c r="BS1413" s="4295"/>
      <c r="BT1413" s="4295"/>
      <c r="BU1413" s="4295"/>
      <c r="BV1413" s="4295"/>
      <c r="BW1413" s="4295"/>
      <c r="BX1413" s="4295"/>
      <c r="BY1413" s="4295"/>
      <c r="BZ1413" s="4295"/>
      <c r="CA1413" s="4295"/>
      <c r="CB1413" s="4295"/>
      <c r="CC1413" s="4295"/>
      <c r="CD1413" s="4295"/>
      <c r="CE1413" s="4295"/>
      <c r="CF1413" s="4295"/>
      <c r="CG1413" s="4295"/>
      <c r="CH1413" s="4295"/>
      <c r="CI1413" s="4295"/>
      <c r="CJ1413" s="4295"/>
      <c r="CK1413" s="4295"/>
      <c r="CL1413" s="4295"/>
      <c r="CM1413" s="4295"/>
      <c r="CN1413" s="4295"/>
      <c r="CO1413" s="4295"/>
      <c r="CP1413" s="4295"/>
      <c r="CQ1413" s="4295"/>
      <c r="CR1413" s="4295"/>
      <c r="CS1413" s="4295"/>
      <c r="CT1413" s="4295"/>
      <c r="CU1413" s="4295"/>
      <c r="CV1413" s="4295"/>
      <c r="CW1413" s="4295"/>
      <c r="CX1413" s="4295"/>
      <c r="CY1413" s="4295"/>
      <c r="CZ1413" s="4295"/>
      <c r="DA1413" s="4295"/>
      <c r="DB1413" s="4295"/>
      <c r="DC1413" s="4295"/>
      <c r="DD1413" s="4295"/>
      <c r="DE1413" s="4295"/>
      <c r="DF1413" s="4295"/>
      <c r="DG1413" s="4295"/>
      <c r="DH1413" s="4295"/>
      <c r="DI1413" s="4295"/>
      <c r="DJ1413" s="4295"/>
      <c r="DK1413" s="4295"/>
      <c r="DL1413" s="4295"/>
      <c r="DM1413" s="4295"/>
      <c r="DN1413" s="4295"/>
      <c r="DO1413" s="4295"/>
      <c r="DP1413" s="4295"/>
      <c r="DQ1413" s="4295"/>
      <c r="DR1413" s="4295"/>
      <c r="DS1413" s="4295"/>
    </row>
    <row r="1414" s="4133" customFormat="1" ht="18.75" customHeight="1" spans="1:123">
      <c r="A1414" s="5072"/>
      <c r="B1414" s="5072"/>
      <c r="C1414" s="5072"/>
      <c r="D1414" s="5072"/>
      <c r="E1414" s="5072"/>
      <c r="F1414" s="5072"/>
      <c r="G1414" s="5072"/>
      <c r="H1414" s="5072"/>
      <c r="I1414" s="5072"/>
      <c r="J1414" s="5072"/>
      <c r="K1414" s="5072"/>
      <c r="L1414" s="5072"/>
      <c r="M1414" s="5072"/>
      <c r="N1414" s="5072"/>
      <c r="O1414" s="5072"/>
      <c r="P1414" s="5072"/>
      <c r="Q1414" s="5072"/>
      <c r="R1414" s="5072"/>
      <c r="S1414" s="5072"/>
      <c r="T1414" s="5072"/>
      <c r="U1414" s="5072"/>
      <c r="V1414" s="5072"/>
      <c r="W1414" s="5072"/>
      <c r="X1414" s="5072"/>
      <c r="Y1414" s="5072"/>
      <c r="Z1414" s="5072"/>
      <c r="AA1414" s="5072"/>
      <c r="AB1414" s="5072"/>
      <c r="AC1414" s="5072"/>
      <c r="AD1414" s="5072"/>
      <c r="AE1414" s="5072"/>
      <c r="AF1414" s="5072"/>
      <c r="AG1414" s="5072"/>
      <c r="AH1414" s="5072"/>
      <c r="AI1414" s="5072"/>
      <c r="AJ1414" s="5072"/>
      <c r="AK1414" s="5072"/>
      <c r="AL1414" s="5072"/>
      <c r="AM1414" s="5072"/>
      <c r="AN1414" s="5072"/>
      <c r="AO1414" s="5072"/>
      <c r="AP1414" s="5072"/>
      <c r="AQ1414" s="5072"/>
      <c r="AR1414" s="5072"/>
      <c r="AS1414" s="5072"/>
      <c r="AT1414" s="5072"/>
      <c r="AU1414" s="4295"/>
      <c r="AV1414" s="4295"/>
      <c r="AW1414" s="4295"/>
      <c r="AX1414" s="4295"/>
      <c r="AY1414" s="4295"/>
      <c r="AZ1414" s="4295"/>
      <c r="BA1414" s="4295"/>
      <c r="BB1414" s="4295"/>
      <c r="BC1414" s="4295"/>
      <c r="BD1414" s="4295"/>
      <c r="BE1414" s="4295"/>
      <c r="BF1414" s="4295"/>
      <c r="BG1414" s="4295"/>
      <c r="BH1414" s="4295"/>
      <c r="BI1414" s="4295"/>
      <c r="BJ1414" s="4295"/>
      <c r="BK1414" s="4295"/>
      <c r="BL1414" s="4295"/>
      <c r="BM1414" s="4295"/>
      <c r="BN1414" s="4295"/>
      <c r="BO1414" s="4295"/>
      <c r="BP1414" s="4295"/>
      <c r="BQ1414" s="4295"/>
      <c r="BR1414" s="4295"/>
      <c r="BS1414" s="4295"/>
      <c r="BT1414" s="4295"/>
      <c r="BU1414" s="4295"/>
      <c r="BV1414" s="4295"/>
      <c r="BW1414" s="4295"/>
      <c r="BX1414" s="4295"/>
      <c r="BY1414" s="4295"/>
      <c r="BZ1414" s="4295"/>
      <c r="CA1414" s="4295"/>
      <c r="CB1414" s="4295"/>
      <c r="CC1414" s="4295"/>
      <c r="CD1414" s="4295"/>
      <c r="CE1414" s="4295"/>
      <c r="CF1414" s="4295"/>
      <c r="CG1414" s="4295"/>
      <c r="CH1414" s="4295"/>
      <c r="CI1414" s="4295"/>
      <c r="CJ1414" s="4295"/>
      <c r="CK1414" s="4295"/>
      <c r="CL1414" s="4295"/>
      <c r="CM1414" s="4295"/>
      <c r="CN1414" s="4295"/>
      <c r="CO1414" s="4295"/>
      <c r="CP1414" s="4295"/>
      <c r="CQ1414" s="4295"/>
      <c r="CR1414" s="4295"/>
      <c r="CS1414" s="4295"/>
      <c r="CT1414" s="4295"/>
      <c r="CU1414" s="4295"/>
      <c r="CV1414" s="4295"/>
      <c r="CW1414" s="4295"/>
      <c r="CX1414" s="4295"/>
      <c r="CY1414" s="4295"/>
      <c r="CZ1414" s="4295"/>
      <c r="DA1414" s="4295"/>
      <c r="DB1414" s="4295"/>
      <c r="DC1414" s="4295"/>
      <c r="DD1414" s="4295"/>
      <c r="DE1414" s="4295"/>
      <c r="DF1414" s="4295"/>
      <c r="DG1414" s="4295"/>
      <c r="DH1414" s="4295"/>
      <c r="DI1414" s="4295"/>
      <c r="DJ1414" s="4295"/>
      <c r="DK1414" s="4295"/>
      <c r="DL1414" s="4295"/>
      <c r="DM1414" s="4295"/>
      <c r="DN1414" s="4295"/>
      <c r="DO1414" s="4295"/>
      <c r="DP1414" s="4295"/>
      <c r="DQ1414" s="4295"/>
      <c r="DR1414" s="4295"/>
      <c r="DS1414" s="4295"/>
    </row>
    <row r="1415" s="4133" customFormat="1" ht="18.75" customHeight="1" spans="1:123">
      <c r="A1415" s="5072" t="str">
        <f>Analiza!A76</f>
        <v>U odnosu na isti period prethodne godine, ovaj prihod ima SMANJENJE za 2.623 KM ili 66,5 %.</v>
      </c>
      <c r="B1415" s="5072"/>
      <c r="C1415" s="5072"/>
      <c r="D1415" s="5072"/>
      <c r="E1415" s="5072"/>
      <c r="F1415" s="5072"/>
      <c r="G1415" s="5072"/>
      <c r="H1415" s="5072"/>
      <c r="I1415" s="5072"/>
      <c r="J1415" s="5072"/>
      <c r="K1415" s="5072"/>
      <c r="L1415" s="5072"/>
      <c r="M1415" s="5072"/>
      <c r="N1415" s="5072"/>
      <c r="O1415" s="5072"/>
      <c r="P1415" s="5072"/>
      <c r="Q1415" s="5072"/>
      <c r="R1415" s="5072"/>
      <c r="S1415" s="5072"/>
      <c r="T1415" s="5072"/>
      <c r="U1415" s="5072"/>
      <c r="V1415" s="5072"/>
      <c r="W1415" s="5072"/>
      <c r="X1415" s="5072"/>
      <c r="Y1415" s="5072"/>
      <c r="Z1415" s="5072"/>
      <c r="AA1415" s="5072"/>
      <c r="AB1415" s="5072"/>
      <c r="AC1415" s="5072"/>
      <c r="AD1415" s="5072"/>
      <c r="AE1415" s="5072"/>
      <c r="AF1415" s="5072"/>
      <c r="AG1415" s="5072"/>
      <c r="AH1415" s="5072"/>
      <c r="AI1415" s="5072"/>
      <c r="AJ1415" s="5072"/>
      <c r="AK1415" s="5072"/>
      <c r="AL1415" s="5072"/>
      <c r="AM1415" s="5072"/>
      <c r="AN1415" s="5072"/>
      <c r="AO1415" s="5072"/>
      <c r="AP1415" s="5072"/>
      <c r="AQ1415" s="5072"/>
      <c r="AR1415" s="5072"/>
      <c r="AS1415" s="5072"/>
      <c r="AT1415" s="5072"/>
      <c r="AU1415" s="4295"/>
      <c r="AV1415" s="4295"/>
      <c r="AW1415" s="4295"/>
      <c r="AX1415" s="4295"/>
      <c r="AY1415" s="4295"/>
      <c r="AZ1415" s="4295"/>
      <c r="BA1415" s="4295"/>
      <c r="BB1415" s="4295"/>
      <c r="BC1415" s="4295"/>
      <c r="BD1415" s="4295"/>
      <c r="BE1415" s="4295"/>
      <c r="BF1415" s="4295"/>
      <c r="BG1415" s="4295"/>
      <c r="BH1415" s="4295"/>
      <c r="BI1415" s="4295"/>
      <c r="BJ1415" s="4295"/>
      <c r="BK1415" s="4295"/>
      <c r="BL1415" s="4295"/>
      <c r="BM1415" s="4295"/>
      <c r="BN1415" s="4295"/>
      <c r="BO1415" s="4295"/>
      <c r="BP1415" s="4295"/>
      <c r="BQ1415" s="4295"/>
      <c r="BR1415" s="4295"/>
      <c r="BS1415" s="4295"/>
      <c r="BT1415" s="4295"/>
      <c r="BU1415" s="4295"/>
      <c r="BV1415" s="4295"/>
      <c r="BW1415" s="4295"/>
      <c r="BX1415" s="4295"/>
      <c r="BY1415" s="4295"/>
      <c r="BZ1415" s="4295"/>
      <c r="CA1415" s="4295"/>
      <c r="CB1415" s="4295"/>
      <c r="CC1415" s="4295"/>
      <c r="CD1415" s="4295"/>
      <c r="CE1415" s="4295"/>
      <c r="CF1415" s="4295"/>
      <c r="CG1415" s="4295"/>
      <c r="CH1415" s="4295"/>
      <c r="CI1415" s="4295"/>
      <c r="CJ1415" s="4295"/>
      <c r="CK1415" s="4295"/>
      <c r="CL1415" s="4295"/>
      <c r="CM1415" s="4295"/>
      <c r="CN1415" s="4295"/>
      <c r="CO1415" s="4295"/>
      <c r="CP1415" s="4295"/>
      <c r="CQ1415" s="4295"/>
      <c r="CR1415" s="4295"/>
      <c r="CS1415" s="4295"/>
      <c r="CT1415" s="4295"/>
      <c r="CU1415" s="4295"/>
      <c r="CV1415" s="4295"/>
      <c r="CW1415" s="4295"/>
      <c r="CX1415" s="4295"/>
      <c r="CY1415" s="4295"/>
      <c r="CZ1415" s="4295"/>
      <c r="DA1415" s="4295"/>
      <c r="DB1415" s="4295"/>
      <c r="DC1415" s="4295"/>
      <c r="DD1415" s="4295"/>
      <c r="DE1415" s="4295"/>
      <c r="DF1415" s="4295"/>
      <c r="DG1415" s="4295"/>
      <c r="DH1415" s="4295"/>
      <c r="DI1415" s="4295"/>
      <c r="DJ1415" s="4295"/>
      <c r="DK1415" s="4295"/>
      <c r="DL1415" s="4295"/>
      <c r="DM1415" s="4295"/>
      <c r="DN1415" s="4295"/>
      <c r="DO1415" s="4295"/>
      <c r="DP1415" s="4295"/>
      <c r="DQ1415" s="4295"/>
      <c r="DR1415" s="4295"/>
      <c r="DS1415" s="4295"/>
    </row>
    <row r="1416" s="4133" customFormat="1" ht="18.75" customHeight="1" spans="1:123">
      <c r="A1416" s="5070" t="str">
        <f>IF(Baza!I28=0,"-",Baza!I28)</f>
        <v>-</v>
      </c>
      <c r="B1416" s="5070"/>
      <c r="C1416" s="5070"/>
      <c r="D1416" s="5070"/>
      <c r="E1416" s="5070"/>
      <c r="F1416" s="5070"/>
      <c r="G1416" s="5070"/>
      <c r="H1416" s="5070"/>
      <c r="I1416" s="5070"/>
      <c r="J1416" s="5070"/>
      <c r="K1416" s="5070"/>
      <c r="L1416" s="5070"/>
      <c r="M1416" s="5070"/>
      <c r="N1416" s="5070"/>
      <c r="O1416" s="5070"/>
      <c r="P1416" s="5070"/>
      <c r="Q1416" s="5070"/>
      <c r="R1416" s="5070"/>
      <c r="S1416" s="5070"/>
      <c r="T1416" s="5070"/>
      <c r="U1416" s="5070"/>
      <c r="V1416" s="5070"/>
      <c r="W1416" s="5070"/>
      <c r="X1416" s="5070"/>
      <c r="Y1416" s="5070"/>
      <c r="Z1416" s="5070"/>
      <c r="AA1416" s="5070"/>
      <c r="AB1416" s="5070"/>
      <c r="AC1416" s="5070"/>
      <c r="AD1416" s="5070"/>
      <c r="AE1416" s="5070"/>
      <c r="AF1416" s="5070"/>
      <c r="AG1416" s="5070"/>
      <c r="AH1416" s="5070"/>
      <c r="AI1416" s="5070"/>
      <c r="AJ1416" s="5070"/>
      <c r="AK1416" s="5070"/>
      <c r="AL1416" s="5070"/>
      <c r="AM1416" s="5070"/>
      <c r="AN1416" s="5070"/>
      <c r="AO1416" s="5070"/>
      <c r="AP1416" s="5070"/>
      <c r="AQ1416" s="5070"/>
      <c r="AR1416" s="5070"/>
      <c r="AS1416" s="5070"/>
      <c r="AT1416" s="5070"/>
      <c r="AU1416" s="4295"/>
      <c r="AV1416" s="4295"/>
      <c r="AW1416" s="4295"/>
      <c r="AX1416" s="4295"/>
      <c r="AY1416" s="4295"/>
      <c r="AZ1416" s="4295"/>
      <c r="BA1416" s="4295"/>
      <c r="BB1416" s="4295"/>
      <c r="BC1416" s="4295"/>
      <c r="BD1416" s="4295"/>
      <c r="BE1416" s="4295"/>
      <c r="BF1416" s="4295"/>
      <c r="BG1416" s="4295"/>
      <c r="BH1416" s="4295"/>
      <c r="BI1416" s="4295"/>
      <c r="BJ1416" s="4295"/>
      <c r="BK1416" s="4295"/>
      <c r="BL1416" s="4295"/>
      <c r="BM1416" s="4295"/>
      <c r="BN1416" s="4295"/>
      <c r="BO1416" s="4295"/>
      <c r="BP1416" s="4295"/>
      <c r="BQ1416" s="4295"/>
      <c r="BR1416" s="4295"/>
      <c r="BS1416" s="4295"/>
      <c r="BT1416" s="4295"/>
      <c r="BU1416" s="4295"/>
      <c r="BV1416" s="4295"/>
      <c r="BW1416" s="4295"/>
      <c r="BX1416" s="4295"/>
      <c r="BY1416" s="4295"/>
      <c r="BZ1416" s="4295"/>
      <c r="CA1416" s="4295"/>
      <c r="CB1416" s="4295"/>
      <c r="CC1416" s="4295"/>
      <c r="CD1416" s="4295"/>
      <c r="CE1416" s="4295"/>
      <c r="CF1416" s="4295"/>
      <c r="CG1416" s="4295"/>
      <c r="CH1416" s="4295"/>
      <c r="CI1416" s="4295"/>
      <c r="CJ1416" s="4295"/>
      <c r="CK1416" s="4295"/>
      <c r="CL1416" s="4295"/>
      <c r="CM1416" s="4295"/>
      <c r="CN1416" s="4295"/>
      <c r="CO1416" s="4295"/>
      <c r="CP1416" s="4295"/>
      <c r="CQ1416" s="4295"/>
      <c r="CR1416" s="4295"/>
      <c r="CS1416" s="4295"/>
      <c r="CT1416" s="4295"/>
      <c r="CU1416" s="4295"/>
      <c r="CV1416" s="4295"/>
      <c r="CW1416" s="4295"/>
      <c r="CX1416" s="4295"/>
      <c r="CY1416" s="4295"/>
      <c r="CZ1416" s="4295"/>
      <c r="DA1416" s="4295"/>
      <c r="DB1416" s="4295"/>
      <c r="DC1416" s="4295"/>
      <c r="DD1416" s="4295"/>
      <c r="DE1416" s="4295"/>
      <c r="DF1416" s="4295"/>
      <c r="DG1416" s="4295"/>
      <c r="DH1416" s="4295"/>
      <c r="DI1416" s="4295"/>
      <c r="DJ1416" s="4295"/>
      <c r="DK1416" s="4295"/>
      <c r="DL1416" s="4295"/>
      <c r="DM1416" s="4295"/>
      <c r="DN1416" s="4295"/>
      <c r="DO1416" s="4295"/>
      <c r="DP1416" s="4295"/>
      <c r="DQ1416" s="4295"/>
      <c r="DR1416" s="4295"/>
      <c r="DS1416" s="4295"/>
    </row>
    <row r="1417" s="4133" customFormat="1" ht="27.75" customHeight="1" spans="1:123">
      <c r="A1417" s="5071"/>
      <c r="B1417" s="5071"/>
      <c r="C1417" s="5071"/>
      <c r="D1417" s="5071"/>
      <c r="E1417" s="5071"/>
      <c r="F1417" s="5071"/>
      <c r="G1417" s="5071"/>
      <c r="H1417" s="5071"/>
      <c r="I1417" s="5071"/>
      <c r="J1417" s="5071"/>
      <c r="K1417" s="5071"/>
      <c r="L1417" s="5071"/>
      <c r="M1417" s="5071"/>
      <c r="N1417" s="5071"/>
      <c r="O1417" s="5071"/>
      <c r="P1417" s="5071"/>
      <c r="Q1417" s="5071"/>
      <c r="R1417" s="5071"/>
      <c r="S1417" s="5071"/>
      <c r="T1417" s="5071"/>
      <c r="U1417" s="5071"/>
      <c r="V1417" s="5071"/>
      <c r="W1417" s="5071"/>
      <c r="X1417" s="5071"/>
      <c r="Y1417" s="5071"/>
      <c r="Z1417" s="5071"/>
      <c r="AA1417" s="5071"/>
      <c r="AB1417" s="5071"/>
      <c r="AC1417" s="5071"/>
      <c r="AD1417" s="5071"/>
      <c r="AE1417" s="5071"/>
      <c r="AF1417" s="5071"/>
      <c r="AG1417" s="5071"/>
      <c r="AH1417" s="5071"/>
      <c r="AI1417" s="5071"/>
      <c r="AJ1417" s="5071"/>
      <c r="AK1417" s="5071"/>
      <c r="AL1417" s="5071"/>
      <c r="AM1417" s="5071"/>
      <c r="AN1417" s="5071"/>
      <c r="AO1417" s="5071"/>
      <c r="AP1417" s="5071"/>
      <c r="AQ1417" s="5071"/>
      <c r="AR1417" s="5071"/>
      <c r="AS1417" s="5071"/>
      <c r="AT1417" s="5071"/>
      <c r="AU1417" s="4295"/>
      <c r="AV1417" s="4295"/>
      <c r="AW1417" s="4295"/>
      <c r="AX1417" s="4295"/>
      <c r="AY1417" s="4295"/>
      <c r="AZ1417" s="4295"/>
      <c r="BA1417" s="4295"/>
      <c r="BB1417" s="4295"/>
      <c r="BC1417" s="4295"/>
      <c r="BD1417" s="4295"/>
      <c r="BE1417" s="4295"/>
      <c r="BF1417" s="4295"/>
      <c r="BG1417" s="4295"/>
      <c r="BH1417" s="4295"/>
      <c r="BI1417" s="4295"/>
      <c r="BJ1417" s="4295"/>
      <c r="BK1417" s="4295"/>
      <c r="BL1417" s="4295"/>
      <c r="BM1417" s="4295"/>
      <c r="BN1417" s="4295"/>
      <c r="BO1417" s="4295"/>
      <c r="BP1417" s="4295"/>
      <c r="BQ1417" s="4295"/>
      <c r="BR1417" s="4295"/>
      <c r="BS1417" s="4295"/>
      <c r="BT1417" s="4295"/>
      <c r="BU1417" s="4295"/>
      <c r="BV1417" s="4295"/>
      <c r="BW1417" s="4295"/>
      <c r="BX1417" s="4295"/>
      <c r="BY1417" s="4295"/>
      <c r="BZ1417" s="4295"/>
      <c r="CA1417" s="4295"/>
      <c r="CB1417" s="4295"/>
      <c r="CC1417" s="4295"/>
      <c r="CD1417" s="4295"/>
      <c r="CE1417" s="4295"/>
      <c r="CF1417" s="4295"/>
      <c r="CG1417" s="4295"/>
      <c r="CH1417" s="4295"/>
      <c r="CI1417" s="4295"/>
      <c r="CJ1417" s="4295"/>
      <c r="CK1417" s="4295"/>
      <c r="CL1417" s="4295"/>
      <c r="CM1417" s="4295"/>
      <c r="CN1417" s="4295"/>
      <c r="CO1417" s="4295"/>
      <c r="CP1417" s="4295"/>
      <c r="CQ1417" s="4295"/>
      <c r="CR1417" s="4295"/>
      <c r="CS1417" s="4295"/>
      <c r="CT1417" s="4295"/>
      <c r="CU1417" s="4295"/>
      <c r="CV1417" s="4295"/>
      <c r="CW1417" s="4295"/>
      <c r="CX1417" s="4295"/>
      <c r="CY1417" s="4295"/>
      <c r="CZ1417" s="4295"/>
      <c r="DA1417" s="4295"/>
      <c r="DB1417" s="4295"/>
      <c r="DC1417" s="4295"/>
      <c r="DD1417" s="4295"/>
      <c r="DE1417" s="4295"/>
      <c r="DF1417" s="4295"/>
      <c r="DG1417" s="4295"/>
      <c r="DH1417" s="4295"/>
      <c r="DI1417" s="4295"/>
      <c r="DJ1417" s="4295"/>
      <c r="DK1417" s="4295"/>
      <c r="DL1417" s="4295"/>
      <c r="DM1417" s="4295"/>
      <c r="DN1417" s="4295"/>
      <c r="DO1417" s="4295"/>
      <c r="DP1417" s="4295"/>
      <c r="DQ1417" s="4295"/>
      <c r="DR1417" s="4295"/>
      <c r="DS1417" s="4295"/>
    </row>
    <row r="1418" s="4133" customFormat="1" ht="27.75" customHeight="1" spans="1:123">
      <c r="A1418" s="5071"/>
      <c r="B1418" s="5071"/>
      <c r="C1418" s="5071"/>
      <c r="D1418" s="5071"/>
      <c r="E1418" s="5071"/>
      <c r="F1418" s="5071"/>
      <c r="G1418" s="5071"/>
      <c r="H1418" s="5071"/>
      <c r="I1418" s="5071"/>
      <c r="J1418" s="5071"/>
      <c r="K1418" s="5071"/>
      <c r="L1418" s="5071"/>
      <c r="M1418" s="5071"/>
      <c r="N1418" s="5071"/>
      <c r="O1418" s="5071"/>
      <c r="P1418" s="5071"/>
      <c r="Q1418" s="5071"/>
      <c r="R1418" s="5071"/>
      <c r="S1418" s="5071"/>
      <c r="T1418" s="5071"/>
      <c r="U1418" s="5071"/>
      <c r="V1418" s="5071"/>
      <c r="W1418" s="5071"/>
      <c r="X1418" s="5071"/>
      <c r="Y1418" s="5071"/>
      <c r="Z1418" s="5071"/>
      <c r="AA1418" s="5071"/>
      <c r="AB1418" s="5071"/>
      <c r="AC1418" s="5071"/>
      <c r="AD1418" s="5071"/>
      <c r="AE1418" s="5071"/>
      <c r="AF1418" s="5071"/>
      <c r="AG1418" s="5071"/>
      <c r="AH1418" s="5071"/>
      <c r="AI1418" s="5071"/>
      <c r="AJ1418" s="5071"/>
      <c r="AK1418" s="5071"/>
      <c r="AL1418" s="5071"/>
      <c r="AM1418" s="5071"/>
      <c r="AN1418" s="5071"/>
      <c r="AO1418" s="5071"/>
      <c r="AP1418" s="5071"/>
      <c r="AQ1418" s="5071"/>
      <c r="AR1418" s="5071"/>
      <c r="AS1418" s="5071"/>
      <c r="AT1418" s="5071"/>
      <c r="AU1418" s="4295"/>
      <c r="AV1418" s="4295"/>
      <c r="AW1418" s="4295"/>
      <c r="AX1418" s="4295"/>
      <c r="AY1418" s="4295"/>
      <c r="AZ1418" s="4295"/>
      <c r="BA1418" s="4295"/>
      <c r="BB1418" s="4295"/>
      <c r="BC1418" s="4295"/>
      <c r="BD1418" s="4295"/>
      <c r="BE1418" s="4295"/>
      <c r="BF1418" s="4295"/>
      <c r="BG1418" s="4295"/>
      <c r="BH1418" s="4295"/>
      <c r="BI1418" s="4295"/>
      <c r="BJ1418" s="4295"/>
      <c r="BK1418" s="4295"/>
      <c r="BL1418" s="4295"/>
      <c r="BM1418" s="4295"/>
      <c r="BN1418" s="4295"/>
      <c r="BO1418" s="4295"/>
      <c r="BP1418" s="4295"/>
      <c r="BQ1418" s="4295"/>
      <c r="BR1418" s="4295"/>
      <c r="BS1418" s="4295"/>
      <c r="BT1418" s="4295"/>
      <c r="BU1418" s="4295"/>
      <c r="BV1418" s="4295"/>
      <c r="BW1418" s="4295"/>
      <c r="BX1418" s="4295"/>
      <c r="BY1418" s="4295"/>
      <c r="BZ1418" s="4295"/>
      <c r="CA1418" s="4295"/>
      <c r="CB1418" s="4295"/>
      <c r="CC1418" s="4295"/>
      <c r="CD1418" s="4295"/>
      <c r="CE1418" s="4295"/>
      <c r="CF1418" s="4295"/>
      <c r="CG1418" s="4295"/>
      <c r="CH1418" s="4295"/>
      <c r="CI1418" s="4295"/>
      <c r="CJ1418" s="4295"/>
      <c r="CK1418" s="4295"/>
      <c r="CL1418" s="4295"/>
      <c r="CM1418" s="4295"/>
      <c r="CN1418" s="4295"/>
      <c r="CO1418" s="4295"/>
      <c r="CP1418" s="4295"/>
      <c r="CQ1418" s="4295"/>
      <c r="CR1418" s="4295"/>
      <c r="CS1418" s="4295"/>
      <c r="CT1418" s="4295"/>
      <c r="CU1418" s="4295"/>
      <c r="CV1418" s="4295"/>
      <c r="CW1418" s="4295"/>
      <c r="CX1418" s="4295"/>
      <c r="CY1418" s="4295"/>
      <c r="CZ1418" s="4295"/>
      <c r="DA1418" s="4295"/>
      <c r="DB1418" s="4295"/>
      <c r="DC1418" s="4295"/>
      <c r="DD1418" s="4295"/>
      <c r="DE1418" s="4295"/>
      <c r="DF1418" s="4295"/>
      <c r="DG1418" s="4295"/>
      <c r="DH1418" s="4295"/>
      <c r="DI1418" s="4295"/>
      <c r="DJ1418" s="4295"/>
      <c r="DK1418" s="4295"/>
      <c r="DL1418" s="4295"/>
      <c r="DM1418" s="4295"/>
      <c r="DN1418" s="4295"/>
      <c r="DO1418" s="4295"/>
      <c r="DP1418" s="4295"/>
      <c r="DQ1418" s="4295"/>
      <c r="DR1418" s="4295"/>
      <c r="DS1418" s="4295"/>
    </row>
    <row r="1419" s="4133" customFormat="1" ht="27.75" customHeight="1" spans="1:123">
      <c r="A1419" s="5071"/>
      <c r="B1419" s="5071"/>
      <c r="C1419" s="5071"/>
      <c r="D1419" s="5071"/>
      <c r="E1419" s="5071"/>
      <c r="F1419" s="5071"/>
      <c r="G1419" s="5071"/>
      <c r="H1419" s="5071"/>
      <c r="I1419" s="5071"/>
      <c r="J1419" s="5071"/>
      <c r="K1419" s="5071"/>
      <c r="L1419" s="5071"/>
      <c r="M1419" s="5071"/>
      <c r="N1419" s="5071"/>
      <c r="O1419" s="5071"/>
      <c r="P1419" s="5071"/>
      <c r="Q1419" s="5071"/>
      <c r="R1419" s="5071"/>
      <c r="S1419" s="5071"/>
      <c r="T1419" s="5071"/>
      <c r="U1419" s="5071"/>
      <c r="V1419" s="5071"/>
      <c r="W1419" s="5071"/>
      <c r="X1419" s="5071"/>
      <c r="Y1419" s="5071"/>
      <c r="Z1419" s="5071"/>
      <c r="AA1419" s="5071"/>
      <c r="AB1419" s="5071"/>
      <c r="AC1419" s="5071"/>
      <c r="AD1419" s="5071"/>
      <c r="AE1419" s="5071"/>
      <c r="AF1419" s="5071"/>
      <c r="AG1419" s="5071"/>
      <c r="AH1419" s="5071"/>
      <c r="AI1419" s="5071"/>
      <c r="AJ1419" s="5071"/>
      <c r="AK1419" s="5071"/>
      <c r="AL1419" s="5071"/>
      <c r="AM1419" s="5071"/>
      <c r="AN1419" s="5071"/>
      <c r="AO1419" s="5071"/>
      <c r="AP1419" s="5071"/>
      <c r="AQ1419" s="5071"/>
      <c r="AR1419" s="5071"/>
      <c r="AS1419" s="5071"/>
      <c r="AT1419" s="5071"/>
      <c r="AU1419" s="4295"/>
      <c r="AV1419" s="4295"/>
      <c r="AW1419" s="4295"/>
      <c r="AX1419" s="4295"/>
      <c r="AY1419" s="4295"/>
      <c r="AZ1419" s="4295"/>
      <c r="BA1419" s="4295"/>
      <c r="BB1419" s="4295"/>
      <c r="BC1419" s="4295"/>
      <c r="BD1419" s="4295"/>
      <c r="BE1419" s="4295"/>
      <c r="BF1419" s="4295"/>
      <c r="BG1419" s="4295"/>
      <c r="BH1419" s="4295"/>
      <c r="BI1419" s="4295"/>
      <c r="BJ1419" s="4295"/>
      <c r="BK1419" s="4295"/>
      <c r="BL1419" s="4295"/>
      <c r="BM1419" s="4295"/>
      <c r="BN1419" s="4295"/>
      <c r="BO1419" s="4295"/>
      <c r="BP1419" s="4295"/>
      <c r="BQ1419" s="4295"/>
      <c r="BR1419" s="4295"/>
      <c r="BS1419" s="4295"/>
      <c r="BT1419" s="4295"/>
      <c r="BU1419" s="4295"/>
      <c r="BV1419" s="4295"/>
      <c r="BW1419" s="4295"/>
      <c r="BX1419" s="4295"/>
      <c r="BY1419" s="4295"/>
      <c r="BZ1419" s="4295"/>
      <c r="CA1419" s="4295"/>
      <c r="CB1419" s="4295"/>
      <c r="CC1419" s="4295"/>
      <c r="CD1419" s="4295"/>
      <c r="CE1419" s="4295"/>
      <c r="CF1419" s="4295"/>
      <c r="CG1419" s="4295"/>
      <c r="CH1419" s="4295"/>
      <c r="CI1419" s="4295"/>
      <c r="CJ1419" s="4295"/>
      <c r="CK1419" s="4295"/>
      <c r="CL1419" s="4295"/>
      <c r="CM1419" s="4295"/>
      <c r="CN1419" s="4295"/>
      <c r="CO1419" s="4295"/>
      <c r="CP1419" s="4295"/>
      <c r="CQ1419" s="4295"/>
      <c r="CR1419" s="4295"/>
      <c r="CS1419" s="4295"/>
      <c r="CT1419" s="4295"/>
      <c r="CU1419" s="4295"/>
      <c r="CV1419" s="4295"/>
      <c r="CW1419" s="4295"/>
      <c r="CX1419" s="4295"/>
      <c r="CY1419" s="4295"/>
      <c r="CZ1419" s="4295"/>
      <c r="DA1419" s="4295"/>
      <c r="DB1419" s="4295"/>
      <c r="DC1419" s="4295"/>
      <c r="DD1419" s="4295"/>
      <c r="DE1419" s="4295"/>
      <c r="DF1419" s="4295"/>
      <c r="DG1419" s="4295"/>
      <c r="DH1419" s="4295"/>
      <c r="DI1419" s="4295"/>
      <c r="DJ1419" s="4295"/>
      <c r="DK1419" s="4295"/>
      <c r="DL1419" s="4295"/>
      <c r="DM1419" s="4295"/>
      <c r="DN1419" s="4295"/>
      <c r="DO1419" s="4295"/>
      <c r="DP1419" s="4295"/>
      <c r="DQ1419" s="4295"/>
      <c r="DR1419" s="4295"/>
      <c r="DS1419" s="4295"/>
    </row>
    <row r="1420" s="4133" customFormat="1" ht="18" customHeight="1" spans="1:123">
      <c r="A1420" s="4772"/>
      <c r="B1420" s="4773"/>
      <c r="C1420" s="4295"/>
      <c r="D1420" s="4295"/>
      <c r="E1420" s="4295"/>
      <c r="F1420" s="4295"/>
      <c r="G1420" s="4295"/>
      <c r="H1420" s="4295"/>
      <c r="I1420" s="4295"/>
      <c r="J1420" s="4295"/>
      <c r="K1420" s="4295"/>
      <c r="L1420" s="4295"/>
      <c r="M1420" s="4295"/>
      <c r="N1420" s="4295"/>
      <c r="O1420" s="4295"/>
      <c r="P1420" s="4295"/>
      <c r="Q1420" s="4295"/>
      <c r="R1420" s="4295"/>
      <c r="S1420" s="4295"/>
      <c r="T1420" s="4295"/>
      <c r="U1420" s="4295"/>
      <c r="V1420" s="4295"/>
      <c r="W1420" s="4295"/>
      <c r="X1420" s="4295"/>
      <c r="Y1420" s="4295"/>
      <c r="Z1420" s="4295"/>
      <c r="AA1420" s="4295"/>
      <c r="AB1420" s="4295"/>
      <c r="AC1420" s="4295"/>
      <c r="AD1420" s="4295"/>
      <c r="AE1420" s="4295"/>
      <c r="AF1420" s="4295"/>
      <c r="AG1420" s="4295"/>
      <c r="AH1420" s="4295"/>
      <c r="AI1420" s="4295"/>
      <c r="AJ1420" s="4295"/>
      <c r="AK1420" s="4295"/>
      <c r="AL1420" s="4295"/>
      <c r="AM1420" s="4295"/>
      <c r="AN1420" s="4295"/>
      <c r="AO1420" s="4295"/>
      <c r="AP1420" s="4295"/>
      <c r="AQ1420" s="4295"/>
      <c r="AR1420" s="4295"/>
      <c r="AS1420" s="4295"/>
      <c r="AT1420" s="4295"/>
      <c r="AU1420" s="4295"/>
      <c r="AV1420" s="4295"/>
      <c r="AW1420" s="4295"/>
      <c r="AX1420" s="4295"/>
      <c r="AY1420" s="4295"/>
      <c r="AZ1420" s="4295"/>
      <c r="BA1420" s="4295"/>
      <c r="BB1420" s="4295"/>
      <c r="BC1420" s="4295"/>
      <c r="BD1420" s="4295"/>
      <c r="BE1420" s="4295"/>
      <c r="BF1420" s="4295"/>
      <c r="BG1420" s="4295"/>
      <c r="BH1420" s="4295"/>
      <c r="BI1420" s="4295"/>
      <c r="BJ1420" s="4295"/>
      <c r="BK1420" s="4295"/>
      <c r="BL1420" s="4295"/>
      <c r="BM1420" s="4295"/>
      <c r="BN1420" s="4295"/>
      <c r="BO1420" s="4295"/>
      <c r="BP1420" s="4295"/>
      <c r="BQ1420" s="4295"/>
      <c r="BR1420" s="4295"/>
      <c r="BS1420" s="4295"/>
      <c r="BT1420" s="4295"/>
      <c r="BU1420" s="4295"/>
      <c r="BV1420" s="4295"/>
      <c r="BW1420" s="4295"/>
      <c r="BX1420" s="4295"/>
      <c r="BY1420" s="4295"/>
      <c r="BZ1420" s="4295"/>
      <c r="CA1420" s="4295"/>
      <c r="CB1420" s="4295"/>
      <c r="CC1420" s="4295"/>
      <c r="CD1420" s="4295"/>
      <c r="CE1420" s="4295"/>
      <c r="CF1420" s="4295"/>
      <c r="CG1420" s="4295"/>
      <c r="CH1420" s="4295"/>
      <c r="CI1420" s="4295"/>
      <c r="CJ1420" s="4295"/>
      <c r="CK1420" s="4295"/>
      <c r="CL1420" s="4295"/>
      <c r="CM1420" s="4295"/>
      <c r="CN1420" s="4295"/>
      <c r="CO1420" s="4295"/>
      <c r="CP1420" s="4295"/>
      <c r="CQ1420" s="4295"/>
      <c r="CR1420" s="4295"/>
      <c r="CS1420" s="4295"/>
      <c r="CT1420" s="4295"/>
      <c r="CU1420" s="4295"/>
      <c r="CV1420" s="4295"/>
      <c r="CW1420" s="4295"/>
      <c r="CX1420" s="4295"/>
      <c r="CY1420" s="4295"/>
      <c r="CZ1420" s="4295"/>
      <c r="DA1420" s="4295"/>
      <c r="DB1420" s="4295"/>
      <c r="DC1420" s="4295"/>
      <c r="DD1420" s="4295"/>
      <c r="DE1420" s="4295"/>
      <c r="DF1420" s="4295"/>
      <c r="DG1420" s="4295"/>
      <c r="DH1420" s="4295"/>
      <c r="DI1420" s="4295"/>
      <c r="DJ1420" s="4295"/>
      <c r="DK1420" s="4295"/>
      <c r="DL1420" s="4295"/>
      <c r="DM1420" s="4295"/>
      <c r="DN1420" s="4295"/>
      <c r="DO1420" s="4295"/>
      <c r="DP1420" s="4295"/>
      <c r="DQ1420" s="4295"/>
      <c r="DR1420" s="4295"/>
      <c r="DS1420" s="4295"/>
    </row>
    <row r="1421" s="4133" customFormat="1" ht="16.5" customHeight="1" spans="1:123">
      <c r="A1421" s="4369" t="s">
        <v>5774</v>
      </c>
      <c r="B1421" s="4369"/>
      <c r="C1421" s="4295"/>
      <c r="D1421" s="4295"/>
      <c r="E1421" s="4295"/>
      <c r="F1421" s="4295"/>
      <c r="G1421" s="4295"/>
      <c r="H1421" s="4295"/>
      <c r="I1421" s="4295"/>
      <c r="J1421" s="4295"/>
      <c r="K1421" s="4295"/>
      <c r="L1421" s="4295"/>
      <c r="M1421" s="4295"/>
      <c r="N1421" s="4295"/>
      <c r="O1421" s="4295"/>
      <c r="P1421" s="4295"/>
      <c r="Q1421" s="4295"/>
      <c r="R1421" s="4295"/>
      <c r="S1421" s="4295"/>
      <c r="T1421" s="4295"/>
      <c r="U1421" s="4295"/>
      <c r="V1421" s="4295"/>
      <c r="W1421" s="4295"/>
      <c r="X1421" s="4295"/>
      <c r="Y1421" s="4295"/>
      <c r="Z1421" s="4295"/>
      <c r="AA1421" s="4295"/>
      <c r="AB1421" s="4295"/>
      <c r="AC1421" s="4295"/>
      <c r="AD1421" s="4295"/>
      <c r="AE1421" s="4295"/>
      <c r="AF1421" s="4295"/>
      <c r="AG1421" s="4295"/>
      <c r="AH1421" s="4295"/>
      <c r="AI1421" s="4295"/>
      <c r="AJ1421" s="4295"/>
      <c r="AK1421" s="4295"/>
      <c r="AL1421" s="4295"/>
      <c r="AM1421" s="4295"/>
      <c r="AN1421" s="4295"/>
      <c r="AO1421" s="4295"/>
      <c r="AP1421" s="4295"/>
      <c r="AQ1421" s="4295"/>
      <c r="AR1421" s="4295"/>
      <c r="AS1421" s="4295"/>
      <c r="AT1421" s="4295"/>
      <c r="AU1421" s="4295"/>
      <c r="AV1421" s="4295"/>
      <c r="AW1421" s="4295"/>
      <c r="AX1421" s="4295"/>
      <c r="AY1421" s="4295"/>
      <c r="AZ1421" s="4295"/>
      <c r="BA1421" s="4295"/>
      <c r="BB1421" s="4295"/>
      <c r="BC1421" s="4295"/>
      <c r="BD1421" s="4295"/>
      <c r="BE1421" s="4295"/>
      <c r="BF1421" s="4295"/>
      <c r="BG1421" s="4295"/>
      <c r="BH1421" s="4295"/>
      <c r="BI1421" s="4295"/>
      <c r="BJ1421" s="4295"/>
      <c r="BK1421" s="4295"/>
      <c r="BL1421" s="4295"/>
      <c r="BM1421" s="4295"/>
      <c r="BN1421" s="4295"/>
      <c r="BO1421" s="4295"/>
      <c r="BP1421" s="4295"/>
      <c r="BQ1421" s="4295"/>
      <c r="BR1421" s="4295"/>
      <c r="BS1421" s="4295"/>
      <c r="BT1421" s="4295"/>
      <c r="BU1421" s="4295"/>
      <c r="BV1421" s="4295"/>
      <c r="BW1421" s="4295"/>
      <c r="BX1421" s="4295"/>
      <c r="BY1421" s="4295"/>
      <c r="BZ1421" s="4295"/>
      <c r="CA1421" s="4295"/>
      <c r="CB1421" s="4295"/>
      <c r="CC1421" s="4295"/>
      <c r="CD1421" s="4295"/>
      <c r="CE1421" s="4295"/>
      <c r="CF1421" s="4295"/>
      <c r="CG1421" s="4295"/>
      <c r="CH1421" s="4295"/>
      <c r="CI1421" s="4295"/>
      <c r="CJ1421" s="4295"/>
      <c r="CK1421" s="4295"/>
      <c r="CL1421" s="4295"/>
      <c r="CM1421" s="4295"/>
      <c r="CN1421" s="4295"/>
      <c r="CO1421" s="4295"/>
      <c r="CP1421" s="4295"/>
      <c r="CQ1421" s="4295"/>
      <c r="CR1421" s="4295"/>
      <c r="CS1421" s="4295"/>
      <c r="CT1421" s="4295"/>
      <c r="CU1421" s="4295"/>
      <c r="CV1421" s="4295"/>
      <c r="CW1421" s="4295"/>
      <c r="CX1421" s="4295"/>
      <c r="CY1421" s="4295"/>
      <c r="CZ1421" s="4295"/>
      <c r="DA1421" s="4295"/>
      <c r="DB1421" s="4295"/>
      <c r="DC1421" s="4295"/>
      <c r="DD1421" s="4295"/>
      <c r="DE1421" s="4295"/>
      <c r="DF1421" s="4295"/>
      <c r="DG1421" s="4295"/>
      <c r="DH1421" s="4295"/>
      <c r="DI1421" s="4295"/>
      <c r="DJ1421" s="4295"/>
      <c r="DK1421" s="4295"/>
      <c r="DL1421" s="4295"/>
      <c r="DM1421" s="4295"/>
      <c r="DN1421" s="4295"/>
      <c r="DO1421" s="4295"/>
      <c r="DP1421" s="4295"/>
      <c r="DQ1421" s="4295"/>
      <c r="DR1421" s="4295"/>
      <c r="DS1421" s="4295"/>
    </row>
    <row r="1422" s="4133" customFormat="1" ht="18.75" customHeight="1" spans="1:123">
      <c r="A1422" s="5072" t="str">
        <f ca="1">Analiza!A171</f>
        <v>Ostvareni neto ukupni rashodi prema bilansu uspjeha u obračunskom periodu 2025. godine, iznose: 306.969 KM, što je u odnosu na isti period prethodne godine, POVEĆANJE za 21.688 KM ili 7,6 %.</v>
      </c>
      <c r="B1422" s="5072"/>
      <c r="C1422" s="5072"/>
      <c r="D1422" s="5072"/>
      <c r="E1422" s="5072"/>
      <c r="F1422" s="5072"/>
      <c r="G1422" s="5072"/>
      <c r="H1422" s="5072"/>
      <c r="I1422" s="5072"/>
      <c r="J1422" s="5072"/>
      <c r="K1422" s="5072"/>
      <c r="L1422" s="5072"/>
      <c r="M1422" s="5072"/>
      <c r="N1422" s="5072"/>
      <c r="O1422" s="5072"/>
      <c r="P1422" s="5072"/>
      <c r="Q1422" s="5072"/>
      <c r="R1422" s="5072"/>
      <c r="S1422" s="5072"/>
      <c r="T1422" s="5072"/>
      <c r="U1422" s="5072"/>
      <c r="V1422" s="5072"/>
      <c r="W1422" s="5072"/>
      <c r="X1422" s="5072"/>
      <c r="Y1422" s="5072"/>
      <c r="Z1422" s="5072"/>
      <c r="AA1422" s="5072"/>
      <c r="AB1422" s="5072"/>
      <c r="AC1422" s="5072"/>
      <c r="AD1422" s="5072"/>
      <c r="AE1422" s="5072"/>
      <c r="AF1422" s="5072"/>
      <c r="AG1422" s="5072"/>
      <c r="AH1422" s="5072"/>
      <c r="AI1422" s="5072"/>
      <c r="AJ1422" s="5072"/>
      <c r="AK1422" s="5072"/>
      <c r="AL1422" s="5072"/>
      <c r="AM1422" s="5072"/>
      <c r="AN1422" s="5072"/>
      <c r="AO1422" s="5072"/>
      <c r="AP1422" s="5072"/>
      <c r="AQ1422" s="5072"/>
      <c r="AR1422" s="5072"/>
      <c r="AS1422" s="5072"/>
      <c r="AT1422" s="5072"/>
      <c r="AU1422" s="4295"/>
      <c r="AV1422" s="4295"/>
      <c r="AW1422" s="4295"/>
      <c r="AX1422" s="4295"/>
      <c r="AY1422" s="4295"/>
      <c r="AZ1422" s="4295"/>
      <c r="BA1422" s="4295"/>
      <c r="BB1422" s="4295"/>
      <c r="BC1422" s="4295"/>
      <c r="BD1422" s="4295"/>
      <c r="BE1422" s="4295"/>
      <c r="BF1422" s="4295"/>
      <c r="BG1422" s="4295"/>
      <c r="BH1422" s="4295"/>
      <c r="BI1422" s="4295"/>
      <c r="BJ1422" s="4295"/>
      <c r="BK1422" s="4295"/>
      <c r="BL1422" s="4295"/>
      <c r="BM1422" s="4295"/>
      <c r="BN1422" s="4295"/>
      <c r="BO1422" s="4295"/>
      <c r="BP1422" s="4295"/>
      <c r="BQ1422" s="4295"/>
      <c r="BR1422" s="4295"/>
      <c r="BS1422" s="4295"/>
      <c r="BT1422" s="4295"/>
      <c r="BU1422" s="4295"/>
      <c r="BV1422" s="4295"/>
      <c r="BW1422" s="4295"/>
      <c r="BX1422" s="4295"/>
      <c r="BY1422" s="4295"/>
      <c r="BZ1422" s="4295"/>
      <c r="CA1422" s="4295"/>
      <c r="CB1422" s="4295"/>
      <c r="CC1422" s="4295"/>
      <c r="CD1422" s="4295"/>
      <c r="CE1422" s="4295"/>
      <c r="CF1422" s="4295"/>
      <c r="CG1422" s="4295"/>
      <c r="CH1422" s="4295"/>
      <c r="CI1422" s="4295"/>
      <c r="CJ1422" s="4295"/>
      <c r="CK1422" s="4295"/>
      <c r="CL1422" s="4295"/>
      <c r="CM1422" s="4295"/>
      <c r="CN1422" s="4295"/>
      <c r="CO1422" s="4295"/>
      <c r="CP1422" s="4295"/>
      <c r="CQ1422" s="4295"/>
      <c r="CR1422" s="4295"/>
      <c r="CS1422" s="4295"/>
      <c r="CT1422" s="4295"/>
      <c r="CU1422" s="4295"/>
      <c r="CV1422" s="4295"/>
      <c r="CW1422" s="4295"/>
      <c r="CX1422" s="4295"/>
      <c r="CY1422" s="4295"/>
      <c r="CZ1422" s="4295"/>
      <c r="DA1422" s="4295"/>
      <c r="DB1422" s="4295"/>
      <c r="DC1422" s="4295"/>
      <c r="DD1422" s="4295"/>
      <c r="DE1422" s="4295"/>
      <c r="DF1422" s="4295"/>
      <c r="DG1422" s="4295"/>
      <c r="DH1422" s="4295"/>
      <c r="DI1422" s="4295"/>
      <c r="DJ1422" s="4295"/>
      <c r="DK1422" s="4295"/>
      <c r="DL1422" s="4295"/>
      <c r="DM1422" s="4295"/>
      <c r="DN1422" s="4295"/>
      <c r="DO1422" s="4295"/>
      <c r="DP1422" s="4295"/>
      <c r="DQ1422" s="4295"/>
      <c r="DR1422" s="4295"/>
      <c r="DS1422" s="4295"/>
    </row>
    <row r="1423" s="4133" customFormat="1" ht="18.75" customHeight="1" spans="1:123">
      <c r="A1423" s="5072"/>
      <c r="B1423" s="5072"/>
      <c r="C1423" s="5072"/>
      <c r="D1423" s="5072"/>
      <c r="E1423" s="5072"/>
      <c r="F1423" s="5072"/>
      <c r="G1423" s="5072"/>
      <c r="H1423" s="5072"/>
      <c r="I1423" s="5072"/>
      <c r="J1423" s="5072"/>
      <c r="K1423" s="5072"/>
      <c r="L1423" s="5072"/>
      <c r="M1423" s="5072"/>
      <c r="N1423" s="5072"/>
      <c r="O1423" s="5072"/>
      <c r="P1423" s="5072"/>
      <c r="Q1423" s="5072"/>
      <c r="R1423" s="5072"/>
      <c r="S1423" s="5072"/>
      <c r="T1423" s="5072"/>
      <c r="U1423" s="5072"/>
      <c r="V1423" s="5072"/>
      <c r="W1423" s="5072"/>
      <c r="X1423" s="5072"/>
      <c r="Y1423" s="5072"/>
      <c r="Z1423" s="5072"/>
      <c r="AA1423" s="5072"/>
      <c r="AB1423" s="5072"/>
      <c r="AC1423" s="5072"/>
      <c r="AD1423" s="5072"/>
      <c r="AE1423" s="5072"/>
      <c r="AF1423" s="5072"/>
      <c r="AG1423" s="5072"/>
      <c r="AH1423" s="5072"/>
      <c r="AI1423" s="5072"/>
      <c r="AJ1423" s="5072"/>
      <c r="AK1423" s="5072"/>
      <c r="AL1423" s="5072"/>
      <c r="AM1423" s="5072"/>
      <c r="AN1423" s="5072"/>
      <c r="AO1423" s="5072"/>
      <c r="AP1423" s="5072"/>
      <c r="AQ1423" s="5072"/>
      <c r="AR1423" s="5072"/>
      <c r="AS1423" s="5072"/>
      <c r="AT1423" s="5072"/>
      <c r="AU1423" s="4295"/>
      <c r="AV1423" s="4295"/>
      <c r="AW1423" s="4295"/>
      <c r="AX1423" s="4295"/>
      <c r="AY1423" s="4295"/>
      <c r="AZ1423" s="4295"/>
      <c r="BA1423" s="4295"/>
      <c r="BB1423" s="4295"/>
      <c r="BC1423" s="4295"/>
      <c r="BD1423" s="4295"/>
      <c r="BE1423" s="4295"/>
      <c r="BF1423" s="4295"/>
      <c r="BG1423" s="4295"/>
      <c r="BH1423" s="4295"/>
      <c r="BI1423" s="4295"/>
      <c r="BJ1423" s="4295"/>
      <c r="BK1423" s="4295"/>
      <c r="BL1423" s="4295"/>
      <c r="BM1423" s="4295"/>
      <c r="BN1423" s="4295"/>
      <c r="BO1423" s="4295"/>
      <c r="BP1423" s="4295"/>
      <c r="BQ1423" s="4295"/>
      <c r="BR1423" s="4295"/>
      <c r="BS1423" s="4295"/>
      <c r="BT1423" s="4295"/>
      <c r="BU1423" s="4295"/>
      <c r="BV1423" s="4295"/>
      <c r="BW1423" s="4295"/>
      <c r="BX1423" s="4295"/>
      <c r="BY1423" s="4295"/>
      <c r="BZ1423" s="4295"/>
      <c r="CA1423" s="4295"/>
      <c r="CB1423" s="4295"/>
      <c r="CC1423" s="4295"/>
      <c r="CD1423" s="4295"/>
      <c r="CE1423" s="4295"/>
      <c r="CF1423" s="4295"/>
      <c r="CG1423" s="4295"/>
      <c r="CH1423" s="4295"/>
      <c r="CI1423" s="4295"/>
      <c r="CJ1423" s="4295"/>
      <c r="CK1423" s="4295"/>
      <c r="CL1423" s="4295"/>
      <c r="CM1423" s="4295"/>
      <c r="CN1423" s="4295"/>
      <c r="CO1423" s="4295"/>
      <c r="CP1423" s="4295"/>
      <c r="CQ1423" s="4295"/>
      <c r="CR1423" s="4295"/>
      <c r="CS1423" s="4295"/>
      <c r="CT1423" s="4295"/>
      <c r="CU1423" s="4295"/>
      <c r="CV1423" s="4295"/>
      <c r="CW1423" s="4295"/>
      <c r="CX1423" s="4295"/>
      <c r="CY1423" s="4295"/>
      <c r="CZ1423" s="4295"/>
      <c r="DA1423" s="4295"/>
      <c r="DB1423" s="4295"/>
      <c r="DC1423" s="4295"/>
      <c r="DD1423" s="4295"/>
      <c r="DE1423" s="4295"/>
      <c r="DF1423" s="4295"/>
      <c r="DG1423" s="4295"/>
      <c r="DH1423" s="4295"/>
      <c r="DI1423" s="4295"/>
      <c r="DJ1423" s="4295"/>
      <c r="DK1423" s="4295"/>
      <c r="DL1423" s="4295"/>
      <c r="DM1423" s="4295"/>
      <c r="DN1423" s="4295"/>
      <c r="DO1423" s="4295"/>
      <c r="DP1423" s="4295"/>
      <c r="DQ1423" s="4295"/>
      <c r="DR1423" s="4295"/>
      <c r="DS1423" s="4295"/>
    </row>
    <row r="1424" s="4133" customFormat="1" ht="18.75" customHeight="1" spans="1:123">
      <c r="A1424" s="5072" t="str">
        <f ca="1">Analiza!A174</f>
        <v>U obračunskom periodu 2025. godine, POSLOVNI RASHODI iznose 292.171 KM, što je 95,2% ukupnih rashoda.</v>
      </c>
      <c r="B1424" s="5072"/>
      <c r="C1424" s="5072"/>
      <c r="D1424" s="5072"/>
      <c r="E1424" s="5072"/>
      <c r="F1424" s="5072"/>
      <c r="G1424" s="5072"/>
      <c r="H1424" s="5072"/>
      <c r="I1424" s="5072"/>
      <c r="J1424" s="5072"/>
      <c r="K1424" s="5072"/>
      <c r="L1424" s="5072"/>
      <c r="M1424" s="5072"/>
      <c r="N1424" s="5072"/>
      <c r="O1424" s="5072"/>
      <c r="P1424" s="5072"/>
      <c r="Q1424" s="5072"/>
      <c r="R1424" s="5072"/>
      <c r="S1424" s="5072"/>
      <c r="T1424" s="5072"/>
      <c r="U1424" s="5072"/>
      <c r="V1424" s="5072"/>
      <c r="W1424" s="5072"/>
      <c r="X1424" s="5072"/>
      <c r="Y1424" s="5072"/>
      <c r="Z1424" s="5072"/>
      <c r="AA1424" s="5072"/>
      <c r="AB1424" s="5072"/>
      <c r="AC1424" s="5072"/>
      <c r="AD1424" s="5072"/>
      <c r="AE1424" s="5072"/>
      <c r="AF1424" s="5072"/>
      <c r="AG1424" s="5072"/>
      <c r="AH1424" s="5072"/>
      <c r="AI1424" s="5072"/>
      <c r="AJ1424" s="5072"/>
      <c r="AK1424" s="5072"/>
      <c r="AL1424" s="5072"/>
      <c r="AM1424" s="5072"/>
      <c r="AN1424" s="5072"/>
      <c r="AO1424" s="5072"/>
      <c r="AP1424" s="5072"/>
      <c r="AQ1424" s="5072"/>
      <c r="AR1424" s="5072"/>
      <c r="AS1424" s="5072"/>
      <c r="AT1424" s="5072"/>
      <c r="AU1424" s="4295"/>
      <c r="AV1424" s="4295"/>
      <c r="AW1424" s="4295"/>
      <c r="AX1424" s="4295"/>
      <c r="AY1424" s="4295"/>
      <c r="AZ1424" s="4295"/>
      <c r="BA1424" s="4295"/>
      <c r="BB1424" s="4295"/>
      <c r="BC1424" s="4295"/>
      <c r="BD1424" s="4295"/>
      <c r="BE1424" s="4295"/>
      <c r="BF1424" s="4295"/>
      <c r="BG1424" s="4295"/>
      <c r="BH1424" s="4295"/>
      <c r="BI1424" s="4295"/>
      <c r="BJ1424" s="4295"/>
      <c r="BK1424" s="4295"/>
      <c r="BL1424" s="4295"/>
      <c r="BM1424" s="4295"/>
      <c r="BN1424" s="4295"/>
      <c r="BO1424" s="4295"/>
      <c r="BP1424" s="4295"/>
      <c r="BQ1424" s="4295"/>
      <c r="BR1424" s="4295"/>
      <c r="BS1424" s="4295"/>
      <c r="BT1424" s="4295"/>
      <c r="BU1424" s="4295"/>
      <c r="BV1424" s="4295"/>
      <c r="BW1424" s="4295"/>
      <c r="BX1424" s="4295"/>
      <c r="BY1424" s="4295"/>
      <c r="BZ1424" s="4295"/>
      <c r="CA1424" s="4295"/>
      <c r="CB1424" s="4295"/>
      <c r="CC1424" s="4295"/>
      <c r="CD1424" s="4295"/>
      <c r="CE1424" s="4295"/>
      <c r="CF1424" s="4295"/>
      <c r="CG1424" s="4295"/>
      <c r="CH1424" s="4295"/>
      <c r="CI1424" s="4295"/>
      <c r="CJ1424" s="4295"/>
      <c r="CK1424" s="4295"/>
      <c r="CL1424" s="4295"/>
      <c r="CM1424" s="4295"/>
      <c r="CN1424" s="4295"/>
      <c r="CO1424" s="4295"/>
      <c r="CP1424" s="4295"/>
      <c r="CQ1424" s="4295"/>
      <c r="CR1424" s="4295"/>
      <c r="CS1424" s="4295"/>
      <c r="CT1424" s="4295"/>
      <c r="CU1424" s="4295"/>
      <c r="CV1424" s="4295"/>
      <c r="CW1424" s="4295"/>
      <c r="CX1424" s="4295"/>
      <c r="CY1424" s="4295"/>
      <c r="CZ1424" s="4295"/>
      <c r="DA1424" s="4295"/>
      <c r="DB1424" s="4295"/>
      <c r="DC1424" s="4295"/>
      <c r="DD1424" s="4295"/>
      <c r="DE1424" s="4295"/>
      <c r="DF1424" s="4295"/>
      <c r="DG1424" s="4295"/>
      <c r="DH1424" s="4295"/>
      <c r="DI1424" s="4295"/>
      <c r="DJ1424" s="4295"/>
      <c r="DK1424" s="4295"/>
      <c r="DL1424" s="4295"/>
      <c r="DM1424" s="4295"/>
      <c r="DN1424" s="4295"/>
      <c r="DO1424" s="4295"/>
      <c r="DP1424" s="4295"/>
      <c r="DQ1424" s="4295"/>
      <c r="DR1424" s="4295"/>
      <c r="DS1424" s="4295"/>
    </row>
    <row r="1425" s="4133" customFormat="1" ht="18.75" customHeight="1" spans="1:123">
      <c r="A1425" s="5072"/>
      <c r="B1425" s="5072"/>
      <c r="C1425" s="5072"/>
      <c r="D1425" s="5072"/>
      <c r="E1425" s="5072"/>
      <c r="F1425" s="5072"/>
      <c r="G1425" s="5072"/>
      <c r="H1425" s="5072"/>
      <c r="I1425" s="5072"/>
      <c r="J1425" s="5072"/>
      <c r="K1425" s="5072"/>
      <c r="L1425" s="5072"/>
      <c r="M1425" s="5072"/>
      <c r="N1425" s="5072"/>
      <c r="O1425" s="5072"/>
      <c r="P1425" s="5072"/>
      <c r="Q1425" s="5072"/>
      <c r="R1425" s="5072"/>
      <c r="S1425" s="5072"/>
      <c r="T1425" s="5072"/>
      <c r="U1425" s="5072"/>
      <c r="V1425" s="5072"/>
      <c r="W1425" s="5072"/>
      <c r="X1425" s="5072"/>
      <c r="Y1425" s="5072"/>
      <c r="Z1425" s="5072"/>
      <c r="AA1425" s="5072"/>
      <c r="AB1425" s="5072"/>
      <c r="AC1425" s="5072"/>
      <c r="AD1425" s="5072"/>
      <c r="AE1425" s="5072"/>
      <c r="AF1425" s="5072"/>
      <c r="AG1425" s="5072"/>
      <c r="AH1425" s="5072"/>
      <c r="AI1425" s="5072"/>
      <c r="AJ1425" s="5072"/>
      <c r="AK1425" s="5072"/>
      <c r="AL1425" s="5072"/>
      <c r="AM1425" s="5072"/>
      <c r="AN1425" s="5072"/>
      <c r="AO1425" s="5072"/>
      <c r="AP1425" s="5072"/>
      <c r="AQ1425" s="5072"/>
      <c r="AR1425" s="5072"/>
      <c r="AS1425" s="5072"/>
      <c r="AT1425" s="5072"/>
      <c r="AU1425" s="4295"/>
      <c r="AV1425" s="4295"/>
      <c r="AW1425" s="4295"/>
      <c r="AX1425" s="4295"/>
      <c r="AY1425" s="4295"/>
      <c r="AZ1425" s="4295"/>
      <c r="BA1425" s="4295"/>
      <c r="BB1425" s="4295"/>
      <c r="BC1425" s="4295"/>
      <c r="BD1425" s="4295"/>
      <c r="BE1425" s="4295"/>
      <c r="BF1425" s="4295"/>
      <c r="BG1425" s="4295"/>
      <c r="BH1425" s="4295"/>
      <c r="BI1425" s="4295"/>
      <c r="BJ1425" s="4295"/>
      <c r="BK1425" s="4295"/>
      <c r="BL1425" s="4295"/>
      <c r="BM1425" s="4295"/>
      <c r="BN1425" s="4295"/>
      <c r="BO1425" s="4295"/>
      <c r="BP1425" s="4295"/>
      <c r="BQ1425" s="4295"/>
      <c r="BR1425" s="4295"/>
      <c r="BS1425" s="4295"/>
      <c r="BT1425" s="4295"/>
      <c r="BU1425" s="4295"/>
      <c r="BV1425" s="4295"/>
      <c r="BW1425" s="4295"/>
      <c r="BX1425" s="4295"/>
      <c r="BY1425" s="4295"/>
      <c r="BZ1425" s="4295"/>
      <c r="CA1425" s="4295"/>
      <c r="CB1425" s="4295"/>
      <c r="CC1425" s="4295"/>
      <c r="CD1425" s="4295"/>
      <c r="CE1425" s="4295"/>
      <c r="CF1425" s="4295"/>
      <c r="CG1425" s="4295"/>
      <c r="CH1425" s="4295"/>
      <c r="CI1425" s="4295"/>
      <c r="CJ1425" s="4295"/>
      <c r="CK1425" s="4295"/>
      <c r="CL1425" s="4295"/>
      <c r="CM1425" s="4295"/>
      <c r="CN1425" s="4295"/>
      <c r="CO1425" s="4295"/>
      <c r="CP1425" s="4295"/>
      <c r="CQ1425" s="4295"/>
      <c r="CR1425" s="4295"/>
      <c r="CS1425" s="4295"/>
      <c r="CT1425" s="4295"/>
      <c r="CU1425" s="4295"/>
      <c r="CV1425" s="4295"/>
      <c r="CW1425" s="4295"/>
      <c r="CX1425" s="4295"/>
      <c r="CY1425" s="4295"/>
      <c r="CZ1425" s="4295"/>
      <c r="DA1425" s="4295"/>
      <c r="DB1425" s="4295"/>
      <c r="DC1425" s="4295"/>
      <c r="DD1425" s="4295"/>
      <c r="DE1425" s="4295"/>
      <c r="DF1425" s="4295"/>
      <c r="DG1425" s="4295"/>
      <c r="DH1425" s="4295"/>
      <c r="DI1425" s="4295"/>
      <c r="DJ1425" s="4295"/>
      <c r="DK1425" s="4295"/>
      <c r="DL1425" s="4295"/>
      <c r="DM1425" s="4295"/>
      <c r="DN1425" s="4295"/>
      <c r="DO1425" s="4295"/>
      <c r="DP1425" s="4295"/>
      <c r="DQ1425" s="4295"/>
      <c r="DR1425" s="4295"/>
      <c r="DS1425" s="4295"/>
    </row>
    <row r="1426" s="4133" customFormat="1" ht="18.75" customHeight="1" spans="1:123">
      <c r="A1426" s="5072" t="str">
        <f>Analiza!A176</f>
        <v>U odnosu na isti period prethodne godine, ovi rashodi imaju POVEĆANJE za 9.364 KM ili 3,3 %.</v>
      </c>
      <c r="B1426" s="5072"/>
      <c r="C1426" s="5072"/>
      <c r="D1426" s="5072"/>
      <c r="E1426" s="5072"/>
      <c r="F1426" s="5072"/>
      <c r="G1426" s="5072"/>
      <c r="H1426" s="5072"/>
      <c r="I1426" s="5072"/>
      <c r="J1426" s="5072"/>
      <c r="K1426" s="5072"/>
      <c r="L1426" s="5072"/>
      <c r="M1426" s="5072"/>
      <c r="N1426" s="5072"/>
      <c r="O1426" s="5072"/>
      <c r="P1426" s="5072"/>
      <c r="Q1426" s="5072"/>
      <c r="R1426" s="5072"/>
      <c r="S1426" s="5072"/>
      <c r="T1426" s="5072"/>
      <c r="U1426" s="5072"/>
      <c r="V1426" s="5072"/>
      <c r="W1426" s="5072"/>
      <c r="X1426" s="5072"/>
      <c r="Y1426" s="5072"/>
      <c r="Z1426" s="5072"/>
      <c r="AA1426" s="5072"/>
      <c r="AB1426" s="5072"/>
      <c r="AC1426" s="5072"/>
      <c r="AD1426" s="5072"/>
      <c r="AE1426" s="5072"/>
      <c r="AF1426" s="5072"/>
      <c r="AG1426" s="5072"/>
      <c r="AH1426" s="5072"/>
      <c r="AI1426" s="5072"/>
      <c r="AJ1426" s="5072"/>
      <c r="AK1426" s="5072"/>
      <c r="AL1426" s="5072"/>
      <c r="AM1426" s="5072"/>
      <c r="AN1426" s="5072"/>
      <c r="AO1426" s="5072"/>
      <c r="AP1426" s="5072"/>
      <c r="AQ1426" s="5072"/>
      <c r="AR1426" s="5072"/>
      <c r="AS1426" s="5072"/>
      <c r="AT1426" s="5072"/>
      <c r="AU1426" s="4295"/>
      <c r="AV1426" s="4295"/>
      <c r="AW1426" s="4295"/>
      <c r="AX1426" s="4295"/>
      <c r="AY1426" s="4295"/>
      <c r="AZ1426" s="4295"/>
      <c r="BA1426" s="4295"/>
      <c r="BB1426" s="4295"/>
      <c r="BC1426" s="4295"/>
      <c r="BD1426" s="4295"/>
      <c r="BE1426" s="4295"/>
      <c r="BF1426" s="4295"/>
      <c r="BG1426" s="4295"/>
      <c r="BH1426" s="4295"/>
      <c r="BI1426" s="4295"/>
      <c r="BJ1426" s="4295"/>
      <c r="BK1426" s="4295"/>
      <c r="BL1426" s="4295"/>
      <c r="BM1426" s="4295"/>
      <c r="BN1426" s="4295"/>
      <c r="BO1426" s="4295"/>
      <c r="BP1426" s="4295"/>
      <c r="BQ1426" s="4295"/>
      <c r="BR1426" s="4295"/>
      <c r="BS1426" s="4295"/>
      <c r="BT1426" s="4295"/>
      <c r="BU1426" s="4295"/>
      <c r="BV1426" s="4295"/>
      <c r="BW1426" s="4295"/>
      <c r="BX1426" s="4295"/>
      <c r="BY1426" s="4295"/>
      <c r="BZ1426" s="4295"/>
      <c r="CA1426" s="4295"/>
      <c r="CB1426" s="4295"/>
      <c r="CC1426" s="4295"/>
      <c r="CD1426" s="4295"/>
      <c r="CE1426" s="4295"/>
      <c r="CF1426" s="4295"/>
      <c r="CG1426" s="4295"/>
      <c r="CH1426" s="4295"/>
      <c r="CI1426" s="4295"/>
      <c r="CJ1426" s="4295"/>
      <c r="CK1426" s="4295"/>
      <c r="CL1426" s="4295"/>
      <c r="CM1426" s="4295"/>
      <c r="CN1426" s="4295"/>
      <c r="CO1426" s="4295"/>
      <c r="CP1426" s="4295"/>
      <c r="CQ1426" s="4295"/>
      <c r="CR1426" s="4295"/>
      <c r="CS1426" s="4295"/>
      <c r="CT1426" s="4295"/>
      <c r="CU1426" s="4295"/>
      <c r="CV1426" s="4295"/>
      <c r="CW1426" s="4295"/>
      <c r="CX1426" s="4295"/>
      <c r="CY1426" s="4295"/>
      <c r="CZ1426" s="4295"/>
      <c r="DA1426" s="4295"/>
      <c r="DB1426" s="4295"/>
      <c r="DC1426" s="4295"/>
      <c r="DD1426" s="4295"/>
      <c r="DE1426" s="4295"/>
      <c r="DF1426" s="4295"/>
      <c r="DG1426" s="4295"/>
      <c r="DH1426" s="4295"/>
      <c r="DI1426" s="4295"/>
      <c r="DJ1426" s="4295"/>
      <c r="DK1426" s="4295"/>
      <c r="DL1426" s="4295"/>
      <c r="DM1426" s="4295"/>
      <c r="DN1426" s="4295"/>
      <c r="DO1426" s="4295"/>
      <c r="DP1426" s="4295"/>
      <c r="DQ1426" s="4295"/>
      <c r="DR1426" s="4295"/>
      <c r="DS1426" s="4295"/>
    </row>
    <row r="1427" s="4133" customFormat="1" ht="18.75" customHeight="1" spans="1:123">
      <c r="A1427" s="5072" t="str">
        <f ca="1">Analiza!A177</f>
        <v>R1 -U obračunskom periodu 2025. godine, najveći rashodi su - Troškovi plaća i ostalih ličnih primanja (AOP 258), u iznosu od 206.367 KM, što je 67,2% ukupnih rashoda. </v>
      </c>
      <c r="B1427" s="5072"/>
      <c r="C1427" s="5072"/>
      <c r="D1427" s="5072"/>
      <c r="E1427" s="5072"/>
      <c r="F1427" s="5072"/>
      <c r="G1427" s="5072"/>
      <c r="H1427" s="5072"/>
      <c r="I1427" s="5072"/>
      <c r="J1427" s="5072"/>
      <c r="K1427" s="5072"/>
      <c r="L1427" s="5072"/>
      <c r="M1427" s="5072"/>
      <c r="N1427" s="5072"/>
      <c r="O1427" s="5072"/>
      <c r="P1427" s="5072"/>
      <c r="Q1427" s="5072"/>
      <c r="R1427" s="5072"/>
      <c r="S1427" s="5072"/>
      <c r="T1427" s="5072"/>
      <c r="U1427" s="5072"/>
      <c r="V1427" s="5072"/>
      <c r="W1427" s="5072"/>
      <c r="X1427" s="5072"/>
      <c r="Y1427" s="5072"/>
      <c r="Z1427" s="5072"/>
      <c r="AA1427" s="5072"/>
      <c r="AB1427" s="5072"/>
      <c r="AC1427" s="5072"/>
      <c r="AD1427" s="5072"/>
      <c r="AE1427" s="5072"/>
      <c r="AF1427" s="5072"/>
      <c r="AG1427" s="5072"/>
      <c r="AH1427" s="5072"/>
      <c r="AI1427" s="5072"/>
      <c r="AJ1427" s="5072"/>
      <c r="AK1427" s="5072"/>
      <c r="AL1427" s="5072"/>
      <c r="AM1427" s="5072"/>
      <c r="AN1427" s="5072"/>
      <c r="AO1427" s="5072"/>
      <c r="AP1427" s="5072"/>
      <c r="AQ1427" s="5072"/>
      <c r="AR1427" s="5072"/>
      <c r="AS1427" s="5072"/>
      <c r="AT1427" s="5072"/>
      <c r="AU1427" s="4295"/>
      <c r="AV1427" s="4295"/>
      <c r="AW1427" s="4295"/>
      <c r="AX1427" s="4295"/>
      <c r="AY1427" s="4295"/>
      <c r="AZ1427" s="4295"/>
      <c r="BA1427" s="4295"/>
      <c r="BB1427" s="4295"/>
      <c r="BC1427" s="4295"/>
      <c r="BD1427" s="4295"/>
      <c r="BE1427" s="4295"/>
      <c r="BF1427" s="4295"/>
      <c r="BG1427" s="4295"/>
      <c r="BH1427" s="4295"/>
      <c r="BI1427" s="4295"/>
      <c r="BJ1427" s="4295"/>
      <c r="BK1427" s="4295"/>
      <c r="BL1427" s="4295"/>
      <c r="BM1427" s="4295"/>
      <c r="BN1427" s="4295"/>
      <c r="BO1427" s="4295"/>
      <c r="BP1427" s="4295"/>
      <c r="BQ1427" s="4295"/>
      <c r="BR1427" s="4295"/>
      <c r="BS1427" s="4295"/>
      <c r="BT1427" s="4295"/>
      <c r="BU1427" s="4295"/>
      <c r="BV1427" s="4295"/>
      <c r="BW1427" s="4295"/>
      <c r="BX1427" s="4295"/>
      <c r="BY1427" s="4295"/>
      <c r="BZ1427" s="4295"/>
      <c r="CA1427" s="4295"/>
      <c r="CB1427" s="4295"/>
      <c r="CC1427" s="4295"/>
      <c r="CD1427" s="4295"/>
      <c r="CE1427" s="4295"/>
      <c r="CF1427" s="4295"/>
      <c r="CG1427" s="4295"/>
      <c r="CH1427" s="4295"/>
      <c r="CI1427" s="4295"/>
      <c r="CJ1427" s="4295"/>
      <c r="CK1427" s="4295"/>
      <c r="CL1427" s="4295"/>
      <c r="CM1427" s="4295"/>
      <c r="CN1427" s="4295"/>
      <c r="CO1427" s="4295"/>
      <c r="CP1427" s="4295"/>
      <c r="CQ1427" s="4295"/>
      <c r="CR1427" s="4295"/>
      <c r="CS1427" s="4295"/>
      <c r="CT1427" s="4295"/>
      <c r="CU1427" s="4295"/>
      <c r="CV1427" s="4295"/>
      <c r="CW1427" s="4295"/>
      <c r="CX1427" s="4295"/>
      <c r="CY1427" s="4295"/>
      <c r="CZ1427" s="4295"/>
      <c r="DA1427" s="4295"/>
      <c r="DB1427" s="4295"/>
      <c r="DC1427" s="4295"/>
      <c r="DD1427" s="4295"/>
      <c r="DE1427" s="4295"/>
      <c r="DF1427" s="4295"/>
      <c r="DG1427" s="4295"/>
      <c r="DH1427" s="4295"/>
      <c r="DI1427" s="4295"/>
      <c r="DJ1427" s="4295"/>
      <c r="DK1427" s="4295"/>
      <c r="DL1427" s="4295"/>
      <c r="DM1427" s="4295"/>
      <c r="DN1427" s="4295"/>
      <c r="DO1427" s="4295"/>
      <c r="DP1427" s="4295"/>
      <c r="DQ1427" s="4295"/>
      <c r="DR1427" s="4295"/>
      <c r="DS1427" s="4295"/>
    </row>
    <row r="1428" s="4133" customFormat="1" ht="18.75" customHeight="1" spans="1:123">
      <c r="A1428" s="5072"/>
      <c r="B1428" s="5072"/>
      <c r="C1428" s="5072"/>
      <c r="D1428" s="5072"/>
      <c r="E1428" s="5072"/>
      <c r="F1428" s="5072"/>
      <c r="G1428" s="5072"/>
      <c r="H1428" s="5072"/>
      <c r="I1428" s="5072"/>
      <c r="J1428" s="5072"/>
      <c r="K1428" s="5072"/>
      <c r="L1428" s="5072"/>
      <c r="M1428" s="5072"/>
      <c r="N1428" s="5072"/>
      <c r="O1428" s="5072"/>
      <c r="P1428" s="5072"/>
      <c r="Q1428" s="5072"/>
      <c r="R1428" s="5072"/>
      <c r="S1428" s="5072"/>
      <c r="T1428" s="5072"/>
      <c r="U1428" s="5072"/>
      <c r="V1428" s="5072"/>
      <c r="W1428" s="5072"/>
      <c r="X1428" s="5072"/>
      <c r="Y1428" s="5072"/>
      <c r="Z1428" s="5072"/>
      <c r="AA1428" s="5072"/>
      <c r="AB1428" s="5072"/>
      <c r="AC1428" s="5072"/>
      <c r="AD1428" s="5072"/>
      <c r="AE1428" s="5072"/>
      <c r="AF1428" s="5072"/>
      <c r="AG1428" s="5072"/>
      <c r="AH1428" s="5072"/>
      <c r="AI1428" s="5072"/>
      <c r="AJ1428" s="5072"/>
      <c r="AK1428" s="5072"/>
      <c r="AL1428" s="5072"/>
      <c r="AM1428" s="5072"/>
      <c r="AN1428" s="5072"/>
      <c r="AO1428" s="5072"/>
      <c r="AP1428" s="5072"/>
      <c r="AQ1428" s="5072"/>
      <c r="AR1428" s="5072"/>
      <c r="AS1428" s="5072"/>
      <c r="AT1428" s="5072"/>
      <c r="AU1428" s="4295"/>
      <c r="AV1428" s="4295"/>
      <c r="AW1428" s="4295"/>
      <c r="AX1428" s="4295"/>
      <c r="AY1428" s="4295"/>
      <c r="AZ1428" s="4295"/>
      <c r="BA1428" s="4295"/>
      <c r="BB1428" s="4295"/>
      <c r="BC1428" s="4295"/>
      <c r="BD1428" s="4295"/>
      <c r="BE1428" s="4295"/>
      <c r="BF1428" s="4295"/>
      <c r="BG1428" s="4295"/>
      <c r="BH1428" s="4295"/>
      <c r="BI1428" s="4295"/>
      <c r="BJ1428" s="4295"/>
      <c r="BK1428" s="4295"/>
      <c r="BL1428" s="4295"/>
      <c r="BM1428" s="4295"/>
      <c r="BN1428" s="4295"/>
      <c r="BO1428" s="4295"/>
      <c r="BP1428" s="4295"/>
      <c r="BQ1428" s="4295"/>
      <c r="BR1428" s="4295"/>
      <c r="BS1428" s="4295"/>
      <c r="BT1428" s="4295"/>
      <c r="BU1428" s="4295"/>
      <c r="BV1428" s="4295"/>
      <c r="BW1428" s="4295"/>
      <c r="BX1428" s="4295"/>
      <c r="BY1428" s="4295"/>
      <c r="BZ1428" s="4295"/>
      <c r="CA1428" s="4295"/>
      <c r="CB1428" s="4295"/>
      <c r="CC1428" s="4295"/>
      <c r="CD1428" s="4295"/>
      <c r="CE1428" s="4295"/>
      <c r="CF1428" s="4295"/>
      <c r="CG1428" s="4295"/>
      <c r="CH1428" s="4295"/>
      <c r="CI1428" s="4295"/>
      <c r="CJ1428" s="4295"/>
      <c r="CK1428" s="4295"/>
      <c r="CL1428" s="4295"/>
      <c r="CM1428" s="4295"/>
      <c r="CN1428" s="4295"/>
      <c r="CO1428" s="4295"/>
      <c r="CP1428" s="4295"/>
      <c r="CQ1428" s="4295"/>
      <c r="CR1428" s="4295"/>
      <c r="CS1428" s="4295"/>
      <c r="CT1428" s="4295"/>
      <c r="CU1428" s="4295"/>
      <c r="CV1428" s="4295"/>
      <c r="CW1428" s="4295"/>
      <c r="CX1428" s="4295"/>
      <c r="CY1428" s="4295"/>
      <c r="CZ1428" s="4295"/>
      <c r="DA1428" s="4295"/>
      <c r="DB1428" s="4295"/>
      <c r="DC1428" s="4295"/>
      <c r="DD1428" s="4295"/>
      <c r="DE1428" s="4295"/>
      <c r="DF1428" s="4295"/>
      <c r="DG1428" s="4295"/>
      <c r="DH1428" s="4295"/>
      <c r="DI1428" s="4295"/>
      <c r="DJ1428" s="4295"/>
      <c r="DK1428" s="4295"/>
      <c r="DL1428" s="4295"/>
      <c r="DM1428" s="4295"/>
      <c r="DN1428" s="4295"/>
      <c r="DO1428" s="4295"/>
      <c r="DP1428" s="4295"/>
      <c r="DQ1428" s="4295"/>
      <c r="DR1428" s="4295"/>
      <c r="DS1428" s="4295"/>
    </row>
    <row r="1429" s="4133" customFormat="1" ht="18.75" customHeight="1" spans="1:123">
      <c r="A1429" s="5072" t="str">
        <f>Analiza!A179</f>
        <v>U odnosu na isti period prethodne godine, ovaj rashod ima POVEĆANJE za 8.847 KM ili 4,5 %.</v>
      </c>
      <c r="B1429" s="5072"/>
      <c r="C1429" s="5072"/>
      <c r="D1429" s="5072"/>
      <c r="E1429" s="5072"/>
      <c r="F1429" s="5072"/>
      <c r="G1429" s="5072"/>
      <c r="H1429" s="5072"/>
      <c r="I1429" s="5072"/>
      <c r="J1429" s="5072"/>
      <c r="K1429" s="5072"/>
      <c r="L1429" s="5072"/>
      <c r="M1429" s="5072"/>
      <c r="N1429" s="5072"/>
      <c r="O1429" s="5072"/>
      <c r="P1429" s="5072"/>
      <c r="Q1429" s="5072"/>
      <c r="R1429" s="5072"/>
      <c r="S1429" s="5072"/>
      <c r="T1429" s="5072"/>
      <c r="U1429" s="5072"/>
      <c r="V1429" s="5072"/>
      <c r="W1429" s="5072"/>
      <c r="X1429" s="5072"/>
      <c r="Y1429" s="5072"/>
      <c r="Z1429" s="5072"/>
      <c r="AA1429" s="5072"/>
      <c r="AB1429" s="5072"/>
      <c r="AC1429" s="5072"/>
      <c r="AD1429" s="5072"/>
      <c r="AE1429" s="5072"/>
      <c r="AF1429" s="5072"/>
      <c r="AG1429" s="5072"/>
      <c r="AH1429" s="5072"/>
      <c r="AI1429" s="5072"/>
      <c r="AJ1429" s="5072"/>
      <c r="AK1429" s="5072"/>
      <c r="AL1429" s="5072"/>
      <c r="AM1429" s="5072"/>
      <c r="AN1429" s="5072"/>
      <c r="AO1429" s="5072"/>
      <c r="AP1429" s="5072"/>
      <c r="AQ1429" s="5072"/>
      <c r="AR1429" s="5072"/>
      <c r="AS1429" s="5072"/>
      <c r="AT1429" s="5072"/>
      <c r="AU1429" s="4295"/>
      <c r="AV1429" s="4295"/>
      <c r="AW1429" s="4295"/>
      <c r="AX1429" s="4295"/>
      <c r="AY1429" s="4295"/>
      <c r="AZ1429" s="4295"/>
      <c r="BA1429" s="4295"/>
      <c r="BB1429" s="4295"/>
      <c r="BC1429" s="4295"/>
      <c r="BD1429" s="4295"/>
      <c r="BE1429" s="4295"/>
      <c r="BF1429" s="4295"/>
      <c r="BG1429" s="4295"/>
      <c r="BH1429" s="4295"/>
      <c r="BI1429" s="4295"/>
      <c r="BJ1429" s="4295"/>
      <c r="BK1429" s="4295"/>
      <c r="BL1429" s="4295"/>
      <c r="BM1429" s="4295"/>
      <c r="BN1429" s="4295"/>
      <c r="BO1429" s="4295"/>
      <c r="BP1429" s="4295"/>
      <c r="BQ1429" s="4295"/>
      <c r="BR1429" s="4295"/>
      <c r="BS1429" s="4295"/>
      <c r="BT1429" s="4295"/>
      <c r="BU1429" s="4295"/>
      <c r="BV1429" s="4295"/>
      <c r="BW1429" s="4295"/>
      <c r="BX1429" s="4295"/>
      <c r="BY1429" s="4295"/>
      <c r="BZ1429" s="4295"/>
      <c r="CA1429" s="4295"/>
      <c r="CB1429" s="4295"/>
      <c r="CC1429" s="4295"/>
      <c r="CD1429" s="4295"/>
      <c r="CE1429" s="4295"/>
      <c r="CF1429" s="4295"/>
      <c r="CG1429" s="4295"/>
      <c r="CH1429" s="4295"/>
      <c r="CI1429" s="4295"/>
      <c r="CJ1429" s="4295"/>
      <c r="CK1429" s="4295"/>
      <c r="CL1429" s="4295"/>
      <c r="CM1429" s="4295"/>
      <c r="CN1429" s="4295"/>
      <c r="CO1429" s="4295"/>
      <c r="CP1429" s="4295"/>
      <c r="CQ1429" s="4295"/>
      <c r="CR1429" s="4295"/>
      <c r="CS1429" s="4295"/>
      <c r="CT1429" s="4295"/>
      <c r="CU1429" s="4295"/>
      <c r="CV1429" s="4295"/>
      <c r="CW1429" s="4295"/>
      <c r="CX1429" s="4295"/>
      <c r="CY1429" s="4295"/>
      <c r="CZ1429" s="4295"/>
      <c r="DA1429" s="4295"/>
      <c r="DB1429" s="4295"/>
      <c r="DC1429" s="4295"/>
      <c r="DD1429" s="4295"/>
      <c r="DE1429" s="4295"/>
      <c r="DF1429" s="4295"/>
      <c r="DG1429" s="4295"/>
      <c r="DH1429" s="4295"/>
      <c r="DI1429" s="4295"/>
      <c r="DJ1429" s="4295"/>
      <c r="DK1429" s="4295"/>
      <c r="DL1429" s="4295"/>
      <c r="DM1429" s="4295"/>
      <c r="DN1429" s="4295"/>
      <c r="DO1429" s="4295"/>
      <c r="DP1429" s="4295"/>
      <c r="DQ1429" s="4295"/>
      <c r="DR1429" s="4295"/>
      <c r="DS1429" s="4295"/>
    </row>
    <row r="1430" s="4133" customFormat="1" ht="18.75" customHeight="1" spans="1:123">
      <c r="A1430" s="5070" t="str">
        <f>IF(Baza!I62=0,"-",Baza!I62)</f>
        <v>MSFI za MSS Odjeljak 5 Izvještaj o sveobuhvatnoj dobiti i Bilans uspjeha</v>
      </c>
      <c r="B1430" s="5070"/>
      <c r="C1430" s="5070"/>
      <c r="D1430" s="5070"/>
      <c r="E1430" s="5070"/>
      <c r="F1430" s="5070"/>
      <c r="G1430" s="5070"/>
      <c r="H1430" s="5070"/>
      <c r="I1430" s="5070"/>
      <c r="J1430" s="5070"/>
      <c r="K1430" s="5070"/>
      <c r="L1430" s="5070"/>
      <c r="M1430" s="5070"/>
      <c r="N1430" s="5070"/>
      <c r="O1430" s="5070"/>
      <c r="P1430" s="5070"/>
      <c r="Q1430" s="5070"/>
      <c r="R1430" s="5070"/>
      <c r="S1430" s="5070"/>
      <c r="T1430" s="5070"/>
      <c r="U1430" s="5070"/>
      <c r="V1430" s="5070"/>
      <c r="W1430" s="5070"/>
      <c r="X1430" s="5070"/>
      <c r="Y1430" s="5070"/>
      <c r="Z1430" s="5070"/>
      <c r="AA1430" s="5070"/>
      <c r="AB1430" s="5070"/>
      <c r="AC1430" s="5070"/>
      <c r="AD1430" s="5070"/>
      <c r="AE1430" s="5070"/>
      <c r="AF1430" s="5070"/>
      <c r="AG1430" s="5070"/>
      <c r="AH1430" s="5070"/>
      <c r="AI1430" s="5070"/>
      <c r="AJ1430" s="5070"/>
      <c r="AK1430" s="5070"/>
      <c r="AL1430" s="5070"/>
      <c r="AM1430" s="5070"/>
      <c r="AN1430" s="5070"/>
      <c r="AO1430" s="5070"/>
      <c r="AP1430" s="5070"/>
      <c r="AQ1430" s="5070"/>
      <c r="AR1430" s="5070"/>
      <c r="AS1430" s="5070"/>
      <c r="AT1430" s="5070"/>
      <c r="AU1430" s="4295"/>
      <c r="AV1430" s="4295"/>
      <c r="AW1430" s="4295"/>
      <c r="AX1430" s="4295"/>
      <c r="AY1430" s="4295"/>
      <c r="AZ1430" s="4295"/>
      <c r="BA1430" s="4295"/>
      <c r="BB1430" s="4295"/>
      <c r="BC1430" s="4295"/>
      <c r="BD1430" s="4295"/>
      <c r="BE1430" s="4295"/>
      <c r="BF1430" s="4295"/>
      <c r="BG1430" s="4295"/>
      <c r="BH1430" s="4295"/>
      <c r="BI1430" s="4295"/>
      <c r="BJ1430" s="4295"/>
      <c r="BK1430" s="4295"/>
      <c r="BL1430" s="4295"/>
      <c r="BM1430" s="4295"/>
      <c r="BN1430" s="4295"/>
      <c r="BO1430" s="4295"/>
      <c r="BP1430" s="4295"/>
      <c r="BQ1430" s="4295"/>
      <c r="BR1430" s="4295"/>
      <c r="BS1430" s="4295"/>
      <c r="BT1430" s="4295"/>
      <c r="BU1430" s="4295"/>
      <c r="BV1430" s="4295"/>
      <c r="BW1430" s="4295"/>
      <c r="BX1430" s="4295"/>
      <c r="BY1430" s="4295"/>
      <c r="BZ1430" s="4295"/>
      <c r="CA1430" s="4295"/>
      <c r="CB1430" s="4295"/>
      <c r="CC1430" s="4295"/>
      <c r="CD1430" s="4295"/>
      <c r="CE1430" s="4295"/>
      <c r="CF1430" s="4295"/>
      <c r="CG1430" s="4295"/>
      <c r="CH1430" s="4295"/>
      <c r="CI1430" s="4295"/>
      <c r="CJ1430" s="4295"/>
      <c r="CK1430" s="4295"/>
      <c r="CL1430" s="4295"/>
      <c r="CM1430" s="4295"/>
      <c r="CN1430" s="4295"/>
      <c r="CO1430" s="4295"/>
      <c r="CP1430" s="4295"/>
      <c r="CQ1430" s="4295"/>
      <c r="CR1430" s="4295"/>
      <c r="CS1430" s="4295"/>
      <c r="CT1430" s="4295"/>
      <c r="CU1430" s="4295"/>
      <c r="CV1430" s="4295"/>
      <c r="CW1430" s="4295"/>
      <c r="CX1430" s="4295"/>
      <c r="CY1430" s="4295"/>
      <c r="CZ1430" s="4295"/>
      <c r="DA1430" s="4295"/>
      <c r="DB1430" s="4295"/>
      <c r="DC1430" s="4295"/>
      <c r="DD1430" s="4295"/>
      <c r="DE1430" s="4295"/>
      <c r="DF1430" s="4295"/>
      <c r="DG1430" s="4295"/>
      <c r="DH1430" s="4295"/>
      <c r="DI1430" s="4295"/>
      <c r="DJ1430" s="4295"/>
      <c r="DK1430" s="4295"/>
      <c r="DL1430" s="4295"/>
      <c r="DM1430" s="4295"/>
      <c r="DN1430" s="4295"/>
      <c r="DO1430" s="4295"/>
      <c r="DP1430" s="4295"/>
      <c r="DQ1430" s="4295"/>
      <c r="DR1430" s="4295"/>
      <c r="DS1430" s="4295"/>
    </row>
    <row r="1431" s="4133" customFormat="1" ht="18.75" customHeight="1" spans="1:123">
      <c r="A1431" s="5071"/>
      <c r="B1431" s="5071"/>
      <c r="C1431" s="5071"/>
      <c r="D1431" s="5071"/>
      <c r="E1431" s="5071"/>
      <c r="F1431" s="5071"/>
      <c r="G1431" s="5071"/>
      <c r="H1431" s="5071"/>
      <c r="I1431" s="5071"/>
      <c r="J1431" s="5071"/>
      <c r="K1431" s="5071"/>
      <c r="L1431" s="5071"/>
      <c r="M1431" s="5071"/>
      <c r="N1431" s="5071"/>
      <c r="O1431" s="5071"/>
      <c r="P1431" s="5071"/>
      <c r="Q1431" s="5071"/>
      <c r="R1431" s="5071"/>
      <c r="S1431" s="5071"/>
      <c r="T1431" s="5071"/>
      <c r="U1431" s="5071"/>
      <c r="V1431" s="5071"/>
      <c r="W1431" s="5071"/>
      <c r="X1431" s="5071"/>
      <c r="Y1431" s="5071"/>
      <c r="Z1431" s="5071"/>
      <c r="AA1431" s="5071"/>
      <c r="AB1431" s="5071"/>
      <c r="AC1431" s="5071"/>
      <c r="AD1431" s="5071"/>
      <c r="AE1431" s="5071"/>
      <c r="AF1431" s="5071"/>
      <c r="AG1431" s="5071"/>
      <c r="AH1431" s="5071"/>
      <c r="AI1431" s="5071"/>
      <c r="AJ1431" s="5071"/>
      <c r="AK1431" s="5071"/>
      <c r="AL1431" s="5071"/>
      <c r="AM1431" s="5071"/>
      <c r="AN1431" s="5071"/>
      <c r="AO1431" s="5071"/>
      <c r="AP1431" s="5071"/>
      <c r="AQ1431" s="5071"/>
      <c r="AR1431" s="5071"/>
      <c r="AS1431" s="5071"/>
      <c r="AT1431" s="5071"/>
      <c r="AU1431" s="4295"/>
      <c r="AV1431" s="4295"/>
      <c r="AW1431" s="4295"/>
      <c r="AX1431" s="4295"/>
      <c r="AY1431" s="4295"/>
      <c r="AZ1431" s="4295"/>
      <c r="BA1431" s="4295"/>
      <c r="BB1431" s="4295"/>
      <c r="BC1431" s="4295"/>
      <c r="BD1431" s="4295"/>
      <c r="BE1431" s="4295"/>
      <c r="BF1431" s="4295"/>
      <c r="BG1431" s="4295"/>
      <c r="BH1431" s="4295"/>
      <c r="BI1431" s="4295"/>
      <c r="BJ1431" s="4295"/>
      <c r="BK1431" s="4295"/>
      <c r="BL1431" s="4295"/>
      <c r="BM1431" s="4295"/>
      <c r="BN1431" s="4295"/>
      <c r="BO1431" s="4295"/>
      <c r="BP1431" s="4295"/>
      <c r="BQ1431" s="4295"/>
      <c r="BR1431" s="4295"/>
      <c r="BS1431" s="4295"/>
      <c r="BT1431" s="4295"/>
      <c r="BU1431" s="4295"/>
      <c r="BV1431" s="4295"/>
      <c r="BW1431" s="4295"/>
      <c r="BX1431" s="4295"/>
      <c r="BY1431" s="4295"/>
      <c r="BZ1431" s="4295"/>
      <c r="CA1431" s="4295"/>
      <c r="CB1431" s="4295"/>
      <c r="CC1431" s="4295"/>
      <c r="CD1431" s="4295"/>
      <c r="CE1431" s="4295"/>
      <c r="CF1431" s="4295"/>
      <c r="CG1431" s="4295"/>
      <c r="CH1431" s="4295"/>
      <c r="CI1431" s="4295"/>
      <c r="CJ1431" s="4295"/>
      <c r="CK1431" s="4295"/>
      <c r="CL1431" s="4295"/>
      <c r="CM1431" s="4295"/>
      <c r="CN1431" s="4295"/>
      <c r="CO1431" s="4295"/>
      <c r="CP1431" s="4295"/>
      <c r="CQ1431" s="4295"/>
      <c r="CR1431" s="4295"/>
      <c r="CS1431" s="4295"/>
      <c r="CT1431" s="4295"/>
      <c r="CU1431" s="4295"/>
      <c r="CV1431" s="4295"/>
      <c r="CW1431" s="4295"/>
      <c r="CX1431" s="4295"/>
      <c r="CY1431" s="4295"/>
      <c r="CZ1431" s="4295"/>
      <c r="DA1431" s="4295"/>
      <c r="DB1431" s="4295"/>
      <c r="DC1431" s="4295"/>
      <c r="DD1431" s="4295"/>
      <c r="DE1431" s="4295"/>
      <c r="DF1431" s="4295"/>
      <c r="DG1431" s="4295"/>
      <c r="DH1431" s="4295"/>
      <c r="DI1431" s="4295"/>
      <c r="DJ1431" s="4295"/>
      <c r="DK1431" s="4295"/>
      <c r="DL1431" s="4295"/>
      <c r="DM1431" s="4295"/>
      <c r="DN1431" s="4295"/>
      <c r="DO1431" s="4295"/>
      <c r="DP1431" s="4295"/>
      <c r="DQ1431" s="4295"/>
      <c r="DR1431" s="4295"/>
      <c r="DS1431" s="4295"/>
    </row>
    <row r="1432" s="4133" customFormat="1" ht="18.75" customHeight="1" spans="1:123">
      <c r="A1432" s="5071"/>
      <c r="B1432" s="5071"/>
      <c r="C1432" s="5071"/>
      <c r="D1432" s="5071"/>
      <c r="E1432" s="5071"/>
      <c r="F1432" s="5071"/>
      <c r="G1432" s="5071"/>
      <c r="H1432" s="5071"/>
      <c r="I1432" s="5071"/>
      <c r="J1432" s="5071"/>
      <c r="K1432" s="5071"/>
      <c r="L1432" s="5071"/>
      <c r="M1432" s="5071"/>
      <c r="N1432" s="5071"/>
      <c r="O1432" s="5071"/>
      <c r="P1432" s="5071"/>
      <c r="Q1432" s="5071"/>
      <c r="R1432" s="5071"/>
      <c r="S1432" s="5071"/>
      <c r="T1432" s="5071"/>
      <c r="U1432" s="5071"/>
      <c r="V1432" s="5071"/>
      <c r="W1432" s="5071"/>
      <c r="X1432" s="5071"/>
      <c r="Y1432" s="5071"/>
      <c r="Z1432" s="5071"/>
      <c r="AA1432" s="5071"/>
      <c r="AB1432" s="5071"/>
      <c r="AC1432" s="5071"/>
      <c r="AD1432" s="5071"/>
      <c r="AE1432" s="5071"/>
      <c r="AF1432" s="5071"/>
      <c r="AG1432" s="5071"/>
      <c r="AH1432" s="5071"/>
      <c r="AI1432" s="5071"/>
      <c r="AJ1432" s="5071"/>
      <c r="AK1432" s="5071"/>
      <c r="AL1432" s="5071"/>
      <c r="AM1432" s="5071"/>
      <c r="AN1432" s="5071"/>
      <c r="AO1432" s="5071"/>
      <c r="AP1432" s="5071"/>
      <c r="AQ1432" s="5071"/>
      <c r="AR1432" s="5071"/>
      <c r="AS1432" s="5071"/>
      <c r="AT1432" s="5071"/>
      <c r="AU1432" s="4295"/>
      <c r="AV1432" s="4295"/>
      <c r="AW1432" s="4295"/>
      <c r="AX1432" s="4295"/>
      <c r="AY1432" s="4295"/>
      <c r="AZ1432" s="4295"/>
      <c r="BA1432" s="4295"/>
      <c r="BB1432" s="4295"/>
      <c r="BC1432" s="4295"/>
      <c r="BD1432" s="4295"/>
      <c r="BE1432" s="4295"/>
      <c r="BF1432" s="4295"/>
      <c r="BG1432" s="4295"/>
      <c r="BH1432" s="4295"/>
      <c r="BI1432" s="4295"/>
      <c r="BJ1432" s="4295"/>
      <c r="BK1432" s="4295"/>
      <c r="BL1432" s="4295"/>
      <c r="BM1432" s="4295"/>
      <c r="BN1432" s="4295"/>
      <c r="BO1432" s="4295"/>
      <c r="BP1432" s="4295"/>
      <c r="BQ1432" s="4295"/>
      <c r="BR1432" s="4295"/>
      <c r="BS1432" s="4295"/>
      <c r="BT1432" s="4295"/>
      <c r="BU1432" s="4295"/>
      <c r="BV1432" s="4295"/>
      <c r="BW1432" s="4295"/>
      <c r="BX1432" s="4295"/>
      <c r="BY1432" s="4295"/>
      <c r="BZ1432" s="4295"/>
      <c r="CA1432" s="4295"/>
      <c r="CB1432" s="4295"/>
      <c r="CC1432" s="4295"/>
      <c r="CD1432" s="4295"/>
      <c r="CE1432" s="4295"/>
      <c r="CF1432" s="4295"/>
      <c r="CG1432" s="4295"/>
      <c r="CH1432" s="4295"/>
      <c r="CI1432" s="4295"/>
      <c r="CJ1432" s="4295"/>
      <c r="CK1432" s="4295"/>
      <c r="CL1432" s="4295"/>
      <c r="CM1432" s="4295"/>
      <c r="CN1432" s="4295"/>
      <c r="CO1432" s="4295"/>
      <c r="CP1432" s="4295"/>
      <c r="CQ1432" s="4295"/>
      <c r="CR1432" s="4295"/>
      <c r="CS1432" s="4295"/>
      <c r="CT1432" s="4295"/>
      <c r="CU1432" s="4295"/>
      <c r="CV1432" s="4295"/>
      <c r="CW1432" s="4295"/>
      <c r="CX1432" s="4295"/>
      <c r="CY1432" s="4295"/>
      <c r="CZ1432" s="4295"/>
      <c r="DA1432" s="4295"/>
      <c r="DB1432" s="4295"/>
      <c r="DC1432" s="4295"/>
      <c r="DD1432" s="4295"/>
      <c r="DE1432" s="4295"/>
      <c r="DF1432" s="4295"/>
      <c r="DG1432" s="4295"/>
      <c r="DH1432" s="4295"/>
      <c r="DI1432" s="4295"/>
      <c r="DJ1432" s="4295"/>
      <c r="DK1432" s="4295"/>
      <c r="DL1432" s="4295"/>
      <c r="DM1432" s="4295"/>
      <c r="DN1432" s="4295"/>
      <c r="DO1432" s="4295"/>
      <c r="DP1432" s="4295"/>
      <c r="DQ1432" s="4295"/>
      <c r="DR1432" s="4295"/>
      <c r="DS1432" s="4295"/>
    </row>
    <row r="1433" s="4133" customFormat="1" ht="18.75" customHeight="1" spans="1:123">
      <c r="A1433" s="5071"/>
      <c r="B1433" s="5071"/>
      <c r="C1433" s="5071"/>
      <c r="D1433" s="5071"/>
      <c r="E1433" s="5071"/>
      <c r="F1433" s="5071"/>
      <c r="G1433" s="5071"/>
      <c r="H1433" s="5071"/>
      <c r="I1433" s="5071"/>
      <c r="J1433" s="5071"/>
      <c r="K1433" s="5071"/>
      <c r="L1433" s="5071"/>
      <c r="M1433" s="5071"/>
      <c r="N1433" s="5071"/>
      <c r="O1433" s="5071"/>
      <c r="P1433" s="5071"/>
      <c r="Q1433" s="5071"/>
      <c r="R1433" s="5071"/>
      <c r="S1433" s="5071"/>
      <c r="T1433" s="5071"/>
      <c r="U1433" s="5071"/>
      <c r="V1433" s="5071"/>
      <c r="W1433" s="5071"/>
      <c r="X1433" s="5071"/>
      <c r="Y1433" s="5071"/>
      <c r="Z1433" s="5071"/>
      <c r="AA1433" s="5071"/>
      <c r="AB1433" s="5071"/>
      <c r="AC1433" s="5071"/>
      <c r="AD1433" s="5071"/>
      <c r="AE1433" s="5071"/>
      <c r="AF1433" s="5071"/>
      <c r="AG1433" s="5071"/>
      <c r="AH1433" s="5071"/>
      <c r="AI1433" s="5071"/>
      <c r="AJ1433" s="5071"/>
      <c r="AK1433" s="5071"/>
      <c r="AL1433" s="5071"/>
      <c r="AM1433" s="5071"/>
      <c r="AN1433" s="5071"/>
      <c r="AO1433" s="5071"/>
      <c r="AP1433" s="5071"/>
      <c r="AQ1433" s="5071"/>
      <c r="AR1433" s="5071"/>
      <c r="AS1433" s="5071"/>
      <c r="AT1433" s="5071"/>
      <c r="AU1433" s="4295"/>
      <c r="AV1433" s="4295"/>
      <c r="AW1433" s="4295"/>
      <c r="AX1433" s="4295"/>
      <c r="AY1433" s="4295"/>
      <c r="AZ1433" s="4295"/>
      <c r="BA1433" s="4295"/>
      <c r="BB1433" s="4295"/>
      <c r="BC1433" s="4295"/>
      <c r="BD1433" s="4295"/>
      <c r="BE1433" s="4295"/>
      <c r="BF1433" s="4295"/>
      <c r="BG1433" s="4295"/>
      <c r="BH1433" s="4295"/>
      <c r="BI1433" s="4295"/>
      <c r="BJ1433" s="4295"/>
      <c r="BK1433" s="4295"/>
      <c r="BL1433" s="4295"/>
      <c r="BM1433" s="4295"/>
      <c r="BN1433" s="4295"/>
      <c r="BO1433" s="4295"/>
      <c r="BP1433" s="4295"/>
      <c r="BQ1433" s="4295"/>
      <c r="BR1433" s="4295"/>
      <c r="BS1433" s="4295"/>
      <c r="BT1433" s="4295"/>
      <c r="BU1433" s="4295"/>
      <c r="BV1433" s="4295"/>
      <c r="BW1433" s="4295"/>
      <c r="BX1433" s="4295"/>
      <c r="BY1433" s="4295"/>
      <c r="BZ1433" s="4295"/>
      <c r="CA1433" s="4295"/>
      <c r="CB1433" s="4295"/>
      <c r="CC1433" s="4295"/>
      <c r="CD1433" s="4295"/>
      <c r="CE1433" s="4295"/>
      <c r="CF1433" s="4295"/>
      <c r="CG1433" s="4295"/>
      <c r="CH1433" s="4295"/>
      <c r="CI1433" s="4295"/>
      <c r="CJ1433" s="4295"/>
      <c r="CK1433" s="4295"/>
      <c r="CL1433" s="4295"/>
      <c r="CM1433" s="4295"/>
      <c r="CN1433" s="4295"/>
      <c r="CO1433" s="4295"/>
      <c r="CP1433" s="4295"/>
      <c r="CQ1433" s="4295"/>
      <c r="CR1433" s="4295"/>
      <c r="CS1433" s="4295"/>
      <c r="CT1433" s="4295"/>
      <c r="CU1433" s="4295"/>
      <c r="CV1433" s="4295"/>
      <c r="CW1433" s="4295"/>
      <c r="CX1433" s="4295"/>
      <c r="CY1433" s="4295"/>
      <c r="CZ1433" s="4295"/>
      <c r="DA1433" s="4295"/>
      <c r="DB1433" s="4295"/>
      <c r="DC1433" s="4295"/>
      <c r="DD1433" s="4295"/>
      <c r="DE1433" s="4295"/>
      <c r="DF1433" s="4295"/>
      <c r="DG1433" s="4295"/>
      <c r="DH1433" s="4295"/>
      <c r="DI1433" s="4295"/>
      <c r="DJ1433" s="4295"/>
      <c r="DK1433" s="4295"/>
      <c r="DL1433" s="4295"/>
      <c r="DM1433" s="4295"/>
      <c r="DN1433" s="4295"/>
      <c r="DO1433" s="4295"/>
      <c r="DP1433" s="4295"/>
      <c r="DQ1433" s="4295"/>
      <c r="DR1433" s="4295"/>
      <c r="DS1433" s="4295"/>
    </row>
    <row r="1434" s="4133" customFormat="1" ht="18.75" customHeight="1" spans="1:123">
      <c r="A1434" s="5072" t="str">
        <f>Analiza!A180</f>
        <v>R2 -Na drugom mjestu po veličini : Ostali poslovni rashodi i troškovi (AOP 270), u iznosu od: 41.433 KM, što je 13,5% ukupnih rashoda. </v>
      </c>
      <c r="B1434" s="5072"/>
      <c r="C1434" s="5072"/>
      <c r="D1434" s="5072"/>
      <c r="E1434" s="5072"/>
      <c r="F1434" s="5072"/>
      <c r="G1434" s="5072"/>
      <c r="H1434" s="5072"/>
      <c r="I1434" s="5072"/>
      <c r="J1434" s="5072"/>
      <c r="K1434" s="5072"/>
      <c r="L1434" s="5072"/>
      <c r="M1434" s="5072"/>
      <c r="N1434" s="5072"/>
      <c r="O1434" s="5072"/>
      <c r="P1434" s="5072"/>
      <c r="Q1434" s="5072"/>
      <c r="R1434" s="5072"/>
      <c r="S1434" s="5072"/>
      <c r="T1434" s="5072"/>
      <c r="U1434" s="5072"/>
      <c r="V1434" s="5072"/>
      <c r="W1434" s="5072"/>
      <c r="X1434" s="5072"/>
      <c r="Y1434" s="5072"/>
      <c r="Z1434" s="5072"/>
      <c r="AA1434" s="5072"/>
      <c r="AB1434" s="5072"/>
      <c r="AC1434" s="5072"/>
      <c r="AD1434" s="5072"/>
      <c r="AE1434" s="5072"/>
      <c r="AF1434" s="5072"/>
      <c r="AG1434" s="5072"/>
      <c r="AH1434" s="5072"/>
      <c r="AI1434" s="5072"/>
      <c r="AJ1434" s="5072"/>
      <c r="AK1434" s="5072"/>
      <c r="AL1434" s="5072"/>
      <c r="AM1434" s="5072"/>
      <c r="AN1434" s="5072"/>
      <c r="AO1434" s="5072"/>
      <c r="AP1434" s="5072"/>
      <c r="AQ1434" s="5072"/>
      <c r="AR1434" s="5072"/>
      <c r="AS1434" s="5072"/>
      <c r="AT1434" s="5072"/>
      <c r="AU1434" s="4295"/>
      <c r="AV1434" s="4295"/>
      <c r="AW1434" s="4295"/>
      <c r="AX1434" s="4295"/>
      <c r="AY1434" s="4295"/>
      <c r="AZ1434" s="4295"/>
      <c r="BA1434" s="4295"/>
      <c r="BB1434" s="4295"/>
      <c r="BC1434" s="4295"/>
      <c r="BD1434" s="4295"/>
      <c r="BE1434" s="4295"/>
      <c r="BF1434" s="4295"/>
      <c r="BG1434" s="4295"/>
      <c r="BH1434" s="4295"/>
      <c r="BI1434" s="4295"/>
      <c r="BJ1434" s="4295"/>
      <c r="BK1434" s="4295"/>
      <c r="BL1434" s="4295"/>
      <c r="BM1434" s="4295"/>
      <c r="BN1434" s="4295"/>
      <c r="BO1434" s="4295"/>
      <c r="BP1434" s="4295"/>
      <c r="BQ1434" s="4295"/>
      <c r="BR1434" s="4295"/>
      <c r="BS1434" s="4295"/>
      <c r="BT1434" s="4295"/>
      <c r="BU1434" s="4295"/>
      <c r="BV1434" s="4295"/>
      <c r="BW1434" s="4295"/>
      <c r="BX1434" s="4295"/>
      <c r="BY1434" s="4295"/>
      <c r="BZ1434" s="4295"/>
      <c r="CA1434" s="4295"/>
      <c r="CB1434" s="4295"/>
      <c r="CC1434" s="4295"/>
      <c r="CD1434" s="4295"/>
      <c r="CE1434" s="4295"/>
      <c r="CF1434" s="4295"/>
      <c r="CG1434" s="4295"/>
      <c r="CH1434" s="4295"/>
      <c r="CI1434" s="4295"/>
      <c r="CJ1434" s="4295"/>
      <c r="CK1434" s="4295"/>
      <c r="CL1434" s="4295"/>
      <c r="CM1434" s="4295"/>
      <c r="CN1434" s="4295"/>
      <c r="CO1434" s="4295"/>
      <c r="CP1434" s="4295"/>
      <c r="CQ1434" s="4295"/>
      <c r="CR1434" s="4295"/>
      <c r="CS1434" s="4295"/>
      <c r="CT1434" s="4295"/>
      <c r="CU1434" s="4295"/>
      <c r="CV1434" s="4295"/>
      <c r="CW1434" s="4295"/>
      <c r="CX1434" s="4295"/>
      <c r="CY1434" s="4295"/>
      <c r="CZ1434" s="4295"/>
      <c r="DA1434" s="4295"/>
      <c r="DB1434" s="4295"/>
      <c r="DC1434" s="4295"/>
      <c r="DD1434" s="4295"/>
      <c r="DE1434" s="4295"/>
      <c r="DF1434" s="4295"/>
      <c r="DG1434" s="4295"/>
      <c r="DH1434" s="4295"/>
      <c r="DI1434" s="4295"/>
      <c r="DJ1434" s="4295"/>
      <c r="DK1434" s="4295"/>
      <c r="DL1434" s="4295"/>
      <c r="DM1434" s="4295"/>
      <c r="DN1434" s="4295"/>
      <c r="DO1434" s="4295"/>
      <c r="DP1434" s="4295"/>
      <c r="DQ1434" s="4295"/>
      <c r="DR1434" s="4295"/>
      <c r="DS1434" s="4295"/>
    </row>
    <row r="1435" s="4133" customFormat="1" ht="18.75" customHeight="1" spans="1:123">
      <c r="A1435" s="5072"/>
      <c r="B1435" s="5072"/>
      <c r="C1435" s="5072"/>
      <c r="D1435" s="5072"/>
      <c r="E1435" s="5072"/>
      <c r="F1435" s="5072"/>
      <c r="G1435" s="5072"/>
      <c r="H1435" s="5072"/>
      <c r="I1435" s="5072"/>
      <c r="J1435" s="5072"/>
      <c r="K1435" s="5072"/>
      <c r="L1435" s="5072"/>
      <c r="M1435" s="5072"/>
      <c r="N1435" s="5072"/>
      <c r="O1435" s="5072"/>
      <c r="P1435" s="5072"/>
      <c r="Q1435" s="5072"/>
      <c r="R1435" s="5072"/>
      <c r="S1435" s="5072"/>
      <c r="T1435" s="5072"/>
      <c r="U1435" s="5072"/>
      <c r="V1435" s="5072"/>
      <c r="W1435" s="5072"/>
      <c r="X1435" s="5072"/>
      <c r="Y1435" s="5072"/>
      <c r="Z1435" s="5072"/>
      <c r="AA1435" s="5072"/>
      <c r="AB1435" s="5072"/>
      <c r="AC1435" s="5072"/>
      <c r="AD1435" s="5072"/>
      <c r="AE1435" s="5072"/>
      <c r="AF1435" s="5072"/>
      <c r="AG1435" s="5072"/>
      <c r="AH1435" s="5072"/>
      <c r="AI1435" s="5072"/>
      <c r="AJ1435" s="5072"/>
      <c r="AK1435" s="5072"/>
      <c r="AL1435" s="5072"/>
      <c r="AM1435" s="5072"/>
      <c r="AN1435" s="5072"/>
      <c r="AO1435" s="5072"/>
      <c r="AP1435" s="5072"/>
      <c r="AQ1435" s="5072"/>
      <c r="AR1435" s="5072"/>
      <c r="AS1435" s="5072"/>
      <c r="AT1435" s="5072"/>
      <c r="AU1435" s="4295"/>
      <c r="AV1435" s="4295"/>
      <c r="AW1435" s="4295"/>
      <c r="AX1435" s="4295"/>
      <c r="AY1435" s="4295"/>
      <c r="AZ1435" s="4295"/>
      <c r="BA1435" s="4295"/>
      <c r="BB1435" s="4295"/>
      <c r="BC1435" s="4295"/>
      <c r="BD1435" s="4295"/>
      <c r="BE1435" s="4295"/>
      <c r="BF1435" s="4295"/>
      <c r="BG1435" s="4295"/>
      <c r="BH1435" s="4295"/>
      <c r="BI1435" s="4295"/>
      <c r="BJ1435" s="4295"/>
      <c r="BK1435" s="4295"/>
      <c r="BL1435" s="4295"/>
      <c r="BM1435" s="4295"/>
      <c r="BN1435" s="4295"/>
      <c r="BO1435" s="4295"/>
      <c r="BP1435" s="4295"/>
      <c r="BQ1435" s="4295"/>
      <c r="BR1435" s="4295"/>
      <c r="BS1435" s="4295"/>
      <c r="BT1435" s="4295"/>
      <c r="BU1435" s="4295"/>
      <c r="BV1435" s="4295"/>
      <c r="BW1435" s="4295"/>
      <c r="BX1435" s="4295"/>
      <c r="BY1435" s="4295"/>
      <c r="BZ1435" s="4295"/>
      <c r="CA1435" s="4295"/>
      <c r="CB1435" s="4295"/>
      <c r="CC1435" s="4295"/>
      <c r="CD1435" s="4295"/>
      <c r="CE1435" s="4295"/>
      <c r="CF1435" s="4295"/>
      <c r="CG1435" s="4295"/>
      <c r="CH1435" s="4295"/>
      <c r="CI1435" s="4295"/>
      <c r="CJ1435" s="4295"/>
      <c r="CK1435" s="4295"/>
      <c r="CL1435" s="4295"/>
      <c r="CM1435" s="4295"/>
      <c r="CN1435" s="4295"/>
      <c r="CO1435" s="4295"/>
      <c r="CP1435" s="4295"/>
      <c r="CQ1435" s="4295"/>
      <c r="CR1435" s="4295"/>
      <c r="CS1435" s="4295"/>
      <c r="CT1435" s="4295"/>
      <c r="CU1435" s="4295"/>
      <c r="CV1435" s="4295"/>
      <c r="CW1435" s="4295"/>
      <c r="CX1435" s="4295"/>
      <c r="CY1435" s="4295"/>
      <c r="CZ1435" s="4295"/>
      <c r="DA1435" s="4295"/>
      <c r="DB1435" s="4295"/>
      <c r="DC1435" s="4295"/>
      <c r="DD1435" s="4295"/>
      <c r="DE1435" s="4295"/>
      <c r="DF1435" s="4295"/>
      <c r="DG1435" s="4295"/>
      <c r="DH1435" s="4295"/>
      <c r="DI1435" s="4295"/>
      <c r="DJ1435" s="4295"/>
      <c r="DK1435" s="4295"/>
      <c r="DL1435" s="4295"/>
      <c r="DM1435" s="4295"/>
      <c r="DN1435" s="4295"/>
      <c r="DO1435" s="4295"/>
      <c r="DP1435" s="4295"/>
      <c r="DQ1435" s="4295"/>
      <c r="DR1435" s="4295"/>
      <c r="DS1435" s="4295"/>
    </row>
    <row r="1436" s="4133" customFormat="1" ht="18.75" customHeight="1" spans="1:123">
      <c r="A1436" s="5072" t="str">
        <f>Analiza!A182</f>
        <v>U odnosu na isti period prethodne godine, ovaj rashod ima POVEĆANJE za 22.237 KM ili 115,8 %.</v>
      </c>
      <c r="B1436" s="5072"/>
      <c r="C1436" s="5072"/>
      <c r="D1436" s="5072"/>
      <c r="E1436" s="5072"/>
      <c r="F1436" s="5072"/>
      <c r="G1436" s="5072"/>
      <c r="H1436" s="5072"/>
      <c r="I1436" s="5072"/>
      <c r="J1436" s="5072"/>
      <c r="K1436" s="5072"/>
      <c r="L1436" s="5072"/>
      <c r="M1436" s="5072"/>
      <c r="N1436" s="5072"/>
      <c r="O1436" s="5072"/>
      <c r="P1436" s="5072"/>
      <c r="Q1436" s="5072"/>
      <c r="R1436" s="5072"/>
      <c r="S1436" s="5072"/>
      <c r="T1436" s="5072"/>
      <c r="U1436" s="5072"/>
      <c r="V1436" s="5072"/>
      <c r="W1436" s="5072"/>
      <c r="X1436" s="5072"/>
      <c r="Y1436" s="5072"/>
      <c r="Z1436" s="5072"/>
      <c r="AA1436" s="5072"/>
      <c r="AB1436" s="5072"/>
      <c r="AC1436" s="5072"/>
      <c r="AD1436" s="5072"/>
      <c r="AE1436" s="5072"/>
      <c r="AF1436" s="5072"/>
      <c r="AG1436" s="5072"/>
      <c r="AH1436" s="5072"/>
      <c r="AI1436" s="5072"/>
      <c r="AJ1436" s="5072"/>
      <c r="AK1436" s="5072"/>
      <c r="AL1436" s="5072"/>
      <c r="AM1436" s="5072"/>
      <c r="AN1436" s="5072"/>
      <c r="AO1436" s="5072"/>
      <c r="AP1436" s="5072"/>
      <c r="AQ1436" s="5072"/>
      <c r="AR1436" s="5072"/>
      <c r="AS1436" s="5072"/>
      <c r="AT1436" s="5072"/>
      <c r="AU1436" s="4295"/>
      <c r="AV1436" s="4295"/>
      <c r="AW1436" s="4295"/>
      <c r="AX1436" s="4295"/>
      <c r="AY1436" s="4295"/>
      <c r="AZ1436" s="4295"/>
      <c r="BA1436" s="4295"/>
      <c r="BB1436" s="4295"/>
      <c r="BC1436" s="4295"/>
      <c r="BD1436" s="4295"/>
      <c r="BE1436" s="4295"/>
      <c r="BF1436" s="4295"/>
      <c r="BG1436" s="4295"/>
      <c r="BH1436" s="4295"/>
      <c r="BI1436" s="4295"/>
      <c r="BJ1436" s="4295"/>
      <c r="BK1436" s="4295"/>
      <c r="BL1436" s="4295"/>
      <c r="BM1436" s="4295"/>
      <c r="BN1436" s="4295"/>
      <c r="BO1436" s="4295"/>
      <c r="BP1436" s="4295"/>
      <c r="BQ1436" s="4295"/>
      <c r="BR1436" s="4295"/>
      <c r="BS1436" s="4295"/>
      <c r="BT1436" s="4295"/>
      <c r="BU1436" s="4295"/>
      <c r="BV1436" s="4295"/>
      <c r="BW1436" s="4295"/>
      <c r="BX1436" s="4295"/>
      <c r="BY1436" s="4295"/>
      <c r="BZ1436" s="4295"/>
      <c r="CA1436" s="4295"/>
      <c r="CB1436" s="4295"/>
      <c r="CC1436" s="4295"/>
      <c r="CD1436" s="4295"/>
      <c r="CE1436" s="4295"/>
      <c r="CF1436" s="4295"/>
      <c r="CG1436" s="4295"/>
      <c r="CH1436" s="4295"/>
      <c r="CI1436" s="4295"/>
      <c r="CJ1436" s="4295"/>
      <c r="CK1436" s="4295"/>
      <c r="CL1436" s="4295"/>
      <c r="CM1436" s="4295"/>
      <c r="CN1436" s="4295"/>
      <c r="CO1436" s="4295"/>
      <c r="CP1436" s="4295"/>
      <c r="CQ1436" s="4295"/>
      <c r="CR1436" s="4295"/>
      <c r="CS1436" s="4295"/>
      <c r="CT1436" s="4295"/>
      <c r="CU1436" s="4295"/>
      <c r="CV1436" s="4295"/>
      <c r="CW1436" s="4295"/>
      <c r="CX1436" s="4295"/>
      <c r="CY1436" s="4295"/>
      <c r="CZ1436" s="4295"/>
      <c r="DA1436" s="4295"/>
      <c r="DB1436" s="4295"/>
      <c r="DC1436" s="4295"/>
      <c r="DD1436" s="4295"/>
      <c r="DE1436" s="4295"/>
      <c r="DF1436" s="4295"/>
      <c r="DG1436" s="4295"/>
      <c r="DH1436" s="4295"/>
      <c r="DI1436" s="4295"/>
      <c r="DJ1436" s="4295"/>
      <c r="DK1436" s="4295"/>
      <c r="DL1436" s="4295"/>
      <c r="DM1436" s="4295"/>
      <c r="DN1436" s="4295"/>
      <c r="DO1436" s="4295"/>
      <c r="DP1436" s="4295"/>
      <c r="DQ1436" s="4295"/>
      <c r="DR1436" s="4295"/>
      <c r="DS1436" s="4295"/>
    </row>
    <row r="1437" s="4133" customFormat="1" ht="18.75" customHeight="1" spans="1:123">
      <c r="A1437" s="5070" t="str">
        <f>IF(Baza!I63=0,"-",Baza!I63)</f>
        <v>-</v>
      </c>
      <c r="B1437" s="5070"/>
      <c r="C1437" s="5070"/>
      <c r="D1437" s="5070"/>
      <c r="E1437" s="5070"/>
      <c r="F1437" s="5070"/>
      <c r="G1437" s="5070"/>
      <c r="H1437" s="5070"/>
      <c r="I1437" s="5070"/>
      <c r="J1437" s="5070"/>
      <c r="K1437" s="5070"/>
      <c r="L1437" s="5070"/>
      <c r="M1437" s="5070"/>
      <c r="N1437" s="5070"/>
      <c r="O1437" s="5070"/>
      <c r="P1437" s="5070"/>
      <c r="Q1437" s="5070"/>
      <c r="R1437" s="5070"/>
      <c r="S1437" s="5070"/>
      <c r="T1437" s="5070"/>
      <c r="U1437" s="5070"/>
      <c r="V1437" s="5070"/>
      <c r="W1437" s="5070"/>
      <c r="X1437" s="5070"/>
      <c r="Y1437" s="5070"/>
      <c r="Z1437" s="5070"/>
      <c r="AA1437" s="5070"/>
      <c r="AB1437" s="5070"/>
      <c r="AC1437" s="5070"/>
      <c r="AD1437" s="5070"/>
      <c r="AE1437" s="5070"/>
      <c r="AF1437" s="5070"/>
      <c r="AG1437" s="5070"/>
      <c r="AH1437" s="5070"/>
      <c r="AI1437" s="5070"/>
      <c r="AJ1437" s="5070"/>
      <c r="AK1437" s="5070"/>
      <c r="AL1437" s="5070"/>
      <c r="AM1437" s="5070"/>
      <c r="AN1437" s="5070"/>
      <c r="AO1437" s="5070"/>
      <c r="AP1437" s="5070"/>
      <c r="AQ1437" s="5070"/>
      <c r="AR1437" s="5070"/>
      <c r="AS1437" s="5070"/>
      <c r="AT1437" s="5070"/>
      <c r="AU1437" s="4295"/>
      <c r="AV1437" s="4295"/>
      <c r="AW1437" s="4295"/>
      <c r="AX1437" s="4295"/>
      <c r="AY1437" s="4295"/>
      <c r="AZ1437" s="4295"/>
      <c r="BA1437" s="4295"/>
      <c r="BB1437" s="4295"/>
      <c r="BC1437" s="4295"/>
      <c r="BD1437" s="4295"/>
      <c r="BE1437" s="4295"/>
      <c r="BF1437" s="4295"/>
      <c r="BG1437" s="4295"/>
      <c r="BH1437" s="4295"/>
      <c r="BI1437" s="4295"/>
      <c r="BJ1437" s="4295"/>
      <c r="BK1437" s="4295"/>
      <c r="BL1437" s="4295"/>
      <c r="BM1437" s="4295"/>
      <c r="BN1437" s="4295"/>
      <c r="BO1437" s="4295"/>
      <c r="BP1437" s="4295"/>
      <c r="BQ1437" s="4295"/>
      <c r="BR1437" s="4295"/>
      <c r="BS1437" s="4295"/>
      <c r="BT1437" s="4295"/>
      <c r="BU1437" s="4295"/>
      <c r="BV1437" s="4295"/>
      <c r="BW1437" s="4295"/>
      <c r="BX1437" s="4295"/>
      <c r="BY1437" s="4295"/>
      <c r="BZ1437" s="4295"/>
      <c r="CA1437" s="4295"/>
      <c r="CB1437" s="4295"/>
      <c r="CC1437" s="4295"/>
      <c r="CD1437" s="4295"/>
      <c r="CE1437" s="4295"/>
      <c r="CF1437" s="4295"/>
      <c r="CG1437" s="4295"/>
      <c r="CH1437" s="4295"/>
      <c r="CI1437" s="4295"/>
      <c r="CJ1437" s="4295"/>
      <c r="CK1437" s="4295"/>
      <c r="CL1437" s="4295"/>
      <c r="CM1437" s="4295"/>
      <c r="CN1437" s="4295"/>
      <c r="CO1437" s="4295"/>
      <c r="CP1437" s="4295"/>
      <c r="CQ1437" s="4295"/>
      <c r="CR1437" s="4295"/>
      <c r="CS1437" s="4295"/>
      <c r="CT1437" s="4295"/>
      <c r="CU1437" s="4295"/>
      <c r="CV1437" s="4295"/>
      <c r="CW1437" s="4295"/>
      <c r="CX1437" s="4295"/>
      <c r="CY1437" s="4295"/>
      <c r="CZ1437" s="4295"/>
      <c r="DA1437" s="4295"/>
      <c r="DB1437" s="4295"/>
      <c r="DC1437" s="4295"/>
      <c r="DD1437" s="4295"/>
      <c r="DE1437" s="4295"/>
      <c r="DF1437" s="4295"/>
      <c r="DG1437" s="4295"/>
      <c r="DH1437" s="4295"/>
      <c r="DI1437" s="4295"/>
      <c r="DJ1437" s="4295"/>
      <c r="DK1437" s="4295"/>
      <c r="DL1437" s="4295"/>
      <c r="DM1437" s="4295"/>
      <c r="DN1437" s="4295"/>
      <c r="DO1437" s="4295"/>
      <c r="DP1437" s="4295"/>
      <c r="DQ1437" s="4295"/>
      <c r="DR1437" s="4295"/>
      <c r="DS1437" s="4295"/>
    </row>
    <row r="1438" s="4133" customFormat="1" ht="18.75" customHeight="1" spans="1:123">
      <c r="A1438" s="5071"/>
      <c r="B1438" s="5071"/>
      <c r="C1438" s="5071"/>
      <c r="D1438" s="5071"/>
      <c r="E1438" s="5071"/>
      <c r="F1438" s="5071"/>
      <c r="G1438" s="5071"/>
      <c r="H1438" s="5071"/>
      <c r="I1438" s="5071"/>
      <c r="J1438" s="5071"/>
      <c r="K1438" s="5071"/>
      <c r="L1438" s="5071"/>
      <c r="M1438" s="5071"/>
      <c r="N1438" s="5071"/>
      <c r="O1438" s="5071"/>
      <c r="P1438" s="5071"/>
      <c r="Q1438" s="5071"/>
      <c r="R1438" s="5071"/>
      <c r="S1438" s="5071"/>
      <c r="T1438" s="5071"/>
      <c r="U1438" s="5071"/>
      <c r="V1438" s="5071"/>
      <c r="W1438" s="5071"/>
      <c r="X1438" s="5071"/>
      <c r="Y1438" s="5071"/>
      <c r="Z1438" s="5071"/>
      <c r="AA1438" s="5071"/>
      <c r="AB1438" s="5071"/>
      <c r="AC1438" s="5071"/>
      <c r="AD1438" s="5071"/>
      <c r="AE1438" s="5071"/>
      <c r="AF1438" s="5071"/>
      <c r="AG1438" s="5071"/>
      <c r="AH1438" s="5071"/>
      <c r="AI1438" s="5071"/>
      <c r="AJ1438" s="5071"/>
      <c r="AK1438" s="5071"/>
      <c r="AL1438" s="5071"/>
      <c r="AM1438" s="5071"/>
      <c r="AN1438" s="5071"/>
      <c r="AO1438" s="5071"/>
      <c r="AP1438" s="5071"/>
      <c r="AQ1438" s="5071"/>
      <c r="AR1438" s="5071"/>
      <c r="AS1438" s="5071"/>
      <c r="AT1438" s="5071"/>
      <c r="AU1438" s="4295"/>
      <c r="AV1438" s="4295"/>
      <c r="AW1438" s="4295"/>
      <c r="AX1438" s="4295"/>
      <c r="AY1438" s="4295"/>
      <c r="AZ1438" s="4295"/>
      <c r="BA1438" s="4295"/>
      <c r="BB1438" s="4295"/>
      <c r="BC1438" s="4295"/>
      <c r="BD1438" s="4295"/>
      <c r="BE1438" s="4295"/>
      <c r="BF1438" s="4295"/>
      <c r="BG1438" s="4295"/>
      <c r="BH1438" s="4295"/>
      <c r="BI1438" s="4295"/>
      <c r="BJ1438" s="4295"/>
      <c r="BK1438" s="4295"/>
      <c r="BL1438" s="4295"/>
      <c r="BM1438" s="4295"/>
      <c r="BN1438" s="4295"/>
      <c r="BO1438" s="4295"/>
      <c r="BP1438" s="4295"/>
      <c r="BQ1438" s="4295"/>
      <c r="BR1438" s="4295"/>
      <c r="BS1438" s="4295"/>
      <c r="BT1438" s="4295"/>
      <c r="BU1438" s="4295"/>
      <c r="BV1438" s="4295"/>
      <c r="BW1438" s="4295"/>
      <c r="BX1438" s="4295"/>
      <c r="BY1438" s="4295"/>
      <c r="BZ1438" s="4295"/>
      <c r="CA1438" s="4295"/>
      <c r="CB1438" s="4295"/>
      <c r="CC1438" s="4295"/>
      <c r="CD1438" s="4295"/>
      <c r="CE1438" s="4295"/>
      <c r="CF1438" s="4295"/>
      <c r="CG1438" s="4295"/>
      <c r="CH1438" s="4295"/>
      <c r="CI1438" s="4295"/>
      <c r="CJ1438" s="4295"/>
      <c r="CK1438" s="4295"/>
      <c r="CL1438" s="4295"/>
      <c r="CM1438" s="4295"/>
      <c r="CN1438" s="4295"/>
      <c r="CO1438" s="4295"/>
      <c r="CP1438" s="4295"/>
      <c r="CQ1438" s="4295"/>
      <c r="CR1438" s="4295"/>
      <c r="CS1438" s="4295"/>
      <c r="CT1438" s="4295"/>
      <c r="CU1438" s="4295"/>
      <c r="CV1438" s="4295"/>
      <c r="CW1438" s="4295"/>
      <c r="CX1438" s="4295"/>
      <c r="CY1438" s="4295"/>
      <c r="CZ1438" s="4295"/>
      <c r="DA1438" s="4295"/>
      <c r="DB1438" s="4295"/>
      <c r="DC1438" s="4295"/>
      <c r="DD1438" s="4295"/>
      <c r="DE1438" s="4295"/>
      <c r="DF1438" s="4295"/>
      <c r="DG1438" s="4295"/>
      <c r="DH1438" s="4295"/>
      <c r="DI1438" s="4295"/>
      <c r="DJ1438" s="4295"/>
      <c r="DK1438" s="4295"/>
      <c r="DL1438" s="4295"/>
      <c r="DM1438" s="4295"/>
      <c r="DN1438" s="4295"/>
      <c r="DO1438" s="4295"/>
      <c r="DP1438" s="4295"/>
      <c r="DQ1438" s="4295"/>
      <c r="DR1438" s="4295"/>
      <c r="DS1438" s="4295"/>
    </row>
    <row r="1439" s="4133" customFormat="1" ht="18.75" customHeight="1" spans="1:123">
      <c r="A1439" s="5071"/>
      <c r="B1439" s="5071"/>
      <c r="C1439" s="5071"/>
      <c r="D1439" s="5071"/>
      <c r="E1439" s="5071"/>
      <c r="F1439" s="5071"/>
      <c r="G1439" s="5071"/>
      <c r="H1439" s="5071"/>
      <c r="I1439" s="5071"/>
      <c r="J1439" s="5071"/>
      <c r="K1439" s="5071"/>
      <c r="L1439" s="5071"/>
      <c r="M1439" s="5071"/>
      <c r="N1439" s="5071"/>
      <c r="O1439" s="5071"/>
      <c r="P1439" s="5071"/>
      <c r="Q1439" s="5071"/>
      <c r="R1439" s="5071"/>
      <c r="S1439" s="5071"/>
      <c r="T1439" s="5071"/>
      <c r="U1439" s="5071"/>
      <c r="V1439" s="5071"/>
      <c r="W1439" s="5071"/>
      <c r="X1439" s="5071"/>
      <c r="Y1439" s="5071"/>
      <c r="Z1439" s="5071"/>
      <c r="AA1439" s="5071"/>
      <c r="AB1439" s="5071"/>
      <c r="AC1439" s="5071"/>
      <c r="AD1439" s="5071"/>
      <c r="AE1439" s="5071"/>
      <c r="AF1439" s="5071"/>
      <c r="AG1439" s="5071"/>
      <c r="AH1439" s="5071"/>
      <c r="AI1439" s="5071"/>
      <c r="AJ1439" s="5071"/>
      <c r="AK1439" s="5071"/>
      <c r="AL1439" s="5071"/>
      <c r="AM1439" s="5071"/>
      <c r="AN1439" s="5071"/>
      <c r="AO1439" s="5071"/>
      <c r="AP1439" s="5071"/>
      <c r="AQ1439" s="5071"/>
      <c r="AR1439" s="5071"/>
      <c r="AS1439" s="5071"/>
      <c r="AT1439" s="5071"/>
      <c r="AU1439" s="4295"/>
      <c r="AV1439" s="4295"/>
      <c r="AW1439" s="4295"/>
      <c r="AX1439" s="4295"/>
      <c r="AY1439" s="4295"/>
      <c r="AZ1439" s="4295"/>
      <c r="BA1439" s="4295"/>
      <c r="BB1439" s="4295"/>
      <c r="BC1439" s="4295"/>
      <c r="BD1439" s="4295"/>
      <c r="BE1439" s="4295"/>
      <c r="BF1439" s="4295"/>
      <c r="BG1439" s="4295"/>
      <c r="BH1439" s="4295"/>
      <c r="BI1439" s="4295"/>
      <c r="BJ1439" s="4295"/>
      <c r="BK1439" s="4295"/>
      <c r="BL1439" s="4295"/>
      <c r="BM1439" s="4295"/>
      <c r="BN1439" s="4295"/>
      <c r="BO1439" s="4295"/>
      <c r="BP1439" s="4295"/>
      <c r="BQ1439" s="4295"/>
      <c r="BR1439" s="4295"/>
      <c r="BS1439" s="4295"/>
      <c r="BT1439" s="4295"/>
      <c r="BU1439" s="4295"/>
      <c r="BV1439" s="4295"/>
      <c r="BW1439" s="4295"/>
      <c r="BX1439" s="4295"/>
      <c r="BY1439" s="4295"/>
      <c r="BZ1439" s="4295"/>
      <c r="CA1439" s="4295"/>
      <c r="CB1439" s="4295"/>
      <c r="CC1439" s="4295"/>
      <c r="CD1439" s="4295"/>
      <c r="CE1439" s="4295"/>
      <c r="CF1439" s="4295"/>
      <c r="CG1439" s="4295"/>
      <c r="CH1439" s="4295"/>
      <c r="CI1439" s="4295"/>
      <c r="CJ1439" s="4295"/>
      <c r="CK1439" s="4295"/>
      <c r="CL1439" s="4295"/>
      <c r="CM1439" s="4295"/>
      <c r="CN1439" s="4295"/>
      <c r="CO1439" s="4295"/>
      <c r="CP1439" s="4295"/>
      <c r="CQ1439" s="4295"/>
      <c r="CR1439" s="4295"/>
      <c r="CS1439" s="4295"/>
      <c r="CT1439" s="4295"/>
      <c r="CU1439" s="4295"/>
      <c r="CV1439" s="4295"/>
      <c r="CW1439" s="4295"/>
      <c r="CX1439" s="4295"/>
      <c r="CY1439" s="4295"/>
      <c r="CZ1439" s="4295"/>
      <c r="DA1439" s="4295"/>
      <c r="DB1439" s="4295"/>
      <c r="DC1439" s="4295"/>
      <c r="DD1439" s="4295"/>
      <c r="DE1439" s="4295"/>
      <c r="DF1439" s="4295"/>
      <c r="DG1439" s="4295"/>
      <c r="DH1439" s="4295"/>
      <c r="DI1439" s="4295"/>
      <c r="DJ1439" s="4295"/>
      <c r="DK1439" s="4295"/>
      <c r="DL1439" s="4295"/>
      <c r="DM1439" s="4295"/>
      <c r="DN1439" s="4295"/>
      <c r="DO1439" s="4295"/>
      <c r="DP1439" s="4295"/>
      <c r="DQ1439" s="4295"/>
      <c r="DR1439" s="4295"/>
      <c r="DS1439" s="4295"/>
    </row>
    <row r="1440" s="4133" customFormat="1" ht="18.75" customHeight="1" spans="1:123">
      <c r="A1440" s="5071"/>
      <c r="B1440" s="5071"/>
      <c r="C1440" s="5071"/>
      <c r="D1440" s="5071"/>
      <c r="E1440" s="5071"/>
      <c r="F1440" s="5071"/>
      <c r="G1440" s="5071"/>
      <c r="H1440" s="5071"/>
      <c r="I1440" s="5071"/>
      <c r="J1440" s="5071"/>
      <c r="K1440" s="5071"/>
      <c r="L1440" s="5071"/>
      <c r="M1440" s="5071"/>
      <c r="N1440" s="5071"/>
      <c r="O1440" s="5071"/>
      <c r="P1440" s="5071"/>
      <c r="Q1440" s="5071"/>
      <c r="R1440" s="5071"/>
      <c r="S1440" s="5071"/>
      <c r="T1440" s="5071"/>
      <c r="U1440" s="5071"/>
      <c r="V1440" s="5071"/>
      <c r="W1440" s="5071"/>
      <c r="X1440" s="5071"/>
      <c r="Y1440" s="5071"/>
      <c r="Z1440" s="5071"/>
      <c r="AA1440" s="5071"/>
      <c r="AB1440" s="5071"/>
      <c r="AC1440" s="5071"/>
      <c r="AD1440" s="5071"/>
      <c r="AE1440" s="5071"/>
      <c r="AF1440" s="5071"/>
      <c r="AG1440" s="5071"/>
      <c r="AH1440" s="5071"/>
      <c r="AI1440" s="5071"/>
      <c r="AJ1440" s="5071"/>
      <c r="AK1440" s="5071"/>
      <c r="AL1440" s="5071"/>
      <c r="AM1440" s="5071"/>
      <c r="AN1440" s="5071"/>
      <c r="AO1440" s="5071"/>
      <c r="AP1440" s="5071"/>
      <c r="AQ1440" s="5071"/>
      <c r="AR1440" s="5071"/>
      <c r="AS1440" s="5071"/>
      <c r="AT1440" s="5071"/>
      <c r="AU1440" s="4295"/>
      <c r="AV1440" s="4295"/>
      <c r="AW1440" s="4295"/>
      <c r="AX1440" s="4295"/>
      <c r="AY1440" s="4295"/>
      <c r="AZ1440" s="4295"/>
      <c r="BA1440" s="4295"/>
      <c r="BB1440" s="4295"/>
      <c r="BC1440" s="4295"/>
      <c r="BD1440" s="4295"/>
      <c r="BE1440" s="4295"/>
      <c r="BF1440" s="4295"/>
      <c r="BG1440" s="4295"/>
      <c r="BH1440" s="4295"/>
      <c r="BI1440" s="4295"/>
      <c r="BJ1440" s="4295"/>
      <c r="BK1440" s="4295"/>
      <c r="BL1440" s="4295"/>
      <c r="BM1440" s="4295"/>
      <c r="BN1440" s="4295"/>
      <c r="BO1440" s="4295"/>
      <c r="BP1440" s="4295"/>
      <c r="BQ1440" s="4295"/>
      <c r="BR1440" s="4295"/>
      <c r="BS1440" s="4295"/>
      <c r="BT1440" s="4295"/>
      <c r="BU1440" s="4295"/>
      <c r="BV1440" s="4295"/>
      <c r="BW1440" s="4295"/>
      <c r="BX1440" s="4295"/>
      <c r="BY1440" s="4295"/>
      <c r="BZ1440" s="4295"/>
      <c r="CA1440" s="4295"/>
      <c r="CB1440" s="4295"/>
      <c r="CC1440" s="4295"/>
      <c r="CD1440" s="4295"/>
      <c r="CE1440" s="4295"/>
      <c r="CF1440" s="4295"/>
      <c r="CG1440" s="4295"/>
      <c r="CH1440" s="4295"/>
      <c r="CI1440" s="4295"/>
      <c r="CJ1440" s="4295"/>
      <c r="CK1440" s="4295"/>
      <c r="CL1440" s="4295"/>
      <c r="CM1440" s="4295"/>
      <c r="CN1440" s="4295"/>
      <c r="CO1440" s="4295"/>
      <c r="CP1440" s="4295"/>
      <c r="CQ1440" s="4295"/>
      <c r="CR1440" s="4295"/>
      <c r="CS1440" s="4295"/>
      <c r="CT1440" s="4295"/>
      <c r="CU1440" s="4295"/>
      <c r="CV1440" s="4295"/>
      <c r="CW1440" s="4295"/>
      <c r="CX1440" s="4295"/>
      <c r="CY1440" s="4295"/>
      <c r="CZ1440" s="4295"/>
      <c r="DA1440" s="4295"/>
      <c r="DB1440" s="4295"/>
      <c r="DC1440" s="4295"/>
      <c r="DD1440" s="4295"/>
      <c r="DE1440" s="4295"/>
      <c r="DF1440" s="4295"/>
      <c r="DG1440" s="4295"/>
      <c r="DH1440" s="4295"/>
      <c r="DI1440" s="4295"/>
      <c r="DJ1440" s="4295"/>
      <c r="DK1440" s="4295"/>
      <c r="DL1440" s="4295"/>
      <c r="DM1440" s="4295"/>
      <c r="DN1440" s="4295"/>
      <c r="DO1440" s="4295"/>
      <c r="DP1440" s="4295"/>
      <c r="DQ1440" s="4295"/>
      <c r="DR1440" s="4295"/>
      <c r="DS1440" s="4295"/>
    </row>
    <row r="1441" s="4133" customFormat="1" ht="18" customHeight="1" spans="1:123">
      <c r="A1441" s="4772"/>
      <c r="B1441" s="4773"/>
      <c r="C1441" s="4295"/>
      <c r="D1441" s="4295"/>
      <c r="E1441" s="4295"/>
      <c r="F1441" s="4295"/>
      <c r="G1441" s="4295"/>
      <c r="H1441" s="4295"/>
      <c r="I1441" s="4295"/>
      <c r="J1441" s="4295"/>
      <c r="K1441" s="4295"/>
      <c r="L1441" s="4295"/>
      <c r="M1441" s="4295"/>
      <c r="N1441" s="4295"/>
      <c r="O1441" s="4295"/>
      <c r="P1441" s="4295"/>
      <c r="Q1441" s="4295"/>
      <c r="R1441" s="4295"/>
      <c r="S1441" s="4295"/>
      <c r="T1441" s="4295"/>
      <c r="U1441" s="4295"/>
      <c r="V1441" s="4295"/>
      <c r="W1441" s="4295"/>
      <c r="X1441" s="4295"/>
      <c r="Y1441" s="4295"/>
      <c r="Z1441" s="4295"/>
      <c r="AA1441" s="4295"/>
      <c r="AB1441" s="4295"/>
      <c r="AC1441" s="4295"/>
      <c r="AD1441" s="4295"/>
      <c r="AE1441" s="4295"/>
      <c r="AF1441" s="4295"/>
      <c r="AG1441" s="4295"/>
      <c r="AH1441" s="4295"/>
      <c r="AI1441" s="4295"/>
      <c r="AJ1441" s="4295"/>
      <c r="AK1441" s="4295"/>
      <c r="AL1441" s="4295"/>
      <c r="AM1441" s="4295"/>
      <c r="AN1441" s="4295"/>
      <c r="AO1441" s="4295"/>
      <c r="AP1441" s="4295"/>
      <c r="AQ1441" s="4295"/>
      <c r="AR1441" s="4295"/>
      <c r="AS1441" s="4295"/>
      <c r="AT1441" s="4295"/>
      <c r="AU1441" s="4295"/>
      <c r="AV1441" s="4295"/>
      <c r="AW1441" s="4295"/>
      <c r="AX1441" s="4295"/>
      <c r="AY1441" s="4295"/>
      <c r="AZ1441" s="4295"/>
      <c r="BA1441" s="4295"/>
      <c r="BB1441" s="4295"/>
      <c r="BC1441" s="4295"/>
      <c r="BD1441" s="4295"/>
      <c r="BE1441" s="4295"/>
      <c r="BF1441" s="4295"/>
      <c r="BG1441" s="4295"/>
      <c r="BH1441" s="4295"/>
      <c r="BI1441" s="4295"/>
      <c r="BJ1441" s="4295"/>
      <c r="BK1441" s="4295"/>
      <c r="BL1441" s="4295"/>
      <c r="BM1441" s="4295"/>
      <c r="BN1441" s="4295"/>
      <c r="BO1441" s="4295"/>
      <c r="BP1441" s="4295"/>
      <c r="BQ1441" s="4295"/>
      <c r="BR1441" s="4295"/>
      <c r="BS1441" s="4295"/>
      <c r="BT1441" s="4295"/>
      <c r="BU1441" s="4295"/>
      <c r="BV1441" s="4295"/>
      <c r="BW1441" s="4295"/>
      <c r="BX1441" s="4295"/>
      <c r="BY1441" s="4295"/>
      <c r="BZ1441" s="4295"/>
      <c r="CA1441" s="4295"/>
      <c r="CB1441" s="4295"/>
      <c r="CC1441" s="4295"/>
      <c r="CD1441" s="4295"/>
      <c r="CE1441" s="4295"/>
      <c r="CF1441" s="4295"/>
      <c r="CG1441" s="4295"/>
      <c r="CH1441" s="4295"/>
      <c r="CI1441" s="4295"/>
      <c r="CJ1441" s="4295"/>
      <c r="CK1441" s="4295"/>
      <c r="CL1441" s="4295"/>
      <c r="CM1441" s="4295"/>
      <c r="CN1441" s="4295"/>
      <c r="CO1441" s="4295"/>
      <c r="CP1441" s="4295"/>
      <c r="CQ1441" s="4295"/>
      <c r="CR1441" s="4295"/>
      <c r="CS1441" s="4295"/>
      <c r="CT1441" s="4295"/>
      <c r="CU1441" s="4295"/>
      <c r="CV1441" s="4295"/>
      <c r="CW1441" s="4295"/>
      <c r="CX1441" s="4295"/>
      <c r="CY1441" s="4295"/>
      <c r="CZ1441" s="4295"/>
      <c r="DA1441" s="4295"/>
      <c r="DB1441" s="4295"/>
      <c r="DC1441" s="4295"/>
      <c r="DD1441" s="4295"/>
      <c r="DE1441" s="4295"/>
      <c r="DF1441" s="4295"/>
      <c r="DG1441" s="4295"/>
      <c r="DH1441" s="4295"/>
      <c r="DI1441" s="4295"/>
      <c r="DJ1441" s="4295"/>
      <c r="DK1441" s="4295"/>
      <c r="DL1441" s="4295"/>
      <c r="DM1441" s="4295"/>
      <c r="DN1441" s="4295"/>
      <c r="DO1441" s="4295"/>
      <c r="DP1441" s="4295"/>
      <c r="DQ1441" s="4295"/>
      <c r="DR1441" s="4295"/>
      <c r="DS1441" s="4295"/>
    </row>
    <row r="1442" s="4133" customFormat="1" ht="21.75" customHeight="1" spans="1:123">
      <c r="A1442" s="5073" t="s">
        <v>5775</v>
      </c>
      <c r="B1442" s="5073"/>
      <c r="C1442" s="5074"/>
      <c r="D1442" s="5075"/>
      <c r="E1442" s="5075"/>
      <c r="F1442" s="5075"/>
      <c r="G1442" s="5075"/>
      <c r="H1442" s="5075"/>
      <c r="I1442" s="5075"/>
      <c r="J1442" s="5075"/>
      <c r="K1442" s="5075"/>
      <c r="L1442" s="5075"/>
      <c r="M1442" s="5075"/>
      <c r="N1442" s="5075"/>
      <c r="O1442" s="5076"/>
      <c r="P1442" s="5076"/>
      <c r="Q1442" s="5076"/>
      <c r="R1442" s="5076"/>
      <c r="S1442" s="5076"/>
      <c r="T1442" s="5076"/>
      <c r="U1442" s="5076"/>
      <c r="V1442" s="5076"/>
      <c r="W1442" s="5076"/>
      <c r="X1442" s="5076"/>
      <c r="Y1442" s="5076"/>
      <c r="Z1442" s="5076"/>
      <c r="AA1442" s="5076"/>
      <c r="AB1442" s="5076"/>
      <c r="AC1442" s="5076"/>
      <c r="AD1442" s="5076"/>
      <c r="AE1442" s="5076"/>
      <c r="AF1442" s="5076"/>
      <c r="AG1442" s="5076"/>
      <c r="AH1442" s="5076"/>
      <c r="AI1442" s="5076"/>
      <c r="AJ1442" s="5076"/>
      <c r="AK1442" s="5076"/>
      <c r="AL1442" s="5076"/>
      <c r="AM1442" s="5076"/>
      <c r="AN1442" s="5076"/>
      <c r="AO1442" s="5076"/>
      <c r="AP1442" s="5076"/>
      <c r="AQ1442" s="5076"/>
      <c r="AR1442" s="5076"/>
      <c r="AS1442" s="5076"/>
      <c r="AT1442" s="5076"/>
      <c r="AU1442" s="4295"/>
      <c r="AV1442" s="4295"/>
      <c r="AW1442" s="4295"/>
      <c r="AX1442" s="4295"/>
      <c r="AY1442" s="4295"/>
      <c r="AZ1442" s="4295"/>
      <c r="BA1442" s="4295"/>
      <c r="BB1442" s="4295"/>
      <c r="BC1442" s="4295"/>
      <c r="BD1442" s="4295"/>
      <c r="BE1442" s="4295"/>
      <c r="BF1442" s="4295"/>
      <c r="BG1442" s="4295"/>
      <c r="BH1442" s="4295"/>
      <c r="BI1442" s="4295"/>
      <c r="BJ1442" s="4295"/>
      <c r="BK1442" s="4295"/>
      <c r="BL1442" s="4295"/>
      <c r="BM1442" s="4295"/>
      <c r="BN1442" s="4295"/>
      <c r="BO1442" s="4295"/>
      <c r="BP1442" s="4295"/>
      <c r="BQ1442" s="4295"/>
      <c r="BR1442" s="4295"/>
      <c r="BS1442" s="4295"/>
      <c r="BT1442" s="4295"/>
      <c r="BU1442" s="4295"/>
      <c r="BV1442" s="4295"/>
      <c r="BW1442" s="4295"/>
      <c r="BX1442" s="4295"/>
      <c r="BY1442" s="4295"/>
      <c r="BZ1442" s="4295"/>
      <c r="CA1442" s="4295"/>
      <c r="CB1442" s="4295"/>
      <c r="CC1442" s="4295"/>
      <c r="CD1442" s="4295"/>
      <c r="CE1442" s="4295"/>
      <c r="CF1442" s="4295"/>
      <c r="CG1442" s="4295"/>
      <c r="CH1442" s="4295"/>
      <c r="CI1442" s="4295"/>
      <c r="CJ1442" s="4295"/>
      <c r="CK1442" s="4295"/>
      <c r="CL1442" s="4295"/>
      <c r="CM1442" s="4295"/>
      <c r="CN1442" s="4295"/>
      <c r="CO1442" s="4295"/>
      <c r="CP1442" s="4295"/>
      <c r="CQ1442" s="4295"/>
      <c r="CR1442" s="4295"/>
      <c r="CS1442" s="4295"/>
      <c r="CT1442" s="4295"/>
      <c r="CU1442" s="4295"/>
      <c r="CV1442" s="4295"/>
      <c r="CW1442" s="4295"/>
      <c r="CX1442" s="4295"/>
      <c r="CY1442" s="4295"/>
      <c r="CZ1442" s="4295"/>
      <c r="DA1442" s="4295"/>
      <c r="DB1442" s="4295"/>
      <c r="DC1442" s="4295"/>
      <c r="DD1442" s="4295"/>
      <c r="DE1442" s="4295"/>
      <c r="DF1442" s="4295"/>
      <c r="DG1442" s="4295"/>
      <c r="DH1442" s="4295"/>
      <c r="DI1442" s="4295"/>
      <c r="DJ1442" s="4295"/>
      <c r="DK1442" s="4295"/>
      <c r="DL1442" s="4295"/>
      <c r="DM1442" s="4295"/>
      <c r="DN1442" s="4295"/>
      <c r="DO1442" s="4295"/>
      <c r="DP1442" s="4295"/>
      <c r="DQ1442" s="4295"/>
      <c r="DR1442" s="4295"/>
      <c r="DS1442" s="4295"/>
    </row>
    <row r="1443" s="4133" customFormat="1" customHeight="1" spans="1:123">
      <c r="A1443" s="4772"/>
      <c r="B1443" s="4773"/>
      <c r="C1443" s="4295"/>
      <c r="D1443" s="4295"/>
      <c r="E1443" s="4295"/>
      <c r="F1443" s="4295"/>
      <c r="G1443" s="4295"/>
      <c r="H1443" s="4295"/>
      <c r="I1443" s="4295"/>
      <c r="J1443" s="4295"/>
      <c r="K1443" s="4295"/>
      <c r="L1443" s="4295"/>
      <c r="M1443" s="4295"/>
      <c r="N1443" s="4295"/>
      <c r="O1443" s="4295"/>
      <c r="P1443" s="4295"/>
      <c r="Q1443" s="4295"/>
      <c r="R1443" s="4295"/>
      <c r="S1443" s="4295"/>
      <c r="T1443" s="4295"/>
      <c r="U1443" s="4295"/>
      <c r="V1443" s="4295"/>
      <c r="W1443" s="4295"/>
      <c r="X1443" s="4295"/>
      <c r="Y1443" s="4295"/>
      <c r="Z1443" s="4295"/>
      <c r="AA1443" s="4295"/>
      <c r="AB1443" s="4295"/>
      <c r="AC1443" s="4295"/>
      <c r="AD1443" s="4295"/>
      <c r="AE1443" s="4295"/>
      <c r="AF1443" s="4295"/>
      <c r="AG1443" s="4295"/>
      <c r="AH1443" s="4295"/>
      <c r="AI1443" s="4295"/>
      <c r="AJ1443" s="4295"/>
      <c r="AK1443" s="4295"/>
      <c r="AL1443" s="4295"/>
      <c r="AM1443" s="4295"/>
      <c r="AN1443" s="4295"/>
      <c r="AO1443" s="4295"/>
      <c r="AP1443" s="4295"/>
      <c r="AQ1443" s="4295"/>
      <c r="AR1443" s="4295"/>
      <c r="AS1443" s="4295"/>
      <c r="AT1443" s="4295"/>
      <c r="AU1443" s="4295"/>
      <c r="AV1443" s="4295"/>
      <c r="AW1443" s="4295"/>
      <c r="AX1443" s="4295"/>
      <c r="AY1443" s="4295"/>
      <c r="AZ1443" s="4295"/>
      <c r="BA1443" s="4295"/>
      <c r="BB1443" s="4295"/>
      <c r="BC1443" s="4295"/>
      <c r="BD1443" s="4295"/>
      <c r="BE1443" s="4295"/>
      <c r="BF1443" s="4295"/>
      <c r="BG1443" s="4295"/>
      <c r="BH1443" s="4295"/>
      <c r="BI1443" s="4295"/>
      <c r="BJ1443" s="4295"/>
      <c r="BK1443" s="4295"/>
      <c r="BL1443" s="4295"/>
      <c r="BM1443" s="4295"/>
      <c r="BN1443" s="4295"/>
      <c r="BO1443" s="4295"/>
      <c r="BP1443" s="4295"/>
      <c r="BQ1443" s="4295"/>
      <c r="BR1443" s="4295"/>
      <c r="BS1443" s="4295"/>
      <c r="BT1443" s="4295"/>
      <c r="BU1443" s="4295"/>
      <c r="BV1443" s="4295"/>
      <c r="BW1443" s="4295"/>
      <c r="BX1443" s="4295"/>
      <c r="BY1443" s="4295"/>
      <c r="BZ1443" s="4295"/>
      <c r="CA1443" s="4295"/>
      <c r="CB1443" s="4295"/>
      <c r="CC1443" s="4295"/>
      <c r="CD1443" s="4295"/>
      <c r="CE1443" s="4295"/>
      <c r="CF1443" s="4295"/>
      <c r="CG1443" s="4295"/>
      <c r="CH1443" s="4295"/>
      <c r="CI1443" s="4295"/>
      <c r="CJ1443" s="4295"/>
      <c r="CK1443" s="4295"/>
      <c r="CL1443" s="4295"/>
      <c r="CM1443" s="4295"/>
      <c r="CN1443" s="4295"/>
      <c r="CO1443" s="4295"/>
      <c r="CP1443" s="4295"/>
      <c r="CQ1443" s="4295"/>
      <c r="CR1443" s="4295"/>
      <c r="CS1443" s="4295"/>
      <c r="CT1443" s="4295"/>
      <c r="CU1443" s="4295"/>
      <c r="CV1443" s="4295"/>
      <c r="CW1443" s="4295"/>
      <c r="CX1443" s="4295"/>
      <c r="CY1443" s="4295"/>
      <c r="CZ1443" s="4295"/>
      <c r="DA1443" s="4295"/>
      <c r="DB1443" s="4295"/>
      <c r="DC1443" s="4295"/>
      <c r="DD1443" s="4295"/>
      <c r="DE1443" s="4295"/>
      <c r="DF1443" s="4295"/>
      <c r="DG1443" s="4295"/>
      <c r="DH1443" s="4295"/>
      <c r="DI1443" s="4295"/>
      <c r="DJ1443" s="4295"/>
      <c r="DK1443" s="4295"/>
      <c r="DL1443" s="4295"/>
      <c r="DM1443" s="4295"/>
      <c r="DN1443" s="4295"/>
      <c r="DO1443" s="4295"/>
      <c r="DP1443" s="4295"/>
      <c r="DQ1443" s="4295"/>
      <c r="DR1443" s="4295"/>
      <c r="DS1443" s="4295"/>
    </row>
    <row r="1444" s="4133" customFormat="1" ht="16.5" customHeight="1" spans="1:123">
      <c r="A1444" s="4369" t="s">
        <v>5330</v>
      </c>
      <c r="B1444" s="4369"/>
      <c r="C1444" s="4295"/>
      <c r="D1444" s="4295"/>
      <c r="E1444" s="4295"/>
      <c r="F1444" s="4295"/>
      <c r="G1444" s="4295"/>
      <c r="H1444" s="4295"/>
      <c r="I1444" s="4295"/>
      <c r="J1444" s="4295"/>
      <c r="K1444" s="4295"/>
      <c r="L1444" s="4295"/>
      <c r="M1444" s="4295"/>
      <c r="N1444" s="4295"/>
      <c r="O1444" s="4295"/>
      <c r="P1444" s="4295"/>
      <c r="Q1444" s="4295"/>
      <c r="R1444" s="4295"/>
      <c r="S1444" s="4295"/>
      <c r="T1444" s="4295"/>
      <c r="U1444" s="4295"/>
      <c r="V1444" s="4295"/>
      <c r="W1444" s="4295"/>
      <c r="X1444" s="4295"/>
      <c r="Y1444" s="4295"/>
      <c r="Z1444" s="4295"/>
      <c r="AA1444" s="4295"/>
      <c r="AB1444" s="4295"/>
      <c r="AC1444" s="4295"/>
      <c r="AD1444" s="4295"/>
      <c r="AE1444" s="4295"/>
      <c r="AF1444" s="4295"/>
      <c r="AG1444" s="4295"/>
      <c r="AH1444" s="4295"/>
      <c r="AI1444" s="4295"/>
      <c r="AJ1444" s="4295"/>
      <c r="AK1444" s="4295"/>
      <c r="AL1444" s="4295"/>
      <c r="AM1444" s="4295"/>
      <c r="AN1444" s="4295"/>
      <c r="AO1444" s="4295"/>
      <c r="AP1444" s="4295"/>
      <c r="AQ1444" s="4295"/>
      <c r="AR1444" s="4295"/>
      <c r="AS1444" s="4295"/>
      <c r="AT1444" s="4295"/>
      <c r="AU1444" s="4295"/>
      <c r="AV1444" s="4295"/>
      <c r="AW1444" s="4295"/>
      <c r="AX1444" s="4295"/>
      <c r="AY1444" s="4295"/>
      <c r="AZ1444" s="4295"/>
      <c r="BA1444" s="4295"/>
      <c r="BB1444" s="4295"/>
      <c r="BC1444" s="4295"/>
      <c r="BD1444" s="4295"/>
      <c r="BE1444" s="4295"/>
      <c r="BF1444" s="4295"/>
      <c r="BG1444" s="4295"/>
      <c r="BH1444" s="4295"/>
      <c r="BI1444" s="4295"/>
      <c r="BJ1444" s="4295"/>
      <c r="BK1444" s="4295"/>
      <c r="BL1444" s="4295"/>
      <c r="BM1444" s="4295"/>
      <c r="BN1444" s="4295"/>
      <c r="BO1444" s="4295"/>
      <c r="BP1444" s="4295"/>
      <c r="BQ1444" s="4295"/>
      <c r="BR1444" s="4295"/>
      <c r="BS1444" s="4295"/>
      <c r="BT1444" s="4295"/>
      <c r="BU1444" s="4295"/>
      <c r="BV1444" s="4295"/>
      <c r="BW1444" s="4295"/>
      <c r="BX1444" s="4295"/>
      <c r="BY1444" s="4295"/>
      <c r="BZ1444" s="4295"/>
      <c r="CA1444" s="4295"/>
      <c r="CB1444" s="4295"/>
      <c r="CC1444" s="4295"/>
      <c r="CD1444" s="4295"/>
      <c r="CE1444" s="4295"/>
      <c r="CF1444" s="4295"/>
      <c r="CG1444" s="4295"/>
      <c r="CH1444" s="4295"/>
      <c r="CI1444" s="4295"/>
      <c r="CJ1444" s="4295"/>
      <c r="CK1444" s="4295"/>
      <c r="CL1444" s="4295"/>
      <c r="CM1444" s="4295"/>
      <c r="CN1444" s="4295"/>
      <c r="CO1444" s="4295"/>
      <c r="CP1444" s="4295"/>
      <c r="CQ1444" s="4295"/>
      <c r="CR1444" s="4295"/>
      <c r="CS1444" s="4295"/>
      <c r="CT1444" s="4295"/>
      <c r="CU1444" s="4295"/>
      <c r="CV1444" s="4295"/>
      <c r="CW1444" s="4295"/>
      <c r="CX1444" s="4295"/>
      <c r="CY1444" s="4295"/>
      <c r="CZ1444" s="4295"/>
      <c r="DA1444" s="4295"/>
      <c r="DB1444" s="4295"/>
      <c r="DC1444" s="4295"/>
      <c r="DD1444" s="4295"/>
      <c r="DE1444" s="4295"/>
      <c r="DF1444" s="4295"/>
      <c r="DG1444" s="4295"/>
      <c r="DH1444" s="4295"/>
      <c r="DI1444" s="4295"/>
      <c r="DJ1444" s="4295"/>
      <c r="DK1444" s="4295"/>
      <c r="DL1444" s="4295"/>
      <c r="DM1444" s="4295"/>
      <c r="DN1444" s="4295"/>
      <c r="DO1444" s="4295"/>
      <c r="DP1444" s="4295"/>
      <c r="DQ1444" s="4295"/>
      <c r="DR1444" s="4295"/>
      <c r="DS1444" s="4295"/>
    </row>
    <row r="1445" s="4133" customFormat="1" ht="16.5" customHeight="1" spans="1:123">
      <c r="A1445" s="5072" t="str">
        <f ca="1">Analiza!A284</f>
        <v>Nabavna vrijednost dugoročne imovine na dan 31.12.2025. godine, iznosi: 58.422 KM, ispravka vrijednosti je: 36.315 KM, što znači da je ova imovina  amortizovana (otpisana) sa 62,2%, odnosno NETO sadašnja vrijednost iznosi: 22.107 KM.</v>
      </c>
      <c r="B1445" s="5072"/>
      <c r="C1445" s="5072"/>
      <c r="D1445" s="5072"/>
      <c r="E1445" s="5072"/>
      <c r="F1445" s="5072"/>
      <c r="G1445" s="5072"/>
      <c r="H1445" s="5072"/>
      <c r="I1445" s="5072"/>
      <c r="J1445" s="5072"/>
      <c r="K1445" s="5072"/>
      <c r="L1445" s="5072"/>
      <c r="M1445" s="5072"/>
      <c r="N1445" s="5072"/>
      <c r="O1445" s="5072"/>
      <c r="P1445" s="5072"/>
      <c r="Q1445" s="5072"/>
      <c r="R1445" s="5072"/>
      <c r="S1445" s="5072"/>
      <c r="T1445" s="5072"/>
      <c r="U1445" s="5072"/>
      <c r="V1445" s="5072"/>
      <c r="W1445" s="5072"/>
      <c r="X1445" s="5072"/>
      <c r="Y1445" s="5072"/>
      <c r="Z1445" s="5072"/>
      <c r="AA1445" s="5072"/>
      <c r="AB1445" s="5072"/>
      <c r="AC1445" s="5072"/>
      <c r="AD1445" s="5072"/>
      <c r="AE1445" s="5072"/>
      <c r="AF1445" s="5072"/>
      <c r="AG1445" s="5072"/>
      <c r="AH1445" s="5072"/>
      <c r="AI1445" s="5072"/>
      <c r="AJ1445" s="5072"/>
      <c r="AK1445" s="5072"/>
      <c r="AL1445" s="5072"/>
      <c r="AM1445" s="5072"/>
      <c r="AN1445" s="5072"/>
      <c r="AO1445" s="5072"/>
      <c r="AP1445" s="5072"/>
      <c r="AQ1445" s="5072"/>
      <c r="AR1445" s="5072"/>
      <c r="AS1445" s="5072"/>
      <c r="AT1445" s="5072"/>
      <c r="AU1445" s="4295"/>
      <c r="AV1445" s="4295"/>
      <c r="AW1445" s="4295"/>
      <c r="AX1445" s="4295"/>
      <c r="AY1445" s="4295"/>
      <c r="AZ1445" s="4295"/>
      <c r="BA1445" s="4295"/>
      <c r="BB1445" s="4295"/>
      <c r="BC1445" s="4295"/>
      <c r="BD1445" s="4295"/>
      <c r="BE1445" s="4295"/>
      <c r="BF1445" s="4295"/>
      <c r="BG1445" s="4295"/>
      <c r="BH1445" s="4295"/>
      <c r="BI1445" s="4295"/>
      <c r="BJ1445" s="4295"/>
      <c r="BK1445" s="4295"/>
      <c r="BL1445" s="4295"/>
      <c r="BM1445" s="4295"/>
      <c r="BN1445" s="4295"/>
      <c r="BO1445" s="4295"/>
      <c r="BP1445" s="4295"/>
      <c r="BQ1445" s="4295"/>
      <c r="BR1445" s="4295"/>
      <c r="BS1445" s="4295"/>
      <c r="BT1445" s="4295"/>
      <c r="BU1445" s="4295"/>
      <c r="BV1445" s="4295"/>
      <c r="BW1445" s="4295"/>
      <c r="BX1445" s="4295"/>
      <c r="BY1445" s="4295"/>
      <c r="BZ1445" s="4295"/>
      <c r="CA1445" s="4295"/>
      <c r="CB1445" s="4295"/>
      <c r="CC1445" s="4295"/>
      <c r="CD1445" s="4295"/>
      <c r="CE1445" s="4295"/>
      <c r="CF1445" s="4295"/>
      <c r="CG1445" s="4295"/>
      <c r="CH1445" s="4295"/>
      <c r="CI1445" s="4295"/>
      <c r="CJ1445" s="4295"/>
      <c r="CK1445" s="4295"/>
      <c r="CL1445" s="4295"/>
      <c r="CM1445" s="4295"/>
      <c r="CN1445" s="4295"/>
      <c r="CO1445" s="4295"/>
      <c r="CP1445" s="4295"/>
      <c r="CQ1445" s="4295"/>
      <c r="CR1445" s="4295"/>
      <c r="CS1445" s="4295"/>
      <c r="CT1445" s="4295"/>
      <c r="CU1445" s="4295"/>
      <c r="CV1445" s="4295"/>
      <c r="CW1445" s="4295"/>
      <c r="CX1445" s="4295"/>
      <c r="CY1445" s="4295"/>
      <c r="CZ1445" s="4295"/>
      <c r="DA1445" s="4295"/>
      <c r="DB1445" s="4295"/>
      <c r="DC1445" s="4295"/>
      <c r="DD1445" s="4295"/>
      <c r="DE1445" s="4295"/>
      <c r="DF1445" s="4295"/>
      <c r="DG1445" s="4295"/>
      <c r="DH1445" s="4295"/>
      <c r="DI1445" s="4295"/>
      <c r="DJ1445" s="4295"/>
      <c r="DK1445" s="4295"/>
      <c r="DL1445" s="4295"/>
      <c r="DM1445" s="4295"/>
      <c r="DN1445" s="4295"/>
      <c r="DO1445" s="4295"/>
      <c r="DP1445" s="4295"/>
      <c r="DQ1445" s="4295"/>
      <c r="DR1445" s="4295"/>
      <c r="DS1445" s="4295"/>
    </row>
    <row r="1446" s="4133" customFormat="1" ht="16.5" customHeight="1" spans="1:123">
      <c r="A1446" s="5072"/>
      <c r="B1446" s="5072"/>
      <c r="C1446" s="5072"/>
      <c r="D1446" s="5072"/>
      <c r="E1446" s="5072"/>
      <c r="F1446" s="5072"/>
      <c r="G1446" s="5072"/>
      <c r="H1446" s="5072"/>
      <c r="I1446" s="5072"/>
      <c r="J1446" s="5072"/>
      <c r="K1446" s="5072"/>
      <c r="L1446" s="5072"/>
      <c r="M1446" s="5072"/>
      <c r="N1446" s="5072"/>
      <c r="O1446" s="5072"/>
      <c r="P1446" s="5072"/>
      <c r="Q1446" s="5072"/>
      <c r="R1446" s="5072"/>
      <c r="S1446" s="5072"/>
      <c r="T1446" s="5072"/>
      <c r="U1446" s="5072"/>
      <c r="V1446" s="5072"/>
      <c r="W1446" s="5072"/>
      <c r="X1446" s="5072"/>
      <c r="Y1446" s="5072"/>
      <c r="Z1446" s="5072"/>
      <c r="AA1446" s="5072"/>
      <c r="AB1446" s="5072"/>
      <c r="AC1446" s="5072"/>
      <c r="AD1446" s="5072"/>
      <c r="AE1446" s="5072"/>
      <c r="AF1446" s="5072"/>
      <c r="AG1446" s="5072"/>
      <c r="AH1446" s="5072"/>
      <c r="AI1446" s="5072"/>
      <c r="AJ1446" s="5072"/>
      <c r="AK1446" s="5072"/>
      <c r="AL1446" s="5072"/>
      <c r="AM1446" s="5072"/>
      <c r="AN1446" s="5072"/>
      <c r="AO1446" s="5072"/>
      <c r="AP1446" s="5072"/>
      <c r="AQ1446" s="5072"/>
      <c r="AR1446" s="5072"/>
      <c r="AS1446" s="5072"/>
      <c r="AT1446" s="5072"/>
      <c r="AU1446" s="4295"/>
      <c r="AV1446" s="4295"/>
      <c r="AW1446" s="4295"/>
      <c r="AX1446" s="4295"/>
      <c r="AY1446" s="4295"/>
      <c r="AZ1446" s="4295"/>
      <c r="BA1446" s="4295"/>
      <c r="BB1446" s="4295"/>
      <c r="BC1446" s="4295"/>
      <c r="BD1446" s="4295"/>
      <c r="BE1446" s="4295"/>
      <c r="BF1446" s="4295"/>
      <c r="BG1446" s="4295"/>
      <c r="BH1446" s="4295"/>
      <c r="BI1446" s="4295"/>
      <c r="BJ1446" s="4295"/>
      <c r="BK1446" s="4295"/>
      <c r="BL1446" s="4295"/>
      <c r="BM1446" s="4295"/>
      <c r="BN1446" s="4295"/>
      <c r="BO1446" s="4295"/>
      <c r="BP1446" s="4295"/>
      <c r="BQ1446" s="4295"/>
      <c r="BR1446" s="4295"/>
      <c r="BS1446" s="4295"/>
      <c r="BT1446" s="4295"/>
      <c r="BU1446" s="4295"/>
      <c r="BV1446" s="4295"/>
      <c r="BW1446" s="4295"/>
      <c r="BX1446" s="4295"/>
      <c r="BY1446" s="4295"/>
      <c r="BZ1446" s="4295"/>
      <c r="CA1446" s="4295"/>
      <c r="CB1446" s="4295"/>
      <c r="CC1446" s="4295"/>
      <c r="CD1446" s="4295"/>
      <c r="CE1446" s="4295"/>
      <c r="CF1446" s="4295"/>
      <c r="CG1446" s="4295"/>
      <c r="CH1446" s="4295"/>
      <c r="CI1446" s="4295"/>
      <c r="CJ1446" s="4295"/>
      <c r="CK1446" s="4295"/>
      <c r="CL1446" s="4295"/>
      <c r="CM1446" s="4295"/>
      <c r="CN1446" s="4295"/>
      <c r="CO1446" s="4295"/>
      <c r="CP1446" s="4295"/>
      <c r="CQ1446" s="4295"/>
      <c r="CR1446" s="4295"/>
      <c r="CS1446" s="4295"/>
      <c r="CT1446" s="4295"/>
      <c r="CU1446" s="4295"/>
      <c r="CV1446" s="4295"/>
      <c r="CW1446" s="4295"/>
      <c r="CX1446" s="4295"/>
      <c r="CY1446" s="4295"/>
      <c r="CZ1446" s="4295"/>
      <c r="DA1446" s="4295"/>
      <c r="DB1446" s="4295"/>
      <c r="DC1446" s="4295"/>
      <c r="DD1446" s="4295"/>
      <c r="DE1446" s="4295"/>
      <c r="DF1446" s="4295"/>
      <c r="DG1446" s="4295"/>
      <c r="DH1446" s="4295"/>
      <c r="DI1446" s="4295"/>
      <c r="DJ1446" s="4295"/>
      <c r="DK1446" s="4295"/>
      <c r="DL1446" s="4295"/>
      <c r="DM1446" s="4295"/>
      <c r="DN1446" s="4295"/>
      <c r="DO1446" s="4295"/>
      <c r="DP1446" s="4295"/>
      <c r="DQ1446" s="4295"/>
      <c r="DR1446" s="4295"/>
      <c r="DS1446" s="4295"/>
    </row>
    <row r="1447" s="4133" customFormat="1" ht="16.5" customHeight="1" spans="1:123">
      <c r="A1447" s="5072"/>
      <c r="B1447" s="5072"/>
      <c r="C1447" s="5072"/>
      <c r="D1447" s="5072"/>
      <c r="E1447" s="5072"/>
      <c r="F1447" s="5072"/>
      <c r="G1447" s="5072"/>
      <c r="H1447" s="5072"/>
      <c r="I1447" s="5072"/>
      <c r="J1447" s="5072"/>
      <c r="K1447" s="5072"/>
      <c r="L1447" s="5072"/>
      <c r="M1447" s="5072"/>
      <c r="N1447" s="5072"/>
      <c r="O1447" s="5072"/>
      <c r="P1447" s="5072"/>
      <c r="Q1447" s="5072"/>
      <c r="R1447" s="5072"/>
      <c r="S1447" s="5072"/>
      <c r="T1447" s="5072"/>
      <c r="U1447" s="5072"/>
      <c r="V1447" s="5072"/>
      <c r="W1447" s="5072"/>
      <c r="X1447" s="5072"/>
      <c r="Y1447" s="5072"/>
      <c r="Z1447" s="5072"/>
      <c r="AA1447" s="5072"/>
      <c r="AB1447" s="5072"/>
      <c r="AC1447" s="5072"/>
      <c r="AD1447" s="5072"/>
      <c r="AE1447" s="5072"/>
      <c r="AF1447" s="5072"/>
      <c r="AG1447" s="5072"/>
      <c r="AH1447" s="5072"/>
      <c r="AI1447" s="5072"/>
      <c r="AJ1447" s="5072"/>
      <c r="AK1447" s="5072"/>
      <c r="AL1447" s="5072"/>
      <c r="AM1447" s="5072"/>
      <c r="AN1447" s="5072"/>
      <c r="AO1447" s="5072"/>
      <c r="AP1447" s="5072"/>
      <c r="AQ1447" s="5072"/>
      <c r="AR1447" s="5072"/>
      <c r="AS1447" s="5072"/>
      <c r="AT1447" s="5072"/>
      <c r="AU1447" s="4295"/>
      <c r="AV1447" s="4295"/>
      <c r="AW1447" s="4295"/>
      <c r="AX1447" s="4295"/>
      <c r="AY1447" s="4295"/>
      <c r="AZ1447" s="4295"/>
      <c r="BA1447" s="4295"/>
      <c r="BB1447" s="4295"/>
      <c r="BC1447" s="4295"/>
      <c r="BD1447" s="4295"/>
      <c r="BE1447" s="4295"/>
      <c r="BF1447" s="4295"/>
      <c r="BG1447" s="4295"/>
      <c r="BH1447" s="4295"/>
      <c r="BI1447" s="4295"/>
      <c r="BJ1447" s="4295"/>
      <c r="BK1447" s="4295"/>
      <c r="BL1447" s="4295"/>
      <c r="BM1447" s="4295"/>
      <c r="BN1447" s="4295"/>
      <c r="BO1447" s="4295"/>
      <c r="BP1447" s="4295"/>
      <c r="BQ1447" s="4295"/>
      <c r="BR1447" s="4295"/>
      <c r="BS1447" s="4295"/>
      <c r="BT1447" s="4295"/>
      <c r="BU1447" s="4295"/>
      <c r="BV1447" s="4295"/>
      <c r="BW1447" s="4295"/>
      <c r="BX1447" s="4295"/>
      <c r="BY1447" s="4295"/>
      <c r="BZ1447" s="4295"/>
      <c r="CA1447" s="4295"/>
      <c r="CB1447" s="4295"/>
      <c r="CC1447" s="4295"/>
      <c r="CD1447" s="4295"/>
      <c r="CE1447" s="4295"/>
      <c r="CF1447" s="4295"/>
      <c r="CG1447" s="4295"/>
      <c r="CH1447" s="4295"/>
      <c r="CI1447" s="4295"/>
      <c r="CJ1447" s="4295"/>
      <c r="CK1447" s="4295"/>
      <c r="CL1447" s="4295"/>
      <c r="CM1447" s="4295"/>
      <c r="CN1447" s="4295"/>
      <c r="CO1447" s="4295"/>
      <c r="CP1447" s="4295"/>
      <c r="CQ1447" s="4295"/>
      <c r="CR1447" s="4295"/>
      <c r="CS1447" s="4295"/>
      <c r="CT1447" s="4295"/>
      <c r="CU1447" s="4295"/>
      <c r="CV1447" s="4295"/>
      <c r="CW1447" s="4295"/>
      <c r="CX1447" s="4295"/>
      <c r="CY1447" s="4295"/>
      <c r="CZ1447" s="4295"/>
      <c r="DA1447" s="4295"/>
      <c r="DB1447" s="4295"/>
      <c r="DC1447" s="4295"/>
      <c r="DD1447" s="4295"/>
      <c r="DE1447" s="4295"/>
      <c r="DF1447" s="4295"/>
      <c r="DG1447" s="4295"/>
      <c r="DH1447" s="4295"/>
      <c r="DI1447" s="4295"/>
      <c r="DJ1447" s="4295"/>
      <c r="DK1447" s="4295"/>
      <c r="DL1447" s="4295"/>
      <c r="DM1447" s="4295"/>
      <c r="DN1447" s="4295"/>
      <c r="DO1447" s="4295"/>
      <c r="DP1447" s="4295"/>
      <c r="DQ1447" s="4295"/>
      <c r="DR1447" s="4295"/>
      <c r="DS1447" s="4295"/>
    </row>
    <row r="1448" s="4133" customFormat="1" ht="16.5" customHeight="1" spans="1:123">
      <c r="A1448" s="5072"/>
      <c r="B1448" s="5072"/>
      <c r="C1448" s="5072"/>
      <c r="D1448" s="5072"/>
      <c r="E1448" s="5072"/>
      <c r="F1448" s="5072"/>
      <c r="G1448" s="5072"/>
      <c r="H1448" s="5072"/>
      <c r="I1448" s="5072"/>
      <c r="J1448" s="5072"/>
      <c r="K1448" s="5072"/>
      <c r="L1448" s="5072"/>
      <c r="M1448" s="5072"/>
      <c r="N1448" s="5072"/>
      <c r="O1448" s="5072"/>
      <c r="P1448" s="5072"/>
      <c r="Q1448" s="5072"/>
      <c r="R1448" s="5072"/>
      <c r="S1448" s="5072"/>
      <c r="T1448" s="5072"/>
      <c r="U1448" s="5072"/>
      <c r="V1448" s="5072"/>
      <c r="W1448" s="5072"/>
      <c r="X1448" s="5072"/>
      <c r="Y1448" s="5072"/>
      <c r="Z1448" s="5072"/>
      <c r="AA1448" s="5072"/>
      <c r="AB1448" s="5072"/>
      <c r="AC1448" s="5072"/>
      <c r="AD1448" s="5072"/>
      <c r="AE1448" s="5072"/>
      <c r="AF1448" s="5072"/>
      <c r="AG1448" s="5072"/>
      <c r="AH1448" s="5072"/>
      <c r="AI1448" s="5072"/>
      <c r="AJ1448" s="5072"/>
      <c r="AK1448" s="5072"/>
      <c r="AL1448" s="5072"/>
      <c r="AM1448" s="5072"/>
      <c r="AN1448" s="5072"/>
      <c r="AO1448" s="5072"/>
      <c r="AP1448" s="5072"/>
      <c r="AQ1448" s="5072"/>
      <c r="AR1448" s="5072"/>
      <c r="AS1448" s="5072"/>
      <c r="AT1448" s="5072"/>
      <c r="AU1448" s="4295"/>
      <c r="AV1448" s="4295"/>
      <c r="AW1448" s="4295"/>
      <c r="AX1448" s="4295"/>
      <c r="AY1448" s="4295"/>
      <c r="AZ1448" s="4295"/>
      <c r="BA1448" s="4295"/>
      <c r="BB1448" s="4295"/>
      <c r="BC1448" s="4295"/>
      <c r="BD1448" s="4295"/>
      <c r="BE1448" s="4295"/>
      <c r="BF1448" s="4295"/>
      <c r="BG1448" s="4295"/>
      <c r="BH1448" s="4295"/>
      <c r="BI1448" s="4295"/>
      <c r="BJ1448" s="4295"/>
      <c r="BK1448" s="4295"/>
      <c r="BL1448" s="4295"/>
      <c r="BM1448" s="4295"/>
      <c r="BN1448" s="4295"/>
      <c r="BO1448" s="4295"/>
      <c r="BP1448" s="4295"/>
      <c r="BQ1448" s="4295"/>
      <c r="BR1448" s="4295"/>
      <c r="BS1448" s="4295"/>
      <c r="BT1448" s="4295"/>
      <c r="BU1448" s="4295"/>
      <c r="BV1448" s="4295"/>
      <c r="BW1448" s="4295"/>
      <c r="BX1448" s="4295"/>
      <c r="BY1448" s="4295"/>
      <c r="BZ1448" s="4295"/>
      <c r="CA1448" s="4295"/>
      <c r="CB1448" s="4295"/>
      <c r="CC1448" s="4295"/>
      <c r="CD1448" s="4295"/>
      <c r="CE1448" s="4295"/>
      <c r="CF1448" s="4295"/>
      <c r="CG1448" s="4295"/>
      <c r="CH1448" s="4295"/>
      <c r="CI1448" s="4295"/>
      <c r="CJ1448" s="4295"/>
      <c r="CK1448" s="4295"/>
      <c r="CL1448" s="4295"/>
      <c r="CM1448" s="4295"/>
      <c r="CN1448" s="4295"/>
      <c r="CO1448" s="4295"/>
      <c r="CP1448" s="4295"/>
      <c r="CQ1448" s="4295"/>
      <c r="CR1448" s="4295"/>
      <c r="CS1448" s="4295"/>
      <c r="CT1448" s="4295"/>
      <c r="CU1448" s="4295"/>
      <c r="CV1448" s="4295"/>
      <c r="CW1448" s="4295"/>
      <c r="CX1448" s="4295"/>
      <c r="CY1448" s="4295"/>
      <c r="CZ1448" s="4295"/>
      <c r="DA1448" s="4295"/>
      <c r="DB1448" s="4295"/>
      <c r="DC1448" s="4295"/>
      <c r="DD1448" s="4295"/>
      <c r="DE1448" s="4295"/>
      <c r="DF1448" s="4295"/>
      <c r="DG1448" s="4295"/>
      <c r="DH1448" s="4295"/>
      <c r="DI1448" s="4295"/>
      <c r="DJ1448" s="4295"/>
      <c r="DK1448" s="4295"/>
      <c r="DL1448" s="4295"/>
      <c r="DM1448" s="4295"/>
      <c r="DN1448" s="4295"/>
      <c r="DO1448" s="4295"/>
      <c r="DP1448" s="4295"/>
      <c r="DQ1448" s="4295"/>
      <c r="DR1448" s="4295"/>
      <c r="DS1448" s="4295"/>
    </row>
    <row r="1449" s="4133" customFormat="1" ht="16.5" customHeight="1" spans="1:123">
      <c r="A1449" s="5072" t="str">
        <f ca="1">Analiza!A288</f>
        <v>Amortizacija za obračunski period 2025. godine iznosi: 4.549 KM.</v>
      </c>
      <c r="B1449" s="5072"/>
      <c r="C1449" s="5072"/>
      <c r="D1449" s="5072"/>
      <c r="E1449" s="5072"/>
      <c r="F1449" s="5072"/>
      <c r="G1449" s="5072"/>
      <c r="H1449" s="5072"/>
      <c r="I1449" s="5072"/>
      <c r="J1449" s="5072"/>
      <c r="K1449" s="5072"/>
      <c r="L1449" s="5072"/>
      <c r="M1449" s="5072"/>
      <c r="N1449" s="5072"/>
      <c r="O1449" s="5072"/>
      <c r="P1449" s="5072"/>
      <c r="Q1449" s="5072"/>
      <c r="R1449" s="5072"/>
      <c r="S1449" s="5072"/>
      <c r="T1449" s="5072"/>
      <c r="U1449" s="5072"/>
      <c r="V1449" s="5072"/>
      <c r="W1449" s="5072"/>
      <c r="X1449" s="5072"/>
      <c r="Y1449" s="5072"/>
      <c r="Z1449" s="5072"/>
      <c r="AA1449" s="5072"/>
      <c r="AB1449" s="5072"/>
      <c r="AC1449" s="5072"/>
      <c r="AD1449" s="5072"/>
      <c r="AE1449" s="5072"/>
      <c r="AF1449" s="5072"/>
      <c r="AG1449" s="5072"/>
      <c r="AH1449" s="5072"/>
      <c r="AI1449" s="5072"/>
      <c r="AJ1449" s="5072"/>
      <c r="AK1449" s="5072"/>
      <c r="AL1449" s="5072"/>
      <c r="AM1449" s="5072"/>
      <c r="AN1449" s="5072"/>
      <c r="AO1449" s="5072"/>
      <c r="AP1449" s="5072"/>
      <c r="AQ1449" s="5072"/>
      <c r="AR1449" s="5072"/>
      <c r="AS1449" s="5072"/>
      <c r="AT1449" s="5072"/>
      <c r="AU1449" s="4295"/>
      <c r="AV1449" s="4295"/>
      <c r="AW1449" s="4295"/>
      <c r="AX1449" s="4295"/>
      <c r="AY1449" s="4295"/>
      <c r="AZ1449" s="4295"/>
      <c r="BA1449" s="4295"/>
      <c r="BB1449" s="4295"/>
      <c r="BC1449" s="4295"/>
      <c r="BD1449" s="4295"/>
      <c r="BE1449" s="4295"/>
      <c r="BF1449" s="4295"/>
      <c r="BG1449" s="4295"/>
      <c r="BH1449" s="4295"/>
      <c r="BI1449" s="4295"/>
      <c r="BJ1449" s="4295"/>
      <c r="BK1449" s="4295"/>
      <c r="BL1449" s="4295"/>
      <c r="BM1449" s="4295"/>
      <c r="BN1449" s="4295"/>
      <c r="BO1449" s="4295"/>
      <c r="BP1449" s="4295"/>
      <c r="BQ1449" s="4295"/>
      <c r="BR1449" s="4295"/>
      <c r="BS1449" s="4295"/>
      <c r="BT1449" s="4295"/>
      <c r="BU1449" s="4295"/>
      <c r="BV1449" s="4295"/>
      <c r="BW1449" s="4295"/>
      <c r="BX1449" s="4295"/>
      <c r="BY1449" s="4295"/>
      <c r="BZ1449" s="4295"/>
      <c r="CA1449" s="4295"/>
      <c r="CB1449" s="4295"/>
      <c r="CC1449" s="4295"/>
      <c r="CD1449" s="4295"/>
      <c r="CE1449" s="4295"/>
      <c r="CF1449" s="4295"/>
      <c r="CG1449" s="4295"/>
      <c r="CH1449" s="4295"/>
      <c r="CI1449" s="4295"/>
      <c r="CJ1449" s="4295"/>
      <c r="CK1449" s="4295"/>
      <c r="CL1449" s="4295"/>
      <c r="CM1449" s="4295"/>
      <c r="CN1449" s="4295"/>
      <c r="CO1449" s="4295"/>
      <c r="CP1449" s="4295"/>
      <c r="CQ1449" s="4295"/>
      <c r="CR1449" s="4295"/>
      <c r="CS1449" s="4295"/>
      <c r="CT1449" s="4295"/>
      <c r="CU1449" s="4295"/>
      <c r="CV1449" s="4295"/>
      <c r="CW1449" s="4295"/>
      <c r="CX1449" s="4295"/>
      <c r="CY1449" s="4295"/>
      <c r="CZ1449" s="4295"/>
      <c r="DA1449" s="4295"/>
      <c r="DB1449" s="4295"/>
      <c r="DC1449" s="4295"/>
      <c r="DD1449" s="4295"/>
      <c r="DE1449" s="4295"/>
      <c r="DF1449" s="4295"/>
      <c r="DG1449" s="4295"/>
      <c r="DH1449" s="4295"/>
      <c r="DI1449" s="4295"/>
      <c r="DJ1449" s="4295"/>
      <c r="DK1449" s="4295"/>
      <c r="DL1449" s="4295"/>
      <c r="DM1449" s="4295"/>
      <c r="DN1449" s="4295"/>
      <c r="DO1449" s="4295"/>
      <c r="DP1449" s="4295"/>
      <c r="DQ1449" s="4295"/>
      <c r="DR1449" s="4295"/>
      <c r="DS1449" s="4295"/>
    </row>
    <row r="1450" s="4133" customFormat="1" ht="16.5" customHeight="1" spans="1:123">
      <c r="A1450" s="5072" t="str">
        <f>Analiza!A289</f>
        <v>A1. -Najveća NETO sadašnja vrijednost dugoročne imovine je na: Transportna sredstva (AOP 006) od 22.107 KM, što je 100% ukupne dugoročne imovine.</v>
      </c>
      <c r="B1450" s="5072"/>
      <c r="C1450" s="5072"/>
      <c r="D1450" s="5072"/>
      <c r="E1450" s="5072"/>
      <c r="F1450" s="5072"/>
      <c r="G1450" s="5072"/>
      <c r="H1450" s="5072"/>
      <c r="I1450" s="5072"/>
      <c r="J1450" s="5072"/>
      <c r="K1450" s="5072"/>
      <c r="L1450" s="5072"/>
      <c r="M1450" s="5072"/>
      <c r="N1450" s="5072"/>
      <c r="O1450" s="5072"/>
      <c r="P1450" s="5072"/>
      <c r="Q1450" s="5072"/>
      <c r="R1450" s="5072"/>
      <c r="S1450" s="5072"/>
      <c r="T1450" s="5072"/>
      <c r="U1450" s="5072"/>
      <c r="V1450" s="5072"/>
      <c r="W1450" s="5072"/>
      <c r="X1450" s="5072"/>
      <c r="Y1450" s="5072"/>
      <c r="Z1450" s="5072"/>
      <c r="AA1450" s="5072"/>
      <c r="AB1450" s="5072"/>
      <c r="AC1450" s="5072"/>
      <c r="AD1450" s="5072"/>
      <c r="AE1450" s="5072"/>
      <c r="AF1450" s="5072"/>
      <c r="AG1450" s="5072"/>
      <c r="AH1450" s="5072"/>
      <c r="AI1450" s="5072"/>
      <c r="AJ1450" s="5072"/>
      <c r="AK1450" s="5072"/>
      <c r="AL1450" s="5072"/>
      <c r="AM1450" s="5072"/>
      <c r="AN1450" s="5072"/>
      <c r="AO1450" s="5072"/>
      <c r="AP1450" s="5072"/>
      <c r="AQ1450" s="5072"/>
      <c r="AR1450" s="5072"/>
      <c r="AS1450" s="5072"/>
      <c r="AT1450" s="5072"/>
      <c r="AU1450" s="4295"/>
      <c r="AV1450" s="4295"/>
      <c r="AW1450" s="4295"/>
      <c r="AX1450" s="4295"/>
      <c r="AY1450" s="4295"/>
      <c r="AZ1450" s="4295"/>
      <c r="BA1450" s="4295"/>
      <c r="BB1450" s="4295"/>
      <c r="BC1450" s="4295"/>
      <c r="BD1450" s="4295"/>
      <c r="BE1450" s="4295"/>
      <c r="BF1450" s="4295"/>
      <c r="BG1450" s="4295"/>
      <c r="BH1450" s="4295"/>
      <c r="BI1450" s="4295"/>
      <c r="BJ1450" s="4295"/>
      <c r="BK1450" s="4295"/>
      <c r="BL1450" s="4295"/>
      <c r="BM1450" s="4295"/>
      <c r="BN1450" s="4295"/>
      <c r="BO1450" s="4295"/>
      <c r="BP1450" s="4295"/>
      <c r="BQ1450" s="4295"/>
      <c r="BR1450" s="4295"/>
      <c r="BS1450" s="4295"/>
      <c r="BT1450" s="4295"/>
      <c r="BU1450" s="4295"/>
      <c r="BV1450" s="4295"/>
      <c r="BW1450" s="4295"/>
      <c r="BX1450" s="4295"/>
      <c r="BY1450" s="4295"/>
      <c r="BZ1450" s="4295"/>
      <c r="CA1450" s="4295"/>
      <c r="CB1450" s="4295"/>
      <c r="CC1450" s="4295"/>
      <c r="CD1450" s="4295"/>
      <c r="CE1450" s="4295"/>
      <c r="CF1450" s="4295"/>
      <c r="CG1450" s="4295"/>
      <c r="CH1450" s="4295"/>
      <c r="CI1450" s="4295"/>
      <c r="CJ1450" s="4295"/>
      <c r="CK1450" s="4295"/>
      <c r="CL1450" s="4295"/>
      <c r="CM1450" s="4295"/>
      <c r="CN1450" s="4295"/>
      <c r="CO1450" s="4295"/>
      <c r="CP1450" s="4295"/>
      <c r="CQ1450" s="4295"/>
      <c r="CR1450" s="4295"/>
      <c r="CS1450" s="4295"/>
      <c r="CT1450" s="4295"/>
      <c r="CU1450" s="4295"/>
      <c r="CV1450" s="4295"/>
      <c r="CW1450" s="4295"/>
      <c r="CX1450" s="4295"/>
      <c r="CY1450" s="4295"/>
      <c r="CZ1450" s="4295"/>
      <c r="DA1450" s="4295"/>
      <c r="DB1450" s="4295"/>
      <c r="DC1450" s="4295"/>
      <c r="DD1450" s="4295"/>
      <c r="DE1450" s="4295"/>
      <c r="DF1450" s="4295"/>
      <c r="DG1450" s="4295"/>
      <c r="DH1450" s="4295"/>
      <c r="DI1450" s="4295"/>
      <c r="DJ1450" s="4295"/>
      <c r="DK1450" s="4295"/>
      <c r="DL1450" s="4295"/>
      <c r="DM1450" s="4295"/>
      <c r="DN1450" s="4295"/>
      <c r="DO1450" s="4295"/>
      <c r="DP1450" s="4295"/>
      <c r="DQ1450" s="4295"/>
      <c r="DR1450" s="4295"/>
      <c r="DS1450" s="4295"/>
    </row>
    <row r="1451" s="4133" customFormat="1" ht="16.5" customHeight="1" spans="1:123">
      <c r="A1451" s="5072"/>
      <c r="B1451" s="5072"/>
      <c r="C1451" s="5072"/>
      <c r="D1451" s="5072"/>
      <c r="E1451" s="5072"/>
      <c r="F1451" s="5072"/>
      <c r="G1451" s="5072"/>
      <c r="H1451" s="5072"/>
      <c r="I1451" s="5072"/>
      <c r="J1451" s="5072"/>
      <c r="K1451" s="5072"/>
      <c r="L1451" s="5072"/>
      <c r="M1451" s="5072"/>
      <c r="N1451" s="5072"/>
      <c r="O1451" s="5072"/>
      <c r="P1451" s="5072"/>
      <c r="Q1451" s="5072"/>
      <c r="R1451" s="5072"/>
      <c r="S1451" s="5072"/>
      <c r="T1451" s="5072"/>
      <c r="U1451" s="5072"/>
      <c r="V1451" s="5072"/>
      <c r="W1451" s="5072"/>
      <c r="X1451" s="5072"/>
      <c r="Y1451" s="5072"/>
      <c r="Z1451" s="5072"/>
      <c r="AA1451" s="5072"/>
      <c r="AB1451" s="5072"/>
      <c r="AC1451" s="5072"/>
      <c r="AD1451" s="5072"/>
      <c r="AE1451" s="5072"/>
      <c r="AF1451" s="5072"/>
      <c r="AG1451" s="5072"/>
      <c r="AH1451" s="5072"/>
      <c r="AI1451" s="5072"/>
      <c r="AJ1451" s="5072"/>
      <c r="AK1451" s="5072"/>
      <c r="AL1451" s="5072"/>
      <c r="AM1451" s="5072"/>
      <c r="AN1451" s="5072"/>
      <c r="AO1451" s="5072"/>
      <c r="AP1451" s="5072"/>
      <c r="AQ1451" s="5072"/>
      <c r="AR1451" s="5072"/>
      <c r="AS1451" s="5072"/>
      <c r="AT1451" s="5072"/>
      <c r="AU1451" s="4295"/>
      <c r="AV1451" s="4295"/>
      <c r="AW1451" s="4295"/>
      <c r="AX1451" s="4295"/>
      <c r="AY1451" s="4295"/>
      <c r="AZ1451" s="4295"/>
      <c r="BA1451" s="4295"/>
      <c r="BB1451" s="4295"/>
      <c r="BC1451" s="4295"/>
      <c r="BD1451" s="4295"/>
      <c r="BE1451" s="4295"/>
      <c r="BF1451" s="4295"/>
      <c r="BG1451" s="4295"/>
      <c r="BH1451" s="4295"/>
      <c r="BI1451" s="4295"/>
      <c r="BJ1451" s="4295"/>
      <c r="BK1451" s="4295"/>
      <c r="BL1451" s="4295"/>
      <c r="BM1451" s="4295"/>
      <c r="BN1451" s="4295"/>
      <c r="BO1451" s="4295"/>
      <c r="BP1451" s="4295"/>
      <c r="BQ1451" s="4295"/>
      <c r="BR1451" s="4295"/>
      <c r="BS1451" s="4295"/>
      <c r="BT1451" s="4295"/>
      <c r="BU1451" s="4295"/>
      <c r="BV1451" s="4295"/>
      <c r="BW1451" s="4295"/>
      <c r="BX1451" s="4295"/>
      <c r="BY1451" s="4295"/>
      <c r="BZ1451" s="4295"/>
      <c r="CA1451" s="4295"/>
      <c r="CB1451" s="4295"/>
      <c r="CC1451" s="4295"/>
      <c r="CD1451" s="4295"/>
      <c r="CE1451" s="4295"/>
      <c r="CF1451" s="4295"/>
      <c r="CG1451" s="4295"/>
      <c r="CH1451" s="4295"/>
      <c r="CI1451" s="4295"/>
      <c r="CJ1451" s="4295"/>
      <c r="CK1451" s="4295"/>
      <c r="CL1451" s="4295"/>
      <c r="CM1451" s="4295"/>
      <c r="CN1451" s="4295"/>
      <c r="CO1451" s="4295"/>
      <c r="CP1451" s="4295"/>
      <c r="CQ1451" s="4295"/>
      <c r="CR1451" s="4295"/>
      <c r="CS1451" s="4295"/>
      <c r="CT1451" s="4295"/>
      <c r="CU1451" s="4295"/>
      <c r="CV1451" s="4295"/>
      <c r="CW1451" s="4295"/>
      <c r="CX1451" s="4295"/>
      <c r="CY1451" s="4295"/>
      <c r="CZ1451" s="4295"/>
      <c r="DA1451" s="4295"/>
      <c r="DB1451" s="4295"/>
      <c r="DC1451" s="4295"/>
      <c r="DD1451" s="4295"/>
      <c r="DE1451" s="4295"/>
      <c r="DF1451" s="4295"/>
      <c r="DG1451" s="4295"/>
      <c r="DH1451" s="4295"/>
      <c r="DI1451" s="4295"/>
      <c r="DJ1451" s="4295"/>
      <c r="DK1451" s="4295"/>
      <c r="DL1451" s="4295"/>
      <c r="DM1451" s="4295"/>
      <c r="DN1451" s="4295"/>
      <c r="DO1451" s="4295"/>
      <c r="DP1451" s="4295"/>
      <c r="DQ1451" s="4295"/>
      <c r="DR1451" s="4295"/>
      <c r="DS1451" s="4295"/>
    </row>
    <row r="1452" s="4133" customFormat="1" ht="16.5" customHeight="1" spans="1:123">
      <c r="A1452" s="5072"/>
      <c r="B1452" s="5072"/>
      <c r="C1452" s="5072"/>
      <c r="D1452" s="5072"/>
      <c r="E1452" s="5072"/>
      <c r="F1452" s="5072"/>
      <c r="G1452" s="5072"/>
      <c r="H1452" s="5072"/>
      <c r="I1452" s="5072"/>
      <c r="J1452" s="5072"/>
      <c r="K1452" s="5072"/>
      <c r="L1452" s="5072"/>
      <c r="M1452" s="5072"/>
      <c r="N1452" s="5072"/>
      <c r="O1452" s="5072"/>
      <c r="P1452" s="5072"/>
      <c r="Q1452" s="5072"/>
      <c r="R1452" s="5072"/>
      <c r="S1452" s="5072"/>
      <c r="T1452" s="5072"/>
      <c r="U1452" s="5072"/>
      <c r="V1452" s="5072"/>
      <c r="W1452" s="5072"/>
      <c r="X1452" s="5072"/>
      <c r="Y1452" s="5072"/>
      <c r="Z1452" s="5072"/>
      <c r="AA1452" s="5072"/>
      <c r="AB1452" s="5072"/>
      <c r="AC1452" s="5072"/>
      <c r="AD1452" s="5072"/>
      <c r="AE1452" s="5072"/>
      <c r="AF1452" s="5072"/>
      <c r="AG1452" s="5072"/>
      <c r="AH1452" s="5072"/>
      <c r="AI1452" s="5072"/>
      <c r="AJ1452" s="5072"/>
      <c r="AK1452" s="5072"/>
      <c r="AL1452" s="5072"/>
      <c r="AM1452" s="5072"/>
      <c r="AN1452" s="5072"/>
      <c r="AO1452" s="5072"/>
      <c r="AP1452" s="5072"/>
      <c r="AQ1452" s="5072"/>
      <c r="AR1452" s="5072"/>
      <c r="AS1452" s="5072"/>
      <c r="AT1452" s="5072"/>
      <c r="AU1452" s="4295"/>
      <c r="AV1452" s="4295"/>
      <c r="AW1452" s="4295"/>
      <c r="AX1452" s="4295"/>
      <c r="AY1452" s="4295"/>
      <c r="AZ1452" s="4295"/>
      <c r="BA1452" s="4295"/>
      <c r="BB1452" s="4295"/>
      <c r="BC1452" s="4295"/>
      <c r="BD1452" s="4295"/>
      <c r="BE1452" s="4295"/>
      <c r="BF1452" s="4295"/>
      <c r="BG1452" s="4295"/>
      <c r="BH1452" s="4295"/>
      <c r="BI1452" s="4295"/>
      <c r="BJ1452" s="4295"/>
      <c r="BK1452" s="4295"/>
      <c r="BL1452" s="4295"/>
      <c r="BM1452" s="4295"/>
      <c r="BN1452" s="4295"/>
      <c r="BO1452" s="4295"/>
      <c r="BP1452" s="4295"/>
      <c r="BQ1452" s="4295"/>
      <c r="BR1452" s="4295"/>
      <c r="BS1452" s="4295"/>
      <c r="BT1452" s="4295"/>
      <c r="BU1452" s="4295"/>
      <c r="BV1452" s="4295"/>
      <c r="BW1452" s="4295"/>
      <c r="BX1452" s="4295"/>
      <c r="BY1452" s="4295"/>
      <c r="BZ1452" s="4295"/>
      <c r="CA1452" s="4295"/>
      <c r="CB1452" s="4295"/>
      <c r="CC1452" s="4295"/>
      <c r="CD1452" s="4295"/>
      <c r="CE1452" s="4295"/>
      <c r="CF1452" s="4295"/>
      <c r="CG1452" s="4295"/>
      <c r="CH1452" s="4295"/>
      <c r="CI1452" s="4295"/>
      <c r="CJ1452" s="4295"/>
      <c r="CK1452" s="4295"/>
      <c r="CL1452" s="4295"/>
      <c r="CM1452" s="4295"/>
      <c r="CN1452" s="4295"/>
      <c r="CO1452" s="4295"/>
      <c r="CP1452" s="4295"/>
      <c r="CQ1452" s="4295"/>
      <c r="CR1452" s="4295"/>
      <c r="CS1452" s="4295"/>
      <c r="CT1452" s="4295"/>
      <c r="CU1452" s="4295"/>
      <c r="CV1452" s="4295"/>
      <c r="CW1452" s="4295"/>
      <c r="CX1452" s="4295"/>
      <c r="CY1452" s="4295"/>
      <c r="CZ1452" s="4295"/>
      <c r="DA1452" s="4295"/>
      <c r="DB1452" s="4295"/>
      <c r="DC1452" s="4295"/>
      <c r="DD1452" s="4295"/>
      <c r="DE1452" s="4295"/>
      <c r="DF1452" s="4295"/>
      <c r="DG1452" s="4295"/>
      <c r="DH1452" s="4295"/>
      <c r="DI1452" s="4295"/>
      <c r="DJ1452" s="4295"/>
      <c r="DK1452" s="4295"/>
      <c r="DL1452" s="4295"/>
      <c r="DM1452" s="4295"/>
      <c r="DN1452" s="4295"/>
      <c r="DO1452" s="4295"/>
      <c r="DP1452" s="4295"/>
      <c r="DQ1452" s="4295"/>
      <c r="DR1452" s="4295"/>
      <c r="DS1452" s="4295"/>
    </row>
    <row r="1453" s="4133" customFormat="1" ht="16.5" customHeight="1" spans="1:123">
      <c r="A1453" s="5072" t="str">
        <f>Analiza!A292</f>
        <v>U odnosu na stanje početkom godine, ova sredstva imaju SMANJENJE, za 4.549 KM ili 100 %.</v>
      </c>
      <c r="B1453" s="5072"/>
      <c r="C1453" s="5072"/>
      <c r="D1453" s="5072"/>
      <c r="E1453" s="5072"/>
      <c r="F1453" s="5072"/>
      <c r="G1453" s="5072"/>
      <c r="H1453" s="5072"/>
      <c r="I1453" s="5072"/>
      <c r="J1453" s="5072"/>
      <c r="K1453" s="5072"/>
      <c r="L1453" s="5072"/>
      <c r="M1453" s="5072"/>
      <c r="N1453" s="5072"/>
      <c r="O1453" s="5072"/>
      <c r="P1453" s="5072"/>
      <c r="Q1453" s="5072"/>
      <c r="R1453" s="5072"/>
      <c r="S1453" s="5072"/>
      <c r="T1453" s="5072"/>
      <c r="U1453" s="5072"/>
      <c r="V1453" s="5072"/>
      <c r="W1453" s="5072"/>
      <c r="X1453" s="5072"/>
      <c r="Y1453" s="5072"/>
      <c r="Z1453" s="5072"/>
      <c r="AA1453" s="5072"/>
      <c r="AB1453" s="5072"/>
      <c r="AC1453" s="5072"/>
      <c r="AD1453" s="5072"/>
      <c r="AE1453" s="5072"/>
      <c r="AF1453" s="5072"/>
      <c r="AG1453" s="5072"/>
      <c r="AH1453" s="5072"/>
      <c r="AI1453" s="5072"/>
      <c r="AJ1453" s="5072"/>
      <c r="AK1453" s="5072"/>
      <c r="AL1453" s="5072"/>
      <c r="AM1453" s="5072"/>
      <c r="AN1453" s="5072"/>
      <c r="AO1453" s="5072"/>
      <c r="AP1453" s="5072"/>
      <c r="AQ1453" s="5072"/>
      <c r="AR1453" s="5072"/>
      <c r="AS1453" s="5072"/>
      <c r="AT1453" s="5072"/>
      <c r="AU1453" s="4295"/>
      <c r="AV1453" s="4295"/>
      <c r="AW1453" s="4295"/>
      <c r="AX1453" s="4295"/>
      <c r="AY1453" s="4295"/>
      <c r="AZ1453" s="4295"/>
      <c r="BA1453" s="4295"/>
      <c r="BB1453" s="4295"/>
      <c r="BC1453" s="4295"/>
      <c r="BD1453" s="4295"/>
      <c r="BE1453" s="4295"/>
      <c r="BF1453" s="4295"/>
      <c r="BG1453" s="4295"/>
      <c r="BH1453" s="4295"/>
      <c r="BI1453" s="4295"/>
      <c r="BJ1453" s="4295"/>
      <c r="BK1453" s="4295"/>
      <c r="BL1453" s="4295"/>
      <c r="BM1453" s="4295"/>
      <c r="BN1453" s="4295"/>
      <c r="BO1453" s="4295"/>
      <c r="BP1453" s="4295"/>
      <c r="BQ1453" s="4295"/>
      <c r="BR1453" s="4295"/>
      <c r="BS1453" s="4295"/>
      <c r="BT1453" s="4295"/>
      <c r="BU1453" s="4295"/>
      <c r="BV1453" s="4295"/>
      <c r="BW1453" s="4295"/>
      <c r="BX1453" s="4295"/>
      <c r="BY1453" s="4295"/>
      <c r="BZ1453" s="4295"/>
      <c r="CA1453" s="4295"/>
      <c r="CB1453" s="4295"/>
      <c r="CC1453" s="4295"/>
      <c r="CD1453" s="4295"/>
      <c r="CE1453" s="4295"/>
      <c r="CF1453" s="4295"/>
      <c r="CG1453" s="4295"/>
      <c r="CH1453" s="4295"/>
      <c r="CI1453" s="4295"/>
      <c r="CJ1453" s="4295"/>
      <c r="CK1453" s="4295"/>
      <c r="CL1453" s="4295"/>
      <c r="CM1453" s="4295"/>
      <c r="CN1453" s="4295"/>
      <c r="CO1453" s="4295"/>
      <c r="CP1453" s="4295"/>
      <c r="CQ1453" s="4295"/>
      <c r="CR1453" s="4295"/>
      <c r="CS1453" s="4295"/>
      <c r="CT1453" s="4295"/>
      <c r="CU1453" s="4295"/>
      <c r="CV1453" s="4295"/>
      <c r="CW1453" s="4295"/>
      <c r="CX1453" s="4295"/>
      <c r="CY1453" s="4295"/>
      <c r="CZ1453" s="4295"/>
      <c r="DA1453" s="4295"/>
      <c r="DB1453" s="4295"/>
      <c r="DC1453" s="4295"/>
      <c r="DD1453" s="4295"/>
      <c r="DE1453" s="4295"/>
      <c r="DF1453" s="4295"/>
      <c r="DG1453" s="4295"/>
      <c r="DH1453" s="4295"/>
      <c r="DI1453" s="4295"/>
      <c r="DJ1453" s="4295"/>
      <c r="DK1453" s="4295"/>
      <c r="DL1453" s="4295"/>
      <c r="DM1453" s="4295"/>
      <c r="DN1453" s="4295"/>
      <c r="DO1453" s="4295"/>
      <c r="DP1453" s="4295"/>
      <c r="DQ1453" s="4295"/>
      <c r="DR1453" s="4295"/>
      <c r="DS1453" s="4295"/>
    </row>
    <row r="1454" s="4133" customFormat="1" ht="16.5" customHeight="1" spans="1:123">
      <c r="A1454" s="5070"/>
      <c r="B1454" s="5070"/>
      <c r="C1454" s="5070"/>
      <c r="D1454" s="5070"/>
      <c r="E1454" s="5070"/>
      <c r="F1454" s="5070"/>
      <c r="G1454" s="5070"/>
      <c r="H1454" s="5070"/>
      <c r="I1454" s="5070"/>
      <c r="J1454" s="5070"/>
      <c r="K1454" s="5070"/>
      <c r="L1454" s="5070"/>
      <c r="M1454" s="5070"/>
      <c r="N1454" s="5070"/>
      <c r="O1454" s="5070"/>
      <c r="P1454" s="5070"/>
      <c r="Q1454" s="5070"/>
      <c r="R1454" s="5070"/>
      <c r="S1454" s="5070"/>
      <c r="T1454" s="5070"/>
      <c r="U1454" s="5070"/>
      <c r="V1454" s="5070"/>
      <c r="W1454" s="5070"/>
      <c r="X1454" s="5070"/>
      <c r="Y1454" s="5070"/>
      <c r="Z1454" s="5070"/>
      <c r="AA1454" s="5070"/>
      <c r="AB1454" s="5070"/>
      <c r="AC1454" s="5070"/>
      <c r="AD1454" s="5070"/>
      <c r="AE1454" s="5070"/>
      <c r="AF1454" s="5070"/>
      <c r="AG1454" s="5070"/>
      <c r="AH1454" s="5070"/>
      <c r="AI1454" s="5070"/>
      <c r="AJ1454" s="5070"/>
      <c r="AK1454" s="5070"/>
      <c r="AL1454" s="5070"/>
      <c r="AM1454" s="5070"/>
      <c r="AN1454" s="5070"/>
      <c r="AO1454" s="5070"/>
      <c r="AP1454" s="5070"/>
      <c r="AQ1454" s="5070"/>
      <c r="AR1454" s="5070"/>
      <c r="AS1454" s="5070"/>
      <c r="AT1454" s="5070"/>
      <c r="AU1454" s="4295"/>
      <c r="AV1454" s="4295"/>
      <c r="AW1454" s="4295"/>
      <c r="AX1454" s="4295"/>
      <c r="AY1454" s="4295"/>
      <c r="AZ1454" s="4295"/>
      <c r="BA1454" s="4295"/>
      <c r="BB1454" s="4295"/>
      <c r="BC1454" s="4295"/>
      <c r="BD1454" s="4295"/>
      <c r="BE1454" s="4295"/>
      <c r="BF1454" s="4295"/>
      <c r="BG1454" s="4295"/>
      <c r="BH1454" s="4295"/>
      <c r="BI1454" s="4295"/>
      <c r="BJ1454" s="4295"/>
      <c r="BK1454" s="4295"/>
      <c r="BL1454" s="4295"/>
      <c r="BM1454" s="4295"/>
      <c r="BN1454" s="4295"/>
      <c r="BO1454" s="4295"/>
      <c r="BP1454" s="4295"/>
      <c r="BQ1454" s="4295"/>
      <c r="BR1454" s="4295"/>
      <c r="BS1454" s="4295"/>
      <c r="BT1454" s="4295"/>
      <c r="BU1454" s="4295"/>
      <c r="BV1454" s="4295"/>
      <c r="BW1454" s="4295"/>
      <c r="BX1454" s="4295"/>
      <c r="BY1454" s="4295"/>
      <c r="BZ1454" s="4295"/>
      <c r="CA1454" s="4295"/>
      <c r="CB1454" s="4295"/>
      <c r="CC1454" s="4295"/>
      <c r="CD1454" s="4295"/>
      <c r="CE1454" s="4295"/>
      <c r="CF1454" s="4295"/>
      <c r="CG1454" s="4295"/>
      <c r="CH1454" s="4295"/>
      <c r="CI1454" s="4295"/>
      <c r="CJ1454" s="4295"/>
      <c r="CK1454" s="4295"/>
      <c r="CL1454" s="4295"/>
      <c r="CM1454" s="4295"/>
      <c r="CN1454" s="4295"/>
      <c r="CO1454" s="4295"/>
      <c r="CP1454" s="4295"/>
      <c r="CQ1454" s="4295"/>
      <c r="CR1454" s="4295"/>
      <c r="CS1454" s="4295"/>
      <c r="CT1454" s="4295"/>
      <c r="CU1454" s="4295"/>
      <c r="CV1454" s="4295"/>
      <c r="CW1454" s="4295"/>
      <c r="CX1454" s="4295"/>
      <c r="CY1454" s="4295"/>
      <c r="CZ1454" s="4295"/>
      <c r="DA1454" s="4295"/>
      <c r="DB1454" s="4295"/>
      <c r="DC1454" s="4295"/>
      <c r="DD1454" s="4295"/>
      <c r="DE1454" s="4295"/>
      <c r="DF1454" s="4295"/>
      <c r="DG1454" s="4295"/>
      <c r="DH1454" s="4295"/>
      <c r="DI1454" s="4295"/>
      <c r="DJ1454" s="4295"/>
      <c r="DK1454" s="4295"/>
      <c r="DL1454" s="4295"/>
      <c r="DM1454" s="4295"/>
      <c r="DN1454" s="4295"/>
      <c r="DO1454" s="4295"/>
      <c r="DP1454" s="4295"/>
      <c r="DQ1454" s="4295"/>
      <c r="DR1454" s="4295"/>
      <c r="DS1454" s="4295"/>
    </row>
    <row r="1455" s="4133" customFormat="1" ht="16.5" customHeight="1" spans="1:123">
      <c r="A1455" s="5071"/>
      <c r="B1455" s="5071"/>
      <c r="C1455" s="5071"/>
      <c r="D1455" s="5071"/>
      <c r="E1455" s="5071"/>
      <c r="F1455" s="5071"/>
      <c r="G1455" s="5071"/>
      <c r="H1455" s="5071"/>
      <c r="I1455" s="5071"/>
      <c r="J1455" s="5071"/>
      <c r="K1455" s="5071"/>
      <c r="L1455" s="5071"/>
      <c r="M1455" s="5071"/>
      <c r="N1455" s="5071"/>
      <c r="O1455" s="5071"/>
      <c r="P1455" s="5071"/>
      <c r="Q1455" s="5071"/>
      <c r="R1455" s="5071"/>
      <c r="S1455" s="5071"/>
      <c r="T1455" s="5071"/>
      <c r="U1455" s="5071"/>
      <c r="V1455" s="5071"/>
      <c r="W1455" s="5071"/>
      <c r="X1455" s="5071"/>
      <c r="Y1455" s="5071"/>
      <c r="Z1455" s="5071"/>
      <c r="AA1455" s="5071"/>
      <c r="AB1455" s="5071"/>
      <c r="AC1455" s="5071"/>
      <c r="AD1455" s="5071"/>
      <c r="AE1455" s="5071"/>
      <c r="AF1455" s="5071"/>
      <c r="AG1455" s="5071"/>
      <c r="AH1455" s="5071"/>
      <c r="AI1455" s="5071"/>
      <c r="AJ1455" s="5071"/>
      <c r="AK1455" s="5071"/>
      <c r="AL1455" s="5071"/>
      <c r="AM1455" s="5071"/>
      <c r="AN1455" s="5071"/>
      <c r="AO1455" s="5071"/>
      <c r="AP1455" s="5071"/>
      <c r="AQ1455" s="5071"/>
      <c r="AR1455" s="5071"/>
      <c r="AS1455" s="5071"/>
      <c r="AT1455" s="5071"/>
      <c r="AU1455" s="4295"/>
      <c r="AV1455" s="4295"/>
      <c r="AW1455" s="4295"/>
      <c r="AX1455" s="4295"/>
      <c r="AY1455" s="4295"/>
      <c r="AZ1455" s="4295"/>
      <c r="BA1455" s="4295"/>
      <c r="BB1455" s="4295"/>
      <c r="BC1455" s="4295"/>
      <c r="BD1455" s="4295"/>
      <c r="BE1455" s="4295"/>
      <c r="BF1455" s="4295"/>
      <c r="BG1455" s="4295"/>
      <c r="BH1455" s="4295"/>
      <c r="BI1455" s="4295"/>
      <c r="BJ1455" s="4295"/>
      <c r="BK1455" s="4295"/>
      <c r="BL1455" s="4295"/>
      <c r="BM1455" s="4295"/>
      <c r="BN1455" s="4295"/>
      <c r="BO1455" s="4295"/>
      <c r="BP1455" s="4295"/>
      <c r="BQ1455" s="4295"/>
      <c r="BR1455" s="4295"/>
      <c r="BS1455" s="4295"/>
      <c r="BT1455" s="4295"/>
      <c r="BU1455" s="4295"/>
      <c r="BV1455" s="4295"/>
      <c r="BW1455" s="4295"/>
      <c r="BX1455" s="4295"/>
      <c r="BY1455" s="4295"/>
      <c r="BZ1455" s="4295"/>
      <c r="CA1455" s="4295"/>
      <c r="CB1455" s="4295"/>
      <c r="CC1455" s="4295"/>
      <c r="CD1455" s="4295"/>
      <c r="CE1455" s="4295"/>
      <c r="CF1455" s="4295"/>
      <c r="CG1455" s="4295"/>
      <c r="CH1455" s="4295"/>
      <c r="CI1455" s="4295"/>
      <c r="CJ1455" s="4295"/>
      <c r="CK1455" s="4295"/>
      <c r="CL1455" s="4295"/>
      <c r="CM1455" s="4295"/>
      <c r="CN1455" s="4295"/>
      <c r="CO1455" s="4295"/>
      <c r="CP1455" s="4295"/>
      <c r="CQ1455" s="4295"/>
      <c r="CR1455" s="4295"/>
      <c r="CS1455" s="4295"/>
      <c r="CT1455" s="4295"/>
      <c r="CU1455" s="4295"/>
      <c r="CV1455" s="4295"/>
      <c r="CW1455" s="4295"/>
      <c r="CX1455" s="4295"/>
      <c r="CY1455" s="4295"/>
      <c r="CZ1455" s="4295"/>
      <c r="DA1455" s="4295"/>
      <c r="DB1455" s="4295"/>
      <c r="DC1455" s="4295"/>
      <c r="DD1455" s="4295"/>
      <c r="DE1455" s="4295"/>
      <c r="DF1455" s="4295"/>
      <c r="DG1455" s="4295"/>
      <c r="DH1455" s="4295"/>
      <c r="DI1455" s="4295"/>
      <c r="DJ1455" s="4295"/>
      <c r="DK1455" s="4295"/>
      <c r="DL1455" s="4295"/>
      <c r="DM1455" s="4295"/>
      <c r="DN1455" s="4295"/>
      <c r="DO1455" s="4295"/>
      <c r="DP1455" s="4295"/>
      <c r="DQ1455" s="4295"/>
      <c r="DR1455" s="4295"/>
      <c r="DS1455" s="4295"/>
    </row>
    <row r="1456" s="4133" customFormat="1" ht="16.5" customHeight="1" spans="1:123">
      <c r="A1456" s="5071"/>
      <c r="B1456" s="5071"/>
      <c r="C1456" s="5071"/>
      <c r="D1456" s="5071"/>
      <c r="E1456" s="5071"/>
      <c r="F1456" s="5071"/>
      <c r="G1456" s="5071"/>
      <c r="H1456" s="5071"/>
      <c r="I1456" s="5071"/>
      <c r="J1456" s="5071"/>
      <c r="K1456" s="5071"/>
      <c r="L1456" s="5071"/>
      <c r="M1456" s="5071"/>
      <c r="N1456" s="5071"/>
      <c r="O1456" s="5071"/>
      <c r="P1456" s="5071"/>
      <c r="Q1456" s="5071"/>
      <c r="R1456" s="5071"/>
      <c r="S1456" s="5071"/>
      <c r="T1456" s="5071"/>
      <c r="U1456" s="5071"/>
      <c r="V1456" s="5071"/>
      <c r="W1456" s="5071"/>
      <c r="X1456" s="5071"/>
      <c r="Y1456" s="5071"/>
      <c r="Z1456" s="5071"/>
      <c r="AA1456" s="5071"/>
      <c r="AB1456" s="5071"/>
      <c r="AC1456" s="5071"/>
      <c r="AD1456" s="5071"/>
      <c r="AE1456" s="5071"/>
      <c r="AF1456" s="5071"/>
      <c r="AG1456" s="5071"/>
      <c r="AH1456" s="5071"/>
      <c r="AI1456" s="5071"/>
      <c r="AJ1456" s="5071"/>
      <c r="AK1456" s="5071"/>
      <c r="AL1456" s="5071"/>
      <c r="AM1456" s="5071"/>
      <c r="AN1456" s="5071"/>
      <c r="AO1456" s="5071"/>
      <c r="AP1456" s="5071"/>
      <c r="AQ1456" s="5071"/>
      <c r="AR1456" s="5071"/>
      <c r="AS1456" s="5071"/>
      <c r="AT1456" s="5071"/>
      <c r="AU1456" s="4295"/>
      <c r="AV1456" s="4295"/>
      <c r="AW1456" s="4295"/>
      <c r="AX1456" s="4295"/>
      <c r="AY1456" s="4295"/>
      <c r="AZ1456" s="4295"/>
      <c r="BA1456" s="4295"/>
      <c r="BB1456" s="4295"/>
      <c r="BC1456" s="4295"/>
      <c r="BD1456" s="4295"/>
      <c r="BE1456" s="4295"/>
      <c r="BF1456" s="4295"/>
      <c r="BG1456" s="4295"/>
      <c r="BH1456" s="4295"/>
      <c r="BI1456" s="4295"/>
      <c r="BJ1456" s="4295"/>
      <c r="BK1456" s="4295"/>
      <c r="BL1456" s="4295"/>
      <c r="BM1456" s="4295"/>
      <c r="BN1456" s="4295"/>
      <c r="BO1456" s="4295"/>
      <c r="BP1456" s="4295"/>
      <c r="BQ1456" s="4295"/>
      <c r="BR1456" s="4295"/>
      <c r="BS1456" s="4295"/>
      <c r="BT1456" s="4295"/>
      <c r="BU1456" s="4295"/>
      <c r="BV1456" s="4295"/>
      <c r="BW1456" s="4295"/>
      <c r="BX1456" s="4295"/>
      <c r="BY1456" s="4295"/>
      <c r="BZ1456" s="4295"/>
      <c r="CA1456" s="4295"/>
      <c r="CB1456" s="4295"/>
      <c r="CC1456" s="4295"/>
      <c r="CD1456" s="4295"/>
      <c r="CE1456" s="4295"/>
      <c r="CF1456" s="4295"/>
      <c r="CG1456" s="4295"/>
      <c r="CH1456" s="4295"/>
      <c r="CI1456" s="4295"/>
      <c r="CJ1456" s="4295"/>
      <c r="CK1456" s="4295"/>
      <c r="CL1456" s="4295"/>
      <c r="CM1456" s="4295"/>
      <c r="CN1456" s="4295"/>
      <c r="CO1456" s="4295"/>
      <c r="CP1456" s="4295"/>
      <c r="CQ1456" s="4295"/>
      <c r="CR1456" s="4295"/>
      <c r="CS1456" s="4295"/>
      <c r="CT1456" s="4295"/>
      <c r="CU1456" s="4295"/>
      <c r="CV1456" s="4295"/>
      <c r="CW1456" s="4295"/>
      <c r="CX1456" s="4295"/>
      <c r="CY1456" s="4295"/>
      <c r="CZ1456" s="4295"/>
      <c r="DA1456" s="4295"/>
      <c r="DB1456" s="4295"/>
      <c r="DC1456" s="4295"/>
      <c r="DD1456" s="4295"/>
      <c r="DE1456" s="4295"/>
      <c r="DF1456" s="4295"/>
      <c r="DG1456" s="4295"/>
      <c r="DH1456" s="4295"/>
      <c r="DI1456" s="4295"/>
      <c r="DJ1456" s="4295"/>
      <c r="DK1456" s="4295"/>
      <c r="DL1456" s="4295"/>
      <c r="DM1456" s="4295"/>
      <c r="DN1456" s="4295"/>
      <c r="DO1456" s="4295"/>
      <c r="DP1456" s="4295"/>
      <c r="DQ1456" s="4295"/>
      <c r="DR1456" s="4295"/>
      <c r="DS1456" s="4295"/>
    </row>
    <row r="1457" s="4133" customFormat="1" ht="16.5" customHeight="1" spans="1:123">
      <c r="A1457" s="5071"/>
      <c r="B1457" s="5071"/>
      <c r="C1457" s="5071"/>
      <c r="D1457" s="5071"/>
      <c r="E1457" s="5071"/>
      <c r="F1457" s="5071"/>
      <c r="G1457" s="5071"/>
      <c r="H1457" s="5071"/>
      <c r="I1457" s="5071"/>
      <c r="J1457" s="5071"/>
      <c r="K1457" s="5071"/>
      <c r="L1457" s="5071"/>
      <c r="M1457" s="5071"/>
      <c r="N1457" s="5071"/>
      <c r="O1457" s="5071"/>
      <c r="P1457" s="5071"/>
      <c r="Q1457" s="5071"/>
      <c r="R1457" s="5071"/>
      <c r="S1457" s="5071"/>
      <c r="T1457" s="5071"/>
      <c r="U1457" s="5071"/>
      <c r="V1457" s="5071"/>
      <c r="W1457" s="5071"/>
      <c r="X1457" s="5071"/>
      <c r="Y1457" s="5071"/>
      <c r="Z1457" s="5071"/>
      <c r="AA1457" s="5071"/>
      <c r="AB1457" s="5071"/>
      <c r="AC1457" s="5071"/>
      <c r="AD1457" s="5071"/>
      <c r="AE1457" s="5071"/>
      <c r="AF1457" s="5071"/>
      <c r="AG1457" s="5071"/>
      <c r="AH1457" s="5071"/>
      <c r="AI1457" s="5071"/>
      <c r="AJ1457" s="5071"/>
      <c r="AK1457" s="5071"/>
      <c r="AL1457" s="5071"/>
      <c r="AM1457" s="5071"/>
      <c r="AN1457" s="5071"/>
      <c r="AO1457" s="5071"/>
      <c r="AP1457" s="5071"/>
      <c r="AQ1457" s="5071"/>
      <c r="AR1457" s="5071"/>
      <c r="AS1457" s="5071"/>
      <c r="AT1457" s="5071"/>
      <c r="AU1457" s="4295"/>
      <c r="AV1457" s="4295"/>
      <c r="AW1457" s="4295"/>
      <c r="AX1457" s="4295"/>
      <c r="AY1457" s="4295"/>
      <c r="AZ1457" s="4295"/>
      <c r="BA1457" s="4295"/>
      <c r="BB1457" s="4295"/>
      <c r="BC1457" s="4295"/>
      <c r="BD1457" s="4295"/>
      <c r="BE1457" s="4295"/>
      <c r="BF1457" s="4295"/>
      <c r="BG1457" s="4295"/>
      <c r="BH1457" s="4295"/>
      <c r="BI1457" s="4295"/>
      <c r="BJ1457" s="4295"/>
      <c r="BK1457" s="4295"/>
      <c r="BL1457" s="4295"/>
      <c r="BM1457" s="4295"/>
      <c r="BN1457" s="4295"/>
      <c r="BO1457" s="4295"/>
      <c r="BP1457" s="4295"/>
      <c r="BQ1457" s="4295"/>
      <c r="BR1457" s="4295"/>
      <c r="BS1457" s="4295"/>
      <c r="BT1457" s="4295"/>
      <c r="BU1457" s="4295"/>
      <c r="BV1457" s="4295"/>
      <c r="BW1457" s="4295"/>
      <c r="BX1457" s="4295"/>
      <c r="BY1457" s="4295"/>
      <c r="BZ1457" s="4295"/>
      <c r="CA1457" s="4295"/>
      <c r="CB1457" s="4295"/>
      <c r="CC1457" s="4295"/>
      <c r="CD1457" s="4295"/>
      <c r="CE1457" s="4295"/>
      <c r="CF1457" s="4295"/>
      <c r="CG1457" s="4295"/>
      <c r="CH1457" s="4295"/>
      <c r="CI1457" s="4295"/>
      <c r="CJ1457" s="4295"/>
      <c r="CK1457" s="4295"/>
      <c r="CL1457" s="4295"/>
      <c r="CM1457" s="4295"/>
      <c r="CN1457" s="4295"/>
      <c r="CO1457" s="4295"/>
      <c r="CP1457" s="4295"/>
      <c r="CQ1457" s="4295"/>
      <c r="CR1457" s="4295"/>
      <c r="CS1457" s="4295"/>
      <c r="CT1457" s="4295"/>
      <c r="CU1457" s="4295"/>
      <c r="CV1457" s="4295"/>
      <c r="CW1457" s="4295"/>
      <c r="CX1457" s="4295"/>
      <c r="CY1457" s="4295"/>
      <c r="CZ1457" s="4295"/>
      <c r="DA1457" s="4295"/>
      <c r="DB1457" s="4295"/>
      <c r="DC1457" s="4295"/>
      <c r="DD1457" s="4295"/>
      <c r="DE1457" s="4295"/>
      <c r="DF1457" s="4295"/>
      <c r="DG1457" s="4295"/>
      <c r="DH1457" s="4295"/>
      <c r="DI1457" s="4295"/>
      <c r="DJ1457" s="4295"/>
      <c r="DK1457" s="4295"/>
      <c r="DL1457" s="4295"/>
      <c r="DM1457" s="4295"/>
      <c r="DN1457" s="4295"/>
      <c r="DO1457" s="4295"/>
      <c r="DP1457" s="4295"/>
      <c r="DQ1457" s="4295"/>
      <c r="DR1457" s="4295"/>
      <c r="DS1457" s="4295"/>
    </row>
    <row r="1458" s="4133" customFormat="1" ht="16.5" customHeight="1" spans="1:123">
      <c r="A1458" s="4295"/>
      <c r="B1458" s="4295"/>
      <c r="C1458" s="4295"/>
      <c r="D1458" s="4295"/>
      <c r="E1458" s="4295"/>
      <c r="F1458" s="4295"/>
      <c r="G1458" s="4295"/>
      <c r="H1458" s="4295"/>
      <c r="I1458" s="4295"/>
      <c r="J1458" s="4295"/>
      <c r="K1458" s="4295"/>
      <c r="L1458" s="4295"/>
      <c r="M1458" s="4295"/>
      <c r="N1458" s="4295"/>
      <c r="O1458" s="4295"/>
      <c r="P1458" s="4295"/>
      <c r="Q1458" s="4295"/>
      <c r="R1458" s="4295"/>
      <c r="S1458" s="4295"/>
      <c r="T1458" s="4295"/>
      <c r="U1458" s="4295"/>
      <c r="V1458" s="4295"/>
      <c r="W1458" s="4295"/>
      <c r="X1458" s="4295"/>
      <c r="Y1458" s="4295"/>
      <c r="Z1458" s="4295"/>
      <c r="AA1458" s="4295"/>
      <c r="AB1458" s="4295"/>
      <c r="AC1458" s="4295"/>
      <c r="AD1458" s="4295"/>
      <c r="AE1458" s="4295"/>
      <c r="AF1458" s="4295"/>
      <c r="AG1458" s="4295"/>
      <c r="AH1458" s="4295"/>
      <c r="AI1458" s="4295"/>
      <c r="AJ1458" s="4295"/>
      <c r="AK1458" s="4295"/>
      <c r="AL1458" s="4295"/>
      <c r="AM1458" s="4295"/>
      <c r="AN1458" s="4295"/>
      <c r="AO1458" s="4295"/>
      <c r="AP1458" s="4295"/>
      <c r="AQ1458" s="4295"/>
      <c r="AR1458" s="4295"/>
      <c r="AS1458" s="4295"/>
      <c r="AT1458" s="4295"/>
      <c r="AU1458" s="4295"/>
      <c r="AV1458" s="4295"/>
      <c r="AW1458" s="4295"/>
      <c r="AX1458" s="4295"/>
      <c r="AY1458" s="4295"/>
      <c r="AZ1458" s="4295"/>
      <c r="BA1458" s="4295"/>
      <c r="BB1458" s="4295"/>
      <c r="BC1458" s="4295"/>
      <c r="BD1458" s="4295"/>
      <c r="BE1458" s="4295"/>
      <c r="BF1458" s="4295"/>
      <c r="BG1458" s="4295"/>
      <c r="BH1458" s="4295"/>
      <c r="BI1458" s="4295"/>
      <c r="BJ1458" s="4295"/>
      <c r="BK1458" s="4295"/>
      <c r="BL1458" s="4295"/>
      <c r="BM1458" s="4295"/>
      <c r="BN1458" s="4295"/>
      <c r="BO1458" s="4295"/>
      <c r="BP1458" s="4295"/>
      <c r="BQ1458" s="4295"/>
      <c r="BR1458" s="4295"/>
      <c r="BS1458" s="4295"/>
      <c r="BT1458" s="4295"/>
      <c r="BU1458" s="4295"/>
      <c r="BV1458" s="4295"/>
      <c r="BW1458" s="4295"/>
      <c r="BX1458" s="4295"/>
      <c r="BY1458" s="4295"/>
      <c r="BZ1458" s="4295"/>
      <c r="CA1458" s="4295"/>
      <c r="CB1458" s="4295"/>
      <c r="CC1458" s="4295"/>
      <c r="CD1458" s="4295"/>
      <c r="CE1458" s="4295"/>
      <c r="CF1458" s="4295"/>
      <c r="CG1458" s="4295"/>
      <c r="CH1458" s="4295"/>
      <c r="CI1458" s="4295"/>
      <c r="CJ1458" s="4295"/>
      <c r="CK1458" s="4295"/>
      <c r="CL1458" s="4295"/>
      <c r="CM1458" s="4295"/>
      <c r="CN1458" s="4295"/>
      <c r="CO1458" s="4295"/>
      <c r="CP1458" s="4295"/>
      <c r="CQ1458" s="4295"/>
      <c r="CR1458" s="4295"/>
      <c r="CS1458" s="4295"/>
      <c r="CT1458" s="4295"/>
      <c r="CU1458" s="4295"/>
      <c r="CV1458" s="4295"/>
      <c r="CW1458" s="4295"/>
      <c r="CX1458" s="4295"/>
      <c r="CY1458" s="4295"/>
      <c r="CZ1458" s="4295"/>
      <c r="DA1458" s="4295"/>
      <c r="DB1458" s="4295"/>
      <c r="DC1458" s="4295"/>
      <c r="DD1458" s="4295"/>
      <c r="DE1458" s="4295"/>
      <c r="DF1458" s="4295"/>
      <c r="DG1458" s="4295"/>
      <c r="DH1458" s="4295"/>
      <c r="DI1458" s="4295"/>
      <c r="DJ1458" s="4295"/>
      <c r="DK1458" s="4295"/>
      <c r="DL1458" s="4295"/>
      <c r="DM1458" s="4295"/>
      <c r="DN1458" s="4295"/>
      <c r="DO1458" s="4295"/>
      <c r="DP1458" s="4295"/>
      <c r="DQ1458" s="4295"/>
      <c r="DR1458" s="4295"/>
      <c r="DS1458" s="4295"/>
    </row>
    <row r="1459" s="4133" customFormat="1" ht="16.5" customHeight="1" spans="1:123">
      <c r="A1459" s="4369" t="s">
        <v>5776</v>
      </c>
      <c r="B1459" s="4369"/>
      <c r="C1459" s="4295"/>
      <c r="D1459" s="4295"/>
      <c r="E1459" s="4295"/>
      <c r="F1459" s="4295"/>
      <c r="G1459" s="4295"/>
      <c r="H1459" s="4295"/>
      <c r="I1459" s="4295"/>
      <c r="J1459" s="4295"/>
      <c r="K1459" s="4295"/>
      <c r="L1459" s="4295"/>
      <c r="M1459" s="4295"/>
      <c r="N1459" s="4295"/>
      <c r="O1459" s="4295"/>
      <c r="P1459" s="4295"/>
      <c r="Q1459" s="4295"/>
      <c r="R1459" s="4295"/>
      <c r="S1459" s="4295"/>
      <c r="T1459" s="4295"/>
      <c r="U1459" s="4295"/>
      <c r="V1459" s="4295"/>
      <c r="W1459" s="4295"/>
      <c r="X1459" s="4295"/>
      <c r="Y1459" s="4295"/>
      <c r="Z1459" s="4295"/>
      <c r="AA1459" s="4295"/>
      <c r="AB1459" s="4295"/>
      <c r="AC1459" s="4295"/>
      <c r="AD1459" s="4295"/>
      <c r="AE1459" s="4295"/>
      <c r="AF1459" s="4295"/>
      <c r="AG1459" s="4295"/>
      <c r="AH1459" s="4295"/>
      <c r="AI1459" s="4295"/>
      <c r="AJ1459" s="4295"/>
      <c r="AK1459" s="4295"/>
      <c r="AL1459" s="4295"/>
      <c r="AM1459" s="4295"/>
      <c r="AN1459" s="4295"/>
      <c r="AO1459" s="4295"/>
      <c r="AP1459" s="4295"/>
      <c r="AQ1459" s="4295"/>
      <c r="AR1459" s="4295"/>
      <c r="AS1459" s="4295"/>
      <c r="AT1459" s="4295"/>
      <c r="AU1459" s="4295"/>
      <c r="AV1459" s="4295"/>
      <c r="AW1459" s="4295"/>
      <c r="AX1459" s="4295"/>
      <c r="AY1459" s="4295"/>
      <c r="AZ1459" s="4295"/>
      <c r="BA1459" s="4295"/>
      <c r="BB1459" s="4295"/>
      <c r="BC1459" s="4295"/>
      <c r="BD1459" s="4295"/>
      <c r="BE1459" s="4295"/>
      <c r="BF1459" s="4295"/>
      <c r="BG1459" s="4295"/>
      <c r="BH1459" s="4295"/>
      <c r="BI1459" s="4295"/>
      <c r="BJ1459" s="4295"/>
      <c r="BK1459" s="4295"/>
      <c r="BL1459" s="4295"/>
      <c r="BM1459" s="4295"/>
      <c r="BN1459" s="4295"/>
      <c r="BO1459" s="4295"/>
      <c r="BP1459" s="4295"/>
      <c r="BQ1459" s="4295"/>
      <c r="BR1459" s="4295"/>
      <c r="BS1459" s="4295"/>
      <c r="BT1459" s="4295"/>
      <c r="BU1459" s="4295"/>
      <c r="BV1459" s="4295"/>
      <c r="BW1459" s="4295"/>
      <c r="BX1459" s="4295"/>
      <c r="BY1459" s="4295"/>
      <c r="BZ1459" s="4295"/>
      <c r="CA1459" s="4295"/>
      <c r="CB1459" s="4295"/>
      <c r="CC1459" s="4295"/>
      <c r="CD1459" s="4295"/>
      <c r="CE1459" s="4295"/>
      <c r="CF1459" s="4295"/>
      <c r="CG1459" s="4295"/>
      <c r="CH1459" s="4295"/>
      <c r="CI1459" s="4295"/>
      <c r="CJ1459" s="4295"/>
      <c r="CK1459" s="4295"/>
      <c r="CL1459" s="4295"/>
      <c r="CM1459" s="4295"/>
      <c r="CN1459" s="4295"/>
      <c r="CO1459" s="4295"/>
      <c r="CP1459" s="4295"/>
      <c r="CQ1459" s="4295"/>
      <c r="CR1459" s="4295"/>
      <c r="CS1459" s="4295"/>
      <c r="CT1459" s="4295"/>
      <c r="CU1459" s="4295"/>
      <c r="CV1459" s="4295"/>
      <c r="CW1459" s="4295"/>
      <c r="CX1459" s="4295"/>
      <c r="CY1459" s="4295"/>
      <c r="CZ1459" s="4295"/>
      <c r="DA1459" s="4295"/>
      <c r="DB1459" s="4295"/>
      <c r="DC1459" s="4295"/>
      <c r="DD1459" s="4295"/>
      <c r="DE1459" s="4295"/>
      <c r="DF1459" s="4295"/>
      <c r="DG1459" s="4295"/>
      <c r="DH1459" s="4295"/>
      <c r="DI1459" s="4295"/>
      <c r="DJ1459" s="4295"/>
      <c r="DK1459" s="4295"/>
      <c r="DL1459" s="4295"/>
      <c r="DM1459" s="4295"/>
      <c r="DN1459" s="4295"/>
      <c r="DO1459" s="4295"/>
      <c r="DP1459" s="4295"/>
      <c r="DQ1459" s="4295"/>
      <c r="DR1459" s="4295"/>
      <c r="DS1459" s="4295"/>
    </row>
    <row r="1460" s="4133" customFormat="1" ht="16.5" customHeight="1" spans="1:123">
      <c r="A1460" s="5072" t="str">
        <f ca="1">Analiza!A295</f>
        <v>Tekuća (obrtna) sredstva na dan 31.12.2025. godine, iznose: 574.865 KM, što je u odnosu na stanje 01.01.2025. godine, SMANJENJE, za 42.313 KM ili 6,9%. Prosječno korištena tekuća sredstva iznose 596.022 KM, imaju koeficijent obrtaja 0,42 i vrijeme vezivanja od 878 dana.</v>
      </c>
      <c r="B1460" s="5072"/>
      <c r="C1460" s="5072"/>
      <c r="D1460" s="5072"/>
      <c r="E1460" s="5072"/>
      <c r="F1460" s="5072"/>
      <c r="G1460" s="5072"/>
      <c r="H1460" s="5072"/>
      <c r="I1460" s="5072"/>
      <c r="J1460" s="5072"/>
      <c r="K1460" s="5072"/>
      <c r="L1460" s="5072"/>
      <c r="M1460" s="5072"/>
      <c r="N1460" s="5072"/>
      <c r="O1460" s="5072"/>
      <c r="P1460" s="5072"/>
      <c r="Q1460" s="5072"/>
      <c r="R1460" s="5072"/>
      <c r="S1460" s="5072"/>
      <c r="T1460" s="5072"/>
      <c r="U1460" s="5072"/>
      <c r="V1460" s="5072"/>
      <c r="W1460" s="5072"/>
      <c r="X1460" s="5072"/>
      <c r="Y1460" s="5072"/>
      <c r="Z1460" s="5072"/>
      <c r="AA1460" s="5072"/>
      <c r="AB1460" s="5072"/>
      <c r="AC1460" s="5072"/>
      <c r="AD1460" s="5072"/>
      <c r="AE1460" s="5072"/>
      <c r="AF1460" s="5072"/>
      <c r="AG1460" s="5072"/>
      <c r="AH1460" s="5072"/>
      <c r="AI1460" s="5072"/>
      <c r="AJ1460" s="5072"/>
      <c r="AK1460" s="5072"/>
      <c r="AL1460" s="5072"/>
      <c r="AM1460" s="5072"/>
      <c r="AN1460" s="5072"/>
      <c r="AO1460" s="5072"/>
      <c r="AP1460" s="5072"/>
      <c r="AQ1460" s="5072"/>
      <c r="AR1460" s="5072"/>
      <c r="AS1460" s="5072"/>
      <c r="AT1460" s="5072"/>
      <c r="AU1460" s="4295"/>
      <c r="AV1460" s="4295"/>
      <c r="AW1460" s="4295"/>
      <c r="AX1460" s="4295"/>
      <c r="AY1460" s="4295"/>
      <c r="AZ1460" s="4295"/>
      <c r="BA1460" s="4295"/>
      <c r="BB1460" s="4295"/>
      <c r="BC1460" s="4295"/>
      <c r="BD1460" s="4295"/>
      <c r="BE1460" s="4295"/>
      <c r="BF1460" s="4295"/>
      <c r="BG1460" s="4295"/>
      <c r="BH1460" s="4295"/>
      <c r="BI1460" s="4295"/>
      <c r="BJ1460" s="4295"/>
      <c r="BK1460" s="4295"/>
      <c r="BL1460" s="4295"/>
      <c r="BM1460" s="4295"/>
      <c r="BN1460" s="4295"/>
      <c r="BO1460" s="4295"/>
      <c r="BP1460" s="4295"/>
      <c r="BQ1460" s="4295"/>
      <c r="BR1460" s="4295"/>
      <c r="BS1460" s="4295"/>
      <c r="BT1460" s="4295"/>
      <c r="BU1460" s="4295"/>
      <c r="BV1460" s="4295"/>
      <c r="BW1460" s="4295"/>
      <c r="BX1460" s="4295"/>
      <c r="BY1460" s="4295"/>
      <c r="BZ1460" s="4295"/>
      <c r="CA1460" s="4295"/>
      <c r="CB1460" s="4295"/>
      <c r="CC1460" s="4295"/>
      <c r="CD1460" s="4295"/>
      <c r="CE1460" s="4295"/>
      <c r="CF1460" s="4295"/>
      <c r="CG1460" s="4295"/>
      <c r="CH1460" s="4295"/>
      <c r="CI1460" s="4295"/>
      <c r="CJ1460" s="4295"/>
      <c r="CK1460" s="4295"/>
      <c r="CL1460" s="4295"/>
      <c r="CM1460" s="4295"/>
      <c r="CN1460" s="4295"/>
      <c r="CO1460" s="4295"/>
      <c r="CP1460" s="4295"/>
      <c r="CQ1460" s="4295"/>
      <c r="CR1460" s="4295"/>
      <c r="CS1460" s="4295"/>
      <c r="CT1460" s="4295"/>
      <c r="CU1460" s="4295"/>
      <c r="CV1460" s="4295"/>
      <c r="CW1460" s="4295"/>
      <c r="CX1460" s="4295"/>
      <c r="CY1460" s="4295"/>
      <c r="CZ1460" s="4295"/>
      <c r="DA1460" s="4295"/>
      <c r="DB1460" s="4295"/>
      <c r="DC1460" s="4295"/>
      <c r="DD1460" s="4295"/>
      <c r="DE1460" s="4295"/>
      <c r="DF1460" s="4295"/>
      <c r="DG1460" s="4295"/>
      <c r="DH1460" s="4295"/>
      <c r="DI1460" s="4295"/>
      <c r="DJ1460" s="4295"/>
      <c r="DK1460" s="4295"/>
      <c r="DL1460" s="4295"/>
      <c r="DM1460" s="4295"/>
      <c r="DN1460" s="4295"/>
      <c r="DO1460" s="4295"/>
      <c r="DP1460" s="4295"/>
      <c r="DQ1460" s="4295"/>
      <c r="DR1460" s="4295"/>
      <c r="DS1460" s="4295"/>
    </row>
    <row r="1461" s="4133" customFormat="1" ht="16.5" customHeight="1" spans="1:123">
      <c r="A1461" s="5072"/>
      <c r="B1461" s="5072"/>
      <c r="C1461" s="5072"/>
      <c r="D1461" s="5072"/>
      <c r="E1461" s="5072"/>
      <c r="F1461" s="5072"/>
      <c r="G1461" s="5072"/>
      <c r="H1461" s="5072"/>
      <c r="I1461" s="5072"/>
      <c r="J1461" s="5072"/>
      <c r="K1461" s="5072"/>
      <c r="L1461" s="5072"/>
      <c r="M1461" s="5072"/>
      <c r="N1461" s="5072"/>
      <c r="O1461" s="5072"/>
      <c r="P1461" s="5072"/>
      <c r="Q1461" s="5072"/>
      <c r="R1461" s="5072"/>
      <c r="S1461" s="5072"/>
      <c r="T1461" s="5072"/>
      <c r="U1461" s="5072"/>
      <c r="V1461" s="5072"/>
      <c r="W1461" s="5072"/>
      <c r="X1461" s="5072"/>
      <c r="Y1461" s="5072"/>
      <c r="Z1461" s="5072"/>
      <c r="AA1461" s="5072"/>
      <c r="AB1461" s="5072"/>
      <c r="AC1461" s="5072"/>
      <c r="AD1461" s="5072"/>
      <c r="AE1461" s="5072"/>
      <c r="AF1461" s="5072"/>
      <c r="AG1461" s="5072"/>
      <c r="AH1461" s="5072"/>
      <c r="AI1461" s="5072"/>
      <c r="AJ1461" s="5072"/>
      <c r="AK1461" s="5072"/>
      <c r="AL1461" s="5072"/>
      <c r="AM1461" s="5072"/>
      <c r="AN1461" s="5072"/>
      <c r="AO1461" s="5072"/>
      <c r="AP1461" s="5072"/>
      <c r="AQ1461" s="5072"/>
      <c r="AR1461" s="5072"/>
      <c r="AS1461" s="5072"/>
      <c r="AT1461" s="5072"/>
      <c r="AU1461" s="4295"/>
      <c r="AV1461" s="4295"/>
      <c r="AW1461" s="4295"/>
      <c r="AX1461" s="4295"/>
      <c r="AY1461" s="4295"/>
      <c r="AZ1461" s="4295"/>
      <c r="BA1461" s="4295"/>
      <c r="BB1461" s="4295"/>
      <c r="BC1461" s="4295"/>
      <c r="BD1461" s="4295"/>
      <c r="BE1461" s="4295"/>
      <c r="BF1461" s="4295"/>
      <c r="BG1461" s="4295"/>
      <c r="BH1461" s="4295"/>
      <c r="BI1461" s="4295"/>
      <c r="BJ1461" s="4295"/>
      <c r="BK1461" s="4295"/>
      <c r="BL1461" s="4295"/>
      <c r="BM1461" s="4295"/>
      <c r="BN1461" s="4295"/>
      <c r="BO1461" s="4295"/>
      <c r="BP1461" s="4295"/>
      <c r="BQ1461" s="4295"/>
      <c r="BR1461" s="4295"/>
      <c r="BS1461" s="4295"/>
      <c r="BT1461" s="4295"/>
      <c r="BU1461" s="4295"/>
      <c r="BV1461" s="4295"/>
      <c r="BW1461" s="4295"/>
      <c r="BX1461" s="4295"/>
      <c r="BY1461" s="4295"/>
      <c r="BZ1461" s="4295"/>
      <c r="CA1461" s="4295"/>
      <c r="CB1461" s="4295"/>
      <c r="CC1461" s="4295"/>
      <c r="CD1461" s="4295"/>
      <c r="CE1461" s="4295"/>
      <c r="CF1461" s="4295"/>
      <c r="CG1461" s="4295"/>
      <c r="CH1461" s="4295"/>
      <c r="CI1461" s="4295"/>
      <c r="CJ1461" s="4295"/>
      <c r="CK1461" s="4295"/>
      <c r="CL1461" s="4295"/>
      <c r="CM1461" s="4295"/>
      <c r="CN1461" s="4295"/>
      <c r="CO1461" s="4295"/>
      <c r="CP1461" s="4295"/>
      <c r="CQ1461" s="4295"/>
      <c r="CR1461" s="4295"/>
      <c r="CS1461" s="4295"/>
      <c r="CT1461" s="4295"/>
      <c r="CU1461" s="4295"/>
      <c r="CV1461" s="4295"/>
      <c r="CW1461" s="4295"/>
      <c r="CX1461" s="4295"/>
      <c r="CY1461" s="4295"/>
      <c r="CZ1461" s="4295"/>
      <c r="DA1461" s="4295"/>
      <c r="DB1461" s="4295"/>
      <c r="DC1461" s="4295"/>
      <c r="DD1461" s="4295"/>
      <c r="DE1461" s="4295"/>
      <c r="DF1461" s="4295"/>
      <c r="DG1461" s="4295"/>
      <c r="DH1461" s="4295"/>
      <c r="DI1461" s="4295"/>
      <c r="DJ1461" s="4295"/>
      <c r="DK1461" s="4295"/>
      <c r="DL1461" s="4295"/>
      <c r="DM1461" s="4295"/>
      <c r="DN1461" s="4295"/>
      <c r="DO1461" s="4295"/>
      <c r="DP1461" s="4295"/>
      <c r="DQ1461" s="4295"/>
      <c r="DR1461" s="4295"/>
      <c r="DS1461" s="4295"/>
    </row>
    <row r="1462" s="4133" customFormat="1" ht="16.5" customHeight="1" spans="1:123">
      <c r="A1462" s="5072"/>
      <c r="B1462" s="5072"/>
      <c r="C1462" s="5072"/>
      <c r="D1462" s="5072"/>
      <c r="E1462" s="5072"/>
      <c r="F1462" s="5072"/>
      <c r="G1462" s="5072"/>
      <c r="H1462" s="5072"/>
      <c r="I1462" s="5072"/>
      <c r="J1462" s="5072"/>
      <c r="K1462" s="5072"/>
      <c r="L1462" s="5072"/>
      <c r="M1462" s="5072"/>
      <c r="N1462" s="5072"/>
      <c r="O1462" s="5072"/>
      <c r="P1462" s="5072"/>
      <c r="Q1462" s="5072"/>
      <c r="R1462" s="5072"/>
      <c r="S1462" s="5072"/>
      <c r="T1462" s="5072"/>
      <c r="U1462" s="5072"/>
      <c r="V1462" s="5072"/>
      <c r="W1462" s="5072"/>
      <c r="X1462" s="5072"/>
      <c r="Y1462" s="5072"/>
      <c r="Z1462" s="5072"/>
      <c r="AA1462" s="5072"/>
      <c r="AB1462" s="5072"/>
      <c r="AC1462" s="5072"/>
      <c r="AD1462" s="5072"/>
      <c r="AE1462" s="5072"/>
      <c r="AF1462" s="5072"/>
      <c r="AG1462" s="5072"/>
      <c r="AH1462" s="5072"/>
      <c r="AI1462" s="5072"/>
      <c r="AJ1462" s="5072"/>
      <c r="AK1462" s="5072"/>
      <c r="AL1462" s="5072"/>
      <c r="AM1462" s="5072"/>
      <c r="AN1462" s="5072"/>
      <c r="AO1462" s="5072"/>
      <c r="AP1462" s="5072"/>
      <c r="AQ1462" s="5072"/>
      <c r="AR1462" s="5072"/>
      <c r="AS1462" s="5072"/>
      <c r="AT1462" s="5072"/>
      <c r="AU1462" s="4295"/>
      <c r="AV1462" s="4295"/>
      <c r="AW1462" s="4295"/>
      <c r="AX1462" s="4295"/>
      <c r="AY1462" s="4295"/>
      <c r="AZ1462" s="4295"/>
      <c r="BA1462" s="4295"/>
      <c r="BB1462" s="4295"/>
      <c r="BC1462" s="4295"/>
      <c r="BD1462" s="4295"/>
      <c r="BE1462" s="4295"/>
      <c r="BF1462" s="4295"/>
      <c r="BG1462" s="4295"/>
      <c r="BH1462" s="4295"/>
      <c r="BI1462" s="4295"/>
      <c r="BJ1462" s="4295"/>
      <c r="BK1462" s="4295"/>
      <c r="BL1462" s="4295"/>
      <c r="BM1462" s="4295"/>
      <c r="BN1462" s="4295"/>
      <c r="BO1462" s="4295"/>
      <c r="BP1462" s="4295"/>
      <c r="BQ1462" s="4295"/>
      <c r="BR1462" s="4295"/>
      <c r="BS1462" s="4295"/>
      <c r="BT1462" s="4295"/>
      <c r="BU1462" s="4295"/>
      <c r="BV1462" s="4295"/>
      <c r="BW1462" s="4295"/>
      <c r="BX1462" s="4295"/>
      <c r="BY1462" s="4295"/>
      <c r="BZ1462" s="4295"/>
      <c r="CA1462" s="4295"/>
      <c r="CB1462" s="4295"/>
      <c r="CC1462" s="4295"/>
      <c r="CD1462" s="4295"/>
      <c r="CE1462" s="4295"/>
      <c r="CF1462" s="4295"/>
      <c r="CG1462" s="4295"/>
      <c r="CH1462" s="4295"/>
      <c r="CI1462" s="4295"/>
      <c r="CJ1462" s="4295"/>
      <c r="CK1462" s="4295"/>
      <c r="CL1462" s="4295"/>
      <c r="CM1462" s="4295"/>
      <c r="CN1462" s="4295"/>
      <c r="CO1462" s="4295"/>
      <c r="CP1462" s="4295"/>
      <c r="CQ1462" s="4295"/>
      <c r="CR1462" s="4295"/>
      <c r="CS1462" s="4295"/>
      <c r="CT1462" s="4295"/>
      <c r="CU1462" s="4295"/>
      <c r="CV1462" s="4295"/>
      <c r="CW1462" s="4295"/>
      <c r="CX1462" s="4295"/>
      <c r="CY1462" s="4295"/>
      <c r="CZ1462" s="4295"/>
      <c r="DA1462" s="4295"/>
      <c r="DB1462" s="4295"/>
      <c r="DC1462" s="4295"/>
      <c r="DD1462" s="4295"/>
      <c r="DE1462" s="4295"/>
      <c r="DF1462" s="4295"/>
      <c r="DG1462" s="4295"/>
      <c r="DH1462" s="4295"/>
      <c r="DI1462" s="4295"/>
      <c r="DJ1462" s="4295"/>
      <c r="DK1462" s="4295"/>
      <c r="DL1462" s="4295"/>
      <c r="DM1462" s="4295"/>
      <c r="DN1462" s="4295"/>
      <c r="DO1462" s="4295"/>
      <c r="DP1462" s="4295"/>
      <c r="DQ1462" s="4295"/>
      <c r="DR1462" s="4295"/>
      <c r="DS1462" s="4295"/>
    </row>
    <row r="1463" s="4133" customFormat="1" ht="16.5" customHeight="1" spans="1:123">
      <c r="A1463" s="5072"/>
      <c r="B1463" s="5072"/>
      <c r="C1463" s="5072"/>
      <c r="D1463" s="5072"/>
      <c r="E1463" s="5072"/>
      <c r="F1463" s="5072"/>
      <c r="G1463" s="5072"/>
      <c r="H1463" s="5072"/>
      <c r="I1463" s="5072"/>
      <c r="J1463" s="5072"/>
      <c r="K1463" s="5072"/>
      <c r="L1463" s="5072"/>
      <c r="M1463" s="5072"/>
      <c r="N1463" s="5072"/>
      <c r="O1463" s="5072"/>
      <c r="P1463" s="5072"/>
      <c r="Q1463" s="5072"/>
      <c r="R1463" s="5072"/>
      <c r="S1463" s="5072"/>
      <c r="T1463" s="5072"/>
      <c r="U1463" s="5072"/>
      <c r="V1463" s="5072"/>
      <c r="W1463" s="5072"/>
      <c r="X1463" s="5072"/>
      <c r="Y1463" s="5072"/>
      <c r="Z1463" s="5072"/>
      <c r="AA1463" s="5072"/>
      <c r="AB1463" s="5072"/>
      <c r="AC1463" s="5072"/>
      <c r="AD1463" s="5072"/>
      <c r="AE1463" s="5072"/>
      <c r="AF1463" s="5072"/>
      <c r="AG1463" s="5072"/>
      <c r="AH1463" s="5072"/>
      <c r="AI1463" s="5072"/>
      <c r="AJ1463" s="5072"/>
      <c r="AK1463" s="5072"/>
      <c r="AL1463" s="5072"/>
      <c r="AM1463" s="5072"/>
      <c r="AN1463" s="5072"/>
      <c r="AO1463" s="5072"/>
      <c r="AP1463" s="5072"/>
      <c r="AQ1463" s="5072"/>
      <c r="AR1463" s="5072"/>
      <c r="AS1463" s="5072"/>
      <c r="AT1463" s="5072"/>
      <c r="AU1463" s="4295"/>
      <c r="AV1463" s="4295"/>
      <c r="AW1463" s="4295"/>
      <c r="AX1463" s="4295"/>
      <c r="AY1463" s="4295"/>
      <c r="AZ1463" s="4295"/>
      <c r="BA1463" s="4295"/>
      <c r="BB1463" s="4295"/>
      <c r="BC1463" s="4295"/>
      <c r="BD1463" s="4295"/>
      <c r="BE1463" s="4295"/>
      <c r="BF1463" s="4295"/>
      <c r="BG1463" s="4295"/>
      <c r="BH1463" s="4295"/>
      <c r="BI1463" s="4295"/>
      <c r="BJ1463" s="4295"/>
      <c r="BK1463" s="4295"/>
      <c r="BL1463" s="4295"/>
      <c r="BM1463" s="4295"/>
      <c r="BN1463" s="4295"/>
      <c r="BO1463" s="4295"/>
      <c r="BP1463" s="4295"/>
      <c r="BQ1463" s="4295"/>
      <c r="BR1463" s="4295"/>
      <c r="BS1463" s="4295"/>
      <c r="BT1463" s="4295"/>
      <c r="BU1463" s="4295"/>
      <c r="BV1463" s="4295"/>
      <c r="BW1463" s="4295"/>
      <c r="BX1463" s="4295"/>
      <c r="BY1463" s="4295"/>
      <c r="BZ1463" s="4295"/>
      <c r="CA1463" s="4295"/>
      <c r="CB1463" s="4295"/>
      <c r="CC1463" s="4295"/>
      <c r="CD1463" s="4295"/>
      <c r="CE1463" s="4295"/>
      <c r="CF1463" s="4295"/>
      <c r="CG1463" s="4295"/>
      <c r="CH1463" s="4295"/>
      <c r="CI1463" s="4295"/>
      <c r="CJ1463" s="4295"/>
      <c r="CK1463" s="4295"/>
      <c r="CL1463" s="4295"/>
      <c r="CM1463" s="4295"/>
      <c r="CN1463" s="4295"/>
      <c r="CO1463" s="4295"/>
      <c r="CP1463" s="4295"/>
      <c r="CQ1463" s="4295"/>
      <c r="CR1463" s="4295"/>
      <c r="CS1463" s="4295"/>
      <c r="CT1463" s="4295"/>
      <c r="CU1463" s="4295"/>
      <c r="CV1463" s="4295"/>
      <c r="CW1463" s="4295"/>
      <c r="CX1463" s="4295"/>
      <c r="CY1463" s="4295"/>
      <c r="CZ1463" s="4295"/>
      <c r="DA1463" s="4295"/>
      <c r="DB1463" s="4295"/>
      <c r="DC1463" s="4295"/>
      <c r="DD1463" s="4295"/>
      <c r="DE1463" s="4295"/>
      <c r="DF1463" s="4295"/>
      <c r="DG1463" s="4295"/>
      <c r="DH1463" s="4295"/>
      <c r="DI1463" s="4295"/>
      <c r="DJ1463" s="4295"/>
      <c r="DK1463" s="4295"/>
      <c r="DL1463" s="4295"/>
      <c r="DM1463" s="4295"/>
      <c r="DN1463" s="4295"/>
      <c r="DO1463" s="4295"/>
      <c r="DP1463" s="4295"/>
      <c r="DQ1463" s="4295"/>
      <c r="DR1463" s="4295"/>
      <c r="DS1463" s="4295"/>
    </row>
    <row r="1464" s="4133" customFormat="1" ht="16.5" customHeight="1" spans="1:123">
      <c r="A1464" s="5070"/>
      <c r="B1464" s="5070"/>
      <c r="C1464" s="5070"/>
      <c r="D1464" s="5070"/>
      <c r="E1464" s="5070"/>
      <c r="F1464" s="5070"/>
      <c r="G1464" s="5070"/>
      <c r="H1464" s="5070"/>
      <c r="I1464" s="5070"/>
      <c r="J1464" s="5070"/>
      <c r="K1464" s="5070"/>
      <c r="L1464" s="5070"/>
      <c r="M1464" s="5070"/>
      <c r="N1464" s="5070"/>
      <c r="O1464" s="5070"/>
      <c r="P1464" s="5070"/>
      <c r="Q1464" s="5070"/>
      <c r="R1464" s="5070"/>
      <c r="S1464" s="5070"/>
      <c r="T1464" s="5070"/>
      <c r="U1464" s="5070"/>
      <c r="V1464" s="5070"/>
      <c r="W1464" s="5070"/>
      <c r="X1464" s="5070"/>
      <c r="Y1464" s="5070"/>
      <c r="Z1464" s="5070"/>
      <c r="AA1464" s="5070"/>
      <c r="AB1464" s="5070"/>
      <c r="AC1464" s="5070"/>
      <c r="AD1464" s="5070"/>
      <c r="AE1464" s="5070"/>
      <c r="AF1464" s="5070"/>
      <c r="AG1464" s="5070"/>
      <c r="AH1464" s="5070"/>
      <c r="AI1464" s="5070"/>
      <c r="AJ1464" s="5070"/>
      <c r="AK1464" s="5070"/>
      <c r="AL1464" s="5070"/>
      <c r="AM1464" s="5070"/>
      <c r="AN1464" s="5070"/>
      <c r="AO1464" s="5070"/>
      <c r="AP1464" s="5070"/>
      <c r="AQ1464" s="5070"/>
      <c r="AR1464" s="5070"/>
      <c r="AS1464" s="5070"/>
      <c r="AT1464" s="5070"/>
      <c r="AU1464" s="4295"/>
      <c r="AV1464" s="4295"/>
      <c r="AW1464" s="4295"/>
      <c r="AX1464" s="4295"/>
      <c r="AY1464" s="4295"/>
      <c r="AZ1464" s="4295"/>
      <c r="BA1464" s="4295"/>
      <c r="BB1464" s="4295"/>
      <c r="BC1464" s="4295"/>
      <c r="BD1464" s="4295"/>
      <c r="BE1464" s="4295"/>
      <c r="BF1464" s="4295"/>
      <c r="BG1464" s="4295"/>
      <c r="BH1464" s="4295"/>
      <c r="BI1464" s="4295"/>
      <c r="BJ1464" s="4295"/>
      <c r="BK1464" s="4295"/>
      <c r="BL1464" s="4295"/>
      <c r="BM1464" s="4295"/>
      <c r="BN1464" s="4295"/>
      <c r="BO1464" s="4295"/>
      <c r="BP1464" s="4295"/>
      <c r="BQ1464" s="4295"/>
      <c r="BR1464" s="4295"/>
      <c r="BS1464" s="4295"/>
      <c r="BT1464" s="4295"/>
      <c r="BU1464" s="4295"/>
      <c r="BV1464" s="4295"/>
      <c r="BW1464" s="4295"/>
      <c r="BX1464" s="4295"/>
      <c r="BY1464" s="4295"/>
      <c r="BZ1464" s="4295"/>
      <c r="CA1464" s="4295"/>
      <c r="CB1464" s="4295"/>
      <c r="CC1464" s="4295"/>
      <c r="CD1464" s="4295"/>
      <c r="CE1464" s="4295"/>
      <c r="CF1464" s="4295"/>
      <c r="CG1464" s="4295"/>
      <c r="CH1464" s="4295"/>
      <c r="CI1464" s="4295"/>
      <c r="CJ1464" s="4295"/>
      <c r="CK1464" s="4295"/>
      <c r="CL1464" s="4295"/>
      <c r="CM1464" s="4295"/>
      <c r="CN1464" s="4295"/>
      <c r="CO1464" s="4295"/>
      <c r="CP1464" s="4295"/>
      <c r="CQ1464" s="4295"/>
      <c r="CR1464" s="4295"/>
      <c r="CS1464" s="4295"/>
      <c r="CT1464" s="4295"/>
      <c r="CU1464" s="4295"/>
      <c r="CV1464" s="4295"/>
      <c r="CW1464" s="4295"/>
      <c r="CX1464" s="4295"/>
      <c r="CY1464" s="4295"/>
      <c r="CZ1464" s="4295"/>
      <c r="DA1464" s="4295"/>
      <c r="DB1464" s="4295"/>
      <c r="DC1464" s="4295"/>
      <c r="DD1464" s="4295"/>
      <c r="DE1464" s="4295"/>
      <c r="DF1464" s="4295"/>
      <c r="DG1464" s="4295"/>
      <c r="DH1464" s="4295"/>
      <c r="DI1464" s="4295"/>
      <c r="DJ1464" s="4295"/>
      <c r="DK1464" s="4295"/>
      <c r="DL1464" s="4295"/>
      <c r="DM1464" s="4295"/>
      <c r="DN1464" s="4295"/>
      <c r="DO1464" s="4295"/>
      <c r="DP1464" s="4295"/>
      <c r="DQ1464" s="4295"/>
      <c r="DR1464" s="4295"/>
      <c r="DS1464" s="4295"/>
    </row>
    <row r="1465" s="4133" customFormat="1" ht="16.5" customHeight="1" spans="1:123">
      <c r="A1465" s="5071"/>
      <c r="B1465" s="5071"/>
      <c r="C1465" s="5071"/>
      <c r="D1465" s="5071"/>
      <c r="E1465" s="5071"/>
      <c r="F1465" s="5071"/>
      <c r="G1465" s="5071"/>
      <c r="H1465" s="5071"/>
      <c r="I1465" s="5071"/>
      <c r="J1465" s="5071"/>
      <c r="K1465" s="5071"/>
      <c r="L1465" s="5071"/>
      <c r="M1465" s="5071"/>
      <c r="N1465" s="5071"/>
      <c r="O1465" s="5071"/>
      <c r="P1465" s="5071"/>
      <c r="Q1465" s="5071"/>
      <c r="R1465" s="5071"/>
      <c r="S1465" s="5071"/>
      <c r="T1465" s="5071"/>
      <c r="U1465" s="5071"/>
      <c r="V1465" s="5071"/>
      <c r="W1465" s="5071"/>
      <c r="X1465" s="5071"/>
      <c r="Y1465" s="5071"/>
      <c r="Z1465" s="5071"/>
      <c r="AA1465" s="5071"/>
      <c r="AB1465" s="5071"/>
      <c r="AC1465" s="5071"/>
      <c r="AD1465" s="5071"/>
      <c r="AE1465" s="5071"/>
      <c r="AF1465" s="5071"/>
      <c r="AG1465" s="5071"/>
      <c r="AH1465" s="5071"/>
      <c r="AI1465" s="5071"/>
      <c r="AJ1465" s="5071"/>
      <c r="AK1465" s="5071"/>
      <c r="AL1465" s="5071"/>
      <c r="AM1465" s="5071"/>
      <c r="AN1465" s="5071"/>
      <c r="AO1465" s="5071"/>
      <c r="AP1465" s="5071"/>
      <c r="AQ1465" s="5071"/>
      <c r="AR1465" s="5071"/>
      <c r="AS1465" s="5071"/>
      <c r="AT1465" s="5071"/>
      <c r="AU1465" s="4295"/>
      <c r="AV1465" s="4295"/>
      <c r="AW1465" s="4295"/>
      <c r="AX1465" s="4295"/>
      <c r="AY1465" s="4295"/>
      <c r="AZ1465" s="4295"/>
      <c r="BA1465" s="4295"/>
      <c r="BB1465" s="4295"/>
      <c r="BC1465" s="4295"/>
      <c r="BD1465" s="4295"/>
      <c r="BE1465" s="4295"/>
      <c r="BF1465" s="4295"/>
      <c r="BG1465" s="4295"/>
      <c r="BH1465" s="4295"/>
      <c r="BI1465" s="4295"/>
      <c r="BJ1465" s="4295"/>
      <c r="BK1465" s="4295"/>
      <c r="BL1465" s="4295"/>
      <c r="BM1465" s="4295"/>
      <c r="BN1465" s="4295"/>
      <c r="BO1465" s="4295"/>
      <c r="BP1465" s="4295"/>
      <c r="BQ1465" s="4295"/>
      <c r="BR1465" s="4295"/>
      <c r="BS1465" s="4295"/>
      <c r="BT1465" s="4295"/>
      <c r="BU1465" s="4295"/>
      <c r="BV1465" s="4295"/>
      <c r="BW1465" s="4295"/>
      <c r="BX1465" s="4295"/>
      <c r="BY1465" s="4295"/>
      <c r="BZ1465" s="4295"/>
      <c r="CA1465" s="4295"/>
      <c r="CB1465" s="4295"/>
      <c r="CC1465" s="4295"/>
      <c r="CD1465" s="4295"/>
      <c r="CE1465" s="4295"/>
      <c r="CF1465" s="4295"/>
      <c r="CG1465" s="4295"/>
      <c r="CH1465" s="4295"/>
      <c r="CI1465" s="4295"/>
      <c r="CJ1465" s="4295"/>
      <c r="CK1465" s="4295"/>
      <c r="CL1465" s="4295"/>
      <c r="CM1465" s="4295"/>
      <c r="CN1465" s="4295"/>
      <c r="CO1465" s="4295"/>
      <c r="CP1465" s="4295"/>
      <c r="CQ1465" s="4295"/>
      <c r="CR1465" s="4295"/>
      <c r="CS1465" s="4295"/>
      <c r="CT1465" s="4295"/>
      <c r="CU1465" s="4295"/>
      <c r="CV1465" s="4295"/>
      <c r="CW1465" s="4295"/>
      <c r="CX1465" s="4295"/>
      <c r="CY1465" s="4295"/>
      <c r="CZ1465" s="4295"/>
      <c r="DA1465" s="4295"/>
      <c r="DB1465" s="4295"/>
      <c r="DC1465" s="4295"/>
      <c r="DD1465" s="4295"/>
      <c r="DE1465" s="4295"/>
      <c r="DF1465" s="4295"/>
      <c r="DG1465" s="4295"/>
      <c r="DH1465" s="4295"/>
      <c r="DI1465" s="4295"/>
      <c r="DJ1465" s="4295"/>
      <c r="DK1465" s="4295"/>
      <c r="DL1465" s="4295"/>
      <c r="DM1465" s="4295"/>
      <c r="DN1465" s="4295"/>
      <c r="DO1465" s="4295"/>
      <c r="DP1465" s="4295"/>
      <c r="DQ1465" s="4295"/>
      <c r="DR1465" s="4295"/>
      <c r="DS1465" s="4295"/>
    </row>
    <row r="1466" s="4133" customFormat="1" ht="16.5" customHeight="1" spans="1:123">
      <c r="A1466" s="5071"/>
      <c r="B1466" s="5071"/>
      <c r="C1466" s="5071"/>
      <c r="D1466" s="5071"/>
      <c r="E1466" s="5071"/>
      <c r="F1466" s="5071"/>
      <c r="G1466" s="5071"/>
      <c r="H1466" s="5071"/>
      <c r="I1466" s="5071"/>
      <c r="J1466" s="5071"/>
      <c r="K1466" s="5071"/>
      <c r="L1466" s="5071"/>
      <c r="M1466" s="5071"/>
      <c r="N1466" s="5071"/>
      <c r="O1466" s="5071"/>
      <c r="P1466" s="5071"/>
      <c r="Q1466" s="5071"/>
      <c r="R1466" s="5071"/>
      <c r="S1466" s="5071"/>
      <c r="T1466" s="5071"/>
      <c r="U1466" s="5071"/>
      <c r="V1466" s="5071"/>
      <c r="W1466" s="5071"/>
      <c r="X1466" s="5071"/>
      <c r="Y1466" s="5071"/>
      <c r="Z1466" s="5071"/>
      <c r="AA1466" s="5071"/>
      <c r="AB1466" s="5071"/>
      <c r="AC1466" s="5071"/>
      <c r="AD1466" s="5071"/>
      <c r="AE1466" s="5071"/>
      <c r="AF1466" s="5071"/>
      <c r="AG1466" s="5071"/>
      <c r="AH1466" s="5071"/>
      <c r="AI1466" s="5071"/>
      <c r="AJ1466" s="5071"/>
      <c r="AK1466" s="5071"/>
      <c r="AL1466" s="5071"/>
      <c r="AM1466" s="5071"/>
      <c r="AN1466" s="5071"/>
      <c r="AO1466" s="5071"/>
      <c r="AP1466" s="5071"/>
      <c r="AQ1466" s="5071"/>
      <c r="AR1466" s="5071"/>
      <c r="AS1466" s="5071"/>
      <c r="AT1466" s="5071"/>
      <c r="AU1466" s="4295"/>
      <c r="AV1466" s="4295"/>
      <c r="AW1466" s="4295"/>
      <c r="AX1466" s="4295"/>
      <c r="AY1466" s="4295"/>
      <c r="AZ1466" s="4295"/>
      <c r="BA1466" s="4295"/>
      <c r="BB1466" s="4295"/>
      <c r="BC1466" s="4295"/>
      <c r="BD1466" s="4295"/>
      <c r="BE1466" s="4295"/>
      <c r="BF1466" s="4295"/>
      <c r="BG1466" s="4295"/>
      <c r="BH1466" s="4295"/>
      <c r="BI1466" s="4295"/>
      <c r="BJ1466" s="4295"/>
      <c r="BK1466" s="4295"/>
      <c r="BL1466" s="4295"/>
      <c r="BM1466" s="4295"/>
      <c r="BN1466" s="4295"/>
      <c r="BO1466" s="4295"/>
      <c r="BP1466" s="4295"/>
      <c r="BQ1466" s="4295"/>
      <c r="BR1466" s="4295"/>
      <c r="BS1466" s="4295"/>
      <c r="BT1466" s="4295"/>
      <c r="BU1466" s="4295"/>
      <c r="BV1466" s="4295"/>
      <c r="BW1466" s="4295"/>
      <c r="BX1466" s="4295"/>
      <c r="BY1466" s="4295"/>
      <c r="BZ1466" s="4295"/>
      <c r="CA1466" s="4295"/>
      <c r="CB1466" s="4295"/>
      <c r="CC1466" s="4295"/>
      <c r="CD1466" s="4295"/>
      <c r="CE1466" s="4295"/>
      <c r="CF1466" s="4295"/>
      <c r="CG1466" s="4295"/>
      <c r="CH1466" s="4295"/>
      <c r="CI1466" s="4295"/>
      <c r="CJ1466" s="4295"/>
      <c r="CK1466" s="4295"/>
      <c r="CL1466" s="4295"/>
      <c r="CM1466" s="4295"/>
      <c r="CN1466" s="4295"/>
      <c r="CO1466" s="4295"/>
      <c r="CP1466" s="4295"/>
      <c r="CQ1466" s="4295"/>
      <c r="CR1466" s="4295"/>
      <c r="CS1466" s="4295"/>
      <c r="CT1466" s="4295"/>
      <c r="CU1466" s="4295"/>
      <c r="CV1466" s="4295"/>
      <c r="CW1466" s="4295"/>
      <c r="CX1466" s="4295"/>
      <c r="CY1466" s="4295"/>
      <c r="CZ1466" s="4295"/>
      <c r="DA1466" s="4295"/>
      <c r="DB1466" s="4295"/>
      <c r="DC1466" s="4295"/>
      <c r="DD1466" s="4295"/>
      <c r="DE1466" s="4295"/>
      <c r="DF1466" s="4295"/>
      <c r="DG1466" s="4295"/>
      <c r="DH1466" s="4295"/>
      <c r="DI1466" s="4295"/>
      <c r="DJ1466" s="4295"/>
      <c r="DK1466" s="4295"/>
      <c r="DL1466" s="4295"/>
      <c r="DM1466" s="4295"/>
      <c r="DN1466" s="4295"/>
      <c r="DO1466" s="4295"/>
      <c r="DP1466" s="4295"/>
      <c r="DQ1466" s="4295"/>
      <c r="DR1466" s="4295"/>
      <c r="DS1466" s="4295"/>
    </row>
    <row r="1467" s="4133" customFormat="1" ht="16.5" customHeight="1" spans="1:123">
      <c r="A1467" s="5071"/>
      <c r="B1467" s="5071"/>
      <c r="C1467" s="5071"/>
      <c r="D1467" s="5071"/>
      <c r="E1467" s="5071"/>
      <c r="F1467" s="5071"/>
      <c r="G1467" s="5071"/>
      <c r="H1467" s="5071"/>
      <c r="I1467" s="5071"/>
      <c r="J1467" s="5071"/>
      <c r="K1467" s="5071"/>
      <c r="L1467" s="5071"/>
      <c r="M1467" s="5071"/>
      <c r="N1467" s="5071"/>
      <c r="O1467" s="5071"/>
      <c r="P1467" s="5071"/>
      <c r="Q1467" s="5071"/>
      <c r="R1467" s="5071"/>
      <c r="S1467" s="5071"/>
      <c r="T1467" s="5071"/>
      <c r="U1467" s="5071"/>
      <c r="V1467" s="5071"/>
      <c r="W1467" s="5071"/>
      <c r="X1467" s="5071"/>
      <c r="Y1467" s="5071"/>
      <c r="Z1467" s="5071"/>
      <c r="AA1467" s="5071"/>
      <c r="AB1467" s="5071"/>
      <c r="AC1467" s="5071"/>
      <c r="AD1467" s="5071"/>
      <c r="AE1467" s="5071"/>
      <c r="AF1467" s="5071"/>
      <c r="AG1467" s="5071"/>
      <c r="AH1467" s="5071"/>
      <c r="AI1467" s="5071"/>
      <c r="AJ1467" s="5071"/>
      <c r="AK1467" s="5071"/>
      <c r="AL1467" s="5071"/>
      <c r="AM1467" s="5071"/>
      <c r="AN1467" s="5071"/>
      <c r="AO1467" s="5071"/>
      <c r="AP1467" s="5071"/>
      <c r="AQ1467" s="5071"/>
      <c r="AR1467" s="5071"/>
      <c r="AS1467" s="5071"/>
      <c r="AT1467" s="5071"/>
      <c r="AU1467" s="4295"/>
      <c r="AV1467" s="4295"/>
      <c r="AW1467" s="4295"/>
      <c r="AX1467" s="4295"/>
      <c r="AY1467" s="4295"/>
      <c r="AZ1467" s="4295"/>
      <c r="BA1467" s="4295"/>
      <c r="BB1467" s="4295"/>
      <c r="BC1467" s="4295"/>
      <c r="BD1467" s="4295"/>
      <c r="BE1467" s="4295"/>
      <c r="BF1467" s="4295"/>
      <c r="BG1467" s="4295"/>
      <c r="BH1467" s="4295"/>
      <c r="BI1467" s="4295"/>
      <c r="BJ1467" s="4295"/>
      <c r="BK1467" s="4295"/>
      <c r="BL1467" s="4295"/>
      <c r="BM1467" s="4295"/>
      <c r="BN1467" s="4295"/>
      <c r="BO1467" s="4295"/>
      <c r="BP1467" s="4295"/>
      <c r="BQ1467" s="4295"/>
      <c r="BR1467" s="4295"/>
      <c r="BS1467" s="4295"/>
      <c r="BT1467" s="4295"/>
      <c r="BU1467" s="4295"/>
      <c r="BV1467" s="4295"/>
      <c r="BW1467" s="4295"/>
      <c r="BX1467" s="4295"/>
      <c r="BY1467" s="4295"/>
      <c r="BZ1467" s="4295"/>
      <c r="CA1467" s="4295"/>
      <c r="CB1467" s="4295"/>
      <c r="CC1467" s="4295"/>
      <c r="CD1467" s="4295"/>
      <c r="CE1467" s="4295"/>
      <c r="CF1467" s="4295"/>
      <c r="CG1467" s="4295"/>
      <c r="CH1467" s="4295"/>
      <c r="CI1467" s="4295"/>
      <c r="CJ1467" s="4295"/>
      <c r="CK1467" s="4295"/>
      <c r="CL1467" s="4295"/>
      <c r="CM1467" s="4295"/>
      <c r="CN1467" s="4295"/>
      <c r="CO1467" s="4295"/>
      <c r="CP1467" s="4295"/>
      <c r="CQ1467" s="4295"/>
      <c r="CR1467" s="4295"/>
      <c r="CS1467" s="4295"/>
      <c r="CT1467" s="4295"/>
      <c r="CU1467" s="4295"/>
      <c r="CV1467" s="4295"/>
      <c r="CW1467" s="4295"/>
      <c r="CX1467" s="4295"/>
      <c r="CY1467" s="4295"/>
      <c r="CZ1467" s="4295"/>
      <c r="DA1467" s="4295"/>
      <c r="DB1467" s="4295"/>
      <c r="DC1467" s="4295"/>
      <c r="DD1467" s="4295"/>
      <c r="DE1467" s="4295"/>
      <c r="DF1467" s="4295"/>
      <c r="DG1467" s="4295"/>
      <c r="DH1467" s="4295"/>
      <c r="DI1467" s="4295"/>
      <c r="DJ1467" s="4295"/>
      <c r="DK1467" s="4295"/>
      <c r="DL1467" s="4295"/>
      <c r="DM1467" s="4295"/>
      <c r="DN1467" s="4295"/>
      <c r="DO1467" s="4295"/>
      <c r="DP1467" s="4295"/>
      <c r="DQ1467" s="4295"/>
      <c r="DR1467" s="4295"/>
      <c r="DS1467" s="4295"/>
    </row>
    <row r="1468" s="4133" customFormat="1" ht="16.5" customHeight="1" spans="1:123">
      <c r="A1468" s="4295"/>
      <c r="B1468" s="4295"/>
      <c r="C1468" s="4295"/>
      <c r="D1468" s="4295"/>
      <c r="E1468" s="4295"/>
      <c r="F1468" s="4295"/>
      <c r="G1468" s="4295"/>
      <c r="H1468" s="4295"/>
      <c r="I1468" s="4295"/>
      <c r="J1468" s="4295"/>
      <c r="K1468" s="4295"/>
      <c r="L1468" s="4295"/>
      <c r="M1468" s="4295"/>
      <c r="N1468" s="4295"/>
      <c r="O1468" s="4295"/>
      <c r="P1468" s="4295"/>
      <c r="Q1468" s="4295"/>
      <c r="R1468" s="4295"/>
      <c r="S1468" s="4295"/>
      <c r="T1468" s="4295"/>
      <c r="U1468" s="4295"/>
      <c r="V1468" s="4295"/>
      <c r="W1468" s="4295"/>
      <c r="X1468" s="4295"/>
      <c r="Y1468" s="4295"/>
      <c r="Z1468" s="4295"/>
      <c r="AA1468" s="4295"/>
      <c r="AB1468" s="4295"/>
      <c r="AC1468" s="4295"/>
      <c r="AD1468" s="4295"/>
      <c r="AE1468" s="4295"/>
      <c r="AF1468" s="4295"/>
      <c r="AG1468" s="4295"/>
      <c r="AH1468" s="4295"/>
      <c r="AI1468" s="4295"/>
      <c r="AJ1468" s="4295"/>
      <c r="AK1468" s="4295"/>
      <c r="AL1468" s="4295"/>
      <c r="AM1468" s="4295"/>
      <c r="AN1468" s="4295"/>
      <c r="AO1468" s="4295"/>
      <c r="AP1468" s="4295"/>
      <c r="AQ1468" s="4295"/>
      <c r="AR1468" s="4295"/>
      <c r="AS1468" s="4295"/>
      <c r="AT1468" s="4295"/>
      <c r="AU1468" s="4295"/>
      <c r="AV1468" s="4295"/>
      <c r="AW1468" s="4295"/>
      <c r="AX1468" s="4295"/>
      <c r="AY1468" s="4295"/>
      <c r="AZ1468" s="4295"/>
      <c r="BA1468" s="4295"/>
      <c r="BB1468" s="4295"/>
      <c r="BC1468" s="4295"/>
      <c r="BD1468" s="4295"/>
      <c r="BE1468" s="4295"/>
      <c r="BF1468" s="4295"/>
      <c r="BG1468" s="4295"/>
      <c r="BH1468" s="4295"/>
      <c r="BI1468" s="4295"/>
      <c r="BJ1468" s="4295"/>
      <c r="BK1468" s="4295"/>
      <c r="BL1468" s="4295"/>
      <c r="BM1468" s="4295"/>
      <c r="BN1468" s="4295"/>
      <c r="BO1468" s="4295"/>
      <c r="BP1468" s="4295"/>
      <c r="BQ1468" s="4295"/>
      <c r="BR1468" s="4295"/>
      <c r="BS1468" s="4295"/>
      <c r="BT1468" s="4295"/>
      <c r="BU1468" s="4295"/>
      <c r="BV1468" s="4295"/>
      <c r="BW1468" s="4295"/>
      <c r="BX1468" s="4295"/>
      <c r="BY1468" s="4295"/>
      <c r="BZ1468" s="4295"/>
      <c r="CA1468" s="4295"/>
      <c r="CB1468" s="4295"/>
      <c r="CC1468" s="4295"/>
      <c r="CD1468" s="4295"/>
      <c r="CE1468" s="4295"/>
      <c r="CF1468" s="4295"/>
      <c r="CG1468" s="4295"/>
      <c r="CH1468" s="4295"/>
      <c r="CI1468" s="4295"/>
      <c r="CJ1468" s="4295"/>
      <c r="CK1468" s="4295"/>
      <c r="CL1468" s="4295"/>
      <c r="CM1468" s="4295"/>
      <c r="CN1468" s="4295"/>
      <c r="CO1468" s="4295"/>
      <c r="CP1468" s="4295"/>
      <c r="CQ1468" s="4295"/>
      <c r="CR1468" s="4295"/>
      <c r="CS1468" s="4295"/>
      <c r="CT1468" s="4295"/>
      <c r="CU1468" s="4295"/>
      <c r="CV1468" s="4295"/>
      <c r="CW1468" s="4295"/>
      <c r="CX1468" s="4295"/>
      <c r="CY1468" s="4295"/>
      <c r="CZ1468" s="4295"/>
      <c r="DA1468" s="4295"/>
      <c r="DB1468" s="4295"/>
      <c r="DC1468" s="4295"/>
      <c r="DD1468" s="4295"/>
      <c r="DE1468" s="4295"/>
      <c r="DF1468" s="4295"/>
      <c r="DG1468" s="4295"/>
      <c r="DH1468" s="4295"/>
      <c r="DI1468" s="4295"/>
      <c r="DJ1468" s="4295"/>
      <c r="DK1468" s="4295"/>
      <c r="DL1468" s="4295"/>
      <c r="DM1468" s="4295"/>
      <c r="DN1468" s="4295"/>
      <c r="DO1468" s="4295"/>
      <c r="DP1468" s="4295"/>
      <c r="DQ1468" s="4295"/>
      <c r="DR1468" s="4295"/>
      <c r="DS1468" s="4295"/>
    </row>
    <row r="1469" s="4133" customFormat="1" ht="16.5" customHeight="1" spans="1:123">
      <c r="A1469" s="4369" t="s">
        <v>184</v>
      </c>
      <c r="B1469" s="4369"/>
      <c r="C1469" s="4295"/>
      <c r="D1469" s="4295"/>
      <c r="E1469" s="4295"/>
      <c r="F1469" s="4295"/>
      <c r="G1469" s="4295"/>
      <c r="H1469" s="4295"/>
      <c r="I1469" s="4295"/>
      <c r="J1469" s="4295"/>
      <c r="K1469" s="4295"/>
      <c r="L1469" s="4295"/>
      <c r="M1469" s="4295"/>
      <c r="N1469" s="4295"/>
      <c r="O1469" s="4295"/>
      <c r="P1469" s="4295"/>
      <c r="Q1469" s="4295"/>
      <c r="R1469" s="4295"/>
      <c r="S1469" s="4295"/>
      <c r="T1469" s="4295"/>
      <c r="U1469" s="4295"/>
      <c r="V1469" s="4295"/>
      <c r="W1469" s="4295"/>
      <c r="X1469" s="4295"/>
      <c r="Y1469" s="4295"/>
      <c r="Z1469" s="4295"/>
      <c r="AA1469" s="4295"/>
      <c r="AB1469" s="4295"/>
      <c r="AC1469" s="4295"/>
      <c r="AD1469" s="4295"/>
      <c r="AE1469" s="4295"/>
      <c r="AF1469" s="4295"/>
      <c r="AG1469" s="4295"/>
      <c r="AH1469" s="4295"/>
      <c r="AI1469" s="4295"/>
      <c r="AJ1469" s="4295"/>
      <c r="AK1469" s="4295"/>
      <c r="AL1469" s="4295"/>
      <c r="AM1469" s="4295"/>
      <c r="AN1469" s="4295"/>
      <c r="AO1469" s="4295"/>
      <c r="AP1469" s="4295"/>
      <c r="AQ1469" s="4295"/>
      <c r="AR1469" s="4295"/>
      <c r="AS1469" s="4295"/>
      <c r="AT1469" s="4295"/>
      <c r="AU1469" s="4295"/>
      <c r="AV1469" s="4295"/>
      <c r="AW1469" s="4295"/>
      <c r="AX1469" s="4295"/>
      <c r="AY1469" s="4295"/>
      <c r="AZ1469" s="4295"/>
      <c r="BA1469" s="4295"/>
      <c r="BB1469" s="4295"/>
      <c r="BC1469" s="4295"/>
      <c r="BD1469" s="4295"/>
      <c r="BE1469" s="4295"/>
      <c r="BF1469" s="4295"/>
      <c r="BG1469" s="4295"/>
      <c r="BH1469" s="4295"/>
      <c r="BI1469" s="4295"/>
      <c r="BJ1469" s="4295"/>
      <c r="BK1469" s="4295"/>
      <c r="BL1469" s="4295"/>
      <c r="BM1469" s="4295"/>
      <c r="BN1469" s="4295"/>
      <c r="BO1469" s="4295"/>
      <c r="BP1469" s="4295"/>
      <c r="BQ1469" s="4295"/>
      <c r="BR1469" s="4295"/>
      <c r="BS1469" s="4295"/>
      <c r="BT1469" s="4295"/>
      <c r="BU1469" s="4295"/>
      <c r="BV1469" s="4295"/>
      <c r="BW1469" s="4295"/>
      <c r="BX1469" s="4295"/>
      <c r="BY1469" s="4295"/>
      <c r="BZ1469" s="4295"/>
      <c r="CA1469" s="4295"/>
      <c r="CB1469" s="4295"/>
      <c r="CC1469" s="4295"/>
      <c r="CD1469" s="4295"/>
      <c r="CE1469" s="4295"/>
      <c r="CF1469" s="4295"/>
      <c r="CG1469" s="4295"/>
      <c r="CH1469" s="4295"/>
      <c r="CI1469" s="4295"/>
      <c r="CJ1469" s="4295"/>
      <c r="CK1469" s="4295"/>
      <c r="CL1469" s="4295"/>
      <c r="CM1469" s="4295"/>
      <c r="CN1469" s="4295"/>
      <c r="CO1469" s="4295"/>
      <c r="CP1469" s="4295"/>
      <c r="CQ1469" s="4295"/>
      <c r="CR1469" s="4295"/>
      <c r="CS1469" s="4295"/>
      <c r="CT1469" s="4295"/>
      <c r="CU1469" s="4295"/>
      <c r="CV1469" s="4295"/>
      <c r="CW1469" s="4295"/>
      <c r="CX1469" s="4295"/>
      <c r="CY1469" s="4295"/>
      <c r="CZ1469" s="4295"/>
      <c r="DA1469" s="4295"/>
      <c r="DB1469" s="4295"/>
      <c r="DC1469" s="4295"/>
      <c r="DD1469" s="4295"/>
      <c r="DE1469" s="4295"/>
      <c r="DF1469" s="4295"/>
      <c r="DG1469" s="4295"/>
      <c r="DH1469" s="4295"/>
      <c r="DI1469" s="4295"/>
      <c r="DJ1469" s="4295"/>
      <c r="DK1469" s="4295"/>
      <c r="DL1469" s="4295"/>
      <c r="DM1469" s="4295"/>
      <c r="DN1469" s="4295"/>
      <c r="DO1469" s="4295"/>
      <c r="DP1469" s="4295"/>
      <c r="DQ1469" s="4295"/>
      <c r="DR1469" s="4295"/>
      <c r="DS1469" s="4295"/>
    </row>
    <row r="1470" s="4133" customFormat="1" ht="16.5" customHeight="1" spans="1:123">
      <c r="A1470" s="5072" t="str">
        <f ca="1">Analiza!A299</f>
        <v>-Na dan 31.12.2025 nije bilo zaliha.</v>
      </c>
      <c r="B1470" s="5072"/>
      <c r="C1470" s="5072"/>
      <c r="D1470" s="5072"/>
      <c r="E1470" s="5072"/>
      <c r="F1470" s="5072"/>
      <c r="G1470" s="5072"/>
      <c r="H1470" s="5072"/>
      <c r="I1470" s="5072"/>
      <c r="J1470" s="5072"/>
      <c r="K1470" s="5072"/>
      <c r="L1470" s="5072"/>
      <c r="M1470" s="5072"/>
      <c r="N1470" s="5072"/>
      <c r="O1470" s="5072"/>
      <c r="P1470" s="5072"/>
      <c r="Q1470" s="5072"/>
      <c r="R1470" s="5072"/>
      <c r="S1470" s="5072"/>
      <c r="T1470" s="5072"/>
      <c r="U1470" s="5072"/>
      <c r="V1470" s="5072"/>
      <c r="W1470" s="5072"/>
      <c r="X1470" s="5072"/>
      <c r="Y1470" s="5072"/>
      <c r="Z1470" s="5072"/>
      <c r="AA1470" s="5072"/>
      <c r="AB1470" s="5072"/>
      <c r="AC1470" s="5072"/>
      <c r="AD1470" s="5072"/>
      <c r="AE1470" s="5072"/>
      <c r="AF1470" s="5072"/>
      <c r="AG1470" s="5072"/>
      <c r="AH1470" s="5072"/>
      <c r="AI1470" s="5072"/>
      <c r="AJ1470" s="5072"/>
      <c r="AK1470" s="5072"/>
      <c r="AL1470" s="5072"/>
      <c r="AM1470" s="5072"/>
      <c r="AN1470" s="5072"/>
      <c r="AO1470" s="5072"/>
      <c r="AP1470" s="5072"/>
      <c r="AQ1470" s="5072"/>
      <c r="AR1470" s="5072"/>
      <c r="AS1470" s="5072"/>
      <c r="AT1470" s="5072"/>
      <c r="AU1470" s="4295"/>
      <c r="AV1470" s="4295"/>
      <c r="AW1470" s="4295"/>
      <c r="AX1470" s="4295"/>
      <c r="AY1470" s="4295"/>
      <c r="AZ1470" s="4295"/>
      <c r="BA1470" s="4295"/>
      <c r="BB1470" s="4295"/>
      <c r="BC1470" s="4295"/>
      <c r="BD1470" s="4295"/>
      <c r="BE1470" s="4295"/>
      <c r="BF1470" s="4295"/>
      <c r="BG1470" s="4295"/>
      <c r="BH1470" s="4295"/>
      <c r="BI1470" s="4295"/>
      <c r="BJ1470" s="4295"/>
      <c r="BK1470" s="4295"/>
      <c r="BL1470" s="4295"/>
      <c r="BM1470" s="4295"/>
      <c r="BN1470" s="4295"/>
      <c r="BO1470" s="4295"/>
      <c r="BP1470" s="4295"/>
      <c r="BQ1470" s="4295"/>
      <c r="BR1470" s="4295"/>
      <c r="BS1470" s="4295"/>
      <c r="BT1470" s="4295"/>
      <c r="BU1470" s="4295"/>
      <c r="BV1470" s="4295"/>
      <c r="BW1470" s="4295"/>
      <c r="BX1470" s="4295"/>
      <c r="BY1470" s="4295"/>
      <c r="BZ1470" s="4295"/>
      <c r="CA1470" s="4295"/>
      <c r="CB1470" s="4295"/>
      <c r="CC1470" s="4295"/>
      <c r="CD1470" s="4295"/>
      <c r="CE1470" s="4295"/>
      <c r="CF1470" s="4295"/>
      <c r="CG1470" s="4295"/>
      <c r="CH1470" s="4295"/>
      <c r="CI1470" s="4295"/>
      <c r="CJ1470" s="4295"/>
      <c r="CK1470" s="4295"/>
      <c r="CL1470" s="4295"/>
      <c r="CM1470" s="4295"/>
      <c r="CN1470" s="4295"/>
      <c r="CO1470" s="4295"/>
      <c r="CP1470" s="4295"/>
      <c r="CQ1470" s="4295"/>
      <c r="CR1470" s="4295"/>
      <c r="CS1470" s="4295"/>
      <c r="CT1470" s="4295"/>
      <c r="CU1470" s="4295"/>
      <c r="CV1470" s="4295"/>
      <c r="CW1470" s="4295"/>
      <c r="CX1470" s="4295"/>
      <c r="CY1470" s="4295"/>
      <c r="CZ1470" s="4295"/>
      <c r="DA1470" s="4295"/>
      <c r="DB1470" s="4295"/>
      <c r="DC1470" s="4295"/>
      <c r="DD1470" s="4295"/>
      <c r="DE1470" s="4295"/>
      <c r="DF1470" s="4295"/>
      <c r="DG1470" s="4295"/>
      <c r="DH1470" s="4295"/>
      <c r="DI1470" s="4295"/>
      <c r="DJ1470" s="4295"/>
      <c r="DK1470" s="4295"/>
      <c r="DL1470" s="4295"/>
      <c r="DM1470" s="4295"/>
      <c r="DN1470" s="4295"/>
      <c r="DO1470" s="4295"/>
      <c r="DP1470" s="4295"/>
      <c r="DQ1470" s="4295"/>
      <c r="DR1470" s="4295"/>
      <c r="DS1470" s="4295"/>
    </row>
    <row r="1471" s="4133" customFormat="1" ht="16.5" customHeight="1" spans="1:123">
      <c r="A1471" s="5072"/>
      <c r="B1471" s="5072"/>
      <c r="C1471" s="5072"/>
      <c r="D1471" s="5072"/>
      <c r="E1471" s="5072"/>
      <c r="F1471" s="5072"/>
      <c r="G1471" s="5072"/>
      <c r="H1471" s="5072"/>
      <c r="I1471" s="5072"/>
      <c r="J1471" s="5072"/>
      <c r="K1471" s="5072"/>
      <c r="L1471" s="5072"/>
      <c r="M1471" s="5072"/>
      <c r="N1471" s="5072"/>
      <c r="O1471" s="5072"/>
      <c r="P1471" s="5072"/>
      <c r="Q1471" s="5072"/>
      <c r="R1471" s="5072"/>
      <c r="S1471" s="5072"/>
      <c r="T1471" s="5072"/>
      <c r="U1471" s="5072"/>
      <c r="V1471" s="5072"/>
      <c r="W1471" s="5072"/>
      <c r="X1471" s="5072"/>
      <c r="Y1471" s="5072"/>
      <c r="Z1471" s="5072"/>
      <c r="AA1471" s="5072"/>
      <c r="AB1471" s="5072"/>
      <c r="AC1471" s="5072"/>
      <c r="AD1471" s="5072"/>
      <c r="AE1471" s="5072"/>
      <c r="AF1471" s="5072"/>
      <c r="AG1471" s="5072"/>
      <c r="AH1471" s="5072"/>
      <c r="AI1471" s="5072"/>
      <c r="AJ1471" s="5072"/>
      <c r="AK1471" s="5072"/>
      <c r="AL1471" s="5072"/>
      <c r="AM1471" s="5072"/>
      <c r="AN1471" s="5072"/>
      <c r="AO1471" s="5072"/>
      <c r="AP1471" s="5072"/>
      <c r="AQ1471" s="5072"/>
      <c r="AR1471" s="5072"/>
      <c r="AS1471" s="5072"/>
      <c r="AT1471" s="5072"/>
      <c r="AU1471" s="4295"/>
      <c r="AV1471" s="4295"/>
      <c r="AW1471" s="4295"/>
      <c r="AX1471" s="4295"/>
      <c r="AY1471" s="4295"/>
      <c r="AZ1471" s="4295"/>
      <c r="BA1471" s="4295"/>
      <c r="BB1471" s="4295"/>
      <c r="BC1471" s="4295"/>
      <c r="BD1471" s="4295"/>
      <c r="BE1471" s="4295"/>
      <c r="BF1471" s="4295"/>
      <c r="BG1471" s="4295"/>
      <c r="BH1471" s="4295"/>
      <c r="BI1471" s="4295"/>
      <c r="BJ1471" s="4295"/>
      <c r="BK1471" s="4295"/>
      <c r="BL1471" s="4295"/>
      <c r="BM1471" s="4295"/>
      <c r="BN1471" s="4295"/>
      <c r="BO1471" s="4295"/>
      <c r="BP1471" s="4295"/>
      <c r="BQ1471" s="4295"/>
      <c r="BR1471" s="4295"/>
      <c r="BS1471" s="4295"/>
      <c r="BT1471" s="4295"/>
      <c r="BU1471" s="4295"/>
      <c r="BV1471" s="4295"/>
      <c r="BW1471" s="4295"/>
      <c r="BX1471" s="4295"/>
      <c r="BY1471" s="4295"/>
      <c r="BZ1471" s="4295"/>
      <c r="CA1471" s="4295"/>
      <c r="CB1471" s="4295"/>
      <c r="CC1471" s="4295"/>
      <c r="CD1471" s="4295"/>
      <c r="CE1471" s="4295"/>
      <c r="CF1471" s="4295"/>
      <c r="CG1471" s="4295"/>
      <c r="CH1471" s="4295"/>
      <c r="CI1471" s="4295"/>
      <c r="CJ1471" s="4295"/>
      <c r="CK1471" s="4295"/>
      <c r="CL1471" s="4295"/>
      <c r="CM1471" s="4295"/>
      <c r="CN1471" s="4295"/>
      <c r="CO1471" s="4295"/>
      <c r="CP1471" s="4295"/>
      <c r="CQ1471" s="4295"/>
      <c r="CR1471" s="4295"/>
      <c r="CS1471" s="4295"/>
      <c r="CT1471" s="4295"/>
      <c r="CU1471" s="4295"/>
      <c r="CV1471" s="4295"/>
      <c r="CW1471" s="4295"/>
      <c r="CX1471" s="4295"/>
      <c r="CY1471" s="4295"/>
      <c r="CZ1471" s="4295"/>
      <c r="DA1471" s="4295"/>
      <c r="DB1471" s="4295"/>
      <c r="DC1471" s="4295"/>
      <c r="DD1471" s="4295"/>
      <c r="DE1471" s="4295"/>
      <c r="DF1471" s="4295"/>
      <c r="DG1471" s="4295"/>
      <c r="DH1471" s="4295"/>
      <c r="DI1471" s="4295"/>
      <c r="DJ1471" s="4295"/>
      <c r="DK1471" s="4295"/>
      <c r="DL1471" s="4295"/>
      <c r="DM1471" s="4295"/>
      <c r="DN1471" s="4295"/>
      <c r="DO1471" s="4295"/>
      <c r="DP1471" s="4295"/>
      <c r="DQ1471" s="4295"/>
      <c r="DR1471" s="4295"/>
      <c r="DS1471" s="4295"/>
    </row>
    <row r="1472" s="4133" customFormat="1" ht="16.5" customHeight="1" spans="1:123">
      <c r="A1472" s="5072"/>
      <c r="B1472" s="5072"/>
      <c r="C1472" s="5072"/>
      <c r="D1472" s="5072"/>
      <c r="E1472" s="5072"/>
      <c r="F1472" s="5072"/>
      <c r="G1472" s="5072"/>
      <c r="H1472" s="5072"/>
      <c r="I1472" s="5072"/>
      <c r="J1472" s="5072"/>
      <c r="K1472" s="5072"/>
      <c r="L1472" s="5072"/>
      <c r="M1472" s="5072"/>
      <c r="N1472" s="5072"/>
      <c r="O1472" s="5072"/>
      <c r="P1472" s="5072"/>
      <c r="Q1472" s="5072"/>
      <c r="R1472" s="5072"/>
      <c r="S1472" s="5072"/>
      <c r="T1472" s="5072"/>
      <c r="U1472" s="5072"/>
      <c r="V1472" s="5072"/>
      <c r="W1472" s="5072"/>
      <c r="X1472" s="5072"/>
      <c r="Y1472" s="5072"/>
      <c r="Z1472" s="5072"/>
      <c r="AA1472" s="5072"/>
      <c r="AB1472" s="5072"/>
      <c r="AC1472" s="5072"/>
      <c r="AD1472" s="5072"/>
      <c r="AE1472" s="5072"/>
      <c r="AF1472" s="5072"/>
      <c r="AG1472" s="5072"/>
      <c r="AH1472" s="5072"/>
      <c r="AI1472" s="5072"/>
      <c r="AJ1472" s="5072"/>
      <c r="AK1472" s="5072"/>
      <c r="AL1472" s="5072"/>
      <c r="AM1472" s="5072"/>
      <c r="AN1472" s="5072"/>
      <c r="AO1472" s="5072"/>
      <c r="AP1472" s="5072"/>
      <c r="AQ1472" s="5072"/>
      <c r="AR1472" s="5072"/>
      <c r="AS1472" s="5072"/>
      <c r="AT1472" s="5072"/>
      <c r="AU1472" s="4295"/>
      <c r="AV1472" s="4295"/>
      <c r="AW1472" s="4295"/>
      <c r="AX1472" s="4295"/>
      <c r="AY1472" s="4295"/>
      <c r="AZ1472" s="4295"/>
      <c r="BA1472" s="4295"/>
      <c r="BB1472" s="4295"/>
      <c r="BC1472" s="4295"/>
      <c r="BD1472" s="4295"/>
      <c r="BE1472" s="4295"/>
      <c r="BF1472" s="4295"/>
      <c r="BG1472" s="4295"/>
      <c r="BH1472" s="4295"/>
      <c r="BI1472" s="4295"/>
      <c r="BJ1472" s="4295"/>
      <c r="BK1472" s="4295"/>
      <c r="BL1472" s="4295"/>
      <c r="BM1472" s="4295"/>
      <c r="BN1472" s="4295"/>
      <c r="BO1472" s="4295"/>
      <c r="BP1472" s="4295"/>
      <c r="BQ1472" s="4295"/>
      <c r="BR1472" s="4295"/>
      <c r="BS1472" s="4295"/>
      <c r="BT1472" s="4295"/>
      <c r="BU1472" s="4295"/>
      <c r="BV1472" s="4295"/>
      <c r="BW1472" s="4295"/>
      <c r="BX1472" s="4295"/>
      <c r="BY1472" s="4295"/>
      <c r="BZ1472" s="4295"/>
      <c r="CA1472" s="4295"/>
      <c r="CB1472" s="4295"/>
      <c r="CC1472" s="4295"/>
      <c r="CD1472" s="4295"/>
      <c r="CE1472" s="4295"/>
      <c r="CF1472" s="4295"/>
      <c r="CG1472" s="4295"/>
      <c r="CH1472" s="4295"/>
      <c r="CI1472" s="4295"/>
      <c r="CJ1472" s="4295"/>
      <c r="CK1472" s="4295"/>
      <c r="CL1472" s="4295"/>
      <c r="CM1472" s="4295"/>
      <c r="CN1472" s="4295"/>
      <c r="CO1472" s="4295"/>
      <c r="CP1472" s="4295"/>
      <c r="CQ1472" s="4295"/>
      <c r="CR1472" s="4295"/>
      <c r="CS1472" s="4295"/>
      <c r="CT1472" s="4295"/>
      <c r="CU1472" s="4295"/>
      <c r="CV1472" s="4295"/>
      <c r="CW1472" s="4295"/>
      <c r="CX1472" s="4295"/>
      <c r="CY1472" s="4295"/>
      <c r="CZ1472" s="4295"/>
      <c r="DA1472" s="4295"/>
      <c r="DB1472" s="4295"/>
      <c r="DC1472" s="4295"/>
      <c r="DD1472" s="4295"/>
      <c r="DE1472" s="4295"/>
      <c r="DF1472" s="4295"/>
      <c r="DG1472" s="4295"/>
      <c r="DH1472" s="4295"/>
      <c r="DI1472" s="4295"/>
      <c r="DJ1472" s="4295"/>
      <c r="DK1472" s="4295"/>
      <c r="DL1472" s="4295"/>
      <c r="DM1472" s="4295"/>
      <c r="DN1472" s="4295"/>
      <c r="DO1472" s="4295"/>
      <c r="DP1472" s="4295"/>
      <c r="DQ1472" s="4295"/>
      <c r="DR1472" s="4295"/>
      <c r="DS1472" s="4295"/>
    </row>
    <row r="1473" s="4133" customFormat="1" ht="16.5" customHeight="1" spans="1:123">
      <c r="A1473" s="5077" t="str">
        <f>Analiza!A302</f>
        <v>-</v>
      </c>
      <c r="B1473" s="5077"/>
      <c r="C1473" s="5077"/>
      <c r="D1473" s="5077"/>
      <c r="E1473" s="5077"/>
      <c r="F1473" s="5077"/>
      <c r="G1473" s="5077"/>
      <c r="H1473" s="5077"/>
      <c r="I1473" s="5077"/>
      <c r="J1473" s="5077"/>
      <c r="K1473" s="5077"/>
      <c r="L1473" s="5077"/>
      <c r="M1473" s="5077"/>
      <c r="N1473" s="5077"/>
      <c r="O1473" s="5077"/>
      <c r="P1473" s="5077"/>
      <c r="Q1473" s="5077"/>
      <c r="R1473" s="5077"/>
      <c r="S1473" s="5077"/>
      <c r="T1473" s="5077"/>
      <c r="U1473" s="5077"/>
      <c r="V1473" s="5077"/>
      <c r="W1473" s="5077"/>
      <c r="X1473" s="5077"/>
      <c r="Y1473" s="5077"/>
      <c r="Z1473" s="5077"/>
      <c r="AA1473" s="5077"/>
      <c r="AB1473" s="5077"/>
      <c r="AC1473" s="5077"/>
      <c r="AD1473" s="5077"/>
      <c r="AE1473" s="5077"/>
      <c r="AF1473" s="5077"/>
      <c r="AG1473" s="5077"/>
      <c r="AH1473" s="5077"/>
      <c r="AI1473" s="5077"/>
      <c r="AJ1473" s="5077"/>
      <c r="AK1473" s="5077"/>
      <c r="AL1473" s="5077"/>
      <c r="AM1473" s="5077"/>
      <c r="AN1473" s="5077"/>
      <c r="AO1473" s="5077"/>
      <c r="AP1473" s="5077"/>
      <c r="AQ1473" s="5077"/>
      <c r="AR1473" s="5077"/>
      <c r="AS1473" s="5077"/>
      <c r="AT1473" s="5077"/>
      <c r="AU1473" s="4295"/>
      <c r="AV1473" s="4295"/>
      <c r="AW1473" s="4295"/>
      <c r="AX1473" s="4295"/>
      <c r="AY1473" s="4295"/>
      <c r="AZ1473" s="4295"/>
      <c r="BA1473" s="4295"/>
      <c r="BB1473" s="4295"/>
      <c r="BC1473" s="4295"/>
      <c r="BD1473" s="4295"/>
      <c r="BE1473" s="4295"/>
      <c r="BF1473" s="4295"/>
      <c r="BG1473" s="4295"/>
      <c r="BH1473" s="4295"/>
      <c r="BI1473" s="4295"/>
      <c r="BJ1473" s="4295"/>
      <c r="BK1473" s="4295"/>
      <c r="BL1473" s="4295"/>
      <c r="BM1473" s="4295"/>
      <c r="BN1473" s="4295"/>
      <c r="BO1473" s="4295"/>
      <c r="BP1473" s="4295"/>
      <c r="BQ1473" s="4295"/>
      <c r="BR1473" s="4295"/>
      <c r="BS1473" s="4295"/>
      <c r="BT1473" s="4295"/>
      <c r="BU1473" s="4295"/>
      <c r="BV1473" s="4295"/>
      <c r="BW1473" s="4295"/>
      <c r="BX1473" s="4295"/>
      <c r="BY1473" s="4295"/>
      <c r="BZ1473" s="4295"/>
      <c r="CA1473" s="4295"/>
      <c r="CB1473" s="4295"/>
      <c r="CC1473" s="4295"/>
      <c r="CD1473" s="4295"/>
      <c r="CE1473" s="4295"/>
      <c r="CF1473" s="4295"/>
      <c r="CG1473" s="4295"/>
      <c r="CH1473" s="4295"/>
      <c r="CI1473" s="4295"/>
      <c r="CJ1473" s="4295"/>
      <c r="CK1473" s="4295"/>
      <c r="CL1473" s="4295"/>
      <c r="CM1473" s="4295"/>
      <c r="CN1473" s="4295"/>
      <c r="CO1473" s="4295"/>
      <c r="CP1473" s="4295"/>
      <c r="CQ1473" s="4295"/>
      <c r="CR1473" s="4295"/>
      <c r="CS1473" s="4295"/>
      <c r="CT1473" s="4295"/>
      <c r="CU1473" s="4295"/>
      <c r="CV1473" s="4295"/>
      <c r="CW1473" s="4295"/>
      <c r="CX1473" s="4295"/>
      <c r="CY1473" s="4295"/>
      <c r="CZ1473" s="4295"/>
      <c r="DA1473" s="4295"/>
      <c r="DB1473" s="4295"/>
      <c r="DC1473" s="4295"/>
      <c r="DD1473" s="4295"/>
      <c r="DE1473" s="4295"/>
      <c r="DF1473" s="4295"/>
      <c r="DG1473" s="4295"/>
      <c r="DH1473" s="4295"/>
      <c r="DI1473" s="4295"/>
      <c r="DJ1473" s="4295"/>
      <c r="DK1473" s="4295"/>
      <c r="DL1473" s="4295"/>
      <c r="DM1473" s="4295"/>
      <c r="DN1473" s="4295"/>
      <c r="DO1473" s="4295"/>
      <c r="DP1473" s="4295"/>
      <c r="DQ1473" s="4295"/>
      <c r="DR1473" s="4295"/>
      <c r="DS1473" s="4295"/>
    </row>
    <row r="1474" s="4133" customFormat="1" ht="16.5" customHeight="1" spans="1:123">
      <c r="A1474" s="5077"/>
      <c r="B1474" s="5077"/>
      <c r="C1474" s="5077"/>
      <c r="D1474" s="5077"/>
      <c r="E1474" s="5077"/>
      <c r="F1474" s="5077"/>
      <c r="G1474" s="5077"/>
      <c r="H1474" s="5077"/>
      <c r="I1474" s="5077"/>
      <c r="J1474" s="5077"/>
      <c r="K1474" s="5077"/>
      <c r="L1474" s="5077"/>
      <c r="M1474" s="5077"/>
      <c r="N1474" s="5077"/>
      <c r="O1474" s="5077"/>
      <c r="P1474" s="5077"/>
      <c r="Q1474" s="5077"/>
      <c r="R1474" s="5077"/>
      <c r="S1474" s="5077"/>
      <c r="T1474" s="5077"/>
      <c r="U1474" s="5077"/>
      <c r="V1474" s="5077"/>
      <c r="W1474" s="5077"/>
      <c r="X1474" s="5077"/>
      <c r="Y1474" s="5077"/>
      <c r="Z1474" s="5077"/>
      <c r="AA1474" s="5077"/>
      <c r="AB1474" s="5077"/>
      <c r="AC1474" s="5077"/>
      <c r="AD1474" s="5077"/>
      <c r="AE1474" s="5077"/>
      <c r="AF1474" s="5077"/>
      <c r="AG1474" s="5077"/>
      <c r="AH1474" s="5077"/>
      <c r="AI1474" s="5077"/>
      <c r="AJ1474" s="5077"/>
      <c r="AK1474" s="5077"/>
      <c r="AL1474" s="5077"/>
      <c r="AM1474" s="5077"/>
      <c r="AN1474" s="5077"/>
      <c r="AO1474" s="5077"/>
      <c r="AP1474" s="5077"/>
      <c r="AQ1474" s="5077"/>
      <c r="AR1474" s="5077"/>
      <c r="AS1474" s="5077"/>
      <c r="AT1474" s="5077"/>
      <c r="AU1474" s="4295"/>
      <c r="AV1474" s="4295"/>
      <c r="AW1474" s="4295"/>
      <c r="AX1474" s="4295"/>
      <c r="AY1474" s="4295"/>
      <c r="AZ1474" s="4295"/>
      <c r="BA1474" s="4295"/>
      <c r="BB1474" s="4295"/>
      <c r="BC1474" s="4295"/>
      <c r="BD1474" s="4295"/>
      <c r="BE1474" s="4295"/>
      <c r="BF1474" s="4295"/>
      <c r="BG1474" s="4295"/>
      <c r="BH1474" s="4295"/>
      <c r="BI1474" s="4295"/>
      <c r="BJ1474" s="4295"/>
      <c r="BK1474" s="4295"/>
      <c r="BL1474" s="4295"/>
      <c r="BM1474" s="4295"/>
      <c r="BN1474" s="4295"/>
      <c r="BO1474" s="4295"/>
      <c r="BP1474" s="4295"/>
      <c r="BQ1474" s="4295"/>
      <c r="BR1474" s="4295"/>
      <c r="BS1474" s="4295"/>
      <c r="BT1474" s="4295"/>
      <c r="BU1474" s="4295"/>
      <c r="BV1474" s="4295"/>
      <c r="BW1474" s="4295"/>
      <c r="BX1474" s="4295"/>
      <c r="BY1474" s="4295"/>
      <c r="BZ1474" s="4295"/>
      <c r="CA1474" s="4295"/>
      <c r="CB1474" s="4295"/>
      <c r="CC1474" s="4295"/>
      <c r="CD1474" s="4295"/>
      <c r="CE1474" s="4295"/>
      <c r="CF1474" s="4295"/>
      <c r="CG1474" s="4295"/>
      <c r="CH1474" s="4295"/>
      <c r="CI1474" s="4295"/>
      <c r="CJ1474" s="4295"/>
      <c r="CK1474" s="4295"/>
      <c r="CL1474" s="4295"/>
      <c r="CM1474" s="4295"/>
      <c r="CN1474" s="4295"/>
      <c r="CO1474" s="4295"/>
      <c r="CP1474" s="4295"/>
      <c r="CQ1474" s="4295"/>
      <c r="CR1474" s="4295"/>
      <c r="CS1474" s="4295"/>
      <c r="CT1474" s="4295"/>
      <c r="CU1474" s="4295"/>
      <c r="CV1474" s="4295"/>
      <c r="CW1474" s="4295"/>
      <c r="CX1474" s="4295"/>
      <c r="CY1474" s="4295"/>
      <c r="CZ1474" s="4295"/>
      <c r="DA1474" s="4295"/>
      <c r="DB1474" s="4295"/>
      <c r="DC1474" s="4295"/>
      <c r="DD1474" s="4295"/>
      <c r="DE1474" s="4295"/>
      <c r="DF1474" s="4295"/>
      <c r="DG1474" s="4295"/>
      <c r="DH1474" s="4295"/>
      <c r="DI1474" s="4295"/>
      <c r="DJ1474" s="4295"/>
      <c r="DK1474" s="4295"/>
      <c r="DL1474" s="4295"/>
      <c r="DM1474" s="4295"/>
      <c r="DN1474" s="4295"/>
      <c r="DO1474" s="4295"/>
      <c r="DP1474" s="4295"/>
      <c r="DQ1474" s="4295"/>
      <c r="DR1474" s="4295"/>
      <c r="DS1474" s="4295"/>
    </row>
    <row r="1475" s="4133" customFormat="1" ht="16.5" customHeight="1" spans="1:123">
      <c r="A1475" s="5077" t="str">
        <f>Analiza!A304</f>
        <v>-</v>
      </c>
      <c r="B1475" s="5077"/>
      <c r="C1475" s="5077"/>
      <c r="D1475" s="5077"/>
      <c r="E1475" s="5077"/>
      <c r="F1475" s="5077"/>
      <c r="G1475" s="5077"/>
      <c r="H1475" s="5077"/>
      <c r="I1475" s="5077"/>
      <c r="J1475" s="5077"/>
      <c r="K1475" s="5077"/>
      <c r="L1475" s="5077"/>
      <c r="M1475" s="5077"/>
      <c r="N1475" s="5077"/>
      <c r="O1475" s="5077"/>
      <c r="P1475" s="5077"/>
      <c r="Q1475" s="5077"/>
      <c r="R1475" s="5077"/>
      <c r="S1475" s="5077"/>
      <c r="T1475" s="5077"/>
      <c r="U1475" s="5077"/>
      <c r="V1475" s="5077"/>
      <c r="W1475" s="5077"/>
      <c r="X1475" s="5077"/>
      <c r="Y1475" s="5077"/>
      <c r="Z1475" s="5077"/>
      <c r="AA1475" s="5077"/>
      <c r="AB1475" s="5077"/>
      <c r="AC1475" s="5077"/>
      <c r="AD1475" s="5077"/>
      <c r="AE1475" s="5077"/>
      <c r="AF1475" s="5077"/>
      <c r="AG1475" s="5077"/>
      <c r="AH1475" s="5077"/>
      <c r="AI1475" s="5077"/>
      <c r="AJ1475" s="5077"/>
      <c r="AK1475" s="5077"/>
      <c r="AL1475" s="5077"/>
      <c r="AM1475" s="5077"/>
      <c r="AN1475" s="5077"/>
      <c r="AO1475" s="5077"/>
      <c r="AP1475" s="5077"/>
      <c r="AQ1475" s="5077"/>
      <c r="AR1475" s="5077"/>
      <c r="AS1475" s="5077"/>
      <c r="AT1475" s="5077"/>
      <c r="AU1475" s="4295"/>
      <c r="AV1475" s="4295"/>
      <c r="AW1475" s="4295"/>
      <c r="AX1475" s="4295"/>
      <c r="AY1475" s="4295"/>
      <c r="AZ1475" s="4295"/>
      <c r="BA1475" s="4295"/>
      <c r="BB1475" s="4295"/>
      <c r="BC1475" s="4295"/>
      <c r="BD1475" s="4295"/>
      <c r="BE1475" s="4295"/>
      <c r="BF1475" s="4295"/>
      <c r="BG1475" s="4295"/>
      <c r="BH1475" s="4295"/>
      <c r="BI1475" s="4295"/>
      <c r="BJ1475" s="4295"/>
      <c r="BK1475" s="4295"/>
      <c r="BL1475" s="4295"/>
      <c r="BM1475" s="4295"/>
      <c r="BN1475" s="4295"/>
      <c r="BO1475" s="4295"/>
      <c r="BP1475" s="4295"/>
      <c r="BQ1475" s="4295"/>
      <c r="BR1475" s="4295"/>
      <c r="BS1475" s="4295"/>
      <c r="BT1475" s="4295"/>
      <c r="BU1475" s="4295"/>
      <c r="BV1475" s="4295"/>
      <c r="BW1475" s="4295"/>
      <c r="BX1475" s="4295"/>
      <c r="BY1475" s="4295"/>
      <c r="BZ1475" s="4295"/>
      <c r="CA1475" s="4295"/>
      <c r="CB1475" s="4295"/>
      <c r="CC1475" s="4295"/>
      <c r="CD1475" s="4295"/>
      <c r="CE1475" s="4295"/>
      <c r="CF1475" s="4295"/>
      <c r="CG1475" s="4295"/>
      <c r="CH1475" s="4295"/>
      <c r="CI1475" s="4295"/>
      <c r="CJ1475" s="4295"/>
      <c r="CK1475" s="4295"/>
      <c r="CL1475" s="4295"/>
      <c r="CM1475" s="4295"/>
      <c r="CN1475" s="4295"/>
      <c r="CO1475" s="4295"/>
      <c r="CP1475" s="4295"/>
      <c r="CQ1475" s="4295"/>
      <c r="CR1475" s="4295"/>
      <c r="CS1475" s="4295"/>
      <c r="CT1475" s="4295"/>
      <c r="CU1475" s="4295"/>
      <c r="CV1475" s="4295"/>
      <c r="CW1475" s="4295"/>
      <c r="CX1475" s="4295"/>
      <c r="CY1475" s="4295"/>
      <c r="CZ1475" s="4295"/>
      <c r="DA1475" s="4295"/>
      <c r="DB1475" s="4295"/>
      <c r="DC1475" s="4295"/>
      <c r="DD1475" s="4295"/>
      <c r="DE1475" s="4295"/>
      <c r="DF1475" s="4295"/>
      <c r="DG1475" s="4295"/>
      <c r="DH1475" s="4295"/>
      <c r="DI1475" s="4295"/>
      <c r="DJ1475" s="4295"/>
      <c r="DK1475" s="4295"/>
      <c r="DL1475" s="4295"/>
      <c r="DM1475" s="4295"/>
      <c r="DN1475" s="4295"/>
      <c r="DO1475" s="4295"/>
      <c r="DP1475" s="4295"/>
      <c r="DQ1475" s="4295"/>
      <c r="DR1475" s="4295"/>
      <c r="DS1475" s="4295"/>
    </row>
    <row r="1476" s="4133" customFormat="1" ht="16.5" customHeight="1" spans="1:123">
      <c r="A1476" s="5070"/>
      <c r="B1476" s="5070"/>
      <c r="C1476" s="5070"/>
      <c r="D1476" s="5070"/>
      <c r="E1476" s="5070"/>
      <c r="F1476" s="5070"/>
      <c r="G1476" s="5070"/>
      <c r="H1476" s="5070"/>
      <c r="I1476" s="5070"/>
      <c r="J1476" s="5070"/>
      <c r="K1476" s="5070"/>
      <c r="L1476" s="5070"/>
      <c r="M1476" s="5070"/>
      <c r="N1476" s="5070"/>
      <c r="O1476" s="5070"/>
      <c r="P1476" s="5070"/>
      <c r="Q1476" s="5070"/>
      <c r="R1476" s="5070"/>
      <c r="S1476" s="5070"/>
      <c r="T1476" s="5070"/>
      <c r="U1476" s="5070"/>
      <c r="V1476" s="5070"/>
      <c r="W1476" s="5070"/>
      <c r="X1476" s="5070"/>
      <c r="Y1476" s="5070"/>
      <c r="Z1476" s="5070"/>
      <c r="AA1476" s="5070"/>
      <c r="AB1476" s="5070"/>
      <c r="AC1476" s="5070"/>
      <c r="AD1476" s="5070"/>
      <c r="AE1476" s="5070"/>
      <c r="AF1476" s="5070"/>
      <c r="AG1476" s="5070"/>
      <c r="AH1476" s="5070"/>
      <c r="AI1476" s="5070"/>
      <c r="AJ1476" s="5070"/>
      <c r="AK1476" s="5070"/>
      <c r="AL1476" s="5070"/>
      <c r="AM1476" s="5070"/>
      <c r="AN1476" s="5070"/>
      <c r="AO1476" s="5070"/>
      <c r="AP1476" s="5070"/>
      <c r="AQ1476" s="5070"/>
      <c r="AR1476" s="5070"/>
      <c r="AS1476" s="5070"/>
      <c r="AT1476" s="5070"/>
      <c r="AU1476" s="4295"/>
      <c r="AV1476" s="4295"/>
      <c r="AW1476" s="4295"/>
      <c r="AX1476" s="4295"/>
      <c r="AY1476" s="4295"/>
      <c r="AZ1476" s="4295"/>
      <c r="BA1476" s="4295"/>
      <c r="BB1476" s="4295"/>
      <c r="BC1476" s="4295"/>
      <c r="BD1476" s="4295"/>
      <c r="BE1476" s="4295"/>
      <c r="BF1476" s="4295"/>
      <c r="BG1476" s="4295"/>
      <c r="BH1476" s="4295"/>
      <c r="BI1476" s="4295"/>
      <c r="BJ1476" s="4295"/>
      <c r="BK1476" s="4295"/>
      <c r="BL1476" s="4295"/>
      <c r="BM1476" s="4295"/>
      <c r="BN1476" s="4295"/>
      <c r="BO1476" s="4295"/>
      <c r="BP1476" s="4295"/>
      <c r="BQ1476" s="4295"/>
      <c r="BR1476" s="4295"/>
      <c r="BS1476" s="4295"/>
      <c r="BT1476" s="4295"/>
      <c r="BU1476" s="4295"/>
      <c r="BV1476" s="4295"/>
      <c r="BW1476" s="4295"/>
      <c r="BX1476" s="4295"/>
      <c r="BY1476" s="4295"/>
      <c r="BZ1476" s="4295"/>
      <c r="CA1476" s="4295"/>
      <c r="CB1476" s="4295"/>
      <c r="CC1476" s="4295"/>
      <c r="CD1476" s="4295"/>
      <c r="CE1476" s="4295"/>
      <c r="CF1476" s="4295"/>
      <c r="CG1476" s="4295"/>
      <c r="CH1476" s="4295"/>
      <c r="CI1476" s="4295"/>
      <c r="CJ1476" s="4295"/>
      <c r="CK1476" s="4295"/>
      <c r="CL1476" s="4295"/>
      <c r="CM1476" s="4295"/>
      <c r="CN1476" s="4295"/>
      <c r="CO1476" s="4295"/>
      <c r="CP1476" s="4295"/>
      <c r="CQ1476" s="4295"/>
      <c r="CR1476" s="4295"/>
      <c r="CS1476" s="4295"/>
      <c r="CT1476" s="4295"/>
      <c r="CU1476" s="4295"/>
      <c r="CV1476" s="4295"/>
      <c r="CW1476" s="4295"/>
      <c r="CX1476" s="4295"/>
      <c r="CY1476" s="4295"/>
      <c r="CZ1476" s="4295"/>
      <c r="DA1476" s="4295"/>
      <c r="DB1476" s="4295"/>
      <c r="DC1476" s="4295"/>
      <c r="DD1476" s="4295"/>
      <c r="DE1476" s="4295"/>
      <c r="DF1476" s="4295"/>
      <c r="DG1476" s="4295"/>
      <c r="DH1476" s="4295"/>
      <c r="DI1476" s="4295"/>
      <c r="DJ1476" s="4295"/>
      <c r="DK1476" s="4295"/>
      <c r="DL1476" s="4295"/>
      <c r="DM1476" s="4295"/>
      <c r="DN1476" s="4295"/>
      <c r="DO1476" s="4295"/>
      <c r="DP1476" s="4295"/>
      <c r="DQ1476" s="4295"/>
      <c r="DR1476" s="4295"/>
      <c r="DS1476" s="4295"/>
    </row>
    <row r="1477" s="4133" customFormat="1" ht="16.5" customHeight="1" spans="1:123">
      <c r="A1477" s="5071"/>
      <c r="B1477" s="5071"/>
      <c r="C1477" s="5071"/>
      <c r="D1477" s="5071"/>
      <c r="E1477" s="5071"/>
      <c r="F1477" s="5071"/>
      <c r="G1477" s="5071"/>
      <c r="H1477" s="5071"/>
      <c r="I1477" s="5071"/>
      <c r="J1477" s="5071"/>
      <c r="K1477" s="5071"/>
      <c r="L1477" s="5071"/>
      <c r="M1477" s="5071"/>
      <c r="N1477" s="5071"/>
      <c r="O1477" s="5071"/>
      <c r="P1477" s="5071"/>
      <c r="Q1477" s="5071"/>
      <c r="R1477" s="5071"/>
      <c r="S1477" s="5071"/>
      <c r="T1477" s="5071"/>
      <c r="U1477" s="5071"/>
      <c r="V1477" s="5071"/>
      <c r="W1477" s="5071"/>
      <c r="X1477" s="5071"/>
      <c r="Y1477" s="5071"/>
      <c r="Z1477" s="5071"/>
      <c r="AA1477" s="5071"/>
      <c r="AB1477" s="5071"/>
      <c r="AC1477" s="5071"/>
      <c r="AD1477" s="5071"/>
      <c r="AE1477" s="5071"/>
      <c r="AF1477" s="5071"/>
      <c r="AG1477" s="5071"/>
      <c r="AH1477" s="5071"/>
      <c r="AI1477" s="5071"/>
      <c r="AJ1477" s="5071"/>
      <c r="AK1477" s="5071"/>
      <c r="AL1477" s="5071"/>
      <c r="AM1477" s="5071"/>
      <c r="AN1477" s="5071"/>
      <c r="AO1477" s="5071"/>
      <c r="AP1477" s="5071"/>
      <c r="AQ1477" s="5071"/>
      <c r="AR1477" s="5071"/>
      <c r="AS1477" s="5071"/>
      <c r="AT1477" s="5071"/>
      <c r="AU1477" s="4295"/>
      <c r="AV1477" s="4295"/>
      <c r="AW1477" s="4295"/>
      <c r="AX1477" s="4295"/>
      <c r="AY1477" s="4295"/>
      <c r="AZ1477" s="4295"/>
      <c r="BA1477" s="4295"/>
      <c r="BB1477" s="4295"/>
      <c r="BC1477" s="4295"/>
      <c r="BD1477" s="4295"/>
      <c r="BE1477" s="4295"/>
      <c r="BF1477" s="4295"/>
      <c r="BG1477" s="4295"/>
      <c r="BH1477" s="4295"/>
      <c r="BI1477" s="4295"/>
      <c r="BJ1477" s="4295"/>
      <c r="BK1477" s="4295"/>
      <c r="BL1477" s="4295"/>
      <c r="BM1477" s="4295"/>
      <c r="BN1477" s="4295"/>
      <c r="BO1477" s="4295"/>
      <c r="BP1477" s="4295"/>
      <c r="BQ1477" s="4295"/>
      <c r="BR1477" s="4295"/>
      <c r="BS1477" s="4295"/>
      <c r="BT1477" s="4295"/>
      <c r="BU1477" s="4295"/>
      <c r="BV1477" s="4295"/>
      <c r="BW1477" s="4295"/>
      <c r="BX1477" s="4295"/>
      <c r="BY1477" s="4295"/>
      <c r="BZ1477" s="4295"/>
      <c r="CA1477" s="4295"/>
      <c r="CB1477" s="4295"/>
      <c r="CC1477" s="4295"/>
      <c r="CD1477" s="4295"/>
      <c r="CE1477" s="4295"/>
      <c r="CF1477" s="4295"/>
      <c r="CG1477" s="4295"/>
      <c r="CH1477" s="4295"/>
      <c r="CI1477" s="4295"/>
      <c r="CJ1477" s="4295"/>
      <c r="CK1477" s="4295"/>
      <c r="CL1477" s="4295"/>
      <c r="CM1477" s="4295"/>
      <c r="CN1477" s="4295"/>
      <c r="CO1477" s="4295"/>
      <c r="CP1477" s="4295"/>
      <c r="CQ1477" s="4295"/>
      <c r="CR1477" s="4295"/>
      <c r="CS1477" s="4295"/>
      <c r="CT1477" s="4295"/>
      <c r="CU1477" s="4295"/>
      <c r="CV1477" s="4295"/>
      <c r="CW1477" s="4295"/>
      <c r="CX1477" s="4295"/>
      <c r="CY1477" s="4295"/>
      <c r="CZ1477" s="4295"/>
      <c r="DA1477" s="4295"/>
      <c r="DB1477" s="4295"/>
      <c r="DC1477" s="4295"/>
      <c r="DD1477" s="4295"/>
      <c r="DE1477" s="4295"/>
      <c r="DF1477" s="4295"/>
      <c r="DG1477" s="4295"/>
      <c r="DH1477" s="4295"/>
      <c r="DI1477" s="4295"/>
      <c r="DJ1477" s="4295"/>
      <c r="DK1477" s="4295"/>
      <c r="DL1477" s="4295"/>
      <c r="DM1477" s="4295"/>
      <c r="DN1477" s="4295"/>
      <c r="DO1477" s="4295"/>
      <c r="DP1477" s="4295"/>
      <c r="DQ1477" s="4295"/>
      <c r="DR1477" s="4295"/>
      <c r="DS1477" s="4295"/>
    </row>
    <row r="1478" s="4133" customFormat="1" ht="16.5" customHeight="1" spans="1:123">
      <c r="A1478" s="5071"/>
      <c r="B1478" s="5071"/>
      <c r="C1478" s="5071"/>
      <c r="D1478" s="5071"/>
      <c r="E1478" s="5071"/>
      <c r="F1478" s="5071"/>
      <c r="G1478" s="5071"/>
      <c r="H1478" s="5071"/>
      <c r="I1478" s="5071"/>
      <c r="J1478" s="5071"/>
      <c r="K1478" s="5071"/>
      <c r="L1478" s="5071"/>
      <c r="M1478" s="5071"/>
      <c r="N1478" s="5071"/>
      <c r="O1478" s="5071"/>
      <c r="P1478" s="5071"/>
      <c r="Q1478" s="5071"/>
      <c r="R1478" s="5071"/>
      <c r="S1478" s="5071"/>
      <c r="T1478" s="5071"/>
      <c r="U1478" s="5071"/>
      <c r="V1478" s="5071"/>
      <c r="W1478" s="5071"/>
      <c r="X1478" s="5071"/>
      <c r="Y1478" s="5071"/>
      <c r="Z1478" s="5071"/>
      <c r="AA1478" s="5071"/>
      <c r="AB1478" s="5071"/>
      <c r="AC1478" s="5071"/>
      <c r="AD1478" s="5071"/>
      <c r="AE1478" s="5071"/>
      <c r="AF1478" s="5071"/>
      <c r="AG1478" s="5071"/>
      <c r="AH1478" s="5071"/>
      <c r="AI1478" s="5071"/>
      <c r="AJ1478" s="5071"/>
      <c r="AK1478" s="5071"/>
      <c r="AL1478" s="5071"/>
      <c r="AM1478" s="5071"/>
      <c r="AN1478" s="5071"/>
      <c r="AO1478" s="5071"/>
      <c r="AP1478" s="5071"/>
      <c r="AQ1478" s="5071"/>
      <c r="AR1478" s="5071"/>
      <c r="AS1478" s="5071"/>
      <c r="AT1478" s="5071"/>
      <c r="AU1478" s="4295"/>
      <c r="AV1478" s="4295"/>
      <c r="AW1478" s="4295"/>
      <c r="AX1478" s="4295"/>
      <c r="AY1478" s="4295"/>
      <c r="AZ1478" s="4295"/>
      <c r="BA1478" s="4295"/>
      <c r="BB1478" s="4295"/>
      <c r="BC1478" s="4295"/>
      <c r="BD1478" s="4295"/>
      <c r="BE1478" s="4295"/>
      <c r="BF1478" s="4295"/>
      <c r="BG1478" s="4295"/>
      <c r="BH1478" s="4295"/>
      <c r="BI1478" s="4295"/>
      <c r="BJ1478" s="4295"/>
      <c r="BK1478" s="4295"/>
      <c r="BL1478" s="4295"/>
      <c r="BM1478" s="4295"/>
      <c r="BN1478" s="4295"/>
      <c r="BO1478" s="4295"/>
      <c r="BP1478" s="4295"/>
      <c r="BQ1478" s="4295"/>
      <c r="BR1478" s="4295"/>
      <c r="BS1478" s="4295"/>
      <c r="BT1478" s="4295"/>
      <c r="BU1478" s="4295"/>
      <c r="BV1478" s="4295"/>
      <c r="BW1478" s="4295"/>
      <c r="BX1478" s="4295"/>
      <c r="BY1478" s="4295"/>
      <c r="BZ1478" s="4295"/>
      <c r="CA1478" s="4295"/>
      <c r="CB1478" s="4295"/>
      <c r="CC1478" s="4295"/>
      <c r="CD1478" s="4295"/>
      <c r="CE1478" s="4295"/>
      <c r="CF1478" s="4295"/>
      <c r="CG1478" s="4295"/>
      <c r="CH1478" s="4295"/>
      <c r="CI1478" s="4295"/>
      <c r="CJ1478" s="4295"/>
      <c r="CK1478" s="4295"/>
      <c r="CL1478" s="4295"/>
      <c r="CM1478" s="4295"/>
      <c r="CN1478" s="4295"/>
      <c r="CO1478" s="4295"/>
      <c r="CP1478" s="4295"/>
      <c r="CQ1478" s="4295"/>
      <c r="CR1478" s="4295"/>
      <c r="CS1478" s="4295"/>
      <c r="CT1478" s="4295"/>
      <c r="CU1478" s="4295"/>
      <c r="CV1478" s="4295"/>
      <c r="CW1478" s="4295"/>
      <c r="CX1478" s="4295"/>
      <c r="CY1478" s="4295"/>
      <c r="CZ1478" s="4295"/>
      <c r="DA1478" s="4295"/>
      <c r="DB1478" s="4295"/>
      <c r="DC1478" s="4295"/>
      <c r="DD1478" s="4295"/>
      <c r="DE1478" s="4295"/>
      <c r="DF1478" s="4295"/>
      <c r="DG1478" s="4295"/>
      <c r="DH1478" s="4295"/>
      <c r="DI1478" s="4295"/>
      <c r="DJ1478" s="4295"/>
      <c r="DK1478" s="4295"/>
      <c r="DL1478" s="4295"/>
      <c r="DM1478" s="4295"/>
      <c r="DN1478" s="4295"/>
      <c r="DO1478" s="4295"/>
      <c r="DP1478" s="4295"/>
      <c r="DQ1478" s="4295"/>
      <c r="DR1478" s="4295"/>
      <c r="DS1478" s="4295"/>
    </row>
    <row r="1479" s="4133" customFormat="1" ht="16.5" customHeight="1" spans="1:123">
      <c r="A1479" s="5071"/>
      <c r="B1479" s="5071"/>
      <c r="C1479" s="5071"/>
      <c r="D1479" s="5071"/>
      <c r="E1479" s="5071"/>
      <c r="F1479" s="5071"/>
      <c r="G1479" s="5071"/>
      <c r="H1479" s="5071"/>
      <c r="I1479" s="5071"/>
      <c r="J1479" s="5071"/>
      <c r="K1479" s="5071"/>
      <c r="L1479" s="5071"/>
      <c r="M1479" s="5071"/>
      <c r="N1479" s="5071"/>
      <c r="O1479" s="5071"/>
      <c r="P1479" s="5071"/>
      <c r="Q1479" s="5071"/>
      <c r="R1479" s="5071"/>
      <c r="S1479" s="5071"/>
      <c r="T1479" s="5071"/>
      <c r="U1479" s="5071"/>
      <c r="V1479" s="5071"/>
      <c r="W1479" s="5071"/>
      <c r="X1479" s="5071"/>
      <c r="Y1479" s="5071"/>
      <c r="Z1479" s="5071"/>
      <c r="AA1479" s="5071"/>
      <c r="AB1479" s="5071"/>
      <c r="AC1479" s="5071"/>
      <c r="AD1479" s="5071"/>
      <c r="AE1479" s="5071"/>
      <c r="AF1479" s="5071"/>
      <c r="AG1479" s="5071"/>
      <c r="AH1479" s="5071"/>
      <c r="AI1479" s="5071"/>
      <c r="AJ1479" s="5071"/>
      <c r="AK1479" s="5071"/>
      <c r="AL1479" s="5071"/>
      <c r="AM1479" s="5071"/>
      <c r="AN1479" s="5071"/>
      <c r="AO1479" s="5071"/>
      <c r="AP1479" s="5071"/>
      <c r="AQ1479" s="5071"/>
      <c r="AR1479" s="5071"/>
      <c r="AS1479" s="5071"/>
      <c r="AT1479" s="5071"/>
      <c r="AU1479" s="4295"/>
      <c r="AV1479" s="4295"/>
      <c r="AW1479" s="4295"/>
      <c r="AX1479" s="4295"/>
      <c r="AY1479" s="4295"/>
      <c r="AZ1479" s="4295"/>
      <c r="BA1479" s="4295"/>
      <c r="BB1479" s="4295"/>
      <c r="BC1479" s="4295"/>
      <c r="BD1479" s="4295"/>
      <c r="BE1479" s="4295"/>
      <c r="BF1479" s="4295"/>
      <c r="BG1479" s="4295"/>
      <c r="BH1479" s="4295"/>
      <c r="BI1479" s="4295"/>
      <c r="BJ1479" s="4295"/>
      <c r="BK1479" s="4295"/>
      <c r="BL1479" s="4295"/>
      <c r="BM1479" s="4295"/>
      <c r="BN1479" s="4295"/>
      <c r="BO1479" s="4295"/>
      <c r="BP1479" s="4295"/>
      <c r="BQ1479" s="4295"/>
      <c r="BR1479" s="4295"/>
      <c r="BS1479" s="4295"/>
      <c r="BT1479" s="4295"/>
      <c r="BU1479" s="4295"/>
      <c r="BV1479" s="4295"/>
      <c r="BW1479" s="4295"/>
      <c r="BX1479" s="4295"/>
      <c r="BY1479" s="4295"/>
      <c r="BZ1479" s="4295"/>
      <c r="CA1479" s="4295"/>
      <c r="CB1479" s="4295"/>
      <c r="CC1479" s="4295"/>
      <c r="CD1479" s="4295"/>
      <c r="CE1479" s="4295"/>
      <c r="CF1479" s="4295"/>
      <c r="CG1479" s="4295"/>
      <c r="CH1479" s="4295"/>
      <c r="CI1479" s="4295"/>
      <c r="CJ1479" s="4295"/>
      <c r="CK1479" s="4295"/>
      <c r="CL1479" s="4295"/>
      <c r="CM1479" s="4295"/>
      <c r="CN1479" s="4295"/>
      <c r="CO1479" s="4295"/>
      <c r="CP1479" s="4295"/>
      <c r="CQ1479" s="4295"/>
      <c r="CR1479" s="4295"/>
      <c r="CS1479" s="4295"/>
      <c r="CT1479" s="4295"/>
      <c r="CU1479" s="4295"/>
      <c r="CV1479" s="4295"/>
      <c r="CW1479" s="4295"/>
      <c r="CX1479" s="4295"/>
      <c r="CY1479" s="4295"/>
      <c r="CZ1479" s="4295"/>
      <c r="DA1479" s="4295"/>
      <c r="DB1479" s="4295"/>
      <c r="DC1479" s="4295"/>
      <c r="DD1479" s="4295"/>
      <c r="DE1479" s="4295"/>
      <c r="DF1479" s="4295"/>
      <c r="DG1479" s="4295"/>
      <c r="DH1479" s="4295"/>
      <c r="DI1479" s="4295"/>
      <c r="DJ1479" s="4295"/>
      <c r="DK1479" s="4295"/>
      <c r="DL1479" s="4295"/>
      <c r="DM1479" s="4295"/>
      <c r="DN1479" s="4295"/>
      <c r="DO1479" s="4295"/>
      <c r="DP1479" s="4295"/>
      <c r="DQ1479" s="4295"/>
      <c r="DR1479" s="4295"/>
      <c r="DS1479" s="4295"/>
    </row>
    <row r="1480" s="4133" customFormat="1" ht="16.5" customHeight="1" spans="1:123">
      <c r="A1480" s="4772"/>
      <c r="B1480" s="4773"/>
      <c r="C1480" s="4295"/>
      <c r="D1480" s="4295"/>
      <c r="E1480" s="4295"/>
      <c r="F1480" s="4295"/>
      <c r="G1480" s="4295"/>
      <c r="H1480" s="4295"/>
      <c r="I1480" s="4295"/>
      <c r="J1480" s="4295"/>
      <c r="K1480" s="4295"/>
      <c r="L1480" s="4295"/>
      <c r="M1480" s="4295"/>
      <c r="N1480" s="4295"/>
      <c r="O1480" s="4295"/>
      <c r="P1480" s="4295"/>
      <c r="Q1480" s="4295"/>
      <c r="R1480" s="4295"/>
      <c r="S1480" s="4295"/>
      <c r="T1480" s="4295"/>
      <c r="U1480" s="4295"/>
      <c r="V1480" s="4295"/>
      <c r="W1480" s="4295"/>
      <c r="X1480" s="4295"/>
      <c r="Y1480" s="4295"/>
      <c r="Z1480" s="4295"/>
      <c r="AA1480" s="4295"/>
      <c r="AB1480" s="4295"/>
      <c r="AC1480" s="4295"/>
      <c r="AD1480" s="4295"/>
      <c r="AE1480" s="4295"/>
      <c r="AF1480" s="4295"/>
      <c r="AG1480" s="4295"/>
      <c r="AH1480" s="4295"/>
      <c r="AI1480" s="4295"/>
      <c r="AJ1480" s="4295"/>
      <c r="AK1480" s="4295"/>
      <c r="AL1480" s="4295"/>
      <c r="AM1480" s="4295"/>
      <c r="AN1480" s="4295"/>
      <c r="AO1480" s="4295"/>
      <c r="AP1480" s="4295"/>
      <c r="AQ1480" s="4295"/>
      <c r="AR1480" s="4295"/>
      <c r="AS1480" s="4295"/>
      <c r="AT1480" s="4295"/>
      <c r="AU1480" s="4295"/>
      <c r="AV1480" s="4295"/>
      <c r="AW1480" s="4295"/>
      <c r="AX1480" s="4295"/>
      <c r="AY1480" s="4295"/>
      <c r="AZ1480" s="4295"/>
      <c r="BA1480" s="4295"/>
      <c r="BB1480" s="4295"/>
      <c r="BC1480" s="4295"/>
      <c r="BD1480" s="4295"/>
      <c r="BE1480" s="4295"/>
      <c r="BF1480" s="4295"/>
      <c r="BG1480" s="4295"/>
      <c r="BH1480" s="4295"/>
      <c r="BI1480" s="4295"/>
      <c r="BJ1480" s="4295"/>
      <c r="BK1480" s="4295"/>
      <c r="BL1480" s="4295"/>
      <c r="BM1480" s="4295"/>
      <c r="BN1480" s="4295"/>
      <c r="BO1480" s="4295"/>
      <c r="BP1480" s="4295"/>
      <c r="BQ1480" s="4295"/>
      <c r="BR1480" s="4295"/>
      <c r="BS1480" s="4295"/>
      <c r="BT1480" s="4295"/>
      <c r="BU1480" s="4295"/>
      <c r="BV1480" s="4295"/>
      <c r="BW1480" s="4295"/>
      <c r="BX1480" s="4295"/>
      <c r="BY1480" s="4295"/>
      <c r="BZ1480" s="4295"/>
      <c r="CA1480" s="4295"/>
      <c r="CB1480" s="4295"/>
      <c r="CC1480" s="4295"/>
      <c r="CD1480" s="4295"/>
      <c r="CE1480" s="4295"/>
      <c r="CF1480" s="4295"/>
      <c r="CG1480" s="4295"/>
      <c r="CH1480" s="4295"/>
      <c r="CI1480" s="4295"/>
      <c r="CJ1480" s="4295"/>
      <c r="CK1480" s="4295"/>
      <c r="CL1480" s="4295"/>
      <c r="CM1480" s="4295"/>
      <c r="CN1480" s="4295"/>
      <c r="CO1480" s="4295"/>
      <c r="CP1480" s="4295"/>
      <c r="CQ1480" s="4295"/>
      <c r="CR1480" s="4295"/>
      <c r="CS1480" s="4295"/>
      <c r="CT1480" s="4295"/>
      <c r="CU1480" s="4295"/>
      <c r="CV1480" s="4295"/>
      <c r="CW1480" s="4295"/>
      <c r="CX1480" s="4295"/>
      <c r="CY1480" s="4295"/>
      <c r="CZ1480" s="4295"/>
      <c r="DA1480" s="4295"/>
      <c r="DB1480" s="4295"/>
      <c r="DC1480" s="4295"/>
      <c r="DD1480" s="4295"/>
      <c r="DE1480" s="4295"/>
      <c r="DF1480" s="4295"/>
      <c r="DG1480" s="4295"/>
      <c r="DH1480" s="4295"/>
      <c r="DI1480" s="4295"/>
      <c r="DJ1480" s="4295"/>
      <c r="DK1480" s="4295"/>
      <c r="DL1480" s="4295"/>
      <c r="DM1480" s="4295"/>
      <c r="DN1480" s="4295"/>
      <c r="DO1480" s="4295"/>
      <c r="DP1480" s="4295"/>
      <c r="DQ1480" s="4295"/>
      <c r="DR1480" s="4295"/>
      <c r="DS1480" s="4295"/>
    </row>
    <row r="1481" s="4133" customFormat="1" ht="16.5" customHeight="1" spans="1:123">
      <c r="A1481" s="4369" t="s">
        <v>5777</v>
      </c>
      <c r="B1481" s="4369"/>
      <c r="C1481" s="4295"/>
      <c r="D1481" s="4295"/>
      <c r="E1481" s="4295"/>
      <c r="F1481" s="4295"/>
      <c r="G1481" s="4295"/>
      <c r="H1481" s="4295"/>
      <c r="I1481" s="4295"/>
      <c r="J1481" s="4295"/>
      <c r="K1481" s="4295"/>
      <c r="L1481" s="4295"/>
      <c r="M1481" s="4295"/>
      <c r="N1481" s="4295"/>
      <c r="O1481" s="4295"/>
      <c r="P1481" s="4295"/>
      <c r="Q1481" s="4295"/>
      <c r="R1481" s="4295"/>
      <c r="S1481" s="4295"/>
      <c r="T1481" s="4295"/>
      <c r="U1481" s="4295"/>
      <c r="V1481" s="4295"/>
      <c r="W1481" s="4295"/>
      <c r="X1481" s="4295"/>
      <c r="Y1481" s="4295"/>
      <c r="Z1481" s="4295"/>
      <c r="AA1481" s="4295"/>
      <c r="AB1481" s="4295"/>
      <c r="AC1481" s="4295"/>
      <c r="AD1481" s="4295"/>
      <c r="AE1481" s="4295"/>
      <c r="AF1481" s="4295"/>
      <c r="AG1481" s="4295"/>
      <c r="AH1481" s="4295"/>
      <c r="AI1481" s="4295"/>
      <c r="AJ1481" s="4295"/>
      <c r="AK1481" s="4295"/>
      <c r="AL1481" s="4295"/>
      <c r="AM1481" s="4295"/>
      <c r="AN1481" s="4295"/>
      <c r="AO1481" s="4295"/>
      <c r="AP1481" s="4295"/>
      <c r="AQ1481" s="4295"/>
      <c r="AR1481" s="4295"/>
      <c r="AS1481" s="4295"/>
      <c r="AT1481" s="4295"/>
      <c r="AU1481" s="4295"/>
      <c r="AV1481" s="4295"/>
      <c r="AW1481" s="4295"/>
      <c r="AX1481" s="4295"/>
      <c r="AY1481" s="4295"/>
      <c r="AZ1481" s="4295"/>
      <c r="BA1481" s="4295"/>
      <c r="BB1481" s="4295"/>
      <c r="BC1481" s="4295"/>
      <c r="BD1481" s="4295"/>
      <c r="BE1481" s="4295"/>
      <c r="BF1481" s="4295"/>
      <c r="BG1481" s="4295"/>
      <c r="BH1481" s="4295"/>
      <c r="BI1481" s="4295"/>
      <c r="BJ1481" s="4295"/>
      <c r="BK1481" s="4295"/>
      <c r="BL1481" s="4295"/>
      <c r="BM1481" s="4295"/>
      <c r="BN1481" s="4295"/>
      <c r="BO1481" s="4295"/>
      <c r="BP1481" s="4295"/>
      <c r="BQ1481" s="4295"/>
      <c r="BR1481" s="4295"/>
      <c r="BS1481" s="4295"/>
      <c r="BT1481" s="4295"/>
      <c r="BU1481" s="4295"/>
      <c r="BV1481" s="4295"/>
      <c r="BW1481" s="4295"/>
      <c r="BX1481" s="4295"/>
      <c r="BY1481" s="4295"/>
      <c r="BZ1481" s="4295"/>
      <c r="CA1481" s="4295"/>
      <c r="CB1481" s="4295"/>
      <c r="CC1481" s="4295"/>
      <c r="CD1481" s="4295"/>
      <c r="CE1481" s="4295"/>
      <c r="CF1481" s="4295"/>
      <c r="CG1481" s="4295"/>
      <c r="CH1481" s="4295"/>
      <c r="CI1481" s="4295"/>
      <c r="CJ1481" s="4295"/>
      <c r="CK1481" s="4295"/>
      <c r="CL1481" s="4295"/>
      <c r="CM1481" s="4295"/>
      <c r="CN1481" s="4295"/>
      <c r="CO1481" s="4295"/>
      <c r="CP1481" s="4295"/>
      <c r="CQ1481" s="4295"/>
      <c r="CR1481" s="4295"/>
      <c r="CS1481" s="4295"/>
      <c r="CT1481" s="4295"/>
      <c r="CU1481" s="4295"/>
      <c r="CV1481" s="4295"/>
      <c r="CW1481" s="4295"/>
      <c r="CX1481" s="4295"/>
      <c r="CY1481" s="4295"/>
      <c r="CZ1481" s="4295"/>
      <c r="DA1481" s="4295"/>
      <c r="DB1481" s="4295"/>
      <c r="DC1481" s="4295"/>
      <c r="DD1481" s="4295"/>
      <c r="DE1481" s="4295"/>
      <c r="DF1481" s="4295"/>
      <c r="DG1481" s="4295"/>
      <c r="DH1481" s="4295"/>
      <c r="DI1481" s="4295"/>
      <c r="DJ1481" s="4295"/>
      <c r="DK1481" s="4295"/>
      <c r="DL1481" s="4295"/>
      <c r="DM1481" s="4295"/>
      <c r="DN1481" s="4295"/>
      <c r="DO1481" s="4295"/>
      <c r="DP1481" s="4295"/>
      <c r="DQ1481" s="4295"/>
      <c r="DR1481" s="4295"/>
      <c r="DS1481" s="4295"/>
    </row>
    <row r="1482" s="4133" customFormat="1" ht="16.5" customHeight="1" spans="1:123">
      <c r="A1482" s="5072" t="str">
        <f ca="1">Analiza!A306</f>
        <v> -Kratkoročna potraživanja i plasmani na dan 31.12.2025. godine  iznose: 574.865 KM, što je u odnosu na stanje početkom godine SMANJENJE, za 42.313 KM ili 6,9 %, imaju koeficijent obrtaja 0,42 i vrijeme vezivanja od 878 dana.</v>
      </c>
      <c r="B1482" s="5072"/>
      <c r="C1482" s="5072"/>
      <c r="D1482" s="5072"/>
      <c r="E1482" s="5072"/>
      <c r="F1482" s="5072"/>
      <c r="G1482" s="5072"/>
      <c r="H1482" s="5072"/>
      <c r="I1482" s="5072"/>
      <c r="J1482" s="5072"/>
      <c r="K1482" s="5072"/>
      <c r="L1482" s="5072"/>
      <c r="M1482" s="5072"/>
      <c r="N1482" s="5072"/>
      <c r="O1482" s="5072"/>
      <c r="P1482" s="5072"/>
      <c r="Q1482" s="5072"/>
      <c r="R1482" s="5072"/>
      <c r="S1482" s="5072"/>
      <c r="T1482" s="5072"/>
      <c r="U1482" s="5072"/>
      <c r="V1482" s="5072"/>
      <c r="W1482" s="5072"/>
      <c r="X1482" s="5072"/>
      <c r="Y1482" s="5072"/>
      <c r="Z1482" s="5072"/>
      <c r="AA1482" s="5072"/>
      <c r="AB1482" s="5072"/>
      <c r="AC1482" s="5072"/>
      <c r="AD1482" s="5072"/>
      <c r="AE1482" s="5072"/>
      <c r="AF1482" s="5072"/>
      <c r="AG1482" s="5072"/>
      <c r="AH1482" s="5072"/>
      <c r="AI1482" s="5072"/>
      <c r="AJ1482" s="5072"/>
      <c r="AK1482" s="5072"/>
      <c r="AL1482" s="5072"/>
      <c r="AM1482" s="5072"/>
      <c r="AN1482" s="5072"/>
      <c r="AO1482" s="5072"/>
      <c r="AP1482" s="5072"/>
      <c r="AQ1482" s="5072"/>
      <c r="AR1482" s="5072"/>
      <c r="AS1482" s="5072"/>
      <c r="AT1482" s="5072"/>
      <c r="AU1482" s="4295"/>
      <c r="AV1482" s="4295"/>
      <c r="AW1482" s="4295"/>
      <c r="AX1482" s="4295"/>
      <c r="AY1482" s="4295"/>
      <c r="AZ1482" s="4295"/>
      <c r="BA1482" s="4295"/>
      <c r="BB1482" s="4295"/>
      <c r="BC1482" s="4295"/>
      <c r="BD1482" s="4295"/>
      <c r="BE1482" s="4295"/>
      <c r="BF1482" s="4295"/>
      <c r="BG1482" s="4295"/>
      <c r="BH1482" s="4295"/>
      <c r="BI1482" s="4295"/>
      <c r="BJ1482" s="4295"/>
      <c r="BK1482" s="4295"/>
      <c r="BL1482" s="4295"/>
      <c r="BM1482" s="4295"/>
      <c r="BN1482" s="4295"/>
      <c r="BO1482" s="4295"/>
      <c r="BP1482" s="4295"/>
      <c r="BQ1482" s="4295"/>
      <c r="BR1482" s="4295"/>
      <c r="BS1482" s="4295"/>
      <c r="BT1482" s="4295"/>
      <c r="BU1482" s="4295"/>
      <c r="BV1482" s="4295"/>
      <c r="BW1482" s="4295"/>
      <c r="BX1482" s="4295"/>
      <c r="BY1482" s="4295"/>
      <c r="BZ1482" s="4295"/>
      <c r="CA1482" s="4295"/>
      <c r="CB1482" s="4295"/>
      <c r="CC1482" s="4295"/>
      <c r="CD1482" s="4295"/>
      <c r="CE1482" s="4295"/>
      <c r="CF1482" s="4295"/>
      <c r="CG1482" s="4295"/>
      <c r="CH1482" s="4295"/>
      <c r="CI1482" s="4295"/>
      <c r="CJ1482" s="4295"/>
      <c r="CK1482" s="4295"/>
      <c r="CL1482" s="4295"/>
      <c r="CM1482" s="4295"/>
      <c r="CN1482" s="4295"/>
      <c r="CO1482" s="4295"/>
      <c r="CP1482" s="4295"/>
      <c r="CQ1482" s="4295"/>
      <c r="CR1482" s="4295"/>
      <c r="CS1482" s="4295"/>
      <c r="CT1482" s="4295"/>
      <c r="CU1482" s="4295"/>
      <c r="CV1482" s="4295"/>
      <c r="CW1482" s="4295"/>
      <c r="CX1482" s="4295"/>
      <c r="CY1482" s="4295"/>
      <c r="CZ1482" s="4295"/>
      <c r="DA1482" s="4295"/>
      <c r="DB1482" s="4295"/>
      <c r="DC1482" s="4295"/>
      <c r="DD1482" s="4295"/>
      <c r="DE1482" s="4295"/>
      <c r="DF1482" s="4295"/>
      <c r="DG1482" s="4295"/>
      <c r="DH1482" s="4295"/>
      <c r="DI1482" s="4295"/>
      <c r="DJ1482" s="4295"/>
      <c r="DK1482" s="4295"/>
      <c r="DL1482" s="4295"/>
      <c r="DM1482" s="4295"/>
      <c r="DN1482" s="4295"/>
      <c r="DO1482" s="4295"/>
      <c r="DP1482" s="4295"/>
      <c r="DQ1482" s="4295"/>
      <c r="DR1482" s="4295"/>
      <c r="DS1482" s="4295"/>
    </row>
    <row r="1483" s="4133" customFormat="1" ht="16.5" customHeight="1" spans="1:123">
      <c r="A1483" s="5072"/>
      <c r="B1483" s="5072"/>
      <c r="C1483" s="5072"/>
      <c r="D1483" s="5072"/>
      <c r="E1483" s="5072"/>
      <c r="F1483" s="5072"/>
      <c r="G1483" s="5072"/>
      <c r="H1483" s="5072"/>
      <c r="I1483" s="5072"/>
      <c r="J1483" s="5072"/>
      <c r="K1483" s="5072"/>
      <c r="L1483" s="5072"/>
      <c r="M1483" s="5072"/>
      <c r="N1483" s="5072"/>
      <c r="O1483" s="5072"/>
      <c r="P1483" s="5072"/>
      <c r="Q1483" s="5072"/>
      <c r="R1483" s="5072"/>
      <c r="S1483" s="5072"/>
      <c r="T1483" s="5072"/>
      <c r="U1483" s="5072"/>
      <c r="V1483" s="5072"/>
      <c r="W1483" s="5072"/>
      <c r="X1483" s="5072"/>
      <c r="Y1483" s="5072"/>
      <c r="Z1483" s="5072"/>
      <c r="AA1483" s="5072"/>
      <c r="AB1483" s="5072"/>
      <c r="AC1483" s="5072"/>
      <c r="AD1483" s="5072"/>
      <c r="AE1483" s="5072"/>
      <c r="AF1483" s="5072"/>
      <c r="AG1483" s="5072"/>
      <c r="AH1483" s="5072"/>
      <c r="AI1483" s="5072"/>
      <c r="AJ1483" s="5072"/>
      <c r="AK1483" s="5072"/>
      <c r="AL1483" s="5072"/>
      <c r="AM1483" s="5072"/>
      <c r="AN1483" s="5072"/>
      <c r="AO1483" s="5072"/>
      <c r="AP1483" s="5072"/>
      <c r="AQ1483" s="5072"/>
      <c r="AR1483" s="5072"/>
      <c r="AS1483" s="5072"/>
      <c r="AT1483" s="5072"/>
      <c r="AU1483" s="4295"/>
      <c r="AV1483" s="4295"/>
      <c r="AW1483" s="4295"/>
      <c r="AX1483" s="4295"/>
      <c r="AY1483" s="4295"/>
      <c r="AZ1483" s="4295"/>
      <c r="BA1483" s="4295"/>
      <c r="BB1483" s="4295"/>
      <c r="BC1483" s="4295"/>
      <c r="BD1483" s="4295"/>
      <c r="BE1483" s="4295"/>
      <c r="BF1483" s="4295"/>
      <c r="BG1483" s="4295"/>
      <c r="BH1483" s="4295"/>
      <c r="BI1483" s="4295"/>
      <c r="BJ1483" s="4295"/>
      <c r="BK1483" s="4295"/>
      <c r="BL1483" s="4295"/>
      <c r="BM1483" s="4295"/>
      <c r="BN1483" s="4295"/>
      <c r="BO1483" s="4295"/>
      <c r="BP1483" s="4295"/>
      <c r="BQ1483" s="4295"/>
      <c r="BR1483" s="4295"/>
      <c r="BS1483" s="4295"/>
      <c r="BT1483" s="4295"/>
      <c r="BU1483" s="4295"/>
      <c r="BV1483" s="4295"/>
      <c r="BW1483" s="4295"/>
      <c r="BX1483" s="4295"/>
      <c r="BY1483" s="4295"/>
      <c r="BZ1483" s="4295"/>
      <c r="CA1483" s="4295"/>
      <c r="CB1483" s="4295"/>
      <c r="CC1483" s="4295"/>
      <c r="CD1483" s="4295"/>
      <c r="CE1483" s="4295"/>
      <c r="CF1483" s="4295"/>
      <c r="CG1483" s="4295"/>
      <c r="CH1483" s="4295"/>
      <c r="CI1483" s="4295"/>
      <c r="CJ1483" s="4295"/>
      <c r="CK1483" s="4295"/>
      <c r="CL1483" s="4295"/>
      <c r="CM1483" s="4295"/>
      <c r="CN1483" s="4295"/>
      <c r="CO1483" s="4295"/>
      <c r="CP1483" s="4295"/>
      <c r="CQ1483" s="4295"/>
      <c r="CR1483" s="4295"/>
      <c r="CS1483" s="4295"/>
      <c r="CT1483" s="4295"/>
      <c r="CU1483" s="4295"/>
      <c r="CV1483" s="4295"/>
      <c r="CW1483" s="4295"/>
      <c r="CX1483" s="4295"/>
      <c r="CY1483" s="4295"/>
      <c r="CZ1483" s="4295"/>
      <c r="DA1483" s="4295"/>
      <c r="DB1483" s="4295"/>
      <c r="DC1483" s="4295"/>
      <c r="DD1483" s="4295"/>
      <c r="DE1483" s="4295"/>
      <c r="DF1483" s="4295"/>
      <c r="DG1483" s="4295"/>
      <c r="DH1483" s="4295"/>
      <c r="DI1483" s="4295"/>
      <c r="DJ1483" s="4295"/>
      <c r="DK1483" s="4295"/>
      <c r="DL1483" s="4295"/>
      <c r="DM1483" s="4295"/>
      <c r="DN1483" s="4295"/>
      <c r="DO1483" s="4295"/>
      <c r="DP1483" s="4295"/>
      <c r="DQ1483" s="4295"/>
      <c r="DR1483" s="4295"/>
      <c r="DS1483" s="4295"/>
    </row>
    <row r="1484" s="4133" customFormat="1" ht="16.5" customHeight="1" spans="1:123">
      <c r="A1484" s="5072"/>
      <c r="B1484" s="5072"/>
      <c r="C1484" s="5072"/>
      <c r="D1484" s="5072"/>
      <c r="E1484" s="5072"/>
      <c r="F1484" s="5072"/>
      <c r="G1484" s="5072"/>
      <c r="H1484" s="5072"/>
      <c r="I1484" s="5072"/>
      <c r="J1484" s="5072"/>
      <c r="K1484" s="5072"/>
      <c r="L1484" s="5072"/>
      <c r="M1484" s="5072"/>
      <c r="N1484" s="5072"/>
      <c r="O1484" s="5072"/>
      <c r="P1484" s="5072"/>
      <c r="Q1484" s="5072"/>
      <c r="R1484" s="5072"/>
      <c r="S1484" s="5072"/>
      <c r="T1484" s="5072"/>
      <c r="U1484" s="5072"/>
      <c r="V1484" s="5072"/>
      <c r="W1484" s="5072"/>
      <c r="X1484" s="5072"/>
      <c r="Y1484" s="5072"/>
      <c r="Z1484" s="5072"/>
      <c r="AA1484" s="5072"/>
      <c r="AB1484" s="5072"/>
      <c r="AC1484" s="5072"/>
      <c r="AD1484" s="5072"/>
      <c r="AE1484" s="5072"/>
      <c r="AF1484" s="5072"/>
      <c r="AG1484" s="5072"/>
      <c r="AH1484" s="5072"/>
      <c r="AI1484" s="5072"/>
      <c r="AJ1484" s="5072"/>
      <c r="AK1484" s="5072"/>
      <c r="AL1484" s="5072"/>
      <c r="AM1484" s="5072"/>
      <c r="AN1484" s="5072"/>
      <c r="AO1484" s="5072"/>
      <c r="AP1484" s="5072"/>
      <c r="AQ1484" s="5072"/>
      <c r="AR1484" s="5072"/>
      <c r="AS1484" s="5072"/>
      <c r="AT1484" s="5072"/>
      <c r="AU1484" s="4295"/>
      <c r="AV1484" s="4295"/>
      <c r="AW1484" s="4295"/>
      <c r="AX1484" s="4295"/>
      <c r="AY1484" s="4295"/>
      <c r="AZ1484" s="4295"/>
      <c r="BA1484" s="4295"/>
      <c r="BB1484" s="4295"/>
      <c r="BC1484" s="4295"/>
      <c r="BD1484" s="4295"/>
      <c r="BE1484" s="4295"/>
      <c r="BF1484" s="4295"/>
      <c r="BG1484" s="4295"/>
      <c r="BH1484" s="4295"/>
      <c r="BI1484" s="4295"/>
      <c r="BJ1484" s="4295"/>
      <c r="BK1484" s="4295"/>
      <c r="BL1484" s="4295"/>
      <c r="BM1484" s="4295"/>
      <c r="BN1484" s="4295"/>
      <c r="BO1484" s="4295"/>
      <c r="BP1484" s="4295"/>
      <c r="BQ1484" s="4295"/>
      <c r="BR1484" s="4295"/>
      <c r="BS1484" s="4295"/>
      <c r="BT1484" s="4295"/>
      <c r="BU1484" s="4295"/>
      <c r="BV1484" s="4295"/>
      <c r="BW1484" s="4295"/>
      <c r="BX1484" s="4295"/>
      <c r="BY1484" s="4295"/>
      <c r="BZ1484" s="4295"/>
      <c r="CA1484" s="4295"/>
      <c r="CB1484" s="4295"/>
      <c r="CC1484" s="4295"/>
      <c r="CD1484" s="4295"/>
      <c r="CE1484" s="4295"/>
      <c r="CF1484" s="4295"/>
      <c r="CG1484" s="4295"/>
      <c r="CH1484" s="4295"/>
      <c r="CI1484" s="4295"/>
      <c r="CJ1484" s="4295"/>
      <c r="CK1484" s="4295"/>
      <c r="CL1484" s="4295"/>
      <c r="CM1484" s="4295"/>
      <c r="CN1484" s="4295"/>
      <c r="CO1484" s="4295"/>
      <c r="CP1484" s="4295"/>
      <c r="CQ1484" s="4295"/>
      <c r="CR1484" s="4295"/>
      <c r="CS1484" s="4295"/>
      <c r="CT1484" s="4295"/>
      <c r="CU1484" s="4295"/>
      <c r="CV1484" s="4295"/>
      <c r="CW1484" s="4295"/>
      <c r="CX1484" s="4295"/>
      <c r="CY1484" s="4295"/>
      <c r="CZ1484" s="4295"/>
      <c r="DA1484" s="4295"/>
      <c r="DB1484" s="4295"/>
      <c r="DC1484" s="4295"/>
      <c r="DD1484" s="4295"/>
      <c r="DE1484" s="4295"/>
      <c r="DF1484" s="4295"/>
      <c r="DG1484" s="4295"/>
      <c r="DH1484" s="4295"/>
      <c r="DI1484" s="4295"/>
      <c r="DJ1484" s="4295"/>
      <c r="DK1484" s="4295"/>
      <c r="DL1484" s="4295"/>
      <c r="DM1484" s="4295"/>
      <c r="DN1484" s="4295"/>
      <c r="DO1484" s="4295"/>
      <c r="DP1484" s="4295"/>
      <c r="DQ1484" s="4295"/>
      <c r="DR1484" s="4295"/>
      <c r="DS1484" s="4295"/>
    </row>
    <row r="1485" s="4133" customFormat="1" ht="16.5" customHeight="1" spans="1:123">
      <c r="A1485" s="5077" t="str">
        <f>Analiza!A309</f>
        <v>Najveća potraživanja i plasmani su na poziciji: Dati krediti  (AOP 051), u iznosu od: 427.682 KM,  imaju koeficijent obrtaja 0,52 i vrijeme vezivanja od 703 dana.</v>
      </c>
      <c r="B1485" s="5077"/>
      <c r="C1485" s="5077"/>
      <c r="D1485" s="5077"/>
      <c r="E1485" s="5077"/>
      <c r="F1485" s="5077"/>
      <c r="G1485" s="5077"/>
      <c r="H1485" s="5077"/>
      <c r="I1485" s="5077"/>
      <c r="J1485" s="5077"/>
      <c r="K1485" s="5077"/>
      <c r="L1485" s="5077"/>
      <c r="M1485" s="5077"/>
      <c r="N1485" s="5077"/>
      <c r="O1485" s="5077"/>
      <c r="P1485" s="5077"/>
      <c r="Q1485" s="5077"/>
      <c r="R1485" s="5077"/>
      <c r="S1485" s="5077"/>
      <c r="T1485" s="5077"/>
      <c r="U1485" s="5077"/>
      <c r="V1485" s="5077"/>
      <c r="W1485" s="5077"/>
      <c r="X1485" s="5077"/>
      <c r="Y1485" s="5077"/>
      <c r="Z1485" s="5077"/>
      <c r="AA1485" s="5077"/>
      <c r="AB1485" s="5077"/>
      <c r="AC1485" s="5077"/>
      <c r="AD1485" s="5077"/>
      <c r="AE1485" s="5077"/>
      <c r="AF1485" s="5077"/>
      <c r="AG1485" s="5077"/>
      <c r="AH1485" s="5077"/>
      <c r="AI1485" s="5077"/>
      <c r="AJ1485" s="5077"/>
      <c r="AK1485" s="5077"/>
      <c r="AL1485" s="5077"/>
      <c r="AM1485" s="5077"/>
      <c r="AN1485" s="5077"/>
      <c r="AO1485" s="5077"/>
      <c r="AP1485" s="5077"/>
      <c r="AQ1485" s="5077"/>
      <c r="AR1485" s="5077"/>
      <c r="AS1485" s="5077"/>
      <c r="AT1485" s="5077"/>
      <c r="AU1485" s="4295"/>
      <c r="AV1485" s="4295"/>
      <c r="AW1485" s="4295"/>
      <c r="AX1485" s="4295"/>
      <c r="AY1485" s="4295"/>
      <c r="AZ1485" s="4295"/>
      <c r="BA1485" s="4295"/>
      <c r="BB1485" s="4295"/>
      <c r="BC1485" s="4295"/>
      <c r="BD1485" s="4295"/>
      <c r="BE1485" s="4295"/>
      <c r="BF1485" s="4295"/>
      <c r="BG1485" s="4295"/>
      <c r="BH1485" s="4295"/>
      <c r="BI1485" s="4295"/>
      <c r="BJ1485" s="4295"/>
      <c r="BK1485" s="4295"/>
      <c r="BL1485" s="4295"/>
      <c r="BM1485" s="4295"/>
      <c r="BN1485" s="4295"/>
      <c r="BO1485" s="4295"/>
      <c r="BP1485" s="4295"/>
      <c r="BQ1485" s="4295"/>
      <c r="BR1485" s="4295"/>
      <c r="BS1485" s="4295"/>
      <c r="BT1485" s="4295"/>
      <c r="BU1485" s="4295"/>
      <c r="BV1485" s="4295"/>
      <c r="BW1485" s="4295"/>
      <c r="BX1485" s="4295"/>
      <c r="BY1485" s="4295"/>
      <c r="BZ1485" s="4295"/>
      <c r="CA1485" s="4295"/>
      <c r="CB1485" s="4295"/>
      <c r="CC1485" s="4295"/>
      <c r="CD1485" s="4295"/>
      <c r="CE1485" s="4295"/>
      <c r="CF1485" s="4295"/>
      <c r="CG1485" s="4295"/>
      <c r="CH1485" s="4295"/>
      <c r="CI1485" s="4295"/>
      <c r="CJ1485" s="4295"/>
      <c r="CK1485" s="4295"/>
      <c r="CL1485" s="4295"/>
      <c r="CM1485" s="4295"/>
      <c r="CN1485" s="4295"/>
      <c r="CO1485" s="4295"/>
      <c r="CP1485" s="4295"/>
      <c r="CQ1485" s="4295"/>
      <c r="CR1485" s="4295"/>
      <c r="CS1485" s="4295"/>
      <c r="CT1485" s="4295"/>
      <c r="CU1485" s="4295"/>
      <c r="CV1485" s="4295"/>
      <c r="CW1485" s="4295"/>
      <c r="CX1485" s="4295"/>
      <c r="CY1485" s="4295"/>
      <c r="CZ1485" s="4295"/>
      <c r="DA1485" s="4295"/>
      <c r="DB1485" s="4295"/>
      <c r="DC1485" s="4295"/>
      <c r="DD1485" s="4295"/>
      <c r="DE1485" s="4295"/>
      <c r="DF1485" s="4295"/>
      <c r="DG1485" s="4295"/>
      <c r="DH1485" s="4295"/>
      <c r="DI1485" s="4295"/>
      <c r="DJ1485" s="4295"/>
      <c r="DK1485" s="4295"/>
      <c r="DL1485" s="4295"/>
      <c r="DM1485" s="4295"/>
      <c r="DN1485" s="4295"/>
      <c r="DO1485" s="4295"/>
      <c r="DP1485" s="4295"/>
      <c r="DQ1485" s="4295"/>
      <c r="DR1485" s="4295"/>
      <c r="DS1485" s="4295"/>
    </row>
    <row r="1486" s="4133" customFormat="1" ht="16.5" customHeight="1" spans="1:123">
      <c r="A1486" s="5077"/>
      <c r="B1486" s="5077"/>
      <c r="C1486" s="5077"/>
      <c r="D1486" s="5077"/>
      <c r="E1486" s="5077"/>
      <c r="F1486" s="5077"/>
      <c r="G1486" s="5077"/>
      <c r="H1486" s="5077"/>
      <c r="I1486" s="5077"/>
      <c r="J1486" s="5077"/>
      <c r="K1486" s="5077"/>
      <c r="L1486" s="5077"/>
      <c r="M1486" s="5077"/>
      <c r="N1486" s="5077"/>
      <c r="O1486" s="5077"/>
      <c r="P1486" s="5077"/>
      <c r="Q1486" s="5077"/>
      <c r="R1486" s="5077"/>
      <c r="S1486" s="5077"/>
      <c r="T1486" s="5077"/>
      <c r="U1486" s="5077"/>
      <c r="V1486" s="5077"/>
      <c r="W1486" s="5077"/>
      <c r="X1486" s="5077"/>
      <c r="Y1486" s="5077"/>
      <c r="Z1486" s="5077"/>
      <c r="AA1486" s="5077"/>
      <c r="AB1486" s="5077"/>
      <c r="AC1486" s="5077"/>
      <c r="AD1486" s="5077"/>
      <c r="AE1486" s="5077"/>
      <c r="AF1486" s="5077"/>
      <c r="AG1486" s="5077"/>
      <c r="AH1486" s="5077"/>
      <c r="AI1486" s="5077"/>
      <c r="AJ1486" s="5077"/>
      <c r="AK1486" s="5077"/>
      <c r="AL1486" s="5077"/>
      <c r="AM1486" s="5077"/>
      <c r="AN1486" s="5077"/>
      <c r="AO1486" s="5077"/>
      <c r="AP1486" s="5077"/>
      <c r="AQ1486" s="5077"/>
      <c r="AR1486" s="5077"/>
      <c r="AS1486" s="5077"/>
      <c r="AT1486" s="5077"/>
      <c r="AU1486" s="4295"/>
      <c r="AV1486" s="4295"/>
      <c r="AW1486" s="4295"/>
      <c r="AX1486" s="4295"/>
      <c r="AY1486" s="4295"/>
      <c r="AZ1486" s="4295"/>
      <c r="BA1486" s="4295"/>
      <c r="BB1486" s="4295"/>
      <c r="BC1486" s="4295"/>
      <c r="BD1486" s="4295"/>
      <c r="BE1486" s="4295"/>
      <c r="BF1486" s="4295"/>
      <c r="BG1486" s="4295"/>
      <c r="BH1486" s="4295"/>
      <c r="BI1486" s="4295"/>
      <c r="BJ1486" s="4295"/>
      <c r="BK1486" s="4295"/>
      <c r="BL1486" s="4295"/>
      <c r="BM1486" s="4295"/>
      <c r="BN1486" s="4295"/>
      <c r="BO1486" s="4295"/>
      <c r="BP1486" s="4295"/>
      <c r="BQ1486" s="4295"/>
      <c r="BR1486" s="4295"/>
      <c r="BS1486" s="4295"/>
      <c r="BT1486" s="4295"/>
      <c r="BU1486" s="4295"/>
      <c r="BV1486" s="4295"/>
      <c r="BW1486" s="4295"/>
      <c r="BX1486" s="4295"/>
      <c r="BY1486" s="4295"/>
      <c r="BZ1486" s="4295"/>
      <c r="CA1486" s="4295"/>
      <c r="CB1486" s="4295"/>
      <c r="CC1486" s="4295"/>
      <c r="CD1486" s="4295"/>
      <c r="CE1486" s="4295"/>
      <c r="CF1486" s="4295"/>
      <c r="CG1486" s="4295"/>
      <c r="CH1486" s="4295"/>
      <c r="CI1486" s="4295"/>
      <c r="CJ1486" s="4295"/>
      <c r="CK1486" s="4295"/>
      <c r="CL1486" s="4295"/>
      <c r="CM1486" s="4295"/>
      <c r="CN1486" s="4295"/>
      <c r="CO1486" s="4295"/>
      <c r="CP1486" s="4295"/>
      <c r="CQ1486" s="4295"/>
      <c r="CR1486" s="4295"/>
      <c r="CS1486" s="4295"/>
      <c r="CT1486" s="4295"/>
      <c r="CU1486" s="4295"/>
      <c r="CV1486" s="4295"/>
      <c r="CW1486" s="4295"/>
      <c r="CX1486" s="4295"/>
      <c r="CY1486" s="4295"/>
      <c r="CZ1486" s="4295"/>
      <c r="DA1486" s="4295"/>
      <c r="DB1486" s="4295"/>
      <c r="DC1486" s="4295"/>
      <c r="DD1486" s="4295"/>
      <c r="DE1486" s="4295"/>
      <c r="DF1486" s="4295"/>
      <c r="DG1486" s="4295"/>
      <c r="DH1486" s="4295"/>
      <c r="DI1486" s="4295"/>
      <c r="DJ1486" s="4295"/>
      <c r="DK1486" s="4295"/>
      <c r="DL1486" s="4295"/>
      <c r="DM1486" s="4295"/>
      <c r="DN1486" s="4295"/>
      <c r="DO1486" s="4295"/>
      <c r="DP1486" s="4295"/>
      <c r="DQ1486" s="4295"/>
      <c r="DR1486" s="4295"/>
      <c r="DS1486" s="4295"/>
    </row>
    <row r="1487" s="4133" customFormat="1" ht="16.5" customHeight="1" spans="1:123">
      <c r="A1487" s="5077" t="str">
        <f>Analiza!A311</f>
        <v>U odnosu na stanje početkom godine, ova  potraživanja imaju SMANJENJE, za 99.243 KM ili 18,8 %.</v>
      </c>
      <c r="B1487" s="5077"/>
      <c r="C1487" s="5077"/>
      <c r="D1487" s="5077"/>
      <c r="E1487" s="5077"/>
      <c r="F1487" s="5077"/>
      <c r="G1487" s="5077"/>
      <c r="H1487" s="5077"/>
      <c r="I1487" s="5077"/>
      <c r="J1487" s="5077"/>
      <c r="K1487" s="5077"/>
      <c r="L1487" s="5077"/>
      <c r="M1487" s="5077"/>
      <c r="N1487" s="5077"/>
      <c r="O1487" s="5077"/>
      <c r="P1487" s="5077"/>
      <c r="Q1487" s="5077"/>
      <c r="R1487" s="5077"/>
      <c r="S1487" s="5077"/>
      <c r="T1487" s="5077"/>
      <c r="U1487" s="5077"/>
      <c r="V1487" s="5077"/>
      <c r="W1487" s="5077"/>
      <c r="X1487" s="5077"/>
      <c r="Y1487" s="5077"/>
      <c r="Z1487" s="5077"/>
      <c r="AA1487" s="5077"/>
      <c r="AB1487" s="5077"/>
      <c r="AC1487" s="5077"/>
      <c r="AD1487" s="5077"/>
      <c r="AE1487" s="5077"/>
      <c r="AF1487" s="5077"/>
      <c r="AG1487" s="5077"/>
      <c r="AH1487" s="5077"/>
      <c r="AI1487" s="5077"/>
      <c r="AJ1487" s="5077"/>
      <c r="AK1487" s="5077"/>
      <c r="AL1487" s="5077"/>
      <c r="AM1487" s="5077"/>
      <c r="AN1487" s="5077"/>
      <c r="AO1487" s="5077"/>
      <c r="AP1487" s="5077"/>
      <c r="AQ1487" s="5077"/>
      <c r="AR1487" s="5077"/>
      <c r="AS1487" s="5077"/>
      <c r="AT1487" s="5077"/>
      <c r="AU1487" s="4295"/>
      <c r="AV1487" s="4295"/>
      <c r="AW1487" s="4295"/>
      <c r="AX1487" s="4295"/>
      <c r="AY1487" s="4295"/>
      <c r="AZ1487" s="4295"/>
      <c r="BA1487" s="4295"/>
      <c r="BB1487" s="4295"/>
      <c r="BC1487" s="4295"/>
      <c r="BD1487" s="4295"/>
      <c r="BE1487" s="4295"/>
      <c r="BF1487" s="4295"/>
      <c r="BG1487" s="4295"/>
      <c r="BH1487" s="4295"/>
      <c r="BI1487" s="4295"/>
      <c r="BJ1487" s="4295"/>
      <c r="BK1487" s="4295"/>
      <c r="BL1487" s="4295"/>
      <c r="BM1487" s="4295"/>
      <c r="BN1487" s="4295"/>
      <c r="BO1487" s="4295"/>
      <c r="BP1487" s="4295"/>
      <c r="BQ1487" s="4295"/>
      <c r="BR1487" s="4295"/>
      <c r="BS1487" s="4295"/>
      <c r="BT1487" s="4295"/>
      <c r="BU1487" s="4295"/>
      <c r="BV1487" s="4295"/>
      <c r="BW1487" s="4295"/>
      <c r="BX1487" s="4295"/>
      <c r="BY1487" s="4295"/>
      <c r="BZ1487" s="4295"/>
      <c r="CA1487" s="4295"/>
      <c r="CB1487" s="4295"/>
      <c r="CC1487" s="4295"/>
      <c r="CD1487" s="4295"/>
      <c r="CE1487" s="4295"/>
      <c r="CF1487" s="4295"/>
      <c r="CG1487" s="4295"/>
      <c r="CH1487" s="4295"/>
      <c r="CI1487" s="4295"/>
      <c r="CJ1487" s="4295"/>
      <c r="CK1487" s="4295"/>
      <c r="CL1487" s="4295"/>
      <c r="CM1487" s="4295"/>
      <c r="CN1487" s="4295"/>
      <c r="CO1487" s="4295"/>
      <c r="CP1487" s="4295"/>
      <c r="CQ1487" s="4295"/>
      <c r="CR1487" s="4295"/>
      <c r="CS1487" s="4295"/>
      <c r="CT1487" s="4295"/>
      <c r="CU1487" s="4295"/>
      <c r="CV1487" s="4295"/>
      <c r="CW1487" s="4295"/>
      <c r="CX1487" s="4295"/>
      <c r="CY1487" s="4295"/>
      <c r="CZ1487" s="4295"/>
      <c r="DA1487" s="4295"/>
      <c r="DB1487" s="4295"/>
      <c r="DC1487" s="4295"/>
      <c r="DD1487" s="4295"/>
      <c r="DE1487" s="4295"/>
      <c r="DF1487" s="4295"/>
      <c r="DG1487" s="4295"/>
      <c r="DH1487" s="4295"/>
      <c r="DI1487" s="4295"/>
      <c r="DJ1487" s="4295"/>
      <c r="DK1487" s="4295"/>
      <c r="DL1487" s="4295"/>
      <c r="DM1487" s="4295"/>
      <c r="DN1487" s="4295"/>
      <c r="DO1487" s="4295"/>
      <c r="DP1487" s="4295"/>
      <c r="DQ1487" s="4295"/>
      <c r="DR1487" s="4295"/>
      <c r="DS1487" s="4295"/>
    </row>
    <row r="1488" s="4133" customFormat="1" ht="16.5" customHeight="1" spans="1:123">
      <c r="A1488" s="5070" t="str">
        <f>IF(Baza!C132=0,"-",Baza!L132)</f>
        <v>MSFI za MSS - Odjeljak 4 Izvještaj o finansijskom položaju</v>
      </c>
      <c r="B1488" s="5070"/>
      <c r="C1488" s="5070"/>
      <c r="D1488" s="5070"/>
      <c r="E1488" s="5070"/>
      <c r="F1488" s="5070"/>
      <c r="G1488" s="5070"/>
      <c r="H1488" s="5070"/>
      <c r="I1488" s="5070"/>
      <c r="J1488" s="5070"/>
      <c r="K1488" s="5070"/>
      <c r="L1488" s="5070"/>
      <c r="M1488" s="5070"/>
      <c r="N1488" s="5070"/>
      <c r="O1488" s="5070"/>
      <c r="P1488" s="5070"/>
      <c r="Q1488" s="5070"/>
      <c r="R1488" s="5070"/>
      <c r="S1488" s="5070"/>
      <c r="T1488" s="5070"/>
      <c r="U1488" s="5070"/>
      <c r="V1488" s="5070"/>
      <c r="W1488" s="5070"/>
      <c r="X1488" s="5070"/>
      <c r="Y1488" s="5070"/>
      <c r="Z1488" s="5070"/>
      <c r="AA1488" s="5070"/>
      <c r="AB1488" s="5070"/>
      <c r="AC1488" s="5070"/>
      <c r="AD1488" s="5070"/>
      <c r="AE1488" s="5070"/>
      <c r="AF1488" s="5070"/>
      <c r="AG1488" s="5070"/>
      <c r="AH1488" s="5070"/>
      <c r="AI1488" s="5070"/>
      <c r="AJ1488" s="5070"/>
      <c r="AK1488" s="5070"/>
      <c r="AL1488" s="5070"/>
      <c r="AM1488" s="5070"/>
      <c r="AN1488" s="5070"/>
      <c r="AO1488" s="5070"/>
      <c r="AP1488" s="5070"/>
      <c r="AQ1488" s="5070"/>
      <c r="AR1488" s="5070"/>
      <c r="AS1488" s="5070"/>
      <c r="AT1488" s="5070"/>
      <c r="AU1488" s="4295"/>
      <c r="AV1488" s="4295"/>
      <c r="AW1488" s="4295"/>
      <c r="AX1488" s="4295"/>
      <c r="AY1488" s="4295"/>
      <c r="AZ1488" s="4295"/>
      <c r="BA1488" s="4295"/>
      <c r="BB1488" s="4295"/>
      <c r="BC1488" s="4295"/>
      <c r="BD1488" s="4295"/>
      <c r="BE1488" s="4295"/>
      <c r="BF1488" s="4295"/>
      <c r="BG1488" s="4295"/>
      <c r="BH1488" s="4295"/>
      <c r="BI1488" s="4295"/>
      <c r="BJ1488" s="4295"/>
      <c r="BK1488" s="4295"/>
      <c r="BL1488" s="4295"/>
      <c r="BM1488" s="4295"/>
      <c r="BN1488" s="4295"/>
      <c r="BO1488" s="4295"/>
      <c r="BP1488" s="4295"/>
      <c r="BQ1488" s="4295"/>
      <c r="BR1488" s="4295"/>
      <c r="BS1488" s="4295"/>
      <c r="BT1488" s="4295"/>
      <c r="BU1488" s="4295"/>
      <c r="BV1488" s="4295"/>
      <c r="BW1488" s="4295"/>
      <c r="BX1488" s="4295"/>
      <c r="BY1488" s="4295"/>
      <c r="BZ1488" s="4295"/>
      <c r="CA1488" s="4295"/>
      <c r="CB1488" s="4295"/>
      <c r="CC1488" s="4295"/>
      <c r="CD1488" s="4295"/>
      <c r="CE1488" s="4295"/>
      <c r="CF1488" s="4295"/>
      <c r="CG1488" s="4295"/>
      <c r="CH1488" s="4295"/>
      <c r="CI1488" s="4295"/>
      <c r="CJ1488" s="4295"/>
      <c r="CK1488" s="4295"/>
      <c r="CL1488" s="4295"/>
      <c r="CM1488" s="4295"/>
      <c r="CN1488" s="4295"/>
      <c r="CO1488" s="4295"/>
      <c r="CP1488" s="4295"/>
      <c r="CQ1488" s="4295"/>
      <c r="CR1488" s="4295"/>
      <c r="CS1488" s="4295"/>
      <c r="CT1488" s="4295"/>
      <c r="CU1488" s="4295"/>
      <c r="CV1488" s="4295"/>
      <c r="CW1488" s="4295"/>
      <c r="CX1488" s="4295"/>
      <c r="CY1488" s="4295"/>
      <c r="CZ1488" s="4295"/>
      <c r="DA1488" s="4295"/>
      <c r="DB1488" s="4295"/>
      <c r="DC1488" s="4295"/>
      <c r="DD1488" s="4295"/>
      <c r="DE1488" s="4295"/>
      <c r="DF1488" s="4295"/>
      <c r="DG1488" s="4295"/>
      <c r="DH1488" s="4295"/>
      <c r="DI1488" s="4295"/>
      <c r="DJ1488" s="4295"/>
      <c r="DK1488" s="4295"/>
      <c r="DL1488" s="4295"/>
      <c r="DM1488" s="4295"/>
      <c r="DN1488" s="4295"/>
      <c r="DO1488" s="4295"/>
      <c r="DP1488" s="4295"/>
      <c r="DQ1488" s="4295"/>
      <c r="DR1488" s="4295"/>
      <c r="DS1488" s="4295"/>
    </row>
    <row r="1489" s="4133" customFormat="1" ht="16.5" customHeight="1" spans="1:123">
      <c r="A1489" s="5071"/>
      <c r="B1489" s="5071"/>
      <c r="C1489" s="5071"/>
      <c r="D1489" s="5071"/>
      <c r="E1489" s="5071"/>
      <c r="F1489" s="5071"/>
      <c r="G1489" s="5071"/>
      <c r="H1489" s="5071"/>
      <c r="I1489" s="5071"/>
      <c r="J1489" s="5071"/>
      <c r="K1489" s="5071"/>
      <c r="L1489" s="5071"/>
      <c r="M1489" s="5071"/>
      <c r="N1489" s="5071"/>
      <c r="O1489" s="5071"/>
      <c r="P1489" s="5071"/>
      <c r="Q1489" s="5071"/>
      <c r="R1489" s="5071"/>
      <c r="S1489" s="5071"/>
      <c r="T1489" s="5071"/>
      <c r="U1489" s="5071"/>
      <c r="V1489" s="5071"/>
      <c r="W1489" s="5071"/>
      <c r="X1489" s="5071"/>
      <c r="Y1489" s="5071"/>
      <c r="Z1489" s="5071"/>
      <c r="AA1489" s="5071"/>
      <c r="AB1489" s="5071"/>
      <c r="AC1489" s="5071"/>
      <c r="AD1489" s="5071"/>
      <c r="AE1489" s="5071"/>
      <c r="AF1489" s="5071"/>
      <c r="AG1489" s="5071"/>
      <c r="AH1489" s="5071"/>
      <c r="AI1489" s="5071"/>
      <c r="AJ1489" s="5071"/>
      <c r="AK1489" s="5071"/>
      <c r="AL1489" s="5071"/>
      <c r="AM1489" s="5071"/>
      <c r="AN1489" s="5071"/>
      <c r="AO1489" s="5071"/>
      <c r="AP1489" s="5071"/>
      <c r="AQ1489" s="5071"/>
      <c r="AR1489" s="5071"/>
      <c r="AS1489" s="5071"/>
      <c r="AT1489" s="5071"/>
      <c r="AU1489" s="4295"/>
      <c r="AV1489" s="4295"/>
      <c r="AW1489" s="4295"/>
      <c r="AX1489" s="4295"/>
      <c r="AY1489" s="4295"/>
      <c r="AZ1489" s="4295"/>
      <c r="BA1489" s="4295"/>
      <c r="BB1489" s="4295"/>
      <c r="BC1489" s="4295"/>
      <c r="BD1489" s="4295"/>
      <c r="BE1489" s="4295"/>
      <c r="BF1489" s="4295"/>
      <c r="BG1489" s="4295"/>
      <c r="BH1489" s="4295"/>
      <c r="BI1489" s="4295"/>
      <c r="BJ1489" s="4295"/>
      <c r="BK1489" s="4295"/>
      <c r="BL1489" s="4295"/>
      <c r="BM1489" s="4295"/>
      <c r="BN1489" s="4295"/>
      <c r="BO1489" s="4295"/>
      <c r="BP1489" s="4295"/>
      <c r="BQ1489" s="4295"/>
      <c r="BR1489" s="4295"/>
      <c r="BS1489" s="4295"/>
      <c r="BT1489" s="4295"/>
      <c r="BU1489" s="4295"/>
      <c r="BV1489" s="4295"/>
      <c r="BW1489" s="4295"/>
      <c r="BX1489" s="4295"/>
      <c r="BY1489" s="4295"/>
      <c r="BZ1489" s="4295"/>
      <c r="CA1489" s="4295"/>
      <c r="CB1489" s="4295"/>
      <c r="CC1489" s="4295"/>
      <c r="CD1489" s="4295"/>
      <c r="CE1489" s="4295"/>
      <c r="CF1489" s="4295"/>
      <c r="CG1489" s="4295"/>
      <c r="CH1489" s="4295"/>
      <c r="CI1489" s="4295"/>
      <c r="CJ1489" s="4295"/>
      <c r="CK1489" s="4295"/>
      <c r="CL1489" s="4295"/>
      <c r="CM1489" s="4295"/>
      <c r="CN1489" s="4295"/>
      <c r="CO1489" s="4295"/>
      <c r="CP1489" s="4295"/>
      <c r="CQ1489" s="4295"/>
      <c r="CR1489" s="4295"/>
      <c r="CS1489" s="4295"/>
      <c r="CT1489" s="4295"/>
      <c r="CU1489" s="4295"/>
      <c r="CV1489" s="4295"/>
      <c r="CW1489" s="4295"/>
      <c r="CX1489" s="4295"/>
      <c r="CY1489" s="4295"/>
      <c r="CZ1489" s="4295"/>
      <c r="DA1489" s="4295"/>
      <c r="DB1489" s="4295"/>
      <c r="DC1489" s="4295"/>
      <c r="DD1489" s="4295"/>
      <c r="DE1489" s="4295"/>
      <c r="DF1489" s="4295"/>
      <c r="DG1489" s="4295"/>
      <c r="DH1489" s="4295"/>
      <c r="DI1489" s="4295"/>
      <c r="DJ1489" s="4295"/>
      <c r="DK1489" s="4295"/>
      <c r="DL1489" s="4295"/>
      <c r="DM1489" s="4295"/>
      <c r="DN1489" s="4295"/>
      <c r="DO1489" s="4295"/>
      <c r="DP1489" s="4295"/>
      <c r="DQ1489" s="4295"/>
      <c r="DR1489" s="4295"/>
      <c r="DS1489" s="4295"/>
    </row>
    <row r="1490" s="4133" customFormat="1" ht="16.5" customHeight="1" spans="1:123">
      <c r="A1490" s="5071"/>
      <c r="B1490" s="5071"/>
      <c r="C1490" s="5071"/>
      <c r="D1490" s="5071"/>
      <c r="E1490" s="5071"/>
      <c r="F1490" s="5071"/>
      <c r="G1490" s="5071"/>
      <c r="H1490" s="5071"/>
      <c r="I1490" s="5071"/>
      <c r="J1490" s="5071"/>
      <c r="K1490" s="5071"/>
      <c r="L1490" s="5071"/>
      <c r="M1490" s="5071"/>
      <c r="N1490" s="5071"/>
      <c r="O1490" s="5071"/>
      <c r="P1490" s="5071"/>
      <c r="Q1490" s="5071"/>
      <c r="R1490" s="5071"/>
      <c r="S1490" s="5071"/>
      <c r="T1490" s="5071"/>
      <c r="U1490" s="5071"/>
      <c r="V1490" s="5071"/>
      <c r="W1490" s="5071"/>
      <c r="X1490" s="5071"/>
      <c r="Y1490" s="5071"/>
      <c r="Z1490" s="5071"/>
      <c r="AA1490" s="5071"/>
      <c r="AB1490" s="5071"/>
      <c r="AC1490" s="5071"/>
      <c r="AD1490" s="5071"/>
      <c r="AE1490" s="5071"/>
      <c r="AF1490" s="5071"/>
      <c r="AG1490" s="5071"/>
      <c r="AH1490" s="5071"/>
      <c r="AI1490" s="5071"/>
      <c r="AJ1490" s="5071"/>
      <c r="AK1490" s="5071"/>
      <c r="AL1490" s="5071"/>
      <c r="AM1490" s="5071"/>
      <c r="AN1490" s="5071"/>
      <c r="AO1490" s="5071"/>
      <c r="AP1490" s="5071"/>
      <c r="AQ1490" s="5071"/>
      <c r="AR1490" s="5071"/>
      <c r="AS1490" s="5071"/>
      <c r="AT1490" s="5071"/>
      <c r="AU1490" s="4295"/>
      <c r="AV1490" s="4295"/>
      <c r="AW1490" s="4295"/>
      <c r="AX1490" s="4295"/>
      <c r="AY1490" s="4295"/>
      <c r="AZ1490" s="4295"/>
      <c r="BA1490" s="4295"/>
      <c r="BB1490" s="4295"/>
      <c r="BC1490" s="4295"/>
      <c r="BD1490" s="4295"/>
      <c r="BE1490" s="4295"/>
      <c r="BF1490" s="4295"/>
      <c r="BG1490" s="4295"/>
      <c r="BH1490" s="4295"/>
      <c r="BI1490" s="4295"/>
      <c r="BJ1490" s="4295"/>
      <c r="BK1490" s="4295"/>
      <c r="BL1490" s="4295"/>
      <c r="BM1490" s="4295"/>
      <c r="BN1490" s="4295"/>
      <c r="BO1490" s="4295"/>
      <c r="BP1490" s="4295"/>
      <c r="BQ1490" s="4295"/>
      <c r="BR1490" s="4295"/>
      <c r="BS1490" s="4295"/>
      <c r="BT1490" s="4295"/>
      <c r="BU1490" s="4295"/>
      <c r="BV1490" s="4295"/>
      <c r="BW1490" s="4295"/>
      <c r="BX1490" s="4295"/>
      <c r="BY1490" s="4295"/>
      <c r="BZ1490" s="4295"/>
      <c r="CA1490" s="4295"/>
      <c r="CB1490" s="4295"/>
      <c r="CC1490" s="4295"/>
      <c r="CD1490" s="4295"/>
      <c r="CE1490" s="4295"/>
      <c r="CF1490" s="4295"/>
      <c r="CG1490" s="4295"/>
      <c r="CH1490" s="4295"/>
      <c r="CI1490" s="4295"/>
      <c r="CJ1490" s="4295"/>
      <c r="CK1490" s="4295"/>
      <c r="CL1490" s="4295"/>
      <c r="CM1490" s="4295"/>
      <c r="CN1490" s="4295"/>
      <c r="CO1490" s="4295"/>
      <c r="CP1490" s="4295"/>
      <c r="CQ1490" s="4295"/>
      <c r="CR1490" s="4295"/>
      <c r="CS1490" s="4295"/>
      <c r="CT1490" s="4295"/>
      <c r="CU1490" s="4295"/>
      <c r="CV1490" s="4295"/>
      <c r="CW1490" s="4295"/>
      <c r="CX1490" s="4295"/>
      <c r="CY1490" s="4295"/>
      <c r="CZ1490" s="4295"/>
      <c r="DA1490" s="4295"/>
      <c r="DB1490" s="4295"/>
      <c r="DC1490" s="4295"/>
      <c r="DD1490" s="4295"/>
      <c r="DE1490" s="4295"/>
      <c r="DF1490" s="4295"/>
      <c r="DG1490" s="4295"/>
      <c r="DH1490" s="4295"/>
      <c r="DI1490" s="4295"/>
      <c r="DJ1490" s="4295"/>
      <c r="DK1490" s="4295"/>
      <c r="DL1490" s="4295"/>
      <c r="DM1490" s="4295"/>
      <c r="DN1490" s="4295"/>
      <c r="DO1490" s="4295"/>
      <c r="DP1490" s="4295"/>
      <c r="DQ1490" s="4295"/>
      <c r="DR1490" s="4295"/>
      <c r="DS1490" s="4295"/>
    </row>
    <row r="1491" s="4133" customFormat="1" ht="16.5" customHeight="1" spans="1:123">
      <c r="A1491" s="5071"/>
      <c r="B1491" s="5071"/>
      <c r="C1491" s="5071"/>
      <c r="D1491" s="5071"/>
      <c r="E1491" s="5071"/>
      <c r="F1491" s="5071"/>
      <c r="G1491" s="5071"/>
      <c r="H1491" s="5071"/>
      <c r="I1491" s="5071"/>
      <c r="J1491" s="5071"/>
      <c r="K1491" s="5071"/>
      <c r="L1491" s="5071"/>
      <c r="M1491" s="5071"/>
      <c r="N1491" s="5071"/>
      <c r="O1491" s="5071"/>
      <c r="P1491" s="5071"/>
      <c r="Q1491" s="5071"/>
      <c r="R1491" s="5071"/>
      <c r="S1491" s="5071"/>
      <c r="T1491" s="5071"/>
      <c r="U1491" s="5071"/>
      <c r="V1491" s="5071"/>
      <c r="W1491" s="5071"/>
      <c r="X1491" s="5071"/>
      <c r="Y1491" s="5071"/>
      <c r="Z1491" s="5071"/>
      <c r="AA1491" s="5071"/>
      <c r="AB1491" s="5071"/>
      <c r="AC1491" s="5071"/>
      <c r="AD1491" s="5071"/>
      <c r="AE1491" s="5071"/>
      <c r="AF1491" s="5071"/>
      <c r="AG1491" s="5071"/>
      <c r="AH1491" s="5071"/>
      <c r="AI1491" s="5071"/>
      <c r="AJ1491" s="5071"/>
      <c r="AK1491" s="5071"/>
      <c r="AL1491" s="5071"/>
      <c r="AM1491" s="5071"/>
      <c r="AN1491" s="5071"/>
      <c r="AO1491" s="5071"/>
      <c r="AP1491" s="5071"/>
      <c r="AQ1491" s="5071"/>
      <c r="AR1491" s="5071"/>
      <c r="AS1491" s="5071"/>
      <c r="AT1491" s="5071"/>
      <c r="AU1491" s="4295"/>
      <c r="AV1491" s="4295"/>
      <c r="AW1491" s="4295"/>
      <c r="AX1491" s="4295"/>
      <c r="AY1491" s="4295"/>
      <c r="AZ1491" s="4295"/>
      <c r="BA1491" s="4295"/>
      <c r="BB1491" s="4295"/>
      <c r="BC1491" s="4295"/>
      <c r="BD1491" s="4295"/>
      <c r="BE1491" s="4295"/>
      <c r="BF1491" s="4295"/>
      <c r="BG1491" s="4295"/>
      <c r="BH1491" s="4295"/>
      <c r="BI1491" s="4295"/>
      <c r="BJ1491" s="4295"/>
      <c r="BK1491" s="4295"/>
      <c r="BL1491" s="4295"/>
      <c r="BM1491" s="4295"/>
      <c r="BN1491" s="4295"/>
      <c r="BO1491" s="4295"/>
      <c r="BP1491" s="4295"/>
      <c r="BQ1491" s="4295"/>
      <c r="BR1491" s="4295"/>
      <c r="BS1491" s="4295"/>
      <c r="BT1491" s="4295"/>
      <c r="BU1491" s="4295"/>
      <c r="BV1491" s="4295"/>
      <c r="BW1491" s="4295"/>
      <c r="BX1491" s="4295"/>
      <c r="BY1491" s="4295"/>
      <c r="BZ1491" s="4295"/>
      <c r="CA1491" s="4295"/>
      <c r="CB1491" s="4295"/>
      <c r="CC1491" s="4295"/>
      <c r="CD1491" s="4295"/>
      <c r="CE1491" s="4295"/>
      <c r="CF1491" s="4295"/>
      <c r="CG1491" s="4295"/>
      <c r="CH1491" s="4295"/>
      <c r="CI1491" s="4295"/>
      <c r="CJ1491" s="4295"/>
      <c r="CK1491" s="4295"/>
      <c r="CL1491" s="4295"/>
      <c r="CM1491" s="4295"/>
      <c r="CN1491" s="4295"/>
      <c r="CO1491" s="4295"/>
      <c r="CP1491" s="4295"/>
      <c r="CQ1491" s="4295"/>
      <c r="CR1491" s="4295"/>
      <c r="CS1491" s="4295"/>
      <c r="CT1491" s="4295"/>
      <c r="CU1491" s="4295"/>
      <c r="CV1491" s="4295"/>
      <c r="CW1491" s="4295"/>
      <c r="CX1491" s="4295"/>
      <c r="CY1491" s="4295"/>
      <c r="CZ1491" s="4295"/>
      <c r="DA1491" s="4295"/>
      <c r="DB1491" s="4295"/>
      <c r="DC1491" s="4295"/>
      <c r="DD1491" s="4295"/>
      <c r="DE1491" s="4295"/>
      <c r="DF1491" s="4295"/>
      <c r="DG1491" s="4295"/>
      <c r="DH1491" s="4295"/>
      <c r="DI1491" s="4295"/>
      <c r="DJ1491" s="4295"/>
      <c r="DK1491" s="4295"/>
      <c r="DL1491" s="4295"/>
      <c r="DM1491" s="4295"/>
      <c r="DN1491" s="4295"/>
      <c r="DO1491" s="4295"/>
      <c r="DP1491" s="4295"/>
      <c r="DQ1491" s="4295"/>
      <c r="DR1491" s="4295"/>
      <c r="DS1491" s="4295"/>
    </row>
    <row r="1492" s="4133" customFormat="1" ht="16.5" customHeight="1" spans="1:123">
      <c r="A1492" s="5077" t="str">
        <f ca="1">Analiza!A315</f>
        <v>-Na dan 31.12.2025. godine nije bilo sumljivih i spornih kratkotočnih potraživanja.</v>
      </c>
      <c r="B1492" s="5077"/>
      <c r="C1492" s="5077"/>
      <c r="D1492" s="5077"/>
      <c r="E1492" s="5077"/>
      <c r="F1492" s="5077"/>
      <c r="G1492" s="5077"/>
      <c r="H1492" s="5077"/>
      <c r="I1492" s="5077"/>
      <c r="J1492" s="5077"/>
      <c r="K1492" s="5077"/>
      <c r="L1492" s="5077"/>
      <c r="M1492" s="5077"/>
      <c r="N1492" s="5077"/>
      <c r="O1492" s="5077"/>
      <c r="P1492" s="5077"/>
      <c r="Q1492" s="5077"/>
      <c r="R1492" s="5077"/>
      <c r="S1492" s="5077"/>
      <c r="T1492" s="5077"/>
      <c r="U1492" s="5077"/>
      <c r="V1492" s="5077"/>
      <c r="W1492" s="5077"/>
      <c r="X1492" s="5077"/>
      <c r="Y1492" s="5077"/>
      <c r="Z1492" s="5077"/>
      <c r="AA1492" s="5077"/>
      <c r="AB1492" s="5077"/>
      <c r="AC1492" s="5077"/>
      <c r="AD1492" s="5077"/>
      <c r="AE1492" s="5077"/>
      <c r="AF1492" s="5077"/>
      <c r="AG1492" s="5077"/>
      <c r="AH1492" s="5077"/>
      <c r="AI1492" s="5077"/>
      <c r="AJ1492" s="5077"/>
      <c r="AK1492" s="5077"/>
      <c r="AL1492" s="5077"/>
      <c r="AM1492" s="5077"/>
      <c r="AN1492" s="5077"/>
      <c r="AO1492" s="5077"/>
      <c r="AP1492" s="5077"/>
      <c r="AQ1492" s="5077"/>
      <c r="AR1492" s="5077"/>
      <c r="AS1492" s="5077"/>
      <c r="AT1492" s="5077"/>
      <c r="AU1492" s="4295"/>
      <c r="AV1492" s="4295"/>
      <c r="AW1492" s="4295"/>
      <c r="AX1492" s="4295"/>
      <c r="AY1492" s="4295"/>
      <c r="AZ1492" s="4295"/>
      <c r="BA1492" s="4295"/>
      <c r="BB1492" s="4295"/>
      <c r="BC1492" s="4295"/>
      <c r="BD1492" s="4295"/>
      <c r="BE1492" s="4295"/>
      <c r="BF1492" s="4295"/>
      <c r="BG1492" s="4295"/>
      <c r="BH1492" s="4295"/>
      <c r="BI1492" s="4295"/>
      <c r="BJ1492" s="4295"/>
      <c r="BK1492" s="4295"/>
      <c r="BL1492" s="4295"/>
      <c r="BM1492" s="4295"/>
      <c r="BN1492" s="4295"/>
      <c r="BO1492" s="4295"/>
      <c r="BP1492" s="4295"/>
      <c r="BQ1492" s="4295"/>
      <c r="BR1492" s="4295"/>
      <c r="BS1492" s="4295"/>
      <c r="BT1492" s="4295"/>
      <c r="BU1492" s="4295"/>
      <c r="BV1492" s="4295"/>
      <c r="BW1492" s="4295"/>
      <c r="BX1492" s="4295"/>
      <c r="BY1492" s="4295"/>
      <c r="BZ1492" s="4295"/>
      <c r="CA1492" s="4295"/>
      <c r="CB1492" s="4295"/>
      <c r="CC1492" s="4295"/>
      <c r="CD1492" s="4295"/>
      <c r="CE1492" s="4295"/>
      <c r="CF1492" s="4295"/>
      <c r="CG1492" s="4295"/>
      <c r="CH1492" s="4295"/>
      <c r="CI1492" s="4295"/>
      <c r="CJ1492" s="4295"/>
      <c r="CK1492" s="4295"/>
      <c r="CL1492" s="4295"/>
      <c r="CM1492" s="4295"/>
      <c r="CN1492" s="4295"/>
      <c r="CO1492" s="4295"/>
      <c r="CP1492" s="4295"/>
      <c r="CQ1492" s="4295"/>
      <c r="CR1492" s="4295"/>
      <c r="CS1492" s="4295"/>
      <c r="CT1492" s="4295"/>
      <c r="CU1492" s="4295"/>
      <c r="CV1492" s="4295"/>
      <c r="CW1492" s="4295"/>
      <c r="CX1492" s="4295"/>
      <c r="CY1492" s="4295"/>
      <c r="CZ1492" s="4295"/>
      <c r="DA1492" s="4295"/>
      <c r="DB1492" s="4295"/>
      <c r="DC1492" s="4295"/>
      <c r="DD1492" s="4295"/>
      <c r="DE1492" s="4295"/>
      <c r="DF1492" s="4295"/>
      <c r="DG1492" s="4295"/>
      <c r="DH1492" s="4295"/>
      <c r="DI1492" s="4295"/>
      <c r="DJ1492" s="4295"/>
      <c r="DK1492" s="4295"/>
      <c r="DL1492" s="4295"/>
      <c r="DM1492" s="4295"/>
      <c r="DN1492" s="4295"/>
      <c r="DO1492" s="4295"/>
      <c r="DP1492" s="4295"/>
      <c r="DQ1492" s="4295"/>
      <c r="DR1492" s="4295"/>
      <c r="DS1492" s="4295"/>
    </row>
    <row r="1493" s="4133" customFormat="1" ht="16.5" customHeight="1" spans="1:123">
      <c r="A1493" s="5077"/>
      <c r="B1493" s="5077"/>
      <c r="C1493" s="5077"/>
      <c r="D1493" s="5077"/>
      <c r="E1493" s="5077"/>
      <c r="F1493" s="5077"/>
      <c r="G1493" s="5077"/>
      <c r="H1493" s="5077"/>
      <c r="I1493" s="5077"/>
      <c r="J1493" s="5077"/>
      <c r="K1493" s="5077"/>
      <c r="L1493" s="5077"/>
      <c r="M1493" s="5077"/>
      <c r="N1493" s="5077"/>
      <c r="O1493" s="5077"/>
      <c r="P1493" s="5077"/>
      <c r="Q1493" s="5077"/>
      <c r="R1493" s="5077"/>
      <c r="S1493" s="5077"/>
      <c r="T1493" s="5077"/>
      <c r="U1493" s="5077"/>
      <c r="V1493" s="5077"/>
      <c r="W1493" s="5077"/>
      <c r="X1493" s="5077"/>
      <c r="Y1493" s="5077"/>
      <c r="Z1493" s="5077"/>
      <c r="AA1493" s="5077"/>
      <c r="AB1493" s="5077"/>
      <c r="AC1493" s="5077"/>
      <c r="AD1493" s="5077"/>
      <c r="AE1493" s="5077"/>
      <c r="AF1493" s="5077"/>
      <c r="AG1493" s="5077"/>
      <c r="AH1493" s="5077"/>
      <c r="AI1493" s="5077"/>
      <c r="AJ1493" s="5077"/>
      <c r="AK1493" s="5077"/>
      <c r="AL1493" s="5077"/>
      <c r="AM1493" s="5077"/>
      <c r="AN1493" s="5077"/>
      <c r="AO1493" s="5077"/>
      <c r="AP1493" s="5077"/>
      <c r="AQ1493" s="5077"/>
      <c r="AR1493" s="5077"/>
      <c r="AS1493" s="5077"/>
      <c r="AT1493" s="5077"/>
      <c r="AU1493" s="4295"/>
      <c r="AV1493" s="4295"/>
      <c r="AW1493" s="4295"/>
      <c r="AX1493" s="4295"/>
      <c r="AY1493" s="4295"/>
      <c r="AZ1493" s="4295"/>
      <c r="BA1493" s="4295"/>
      <c r="BB1493" s="4295"/>
      <c r="BC1493" s="4295"/>
      <c r="BD1493" s="4295"/>
      <c r="BE1493" s="4295"/>
      <c r="BF1493" s="4295"/>
      <c r="BG1493" s="4295"/>
      <c r="BH1493" s="4295"/>
      <c r="BI1493" s="4295"/>
      <c r="BJ1493" s="4295"/>
      <c r="BK1493" s="4295"/>
      <c r="BL1493" s="4295"/>
      <c r="BM1493" s="4295"/>
      <c r="BN1493" s="4295"/>
      <c r="BO1493" s="4295"/>
      <c r="BP1493" s="4295"/>
      <c r="BQ1493" s="4295"/>
      <c r="BR1493" s="4295"/>
      <c r="BS1493" s="4295"/>
      <c r="BT1493" s="4295"/>
      <c r="BU1493" s="4295"/>
      <c r="BV1493" s="4295"/>
      <c r="BW1493" s="4295"/>
      <c r="BX1493" s="4295"/>
      <c r="BY1493" s="4295"/>
      <c r="BZ1493" s="4295"/>
      <c r="CA1493" s="4295"/>
      <c r="CB1493" s="4295"/>
      <c r="CC1493" s="4295"/>
      <c r="CD1493" s="4295"/>
      <c r="CE1493" s="4295"/>
      <c r="CF1493" s="4295"/>
      <c r="CG1493" s="4295"/>
      <c r="CH1493" s="4295"/>
      <c r="CI1493" s="4295"/>
      <c r="CJ1493" s="4295"/>
      <c r="CK1493" s="4295"/>
      <c r="CL1493" s="4295"/>
      <c r="CM1493" s="4295"/>
      <c r="CN1493" s="4295"/>
      <c r="CO1493" s="4295"/>
      <c r="CP1493" s="4295"/>
      <c r="CQ1493" s="4295"/>
      <c r="CR1493" s="4295"/>
      <c r="CS1493" s="4295"/>
      <c r="CT1493" s="4295"/>
      <c r="CU1493" s="4295"/>
      <c r="CV1493" s="4295"/>
      <c r="CW1493" s="4295"/>
      <c r="CX1493" s="4295"/>
      <c r="CY1493" s="4295"/>
      <c r="CZ1493" s="4295"/>
      <c r="DA1493" s="4295"/>
      <c r="DB1493" s="4295"/>
      <c r="DC1493" s="4295"/>
      <c r="DD1493" s="4295"/>
      <c r="DE1493" s="4295"/>
      <c r="DF1493" s="4295"/>
      <c r="DG1493" s="4295"/>
      <c r="DH1493" s="4295"/>
      <c r="DI1493" s="4295"/>
      <c r="DJ1493" s="4295"/>
      <c r="DK1493" s="4295"/>
      <c r="DL1493" s="4295"/>
      <c r="DM1493" s="4295"/>
      <c r="DN1493" s="4295"/>
      <c r="DO1493" s="4295"/>
      <c r="DP1493" s="4295"/>
      <c r="DQ1493" s="4295"/>
      <c r="DR1493" s="4295"/>
      <c r="DS1493" s="4295"/>
    </row>
    <row r="1494" s="4133" customFormat="1" ht="46.5" customHeight="1" spans="1:123">
      <c r="A1494" s="5078"/>
      <c r="B1494" s="5078"/>
      <c r="C1494" s="5078"/>
      <c r="D1494" s="5078"/>
      <c r="E1494" s="5078"/>
      <c r="F1494" s="5078"/>
      <c r="G1494" s="5078"/>
      <c r="H1494" s="5078"/>
      <c r="I1494" s="5078"/>
      <c r="J1494" s="5078"/>
      <c r="K1494" s="5078"/>
      <c r="L1494" s="5078"/>
      <c r="M1494" s="5078"/>
      <c r="N1494" s="5078"/>
      <c r="O1494" s="5078"/>
      <c r="P1494" s="5078"/>
      <c r="Q1494" s="5078"/>
      <c r="R1494" s="5078"/>
      <c r="S1494" s="5078"/>
      <c r="T1494" s="5078"/>
      <c r="U1494" s="5078"/>
      <c r="V1494" s="5078"/>
      <c r="W1494" s="5078"/>
      <c r="X1494" s="5078"/>
      <c r="Y1494" s="5078"/>
      <c r="Z1494" s="5078"/>
      <c r="AA1494" s="5078"/>
      <c r="AB1494" s="5078"/>
      <c r="AC1494" s="5078"/>
      <c r="AD1494" s="5078"/>
      <c r="AE1494" s="5078"/>
      <c r="AF1494" s="5078"/>
      <c r="AG1494" s="5078"/>
      <c r="AH1494" s="5078"/>
      <c r="AI1494" s="5078"/>
      <c r="AJ1494" s="5078"/>
      <c r="AK1494" s="5078"/>
      <c r="AL1494" s="5078"/>
      <c r="AM1494" s="5078"/>
      <c r="AN1494" s="5078"/>
      <c r="AO1494" s="5078"/>
      <c r="AP1494" s="5078"/>
      <c r="AQ1494" s="5078"/>
      <c r="AR1494" s="5078"/>
      <c r="AS1494" s="5078"/>
      <c r="AT1494" s="5078"/>
      <c r="AU1494" s="4295"/>
      <c r="AV1494" s="4295"/>
      <c r="AW1494" s="4295"/>
      <c r="AX1494" s="4295"/>
      <c r="AY1494" s="4295"/>
      <c r="AZ1494" s="4295"/>
      <c r="BA1494" s="4295"/>
      <c r="BB1494" s="4295"/>
      <c r="BC1494" s="4295"/>
      <c r="BD1494" s="4295"/>
      <c r="BE1494" s="4295"/>
      <c r="BF1494" s="4295"/>
      <c r="BG1494" s="4295"/>
      <c r="BH1494" s="4295"/>
      <c r="BI1494" s="4295"/>
      <c r="BJ1494" s="4295"/>
      <c r="BK1494" s="4295"/>
      <c r="BL1494" s="4295"/>
      <c r="BM1494" s="4295"/>
      <c r="BN1494" s="4295"/>
      <c r="BO1494" s="4295"/>
      <c r="BP1494" s="4295"/>
      <c r="BQ1494" s="4295"/>
      <c r="BR1494" s="4295"/>
      <c r="BS1494" s="4295"/>
      <c r="BT1494" s="4295"/>
      <c r="BU1494" s="4295"/>
      <c r="BV1494" s="4295"/>
      <c r="BW1494" s="4295"/>
      <c r="BX1494" s="4295"/>
      <c r="BY1494" s="4295"/>
      <c r="BZ1494" s="4295"/>
      <c r="CA1494" s="4295"/>
      <c r="CB1494" s="4295"/>
      <c r="CC1494" s="4295"/>
      <c r="CD1494" s="4295"/>
      <c r="CE1494" s="4295"/>
      <c r="CF1494" s="4295"/>
      <c r="CG1494" s="4295"/>
      <c r="CH1494" s="4295"/>
      <c r="CI1494" s="4295"/>
      <c r="CJ1494" s="4295"/>
      <c r="CK1494" s="4295"/>
      <c r="CL1494" s="4295"/>
      <c r="CM1494" s="4295"/>
      <c r="CN1494" s="4295"/>
      <c r="CO1494" s="4295"/>
      <c r="CP1494" s="4295"/>
      <c r="CQ1494" s="4295"/>
      <c r="CR1494" s="4295"/>
      <c r="CS1494" s="4295"/>
      <c r="CT1494" s="4295"/>
      <c r="CU1494" s="4295"/>
      <c r="CV1494" s="4295"/>
      <c r="CW1494" s="4295"/>
      <c r="CX1494" s="4295"/>
      <c r="CY1494" s="4295"/>
      <c r="CZ1494" s="4295"/>
      <c r="DA1494" s="4295"/>
      <c r="DB1494" s="4295"/>
      <c r="DC1494" s="4295"/>
      <c r="DD1494" s="4295"/>
      <c r="DE1494" s="4295"/>
      <c r="DF1494" s="4295"/>
      <c r="DG1494" s="4295"/>
      <c r="DH1494" s="4295"/>
      <c r="DI1494" s="4295"/>
      <c r="DJ1494" s="4295"/>
      <c r="DK1494" s="4295"/>
      <c r="DL1494" s="4295"/>
      <c r="DM1494" s="4295"/>
      <c r="DN1494" s="4295"/>
      <c r="DO1494" s="4295"/>
      <c r="DP1494" s="4295"/>
      <c r="DQ1494" s="4295"/>
      <c r="DR1494" s="4295"/>
      <c r="DS1494" s="4295"/>
    </row>
    <row r="1495" s="4133" customFormat="1" ht="16.5" customHeight="1" spans="1:123">
      <c r="A1495" s="4369" t="s">
        <v>5778</v>
      </c>
      <c r="B1495" s="4369"/>
      <c r="C1495" s="4295"/>
      <c r="D1495" s="4295"/>
      <c r="E1495" s="4295"/>
      <c r="F1495" s="4295"/>
      <c r="G1495" s="4295"/>
      <c r="H1495" s="4295"/>
      <c r="I1495" s="4295"/>
      <c r="J1495" s="4295"/>
      <c r="K1495" s="4295"/>
      <c r="L1495" s="4295"/>
      <c r="M1495" s="4295"/>
      <c r="N1495" s="4295"/>
      <c r="O1495" s="4295"/>
      <c r="P1495" s="4295"/>
      <c r="Q1495" s="4295"/>
      <c r="R1495" s="4295"/>
      <c r="S1495" s="4295"/>
      <c r="T1495" s="4295"/>
      <c r="U1495" s="4295"/>
      <c r="V1495" s="4295"/>
      <c r="W1495" s="4295"/>
      <c r="X1495" s="4295"/>
      <c r="Y1495" s="4295"/>
      <c r="Z1495" s="4295"/>
      <c r="AA1495" s="4295"/>
      <c r="AB1495" s="4295"/>
      <c r="AC1495" s="4295"/>
      <c r="AD1495" s="4295"/>
      <c r="AE1495" s="4295"/>
      <c r="AF1495" s="4295"/>
      <c r="AG1495" s="4295"/>
      <c r="AH1495" s="4295"/>
      <c r="AI1495" s="4295"/>
      <c r="AJ1495" s="4295"/>
      <c r="AK1495" s="4295"/>
      <c r="AL1495" s="4295"/>
      <c r="AM1495" s="4295"/>
      <c r="AN1495" s="4295"/>
      <c r="AO1495" s="4295"/>
      <c r="AP1495" s="4295"/>
      <c r="AQ1495" s="4295"/>
      <c r="AR1495" s="4295"/>
      <c r="AS1495" s="4295"/>
      <c r="AT1495" s="4295"/>
      <c r="AU1495" s="4295"/>
      <c r="AV1495" s="4295"/>
      <c r="AW1495" s="4295"/>
      <c r="AX1495" s="4295"/>
      <c r="AY1495" s="4295"/>
      <c r="AZ1495" s="4295"/>
      <c r="BA1495" s="4295"/>
      <c r="BB1495" s="4295"/>
      <c r="BC1495" s="4295"/>
      <c r="BD1495" s="4295"/>
      <c r="BE1495" s="4295"/>
      <c r="BF1495" s="4295"/>
      <c r="BG1495" s="4295"/>
      <c r="BH1495" s="4295"/>
      <c r="BI1495" s="4295"/>
      <c r="BJ1495" s="4295"/>
      <c r="BK1495" s="4295"/>
      <c r="BL1495" s="4295"/>
      <c r="BM1495" s="4295"/>
      <c r="BN1495" s="4295"/>
      <c r="BO1495" s="4295"/>
      <c r="BP1495" s="4295"/>
      <c r="BQ1495" s="4295"/>
      <c r="BR1495" s="4295"/>
      <c r="BS1495" s="4295"/>
      <c r="BT1495" s="4295"/>
      <c r="BU1495" s="4295"/>
      <c r="BV1495" s="4295"/>
      <c r="BW1495" s="4295"/>
      <c r="BX1495" s="4295"/>
      <c r="BY1495" s="4295"/>
      <c r="BZ1495" s="4295"/>
      <c r="CA1495" s="4295"/>
      <c r="CB1495" s="4295"/>
      <c r="CC1495" s="4295"/>
      <c r="CD1495" s="4295"/>
      <c r="CE1495" s="4295"/>
      <c r="CF1495" s="4295"/>
      <c r="CG1495" s="4295"/>
      <c r="CH1495" s="4295"/>
      <c r="CI1495" s="4295"/>
      <c r="CJ1495" s="4295"/>
      <c r="CK1495" s="4295"/>
      <c r="CL1495" s="4295"/>
      <c r="CM1495" s="4295"/>
      <c r="CN1495" s="4295"/>
      <c r="CO1495" s="4295"/>
      <c r="CP1495" s="4295"/>
      <c r="CQ1495" s="4295"/>
      <c r="CR1495" s="4295"/>
      <c r="CS1495" s="4295"/>
      <c r="CT1495" s="4295"/>
      <c r="CU1495" s="4295"/>
      <c r="CV1495" s="4295"/>
      <c r="CW1495" s="4295"/>
      <c r="CX1495" s="4295"/>
      <c r="CY1495" s="4295"/>
      <c r="CZ1495" s="4295"/>
      <c r="DA1495" s="4295"/>
      <c r="DB1495" s="4295"/>
      <c r="DC1495" s="4295"/>
      <c r="DD1495" s="4295"/>
      <c r="DE1495" s="4295"/>
      <c r="DF1495" s="4295"/>
      <c r="DG1495" s="4295"/>
      <c r="DH1495" s="4295"/>
      <c r="DI1495" s="4295"/>
      <c r="DJ1495" s="4295"/>
      <c r="DK1495" s="4295"/>
      <c r="DL1495" s="4295"/>
      <c r="DM1495" s="4295"/>
      <c r="DN1495" s="4295"/>
      <c r="DO1495" s="4295"/>
      <c r="DP1495" s="4295"/>
      <c r="DQ1495" s="4295"/>
      <c r="DR1495" s="4295"/>
      <c r="DS1495" s="4295"/>
    </row>
    <row r="1496" s="4133" customFormat="1" ht="39.75" customHeight="1" spans="1:123">
      <c r="A1496" s="5078"/>
      <c r="B1496" s="5078"/>
      <c r="C1496" s="5078"/>
      <c r="D1496" s="5078"/>
      <c r="E1496" s="5078"/>
      <c r="F1496" s="5078"/>
      <c r="G1496" s="5078"/>
      <c r="H1496" s="5078"/>
      <c r="I1496" s="5078"/>
      <c r="J1496" s="5078"/>
      <c r="K1496" s="5078"/>
      <c r="L1496" s="5078"/>
      <c r="M1496" s="5078"/>
      <c r="N1496" s="5078"/>
      <c r="O1496" s="5078"/>
      <c r="P1496" s="5078"/>
      <c r="Q1496" s="5078"/>
      <c r="R1496" s="5078"/>
      <c r="S1496" s="5078"/>
      <c r="T1496" s="5078"/>
      <c r="U1496" s="5078"/>
      <c r="V1496" s="5078"/>
      <c r="W1496" s="5078"/>
      <c r="X1496" s="5078"/>
      <c r="Y1496" s="5078"/>
      <c r="Z1496" s="5078"/>
      <c r="AA1496" s="5078"/>
      <c r="AB1496" s="5078"/>
      <c r="AC1496" s="5078"/>
      <c r="AD1496" s="5078"/>
      <c r="AE1496" s="5078"/>
      <c r="AF1496" s="5078"/>
      <c r="AG1496" s="5078"/>
      <c r="AH1496" s="5078"/>
      <c r="AI1496" s="5078"/>
      <c r="AJ1496" s="5078"/>
      <c r="AK1496" s="5078"/>
      <c r="AL1496" s="5078"/>
      <c r="AM1496" s="5078"/>
      <c r="AN1496" s="5078"/>
      <c r="AO1496" s="5078"/>
      <c r="AP1496" s="5078"/>
      <c r="AQ1496" s="5078"/>
      <c r="AR1496" s="5078"/>
      <c r="AS1496" s="5078"/>
      <c r="AT1496" s="5078"/>
      <c r="AU1496" s="4295"/>
      <c r="AV1496" s="4295"/>
      <c r="AW1496" s="4295"/>
      <c r="AX1496" s="4295"/>
      <c r="AY1496" s="4295"/>
      <c r="AZ1496" s="4295"/>
      <c r="BA1496" s="4295"/>
      <c r="BB1496" s="4295"/>
      <c r="BC1496" s="4295"/>
      <c r="BD1496" s="4295"/>
      <c r="BE1496" s="4295"/>
      <c r="BF1496" s="4295"/>
      <c r="BG1496" s="4295"/>
      <c r="BH1496" s="4295"/>
      <c r="BI1496" s="4295"/>
      <c r="BJ1496" s="4295"/>
      <c r="BK1496" s="4295"/>
      <c r="BL1496" s="4295"/>
      <c r="BM1496" s="4295"/>
      <c r="BN1496" s="4295"/>
      <c r="BO1496" s="4295"/>
      <c r="BP1496" s="4295"/>
      <c r="BQ1496" s="4295"/>
      <c r="BR1496" s="4295"/>
      <c r="BS1496" s="4295"/>
      <c r="BT1496" s="4295"/>
      <c r="BU1496" s="4295"/>
      <c r="BV1496" s="4295"/>
      <c r="BW1496" s="4295"/>
      <c r="BX1496" s="4295"/>
      <c r="BY1496" s="4295"/>
      <c r="BZ1496" s="4295"/>
      <c r="CA1496" s="4295"/>
      <c r="CB1496" s="4295"/>
      <c r="CC1496" s="4295"/>
      <c r="CD1496" s="4295"/>
      <c r="CE1496" s="4295"/>
      <c r="CF1496" s="4295"/>
      <c r="CG1496" s="4295"/>
      <c r="CH1496" s="4295"/>
      <c r="CI1496" s="4295"/>
      <c r="CJ1496" s="4295"/>
      <c r="CK1496" s="4295"/>
      <c r="CL1496" s="4295"/>
      <c r="CM1496" s="4295"/>
      <c r="CN1496" s="4295"/>
      <c r="CO1496" s="4295"/>
      <c r="CP1496" s="4295"/>
      <c r="CQ1496" s="4295"/>
      <c r="CR1496" s="4295"/>
      <c r="CS1496" s="4295"/>
      <c r="CT1496" s="4295"/>
      <c r="CU1496" s="4295"/>
      <c r="CV1496" s="4295"/>
      <c r="CW1496" s="4295"/>
      <c r="CX1496" s="4295"/>
      <c r="CY1496" s="4295"/>
      <c r="CZ1496" s="4295"/>
      <c r="DA1496" s="4295"/>
      <c r="DB1496" s="4295"/>
      <c r="DC1496" s="4295"/>
      <c r="DD1496" s="4295"/>
      <c r="DE1496" s="4295"/>
      <c r="DF1496" s="4295"/>
      <c r="DG1496" s="4295"/>
      <c r="DH1496" s="4295"/>
      <c r="DI1496" s="4295"/>
      <c r="DJ1496" s="4295"/>
      <c r="DK1496" s="4295"/>
      <c r="DL1496" s="4295"/>
      <c r="DM1496" s="4295"/>
      <c r="DN1496" s="4295"/>
      <c r="DO1496" s="4295"/>
      <c r="DP1496" s="4295"/>
      <c r="DQ1496" s="4295"/>
      <c r="DR1496" s="4295"/>
      <c r="DS1496" s="4295"/>
    </row>
    <row r="1497" s="4133" customFormat="1" ht="16.5" customHeight="1" spans="1:123">
      <c r="A1497" s="4369" t="s">
        <v>5779</v>
      </c>
      <c r="B1497" s="4369"/>
      <c r="C1497" s="4295"/>
      <c r="D1497" s="4295"/>
      <c r="E1497" s="4295"/>
      <c r="F1497" s="4295"/>
      <c r="G1497" s="4295"/>
      <c r="H1497" s="4295"/>
      <c r="I1497" s="4295"/>
      <c r="J1497" s="4295"/>
      <c r="K1497" s="4295"/>
      <c r="L1497" s="4295"/>
      <c r="M1497" s="4295"/>
      <c r="N1497" s="4295"/>
      <c r="O1497" s="4295"/>
      <c r="P1497" s="4295"/>
      <c r="Q1497" s="4295"/>
      <c r="R1497" s="4295"/>
      <c r="S1497" s="4295"/>
      <c r="T1497" s="4295"/>
      <c r="U1497" s="4295"/>
      <c r="V1497" s="4295"/>
      <c r="W1497" s="4295"/>
      <c r="X1497" s="4295"/>
      <c r="Y1497" s="4295"/>
      <c r="Z1497" s="4295"/>
      <c r="AA1497" s="4295"/>
      <c r="AB1497" s="4295"/>
      <c r="AC1497" s="4295"/>
      <c r="AD1497" s="4295"/>
      <c r="AE1497" s="4295"/>
      <c r="AF1497" s="4295"/>
      <c r="AG1497" s="4295"/>
      <c r="AH1497" s="4295"/>
      <c r="AI1497" s="4295"/>
      <c r="AJ1497" s="4295"/>
      <c r="AK1497" s="4295"/>
      <c r="AL1497" s="4295"/>
      <c r="AM1497" s="4295"/>
      <c r="AN1497" s="4295"/>
      <c r="AO1497" s="4295"/>
      <c r="AP1497" s="4295"/>
      <c r="AQ1497" s="4295"/>
      <c r="AR1497" s="4295"/>
      <c r="AS1497" s="4295"/>
      <c r="AT1497" s="4295"/>
      <c r="AU1497" s="4295"/>
      <c r="AV1497" s="4295"/>
      <c r="AW1497" s="4295"/>
      <c r="AX1497" s="4295"/>
      <c r="AY1497" s="4295"/>
      <c r="AZ1497" s="4295"/>
      <c r="BA1497" s="4295"/>
      <c r="BB1497" s="4295"/>
      <c r="BC1497" s="4295"/>
      <c r="BD1497" s="4295"/>
      <c r="BE1497" s="4295"/>
      <c r="BF1497" s="4295"/>
      <c r="BG1497" s="4295"/>
      <c r="BH1497" s="4295"/>
      <c r="BI1497" s="4295"/>
      <c r="BJ1497" s="4295"/>
      <c r="BK1497" s="4295"/>
      <c r="BL1497" s="4295"/>
      <c r="BM1497" s="4295"/>
      <c r="BN1497" s="4295"/>
      <c r="BO1497" s="4295"/>
      <c r="BP1497" s="4295"/>
      <c r="BQ1497" s="4295"/>
      <c r="BR1497" s="4295"/>
      <c r="BS1497" s="4295"/>
      <c r="BT1497" s="4295"/>
      <c r="BU1497" s="4295"/>
      <c r="BV1497" s="4295"/>
      <c r="BW1497" s="4295"/>
      <c r="BX1497" s="4295"/>
      <c r="BY1497" s="4295"/>
      <c r="BZ1497" s="4295"/>
      <c r="CA1497" s="4295"/>
      <c r="CB1497" s="4295"/>
      <c r="CC1497" s="4295"/>
      <c r="CD1497" s="4295"/>
      <c r="CE1497" s="4295"/>
      <c r="CF1497" s="4295"/>
      <c r="CG1497" s="4295"/>
      <c r="CH1497" s="4295"/>
      <c r="CI1497" s="4295"/>
      <c r="CJ1497" s="4295"/>
      <c r="CK1497" s="4295"/>
      <c r="CL1497" s="4295"/>
      <c r="CM1497" s="4295"/>
      <c r="CN1497" s="4295"/>
      <c r="CO1497" s="4295"/>
      <c r="CP1497" s="4295"/>
      <c r="CQ1497" s="4295"/>
      <c r="CR1497" s="4295"/>
      <c r="CS1497" s="4295"/>
      <c r="CT1497" s="4295"/>
      <c r="CU1497" s="4295"/>
      <c r="CV1497" s="4295"/>
      <c r="CW1497" s="4295"/>
      <c r="CX1497" s="4295"/>
      <c r="CY1497" s="4295"/>
      <c r="CZ1497" s="4295"/>
      <c r="DA1497" s="4295"/>
      <c r="DB1497" s="4295"/>
      <c r="DC1497" s="4295"/>
      <c r="DD1497" s="4295"/>
      <c r="DE1497" s="4295"/>
      <c r="DF1497" s="4295"/>
      <c r="DG1497" s="4295"/>
      <c r="DH1497" s="4295"/>
      <c r="DI1497" s="4295"/>
      <c r="DJ1497" s="4295"/>
      <c r="DK1497" s="4295"/>
      <c r="DL1497" s="4295"/>
      <c r="DM1497" s="4295"/>
      <c r="DN1497" s="4295"/>
      <c r="DO1497" s="4295"/>
      <c r="DP1497" s="4295"/>
      <c r="DQ1497" s="4295"/>
      <c r="DR1497" s="4295"/>
      <c r="DS1497" s="4295"/>
    </row>
    <row r="1498" s="4133" customFormat="1" ht="39.75" customHeight="1" spans="1:123">
      <c r="A1498" s="5078"/>
      <c r="B1498" s="5078"/>
      <c r="C1498" s="5078"/>
      <c r="D1498" s="5078"/>
      <c r="E1498" s="5078"/>
      <c r="F1498" s="5078"/>
      <c r="G1498" s="5078"/>
      <c r="H1498" s="5078"/>
      <c r="I1498" s="5078"/>
      <c r="J1498" s="5078"/>
      <c r="K1498" s="5078"/>
      <c r="L1498" s="5078"/>
      <c r="M1498" s="5078"/>
      <c r="N1498" s="5078"/>
      <c r="O1498" s="5078"/>
      <c r="P1498" s="5078"/>
      <c r="Q1498" s="5078"/>
      <c r="R1498" s="5078"/>
      <c r="S1498" s="5078"/>
      <c r="T1498" s="5078"/>
      <c r="U1498" s="5078"/>
      <c r="V1498" s="5078"/>
      <c r="W1498" s="5078"/>
      <c r="X1498" s="5078"/>
      <c r="Y1498" s="5078"/>
      <c r="Z1498" s="5078"/>
      <c r="AA1498" s="5078"/>
      <c r="AB1498" s="5078"/>
      <c r="AC1498" s="5078"/>
      <c r="AD1498" s="5078"/>
      <c r="AE1498" s="5078"/>
      <c r="AF1498" s="5078"/>
      <c r="AG1498" s="5078"/>
      <c r="AH1498" s="5078"/>
      <c r="AI1498" s="5078"/>
      <c r="AJ1498" s="5078"/>
      <c r="AK1498" s="5078"/>
      <c r="AL1498" s="5078"/>
      <c r="AM1498" s="5078"/>
      <c r="AN1498" s="5078"/>
      <c r="AO1498" s="5078"/>
      <c r="AP1498" s="5078"/>
      <c r="AQ1498" s="5078"/>
      <c r="AR1498" s="5078"/>
      <c r="AS1498" s="5078"/>
      <c r="AT1498" s="5078"/>
      <c r="AU1498" s="4295"/>
      <c r="AV1498" s="4295"/>
      <c r="AW1498" s="4295"/>
      <c r="AX1498" s="4295"/>
      <c r="AY1498" s="4295"/>
      <c r="AZ1498" s="4295"/>
      <c r="BA1498" s="4295"/>
      <c r="BB1498" s="4295"/>
      <c r="BC1498" s="4295"/>
      <c r="BD1498" s="4295"/>
      <c r="BE1498" s="4295"/>
      <c r="BF1498" s="4295"/>
      <c r="BG1498" s="4295"/>
      <c r="BH1498" s="4295"/>
      <c r="BI1498" s="4295"/>
      <c r="BJ1498" s="4295"/>
      <c r="BK1498" s="4295"/>
      <c r="BL1498" s="4295"/>
      <c r="BM1498" s="4295"/>
      <c r="BN1498" s="4295"/>
      <c r="BO1498" s="4295"/>
      <c r="BP1498" s="4295"/>
      <c r="BQ1498" s="4295"/>
      <c r="BR1498" s="4295"/>
      <c r="BS1498" s="4295"/>
      <c r="BT1498" s="4295"/>
      <c r="BU1498" s="4295"/>
      <c r="BV1498" s="4295"/>
      <c r="BW1498" s="4295"/>
      <c r="BX1498" s="4295"/>
      <c r="BY1498" s="4295"/>
      <c r="BZ1498" s="4295"/>
      <c r="CA1498" s="4295"/>
      <c r="CB1498" s="4295"/>
      <c r="CC1498" s="4295"/>
      <c r="CD1498" s="4295"/>
      <c r="CE1498" s="4295"/>
      <c r="CF1498" s="4295"/>
      <c r="CG1498" s="4295"/>
      <c r="CH1498" s="4295"/>
      <c r="CI1498" s="4295"/>
      <c r="CJ1498" s="4295"/>
      <c r="CK1498" s="4295"/>
      <c r="CL1498" s="4295"/>
      <c r="CM1498" s="4295"/>
      <c r="CN1498" s="4295"/>
      <c r="CO1498" s="4295"/>
      <c r="CP1498" s="4295"/>
      <c r="CQ1498" s="4295"/>
      <c r="CR1498" s="4295"/>
      <c r="CS1498" s="4295"/>
      <c r="CT1498" s="4295"/>
      <c r="CU1498" s="4295"/>
      <c r="CV1498" s="4295"/>
      <c r="CW1498" s="4295"/>
      <c r="CX1498" s="4295"/>
      <c r="CY1498" s="4295"/>
      <c r="CZ1498" s="4295"/>
      <c r="DA1498" s="4295"/>
      <c r="DB1498" s="4295"/>
      <c r="DC1498" s="4295"/>
      <c r="DD1498" s="4295"/>
      <c r="DE1498" s="4295"/>
      <c r="DF1498" s="4295"/>
      <c r="DG1498" s="4295"/>
      <c r="DH1498" s="4295"/>
      <c r="DI1498" s="4295"/>
      <c r="DJ1498" s="4295"/>
      <c r="DK1498" s="4295"/>
      <c r="DL1498" s="4295"/>
      <c r="DM1498" s="4295"/>
      <c r="DN1498" s="4295"/>
      <c r="DO1498" s="4295"/>
      <c r="DP1498" s="4295"/>
      <c r="DQ1498" s="4295"/>
      <c r="DR1498" s="4295"/>
      <c r="DS1498" s="4295"/>
    </row>
    <row r="1499" s="4133" customFormat="1" ht="16.5" customHeight="1" spans="1:123">
      <c r="A1499" s="4369" t="s">
        <v>5780</v>
      </c>
      <c r="B1499" s="4369"/>
      <c r="C1499" s="4295"/>
      <c r="D1499" s="4295"/>
      <c r="E1499" s="4295"/>
      <c r="F1499" s="4295"/>
      <c r="G1499" s="4295"/>
      <c r="H1499" s="4295"/>
      <c r="I1499" s="4295"/>
      <c r="J1499" s="4295"/>
      <c r="K1499" s="4295"/>
      <c r="L1499" s="4295"/>
      <c r="M1499" s="4295"/>
      <c r="N1499" s="4295"/>
      <c r="O1499" s="4295"/>
      <c r="P1499" s="4295"/>
      <c r="Q1499" s="4295"/>
      <c r="R1499" s="4295"/>
      <c r="S1499" s="4295"/>
      <c r="T1499" s="4295"/>
      <c r="U1499" s="4295"/>
      <c r="V1499" s="4295"/>
      <c r="W1499" s="4295"/>
      <c r="X1499" s="4295"/>
      <c r="Y1499" s="4295"/>
      <c r="Z1499" s="4295"/>
      <c r="AA1499" s="4295"/>
      <c r="AB1499" s="4295"/>
      <c r="AC1499" s="4295"/>
      <c r="AD1499" s="4295"/>
      <c r="AE1499" s="4295"/>
      <c r="AF1499" s="4295"/>
      <c r="AG1499" s="4295"/>
      <c r="AH1499" s="4295"/>
      <c r="AI1499" s="4295"/>
      <c r="AJ1499" s="4295"/>
      <c r="AK1499" s="4295"/>
      <c r="AL1499" s="4295"/>
      <c r="AM1499" s="4295"/>
      <c r="AN1499" s="4295"/>
      <c r="AO1499" s="4295"/>
      <c r="AP1499" s="4295"/>
      <c r="AQ1499" s="4295"/>
      <c r="AR1499" s="4295"/>
      <c r="AS1499" s="4295"/>
      <c r="AT1499" s="4295"/>
      <c r="AU1499" s="4295"/>
      <c r="AV1499" s="4295"/>
      <c r="AW1499" s="4295"/>
      <c r="AX1499" s="4295"/>
      <c r="AY1499" s="4295"/>
      <c r="AZ1499" s="4295"/>
      <c r="BA1499" s="4295"/>
      <c r="BB1499" s="4295"/>
      <c r="BC1499" s="4295"/>
      <c r="BD1499" s="4295"/>
      <c r="BE1499" s="4295"/>
      <c r="BF1499" s="4295"/>
      <c r="BG1499" s="4295"/>
      <c r="BH1499" s="4295"/>
      <c r="BI1499" s="4295"/>
      <c r="BJ1499" s="4295"/>
      <c r="BK1499" s="4295"/>
      <c r="BL1499" s="4295"/>
      <c r="BM1499" s="4295"/>
      <c r="BN1499" s="4295"/>
      <c r="BO1499" s="4295"/>
      <c r="BP1499" s="4295"/>
      <c r="BQ1499" s="4295"/>
      <c r="BR1499" s="4295"/>
      <c r="BS1499" s="4295"/>
      <c r="BT1499" s="4295"/>
      <c r="BU1499" s="4295"/>
      <c r="BV1499" s="4295"/>
      <c r="BW1499" s="4295"/>
      <c r="BX1499" s="4295"/>
      <c r="BY1499" s="4295"/>
      <c r="BZ1499" s="4295"/>
      <c r="CA1499" s="4295"/>
      <c r="CB1499" s="4295"/>
      <c r="CC1499" s="4295"/>
      <c r="CD1499" s="4295"/>
      <c r="CE1499" s="4295"/>
      <c r="CF1499" s="4295"/>
      <c r="CG1499" s="4295"/>
      <c r="CH1499" s="4295"/>
      <c r="CI1499" s="4295"/>
      <c r="CJ1499" s="4295"/>
      <c r="CK1499" s="4295"/>
      <c r="CL1499" s="4295"/>
      <c r="CM1499" s="4295"/>
      <c r="CN1499" s="4295"/>
      <c r="CO1499" s="4295"/>
      <c r="CP1499" s="4295"/>
      <c r="CQ1499" s="4295"/>
      <c r="CR1499" s="4295"/>
      <c r="CS1499" s="4295"/>
      <c r="CT1499" s="4295"/>
      <c r="CU1499" s="4295"/>
      <c r="CV1499" s="4295"/>
      <c r="CW1499" s="4295"/>
      <c r="CX1499" s="4295"/>
      <c r="CY1499" s="4295"/>
      <c r="CZ1499" s="4295"/>
      <c r="DA1499" s="4295"/>
      <c r="DB1499" s="4295"/>
      <c r="DC1499" s="4295"/>
      <c r="DD1499" s="4295"/>
      <c r="DE1499" s="4295"/>
      <c r="DF1499" s="4295"/>
      <c r="DG1499" s="4295"/>
      <c r="DH1499" s="4295"/>
      <c r="DI1499" s="4295"/>
      <c r="DJ1499" s="4295"/>
      <c r="DK1499" s="4295"/>
      <c r="DL1499" s="4295"/>
      <c r="DM1499" s="4295"/>
      <c r="DN1499" s="4295"/>
      <c r="DO1499" s="4295"/>
      <c r="DP1499" s="4295"/>
      <c r="DQ1499" s="4295"/>
      <c r="DR1499" s="4295"/>
      <c r="DS1499" s="4295"/>
    </row>
    <row r="1500" s="4133" customFormat="1" ht="39.75" customHeight="1" spans="1:123">
      <c r="A1500" s="5078"/>
      <c r="B1500" s="5078"/>
      <c r="C1500" s="5078"/>
      <c r="D1500" s="5078"/>
      <c r="E1500" s="5078"/>
      <c r="F1500" s="5078"/>
      <c r="G1500" s="5078"/>
      <c r="H1500" s="5078"/>
      <c r="I1500" s="5078"/>
      <c r="J1500" s="5078"/>
      <c r="K1500" s="5078"/>
      <c r="L1500" s="5078"/>
      <c r="M1500" s="5078"/>
      <c r="N1500" s="5078"/>
      <c r="O1500" s="5078"/>
      <c r="P1500" s="5078"/>
      <c r="Q1500" s="5078"/>
      <c r="R1500" s="5078"/>
      <c r="S1500" s="5078"/>
      <c r="T1500" s="5078"/>
      <c r="U1500" s="5078"/>
      <c r="V1500" s="5078"/>
      <c r="W1500" s="5078"/>
      <c r="X1500" s="5078"/>
      <c r="Y1500" s="5078"/>
      <c r="Z1500" s="5078"/>
      <c r="AA1500" s="5078"/>
      <c r="AB1500" s="5078"/>
      <c r="AC1500" s="5078"/>
      <c r="AD1500" s="5078"/>
      <c r="AE1500" s="5078"/>
      <c r="AF1500" s="5078"/>
      <c r="AG1500" s="5078"/>
      <c r="AH1500" s="5078"/>
      <c r="AI1500" s="5078"/>
      <c r="AJ1500" s="5078"/>
      <c r="AK1500" s="5078"/>
      <c r="AL1500" s="5078"/>
      <c r="AM1500" s="5078"/>
      <c r="AN1500" s="5078"/>
      <c r="AO1500" s="5078"/>
      <c r="AP1500" s="5078"/>
      <c r="AQ1500" s="5078"/>
      <c r="AR1500" s="5078"/>
      <c r="AS1500" s="5078"/>
      <c r="AT1500" s="5078"/>
      <c r="AU1500" s="4295"/>
      <c r="AV1500" s="4295"/>
      <c r="AW1500" s="4295"/>
      <c r="AX1500" s="4295"/>
      <c r="AY1500" s="4295"/>
      <c r="AZ1500" s="4295"/>
      <c r="BA1500" s="4295"/>
      <c r="BB1500" s="4295"/>
      <c r="BC1500" s="4295"/>
      <c r="BD1500" s="4295"/>
      <c r="BE1500" s="4295"/>
      <c r="BF1500" s="4295"/>
      <c r="BG1500" s="4295"/>
      <c r="BH1500" s="4295"/>
      <c r="BI1500" s="4295"/>
      <c r="BJ1500" s="4295"/>
      <c r="BK1500" s="4295"/>
      <c r="BL1500" s="4295"/>
      <c r="BM1500" s="4295"/>
      <c r="BN1500" s="4295"/>
      <c r="BO1500" s="4295"/>
      <c r="BP1500" s="4295"/>
      <c r="BQ1500" s="4295"/>
      <c r="BR1500" s="4295"/>
      <c r="BS1500" s="4295"/>
      <c r="BT1500" s="4295"/>
      <c r="BU1500" s="4295"/>
      <c r="BV1500" s="4295"/>
      <c r="BW1500" s="4295"/>
      <c r="BX1500" s="4295"/>
      <c r="BY1500" s="4295"/>
      <c r="BZ1500" s="4295"/>
      <c r="CA1500" s="4295"/>
      <c r="CB1500" s="4295"/>
      <c r="CC1500" s="4295"/>
      <c r="CD1500" s="4295"/>
      <c r="CE1500" s="4295"/>
      <c r="CF1500" s="4295"/>
      <c r="CG1500" s="4295"/>
      <c r="CH1500" s="4295"/>
      <c r="CI1500" s="4295"/>
      <c r="CJ1500" s="4295"/>
      <c r="CK1500" s="4295"/>
      <c r="CL1500" s="4295"/>
      <c r="CM1500" s="4295"/>
      <c r="CN1500" s="4295"/>
      <c r="CO1500" s="4295"/>
      <c r="CP1500" s="4295"/>
      <c r="CQ1500" s="4295"/>
      <c r="CR1500" s="4295"/>
      <c r="CS1500" s="4295"/>
      <c r="CT1500" s="4295"/>
      <c r="CU1500" s="4295"/>
      <c r="CV1500" s="4295"/>
      <c r="CW1500" s="4295"/>
      <c r="CX1500" s="4295"/>
      <c r="CY1500" s="4295"/>
      <c r="CZ1500" s="4295"/>
      <c r="DA1500" s="4295"/>
      <c r="DB1500" s="4295"/>
      <c r="DC1500" s="4295"/>
      <c r="DD1500" s="4295"/>
      <c r="DE1500" s="4295"/>
      <c r="DF1500" s="4295"/>
      <c r="DG1500" s="4295"/>
      <c r="DH1500" s="4295"/>
      <c r="DI1500" s="4295"/>
      <c r="DJ1500" s="4295"/>
      <c r="DK1500" s="4295"/>
      <c r="DL1500" s="4295"/>
      <c r="DM1500" s="4295"/>
      <c r="DN1500" s="4295"/>
      <c r="DO1500" s="4295"/>
      <c r="DP1500" s="4295"/>
      <c r="DQ1500" s="4295"/>
      <c r="DR1500" s="4295"/>
      <c r="DS1500" s="4295"/>
    </row>
    <row r="1501" s="4133" customFormat="1" ht="16.5" customHeight="1" spans="1:123">
      <c r="A1501" s="4369" t="s">
        <v>5781</v>
      </c>
      <c r="B1501" s="4369"/>
      <c r="C1501" s="4295"/>
      <c r="D1501" s="4295"/>
      <c r="E1501" s="4295"/>
      <c r="F1501" s="4295"/>
      <c r="G1501" s="4295"/>
      <c r="H1501" s="4295"/>
      <c r="I1501" s="4295"/>
      <c r="J1501" s="4295"/>
      <c r="K1501" s="4295"/>
      <c r="L1501" s="4295"/>
      <c r="M1501" s="4295"/>
      <c r="N1501" s="4295"/>
      <c r="O1501" s="4295"/>
      <c r="P1501" s="4295"/>
      <c r="Q1501" s="4295"/>
      <c r="R1501" s="4295"/>
      <c r="S1501" s="4295"/>
      <c r="T1501" s="4295"/>
      <c r="U1501" s="4295"/>
      <c r="V1501" s="4295"/>
      <c r="W1501" s="4295"/>
      <c r="X1501" s="4295"/>
      <c r="Y1501" s="4295"/>
      <c r="Z1501" s="4295"/>
      <c r="AA1501" s="4295"/>
      <c r="AB1501" s="4295"/>
      <c r="AC1501" s="4295"/>
      <c r="AD1501" s="4295"/>
      <c r="AE1501" s="4295"/>
      <c r="AF1501" s="4295"/>
      <c r="AG1501" s="4295"/>
      <c r="AH1501" s="4295"/>
      <c r="AI1501" s="4295"/>
      <c r="AJ1501" s="4295"/>
      <c r="AK1501" s="4295"/>
      <c r="AL1501" s="4295"/>
      <c r="AM1501" s="4295"/>
      <c r="AN1501" s="4295"/>
      <c r="AO1501" s="4295"/>
      <c r="AP1501" s="4295"/>
      <c r="AQ1501" s="4295"/>
      <c r="AR1501" s="4295"/>
      <c r="AS1501" s="4295"/>
      <c r="AT1501" s="4295"/>
      <c r="AU1501" s="4295"/>
      <c r="AV1501" s="4295"/>
      <c r="AW1501" s="4295"/>
      <c r="AX1501" s="4295"/>
      <c r="AY1501" s="4295"/>
      <c r="AZ1501" s="4295"/>
      <c r="BA1501" s="4295"/>
      <c r="BB1501" s="4295"/>
      <c r="BC1501" s="4295"/>
      <c r="BD1501" s="4295"/>
      <c r="BE1501" s="4295"/>
      <c r="BF1501" s="4295"/>
      <c r="BG1501" s="4295"/>
      <c r="BH1501" s="4295"/>
      <c r="BI1501" s="4295"/>
      <c r="BJ1501" s="4295"/>
      <c r="BK1501" s="4295"/>
      <c r="BL1501" s="4295"/>
      <c r="BM1501" s="4295"/>
      <c r="BN1501" s="4295"/>
      <c r="BO1501" s="4295"/>
      <c r="BP1501" s="4295"/>
      <c r="BQ1501" s="4295"/>
      <c r="BR1501" s="4295"/>
      <c r="BS1501" s="4295"/>
      <c r="BT1501" s="4295"/>
      <c r="BU1501" s="4295"/>
      <c r="BV1501" s="4295"/>
      <c r="BW1501" s="4295"/>
      <c r="BX1501" s="4295"/>
      <c r="BY1501" s="4295"/>
      <c r="BZ1501" s="4295"/>
      <c r="CA1501" s="4295"/>
      <c r="CB1501" s="4295"/>
      <c r="CC1501" s="4295"/>
      <c r="CD1501" s="4295"/>
      <c r="CE1501" s="4295"/>
      <c r="CF1501" s="4295"/>
      <c r="CG1501" s="4295"/>
      <c r="CH1501" s="4295"/>
      <c r="CI1501" s="4295"/>
      <c r="CJ1501" s="4295"/>
      <c r="CK1501" s="4295"/>
      <c r="CL1501" s="4295"/>
      <c r="CM1501" s="4295"/>
      <c r="CN1501" s="4295"/>
      <c r="CO1501" s="4295"/>
      <c r="CP1501" s="4295"/>
      <c r="CQ1501" s="4295"/>
      <c r="CR1501" s="4295"/>
      <c r="CS1501" s="4295"/>
      <c r="CT1501" s="4295"/>
      <c r="CU1501" s="4295"/>
      <c r="CV1501" s="4295"/>
      <c r="CW1501" s="4295"/>
      <c r="CX1501" s="4295"/>
      <c r="CY1501" s="4295"/>
      <c r="CZ1501" s="4295"/>
      <c r="DA1501" s="4295"/>
      <c r="DB1501" s="4295"/>
      <c r="DC1501" s="4295"/>
      <c r="DD1501" s="4295"/>
      <c r="DE1501" s="4295"/>
      <c r="DF1501" s="4295"/>
      <c r="DG1501" s="4295"/>
      <c r="DH1501" s="4295"/>
      <c r="DI1501" s="4295"/>
      <c r="DJ1501" s="4295"/>
      <c r="DK1501" s="4295"/>
      <c r="DL1501" s="4295"/>
      <c r="DM1501" s="4295"/>
      <c r="DN1501" s="4295"/>
      <c r="DO1501" s="4295"/>
      <c r="DP1501" s="4295"/>
      <c r="DQ1501" s="4295"/>
      <c r="DR1501" s="4295"/>
      <c r="DS1501" s="4295"/>
    </row>
    <row r="1502" s="4133" customFormat="1" ht="39.75" customHeight="1" spans="1:123">
      <c r="A1502" s="5078"/>
      <c r="B1502" s="5078"/>
      <c r="C1502" s="5078"/>
      <c r="D1502" s="5078"/>
      <c r="E1502" s="5078"/>
      <c r="F1502" s="5078"/>
      <c r="G1502" s="5078"/>
      <c r="H1502" s="5078"/>
      <c r="I1502" s="5078"/>
      <c r="J1502" s="5078"/>
      <c r="K1502" s="5078"/>
      <c r="L1502" s="5078"/>
      <c r="M1502" s="5078"/>
      <c r="N1502" s="5078"/>
      <c r="O1502" s="5078"/>
      <c r="P1502" s="5078"/>
      <c r="Q1502" s="5078"/>
      <c r="R1502" s="5078"/>
      <c r="S1502" s="5078"/>
      <c r="T1502" s="5078"/>
      <c r="U1502" s="5078"/>
      <c r="V1502" s="5078"/>
      <c r="W1502" s="5078"/>
      <c r="X1502" s="5078"/>
      <c r="Y1502" s="5078"/>
      <c r="Z1502" s="5078"/>
      <c r="AA1502" s="5078"/>
      <c r="AB1502" s="5078"/>
      <c r="AC1502" s="5078"/>
      <c r="AD1502" s="5078"/>
      <c r="AE1502" s="5078"/>
      <c r="AF1502" s="5078"/>
      <c r="AG1502" s="5078"/>
      <c r="AH1502" s="5078"/>
      <c r="AI1502" s="5078"/>
      <c r="AJ1502" s="5078"/>
      <c r="AK1502" s="5078"/>
      <c r="AL1502" s="5078"/>
      <c r="AM1502" s="5078"/>
      <c r="AN1502" s="5078"/>
      <c r="AO1502" s="5078"/>
      <c r="AP1502" s="5078"/>
      <c r="AQ1502" s="5078"/>
      <c r="AR1502" s="5078"/>
      <c r="AS1502" s="5078"/>
      <c r="AT1502" s="5078"/>
      <c r="AU1502" s="4295"/>
      <c r="AV1502" s="4295"/>
      <c r="AW1502" s="4295"/>
      <c r="AX1502" s="4295"/>
      <c r="AY1502" s="4295"/>
      <c r="AZ1502" s="4295"/>
      <c r="BA1502" s="4295"/>
      <c r="BB1502" s="4295"/>
      <c r="BC1502" s="4295"/>
      <c r="BD1502" s="4295"/>
      <c r="BE1502" s="4295"/>
      <c r="BF1502" s="4295"/>
      <c r="BG1502" s="4295"/>
      <c r="BH1502" s="4295"/>
      <c r="BI1502" s="4295"/>
      <c r="BJ1502" s="4295"/>
      <c r="BK1502" s="4295"/>
      <c r="BL1502" s="4295"/>
      <c r="BM1502" s="4295"/>
      <c r="BN1502" s="4295"/>
      <c r="BO1502" s="4295"/>
      <c r="BP1502" s="4295"/>
      <c r="BQ1502" s="4295"/>
      <c r="BR1502" s="4295"/>
      <c r="BS1502" s="4295"/>
      <c r="BT1502" s="4295"/>
      <c r="BU1502" s="4295"/>
      <c r="BV1502" s="4295"/>
      <c r="BW1502" s="4295"/>
      <c r="BX1502" s="4295"/>
      <c r="BY1502" s="4295"/>
      <c r="BZ1502" s="4295"/>
      <c r="CA1502" s="4295"/>
      <c r="CB1502" s="4295"/>
      <c r="CC1502" s="4295"/>
      <c r="CD1502" s="4295"/>
      <c r="CE1502" s="4295"/>
      <c r="CF1502" s="4295"/>
      <c r="CG1502" s="4295"/>
      <c r="CH1502" s="4295"/>
      <c r="CI1502" s="4295"/>
      <c r="CJ1502" s="4295"/>
      <c r="CK1502" s="4295"/>
      <c r="CL1502" s="4295"/>
      <c r="CM1502" s="4295"/>
      <c r="CN1502" s="4295"/>
      <c r="CO1502" s="4295"/>
      <c r="CP1502" s="4295"/>
      <c r="CQ1502" s="4295"/>
      <c r="CR1502" s="4295"/>
      <c r="CS1502" s="4295"/>
      <c r="CT1502" s="4295"/>
      <c r="CU1502" s="4295"/>
      <c r="CV1502" s="4295"/>
      <c r="CW1502" s="4295"/>
      <c r="CX1502" s="4295"/>
      <c r="CY1502" s="4295"/>
      <c r="CZ1502" s="4295"/>
      <c r="DA1502" s="4295"/>
      <c r="DB1502" s="4295"/>
      <c r="DC1502" s="4295"/>
      <c r="DD1502" s="4295"/>
      <c r="DE1502" s="4295"/>
      <c r="DF1502" s="4295"/>
      <c r="DG1502" s="4295"/>
      <c r="DH1502" s="4295"/>
      <c r="DI1502" s="4295"/>
      <c r="DJ1502" s="4295"/>
      <c r="DK1502" s="4295"/>
      <c r="DL1502" s="4295"/>
      <c r="DM1502" s="4295"/>
      <c r="DN1502" s="4295"/>
      <c r="DO1502" s="4295"/>
      <c r="DP1502" s="4295"/>
      <c r="DQ1502" s="4295"/>
      <c r="DR1502" s="4295"/>
      <c r="DS1502" s="4295"/>
    </row>
    <row r="1503" s="4133" customFormat="1" ht="16.5" customHeight="1" spans="1:123">
      <c r="A1503" s="4369" t="s">
        <v>5782</v>
      </c>
      <c r="B1503" s="4369"/>
      <c r="C1503" s="4295"/>
      <c r="D1503" s="4295"/>
      <c r="E1503" s="4295"/>
      <c r="F1503" s="4295"/>
      <c r="G1503" s="4295"/>
      <c r="H1503" s="4295"/>
      <c r="I1503" s="4295"/>
      <c r="J1503" s="4295"/>
      <c r="K1503" s="4295"/>
      <c r="L1503" s="4295"/>
      <c r="M1503" s="4295"/>
      <c r="N1503" s="4295"/>
      <c r="O1503" s="4295"/>
      <c r="P1503" s="4295"/>
      <c r="Q1503" s="4295"/>
      <c r="R1503" s="4295"/>
      <c r="S1503" s="4295"/>
      <c r="T1503" s="4295"/>
      <c r="U1503" s="4295"/>
      <c r="V1503" s="4295"/>
      <c r="W1503" s="4295"/>
      <c r="X1503" s="4295"/>
      <c r="Y1503" s="4295"/>
      <c r="Z1503" s="4295"/>
      <c r="AA1503" s="4295"/>
      <c r="AB1503" s="4295"/>
      <c r="AC1503" s="4295"/>
      <c r="AD1503" s="4295"/>
      <c r="AE1503" s="4295"/>
      <c r="AF1503" s="4295"/>
      <c r="AG1503" s="4295"/>
      <c r="AH1503" s="4295"/>
      <c r="AI1503" s="4295"/>
      <c r="AJ1503" s="4295"/>
      <c r="AK1503" s="4295"/>
      <c r="AL1503" s="4295"/>
      <c r="AM1503" s="4295"/>
      <c r="AN1503" s="4295"/>
      <c r="AO1503" s="4295"/>
      <c r="AP1503" s="4295"/>
      <c r="AQ1503" s="4295"/>
      <c r="AR1503" s="4295"/>
      <c r="AS1503" s="4295"/>
      <c r="AT1503" s="4295"/>
      <c r="AU1503" s="4295"/>
      <c r="AV1503" s="4295"/>
      <c r="AW1503" s="4295"/>
      <c r="AX1503" s="4295"/>
      <c r="AY1503" s="4295"/>
      <c r="AZ1503" s="4295"/>
      <c r="BA1503" s="4295"/>
      <c r="BB1503" s="4295"/>
      <c r="BC1503" s="4295"/>
      <c r="BD1503" s="4295"/>
      <c r="BE1503" s="4295"/>
      <c r="BF1503" s="4295"/>
      <c r="BG1503" s="4295"/>
      <c r="BH1503" s="4295"/>
      <c r="BI1503" s="4295"/>
      <c r="BJ1503" s="4295"/>
      <c r="BK1503" s="4295"/>
      <c r="BL1503" s="4295"/>
      <c r="BM1503" s="4295"/>
      <c r="BN1503" s="4295"/>
      <c r="BO1503" s="4295"/>
      <c r="BP1503" s="4295"/>
      <c r="BQ1503" s="4295"/>
      <c r="BR1503" s="4295"/>
      <c r="BS1503" s="4295"/>
      <c r="BT1503" s="4295"/>
      <c r="BU1503" s="4295"/>
      <c r="BV1503" s="4295"/>
      <c r="BW1503" s="4295"/>
      <c r="BX1503" s="4295"/>
      <c r="BY1503" s="4295"/>
      <c r="BZ1503" s="4295"/>
      <c r="CA1503" s="4295"/>
      <c r="CB1503" s="4295"/>
      <c r="CC1503" s="4295"/>
      <c r="CD1503" s="4295"/>
      <c r="CE1503" s="4295"/>
      <c r="CF1503" s="4295"/>
      <c r="CG1503" s="4295"/>
      <c r="CH1503" s="4295"/>
      <c r="CI1503" s="4295"/>
      <c r="CJ1503" s="4295"/>
      <c r="CK1503" s="4295"/>
      <c r="CL1503" s="4295"/>
      <c r="CM1503" s="4295"/>
      <c r="CN1503" s="4295"/>
      <c r="CO1503" s="4295"/>
      <c r="CP1503" s="4295"/>
      <c r="CQ1503" s="4295"/>
      <c r="CR1503" s="4295"/>
      <c r="CS1503" s="4295"/>
      <c r="CT1503" s="4295"/>
      <c r="CU1503" s="4295"/>
      <c r="CV1503" s="4295"/>
      <c r="CW1503" s="4295"/>
      <c r="CX1503" s="4295"/>
      <c r="CY1503" s="4295"/>
      <c r="CZ1503" s="4295"/>
      <c r="DA1503" s="4295"/>
      <c r="DB1503" s="4295"/>
      <c r="DC1503" s="4295"/>
      <c r="DD1503" s="4295"/>
      <c r="DE1503" s="4295"/>
      <c r="DF1503" s="4295"/>
      <c r="DG1503" s="4295"/>
      <c r="DH1503" s="4295"/>
      <c r="DI1503" s="4295"/>
      <c r="DJ1503" s="4295"/>
      <c r="DK1503" s="4295"/>
      <c r="DL1503" s="4295"/>
      <c r="DM1503" s="4295"/>
      <c r="DN1503" s="4295"/>
      <c r="DO1503" s="4295"/>
      <c r="DP1503" s="4295"/>
      <c r="DQ1503" s="4295"/>
      <c r="DR1503" s="4295"/>
      <c r="DS1503" s="4295"/>
    </row>
    <row r="1504" s="4133" customFormat="1" ht="39.75" customHeight="1" spans="1:123">
      <c r="A1504" s="5078" t="str">
        <f ca="1">IF(B_Stanja!AI104=0,"Nema dugotrajne imovine po fer vrijednosti, odnosno revalorizacionim iznosima.  ","Dugotrajne imovine po fer vrijednosti, odnosno revalorizacionim iznosima na dan "&amp;PeriodDo&amp;". godine, iznosi: "&amp;TEXT(B_Stanja!AI104,"#.## [$KM-141A]")&amp;".")</f>
        <v>Nema dugotrajne imovine po fer vrijednosti, odnosno revalorizacionim iznosima.  </v>
      </c>
      <c r="B1504" s="5078"/>
      <c r="C1504" s="5078"/>
      <c r="D1504" s="5078"/>
      <c r="E1504" s="5078"/>
      <c r="F1504" s="5078"/>
      <c r="G1504" s="5078"/>
      <c r="H1504" s="5078"/>
      <c r="I1504" s="5078"/>
      <c r="J1504" s="5078"/>
      <c r="K1504" s="5078"/>
      <c r="L1504" s="5078"/>
      <c r="M1504" s="5078"/>
      <c r="N1504" s="5078"/>
      <c r="O1504" s="5078"/>
      <c r="P1504" s="5078"/>
      <c r="Q1504" s="5078"/>
      <c r="R1504" s="5078"/>
      <c r="S1504" s="5078"/>
      <c r="T1504" s="5078"/>
      <c r="U1504" s="5078"/>
      <c r="V1504" s="5078"/>
      <c r="W1504" s="5078"/>
      <c r="X1504" s="5078"/>
      <c r="Y1504" s="5078"/>
      <c r="Z1504" s="5078"/>
      <c r="AA1504" s="5078"/>
      <c r="AB1504" s="5078"/>
      <c r="AC1504" s="5078"/>
      <c r="AD1504" s="5078"/>
      <c r="AE1504" s="5078"/>
      <c r="AF1504" s="5078"/>
      <c r="AG1504" s="5078"/>
      <c r="AH1504" s="5078"/>
      <c r="AI1504" s="5078"/>
      <c r="AJ1504" s="5078"/>
      <c r="AK1504" s="5078"/>
      <c r="AL1504" s="5078"/>
      <c r="AM1504" s="5078"/>
      <c r="AN1504" s="5078"/>
      <c r="AO1504" s="5078"/>
      <c r="AP1504" s="5078"/>
      <c r="AQ1504" s="5078"/>
      <c r="AR1504" s="5078"/>
      <c r="AS1504" s="5078"/>
      <c r="AT1504" s="5078"/>
      <c r="AU1504" s="4295"/>
      <c r="AV1504" s="4295"/>
      <c r="AW1504" s="4295"/>
      <c r="AX1504" s="4295"/>
      <c r="AY1504" s="4295"/>
      <c r="AZ1504" s="4295"/>
      <c r="BA1504" s="4295"/>
      <c r="BB1504" s="4295"/>
      <c r="BC1504" s="4295"/>
      <c r="BD1504" s="4295"/>
      <c r="BE1504" s="4295"/>
      <c r="BF1504" s="4295"/>
      <c r="BG1504" s="4295"/>
      <c r="BH1504" s="4295"/>
      <c r="BI1504" s="4295"/>
      <c r="BJ1504" s="4295"/>
      <c r="BK1504" s="4295"/>
      <c r="BL1504" s="4295"/>
      <c r="BM1504" s="4295"/>
      <c r="BN1504" s="4295"/>
      <c r="BO1504" s="4295"/>
      <c r="BP1504" s="4295"/>
      <c r="BQ1504" s="4295"/>
      <c r="BR1504" s="4295"/>
      <c r="BS1504" s="4295"/>
      <c r="BT1504" s="4295"/>
      <c r="BU1504" s="4295"/>
      <c r="BV1504" s="4295"/>
      <c r="BW1504" s="4295"/>
      <c r="BX1504" s="4295"/>
      <c r="BY1504" s="4295"/>
      <c r="BZ1504" s="4295"/>
      <c r="CA1504" s="4295"/>
      <c r="CB1504" s="4295"/>
      <c r="CC1504" s="4295"/>
      <c r="CD1504" s="4295"/>
      <c r="CE1504" s="4295"/>
      <c r="CF1504" s="4295"/>
      <c r="CG1504" s="4295"/>
      <c r="CH1504" s="4295"/>
      <c r="CI1504" s="4295"/>
      <c r="CJ1504" s="4295"/>
      <c r="CK1504" s="4295"/>
      <c r="CL1504" s="4295"/>
      <c r="CM1504" s="4295"/>
      <c r="CN1504" s="4295"/>
      <c r="CO1504" s="4295"/>
      <c r="CP1504" s="4295"/>
      <c r="CQ1504" s="4295"/>
      <c r="CR1504" s="4295"/>
      <c r="CS1504" s="4295"/>
      <c r="CT1504" s="4295"/>
      <c r="CU1504" s="4295"/>
      <c r="CV1504" s="4295"/>
      <c r="CW1504" s="4295"/>
      <c r="CX1504" s="4295"/>
      <c r="CY1504" s="4295"/>
      <c r="CZ1504" s="4295"/>
      <c r="DA1504" s="4295"/>
      <c r="DB1504" s="4295"/>
      <c r="DC1504" s="4295"/>
      <c r="DD1504" s="4295"/>
      <c r="DE1504" s="4295"/>
      <c r="DF1504" s="4295"/>
      <c r="DG1504" s="4295"/>
      <c r="DH1504" s="4295"/>
      <c r="DI1504" s="4295"/>
      <c r="DJ1504" s="4295"/>
      <c r="DK1504" s="4295"/>
      <c r="DL1504" s="4295"/>
      <c r="DM1504" s="4295"/>
      <c r="DN1504" s="4295"/>
      <c r="DO1504" s="4295"/>
      <c r="DP1504" s="4295"/>
      <c r="DQ1504" s="4295"/>
      <c r="DR1504" s="4295"/>
      <c r="DS1504" s="4295"/>
    </row>
    <row r="1505" s="4133" customFormat="1" ht="16.5" customHeight="1" spans="1:123">
      <c r="A1505" s="4369" t="s">
        <v>5783</v>
      </c>
      <c r="B1505" s="4369"/>
      <c r="C1505" s="4295"/>
      <c r="D1505" s="4295"/>
      <c r="E1505" s="4295"/>
      <c r="F1505" s="4295"/>
      <c r="G1505" s="4295"/>
      <c r="H1505" s="4295"/>
      <c r="I1505" s="4295"/>
      <c r="J1505" s="4295"/>
      <c r="K1505" s="4295"/>
      <c r="L1505" s="4295"/>
      <c r="M1505" s="4295"/>
      <c r="N1505" s="4295"/>
      <c r="O1505" s="4295"/>
      <c r="P1505" s="4295"/>
      <c r="Q1505" s="4295"/>
      <c r="R1505" s="4295"/>
      <c r="S1505" s="4295"/>
      <c r="T1505" s="4295"/>
      <c r="U1505" s="4295"/>
      <c r="V1505" s="4295"/>
      <c r="W1505" s="4295"/>
      <c r="X1505" s="4295"/>
      <c r="Y1505" s="4295"/>
      <c r="Z1505" s="4295"/>
      <c r="AA1505" s="4295"/>
      <c r="AB1505" s="4295"/>
      <c r="AC1505" s="4295"/>
      <c r="AD1505" s="4295"/>
      <c r="AE1505" s="4295"/>
      <c r="AF1505" s="4295"/>
      <c r="AG1505" s="4295"/>
      <c r="AH1505" s="4295"/>
      <c r="AI1505" s="4295"/>
      <c r="AJ1505" s="4295"/>
      <c r="AK1505" s="4295"/>
      <c r="AL1505" s="4295"/>
      <c r="AM1505" s="4295"/>
      <c r="AN1505" s="4295"/>
      <c r="AO1505" s="4295"/>
      <c r="AP1505" s="4295"/>
      <c r="AQ1505" s="4295"/>
      <c r="AR1505" s="4295"/>
      <c r="AS1505" s="4295"/>
      <c r="AT1505" s="4295"/>
      <c r="AU1505" s="4295"/>
      <c r="AV1505" s="4295"/>
      <c r="AW1505" s="4295"/>
      <c r="AX1505" s="4295"/>
      <c r="AY1505" s="4295"/>
      <c r="AZ1505" s="4295"/>
      <c r="BA1505" s="4295"/>
      <c r="BB1505" s="4295"/>
      <c r="BC1505" s="4295"/>
      <c r="BD1505" s="4295"/>
      <c r="BE1505" s="4295"/>
      <c r="BF1505" s="4295"/>
      <c r="BG1505" s="4295"/>
      <c r="BH1505" s="4295"/>
      <c r="BI1505" s="4295"/>
      <c r="BJ1505" s="4295"/>
      <c r="BK1505" s="4295"/>
      <c r="BL1505" s="4295"/>
      <c r="BM1505" s="4295"/>
      <c r="BN1505" s="4295"/>
      <c r="BO1505" s="4295"/>
      <c r="BP1505" s="4295"/>
      <c r="BQ1505" s="4295"/>
      <c r="BR1505" s="4295"/>
      <c r="BS1505" s="4295"/>
      <c r="BT1505" s="4295"/>
      <c r="BU1505" s="4295"/>
      <c r="BV1505" s="4295"/>
      <c r="BW1505" s="4295"/>
      <c r="BX1505" s="4295"/>
      <c r="BY1505" s="4295"/>
      <c r="BZ1505" s="4295"/>
      <c r="CA1505" s="4295"/>
      <c r="CB1505" s="4295"/>
      <c r="CC1505" s="4295"/>
      <c r="CD1505" s="4295"/>
      <c r="CE1505" s="4295"/>
      <c r="CF1505" s="4295"/>
      <c r="CG1505" s="4295"/>
      <c r="CH1505" s="4295"/>
      <c r="CI1505" s="4295"/>
      <c r="CJ1505" s="4295"/>
      <c r="CK1505" s="4295"/>
      <c r="CL1505" s="4295"/>
      <c r="CM1505" s="4295"/>
      <c r="CN1505" s="4295"/>
      <c r="CO1505" s="4295"/>
      <c r="CP1505" s="4295"/>
      <c r="CQ1505" s="4295"/>
      <c r="CR1505" s="4295"/>
      <c r="CS1505" s="4295"/>
      <c r="CT1505" s="4295"/>
      <c r="CU1505" s="4295"/>
      <c r="CV1505" s="4295"/>
      <c r="CW1505" s="4295"/>
      <c r="CX1505" s="4295"/>
      <c r="CY1505" s="4295"/>
      <c r="CZ1505" s="4295"/>
      <c r="DA1505" s="4295"/>
      <c r="DB1505" s="4295"/>
      <c r="DC1505" s="4295"/>
      <c r="DD1505" s="4295"/>
      <c r="DE1505" s="4295"/>
      <c r="DF1505" s="4295"/>
      <c r="DG1505" s="4295"/>
      <c r="DH1505" s="4295"/>
      <c r="DI1505" s="4295"/>
      <c r="DJ1505" s="4295"/>
      <c r="DK1505" s="4295"/>
      <c r="DL1505" s="4295"/>
      <c r="DM1505" s="4295"/>
      <c r="DN1505" s="4295"/>
      <c r="DO1505" s="4295"/>
      <c r="DP1505" s="4295"/>
      <c r="DQ1505" s="4295"/>
      <c r="DR1505" s="4295"/>
      <c r="DS1505" s="4295"/>
    </row>
    <row r="1506" s="4133" customFormat="1" ht="39.75" customHeight="1" spans="1:123">
      <c r="A1506" s="5078"/>
      <c r="B1506" s="5078"/>
      <c r="C1506" s="5078"/>
      <c r="D1506" s="5078"/>
      <c r="E1506" s="5078"/>
      <c r="F1506" s="5078"/>
      <c r="G1506" s="5078"/>
      <c r="H1506" s="5078"/>
      <c r="I1506" s="5078"/>
      <c r="J1506" s="5078"/>
      <c r="K1506" s="5078"/>
      <c r="L1506" s="5078"/>
      <c r="M1506" s="5078"/>
      <c r="N1506" s="5078"/>
      <c r="O1506" s="5078"/>
      <c r="P1506" s="5078"/>
      <c r="Q1506" s="5078"/>
      <c r="R1506" s="5078"/>
      <c r="S1506" s="5078"/>
      <c r="T1506" s="5078"/>
      <c r="U1506" s="5078"/>
      <c r="V1506" s="5078"/>
      <c r="W1506" s="5078"/>
      <c r="X1506" s="5078"/>
      <c r="Y1506" s="5078"/>
      <c r="Z1506" s="5078"/>
      <c r="AA1506" s="5078"/>
      <c r="AB1506" s="5078"/>
      <c r="AC1506" s="5078"/>
      <c r="AD1506" s="5078"/>
      <c r="AE1506" s="5078"/>
      <c r="AF1506" s="5078"/>
      <c r="AG1506" s="5078"/>
      <c r="AH1506" s="5078"/>
      <c r="AI1506" s="5078"/>
      <c r="AJ1506" s="5078"/>
      <c r="AK1506" s="5078"/>
      <c r="AL1506" s="5078"/>
      <c r="AM1506" s="5078"/>
      <c r="AN1506" s="5078"/>
      <c r="AO1506" s="5078"/>
      <c r="AP1506" s="5078"/>
      <c r="AQ1506" s="5078"/>
      <c r="AR1506" s="5078"/>
      <c r="AS1506" s="5078"/>
      <c r="AT1506" s="5078"/>
      <c r="AU1506" s="4295"/>
      <c r="AV1506" s="4295"/>
      <c r="AW1506" s="4295"/>
      <c r="AX1506" s="4295"/>
      <c r="AY1506" s="4295"/>
      <c r="AZ1506" s="4295"/>
      <c r="BA1506" s="4295"/>
      <c r="BB1506" s="4295"/>
      <c r="BC1506" s="4295"/>
      <c r="BD1506" s="4295"/>
      <c r="BE1506" s="4295"/>
      <c r="BF1506" s="4295"/>
      <c r="BG1506" s="4295"/>
      <c r="BH1506" s="4295"/>
      <c r="BI1506" s="4295"/>
      <c r="BJ1506" s="4295"/>
      <c r="BK1506" s="4295"/>
      <c r="BL1506" s="4295"/>
      <c r="BM1506" s="4295"/>
      <c r="BN1506" s="4295"/>
      <c r="BO1506" s="4295"/>
      <c r="BP1506" s="4295"/>
      <c r="BQ1506" s="4295"/>
      <c r="BR1506" s="4295"/>
      <c r="BS1506" s="4295"/>
      <c r="BT1506" s="4295"/>
      <c r="BU1506" s="4295"/>
      <c r="BV1506" s="4295"/>
      <c r="BW1506" s="4295"/>
      <c r="BX1506" s="4295"/>
      <c r="BY1506" s="4295"/>
      <c r="BZ1506" s="4295"/>
      <c r="CA1506" s="4295"/>
      <c r="CB1506" s="4295"/>
      <c r="CC1506" s="4295"/>
      <c r="CD1506" s="4295"/>
      <c r="CE1506" s="4295"/>
      <c r="CF1506" s="4295"/>
      <c r="CG1506" s="4295"/>
      <c r="CH1506" s="4295"/>
      <c r="CI1506" s="4295"/>
      <c r="CJ1506" s="4295"/>
      <c r="CK1506" s="4295"/>
      <c r="CL1506" s="4295"/>
      <c r="CM1506" s="4295"/>
      <c r="CN1506" s="4295"/>
      <c r="CO1506" s="4295"/>
      <c r="CP1506" s="4295"/>
      <c r="CQ1506" s="4295"/>
      <c r="CR1506" s="4295"/>
      <c r="CS1506" s="4295"/>
      <c r="CT1506" s="4295"/>
      <c r="CU1506" s="4295"/>
      <c r="CV1506" s="4295"/>
      <c r="CW1506" s="4295"/>
      <c r="CX1506" s="4295"/>
      <c r="CY1506" s="4295"/>
      <c r="CZ1506" s="4295"/>
      <c r="DA1506" s="4295"/>
      <c r="DB1506" s="4295"/>
      <c r="DC1506" s="4295"/>
      <c r="DD1506" s="4295"/>
      <c r="DE1506" s="4295"/>
      <c r="DF1506" s="4295"/>
      <c r="DG1506" s="4295"/>
      <c r="DH1506" s="4295"/>
      <c r="DI1506" s="4295"/>
      <c r="DJ1506" s="4295"/>
      <c r="DK1506" s="4295"/>
      <c r="DL1506" s="4295"/>
      <c r="DM1506" s="4295"/>
      <c r="DN1506" s="4295"/>
      <c r="DO1506" s="4295"/>
      <c r="DP1506" s="4295"/>
      <c r="DQ1506" s="4295"/>
      <c r="DR1506" s="4295"/>
      <c r="DS1506" s="4295"/>
    </row>
    <row r="1507" s="4133" customFormat="1" ht="16.5" customHeight="1" spans="1:123">
      <c r="A1507" s="4369" t="s">
        <v>5784</v>
      </c>
      <c r="B1507" s="4369"/>
      <c r="C1507" s="4295"/>
      <c r="D1507" s="4295"/>
      <c r="E1507" s="4295"/>
      <c r="F1507" s="4295"/>
      <c r="G1507" s="4295"/>
      <c r="H1507" s="4295"/>
      <c r="I1507" s="4295"/>
      <c r="J1507" s="4295"/>
      <c r="K1507" s="4295"/>
      <c r="L1507" s="4295"/>
      <c r="M1507" s="4295"/>
      <c r="N1507" s="4295"/>
      <c r="O1507" s="4295"/>
      <c r="P1507" s="4295"/>
      <c r="Q1507" s="4295"/>
      <c r="R1507" s="4295"/>
      <c r="S1507" s="4295"/>
      <c r="T1507" s="4295"/>
      <c r="U1507" s="4295"/>
      <c r="V1507" s="4295"/>
      <c r="W1507" s="4295"/>
      <c r="X1507" s="4295"/>
      <c r="Y1507" s="4295"/>
      <c r="Z1507" s="4295"/>
      <c r="AA1507" s="4295"/>
      <c r="AB1507" s="4295"/>
      <c r="AC1507" s="4295"/>
      <c r="AD1507" s="4295"/>
      <c r="AE1507" s="4295"/>
      <c r="AF1507" s="4295"/>
      <c r="AG1507" s="4295"/>
      <c r="AH1507" s="4295"/>
      <c r="AI1507" s="4295"/>
      <c r="AJ1507" s="4295"/>
      <c r="AK1507" s="4295"/>
      <c r="AL1507" s="4295"/>
      <c r="AM1507" s="4295"/>
      <c r="AN1507" s="4295"/>
      <c r="AO1507" s="4295"/>
      <c r="AP1507" s="4295"/>
      <c r="AQ1507" s="4295"/>
      <c r="AR1507" s="4295"/>
      <c r="AS1507" s="4295"/>
      <c r="AT1507" s="4295"/>
      <c r="AU1507" s="4295"/>
      <c r="AV1507" s="4295"/>
      <c r="AW1507" s="4295"/>
      <c r="AX1507" s="4295"/>
      <c r="AY1507" s="4295"/>
      <c r="AZ1507" s="4295"/>
      <c r="BA1507" s="4295"/>
      <c r="BB1507" s="4295"/>
      <c r="BC1507" s="4295"/>
      <c r="BD1507" s="4295"/>
      <c r="BE1507" s="4295"/>
      <c r="BF1507" s="4295"/>
      <c r="BG1507" s="4295"/>
      <c r="BH1507" s="4295"/>
      <c r="BI1507" s="4295"/>
      <c r="BJ1507" s="4295"/>
      <c r="BK1507" s="4295"/>
      <c r="BL1507" s="4295"/>
      <c r="BM1507" s="4295"/>
      <c r="BN1507" s="4295"/>
      <c r="BO1507" s="4295"/>
      <c r="BP1507" s="4295"/>
      <c r="BQ1507" s="4295"/>
      <c r="BR1507" s="4295"/>
      <c r="BS1507" s="4295"/>
      <c r="BT1507" s="4295"/>
      <c r="BU1507" s="4295"/>
      <c r="BV1507" s="4295"/>
      <c r="BW1507" s="4295"/>
      <c r="BX1507" s="4295"/>
      <c r="BY1507" s="4295"/>
      <c r="BZ1507" s="4295"/>
      <c r="CA1507" s="4295"/>
      <c r="CB1507" s="4295"/>
      <c r="CC1507" s="4295"/>
      <c r="CD1507" s="4295"/>
      <c r="CE1507" s="4295"/>
      <c r="CF1507" s="4295"/>
      <c r="CG1507" s="4295"/>
      <c r="CH1507" s="4295"/>
      <c r="CI1507" s="4295"/>
      <c r="CJ1507" s="4295"/>
      <c r="CK1507" s="4295"/>
      <c r="CL1507" s="4295"/>
      <c r="CM1507" s="4295"/>
      <c r="CN1507" s="4295"/>
      <c r="CO1507" s="4295"/>
      <c r="CP1507" s="4295"/>
      <c r="CQ1507" s="4295"/>
      <c r="CR1507" s="4295"/>
      <c r="CS1507" s="4295"/>
      <c r="CT1507" s="4295"/>
      <c r="CU1507" s="4295"/>
      <c r="CV1507" s="4295"/>
      <c r="CW1507" s="4295"/>
      <c r="CX1507" s="4295"/>
      <c r="CY1507" s="4295"/>
      <c r="CZ1507" s="4295"/>
      <c r="DA1507" s="4295"/>
      <c r="DB1507" s="4295"/>
      <c r="DC1507" s="4295"/>
      <c r="DD1507" s="4295"/>
      <c r="DE1507" s="4295"/>
      <c r="DF1507" s="4295"/>
      <c r="DG1507" s="4295"/>
      <c r="DH1507" s="4295"/>
      <c r="DI1507" s="4295"/>
      <c r="DJ1507" s="4295"/>
      <c r="DK1507" s="4295"/>
      <c r="DL1507" s="4295"/>
      <c r="DM1507" s="4295"/>
      <c r="DN1507" s="4295"/>
      <c r="DO1507" s="4295"/>
      <c r="DP1507" s="4295"/>
      <c r="DQ1507" s="4295"/>
      <c r="DR1507" s="4295"/>
      <c r="DS1507" s="4295"/>
    </row>
    <row r="1508" s="4133" customFormat="1" ht="39.75" customHeight="1" spans="1:123">
      <c r="A1508" s="5078"/>
      <c r="B1508" s="5078"/>
      <c r="C1508" s="5078"/>
      <c r="D1508" s="5078"/>
      <c r="E1508" s="5078"/>
      <c r="F1508" s="5078"/>
      <c r="G1508" s="5078"/>
      <c r="H1508" s="5078"/>
      <c r="I1508" s="5078"/>
      <c r="J1508" s="5078"/>
      <c r="K1508" s="5078"/>
      <c r="L1508" s="5078"/>
      <c r="M1508" s="5078"/>
      <c r="N1508" s="5078"/>
      <c r="O1508" s="5078"/>
      <c r="P1508" s="5078"/>
      <c r="Q1508" s="5078"/>
      <c r="R1508" s="5078"/>
      <c r="S1508" s="5078"/>
      <c r="T1508" s="5078"/>
      <c r="U1508" s="5078"/>
      <c r="V1508" s="5078"/>
      <c r="W1508" s="5078"/>
      <c r="X1508" s="5078"/>
      <c r="Y1508" s="5078"/>
      <c r="Z1508" s="5078"/>
      <c r="AA1508" s="5078"/>
      <c r="AB1508" s="5078"/>
      <c r="AC1508" s="5078"/>
      <c r="AD1508" s="5078"/>
      <c r="AE1508" s="5078"/>
      <c r="AF1508" s="5078"/>
      <c r="AG1508" s="5078"/>
      <c r="AH1508" s="5078"/>
      <c r="AI1508" s="5078"/>
      <c r="AJ1508" s="5078"/>
      <c r="AK1508" s="5078"/>
      <c r="AL1508" s="5078"/>
      <c r="AM1508" s="5078"/>
      <c r="AN1508" s="5078"/>
      <c r="AO1508" s="5078"/>
      <c r="AP1508" s="5078"/>
      <c r="AQ1508" s="5078"/>
      <c r="AR1508" s="5078"/>
      <c r="AS1508" s="5078"/>
      <c r="AT1508" s="5078"/>
      <c r="AU1508" s="4295"/>
      <c r="AV1508" s="4295"/>
      <c r="AW1508" s="4295"/>
      <c r="AX1508" s="4295"/>
      <c r="AY1508" s="4295"/>
      <c r="AZ1508" s="4295"/>
      <c r="BA1508" s="4295"/>
      <c r="BB1508" s="4295"/>
      <c r="BC1508" s="4295"/>
      <c r="BD1508" s="4295"/>
      <c r="BE1508" s="4295"/>
      <c r="BF1508" s="4295"/>
      <c r="BG1508" s="4295"/>
      <c r="BH1508" s="4295"/>
      <c r="BI1508" s="4295"/>
      <c r="BJ1508" s="4295"/>
      <c r="BK1508" s="4295"/>
      <c r="BL1508" s="4295"/>
      <c r="BM1508" s="4295"/>
      <c r="BN1508" s="4295"/>
      <c r="BO1508" s="4295"/>
      <c r="BP1508" s="4295"/>
      <c r="BQ1508" s="4295"/>
      <c r="BR1508" s="4295"/>
      <c r="BS1508" s="4295"/>
      <c r="BT1508" s="4295"/>
      <c r="BU1508" s="4295"/>
      <c r="BV1508" s="4295"/>
      <c r="BW1508" s="4295"/>
      <c r="BX1508" s="4295"/>
      <c r="BY1508" s="4295"/>
      <c r="BZ1508" s="4295"/>
      <c r="CA1508" s="4295"/>
      <c r="CB1508" s="4295"/>
      <c r="CC1508" s="4295"/>
      <c r="CD1508" s="4295"/>
      <c r="CE1508" s="4295"/>
      <c r="CF1508" s="4295"/>
      <c r="CG1508" s="4295"/>
      <c r="CH1508" s="4295"/>
      <c r="CI1508" s="4295"/>
      <c r="CJ1508" s="4295"/>
      <c r="CK1508" s="4295"/>
      <c r="CL1508" s="4295"/>
      <c r="CM1508" s="4295"/>
      <c r="CN1508" s="4295"/>
      <c r="CO1508" s="4295"/>
      <c r="CP1508" s="4295"/>
      <c r="CQ1508" s="4295"/>
      <c r="CR1508" s="4295"/>
      <c r="CS1508" s="4295"/>
      <c r="CT1508" s="4295"/>
      <c r="CU1508" s="4295"/>
      <c r="CV1508" s="4295"/>
      <c r="CW1508" s="4295"/>
      <c r="CX1508" s="4295"/>
      <c r="CY1508" s="4295"/>
      <c r="CZ1508" s="4295"/>
      <c r="DA1508" s="4295"/>
      <c r="DB1508" s="4295"/>
      <c r="DC1508" s="4295"/>
      <c r="DD1508" s="4295"/>
      <c r="DE1508" s="4295"/>
      <c r="DF1508" s="4295"/>
      <c r="DG1508" s="4295"/>
      <c r="DH1508" s="4295"/>
      <c r="DI1508" s="4295"/>
      <c r="DJ1508" s="4295"/>
      <c r="DK1508" s="4295"/>
      <c r="DL1508" s="4295"/>
      <c r="DM1508" s="4295"/>
      <c r="DN1508" s="4295"/>
      <c r="DO1508" s="4295"/>
      <c r="DP1508" s="4295"/>
      <c r="DQ1508" s="4295"/>
      <c r="DR1508" s="4295"/>
      <c r="DS1508" s="4295"/>
    </row>
    <row r="1509" s="4133" customFormat="1" customHeight="1" spans="1:123">
      <c r="A1509" s="4772"/>
      <c r="B1509" s="4773"/>
      <c r="C1509" s="4295"/>
      <c r="D1509" s="4295"/>
      <c r="E1509" s="4295"/>
      <c r="F1509" s="4295"/>
      <c r="G1509" s="4295"/>
      <c r="H1509" s="4295"/>
      <c r="I1509" s="4295"/>
      <c r="J1509" s="4295"/>
      <c r="K1509" s="4295"/>
      <c r="L1509" s="4295"/>
      <c r="M1509" s="4295"/>
      <c r="N1509" s="4295"/>
      <c r="O1509" s="4295"/>
      <c r="P1509" s="4295"/>
      <c r="Q1509" s="4295"/>
      <c r="R1509" s="4295"/>
      <c r="S1509" s="4295"/>
      <c r="T1509" s="4295"/>
      <c r="U1509" s="4295"/>
      <c r="V1509" s="4295"/>
      <c r="W1509" s="4295"/>
      <c r="X1509" s="4295"/>
      <c r="Y1509" s="4295"/>
      <c r="Z1509" s="4295"/>
      <c r="AA1509" s="4295"/>
      <c r="AB1509" s="4295"/>
      <c r="AC1509" s="4295"/>
      <c r="AD1509" s="4295"/>
      <c r="AE1509" s="4295"/>
      <c r="AF1509" s="4295"/>
      <c r="AG1509" s="4295"/>
      <c r="AH1509" s="4295"/>
      <c r="AI1509" s="4295"/>
      <c r="AJ1509" s="4295"/>
      <c r="AK1509" s="4295"/>
      <c r="AL1509" s="4295"/>
      <c r="AM1509" s="4295"/>
      <c r="AN1509" s="4295"/>
      <c r="AO1509" s="4295"/>
      <c r="AP1509" s="4295"/>
      <c r="AQ1509" s="4295"/>
      <c r="AR1509" s="4295"/>
      <c r="AS1509" s="4295"/>
      <c r="AT1509" s="4295"/>
      <c r="AU1509" s="4295"/>
      <c r="AV1509" s="4295"/>
      <c r="AW1509" s="4295"/>
      <c r="AX1509" s="4295"/>
      <c r="AY1509" s="4295"/>
      <c r="AZ1509" s="4295"/>
      <c r="BA1509" s="4295"/>
      <c r="BB1509" s="4295"/>
      <c r="BC1509" s="4295"/>
      <c r="BD1509" s="4295"/>
      <c r="BE1509" s="4295"/>
      <c r="BF1509" s="4295"/>
      <c r="BG1509" s="4295"/>
      <c r="BH1509" s="4295"/>
      <c r="BI1509" s="4295"/>
      <c r="BJ1509" s="4295"/>
      <c r="BK1509" s="4295"/>
      <c r="BL1509" s="4295"/>
      <c r="BM1509" s="4295"/>
      <c r="BN1509" s="4295"/>
      <c r="BO1509" s="4295"/>
      <c r="BP1509" s="4295"/>
      <c r="BQ1509" s="4295"/>
      <c r="BR1509" s="4295"/>
      <c r="BS1509" s="4295"/>
      <c r="BT1509" s="4295"/>
      <c r="BU1509" s="4295"/>
      <c r="BV1509" s="4295"/>
      <c r="BW1509" s="4295"/>
      <c r="BX1509" s="4295"/>
      <c r="BY1509" s="4295"/>
      <c r="BZ1509" s="4295"/>
      <c r="CA1509" s="4295"/>
      <c r="CB1509" s="4295"/>
      <c r="CC1509" s="4295"/>
      <c r="CD1509" s="4295"/>
      <c r="CE1509" s="4295"/>
      <c r="CF1509" s="4295"/>
      <c r="CG1509" s="4295"/>
      <c r="CH1509" s="4295"/>
      <c r="CI1509" s="4295"/>
      <c r="CJ1509" s="4295"/>
      <c r="CK1509" s="4295"/>
      <c r="CL1509" s="4295"/>
      <c r="CM1509" s="4295"/>
      <c r="CN1509" s="4295"/>
      <c r="CO1509" s="4295"/>
      <c r="CP1509" s="4295"/>
      <c r="CQ1509" s="4295"/>
      <c r="CR1509" s="4295"/>
      <c r="CS1509" s="4295"/>
      <c r="CT1509" s="4295"/>
      <c r="CU1509" s="4295"/>
      <c r="CV1509" s="4295"/>
      <c r="CW1509" s="4295"/>
      <c r="CX1509" s="4295"/>
      <c r="CY1509" s="4295"/>
      <c r="CZ1509" s="4295"/>
      <c r="DA1509" s="4295"/>
      <c r="DB1509" s="4295"/>
      <c r="DC1509" s="4295"/>
      <c r="DD1509" s="4295"/>
      <c r="DE1509" s="4295"/>
      <c r="DF1509" s="4295"/>
      <c r="DG1509" s="4295"/>
      <c r="DH1509" s="4295"/>
      <c r="DI1509" s="4295"/>
      <c r="DJ1509" s="4295"/>
      <c r="DK1509" s="4295"/>
      <c r="DL1509" s="4295"/>
      <c r="DM1509" s="4295"/>
      <c r="DN1509" s="4295"/>
      <c r="DO1509" s="4295"/>
      <c r="DP1509" s="4295"/>
      <c r="DQ1509" s="4295"/>
      <c r="DR1509" s="4295"/>
      <c r="DS1509" s="4295"/>
    </row>
    <row r="1510" s="4133" customFormat="1" customHeight="1" spans="1:123">
      <c r="A1510" s="4772"/>
      <c r="B1510" s="4773"/>
      <c r="C1510" s="4295"/>
      <c r="D1510" s="4295"/>
      <c r="E1510" s="4295"/>
      <c r="F1510" s="4295"/>
      <c r="G1510" s="4295"/>
      <c r="H1510" s="4295"/>
      <c r="I1510" s="4295"/>
      <c r="J1510" s="4295"/>
      <c r="K1510" s="4295"/>
      <c r="L1510" s="4295"/>
      <c r="M1510" s="4295"/>
      <c r="N1510" s="4295"/>
      <c r="O1510" s="4295"/>
      <c r="P1510" s="4295"/>
      <c r="Q1510" s="4295"/>
      <c r="R1510" s="4295"/>
      <c r="S1510" s="4295"/>
      <c r="T1510" s="4295"/>
      <c r="U1510" s="4295"/>
      <c r="V1510" s="4295"/>
      <c r="W1510" s="4295"/>
      <c r="X1510" s="4295"/>
      <c r="Y1510" s="4295"/>
      <c r="Z1510" s="4295"/>
      <c r="AA1510" s="4295"/>
      <c r="AB1510" s="4295"/>
      <c r="AC1510" s="4295"/>
      <c r="AD1510" s="4295"/>
      <c r="AE1510" s="4295"/>
      <c r="AF1510" s="4295"/>
      <c r="AG1510" s="4295"/>
      <c r="AH1510" s="4295"/>
      <c r="AI1510" s="4295"/>
      <c r="AJ1510" s="4295"/>
      <c r="AK1510" s="4295"/>
      <c r="AL1510" s="4295"/>
      <c r="AM1510" s="4295"/>
      <c r="AN1510" s="4295"/>
      <c r="AO1510" s="4295"/>
      <c r="AP1510" s="4295"/>
      <c r="AQ1510" s="4295"/>
      <c r="AR1510" s="4295"/>
      <c r="AS1510" s="4295"/>
      <c r="AT1510" s="4295"/>
      <c r="AU1510" s="4295"/>
      <c r="AV1510" s="4295"/>
      <c r="AW1510" s="4295"/>
      <c r="AX1510" s="4295"/>
      <c r="AY1510" s="4295"/>
      <c r="AZ1510" s="4295"/>
      <c r="BA1510" s="4295"/>
      <c r="BB1510" s="4295"/>
      <c r="BC1510" s="4295"/>
      <c r="BD1510" s="4295"/>
      <c r="BE1510" s="4295"/>
      <c r="BF1510" s="4295"/>
      <c r="BG1510" s="4295"/>
      <c r="BH1510" s="4295"/>
      <c r="BI1510" s="4295"/>
      <c r="BJ1510" s="4295"/>
      <c r="BK1510" s="4295"/>
      <c r="BL1510" s="4295"/>
      <c r="BM1510" s="4295"/>
      <c r="BN1510" s="4295"/>
      <c r="BO1510" s="4295"/>
      <c r="BP1510" s="4295"/>
      <c r="BQ1510" s="4295"/>
      <c r="BR1510" s="4295"/>
      <c r="BS1510" s="4295"/>
      <c r="BT1510" s="4295"/>
      <c r="BU1510" s="4295"/>
      <c r="BV1510" s="4295"/>
      <c r="BW1510" s="4295"/>
      <c r="BX1510" s="4295"/>
      <c r="BY1510" s="4295"/>
      <c r="BZ1510" s="4295"/>
      <c r="CA1510" s="4295"/>
      <c r="CB1510" s="4295"/>
      <c r="CC1510" s="4295"/>
      <c r="CD1510" s="4295"/>
      <c r="CE1510" s="4295"/>
      <c r="CF1510" s="4295"/>
      <c r="CG1510" s="4295"/>
      <c r="CH1510" s="4295"/>
      <c r="CI1510" s="4295"/>
      <c r="CJ1510" s="4295"/>
      <c r="CK1510" s="4295"/>
      <c r="CL1510" s="4295"/>
      <c r="CM1510" s="4295"/>
      <c r="CN1510" s="4295"/>
      <c r="CO1510" s="4295"/>
      <c r="CP1510" s="4295"/>
      <c r="CQ1510" s="4295"/>
      <c r="CR1510" s="4295"/>
      <c r="CS1510" s="4295"/>
      <c r="CT1510" s="4295"/>
      <c r="CU1510" s="4295"/>
      <c r="CV1510" s="4295"/>
      <c r="CW1510" s="4295"/>
      <c r="CX1510" s="4295"/>
      <c r="CY1510" s="4295"/>
      <c r="CZ1510" s="4295"/>
      <c r="DA1510" s="4295"/>
      <c r="DB1510" s="4295"/>
      <c r="DC1510" s="4295"/>
      <c r="DD1510" s="4295"/>
      <c r="DE1510" s="4295"/>
      <c r="DF1510" s="4295"/>
      <c r="DG1510" s="4295"/>
      <c r="DH1510" s="4295"/>
      <c r="DI1510" s="4295"/>
      <c r="DJ1510" s="4295"/>
      <c r="DK1510" s="4295"/>
      <c r="DL1510" s="4295"/>
      <c r="DM1510" s="4295"/>
      <c r="DN1510" s="4295"/>
      <c r="DO1510" s="4295"/>
      <c r="DP1510" s="4295"/>
      <c r="DQ1510" s="4295"/>
      <c r="DR1510" s="4295"/>
      <c r="DS1510" s="4295"/>
    </row>
    <row r="1511" s="4133" customFormat="1" ht="18" customHeight="1" spans="1:123">
      <c r="A1511" s="4772"/>
      <c r="B1511" s="4773"/>
      <c r="C1511" s="4295"/>
      <c r="D1511" s="4295"/>
      <c r="E1511" s="4295"/>
      <c r="F1511" s="4295"/>
      <c r="G1511" s="4295"/>
      <c r="H1511" s="4295"/>
      <c r="I1511" s="4295"/>
      <c r="J1511" s="4295"/>
      <c r="K1511" s="4295"/>
      <c r="L1511" s="4295"/>
      <c r="M1511" s="4295"/>
      <c r="N1511" s="4295"/>
      <c r="O1511" s="4295"/>
      <c r="P1511" s="4295"/>
      <c r="Q1511" s="4295"/>
      <c r="R1511" s="4295"/>
      <c r="S1511" s="4295"/>
      <c r="T1511" s="4295"/>
      <c r="U1511" s="4295"/>
      <c r="V1511" s="4295"/>
      <c r="W1511" s="4295"/>
      <c r="X1511" s="4295"/>
      <c r="Y1511" s="4295"/>
      <c r="Z1511" s="4295"/>
      <c r="AA1511" s="4295"/>
      <c r="AB1511" s="4295"/>
      <c r="AC1511" s="4295"/>
      <c r="AD1511" s="4295"/>
      <c r="AE1511" s="4295"/>
      <c r="AF1511" s="4295"/>
      <c r="AG1511" s="4295"/>
      <c r="AH1511" s="4295"/>
      <c r="AI1511" s="4295"/>
      <c r="AJ1511" s="4295"/>
      <c r="AK1511" s="4295"/>
      <c r="AL1511" s="4295"/>
      <c r="AM1511" s="4295"/>
      <c r="AN1511" s="4295"/>
      <c r="AO1511" s="4295"/>
      <c r="AP1511" s="4295"/>
      <c r="AQ1511" s="4295"/>
      <c r="AR1511" s="4295"/>
      <c r="AS1511" s="4295"/>
      <c r="AT1511" s="4295"/>
      <c r="AU1511" s="4295"/>
      <c r="AV1511" s="4295"/>
      <c r="AW1511" s="4295"/>
      <c r="AX1511" s="4295"/>
      <c r="AY1511" s="4295"/>
      <c r="AZ1511" s="4295"/>
      <c r="BA1511" s="4295"/>
      <c r="BB1511" s="4295"/>
      <c r="BC1511" s="4295"/>
      <c r="BD1511" s="4295"/>
      <c r="BE1511" s="4295"/>
      <c r="BF1511" s="4295"/>
      <c r="BG1511" s="4295"/>
      <c r="BH1511" s="4295"/>
      <c r="BI1511" s="4295"/>
      <c r="BJ1511" s="4295"/>
      <c r="BK1511" s="4295"/>
      <c r="BL1511" s="4295"/>
      <c r="BM1511" s="4295"/>
      <c r="BN1511" s="4295"/>
      <c r="BO1511" s="4295"/>
      <c r="BP1511" s="4295"/>
      <c r="BQ1511" s="4295"/>
      <c r="BR1511" s="4295"/>
      <c r="BS1511" s="4295"/>
      <c r="BT1511" s="4295"/>
      <c r="BU1511" s="4295"/>
      <c r="BV1511" s="4295"/>
      <c r="BW1511" s="4295"/>
      <c r="BX1511" s="4295"/>
      <c r="BY1511" s="4295"/>
      <c r="BZ1511" s="4295"/>
      <c r="CA1511" s="4295"/>
      <c r="CB1511" s="4295"/>
      <c r="CC1511" s="4295"/>
      <c r="CD1511" s="4295"/>
      <c r="CE1511" s="4295"/>
      <c r="CF1511" s="4295"/>
      <c r="CG1511" s="4295"/>
      <c r="CH1511" s="4295"/>
      <c r="CI1511" s="4295"/>
      <c r="CJ1511" s="4295"/>
      <c r="CK1511" s="4295"/>
      <c r="CL1511" s="4295"/>
      <c r="CM1511" s="4295"/>
      <c r="CN1511" s="4295"/>
      <c r="CO1511" s="4295"/>
      <c r="CP1511" s="4295"/>
      <c r="CQ1511" s="4295"/>
      <c r="CR1511" s="4295"/>
      <c r="CS1511" s="4295"/>
      <c r="CT1511" s="4295"/>
      <c r="CU1511" s="4295"/>
      <c r="CV1511" s="4295"/>
      <c r="CW1511" s="4295"/>
      <c r="CX1511" s="4295"/>
      <c r="CY1511" s="4295"/>
      <c r="CZ1511" s="4295"/>
      <c r="DA1511" s="4295"/>
      <c r="DB1511" s="4295"/>
      <c r="DC1511" s="4295"/>
      <c r="DD1511" s="4295"/>
      <c r="DE1511" s="4295"/>
      <c r="DF1511" s="4295"/>
      <c r="DG1511" s="4295"/>
      <c r="DH1511" s="4295"/>
      <c r="DI1511" s="4295"/>
      <c r="DJ1511" s="4295"/>
      <c r="DK1511" s="4295"/>
      <c r="DL1511" s="4295"/>
      <c r="DM1511" s="4295"/>
      <c r="DN1511" s="4295"/>
      <c r="DO1511" s="4295"/>
      <c r="DP1511" s="4295"/>
      <c r="DQ1511" s="4295"/>
      <c r="DR1511" s="4295"/>
      <c r="DS1511" s="4295"/>
    </row>
    <row r="1512" s="4133" customFormat="1" ht="18" customHeight="1" spans="1:123">
      <c r="A1512" s="4772"/>
      <c r="B1512" s="4773"/>
      <c r="C1512" s="4295"/>
      <c r="D1512" s="4295"/>
      <c r="E1512" s="4295"/>
      <c r="F1512" s="4295"/>
      <c r="G1512" s="4295"/>
      <c r="H1512" s="4295"/>
      <c r="I1512" s="4295"/>
      <c r="J1512" s="4295"/>
      <c r="K1512" s="4295"/>
      <c r="L1512" s="4295"/>
      <c r="M1512" s="4295"/>
      <c r="N1512" s="4295"/>
      <c r="O1512" s="4295"/>
      <c r="P1512" s="4295"/>
      <c r="Q1512" s="4295"/>
      <c r="R1512" s="4295"/>
      <c r="S1512" s="4295"/>
      <c r="T1512" s="4295"/>
      <c r="U1512" s="4295"/>
      <c r="V1512" s="4295"/>
      <c r="W1512" s="4295"/>
      <c r="X1512" s="4295"/>
      <c r="Y1512" s="4295"/>
      <c r="Z1512" s="4295"/>
      <c r="AA1512" s="4295"/>
      <c r="AB1512" s="4295"/>
      <c r="AC1512" s="4295"/>
      <c r="AD1512" s="4295"/>
      <c r="AE1512" s="4295"/>
      <c r="AF1512" s="4295"/>
      <c r="AG1512" s="4295"/>
      <c r="AH1512" s="4295"/>
      <c r="AI1512" s="4295"/>
      <c r="AJ1512" s="4295"/>
      <c r="AK1512" s="4295"/>
      <c r="AL1512" s="4295"/>
      <c r="AM1512" s="4295"/>
      <c r="AN1512" s="4295"/>
      <c r="AO1512" s="4295"/>
      <c r="AP1512" s="4295"/>
      <c r="AQ1512" s="4295"/>
      <c r="AR1512" s="4295"/>
      <c r="AS1512" s="4295"/>
      <c r="AT1512" s="4295"/>
      <c r="AU1512" s="4295"/>
      <c r="AV1512" s="4295"/>
      <c r="AW1512" s="4295"/>
      <c r="AX1512" s="4295"/>
      <c r="AY1512" s="4295"/>
      <c r="AZ1512" s="4295"/>
      <c r="BA1512" s="4295"/>
      <c r="BB1512" s="4295"/>
      <c r="BC1512" s="4295"/>
      <c r="BD1512" s="4295"/>
      <c r="BE1512" s="4295"/>
      <c r="BF1512" s="4295"/>
      <c r="BG1512" s="4295"/>
      <c r="BH1512" s="4295"/>
      <c r="BI1512" s="4295"/>
      <c r="BJ1512" s="4295"/>
      <c r="BK1512" s="4295"/>
      <c r="BL1512" s="4295"/>
      <c r="BM1512" s="4295"/>
      <c r="BN1512" s="4295"/>
      <c r="BO1512" s="4295"/>
      <c r="BP1512" s="4295"/>
      <c r="BQ1512" s="4295"/>
      <c r="BR1512" s="4295"/>
      <c r="BS1512" s="4295"/>
      <c r="BT1512" s="4295"/>
      <c r="BU1512" s="4295"/>
      <c r="BV1512" s="4295"/>
      <c r="BW1512" s="4295"/>
      <c r="BX1512" s="4295"/>
      <c r="BY1512" s="4295"/>
      <c r="BZ1512" s="4295"/>
      <c r="CA1512" s="4295"/>
      <c r="CB1512" s="4295"/>
      <c r="CC1512" s="4295"/>
      <c r="CD1512" s="4295"/>
      <c r="CE1512" s="4295"/>
      <c r="CF1512" s="4295"/>
      <c r="CG1512" s="4295"/>
      <c r="CH1512" s="4295"/>
      <c r="CI1512" s="4295"/>
      <c r="CJ1512" s="4295"/>
      <c r="CK1512" s="4295"/>
      <c r="CL1512" s="4295"/>
      <c r="CM1512" s="4295"/>
      <c r="CN1512" s="4295"/>
      <c r="CO1512" s="4295"/>
      <c r="CP1512" s="4295"/>
      <c r="CQ1512" s="4295"/>
      <c r="CR1512" s="4295"/>
      <c r="CS1512" s="4295"/>
      <c r="CT1512" s="4295"/>
      <c r="CU1512" s="4295"/>
      <c r="CV1512" s="4295"/>
      <c r="CW1512" s="4295"/>
      <c r="CX1512" s="4295"/>
      <c r="CY1512" s="4295"/>
      <c r="CZ1512" s="4295"/>
      <c r="DA1512" s="4295"/>
      <c r="DB1512" s="4295"/>
      <c r="DC1512" s="4295"/>
      <c r="DD1512" s="4295"/>
      <c r="DE1512" s="4295"/>
      <c r="DF1512" s="4295"/>
      <c r="DG1512" s="4295"/>
      <c r="DH1512" s="4295"/>
      <c r="DI1512" s="4295"/>
      <c r="DJ1512" s="4295"/>
      <c r="DK1512" s="4295"/>
      <c r="DL1512" s="4295"/>
      <c r="DM1512" s="4295"/>
      <c r="DN1512" s="4295"/>
      <c r="DO1512" s="4295"/>
      <c r="DP1512" s="4295"/>
      <c r="DQ1512" s="4295"/>
      <c r="DR1512" s="4295"/>
      <c r="DS1512" s="4295"/>
    </row>
    <row r="1513" s="4133" customFormat="1" ht="18" customHeight="1" spans="1:123">
      <c r="A1513" s="4772"/>
      <c r="B1513" s="4773"/>
      <c r="C1513" s="4295"/>
      <c r="D1513" s="4295"/>
      <c r="E1513" s="4295"/>
      <c r="F1513" s="4295"/>
      <c r="G1513" s="4295"/>
      <c r="H1513" s="4295"/>
      <c r="I1513" s="4295"/>
      <c r="J1513" s="4295"/>
      <c r="K1513" s="4295"/>
      <c r="L1513" s="4295"/>
      <c r="M1513" s="4295"/>
      <c r="N1513" s="4295"/>
      <c r="O1513" s="4295"/>
      <c r="P1513" s="4295"/>
      <c r="Q1513" s="4295"/>
      <c r="R1513" s="4295"/>
      <c r="S1513" s="4295"/>
      <c r="T1513" s="4295"/>
      <c r="U1513" s="4295"/>
      <c r="V1513" s="4295"/>
      <c r="W1513" s="4295"/>
      <c r="X1513" s="4295"/>
      <c r="Y1513" s="4295"/>
      <c r="Z1513" s="4295"/>
      <c r="AA1513" s="4295"/>
      <c r="AB1513" s="4295"/>
      <c r="AC1513" s="4295"/>
      <c r="AD1513" s="4295"/>
      <c r="AE1513" s="4295"/>
      <c r="AF1513" s="4295"/>
      <c r="AG1513" s="4295"/>
      <c r="AH1513" s="4295"/>
      <c r="AI1513" s="4295"/>
      <c r="AJ1513" s="4295"/>
      <c r="AK1513" s="4295"/>
      <c r="AL1513" s="4295"/>
      <c r="AM1513" s="4295"/>
      <c r="AN1513" s="4295"/>
      <c r="AO1513" s="4295"/>
      <c r="AP1513" s="4295"/>
      <c r="AQ1513" s="4295"/>
      <c r="AR1513" s="4295"/>
      <c r="AS1513" s="4295"/>
      <c r="AT1513" s="4295"/>
      <c r="AU1513" s="4295"/>
      <c r="AV1513" s="4295"/>
      <c r="AW1513" s="4295"/>
      <c r="AX1513" s="4295"/>
      <c r="AY1513" s="4295"/>
      <c r="AZ1513" s="4295"/>
      <c r="BA1513" s="4295"/>
      <c r="BB1513" s="4295"/>
      <c r="BC1513" s="4295"/>
      <c r="BD1513" s="4295"/>
      <c r="BE1513" s="4295"/>
      <c r="BF1513" s="4295"/>
      <c r="BG1513" s="4295"/>
      <c r="BH1513" s="4295"/>
      <c r="BI1513" s="4295"/>
      <c r="BJ1513" s="4295"/>
      <c r="BK1513" s="4295"/>
      <c r="BL1513" s="4295"/>
      <c r="BM1513" s="4295"/>
      <c r="BN1513" s="4295"/>
      <c r="BO1513" s="4295"/>
      <c r="BP1513" s="4295"/>
      <c r="BQ1513" s="4295"/>
      <c r="BR1513" s="4295"/>
      <c r="BS1513" s="4295"/>
      <c r="BT1513" s="4295"/>
      <c r="BU1513" s="4295"/>
      <c r="BV1513" s="4295"/>
      <c r="BW1513" s="4295"/>
      <c r="BX1513" s="4295"/>
      <c r="BY1513" s="4295"/>
      <c r="BZ1513" s="4295"/>
      <c r="CA1513" s="4295"/>
      <c r="CB1513" s="4295"/>
      <c r="CC1513" s="4295"/>
      <c r="CD1513" s="4295"/>
      <c r="CE1513" s="4295"/>
      <c r="CF1513" s="4295"/>
      <c r="CG1513" s="4295"/>
      <c r="CH1513" s="4295"/>
      <c r="CI1513" s="4295"/>
      <c r="CJ1513" s="4295"/>
      <c r="CK1513" s="4295"/>
      <c r="CL1513" s="4295"/>
      <c r="CM1513" s="4295"/>
      <c r="CN1513" s="4295"/>
      <c r="CO1513" s="4295"/>
      <c r="CP1513" s="4295"/>
      <c r="CQ1513" s="4295"/>
      <c r="CR1513" s="4295"/>
      <c r="CS1513" s="4295"/>
      <c r="CT1513" s="4295"/>
      <c r="CU1513" s="4295"/>
      <c r="CV1513" s="4295"/>
      <c r="CW1513" s="4295"/>
      <c r="CX1513" s="4295"/>
      <c r="CY1513" s="4295"/>
      <c r="CZ1513" s="4295"/>
      <c r="DA1513" s="4295"/>
      <c r="DB1513" s="4295"/>
      <c r="DC1513" s="4295"/>
      <c r="DD1513" s="4295"/>
      <c r="DE1513" s="4295"/>
      <c r="DF1513" s="4295"/>
      <c r="DG1513" s="4295"/>
      <c r="DH1513" s="4295"/>
      <c r="DI1513" s="4295"/>
      <c r="DJ1513" s="4295"/>
      <c r="DK1513" s="4295"/>
      <c r="DL1513" s="4295"/>
      <c r="DM1513" s="4295"/>
      <c r="DN1513" s="4295"/>
      <c r="DO1513" s="4295"/>
      <c r="DP1513" s="4295"/>
      <c r="DQ1513" s="4295"/>
      <c r="DR1513" s="4295"/>
      <c r="DS1513" s="4295"/>
    </row>
    <row r="1514" s="4133" customFormat="1" ht="18" customHeight="1" spans="1:123">
      <c r="A1514" s="4772"/>
      <c r="B1514" s="4773"/>
      <c r="C1514" s="4295"/>
      <c r="D1514" s="4295"/>
      <c r="E1514" s="4295"/>
      <c r="F1514" s="4295"/>
      <c r="G1514" s="4295"/>
      <c r="H1514" s="4295"/>
      <c r="I1514" s="4295"/>
      <c r="J1514" s="4295"/>
      <c r="K1514" s="4295"/>
      <c r="L1514" s="4295"/>
      <c r="M1514" s="4295"/>
      <c r="N1514" s="4295"/>
      <c r="O1514" s="4295"/>
      <c r="P1514" s="4295"/>
      <c r="Q1514" s="4295"/>
      <c r="R1514" s="4295"/>
      <c r="S1514" s="4295"/>
      <c r="T1514" s="4295"/>
      <c r="U1514" s="4295"/>
      <c r="V1514" s="4295"/>
      <c r="W1514" s="4295"/>
      <c r="X1514" s="4295"/>
      <c r="Y1514" s="4295"/>
      <c r="Z1514" s="4295"/>
      <c r="AA1514" s="4295"/>
      <c r="AB1514" s="4295"/>
      <c r="AC1514" s="4295"/>
      <c r="AD1514" s="4295"/>
      <c r="AE1514" s="4295"/>
      <c r="AF1514" s="4295"/>
      <c r="AG1514" s="4295"/>
      <c r="AH1514" s="4295"/>
      <c r="AI1514" s="4295"/>
      <c r="AJ1514" s="4295"/>
      <c r="AK1514" s="4295"/>
      <c r="AL1514" s="4295"/>
      <c r="AM1514" s="4295"/>
      <c r="AN1514" s="4295"/>
      <c r="AO1514" s="4295"/>
      <c r="AP1514" s="4295"/>
      <c r="AQ1514" s="4295"/>
      <c r="AR1514" s="4295"/>
      <c r="AS1514" s="4295"/>
      <c r="AT1514" s="4295"/>
      <c r="AU1514" s="4295"/>
      <c r="AV1514" s="4295"/>
      <c r="AW1514" s="4295"/>
      <c r="AX1514" s="4295"/>
      <c r="AY1514" s="4295"/>
      <c r="AZ1514" s="4295"/>
      <c r="BA1514" s="4295"/>
      <c r="BB1514" s="4295"/>
      <c r="BC1514" s="4295"/>
      <c r="BD1514" s="4295"/>
      <c r="BE1514" s="4295"/>
      <c r="BF1514" s="4295"/>
      <c r="BG1514" s="4295"/>
      <c r="BH1514" s="4295"/>
      <c r="BI1514" s="4295"/>
      <c r="BJ1514" s="4295"/>
      <c r="BK1514" s="4295"/>
      <c r="BL1514" s="4295"/>
      <c r="BM1514" s="4295"/>
      <c r="BN1514" s="4295"/>
      <c r="BO1514" s="4295"/>
      <c r="BP1514" s="4295"/>
      <c r="BQ1514" s="4295"/>
      <c r="BR1514" s="4295"/>
      <c r="BS1514" s="4295"/>
      <c r="BT1514" s="4295"/>
      <c r="BU1514" s="4295"/>
      <c r="BV1514" s="4295"/>
      <c r="BW1514" s="4295"/>
      <c r="BX1514" s="4295"/>
      <c r="BY1514" s="4295"/>
      <c r="BZ1514" s="4295"/>
      <c r="CA1514" s="4295"/>
      <c r="CB1514" s="4295"/>
      <c r="CC1514" s="4295"/>
      <c r="CD1514" s="4295"/>
      <c r="CE1514" s="4295"/>
      <c r="CF1514" s="4295"/>
      <c r="CG1514" s="4295"/>
      <c r="CH1514" s="4295"/>
      <c r="CI1514" s="4295"/>
      <c r="CJ1514" s="4295"/>
      <c r="CK1514" s="4295"/>
      <c r="CL1514" s="4295"/>
      <c r="CM1514" s="4295"/>
      <c r="CN1514" s="4295"/>
      <c r="CO1514" s="4295"/>
      <c r="CP1514" s="4295"/>
      <c r="CQ1514" s="4295"/>
      <c r="CR1514" s="4295"/>
      <c r="CS1514" s="4295"/>
      <c r="CT1514" s="4295"/>
      <c r="CU1514" s="4295"/>
      <c r="CV1514" s="4295"/>
      <c r="CW1514" s="4295"/>
      <c r="CX1514" s="4295"/>
      <c r="CY1514" s="4295"/>
      <c r="CZ1514" s="4295"/>
      <c r="DA1514" s="4295"/>
      <c r="DB1514" s="4295"/>
      <c r="DC1514" s="4295"/>
      <c r="DD1514" s="4295"/>
      <c r="DE1514" s="4295"/>
      <c r="DF1514" s="4295"/>
      <c r="DG1514" s="4295"/>
      <c r="DH1514" s="4295"/>
      <c r="DI1514" s="4295"/>
      <c r="DJ1514" s="4295"/>
      <c r="DK1514" s="4295"/>
      <c r="DL1514" s="4295"/>
      <c r="DM1514" s="4295"/>
      <c r="DN1514" s="4295"/>
      <c r="DO1514" s="4295"/>
      <c r="DP1514" s="4295"/>
      <c r="DQ1514" s="4295"/>
      <c r="DR1514" s="4295"/>
      <c r="DS1514" s="4295"/>
    </row>
    <row r="1515" s="4133" customFormat="1" ht="18" customHeight="1" spans="1:123">
      <c r="A1515" s="4772"/>
      <c r="B1515" s="4773"/>
      <c r="C1515" s="4295"/>
      <c r="D1515" s="4295"/>
      <c r="E1515" s="4295"/>
      <c r="F1515" s="4295"/>
      <c r="G1515" s="4295"/>
      <c r="H1515" s="4295"/>
      <c r="I1515" s="4295"/>
      <c r="J1515" s="4295"/>
      <c r="K1515" s="4295"/>
      <c r="L1515" s="4295"/>
      <c r="M1515" s="4295"/>
      <c r="N1515" s="4295"/>
      <c r="O1515" s="4295"/>
      <c r="P1515" s="4295"/>
      <c r="Q1515" s="4295"/>
      <c r="R1515" s="4295"/>
      <c r="S1515" s="4295"/>
      <c r="T1515" s="4295"/>
      <c r="U1515" s="4295"/>
      <c r="V1515" s="4295"/>
      <c r="W1515" s="4295"/>
      <c r="X1515" s="4295"/>
      <c r="Y1515" s="4295"/>
      <c r="Z1515" s="4295"/>
      <c r="AA1515" s="4295"/>
      <c r="AB1515" s="4295"/>
      <c r="AC1515" s="4295"/>
      <c r="AD1515" s="4295"/>
      <c r="AE1515" s="4295"/>
      <c r="AF1515" s="4295"/>
      <c r="AG1515" s="4295"/>
      <c r="AH1515" s="4295"/>
      <c r="AI1515" s="4295"/>
      <c r="AJ1515" s="4295"/>
      <c r="AK1515" s="4295"/>
      <c r="AL1515" s="4295"/>
      <c r="AM1515" s="4295"/>
      <c r="AN1515" s="4295"/>
      <c r="AO1515" s="4295"/>
      <c r="AP1515" s="4295"/>
      <c r="AQ1515" s="4295"/>
      <c r="AR1515" s="4295"/>
      <c r="AS1515" s="4295"/>
      <c r="AT1515" s="4295"/>
      <c r="AU1515" s="4295"/>
      <c r="AV1515" s="4295"/>
      <c r="AW1515" s="4295"/>
      <c r="AX1515" s="4295"/>
      <c r="AY1515" s="4295"/>
      <c r="AZ1515" s="4295"/>
      <c r="BA1515" s="4295"/>
      <c r="BB1515" s="4295"/>
      <c r="BC1515" s="4295"/>
      <c r="BD1515" s="4295"/>
      <c r="BE1515" s="4295"/>
      <c r="BF1515" s="4295"/>
      <c r="BG1515" s="4295"/>
      <c r="BH1515" s="4295"/>
      <c r="BI1515" s="4295"/>
      <c r="BJ1515" s="4295"/>
      <c r="BK1515" s="4295"/>
      <c r="BL1515" s="4295"/>
      <c r="BM1515" s="4295"/>
      <c r="BN1515" s="4295"/>
      <c r="BO1515" s="4295"/>
      <c r="BP1515" s="4295"/>
      <c r="BQ1515" s="4295"/>
      <c r="BR1515" s="4295"/>
      <c r="BS1515" s="4295"/>
      <c r="BT1515" s="4295"/>
      <c r="BU1515" s="4295"/>
      <c r="BV1515" s="4295"/>
      <c r="BW1515" s="4295"/>
      <c r="BX1515" s="4295"/>
      <c r="BY1515" s="4295"/>
      <c r="BZ1515" s="4295"/>
      <c r="CA1515" s="4295"/>
      <c r="CB1515" s="4295"/>
      <c r="CC1515" s="4295"/>
      <c r="CD1515" s="4295"/>
      <c r="CE1515" s="4295"/>
      <c r="CF1515" s="4295"/>
      <c r="CG1515" s="4295"/>
      <c r="CH1515" s="4295"/>
      <c r="CI1515" s="4295"/>
      <c r="CJ1515" s="4295"/>
      <c r="CK1515" s="4295"/>
      <c r="CL1515" s="4295"/>
      <c r="CM1515" s="4295"/>
      <c r="CN1515" s="4295"/>
      <c r="CO1515" s="4295"/>
      <c r="CP1515" s="4295"/>
      <c r="CQ1515" s="4295"/>
      <c r="CR1515" s="4295"/>
      <c r="CS1515" s="4295"/>
      <c r="CT1515" s="4295"/>
      <c r="CU1515" s="4295"/>
      <c r="CV1515" s="4295"/>
      <c r="CW1515" s="4295"/>
      <c r="CX1515" s="4295"/>
      <c r="CY1515" s="4295"/>
      <c r="CZ1515" s="4295"/>
      <c r="DA1515" s="4295"/>
      <c r="DB1515" s="4295"/>
      <c r="DC1515" s="4295"/>
      <c r="DD1515" s="4295"/>
      <c r="DE1515" s="4295"/>
      <c r="DF1515" s="4295"/>
      <c r="DG1515" s="4295"/>
      <c r="DH1515" s="4295"/>
      <c r="DI1515" s="4295"/>
      <c r="DJ1515" s="4295"/>
      <c r="DK1515" s="4295"/>
      <c r="DL1515" s="4295"/>
      <c r="DM1515" s="4295"/>
      <c r="DN1515" s="4295"/>
      <c r="DO1515" s="4295"/>
      <c r="DP1515" s="4295"/>
      <c r="DQ1515" s="4295"/>
      <c r="DR1515" s="4295"/>
      <c r="DS1515" s="4295"/>
    </row>
    <row r="1516" s="4133" customFormat="1" ht="18" customHeight="1" spans="1:123">
      <c r="A1516" s="4772"/>
      <c r="B1516" s="4773"/>
      <c r="C1516" s="4295"/>
      <c r="D1516" s="4295"/>
      <c r="E1516" s="4295"/>
      <c r="F1516" s="4295"/>
      <c r="G1516" s="4295"/>
      <c r="H1516" s="4295"/>
      <c r="I1516" s="4295"/>
      <c r="J1516" s="4295"/>
      <c r="K1516" s="4295"/>
      <c r="L1516" s="4295"/>
      <c r="M1516" s="4295"/>
      <c r="N1516" s="4295"/>
      <c r="O1516" s="4295"/>
      <c r="P1516" s="4295"/>
      <c r="Q1516" s="4295"/>
      <c r="R1516" s="4295"/>
      <c r="S1516" s="4295"/>
      <c r="T1516" s="4295"/>
      <c r="U1516" s="4295"/>
      <c r="V1516" s="4295"/>
      <c r="W1516" s="4295"/>
      <c r="X1516" s="4295"/>
      <c r="Y1516" s="4295"/>
      <c r="Z1516" s="4295"/>
      <c r="AA1516" s="4295"/>
      <c r="AB1516" s="4295"/>
      <c r="AC1516" s="4295"/>
      <c r="AD1516" s="4295"/>
      <c r="AE1516" s="4295"/>
      <c r="AF1516" s="4295"/>
      <c r="AG1516" s="4295"/>
      <c r="AH1516" s="4295"/>
      <c r="AI1516" s="4295"/>
      <c r="AJ1516" s="4295"/>
      <c r="AK1516" s="4295"/>
      <c r="AL1516" s="4295"/>
      <c r="AM1516" s="4295"/>
      <c r="AN1516" s="4295"/>
      <c r="AO1516" s="4295"/>
      <c r="AP1516" s="4295"/>
      <c r="AQ1516" s="4295"/>
      <c r="AR1516" s="4295"/>
      <c r="AS1516" s="4295"/>
      <c r="AT1516" s="4295"/>
      <c r="AU1516" s="4295"/>
      <c r="AV1516" s="4295"/>
      <c r="AW1516" s="4295"/>
      <c r="AX1516" s="4295"/>
      <c r="AY1516" s="4295"/>
      <c r="AZ1516" s="4295"/>
      <c r="BA1516" s="4295"/>
      <c r="BB1516" s="4295"/>
      <c r="BC1516" s="4295"/>
      <c r="BD1516" s="4295"/>
      <c r="BE1516" s="4295"/>
      <c r="BF1516" s="4295"/>
      <c r="BG1516" s="4295"/>
      <c r="BH1516" s="4295"/>
      <c r="BI1516" s="4295"/>
      <c r="BJ1516" s="4295"/>
      <c r="BK1516" s="4295"/>
      <c r="BL1516" s="4295"/>
      <c r="BM1516" s="4295"/>
      <c r="BN1516" s="4295"/>
      <c r="BO1516" s="4295"/>
      <c r="BP1516" s="4295"/>
      <c r="BQ1516" s="4295"/>
      <c r="BR1516" s="4295"/>
      <c r="BS1516" s="4295"/>
      <c r="BT1516" s="4295"/>
      <c r="BU1516" s="4295"/>
      <c r="BV1516" s="4295"/>
      <c r="BW1516" s="4295"/>
      <c r="BX1516" s="4295"/>
      <c r="BY1516" s="4295"/>
      <c r="BZ1516" s="4295"/>
      <c r="CA1516" s="4295"/>
      <c r="CB1516" s="4295"/>
      <c r="CC1516" s="4295"/>
      <c r="CD1516" s="4295"/>
      <c r="CE1516" s="4295"/>
      <c r="CF1516" s="4295"/>
      <c r="CG1516" s="4295"/>
      <c r="CH1516" s="4295"/>
      <c r="CI1516" s="4295"/>
      <c r="CJ1516" s="4295"/>
      <c r="CK1516" s="4295"/>
      <c r="CL1516" s="4295"/>
      <c r="CM1516" s="4295"/>
      <c r="CN1516" s="4295"/>
      <c r="CO1516" s="4295"/>
      <c r="CP1516" s="4295"/>
      <c r="CQ1516" s="4295"/>
      <c r="CR1516" s="4295"/>
      <c r="CS1516" s="4295"/>
      <c r="CT1516" s="4295"/>
      <c r="CU1516" s="4295"/>
      <c r="CV1516" s="4295"/>
      <c r="CW1516" s="4295"/>
      <c r="CX1516" s="4295"/>
      <c r="CY1516" s="4295"/>
      <c r="CZ1516" s="4295"/>
      <c r="DA1516" s="4295"/>
      <c r="DB1516" s="4295"/>
      <c r="DC1516" s="4295"/>
      <c r="DD1516" s="4295"/>
      <c r="DE1516" s="4295"/>
      <c r="DF1516" s="4295"/>
      <c r="DG1516" s="4295"/>
      <c r="DH1516" s="4295"/>
      <c r="DI1516" s="4295"/>
      <c r="DJ1516" s="4295"/>
      <c r="DK1516" s="4295"/>
      <c r="DL1516" s="4295"/>
      <c r="DM1516" s="4295"/>
      <c r="DN1516" s="4295"/>
      <c r="DO1516" s="4295"/>
      <c r="DP1516" s="4295"/>
      <c r="DQ1516" s="4295"/>
      <c r="DR1516" s="4295"/>
      <c r="DS1516" s="4295"/>
    </row>
    <row r="1517" s="4133" customFormat="1" ht="14.25" customHeight="1" spans="1:123">
      <c r="A1517" s="4772"/>
      <c r="B1517" s="4773"/>
      <c r="C1517" s="4773"/>
      <c r="D1517" s="4773"/>
      <c r="E1517" s="4773"/>
      <c r="F1517" s="4773"/>
      <c r="G1517" s="4773"/>
      <c r="H1517" s="4773"/>
      <c r="I1517" s="4773"/>
      <c r="J1517" s="4773"/>
      <c r="K1517" s="4773"/>
      <c r="L1517" s="4773"/>
      <c r="M1517" s="4773"/>
      <c r="N1517" s="4773"/>
      <c r="O1517" s="4773"/>
      <c r="P1517" s="4773"/>
      <c r="Q1517" s="4773"/>
      <c r="R1517" s="4773"/>
      <c r="S1517" s="4773"/>
      <c r="T1517" s="4773"/>
      <c r="U1517" s="4773"/>
      <c r="V1517" s="4773"/>
      <c r="W1517" s="4773"/>
      <c r="X1517" s="4773"/>
      <c r="Y1517" s="4773"/>
      <c r="Z1517" s="4773"/>
      <c r="AA1517" s="4773"/>
      <c r="AB1517" s="4773"/>
      <c r="AC1517" s="4773"/>
      <c r="AD1517" s="4773"/>
      <c r="AE1517" s="4773"/>
      <c r="AF1517" s="4773"/>
      <c r="AG1517" s="4773"/>
      <c r="AH1517" s="4773"/>
      <c r="AI1517" s="4773"/>
      <c r="AJ1517" s="4773"/>
      <c r="AK1517" s="4773"/>
      <c r="AL1517" s="4773"/>
      <c r="AM1517" s="4773"/>
      <c r="AN1517" s="4773"/>
      <c r="AO1517" s="4773"/>
      <c r="AP1517" s="4773"/>
      <c r="AQ1517" s="4773"/>
      <c r="AR1517" s="4773"/>
      <c r="AS1517" s="4773"/>
      <c r="AT1517" s="4773"/>
      <c r="AU1517" s="4295"/>
      <c r="AV1517" s="4295"/>
      <c r="AW1517" s="4295"/>
      <c r="AX1517" s="4295"/>
      <c r="AY1517" s="4295"/>
      <c r="AZ1517" s="4295"/>
      <c r="BA1517" s="4295"/>
      <c r="BB1517" s="4295"/>
      <c r="BC1517" s="4295"/>
      <c r="BD1517" s="4295"/>
      <c r="BE1517" s="4295"/>
      <c r="BF1517" s="4295"/>
      <c r="BG1517" s="4295"/>
      <c r="BH1517" s="4295"/>
      <c r="BI1517" s="4295"/>
      <c r="BJ1517" s="4295"/>
      <c r="BK1517" s="4295"/>
      <c r="BL1517" s="4295"/>
      <c r="BM1517" s="4295"/>
      <c r="BN1517" s="4295"/>
      <c r="BO1517" s="4295"/>
      <c r="BP1517" s="4295"/>
      <c r="BQ1517" s="4295"/>
      <c r="BR1517" s="4295"/>
      <c r="BS1517" s="4295"/>
      <c r="BT1517" s="4295"/>
      <c r="BU1517" s="4295"/>
      <c r="BV1517" s="4295"/>
      <c r="BW1517" s="4295"/>
      <c r="BX1517" s="4295"/>
      <c r="BY1517" s="4295"/>
      <c r="BZ1517" s="4295"/>
      <c r="CA1517" s="4295"/>
      <c r="CB1517" s="4295"/>
      <c r="CC1517" s="4295"/>
      <c r="CD1517" s="4295"/>
      <c r="CE1517" s="4295"/>
      <c r="CF1517" s="4295"/>
      <c r="CG1517" s="4295"/>
      <c r="CH1517" s="4295"/>
      <c r="CI1517" s="4295"/>
      <c r="CJ1517" s="4295"/>
      <c r="CK1517" s="4295"/>
      <c r="CL1517" s="4295"/>
      <c r="CM1517" s="4295"/>
      <c r="CN1517" s="4295"/>
      <c r="CO1517" s="4295"/>
      <c r="CP1517" s="4295"/>
      <c r="CQ1517" s="4295"/>
      <c r="CR1517" s="4295"/>
      <c r="CS1517" s="4295"/>
      <c r="CT1517" s="4295"/>
      <c r="CU1517" s="4295"/>
      <c r="CV1517" s="4295"/>
      <c r="CW1517" s="4295"/>
      <c r="CX1517" s="4295"/>
      <c r="CY1517" s="4295"/>
      <c r="CZ1517" s="4295"/>
      <c r="DA1517" s="4295"/>
      <c r="DB1517" s="4295"/>
      <c r="DC1517" s="4295"/>
      <c r="DD1517" s="4295"/>
      <c r="DE1517" s="4295"/>
      <c r="DF1517" s="4295"/>
      <c r="DG1517" s="4295"/>
      <c r="DH1517" s="4295"/>
      <c r="DI1517" s="4295"/>
      <c r="DJ1517" s="4295"/>
      <c r="DK1517" s="4295"/>
      <c r="DL1517" s="4295"/>
      <c r="DM1517" s="4295"/>
      <c r="DN1517" s="4295"/>
      <c r="DO1517" s="4295"/>
      <c r="DP1517" s="4295"/>
      <c r="DQ1517" s="4295"/>
      <c r="DR1517" s="4295"/>
      <c r="DS1517" s="4295"/>
    </row>
    <row r="1518" s="4133" customFormat="1" ht="14.25" customHeight="1" spans="1:123">
      <c r="A1518" s="4772"/>
      <c r="B1518" s="4773"/>
      <c r="C1518" s="4773"/>
      <c r="D1518" s="4773"/>
      <c r="E1518" s="4773"/>
      <c r="F1518" s="4773"/>
      <c r="G1518" s="4773"/>
      <c r="H1518" s="4773"/>
      <c r="I1518" s="4773"/>
      <c r="J1518" s="4773"/>
      <c r="K1518" s="4773"/>
      <c r="L1518" s="4773"/>
      <c r="M1518" s="4773"/>
      <c r="N1518" s="4773"/>
      <c r="O1518" s="4773"/>
      <c r="P1518" s="4773"/>
      <c r="Q1518" s="4773"/>
      <c r="R1518" s="4773"/>
      <c r="S1518" s="4773"/>
      <c r="T1518" s="4773"/>
      <c r="U1518" s="4773"/>
      <c r="V1518" s="4773"/>
      <c r="W1518" s="4773"/>
      <c r="X1518" s="4773"/>
      <c r="Y1518" s="4773"/>
      <c r="Z1518" s="4773"/>
      <c r="AA1518" s="4773"/>
      <c r="AB1518" s="4773"/>
      <c r="AC1518" s="4773"/>
      <c r="AD1518" s="4773"/>
      <c r="AE1518" s="4773"/>
      <c r="AF1518" s="4773"/>
      <c r="AG1518" s="4773"/>
      <c r="AH1518" s="4773"/>
      <c r="AI1518" s="4773"/>
      <c r="AJ1518" s="4773"/>
      <c r="AK1518" s="4773"/>
      <c r="AL1518" s="4773"/>
      <c r="AM1518" s="4773"/>
      <c r="AN1518" s="4773"/>
      <c r="AO1518" s="4773"/>
      <c r="AP1518" s="4773"/>
      <c r="AQ1518" s="4773"/>
      <c r="AR1518" s="4773"/>
      <c r="AS1518" s="4773"/>
      <c r="AT1518" s="4773"/>
      <c r="AU1518" s="4295"/>
      <c r="AV1518" s="4295"/>
      <c r="AW1518" s="4295"/>
      <c r="AX1518" s="4295"/>
      <c r="AY1518" s="4295"/>
      <c r="AZ1518" s="4295"/>
      <c r="BA1518" s="4295"/>
      <c r="BB1518" s="4295"/>
      <c r="BC1518" s="4295"/>
      <c r="BD1518" s="4295"/>
      <c r="BE1518" s="4295"/>
      <c r="BF1518" s="4295"/>
      <c r="BG1518" s="4295"/>
      <c r="BH1518" s="4295"/>
      <c r="BI1518" s="4295"/>
      <c r="BJ1518" s="4295"/>
      <c r="BK1518" s="4295"/>
      <c r="BL1518" s="4295"/>
      <c r="BM1518" s="4295"/>
      <c r="BN1518" s="4295"/>
      <c r="BO1518" s="4295"/>
      <c r="BP1518" s="4295"/>
      <c r="BQ1518" s="4295"/>
      <c r="BR1518" s="4295"/>
      <c r="BS1518" s="4295"/>
      <c r="BT1518" s="4295"/>
      <c r="BU1518" s="4295"/>
      <c r="BV1518" s="4295"/>
      <c r="BW1518" s="4295"/>
      <c r="BX1518" s="4295"/>
      <c r="BY1518" s="4295"/>
      <c r="BZ1518" s="4295"/>
      <c r="CA1518" s="4295"/>
      <c r="CB1518" s="4295"/>
      <c r="CC1518" s="4295"/>
      <c r="CD1518" s="4295"/>
      <c r="CE1518" s="4295"/>
      <c r="CF1518" s="4295"/>
      <c r="CG1518" s="4295"/>
      <c r="CH1518" s="4295"/>
      <c r="CI1518" s="4295"/>
      <c r="CJ1518" s="4295"/>
      <c r="CK1518" s="4295"/>
      <c r="CL1518" s="4295"/>
      <c r="CM1518" s="4295"/>
      <c r="CN1518" s="4295"/>
      <c r="CO1518" s="4295"/>
      <c r="CP1518" s="4295"/>
      <c r="CQ1518" s="4295"/>
      <c r="CR1518" s="4295"/>
      <c r="CS1518" s="4295"/>
      <c r="CT1518" s="4295"/>
      <c r="CU1518" s="4295"/>
      <c r="CV1518" s="4295"/>
      <c r="CW1518" s="4295"/>
      <c r="CX1518" s="4295"/>
      <c r="CY1518" s="4295"/>
      <c r="CZ1518" s="4295"/>
      <c r="DA1518" s="4295"/>
      <c r="DB1518" s="4295"/>
      <c r="DC1518" s="4295"/>
      <c r="DD1518" s="4295"/>
      <c r="DE1518" s="4295"/>
      <c r="DF1518" s="4295"/>
      <c r="DG1518" s="4295"/>
      <c r="DH1518" s="4295"/>
      <c r="DI1518" s="4295"/>
      <c r="DJ1518" s="4295"/>
      <c r="DK1518" s="4295"/>
      <c r="DL1518" s="4295"/>
      <c r="DM1518" s="4295"/>
      <c r="DN1518" s="4295"/>
      <c r="DO1518" s="4295"/>
      <c r="DP1518" s="4295"/>
      <c r="DQ1518" s="4295"/>
      <c r="DR1518" s="4295"/>
      <c r="DS1518" s="4295"/>
    </row>
    <row r="1519" s="4133" customFormat="1" customHeight="1" spans="1:123">
      <c r="A1519" s="4772"/>
      <c r="B1519" s="4773"/>
      <c r="C1519" s="4295"/>
      <c r="D1519" s="4295"/>
      <c r="E1519" s="4295"/>
      <c r="F1519" s="4295"/>
      <c r="G1519" s="4295"/>
      <c r="H1519" s="4295"/>
      <c r="I1519" s="4295"/>
      <c r="J1519" s="4295"/>
      <c r="K1519" s="4295"/>
      <c r="L1519" s="4295"/>
      <c r="M1519" s="4295"/>
      <c r="N1519" s="4295"/>
      <c r="O1519" s="4295"/>
      <c r="P1519" s="4295"/>
      <c r="Q1519" s="4295"/>
      <c r="R1519" s="4295"/>
      <c r="S1519" s="4295"/>
      <c r="T1519" s="4295"/>
      <c r="U1519" s="4295"/>
      <c r="V1519" s="4295"/>
      <c r="W1519" s="4295"/>
      <c r="X1519" s="4295"/>
      <c r="Y1519" s="4295"/>
      <c r="Z1519" s="4295"/>
      <c r="AA1519" s="4295"/>
      <c r="AB1519" s="4295"/>
      <c r="AC1519" s="4295"/>
      <c r="AD1519" s="4295"/>
      <c r="AE1519" s="4295"/>
      <c r="AF1519" s="4295"/>
      <c r="AG1519" s="4295"/>
      <c r="AH1519" s="4295"/>
      <c r="AI1519" s="4295"/>
      <c r="AJ1519" s="4295"/>
      <c r="AK1519" s="4295"/>
      <c r="AL1519" s="4295"/>
      <c r="AM1519" s="4295"/>
      <c r="AN1519" s="4295"/>
      <c r="AO1519" s="4295"/>
      <c r="AP1519" s="4295"/>
      <c r="AQ1519" s="4295"/>
      <c r="AR1519" s="4295"/>
      <c r="AS1519" s="4295"/>
      <c r="AT1519" s="4295"/>
      <c r="AU1519" s="4295"/>
      <c r="AV1519" s="4295"/>
      <c r="AW1519" s="4295"/>
      <c r="AX1519" s="4295"/>
      <c r="AY1519" s="4295"/>
      <c r="AZ1519" s="4295"/>
      <c r="BA1519" s="4295"/>
      <c r="BB1519" s="4295"/>
      <c r="BC1519" s="4295"/>
      <c r="BD1519" s="4295"/>
      <c r="BE1519" s="4295"/>
      <c r="BF1519" s="4295"/>
      <c r="BG1519" s="4295"/>
      <c r="BH1519" s="4295"/>
      <c r="BI1519" s="4295"/>
      <c r="BJ1519" s="4295"/>
      <c r="BK1519" s="4295"/>
      <c r="BL1519" s="4295"/>
      <c r="BM1519" s="4295"/>
      <c r="BN1519" s="4295"/>
      <c r="BO1519" s="4295"/>
      <c r="BP1519" s="4295"/>
      <c r="BQ1519" s="4295"/>
      <c r="BR1519" s="4295"/>
      <c r="BS1519" s="4295"/>
      <c r="BT1519" s="4295"/>
      <c r="BU1519" s="4295"/>
      <c r="BV1519" s="4295"/>
      <c r="BW1519" s="4295"/>
      <c r="BX1519" s="4295"/>
      <c r="BY1519" s="4295"/>
      <c r="BZ1519" s="4295"/>
      <c r="CA1519" s="4295"/>
      <c r="CB1519" s="4295"/>
      <c r="CC1519" s="4295"/>
      <c r="CD1519" s="4295"/>
      <c r="CE1519" s="4295"/>
      <c r="CF1519" s="4295"/>
      <c r="CG1519" s="4295"/>
      <c r="CH1519" s="4295"/>
      <c r="CI1519" s="4295"/>
      <c r="CJ1519" s="4295"/>
      <c r="CK1519" s="4295"/>
      <c r="CL1519" s="4295"/>
      <c r="CM1519" s="4295"/>
      <c r="CN1519" s="4295"/>
      <c r="CO1519" s="4295"/>
      <c r="CP1519" s="4295"/>
      <c r="CQ1519" s="4295"/>
      <c r="CR1519" s="4295"/>
      <c r="CS1519" s="4295"/>
      <c r="CT1519" s="4295"/>
      <c r="CU1519" s="4295"/>
      <c r="CV1519" s="4295"/>
      <c r="CW1519" s="4295"/>
      <c r="CX1519" s="4295"/>
      <c r="CY1519" s="4295"/>
      <c r="CZ1519" s="4295"/>
      <c r="DA1519" s="4295"/>
      <c r="DB1519" s="4295"/>
      <c r="DC1519" s="4295"/>
      <c r="DD1519" s="4295"/>
      <c r="DE1519" s="4295"/>
      <c r="DF1519" s="4295"/>
      <c r="DG1519" s="4295"/>
      <c r="DH1519" s="4295"/>
      <c r="DI1519" s="4295"/>
      <c r="DJ1519" s="4295"/>
      <c r="DK1519" s="4295"/>
      <c r="DL1519" s="4295"/>
      <c r="DM1519" s="4295"/>
      <c r="DN1519" s="4295"/>
      <c r="DO1519" s="4295"/>
      <c r="DP1519" s="4295"/>
      <c r="DQ1519" s="4295"/>
      <c r="DR1519" s="4295"/>
      <c r="DS1519" s="4295"/>
    </row>
    <row r="1520" customHeight="1" spans="1:123">
      <c r="A1520" s="5079"/>
      <c r="B1520" s="5080"/>
      <c r="C1520" s="3395"/>
      <c r="D1520" s="3395"/>
      <c r="E1520" s="3395"/>
      <c r="F1520" s="3395"/>
      <c r="G1520" s="3395"/>
      <c r="H1520" s="3395"/>
      <c r="I1520" s="3395"/>
      <c r="J1520" s="3395"/>
      <c r="K1520" s="3395"/>
      <c r="L1520" s="3395"/>
      <c r="M1520" s="3395"/>
      <c r="N1520" s="3395"/>
      <c r="O1520" s="3395"/>
      <c r="P1520" s="3395"/>
      <c r="Q1520" s="3395"/>
      <c r="R1520" s="3395"/>
      <c r="S1520" s="3395"/>
      <c r="T1520" s="3395"/>
      <c r="U1520" s="3395"/>
      <c r="V1520" s="3395"/>
      <c r="W1520" s="3395"/>
      <c r="X1520" s="3395"/>
      <c r="Y1520" s="3395"/>
      <c r="Z1520" s="3395"/>
      <c r="AA1520" s="3395"/>
      <c r="AB1520" s="3395"/>
      <c r="AC1520" s="3395"/>
      <c r="AD1520" s="3395"/>
      <c r="AE1520" s="3395"/>
      <c r="AF1520" s="3395"/>
      <c r="AG1520" s="3395"/>
      <c r="AH1520" s="3395"/>
      <c r="AI1520" s="3395"/>
      <c r="AJ1520" s="3395"/>
      <c r="AK1520" s="3395"/>
      <c r="AL1520" s="3395"/>
      <c r="AM1520" s="3395"/>
      <c r="AN1520" s="3395"/>
      <c r="AO1520" s="3395"/>
      <c r="AP1520" s="3395"/>
      <c r="AQ1520" s="3395"/>
      <c r="AR1520" s="3395"/>
      <c r="AS1520" s="3395"/>
      <c r="AT1520" s="3395"/>
      <c r="AU1520" s="4295"/>
      <c r="AV1520" s="4295"/>
      <c r="AW1520" s="4295"/>
      <c r="AX1520" s="4295"/>
      <c r="AY1520" s="4295"/>
      <c r="AZ1520" s="4295"/>
      <c r="BA1520" s="4295"/>
      <c r="BB1520" s="4295"/>
      <c r="BC1520" s="4295"/>
      <c r="BD1520" s="4295"/>
      <c r="BE1520" s="4295"/>
      <c r="BF1520" s="4295"/>
      <c r="BG1520" s="4295"/>
      <c r="BH1520" s="4295"/>
      <c r="BI1520" s="4295"/>
      <c r="BJ1520" s="4295"/>
      <c r="BK1520" s="4295"/>
      <c r="BL1520" s="4295"/>
      <c r="BM1520" s="4295"/>
      <c r="BN1520" s="4295"/>
      <c r="BO1520" s="4295"/>
      <c r="BP1520" s="4295"/>
      <c r="BQ1520" s="4295"/>
      <c r="BR1520" s="4295"/>
      <c r="BS1520" s="4295"/>
      <c r="BT1520" s="4295"/>
      <c r="BU1520" s="4295"/>
      <c r="BV1520" s="4295"/>
      <c r="BW1520" s="4295"/>
      <c r="BX1520" s="4295"/>
      <c r="BY1520" s="4295"/>
      <c r="BZ1520" s="4295"/>
      <c r="CA1520" s="4295"/>
      <c r="CB1520" s="4295"/>
      <c r="CC1520" s="4295"/>
      <c r="CD1520" s="4295"/>
      <c r="CE1520" s="4295"/>
      <c r="CF1520" s="4295"/>
      <c r="CG1520" s="4295"/>
      <c r="CH1520" s="4295"/>
      <c r="CI1520" s="4295"/>
      <c r="CJ1520" s="4295"/>
      <c r="CK1520" s="4295"/>
      <c r="CL1520" s="4295"/>
      <c r="CM1520" s="4295"/>
      <c r="CN1520" s="4295"/>
      <c r="CO1520" s="4295"/>
      <c r="CP1520" s="4295"/>
      <c r="CQ1520" s="4295"/>
      <c r="CR1520" s="4295"/>
      <c r="CS1520" s="4295"/>
      <c r="CT1520" s="4295"/>
      <c r="CU1520" s="4295"/>
      <c r="CV1520" s="4295"/>
      <c r="CW1520" s="4295"/>
      <c r="CX1520" s="4295"/>
      <c r="CY1520" s="4295"/>
      <c r="CZ1520" s="4295"/>
      <c r="DA1520" s="4295"/>
      <c r="DB1520" s="4295"/>
      <c r="DC1520" s="4295"/>
      <c r="DD1520" s="4295"/>
      <c r="DE1520" s="4295"/>
      <c r="DF1520" s="4295"/>
      <c r="DG1520" s="4295"/>
      <c r="DH1520" s="4295"/>
      <c r="DI1520" s="4295"/>
      <c r="DJ1520" s="4295"/>
      <c r="DK1520" s="4295"/>
      <c r="DL1520" s="4295"/>
      <c r="DM1520" s="4295"/>
      <c r="DN1520" s="4295"/>
      <c r="DO1520" s="4295"/>
      <c r="DP1520" s="4295"/>
      <c r="DQ1520" s="4295"/>
      <c r="DR1520" s="4295"/>
      <c r="DS1520" s="4295"/>
    </row>
    <row r="1521" ht="21" customHeight="1" spans="1:123">
      <c r="A1521" s="5081" t="s">
        <v>5785</v>
      </c>
      <c r="B1521" s="5081"/>
      <c r="C1521" s="5081"/>
      <c r="D1521" s="5081"/>
      <c r="E1521" s="5081"/>
      <c r="F1521" s="5081"/>
      <c r="G1521" s="5081"/>
      <c r="H1521" s="5081"/>
      <c r="I1521" s="5081"/>
      <c r="J1521" s="5081"/>
      <c r="K1521" s="5081"/>
      <c r="L1521" s="5081"/>
      <c r="M1521" s="5081"/>
      <c r="N1521" s="5081"/>
      <c r="O1521" s="5081"/>
      <c r="P1521" s="5081"/>
      <c r="Q1521" s="5081"/>
      <c r="R1521" s="5081"/>
      <c r="S1521" s="5081"/>
      <c r="T1521" s="5081"/>
      <c r="U1521" s="5081"/>
      <c r="V1521" s="5081"/>
      <c r="W1521" s="5081"/>
      <c r="X1521" s="5081"/>
      <c r="Y1521" s="5081"/>
      <c r="Z1521" s="5081"/>
      <c r="AA1521" s="5081"/>
      <c r="AB1521" s="5081"/>
      <c r="AC1521" s="5081"/>
      <c r="AD1521" s="5081"/>
      <c r="AE1521" s="5081"/>
      <c r="AF1521" s="5081"/>
      <c r="AG1521" s="5081"/>
      <c r="AH1521" s="5081"/>
      <c r="AI1521" s="5081"/>
      <c r="AJ1521" s="5081"/>
      <c r="AK1521" s="5081"/>
      <c r="AL1521" s="5081"/>
      <c r="AM1521" s="5081"/>
      <c r="AN1521" s="5081"/>
      <c r="AO1521" s="5081"/>
      <c r="AP1521" s="5081"/>
      <c r="AQ1521" s="5081"/>
      <c r="AR1521" s="5081"/>
      <c r="AS1521" s="5081"/>
      <c r="AT1521" s="5081"/>
      <c r="AU1521" s="5081"/>
      <c r="AV1521" s="5081"/>
      <c r="AW1521" s="5081"/>
      <c r="AX1521" s="5081"/>
      <c r="AY1521" s="5081"/>
      <c r="AZ1521" s="5081"/>
      <c r="BA1521" s="5081"/>
      <c r="BB1521" s="5081"/>
      <c r="BC1521" s="5081"/>
      <c r="BD1521" s="5081"/>
      <c r="BE1521" s="5081"/>
      <c r="BF1521" s="5081"/>
      <c r="BG1521" s="5081"/>
      <c r="BH1521" s="5081"/>
      <c r="BI1521" s="5081"/>
      <c r="BJ1521" s="5081"/>
      <c r="BK1521" s="5081"/>
      <c r="BL1521" s="5081"/>
      <c r="BM1521" s="5081"/>
      <c r="BN1521" s="5081"/>
      <c r="BO1521" s="5081"/>
      <c r="BP1521" s="5081"/>
      <c r="BQ1521" s="5081"/>
      <c r="BR1521" s="5081"/>
      <c r="BS1521" s="5081"/>
      <c r="BT1521" s="5081"/>
      <c r="BU1521" s="5081"/>
      <c r="BV1521" s="5081"/>
      <c r="BW1521" s="5081"/>
      <c r="BX1521" s="5081"/>
      <c r="BY1521" s="5081"/>
      <c r="BZ1521" s="5081"/>
      <c r="CA1521" s="4853"/>
      <c r="CB1521" s="4853"/>
      <c r="CC1521" s="4853"/>
      <c r="CD1521" s="4853"/>
      <c r="CE1521" s="4853"/>
      <c r="CF1521" s="4853"/>
      <c r="CG1521" s="4853"/>
      <c r="CH1521" s="4853"/>
      <c r="CI1521" s="4853"/>
      <c r="CJ1521" s="4853"/>
      <c r="CK1521" s="4853"/>
      <c r="CL1521" s="4853"/>
      <c r="CM1521" s="4853"/>
      <c r="CN1521" s="4853"/>
      <c r="CO1521" s="4853"/>
      <c r="CP1521" s="4853"/>
      <c r="CQ1521" s="4853"/>
      <c r="CR1521" s="4853"/>
      <c r="CS1521" s="4853"/>
      <c r="CT1521" s="4853"/>
      <c r="CU1521" s="4853"/>
      <c r="CV1521" s="4853"/>
      <c r="CW1521" s="4853"/>
      <c r="CX1521" s="4853"/>
      <c r="CY1521" s="4853"/>
      <c r="CZ1521" s="4853"/>
      <c r="DA1521" s="4853"/>
      <c r="DB1521" s="4853"/>
      <c r="DC1521" s="4853"/>
      <c r="DD1521" s="4853"/>
      <c r="DE1521" s="4853"/>
      <c r="DF1521" s="4853"/>
      <c r="DG1521" s="4853"/>
      <c r="DH1521" s="4853"/>
      <c r="DI1521" s="4853"/>
      <c r="DJ1521" s="4853"/>
      <c r="DK1521" s="4853"/>
      <c r="DL1521" s="4853"/>
      <c r="DM1521" s="4853"/>
      <c r="DN1521" s="4853"/>
      <c r="DO1521" s="4853"/>
      <c r="DP1521" s="4853"/>
      <c r="DQ1521" s="4853"/>
      <c r="DR1521" s="4853"/>
      <c r="DS1521" s="4853"/>
    </row>
    <row r="1522" ht="17.25" customHeight="1" spans="1:123">
      <c r="A1522" s="5082"/>
      <c r="B1522" s="5082"/>
      <c r="C1522" s="5082"/>
      <c r="D1522" s="5082"/>
      <c r="E1522" s="5082"/>
      <c r="F1522" s="5082"/>
      <c r="G1522" s="5082"/>
      <c r="H1522" s="5082"/>
      <c r="I1522" s="5082"/>
      <c r="J1522" s="5082"/>
      <c r="K1522" s="5082"/>
      <c r="L1522" s="5082"/>
      <c r="M1522" s="5082"/>
      <c r="N1522" s="5082"/>
      <c r="O1522" s="5082"/>
      <c r="P1522" s="5082"/>
      <c r="Q1522" s="5082"/>
      <c r="R1522" s="5082"/>
      <c r="S1522" s="5082"/>
      <c r="T1522" s="5082"/>
      <c r="U1522" s="5082"/>
      <c r="V1522" s="5082"/>
      <c r="W1522" s="5082"/>
      <c r="X1522" s="5082"/>
      <c r="Y1522" s="5082"/>
      <c r="Z1522" s="5082"/>
      <c r="AA1522" s="5082"/>
      <c r="AB1522" s="5082"/>
      <c r="AC1522" s="5082"/>
      <c r="AD1522" s="5082"/>
      <c r="AE1522" s="5082"/>
      <c r="AF1522" s="5082"/>
      <c r="AG1522" s="5082"/>
      <c r="AH1522" s="5082"/>
      <c r="AI1522" s="5082"/>
      <c r="AJ1522" s="5082"/>
      <c r="AK1522" s="5082"/>
      <c r="AL1522" s="5082"/>
      <c r="AM1522" s="5082"/>
      <c r="AN1522" s="5082"/>
      <c r="AO1522" s="5082"/>
      <c r="AP1522" s="5082"/>
      <c r="AQ1522" s="5082"/>
      <c r="AR1522" s="5082"/>
      <c r="AS1522" s="5083"/>
      <c r="AT1522" s="5082"/>
      <c r="AU1522" s="5082"/>
      <c r="AV1522" s="5082"/>
      <c r="AW1522" s="5082"/>
      <c r="AX1522" s="5082"/>
      <c r="AY1522" s="5082"/>
      <c r="AZ1522" s="5082"/>
      <c r="BA1522" s="5082"/>
      <c r="BB1522" s="5082"/>
      <c r="BC1522" s="5082"/>
      <c r="BD1522" s="5082"/>
      <c r="BE1522" s="5082"/>
      <c r="BF1522" s="5082"/>
      <c r="BG1522" s="5082"/>
      <c r="BH1522" s="5082"/>
      <c r="BI1522" s="5082"/>
      <c r="BJ1522" s="5082"/>
      <c r="BK1522" s="5082"/>
      <c r="BL1522" s="5082"/>
      <c r="BM1522" s="5082"/>
      <c r="BN1522" s="5082"/>
      <c r="BO1522" s="5082"/>
      <c r="BP1522" s="5082"/>
      <c r="BQ1522" s="5082"/>
      <c r="BR1522" s="5082"/>
      <c r="BS1522" s="5082"/>
      <c r="BT1522" s="5082"/>
      <c r="BU1522" s="5082"/>
      <c r="BV1522" s="5082"/>
      <c r="BW1522" s="5082"/>
      <c r="BX1522" s="5082"/>
      <c r="BY1522" s="5082"/>
      <c r="BZ1522" s="5082"/>
      <c r="CA1522" s="4853"/>
      <c r="CB1522" s="4853"/>
      <c r="CC1522" s="4853"/>
      <c r="CD1522" s="4853"/>
      <c r="CE1522" s="4853"/>
      <c r="CF1522" s="4853"/>
      <c r="CG1522" s="4853"/>
      <c r="CH1522" s="4853"/>
      <c r="CI1522" s="4853"/>
      <c r="CJ1522" s="4853"/>
      <c r="CK1522" s="4853"/>
      <c r="CL1522" s="4853"/>
      <c r="CM1522" s="4853"/>
      <c r="CN1522" s="4853"/>
      <c r="CO1522" s="4853"/>
      <c r="CP1522" s="4853"/>
      <c r="CQ1522" s="4853"/>
      <c r="CR1522" s="4853"/>
      <c r="CS1522" s="4853"/>
      <c r="CT1522" s="4853"/>
      <c r="CU1522" s="4853"/>
      <c r="CV1522" s="4853"/>
      <c r="CW1522" s="4853"/>
      <c r="CX1522" s="4853"/>
      <c r="CY1522" s="4853"/>
      <c r="CZ1522" s="4853"/>
      <c r="DA1522" s="4853"/>
      <c r="DB1522" s="4853"/>
      <c r="DC1522" s="4853"/>
      <c r="DD1522" s="4853"/>
      <c r="DE1522" s="4853"/>
      <c r="DF1522" s="4853"/>
      <c r="DG1522" s="4853"/>
      <c r="DH1522" s="4853"/>
      <c r="DI1522" s="4853"/>
      <c r="DJ1522" s="4853"/>
      <c r="DK1522" s="4853"/>
      <c r="DL1522" s="4853"/>
      <c r="DM1522" s="4853"/>
      <c r="DN1522" s="4853"/>
      <c r="DO1522" s="4853"/>
      <c r="DP1522" s="4853"/>
      <c r="DQ1522" s="4853"/>
      <c r="DR1522" s="4853"/>
      <c r="DS1522" s="4853"/>
    </row>
    <row r="1523" ht="17.25" customHeight="1" spans="1:123">
      <c r="A1523" s="5082"/>
      <c r="B1523" s="5082"/>
      <c r="C1523" s="5082"/>
      <c r="D1523" s="5082"/>
      <c r="E1523" s="5082"/>
      <c r="F1523" s="5082"/>
      <c r="G1523" s="5082"/>
      <c r="H1523" s="5082"/>
      <c r="I1523" s="5082"/>
      <c r="J1523" s="5082"/>
      <c r="K1523" s="5082"/>
      <c r="L1523" s="5082"/>
      <c r="M1523" s="5082"/>
      <c r="N1523" s="5082"/>
      <c r="O1523" s="5082"/>
      <c r="P1523" s="5082"/>
      <c r="Q1523" s="5082"/>
      <c r="R1523" s="5082"/>
      <c r="S1523" s="5082"/>
      <c r="T1523" s="5082"/>
      <c r="U1523" s="5082"/>
      <c r="V1523" s="5082"/>
      <c r="W1523" s="5082"/>
      <c r="X1523" s="5082"/>
      <c r="Y1523" s="5082"/>
      <c r="Z1523" s="5082"/>
      <c r="AA1523" s="5082"/>
      <c r="AB1523" s="5082"/>
      <c r="AC1523" s="5082"/>
      <c r="AD1523" s="5082"/>
      <c r="AE1523" s="5082"/>
      <c r="AF1523" s="5082"/>
      <c r="AG1523" s="5082"/>
      <c r="AH1523" s="5082"/>
      <c r="AI1523" s="5082"/>
      <c r="AJ1523" s="5082"/>
      <c r="AK1523" s="5082"/>
      <c r="AL1523" s="5082"/>
      <c r="AM1523" s="5082"/>
      <c r="AN1523" s="5082"/>
      <c r="AO1523" s="5082"/>
      <c r="AP1523" s="5082"/>
      <c r="AQ1523" s="5082"/>
      <c r="AR1523" s="5082"/>
      <c r="AS1523" s="5083"/>
      <c r="AT1523" s="5082"/>
      <c r="AU1523" s="5082"/>
      <c r="AV1523" s="5082"/>
      <c r="AW1523" s="5082"/>
      <c r="AX1523" s="5082"/>
      <c r="AY1523" s="5082"/>
      <c r="AZ1523" s="5082"/>
      <c r="BA1523" s="5082"/>
      <c r="BB1523" s="5082"/>
      <c r="BC1523" s="5082"/>
      <c r="BD1523" s="5082"/>
      <c r="BE1523" s="5082"/>
      <c r="BF1523" s="5082"/>
      <c r="BG1523" s="5082"/>
      <c r="BH1523" s="5082"/>
      <c r="BI1523" s="5082"/>
      <c r="BJ1523" s="5082"/>
      <c r="BK1523" s="5082"/>
      <c r="BL1523" s="5082"/>
      <c r="BM1523" s="5082"/>
      <c r="BN1523" s="5082"/>
      <c r="BO1523" s="5082"/>
      <c r="BP1523" s="5082"/>
      <c r="BQ1523" s="5082"/>
      <c r="BR1523" s="5082"/>
      <c r="BS1523" s="5082"/>
      <c r="BT1523" s="5082"/>
      <c r="BU1523" s="5082"/>
      <c r="BV1523" s="5082"/>
      <c r="BW1523" s="5082"/>
      <c r="BX1523" s="5082"/>
      <c r="BY1523" s="5082"/>
      <c r="BZ1523" s="5082"/>
      <c r="CA1523" s="4853"/>
      <c r="CB1523" s="4853"/>
      <c r="CC1523" s="4853"/>
      <c r="CD1523" s="4853"/>
      <c r="CE1523" s="4853"/>
      <c r="CF1523" s="4853"/>
      <c r="CG1523" s="4853"/>
      <c r="CH1523" s="4853"/>
      <c r="CI1523" s="4853"/>
      <c r="CJ1523" s="4853"/>
      <c r="CK1523" s="4853"/>
      <c r="CL1523" s="4853"/>
      <c r="CM1523" s="4853"/>
      <c r="CN1523" s="4853"/>
      <c r="CO1523" s="4853"/>
      <c r="CP1523" s="4853"/>
      <c r="CQ1523" s="4853"/>
      <c r="CR1523" s="4853"/>
      <c r="CS1523" s="4853"/>
      <c r="CT1523" s="4853"/>
      <c r="CU1523" s="4853"/>
      <c r="CV1523" s="4853"/>
      <c r="CW1523" s="4853"/>
      <c r="CX1523" s="4853"/>
      <c r="CY1523" s="4853"/>
      <c r="CZ1523" s="4853"/>
      <c r="DA1523" s="4853"/>
      <c r="DB1523" s="4853"/>
      <c r="DC1523" s="4853"/>
      <c r="DD1523" s="4853"/>
      <c r="DE1523" s="4853"/>
      <c r="DF1523" s="4853"/>
      <c r="DG1523" s="4853"/>
      <c r="DH1523" s="4853"/>
      <c r="DI1523" s="4853"/>
      <c r="DJ1523" s="4853"/>
      <c r="DK1523" s="4853"/>
      <c r="DL1523" s="4853"/>
      <c r="DM1523" s="4853"/>
      <c r="DN1523" s="4853"/>
      <c r="DO1523" s="4853"/>
      <c r="DP1523" s="4853"/>
      <c r="DQ1523" s="4853"/>
      <c r="DR1523" s="4853"/>
      <c r="DS1523" s="4853"/>
    </row>
    <row r="1524" s="75" customFormat="1" ht="17.25" customHeight="1" spans="1:123">
      <c r="A1524" s="5084"/>
      <c r="B1524" s="5082"/>
      <c r="C1524" s="5082"/>
      <c r="D1524" s="5082"/>
      <c r="E1524" s="5082"/>
      <c r="F1524" s="5082"/>
      <c r="G1524" s="5082"/>
      <c r="H1524" s="5082"/>
      <c r="I1524" s="5082"/>
      <c r="J1524" s="5082"/>
      <c r="K1524" s="5082"/>
      <c r="L1524" s="5082"/>
      <c r="M1524" s="5082"/>
      <c r="N1524" s="5082"/>
      <c r="O1524" s="5082"/>
      <c r="P1524" s="5082"/>
      <c r="Q1524" s="5082"/>
      <c r="R1524" s="5082"/>
      <c r="S1524" s="5082"/>
      <c r="T1524" s="5082"/>
      <c r="U1524" s="5082"/>
      <c r="V1524" s="5082"/>
      <c r="W1524" s="5082"/>
      <c r="X1524" s="5082"/>
      <c r="Y1524" s="5082"/>
      <c r="Z1524" s="5082"/>
      <c r="AA1524" s="5082"/>
      <c r="AB1524" s="5082"/>
      <c r="AC1524" s="5082"/>
      <c r="AD1524" s="5082"/>
      <c r="AE1524" s="5082"/>
      <c r="AF1524" s="5082"/>
      <c r="AG1524" s="5082"/>
      <c r="AH1524" s="5082"/>
      <c r="AI1524" s="5082"/>
      <c r="AJ1524" s="5082"/>
      <c r="AK1524" s="5082"/>
      <c r="AL1524" s="5082"/>
      <c r="AM1524" s="5082"/>
      <c r="AN1524" s="5082"/>
      <c r="AO1524" s="5082"/>
      <c r="AP1524" s="5082"/>
      <c r="AQ1524" s="5082"/>
      <c r="AR1524" s="5082"/>
      <c r="AS1524" s="5083"/>
      <c r="AT1524" s="5082"/>
      <c r="AU1524" s="5082"/>
      <c r="AV1524" s="5082"/>
      <c r="AW1524" s="5082"/>
      <c r="AX1524" s="5082"/>
      <c r="AY1524" s="5082"/>
      <c r="AZ1524" s="5082"/>
      <c r="BA1524" s="5082"/>
      <c r="BB1524" s="5082"/>
      <c r="BC1524" s="5082"/>
      <c r="BD1524" s="5082"/>
      <c r="BE1524" s="5082"/>
      <c r="BF1524" s="5082"/>
      <c r="BG1524" s="5082"/>
      <c r="BH1524" s="5082"/>
      <c r="BI1524" s="5082"/>
      <c r="BJ1524" s="5082"/>
      <c r="BK1524" s="5082"/>
      <c r="BL1524" s="5082"/>
      <c r="BM1524" s="5082"/>
      <c r="BN1524" s="5082"/>
      <c r="BO1524" s="5082"/>
      <c r="BP1524" s="5082"/>
      <c r="BQ1524" s="5082"/>
      <c r="BR1524" s="5082"/>
      <c r="BS1524" s="5082"/>
      <c r="BT1524" s="5082"/>
      <c r="BU1524" s="5082"/>
      <c r="BV1524" s="5082"/>
      <c r="BW1524" s="5082"/>
      <c r="BX1524" s="5082"/>
      <c r="BY1524" s="5082"/>
      <c r="BZ1524" s="5082"/>
      <c r="CA1524" s="4853"/>
      <c r="CB1524" s="4853"/>
      <c r="CC1524" s="4853"/>
      <c r="CD1524" s="4853"/>
      <c r="CE1524" s="4853"/>
      <c r="CF1524" s="4853"/>
      <c r="CG1524" s="4853"/>
      <c r="CH1524" s="4853"/>
      <c r="CI1524" s="4853"/>
      <c r="CJ1524" s="4853"/>
      <c r="CK1524" s="4853"/>
      <c r="CL1524" s="4853"/>
      <c r="CM1524" s="4853"/>
      <c r="CN1524" s="4853"/>
      <c r="CO1524" s="4853"/>
      <c r="CP1524" s="4853"/>
      <c r="CQ1524" s="4853"/>
      <c r="CR1524" s="4853"/>
      <c r="CS1524" s="4853"/>
      <c r="CT1524" s="4853"/>
      <c r="CU1524" s="4853"/>
      <c r="CV1524" s="4853"/>
      <c r="CW1524" s="4853"/>
      <c r="CX1524" s="4853"/>
      <c r="CY1524" s="4853"/>
      <c r="CZ1524" s="4853"/>
      <c r="DA1524" s="4853"/>
      <c r="DB1524" s="4853"/>
      <c r="DC1524" s="4853"/>
      <c r="DD1524" s="4853"/>
      <c r="DE1524" s="4853"/>
      <c r="DF1524" s="4853"/>
      <c r="DG1524" s="4853"/>
      <c r="DH1524" s="4853"/>
      <c r="DI1524" s="4853"/>
      <c r="DJ1524" s="4853"/>
      <c r="DK1524" s="4853"/>
      <c r="DL1524" s="4853"/>
      <c r="DM1524" s="4853"/>
      <c r="DN1524" s="4853"/>
      <c r="DO1524" s="4853"/>
      <c r="DP1524" s="4853"/>
      <c r="DQ1524" s="4853"/>
      <c r="DR1524" s="4853"/>
      <c r="DS1524" s="4853"/>
    </row>
    <row r="1525" s="75" customFormat="1" ht="17.25" customHeight="1" spans="1:123">
      <c r="A1525" s="5084"/>
      <c r="B1525" s="5082"/>
      <c r="C1525" s="5082"/>
      <c r="D1525" s="5082"/>
      <c r="E1525" s="5082"/>
      <c r="F1525" s="5082"/>
      <c r="G1525" s="5082"/>
      <c r="H1525" s="5082"/>
      <c r="I1525" s="5082"/>
      <c r="J1525" s="5082"/>
      <c r="K1525" s="5082"/>
      <c r="L1525" s="5082"/>
      <c r="M1525" s="5082"/>
      <c r="N1525" s="5082"/>
      <c r="O1525" s="5082"/>
      <c r="P1525" s="5082"/>
      <c r="Q1525" s="5082"/>
      <c r="R1525" s="5082"/>
      <c r="S1525" s="5082"/>
      <c r="T1525" s="5082"/>
      <c r="U1525" s="5082"/>
      <c r="V1525" s="5082"/>
      <c r="W1525" s="5082"/>
      <c r="X1525" s="5082"/>
      <c r="Y1525" s="5082"/>
      <c r="Z1525" s="5082"/>
      <c r="AA1525" s="5082"/>
      <c r="AB1525" s="5082"/>
      <c r="AC1525" s="5082"/>
      <c r="AD1525" s="5082"/>
      <c r="AE1525" s="5082"/>
      <c r="AF1525" s="5082"/>
      <c r="AG1525" s="5082"/>
      <c r="AH1525" s="5082"/>
      <c r="AI1525" s="5082"/>
      <c r="AJ1525" s="5082"/>
      <c r="AK1525" s="5082"/>
      <c r="AL1525" s="5082"/>
      <c r="AM1525" s="5082"/>
      <c r="AN1525" s="5082"/>
      <c r="AO1525" s="5082"/>
      <c r="AP1525" s="5082"/>
      <c r="AQ1525" s="5082"/>
      <c r="AR1525" s="5082"/>
      <c r="AS1525" s="5083"/>
      <c r="AT1525" s="5082"/>
      <c r="AU1525" s="5082"/>
      <c r="AV1525" s="5082"/>
      <c r="AW1525" s="5082"/>
      <c r="AX1525" s="5082"/>
      <c r="AY1525" s="5082"/>
      <c r="AZ1525" s="5082"/>
      <c r="BA1525" s="5082"/>
      <c r="BB1525" s="5082"/>
      <c r="BC1525" s="5082"/>
      <c r="BD1525" s="5082"/>
      <c r="BE1525" s="5082"/>
      <c r="BF1525" s="5082"/>
      <c r="BG1525" s="5082"/>
      <c r="BH1525" s="5082"/>
      <c r="BI1525" s="5082"/>
      <c r="BJ1525" s="5082"/>
      <c r="BK1525" s="5082"/>
      <c r="BL1525" s="5082"/>
      <c r="BM1525" s="5082"/>
      <c r="BN1525" s="5082"/>
      <c r="BO1525" s="5082"/>
      <c r="BP1525" s="5082"/>
      <c r="BQ1525" s="5082"/>
      <c r="BR1525" s="5082"/>
      <c r="BS1525" s="5082"/>
      <c r="BT1525" s="5082"/>
      <c r="BU1525" s="5082"/>
      <c r="BV1525" s="5082"/>
      <c r="BW1525" s="5082"/>
      <c r="BX1525" s="5082"/>
      <c r="BY1525" s="5082"/>
      <c r="BZ1525" s="5082"/>
      <c r="CA1525" s="4853"/>
      <c r="CB1525" s="4853"/>
      <c r="CC1525" s="4853"/>
      <c r="CD1525" s="4853"/>
      <c r="CE1525" s="4853"/>
      <c r="CF1525" s="4853"/>
      <c r="CG1525" s="4853"/>
      <c r="CH1525" s="4853"/>
      <c r="CI1525" s="4853"/>
      <c r="CJ1525" s="4853"/>
      <c r="CK1525" s="4853"/>
      <c r="CL1525" s="4853"/>
      <c r="CM1525" s="4853"/>
      <c r="CN1525" s="4853"/>
      <c r="CO1525" s="4853"/>
      <c r="CP1525" s="4853"/>
      <c r="CQ1525" s="4853"/>
      <c r="CR1525" s="4853"/>
      <c r="CS1525" s="4853"/>
      <c r="CT1525" s="4853"/>
      <c r="CU1525" s="4853"/>
      <c r="CV1525" s="4853"/>
      <c r="CW1525" s="4853"/>
      <c r="CX1525" s="4853"/>
      <c r="CY1525" s="4853"/>
      <c r="CZ1525" s="4853"/>
      <c r="DA1525" s="4853"/>
      <c r="DB1525" s="4853"/>
      <c r="DC1525" s="4853"/>
      <c r="DD1525" s="4853"/>
      <c r="DE1525" s="4853"/>
      <c r="DF1525" s="4853"/>
      <c r="DG1525" s="4853"/>
      <c r="DH1525" s="4853"/>
      <c r="DI1525" s="4853"/>
      <c r="DJ1525" s="4853"/>
      <c r="DK1525" s="4853"/>
      <c r="DL1525" s="4853"/>
      <c r="DM1525" s="4853"/>
      <c r="DN1525" s="4853"/>
      <c r="DO1525" s="4853"/>
      <c r="DP1525" s="4853"/>
      <c r="DQ1525" s="4853"/>
      <c r="DR1525" s="4853"/>
      <c r="DS1525" s="4853"/>
    </row>
    <row r="1526" s="75" customFormat="1" ht="17.25" customHeight="1" spans="1:123">
      <c r="A1526" s="5082"/>
      <c r="B1526" s="5082"/>
      <c r="C1526" s="5082"/>
      <c r="D1526" s="5082"/>
      <c r="E1526" s="5082"/>
      <c r="F1526" s="5082"/>
      <c r="G1526" s="5082"/>
      <c r="H1526" s="5082"/>
      <c r="I1526" s="5082"/>
      <c r="J1526" s="5082"/>
      <c r="K1526" s="5082"/>
      <c r="L1526" s="5082"/>
      <c r="M1526" s="5082"/>
      <c r="N1526" s="5082"/>
      <c r="O1526" s="5082"/>
      <c r="P1526" s="5082"/>
      <c r="Q1526" s="5082"/>
      <c r="R1526" s="5082"/>
      <c r="S1526" s="5082"/>
      <c r="T1526" s="5082"/>
      <c r="U1526" s="5082"/>
      <c r="V1526" s="5082"/>
      <c r="W1526" s="5082"/>
      <c r="X1526" s="5082"/>
      <c r="Y1526" s="5082"/>
      <c r="Z1526" s="5082"/>
      <c r="AA1526" s="5082"/>
      <c r="AB1526" s="5082"/>
      <c r="AC1526" s="5082"/>
      <c r="AD1526" s="5082"/>
      <c r="AE1526" s="5082"/>
      <c r="AF1526" s="5082"/>
      <c r="AG1526" s="5082"/>
      <c r="AH1526" s="5082"/>
      <c r="AI1526" s="5082"/>
      <c r="AJ1526" s="5082"/>
      <c r="AK1526" s="5082"/>
      <c r="AL1526" s="5082"/>
      <c r="AM1526" s="5082"/>
      <c r="AN1526" s="5082"/>
      <c r="AO1526" s="5082"/>
      <c r="AP1526" s="5082"/>
      <c r="AQ1526" s="5082"/>
      <c r="AR1526" s="5082"/>
      <c r="AS1526" s="5083"/>
      <c r="AT1526" s="5082"/>
      <c r="AU1526" s="5082"/>
      <c r="AV1526" s="5082"/>
      <c r="AW1526" s="5082"/>
      <c r="AX1526" s="5082"/>
      <c r="AY1526" s="5082"/>
      <c r="AZ1526" s="5082"/>
      <c r="BA1526" s="5082"/>
      <c r="BB1526" s="5082"/>
      <c r="BC1526" s="5082"/>
      <c r="BD1526" s="5082"/>
      <c r="BE1526" s="5082"/>
      <c r="BF1526" s="5082"/>
      <c r="BG1526" s="5082"/>
      <c r="BH1526" s="5082"/>
      <c r="BI1526" s="5082"/>
      <c r="BJ1526" s="5082"/>
      <c r="BK1526" s="5082"/>
      <c r="BL1526" s="5082"/>
      <c r="BM1526" s="5082"/>
      <c r="BN1526" s="5082"/>
      <c r="BO1526" s="5082"/>
      <c r="BP1526" s="5082"/>
      <c r="BQ1526" s="5082"/>
      <c r="BR1526" s="5082"/>
      <c r="BS1526" s="5082"/>
      <c r="BT1526" s="5082"/>
      <c r="BU1526" s="5082"/>
      <c r="BV1526" s="5082"/>
      <c r="BW1526" s="5082"/>
      <c r="BX1526" s="5082"/>
      <c r="BY1526" s="5082"/>
      <c r="BZ1526" s="5082"/>
      <c r="CA1526" s="4853"/>
      <c r="CB1526" s="4853"/>
      <c r="CC1526" s="4853"/>
      <c r="CD1526" s="4853"/>
      <c r="CE1526" s="4853"/>
      <c r="CF1526" s="4853"/>
      <c r="CG1526" s="4853"/>
      <c r="CH1526" s="4853"/>
      <c r="CI1526" s="4853"/>
      <c r="CJ1526" s="4853"/>
      <c r="CK1526" s="4853"/>
      <c r="CL1526" s="4853"/>
      <c r="CM1526" s="4853"/>
      <c r="CN1526" s="4853"/>
      <c r="CO1526" s="4853"/>
      <c r="CP1526" s="4853"/>
      <c r="CQ1526" s="4853"/>
      <c r="CR1526" s="4853"/>
      <c r="CS1526" s="4853"/>
      <c r="CT1526" s="4853"/>
      <c r="CU1526" s="4853"/>
      <c r="CV1526" s="4853"/>
      <c r="CW1526" s="4853"/>
      <c r="CX1526" s="4853"/>
      <c r="CY1526" s="4853"/>
      <c r="CZ1526" s="4853"/>
      <c r="DA1526" s="4853"/>
      <c r="DB1526" s="4853"/>
      <c r="DC1526" s="4853"/>
      <c r="DD1526" s="4853"/>
      <c r="DE1526" s="4853"/>
      <c r="DF1526" s="4853"/>
      <c r="DG1526" s="4853"/>
      <c r="DH1526" s="4853"/>
      <c r="DI1526" s="4853"/>
      <c r="DJ1526" s="4853"/>
      <c r="DK1526" s="4853"/>
      <c r="DL1526" s="4853"/>
      <c r="DM1526" s="4853"/>
      <c r="DN1526" s="4853"/>
      <c r="DO1526" s="4853"/>
      <c r="DP1526" s="4853"/>
      <c r="DQ1526" s="4853"/>
      <c r="DR1526" s="4853"/>
      <c r="DS1526" s="4853"/>
    </row>
    <row r="1527" s="75" customFormat="1" ht="17.25" customHeight="1" spans="1:123">
      <c r="A1527" s="5082"/>
      <c r="B1527" s="5082"/>
      <c r="C1527" s="5082"/>
      <c r="D1527" s="5082"/>
      <c r="E1527" s="5082"/>
      <c r="F1527" s="5082"/>
      <c r="G1527" s="5082"/>
      <c r="H1527" s="5082"/>
      <c r="I1527" s="5082"/>
      <c r="J1527" s="5082"/>
      <c r="K1527" s="5082"/>
      <c r="L1527" s="5082"/>
      <c r="M1527" s="5082"/>
      <c r="N1527" s="5082"/>
      <c r="O1527" s="5082"/>
      <c r="P1527" s="5082"/>
      <c r="Q1527" s="5082"/>
      <c r="R1527" s="5082"/>
      <c r="S1527" s="5082"/>
      <c r="T1527" s="5082"/>
      <c r="U1527" s="5082"/>
      <c r="V1527" s="5082"/>
      <c r="W1527" s="5082"/>
      <c r="X1527" s="5082"/>
      <c r="Y1527" s="5082"/>
      <c r="Z1527" s="5082"/>
      <c r="AA1527" s="5082"/>
      <c r="AB1527" s="5082"/>
      <c r="AC1527" s="5082"/>
      <c r="AD1527" s="5082"/>
      <c r="AE1527" s="5082"/>
      <c r="AF1527" s="5082"/>
      <c r="AG1527" s="5082"/>
      <c r="AH1527" s="5082"/>
      <c r="AI1527" s="5082"/>
      <c r="AJ1527" s="5082"/>
      <c r="AK1527" s="5082"/>
      <c r="AL1527" s="5082"/>
      <c r="AM1527" s="5082"/>
      <c r="AN1527" s="5082"/>
      <c r="AO1527" s="5082"/>
      <c r="AP1527" s="5082"/>
      <c r="AQ1527" s="5082"/>
      <c r="AR1527" s="5082"/>
      <c r="AS1527" s="5083"/>
      <c r="AT1527" s="5082"/>
      <c r="AU1527" s="5082"/>
      <c r="AV1527" s="5082"/>
      <c r="AW1527" s="5082"/>
      <c r="AX1527" s="5082"/>
      <c r="AY1527" s="5082"/>
      <c r="AZ1527" s="5082"/>
      <c r="BA1527" s="5082"/>
      <c r="BB1527" s="5082"/>
      <c r="BC1527" s="5082"/>
      <c r="BD1527" s="5082"/>
      <c r="BE1527" s="5082"/>
      <c r="BF1527" s="5082"/>
      <c r="BG1527" s="5082"/>
      <c r="BH1527" s="5082"/>
      <c r="BI1527" s="5082"/>
      <c r="BJ1527" s="5082"/>
      <c r="BK1527" s="5082"/>
      <c r="BL1527" s="5082"/>
      <c r="BM1527" s="5082"/>
      <c r="BN1527" s="5082"/>
      <c r="BO1527" s="5082"/>
      <c r="BP1527" s="5082"/>
      <c r="BQ1527" s="5082"/>
      <c r="BR1527" s="5082"/>
      <c r="BS1527" s="5082"/>
      <c r="BT1527" s="5082"/>
      <c r="BU1527" s="5082"/>
      <c r="BV1527" s="5082"/>
      <c r="BW1527" s="5082"/>
      <c r="BX1527" s="5082"/>
      <c r="BY1527" s="5082"/>
      <c r="BZ1527" s="5082"/>
      <c r="CA1527" s="4853"/>
      <c r="CB1527" s="4853"/>
      <c r="CC1527" s="4853"/>
      <c r="CD1527" s="4853"/>
      <c r="CE1527" s="4853"/>
      <c r="CF1527" s="4853"/>
      <c r="CG1527" s="4853"/>
      <c r="CH1527" s="4853"/>
      <c r="CI1527" s="4853"/>
      <c r="CJ1527" s="4853"/>
      <c r="CK1527" s="4853"/>
      <c r="CL1527" s="4853"/>
      <c r="CM1527" s="4853"/>
      <c r="CN1527" s="4853"/>
      <c r="CO1527" s="4853"/>
      <c r="CP1527" s="4853"/>
      <c r="CQ1527" s="4853"/>
      <c r="CR1527" s="4853"/>
      <c r="CS1527" s="4853"/>
      <c r="CT1527" s="4853"/>
      <c r="CU1527" s="4853"/>
      <c r="CV1527" s="4853"/>
      <c r="CW1527" s="4853"/>
      <c r="CX1527" s="4853"/>
      <c r="CY1527" s="4853"/>
      <c r="CZ1527" s="4853"/>
      <c r="DA1527" s="4853"/>
      <c r="DB1527" s="4853"/>
      <c r="DC1527" s="4853"/>
      <c r="DD1527" s="4853"/>
      <c r="DE1527" s="4853"/>
      <c r="DF1527" s="4853"/>
      <c r="DG1527" s="4853"/>
      <c r="DH1527" s="4853"/>
      <c r="DI1527" s="4853"/>
      <c r="DJ1527" s="4853"/>
      <c r="DK1527" s="4853"/>
      <c r="DL1527" s="4853"/>
      <c r="DM1527" s="4853"/>
      <c r="DN1527" s="4853"/>
      <c r="DO1527" s="4853"/>
      <c r="DP1527" s="4853"/>
      <c r="DQ1527" s="4853"/>
      <c r="DR1527" s="4853"/>
      <c r="DS1527" s="4853"/>
    </row>
    <row r="1528" s="75" customFormat="1" ht="17.25" customHeight="1" spans="1:123">
      <c r="A1528" s="5082"/>
      <c r="B1528" s="5082"/>
      <c r="C1528" s="5082"/>
      <c r="D1528" s="5082"/>
      <c r="E1528" s="5082"/>
      <c r="F1528" s="5082"/>
      <c r="G1528" s="5082"/>
      <c r="H1528" s="5082"/>
      <c r="I1528" s="5082"/>
      <c r="J1528" s="5082"/>
      <c r="K1528" s="5082"/>
      <c r="L1528" s="5082"/>
      <c r="M1528" s="5082"/>
      <c r="N1528" s="5082"/>
      <c r="O1528" s="5082"/>
      <c r="P1528" s="5082"/>
      <c r="Q1528" s="5082"/>
      <c r="R1528" s="5082"/>
      <c r="S1528" s="5082"/>
      <c r="T1528" s="5082"/>
      <c r="U1528" s="5082"/>
      <c r="V1528" s="5082"/>
      <c r="W1528" s="5082"/>
      <c r="X1528" s="5082"/>
      <c r="Y1528" s="5082"/>
      <c r="Z1528" s="5082"/>
      <c r="AA1528" s="5082"/>
      <c r="AB1528" s="5082"/>
      <c r="AC1528" s="5082"/>
      <c r="AD1528" s="5082"/>
      <c r="AE1528" s="5082"/>
      <c r="AF1528" s="5082"/>
      <c r="AG1528" s="5082"/>
      <c r="AH1528" s="5082"/>
      <c r="AI1528" s="5082"/>
      <c r="AJ1528" s="5082"/>
      <c r="AK1528" s="5082"/>
      <c r="AL1528" s="5082"/>
      <c r="AM1528" s="5082"/>
      <c r="AN1528" s="5082"/>
      <c r="AO1528" s="5082"/>
      <c r="AP1528" s="5082"/>
      <c r="AQ1528" s="5082"/>
      <c r="AR1528" s="5082"/>
      <c r="AS1528" s="5083"/>
      <c r="AT1528" s="5082"/>
      <c r="AU1528" s="5082"/>
      <c r="AV1528" s="5082"/>
      <c r="AW1528" s="5082"/>
      <c r="AX1528" s="5082"/>
      <c r="AY1528" s="5082"/>
      <c r="AZ1528" s="5082"/>
      <c r="BA1528" s="5082"/>
      <c r="BB1528" s="5082"/>
      <c r="BC1528" s="5082"/>
      <c r="BD1528" s="5082"/>
      <c r="BE1528" s="5082"/>
      <c r="BF1528" s="5082"/>
      <c r="BG1528" s="5082"/>
      <c r="BH1528" s="5082"/>
      <c r="BI1528" s="5082"/>
      <c r="BJ1528" s="5082"/>
      <c r="BK1528" s="5082"/>
      <c r="BL1528" s="5082"/>
      <c r="BM1528" s="5082"/>
      <c r="BN1528" s="5082"/>
      <c r="BO1528" s="5082"/>
      <c r="BP1528" s="5082"/>
      <c r="BQ1528" s="5082"/>
      <c r="BR1528" s="5082"/>
      <c r="BS1528" s="5082"/>
      <c r="BT1528" s="5082"/>
      <c r="BU1528" s="5082"/>
      <c r="BV1528" s="5082"/>
      <c r="BW1528" s="5082"/>
      <c r="BX1528" s="5082"/>
      <c r="BY1528" s="5082"/>
      <c r="BZ1528" s="5082"/>
      <c r="CA1528" s="4853"/>
      <c r="CB1528" s="4853"/>
      <c r="CC1528" s="4853"/>
      <c r="CD1528" s="4853"/>
      <c r="CE1528" s="4853"/>
      <c r="CF1528" s="4853"/>
      <c r="CG1528" s="4853"/>
      <c r="CH1528" s="4853"/>
      <c r="CI1528" s="4853"/>
      <c r="CJ1528" s="4853"/>
      <c r="CK1528" s="4853"/>
      <c r="CL1528" s="4853"/>
      <c r="CM1528" s="4853"/>
      <c r="CN1528" s="4853"/>
      <c r="CO1528" s="4853"/>
      <c r="CP1528" s="4853"/>
      <c r="CQ1528" s="4853"/>
      <c r="CR1528" s="4853"/>
      <c r="CS1528" s="4853"/>
      <c r="CT1528" s="4853"/>
      <c r="CU1528" s="4853"/>
      <c r="CV1528" s="4853"/>
      <c r="CW1528" s="4853"/>
      <c r="CX1528" s="4853"/>
      <c r="CY1528" s="4853"/>
      <c r="CZ1528" s="4853"/>
      <c r="DA1528" s="4853"/>
      <c r="DB1528" s="4853"/>
      <c r="DC1528" s="4853"/>
      <c r="DD1528" s="4853"/>
      <c r="DE1528" s="4853"/>
      <c r="DF1528" s="4853"/>
      <c r="DG1528" s="4853"/>
      <c r="DH1528" s="4853"/>
      <c r="DI1528" s="4853"/>
      <c r="DJ1528" s="4853"/>
      <c r="DK1528" s="4853"/>
      <c r="DL1528" s="4853"/>
      <c r="DM1528" s="4853"/>
      <c r="DN1528" s="4853"/>
      <c r="DO1528" s="4853"/>
      <c r="DP1528" s="4853"/>
      <c r="DQ1528" s="4853"/>
      <c r="DR1528" s="4853"/>
      <c r="DS1528" s="4853"/>
    </row>
    <row r="1529" s="75" customFormat="1" ht="17.25" customHeight="1" spans="1:123">
      <c r="A1529" s="5082"/>
      <c r="B1529" s="5082"/>
      <c r="C1529" s="5082"/>
      <c r="D1529" s="5082"/>
      <c r="E1529" s="5082"/>
      <c r="F1529" s="5082"/>
      <c r="G1529" s="5082"/>
      <c r="H1529" s="5082"/>
      <c r="I1529" s="5082"/>
      <c r="J1529" s="5082"/>
      <c r="K1529" s="5082"/>
      <c r="L1529" s="5082"/>
      <c r="M1529" s="5082"/>
      <c r="N1529" s="5082"/>
      <c r="O1529" s="5082"/>
      <c r="P1529" s="5082"/>
      <c r="Q1529" s="5082"/>
      <c r="R1529" s="5082"/>
      <c r="S1529" s="5082"/>
      <c r="T1529" s="5082"/>
      <c r="U1529" s="5082"/>
      <c r="V1529" s="5082"/>
      <c r="W1529" s="5082"/>
      <c r="X1529" s="5082"/>
      <c r="Y1529" s="5082"/>
      <c r="Z1529" s="5082"/>
      <c r="AA1529" s="5082"/>
      <c r="AB1529" s="5082"/>
      <c r="AC1529" s="5082"/>
      <c r="AD1529" s="5082"/>
      <c r="AE1529" s="5082"/>
      <c r="AF1529" s="5082"/>
      <c r="AG1529" s="5082"/>
      <c r="AH1529" s="5082"/>
      <c r="AI1529" s="5082"/>
      <c r="AJ1529" s="5082"/>
      <c r="AK1529" s="5082"/>
      <c r="AL1529" s="5082"/>
      <c r="AM1529" s="5082"/>
      <c r="AN1529" s="5082"/>
      <c r="AO1529" s="5082"/>
      <c r="AP1529" s="5082"/>
      <c r="AQ1529" s="5082"/>
      <c r="AR1529" s="5082"/>
      <c r="AS1529" s="5083"/>
      <c r="AT1529" s="5082"/>
      <c r="AU1529" s="5082"/>
      <c r="AV1529" s="5082"/>
      <c r="AW1529" s="5082"/>
      <c r="AX1529" s="5082"/>
      <c r="AY1529" s="5082"/>
      <c r="AZ1529" s="5082"/>
      <c r="BA1529" s="5082"/>
      <c r="BB1529" s="5082"/>
      <c r="BC1529" s="5082"/>
      <c r="BD1529" s="5082"/>
      <c r="BE1529" s="5082"/>
      <c r="BF1529" s="5082"/>
      <c r="BG1529" s="5082"/>
      <c r="BH1529" s="5082"/>
      <c r="BI1529" s="5082"/>
      <c r="BJ1529" s="5082"/>
      <c r="BK1529" s="5082"/>
      <c r="BL1529" s="5082"/>
      <c r="BM1529" s="5082"/>
      <c r="BN1529" s="5082"/>
      <c r="BO1529" s="5082"/>
      <c r="BP1529" s="5082"/>
      <c r="BQ1529" s="5082"/>
      <c r="BR1529" s="5082"/>
      <c r="BS1529" s="5082"/>
      <c r="BT1529" s="5082"/>
      <c r="BU1529" s="5082"/>
      <c r="BV1529" s="5082"/>
      <c r="BW1529" s="5082"/>
      <c r="BX1529" s="5082"/>
      <c r="BY1529" s="5082"/>
      <c r="BZ1529" s="5082"/>
      <c r="CA1529" s="4853"/>
      <c r="CB1529" s="4853"/>
      <c r="CC1529" s="4853"/>
      <c r="CD1529" s="4853"/>
      <c r="CE1529" s="4853"/>
      <c r="CF1529" s="4853"/>
      <c r="CG1529" s="4853"/>
      <c r="CH1529" s="4853"/>
      <c r="CI1529" s="4853"/>
      <c r="CJ1529" s="4853"/>
      <c r="CK1529" s="4853"/>
      <c r="CL1529" s="4853"/>
      <c r="CM1529" s="4853"/>
      <c r="CN1529" s="4853"/>
      <c r="CO1529" s="4853"/>
      <c r="CP1529" s="4853"/>
      <c r="CQ1529" s="4853"/>
      <c r="CR1529" s="4853"/>
      <c r="CS1529" s="4853"/>
      <c r="CT1529" s="4853"/>
      <c r="CU1529" s="4853"/>
      <c r="CV1529" s="4853"/>
      <c r="CW1529" s="4853"/>
      <c r="CX1529" s="4853"/>
      <c r="CY1529" s="4853"/>
      <c r="CZ1529" s="4853"/>
      <c r="DA1529" s="4853"/>
      <c r="DB1529" s="4853"/>
      <c r="DC1529" s="4853"/>
      <c r="DD1529" s="4853"/>
      <c r="DE1529" s="4853"/>
      <c r="DF1529" s="4853"/>
      <c r="DG1529" s="4853"/>
      <c r="DH1529" s="4853"/>
      <c r="DI1529" s="4853"/>
      <c r="DJ1529" s="4853"/>
      <c r="DK1529" s="4853"/>
      <c r="DL1529" s="4853"/>
      <c r="DM1529" s="4853"/>
      <c r="DN1529" s="4853"/>
      <c r="DO1529" s="4853"/>
      <c r="DP1529" s="4853"/>
      <c r="DQ1529" s="4853"/>
      <c r="DR1529" s="4853"/>
      <c r="DS1529" s="4853"/>
    </row>
    <row r="1530" s="75" customFormat="1" ht="17.25" customHeight="1" spans="1:123">
      <c r="A1530" s="5082"/>
      <c r="B1530" s="5082"/>
      <c r="C1530" s="5082"/>
      <c r="D1530" s="5082"/>
      <c r="E1530" s="5082"/>
      <c r="F1530" s="5082"/>
      <c r="G1530" s="5082"/>
      <c r="H1530" s="5082"/>
      <c r="I1530" s="5082"/>
      <c r="J1530" s="5082"/>
      <c r="K1530" s="5082"/>
      <c r="L1530" s="5082"/>
      <c r="M1530" s="5082"/>
      <c r="N1530" s="5082"/>
      <c r="O1530" s="5082"/>
      <c r="P1530" s="5082"/>
      <c r="Q1530" s="5082"/>
      <c r="R1530" s="5082"/>
      <c r="S1530" s="5082"/>
      <c r="T1530" s="5082"/>
      <c r="U1530" s="5082"/>
      <c r="V1530" s="5082"/>
      <c r="W1530" s="5082"/>
      <c r="X1530" s="5082"/>
      <c r="Y1530" s="5082"/>
      <c r="Z1530" s="5082"/>
      <c r="AA1530" s="5082"/>
      <c r="AB1530" s="5082"/>
      <c r="AC1530" s="5082"/>
      <c r="AD1530" s="5082"/>
      <c r="AE1530" s="5082"/>
      <c r="AF1530" s="5082"/>
      <c r="AG1530" s="5082"/>
      <c r="AH1530" s="5082"/>
      <c r="AI1530" s="5082"/>
      <c r="AJ1530" s="5082"/>
      <c r="AK1530" s="5082"/>
      <c r="AL1530" s="5082"/>
      <c r="AM1530" s="5082"/>
      <c r="AN1530" s="5082"/>
      <c r="AO1530" s="5082"/>
      <c r="AP1530" s="5082"/>
      <c r="AQ1530" s="5082"/>
      <c r="AR1530" s="5082"/>
      <c r="AS1530" s="5083"/>
      <c r="AT1530" s="5082"/>
      <c r="AU1530" s="5082"/>
      <c r="AV1530" s="5082"/>
      <c r="AW1530" s="5082"/>
      <c r="AX1530" s="5082"/>
      <c r="AY1530" s="5082"/>
      <c r="AZ1530" s="5082"/>
      <c r="BA1530" s="5082"/>
      <c r="BB1530" s="5082"/>
      <c r="BC1530" s="5082"/>
      <c r="BD1530" s="5082"/>
      <c r="BE1530" s="5082"/>
      <c r="BF1530" s="5082"/>
      <c r="BG1530" s="5082"/>
      <c r="BH1530" s="5082"/>
      <c r="BI1530" s="5082"/>
      <c r="BJ1530" s="5082"/>
      <c r="BK1530" s="5082"/>
      <c r="BL1530" s="5082"/>
      <c r="BM1530" s="5082"/>
      <c r="BN1530" s="5082"/>
      <c r="BO1530" s="5082"/>
      <c r="BP1530" s="5082"/>
      <c r="BQ1530" s="5082"/>
      <c r="BR1530" s="5082"/>
      <c r="BS1530" s="5082"/>
      <c r="BT1530" s="5082"/>
      <c r="BU1530" s="5082"/>
      <c r="BV1530" s="5082"/>
      <c r="BW1530" s="5082"/>
      <c r="BX1530" s="5082"/>
      <c r="BY1530" s="5082"/>
      <c r="BZ1530" s="5082"/>
      <c r="CA1530" s="4853"/>
      <c r="CB1530" s="4853"/>
      <c r="CC1530" s="4853"/>
      <c r="CD1530" s="4853"/>
      <c r="CE1530" s="4853"/>
      <c r="CF1530" s="4853"/>
      <c r="CG1530" s="4853"/>
      <c r="CH1530" s="4853"/>
      <c r="CI1530" s="4853"/>
      <c r="CJ1530" s="4853"/>
      <c r="CK1530" s="4853"/>
      <c r="CL1530" s="4853"/>
      <c r="CM1530" s="4853"/>
      <c r="CN1530" s="4853"/>
      <c r="CO1530" s="4853"/>
      <c r="CP1530" s="4853"/>
      <c r="CQ1530" s="4853"/>
      <c r="CR1530" s="4853"/>
      <c r="CS1530" s="4853"/>
      <c r="CT1530" s="4853"/>
      <c r="CU1530" s="4853"/>
      <c r="CV1530" s="4853"/>
      <c r="CW1530" s="4853"/>
      <c r="CX1530" s="4853"/>
      <c r="CY1530" s="4853"/>
      <c r="CZ1530" s="4853"/>
      <c r="DA1530" s="4853"/>
      <c r="DB1530" s="4853"/>
      <c r="DC1530" s="4853"/>
      <c r="DD1530" s="4853"/>
      <c r="DE1530" s="4853"/>
      <c r="DF1530" s="4853"/>
      <c r="DG1530" s="4853"/>
      <c r="DH1530" s="4853"/>
      <c r="DI1530" s="4853"/>
      <c r="DJ1530" s="4853"/>
      <c r="DK1530" s="4853"/>
      <c r="DL1530" s="4853"/>
      <c r="DM1530" s="4853"/>
      <c r="DN1530" s="4853"/>
      <c r="DO1530" s="4853"/>
      <c r="DP1530" s="4853"/>
      <c r="DQ1530" s="4853"/>
      <c r="DR1530" s="4853"/>
      <c r="DS1530" s="4853"/>
    </row>
    <row r="1531" s="75" customFormat="1" ht="17.25" customHeight="1" spans="1:123">
      <c r="A1531" s="5082"/>
      <c r="B1531" s="5082"/>
      <c r="C1531" s="5082"/>
      <c r="D1531" s="5082"/>
      <c r="E1531" s="5082"/>
      <c r="F1531" s="5082"/>
      <c r="G1531" s="5082"/>
      <c r="H1531" s="5082"/>
      <c r="I1531" s="5082"/>
      <c r="J1531" s="5082"/>
      <c r="K1531" s="5082"/>
      <c r="L1531" s="5082"/>
      <c r="M1531" s="5082"/>
      <c r="N1531" s="5082"/>
      <c r="O1531" s="5082"/>
      <c r="P1531" s="5082"/>
      <c r="Q1531" s="5082"/>
      <c r="R1531" s="5082"/>
      <c r="S1531" s="5082"/>
      <c r="T1531" s="5082"/>
      <c r="U1531" s="5082"/>
      <c r="V1531" s="5082"/>
      <c r="W1531" s="5082"/>
      <c r="X1531" s="5082"/>
      <c r="Y1531" s="5082"/>
      <c r="Z1531" s="5082"/>
      <c r="AA1531" s="5082"/>
      <c r="AB1531" s="5082"/>
      <c r="AC1531" s="5082"/>
      <c r="AD1531" s="5082"/>
      <c r="AE1531" s="5082"/>
      <c r="AF1531" s="5082"/>
      <c r="AG1531" s="5082"/>
      <c r="AH1531" s="5082"/>
      <c r="AI1531" s="5082"/>
      <c r="AJ1531" s="5082"/>
      <c r="AK1531" s="5082"/>
      <c r="AL1531" s="5082"/>
      <c r="AM1531" s="5082"/>
      <c r="AN1531" s="5082"/>
      <c r="AO1531" s="5082"/>
      <c r="AP1531" s="5082"/>
      <c r="AQ1531" s="5082"/>
      <c r="AR1531" s="5082"/>
      <c r="AS1531" s="5083"/>
      <c r="AT1531" s="5082"/>
      <c r="AU1531" s="5082"/>
      <c r="AV1531" s="5082"/>
      <c r="AW1531" s="5082"/>
      <c r="AX1531" s="5082"/>
      <c r="AY1531" s="5082"/>
      <c r="AZ1531" s="5082"/>
      <c r="BA1531" s="5082"/>
      <c r="BB1531" s="5082"/>
      <c r="BC1531" s="5082"/>
      <c r="BD1531" s="5082"/>
      <c r="BE1531" s="5082"/>
      <c r="BF1531" s="5082"/>
      <c r="BG1531" s="5082"/>
      <c r="BH1531" s="5082"/>
      <c r="BI1531" s="5082"/>
      <c r="BJ1531" s="5082"/>
      <c r="BK1531" s="5082"/>
      <c r="BL1531" s="5082"/>
      <c r="BM1531" s="5082"/>
      <c r="BN1531" s="5082"/>
      <c r="BO1531" s="5082"/>
      <c r="BP1531" s="5082"/>
      <c r="BQ1531" s="5082"/>
      <c r="BR1531" s="5082"/>
      <c r="BS1531" s="5082"/>
      <c r="BT1531" s="5082"/>
      <c r="BU1531" s="5082"/>
      <c r="BV1531" s="5082"/>
      <c r="BW1531" s="5082"/>
      <c r="BX1531" s="5082"/>
      <c r="BY1531" s="5082"/>
      <c r="BZ1531" s="5082"/>
      <c r="CA1531" s="4853"/>
      <c r="CB1531" s="4853"/>
      <c r="CC1531" s="4853"/>
      <c r="CD1531" s="4853"/>
      <c r="CE1531" s="4853"/>
      <c r="CF1531" s="4853"/>
      <c r="CG1531" s="4853"/>
      <c r="CH1531" s="4853"/>
      <c r="CI1531" s="4853"/>
      <c r="CJ1531" s="4853"/>
      <c r="CK1531" s="4853"/>
      <c r="CL1531" s="4853"/>
      <c r="CM1531" s="4853"/>
      <c r="CN1531" s="4853"/>
      <c r="CO1531" s="4853"/>
      <c r="CP1531" s="4853"/>
      <c r="CQ1531" s="4853"/>
      <c r="CR1531" s="4853"/>
      <c r="CS1531" s="4853"/>
      <c r="CT1531" s="4853"/>
      <c r="CU1531" s="4853"/>
      <c r="CV1531" s="4853"/>
      <c r="CW1531" s="4853"/>
      <c r="CX1531" s="4853"/>
      <c r="CY1531" s="4853"/>
      <c r="CZ1531" s="4853"/>
      <c r="DA1531" s="4853"/>
      <c r="DB1531" s="4853"/>
      <c r="DC1531" s="4853"/>
      <c r="DD1531" s="4853"/>
      <c r="DE1531" s="4853"/>
      <c r="DF1531" s="4853"/>
      <c r="DG1531" s="4853"/>
      <c r="DH1531" s="4853"/>
      <c r="DI1531" s="4853"/>
      <c r="DJ1531" s="4853"/>
      <c r="DK1531" s="4853"/>
      <c r="DL1531" s="4853"/>
      <c r="DM1531" s="4853"/>
      <c r="DN1531" s="4853"/>
      <c r="DO1531" s="4853"/>
      <c r="DP1531" s="4853"/>
      <c r="DQ1531" s="4853"/>
      <c r="DR1531" s="4853"/>
      <c r="DS1531" s="4853"/>
    </row>
    <row r="1532" s="75" customFormat="1" ht="17.25" customHeight="1" spans="1:123">
      <c r="A1532" s="5082"/>
      <c r="B1532" s="5082"/>
      <c r="C1532" s="5082"/>
      <c r="D1532" s="5082"/>
      <c r="E1532" s="5082"/>
      <c r="F1532" s="5082"/>
      <c r="G1532" s="5082"/>
      <c r="H1532" s="5082"/>
      <c r="I1532" s="5082"/>
      <c r="J1532" s="5082"/>
      <c r="K1532" s="5082"/>
      <c r="L1532" s="5082"/>
      <c r="M1532" s="5082"/>
      <c r="N1532" s="5082"/>
      <c r="O1532" s="5082"/>
      <c r="P1532" s="5082"/>
      <c r="Q1532" s="5082"/>
      <c r="R1532" s="5082"/>
      <c r="S1532" s="5082"/>
      <c r="T1532" s="5082"/>
      <c r="U1532" s="5082"/>
      <c r="V1532" s="5082"/>
      <c r="W1532" s="5082"/>
      <c r="X1532" s="5082"/>
      <c r="Y1532" s="5082"/>
      <c r="Z1532" s="5082"/>
      <c r="AA1532" s="5082"/>
      <c r="AB1532" s="5082"/>
      <c r="AC1532" s="5082"/>
      <c r="AD1532" s="5082"/>
      <c r="AE1532" s="5082"/>
      <c r="AF1532" s="5082"/>
      <c r="AG1532" s="5082"/>
      <c r="AH1532" s="5082"/>
      <c r="AI1532" s="5082"/>
      <c r="AJ1532" s="5082"/>
      <c r="AK1532" s="5082"/>
      <c r="AL1532" s="5082"/>
      <c r="AM1532" s="5082"/>
      <c r="AN1532" s="5082"/>
      <c r="AO1532" s="5082"/>
      <c r="AP1532" s="5082"/>
      <c r="AQ1532" s="5082"/>
      <c r="AR1532" s="5082"/>
      <c r="AS1532" s="5083"/>
      <c r="AT1532" s="5082"/>
      <c r="AU1532" s="5082"/>
      <c r="AV1532" s="5082"/>
      <c r="AW1532" s="5082"/>
      <c r="AX1532" s="5082"/>
      <c r="AY1532" s="5082"/>
      <c r="AZ1532" s="5082"/>
      <c r="BA1532" s="5082"/>
      <c r="BB1532" s="5082"/>
      <c r="BC1532" s="5082"/>
      <c r="BD1532" s="5082"/>
      <c r="BE1532" s="5082"/>
      <c r="BF1532" s="5082"/>
      <c r="BG1532" s="5082"/>
      <c r="BH1532" s="5082"/>
      <c r="BI1532" s="5082"/>
      <c r="BJ1532" s="5082"/>
      <c r="BK1532" s="5082"/>
      <c r="BL1532" s="5082"/>
      <c r="BM1532" s="5082"/>
      <c r="BN1532" s="5082"/>
      <c r="BO1532" s="5082"/>
      <c r="BP1532" s="5082"/>
      <c r="BQ1532" s="5082"/>
      <c r="BR1532" s="5082"/>
      <c r="BS1532" s="5082"/>
      <c r="BT1532" s="5082"/>
      <c r="BU1532" s="5082"/>
      <c r="BV1532" s="5082"/>
      <c r="BW1532" s="5082"/>
      <c r="BX1532" s="5082"/>
      <c r="BY1532" s="5082"/>
      <c r="BZ1532" s="5082"/>
      <c r="CA1532" s="4853"/>
      <c r="CB1532" s="4853"/>
      <c r="CC1532" s="4853"/>
      <c r="CD1532" s="4853"/>
      <c r="CE1532" s="4853"/>
      <c r="CF1532" s="4853"/>
      <c r="CG1532" s="4853"/>
      <c r="CH1532" s="4853"/>
      <c r="CI1532" s="4853"/>
      <c r="CJ1532" s="4853"/>
      <c r="CK1532" s="4853"/>
      <c r="CL1532" s="4853"/>
      <c r="CM1532" s="4853"/>
      <c r="CN1532" s="4853"/>
      <c r="CO1532" s="4853"/>
      <c r="CP1532" s="4853"/>
      <c r="CQ1532" s="4853"/>
      <c r="CR1532" s="4853"/>
      <c r="CS1532" s="4853"/>
      <c r="CT1532" s="4853"/>
      <c r="CU1532" s="4853"/>
      <c r="CV1532" s="4853"/>
      <c r="CW1532" s="4853"/>
      <c r="CX1532" s="4853"/>
      <c r="CY1532" s="4853"/>
      <c r="CZ1532" s="4853"/>
      <c r="DA1532" s="4853"/>
      <c r="DB1532" s="4853"/>
      <c r="DC1532" s="4853"/>
      <c r="DD1532" s="4853"/>
      <c r="DE1532" s="4853"/>
      <c r="DF1532" s="4853"/>
      <c r="DG1532" s="4853"/>
      <c r="DH1532" s="4853"/>
      <c r="DI1532" s="4853"/>
      <c r="DJ1532" s="4853"/>
      <c r="DK1532" s="4853"/>
      <c r="DL1532" s="4853"/>
      <c r="DM1532" s="4853"/>
      <c r="DN1532" s="4853"/>
      <c r="DO1532" s="4853"/>
      <c r="DP1532" s="4853"/>
      <c r="DQ1532" s="4853"/>
      <c r="DR1532" s="4853"/>
      <c r="DS1532" s="4853"/>
    </row>
    <row r="1533" s="75" customFormat="1" ht="17.25" customHeight="1" spans="1:123">
      <c r="A1533" s="5082"/>
      <c r="B1533" s="5082"/>
      <c r="C1533" s="5082"/>
      <c r="D1533" s="5082"/>
      <c r="E1533" s="5082"/>
      <c r="F1533" s="5082"/>
      <c r="G1533" s="5082"/>
      <c r="H1533" s="5082"/>
      <c r="I1533" s="5082"/>
      <c r="J1533" s="5082"/>
      <c r="K1533" s="5082"/>
      <c r="L1533" s="5082"/>
      <c r="M1533" s="5082"/>
      <c r="N1533" s="5082"/>
      <c r="O1533" s="5082"/>
      <c r="P1533" s="5082"/>
      <c r="Q1533" s="5082"/>
      <c r="R1533" s="5082"/>
      <c r="S1533" s="5082"/>
      <c r="T1533" s="5082"/>
      <c r="U1533" s="5082"/>
      <c r="V1533" s="5082"/>
      <c r="W1533" s="5082"/>
      <c r="X1533" s="5082"/>
      <c r="Y1533" s="5082"/>
      <c r="Z1533" s="5082"/>
      <c r="AA1533" s="5082"/>
      <c r="AB1533" s="5082"/>
      <c r="AC1533" s="5082"/>
      <c r="AD1533" s="5082"/>
      <c r="AE1533" s="5082"/>
      <c r="AF1533" s="5082"/>
      <c r="AG1533" s="5082"/>
      <c r="AH1533" s="5082"/>
      <c r="AI1533" s="5082"/>
      <c r="AJ1533" s="5082"/>
      <c r="AK1533" s="5082"/>
      <c r="AL1533" s="5082"/>
      <c r="AM1533" s="5082"/>
      <c r="AN1533" s="5082"/>
      <c r="AO1533" s="5082"/>
      <c r="AP1533" s="5082"/>
      <c r="AQ1533" s="5082"/>
      <c r="AR1533" s="5082"/>
      <c r="AS1533" s="5083"/>
      <c r="AT1533" s="5082"/>
      <c r="AU1533" s="5082"/>
      <c r="AV1533" s="5082"/>
      <c r="AW1533" s="5082"/>
      <c r="AX1533" s="5082"/>
      <c r="AY1533" s="5082"/>
      <c r="AZ1533" s="5082"/>
      <c r="BA1533" s="5082"/>
      <c r="BB1533" s="5082"/>
      <c r="BC1533" s="5082"/>
      <c r="BD1533" s="5082"/>
      <c r="BE1533" s="5082"/>
      <c r="BF1533" s="5082"/>
      <c r="BG1533" s="5082"/>
      <c r="BH1533" s="5082"/>
      <c r="BI1533" s="5082"/>
      <c r="BJ1533" s="5082"/>
      <c r="BK1533" s="5082"/>
      <c r="BL1533" s="5082"/>
      <c r="BM1533" s="5082"/>
      <c r="BN1533" s="5082"/>
      <c r="BO1533" s="5082"/>
      <c r="BP1533" s="5082"/>
      <c r="BQ1533" s="5082"/>
      <c r="BR1533" s="5082"/>
      <c r="BS1533" s="5082"/>
      <c r="BT1533" s="5082"/>
      <c r="BU1533" s="5082"/>
      <c r="BV1533" s="5082"/>
      <c r="BW1533" s="5082"/>
      <c r="BX1533" s="5082"/>
      <c r="BY1533" s="5082"/>
      <c r="BZ1533" s="5082"/>
      <c r="CA1533" s="4853"/>
      <c r="CB1533" s="4853"/>
      <c r="CC1533" s="4853"/>
      <c r="CD1533" s="4853"/>
      <c r="CE1533" s="4853"/>
      <c r="CF1533" s="4853"/>
      <c r="CG1533" s="4853"/>
      <c r="CH1533" s="4853"/>
      <c r="CI1533" s="4853"/>
      <c r="CJ1533" s="4853"/>
      <c r="CK1533" s="4853"/>
      <c r="CL1533" s="4853"/>
      <c r="CM1533" s="4853"/>
      <c r="CN1533" s="4853"/>
      <c r="CO1533" s="4853"/>
      <c r="CP1533" s="4853"/>
      <c r="CQ1533" s="4853"/>
      <c r="CR1533" s="4853"/>
      <c r="CS1533" s="4853"/>
      <c r="CT1533" s="4853"/>
      <c r="CU1533" s="4853"/>
      <c r="CV1533" s="4853"/>
      <c r="CW1533" s="4853"/>
      <c r="CX1533" s="4853"/>
      <c r="CY1533" s="4853"/>
      <c r="CZ1533" s="4853"/>
      <c r="DA1533" s="4853"/>
      <c r="DB1533" s="4853"/>
      <c r="DC1533" s="4853"/>
      <c r="DD1533" s="4853"/>
      <c r="DE1533" s="4853"/>
      <c r="DF1533" s="4853"/>
      <c r="DG1533" s="4853"/>
      <c r="DH1533" s="4853"/>
      <c r="DI1533" s="4853"/>
      <c r="DJ1533" s="4853"/>
      <c r="DK1533" s="4853"/>
      <c r="DL1533" s="4853"/>
      <c r="DM1533" s="4853"/>
      <c r="DN1533" s="4853"/>
      <c r="DO1533" s="4853"/>
      <c r="DP1533" s="4853"/>
      <c r="DQ1533" s="4853"/>
      <c r="DR1533" s="4853"/>
      <c r="DS1533" s="4853"/>
    </row>
    <row r="1534" s="75" customFormat="1" ht="17.25" customHeight="1" spans="1:123">
      <c r="A1534" s="5082"/>
      <c r="B1534" s="5082"/>
      <c r="C1534" s="5082"/>
      <c r="D1534" s="5082"/>
      <c r="E1534" s="5082"/>
      <c r="F1534" s="5082"/>
      <c r="G1534" s="5082"/>
      <c r="H1534" s="5082"/>
      <c r="I1534" s="5082"/>
      <c r="J1534" s="5082"/>
      <c r="K1534" s="5082"/>
      <c r="L1534" s="5082"/>
      <c r="M1534" s="5082"/>
      <c r="N1534" s="5082"/>
      <c r="O1534" s="5082"/>
      <c r="P1534" s="5082"/>
      <c r="Q1534" s="5082"/>
      <c r="R1534" s="5082"/>
      <c r="S1534" s="5082"/>
      <c r="T1534" s="5082"/>
      <c r="U1534" s="5082"/>
      <c r="V1534" s="5082"/>
      <c r="W1534" s="5082"/>
      <c r="X1534" s="5082"/>
      <c r="Y1534" s="5082"/>
      <c r="Z1534" s="5082"/>
      <c r="AA1534" s="5082"/>
      <c r="AB1534" s="5082"/>
      <c r="AC1534" s="5082"/>
      <c r="AD1534" s="5082"/>
      <c r="AE1534" s="5082"/>
      <c r="AF1534" s="5082"/>
      <c r="AG1534" s="5082"/>
      <c r="AH1534" s="5082"/>
      <c r="AI1534" s="5082"/>
      <c r="AJ1534" s="5082"/>
      <c r="AK1534" s="5082"/>
      <c r="AL1534" s="5082"/>
      <c r="AM1534" s="5082"/>
      <c r="AN1534" s="5082"/>
      <c r="AO1534" s="5082"/>
      <c r="AP1534" s="5082"/>
      <c r="AQ1534" s="5082"/>
      <c r="AR1534" s="5082"/>
      <c r="AS1534" s="5083"/>
      <c r="AT1534" s="5082"/>
      <c r="AU1534" s="5082"/>
      <c r="AV1534" s="5082"/>
      <c r="AW1534" s="5082"/>
      <c r="AX1534" s="5082"/>
      <c r="AY1534" s="5082"/>
      <c r="AZ1534" s="5082"/>
      <c r="BA1534" s="5082"/>
      <c r="BB1534" s="5082"/>
      <c r="BC1534" s="5082"/>
      <c r="BD1534" s="5082"/>
      <c r="BE1534" s="5082"/>
      <c r="BF1534" s="5082"/>
      <c r="BG1534" s="5082"/>
      <c r="BH1534" s="5082"/>
      <c r="BI1534" s="5082"/>
      <c r="BJ1534" s="5082"/>
      <c r="BK1534" s="5082"/>
      <c r="BL1534" s="5082"/>
      <c r="BM1534" s="5082"/>
      <c r="BN1534" s="5082"/>
      <c r="BO1534" s="5082"/>
      <c r="BP1534" s="5082"/>
      <c r="BQ1534" s="5082"/>
      <c r="BR1534" s="5082"/>
      <c r="BS1534" s="5082"/>
      <c r="BT1534" s="5082"/>
      <c r="BU1534" s="5082"/>
      <c r="BV1534" s="5082"/>
      <c r="BW1534" s="5082"/>
      <c r="BX1534" s="5082"/>
      <c r="BY1534" s="5082"/>
      <c r="BZ1534" s="5082"/>
      <c r="CA1534" s="4853"/>
      <c r="CB1534" s="4853"/>
      <c r="CC1534" s="4853"/>
      <c r="CD1534" s="4853"/>
      <c r="CE1534" s="4853"/>
      <c r="CF1534" s="4853"/>
      <c r="CG1534" s="4853"/>
      <c r="CH1534" s="4853"/>
      <c r="CI1534" s="4853"/>
      <c r="CJ1534" s="4853"/>
      <c r="CK1534" s="4853"/>
      <c r="CL1534" s="4853"/>
      <c r="CM1534" s="4853"/>
      <c r="CN1534" s="4853"/>
      <c r="CO1534" s="4853"/>
      <c r="CP1534" s="4853"/>
      <c r="CQ1534" s="4853"/>
      <c r="CR1534" s="4853"/>
      <c r="CS1534" s="4853"/>
      <c r="CT1534" s="4853"/>
      <c r="CU1534" s="4853"/>
      <c r="CV1534" s="4853"/>
      <c r="CW1534" s="4853"/>
      <c r="CX1534" s="4853"/>
      <c r="CY1534" s="4853"/>
      <c r="CZ1534" s="4853"/>
      <c r="DA1534" s="4853"/>
      <c r="DB1534" s="4853"/>
      <c r="DC1534" s="4853"/>
      <c r="DD1534" s="4853"/>
      <c r="DE1534" s="4853"/>
      <c r="DF1534" s="4853"/>
      <c r="DG1534" s="4853"/>
      <c r="DH1534" s="4853"/>
      <c r="DI1534" s="4853"/>
      <c r="DJ1534" s="4853"/>
      <c r="DK1534" s="4853"/>
      <c r="DL1534" s="4853"/>
      <c r="DM1534" s="4853"/>
      <c r="DN1534" s="4853"/>
      <c r="DO1534" s="4853"/>
      <c r="DP1534" s="4853"/>
      <c r="DQ1534" s="4853"/>
      <c r="DR1534" s="4853"/>
      <c r="DS1534" s="4853"/>
    </row>
    <row r="1535" s="75" customFormat="1" ht="17.25" customHeight="1" spans="1:123">
      <c r="A1535" s="5082"/>
      <c r="B1535" s="5082"/>
      <c r="C1535" s="5082"/>
      <c r="D1535" s="5082"/>
      <c r="E1535" s="5082"/>
      <c r="F1535" s="5082"/>
      <c r="G1535" s="5082"/>
      <c r="H1535" s="5082"/>
      <c r="I1535" s="5082"/>
      <c r="J1535" s="5082"/>
      <c r="K1535" s="5082"/>
      <c r="L1535" s="5082"/>
      <c r="M1535" s="5082"/>
      <c r="N1535" s="5082"/>
      <c r="O1535" s="5082"/>
      <c r="P1535" s="5082"/>
      <c r="Q1535" s="5082"/>
      <c r="R1535" s="5082"/>
      <c r="S1535" s="5082"/>
      <c r="T1535" s="5082"/>
      <c r="U1535" s="5082"/>
      <c r="V1535" s="5082"/>
      <c r="W1535" s="5082"/>
      <c r="X1535" s="5082"/>
      <c r="Y1535" s="5082"/>
      <c r="Z1535" s="5082"/>
      <c r="AA1535" s="5082"/>
      <c r="AB1535" s="5082"/>
      <c r="AC1535" s="5082"/>
      <c r="AD1535" s="5082"/>
      <c r="AE1535" s="5082"/>
      <c r="AF1535" s="5082"/>
      <c r="AG1535" s="5082"/>
      <c r="AH1535" s="5082"/>
      <c r="AI1535" s="5082"/>
      <c r="AJ1535" s="5082"/>
      <c r="AK1535" s="5082"/>
      <c r="AL1535" s="5082"/>
      <c r="AM1535" s="5082"/>
      <c r="AN1535" s="5082"/>
      <c r="AO1535" s="5082"/>
      <c r="AP1535" s="5082"/>
      <c r="AQ1535" s="5082"/>
      <c r="AR1535" s="5082"/>
      <c r="AS1535" s="5083"/>
      <c r="AT1535" s="5082"/>
      <c r="AU1535" s="5082"/>
      <c r="AV1535" s="5082"/>
      <c r="AW1535" s="5082"/>
      <c r="AX1535" s="5082"/>
      <c r="AY1535" s="5082"/>
      <c r="AZ1535" s="5082"/>
      <c r="BA1535" s="5082"/>
      <c r="BB1535" s="5082"/>
      <c r="BC1535" s="5082"/>
      <c r="BD1535" s="5082"/>
      <c r="BE1535" s="5082"/>
      <c r="BF1535" s="5082"/>
      <c r="BG1535" s="5082"/>
      <c r="BH1535" s="5082"/>
      <c r="BI1535" s="5082"/>
      <c r="BJ1535" s="5082"/>
      <c r="BK1535" s="5082"/>
      <c r="BL1535" s="5082"/>
      <c r="BM1535" s="5082"/>
      <c r="BN1535" s="5082"/>
      <c r="BO1535" s="5082"/>
      <c r="BP1535" s="5082"/>
      <c r="BQ1535" s="5082"/>
      <c r="BR1535" s="5082"/>
      <c r="BS1535" s="5082"/>
      <c r="BT1535" s="5082"/>
      <c r="BU1535" s="5082"/>
      <c r="BV1535" s="5082"/>
      <c r="BW1535" s="5082"/>
      <c r="BX1535" s="5082"/>
      <c r="BY1535" s="5082"/>
      <c r="BZ1535" s="5082"/>
      <c r="CA1535" s="4853"/>
      <c r="CB1535" s="4853"/>
      <c r="CC1535" s="4853"/>
      <c r="CD1535" s="4853"/>
      <c r="CE1535" s="4853"/>
      <c r="CF1535" s="4853"/>
      <c r="CG1535" s="4853"/>
      <c r="CH1535" s="4853"/>
      <c r="CI1535" s="4853"/>
      <c r="CJ1535" s="4853"/>
      <c r="CK1535" s="4853"/>
      <c r="CL1535" s="4853"/>
      <c r="CM1535" s="4853"/>
      <c r="CN1535" s="4853"/>
      <c r="CO1535" s="4853"/>
      <c r="CP1535" s="4853"/>
      <c r="CQ1535" s="4853"/>
      <c r="CR1535" s="4853"/>
      <c r="CS1535" s="4853"/>
      <c r="CT1535" s="4853"/>
      <c r="CU1535" s="4853"/>
      <c r="CV1535" s="4853"/>
      <c r="CW1535" s="4853"/>
      <c r="CX1535" s="4853"/>
      <c r="CY1535" s="4853"/>
      <c r="CZ1535" s="4853"/>
      <c r="DA1535" s="4853"/>
      <c r="DB1535" s="4853"/>
      <c r="DC1535" s="4853"/>
      <c r="DD1535" s="4853"/>
      <c r="DE1535" s="4853"/>
      <c r="DF1535" s="4853"/>
      <c r="DG1535" s="4853"/>
      <c r="DH1535" s="4853"/>
      <c r="DI1535" s="4853"/>
      <c r="DJ1535" s="4853"/>
      <c r="DK1535" s="4853"/>
      <c r="DL1535" s="4853"/>
      <c r="DM1535" s="4853"/>
      <c r="DN1535" s="4853"/>
      <c r="DO1535" s="4853"/>
      <c r="DP1535" s="4853"/>
      <c r="DQ1535" s="4853"/>
      <c r="DR1535" s="4853"/>
      <c r="DS1535" s="4853"/>
    </row>
    <row r="1536" s="75" customFormat="1" ht="17.25" customHeight="1" spans="1:123">
      <c r="A1536" s="5082"/>
      <c r="B1536" s="5082"/>
      <c r="C1536" s="5082"/>
      <c r="D1536" s="5082"/>
      <c r="E1536" s="5082"/>
      <c r="F1536" s="5082"/>
      <c r="G1536" s="5082"/>
      <c r="H1536" s="5082"/>
      <c r="I1536" s="5082"/>
      <c r="J1536" s="5082"/>
      <c r="K1536" s="5082"/>
      <c r="L1536" s="5082"/>
      <c r="M1536" s="5082"/>
      <c r="N1536" s="5082"/>
      <c r="O1536" s="5082"/>
      <c r="P1536" s="5082"/>
      <c r="Q1536" s="5082"/>
      <c r="R1536" s="5082"/>
      <c r="S1536" s="5082"/>
      <c r="T1536" s="5082"/>
      <c r="U1536" s="5082"/>
      <c r="V1536" s="5082"/>
      <c r="W1536" s="5082"/>
      <c r="X1536" s="5082"/>
      <c r="Y1536" s="5082"/>
      <c r="Z1536" s="5082"/>
      <c r="AA1536" s="5082"/>
      <c r="AB1536" s="5082"/>
      <c r="AC1536" s="5082"/>
      <c r="AD1536" s="5082"/>
      <c r="AE1536" s="5082"/>
      <c r="AF1536" s="5082"/>
      <c r="AG1536" s="5082"/>
      <c r="AH1536" s="5082"/>
      <c r="AI1536" s="5082"/>
      <c r="AJ1536" s="5082"/>
      <c r="AK1536" s="5082"/>
      <c r="AL1536" s="5082"/>
      <c r="AM1536" s="5082"/>
      <c r="AN1536" s="5082"/>
      <c r="AO1536" s="5082"/>
      <c r="AP1536" s="5082"/>
      <c r="AQ1536" s="5082"/>
      <c r="AR1536" s="5082"/>
      <c r="AS1536" s="5083"/>
      <c r="AT1536" s="5082"/>
      <c r="AU1536" s="5082"/>
      <c r="AV1536" s="5082"/>
      <c r="AW1536" s="5082"/>
      <c r="AX1536" s="5082"/>
      <c r="AY1536" s="5082"/>
      <c r="AZ1536" s="5082"/>
      <c r="BA1536" s="5082"/>
      <c r="BB1536" s="5082"/>
      <c r="BC1536" s="5082"/>
      <c r="BD1536" s="5082"/>
      <c r="BE1536" s="5082"/>
      <c r="BF1536" s="5082"/>
      <c r="BG1536" s="5082"/>
      <c r="BH1536" s="5082"/>
      <c r="BI1536" s="5082"/>
      <c r="BJ1536" s="5082"/>
      <c r="BK1536" s="5082"/>
      <c r="BL1536" s="5082"/>
      <c r="BM1536" s="5082"/>
      <c r="BN1536" s="5082"/>
      <c r="BO1536" s="5082"/>
      <c r="BP1536" s="5082"/>
      <c r="BQ1536" s="5082"/>
      <c r="BR1536" s="5082"/>
      <c r="BS1536" s="5082"/>
      <c r="BT1536" s="5082"/>
      <c r="BU1536" s="5082"/>
      <c r="BV1536" s="5082"/>
      <c r="BW1536" s="5082"/>
      <c r="BX1536" s="5082"/>
      <c r="BY1536" s="5082"/>
      <c r="BZ1536" s="5082"/>
      <c r="CA1536" s="4853"/>
      <c r="CB1536" s="4853"/>
      <c r="CC1536" s="4853"/>
      <c r="CD1536" s="4853"/>
      <c r="CE1536" s="4853"/>
      <c r="CF1536" s="4853"/>
      <c r="CG1536" s="4853"/>
      <c r="CH1536" s="4853"/>
      <c r="CI1536" s="4853"/>
      <c r="CJ1536" s="4853"/>
      <c r="CK1536" s="4853"/>
      <c r="CL1536" s="4853"/>
      <c r="CM1536" s="4853"/>
      <c r="CN1536" s="4853"/>
      <c r="CO1536" s="4853"/>
      <c r="CP1536" s="4853"/>
      <c r="CQ1536" s="4853"/>
      <c r="CR1536" s="4853"/>
      <c r="CS1536" s="4853"/>
      <c r="CT1536" s="4853"/>
      <c r="CU1536" s="4853"/>
      <c r="CV1536" s="4853"/>
      <c r="CW1536" s="4853"/>
      <c r="CX1536" s="4853"/>
      <c r="CY1536" s="4853"/>
      <c r="CZ1536" s="4853"/>
      <c r="DA1536" s="4853"/>
      <c r="DB1536" s="4853"/>
      <c r="DC1536" s="4853"/>
      <c r="DD1536" s="4853"/>
      <c r="DE1536" s="4853"/>
      <c r="DF1536" s="4853"/>
      <c r="DG1536" s="4853"/>
      <c r="DH1536" s="4853"/>
      <c r="DI1536" s="4853"/>
      <c r="DJ1536" s="4853"/>
      <c r="DK1536" s="4853"/>
      <c r="DL1536" s="4853"/>
      <c r="DM1536" s="4853"/>
      <c r="DN1536" s="4853"/>
      <c r="DO1536" s="4853"/>
      <c r="DP1536" s="4853"/>
      <c r="DQ1536" s="4853"/>
      <c r="DR1536" s="4853"/>
      <c r="DS1536" s="4853"/>
    </row>
    <row r="1537" s="75" customFormat="1" ht="17.25" customHeight="1" spans="1:123">
      <c r="A1537" s="5082"/>
      <c r="B1537" s="5082"/>
      <c r="C1537" s="5082"/>
      <c r="D1537" s="5082"/>
      <c r="E1537" s="5082"/>
      <c r="F1537" s="5082"/>
      <c r="G1537" s="5082"/>
      <c r="H1537" s="5082"/>
      <c r="I1537" s="5082"/>
      <c r="J1537" s="5082"/>
      <c r="K1537" s="5082"/>
      <c r="L1537" s="5082"/>
      <c r="M1537" s="5082"/>
      <c r="N1537" s="5082"/>
      <c r="O1537" s="5082"/>
      <c r="P1537" s="5082"/>
      <c r="Q1537" s="5082"/>
      <c r="R1537" s="5082"/>
      <c r="S1537" s="5082"/>
      <c r="T1537" s="5082"/>
      <c r="U1537" s="5082"/>
      <c r="V1537" s="5082"/>
      <c r="W1537" s="5082"/>
      <c r="X1537" s="5082"/>
      <c r="Y1537" s="5082"/>
      <c r="Z1537" s="5082"/>
      <c r="AA1537" s="5082"/>
      <c r="AB1537" s="5082"/>
      <c r="AC1537" s="5082"/>
      <c r="AD1537" s="5082"/>
      <c r="AE1537" s="5082"/>
      <c r="AF1537" s="5082"/>
      <c r="AG1537" s="5082"/>
      <c r="AH1537" s="5082"/>
      <c r="AI1537" s="5082"/>
      <c r="AJ1537" s="5082"/>
      <c r="AK1537" s="5082"/>
      <c r="AL1537" s="5082"/>
      <c r="AM1537" s="5082"/>
      <c r="AN1537" s="5082"/>
      <c r="AO1537" s="5082"/>
      <c r="AP1537" s="5082"/>
      <c r="AQ1537" s="5082"/>
      <c r="AR1537" s="5082"/>
      <c r="AS1537" s="5083"/>
      <c r="AT1537" s="5082"/>
      <c r="AU1537" s="5082"/>
      <c r="AV1537" s="5082"/>
      <c r="AW1537" s="5082"/>
      <c r="AX1537" s="5082"/>
      <c r="AY1537" s="5082"/>
      <c r="AZ1537" s="5082"/>
      <c r="BA1537" s="5082"/>
      <c r="BB1537" s="5082"/>
      <c r="BC1537" s="5082"/>
      <c r="BD1537" s="5082"/>
      <c r="BE1537" s="5082"/>
      <c r="BF1537" s="5082"/>
      <c r="BG1537" s="5082"/>
      <c r="BH1537" s="5082"/>
      <c r="BI1537" s="5082"/>
      <c r="BJ1537" s="5082"/>
      <c r="BK1537" s="5082"/>
      <c r="BL1537" s="5082"/>
      <c r="BM1537" s="5082"/>
      <c r="BN1537" s="5082"/>
      <c r="BO1537" s="5082"/>
      <c r="BP1537" s="5082"/>
      <c r="BQ1537" s="5082"/>
      <c r="BR1537" s="5082"/>
      <c r="BS1537" s="5082"/>
      <c r="BT1537" s="5082"/>
      <c r="BU1537" s="5082"/>
      <c r="BV1537" s="5082"/>
      <c r="BW1537" s="5082"/>
      <c r="BX1537" s="5082"/>
      <c r="BY1537" s="5082"/>
      <c r="BZ1537" s="5082"/>
      <c r="CA1537" s="4853"/>
      <c r="CB1537" s="4853"/>
      <c r="CC1537" s="4853"/>
      <c r="CD1537" s="4853"/>
      <c r="CE1537" s="4853"/>
      <c r="CF1537" s="4853"/>
      <c r="CG1537" s="4853"/>
      <c r="CH1537" s="4853"/>
      <c r="CI1537" s="4853"/>
      <c r="CJ1537" s="4853"/>
      <c r="CK1537" s="4853"/>
      <c r="CL1537" s="4853"/>
      <c r="CM1537" s="4853"/>
      <c r="CN1537" s="4853"/>
      <c r="CO1537" s="4853"/>
      <c r="CP1537" s="4853"/>
      <c r="CQ1537" s="4853"/>
      <c r="CR1537" s="4853"/>
      <c r="CS1537" s="4853"/>
      <c r="CT1537" s="4853"/>
      <c r="CU1537" s="4853"/>
      <c r="CV1537" s="4853"/>
      <c r="CW1537" s="4853"/>
      <c r="CX1537" s="4853"/>
      <c r="CY1537" s="4853"/>
      <c r="CZ1537" s="4853"/>
      <c r="DA1537" s="4853"/>
      <c r="DB1537" s="4853"/>
      <c r="DC1537" s="4853"/>
      <c r="DD1537" s="4853"/>
      <c r="DE1537" s="4853"/>
      <c r="DF1537" s="4853"/>
      <c r="DG1537" s="4853"/>
      <c r="DH1537" s="4853"/>
      <c r="DI1537" s="4853"/>
      <c r="DJ1537" s="4853"/>
      <c r="DK1537" s="4853"/>
      <c r="DL1537" s="4853"/>
      <c r="DM1537" s="4853"/>
      <c r="DN1537" s="4853"/>
      <c r="DO1537" s="4853"/>
      <c r="DP1537" s="4853"/>
      <c r="DQ1537" s="4853"/>
      <c r="DR1537" s="4853"/>
      <c r="DS1537" s="4853"/>
    </row>
    <row r="1538" s="75" customFormat="1" ht="17.25" customHeight="1" spans="1:123">
      <c r="A1538" s="5082"/>
      <c r="B1538" s="5082"/>
      <c r="C1538" s="5082"/>
      <c r="D1538" s="5082"/>
      <c r="E1538" s="5082"/>
      <c r="F1538" s="5082"/>
      <c r="G1538" s="5082"/>
      <c r="H1538" s="5082"/>
      <c r="I1538" s="5082"/>
      <c r="J1538" s="5082"/>
      <c r="K1538" s="5082"/>
      <c r="L1538" s="5082"/>
      <c r="M1538" s="5082"/>
      <c r="N1538" s="5082"/>
      <c r="O1538" s="5082"/>
      <c r="P1538" s="5082"/>
      <c r="Q1538" s="5082"/>
      <c r="R1538" s="5082"/>
      <c r="S1538" s="5082"/>
      <c r="T1538" s="5082"/>
      <c r="U1538" s="5082"/>
      <c r="V1538" s="5082"/>
      <c r="W1538" s="5082"/>
      <c r="X1538" s="5082"/>
      <c r="Y1538" s="5082"/>
      <c r="Z1538" s="5082"/>
      <c r="AA1538" s="5082"/>
      <c r="AB1538" s="5082"/>
      <c r="AC1538" s="5082"/>
      <c r="AD1538" s="5082"/>
      <c r="AE1538" s="5082"/>
      <c r="AF1538" s="5082"/>
      <c r="AG1538" s="5082"/>
      <c r="AH1538" s="5082"/>
      <c r="AI1538" s="5082"/>
      <c r="AJ1538" s="5082"/>
      <c r="AK1538" s="5082"/>
      <c r="AL1538" s="5082"/>
      <c r="AM1538" s="5082"/>
      <c r="AN1538" s="5082"/>
      <c r="AO1538" s="5082"/>
      <c r="AP1538" s="5082"/>
      <c r="AQ1538" s="5082"/>
      <c r="AR1538" s="5082"/>
      <c r="AS1538" s="5083"/>
      <c r="AT1538" s="5082"/>
      <c r="AU1538" s="5082"/>
      <c r="AV1538" s="5082"/>
      <c r="AW1538" s="5082"/>
      <c r="AX1538" s="5082"/>
      <c r="AY1538" s="5082"/>
      <c r="AZ1538" s="5082"/>
      <c r="BA1538" s="5082"/>
      <c r="BB1538" s="5082"/>
      <c r="BC1538" s="5082"/>
      <c r="BD1538" s="5082"/>
      <c r="BE1538" s="5082"/>
      <c r="BF1538" s="5082"/>
      <c r="BG1538" s="5082"/>
      <c r="BH1538" s="5082"/>
      <c r="BI1538" s="5082"/>
      <c r="BJ1538" s="5082"/>
      <c r="BK1538" s="5082"/>
      <c r="BL1538" s="5082"/>
      <c r="BM1538" s="5082"/>
      <c r="BN1538" s="5082"/>
      <c r="BO1538" s="5082"/>
      <c r="BP1538" s="5082"/>
      <c r="BQ1538" s="5082"/>
      <c r="BR1538" s="5082"/>
      <c r="BS1538" s="5082"/>
      <c r="BT1538" s="5082"/>
      <c r="BU1538" s="5082"/>
      <c r="BV1538" s="5082"/>
      <c r="BW1538" s="5082"/>
      <c r="BX1538" s="5082"/>
      <c r="BY1538" s="5082"/>
      <c r="BZ1538" s="5082"/>
      <c r="CA1538" s="4853"/>
      <c r="CB1538" s="4853"/>
      <c r="CC1538" s="4853"/>
      <c r="CD1538" s="4853"/>
      <c r="CE1538" s="4853"/>
      <c r="CF1538" s="4853"/>
      <c r="CG1538" s="4853"/>
      <c r="CH1538" s="4853"/>
      <c r="CI1538" s="4853"/>
      <c r="CJ1538" s="4853"/>
      <c r="CK1538" s="4853"/>
      <c r="CL1538" s="4853"/>
      <c r="CM1538" s="4853"/>
      <c r="CN1538" s="4853"/>
      <c r="CO1538" s="4853"/>
      <c r="CP1538" s="4853"/>
      <c r="CQ1538" s="4853"/>
      <c r="CR1538" s="4853"/>
      <c r="CS1538" s="4853"/>
      <c r="CT1538" s="4853"/>
      <c r="CU1538" s="4853"/>
      <c r="CV1538" s="4853"/>
      <c r="CW1538" s="4853"/>
      <c r="CX1538" s="4853"/>
      <c r="CY1538" s="4853"/>
      <c r="CZ1538" s="4853"/>
      <c r="DA1538" s="4853"/>
      <c r="DB1538" s="4853"/>
      <c r="DC1538" s="4853"/>
      <c r="DD1538" s="4853"/>
      <c r="DE1538" s="4853"/>
      <c r="DF1538" s="4853"/>
      <c r="DG1538" s="4853"/>
      <c r="DH1538" s="4853"/>
      <c r="DI1538" s="4853"/>
      <c r="DJ1538" s="4853"/>
      <c r="DK1538" s="4853"/>
      <c r="DL1538" s="4853"/>
      <c r="DM1538" s="4853"/>
      <c r="DN1538" s="4853"/>
      <c r="DO1538" s="4853"/>
      <c r="DP1538" s="4853"/>
      <c r="DQ1538" s="4853"/>
      <c r="DR1538" s="4853"/>
      <c r="DS1538" s="4853"/>
    </row>
    <row r="1539" s="75" customFormat="1" ht="17.25" customHeight="1" spans="1:123">
      <c r="A1539" s="5082"/>
      <c r="B1539" s="5082"/>
      <c r="C1539" s="5082"/>
      <c r="D1539" s="5082"/>
      <c r="E1539" s="5082"/>
      <c r="F1539" s="5082"/>
      <c r="G1539" s="5082"/>
      <c r="H1539" s="5082"/>
      <c r="I1539" s="5082"/>
      <c r="J1539" s="5082"/>
      <c r="K1539" s="5082"/>
      <c r="L1539" s="5082"/>
      <c r="M1539" s="5082"/>
      <c r="N1539" s="5082"/>
      <c r="O1539" s="5082"/>
      <c r="P1539" s="5082"/>
      <c r="Q1539" s="5082"/>
      <c r="R1539" s="5082"/>
      <c r="S1539" s="5082"/>
      <c r="T1539" s="5082"/>
      <c r="U1539" s="5082"/>
      <c r="V1539" s="5082"/>
      <c r="W1539" s="5082"/>
      <c r="X1539" s="5082"/>
      <c r="Y1539" s="5082"/>
      <c r="Z1539" s="5082"/>
      <c r="AA1539" s="5082"/>
      <c r="AB1539" s="5082"/>
      <c r="AC1539" s="5082"/>
      <c r="AD1539" s="5082"/>
      <c r="AE1539" s="5082"/>
      <c r="AF1539" s="5082"/>
      <c r="AG1539" s="5082"/>
      <c r="AH1539" s="5082"/>
      <c r="AI1539" s="5082"/>
      <c r="AJ1539" s="5082"/>
      <c r="AK1539" s="5082"/>
      <c r="AL1539" s="5082"/>
      <c r="AM1539" s="5082"/>
      <c r="AN1539" s="5082"/>
      <c r="AO1539" s="5082"/>
      <c r="AP1539" s="5082"/>
      <c r="AQ1539" s="5082"/>
      <c r="AR1539" s="5082"/>
      <c r="AS1539" s="5083"/>
      <c r="AT1539" s="5082"/>
      <c r="AU1539" s="5082"/>
      <c r="AV1539" s="5082"/>
      <c r="AW1539" s="5082"/>
      <c r="AX1539" s="5082"/>
      <c r="AY1539" s="5082"/>
      <c r="AZ1539" s="5082"/>
      <c r="BA1539" s="5082"/>
      <c r="BB1539" s="5082"/>
      <c r="BC1539" s="5082"/>
      <c r="BD1539" s="5082"/>
      <c r="BE1539" s="5082"/>
      <c r="BF1539" s="5082"/>
      <c r="BG1539" s="5082"/>
      <c r="BH1539" s="5082"/>
      <c r="BI1539" s="5082"/>
      <c r="BJ1539" s="5082"/>
      <c r="BK1539" s="5082"/>
      <c r="BL1539" s="5082"/>
      <c r="BM1539" s="5082"/>
      <c r="BN1539" s="5082"/>
      <c r="BO1539" s="5082"/>
      <c r="BP1539" s="5082"/>
      <c r="BQ1539" s="5082"/>
      <c r="BR1539" s="5082"/>
      <c r="BS1539" s="5082"/>
      <c r="BT1539" s="5082"/>
      <c r="BU1539" s="5082"/>
      <c r="BV1539" s="5082"/>
      <c r="BW1539" s="5082"/>
      <c r="BX1539" s="5082"/>
      <c r="BY1539" s="5082"/>
      <c r="BZ1539" s="5082"/>
      <c r="CA1539" s="4853"/>
      <c r="CB1539" s="4853"/>
      <c r="CC1539" s="4853"/>
      <c r="CD1539" s="4853"/>
      <c r="CE1539" s="4853"/>
      <c r="CF1539" s="4853"/>
      <c r="CG1539" s="4853"/>
      <c r="CH1539" s="4853"/>
      <c r="CI1539" s="4853"/>
      <c r="CJ1539" s="4853"/>
      <c r="CK1539" s="4853"/>
      <c r="CL1539" s="4853"/>
      <c r="CM1539" s="4853"/>
      <c r="CN1539" s="4853"/>
      <c r="CO1539" s="4853"/>
      <c r="CP1539" s="4853"/>
      <c r="CQ1539" s="4853"/>
      <c r="CR1539" s="4853"/>
      <c r="CS1539" s="4853"/>
      <c r="CT1539" s="4853"/>
      <c r="CU1539" s="4853"/>
      <c r="CV1539" s="4853"/>
      <c r="CW1539" s="4853"/>
      <c r="CX1539" s="4853"/>
      <c r="CY1539" s="4853"/>
      <c r="CZ1539" s="4853"/>
      <c r="DA1539" s="4853"/>
      <c r="DB1539" s="4853"/>
      <c r="DC1539" s="4853"/>
      <c r="DD1539" s="4853"/>
      <c r="DE1539" s="4853"/>
      <c r="DF1539" s="4853"/>
      <c r="DG1539" s="4853"/>
      <c r="DH1539" s="4853"/>
      <c r="DI1539" s="4853"/>
      <c r="DJ1539" s="4853"/>
      <c r="DK1539" s="4853"/>
      <c r="DL1539" s="4853"/>
      <c r="DM1539" s="4853"/>
      <c r="DN1539" s="4853"/>
      <c r="DO1539" s="4853"/>
      <c r="DP1539" s="4853"/>
      <c r="DQ1539" s="4853"/>
      <c r="DR1539" s="4853"/>
      <c r="DS1539" s="4853"/>
    </row>
    <row r="1540" s="75" customFormat="1" ht="17.25" customHeight="1" spans="1:123">
      <c r="A1540" s="5082"/>
      <c r="B1540" s="5082"/>
      <c r="C1540" s="5082"/>
      <c r="D1540" s="5082"/>
      <c r="E1540" s="5082"/>
      <c r="F1540" s="5082"/>
      <c r="G1540" s="5082"/>
      <c r="H1540" s="5082"/>
      <c r="I1540" s="5082"/>
      <c r="J1540" s="5082"/>
      <c r="K1540" s="5082"/>
      <c r="L1540" s="5082"/>
      <c r="M1540" s="5082"/>
      <c r="N1540" s="5082"/>
      <c r="O1540" s="5082"/>
      <c r="P1540" s="5082"/>
      <c r="Q1540" s="5082"/>
      <c r="R1540" s="5082"/>
      <c r="S1540" s="5082"/>
      <c r="T1540" s="5082"/>
      <c r="U1540" s="5082"/>
      <c r="V1540" s="5082"/>
      <c r="W1540" s="5082"/>
      <c r="X1540" s="5082"/>
      <c r="Y1540" s="5082"/>
      <c r="Z1540" s="5082"/>
      <c r="AA1540" s="5082"/>
      <c r="AB1540" s="5082"/>
      <c r="AC1540" s="5082"/>
      <c r="AD1540" s="5082"/>
      <c r="AE1540" s="5082"/>
      <c r="AF1540" s="5082"/>
      <c r="AG1540" s="5082"/>
      <c r="AH1540" s="5082"/>
      <c r="AI1540" s="5082"/>
      <c r="AJ1540" s="5082"/>
      <c r="AK1540" s="5082"/>
      <c r="AL1540" s="5082"/>
      <c r="AM1540" s="5082"/>
      <c r="AN1540" s="5082"/>
      <c r="AO1540" s="5082"/>
      <c r="AP1540" s="5082"/>
      <c r="AQ1540" s="5082"/>
      <c r="AR1540" s="5082"/>
      <c r="AS1540" s="5083"/>
      <c r="AT1540" s="5082"/>
      <c r="AU1540" s="5082"/>
      <c r="AV1540" s="5082"/>
      <c r="AW1540" s="5082"/>
      <c r="AX1540" s="5082"/>
      <c r="AY1540" s="5082"/>
      <c r="AZ1540" s="5082"/>
      <c r="BA1540" s="5082"/>
      <c r="BB1540" s="5082"/>
      <c r="BC1540" s="5082"/>
      <c r="BD1540" s="5082"/>
      <c r="BE1540" s="5082"/>
      <c r="BF1540" s="5082"/>
      <c r="BG1540" s="5082"/>
      <c r="BH1540" s="5082"/>
      <c r="BI1540" s="5082"/>
      <c r="BJ1540" s="5082"/>
      <c r="BK1540" s="5082"/>
      <c r="BL1540" s="5082"/>
      <c r="BM1540" s="5082"/>
      <c r="BN1540" s="5082"/>
      <c r="BO1540" s="5082"/>
      <c r="BP1540" s="5082"/>
      <c r="BQ1540" s="5082"/>
      <c r="BR1540" s="5082"/>
      <c r="BS1540" s="5082"/>
      <c r="BT1540" s="5082"/>
      <c r="BU1540" s="5082"/>
      <c r="BV1540" s="5082"/>
      <c r="BW1540" s="5082"/>
      <c r="BX1540" s="5082"/>
      <c r="BY1540" s="5082"/>
      <c r="BZ1540" s="5082"/>
      <c r="CA1540" s="4853"/>
      <c r="CB1540" s="4853"/>
      <c r="CC1540" s="4853"/>
      <c r="CD1540" s="4853"/>
      <c r="CE1540" s="4853"/>
      <c r="CF1540" s="4853"/>
      <c r="CG1540" s="4853"/>
      <c r="CH1540" s="4853"/>
      <c r="CI1540" s="4853"/>
      <c r="CJ1540" s="4853"/>
      <c r="CK1540" s="4853"/>
      <c r="CL1540" s="4853"/>
      <c r="CM1540" s="4853"/>
      <c r="CN1540" s="4853"/>
      <c r="CO1540" s="4853"/>
      <c r="CP1540" s="4853"/>
      <c r="CQ1540" s="4853"/>
      <c r="CR1540" s="4853"/>
      <c r="CS1540" s="4853"/>
      <c r="CT1540" s="4853"/>
      <c r="CU1540" s="4853"/>
      <c r="CV1540" s="4853"/>
      <c r="CW1540" s="4853"/>
      <c r="CX1540" s="4853"/>
      <c r="CY1540" s="4853"/>
      <c r="CZ1540" s="4853"/>
      <c r="DA1540" s="4853"/>
      <c r="DB1540" s="4853"/>
      <c r="DC1540" s="4853"/>
      <c r="DD1540" s="4853"/>
      <c r="DE1540" s="4853"/>
      <c r="DF1540" s="4853"/>
      <c r="DG1540" s="4853"/>
      <c r="DH1540" s="4853"/>
      <c r="DI1540" s="4853"/>
      <c r="DJ1540" s="4853"/>
      <c r="DK1540" s="4853"/>
      <c r="DL1540" s="4853"/>
      <c r="DM1540" s="4853"/>
      <c r="DN1540" s="4853"/>
      <c r="DO1540" s="4853"/>
      <c r="DP1540" s="4853"/>
      <c r="DQ1540" s="4853"/>
      <c r="DR1540" s="4853"/>
      <c r="DS1540" s="4853"/>
    </row>
    <row r="1541" s="75" customFormat="1" ht="17.25" customHeight="1" spans="1:123">
      <c r="A1541" s="5082"/>
      <c r="B1541" s="5082"/>
      <c r="C1541" s="5082"/>
      <c r="D1541" s="5082"/>
      <c r="E1541" s="5082"/>
      <c r="F1541" s="5082"/>
      <c r="G1541" s="5082"/>
      <c r="H1541" s="5082"/>
      <c r="I1541" s="5082"/>
      <c r="J1541" s="5082"/>
      <c r="K1541" s="5082"/>
      <c r="L1541" s="5082"/>
      <c r="M1541" s="5082"/>
      <c r="N1541" s="5082"/>
      <c r="O1541" s="5082"/>
      <c r="P1541" s="5082"/>
      <c r="Q1541" s="5082"/>
      <c r="R1541" s="5082"/>
      <c r="S1541" s="5082"/>
      <c r="T1541" s="5082"/>
      <c r="U1541" s="5082"/>
      <c r="V1541" s="5082"/>
      <c r="W1541" s="5082"/>
      <c r="X1541" s="5082"/>
      <c r="Y1541" s="5082"/>
      <c r="Z1541" s="5082"/>
      <c r="AA1541" s="5082"/>
      <c r="AB1541" s="5082"/>
      <c r="AC1541" s="5082"/>
      <c r="AD1541" s="5082"/>
      <c r="AE1541" s="5082"/>
      <c r="AF1541" s="5082"/>
      <c r="AG1541" s="5082"/>
      <c r="AH1541" s="5082"/>
      <c r="AI1541" s="5082"/>
      <c r="AJ1541" s="5082"/>
      <c r="AK1541" s="5082"/>
      <c r="AL1541" s="5082"/>
      <c r="AM1541" s="5082"/>
      <c r="AN1541" s="5082"/>
      <c r="AO1541" s="5082"/>
      <c r="AP1541" s="5082"/>
      <c r="AQ1541" s="5082"/>
      <c r="AR1541" s="5082"/>
      <c r="AS1541" s="5083"/>
      <c r="AT1541" s="5082"/>
      <c r="AU1541" s="5082"/>
      <c r="AV1541" s="5082"/>
      <c r="AW1541" s="5082"/>
      <c r="AX1541" s="5082"/>
      <c r="AY1541" s="5082"/>
      <c r="AZ1541" s="5082"/>
      <c r="BA1541" s="5082"/>
      <c r="BB1541" s="5082"/>
      <c r="BC1541" s="5082"/>
      <c r="BD1541" s="5082"/>
      <c r="BE1541" s="5082"/>
      <c r="BF1541" s="5082"/>
      <c r="BG1541" s="5082"/>
      <c r="BH1541" s="5082"/>
      <c r="BI1541" s="5082"/>
      <c r="BJ1541" s="5082"/>
      <c r="BK1541" s="5082"/>
      <c r="BL1541" s="5082"/>
      <c r="BM1541" s="5082"/>
      <c r="BN1541" s="5082"/>
      <c r="BO1541" s="5082"/>
      <c r="BP1541" s="5082"/>
      <c r="BQ1541" s="5082"/>
      <c r="BR1541" s="5082"/>
      <c r="BS1541" s="5082"/>
      <c r="BT1541" s="5082"/>
      <c r="BU1541" s="5082"/>
      <c r="BV1541" s="5082"/>
      <c r="BW1541" s="5082"/>
      <c r="BX1541" s="5082"/>
      <c r="BY1541" s="5082"/>
      <c r="BZ1541" s="5082"/>
      <c r="CA1541" s="4853"/>
      <c r="CB1541" s="4853"/>
      <c r="CC1541" s="4853"/>
      <c r="CD1541" s="4853"/>
      <c r="CE1541" s="4853"/>
      <c r="CF1541" s="4853"/>
      <c r="CG1541" s="4853"/>
      <c r="CH1541" s="4853"/>
      <c r="CI1541" s="4853"/>
      <c r="CJ1541" s="4853"/>
      <c r="CK1541" s="4853"/>
      <c r="CL1541" s="4853"/>
      <c r="CM1541" s="4853"/>
      <c r="CN1541" s="4853"/>
      <c r="CO1541" s="4853"/>
      <c r="CP1541" s="4853"/>
      <c r="CQ1541" s="4853"/>
      <c r="CR1541" s="4853"/>
      <c r="CS1541" s="4853"/>
      <c r="CT1541" s="4853"/>
      <c r="CU1541" s="4853"/>
      <c r="CV1541" s="4853"/>
      <c r="CW1541" s="4853"/>
      <c r="CX1541" s="4853"/>
      <c r="CY1541" s="4853"/>
      <c r="CZ1541" s="4853"/>
      <c r="DA1541" s="4853"/>
      <c r="DB1541" s="4853"/>
      <c r="DC1541" s="4853"/>
      <c r="DD1541" s="4853"/>
      <c r="DE1541" s="4853"/>
      <c r="DF1541" s="4853"/>
      <c r="DG1541" s="4853"/>
      <c r="DH1541" s="4853"/>
      <c r="DI1541" s="4853"/>
      <c r="DJ1541" s="4853"/>
      <c r="DK1541" s="4853"/>
      <c r="DL1541" s="4853"/>
      <c r="DM1541" s="4853"/>
      <c r="DN1541" s="4853"/>
      <c r="DO1541" s="4853"/>
      <c r="DP1541" s="4853"/>
      <c r="DQ1541" s="4853"/>
      <c r="DR1541" s="4853"/>
      <c r="DS1541" s="4853"/>
    </row>
    <row r="1542" s="75" customFormat="1" ht="17.25" customHeight="1" spans="1:123">
      <c r="A1542" s="5082"/>
      <c r="B1542" s="5082"/>
      <c r="C1542" s="5082"/>
      <c r="D1542" s="5082"/>
      <c r="E1542" s="5082"/>
      <c r="F1542" s="5082"/>
      <c r="G1542" s="5082"/>
      <c r="H1542" s="5082"/>
      <c r="I1542" s="5082"/>
      <c r="J1542" s="5082"/>
      <c r="K1542" s="5082"/>
      <c r="L1542" s="5082"/>
      <c r="M1542" s="5082"/>
      <c r="N1542" s="5082"/>
      <c r="O1542" s="5082"/>
      <c r="P1542" s="5082"/>
      <c r="Q1542" s="5082"/>
      <c r="R1542" s="5082"/>
      <c r="S1542" s="5082"/>
      <c r="T1542" s="5082"/>
      <c r="U1542" s="5082"/>
      <c r="V1542" s="5082"/>
      <c r="W1542" s="5082"/>
      <c r="X1542" s="5082"/>
      <c r="Y1542" s="5082"/>
      <c r="Z1542" s="5082"/>
      <c r="AA1542" s="5082"/>
      <c r="AB1542" s="5082"/>
      <c r="AC1542" s="5082"/>
      <c r="AD1542" s="5082"/>
      <c r="AE1542" s="5082"/>
      <c r="AF1542" s="5082"/>
      <c r="AG1542" s="5082"/>
      <c r="AH1542" s="5082"/>
      <c r="AI1542" s="5082"/>
      <c r="AJ1542" s="5082"/>
      <c r="AK1542" s="5082"/>
      <c r="AL1542" s="5082"/>
      <c r="AM1542" s="5082"/>
      <c r="AN1542" s="5082"/>
      <c r="AO1542" s="5082"/>
      <c r="AP1542" s="5082"/>
      <c r="AQ1542" s="5082"/>
      <c r="AR1542" s="5082"/>
      <c r="AS1542" s="5083"/>
      <c r="AT1542" s="5082"/>
      <c r="AU1542" s="5082"/>
      <c r="AV1542" s="5082"/>
      <c r="AW1542" s="5082"/>
      <c r="AX1542" s="5082"/>
      <c r="AY1542" s="5082"/>
      <c r="AZ1542" s="5082"/>
      <c r="BA1542" s="5082"/>
      <c r="BB1542" s="5082"/>
      <c r="BC1542" s="5082"/>
      <c r="BD1542" s="5082"/>
      <c r="BE1542" s="5082"/>
      <c r="BF1542" s="5082"/>
      <c r="BG1542" s="5082"/>
      <c r="BH1542" s="5082"/>
      <c r="BI1542" s="5082"/>
      <c r="BJ1542" s="5082"/>
      <c r="BK1542" s="5082"/>
      <c r="BL1542" s="5082"/>
      <c r="BM1542" s="5082"/>
      <c r="BN1542" s="5082"/>
      <c r="BO1542" s="5082"/>
      <c r="BP1542" s="5082"/>
      <c r="BQ1542" s="5082"/>
      <c r="BR1542" s="5082"/>
      <c r="BS1542" s="5082"/>
      <c r="BT1542" s="5082"/>
      <c r="BU1542" s="5082"/>
      <c r="BV1542" s="5082"/>
      <c r="BW1542" s="5082"/>
      <c r="BX1542" s="5082"/>
      <c r="BY1542" s="5082"/>
      <c r="BZ1542" s="5082"/>
      <c r="CA1542" s="4853"/>
      <c r="CB1542" s="4853"/>
      <c r="CC1542" s="4853"/>
      <c r="CD1542" s="4853"/>
      <c r="CE1542" s="4853"/>
      <c r="CF1542" s="4853"/>
      <c r="CG1542" s="4853"/>
      <c r="CH1542" s="4853"/>
      <c r="CI1542" s="4853"/>
      <c r="CJ1542" s="4853"/>
      <c r="CK1542" s="4853"/>
      <c r="CL1542" s="4853"/>
      <c r="CM1542" s="4853"/>
      <c r="CN1542" s="4853"/>
      <c r="CO1542" s="4853"/>
      <c r="CP1542" s="4853"/>
      <c r="CQ1542" s="4853"/>
      <c r="CR1542" s="4853"/>
      <c r="CS1542" s="4853"/>
      <c r="CT1542" s="4853"/>
      <c r="CU1542" s="4853"/>
      <c r="CV1542" s="4853"/>
      <c r="CW1542" s="4853"/>
      <c r="CX1542" s="4853"/>
      <c r="CY1542" s="4853"/>
      <c r="CZ1542" s="4853"/>
      <c r="DA1542" s="4853"/>
      <c r="DB1542" s="4853"/>
      <c r="DC1542" s="4853"/>
      <c r="DD1542" s="4853"/>
      <c r="DE1542" s="4853"/>
      <c r="DF1542" s="4853"/>
      <c r="DG1542" s="4853"/>
      <c r="DH1542" s="4853"/>
      <c r="DI1542" s="4853"/>
      <c r="DJ1542" s="4853"/>
      <c r="DK1542" s="4853"/>
      <c r="DL1542" s="4853"/>
      <c r="DM1542" s="4853"/>
      <c r="DN1542" s="4853"/>
      <c r="DO1542" s="4853"/>
      <c r="DP1542" s="4853"/>
      <c r="DQ1542" s="4853"/>
      <c r="DR1542" s="4853"/>
      <c r="DS1542" s="4853"/>
    </row>
    <row r="1543" s="75" customFormat="1" ht="17.25" customHeight="1" spans="1:123">
      <c r="A1543" s="5082"/>
      <c r="B1543" s="5082"/>
      <c r="C1543" s="5082"/>
      <c r="D1543" s="5082"/>
      <c r="E1543" s="5082"/>
      <c r="F1543" s="5082"/>
      <c r="G1543" s="5082"/>
      <c r="H1543" s="5082"/>
      <c r="I1543" s="5082"/>
      <c r="J1543" s="5082"/>
      <c r="K1543" s="5082"/>
      <c r="L1543" s="5082"/>
      <c r="M1543" s="5082"/>
      <c r="N1543" s="5082"/>
      <c r="O1543" s="5082"/>
      <c r="P1543" s="5082"/>
      <c r="Q1543" s="5082"/>
      <c r="R1543" s="5082"/>
      <c r="S1543" s="5082"/>
      <c r="T1543" s="5082"/>
      <c r="U1543" s="5082"/>
      <c r="V1543" s="5082"/>
      <c r="W1543" s="5082"/>
      <c r="X1543" s="5082"/>
      <c r="Y1543" s="5082"/>
      <c r="Z1543" s="5082"/>
      <c r="AA1543" s="5082"/>
      <c r="AB1543" s="5082"/>
      <c r="AC1543" s="5082"/>
      <c r="AD1543" s="5082"/>
      <c r="AE1543" s="5082"/>
      <c r="AF1543" s="5082"/>
      <c r="AG1543" s="5082"/>
      <c r="AH1543" s="5082"/>
      <c r="AI1543" s="5082"/>
      <c r="AJ1543" s="5082"/>
      <c r="AK1543" s="5082"/>
      <c r="AL1543" s="5082"/>
      <c r="AM1543" s="5082"/>
      <c r="AN1543" s="5082"/>
      <c r="AO1543" s="5082"/>
      <c r="AP1543" s="5082"/>
      <c r="AQ1543" s="5082"/>
      <c r="AR1543" s="5082"/>
      <c r="AS1543" s="5083"/>
      <c r="AT1543" s="5082"/>
      <c r="AU1543" s="5082"/>
      <c r="AV1543" s="5082"/>
      <c r="AW1543" s="5082"/>
      <c r="AX1543" s="5082"/>
      <c r="AY1543" s="5082"/>
      <c r="AZ1543" s="5082"/>
      <c r="BA1543" s="5082"/>
      <c r="BB1543" s="5082"/>
      <c r="BC1543" s="5082"/>
      <c r="BD1543" s="5082"/>
      <c r="BE1543" s="5082"/>
      <c r="BF1543" s="5082"/>
      <c r="BG1543" s="5082"/>
      <c r="BH1543" s="5082"/>
      <c r="BI1543" s="5082"/>
      <c r="BJ1543" s="5082"/>
      <c r="BK1543" s="5082"/>
      <c r="BL1543" s="5082"/>
      <c r="BM1543" s="5082"/>
      <c r="BN1543" s="5082"/>
      <c r="BO1543" s="5082"/>
      <c r="BP1543" s="5082"/>
      <c r="BQ1543" s="5082"/>
      <c r="BR1543" s="5082"/>
      <c r="BS1543" s="5082"/>
      <c r="BT1543" s="5082"/>
      <c r="BU1543" s="5082"/>
      <c r="BV1543" s="5082"/>
      <c r="BW1543" s="5082"/>
      <c r="BX1543" s="5082"/>
      <c r="BY1543" s="5082"/>
      <c r="BZ1543" s="5082"/>
      <c r="CA1543" s="4853"/>
      <c r="CB1543" s="4853"/>
      <c r="CC1543" s="4853"/>
      <c r="CD1543" s="4853"/>
      <c r="CE1543" s="4853"/>
      <c r="CF1543" s="4853"/>
      <c r="CG1543" s="4853"/>
      <c r="CH1543" s="4853"/>
      <c r="CI1543" s="4853"/>
      <c r="CJ1543" s="4853"/>
      <c r="CK1543" s="4853"/>
      <c r="CL1543" s="4853"/>
      <c r="CM1543" s="4853"/>
      <c r="CN1543" s="4853"/>
      <c r="CO1543" s="4853"/>
      <c r="CP1543" s="4853"/>
      <c r="CQ1543" s="4853"/>
      <c r="CR1543" s="4853"/>
      <c r="CS1543" s="4853"/>
      <c r="CT1543" s="4853"/>
      <c r="CU1543" s="4853"/>
      <c r="CV1543" s="4853"/>
      <c r="CW1543" s="4853"/>
      <c r="CX1543" s="4853"/>
      <c r="CY1543" s="4853"/>
      <c r="CZ1543" s="4853"/>
      <c r="DA1543" s="4853"/>
      <c r="DB1543" s="4853"/>
      <c r="DC1543" s="4853"/>
      <c r="DD1543" s="4853"/>
      <c r="DE1543" s="4853"/>
      <c r="DF1543" s="4853"/>
      <c r="DG1543" s="4853"/>
      <c r="DH1543" s="4853"/>
      <c r="DI1543" s="4853"/>
      <c r="DJ1543" s="4853"/>
      <c r="DK1543" s="4853"/>
      <c r="DL1543" s="4853"/>
      <c r="DM1543" s="4853"/>
      <c r="DN1543" s="4853"/>
      <c r="DO1543" s="4853"/>
      <c r="DP1543" s="4853"/>
      <c r="DQ1543" s="4853"/>
      <c r="DR1543" s="4853"/>
      <c r="DS1543" s="4853"/>
    </row>
    <row r="1544" s="75" customFormat="1" ht="17.25" customHeight="1" spans="1:123">
      <c r="A1544" s="5082"/>
      <c r="B1544" s="5082"/>
      <c r="C1544" s="5082"/>
      <c r="D1544" s="5082"/>
      <c r="E1544" s="5082"/>
      <c r="F1544" s="5082"/>
      <c r="G1544" s="5082"/>
      <c r="H1544" s="5082"/>
      <c r="I1544" s="5082"/>
      <c r="J1544" s="5082"/>
      <c r="K1544" s="5082"/>
      <c r="L1544" s="5082"/>
      <c r="M1544" s="5082"/>
      <c r="N1544" s="5082"/>
      <c r="O1544" s="5082"/>
      <c r="P1544" s="5082"/>
      <c r="Q1544" s="5082"/>
      <c r="R1544" s="5082"/>
      <c r="S1544" s="5082"/>
      <c r="T1544" s="5082"/>
      <c r="U1544" s="5082"/>
      <c r="V1544" s="5082"/>
      <c r="W1544" s="5082"/>
      <c r="X1544" s="5082"/>
      <c r="Y1544" s="5082"/>
      <c r="Z1544" s="5082"/>
      <c r="AA1544" s="5082"/>
      <c r="AB1544" s="5082"/>
      <c r="AC1544" s="5082"/>
      <c r="AD1544" s="5082"/>
      <c r="AE1544" s="5082"/>
      <c r="AF1544" s="5082"/>
      <c r="AG1544" s="5082"/>
      <c r="AH1544" s="5082"/>
      <c r="AI1544" s="5082"/>
      <c r="AJ1544" s="5082"/>
      <c r="AK1544" s="5082"/>
      <c r="AL1544" s="5082"/>
      <c r="AM1544" s="5082"/>
      <c r="AN1544" s="5082"/>
      <c r="AO1544" s="5082"/>
      <c r="AP1544" s="5082"/>
      <c r="AQ1544" s="5082"/>
      <c r="AR1544" s="5082"/>
      <c r="AS1544" s="5083"/>
      <c r="AT1544" s="5082"/>
      <c r="AU1544" s="5082"/>
      <c r="AV1544" s="5082"/>
      <c r="AW1544" s="5082"/>
      <c r="AX1544" s="5082"/>
      <c r="AY1544" s="5082"/>
      <c r="AZ1544" s="5082"/>
      <c r="BA1544" s="5082"/>
      <c r="BB1544" s="5082"/>
      <c r="BC1544" s="5082"/>
      <c r="BD1544" s="5082"/>
      <c r="BE1544" s="5082"/>
      <c r="BF1544" s="5082"/>
      <c r="BG1544" s="5082"/>
      <c r="BH1544" s="5082"/>
      <c r="BI1544" s="5082"/>
      <c r="BJ1544" s="5082"/>
      <c r="BK1544" s="5082"/>
      <c r="BL1544" s="5082"/>
      <c r="BM1544" s="5082"/>
      <c r="BN1544" s="5082"/>
      <c r="BO1544" s="5082"/>
      <c r="BP1544" s="5082"/>
      <c r="BQ1544" s="5082"/>
      <c r="BR1544" s="5082"/>
      <c r="BS1544" s="5082"/>
      <c r="BT1544" s="5082"/>
      <c r="BU1544" s="5082"/>
      <c r="BV1544" s="5082"/>
      <c r="BW1544" s="5082"/>
      <c r="BX1544" s="5082"/>
      <c r="BY1544" s="5082"/>
      <c r="BZ1544" s="5082"/>
      <c r="CA1544" s="4853"/>
      <c r="CB1544" s="4853"/>
      <c r="CC1544" s="4853"/>
      <c r="CD1544" s="4853"/>
      <c r="CE1544" s="4853"/>
      <c r="CF1544" s="4853"/>
      <c r="CG1544" s="4853"/>
      <c r="CH1544" s="4853"/>
      <c r="CI1544" s="4853"/>
      <c r="CJ1544" s="4853"/>
      <c r="CK1544" s="4853"/>
      <c r="CL1544" s="4853"/>
      <c r="CM1544" s="4853"/>
      <c r="CN1544" s="4853"/>
      <c r="CO1544" s="4853"/>
      <c r="CP1544" s="4853"/>
      <c r="CQ1544" s="4853"/>
      <c r="CR1544" s="4853"/>
      <c r="CS1544" s="4853"/>
      <c r="CT1544" s="4853"/>
      <c r="CU1544" s="4853"/>
      <c r="CV1544" s="4853"/>
      <c r="CW1544" s="4853"/>
      <c r="CX1544" s="4853"/>
      <c r="CY1544" s="4853"/>
      <c r="CZ1544" s="4853"/>
      <c r="DA1544" s="4853"/>
      <c r="DB1544" s="4853"/>
      <c r="DC1544" s="4853"/>
      <c r="DD1544" s="4853"/>
      <c r="DE1544" s="4853"/>
      <c r="DF1544" s="4853"/>
      <c r="DG1544" s="4853"/>
      <c r="DH1544" s="4853"/>
      <c r="DI1544" s="4853"/>
      <c r="DJ1544" s="4853"/>
      <c r="DK1544" s="4853"/>
      <c r="DL1544" s="4853"/>
      <c r="DM1544" s="4853"/>
      <c r="DN1544" s="4853"/>
      <c r="DO1544" s="4853"/>
      <c r="DP1544" s="4853"/>
      <c r="DQ1544" s="4853"/>
      <c r="DR1544" s="4853"/>
      <c r="DS1544" s="4853"/>
    </row>
    <row r="1545" s="75" customFormat="1" ht="17.25" customHeight="1" spans="1:123">
      <c r="A1545" s="5082"/>
      <c r="B1545" s="5082"/>
      <c r="C1545" s="5082"/>
      <c r="D1545" s="5082"/>
      <c r="E1545" s="5082"/>
      <c r="F1545" s="5082"/>
      <c r="G1545" s="5082"/>
      <c r="H1545" s="5082"/>
      <c r="I1545" s="5082"/>
      <c r="J1545" s="5082"/>
      <c r="K1545" s="5082"/>
      <c r="L1545" s="5082"/>
      <c r="M1545" s="5082"/>
      <c r="N1545" s="5082"/>
      <c r="O1545" s="5082"/>
      <c r="P1545" s="5082"/>
      <c r="Q1545" s="5082"/>
      <c r="R1545" s="5082"/>
      <c r="S1545" s="5082"/>
      <c r="T1545" s="5082"/>
      <c r="U1545" s="5082"/>
      <c r="V1545" s="5082"/>
      <c r="W1545" s="5082"/>
      <c r="X1545" s="5082"/>
      <c r="Y1545" s="5082"/>
      <c r="Z1545" s="5082"/>
      <c r="AA1545" s="5082"/>
      <c r="AB1545" s="5082"/>
      <c r="AC1545" s="5082"/>
      <c r="AD1545" s="5082"/>
      <c r="AE1545" s="5082"/>
      <c r="AF1545" s="5082"/>
      <c r="AG1545" s="5082"/>
      <c r="AH1545" s="5082"/>
      <c r="AI1545" s="5082"/>
      <c r="AJ1545" s="5082"/>
      <c r="AK1545" s="5082"/>
      <c r="AL1545" s="5082"/>
      <c r="AM1545" s="5082"/>
      <c r="AN1545" s="5082"/>
      <c r="AO1545" s="5082"/>
      <c r="AP1545" s="5082"/>
      <c r="AQ1545" s="5082"/>
      <c r="AR1545" s="5082"/>
      <c r="AS1545" s="5083"/>
      <c r="AT1545" s="5082"/>
      <c r="AU1545" s="5082"/>
      <c r="AV1545" s="5082"/>
      <c r="AW1545" s="5082"/>
      <c r="AX1545" s="5082"/>
      <c r="AY1545" s="5082"/>
      <c r="AZ1545" s="5082"/>
      <c r="BA1545" s="5082"/>
      <c r="BB1545" s="5082"/>
      <c r="BC1545" s="5082"/>
      <c r="BD1545" s="5082"/>
      <c r="BE1545" s="5082"/>
      <c r="BF1545" s="5082"/>
      <c r="BG1545" s="5082"/>
      <c r="BH1545" s="5082"/>
      <c r="BI1545" s="5082"/>
      <c r="BJ1545" s="5082"/>
      <c r="BK1545" s="5082"/>
      <c r="BL1545" s="5082"/>
      <c r="BM1545" s="5082"/>
      <c r="BN1545" s="5082"/>
      <c r="BO1545" s="5082"/>
      <c r="BP1545" s="5082"/>
      <c r="BQ1545" s="5082"/>
      <c r="BR1545" s="5082"/>
      <c r="BS1545" s="5082"/>
      <c r="BT1545" s="5082"/>
      <c r="BU1545" s="5082"/>
      <c r="BV1545" s="5082"/>
      <c r="BW1545" s="5082"/>
      <c r="BX1545" s="5082"/>
      <c r="BY1545" s="5082"/>
      <c r="BZ1545" s="5082"/>
      <c r="CA1545" s="4853"/>
      <c r="CB1545" s="4853"/>
      <c r="CC1545" s="4853"/>
      <c r="CD1545" s="4853"/>
      <c r="CE1545" s="4853"/>
      <c r="CF1545" s="4853"/>
      <c r="CG1545" s="4853"/>
      <c r="CH1545" s="4853"/>
      <c r="CI1545" s="4853"/>
      <c r="CJ1545" s="4853"/>
      <c r="CK1545" s="4853"/>
      <c r="CL1545" s="4853"/>
      <c r="CM1545" s="4853"/>
      <c r="CN1545" s="4853"/>
      <c r="CO1545" s="4853"/>
      <c r="CP1545" s="4853"/>
      <c r="CQ1545" s="4853"/>
      <c r="CR1545" s="4853"/>
      <c r="CS1545" s="4853"/>
      <c r="CT1545" s="4853"/>
      <c r="CU1545" s="4853"/>
      <c r="CV1545" s="4853"/>
      <c r="CW1545" s="4853"/>
      <c r="CX1545" s="4853"/>
      <c r="CY1545" s="4853"/>
      <c r="CZ1545" s="4853"/>
      <c r="DA1545" s="4853"/>
      <c r="DB1545" s="4853"/>
      <c r="DC1545" s="4853"/>
      <c r="DD1545" s="4853"/>
      <c r="DE1545" s="4853"/>
      <c r="DF1545" s="4853"/>
      <c r="DG1545" s="4853"/>
      <c r="DH1545" s="4853"/>
      <c r="DI1545" s="4853"/>
      <c r="DJ1545" s="4853"/>
      <c r="DK1545" s="4853"/>
      <c r="DL1545" s="4853"/>
      <c r="DM1545" s="4853"/>
      <c r="DN1545" s="4853"/>
      <c r="DO1545" s="4853"/>
      <c r="DP1545" s="4853"/>
      <c r="DQ1545" s="4853"/>
      <c r="DR1545" s="4853"/>
      <c r="DS1545" s="4853"/>
    </row>
    <row r="1546" s="75" customFormat="1" ht="17.25" customHeight="1" spans="1:123">
      <c r="A1546" s="5082"/>
      <c r="B1546" s="5082"/>
      <c r="C1546" s="5082"/>
      <c r="D1546" s="5082"/>
      <c r="E1546" s="5082"/>
      <c r="F1546" s="5082"/>
      <c r="G1546" s="5082"/>
      <c r="H1546" s="5082"/>
      <c r="I1546" s="5082"/>
      <c r="J1546" s="5082"/>
      <c r="K1546" s="5082"/>
      <c r="L1546" s="5082"/>
      <c r="M1546" s="5082"/>
      <c r="N1546" s="5082"/>
      <c r="O1546" s="5082"/>
      <c r="P1546" s="5082"/>
      <c r="Q1546" s="5082"/>
      <c r="R1546" s="5082"/>
      <c r="S1546" s="5082"/>
      <c r="T1546" s="5082"/>
      <c r="U1546" s="5082"/>
      <c r="V1546" s="5082"/>
      <c r="W1546" s="5082"/>
      <c r="X1546" s="5082"/>
      <c r="Y1546" s="5082"/>
      <c r="Z1546" s="5082"/>
      <c r="AA1546" s="5082"/>
      <c r="AB1546" s="5082"/>
      <c r="AC1546" s="5082"/>
      <c r="AD1546" s="5082"/>
      <c r="AE1546" s="5082"/>
      <c r="AF1546" s="5082"/>
      <c r="AG1546" s="5082"/>
      <c r="AH1546" s="5082"/>
      <c r="AI1546" s="5082"/>
      <c r="AJ1546" s="5082"/>
      <c r="AK1546" s="5082"/>
      <c r="AL1546" s="5082"/>
      <c r="AM1546" s="5082"/>
      <c r="AN1546" s="5082"/>
      <c r="AO1546" s="5082"/>
      <c r="AP1546" s="5082"/>
      <c r="AQ1546" s="5082"/>
      <c r="AR1546" s="5082"/>
      <c r="AS1546" s="5083"/>
      <c r="AT1546" s="5082"/>
      <c r="AU1546" s="5082"/>
      <c r="AV1546" s="5082"/>
      <c r="AW1546" s="5082"/>
      <c r="AX1546" s="5082"/>
      <c r="AY1546" s="5082"/>
      <c r="AZ1546" s="5082"/>
      <c r="BA1546" s="5082"/>
      <c r="BB1546" s="5082"/>
      <c r="BC1546" s="5082"/>
      <c r="BD1546" s="5082"/>
      <c r="BE1546" s="5082"/>
      <c r="BF1546" s="5082"/>
      <c r="BG1546" s="5082"/>
      <c r="BH1546" s="5082"/>
      <c r="BI1546" s="5082"/>
      <c r="BJ1546" s="5082"/>
      <c r="BK1546" s="5082"/>
      <c r="BL1546" s="5082"/>
      <c r="BM1546" s="5082"/>
      <c r="BN1546" s="5082"/>
      <c r="BO1546" s="5082"/>
      <c r="BP1546" s="5082"/>
      <c r="BQ1546" s="5082"/>
      <c r="BR1546" s="5082"/>
      <c r="BS1546" s="5082"/>
      <c r="BT1546" s="5082"/>
      <c r="BU1546" s="5082"/>
      <c r="BV1546" s="5082"/>
      <c r="BW1546" s="5082"/>
      <c r="BX1546" s="5082"/>
      <c r="BY1546" s="5082"/>
      <c r="BZ1546" s="5082"/>
      <c r="CA1546" s="4853"/>
      <c r="CB1546" s="4853"/>
      <c r="CC1546" s="4853"/>
      <c r="CD1546" s="4853"/>
      <c r="CE1546" s="4853"/>
      <c r="CF1546" s="4853"/>
      <c r="CG1546" s="4853"/>
      <c r="CH1546" s="4853"/>
      <c r="CI1546" s="4853"/>
      <c r="CJ1546" s="4853"/>
      <c r="CK1546" s="4853"/>
      <c r="CL1546" s="4853"/>
      <c r="CM1546" s="4853"/>
      <c r="CN1546" s="4853"/>
      <c r="CO1546" s="4853"/>
      <c r="CP1546" s="4853"/>
      <c r="CQ1546" s="4853"/>
      <c r="CR1546" s="4853"/>
      <c r="CS1546" s="4853"/>
      <c r="CT1546" s="4853"/>
      <c r="CU1546" s="4853"/>
      <c r="CV1546" s="4853"/>
      <c r="CW1546" s="4853"/>
      <c r="CX1546" s="4853"/>
      <c r="CY1546" s="4853"/>
      <c r="CZ1546" s="4853"/>
      <c r="DA1546" s="4853"/>
      <c r="DB1546" s="4853"/>
      <c r="DC1546" s="4853"/>
      <c r="DD1546" s="4853"/>
      <c r="DE1546" s="4853"/>
      <c r="DF1546" s="4853"/>
      <c r="DG1546" s="4853"/>
      <c r="DH1546" s="4853"/>
      <c r="DI1546" s="4853"/>
      <c r="DJ1546" s="4853"/>
      <c r="DK1546" s="4853"/>
      <c r="DL1546" s="4853"/>
      <c r="DM1546" s="4853"/>
      <c r="DN1546" s="4853"/>
      <c r="DO1546" s="4853"/>
      <c r="DP1546" s="4853"/>
      <c r="DQ1546" s="4853"/>
      <c r="DR1546" s="4853"/>
      <c r="DS1546" s="4853"/>
    </row>
    <row r="1547" s="75" customFormat="1" ht="17.25" customHeight="1" spans="1:123">
      <c r="A1547" s="5082"/>
      <c r="B1547" s="5082"/>
      <c r="C1547" s="5082"/>
      <c r="D1547" s="5082"/>
      <c r="E1547" s="5082"/>
      <c r="F1547" s="5082"/>
      <c r="G1547" s="5082"/>
      <c r="H1547" s="5082"/>
      <c r="I1547" s="5082"/>
      <c r="J1547" s="5082"/>
      <c r="K1547" s="5082"/>
      <c r="L1547" s="5082"/>
      <c r="M1547" s="5082"/>
      <c r="N1547" s="5082"/>
      <c r="O1547" s="5082"/>
      <c r="P1547" s="5082"/>
      <c r="Q1547" s="5082"/>
      <c r="R1547" s="5082"/>
      <c r="S1547" s="5082"/>
      <c r="T1547" s="5082"/>
      <c r="U1547" s="5082"/>
      <c r="V1547" s="5082"/>
      <c r="W1547" s="5082"/>
      <c r="X1547" s="5082"/>
      <c r="Y1547" s="5082"/>
      <c r="Z1547" s="5082"/>
      <c r="AA1547" s="5082"/>
      <c r="AB1547" s="5082"/>
      <c r="AC1547" s="5082"/>
      <c r="AD1547" s="5082"/>
      <c r="AE1547" s="5082"/>
      <c r="AF1547" s="5082"/>
      <c r="AG1547" s="5082"/>
      <c r="AH1547" s="5082"/>
      <c r="AI1547" s="5082"/>
      <c r="AJ1547" s="5082"/>
      <c r="AK1547" s="5082"/>
      <c r="AL1547" s="5082"/>
      <c r="AM1547" s="5082"/>
      <c r="AN1547" s="5082"/>
      <c r="AO1547" s="5082"/>
      <c r="AP1547" s="5082"/>
      <c r="AQ1547" s="5082"/>
      <c r="AR1547" s="5082"/>
      <c r="AS1547" s="5083"/>
      <c r="AT1547" s="5082"/>
      <c r="AU1547" s="5082"/>
      <c r="AV1547" s="5082"/>
      <c r="AW1547" s="5082"/>
      <c r="AX1547" s="5082"/>
      <c r="AY1547" s="5082"/>
      <c r="AZ1547" s="5082"/>
      <c r="BA1547" s="5082"/>
      <c r="BB1547" s="5082"/>
      <c r="BC1547" s="5082"/>
      <c r="BD1547" s="5082"/>
      <c r="BE1547" s="5082"/>
      <c r="BF1547" s="5082"/>
      <c r="BG1547" s="5082"/>
      <c r="BH1547" s="5082"/>
      <c r="BI1547" s="5082"/>
      <c r="BJ1547" s="5082"/>
      <c r="BK1547" s="5082"/>
      <c r="BL1547" s="5082"/>
      <c r="BM1547" s="5082"/>
      <c r="BN1547" s="5082"/>
      <c r="BO1547" s="5082"/>
      <c r="BP1547" s="5082"/>
      <c r="BQ1547" s="5082"/>
      <c r="BR1547" s="5082"/>
      <c r="BS1547" s="5082"/>
      <c r="BT1547" s="5082"/>
      <c r="BU1547" s="5082"/>
      <c r="BV1547" s="5082"/>
      <c r="BW1547" s="5082"/>
      <c r="BX1547" s="5082"/>
      <c r="BY1547" s="5082"/>
      <c r="BZ1547" s="5082"/>
      <c r="CA1547" s="4853"/>
      <c r="CB1547" s="4853"/>
      <c r="CC1547" s="4853"/>
      <c r="CD1547" s="4853"/>
      <c r="CE1547" s="4853"/>
      <c r="CF1547" s="4853"/>
      <c r="CG1547" s="4853"/>
      <c r="CH1547" s="4853"/>
      <c r="CI1547" s="4853"/>
      <c r="CJ1547" s="4853"/>
      <c r="CK1547" s="4853"/>
      <c r="CL1547" s="4853"/>
      <c r="CM1547" s="4853"/>
      <c r="CN1547" s="4853"/>
      <c r="CO1547" s="4853"/>
      <c r="CP1547" s="4853"/>
      <c r="CQ1547" s="4853"/>
      <c r="CR1547" s="4853"/>
      <c r="CS1547" s="4853"/>
      <c r="CT1547" s="4853"/>
      <c r="CU1547" s="4853"/>
      <c r="CV1547" s="4853"/>
      <c r="CW1547" s="4853"/>
      <c r="CX1547" s="4853"/>
      <c r="CY1547" s="4853"/>
      <c r="CZ1547" s="4853"/>
      <c r="DA1547" s="4853"/>
      <c r="DB1547" s="4853"/>
      <c r="DC1547" s="4853"/>
      <c r="DD1547" s="4853"/>
      <c r="DE1547" s="4853"/>
      <c r="DF1547" s="4853"/>
      <c r="DG1547" s="4853"/>
      <c r="DH1547" s="4853"/>
      <c r="DI1547" s="4853"/>
      <c r="DJ1547" s="4853"/>
      <c r="DK1547" s="4853"/>
      <c r="DL1547" s="4853"/>
      <c r="DM1547" s="4853"/>
      <c r="DN1547" s="4853"/>
      <c r="DO1547" s="4853"/>
      <c r="DP1547" s="4853"/>
      <c r="DQ1547" s="4853"/>
      <c r="DR1547" s="4853"/>
      <c r="DS1547" s="4853"/>
    </row>
    <row r="1548" ht="17.25" customHeight="1" spans="1:123">
      <c r="A1548" s="5082"/>
      <c r="B1548" s="5082"/>
      <c r="C1548" s="5082"/>
      <c r="D1548" s="5082"/>
      <c r="E1548" s="5082"/>
      <c r="F1548" s="5082"/>
      <c r="G1548" s="5082"/>
      <c r="H1548" s="5082"/>
      <c r="I1548" s="5082"/>
      <c r="J1548" s="5082"/>
      <c r="K1548" s="5082"/>
      <c r="L1548" s="5082"/>
      <c r="M1548" s="5082"/>
      <c r="N1548" s="5082"/>
      <c r="O1548" s="5082"/>
      <c r="P1548" s="5082"/>
      <c r="Q1548" s="5082"/>
      <c r="R1548" s="5082"/>
      <c r="S1548" s="5082"/>
      <c r="T1548" s="5082"/>
      <c r="U1548" s="5082"/>
      <c r="V1548" s="5082"/>
      <c r="W1548" s="5082"/>
      <c r="X1548" s="5082"/>
      <c r="Y1548" s="5082"/>
      <c r="Z1548" s="5082"/>
      <c r="AA1548" s="5082"/>
      <c r="AB1548" s="5082"/>
      <c r="AC1548" s="5082"/>
      <c r="AD1548" s="5082"/>
      <c r="AE1548" s="5082"/>
      <c r="AF1548" s="5082"/>
      <c r="AG1548" s="5082"/>
      <c r="AH1548" s="5082"/>
      <c r="AI1548" s="5082"/>
      <c r="AJ1548" s="5082"/>
      <c r="AK1548" s="5082"/>
      <c r="AL1548" s="5082"/>
      <c r="AM1548" s="5082"/>
      <c r="AN1548" s="5082"/>
      <c r="AO1548" s="5082"/>
      <c r="AP1548" s="5082"/>
      <c r="AQ1548" s="5082"/>
      <c r="AR1548" s="5082"/>
      <c r="AS1548" s="5083"/>
      <c r="AT1548" s="5082"/>
      <c r="AU1548" s="5082"/>
      <c r="AV1548" s="5082"/>
      <c r="AW1548" s="5082"/>
      <c r="AX1548" s="5082"/>
      <c r="AY1548" s="5082"/>
      <c r="AZ1548" s="5082"/>
      <c r="BA1548" s="5082"/>
      <c r="BB1548" s="5082"/>
      <c r="BC1548" s="5082"/>
      <c r="BD1548" s="5082"/>
      <c r="BE1548" s="5082"/>
      <c r="BF1548" s="5082"/>
      <c r="BG1548" s="5082"/>
      <c r="BH1548" s="5082"/>
      <c r="BI1548" s="5082"/>
      <c r="BJ1548" s="5082"/>
      <c r="BK1548" s="5082"/>
      <c r="BL1548" s="5082"/>
      <c r="BM1548" s="5082"/>
      <c r="BN1548" s="5082"/>
      <c r="BO1548" s="5082"/>
      <c r="BP1548" s="5082"/>
      <c r="BQ1548" s="5082"/>
      <c r="BR1548" s="5082"/>
      <c r="BS1548" s="5082"/>
      <c r="BT1548" s="5082"/>
      <c r="BU1548" s="5082"/>
      <c r="BV1548" s="5082"/>
      <c r="BW1548" s="5082"/>
      <c r="BX1548" s="5082"/>
      <c r="BY1548" s="5082"/>
      <c r="BZ1548" s="5082"/>
      <c r="CA1548" s="4853"/>
      <c r="CB1548" s="4853"/>
      <c r="CC1548" s="4853"/>
      <c r="CD1548" s="4853"/>
      <c r="CE1548" s="4853"/>
      <c r="CF1548" s="4853"/>
      <c r="CG1548" s="4853"/>
      <c r="CH1548" s="4853"/>
      <c r="CI1548" s="4853"/>
      <c r="CJ1548" s="4853"/>
      <c r="CK1548" s="4853"/>
      <c r="CL1548" s="4853"/>
      <c r="CM1548" s="4853"/>
      <c r="CN1548" s="4853"/>
      <c r="CO1548" s="4853"/>
      <c r="CP1548" s="4853"/>
      <c r="CQ1548" s="4853"/>
      <c r="CR1548" s="4853"/>
      <c r="CS1548" s="4853"/>
      <c r="CT1548" s="4853"/>
      <c r="CU1548" s="4853"/>
      <c r="CV1548" s="4853"/>
      <c r="CW1548" s="4853"/>
      <c r="CX1548" s="4853"/>
      <c r="CY1548" s="4853"/>
      <c r="CZ1548" s="4853"/>
      <c r="DA1548" s="4853"/>
      <c r="DB1548" s="4853"/>
      <c r="DC1548" s="4853"/>
      <c r="DD1548" s="4853"/>
      <c r="DE1548" s="4853"/>
      <c r="DF1548" s="4853"/>
      <c r="DG1548" s="4853"/>
      <c r="DH1548" s="4853"/>
      <c r="DI1548" s="4853"/>
      <c r="DJ1548" s="4853"/>
      <c r="DK1548" s="4853"/>
      <c r="DL1548" s="4853"/>
      <c r="DM1548" s="4853"/>
      <c r="DN1548" s="4853"/>
      <c r="DO1548" s="4853"/>
      <c r="DP1548" s="4853"/>
      <c r="DQ1548" s="4853"/>
      <c r="DR1548" s="4853"/>
      <c r="DS1548" s="4853"/>
    </row>
    <row r="1549" ht="17.25" customHeight="1" spans="1:123">
      <c r="A1549" s="5082"/>
      <c r="B1549" s="5082"/>
      <c r="C1549" s="5082"/>
      <c r="D1549" s="5082"/>
      <c r="E1549" s="5082"/>
      <c r="F1549" s="5082"/>
      <c r="G1549" s="5082"/>
      <c r="H1549" s="5082"/>
      <c r="I1549" s="5082"/>
      <c r="J1549" s="5082"/>
      <c r="K1549" s="5082"/>
      <c r="L1549" s="5082"/>
      <c r="M1549" s="5082"/>
      <c r="N1549" s="5082"/>
      <c r="O1549" s="5082"/>
      <c r="P1549" s="5082"/>
      <c r="Q1549" s="5082"/>
      <c r="R1549" s="5082"/>
      <c r="S1549" s="5082"/>
      <c r="T1549" s="5082"/>
      <c r="U1549" s="5082"/>
      <c r="V1549" s="5082"/>
      <c r="W1549" s="5082"/>
      <c r="X1549" s="5082"/>
      <c r="Y1549" s="5082"/>
      <c r="Z1549" s="5082"/>
      <c r="AA1549" s="5082"/>
      <c r="AB1549" s="5082"/>
      <c r="AC1549" s="5082"/>
      <c r="AD1549" s="5082"/>
      <c r="AE1549" s="5082"/>
      <c r="AF1549" s="5082"/>
      <c r="AG1549" s="5082"/>
      <c r="AH1549" s="5082"/>
      <c r="AI1549" s="5082"/>
      <c r="AJ1549" s="5082"/>
      <c r="AK1549" s="5082"/>
      <c r="AL1549" s="5082"/>
      <c r="AM1549" s="5082"/>
      <c r="AN1549" s="5082"/>
      <c r="AO1549" s="5082"/>
      <c r="AP1549" s="5082"/>
      <c r="AQ1549" s="5082"/>
      <c r="AR1549" s="5082"/>
      <c r="AS1549" s="5083"/>
      <c r="AT1549" s="5082"/>
      <c r="AU1549" s="5082"/>
      <c r="AV1549" s="5082"/>
      <c r="AW1549" s="5082"/>
      <c r="AX1549" s="5082"/>
      <c r="AY1549" s="5082"/>
      <c r="AZ1549" s="5082"/>
      <c r="BA1549" s="5082"/>
      <c r="BB1549" s="5082"/>
      <c r="BC1549" s="5082"/>
      <c r="BD1549" s="5082"/>
      <c r="BE1549" s="5082"/>
      <c r="BF1549" s="5082"/>
      <c r="BG1549" s="5082"/>
      <c r="BH1549" s="5082"/>
      <c r="BI1549" s="5082"/>
      <c r="BJ1549" s="5082"/>
      <c r="BK1549" s="5082"/>
      <c r="BL1549" s="5082"/>
      <c r="BM1549" s="5082"/>
      <c r="BN1549" s="5082"/>
      <c r="BO1549" s="5082"/>
      <c r="BP1549" s="5082"/>
      <c r="BQ1549" s="5082"/>
      <c r="BR1549" s="5082"/>
      <c r="BS1549" s="5082"/>
      <c r="BT1549" s="5082"/>
      <c r="BU1549" s="5082"/>
      <c r="BV1549" s="5082"/>
      <c r="BW1549" s="5082"/>
      <c r="BX1549" s="5082"/>
      <c r="BY1549" s="5082"/>
      <c r="BZ1549" s="5082"/>
      <c r="CA1549" s="4853"/>
      <c r="CB1549" s="4853"/>
      <c r="CC1549" s="4853"/>
      <c r="CD1549" s="4853"/>
      <c r="CE1549" s="4853"/>
      <c r="CF1549" s="4853"/>
      <c r="CG1549" s="4853"/>
      <c r="CH1549" s="4853"/>
      <c r="CI1549" s="4853"/>
      <c r="CJ1549" s="4853"/>
      <c r="CK1549" s="4853"/>
      <c r="CL1549" s="4853"/>
      <c r="CM1549" s="4853"/>
      <c r="CN1549" s="4853"/>
      <c r="CO1549" s="4853"/>
      <c r="CP1549" s="4853"/>
      <c r="CQ1549" s="4853"/>
      <c r="CR1549" s="4853"/>
      <c r="CS1549" s="4853"/>
      <c r="CT1549" s="4853"/>
      <c r="CU1549" s="4853"/>
      <c r="CV1549" s="4853"/>
      <c r="CW1549" s="4853"/>
      <c r="CX1549" s="4853"/>
      <c r="CY1549" s="4853"/>
      <c r="CZ1549" s="4853"/>
      <c r="DA1549" s="4853"/>
      <c r="DB1549" s="4853"/>
      <c r="DC1549" s="4853"/>
      <c r="DD1549" s="4853"/>
      <c r="DE1549" s="4853"/>
      <c r="DF1549" s="4853"/>
      <c r="DG1549" s="4853"/>
      <c r="DH1549" s="4853"/>
      <c r="DI1549" s="4853"/>
      <c r="DJ1549" s="4853"/>
      <c r="DK1549" s="4853"/>
      <c r="DL1549" s="4853"/>
      <c r="DM1549" s="4853"/>
      <c r="DN1549" s="4853"/>
      <c r="DO1549" s="4853"/>
      <c r="DP1549" s="4853"/>
      <c r="DQ1549" s="4853"/>
      <c r="DR1549" s="4853"/>
      <c r="DS1549" s="4853"/>
    </row>
    <row r="1550" ht="17.25" customHeight="1"/>
  </sheetData>
  <mergeCells count="3307">
    <mergeCell ref="P1:S1"/>
    <mergeCell ref="AI1:AY1"/>
    <mergeCell ref="A3:E3"/>
    <mergeCell ref="F3:R3"/>
    <mergeCell ref="T3:Z3"/>
    <mergeCell ref="AA3:AE3"/>
    <mergeCell ref="AL3:AP3"/>
    <mergeCell ref="A4:E4"/>
    <mergeCell ref="F4:R4"/>
    <mergeCell ref="AE4:AP4"/>
    <mergeCell ref="AQ4:AS4"/>
    <mergeCell ref="AT4:BH4"/>
    <mergeCell ref="A5:E5"/>
    <mergeCell ref="F5:I5"/>
    <mergeCell ref="AA5:AP5"/>
    <mergeCell ref="A6:E6"/>
    <mergeCell ref="J6:K6"/>
    <mergeCell ref="Q6:R6"/>
    <mergeCell ref="A8:E8"/>
    <mergeCell ref="F8:R8"/>
    <mergeCell ref="T8:Z8"/>
    <mergeCell ref="AQ8:AS8"/>
    <mergeCell ref="AT8:BH8"/>
    <mergeCell ref="A9:E9"/>
    <mergeCell ref="F9:R9"/>
    <mergeCell ref="T9:Z9"/>
    <mergeCell ref="AQ9:AS9"/>
    <mergeCell ref="AT9:BH9"/>
    <mergeCell ref="A10:E10"/>
    <mergeCell ref="F10:R10"/>
    <mergeCell ref="T10:Z10"/>
    <mergeCell ref="AQ10:AS10"/>
    <mergeCell ref="AT10:BY10"/>
    <mergeCell ref="A11:E11"/>
    <mergeCell ref="F11:R11"/>
    <mergeCell ref="T11:Z11"/>
    <mergeCell ref="AQ11:AS11"/>
    <mergeCell ref="AT11:BH11"/>
    <mergeCell ref="A12:E12"/>
    <mergeCell ref="F12:R12"/>
    <mergeCell ref="T12:Z12"/>
    <mergeCell ref="AQ12:AS12"/>
    <mergeCell ref="AT12:BH12"/>
    <mergeCell ref="A13:E13"/>
    <mergeCell ref="F13:R13"/>
    <mergeCell ref="T13:Z13"/>
    <mergeCell ref="AA13:AH13"/>
    <mergeCell ref="AI13:AP13"/>
    <mergeCell ref="AQ13:AS13"/>
    <mergeCell ref="AT13:BH13"/>
    <mergeCell ref="A14:E14"/>
    <mergeCell ref="F14:R14"/>
    <mergeCell ref="AQ14:AS14"/>
    <mergeCell ref="AT14:BH14"/>
    <mergeCell ref="A15:E15"/>
    <mergeCell ref="F15:R15"/>
    <mergeCell ref="AQ15:AS15"/>
    <mergeCell ref="A16:E16"/>
    <mergeCell ref="F16:R16"/>
    <mergeCell ref="A17:E17"/>
    <mergeCell ref="F17:R17"/>
    <mergeCell ref="AQ17:AS17"/>
    <mergeCell ref="A18:E18"/>
    <mergeCell ref="F18:R18"/>
    <mergeCell ref="AQ18:AS18"/>
    <mergeCell ref="A19:E19"/>
    <mergeCell ref="F19:R19"/>
    <mergeCell ref="AQ19:AS19"/>
    <mergeCell ref="BI19:BW19"/>
    <mergeCell ref="A20:E20"/>
    <mergeCell ref="F20:R20"/>
    <mergeCell ref="AQ20:AS20"/>
    <mergeCell ref="BI20:BW20"/>
    <mergeCell ref="AQ21:AS21"/>
    <mergeCell ref="BI21:BW21"/>
    <mergeCell ref="A22:R22"/>
    <mergeCell ref="T22:Z22"/>
    <mergeCell ref="AQ22:AS22"/>
    <mergeCell ref="BI22:BW22"/>
    <mergeCell ref="A23:E23"/>
    <mergeCell ref="F23:R23"/>
    <mergeCell ref="AQ23:AS23"/>
    <mergeCell ref="BI23:BW23"/>
    <mergeCell ref="A24:E24"/>
    <mergeCell ref="F24:R24"/>
    <mergeCell ref="AQ24:AS24"/>
    <mergeCell ref="A25:E25"/>
    <mergeCell ref="F25:R25"/>
    <mergeCell ref="AQ25:AS25"/>
    <mergeCell ref="A26:E26"/>
    <mergeCell ref="F26:R26"/>
    <mergeCell ref="AQ26:AS26"/>
    <mergeCell ref="F28:K28"/>
    <mergeCell ref="M28:S28"/>
    <mergeCell ref="F29:K29"/>
    <mergeCell ref="F31:K31"/>
    <mergeCell ref="F32:K32"/>
    <mergeCell ref="F107:L107"/>
    <mergeCell ref="A108:E108"/>
    <mergeCell ref="A109:E109"/>
    <mergeCell ref="A110:E110"/>
    <mergeCell ref="F110:L110"/>
    <mergeCell ref="M110:N110"/>
    <mergeCell ref="A111:E111"/>
    <mergeCell ref="F111:L111"/>
    <mergeCell ref="A112:E112"/>
    <mergeCell ref="F112:L112"/>
    <mergeCell ref="A113:E113"/>
    <mergeCell ref="F113:L113"/>
    <mergeCell ref="A114:E114"/>
    <mergeCell ref="F114:L114"/>
    <mergeCell ref="A115:E115"/>
    <mergeCell ref="F115:L115"/>
    <mergeCell ref="A116:E116"/>
    <mergeCell ref="F116:L116"/>
    <mergeCell ref="A117:E117"/>
    <mergeCell ref="F117:L117"/>
    <mergeCell ref="A118:E118"/>
    <mergeCell ref="F118:L118"/>
    <mergeCell ref="A119:E119"/>
    <mergeCell ref="F119:L119"/>
    <mergeCell ref="A120:E120"/>
    <mergeCell ref="F120:L120"/>
    <mergeCell ref="A121:E121"/>
    <mergeCell ref="F121:L121"/>
    <mergeCell ref="A122:E122"/>
    <mergeCell ref="F122:L122"/>
    <mergeCell ref="A123:E123"/>
    <mergeCell ref="F123:L123"/>
    <mergeCell ref="A124:E124"/>
    <mergeCell ref="F124:L124"/>
    <mergeCell ref="A125:E125"/>
    <mergeCell ref="F125:L125"/>
    <mergeCell ref="A126:E126"/>
    <mergeCell ref="F126:L126"/>
    <mergeCell ref="A127:E127"/>
    <mergeCell ref="F127:L127"/>
    <mergeCell ref="A128:E128"/>
    <mergeCell ref="F128:L128"/>
    <mergeCell ref="A129:E129"/>
    <mergeCell ref="F129:L129"/>
    <mergeCell ref="A130:E130"/>
    <mergeCell ref="F130:L130"/>
    <mergeCell ref="A131:E131"/>
    <mergeCell ref="F131:L131"/>
    <mergeCell ref="A132:E132"/>
    <mergeCell ref="F132:L132"/>
    <mergeCell ref="A133:E133"/>
    <mergeCell ref="F133:L133"/>
    <mergeCell ref="A134:E134"/>
    <mergeCell ref="F134:L134"/>
    <mergeCell ref="A135:E135"/>
    <mergeCell ref="F135:L135"/>
    <mergeCell ref="A136:E136"/>
    <mergeCell ref="F136:L136"/>
    <mergeCell ref="A137:E137"/>
    <mergeCell ref="F137:L137"/>
    <mergeCell ref="A138:E138"/>
    <mergeCell ref="F138:L138"/>
    <mergeCell ref="A139:E139"/>
    <mergeCell ref="F139:L139"/>
    <mergeCell ref="A140:E140"/>
    <mergeCell ref="F140:L140"/>
    <mergeCell ref="A141:E141"/>
    <mergeCell ref="F141:L141"/>
    <mergeCell ref="A142:E142"/>
    <mergeCell ref="F142:L142"/>
    <mergeCell ref="A143:E143"/>
    <mergeCell ref="F143:L143"/>
    <mergeCell ref="A144:E144"/>
    <mergeCell ref="F144:L144"/>
    <mergeCell ref="A145:E145"/>
    <mergeCell ref="F145:L145"/>
    <mergeCell ref="A146:E146"/>
    <mergeCell ref="F146:L146"/>
    <mergeCell ref="A147:E147"/>
    <mergeCell ref="F147:L147"/>
    <mergeCell ref="A148:E148"/>
    <mergeCell ref="F148:L148"/>
    <mergeCell ref="A149:E149"/>
    <mergeCell ref="F149:L149"/>
    <mergeCell ref="A150:E150"/>
    <mergeCell ref="F150:L150"/>
    <mergeCell ref="A151:E151"/>
    <mergeCell ref="F151:L151"/>
    <mergeCell ref="A152:E152"/>
    <mergeCell ref="F152:L152"/>
    <mergeCell ref="A153:E153"/>
    <mergeCell ref="F153:L153"/>
    <mergeCell ref="A154:E154"/>
    <mergeCell ref="F154:L154"/>
    <mergeCell ref="A155:E155"/>
    <mergeCell ref="F155:L155"/>
    <mergeCell ref="A156:E156"/>
    <mergeCell ref="F156:L156"/>
    <mergeCell ref="A157:E157"/>
    <mergeCell ref="F157:L157"/>
    <mergeCell ref="A158:E158"/>
    <mergeCell ref="F158:L158"/>
    <mergeCell ref="A159:E159"/>
    <mergeCell ref="F159:L159"/>
    <mergeCell ref="A160:E160"/>
    <mergeCell ref="F160:L160"/>
    <mergeCell ref="A161:E161"/>
    <mergeCell ref="F161:L161"/>
    <mergeCell ref="A162:E162"/>
    <mergeCell ref="F162:L162"/>
    <mergeCell ref="A163:E163"/>
    <mergeCell ref="F163:L163"/>
    <mergeCell ref="A164:E164"/>
    <mergeCell ref="F164:L164"/>
    <mergeCell ref="A165:E165"/>
    <mergeCell ref="F165:L165"/>
    <mergeCell ref="A166:E166"/>
    <mergeCell ref="F166:L166"/>
    <mergeCell ref="A167:E167"/>
    <mergeCell ref="F167:L167"/>
    <mergeCell ref="A168:E168"/>
    <mergeCell ref="F168:L168"/>
    <mergeCell ref="A169:E169"/>
    <mergeCell ref="F169:L169"/>
    <mergeCell ref="A170:E170"/>
    <mergeCell ref="F170:L170"/>
    <mergeCell ref="A171:E171"/>
    <mergeCell ref="F171:L171"/>
    <mergeCell ref="A172:E172"/>
    <mergeCell ref="F172:L172"/>
    <mergeCell ref="A173:E173"/>
    <mergeCell ref="F173:L173"/>
    <mergeCell ref="A174:E174"/>
    <mergeCell ref="F174:L174"/>
    <mergeCell ref="A175:E175"/>
    <mergeCell ref="F175:L175"/>
    <mergeCell ref="A176:E176"/>
    <mergeCell ref="F176:L176"/>
    <mergeCell ref="A177:E177"/>
    <mergeCell ref="F177:L177"/>
    <mergeCell ref="A178:E178"/>
    <mergeCell ref="F178:L178"/>
    <mergeCell ref="A179:E179"/>
    <mergeCell ref="F179:L179"/>
    <mergeCell ref="A180:E180"/>
    <mergeCell ref="F180:L180"/>
    <mergeCell ref="A181:E181"/>
    <mergeCell ref="F181:L181"/>
    <mergeCell ref="A182:E182"/>
    <mergeCell ref="F182:L182"/>
    <mergeCell ref="A183:E183"/>
    <mergeCell ref="F183:L183"/>
    <mergeCell ref="A184:E184"/>
    <mergeCell ref="F184:L184"/>
    <mergeCell ref="A185:E185"/>
    <mergeCell ref="F185:L185"/>
    <mergeCell ref="A186:E186"/>
    <mergeCell ref="F186:L186"/>
    <mergeCell ref="A187:E187"/>
    <mergeCell ref="F187:L187"/>
    <mergeCell ref="A188:E188"/>
    <mergeCell ref="F188:L188"/>
    <mergeCell ref="A189:E189"/>
    <mergeCell ref="F189:L189"/>
    <mergeCell ref="A190:E190"/>
    <mergeCell ref="F190:L190"/>
    <mergeCell ref="A191:E191"/>
    <mergeCell ref="F191:L191"/>
    <mergeCell ref="A192:E192"/>
    <mergeCell ref="F192:L192"/>
    <mergeCell ref="A193:E193"/>
    <mergeCell ref="F193:L193"/>
    <mergeCell ref="A194:E194"/>
    <mergeCell ref="F194:L194"/>
    <mergeCell ref="A195:E195"/>
    <mergeCell ref="F195:L195"/>
    <mergeCell ref="A196:E196"/>
    <mergeCell ref="F196:L196"/>
    <mergeCell ref="A197:E197"/>
    <mergeCell ref="F197:L197"/>
    <mergeCell ref="A198:E198"/>
    <mergeCell ref="F198:L198"/>
    <mergeCell ref="A199:E199"/>
    <mergeCell ref="F199:L199"/>
    <mergeCell ref="A200:E200"/>
    <mergeCell ref="F200:L200"/>
    <mergeCell ref="A201:E201"/>
    <mergeCell ref="F201:L201"/>
    <mergeCell ref="A202:E202"/>
    <mergeCell ref="F202:L202"/>
    <mergeCell ref="A203:E203"/>
    <mergeCell ref="F203:L203"/>
    <mergeCell ref="A204:E204"/>
    <mergeCell ref="F204:L204"/>
    <mergeCell ref="A205:E205"/>
    <mergeCell ref="F205:L205"/>
    <mergeCell ref="A206:E206"/>
    <mergeCell ref="F206:L206"/>
    <mergeCell ref="A207:E207"/>
    <mergeCell ref="F207:L207"/>
    <mergeCell ref="A208:E208"/>
    <mergeCell ref="F208:L208"/>
    <mergeCell ref="A209:E209"/>
    <mergeCell ref="F209:L209"/>
    <mergeCell ref="A210:E210"/>
    <mergeCell ref="F210:L210"/>
    <mergeCell ref="A211:E211"/>
    <mergeCell ref="F211:L211"/>
    <mergeCell ref="A212:E212"/>
    <mergeCell ref="F212:L212"/>
    <mergeCell ref="A213:E213"/>
    <mergeCell ref="F213:L213"/>
    <mergeCell ref="A214:E214"/>
    <mergeCell ref="F214:L214"/>
    <mergeCell ref="A215:E215"/>
    <mergeCell ref="F215:L215"/>
    <mergeCell ref="A216:E216"/>
    <mergeCell ref="F216:L216"/>
    <mergeCell ref="A217:E217"/>
    <mergeCell ref="F217:L217"/>
    <mergeCell ref="A218:E218"/>
    <mergeCell ref="F218:L218"/>
    <mergeCell ref="A219:E219"/>
    <mergeCell ref="F219:L219"/>
    <mergeCell ref="A220:E220"/>
    <mergeCell ref="F220:L220"/>
    <mergeCell ref="A221:E221"/>
    <mergeCell ref="F221:L221"/>
    <mergeCell ref="A222:E222"/>
    <mergeCell ref="F222:L222"/>
    <mergeCell ref="A224:E224"/>
    <mergeCell ref="F224:L224"/>
    <mergeCell ref="F227:L227"/>
    <mergeCell ref="A228:E228"/>
    <mergeCell ref="F228:L228"/>
    <mergeCell ref="A229:E229"/>
    <mergeCell ref="F229:L229"/>
    <mergeCell ref="A230:E230"/>
    <mergeCell ref="F230:L230"/>
    <mergeCell ref="M230:N230"/>
    <mergeCell ref="A231:E231"/>
    <mergeCell ref="F231:L231"/>
    <mergeCell ref="A232:E232"/>
    <mergeCell ref="F232:L232"/>
    <mergeCell ref="A233:E233"/>
    <mergeCell ref="F233:L233"/>
    <mergeCell ref="A234:E234"/>
    <mergeCell ref="F234:L234"/>
    <mergeCell ref="A235:E235"/>
    <mergeCell ref="F235:L235"/>
    <mergeCell ref="A236:E236"/>
    <mergeCell ref="F236:L236"/>
    <mergeCell ref="A237:E237"/>
    <mergeCell ref="F237:L237"/>
    <mergeCell ref="A238:E238"/>
    <mergeCell ref="F238:L238"/>
    <mergeCell ref="A239:E239"/>
    <mergeCell ref="F239:L239"/>
    <mergeCell ref="A240:E240"/>
    <mergeCell ref="F240:L240"/>
    <mergeCell ref="A241:E241"/>
    <mergeCell ref="F241:L241"/>
    <mergeCell ref="A242:E242"/>
    <mergeCell ref="F242:L242"/>
    <mergeCell ref="A243:E243"/>
    <mergeCell ref="F243:L243"/>
    <mergeCell ref="A244:E244"/>
    <mergeCell ref="F244:L244"/>
    <mergeCell ref="A245:E245"/>
    <mergeCell ref="F245:L245"/>
    <mergeCell ref="A246:E246"/>
    <mergeCell ref="F246:L246"/>
    <mergeCell ref="A247:E247"/>
    <mergeCell ref="F247:L247"/>
    <mergeCell ref="A248:E248"/>
    <mergeCell ref="F248:L248"/>
    <mergeCell ref="A249:E249"/>
    <mergeCell ref="F249:L249"/>
    <mergeCell ref="A250:E250"/>
    <mergeCell ref="F250:L250"/>
    <mergeCell ref="A251:E251"/>
    <mergeCell ref="F251:L251"/>
    <mergeCell ref="A252:E252"/>
    <mergeCell ref="F252:L252"/>
    <mergeCell ref="A253:E253"/>
    <mergeCell ref="F253:L253"/>
    <mergeCell ref="A254:E254"/>
    <mergeCell ref="F254:L254"/>
    <mergeCell ref="A255:E255"/>
    <mergeCell ref="F255:L255"/>
    <mergeCell ref="A256:E256"/>
    <mergeCell ref="F256:L256"/>
    <mergeCell ref="A257:E257"/>
    <mergeCell ref="F257:L257"/>
    <mergeCell ref="A258:E258"/>
    <mergeCell ref="F258:L258"/>
    <mergeCell ref="A259:E259"/>
    <mergeCell ref="F259:L259"/>
    <mergeCell ref="A260:E260"/>
    <mergeCell ref="F260:L260"/>
    <mergeCell ref="A261:E261"/>
    <mergeCell ref="F261:L261"/>
    <mergeCell ref="A262:E262"/>
    <mergeCell ref="F262:L262"/>
    <mergeCell ref="A263:E263"/>
    <mergeCell ref="F263:L263"/>
    <mergeCell ref="A264:E264"/>
    <mergeCell ref="F264:L264"/>
    <mergeCell ref="A265:E265"/>
    <mergeCell ref="F265:L265"/>
    <mergeCell ref="A266:E266"/>
    <mergeCell ref="F266:L266"/>
    <mergeCell ref="A267:E267"/>
    <mergeCell ref="F267:L267"/>
    <mergeCell ref="A268:E268"/>
    <mergeCell ref="F268:L268"/>
    <mergeCell ref="A269:E269"/>
    <mergeCell ref="F269:L269"/>
    <mergeCell ref="A270:E270"/>
    <mergeCell ref="F270:L270"/>
    <mergeCell ref="A271:E271"/>
    <mergeCell ref="F271:L271"/>
    <mergeCell ref="A272:E272"/>
    <mergeCell ref="F272:L272"/>
    <mergeCell ref="A273:E273"/>
    <mergeCell ref="F273:L273"/>
    <mergeCell ref="A274:E274"/>
    <mergeCell ref="F274:L274"/>
    <mergeCell ref="A275:E275"/>
    <mergeCell ref="F275:L275"/>
    <mergeCell ref="A276:E276"/>
    <mergeCell ref="F276:L276"/>
    <mergeCell ref="A277:E277"/>
    <mergeCell ref="F277:L277"/>
    <mergeCell ref="A278:E278"/>
    <mergeCell ref="F278:L278"/>
    <mergeCell ref="A279:E279"/>
    <mergeCell ref="F279:L279"/>
    <mergeCell ref="A280:E280"/>
    <mergeCell ref="F280:L280"/>
    <mergeCell ref="A281:E281"/>
    <mergeCell ref="F281:L281"/>
    <mergeCell ref="A282:E282"/>
    <mergeCell ref="F282:L282"/>
    <mergeCell ref="A283:E283"/>
    <mergeCell ref="F283:L283"/>
    <mergeCell ref="A284:E284"/>
    <mergeCell ref="F284:L284"/>
    <mergeCell ref="A285:E285"/>
    <mergeCell ref="F285:L285"/>
    <mergeCell ref="A286:E286"/>
    <mergeCell ref="F286:L286"/>
    <mergeCell ref="A287:E287"/>
    <mergeCell ref="F287:L287"/>
    <mergeCell ref="A288:E288"/>
    <mergeCell ref="F288:L288"/>
    <mergeCell ref="A289:E289"/>
    <mergeCell ref="F289:L289"/>
    <mergeCell ref="A290:E290"/>
    <mergeCell ref="F290:L290"/>
    <mergeCell ref="A291:E291"/>
    <mergeCell ref="F291:L291"/>
    <mergeCell ref="A292:E292"/>
    <mergeCell ref="F292:L292"/>
    <mergeCell ref="A293:E293"/>
    <mergeCell ref="F293:L293"/>
    <mergeCell ref="A294:E294"/>
    <mergeCell ref="F294:L294"/>
    <mergeCell ref="A295:E295"/>
    <mergeCell ref="F295:L295"/>
    <mergeCell ref="A296:E296"/>
    <mergeCell ref="F296:L296"/>
    <mergeCell ref="A297:E297"/>
    <mergeCell ref="F297:L297"/>
    <mergeCell ref="A298:E298"/>
    <mergeCell ref="F298:L298"/>
    <mergeCell ref="A299:E299"/>
    <mergeCell ref="F299:L299"/>
    <mergeCell ref="A300:E300"/>
    <mergeCell ref="F300:L300"/>
    <mergeCell ref="A301:E301"/>
    <mergeCell ref="F301:L301"/>
    <mergeCell ref="A302:E302"/>
    <mergeCell ref="F302:L302"/>
    <mergeCell ref="A303:E303"/>
    <mergeCell ref="F303:L303"/>
    <mergeCell ref="A304:E304"/>
    <mergeCell ref="F304:L304"/>
    <mergeCell ref="A305:E305"/>
    <mergeCell ref="F305:L305"/>
    <mergeCell ref="A306:E306"/>
    <mergeCell ref="F306:L306"/>
    <mergeCell ref="A307:E307"/>
    <mergeCell ref="F307:L307"/>
    <mergeCell ref="A308:E308"/>
    <mergeCell ref="F308:L308"/>
    <mergeCell ref="A309:E309"/>
    <mergeCell ref="F309:L309"/>
    <mergeCell ref="A310:E310"/>
    <mergeCell ref="F310:L310"/>
    <mergeCell ref="A311:E311"/>
    <mergeCell ref="F311:L311"/>
    <mergeCell ref="A312:E312"/>
    <mergeCell ref="F312:L312"/>
    <mergeCell ref="A313:E313"/>
    <mergeCell ref="F313:L313"/>
    <mergeCell ref="A314:E314"/>
    <mergeCell ref="F314:L314"/>
    <mergeCell ref="A315:E315"/>
    <mergeCell ref="F315:L315"/>
    <mergeCell ref="A316:E316"/>
    <mergeCell ref="F316:L316"/>
    <mergeCell ref="A317:E317"/>
    <mergeCell ref="F317:L317"/>
    <mergeCell ref="A318:E318"/>
    <mergeCell ref="F318:L318"/>
    <mergeCell ref="A319:E319"/>
    <mergeCell ref="F319:L319"/>
    <mergeCell ref="A320:E320"/>
    <mergeCell ref="F320:L320"/>
    <mergeCell ref="A321:E321"/>
    <mergeCell ref="F321:L321"/>
    <mergeCell ref="A322:E322"/>
    <mergeCell ref="F322:L322"/>
    <mergeCell ref="A323:E323"/>
    <mergeCell ref="F323:L323"/>
    <mergeCell ref="A324:E324"/>
    <mergeCell ref="F324:L324"/>
    <mergeCell ref="A325:E325"/>
    <mergeCell ref="F325:L325"/>
    <mergeCell ref="A326:E326"/>
    <mergeCell ref="F326:L326"/>
    <mergeCell ref="A327:E327"/>
    <mergeCell ref="F327:L327"/>
    <mergeCell ref="A328:E328"/>
    <mergeCell ref="F328:L328"/>
    <mergeCell ref="A329:E329"/>
    <mergeCell ref="F329:L329"/>
    <mergeCell ref="A330:E330"/>
    <mergeCell ref="F330:L330"/>
    <mergeCell ref="A331:E331"/>
    <mergeCell ref="F331:L331"/>
    <mergeCell ref="A332:E332"/>
    <mergeCell ref="F332:L332"/>
    <mergeCell ref="A333:E333"/>
    <mergeCell ref="F333:L333"/>
    <mergeCell ref="A334:E334"/>
    <mergeCell ref="F334:L334"/>
    <mergeCell ref="A335:E335"/>
    <mergeCell ref="F335:L335"/>
    <mergeCell ref="A336:E336"/>
    <mergeCell ref="F336:L336"/>
    <mergeCell ref="A337:E337"/>
    <mergeCell ref="F337:L337"/>
    <mergeCell ref="A338:E338"/>
    <mergeCell ref="F338:L338"/>
    <mergeCell ref="A339:E339"/>
    <mergeCell ref="F339:L339"/>
    <mergeCell ref="A340:E340"/>
    <mergeCell ref="F340:L340"/>
    <mergeCell ref="A341:E341"/>
    <mergeCell ref="F341:L341"/>
    <mergeCell ref="A342:E342"/>
    <mergeCell ref="F342:L342"/>
    <mergeCell ref="A343:E343"/>
    <mergeCell ref="F343:L343"/>
    <mergeCell ref="A344:E344"/>
    <mergeCell ref="F344:L344"/>
    <mergeCell ref="A345:E345"/>
    <mergeCell ref="F345:L345"/>
    <mergeCell ref="A346:E346"/>
    <mergeCell ref="F346:L346"/>
    <mergeCell ref="A347:E347"/>
    <mergeCell ref="F347:L347"/>
    <mergeCell ref="A348:E348"/>
    <mergeCell ref="F348:L348"/>
    <mergeCell ref="A349:E349"/>
    <mergeCell ref="F349:L349"/>
    <mergeCell ref="A350:E350"/>
    <mergeCell ref="F350:L350"/>
    <mergeCell ref="A351:E351"/>
    <mergeCell ref="F351:L351"/>
    <mergeCell ref="A352:E352"/>
    <mergeCell ref="F352:L352"/>
    <mergeCell ref="A353:E353"/>
    <mergeCell ref="F353:L353"/>
    <mergeCell ref="A354:E354"/>
    <mergeCell ref="F354:L354"/>
    <mergeCell ref="A355:E355"/>
    <mergeCell ref="F355:L355"/>
    <mergeCell ref="A356:E356"/>
    <mergeCell ref="F356:L356"/>
    <mergeCell ref="A357:E357"/>
    <mergeCell ref="F357:L357"/>
    <mergeCell ref="A358:E358"/>
    <mergeCell ref="F358:L358"/>
    <mergeCell ref="A359:E359"/>
    <mergeCell ref="F359:L359"/>
    <mergeCell ref="A360:E360"/>
    <mergeCell ref="F360:L360"/>
    <mergeCell ref="A361:E361"/>
    <mergeCell ref="F361:L361"/>
    <mergeCell ref="A362:E362"/>
    <mergeCell ref="F362:L362"/>
    <mergeCell ref="A363:E363"/>
    <mergeCell ref="F363:L363"/>
    <mergeCell ref="A364:E364"/>
    <mergeCell ref="F364:L364"/>
    <mergeCell ref="A366:E366"/>
    <mergeCell ref="F366:L366"/>
    <mergeCell ref="A367:E367"/>
    <mergeCell ref="F367:L367"/>
    <mergeCell ref="A368:E368"/>
    <mergeCell ref="F368:L368"/>
    <mergeCell ref="F369:L369"/>
    <mergeCell ref="A370:E370"/>
    <mergeCell ref="F370:L370"/>
    <mergeCell ref="A371:E371"/>
    <mergeCell ref="F371:L371"/>
    <mergeCell ref="A372:E372"/>
    <mergeCell ref="F372:L372"/>
    <mergeCell ref="A373:E373"/>
    <mergeCell ref="F373:L373"/>
    <mergeCell ref="A374:E374"/>
    <mergeCell ref="F374:L374"/>
    <mergeCell ref="A375:E375"/>
    <mergeCell ref="F375:L375"/>
    <mergeCell ref="A377:E377"/>
    <mergeCell ref="F377:L377"/>
    <mergeCell ref="A378:E378"/>
    <mergeCell ref="F378:L378"/>
    <mergeCell ref="A379:E379"/>
    <mergeCell ref="F379:L379"/>
    <mergeCell ref="A381:E381"/>
    <mergeCell ref="F381:L381"/>
    <mergeCell ref="A382:E382"/>
    <mergeCell ref="F382:L382"/>
    <mergeCell ref="A383:E383"/>
    <mergeCell ref="F383:L383"/>
    <mergeCell ref="A384:E384"/>
    <mergeCell ref="F384:L384"/>
    <mergeCell ref="A385:E385"/>
    <mergeCell ref="F385:L385"/>
    <mergeCell ref="A386:E386"/>
    <mergeCell ref="F386:L386"/>
    <mergeCell ref="A388:E388"/>
    <mergeCell ref="F388:L388"/>
    <mergeCell ref="A389:E389"/>
    <mergeCell ref="F389:L389"/>
    <mergeCell ref="A390:E390"/>
    <mergeCell ref="F390:L390"/>
    <mergeCell ref="A391:E391"/>
    <mergeCell ref="F391:L391"/>
    <mergeCell ref="A392:E392"/>
    <mergeCell ref="F392:L392"/>
    <mergeCell ref="A393:E393"/>
    <mergeCell ref="F393:L393"/>
    <mergeCell ref="A394:E394"/>
    <mergeCell ref="F394:L394"/>
    <mergeCell ref="A395:E395"/>
    <mergeCell ref="F395:L395"/>
    <mergeCell ref="F396:L396"/>
    <mergeCell ref="A397:E397"/>
    <mergeCell ref="F397:L397"/>
    <mergeCell ref="A398:E398"/>
    <mergeCell ref="F398:L398"/>
    <mergeCell ref="A399:E399"/>
    <mergeCell ref="F399:L399"/>
    <mergeCell ref="A400:E400"/>
    <mergeCell ref="F400:L400"/>
    <mergeCell ref="A401:E401"/>
    <mergeCell ref="F401:L401"/>
    <mergeCell ref="A402:E402"/>
    <mergeCell ref="F402:L402"/>
    <mergeCell ref="A403:E403"/>
    <mergeCell ref="F403:L403"/>
    <mergeCell ref="A404:E404"/>
    <mergeCell ref="F404:L404"/>
    <mergeCell ref="A405:E405"/>
    <mergeCell ref="F405:L405"/>
    <mergeCell ref="A406:E406"/>
    <mergeCell ref="F406:L406"/>
    <mergeCell ref="A407:E407"/>
    <mergeCell ref="F407:L407"/>
    <mergeCell ref="A408:E408"/>
    <mergeCell ref="F408:L408"/>
    <mergeCell ref="A409:E409"/>
    <mergeCell ref="F409:L409"/>
    <mergeCell ref="F411:L411"/>
    <mergeCell ref="F412:L412"/>
    <mergeCell ref="A414:E414"/>
    <mergeCell ref="F414:L414"/>
    <mergeCell ref="A415:E415"/>
    <mergeCell ref="F415:L415"/>
    <mergeCell ref="A416:E416"/>
    <mergeCell ref="F416:L416"/>
    <mergeCell ref="B420:E420"/>
    <mergeCell ref="F420:L420"/>
    <mergeCell ref="M420:N420"/>
    <mergeCell ref="B421:E421"/>
    <mergeCell ref="F421:L421"/>
    <mergeCell ref="B422:E422"/>
    <mergeCell ref="F422:L422"/>
    <mergeCell ref="B423:E423"/>
    <mergeCell ref="F423:L423"/>
    <mergeCell ref="B424:E424"/>
    <mergeCell ref="F424:L424"/>
    <mergeCell ref="B425:E425"/>
    <mergeCell ref="F425:L425"/>
    <mergeCell ref="B426:E426"/>
    <mergeCell ref="F426:L426"/>
    <mergeCell ref="B427:E427"/>
    <mergeCell ref="F427:L427"/>
    <mergeCell ref="B428:E428"/>
    <mergeCell ref="F428:L428"/>
    <mergeCell ref="B429:E429"/>
    <mergeCell ref="F429:L429"/>
    <mergeCell ref="B430:E430"/>
    <mergeCell ref="F430:L430"/>
    <mergeCell ref="F431:L431"/>
    <mergeCell ref="F444:L444"/>
    <mergeCell ref="A447:E447"/>
    <mergeCell ref="F447:L447"/>
    <mergeCell ref="A448:E448"/>
    <mergeCell ref="F448:L448"/>
    <mergeCell ref="A449:E449"/>
    <mergeCell ref="F449:L449"/>
    <mergeCell ref="A450:E450"/>
    <mergeCell ref="F450:L450"/>
    <mergeCell ref="M450:N450"/>
    <mergeCell ref="A451:E451"/>
    <mergeCell ref="F451:L451"/>
    <mergeCell ref="A452:E452"/>
    <mergeCell ref="F452:L452"/>
    <mergeCell ref="A453:E453"/>
    <mergeCell ref="F453:L453"/>
    <mergeCell ref="A454:E454"/>
    <mergeCell ref="F454:L454"/>
    <mergeCell ref="A455:E455"/>
    <mergeCell ref="F455:L455"/>
    <mergeCell ref="A456:E456"/>
    <mergeCell ref="F456:L456"/>
    <mergeCell ref="A457:E457"/>
    <mergeCell ref="F457:L457"/>
    <mergeCell ref="A459:E459"/>
    <mergeCell ref="F459:V459"/>
    <mergeCell ref="AN467:AR467"/>
    <mergeCell ref="AN468:AR468"/>
    <mergeCell ref="A469:C469"/>
    <mergeCell ref="D469:G469"/>
    <mergeCell ref="H469:M469"/>
    <mergeCell ref="N469:S469"/>
    <mergeCell ref="T469:X469"/>
    <mergeCell ref="Y469:AC469"/>
    <mergeCell ref="AD469:AH469"/>
    <mergeCell ref="AI469:AM469"/>
    <mergeCell ref="A470:C470"/>
    <mergeCell ref="D470:G470"/>
    <mergeCell ref="H470:M470"/>
    <mergeCell ref="N470:S470"/>
    <mergeCell ref="T470:X470"/>
    <mergeCell ref="Y470:AC470"/>
    <mergeCell ref="AD470:AH470"/>
    <mergeCell ref="AI470:AM470"/>
    <mergeCell ref="A471:C471"/>
    <mergeCell ref="D471:G471"/>
    <mergeCell ref="H471:M471"/>
    <mergeCell ref="N471:S471"/>
    <mergeCell ref="T471:X471"/>
    <mergeCell ref="Y471:AC471"/>
    <mergeCell ref="AD471:AH471"/>
    <mergeCell ref="AI471:AM471"/>
    <mergeCell ref="A472:C472"/>
    <mergeCell ref="D472:G472"/>
    <mergeCell ref="H472:M472"/>
    <mergeCell ref="N472:S472"/>
    <mergeCell ref="T472:X472"/>
    <mergeCell ref="Y472:AC472"/>
    <mergeCell ref="AD472:AH472"/>
    <mergeCell ref="AI472:AM472"/>
    <mergeCell ref="A473:C473"/>
    <mergeCell ref="D473:G473"/>
    <mergeCell ref="H473:M473"/>
    <mergeCell ref="N473:S473"/>
    <mergeCell ref="T473:X473"/>
    <mergeCell ref="Y473:AC473"/>
    <mergeCell ref="AD473:AH473"/>
    <mergeCell ref="AI473:AM473"/>
    <mergeCell ref="A474:C474"/>
    <mergeCell ref="D474:G474"/>
    <mergeCell ref="H474:M474"/>
    <mergeCell ref="N474:S474"/>
    <mergeCell ref="T474:X474"/>
    <mergeCell ref="Y474:AC474"/>
    <mergeCell ref="AD474:AH474"/>
    <mergeCell ref="AI474:AM474"/>
    <mergeCell ref="A475:C475"/>
    <mergeCell ref="D475:G475"/>
    <mergeCell ref="H475:M475"/>
    <mergeCell ref="N475:S475"/>
    <mergeCell ref="T475:X475"/>
    <mergeCell ref="Y475:AC475"/>
    <mergeCell ref="AD475:AH475"/>
    <mergeCell ref="AI475:AM475"/>
    <mergeCell ref="A476:C476"/>
    <mergeCell ref="D476:G476"/>
    <mergeCell ref="H476:M476"/>
    <mergeCell ref="N476:S476"/>
    <mergeCell ref="T476:X476"/>
    <mergeCell ref="Y476:AC476"/>
    <mergeCell ref="AD476:AH476"/>
    <mergeCell ref="AI476:AM476"/>
    <mergeCell ref="A477:C477"/>
    <mergeCell ref="D477:G477"/>
    <mergeCell ref="H477:M477"/>
    <mergeCell ref="N477:S477"/>
    <mergeCell ref="T477:X477"/>
    <mergeCell ref="Y477:AC477"/>
    <mergeCell ref="AD477:AH477"/>
    <mergeCell ref="AI477:AM477"/>
    <mergeCell ref="A478:C478"/>
    <mergeCell ref="D478:G478"/>
    <mergeCell ref="H478:M478"/>
    <mergeCell ref="N478:S478"/>
    <mergeCell ref="T478:X478"/>
    <mergeCell ref="Y478:AC478"/>
    <mergeCell ref="AD478:AH478"/>
    <mergeCell ref="AI478:AM478"/>
    <mergeCell ref="A479:C479"/>
    <mergeCell ref="D479:G479"/>
    <mergeCell ref="H479:M479"/>
    <mergeCell ref="N479:S479"/>
    <mergeCell ref="T479:X479"/>
    <mergeCell ref="Y479:AC479"/>
    <mergeCell ref="AD479:AH479"/>
    <mergeCell ref="AI479:AM479"/>
    <mergeCell ref="A480:C480"/>
    <mergeCell ref="D480:G480"/>
    <mergeCell ref="H480:M480"/>
    <mergeCell ref="N480:S480"/>
    <mergeCell ref="T480:X480"/>
    <mergeCell ref="Y480:AC480"/>
    <mergeCell ref="AD480:AH480"/>
    <mergeCell ref="AI480:AM480"/>
    <mergeCell ref="A481:G481"/>
    <mergeCell ref="H481:M481"/>
    <mergeCell ref="N481:S481"/>
    <mergeCell ref="T481:X481"/>
    <mergeCell ref="Y481:AC481"/>
    <mergeCell ref="AD481:AH481"/>
    <mergeCell ref="AI481:AM481"/>
    <mergeCell ref="E483:M483"/>
    <mergeCell ref="X483:AB483"/>
    <mergeCell ref="A484:G484"/>
    <mergeCell ref="H484:M484"/>
    <mergeCell ref="A485:G485"/>
    <mergeCell ref="H485:M485"/>
    <mergeCell ref="A486:G486"/>
    <mergeCell ref="H486:M486"/>
    <mergeCell ref="A487:G487"/>
    <mergeCell ref="H487:M487"/>
    <mergeCell ref="A488:G488"/>
    <mergeCell ref="H488:M488"/>
    <mergeCell ref="A489:G489"/>
    <mergeCell ref="H489:M489"/>
    <mergeCell ref="A490:G490"/>
    <mergeCell ref="H490:M490"/>
    <mergeCell ref="A491:G491"/>
    <mergeCell ref="H491:M491"/>
    <mergeCell ref="A492:G492"/>
    <mergeCell ref="H492:M492"/>
    <mergeCell ref="A495:G495"/>
    <mergeCell ref="H495:M495"/>
    <mergeCell ref="A496:G496"/>
    <mergeCell ref="H496:M496"/>
    <mergeCell ref="O496:Q496"/>
    <mergeCell ref="A497:G497"/>
    <mergeCell ref="H497:M497"/>
    <mergeCell ref="O497:Q497"/>
    <mergeCell ref="A498:G498"/>
    <mergeCell ref="H498:M498"/>
    <mergeCell ref="O498:Q498"/>
    <mergeCell ref="L505:Q505"/>
    <mergeCell ref="J506:K506"/>
    <mergeCell ref="L506:Q506"/>
    <mergeCell ref="A507:K507"/>
    <mergeCell ref="L507:Q507"/>
    <mergeCell ref="L508:Q508"/>
    <mergeCell ref="I509:K509"/>
    <mergeCell ref="L509:Q509"/>
    <mergeCell ref="I510:K510"/>
    <mergeCell ref="L510:Q510"/>
    <mergeCell ref="N513:Q513"/>
    <mergeCell ref="R513:X513"/>
    <mergeCell ref="Y513:AD513"/>
    <mergeCell ref="AE513:AK513"/>
    <mergeCell ref="AL513:AR513"/>
    <mergeCell ref="N514:Q514"/>
    <mergeCell ref="R514:X514"/>
    <mergeCell ref="Y514:AD514"/>
    <mergeCell ref="AE514:AK514"/>
    <mergeCell ref="AL514:AR514"/>
    <mergeCell ref="N515:Q515"/>
    <mergeCell ref="R515:X515"/>
    <mergeCell ref="Y515:AB515"/>
    <mergeCell ref="AC515:AD515"/>
    <mergeCell ref="AE515:AK515"/>
    <mergeCell ref="AL515:AR515"/>
    <mergeCell ref="N516:Q516"/>
    <mergeCell ref="R516:X516"/>
    <mergeCell ref="Y516:AB516"/>
    <mergeCell ref="AC516:AD516"/>
    <mergeCell ref="AE516:AK516"/>
    <mergeCell ref="AL516:AR516"/>
    <mergeCell ref="B517:M517"/>
    <mergeCell ref="N517:Q517"/>
    <mergeCell ref="R517:X517"/>
    <mergeCell ref="Y517:AD517"/>
    <mergeCell ref="AE517:AK517"/>
    <mergeCell ref="AL517:AR517"/>
    <mergeCell ref="Y518:AD518"/>
    <mergeCell ref="AE518:AK518"/>
    <mergeCell ref="AL518:AR518"/>
    <mergeCell ref="N519:Q519"/>
    <mergeCell ref="R519:X519"/>
    <mergeCell ref="Y519:AB519"/>
    <mergeCell ref="AC519:AD519"/>
    <mergeCell ref="AE519:AK519"/>
    <mergeCell ref="AL519:AR519"/>
    <mergeCell ref="N520:Q520"/>
    <mergeCell ref="R520:X520"/>
    <mergeCell ref="Y520:AB520"/>
    <mergeCell ref="AC520:AD520"/>
    <mergeCell ref="AE520:AK520"/>
    <mergeCell ref="AL520:AR520"/>
    <mergeCell ref="N521:Q521"/>
    <mergeCell ref="R521:X521"/>
    <mergeCell ref="Y521:AB521"/>
    <mergeCell ref="AC521:AD521"/>
    <mergeCell ref="AE521:AK521"/>
    <mergeCell ref="AL521:AR521"/>
    <mergeCell ref="N522:Q522"/>
    <mergeCell ref="R522:X522"/>
    <mergeCell ref="Y522:AB522"/>
    <mergeCell ref="AC522:AD522"/>
    <mergeCell ref="AE522:AK522"/>
    <mergeCell ref="AL522:AR522"/>
    <mergeCell ref="N523:Q523"/>
    <mergeCell ref="R523:X523"/>
    <mergeCell ref="Y523:AB523"/>
    <mergeCell ref="AC523:AD523"/>
    <mergeCell ref="AE523:AK523"/>
    <mergeCell ref="AL523:AR523"/>
    <mergeCell ref="B524:M524"/>
    <mergeCell ref="N524:Q524"/>
    <mergeCell ref="R524:X524"/>
    <mergeCell ref="Y524:AD524"/>
    <mergeCell ref="AE524:AK524"/>
    <mergeCell ref="AL524:AR524"/>
    <mergeCell ref="N525:Q525"/>
    <mergeCell ref="R525:X525"/>
    <mergeCell ref="Y525:AB525"/>
    <mergeCell ref="AC525:AD525"/>
    <mergeCell ref="AE525:AK525"/>
    <mergeCell ref="AL525:AR525"/>
    <mergeCell ref="N526:Q526"/>
    <mergeCell ref="R526:X526"/>
    <mergeCell ref="Y526:AB526"/>
    <mergeCell ref="AC526:AD526"/>
    <mergeCell ref="AE526:AK526"/>
    <mergeCell ref="AL526:AR526"/>
    <mergeCell ref="N527:Q527"/>
    <mergeCell ref="R527:X527"/>
    <mergeCell ref="Y527:AB527"/>
    <mergeCell ref="AC527:AD527"/>
    <mergeCell ref="AE527:AK527"/>
    <mergeCell ref="AL527:AR527"/>
    <mergeCell ref="N528:Q528"/>
    <mergeCell ref="R528:X528"/>
    <mergeCell ref="Y528:AB528"/>
    <mergeCell ref="AC528:AD528"/>
    <mergeCell ref="AE528:AK528"/>
    <mergeCell ref="AL528:AR528"/>
    <mergeCell ref="N529:Q529"/>
    <mergeCell ref="R529:X529"/>
    <mergeCell ref="Y529:AB529"/>
    <mergeCell ref="AC529:AD529"/>
    <mergeCell ref="AE529:AK529"/>
    <mergeCell ref="AL529:AR529"/>
    <mergeCell ref="N530:Q530"/>
    <mergeCell ref="R530:X530"/>
    <mergeCell ref="Y530:AB530"/>
    <mergeCell ref="AC530:AD530"/>
    <mergeCell ref="AE530:AK530"/>
    <mergeCell ref="AL530:AR530"/>
    <mergeCell ref="B531:M531"/>
    <mergeCell ref="N531:Q531"/>
    <mergeCell ref="R531:X531"/>
    <mergeCell ref="Y531:AD531"/>
    <mergeCell ref="AE531:AK531"/>
    <mergeCell ref="AL531:AR531"/>
    <mergeCell ref="N532:Q532"/>
    <mergeCell ref="R532:X532"/>
    <mergeCell ref="Y532:AB532"/>
    <mergeCell ref="AC532:AD532"/>
    <mergeCell ref="AE532:AK532"/>
    <mergeCell ref="AL532:AR532"/>
    <mergeCell ref="N533:Q533"/>
    <mergeCell ref="R533:X533"/>
    <mergeCell ref="Y533:AB533"/>
    <mergeCell ref="AC533:AD533"/>
    <mergeCell ref="AE533:AK533"/>
    <mergeCell ref="AL533:AR533"/>
    <mergeCell ref="A538:F538"/>
    <mergeCell ref="G538:N538"/>
    <mergeCell ref="A539:F539"/>
    <mergeCell ref="G539:N539"/>
    <mergeCell ref="A540:F540"/>
    <mergeCell ref="G540:N540"/>
    <mergeCell ref="A541:F541"/>
    <mergeCell ref="G541:N541"/>
    <mergeCell ref="A544:L544"/>
    <mergeCell ref="M544:O544"/>
    <mergeCell ref="P544:T544"/>
    <mergeCell ref="U544:AN544"/>
    <mergeCell ref="AO544:AS544"/>
    <mergeCell ref="A545:L545"/>
    <mergeCell ref="M545:O545"/>
    <mergeCell ref="P545:T545"/>
    <mergeCell ref="U545:X545"/>
    <mergeCell ref="Y545:AB545"/>
    <mergeCell ref="AC545:AF545"/>
    <mergeCell ref="AG545:AJ545"/>
    <mergeCell ref="AK545:AN545"/>
    <mergeCell ref="AO545:AS545"/>
    <mergeCell ref="A546:L546"/>
    <mergeCell ref="M546:O546"/>
    <mergeCell ref="P546:T546"/>
    <mergeCell ref="U546:X546"/>
    <mergeCell ref="Y546:AB546"/>
    <mergeCell ref="AC546:AF546"/>
    <mergeCell ref="AG546:AJ546"/>
    <mergeCell ref="AK546:AN546"/>
    <mergeCell ref="AO546:AS546"/>
    <mergeCell ref="A547:L547"/>
    <mergeCell ref="M547:O547"/>
    <mergeCell ref="P547:T547"/>
    <mergeCell ref="U547:X547"/>
    <mergeCell ref="Y547:AB547"/>
    <mergeCell ref="AC547:AF547"/>
    <mergeCell ref="AG547:AJ547"/>
    <mergeCell ref="AK547:AN547"/>
    <mergeCell ref="AO547:AS547"/>
    <mergeCell ref="M549:O549"/>
    <mergeCell ref="P549:T549"/>
    <mergeCell ref="U549:X549"/>
    <mergeCell ref="Y549:AB549"/>
    <mergeCell ref="AC549:AF549"/>
    <mergeCell ref="AG549:AJ549"/>
    <mergeCell ref="AK549:AN549"/>
    <mergeCell ref="AO549:AS549"/>
    <mergeCell ref="M550:O550"/>
    <mergeCell ref="P550:T550"/>
    <mergeCell ref="U550:X550"/>
    <mergeCell ref="Y550:AB550"/>
    <mergeCell ref="AC550:AF550"/>
    <mergeCell ref="AG550:AJ550"/>
    <mergeCell ref="AK550:AN550"/>
    <mergeCell ref="AO550:AS550"/>
    <mergeCell ref="M551:O551"/>
    <mergeCell ref="P551:T551"/>
    <mergeCell ref="U551:X551"/>
    <mergeCell ref="Y551:AB551"/>
    <mergeCell ref="AC551:AF551"/>
    <mergeCell ref="AG551:AJ551"/>
    <mergeCell ref="AK551:AN551"/>
    <mergeCell ref="AO551:AS551"/>
    <mergeCell ref="G553:I553"/>
    <mergeCell ref="M553:O553"/>
    <mergeCell ref="P553:T553"/>
    <mergeCell ref="U553:X553"/>
    <mergeCell ref="Y553:AB553"/>
    <mergeCell ref="AC553:AF553"/>
    <mergeCell ref="AG553:AJ553"/>
    <mergeCell ref="AK553:AN553"/>
    <mergeCell ref="AO553:AS553"/>
    <mergeCell ref="G554:I554"/>
    <mergeCell ref="M554:O554"/>
    <mergeCell ref="P554:T554"/>
    <mergeCell ref="U554:X554"/>
    <mergeCell ref="Y554:AB554"/>
    <mergeCell ref="AC554:AF554"/>
    <mergeCell ref="AG554:AJ554"/>
    <mergeCell ref="AK554:AN554"/>
    <mergeCell ref="AO554:AS554"/>
    <mergeCell ref="I556:M556"/>
    <mergeCell ref="E559:F559"/>
    <mergeCell ref="E560:F560"/>
    <mergeCell ref="E561:F561"/>
    <mergeCell ref="E562:F562"/>
    <mergeCell ref="F567:M567"/>
    <mergeCell ref="N567:S567"/>
    <mergeCell ref="T567:Y567"/>
    <mergeCell ref="Z567:AE567"/>
    <mergeCell ref="AF567:AK567"/>
    <mergeCell ref="A568:E568"/>
    <mergeCell ref="F568:M568"/>
    <mergeCell ref="A569:E569"/>
    <mergeCell ref="F569:M569"/>
    <mergeCell ref="N569:S569"/>
    <mergeCell ref="T569:Y569"/>
    <mergeCell ref="Z569:AE569"/>
    <mergeCell ref="AF569:AK569"/>
    <mergeCell ref="A570:E570"/>
    <mergeCell ref="F570:M570"/>
    <mergeCell ref="N570:S570"/>
    <mergeCell ref="T570:Y570"/>
    <mergeCell ref="Z570:AE570"/>
    <mergeCell ref="AF570:AK570"/>
    <mergeCell ref="A571:E571"/>
    <mergeCell ref="F571:M571"/>
    <mergeCell ref="N571:S571"/>
    <mergeCell ref="T571:Y571"/>
    <mergeCell ref="Z571:AE571"/>
    <mergeCell ref="AF571:AK571"/>
    <mergeCell ref="A573:E573"/>
    <mergeCell ref="F573:G573"/>
    <mergeCell ref="H573:J573"/>
    <mergeCell ref="K573:M573"/>
    <mergeCell ref="N573:S573"/>
    <mergeCell ref="T573:Y573"/>
    <mergeCell ref="Z573:AE573"/>
    <mergeCell ref="AF573:AK573"/>
    <mergeCell ref="A574:E574"/>
    <mergeCell ref="F574:G574"/>
    <mergeCell ref="H574:J574"/>
    <mergeCell ref="K574:M574"/>
    <mergeCell ref="N574:S574"/>
    <mergeCell ref="T574:Y574"/>
    <mergeCell ref="Z574:AE574"/>
    <mergeCell ref="AF574:AK574"/>
    <mergeCell ref="A575:E575"/>
    <mergeCell ref="F575:J575"/>
    <mergeCell ref="K575:M575"/>
    <mergeCell ref="N575:S575"/>
    <mergeCell ref="T575:Y575"/>
    <mergeCell ref="Z575:AE575"/>
    <mergeCell ref="AF575:AK575"/>
    <mergeCell ref="F576:M576"/>
    <mergeCell ref="A577:E577"/>
    <mergeCell ref="F577:M577"/>
    <mergeCell ref="N577:S577"/>
    <mergeCell ref="T577:Y577"/>
    <mergeCell ref="Z577:AE577"/>
    <mergeCell ref="AF577:AK577"/>
    <mergeCell ref="A578:E578"/>
    <mergeCell ref="F578:M578"/>
    <mergeCell ref="N578:S578"/>
    <mergeCell ref="T578:Y578"/>
    <mergeCell ref="Z578:AE578"/>
    <mergeCell ref="AF578:AK578"/>
    <mergeCell ref="A579:E579"/>
    <mergeCell ref="F579:M579"/>
    <mergeCell ref="N579:S579"/>
    <mergeCell ref="T579:Y579"/>
    <mergeCell ref="Z579:AE579"/>
    <mergeCell ref="AF579:AK579"/>
    <mergeCell ref="A597:E597"/>
    <mergeCell ref="F597:S597"/>
    <mergeCell ref="F598:S598"/>
    <mergeCell ref="F599:L599"/>
    <mergeCell ref="M599:S599"/>
    <mergeCell ref="A600:E600"/>
    <mergeCell ref="F600:L600"/>
    <mergeCell ref="M600:S600"/>
    <mergeCell ref="T600:U600"/>
    <mergeCell ref="A601:E601"/>
    <mergeCell ref="F601:L601"/>
    <mergeCell ref="M601:S601"/>
    <mergeCell ref="A602:E602"/>
    <mergeCell ref="F602:L602"/>
    <mergeCell ref="M602:S602"/>
    <mergeCell ref="A603:E603"/>
    <mergeCell ref="F603:L603"/>
    <mergeCell ref="M603:S603"/>
    <mergeCell ref="A604:E604"/>
    <mergeCell ref="F604:L604"/>
    <mergeCell ref="M604:S604"/>
    <mergeCell ref="A605:E605"/>
    <mergeCell ref="F605:L605"/>
    <mergeCell ref="M605:S605"/>
    <mergeCell ref="A606:E606"/>
    <mergeCell ref="F606:L606"/>
    <mergeCell ref="M606:S606"/>
    <mergeCell ref="A607:E607"/>
    <mergeCell ref="F607:L607"/>
    <mergeCell ref="M607:S607"/>
    <mergeCell ref="A608:E608"/>
    <mergeCell ref="F608:L608"/>
    <mergeCell ref="M608:S608"/>
    <mergeCell ref="A609:E609"/>
    <mergeCell ref="F609:L609"/>
    <mergeCell ref="M609:S609"/>
    <mergeCell ref="A610:E610"/>
    <mergeCell ref="F610:L610"/>
    <mergeCell ref="M610:S610"/>
    <mergeCell ref="A611:E611"/>
    <mergeCell ref="F611:L611"/>
    <mergeCell ref="M611:S611"/>
    <mergeCell ref="A612:E612"/>
    <mergeCell ref="F612:L612"/>
    <mergeCell ref="M612:S612"/>
    <mergeCell ref="A613:E613"/>
    <mergeCell ref="F613:L613"/>
    <mergeCell ref="M613:S613"/>
    <mergeCell ref="A614:E614"/>
    <mergeCell ref="F614:L614"/>
    <mergeCell ref="M614:S614"/>
    <mergeCell ref="A615:E615"/>
    <mergeCell ref="F615:L615"/>
    <mergeCell ref="M615:S615"/>
    <mergeCell ref="A616:E616"/>
    <mergeCell ref="F616:L616"/>
    <mergeCell ref="M616:S616"/>
    <mergeCell ref="A617:E617"/>
    <mergeCell ref="F617:L617"/>
    <mergeCell ref="M617:S617"/>
    <mergeCell ref="A618:E618"/>
    <mergeCell ref="F618:L618"/>
    <mergeCell ref="M618:S618"/>
    <mergeCell ref="A619:E619"/>
    <mergeCell ref="F619:L619"/>
    <mergeCell ref="M619:S619"/>
    <mergeCell ref="A620:E620"/>
    <mergeCell ref="F620:L620"/>
    <mergeCell ref="M620:S620"/>
    <mergeCell ref="A621:E621"/>
    <mergeCell ref="F621:L621"/>
    <mergeCell ref="M621:S621"/>
    <mergeCell ref="A622:E622"/>
    <mergeCell ref="F622:L622"/>
    <mergeCell ref="M622:S622"/>
    <mergeCell ref="A623:E623"/>
    <mergeCell ref="F623:L623"/>
    <mergeCell ref="M623:S623"/>
    <mergeCell ref="A624:E624"/>
    <mergeCell ref="F624:L624"/>
    <mergeCell ref="M624:S624"/>
    <mergeCell ref="A625:E625"/>
    <mergeCell ref="F625:L625"/>
    <mergeCell ref="M625:S625"/>
    <mergeCell ref="A626:E626"/>
    <mergeCell ref="F626:L626"/>
    <mergeCell ref="M626:S626"/>
    <mergeCell ref="A627:E627"/>
    <mergeCell ref="F627:L627"/>
    <mergeCell ref="M627:S627"/>
    <mergeCell ref="A628:E628"/>
    <mergeCell ref="F628:L628"/>
    <mergeCell ref="M628:S628"/>
    <mergeCell ref="A629:E629"/>
    <mergeCell ref="F629:L629"/>
    <mergeCell ref="M629:S629"/>
    <mergeCell ref="A630:E630"/>
    <mergeCell ref="F630:L630"/>
    <mergeCell ref="M630:S630"/>
    <mergeCell ref="A631:E631"/>
    <mergeCell ref="F631:L631"/>
    <mergeCell ref="M631:S631"/>
    <mergeCell ref="A632:E632"/>
    <mergeCell ref="F632:L632"/>
    <mergeCell ref="M632:S632"/>
    <mergeCell ref="A633:E633"/>
    <mergeCell ref="F633:L633"/>
    <mergeCell ref="M633:S633"/>
    <mergeCell ref="A634:E634"/>
    <mergeCell ref="F634:L634"/>
    <mergeCell ref="M634:S634"/>
    <mergeCell ref="A635:E635"/>
    <mergeCell ref="F635:L635"/>
    <mergeCell ref="M635:S635"/>
    <mergeCell ref="A636:E636"/>
    <mergeCell ref="F636:L636"/>
    <mergeCell ref="M636:S636"/>
    <mergeCell ref="A637:E637"/>
    <mergeCell ref="F637:L637"/>
    <mergeCell ref="M637:S637"/>
    <mergeCell ref="A638:E638"/>
    <mergeCell ref="F638:L638"/>
    <mergeCell ref="M638:S638"/>
    <mergeCell ref="A639:E639"/>
    <mergeCell ref="F639:L639"/>
    <mergeCell ref="M639:S639"/>
    <mergeCell ref="A640:E640"/>
    <mergeCell ref="F640:L640"/>
    <mergeCell ref="M640:S640"/>
    <mergeCell ref="A641:E641"/>
    <mergeCell ref="F641:L641"/>
    <mergeCell ref="M641:S641"/>
    <mergeCell ref="A642:E642"/>
    <mergeCell ref="F642:L642"/>
    <mergeCell ref="M642:S642"/>
    <mergeCell ref="A643:E643"/>
    <mergeCell ref="F643:L643"/>
    <mergeCell ref="M643:S643"/>
    <mergeCell ref="A644:E644"/>
    <mergeCell ref="F644:L644"/>
    <mergeCell ref="M644:S644"/>
    <mergeCell ref="A645:E645"/>
    <mergeCell ref="F645:L645"/>
    <mergeCell ref="M645:S645"/>
    <mergeCell ref="A646:E646"/>
    <mergeCell ref="F646:L646"/>
    <mergeCell ref="M646:S646"/>
    <mergeCell ref="A647:E647"/>
    <mergeCell ref="F647:L647"/>
    <mergeCell ref="M647:S647"/>
    <mergeCell ref="A648:E648"/>
    <mergeCell ref="F648:L648"/>
    <mergeCell ref="M648:S648"/>
    <mergeCell ref="A649:E649"/>
    <mergeCell ref="F649:L649"/>
    <mergeCell ref="M649:S649"/>
    <mergeCell ref="A650:E650"/>
    <mergeCell ref="F650:L650"/>
    <mergeCell ref="M650:S650"/>
    <mergeCell ref="A651:E651"/>
    <mergeCell ref="F651:L651"/>
    <mergeCell ref="M651:S651"/>
    <mergeCell ref="A652:E652"/>
    <mergeCell ref="F652:L652"/>
    <mergeCell ref="M652:S652"/>
    <mergeCell ref="A653:E653"/>
    <mergeCell ref="F653:L653"/>
    <mergeCell ref="M653:S653"/>
    <mergeCell ref="A654:E654"/>
    <mergeCell ref="F654:L654"/>
    <mergeCell ref="M654:S654"/>
    <mergeCell ref="A655:E655"/>
    <mergeCell ref="F655:L655"/>
    <mergeCell ref="M655:S655"/>
    <mergeCell ref="A656:E656"/>
    <mergeCell ref="F656:L656"/>
    <mergeCell ref="M656:S656"/>
    <mergeCell ref="A657:E657"/>
    <mergeCell ref="F657:L657"/>
    <mergeCell ref="M657:S657"/>
    <mergeCell ref="A658:E658"/>
    <mergeCell ref="F658:L658"/>
    <mergeCell ref="M658:S658"/>
    <mergeCell ref="A659:E659"/>
    <mergeCell ref="F659:L659"/>
    <mergeCell ref="M659:S659"/>
    <mergeCell ref="A660:E660"/>
    <mergeCell ref="F660:L660"/>
    <mergeCell ref="M660:S660"/>
    <mergeCell ref="A661:E661"/>
    <mergeCell ref="F661:L661"/>
    <mergeCell ref="M661:S661"/>
    <mergeCell ref="A662:E662"/>
    <mergeCell ref="F662:L662"/>
    <mergeCell ref="M662:S662"/>
    <mergeCell ref="A663:E663"/>
    <mergeCell ref="F663:L663"/>
    <mergeCell ref="M663:S663"/>
    <mergeCell ref="A664:E664"/>
    <mergeCell ref="F664:L664"/>
    <mergeCell ref="M664:S664"/>
    <mergeCell ref="A665:E665"/>
    <mergeCell ref="F665:L665"/>
    <mergeCell ref="M665:S665"/>
    <mergeCell ref="A666:E666"/>
    <mergeCell ref="F666:L666"/>
    <mergeCell ref="M666:S666"/>
    <mergeCell ref="A667:E667"/>
    <mergeCell ref="F667:L667"/>
    <mergeCell ref="M667:S667"/>
    <mergeCell ref="A668:E668"/>
    <mergeCell ref="F668:L668"/>
    <mergeCell ref="M668:S668"/>
    <mergeCell ref="A669:E669"/>
    <mergeCell ref="F669:L669"/>
    <mergeCell ref="M669:S669"/>
    <mergeCell ref="A670:E670"/>
    <mergeCell ref="F670:L670"/>
    <mergeCell ref="M670:S670"/>
    <mergeCell ref="A671:E671"/>
    <mergeCell ref="F671:L671"/>
    <mergeCell ref="M671:S671"/>
    <mergeCell ref="A672:E672"/>
    <mergeCell ref="F672:L672"/>
    <mergeCell ref="M672:S672"/>
    <mergeCell ref="A673:E673"/>
    <mergeCell ref="F673:L673"/>
    <mergeCell ref="M673:S673"/>
    <mergeCell ref="A674:E674"/>
    <mergeCell ref="F674:L674"/>
    <mergeCell ref="M674:S674"/>
    <mergeCell ref="A675:E675"/>
    <mergeCell ref="F675:L675"/>
    <mergeCell ref="M675:S675"/>
    <mergeCell ref="A676:E676"/>
    <mergeCell ref="F676:L676"/>
    <mergeCell ref="M676:S676"/>
    <mergeCell ref="A677:E677"/>
    <mergeCell ref="F677:L677"/>
    <mergeCell ref="M677:S677"/>
    <mergeCell ref="A678:E678"/>
    <mergeCell ref="F678:L678"/>
    <mergeCell ref="M678:S678"/>
    <mergeCell ref="A679:E679"/>
    <mergeCell ref="F679:L679"/>
    <mergeCell ref="M679:S679"/>
    <mergeCell ref="A680:E680"/>
    <mergeCell ref="F680:L680"/>
    <mergeCell ref="M680:S680"/>
    <mergeCell ref="A681:E681"/>
    <mergeCell ref="F681:L681"/>
    <mergeCell ref="M681:S681"/>
    <mergeCell ref="A682:E682"/>
    <mergeCell ref="F682:L682"/>
    <mergeCell ref="M682:S682"/>
    <mergeCell ref="A683:E683"/>
    <mergeCell ref="F683:L683"/>
    <mergeCell ref="M683:S683"/>
    <mergeCell ref="A684:E684"/>
    <mergeCell ref="F684:L684"/>
    <mergeCell ref="M684:S684"/>
    <mergeCell ref="A685:E685"/>
    <mergeCell ref="F685:L685"/>
    <mergeCell ref="M685:S685"/>
    <mergeCell ref="A686:E686"/>
    <mergeCell ref="F686:L686"/>
    <mergeCell ref="M686:S686"/>
    <mergeCell ref="A687:E687"/>
    <mergeCell ref="F687:L687"/>
    <mergeCell ref="M687:S687"/>
    <mergeCell ref="A688:E688"/>
    <mergeCell ref="F688:L688"/>
    <mergeCell ref="M688:S688"/>
    <mergeCell ref="A689:E689"/>
    <mergeCell ref="F689:L689"/>
    <mergeCell ref="M689:S689"/>
    <mergeCell ref="A690:E690"/>
    <mergeCell ref="F690:L690"/>
    <mergeCell ref="M690:S690"/>
    <mergeCell ref="A691:E691"/>
    <mergeCell ref="F691:L691"/>
    <mergeCell ref="M691:S691"/>
    <mergeCell ref="A692:E692"/>
    <mergeCell ref="F692:L692"/>
    <mergeCell ref="M692:S692"/>
    <mergeCell ref="A693:E693"/>
    <mergeCell ref="F693:L693"/>
    <mergeCell ref="M693:S693"/>
    <mergeCell ref="A694:E694"/>
    <mergeCell ref="F694:L694"/>
    <mergeCell ref="M694:S694"/>
    <mergeCell ref="A695:E695"/>
    <mergeCell ref="F695:L695"/>
    <mergeCell ref="M695:S695"/>
    <mergeCell ref="A696:E696"/>
    <mergeCell ref="F696:L696"/>
    <mergeCell ref="M696:S696"/>
    <mergeCell ref="A697:E697"/>
    <mergeCell ref="F697:L697"/>
    <mergeCell ref="M697:S697"/>
    <mergeCell ref="A698:E698"/>
    <mergeCell ref="F698:L698"/>
    <mergeCell ref="M698:S698"/>
    <mergeCell ref="A699:E699"/>
    <mergeCell ref="F699:L699"/>
    <mergeCell ref="M699:S699"/>
    <mergeCell ref="A700:E700"/>
    <mergeCell ref="F700:L700"/>
    <mergeCell ref="M700:S700"/>
    <mergeCell ref="A701:E701"/>
    <mergeCell ref="F701:L701"/>
    <mergeCell ref="M701:S701"/>
    <mergeCell ref="A702:E702"/>
    <mergeCell ref="F702:L702"/>
    <mergeCell ref="M702:S702"/>
    <mergeCell ref="A703:E703"/>
    <mergeCell ref="F703:L703"/>
    <mergeCell ref="M703:S703"/>
    <mergeCell ref="A704:E704"/>
    <mergeCell ref="F704:L704"/>
    <mergeCell ref="M704:S704"/>
    <mergeCell ref="A705:E705"/>
    <mergeCell ref="F705:L705"/>
    <mergeCell ref="M705:S705"/>
    <mergeCell ref="A706:E706"/>
    <mergeCell ref="F706:L706"/>
    <mergeCell ref="M706:S706"/>
    <mergeCell ref="A707:E707"/>
    <mergeCell ref="F707:L707"/>
    <mergeCell ref="M707:S707"/>
    <mergeCell ref="A708:E708"/>
    <mergeCell ref="F708:L708"/>
    <mergeCell ref="M708:S708"/>
    <mergeCell ref="A709:E709"/>
    <mergeCell ref="F709:L709"/>
    <mergeCell ref="M709:S709"/>
    <mergeCell ref="A710:E710"/>
    <mergeCell ref="F710:L710"/>
    <mergeCell ref="M710:S710"/>
    <mergeCell ref="A711:E711"/>
    <mergeCell ref="F711:L711"/>
    <mergeCell ref="M711:S711"/>
    <mergeCell ref="A712:E712"/>
    <mergeCell ref="F712:L712"/>
    <mergeCell ref="M712:S712"/>
    <mergeCell ref="A713:E713"/>
    <mergeCell ref="F713:L713"/>
    <mergeCell ref="M713:S713"/>
    <mergeCell ref="A714:E714"/>
    <mergeCell ref="F714:L714"/>
    <mergeCell ref="M714:S714"/>
    <mergeCell ref="A715:E715"/>
    <mergeCell ref="F715:L715"/>
    <mergeCell ref="M715:S715"/>
    <mergeCell ref="A716:E716"/>
    <mergeCell ref="F716:L716"/>
    <mergeCell ref="M716:S716"/>
    <mergeCell ref="A717:E717"/>
    <mergeCell ref="F717:L717"/>
    <mergeCell ref="M717:S717"/>
    <mergeCell ref="A718:E718"/>
    <mergeCell ref="F718:L718"/>
    <mergeCell ref="M718:S718"/>
    <mergeCell ref="A719:E719"/>
    <mergeCell ref="F719:L719"/>
    <mergeCell ref="M719:S719"/>
    <mergeCell ref="A720:E720"/>
    <mergeCell ref="F720:L720"/>
    <mergeCell ref="M720:S720"/>
    <mergeCell ref="A721:E721"/>
    <mergeCell ref="F721:L721"/>
    <mergeCell ref="M721:S721"/>
    <mergeCell ref="A722:E722"/>
    <mergeCell ref="F722:L722"/>
    <mergeCell ref="M722:S722"/>
    <mergeCell ref="A724:E724"/>
    <mergeCell ref="F724:L724"/>
    <mergeCell ref="M724:S724"/>
    <mergeCell ref="A725:E725"/>
    <mergeCell ref="F725:L725"/>
    <mergeCell ref="M725:S725"/>
    <mergeCell ref="A726:E726"/>
    <mergeCell ref="F726:L726"/>
    <mergeCell ref="M726:S726"/>
    <mergeCell ref="A729:E729"/>
    <mergeCell ref="F729:L729"/>
    <mergeCell ref="F730:L730"/>
    <mergeCell ref="F731:L731"/>
    <mergeCell ref="A732:E732"/>
    <mergeCell ref="F732:L732"/>
    <mergeCell ref="A733:E733"/>
    <mergeCell ref="F733:L733"/>
    <mergeCell ref="A734:E734"/>
    <mergeCell ref="F734:L734"/>
    <mergeCell ref="A735:E735"/>
    <mergeCell ref="F735:L735"/>
    <mergeCell ref="A736:E736"/>
    <mergeCell ref="F736:L736"/>
    <mergeCell ref="A737:E737"/>
    <mergeCell ref="F737:L737"/>
    <mergeCell ref="A738:E738"/>
    <mergeCell ref="F738:L738"/>
    <mergeCell ref="A739:E739"/>
    <mergeCell ref="F739:L739"/>
    <mergeCell ref="A740:E740"/>
    <mergeCell ref="F740:L740"/>
    <mergeCell ref="A741:E741"/>
    <mergeCell ref="F741:L741"/>
    <mergeCell ref="A742:E742"/>
    <mergeCell ref="F742:L742"/>
    <mergeCell ref="A743:E743"/>
    <mergeCell ref="F743:L743"/>
    <mergeCell ref="A744:E744"/>
    <mergeCell ref="F744:L744"/>
    <mergeCell ref="A745:E745"/>
    <mergeCell ref="F745:L745"/>
    <mergeCell ref="A746:E746"/>
    <mergeCell ref="F746:L746"/>
    <mergeCell ref="A747:E747"/>
    <mergeCell ref="F747:L747"/>
    <mergeCell ref="A748:E748"/>
    <mergeCell ref="F748:L748"/>
    <mergeCell ref="A749:E749"/>
    <mergeCell ref="F749:L749"/>
    <mergeCell ref="M749:S749"/>
    <mergeCell ref="A750:E750"/>
    <mergeCell ref="F750:L750"/>
    <mergeCell ref="A751:E751"/>
    <mergeCell ref="F751:L751"/>
    <mergeCell ref="A752:E752"/>
    <mergeCell ref="F752:L752"/>
    <mergeCell ref="M752:S752"/>
    <mergeCell ref="A753:E753"/>
    <mergeCell ref="F753:L753"/>
    <mergeCell ref="A754:E754"/>
    <mergeCell ref="F754:L754"/>
    <mergeCell ref="A755:E755"/>
    <mergeCell ref="F755:L755"/>
    <mergeCell ref="A758:E758"/>
    <mergeCell ref="F758:L758"/>
    <mergeCell ref="A759:E759"/>
    <mergeCell ref="F759:L759"/>
    <mergeCell ref="A760:E760"/>
    <mergeCell ref="F760:L760"/>
    <mergeCell ref="A761:E761"/>
    <mergeCell ref="F761:L761"/>
    <mergeCell ref="A762:E762"/>
    <mergeCell ref="F762:L762"/>
    <mergeCell ref="A763:E763"/>
    <mergeCell ref="F763:L763"/>
    <mergeCell ref="A764:E764"/>
    <mergeCell ref="F764:L764"/>
    <mergeCell ref="A765:E765"/>
    <mergeCell ref="F765:L765"/>
    <mergeCell ref="A766:E766"/>
    <mergeCell ref="F766:L766"/>
    <mergeCell ref="A767:E767"/>
    <mergeCell ref="F767:L767"/>
    <mergeCell ref="A768:E768"/>
    <mergeCell ref="F768:L768"/>
    <mergeCell ref="A769:E769"/>
    <mergeCell ref="F769:L769"/>
    <mergeCell ref="A770:E770"/>
    <mergeCell ref="F770:L770"/>
    <mergeCell ref="A771:E771"/>
    <mergeCell ref="F771:L771"/>
    <mergeCell ref="A772:E772"/>
    <mergeCell ref="F772:L772"/>
    <mergeCell ref="A773:E773"/>
    <mergeCell ref="F773:L773"/>
    <mergeCell ref="A774:E774"/>
    <mergeCell ref="F774:L774"/>
    <mergeCell ref="A775:E775"/>
    <mergeCell ref="F775:L775"/>
    <mergeCell ref="A776:E776"/>
    <mergeCell ref="F776:L776"/>
    <mergeCell ref="A777:E777"/>
    <mergeCell ref="F777:L777"/>
    <mergeCell ref="A778:E778"/>
    <mergeCell ref="F778:L778"/>
    <mergeCell ref="A779:E779"/>
    <mergeCell ref="F779:L779"/>
    <mergeCell ref="A780:E780"/>
    <mergeCell ref="F780:L780"/>
    <mergeCell ref="A781:E781"/>
    <mergeCell ref="F781:L781"/>
    <mergeCell ref="A782:E782"/>
    <mergeCell ref="F782:L782"/>
    <mergeCell ref="A783:E783"/>
    <mergeCell ref="F783:L783"/>
    <mergeCell ref="A784:E784"/>
    <mergeCell ref="F784:L784"/>
    <mergeCell ref="A785:E785"/>
    <mergeCell ref="F785:L785"/>
    <mergeCell ref="A786:E786"/>
    <mergeCell ref="F786:L786"/>
    <mergeCell ref="A787:E787"/>
    <mergeCell ref="F787:L787"/>
    <mergeCell ref="A788:E788"/>
    <mergeCell ref="F788:L788"/>
    <mergeCell ref="A789:E789"/>
    <mergeCell ref="F789:L789"/>
    <mergeCell ref="A790:E790"/>
    <mergeCell ref="F790:L790"/>
    <mergeCell ref="A791:E791"/>
    <mergeCell ref="F791:L791"/>
    <mergeCell ref="A792:E792"/>
    <mergeCell ref="F792:L792"/>
    <mergeCell ref="A793:E793"/>
    <mergeCell ref="F793:L793"/>
    <mergeCell ref="A794:E794"/>
    <mergeCell ref="F794:L794"/>
    <mergeCell ref="A795:E795"/>
    <mergeCell ref="F795:L795"/>
    <mergeCell ref="A796:E796"/>
    <mergeCell ref="F796:L796"/>
    <mergeCell ref="A797:E797"/>
    <mergeCell ref="F797:L797"/>
    <mergeCell ref="A798:E798"/>
    <mergeCell ref="F798:L798"/>
    <mergeCell ref="A799:E799"/>
    <mergeCell ref="F799:L799"/>
    <mergeCell ref="A800:E800"/>
    <mergeCell ref="F800:L800"/>
    <mergeCell ref="A801:E801"/>
    <mergeCell ref="F801:L801"/>
    <mergeCell ref="A802:E802"/>
    <mergeCell ref="F802:L802"/>
    <mergeCell ref="A803:E803"/>
    <mergeCell ref="F803:L803"/>
    <mergeCell ref="A804:E804"/>
    <mergeCell ref="F804:L804"/>
    <mergeCell ref="A805:E805"/>
    <mergeCell ref="F805:L805"/>
    <mergeCell ref="A806:E806"/>
    <mergeCell ref="F806:L806"/>
    <mergeCell ref="A807:E807"/>
    <mergeCell ref="F807:L807"/>
    <mergeCell ref="A808:E808"/>
    <mergeCell ref="F808:L808"/>
    <mergeCell ref="A809:E809"/>
    <mergeCell ref="F809:L809"/>
    <mergeCell ref="A810:E810"/>
    <mergeCell ref="F810:L810"/>
    <mergeCell ref="A811:E811"/>
    <mergeCell ref="F811:L811"/>
    <mergeCell ref="A812:E812"/>
    <mergeCell ref="F812:L812"/>
    <mergeCell ref="A813:E813"/>
    <mergeCell ref="F813:L813"/>
    <mergeCell ref="A814:E814"/>
    <mergeCell ref="F814:L814"/>
    <mergeCell ref="A815:E815"/>
    <mergeCell ref="F815:L815"/>
    <mergeCell ref="A816:E816"/>
    <mergeCell ref="F816:L816"/>
    <mergeCell ref="A817:E817"/>
    <mergeCell ref="F817:L817"/>
    <mergeCell ref="A818:E818"/>
    <mergeCell ref="F818:L818"/>
    <mergeCell ref="A819:E819"/>
    <mergeCell ref="F819:L819"/>
    <mergeCell ref="A820:E820"/>
    <mergeCell ref="F820:L820"/>
    <mergeCell ref="A821:E821"/>
    <mergeCell ref="F821:L821"/>
    <mergeCell ref="A822:E822"/>
    <mergeCell ref="F822:L822"/>
    <mergeCell ref="A823:E823"/>
    <mergeCell ref="F823:L823"/>
    <mergeCell ref="A824:E824"/>
    <mergeCell ref="F824:L824"/>
    <mergeCell ref="A825:E825"/>
    <mergeCell ref="F825:L825"/>
    <mergeCell ref="A826:E826"/>
    <mergeCell ref="F826:L826"/>
    <mergeCell ref="A827:E827"/>
    <mergeCell ref="F827:L827"/>
    <mergeCell ref="A828:E828"/>
    <mergeCell ref="F828:L828"/>
    <mergeCell ref="A829:E829"/>
    <mergeCell ref="F829:L829"/>
    <mergeCell ref="A830:E830"/>
    <mergeCell ref="F830:L830"/>
    <mergeCell ref="A831:E831"/>
    <mergeCell ref="F831:L831"/>
    <mergeCell ref="A832:E832"/>
    <mergeCell ref="F832:L832"/>
    <mergeCell ref="A833:E833"/>
    <mergeCell ref="F833:L833"/>
    <mergeCell ref="A834:E834"/>
    <mergeCell ref="F834:L834"/>
    <mergeCell ref="A835:E835"/>
    <mergeCell ref="F835:L835"/>
    <mergeCell ref="A836:E836"/>
    <mergeCell ref="F836:L836"/>
    <mergeCell ref="M836:S836"/>
    <mergeCell ref="A837:E837"/>
    <mergeCell ref="F837:L837"/>
    <mergeCell ref="A838:E838"/>
    <mergeCell ref="F838:L838"/>
    <mergeCell ref="A839:E839"/>
    <mergeCell ref="F839:L839"/>
    <mergeCell ref="A840:E840"/>
    <mergeCell ref="F840:L840"/>
    <mergeCell ref="A841:E841"/>
    <mergeCell ref="F841:L841"/>
    <mergeCell ref="A842:E842"/>
    <mergeCell ref="F842:L842"/>
    <mergeCell ref="A843:E843"/>
    <mergeCell ref="F843:L843"/>
    <mergeCell ref="A844:E844"/>
    <mergeCell ref="F844:L844"/>
    <mergeCell ref="A845:E845"/>
    <mergeCell ref="F845:L845"/>
    <mergeCell ref="A846:E846"/>
    <mergeCell ref="F846:L846"/>
    <mergeCell ref="A847:E847"/>
    <mergeCell ref="F847:L847"/>
    <mergeCell ref="A848:E848"/>
    <mergeCell ref="F848:L848"/>
    <mergeCell ref="A849:E849"/>
    <mergeCell ref="F849:L849"/>
    <mergeCell ref="A850:E850"/>
    <mergeCell ref="F850:L850"/>
    <mergeCell ref="A852:E852"/>
    <mergeCell ref="F852:L852"/>
    <mergeCell ref="A853:E853"/>
    <mergeCell ref="F853:L853"/>
    <mergeCell ref="A854:E854"/>
    <mergeCell ref="F854:L854"/>
    <mergeCell ref="U854:AA854"/>
    <mergeCell ref="F855:L855"/>
    <mergeCell ref="U855:AA855"/>
    <mergeCell ref="O861:T861"/>
    <mergeCell ref="O863:T863"/>
    <mergeCell ref="O864:T864"/>
    <mergeCell ref="O865:T865"/>
    <mergeCell ref="O866:T866"/>
    <mergeCell ref="O867:T867"/>
    <mergeCell ref="O868:T868"/>
    <mergeCell ref="O869:T869"/>
    <mergeCell ref="O870:T870"/>
    <mergeCell ref="O871:T871"/>
    <mergeCell ref="O872:T872"/>
    <mergeCell ref="O873:T873"/>
    <mergeCell ref="O875:T875"/>
    <mergeCell ref="O877:T877"/>
    <mergeCell ref="O878:T878"/>
    <mergeCell ref="O879:T879"/>
    <mergeCell ref="O880:T880"/>
    <mergeCell ref="U880:Z880"/>
    <mergeCell ref="AA882:AF882"/>
    <mergeCell ref="AG882:AL882"/>
    <mergeCell ref="O883:T883"/>
    <mergeCell ref="U883:Z883"/>
    <mergeCell ref="AA883:AF883"/>
    <mergeCell ref="AG883:AL883"/>
    <mergeCell ref="O884:T884"/>
    <mergeCell ref="U884:Z884"/>
    <mergeCell ref="AA884:AF884"/>
    <mergeCell ref="AG884:AL884"/>
    <mergeCell ref="O885:T885"/>
    <mergeCell ref="U885:Z885"/>
    <mergeCell ref="AA885:AF885"/>
    <mergeCell ref="AG885:AL885"/>
    <mergeCell ref="O886:T886"/>
    <mergeCell ref="U886:Z886"/>
    <mergeCell ref="AA886:AF886"/>
    <mergeCell ref="AG886:AL886"/>
    <mergeCell ref="O887:T887"/>
    <mergeCell ref="U887:Z887"/>
    <mergeCell ref="AA887:AF887"/>
    <mergeCell ref="AG887:AL887"/>
    <mergeCell ref="O888:T888"/>
    <mergeCell ref="U888:Z888"/>
    <mergeCell ref="AA888:AF888"/>
    <mergeCell ref="AG888:AL888"/>
    <mergeCell ref="O889:T889"/>
    <mergeCell ref="U889:Z889"/>
    <mergeCell ref="AA889:AF889"/>
    <mergeCell ref="AG889:AL889"/>
    <mergeCell ref="O890:T890"/>
    <mergeCell ref="U890:Z890"/>
    <mergeCell ref="AA890:AF890"/>
    <mergeCell ref="AG890:AL890"/>
    <mergeCell ref="O891:T891"/>
    <mergeCell ref="U891:Z891"/>
    <mergeCell ref="AA891:AF891"/>
    <mergeCell ref="AG891:AL891"/>
    <mergeCell ref="O892:T892"/>
    <mergeCell ref="U892:Z892"/>
    <mergeCell ref="AA892:AF892"/>
    <mergeCell ref="AG892:AL892"/>
    <mergeCell ref="O893:T893"/>
    <mergeCell ref="U893:Z893"/>
    <mergeCell ref="AA893:AF893"/>
    <mergeCell ref="AG893:AL893"/>
    <mergeCell ref="O894:T894"/>
    <mergeCell ref="U894:Z894"/>
    <mergeCell ref="AA894:AF894"/>
    <mergeCell ref="AG894:AL894"/>
    <mergeCell ref="O895:T895"/>
    <mergeCell ref="U895:Z895"/>
    <mergeCell ref="AA895:AF895"/>
    <mergeCell ref="AG895:AL895"/>
    <mergeCell ref="O896:T896"/>
    <mergeCell ref="U896:Z896"/>
    <mergeCell ref="AA896:AF896"/>
    <mergeCell ref="AG896:AL896"/>
    <mergeCell ref="O897:T897"/>
    <mergeCell ref="U897:Z897"/>
    <mergeCell ref="AA897:AF897"/>
    <mergeCell ref="AG897:AL897"/>
    <mergeCell ref="O898:T898"/>
    <mergeCell ref="U898:Z898"/>
    <mergeCell ref="AA898:AF898"/>
    <mergeCell ref="AG898:AL898"/>
    <mergeCell ref="O899:T899"/>
    <mergeCell ref="U899:Z899"/>
    <mergeCell ref="AA899:AF899"/>
    <mergeCell ref="AG899:AL899"/>
    <mergeCell ref="O900:T900"/>
    <mergeCell ref="U900:Z900"/>
    <mergeCell ref="AA900:AF900"/>
    <mergeCell ref="AG900:AL900"/>
    <mergeCell ref="O901:T901"/>
    <mergeCell ref="U901:Z901"/>
    <mergeCell ref="AA901:AF901"/>
    <mergeCell ref="AG901:AL901"/>
    <mergeCell ref="O902:T902"/>
    <mergeCell ref="U902:Z902"/>
    <mergeCell ref="AA902:AF902"/>
    <mergeCell ref="AG902:AL902"/>
    <mergeCell ref="O903:T903"/>
    <mergeCell ref="U903:Z903"/>
    <mergeCell ref="AA903:AF903"/>
    <mergeCell ref="AG903:AL903"/>
    <mergeCell ref="O904:T904"/>
    <mergeCell ref="U904:Z904"/>
    <mergeCell ref="AA904:AF904"/>
    <mergeCell ref="AG904:AL904"/>
    <mergeCell ref="O905:T905"/>
    <mergeCell ref="U905:Z905"/>
    <mergeCell ref="AA905:AF905"/>
    <mergeCell ref="AG905:AL905"/>
    <mergeCell ref="O906:T906"/>
    <mergeCell ref="U906:Z906"/>
    <mergeCell ref="AA906:AF906"/>
    <mergeCell ref="AG906:AL906"/>
    <mergeCell ref="O907:T907"/>
    <mergeCell ref="U907:Z907"/>
    <mergeCell ref="AA907:AF907"/>
    <mergeCell ref="AG907:AL907"/>
    <mergeCell ref="O908:T908"/>
    <mergeCell ref="U908:Z908"/>
    <mergeCell ref="AA908:AF908"/>
    <mergeCell ref="AG908:AL908"/>
    <mergeCell ref="O909:T909"/>
    <mergeCell ref="U909:Z909"/>
    <mergeCell ref="AA909:AF909"/>
    <mergeCell ref="AG909:AL909"/>
    <mergeCell ref="O910:T910"/>
    <mergeCell ref="U910:Z910"/>
    <mergeCell ref="AA910:AF910"/>
    <mergeCell ref="AG910:AL910"/>
    <mergeCell ref="O911:T911"/>
    <mergeCell ref="U911:Z911"/>
    <mergeCell ref="AA911:AF911"/>
    <mergeCell ref="AG911:AL911"/>
    <mergeCell ref="O912:T912"/>
    <mergeCell ref="U912:Z912"/>
    <mergeCell ref="AA912:AF912"/>
    <mergeCell ref="AG912:AL912"/>
    <mergeCell ref="O913:T913"/>
    <mergeCell ref="U913:Z913"/>
    <mergeCell ref="AA913:AF913"/>
    <mergeCell ref="AG913:AL913"/>
    <mergeCell ref="O914:T914"/>
    <mergeCell ref="U914:Z914"/>
    <mergeCell ref="AA914:AF914"/>
    <mergeCell ref="AG914:AL914"/>
    <mergeCell ref="O915:T915"/>
    <mergeCell ref="U915:Z915"/>
    <mergeCell ref="AA915:AF915"/>
    <mergeCell ref="AG915:AL915"/>
    <mergeCell ref="O916:T916"/>
    <mergeCell ref="U916:Z916"/>
    <mergeCell ref="AA916:AF916"/>
    <mergeCell ref="AG916:AL916"/>
    <mergeCell ref="O917:T917"/>
    <mergeCell ref="U917:Z917"/>
    <mergeCell ref="AA917:AF917"/>
    <mergeCell ref="AG917:AL917"/>
    <mergeCell ref="O918:T918"/>
    <mergeCell ref="U918:Z918"/>
    <mergeCell ref="AA918:AF918"/>
    <mergeCell ref="AG918:AL918"/>
    <mergeCell ref="O919:T919"/>
    <mergeCell ref="U919:Z919"/>
    <mergeCell ref="AA919:AF919"/>
    <mergeCell ref="AG919:AL919"/>
    <mergeCell ref="O920:T920"/>
    <mergeCell ref="U920:Z920"/>
    <mergeCell ref="AA920:AF920"/>
    <mergeCell ref="AG920:AL920"/>
    <mergeCell ref="O921:T921"/>
    <mergeCell ref="U921:Z921"/>
    <mergeCell ref="AA921:AF921"/>
    <mergeCell ref="AG921:AL921"/>
    <mergeCell ref="A922:N922"/>
    <mergeCell ref="O922:T922"/>
    <mergeCell ref="A923:N923"/>
    <mergeCell ref="O923:T923"/>
    <mergeCell ref="O925:T925"/>
    <mergeCell ref="O926:T926"/>
    <mergeCell ref="U926:Z926"/>
    <mergeCell ref="O927:T927"/>
    <mergeCell ref="U927:Z927"/>
    <mergeCell ref="O928:T928"/>
    <mergeCell ref="U928:Z928"/>
    <mergeCell ref="O929:T929"/>
    <mergeCell ref="U929:Z929"/>
    <mergeCell ref="O930:T930"/>
    <mergeCell ref="U930:Z930"/>
    <mergeCell ref="O931:T931"/>
    <mergeCell ref="U931:Z931"/>
    <mergeCell ref="A943:B943"/>
    <mergeCell ref="C943:K943"/>
    <mergeCell ref="O943:BB943"/>
    <mergeCell ref="A944:B944"/>
    <mergeCell ref="C944:K944"/>
    <mergeCell ref="O944:S944"/>
    <mergeCell ref="T944:X944"/>
    <mergeCell ref="Y944:AC944"/>
    <mergeCell ref="AD944:AH944"/>
    <mergeCell ref="AI944:AM944"/>
    <mergeCell ref="AN944:AR944"/>
    <mergeCell ref="AS944:AW944"/>
    <mergeCell ref="AX944:BB944"/>
    <mergeCell ref="A945:K945"/>
    <mergeCell ref="L945:N945"/>
    <mergeCell ref="O945:S945"/>
    <mergeCell ref="T945:X945"/>
    <mergeCell ref="Y945:AC945"/>
    <mergeCell ref="AD945:AH945"/>
    <mergeCell ref="AI945:AM945"/>
    <mergeCell ref="AN945:AR945"/>
    <mergeCell ref="AS945:AW945"/>
    <mergeCell ref="AX945:BB945"/>
    <mergeCell ref="A946:K946"/>
    <mergeCell ref="L946:N946"/>
    <mergeCell ref="O946:S946"/>
    <mergeCell ref="T946:X946"/>
    <mergeCell ref="Y946:AC946"/>
    <mergeCell ref="AD946:AH946"/>
    <mergeCell ref="AI946:AM946"/>
    <mergeCell ref="AN946:AR946"/>
    <mergeCell ref="AS946:AW946"/>
    <mergeCell ref="AX946:BB946"/>
    <mergeCell ref="A947:B947"/>
    <mergeCell ref="C947:K947"/>
    <mergeCell ref="O947:S947"/>
    <mergeCell ref="T947:X947"/>
    <mergeCell ref="Y947:AC947"/>
    <mergeCell ref="AD947:AH947"/>
    <mergeCell ref="AI947:AM947"/>
    <mergeCell ref="AN947:AR947"/>
    <mergeCell ref="AS947:AW947"/>
    <mergeCell ref="AX947:BB947"/>
    <mergeCell ref="B948:K948"/>
    <mergeCell ref="L948:N948"/>
    <mergeCell ref="O948:S948"/>
    <mergeCell ref="T948:X948"/>
    <mergeCell ref="Y948:AC948"/>
    <mergeCell ref="AD948:AH948"/>
    <mergeCell ref="AI948:AM948"/>
    <mergeCell ref="AN948:AR948"/>
    <mergeCell ref="AS948:AW948"/>
    <mergeCell ref="AX948:BB948"/>
    <mergeCell ref="B949:K949"/>
    <mergeCell ref="O949:S949"/>
    <mergeCell ref="T949:X949"/>
    <mergeCell ref="Y949:AC949"/>
    <mergeCell ref="AD949:AH949"/>
    <mergeCell ref="AI949:AM949"/>
    <mergeCell ref="AN949:AR949"/>
    <mergeCell ref="AS949:AW949"/>
    <mergeCell ref="AX949:BB949"/>
    <mergeCell ref="B950:K950"/>
    <mergeCell ref="O950:S950"/>
    <mergeCell ref="T950:X950"/>
    <mergeCell ref="Y950:AC950"/>
    <mergeCell ref="AD950:AH950"/>
    <mergeCell ref="AI950:AM950"/>
    <mergeCell ref="AN950:AR950"/>
    <mergeCell ref="AS950:AW950"/>
    <mergeCell ref="AX950:BB950"/>
    <mergeCell ref="B951:K951"/>
    <mergeCell ref="O951:S951"/>
    <mergeCell ref="T951:X951"/>
    <mergeCell ref="Y951:AC951"/>
    <mergeCell ref="AD951:AH951"/>
    <mergeCell ref="AI951:AM951"/>
    <mergeCell ref="AN951:AR951"/>
    <mergeCell ref="AS951:AW951"/>
    <mergeCell ref="AX951:BB951"/>
    <mergeCell ref="B952:K952"/>
    <mergeCell ref="O952:S952"/>
    <mergeCell ref="T952:X952"/>
    <mergeCell ref="Y952:AC952"/>
    <mergeCell ref="AD952:AH952"/>
    <mergeCell ref="AI952:AM952"/>
    <mergeCell ref="AN952:AR952"/>
    <mergeCell ref="AS952:AW952"/>
    <mergeCell ref="AX952:BB952"/>
    <mergeCell ref="B953:K953"/>
    <mergeCell ref="O953:S953"/>
    <mergeCell ref="T953:X953"/>
    <mergeCell ref="Y953:AC953"/>
    <mergeCell ref="AD953:AH953"/>
    <mergeCell ref="AI953:AM953"/>
    <mergeCell ref="AN953:AR953"/>
    <mergeCell ref="AS953:AW953"/>
    <mergeCell ref="AX953:BB953"/>
    <mergeCell ref="B954:K954"/>
    <mergeCell ref="O954:S954"/>
    <mergeCell ref="T954:X954"/>
    <mergeCell ref="Y954:AC954"/>
    <mergeCell ref="AD954:AH954"/>
    <mergeCell ref="AI954:AM954"/>
    <mergeCell ref="AN954:AR954"/>
    <mergeCell ref="AS954:AW954"/>
    <mergeCell ref="AX954:BB954"/>
    <mergeCell ref="B955:K955"/>
    <mergeCell ref="O955:S955"/>
    <mergeCell ref="T955:X955"/>
    <mergeCell ref="Y955:AC955"/>
    <mergeCell ref="AD955:AH955"/>
    <mergeCell ref="AI955:AM955"/>
    <mergeCell ref="AN955:AR955"/>
    <mergeCell ref="AS955:AW955"/>
    <mergeCell ref="AX955:BB955"/>
    <mergeCell ref="B956:K956"/>
    <mergeCell ref="O956:S956"/>
    <mergeCell ref="T956:X956"/>
    <mergeCell ref="Y956:AC956"/>
    <mergeCell ref="AD956:AH956"/>
    <mergeCell ref="AI956:AM956"/>
    <mergeCell ref="AN956:AR956"/>
    <mergeCell ref="AS956:AW956"/>
    <mergeCell ref="AX956:BB956"/>
    <mergeCell ref="B957:K957"/>
    <mergeCell ref="O957:S957"/>
    <mergeCell ref="T957:X957"/>
    <mergeCell ref="Y957:AC957"/>
    <mergeCell ref="AD957:AH957"/>
    <mergeCell ref="AI957:AM957"/>
    <mergeCell ref="AN957:AR957"/>
    <mergeCell ref="AS957:AW957"/>
    <mergeCell ref="AX957:BB957"/>
    <mergeCell ref="B958:K958"/>
    <mergeCell ref="O958:S958"/>
    <mergeCell ref="T958:X958"/>
    <mergeCell ref="Y958:AC958"/>
    <mergeCell ref="AD958:AH958"/>
    <mergeCell ref="AI958:AM958"/>
    <mergeCell ref="AN958:AR958"/>
    <mergeCell ref="AS958:AW958"/>
    <mergeCell ref="AX958:BB958"/>
    <mergeCell ref="B959:K959"/>
    <mergeCell ref="O959:S959"/>
    <mergeCell ref="T959:X959"/>
    <mergeCell ref="Y959:AC959"/>
    <mergeCell ref="AD959:AH959"/>
    <mergeCell ref="AI959:AM959"/>
    <mergeCell ref="AN959:AR959"/>
    <mergeCell ref="AS959:AW959"/>
    <mergeCell ref="AX959:BB959"/>
    <mergeCell ref="B960:K960"/>
    <mergeCell ref="O960:S960"/>
    <mergeCell ref="T960:X960"/>
    <mergeCell ref="Y960:AC960"/>
    <mergeCell ref="AD960:AH960"/>
    <mergeCell ref="AI960:AM960"/>
    <mergeCell ref="AN960:AR960"/>
    <mergeCell ref="AS960:AW960"/>
    <mergeCell ref="AX960:BB960"/>
    <mergeCell ref="B961:K961"/>
    <mergeCell ref="O961:S961"/>
    <mergeCell ref="T961:X961"/>
    <mergeCell ref="Y961:AC961"/>
    <mergeCell ref="AD961:AH961"/>
    <mergeCell ref="AI961:AM961"/>
    <mergeCell ref="AN961:AR961"/>
    <mergeCell ref="AS961:AW961"/>
    <mergeCell ref="AX961:BB961"/>
    <mergeCell ref="B962:K962"/>
    <mergeCell ref="O962:S962"/>
    <mergeCell ref="T962:X962"/>
    <mergeCell ref="Y962:AC962"/>
    <mergeCell ref="AD962:AH962"/>
    <mergeCell ref="AI962:AM962"/>
    <mergeCell ref="AN962:AR962"/>
    <mergeCell ref="AS962:AW962"/>
    <mergeCell ref="AX962:BB962"/>
    <mergeCell ref="B963:K963"/>
    <mergeCell ref="O963:S963"/>
    <mergeCell ref="T963:X963"/>
    <mergeCell ref="Y963:AC963"/>
    <mergeCell ref="AD963:AH963"/>
    <mergeCell ref="AI963:AM963"/>
    <mergeCell ref="AN963:AR963"/>
    <mergeCell ref="AS963:AW963"/>
    <mergeCell ref="AX963:BB963"/>
    <mergeCell ref="B964:K964"/>
    <mergeCell ref="O964:S964"/>
    <mergeCell ref="T964:X964"/>
    <mergeCell ref="Y964:AC964"/>
    <mergeCell ref="AD964:AH964"/>
    <mergeCell ref="AI964:AM964"/>
    <mergeCell ref="AN964:AR964"/>
    <mergeCell ref="AS964:AW964"/>
    <mergeCell ref="AX964:BB964"/>
    <mergeCell ref="B965:K965"/>
    <mergeCell ref="O965:S965"/>
    <mergeCell ref="T965:X965"/>
    <mergeCell ref="Y965:AC965"/>
    <mergeCell ref="AD965:AH965"/>
    <mergeCell ref="AI965:AM965"/>
    <mergeCell ref="AN965:AR965"/>
    <mergeCell ref="AS965:AW965"/>
    <mergeCell ref="AX965:BB965"/>
    <mergeCell ref="B966:K966"/>
    <mergeCell ref="O966:S966"/>
    <mergeCell ref="T966:X966"/>
    <mergeCell ref="Y966:AC966"/>
    <mergeCell ref="AD966:AH966"/>
    <mergeCell ref="AI966:AM966"/>
    <mergeCell ref="AN966:AR966"/>
    <mergeCell ref="AS966:AW966"/>
    <mergeCell ref="AX966:BB966"/>
    <mergeCell ref="B967:K967"/>
    <mergeCell ref="O967:S967"/>
    <mergeCell ref="T967:X967"/>
    <mergeCell ref="Y967:AC967"/>
    <mergeCell ref="AD967:AH967"/>
    <mergeCell ref="AI967:AM967"/>
    <mergeCell ref="AN967:AR967"/>
    <mergeCell ref="AS967:AW967"/>
    <mergeCell ref="AX967:BB967"/>
    <mergeCell ref="B968:K968"/>
    <mergeCell ref="O968:S968"/>
    <mergeCell ref="T968:X968"/>
    <mergeCell ref="Y968:AC968"/>
    <mergeCell ref="AD968:AH968"/>
    <mergeCell ref="AI968:AM968"/>
    <mergeCell ref="AN968:AR968"/>
    <mergeCell ref="AS968:AW968"/>
    <mergeCell ref="AX968:BB968"/>
    <mergeCell ref="B969:K969"/>
    <mergeCell ref="O969:S969"/>
    <mergeCell ref="T969:X969"/>
    <mergeCell ref="Y969:AC969"/>
    <mergeCell ref="AD969:AH969"/>
    <mergeCell ref="AI969:AM969"/>
    <mergeCell ref="AN969:AR969"/>
    <mergeCell ref="AS969:AW969"/>
    <mergeCell ref="AX969:BB969"/>
    <mergeCell ref="B970:K970"/>
    <mergeCell ref="O970:S970"/>
    <mergeCell ref="T970:X970"/>
    <mergeCell ref="Y970:AC970"/>
    <mergeCell ref="AD970:AH970"/>
    <mergeCell ref="AI970:AM970"/>
    <mergeCell ref="AN970:AR970"/>
    <mergeCell ref="AS970:AW970"/>
    <mergeCell ref="AX970:BB970"/>
    <mergeCell ref="B971:K971"/>
    <mergeCell ref="O971:S971"/>
    <mergeCell ref="T971:X971"/>
    <mergeCell ref="Y971:AC971"/>
    <mergeCell ref="AD971:AH971"/>
    <mergeCell ref="AI971:AM971"/>
    <mergeCell ref="AN971:AR971"/>
    <mergeCell ref="AS971:AW971"/>
    <mergeCell ref="AX971:BB971"/>
    <mergeCell ref="B972:K972"/>
    <mergeCell ref="O972:S972"/>
    <mergeCell ref="T972:X972"/>
    <mergeCell ref="Y972:AC972"/>
    <mergeCell ref="AD972:AH972"/>
    <mergeCell ref="AI972:AM972"/>
    <mergeCell ref="AN972:AR972"/>
    <mergeCell ref="AS972:AW972"/>
    <mergeCell ref="AX972:BB972"/>
    <mergeCell ref="B973:K973"/>
    <mergeCell ref="O973:S973"/>
    <mergeCell ref="T973:X973"/>
    <mergeCell ref="Y973:AC973"/>
    <mergeCell ref="AD973:AH973"/>
    <mergeCell ref="AI973:AM973"/>
    <mergeCell ref="AN973:AR973"/>
    <mergeCell ref="AS973:AW973"/>
    <mergeCell ref="AX973:BB973"/>
    <mergeCell ref="AX974:BB974"/>
    <mergeCell ref="H993:N993"/>
    <mergeCell ref="Z993:AR993"/>
    <mergeCell ref="H996:U996"/>
    <mergeCell ref="F997:G997"/>
    <mergeCell ref="H997:U997"/>
    <mergeCell ref="V997:W997"/>
    <mergeCell ref="F998:G998"/>
    <mergeCell ref="H998:N998"/>
    <mergeCell ref="O998:U998"/>
    <mergeCell ref="V998:W998"/>
    <mergeCell ref="F999:G999"/>
    <mergeCell ref="H999:N999"/>
    <mergeCell ref="O999:U999"/>
    <mergeCell ref="A1000:E1000"/>
    <mergeCell ref="F1000:G1000"/>
    <mergeCell ref="H1000:N1000"/>
    <mergeCell ref="O1000:U1000"/>
    <mergeCell ref="V1000:W1000"/>
    <mergeCell ref="X1000:Y1000"/>
    <mergeCell ref="A1001:E1001"/>
    <mergeCell ref="F1001:G1001"/>
    <mergeCell ref="H1001:N1001"/>
    <mergeCell ref="O1001:U1001"/>
    <mergeCell ref="V1001:W1001"/>
    <mergeCell ref="A1002:E1002"/>
    <mergeCell ref="F1002:G1002"/>
    <mergeCell ref="H1002:N1002"/>
    <mergeCell ref="O1002:U1002"/>
    <mergeCell ref="V1002:W1002"/>
    <mergeCell ref="A1003:E1003"/>
    <mergeCell ref="F1003:G1003"/>
    <mergeCell ref="H1003:N1003"/>
    <mergeCell ref="O1003:U1003"/>
    <mergeCell ref="V1003:W1003"/>
    <mergeCell ref="A1004:E1004"/>
    <mergeCell ref="F1004:G1004"/>
    <mergeCell ref="H1004:N1004"/>
    <mergeCell ref="O1004:U1004"/>
    <mergeCell ref="V1004:W1004"/>
    <mergeCell ref="A1005:E1005"/>
    <mergeCell ref="F1005:G1005"/>
    <mergeCell ref="H1005:N1005"/>
    <mergeCell ref="O1005:U1005"/>
    <mergeCell ref="V1005:W1005"/>
    <mergeCell ref="A1006:E1006"/>
    <mergeCell ref="F1006:G1006"/>
    <mergeCell ref="H1006:N1006"/>
    <mergeCell ref="O1006:U1006"/>
    <mergeCell ref="V1006:W1006"/>
    <mergeCell ref="A1007:E1007"/>
    <mergeCell ref="F1007:G1007"/>
    <mergeCell ref="H1007:N1007"/>
    <mergeCell ref="O1007:U1007"/>
    <mergeCell ref="V1007:W1007"/>
    <mergeCell ref="A1008:E1008"/>
    <mergeCell ref="F1008:G1008"/>
    <mergeCell ref="H1008:N1008"/>
    <mergeCell ref="O1008:U1008"/>
    <mergeCell ref="V1008:W1008"/>
    <mergeCell ref="A1009:E1009"/>
    <mergeCell ref="F1009:G1009"/>
    <mergeCell ref="H1009:N1009"/>
    <mergeCell ref="O1009:U1009"/>
    <mergeCell ref="V1009:W1009"/>
    <mergeCell ref="A1010:E1010"/>
    <mergeCell ref="F1010:G1010"/>
    <mergeCell ref="H1010:N1010"/>
    <mergeCell ref="O1010:U1010"/>
    <mergeCell ref="V1010:W1010"/>
    <mergeCell ref="A1011:E1011"/>
    <mergeCell ref="F1011:G1011"/>
    <mergeCell ref="O1011:U1011"/>
    <mergeCell ref="V1011:W1011"/>
    <mergeCell ref="A1012:E1012"/>
    <mergeCell ref="F1012:G1012"/>
    <mergeCell ref="O1012:U1012"/>
    <mergeCell ref="V1012:W1012"/>
    <mergeCell ref="A1013:E1013"/>
    <mergeCell ref="F1013:G1013"/>
    <mergeCell ref="O1013:U1013"/>
    <mergeCell ref="V1013:W1013"/>
    <mergeCell ref="A1014:E1014"/>
    <mergeCell ref="F1014:G1014"/>
    <mergeCell ref="O1014:U1014"/>
    <mergeCell ref="V1014:W1014"/>
    <mergeCell ref="A1015:E1015"/>
    <mergeCell ref="F1015:G1015"/>
    <mergeCell ref="O1015:U1015"/>
    <mergeCell ref="V1015:W1015"/>
    <mergeCell ref="A1016:E1016"/>
    <mergeCell ref="F1016:G1016"/>
    <mergeCell ref="O1016:U1016"/>
    <mergeCell ref="V1016:W1016"/>
    <mergeCell ref="A1017:E1017"/>
    <mergeCell ref="F1017:G1017"/>
    <mergeCell ref="O1017:U1017"/>
    <mergeCell ref="V1017:W1017"/>
    <mergeCell ref="A1018:E1018"/>
    <mergeCell ref="F1018:G1018"/>
    <mergeCell ref="O1018:U1018"/>
    <mergeCell ref="V1018:W1018"/>
    <mergeCell ref="A1019:E1019"/>
    <mergeCell ref="F1019:G1019"/>
    <mergeCell ref="O1019:U1019"/>
    <mergeCell ref="V1019:W1019"/>
    <mergeCell ref="A1020:E1020"/>
    <mergeCell ref="F1020:G1020"/>
    <mergeCell ref="H1020:N1020"/>
    <mergeCell ref="O1020:U1020"/>
    <mergeCell ref="V1020:W1020"/>
    <mergeCell ref="A1021:E1021"/>
    <mergeCell ref="F1021:G1021"/>
    <mergeCell ref="H1021:N1021"/>
    <mergeCell ref="O1021:U1021"/>
    <mergeCell ref="V1021:W1021"/>
    <mergeCell ref="A1022:E1022"/>
    <mergeCell ref="F1022:G1022"/>
    <mergeCell ref="O1022:U1022"/>
    <mergeCell ref="V1022:W1022"/>
    <mergeCell ref="A1023:E1023"/>
    <mergeCell ref="F1023:G1023"/>
    <mergeCell ref="O1023:U1023"/>
    <mergeCell ref="V1023:W1023"/>
    <mergeCell ref="A1024:E1024"/>
    <mergeCell ref="F1024:G1024"/>
    <mergeCell ref="O1024:U1024"/>
    <mergeCell ref="V1024:W1024"/>
    <mergeCell ref="A1025:E1025"/>
    <mergeCell ref="F1025:G1025"/>
    <mergeCell ref="O1025:U1025"/>
    <mergeCell ref="V1025:W1025"/>
    <mergeCell ref="A1026:E1026"/>
    <mergeCell ref="F1026:G1026"/>
    <mergeCell ref="O1026:U1026"/>
    <mergeCell ref="V1026:W1026"/>
    <mergeCell ref="A1027:E1027"/>
    <mergeCell ref="F1027:G1027"/>
    <mergeCell ref="O1027:U1027"/>
    <mergeCell ref="V1027:W1027"/>
    <mergeCell ref="A1028:E1028"/>
    <mergeCell ref="F1028:G1028"/>
    <mergeCell ref="O1028:U1028"/>
    <mergeCell ref="V1028:W1028"/>
    <mergeCell ref="A1029:E1029"/>
    <mergeCell ref="F1029:G1029"/>
    <mergeCell ref="O1029:U1029"/>
    <mergeCell ref="V1029:W1029"/>
    <mergeCell ref="A1030:E1030"/>
    <mergeCell ref="F1030:G1030"/>
    <mergeCell ref="H1030:N1030"/>
    <mergeCell ref="O1030:U1030"/>
    <mergeCell ref="V1030:W1030"/>
    <mergeCell ref="A1031:E1031"/>
    <mergeCell ref="F1031:G1031"/>
    <mergeCell ref="O1031:U1031"/>
    <mergeCell ref="V1031:W1031"/>
    <mergeCell ref="A1032:E1032"/>
    <mergeCell ref="F1032:G1032"/>
    <mergeCell ref="O1032:U1032"/>
    <mergeCell ref="V1032:W1032"/>
    <mergeCell ref="A1033:E1033"/>
    <mergeCell ref="F1033:G1033"/>
    <mergeCell ref="O1033:U1033"/>
    <mergeCell ref="V1033:W1033"/>
    <mergeCell ref="A1034:E1034"/>
    <mergeCell ref="F1034:G1034"/>
    <mergeCell ref="H1034:N1034"/>
    <mergeCell ref="O1034:U1034"/>
    <mergeCell ref="V1034:W1034"/>
    <mergeCell ref="A1035:E1035"/>
    <mergeCell ref="F1035:G1035"/>
    <mergeCell ref="H1035:N1035"/>
    <mergeCell ref="O1035:U1035"/>
    <mergeCell ref="V1035:W1035"/>
    <mergeCell ref="A1036:E1036"/>
    <mergeCell ref="F1036:G1036"/>
    <mergeCell ref="H1036:N1036"/>
    <mergeCell ref="O1036:U1036"/>
    <mergeCell ref="V1036:W1036"/>
    <mergeCell ref="A1037:E1037"/>
    <mergeCell ref="F1037:G1037"/>
    <mergeCell ref="H1037:N1037"/>
    <mergeCell ref="O1037:U1037"/>
    <mergeCell ref="V1037:W1037"/>
    <mergeCell ref="A1038:E1038"/>
    <mergeCell ref="F1038:G1038"/>
    <mergeCell ref="H1038:N1038"/>
    <mergeCell ref="O1038:U1038"/>
    <mergeCell ref="V1038:W1038"/>
    <mergeCell ref="A1039:E1039"/>
    <mergeCell ref="F1039:G1039"/>
    <mergeCell ref="O1039:U1039"/>
    <mergeCell ref="V1039:W1039"/>
    <mergeCell ref="A1040:E1040"/>
    <mergeCell ref="F1040:G1040"/>
    <mergeCell ref="O1040:U1040"/>
    <mergeCell ref="V1040:W1040"/>
    <mergeCell ref="A1041:E1041"/>
    <mergeCell ref="F1041:G1041"/>
    <mergeCell ref="O1041:U1041"/>
    <mergeCell ref="V1041:W1041"/>
    <mergeCell ref="A1042:E1042"/>
    <mergeCell ref="F1042:G1042"/>
    <mergeCell ref="O1042:U1042"/>
    <mergeCell ref="V1042:W1042"/>
    <mergeCell ref="A1043:E1043"/>
    <mergeCell ref="F1043:G1043"/>
    <mergeCell ref="O1043:U1043"/>
    <mergeCell ref="V1043:W1043"/>
    <mergeCell ref="A1044:E1044"/>
    <mergeCell ref="F1044:G1044"/>
    <mergeCell ref="O1044:U1044"/>
    <mergeCell ref="V1044:W1044"/>
    <mergeCell ref="A1045:E1045"/>
    <mergeCell ref="F1045:G1045"/>
    <mergeCell ref="O1045:U1045"/>
    <mergeCell ref="V1045:W1045"/>
    <mergeCell ref="A1046:E1046"/>
    <mergeCell ref="F1046:G1046"/>
    <mergeCell ref="O1046:U1046"/>
    <mergeCell ref="V1046:W1046"/>
    <mergeCell ref="A1047:E1047"/>
    <mergeCell ref="F1047:G1047"/>
    <mergeCell ref="H1047:N1047"/>
    <mergeCell ref="O1047:U1047"/>
    <mergeCell ref="V1047:W1047"/>
    <mergeCell ref="A1048:E1048"/>
    <mergeCell ref="F1048:G1048"/>
    <mergeCell ref="H1048:N1048"/>
    <mergeCell ref="O1048:U1048"/>
    <mergeCell ref="V1048:W1048"/>
    <mergeCell ref="A1049:E1049"/>
    <mergeCell ref="F1049:G1049"/>
    <mergeCell ref="H1049:N1049"/>
    <mergeCell ref="O1049:U1049"/>
    <mergeCell ref="V1049:W1049"/>
    <mergeCell ref="A1050:E1050"/>
    <mergeCell ref="F1050:G1050"/>
    <mergeCell ref="H1050:N1050"/>
    <mergeCell ref="V1050:W1050"/>
    <mergeCell ref="A1051:E1051"/>
    <mergeCell ref="F1051:G1051"/>
    <mergeCell ref="H1051:N1051"/>
    <mergeCell ref="V1051:W1051"/>
    <mergeCell ref="A1052:E1052"/>
    <mergeCell ref="F1052:G1052"/>
    <mergeCell ref="H1052:N1052"/>
    <mergeCell ref="O1052:U1052"/>
    <mergeCell ref="V1052:W1052"/>
    <mergeCell ref="A1053:E1053"/>
    <mergeCell ref="F1053:G1053"/>
    <mergeCell ref="H1053:N1053"/>
    <mergeCell ref="O1053:U1053"/>
    <mergeCell ref="V1053:W1053"/>
    <mergeCell ref="A1054:E1054"/>
    <mergeCell ref="F1054:G1054"/>
    <mergeCell ref="H1054:N1054"/>
    <mergeCell ref="O1054:U1054"/>
    <mergeCell ref="V1054:W1054"/>
    <mergeCell ref="A1055:E1055"/>
    <mergeCell ref="F1055:G1055"/>
    <mergeCell ref="H1055:N1055"/>
    <mergeCell ref="O1055:U1055"/>
    <mergeCell ref="V1055:W1055"/>
    <mergeCell ref="A1056:E1056"/>
    <mergeCell ref="F1056:G1056"/>
    <mergeCell ref="H1056:N1056"/>
    <mergeCell ref="O1056:U1056"/>
    <mergeCell ref="V1056:W1056"/>
    <mergeCell ref="A1057:E1057"/>
    <mergeCell ref="F1057:G1057"/>
    <mergeCell ref="H1057:N1057"/>
    <mergeCell ref="O1057:U1057"/>
    <mergeCell ref="V1057:W1057"/>
    <mergeCell ref="A1058:E1058"/>
    <mergeCell ref="F1058:G1058"/>
    <mergeCell ref="H1058:N1058"/>
    <mergeCell ref="O1058:U1058"/>
    <mergeCell ref="V1058:W1058"/>
    <mergeCell ref="A1059:E1059"/>
    <mergeCell ref="F1059:G1059"/>
    <mergeCell ref="H1059:N1059"/>
    <mergeCell ref="V1059:W1059"/>
    <mergeCell ref="A1060:E1060"/>
    <mergeCell ref="F1060:G1060"/>
    <mergeCell ref="H1060:N1060"/>
    <mergeCell ref="V1060:W1060"/>
    <mergeCell ref="A1061:E1061"/>
    <mergeCell ref="F1061:G1061"/>
    <mergeCell ref="H1061:N1061"/>
    <mergeCell ref="V1061:W1061"/>
    <mergeCell ref="A1062:E1062"/>
    <mergeCell ref="F1062:G1062"/>
    <mergeCell ref="H1062:N1062"/>
    <mergeCell ref="V1062:W1062"/>
    <mergeCell ref="A1063:E1063"/>
    <mergeCell ref="F1063:G1063"/>
    <mergeCell ref="H1063:N1063"/>
    <mergeCell ref="V1063:W1063"/>
    <mergeCell ref="A1064:E1064"/>
    <mergeCell ref="F1064:G1064"/>
    <mergeCell ref="H1064:N1064"/>
    <mergeCell ref="V1064:W1064"/>
    <mergeCell ref="A1065:E1065"/>
    <mergeCell ref="F1065:G1065"/>
    <mergeCell ref="H1065:N1065"/>
    <mergeCell ref="V1065:W1065"/>
    <mergeCell ref="A1066:E1066"/>
    <mergeCell ref="F1066:G1066"/>
    <mergeCell ref="H1066:N1066"/>
    <mergeCell ref="V1066:W1066"/>
    <mergeCell ref="A1067:E1067"/>
    <mergeCell ref="F1067:G1067"/>
    <mergeCell ref="H1067:N1067"/>
    <mergeCell ref="V1067:W1067"/>
    <mergeCell ref="A1068:E1068"/>
    <mergeCell ref="F1068:G1068"/>
    <mergeCell ref="H1068:N1068"/>
    <mergeCell ref="V1068:W1068"/>
    <mergeCell ref="A1069:E1069"/>
    <mergeCell ref="F1069:G1069"/>
    <mergeCell ref="H1069:N1069"/>
    <mergeCell ref="V1069:W1069"/>
    <mergeCell ref="A1070:E1070"/>
    <mergeCell ref="F1070:G1070"/>
    <mergeCell ref="H1070:N1070"/>
    <mergeCell ref="V1070:W1070"/>
    <mergeCell ref="A1071:E1071"/>
    <mergeCell ref="F1071:G1071"/>
    <mergeCell ref="H1071:N1071"/>
    <mergeCell ref="V1071:W1071"/>
    <mergeCell ref="A1072:E1072"/>
    <mergeCell ref="F1072:G1072"/>
    <mergeCell ref="H1072:N1072"/>
    <mergeCell ref="V1072:W1072"/>
    <mergeCell ref="A1073:E1073"/>
    <mergeCell ref="F1073:G1073"/>
    <mergeCell ref="H1073:N1073"/>
    <mergeCell ref="V1073:W1073"/>
    <mergeCell ref="A1074:E1074"/>
    <mergeCell ref="F1074:G1074"/>
    <mergeCell ref="H1074:N1074"/>
    <mergeCell ref="V1074:W1074"/>
    <mergeCell ref="A1075:E1075"/>
    <mergeCell ref="F1075:G1075"/>
    <mergeCell ref="H1075:N1075"/>
    <mergeCell ref="V1075:W1075"/>
    <mergeCell ref="A1076:E1076"/>
    <mergeCell ref="F1076:G1076"/>
    <mergeCell ref="H1076:N1076"/>
    <mergeCell ref="V1076:W1076"/>
    <mergeCell ref="A1077:E1077"/>
    <mergeCell ref="F1077:G1077"/>
    <mergeCell ref="H1077:N1077"/>
    <mergeCell ref="V1077:W1077"/>
    <mergeCell ref="A1078:E1078"/>
    <mergeCell ref="F1078:G1078"/>
    <mergeCell ref="H1078:N1078"/>
    <mergeCell ref="V1078:W1078"/>
    <mergeCell ref="A1079:E1079"/>
    <mergeCell ref="F1079:G1079"/>
    <mergeCell ref="H1079:N1079"/>
    <mergeCell ref="V1079:W1079"/>
    <mergeCell ref="A1080:E1080"/>
    <mergeCell ref="F1080:G1080"/>
    <mergeCell ref="H1080:N1080"/>
    <mergeCell ref="V1080:W1080"/>
    <mergeCell ref="A1081:E1081"/>
    <mergeCell ref="F1081:G1081"/>
    <mergeCell ref="H1081:N1081"/>
    <mergeCell ref="V1081:W1081"/>
    <mergeCell ref="A1082:E1082"/>
    <mergeCell ref="F1082:G1082"/>
    <mergeCell ref="H1082:N1082"/>
    <mergeCell ref="V1082:W1082"/>
    <mergeCell ref="A1083:E1083"/>
    <mergeCell ref="F1083:G1083"/>
    <mergeCell ref="H1083:N1083"/>
    <mergeCell ref="V1083:W1083"/>
    <mergeCell ref="A1084:E1084"/>
    <mergeCell ref="F1084:G1084"/>
    <mergeCell ref="H1084:N1084"/>
    <mergeCell ref="V1084:W1084"/>
    <mergeCell ref="A1085:E1085"/>
    <mergeCell ref="F1085:G1085"/>
    <mergeCell ref="H1085:N1085"/>
    <mergeCell ref="V1085:W1085"/>
    <mergeCell ref="A1086:E1086"/>
    <mergeCell ref="F1086:G1086"/>
    <mergeCell ref="H1086:N1086"/>
    <mergeCell ref="V1086:W1086"/>
    <mergeCell ref="A1087:E1087"/>
    <mergeCell ref="F1087:G1087"/>
    <mergeCell ref="H1087:N1087"/>
    <mergeCell ref="V1087:W1087"/>
    <mergeCell ref="A1088:E1088"/>
    <mergeCell ref="F1088:G1088"/>
    <mergeCell ref="H1088:N1088"/>
    <mergeCell ref="V1088:W1088"/>
    <mergeCell ref="A1089:E1089"/>
    <mergeCell ref="F1089:G1089"/>
    <mergeCell ref="H1089:N1089"/>
    <mergeCell ref="V1089:W1089"/>
    <mergeCell ref="A1090:E1090"/>
    <mergeCell ref="F1090:G1090"/>
    <mergeCell ref="H1090:N1090"/>
    <mergeCell ref="V1090:W1090"/>
    <mergeCell ref="A1091:E1091"/>
    <mergeCell ref="F1091:G1091"/>
    <mergeCell ref="H1091:N1091"/>
    <mergeCell ref="V1091:W1091"/>
    <mergeCell ref="A1092:E1092"/>
    <mergeCell ref="F1092:G1092"/>
    <mergeCell ref="H1092:N1092"/>
    <mergeCell ref="V1092:W1092"/>
    <mergeCell ref="A1093:E1093"/>
    <mergeCell ref="F1093:G1093"/>
    <mergeCell ref="H1093:N1093"/>
    <mergeCell ref="V1093:W1093"/>
    <mergeCell ref="A1094:E1094"/>
    <mergeCell ref="F1094:G1094"/>
    <mergeCell ref="H1094:N1094"/>
    <mergeCell ref="V1094:W1094"/>
    <mergeCell ref="A1095:E1095"/>
    <mergeCell ref="F1095:G1095"/>
    <mergeCell ref="H1095:N1095"/>
    <mergeCell ref="V1095:W1095"/>
    <mergeCell ref="A1096:E1096"/>
    <mergeCell ref="F1096:G1096"/>
    <mergeCell ref="H1096:N1096"/>
    <mergeCell ref="V1096:W1096"/>
    <mergeCell ref="A1097:E1097"/>
    <mergeCell ref="F1097:G1097"/>
    <mergeCell ref="H1097:N1097"/>
    <mergeCell ref="V1097:W1097"/>
    <mergeCell ref="A1098:E1098"/>
    <mergeCell ref="F1098:G1098"/>
    <mergeCell ref="H1098:N1098"/>
    <mergeCell ref="V1098:W1098"/>
    <mergeCell ref="A1099:E1099"/>
    <mergeCell ref="F1099:G1099"/>
    <mergeCell ref="H1099:N1099"/>
    <mergeCell ref="V1099:W1099"/>
    <mergeCell ref="A1100:E1100"/>
    <mergeCell ref="F1100:G1100"/>
    <mergeCell ref="H1100:N1100"/>
    <mergeCell ref="V1100:W1100"/>
    <mergeCell ref="A1101:E1101"/>
    <mergeCell ref="F1101:G1101"/>
    <mergeCell ref="H1101:N1101"/>
    <mergeCell ref="V1101:W1101"/>
    <mergeCell ref="A1102:E1102"/>
    <mergeCell ref="F1102:G1102"/>
    <mergeCell ref="H1102:N1102"/>
    <mergeCell ref="V1102:W1102"/>
    <mergeCell ref="A1103:E1103"/>
    <mergeCell ref="F1103:G1103"/>
    <mergeCell ref="H1103:N1103"/>
    <mergeCell ref="V1103:W1103"/>
    <mergeCell ref="F1104:G1104"/>
    <mergeCell ref="O1104:U1104"/>
    <mergeCell ref="V1104:W1104"/>
    <mergeCell ref="F1105:G1105"/>
    <mergeCell ref="H1105:N1105"/>
    <mergeCell ref="V1105:W1105"/>
    <mergeCell ref="A1106:E1106"/>
    <mergeCell ref="F1106:G1106"/>
    <mergeCell ref="H1106:N1106"/>
    <mergeCell ref="O1106:U1106"/>
    <mergeCell ref="V1106:W1106"/>
    <mergeCell ref="A1107:E1107"/>
    <mergeCell ref="F1107:G1107"/>
    <mergeCell ref="H1107:N1107"/>
    <mergeCell ref="O1107:U1107"/>
    <mergeCell ref="V1107:W1107"/>
    <mergeCell ref="A1108:E1108"/>
    <mergeCell ref="F1108:G1108"/>
    <mergeCell ref="H1108:N1108"/>
    <mergeCell ref="O1108:U1108"/>
    <mergeCell ref="V1108:W1108"/>
    <mergeCell ref="A1109:E1109"/>
    <mergeCell ref="F1109:G1109"/>
    <mergeCell ref="H1109:N1109"/>
    <mergeCell ref="O1109:U1109"/>
    <mergeCell ref="V1109:W1109"/>
    <mergeCell ref="F1110:G1110"/>
    <mergeCell ref="H1110:N1110"/>
    <mergeCell ref="O1110:U1110"/>
    <mergeCell ref="V1110:W1110"/>
    <mergeCell ref="H1111:N1111"/>
    <mergeCell ref="O1111:U1111"/>
    <mergeCell ref="V1111:W1111"/>
    <mergeCell ref="H1112:N1112"/>
    <mergeCell ref="O1112:U1112"/>
    <mergeCell ref="V1112:W1112"/>
    <mergeCell ref="H1113:N1113"/>
    <mergeCell ref="H1146:N1146"/>
    <mergeCell ref="A1147:N1147"/>
    <mergeCell ref="A1148:N1148"/>
    <mergeCell ref="A1149:B1149"/>
    <mergeCell ref="C1149:D1149"/>
    <mergeCell ref="E1149:G1149"/>
    <mergeCell ref="H1149:N1149"/>
    <mergeCell ref="H1150:N1150"/>
    <mergeCell ref="A1151:B1151"/>
    <mergeCell ref="C1151:D1151"/>
    <mergeCell ref="E1151:G1151"/>
    <mergeCell ref="H1151:N1151"/>
    <mergeCell ref="A1152:B1152"/>
    <mergeCell ref="C1152:D1152"/>
    <mergeCell ref="E1152:G1152"/>
    <mergeCell ref="H1152:N1152"/>
    <mergeCell ref="A1153:B1153"/>
    <mergeCell ref="C1153:D1153"/>
    <mergeCell ref="E1153:G1153"/>
    <mergeCell ref="H1153:N1153"/>
    <mergeCell ref="A1154:B1154"/>
    <mergeCell ref="C1154:D1154"/>
    <mergeCell ref="E1154:G1154"/>
    <mergeCell ref="H1154:N1154"/>
    <mergeCell ref="A1155:B1155"/>
    <mergeCell ref="C1155:D1155"/>
    <mergeCell ref="E1155:G1155"/>
    <mergeCell ref="H1155:N1155"/>
    <mergeCell ref="A1156:B1156"/>
    <mergeCell ref="C1156:D1156"/>
    <mergeCell ref="E1156:G1156"/>
    <mergeCell ref="H1156:N1156"/>
    <mergeCell ref="A1157:B1157"/>
    <mergeCell ref="C1157:D1157"/>
    <mergeCell ref="E1157:G1157"/>
    <mergeCell ref="H1157:N1157"/>
    <mergeCell ref="A1158:B1158"/>
    <mergeCell ref="C1158:D1158"/>
    <mergeCell ref="E1158:G1158"/>
    <mergeCell ref="H1158:N1158"/>
    <mergeCell ref="A1159:B1159"/>
    <mergeCell ref="C1159:D1159"/>
    <mergeCell ref="E1159:G1159"/>
    <mergeCell ref="H1159:N1159"/>
    <mergeCell ref="A1160:B1160"/>
    <mergeCell ref="C1160:D1160"/>
    <mergeCell ref="E1160:G1160"/>
    <mergeCell ref="H1160:N1160"/>
    <mergeCell ref="A1161:B1161"/>
    <mergeCell ref="C1161:D1161"/>
    <mergeCell ref="E1161:G1161"/>
    <mergeCell ref="H1161:N1161"/>
    <mergeCell ref="A1162:B1162"/>
    <mergeCell ref="C1162:D1162"/>
    <mergeCell ref="E1162:G1162"/>
    <mergeCell ref="H1162:N1162"/>
    <mergeCell ref="A1163:B1163"/>
    <mergeCell ref="C1163:D1163"/>
    <mergeCell ref="E1163:G1163"/>
    <mergeCell ref="H1163:N1163"/>
    <mergeCell ref="A1164:B1164"/>
    <mergeCell ref="C1164:D1164"/>
    <mergeCell ref="E1164:G1164"/>
    <mergeCell ref="H1164:N1164"/>
    <mergeCell ref="A1165:B1165"/>
    <mergeCell ref="C1165:D1165"/>
    <mergeCell ref="E1165:G1165"/>
    <mergeCell ref="H1165:N1165"/>
    <mergeCell ref="A1166:B1166"/>
    <mergeCell ref="C1166:D1166"/>
    <mergeCell ref="E1166:G1166"/>
    <mergeCell ref="H1166:N1166"/>
    <mergeCell ref="A1167:B1167"/>
    <mergeCell ref="C1167:D1167"/>
    <mergeCell ref="E1167:G1167"/>
    <mergeCell ref="H1167:N1167"/>
    <mergeCell ref="A1168:B1168"/>
    <mergeCell ref="C1168:D1168"/>
    <mergeCell ref="E1168:G1168"/>
    <mergeCell ref="H1168:N1168"/>
    <mergeCell ref="A1169:B1169"/>
    <mergeCell ref="C1169:D1169"/>
    <mergeCell ref="E1169:G1169"/>
    <mergeCell ref="H1169:N1169"/>
    <mergeCell ref="A1170:B1170"/>
    <mergeCell ref="C1170:D1170"/>
    <mergeCell ref="E1170:G1170"/>
    <mergeCell ref="H1170:N1170"/>
    <mergeCell ref="A1171:B1171"/>
    <mergeCell ref="C1171:D1171"/>
    <mergeCell ref="E1171:G1171"/>
    <mergeCell ref="H1171:N1171"/>
    <mergeCell ref="A1172:B1172"/>
    <mergeCell ref="C1172:D1172"/>
    <mergeCell ref="E1172:G1172"/>
    <mergeCell ref="H1172:N1172"/>
    <mergeCell ref="A1173:B1173"/>
    <mergeCell ref="C1173:D1173"/>
    <mergeCell ref="E1173:G1173"/>
    <mergeCell ref="H1173:N1173"/>
    <mergeCell ref="A1174:B1174"/>
    <mergeCell ref="C1174:D1174"/>
    <mergeCell ref="E1174:G1174"/>
    <mergeCell ref="H1174:N1174"/>
    <mergeCell ref="A1175:B1175"/>
    <mergeCell ref="C1175:D1175"/>
    <mergeCell ref="E1175:G1175"/>
    <mergeCell ref="H1175:N1175"/>
    <mergeCell ref="A1176:B1176"/>
    <mergeCell ref="C1176:D1176"/>
    <mergeCell ref="E1176:G1176"/>
    <mergeCell ref="H1176:N1176"/>
    <mergeCell ref="A1177:B1177"/>
    <mergeCell ref="C1177:D1177"/>
    <mergeCell ref="E1177:G1177"/>
    <mergeCell ref="H1177:N1177"/>
    <mergeCell ref="A1178:B1178"/>
    <mergeCell ref="C1178:D1178"/>
    <mergeCell ref="E1178:G1178"/>
    <mergeCell ref="H1178:N1178"/>
    <mergeCell ref="A1179:B1179"/>
    <mergeCell ref="C1179:D1179"/>
    <mergeCell ref="E1179:G1179"/>
    <mergeCell ref="H1179:N1179"/>
    <mergeCell ref="A1180:B1180"/>
    <mergeCell ref="C1180:D1180"/>
    <mergeCell ref="E1180:G1180"/>
    <mergeCell ref="H1180:N1180"/>
    <mergeCell ref="A1181:B1181"/>
    <mergeCell ref="C1181:D1181"/>
    <mergeCell ref="E1181:G1181"/>
    <mergeCell ref="H1181:N1181"/>
    <mergeCell ref="A1182:B1182"/>
    <mergeCell ref="C1182:D1182"/>
    <mergeCell ref="E1182:G1182"/>
    <mergeCell ref="H1182:N1182"/>
    <mergeCell ref="A1183:B1183"/>
    <mergeCell ref="C1183:D1183"/>
    <mergeCell ref="E1183:G1183"/>
    <mergeCell ref="H1183:N1183"/>
    <mergeCell ref="A1184:B1184"/>
    <mergeCell ref="C1184:D1184"/>
    <mergeCell ref="E1184:G1184"/>
    <mergeCell ref="H1184:N1184"/>
    <mergeCell ref="A1185:B1185"/>
    <mergeCell ref="C1185:D1185"/>
    <mergeCell ref="E1185:G1185"/>
    <mergeCell ref="H1185:N1185"/>
    <mergeCell ref="H1187:N1187"/>
    <mergeCell ref="O1187:U1187"/>
    <mergeCell ref="H1188:N1188"/>
    <mergeCell ref="O1188:U1188"/>
    <mergeCell ref="V1192:AL1192"/>
    <mergeCell ref="H1196:U1196"/>
    <mergeCell ref="H1197:U1197"/>
    <mergeCell ref="H1198:N1198"/>
    <mergeCell ref="O1198:U1198"/>
    <mergeCell ref="H1199:N1199"/>
    <mergeCell ref="O1199:U1199"/>
    <mergeCell ref="A1200:E1200"/>
    <mergeCell ref="F1200:G1200"/>
    <mergeCell ref="H1200:N1200"/>
    <mergeCell ref="O1200:U1200"/>
    <mergeCell ref="V1200:W1200"/>
    <mergeCell ref="X1200:Y1200"/>
    <mergeCell ref="A1201:E1201"/>
    <mergeCell ref="F1201:G1201"/>
    <mergeCell ref="H1201:N1201"/>
    <mergeCell ref="O1201:U1201"/>
    <mergeCell ref="V1201:W1201"/>
    <mergeCell ref="A1202:E1202"/>
    <mergeCell ref="F1202:G1202"/>
    <mergeCell ref="H1202:N1202"/>
    <mergeCell ref="O1202:U1202"/>
    <mergeCell ref="V1202:W1202"/>
    <mergeCell ref="A1203:E1203"/>
    <mergeCell ref="F1203:G1203"/>
    <mergeCell ref="H1203:N1203"/>
    <mergeCell ref="O1203:U1203"/>
    <mergeCell ref="V1203:W1203"/>
    <mergeCell ref="A1204:E1204"/>
    <mergeCell ref="F1204:G1204"/>
    <mergeCell ref="H1204:N1204"/>
    <mergeCell ref="O1204:U1204"/>
    <mergeCell ref="V1204:W1204"/>
    <mergeCell ref="A1205:E1205"/>
    <mergeCell ref="F1205:G1205"/>
    <mergeCell ref="H1205:N1205"/>
    <mergeCell ref="O1205:U1205"/>
    <mergeCell ref="V1205:W1205"/>
    <mergeCell ref="A1206:E1206"/>
    <mergeCell ref="F1206:G1206"/>
    <mergeCell ref="H1206:N1206"/>
    <mergeCell ref="O1206:U1206"/>
    <mergeCell ref="V1206:W1206"/>
    <mergeCell ref="A1207:E1207"/>
    <mergeCell ref="F1207:G1207"/>
    <mergeCell ref="H1207:N1207"/>
    <mergeCell ref="O1207:U1207"/>
    <mergeCell ref="V1207:W1207"/>
    <mergeCell ref="A1208:E1208"/>
    <mergeCell ref="F1208:G1208"/>
    <mergeCell ref="H1208:N1208"/>
    <mergeCell ref="O1208:U1208"/>
    <mergeCell ref="V1208:W1208"/>
    <mergeCell ref="A1209:E1209"/>
    <mergeCell ref="F1209:G1209"/>
    <mergeCell ref="H1209:N1209"/>
    <mergeCell ref="O1209:U1209"/>
    <mergeCell ref="V1209:W1209"/>
    <mergeCell ref="A1210:E1210"/>
    <mergeCell ref="F1210:G1210"/>
    <mergeCell ref="H1210:N1210"/>
    <mergeCell ref="O1210:U1210"/>
    <mergeCell ref="V1210:W1210"/>
    <mergeCell ref="A1211:E1211"/>
    <mergeCell ref="F1211:G1211"/>
    <mergeCell ref="O1211:U1211"/>
    <mergeCell ref="V1211:W1211"/>
    <mergeCell ref="A1212:E1212"/>
    <mergeCell ref="F1212:G1212"/>
    <mergeCell ref="O1212:U1212"/>
    <mergeCell ref="V1212:W1212"/>
    <mergeCell ref="A1213:E1213"/>
    <mergeCell ref="F1213:G1213"/>
    <mergeCell ref="O1213:U1213"/>
    <mergeCell ref="V1213:W1213"/>
    <mergeCell ref="A1214:E1214"/>
    <mergeCell ref="F1214:G1214"/>
    <mergeCell ref="O1214:U1214"/>
    <mergeCell ref="V1214:W1214"/>
    <mergeCell ref="A1215:E1215"/>
    <mergeCell ref="F1215:G1215"/>
    <mergeCell ref="O1215:U1215"/>
    <mergeCell ref="V1215:W1215"/>
    <mergeCell ref="A1216:E1216"/>
    <mergeCell ref="F1216:G1216"/>
    <mergeCell ref="O1216:U1216"/>
    <mergeCell ref="V1216:W1216"/>
    <mergeCell ref="A1217:E1217"/>
    <mergeCell ref="F1217:G1217"/>
    <mergeCell ref="H1217:N1217"/>
    <mergeCell ref="O1217:U1217"/>
    <mergeCell ref="V1217:W1217"/>
    <mergeCell ref="A1218:E1218"/>
    <mergeCell ref="F1218:G1218"/>
    <mergeCell ref="H1218:N1218"/>
    <mergeCell ref="O1218:U1218"/>
    <mergeCell ref="V1218:W1218"/>
    <mergeCell ref="A1219:E1219"/>
    <mergeCell ref="F1219:G1219"/>
    <mergeCell ref="O1219:U1219"/>
    <mergeCell ref="V1219:W1219"/>
    <mergeCell ref="A1220:E1220"/>
    <mergeCell ref="F1220:G1220"/>
    <mergeCell ref="O1220:U1220"/>
    <mergeCell ref="V1220:W1220"/>
    <mergeCell ref="A1221:E1221"/>
    <mergeCell ref="F1221:G1221"/>
    <mergeCell ref="O1221:U1221"/>
    <mergeCell ref="V1221:W1221"/>
    <mergeCell ref="A1222:E1222"/>
    <mergeCell ref="F1222:G1222"/>
    <mergeCell ref="O1222:U1222"/>
    <mergeCell ref="V1222:W1222"/>
    <mergeCell ref="A1223:E1223"/>
    <mergeCell ref="F1223:G1223"/>
    <mergeCell ref="O1223:U1223"/>
    <mergeCell ref="V1223:W1223"/>
    <mergeCell ref="A1224:E1224"/>
    <mergeCell ref="F1224:G1224"/>
    <mergeCell ref="O1224:U1224"/>
    <mergeCell ref="V1224:W1224"/>
    <mergeCell ref="A1225:E1225"/>
    <mergeCell ref="F1225:G1225"/>
    <mergeCell ref="H1225:N1225"/>
    <mergeCell ref="O1225:U1225"/>
    <mergeCell ref="V1225:W1225"/>
    <mergeCell ref="A1226:E1226"/>
    <mergeCell ref="F1226:G1226"/>
    <mergeCell ref="H1226:N1226"/>
    <mergeCell ref="O1226:U1226"/>
    <mergeCell ref="V1226:W1226"/>
    <mergeCell ref="A1227:E1227"/>
    <mergeCell ref="F1227:G1227"/>
    <mergeCell ref="H1227:N1227"/>
    <mergeCell ref="O1227:U1227"/>
    <mergeCell ref="V1227:W1227"/>
    <mergeCell ref="A1228:E1228"/>
    <mergeCell ref="F1228:G1228"/>
    <mergeCell ref="H1228:N1228"/>
    <mergeCell ref="O1228:U1228"/>
    <mergeCell ref="V1228:W1228"/>
    <mergeCell ref="A1229:E1229"/>
    <mergeCell ref="F1229:G1229"/>
    <mergeCell ref="H1229:N1229"/>
    <mergeCell ref="O1229:U1229"/>
    <mergeCell ref="V1229:W1229"/>
    <mergeCell ref="A1230:E1230"/>
    <mergeCell ref="F1230:G1230"/>
    <mergeCell ref="O1230:U1230"/>
    <mergeCell ref="V1230:W1230"/>
    <mergeCell ref="A1231:E1231"/>
    <mergeCell ref="F1231:G1231"/>
    <mergeCell ref="O1231:U1231"/>
    <mergeCell ref="V1231:W1231"/>
    <mergeCell ref="A1232:E1232"/>
    <mergeCell ref="F1232:G1232"/>
    <mergeCell ref="O1232:U1232"/>
    <mergeCell ref="V1232:W1232"/>
    <mergeCell ref="A1233:E1233"/>
    <mergeCell ref="F1233:G1233"/>
    <mergeCell ref="O1233:U1233"/>
    <mergeCell ref="V1233:W1233"/>
    <mergeCell ref="A1234:E1234"/>
    <mergeCell ref="F1234:G1234"/>
    <mergeCell ref="O1234:U1234"/>
    <mergeCell ref="V1234:W1234"/>
    <mergeCell ref="A1235:E1235"/>
    <mergeCell ref="F1235:G1235"/>
    <mergeCell ref="O1235:U1235"/>
    <mergeCell ref="V1235:W1235"/>
    <mergeCell ref="A1236:E1236"/>
    <mergeCell ref="F1236:G1236"/>
    <mergeCell ref="H1236:N1236"/>
    <mergeCell ref="O1236:U1236"/>
    <mergeCell ref="V1236:W1236"/>
    <mergeCell ref="A1237:E1237"/>
    <mergeCell ref="F1237:G1237"/>
    <mergeCell ref="H1237:N1237"/>
    <mergeCell ref="O1237:U1237"/>
    <mergeCell ref="V1237:W1237"/>
    <mergeCell ref="A1238:E1238"/>
    <mergeCell ref="F1238:G1238"/>
    <mergeCell ref="H1238:N1238"/>
    <mergeCell ref="O1238:U1238"/>
    <mergeCell ref="V1238:W1238"/>
    <mergeCell ref="A1239:E1239"/>
    <mergeCell ref="F1239:G1239"/>
    <mergeCell ref="H1239:N1239"/>
    <mergeCell ref="V1239:W1239"/>
    <mergeCell ref="A1240:E1240"/>
    <mergeCell ref="F1240:G1240"/>
    <mergeCell ref="H1240:N1240"/>
    <mergeCell ref="V1240:W1240"/>
    <mergeCell ref="A1241:E1241"/>
    <mergeCell ref="F1241:G1241"/>
    <mergeCell ref="H1241:N1241"/>
    <mergeCell ref="O1241:U1241"/>
    <mergeCell ref="V1241:W1241"/>
    <mergeCell ref="A1242:E1242"/>
    <mergeCell ref="F1242:G1242"/>
    <mergeCell ref="H1242:N1242"/>
    <mergeCell ref="O1242:U1242"/>
    <mergeCell ref="V1242:W1242"/>
    <mergeCell ref="A1243:E1243"/>
    <mergeCell ref="F1243:G1243"/>
    <mergeCell ref="H1243:N1243"/>
    <mergeCell ref="O1243:U1243"/>
    <mergeCell ref="V1243:W1243"/>
    <mergeCell ref="A1244:E1244"/>
    <mergeCell ref="F1244:G1244"/>
    <mergeCell ref="H1244:N1244"/>
    <mergeCell ref="O1244:U1244"/>
    <mergeCell ref="V1244:W1244"/>
    <mergeCell ref="A1245:E1245"/>
    <mergeCell ref="F1245:G1245"/>
    <mergeCell ref="H1245:N1245"/>
    <mergeCell ref="O1245:U1245"/>
    <mergeCell ref="V1245:W1245"/>
    <mergeCell ref="A1246:E1246"/>
    <mergeCell ref="F1246:G1246"/>
    <mergeCell ref="H1246:N1246"/>
    <mergeCell ref="O1246:U1246"/>
    <mergeCell ref="V1246:W1246"/>
    <mergeCell ref="A1247:E1247"/>
    <mergeCell ref="F1247:G1247"/>
    <mergeCell ref="H1247:N1247"/>
    <mergeCell ref="O1247:U1247"/>
    <mergeCell ref="V1247:W1247"/>
    <mergeCell ref="A1248:E1248"/>
    <mergeCell ref="F1248:G1248"/>
    <mergeCell ref="H1248:N1248"/>
    <mergeCell ref="V1248:W1248"/>
    <mergeCell ref="A1249:E1249"/>
    <mergeCell ref="F1249:G1249"/>
    <mergeCell ref="H1249:N1249"/>
    <mergeCell ref="V1249:W1249"/>
    <mergeCell ref="A1250:E1250"/>
    <mergeCell ref="F1250:G1250"/>
    <mergeCell ref="H1250:N1250"/>
    <mergeCell ref="V1250:W1250"/>
    <mergeCell ref="A1251:E1251"/>
    <mergeCell ref="F1251:G1251"/>
    <mergeCell ref="H1251:N1251"/>
    <mergeCell ref="V1251:W1251"/>
    <mergeCell ref="A1252:E1252"/>
    <mergeCell ref="F1252:G1252"/>
    <mergeCell ref="H1252:N1252"/>
    <mergeCell ref="V1252:W1252"/>
    <mergeCell ref="A1253:E1253"/>
    <mergeCell ref="F1253:G1253"/>
    <mergeCell ref="H1253:N1253"/>
    <mergeCell ref="V1253:W1253"/>
    <mergeCell ref="A1254:E1254"/>
    <mergeCell ref="F1254:G1254"/>
    <mergeCell ref="H1254:N1254"/>
    <mergeCell ref="V1254:W1254"/>
    <mergeCell ref="A1255:E1255"/>
    <mergeCell ref="F1255:G1255"/>
    <mergeCell ref="H1255:N1255"/>
    <mergeCell ref="V1255:W1255"/>
    <mergeCell ref="A1256:E1256"/>
    <mergeCell ref="F1256:G1256"/>
    <mergeCell ref="H1256:N1256"/>
    <mergeCell ref="V1256:W1256"/>
    <mergeCell ref="A1257:E1257"/>
    <mergeCell ref="F1257:G1257"/>
    <mergeCell ref="H1257:N1257"/>
    <mergeCell ref="V1257:W1257"/>
    <mergeCell ref="A1258:E1258"/>
    <mergeCell ref="F1258:G1258"/>
    <mergeCell ref="H1258:N1258"/>
    <mergeCell ref="V1258:W1258"/>
    <mergeCell ref="A1259:E1259"/>
    <mergeCell ref="F1259:G1259"/>
    <mergeCell ref="H1259:N1259"/>
    <mergeCell ref="V1259:W1259"/>
    <mergeCell ref="A1260:E1260"/>
    <mergeCell ref="F1260:G1260"/>
    <mergeCell ref="H1260:N1260"/>
    <mergeCell ref="V1260:W1260"/>
    <mergeCell ref="F1261:G1261"/>
    <mergeCell ref="O1261:U1261"/>
    <mergeCell ref="V1261:W1261"/>
    <mergeCell ref="F1262:G1262"/>
    <mergeCell ref="H1262:N1262"/>
    <mergeCell ref="V1262:W1262"/>
    <mergeCell ref="A1263:E1263"/>
    <mergeCell ref="F1263:G1263"/>
    <mergeCell ref="H1263:N1263"/>
    <mergeCell ref="O1263:U1263"/>
    <mergeCell ref="V1263:W1263"/>
    <mergeCell ref="A1264:E1264"/>
    <mergeCell ref="F1264:G1264"/>
    <mergeCell ref="H1264:N1264"/>
    <mergeCell ref="O1264:U1264"/>
    <mergeCell ref="V1264:W1264"/>
    <mergeCell ref="A1265:E1265"/>
    <mergeCell ref="F1265:G1265"/>
    <mergeCell ref="H1265:N1265"/>
    <mergeCell ref="O1265:U1265"/>
    <mergeCell ref="V1265:W1265"/>
    <mergeCell ref="A1266:E1266"/>
    <mergeCell ref="F1266:G1266"/>
    <mergeCell ref="H1266:N1266"/>
    <mergeCell ref="O1266:U1266"/>
    <mergeCell ref="V1266:W1266"/>
    <mergeCell ref="H1267:N1267"/>
    <mergeCell ref="H1268:N1268"/>
    <mergeCell ref="H1269:N1269"/>
    <mergeCell ref="H1270:N1270"/>
    <mergeCell ref="H1271:N1271"/>
    <mergeCell ref="O1271:U1271"/>
    <mergeCell ref="A1405:AT1405"/>
    <mergeCell ref="A1408:AT1408"/>
    <mergeCell ref="A1409:AT1409"/>
    <mergeCell ref="A1415:AT1415"/>
    <mergeCell ref="A1416:AT1416"/>
    <mergeCell ref="A1426:AT1426"/>
    <mergeCell ref="A1429:AT1429"/>
    <mergeCell ref="A1430:AT1430"/>
    <mergeCell ref="A1436:AT1436"/>
    <mergeCell ref="A1437:AT1437"/>
    <mergeCell ref="A1449:AT1449"/>
    <mergeCell ref="A1453:AT1453"/>
    <mergeCell ref="A1454:AT1454"/>
    <mergeCell ref="A1463:AT1463"/>
    <mergeCell ref="A1464:AT1464"/>
    <mergeCell ref="A1475:AT1475"/>
    <mergeCell ref="A1476:AT1476"/>
    <mergeCell ref="A1487:AT1487"/>
    <mergeCell ref="A1488:AT1488"/>
    <mergeCell ref="A1494:AT1494"/>
    <mergeCell ref="A1496:AT1496"/>
    <mergeCell ref="A1498:AT1498"/>
    <mergeCell ref="A1500:AT1500"/>
    <mergeCell ref="A1502:AT1502"/>
    <mergeCell ref="A1504:AT1504"/>
    <mergeCell ref="A1506:AT1506"/>
    <mergeCell ref="A1508:AT1508"/>
    <mergeCell ref="A1521:BZ1521"/>
    <mergeCell ref="A515:A516"/>
    <mergeCell ref="A519:A523"/>
    <mergeCell ref="A525:A529"/>
    <mergeCell ref="A532:A533"/>
    <mergeCell ref="A598:E599"/>
    <mergeCell ref="A1465:AT1467"/>
    <mergeCell ref="A1410:AT1412"/>
    <mergeCell ref="A1422:AT1423"/>
    <mergeCell ref="A1406:AT1407"/>
    <mergeCell ref="A1413:AT1414"/>
    <mergeCell ref="A1455:AT1457"/>
    <mergeCell ref="A1450:AT1452"/>
    <mergeCell ref="A1417:AT1419"/>
    <mergeCell ref="A1460:AT1462"/>
    <mergeCell ref="A1403:AT1404"/>
    <mergeCell ref="A1424:AT1425"/>
    <mergeCell ref="A1427:AT1428"/>
    <mergeCell ref="A1485:AT1486"/>
    <mergeCell ref="A1482:AT1484"/>
    <mergeCell ref="A1473:AT1474"/>
    <mergeCell ref="A1445:AT1448"/>
    <mergeCell ref="A1401:AT1402"/>
    <mergeCell ref="A1431:AT1433"/>
    <mergeCell ref="A1434:AT1435"/>
    <mergeCell ref="A1489:AT1491"/>
    <mergeCell ref="A1492:AT1493"/>
    <mergeCell ref="A1477:AT1479"/>
    <mergeCell ref="A1470:AT1472"/>
    <mergeCell ref="A1438:AT1440"/>
    <mergeCell ref="H467:M468"/>
    <mergeCell ref="N467:S468"/>
    <mergeCell ref="T467:X468"/>
    <mergeCell ref="Y467:AC468"/>
    <mergeCell ref="AD467:AH468"/>
    <mergeCell ref="AI467:AM468"/>
    <mergeCell ref="J553:L554"/>
    <mergeCell ref="A730:E731"/>
    <mergeCell ref="B513:M514"/>
    <mergeCell ref="A445:E446"/>
    <mergeCell ref="A997:E998"/>
    <mergeCell ref="Z994:AR995"/>
    <mergeCell ref="V1193:AL1195"/>
    <mergeCell ref="F1197:G1198"/>
    <mergeCell ref="V1197:W1198"/>
    <mergeCell ref="A1197:E1198"/>
    <mergeCell ref="A467:C468"/>
    <mergeCell ref="D467:G468"/>
    <mergeCell ref="F445:L446"/>
    <mergeCell ref="F108:L109"/>
  </mergeCells>
  <conditionalFormatting sqref="AT10:BY10">
    <cfRule type="containsText" dxfId="3" priority="14" operator="between" text="Upiši šifru djelatnosti">
      <formula>NOT(ISERROR(SEARCH("Upiši šifru djelatnosti",AT10)))</formula>
    </cfRule>
  </conditionalFormatting>
  <conditionalFormatting sqref="AT11">
    <cfRule type="containsText" dxfId="3" priority="9" operator="between" text="Upiši šifru općine">
      <formula>NOT(ISERROR(SEARCH("Upiši šifru općine",AT11)))</formula>
    </cfRule>
  </conditionalFormatting>
  <conditionalFormatting sqref="AT12:BH12">
    <cfRule type="containsText" dxfId="3" priority="8" operator="between" text="&quot;&quot;">
      <formula>NOT(ISERROR(SEARCH("""""",AT12)))</formula>
    </cfRule>
  </conditionalFormatting>
  <conditionalFormatting sqref="BI12:BQ12">
    <cfRule type="expression" dxfId="5" priority="170">
      <formula>#REF!&lt;&gt;"OK"</formula>
    </cfRule>
  </conditionalFormatting>
  <conditionalFormatting sqref="AQ26:AS26">
    <cfRule type="cellIs" dxfId="6" priority="6" operator="notEqual">
      <formula>1</formula>
    </cfRule>
    <cfRule type="cellIs" dxfId="6" priority="7" operator="equal">
      <formula>100</formula>
    </cfRule>
  </conditionalFormatting>
  <conditionalFormatting sqref="F379:L379">
    <cfRule type="cellIs" dxfId="7" priority="5" operator="lessThan">
      <formula>0</formula>
    </cfRule>
  </conditionalFormatting>
  <conditionalFormatting sqref="F383:L383">
    <cfRule type="cellIs" dxfId="7" priority="4" operator="lessThan">
      <formula>0</formula>
    </cfRule>
  </conditionalFormatting>
  <conditionalFormatting sqref="F386:L386">
    <cfRule type="cellIs" dxfId="7" priority="3" operator="lessThan">
      <formula>0</formula>
    </cfRule>
  </conditionalFormatting>
  <conditionalFormatting sqref="BI19:BI23">
    <cfRule type="containsText" dxfId="3" priority="2" operator="between" text="Upiši šifru općine">
      <formula>NOT(ISERROR(SEARCH("Upiši šifru općine",BI19)))</formula>
    </cfRule>
  </conditionalFormatting>
  <conditionalFormatting sqref="BI19:BW23">
    <cfRule type="cellIs" dxfId="8" priority="1" operator="equal">
      <formula>$AQ$15="DA"</formula>
    </cfRule>
  </conditionalFormatting>
  <conditionalFormatting sqref="AV418;AH418:AH443;AV420:AV443;AH464;AV464;AH466;AV466:AV482;AT467:AT469;AP469:AS469;AH469:AH498;AP470:AU470;AN471:AU481;AM482:AU482;AH502;Y503:Y507;AA503:AA507;AC503:AC507;AE503:AE507;AG503:AH507;AV503:AV507;AH511:AH533;AH537:AH563;AV537:AV564;AV566:AV593;AH567:AH579">
    <cfRule type="expression" dxfId="9" priority="50">
      <formula>Baza!$D$9=2</formula>
    </cfRule>
  </conditionalFormatting>
  <conditionalFormatting sqref="U854:AA855">
    <cfRule type="cellIs" dxfId="6" priority="16" operator="notEqual">
      <formula>0</formula>
    </cfRule>
  </conditionalFormatting>
  <conditionalFormatting sqref="O949:BB973">
    <cfRule type="cellIs" dxfId="10" priority="22" operator="lessThan">
      <formula>0</formula>
    </cfRule>
  </conditionalFormatting>
  <conditionalFormatting sqref="H1149:N1185">
    <cfRule type="cellIs" dxfId="10" priority="37" operator="lessThan">
      <formula>0</formula>
    </cfRule>
  </conditionalFormatting>
  <dataValidations count="23">
    <dataValidation type="custom" allowBlank="1" showInputMessage="1" showErrorMessage="1" error="želite li promjeniti PoluGod 06 2013" sqref="DT2:XFD2 M3:T3 AA3:BY3 AQ4 AT10:BE10 V15 AT15:AU15 A22 S22 T26:AP26 BI26:BY26 F27 DQ27:DS27 DU106:XFD106 BY107:DS107 O228:P228 H409:L409 AD409:AE409 EK416:XFD416 DT420 AG459:AK459 A467 H467 N467 T467 Y467 AD467 AI467 AJ482:AK482 H606:L606 O606:S606 H615:L615 O615:S615 H623:L623 O623:S623 H630:L630 O630:S630 H635:L635 O635:S635 H639:L639 O639:S639 H644:L644 O644:S644 H649:L649 O649:S649 H656:L656 O656:S656 H678:L678 O678:S678 H682:L682 O682:S682 H685:L685 O685:S685 H692:L692 O692:S692 H699:L699 O699:S699 H704:L704 O704:S704 H707:L707 O707:S707 H717:L717 O717:S717 H724:L724 O724:S724 H726:L726 O726:S726 H736:L736 H739:L739 H742:L742 H747:L747 H750:L750 H753:L753 H755:L755 H788:L788 H797:L797 H810:L810 H815:L815 H825:L825 H841:L841 U857:AC857 CF938:DS938 B948 L948:BB948 CF983:DS983 AC1190:AP1190 DV1274:XFD1274 DV1276:XFD1276 CA1397:DS1397 A469:A482 A943:A973 D469:D482 O229:O364 P229:P365 P420:P423 R110:R223 R228:R374 R420:R423 T732:T755 T758:T850 V17:V25 V729:V757 AB111:AB222 AB224:AB364 AB366:AB386 AB411:AB412 AB414:AB415 AB729:AB853 AC852:AC853 AD397:AD408 AQ8:AQ14 BI4:BI18 BJ5:BJ18 DT106:DT419 DT431:DT442 A1548:AZ1549 H411:L412 H651:L652 H721:L722 H769:L770 H799:L800 AJ1148:AP1186 U854:AA855 O651:S652 O721:S722 H852:L854 CF1201:DS1396 AD388:AE396 O366:P374 FH467:XFD482 CF1148:DS1186 B949:BB973 W15:AP25 H108:L109 H414:L415 H660:L661 H778:L779 H834:L835 AA1188:AB1190 Z1149:AC1186 O110:P223 H843:L850 DT467:DY482 BY567:DS579 DT594:DY735 CF730:DS852 CF934:DS936 B943:BB947 DT1144:DU1147 BE1548:BZ1549 O660:S661 AC410:AD415 EU565:XFD579 GB107:XFD127 DU107:DX127 BY27:DP35 AQ16:BH26 CF1008:DS1144 BF10:BH13 CA861:CE873 EH1148:XFD1190 GC943:XFD973 A23:F26 DT1397:DU1523 CA3:DS26 BF5:BH8 BX4:BY25 H445:L457 O447:S458 T15:U25 AC108:AE386 O389:P415 AB388:AC409 BI24:BW25 BK4:BW18 AB420:AE423 B481:C482 E481:G482 H469:AI482 DT443:XFD466 DT483:XFD500 DU128:XFD415 DV1395:XFD1523 DT858:XFD942 DT565:ET566 DT1548:XFD1549 DV1142:XFD1147 DT1191:XFD1199 DZ594:XFD857 DV1104:XFD1112 DV1261:XFD1269 DT502:XFD563 DT974:XFD999 CF125:DS418 B420:E430 DT421:DY430 ED421:XFD430 DU419:XFD420 CF420:DS442 GV3:XFD20" errorStyle="warning">
      <formula1>$C$7="DA"</formula1>
    </dataValidation>
    <dataValidation allowBlank="1" showInputMessage="1" showErrorMessage="1" errorTitle="Ime i prezime računovođe." error="Upišite ime i prezime računovođe." sqref="F3:L3" errorStyle="warning"/>
    <dataValidation type="list" allowBlank="1" showInputMessage="1" showErrorMessage="1" sqref="AT4:BH4">
      <formula1>Baza!$C$500:$C$502</formula1>
    </dataValidation>
    <dataValidation type="list" allowBlank="1" showInputMessage="1" showErrorMessage="1" sqref="F5:I5">
      <formula1>Baza!$D$475:$D$476</formula1>
    </dataValidation>
    <dataValidation type="custom" allowBlank="1" showInputMessage="1" showErrorMessage="1" errorTitle="Godišnji obračun FBiH 2024" error="EKONOMIKA d.o.o. CAZIN&#10;ekonomika.doo@gmail.com&#10;037/511-739; 061/155-368" sqref="F6:R6">
      <formula1>Baza!$C$7="DA"</formula1>
    </dataValidation>
    <dataValidation type="custom" allowBlank="1" showInputMessage="1" showErrorMessage="1" errorTitle="GodObr_2023" error="Godišnji obračun 2023" sqref="U6:AM6 F7:R7 V16 S6:T13 U8:AM13 AN6:AP13">
      <formula1>Baza!$C$7="DA"</formula1>
    </dataValidation>
    <dataValidation type="list" allowBlank="1" showInputMessage="1" showErrorMessage="1" sqref="AT8:BE8">
      <formula1>'#Konverter'!$S$2:$S$6</formula1>
    </dataValidation>
    <dataValidation type="list" allowBlank="1" showInputMessage="1" showErrorMessage="1" sqref="AT9:BH9 AQ15:AS15">
      <formula1>Baza!$C$482:$C$483</formula1>
    </dataValidation>
    <dataValidation type="list" allowBlank="1" showInputMessage="1" showErrorMessage="1" sqref="AT11:BE11">
      <formula1>'#Konverter'!$A$2:$A$90</formula1>
    </dataValidation>
    <dataValidation type="list" allowBlank="1" showInputMessage="1" showErrorMessage="1" sqref="AT12:BE12">
      <formula1>'#Konverter'!$R$2:$R$21</formula1>
    </dataValidation>
    <dataValidation type="list" allowBlank="1" showInputMessage="1" showErrorMessage="1" sqref="AT13:BE13">
      <formula1>Baza!$C$494:$C$497</formula1>
    </dataValidation>
    <dataValidation type="list" allowBlank="1" showInputMessage="1" showErrorMessage="1" sqref="AT14:BH14">
      <formula1>'#Konverter'!$V$2:$V$3</formula1>
    </dataValidation>
    <dataValidation type="list" allowBlank="1" showInputMessage="1" showErrorMessage="1" sqref="BI19:BW19">
      <formula1>'#Konverter'!$AM$2:$AM$11</formula1>
    </dataValidation>
    <dataValidation type="list" allowBlank="1" showInputMessage="1" showErrorMessage="1" sqref="BI20:BW20">
      <formula1>'#Konverter'!$AI$2:$AI$22</formula1>
    </dataValidation>
    <dataValidation type="custom" allowBlank="1" showInputMessage="1" showErrorMessage="1" errorTitle="Godišnji obračun FBiH 2024" error="EKONOMIKA d.o.o. CAZIN&#10;037 511-739; 061/155-368&#10;ekonomika.doo@gmail.com" sqref="F408:L408 F222:L229" errorStyle="warning">
      <formula1>Baza!C119="DA"</formula1>
    </dataValidation>
    <dataValidation type="whole" operator="greaterThanOrEqual" showInputMessage="1" showErrorMessage="1" errorTitle="Upišite cijeli pozitivan broj" error="Upišite cijeli pozitivan broj bez decimala iza zareza" promptTitle="Cijeli pozitivan broj" sqref="F409:G409 M606:N606 M615:N615 M623:N623 M630:N630 M635:N635 M639:N639 M644:N644 M649:N649 M656:N656 M678:N678 M682:N682 M685:N685 M692:N692 M699:N699 M704:N704 M707:N707 M717:N717 M724:N724 M726:N726 F736:G736 F739:G739 F742:G742 F747:G747 F750:G750 F753:G753 F755:G755 F788:G788 F797:G797 F810:G810 F815:G815 F825:G825 F841:G841 F411:G412 F769:G770 F799:G800 F447:G457 F852:G854 F660:G661 F778:G779 F834:G835 F843:G850 M651:N652 M721:N722 M660:N661" errorStyle="information">
      <formula1>0</formula1>
    </dataValidation>
    <dataValidation type="list" allowBlank="1" showInputMessage="1" showErrorMessage="1" sqref="F459">
      <formula1>'#Konverter'!$AO$2:$AO$6</formula1>
    </dataValidation>
    <dataValidation allowBlank="1" showInputMessage="1" showErrorMessage="1" errorTitle="Godišnji obračun FBiH 2024" error="EKONOMIKA d.o.o. CAZIN&#10;037 511-739; 061/155-368&#10;ekonomika.doo@gmail.com" sqref="F465:L465 F230:L407 F420:L430" errorStyle="warning"/>
    <dataValidation type="custom" allowBlank="1" showInputMessage="1" showErrorMessage="1" error="želite li promjeniti PoluGod 06 2013" sqref="DT1000:DU1143 DT1200:DU1396 DV1000:XFD1090 DV1200:XFD1260" errorStyle="warning">
      <formula1>#REF!="DA"</formula1>
    </dataValidation>
    <dataValidation type="custom" allowBlank="1" showInputMessage="1" showErrorMessage="1" error="želite li promjeniti PoluGod 06 2013" sqref="BA1548:BD1549" errorStyle="warning">
      <formula1>Baza!$C$7="DA"</formula1>
    </dataValidation>
    <dataValidation type="custom" allowBlank="1" showInputMessage="1" showErrorMessage="1" sqref="F8:R20">
      <formula1>Baza!$C$7="DA"</formula1>
    </dataValidation>
    <dataValidation type="custom" allowBlank="1" showInputMessage="1" showErrorMessage="1" errorTitle="Godišnji obračun FBiH 2024" error="EKONOMIKA d.o.o. CAZIN&#10;037 511-739; 061/155-368&#10;ekonomika.doo@gmail.com" sqref="F110:L221" errorStyle="warning">
      <formula1>Baza!$C$7="DA"</formula1>
    </dataValidation>
    <dataValidation type="list" allowBlank="1" showInputMessage="1" showErrorMessage="1" sqref="BI21:BW23">
      <formula1>'#Konverter'!$AK$2:$AK$80</formula1>
    </dataValidation>
  </dataValidations>
  <hyperlinks>
    <hyperlink ref="AE4" r:id="rId4" display="xxxxxxxxxo@gmail.com"/>
  </hyperlinks>
  <pageMargins left="0.28" right="0.21" top="0.41" bottom="0.32" header="0.29" footer="0.23"/>
  <pageSetup paperSize="9" scale="10" orientation="portrait"/>
  <headerFooter alignWithMargins="0">
    <oddFooter>&amp;C1</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List23">
    <tabColor rgb="FF333399"/>
    <pageSetUpPr fitToPage="1"/>
  </sheetPr>
  <dimension ref="A1:EA369"/>
  <sheetViews>
    <sheetView workbookViewId="0">
      <pane ySplit="1" topLeftCell="A23" activePane="bottomLeft" state="frozen"/>
      <selection/>
      <selection pane="bottomLeft" activeCell="AG166" sqref="AG166:AK166"/>
    </sheetView>
  </sheetViews>
  <sheetFormatPr defaultColWidth="2.71428571428571" defaultRowHeight="12.75"/>
  <cols>
    <col min="1" max="1" width="4.42857142857143" customWidth="1"/>
    <col min="8" max="8" width="4.57142857142857" customWidth="1"/>
    <col min="41" max="41" width="4.71428571428571" customWidth="1"/>
  </cols>
  <sheetData>
    <row r="1" ht="26.25" spans="1:104">
      <c r="A1" s="3883" t="str">
        <f>"POREZNI BILANS / BILANCA - "&amp;UnosPod!F8</f>
        <v>POREZNI BILANS / BILANCA - LILIUM ASSET MANAGEMENT d.o.o. Sarajevo</v>
      </c>
      <c r="B1" s="3883"/>
      <c r="C1" s="3883"/>
      <c r="D1" s="3883"/>
      <c r="E1" s="3883"/>
      <c r="F1" s="3883"/>
      <c r="G1" s="3883"/>
      <c r="H1" s="3883"/>
      <c r="I1" s="3883"/>
      <c r="J1" s="3883"/>
      <c r="K1" s="3883"/>
      <c r="L1" s="3883"/>
      <c r="M1" s="3883"/>
      <c r="N1" s="3883"/>
      <c r="O1" s="3883"/>
      <c r="P1" s="3883"/>
      <c r="Q1" s="3883"/>
      <c r="R1" s="3883"/>
      <c r="S1" s="3883"/>
      <c r="T1" s="3883"/>
      <c r="U1" s="3883"/>
      <c r="V1" s="3883"/>
      <c r="W1" s="3883"/>
      <c r="X1" s="3883"/>
      <c r="Y1" s="3883"/>
      <c r="Z1" s="3883"/>
      <c r="AA1" s="3883"/>
      <c r="AB1" s="3883"/>
      <c r="AC1" s="3883"/>
      <c r="AD1" s="3883"/>
      <c r="AE1" s="3883"/>
      <c r="AF1" s="3883"/>
      <c r="AG1" s="3883"/>
      <c r="AH1" s="3883"/>
      <c r="AI1" s="3883"/>
      <c r="AJ1" s="3883"/>
      <c r="AK1" s="3883"/>
      <c r="AL1" s="3883"/>
      <c r="AM1" s="3883"/>
      <c r="AN1" s="3883"/>
      <c r="AO1" s="3883"/>
      <c r="AP1" s="3883"/>
      <c r="AQ1" s="3883"/>
      <c r="AR1" s="3883"/>
      <c r="AS1" s="3883"/>
      <c r="AT1" s="3883"/>
      <c r="AU1" s="3883"/>
      <c r="AV1" s="3883"/>
      <c r="AW1" s="3883"/>
      <c r="AX1" s="3883"/>
      <c r="AY1" s="3883"/>
      <c r="AZ1" s="3883"/>
      <c r="BA1" s="3883"/>
      <c r="BB1" s="3883"/>
      <c r="BC1" s="3883"/>
      <c r="BD1" s="3883"/>
      <c r="BE1" s="3395"/>
      <c r="BF1" s="3395"/>
      <c r="BG1" s="3395"/>
      <c r="BH1" s="3395"/>
      <c r="BI1" s="3395"/>
      <c r="BJ1" s="3395"/>
      <c r="BK1" s="3395"/>
      <c r="BL1" s="3395"/>
      <c r="BM1" s="3395"/>
      <c r="BN1" s="3395"/>
      <c r="BO1" s="3395"/>
      <c r="BP1" s="3395"/>
      <c r="BQ1" s="3395"/>
      <c r="BR1" s="3395"/>
      <c r="BS1" s="3395"/>
      <c r="BT1" s="3395"/>
      <c r="BU1" s="3395"/>
      <c r="BV1" s="3395"/>
      <c r="BW1" s="3395"/>
      <c r="BX1" s="3395"/>
      <c r="BY1" s="3395"/>
      <c r="BZ1" s="3395"/>
      <c r="CA1" s="3395"/>
      <c r="CB1" s="3395"/>
      <c r="CC1" s="3395"/>
      <c r="CD1" s="3395"/>
      <c r="CE1" s="3395"/>
      <c r="CF1" s="3395"/>
      <c r="CG1" s="3395"/>
      <c r="CH1" s="3395"/>
      <c r="CI1" s="3395"/>
      <c r="CJ1" s="3395"/>
      <c r="CK1" s="3395"/>
      <c r="CL1" s="3395"/>
      <c r="CM1" s="3395"/>
      <c r="CN1" s="3395"/>
      <c r="CO1" s="3395"/>
      <c r="CP1" s="3395"/>
      <c r="CQ1" s="3395"/>
      <c r="CR1" s="3395"/>
      <c r="CS1" s="3395"/>
      <c r="CT1" s="3395"/>
      <c r="CU1" s="3395"/>
      <c r="CV1" s="3395"/>
      <c r="CW1" s="3395"/>
      <c r="CX1" s="3395"/>
    </row>
    <row r="2" spans="1:104">
      <c r="A2" s="3395"/>
      <c r="B2" s="3395"/>
      <c r="C2" s="3395"/>
      <c r="D2" s="3395"/>
      <c r="E2" s="3395"/>
      <c r="F2" s="3395"/>
      <c r="G2" s="3395"/>
      <c r="H2" s="3395"/>
      <c r="I2" s="3395"/>
      <c r="J2" s="3395"/>
      <c r="K2" s="3395"/>
      <c r="L2" s="3395"/>
      <c r="M2" s="3395"/>
      <c r="N2" s="3395"/>
      <c r="O2" s="3395"/>
      <c r="P2" s="3395"/>
      <c r="Q2" s="3395"/>
      <c r="R2" s="3395"/>
      <c r="S2" s="3395"/>
      <c r="T2" s="3395"/>
      <c r="U2" s="3395"/>
      <c r="V2" s="3395"/>
      <c r="W2" s="3395"/>
      <c r="X2" s="3395"/>
      <c r="Y2" s="3395"/>
      <c r="Z2" s="3395"/>
      <c r="AA2" s="3395"/>
      <c r="AB2" s="3395"/>
      <c r="AC2" s="3395"/>
      <c r="AD2" s="3395"/>
      <c r="AE2" s="3395"/>
      <c r="AF2" s="3395"/>
      <c r="AG2" s="3395"/>
      <c r="AH2" s="3395"/>
      <c r="AI2" s="3395"/>
      <c r="AJ2" s="3395"/>
      <c r="AK2" s="3395"/>
      <c r="AL2" s="3395"/>
      <c r="AM2" s="3395"/>
      <c r="AN2" s="3395"/>
      <c r="AO2" s="3395"/>
      <c r="AP2" s="3395"/>
      <c r="AQ2" s="3395"/>
      <c r="AR2" s="3395"/>
      <c r="AS2" s="3395"/>
      <c r="AT2" s="3395"/>
      <c r="AU2" s="3395"/>
      <c r="AV2" s="3395"/>
      <c r="AW2" s="3395"/>
      <c r="AX2" s="3395"/>
      <c r="AY2" s="3395"/>
      <c r="AZ2" s="3395"/>
      <c r="BA2" s="3395"/>
      <c r="BB2" s="3395"/>
      <c r="BC2" s="3395"/>
      <c r="BD2" s="3395"/>
      <c r="BE2" s="3395"/>
      <c r="BF2" s="3395"/>
      <c r="BG2" s="3395"/>
      <c r="BH2" s="3395"/>
      <c r="BI2" s="3395"/>
      <c r="BJ2" s="3395"/>
      <c r="BK2" s="3395"/>
      <c r="BL2" s="3395"/>
      <c r="BM2" s="3395"/>
      <c r="BN2" s="3395"/>
      <c r="BO2" s="3395"/>
      <c r="BP2" s="3395"/>
      <c r="BQ2" s="3395"/>
      <c r="BR2" s="3395"/>
      <c r="BS2" s="3395"/>
      <c r="BT2" s="3395"/>
      <c r="BU2" s="3395"/>
      <c r="BV2" s="3395"/>
      <c r="BW2" s="3395"/>
      <c r="BX2" s="3395"/>
      <c r="BY2" s="3395"/>
      <c r="BZ2" s="3395"/>
      <c r="CA2" s="3395"/>
      <c r="CB2" s="3395"/>
      <c r="CC2" s="3395"/>
      <c r="CD2" s="3395"/>
      <c r="CE2" s="3395"/>
      <c r="CF2" s="3395"/>
      <c r="CG2" s="3395"/>
      <c r="CH2" s="3395"/>
      <c r="CI2" s="3395"/>
      <c r="CJ2" s="3395"/>
      <c r="CK2" s="3395"/>
      <c r="CL2" s="3395"/>
      <c r="CM2" s="3395"/>
      <c r="CN2" s="3395"/>
      <c r="CO2" s="3395"/>
      <c r="CP2" s="3395"/>
      <c r="CQ2" s="3395"/>
      <c r="CR2" s="3395"/>
      <c r="CS2" s="3395"/>
      <c r="CT2" s="3395"/>
      <c r="CU2" s="3395"/>
      <c r="CV2" s="3395"/>
      <c r="CW2" s="3395"/>
      <c r="CX2" s="3395"/>
    </row>
    <row r="3" s="75" customFormat="1" ht="26.25" customHeight="1" spans="1:104">
      <c r="A3" s="3884" t="s">
        <v>5786</v>
      </c>
      <c r="B3" s="3399"/>
      <c r="C3" s="3399"/>
      <c r="D3" s="3399"/>
      <c r="E3" s="3399"/>
      <c r="F3" s="3400"/>
      <c r="G3" s="3400"/>
      <c r="H3" s="3400"/>
      <c r="I3" s="3400"/>
      <c r="J3" s="3400"/>
      <c r="K3" s="3400"/>
      <c r="L3" s="3400"/>
      <c r="M3" s="3400"/>
      <c r="N3" s="3400"/>
      <c r="O3" s="3400"/>
      <c r="P3" s="3400"/>
      <c r="Q3" s="3400"/>
      <c r="R3" s="3398"/>
      <c r="S3" s="3398"/>
      <c r="T3" s="3398"/>
      <c r="U3" s="3398"/>
      <c r="V3" s="3398"/>
      <c r="W3" s="3398"/>
      <c r="X3" s="3398"/>
      <c r="Y3" s="3398"/>
      <c r="Z3" s="3398"/>
      <c r="AA3" s="3398"/>
      <c r="AB3" s="3398"/>
      <c r="AC3" s="3398"/>
      <c r="AD3" s="3398"/>
      <c r="AE3" s="3398"/>
      <c r="AF3" s="3398"/>
      <c r="AG3" s="3398"/>
      <c r="AH3" s="3398"/>
      <c r="AI3" s="3398"/>
      <c r="AJ3" s="3398"/>
      <c r="AK3" s="3398"/>
      <c r="AL3" s="3398"/>
      <c r="AM3" s="3398"/>
      <c r="AN3" s="3398"/>
      <c r="AO3" s="3398"/>
      <c r="AP3" s="3398"/>
      <c r="AQ3" s="3398"/>
      <c r="AR3" s="3398"/>
      <c r="AS3" s="3401"/>
      <c r="AT3" s="3398"/>
      <c r="AU3" s="3398"/>
      <c r="AV3" s="3398"/>
      <c r="AW3" s="3398"/>
      <c r="AX3" s="3398"/>
      <c r="AY3" s="3398"/>
      <c r="AZ3" s="3398"/>
      <c r="BA3" s="3398"/>
      <c r="BB3" s="3398"/>
      <c r="BC3" s="3398"/>
      <c r="BD3" s="3398"/>
      <c r="BE3" s="3395"/>
      <c r="BF3" s="3395"/>
      <c r="BG3" s="3395"/>
      <c r="BH3" s="3395"/>
      <c r="BI3" s="3395"/>
      <c r="BJ3" s="3395"/>
      <c r="BK3" s="3395"/>
      <c r="BL3" s="3395"/>
      <c r="BM3" s="3395"/>
      <c r="BN3" s="3395"/>
      <c r="BO3" s="3395"/>
      <c r="BP3" s="3395"/>
      <c r="BQ3" s="3395"/>
      <c r="BR3" s="3395"/>
      <c r="BS3" s="3395"/>
      <c r="BT3" s="3395"/>
      <c r="BU3" s="3395"/>
      <c r="BV3" s="3395"/>
      <c r="BW3" s="3395"/>
      <c r="BX3" s="3395"/>
      <c r="BY3" s="3395"/>
      <c r="BZ3" s="3395"/>
      <c r="CA3" s="3395"/>
      <c r="CB3" s="3395"/>
      <c r="CC3" s="3395"/>
      <c r="CD3" s="3395"/>
      <c r="CE3" s="3395"/>
      <c r="CF3" s="3395"/>
      <c r="CG3" s="3395"/>
      <c r="CH3" s="3395"/>
      <c r="CI3" s="3395"/>
      <c r="CJ3" s="3395"/>
      <c r="CK3" s="3395"/>
      <c r="CL3" s="3395"/>
      <c r="CM3" s="3395"/>
      <c r="CN3" s="3395"/>
      <c r="CO3" s="3395"/>
      <c r="CP3" s="3395"/>
      <c r="CQ3" s="3395"/>
      <c r="CR3" s="3395"/>
      <c r="CS3" s="3395"/>
      <c r="CT3" s="3395"/>
      <c r="CU3" s="3395"/>
      <c r="CV3" s="3395"/>
      <c r="CW3" s="3395"/>
      <c r="CX3" s="3395"/>
      <c r="CZ3" s="3885"/>
    </row>
    <row r="4" s="75" customFormat="1" ht="15.75" spans="1:104">
      <c r="A4" s="3886" t="s">
        <v>5787</v>
      </c>
      <c r="B4" s="3887" t="s">
        <v>4563</v>
      </c>
      <c r="C4" s="3887"/>
      <c r="D4" s="3887"/>
      <c r="E4" s="3888" t="s">
        <v>4564</v>
      </c>
      <c r="F4" s="3888"/>
      <c r="G4" s="3888"/>
      <c r="H4" s="3888"/>
      <c r="I4" s="3889"/>
      <c r="J4" s="3890" t="s">
        <v>5788</v>
      </c>
      <c r="K4" s="3891"/>
      <c r="L4" s="3891"/>
      <c r="M4" s="3891"/>
      <c r="N4" s="3891"/>
      <c r="O4" s="3891"/>
      <c r="P4" s="3891"/>
      <c r="Q4" s="3891"/>
      <c r="R4" s="3891"/>
      <c r="S4" s="3891"/>
      <c r="T4" s="3891"/>
      <c r="U4" s="3891"/>
      <c r="V4" s="3891"/>
      <c r="W4" s="3891"/>
      <c r="X4" s="3891"/>
      <c r="Y4" s="3891"/>
      <c r="Z4" s="3891"/>
      <c r="AA4" s="3891"/>
      <c r="AB4" s="3891"/>
      <c r="AC4" s="3891"/>
      <c r="AD4" s="3891"/>
      <c r="AE4" s="3891"/>
      <c r="AF4" s="3891"/>
      <c r="AG4" s="3891"/>
      <c r="AH4" s="3891"/>
      <c r="AI4" s="3891"/>
      <c r="AJ4" s="3891"/>
      <c r="AK4" s="3891"/>
      <c r="AL4" s="3891"/>
      <c r="AM4" s="3892"/>
      <c r="AN4" s="3893" t="s">
        <v>5789</v>
      </c>
      <c r="AO4" s="3886"/>
      <c r="AP4" s="3886"/>
      <c r="AQ4" s="3886"/>
      <c r="AR4" s="3886"/>
      <c r="AS4" s="3886" t="s">
        <v>5790</v>
      </c>
      <c r="AT4" s="3886"/>
      <c r="AU4" s="3886"/>
      <c r="AV4" s="3886"/>
      <c r="AW4" s="3886"/>
      <c r="AX4" s="3395"/>
      <c r="AY4" s="3395"/>
      <c r="AZ4" s="3395"/>
      <c r="BA4" s="3395"/>
      <c r="BB4" s="3395"/>
      <c r="BC4" s="3395"/>
      <c r="BD4" s="3395"/>
      <c r="BE4" s="3395"/>
      <c r="BF4" s="3395"/>
      <c r="BG4" s="3395"/>
      <c r="BH4" s="3395"/>
      <c r="BI4" s="3395"/>
      <c r="BJ4" s="3395"/>
      <c r="BK4" s="3395"/>
      <c r="BL4" s="3395"/>
      <c r="BM4" s="3395"/>
      <c r="BN4" s="3395"/>
      <c r="BO4" s="3395"/>
      <c r="BP4" s="3395"/>
      <c r="BQ4" s="3395"/>
      <c r="BR4" s="3395"/>
      <c r="BS4" s="3395"/>
      <c r="BT4" s="3395"/>
      <c r="BU4" s="3395"/>
      <c r="BV4" s="3395"/>
      <c r="BW4" s="3395"/>
      <c r="BX4" s="3395"/>
      <c r="BY4" s="3395"/>
      <c r="BZ4" s="3395"/>
      <c r="CA4" s="3395"/>
      <c r="CB4" s="3395"/>
      <c r="CC4" s="3395"/>
      <c r="CD4" s="3395"/>
      <c r="CE4" s="3395"/>
      <c r="CF4" s="3395"/>
      <c r="CG4" s="3395"/>
      <c r="CH4" s="3395"/>
      <c r="CI4" s="3395"/>
      <c r="CJ4" s="3395"/>
      <c r="CK4" s="3395"/>
      <c r="CL4" s="3395"/>
      <c r="CM4" s="3395"/>
      <c r="CN4" s="3395"/>
      <c r="CO4" s="3395"/>
      <c r="CP4" s="3395"/>
      <c r="CQ4" s="3395"/>
      <c r="CR4" s="3395"/>
      <c r="CS4" s="3395"/>
      <c r="CT4" s="3395"/>
      <c r="CU4" s="3395"/>
      <c r="CV4" s="3395"/>
      <c r="CW4" s="3395"/>
      <c r="CX4" s="3395"/>
      <c r="CZ4" s="3885"/>
    </row>
    <row r="5" s="75" customFormat="1" ht="15.75" spans="1:104">
      <c r="A5" s="3894" t="s">
        <v>5791</v>
      </c>
      <c r="B5" s="3887"/>
      <c r="C5" s="3887"/>
      <c r="D5" s="3887"/>
      <c r="E5" s="3895" t="s">
        <v>5792</v>
      </c>
      <c r="F5" s="3895"/>
      <c r="G5" s="3895"/>
      <c r="H5" s="3895"/>
      <c r="I5" s="3896"/>
      <c r="J5" s="3890">
        <f ca="1">O5-1</f>
        <v>2021</v>
      </c>
      <c r="K5" s="3891"/>
      <c r="L5" s="3891"/>
      <c r="M5" s="3891"/>
      <c r="N5" s="3891"/>
      <c r="O5" s="3891">
        <f ca="1">T5-1</f>
        <v>2022</v>
      </c>
      <c r="P5" s="3891"/>
      <c r="Q5" s="3891"/>
      <c r="R5" s="3891"/>
      <c r="S5" s="3891"/>
      <c r="T5" s="3891">
        <f ca="1">Y5-1</f>
        <v>2023</v>
      </c>
      <c r="U5" s="3891"/>
      <c r="V5" s="3891"/>
      <c r="W5" s="3891"/>
      <c r="X5" s="3891"/>
      <c r="Y5" s="3891">
        <f ca="1">AD5-1</f>
        <v>2024</v>
      </c>
      <c r="Z5" s="3891"/>
      <c r="AA5" s="3891"/>
      <c r="AB5" s="3891"/>
      <c r="AC5" s="3891"/>
      <c r="AD5" s="3891">
        <f ca="1">PoslGod</f>
        <v>2025</v>
      </c>
      <c r="AE5" s="3891"/>
      <c r="AF5" s="3891"/>
      <c r="AG5" s="3891"/>
      <c r="AH5" s="3891"/>
      <c r="AI5" s="3891" t="s">
        <v>5793</v>
      </c>
      <c r="AJ5" s="3891"/>
      <c r="AK5" s="3891"/>
      <c r="AL5" s="3891"/>
      <c r="AM5" s="3892"/>
      <c r="AN5" s="3897" t="s">
        <v>5794</v>
      </c>
      <c r="AO5" s="3894"/>
      <c r="AP5" s="3894"/>
      <c r="AQ5" s="3894"/>
      <c r="AR5" s="3894"/>
      <c r="AS5" s="3898">
        <f>PorBilans!AE109</f>
        <v>0</v>
      </c>
      <c r="AT5" s="3898"/>
      <c r="AU5" s="3898"/>
      <c r="AV5" s="3898"/>
      <c r="AW5" s="3898"/>
      <c r="AX5" s="3395"/>
      <c r="AY5" s="3395"/>
      <c r="AZ5" s="3395"/>
      <c r="BA5" s="3395"/>
      <c r="BB5" s="3395"/>
      <c r="BC5" s="3395"/>
      <c r="BD5" s="3395"/>
      <c r="BE5" s="3395"/>
      <c r="BF5" s="3395"/>
      <c r="BG5" s="3395"/>
      <c r="BH5" s="3395"/>
      <c r="BI5" s="3395"/>
      <c r="BJ5" s="3395"/>
      <c r="BK5" s="3395"/>
      <c r="BL5" s="3395"/>
      <c r="BM5" s="3395"/>
      <c r="BN5" s="3395"/>
      <c r="BO5" s="3395"/>
      <c r="BP5" s="3395"/>
      <c r="BQ5" s="3395"/>
      <c r="BR5" s="3395"/>
      <c r="BS5" s="3395"/>
      <c r="BT5" s="3395"/>
      <c r="BU5" s="3395"/>
      <c r="BV5" s="3395"/>
      <c r="BW5" s="3395"/>
      <c r="BX5" s="3395"/>
      <c r="BY5" s="3395"/>
      <c r="BZ5" s="3395"/>
      <c r="CA5" s="3395"/>
      <c r="CB5" s="3395"/>
      <c r="CC5" s="3395"/>
      <c r="CD5" s="3395"/>
      <c r="CE5" s="3395"/>
      <c r="CF5" s="3395"/>
      <c r="CG5" s="3395"/>
      <c r="CH5" s="3395"/>
      <c r="CI5" s="3395"/>
      <c r="CJ5" s="3395"/>
      <c r="CK5" s="3395"/>
      <c r="CL5" s="3395"/>
      <c r="CM5" s="3395"/>
      <c r="CN5" s="3395"/>
      <c r="CO5" s="3395"/>
      <c r="CP5" s="3395"/>
      <c r="CQ5" s="3395"/>
      <c r="CR5" s="3395"/>
      <c r="CS5" s="3395"/>
      <c r="CT5" s="3395"/>
      <c r="CU5" s="3395"/>
      <c r="CV5" s="3395"/>
      <c r="CW5" s="3395"/>
      <c r="CX5" s="3395"/>
      <c r="CZ5" s="3885"/>
    </row>
    <row r="6" s="75" customFormat="1" ht="19.5" customHeight="1" spans="1:104">
      <c r="A6" s="3891">
        <v>1</v>
      </c>
      <c r="B6" s="3891">
        <f ca="1">B7-1</f>
        <v>2020</v>
      </c>
      <c r="C6" s="3891"/>
      <c r="D6" s="3891"/>
      <c r="E6" s="3899">
        <f>Prethodna_2024!B357</f>
        <v>0</v>
      </c>
      <c r="F6" s="3899"/>
      <c r="G6" s="3899"/>
      <c r="H6" s="3899"/>
      <c r="I6" s="3900"/>
      <c r="J6" s="3899">
        <f>Prethodna_2024!C357</f>
        <v>0</v>
      </c>
      <c r="K6" s="3899"/>
      <c r="L6" s="3899"/>
      <c r="M6" s="3899"/>
      <c r="N6" s="3900"/>
      <c r="O6" s="3899">
        <f>Prethodna_2024!D357</f>
        <v>0</v>
      </c>
      <c r="P6" s="3899"/>
      <c r="Q6" s="3899"/>
      <c r="R6" s="3899"/>
      <c r="S6" s="3900"/>
      <c r="T6" s="3899">
        <f>Prethodna_2024!E357</f>
        <v>0</v>
      </c>
      <c r="U6" s="3899"/>
      <c r="V6" s="3899"/>
      <c r="W6" s="3899"/>
      <c r="X6" s="3900"/>
      <c r="Y6" s="3899">
        <f>Prethodna_2024!F357</f>
        <v>0</v>
      </c>
      <c r="Z6" s="3899"/>
      <c r="AA6" s="3899"/>
      <c r="AB6" s="3899"/>
      <c r="AC6" s="3900"/>
      <c r="AD6" s="3899">
        <f>IF(AS5&gt;E6-J6-O6-T6-Y6,E6-J6-O6-T6-Y6,AS5)</f>
        <v>0</v>
      </c>
      <c r="AE6" s="3899"/>
      <c r="AF6" s="3899"/>
      <c r="AG6" s="3899"/>
      <c r="AH6" s="3900"/>
      <c r="AI6" s="3901">
        <f>SUM(J6:AH6)</f>
        <v>0</v>
      </c>
      <c r="AJ6" s="3901"/>
      <c r="AK6" s="3901"/>
      <c r="AL6" s="3901"/>
      <c r="AM6" s="3902"/>
      <c r="AN6" s="3903"/>
      <c r="AO6" s="3904"/>
      <c r="AP6" s="3904"/>
      <c r="AQ6" s="3904"/>
      <c r="AR6" s="3904"/>
      <c r="AS6" s="3905">
        <f>AS5-AD6</f>
        <v>0</v>
      </c>
      <c r="AT6" s="3905"/>
      <c r="AU6" s="3905"/>
      <c r="AV6" s="3905"/>
      <c r="AW6" s="3905"/>
      <c r="AX6" s="3395"/>
      <c r="AY6" s="3395"/>
      <c r="AZ6" s="3395"/>
      <c r="BA6" s="3395"/>
      <c r="BB6" s="3395"/>
      <c r="BC6" s="3395"/>
      <c r="BD6" s="3395"/>
      <c r="BE6" s="3395"/>
      <c r="BF6" s="3395"/>
      <c r="BG6" s="3395"/>
      <c r="BH6" s="3395"/>
      <c r="BI6" s="3395"/>
      <c r="BJ6" s="3395"/>
      <c r="BK6" s="3395"/>
      <c r="BL6" s="3395"/>
      <c r="BM6" s="3395"/>
      <c r="BN6" s="3395"/>
      <c r="BO6" s="3395"/>
      <c r="BP6" s="3395"/>
      <c r="BQ6" s="3395"/>
      <c r="BR6" s="3395"/>
      <c r="BS6" s="3395"/>
      <c r="BT6" s="3395"/>
      <c r="BU6" s="3395"/>
      <c r="BV6" s="3395"/>
      <c r="BW6" s="3395"/>
      <c r="BX6" s="3395"/>
      <c r="BY6" s="3395"/>
      <c r="BZ6" s="3395"/>
      <c r="CA6" s="3395"/>
      <c r="CB6" s="3395"/>
      <c r="CC6" s="3395"/>
      <c r="CD6" s="3395"/>
      <c r="CE6" s="3395"/>
      <c r="CF6" s="3395"/>
      <c r="CG6" s="3395"/>
      <c r="CH6" s="3395"/>
      <c r="CI6" s="3395"/>
      <c r="CJ6" s="3395"/>
      <c r="CK6" s="3395"/>
      <c r="CL6" s="3395"/>
      <c r="CM6" s="3395"/>
      <c r="CN6" s="3395"/>
      <c r="CO6" s="3395"/>
      <c r="CP6" s="3395"/>
      <c r="CQ6" s="3395"/>
      <c r="CR6" s="3395"/>
      <c r="CS6" s="3395"/>
      <c r="CT6" s="3395"/>
      <c r="CU6" s="3395"/>
      <c r="CV6" s="3395"/>
      <c r="CW6" s="3395"/>
      <c r="CX6" s="3395"/>
      <c r="CZ6" s="3885"/>
    </row>
    <row r="7" s="75" customFormat="1" ht="19.5" customHeight="1" spans="1:104">
      <c r="A7" s="3891">
        <v>2</v>
      </c>
      <c r="B7" s="3891">
        <f ca="1">B8-1</f>
        <v>2021</v>
      </c>
      <c r="C7" s="3891"/>
      <c r="D7" s="3891"/>
      <c r="E7" s="3899">
        <f>Prethodna_2024!B358</f>
        <v>0</v>
      </c>
      <c r="F7" s="3899"/>
      <c r="G7" s="3899"/>
      <c r="H7" s="3899"/>
      <c r="I7" s="3900"/>
      <c r="J7" s="3906"/>
      <c r="K7" s="3907"/>
      <c r="L7" s="3907"/>
      <c r="M7" s="3907"/>
      <c r="N7" s="3907"/>
      <c r="O7" s="3899">
        <f>Prethodna_2024!D358</f>
        <v>0</v>
      </c>
      <c r="P7" s="3899"/>
      <c r="Q7" s="3899"/>
      <c r="R7" s="3899"/>
      <c r="S7" s="3900"/>
      <c r="T7" s="3899">
        <f>Prethodna_2024!E358</f>
        <v>0</v>
      </c>
      <c r="U7" s="3899"/>
      <c r="V7" s="3899"/>
      <c r="W7" s="3899"/>
      <c r="X7" s="3900"/>
      <c r="Y7" s="3899">
        <f>Prethodna_2024!F358</f>
        <v>0</v>
      </c>
      <c r="Z7" s="3899"/>
      <c r="AA7" s="3899"/>
      <c r="AB7" s="3899"/>
      <c r="AC7" s="3900"/>
      <c r="AD7" s="3899">
        <f>IF(AS6&gt;E7-O7-T7-Y7,E7-O7-T7-Y7,AS6)</f>
        <v>0</v>
      </c>
      <c r="AE7" s="3899"/>
      <c r="AF7" s="3899"/>
      <c r="AG7" s="3899"/>
      <c r="AH7" s="3900"/>
      <c r="AI7" s="3901">
        <f>SUM(O7:AH7)</f>
        <v>0</v>
      </c>
      <c r="AJ7" s="3901"/>
      <c r="AK7" s="3901"/>
      <c r="AL7" s="3901"/>
      <c r="AM7" s="3902"/>
      <c r="AN7" s="3908">
        <f>E7-AI7</f>
        <v>0</v>
      </c>
      <c r="AO7" s="3901"/>
      <c r="AP7" s="3901"/>
      <c r="AQ7" s="3901"/>
      <c r="AR7" s="3901"/>
      <c r="AS7" s="3905">
        <f>AS6-AD7</f>
        <v>0</v>
      </c>
      <c r="AT7" s="3905"/>
      <c r="AU7" s="3905"/>
      <c r="AV7" s="3905"/>
      <c r="AW7" s="3905"/>
      <c r="AX7" s="3395"/>
      <c r="AY7" s="3395"/>
      <c r="AZ7" s="3395"/>
      <c r="BA7" s="3395"/>
      <c r="BB7" s="3395"/>
      <c r="BC7" s="3395"/>
      <c r="BD7" s="3395"/>
      <c r="BE7" s="3395"/>
      <c r="BF7" s="3395"/>
      <c r="BG7" s="3395"/>
      <c r="BH7" s="3395"/>
      <c r="BI7" s="3395"/>
      <c r="BJ7" s="3395"/>
      <c r="BK7" s="3395"/>
      <c r="BL7" s="3395"/>
      <c r="BM7" s="3395"/>
      <c r="BN7" s="3395"/>
      <c r="BO7" s="3395"/>
      <c r="BP7" s="3395"/>
      <c r="BQ7" s="3395"/>
      <c r="BR7" s="3395"/>
      <c r="BS7" s="3395"/>
      <c r="BT7" s="3395"/>
      <c r="BU7" s="3395"/>
      <c r="BV7" s="3395"/>
      <c r="BW7" s="3395"/>
      <c r="BX7" s="3395"/>
      <c r="BY7" s="3395"/>
      <c r="BZ7" s="3395"/>
      <c r="CA7" s="3395"/>
      <c r="CB7" s="3395"/>
      <c r="CC7" s="3395"/>
      <c r="CD7" s="3395"/>
      <c r="CE7" s="3395"/>
      <c r="CF7" s="3395"/>
      <c r="CG7" s="3395"/>
      <c r="CH7" s="3395"/>
      <c r="CI7" s="3395"/>
      <c r="CJ7" s="3395"/>
      <c r="CK7" s="3395"/>
      <c r="CL7" s="3395"/>
      <c r="CM7" s="3395"/>
      <c r="CN7" s="3395"/>
      <c r="CO7" s="3395"/>
      <c r="CP7" s="3395"/>
      <c r="CQ7" s="3395"/>
      <c r="CR7" s="3395"/>
      <c r="CS7" s="3395"/>
      <c r="CT7" s="3395"/>
      <c r="CU7" s="3395"/>
      <c r="CV7" s="3395"/>
      <c r="CW7" s="3395"/>
      <c r="CX7" s="3395"/>
      <c r="CZ7" s="3885"/>
    </row>
    <row r="8" s="75" customFormat="1" ht="19.5" customHeight="1" spans="1:104">
      <c r="A8" s="3891">
        <v>3</v>
      </c>
      <c r="B8" s="3891">
        <f ca="1">B9-1</f>
        <v>2022</v>
      </c>
      <c r="C8" s="3891"/>
      <c r="D8" s="3891"/>
      <c r="E8" s="3899">
        <f>Prethodna_2024!B359</f>
        <v>0</v>
      </c>
      <c r="F8" s="3899"/>
      <c r="G8" s="3899"/>
      <c r="H8" s="3899"/>
      <c r="I8" s="3900"/>
      <c r="J8" s="3909"/>
      <c r="K8" s="3910"/>
      <c r="L8" s="3910"/>
      <c r="M8" s="3910"/>
      <c r="N8" s="3911"/>
      <c r="O8" s="3912"/>
      <c r="P8" s="3912"/>
      <c r="Q8" s="3912"/>
      <c r="R8" s="3912"/>
      <c r="S8" s="3913"/>
      <c r="T8" s="3899">
        <f>Prethodna_2024!E359</f>
        <v>0</v>
      </c>
      <c r="U8" s="3899"/>
      <c r="V8" s="3899"/>
      <c r="W8" s="3899"/>
      <c r="X8" s="3900"/>
      <c r="Y8" s="3899">
        <f>Prethodna_2024!F359</f>
        <v>0</v>
      </c>
      <c r="Z8" s="3899"/>
      <c r="AA8" s="3899"/>
      <c r="AB8" s="3899"/>
      <c r="AC8" s="3900"/>
      <c r="AD8" s="3899">
        <f>IF(AS7&gt;E8-T8-Y8,E8-T8-Y8,AS7)</f>
        <v>0</v>
      </c>
      <c r="AE8" s="3899"/>
      <c r="AF8" s="3899"/>
      <c r="AG8" s="3899"/>
      <c r="AH8" s="3900"/>
      <c r="AI8" s="3901">
        <f>SUM(T8:AH8)</f>
        <v>0</v>
      </c>
      <c r="AJ8" s="3901"/>
      <c r="AK8" s="3901"/>
      <c r="AL8" s="3901"/>
      <c r="AM8" s="3902"/>
      <c r="AN8" s="3908">
        <f>E8-AI8</f>
        <v>0</v>
      </c>
      <c r="AO8" s="3901"/>
      <c r="AP8" s="3901"/>
      <c r="AQ8" s="3901"/>
      <c r="AR8" s="3901"/>
      <c r="AS8" s="3905">
        <f>AS7-AD8</f>
        <v>0</v>
      </c>
      <c r="AT8" s="3905"/>
      <c r="AU8" s="3905"/>
      <c r="AV8" s="3905"/>
      <c r="AW8" s="3905"/>
      <c r="AX8" s="3395"/>
      <c r="AY8" s="3395"/>
      <c r="AZ8" s="3395"/>
      <c r="BA8" s="3395"/>
      <c r="BB8" s="3395"/>
      <c r="BC8" s="3395"/>
      <c r="BD8" s="3395"/>
      <c r="BE8" s="3395"/>
      <c r="BF8" s="3395"/>
      <c r="BG8" s="3395"/>
      <c r="BH8" s="3395"/>
      <c r="BI8" s="3395"/>
      <c r="BJ8" s="3395"/>
      <c r="BK8" s="3395"/>
      <c r="BL8" s="3395"/>
      <c r="BM8" s="3395"/>
      <c r="BN8" s="3395"/>
      <c r="BO8" s="3395"/>
      <c r="BP8" s="3395"/>
      <c r="BQ8" s="3395"/>
      <c r="BR8" s="3395"/>
      <c r="BS8" s="3395"/>
      <c r="BT8" s="3395"/>
      <c r="BU8" s="3395"/>
      <c r="BV8" s="3395"/>
      <c r="BW8" s="3395"/>
      <c r="BX8" s="3395"/>
      <c r="BY8" s="3395"/>
      <c r="BZ8" s="3395"/>
      <c r="CA8" s="3395"/>
      <c r="CB8" s="3395"/>
      <c r="CC8" s="3395"/>
      <c r="CD8" s="3395"/>
      <c r="CE8" s="3395"/>
      <c r="CF8" s="3395"/>
      <c r="CG8" s="3395"/>
      <c r="CH8" s="3395"/>
      <c r="CI8" s="3395"/>
      <c r="CJ8" s="3395"/>
      <c r="CK8" s="3395"/>
      <c r="CL8" s="3395"/>
      <c r="CM8" s="3395"/>
      <c r="CN8" s="3395"/>
      <c r="CO8" s="3395"/>
      <c r="CP8" s="3395"/>
      <c r="CQ8" s="3395"/>
      <c r="CR8" s="3395"/>
      <c r="CS8" s="3395"/>
      <c r="CT8" s="3395"/>
      <c r="CU8" s="3395"/>
      <c r="CV8" s="3395"/>
      <c r="CW8" s="3395"/>
      <c r="CX8" s="3395"/>
      <c r="CZ8" s="3885"/>
    </row>
    <row r="9" s="75" customFormat="1" ht="19.5" customHeight="1" spans="1:104">
      <c r="A9" s="3891">
        <v>4</v>
      </c>
      <c r="B9" s="3891">
        <f ca="1">B10-1</f>
        <v>2023</v>
      </c>
      <c r="C9" s="3891"/>
      <c r="D9" s="3891"/>
      <c r="E9" s="3899">
        <f>Prethodna_2024!B360</f>
        <v>0</v>
      </c>
      <c r="F9" s="3899"/>
      <c r="G9" s="3899"/>
      <c r="H9" s="3899"/>
      <c r="I9" s="3900"/>
      <c r="J9" s="3909"/>
      <c r="K9" s="3910"/>
      <c r="L9" s="3910"/>
      <c r="M9" s="3910"/>
      <c r="N9" s="3911"/>
      <c r="O9" s="3914"/>
      <c r="P9" s="3914"/>
      <c r="Q9" s="3914"/>
      <c r="R9" s="3914"/>
      <c r="S9" s="3914"/>
      <c r="T9" s="3912"/>
      <c r="U9" s="3912"/>
      <c r="V9" s="3912"/>
      <c r="W9" s="3912"/>
      <c r="X9" s="3913"/>
      <c r="Y9" s="3899">
        <f>Prethodna_2024!F360</f>
        <v>0</v>
      </c>
      <c r="Z9" s="3899"/>
      <c r="AA9" s="3899"/>
      <c r="AB9" s="3899"/>
      <c r="AC9" s="3900"/>
      <c r="AD9" s="3899">
        <f>IF(AS8&gt;E9-Y9,E9-Y9,AS8)</f>
        <v>0</v>
      </c>
      <c r="AE9" s="3899"/>
      <c r="AF9" s="3899"/>
      <c r="AG9" s="3899"/>
      <c r="AH9" s="3900"/>
      <c r="AI9" s="3901">
        <f>SUM(Y9:AH9)</f>
        <v>0</v>
      </c>
      <c r="AJ9" s="3901"/>
      <c r="AK9" s="3901"/>
      <c r="AL9" s="3901"/>
      <c r="AM9" s="3902"/>
      <c r="AN9" s="3908">
        <f>E9-AI9</f>
        <v>0</v>
      </c>
      <c r="AO9" s="3901"/>
      <c r="AP9" s="3901"/>
      <c r="AQ9" s="3901"/>
      <c r="AR9" s="3901"/>
      <c r="AS9" s="3905">
        <f>AS8-AD9</f>
        <v>0</v>
      </c>
      <c r="AT9" s="3905"/>
      <c r="AU9" s="3905"/>
      <c r="AV9" s="3905"/>
      <c r="AW9" s="3905"/>
      <c r="AX9" s="3395"/>
      <c r="AY9" s="3395"/>
      <c r="AZ9" s="3395"/>
      <c r="BA9" s="3395"/>
      <c r="BB9" s="3395"/>
      <c r="BC9" s="3395"/>
      <c r="BD9" s="3395"/>
      <c r="BE9" s="3395"/>
      <c r="BF9" s="3395"/>
      <c r="BG9" s="3395"/>
      <c r="BH9" s="3395"/>
      <c r="BI9" s="3395"/>
      <c r="BJ9" s="3395"/>
      <c r="BK9" s="3395"/>
      <c r="BL9" s="3395"/>
      <c r="BM9" s="3395"/>
      <c r="BN9" s="3395"/>
      <c r="BO9" s="3395"/>
      <c r="BP9" s="3395"/>
      <c r="BQ9" s="3395"/>
      <c r="BR9" s="3395"/>
      <c r="BS9" s="3395"/>
      <c r="BT9" s="3395"/>
      <c r="BU9" s="3395"/>
      <c r="BV9" s="3395"/>
      <c r="BW9" s="3395"/>
      <c r="BX9" s="3395"/>
      <c r="BY9" s="3395"/>
      <c r="BZ9" s="3395"/>
      <c r="CA9" s="3395"/>
      <c r="CB9" s="3395"/>
      <c r="CC9" s="3395"/>
      <c r="CD9" s="3395"/>
      <c r="CE9" s="3395"/>
      <c r="CF9" s="3395"/>
      <c r="CG9" s="3395"/>
      <c r="CH9" s="3395"/>
      <c r="CI9" s="3395"/>
      <c r="CJ9" s="3395"/>
      <c r="CK9" s="3395"/>
      <c r="CL9" s="3395"/>
      <c r="CM9" s="3395"/>
      <c r="CN9" s="3395"/>
      <c r="CO9" s="3395"/>
      <c r="CP9" s="3395"/>
      <c r="CQ9" s="3395"/>
      <c r="CR9" s="3395"/>
      <c r="CS9" s="3395"/>
      <c r="CT9" s="3395"/>
      <c r="CU9" s="3395"/>
      <c r="CV9" s="3395"/>
      <c r="CW9" s="3395"/>
      <c r="CX9" s="3395"/>
      <c r="CZ9" s="3885"/>
    </row>
    <row r="10" s="75" customFormat="1" ht="19.5" customHeight="1" spans="1:104">
      <c r="A10" s="3891">
        <v>5</v>
      </c>
      <c r="B10" s="3891">
        <f ca="1">B11-1</f>
        <v>2024</v>
      </c>
      <c r="C10" s="3891"/>
      <c r="D10" s="3891"/>
      <c r="E10" s="3899">
        <f>Prethodna_2024!B361</f>
        <v>0</v>
      </c>
      <c r="F10" s="3899"/>
      <c r="G10" s="3899"/>
      <c r="H10" s="3899"/>
      <c r="I10" s="3900"/>
      <c r="J10" s="3915">
        <f>B_Uspjeha!AP142</f>
        <v>0</v>
      </c>
      <c r="K10" s="3916"/>
      <c r="L10" s="3916"/>
      <c r="M10" s="3916"/>
      <c r="N10" s="3917"/>
      <c r="O10" s="3918"/>
      <c r="P10" s="3914"/>
      <c r="Q10" s="3914"/>
      <c r="R10" s="3914"/>
      <c r="S10" s="3914"/>
      <c r="T10" s="3914"/>
      <c r="U10" s="3914"/>
      <c r="V10" s="3914"/>
      <c r="W10" s="3914"/>
      <c r="X10" s="3914"/>
      <c r="Y10" s="3912"/>
      <c r="Z10" s="3912"/>
      <c r="AA10" s="3912"/>
      <c r="AB10" s="3912"/>
      <c r="AC10" s="3913"/>
      <c r="AD10" s="3899">
        <f>IF(AS9&gt;E10-Y10,E10-Y10,AS9)</f>
        <v>0</v>
      </c>
      <c r="AE10" s="3899"/>
      <c r="AF10" s="3899"/>
      <c r="AG10" s="3899"/>
      <c r="AH10" s="3900"/>
      <c r="AI10" s="3901">
        <f>AD10</f>
        <v>0</v>
      </c>
      <c r="AJ10" s="3901"/>
      <c r="AK10" s="3901"/>
      <c r="AL10" s="3901"/>
      <c r="AM10" s="3902"/>
      <c r="AN10" s="3908">
        <f>E10-AI10</f>
        <v>0</v>
      </c>
      <c r="AO10" s="3901"/>
      <c r="AP10" s="3901"/>
      <c r="AQ10" s="3901"/>
      <c r="AR10" s="3901"/>
      <c r="AS10" s="3905">
        <f>AS9-AD10</f>
        <v>0</v>
      </c>
      <c r="AT10" s="3905"/>
      <c r="AU10" s="3905"/>
      <c r="AV10" s="3905"/>
      <c r="AW10" s="3905"/>
      <c r="AX10" s="3395"/>
      <c r="AY10" s="3395"/>
      <c r="AZ10" s="3395"/>
      <c r="BA10" s="3395"/>
      <c r="BB10" s="3395"/>
      <c r="BC10" s="3395"/>
      <c r="BD10" s="3395"/>
      <c r="BE10" s="3395"/>
      <c r="BF10" s="3395"/>
      <c r="BG10" s="3395"/>
      <c r="BH10" s="3395"/>
      <c r="BI10" s="3395"/>
      <c r="BJ10" s="3395"/>
      <c r="BK10" s="3395"/>
      <c r="BL10" s="3395"/>
      <c r="BM10" s="3395"/>
      <c r="BN10" s="3395"/>
      <c r="BO10" s="3395"/>
      <c r="BP10" s="3395"/>
      <c r="BQ10" s="3395"/>
      <c r="BR10" s="3395"/>
      <c r="BS10" s="3395"/>
      <c r="BT10" s="3395"/>
      <c r="BU10" s="3395"/>
      <c r="BV10" s="3395"/>
      <c r="BW10" s="3395"/>
      <c r="BX10" s="3395"/>
      <c r="BY10" s="3395"/>
      <c r="BZ10" s="3395"/>
      <c r="CA10" s="3395"/>
      <c r="CB10" s="3395"/>
      <c r="CC10" s="3395"/>
      <c r="CD10" s="3395"/>
      <c r="CE10" s="3395"/>
      <c r="CF10" s="3395"/>
      <c r="CG10" s="3395"/>
      <c r="CH10" s="3395"/>
      <c r="CI10" s="3395"/>
      <c r="CJ10" s="3395"/>
      <c r="CK10" s="3395"/>
      <c r="CL10" s="3395"/>
      <c r="CM10" s="3395"/>
      <c r="CN10" s="3395"/>
      <c r="CO10" s="3395"/>
      <c r="CP10" s="3395"/>
      <c r="CQ10" s="3395"/>
      <c r="CR10" s="3395"/>
      <c r="CS10" s="3395"/>
      <c r="CT10" s="3395"/>
      <c r="CU10" s="3395"/>
      <c r="CV10" s="3395"/>
      <c r="CW10" s="3395"/>
      <c r="CX10" s="3395"/>
      <c r="CZ10" s="3885"/>
    </row>
    <row r="11" s="75" customFormat="1" ht="19.5" customHeight="1" spans="1:104">
      <c r="A11" s="3891">
        <v>6</v>
      </c>
      <c r="B11" s="3891">
        <f ca="1">PoslGod</f>
        <v>2025</v>
      </c>
      <c r="C11" s="3891"/>
      <c r="D11" s="3891"/>
      <c r="E11" s="3899">
        <f>PorBilans!AE119</f>
        <v>73141</v>
      </c>
      <c r="F11" s="3899"/>
      <c r="G11" s="3899"/>
      <c r="H11" s="3899"/>
      <c r="I11" s="3900"/>
      <c r="J11" s="3919">
        <f>B_Uspjeha!AI142</f>
        <v>59197</v>
      </c>
      <c r="K11" s="3920"/>
      <c r="L11" s="3920"/>
      <c r="M11" s="3920"/>
      <c r="N11" s="3921"/>
      <c r="O11" s="3922" t="str">
        <f ca="1">IF(J11&gt;0,"Gubitak u BU za "&amp;PoslGod,"")</f>
        <v>Gubitak u BU za 2025</v>
      </c>
      <c r="P11" s="3923"/>
      <c r="Q11" s="3923"/>
      <c r="R11" s="3923"/>
      <c r="S11" s="3923"/>
      <c r="T11" s="3923"/>
      <c r="U11" s="3923"/>
      <c r="V11" s="3923"/>
      <c r="W11" s="3923"/>
      <c r="X11" s="3923"/>
      <c r="Y11" s="3923"/>
      <c r="Z11" s="3923"/>
      <c r="AA11" s="3923"/>
      <c r="AB11" s="3923"/>
      <c r="AC11" s="3923"/>
      <c r="AD11" s="3924"/>
      <c r="AE11" s="3924"/>
      <c r="AF11" s="3924"/>
      <c r="AG11" s="3924"/>
      <c r="AH11" s="3924"/>
      <c r="AI11" s="3924"/>
      <c r="AJ11" s="3924"/>
      <c r="AK11" s="3924"/>
      <c r="AL11" s="3924"/>
      <c r="AM11" s="3925"/>
      <c r="AN11" s="3908">
        <f>E11-AI11</f>
        <v>73141</v>
      </c>
      <c r="AO11" s="3901"/>
      <c r="AP11" s="3901"/>
      <c r="AQ11" s="3901"/>
      <c r="AR11" s="3901"/>
      <c r="AS11" s="3395"/>
      <c r="AT11" s="3395"/>
      <c r="AU11" s="3395"/>
      <c r="AV11" s="3395"/>
      <c r="AW11" s="3395"/>
      <c r="AX11" s="3395"/>
      <c r="AY11" s="3395"/>
      <c r="AZ11" s="3395"/>
      <c r="BA11" s="3395"/>
      <c r="BB11" s="3395"/>
      <c r="BC11" s="3395"/>
      <c r="BD11" s="3395"/>
      <c r="BE11" s="3395"/>
      <c r="BF11" s="3395"/>
      <c r="BG11" s="3395"/>
      <c r="BH11" s="3395"/>
      <c r="BI11" s="3395"/>
      <c r="BJ11" s="3395"/>
      <c r="BK11" s="3395"/>
      <c r="BL11" s="3395"/>
      <c r="BM11" s="3395"/>
      <c r="BN11" s="3395"/>
      <c r="BO11" s="3395"/>
      <c r="BP11" s="3395"/>
      <c r="BQ11" s="3395"/>
      <c r="BR11" s="3395"/>
      <c r="BS11" s="3395"/>
      <c r="BT11" s="3395"/>
      <c r="BU11" s="3395"/>
      <c r="BV11" s="3395"/>
      <c r="BW11" s="3395"/>
      <c r="BX11" s="3395"/>
      <c r="BY11" s="3395"/>
      <c r="BZ11" s="3395"/>
      <c r="CA11" s="3395"/>
      <c r="CB11" s="3395"/>
      <c r="CC11" s="3395"/>
      <c r="CD11" s="3395"/>
      <c r="CE11" s="3395"/>
      <c r="CF11" s="3395"/>
      <c r="CG11" s="3395"/>
      <c r="CH11" s="3395"/>
      <c r="CI11" s="3395"/>
      <c r="CJ11" s="3395"/>
      <c r="CK11" s="3395"/>
      <c r="CL11" s="3395"/>
      <c r="CM11" s="3395"/>
      <c r="CN11" s="3395"/>
      <c r="CO11" s="3395"/>
      <c r="CP11" s="3395"/>
      <c r="CQ11" s="3395"/>
      <c r="CR11" s="3395"/>
      <c r="CS11" s="3395"/>
      <c r="CT11" s="3395"/>
      <c r="CU11" s="3395"/>
      <c r="CV11" s="3395"/>
      <c r="CW11" s="3395"/>
      <c r="CX11" s="3395"/>
      <c r="CZ11" s="3885"/>
    </row>
    <row r="12" s="75" customFormat="1" ht="19.5" customHeight="1" spans="1:104">
      <c r="A12" s="3926"/>
      <c r="B12" s="3886" t="s">
        <v>5667</v>
      </c>
      <c r="C12" s="3886"/>
      <c r="D12" s="3886"/>
      <c r="E12" s="3927">
        <f>SUM(E6:I11)</f>
        <v>73141</v>
      </c>
      <c r="F12" s="3927"/>
      <c r="G12" s="3927"/>
      <c r="H12" s="3927"/>
      <c r="I12" s="3928"/>
      <c r="J12" s="3929">
        <f>J6</f>
        <v>0</v>
      </c>
      <c r="K12" s="3927"/>
      <c r="L12" s="3927"/>
      <c r="M12" s="3927"/>
      <c r="N12" s="3927"/>
      <c r="O12" s="3927">
        <f>SUM(O6:S7)</f>
        <v>0</v>
      </c>
      <c r="P12" s="3927"/>
      <c r="Q12" s="3927"/>
      <c r="R12" s="3927"/>
      <c r="S12" s="3927"/>
      <c r="T12" s="3927">
        <f>SUM(T6:X8)</f>
        <v>0</v>
      </c>
      <c r="U12" s="3927"/>
      <c r="V12" s="3927"/>
      <c r="W12" s="3927"/>
      <c r="X12" s="3927"/>
      <c r="Y12" s="3927">
        <f>SUM(Y6:AC9)</f>
        <v>0</v>
      </c>
      <c r="Z12" s="3927"/>
      <c r="AA12" s="3927"/>
      <c r="AB12" s="3927"/>
      <c r="AC12" s="3927"/>
      <c r="AD12" s="3927">
        <f>SUM(AD6:AH10)</f>
        <v>0</v>
      </c>
      <c r="AE12" s="3927"/>
      <c r="AF12" s="3927"/>
      <c r="AG12" s="3927"/>
      <c r="AH12" s="3927"/>
      <c r="AI12" s="3927">
        <f>SUM(AI6:AM10)</f>
        <v>0</v>
      </c>
      <c r="AJ12" s="3927"/>
      <c r="AK12" s="3927"/>
      <c r="AL12" s="3927"/>
      <c r="AM12" s="3930"/>
      <c r="AN12" s="3908">
        <f>SUM(AN7:AR11)</f>
        <v>73141</v>
      </c>
      <c r="AO12" s="3901"/>
      <c r="AP12" s="3901"/>
      <c r="AQ12" s="3901"/>
      <c r="AR12" s="3901"/>
      <c r="AS12" s="3395"/>
      <c r="AT12" s="3395"/>
      <c r="AU12" s="3395"/>
      <c r="AV12" s="3395"/>
      <c r="AW12" s="3395"/>
      <c r="AX12" s="3395"/>
      <c r="AY12" s="3395"/>
      <c r="AZ12" s="3395"/>
      <c r="BA12" s="3395"/>
      <c r="BB12" s="3395"/>
      <c r="BC12" s="3395"/>
      <c r="BD12" s="3395"/>
      <c r="BE12" s="3395"/>
      <c r="BF12" s="3931"/>
      <c r="BG12" s="3931"/>
      <c r="BH12" s="3931"/>
      <c r="BI12" s="3931"/>
      <c r="BJ12" s="3931"/>
      <c r="BK12" s="3395"/>
      <c r="BL12" s="3395"/>
      <c r="BM12" s="3395"/>
      <c r="BN12" s="3395"/>
      <c r="BO12" s="3395"/>
      <c r="BP12" s="3395"/>
      <c r="BQ12" s="3395"/>
      <c r="BR12" s="3395"/>
      <c r="BS12" s="3395"/>
      <c r="BT12" s="3395"/>
      <c r="BU12" s="3395"/>
      <c r="BV12" s="3395"/>
      <c r="BW12" s="3395"/>
      <c r="BX12" s="3395"/>
      <c r="BY12" s="3395"/>
      <c r="BZ12" s="3395"/>
      <c r="CA12" s="3395"/>
      <c r="CB12" s="3395"/>
      <c r="CC12" s="3395"/>
      <c r="CD12" s="3395"/>
      <c r="CE12" s="3395"/>
      <c r="CF12" s="3395"/>
      <c r="CG12" s="3395"/>
      <c r="CH12" s="3395"/>
      <c r="CI12" s="3395"/>
      <c r="CJ12" s="3395"/>
      <c r="CK12" s="3395"/>
      <c r="CL12" s="3395"/>
      <c r="CM12" s="3395"/>
      <c r="CN12" s="3395"/>
      <c r="CO12" s="3395"/>
      <c r="CP12" s="3395"/>
      <c r="CQ12" s="3395"/>
      <c r="CR12" s="3395"/>
      <c r="CS12" s="3395"/>
      <c r="CT12" s="3395"/>
      <c r="CU12" s="3395"/>
      <c r="CV12" s="3395"/>
      <c r="CW12" s="3395"/>
      <c r="CX12" s="3395"/>
      <c r="CZ12" s="3885"/>
    </row>
    <row r="13" s="3881" customFormat="1" ht="24" customHeight="1" spans="1:104">
      <c r="A13" s="3932"/>
      <c r="B13" s="3933" t="s">
        <v>5795</v>
      </c>
      <c r="C13" s="3934"/>
      <c r="D13" s="3934"/>
      <c r="E13" s="3935"/>
      <c r="F13" s="3935"/>
      <c r="G13" s="3935"/>
      <c r="H13" s="3935"/>
      <c r="I13" s="3935"/>
      <c r="J13" s="3935"/>
      <c r="K13" s="3935"/>
      <c r="L13" s="3935"/>
      <c r="M13" s="3935"/>
      <c r="N13" s="3935"/>
      <c r="O13" s="3935"/>
      <c r="P13" s="3935"/>
      <c r="Q13" s="3935"/>
      <c r="R13" s="3935"/>
      <c r="S13" s="3935"/>
      <c r="T13" s="3935"/>
      <c r="U13" s="3935"/>
      <c r="V13" s="3935"/>
      <c r="W13" s="3935"/>
      <c r="X13" s="3935"/>
      <c r="Y13" s="3935"/>
      <c r="Z13" s="3935"/>
      <c r="AA13" s="3935"/>
      <c r="AB13" s="3935"/>
      <c r="AC13" s="3935"/>
      <c r="AD13" s="3935"/>
      <c r="AE13" s="3935"/>
      <c r="AF13" s="3935"/>
      <c r="AG13" s="3935"/>
      <c r="AH13" s="3935"/>
      <c r="AI13" s="3936"/>
      <c r="AJ13" s="3936"/>
      <c r="AK13" s="3936"/>
      <c r="AL13" s="3936"/>
      <c r="AM13" s="3937"/>
      <c r="AN13" s="3938"/>
      <c r="AO13" s="3938"/>
      <c r="AP13" s="3938"/>
      <c r="AQ13" s="3938"/>
      <c r="AR13" s="3938"/>
      <c r="AS13" s="3938"/>
      <c r="AT13" s="3938"/>
      <c r="AU13" s="3938"/>
      <c r="AV13" s="3938"/>
      <c r="AW13" s="3938"/>
      <c r="AX13" s="3938"/>
      <c r="AY13" s="3938"/>
      <c r="AZ13" s="3938"/>
      <c r="BA13" s="3938"/>
      <c r="BB13" s="3938"/>
      <c r="BC13" s="3938"/>
      <c r="BD13" s="3938"/>
      <c r="BE13" s="3938"/>
      <c r="BF13" s="3931"/>
      <c r="BG13" s="3931"/>
      <c r="BH13" s="3931"/>
      <c r="BI13" s="3931"/>
      <c r="BJ13" s="3931"/>
      <c r="BK13" s="3938"/>
      <c r="BL13" s="3938"/>
      <c r="BM13" s="3938"/>
      <c r="BN13" s="3938"/>
      <c r="BO13" s="3938"/>
      <c r="BP13" s="3938"/>
      <c r="BQ13" s="3938"/>
      <c r="BR13" s="3938"/>
      <c r="BS13" s="3938"/>
      <c r="BT13" s="3938"/>
      <c r="BU13" s="3938"/>
      <c r="BV13" s="3938"/>
      <c r="BW13" s="3938"/>
      <c r="BX13" s="3938"/>
      <c r="BY13" s="3938"/>
      <c r="BZ13" s="3938"/>
      <c r="CA13" s="3938"/>
      <c r="CB13" s="3938"/>
      <c r="CC13" s="3938"/>
      <c r="CD13" s="3938"/>
      <c r="CE13" s="3938"/>
      <c r="CF13" s="3938"/>
      <c r="CG13" s="3938"/>
      <c r="CH13" s="3938"/>
      <c r="CI13" s="3938"/>
      <c r="CJ13" s="3938"/>
      <c r="CK13" s="3938"/>
      <c r="CL13" s="3938"/>
      <c r="CM13" s="3938"/>
      <c r="CN13" s="3938"/>
      <c r="CO13" s="3938"/>
      <c r="CP13" s="3938"/>
      <c r="CQ13" s="3938"/>
      <c r="CR13" s="3938"/>
      <c r="CS13" s="3938"/>
      <c r="CT13" s="3938"/>
      <c r="CU13" s="3938"/>
      <c r="CV13" s="3938"/>
      <c r="CW13" s="3938"/>
      <c r="CX13" s="3938"/>
      <c r="CZ13" s="3939"/>
    </row>
    <row r="14" s="75" customFormat="1" ht="47.25" customHeight="1" spans="1:104">
      <c r="A14" s="3940"/>
      <c r="B14" s="3941" t="s">
        <v>5796</v>
      </c>
      <c r="C14" s="3941"/>
      <c r="D14" s="3941"/>
      <c r="E14" s="3941"/>
      <c r="F14" s="3941"/>
      <c r="G14" s="3941"/>
      <c r="H14" s="3941"/>
      <c r="I14" s="3941"/>
      <c r="J14" s="3941"/>
      <c r="K14" s="3941"/>
      <c r="L14" s="3941"/>
      <c r="M14" s="3941"/>
      <c r="N14" s="3941"/>
      <c r="O14" s="3941"/>
      <c r="P14" s="3941"/>
      <c r="Q14" s="3941"/>
      <c r="R14" s="3941"/>
      <c r="S14" s="3941"/>
      <c r="T14" s="3941"/>
      <c r="U14" s="3941"/>
      <c r="V14" s="3941"/>
      <c r="W14" s="3941"/>
      <c r="X14" s="3941"/>
      <c r="Y14" s="3941"/>
      <c r="Z14" s="3941"/>
      <c r="AA14" s="3941"/>
      <c r="AB14" s="3941"/>
      <c r="AC14" s="3941"/>
      <c r="AD14" s="3942">
        <f>E12-E11-J12-O12-T12-Y12-AD12</f>
        <v>0</v>
      </c>
      <c r="AE14" s="3943"/>
      <c r="AF14" s="3943"/>
      <c r="AG14" s="3943"/>
      <c r="AH14" s="3943"/>
      <c r="AI14" s="3395"/>
      <c r="AJ14" s="3395"/>
      <c r="AK14" s="3395"/>
      <c r="AL14" s="3395"/>
      <c r="AM14" s="3395"/>
      <c r="AN14" s="3942">
        <f>AN12-AN11</f>
        <v>0</v>
      </c>
      <c r="AO14" s="3943"/>
      <c r="AP14" s="3943"/>
      <c r="AQ14" s="3943"/>
      <c r="AR14" s="3943"/>
      <c r="AS14" s="3395"/>
      <c r="AT14" s="3395"/>
      <c r="AU14" s="3395"/>
      <c r="AV14" s="3395"/>
      <c r="AW14" s="3395"/>
      <c r="AX14" s="3395"/>
      <c r="AY14" s="3395"/>
      <c r="AZ14" s="3395"/>
      <c r="BA14" s="3395"/>
      <c r="BB14" s="3395"/>
      <c r="BC14" s="3395"/>
      <c r="BD14" s="3395"/>
      <c r="BE14" s="3395"/>
      <c r="BF14" s="3395"/>
      <c r="BG14" s="3395"/>
      <c r="BH14" s="3395"/>
      <c r="BI14" s="3395"/>
      <c r="BJ14" s="3395"/>
      <c r="BK14" s="3395"/>
      <c r="BL14" s="3395"/>
      <c r="BM14" s="3395"/>
      <c r="BN14" s="3395"/>
      <c r="BO14" s="3395"/>
      <c r="BP14" s="3395"/>
      <c r="BQ14" s="3395"/>
      <c r="BR14" s="3944"/>
      <c r="BS14" s="3944"/>
      <c r="BT14" s="3944"/>
      <c r="BU14" s="3944"/>
      <c r="BV14" s="3944"/>
      <c r="BW14" s="3944"/>
      <c r="BX14" s="3944"/>
      <c r="BY14" s="3944"/>
      <c r="BZ14" s="3944"/>
      <c r="CA14" s="3944"/>
      <c r="CB14" s="3944"/>
      <c r="CC14" s="3944"/>
      <c r="CD14" s="3944"/>
      <c r="CE14" s="3944"/>
      <c r="CF14" s="3944"/>
      <c r="CG14" s="3944"/>
      <c r="CH14" s="3944"/>
      <c r="CI14" s="3944"/>
      <c r="CJ14" s="3944"/>
      <c r="CK14" s="3944"/>
      <c r="CL14" s="3944"/>
      <c r="CM14" s="3944"/>
      <c r="CN14" s="3944"/>
      <c r="CO14" s="3944"/>
      <c r="CP14" s="3944"/>
      <c r="CQ14" s="3944"/>
      <c r="CR14" s="3944"/>
      <c r="CS14" s="3944"/>
      <c r="CT14" s="3944"/>
      <c r="CU14" s="3944"/>
      <c r="CV14" s="3944"/>
      <c r="CW14" s="3944"/>
      <c r="CX14" s="3944"/>
      <c r="CZ14" s="3885"/>
    </row>
    <row r="15" s="75" customFormat="1" ht="18.75" customHeight="1" spans="1:104">
      <c r="A15" s="3940"/>
      <c r="B15" s="3941"/>
      <c r="C15" s="3941"/>
      <c r="D15" s="3941"/>
      <c r="E15" s="3941"/>
      <c r="F15" s="3941"/>
      <c r="G15" s="3941"/>
      <c r="H15" s="3941"/>
      <c r="I15" s="3941"/>
      <c r="J15" s="3941"/>
      <c r="K15" s="3941"/>
      <c r="L15" s="3941"/>
      <c r="M15" s="3941"/>
      <c r="N15" s="3941"/>
      <c r="O15" s="3941"/>
      <c r="P15" s="3941"/>
      <c r="Q15" s="3941"/>
      <c r="R15" s="3941"/>
      <c r="S15" s="3941"/>
      <c r="T15" s="3941"/>
      <c r="U15" s="3941"/>
      <c r="V15" s="3941"/>
      <c r="W15" s="3941"/>
      <c r="X15" s="3941"/>
      <c r="Y15" s="3941"/>
      <c r="Z15" s="3941"/>
      <c r="AA15" s="3941"/>
      <c r="AB15" s="3941"/>
      <c r="AC15" s="3941"/>
      <c r="AD15" s="3942"/>
      <c r="AE15" s="3943"/>
      <c r="AF15" s="3943"/>
      <c r="AG15" s="3943"/>
      <c r="AH15" s="3943"/>
      <c r="AI15" s="3395"/>
      <c r="AJ15" s="3395"/>
      <c r="AK15" s="3395"/>
      <c r="AL15" s="3395"/>
      <c r="AM15" s="3395"/>
      <c r="AN15" s="3942"/>
      <c r="AO15" s="3943"/>
      <c r="AP15" s="3943"/>
      <c r="AQ15" s="3943"/>
      <c r="AR15" s="3943"/>
      <c r="AS15" s="3395"/>
      <c r="AT15" s="3395"/>
      <c r="AU15" s="3395"/>
      <c r="AV15" s="3395"/>
      <c r="AW15" s="3395"/>
      <c r="AX15" s="3395"/>
      <c r="AY15" s="3395"/>
      <c r="AZ15" s="3395"/>
      <c r="BA15" s="3395"/>
      <c r="BB15" s="3395"/>
      <c r="BC15" s="3395"/>
      <c r="BD15" s="3395"/>
      <c r="BE15" s="3395"/>
      <c r="BF15" s="3395"/>
      <c r="BG15" s="3395"/>
      <c r="BH15" s="3395"/>
      <c r="BI15" s="3395"/>
      <c r="BJ15" s="3395"/>
      <c r="BK15" s="3395"/>
      <c r="BL15" s="3395"/>
      <c r="BM15" s="3395"/>
      <c r="BN15" s="3395"/>
      <c r="BO15" s="3395"/>
      <c r="BP15" s="3395"/>
      <c r="BQ15" s="3395"/>
      <c r="BR15" s="3944"/>
      <c r="BS15" s="3944"/>
      <c r="BT15" s="3944"/>
      <c r="BU15" s="3944"/>
      <c r="BV15" s="3944"/>
      <c r="BW15" s="3944"/>
      <c r="BX15" s="3944"/>
      <c r="BY15" s="3944"/>
      <c r="BZ15" s="3944"/>
      <c r="CA15" s="3944"/>
      <c r="CB15" s="3944"/>
      <c r="CC15" s="3944"/>
      <c r="CD15" s="3944"/>
      <c r="CE15" s="3944"/>
      <c r="CF15" s="3944"/>
      <c r="CG15" s="3944"/>
      <c r="CH15" s="3944"/>
      <c r="CI15" s="3944"/>
      <c r="CJ15" s="3944"/>
      <c r="CK15" s="3944"/>
      <c r="CL15" s="3944"/>
      <c r="CM15" s="3944"/>
      <c r="CN15" s="3944"/>
      <c r="CO15" s="3944"/>
      <c r="CP15" s="3944"/>
      <c r="CQ15" s="3944"/>
      <c r="CR15" s="3944"/>
      <c r="CS15" s="3944"/>
      <c r="CT15" s="3944"/>
      <c r="CU15" s="3944"/>
      <c r="CV15" s="3944"/>
      <c r="CW15" s="3944"/>
      <c r="CX15" s="3944"/>
      <c r="CZ15" s="3885"/>
    </row>
    <row r="16" s="75" customFormat="1" ht="26.25" customHeight="1" spans="1:104">
      <c r="A16" s="3884" t="s">
        <v>5797</v>
      </c>
      <c r="B16" s="3399"/>
      <c r="C16" s="3399"/>
      <c r="D16" s="3399"/>
      <c r="E16" s="3399"/>
      <c r="F16" s="3400"/>
      <c r="G16" s="3400"/>
      <c r="H16" s="3400"/>
      <c r="I16" s="3400"/>
      <c r="J16" s="3400"/>
      <c r="K16" s="3400"/>
      <c r="L16" s="3400"/>
      <c r="M16" s="3400"/>
      <c r="N16" s="3400"/>
      <c r="O16" s="3400"/>
      <c r="P16" s="3400"/>
      <c r="Q16" s="3400"/>
      <c r="R16" s="3398"/>
      <c r="S16" s="3398"/>
      <c r="T16" s="3398"/>
      <c r="U16" s="3398"/>
      <c r="V16" s="3398"/>
      <c r="W16" s="3398"/>
      <c r="X16" s="3398"/>
      <c r="Y16" s="3398"/>
      <c r="Z16" s="3398"/>
      <c r="AA16" s="3398"/>
      <c r="AB16" s="3398"/>
      <c r="AC16" s="3398"/>
      <c r="AD16" s="3398"/>
      <c r="AE16" s="3398"/>
      <c r="AF16" s="3398"/>
      <c r="AG16" s="3398"/>
      <c r="AH16" s="3398"/>
      <c r="AI16" s="3398"/>
      <c r="AJ16" s="3398"/>
      <c r="AK16" s="3398"/>
      <c r="AL16" s="3398"/>
      <c r="AM16" s="3398"/>
      <c r="AN16" s="3398"/>
      <c r="AO16" s="3398"/>
      <c r="AP16" s="3398"/>
      <c r="AQ16" s="3398"/>
      <c r="AR16" s="3398"/>
      <c r="AS16" s="3401"/>
      <c r="AT16" s="3398"/>
      <c r="AU16" s="3398"/>
      <c r="AV16" s="3398"/>
      <c r="AW16" s="3398"/>
      <c r="AX16" s="3398"/>
      <c r="AY16" s="3398"/>
      <c r="AZ16" s="3398"/>
      <c r="BA16" s="3398"/>
      <c r="BB16" s="3398"/>
      <c r="BC16" s="3398"/>
      <c r="BD16" s="3398"/>
      <c r="BE16" s="3944"/>
      <c r="BF16" s="3944"/>
      <c r="BG16" s="3944"/>
      <c r="BH16" s="3944"/>
      <c r="BI16" s="3944"/>
      <c r="BJ16" s="3944"/>
      <c r="BK16" s="3944"/>
      <c r="BL16" s="3944"/>
      <c r="BM16" s="3944"/>
      <c r="BN16" s="3944"/>
      <c r="BO16" s="3944"/>
      <c r="BP16" s="3944"/>
      <c r="BQ16" s="3944"/>
      <c r="BR16" s="3944"/>
      <c r="BS16" s="3944"/>
      <c r="BT16" s="3944"/>
      <c r="BU16" s="3944"/>
      <c r="BV16" s="3944"/>
      <c r="BW16" s="3944"/>
      <c r="BX16" s="3944"/>
      <c r="BY16" s="3944"/>
      <c r="BZ16" s="3944"/>
      <c r="CA16" s="3944"/>
      <c r="CB16" s="3944"/>
      <c r="CC16" s="3944"/>
      <c r="CD16" s="3944"/>
      <c r="CE16" s="3944"/>
      <c r="CF16" s="3944"/>
      <c r="CG16" s="3944"/>
      <c r="CH16" s="3944"/>
      <c r="CI16" s="3944"/>
      <c r="CJ16" s="3944"/>
      <c r="CK16" s="3944"/>
      <c r="CL16" s="3944"/>
      <c r="CM16" s="3944"/>
      <c r="CN16" s="3944"/>
      <c r="CO16" s="3944"/>
      <c r="CP16" s="3944"/>
      <c r="CQ16" s="3944"/>
      <c r="CR16" s="3944"/>
      <c r="CS16" s="3944"/>
      <c r="CT16" s="3944"/>
      <c r="CU16" s="3944"/>
      <c r="CV16" s="3944"/>
      <c r="CW16" s="3944"/>
      <c r="CX16" s="3944"/>
      <c r="CZ16" s="3885"/>
    </row>
    <row r="17" s="75" customFormat="1" ht="13.5" customHeight="1" spans="1:104">
      <c r="A17" s="3395"/>
      <c r="B17" s="3395"/>
      <c r="C17" s="3395"/>
      <c r="D17" s="3395"/>
      <c r="E17" s="3395"/>
      <c r="F17" s="3395"/>
      <c r="G17" s="3395"/>
      <c r="H17" s="3395"/>
      <c r="I17" s="3395"/>
      <c r="J17" s="3395"/>
      <c r="K17" s="3395"/>
      <c r="L17" s="3395"/>
      <c r="M17" s="3395"/>
      <c r="N17" s="3395"/>
      <c r="O17" s="3395"/>
      <c r="P17" s="3395"/>
      <c r="Q17" s="3395"/>
      <c r="R17" s="3395"/>
      <c r="S17" s="3395"/>
      <c r="T17" s="3395"/>
      <c r="U17" s="3395"/>
      <c r="V17" s="3395"/>
      <c r="W17" s="3395"/>
      <c r="X17" s="3395"/>
      <c r="Y17" s="3395"/>
      <c r="Z17" s="3395"/>
      <c r="AA17" s="3395"/>
      <c r="AB17" s="3395"/>
      <c r="AC17" s="3395"/>
      <c r="AD17" s="3395"/>
      <c r="AE17" s="3395"/>
      <c r="AF17" s="3395"/>
      <c r="AG17" s="3395"/>
      <c r="AH17" s="3944"/>
      <c r="AI17" s="3944"/>
      <c r="AJ17" s="3944"/>
      <c r="AK17" s="3944"/>
      <c r="AL17" s="3944"/>
      <c r="AM17" s="3944"/>
      <c r="AN17" s="3395"/>
      <c r="AO17" s="3395"/>
      <c r="AP17" s="3395"/>
      <c r="AQ17" s="3395"/>
      <c r="AR17" s="3395"/>
      <c r="AS17" s="3395"/>
      <c r="AT17" s="3395"/>
      <c r="AU17" s="3395"/>
      <c r="AV17" s="3395"/>
      <c r="AW17" s="3395"/>
      <c r="AX17" s="3395"/>
      <c r="AY17" s="3395"/>
      <c r="AZ17" s="3395"/>
      <c r="BA17" s="3395"/>
      <c r="BB17" s="3395"/>
      <c r="BC17" s="3395"/>
      <c r="BD17" s="3395"/>
      <c r="BE17" s="3395"/>
      <c r="BF17" s="3395"/>
      <c r="BG17" s="3395"/>
      <c r="BH17" s="3395"/>
      <c r="BI17" s="3395"/>
      <c r="BJ17" s="3395"/>
      <c r="BK17" s="3395"/>
      <c r="BL17" s="3395"/>
      <c r="BM17" s="3395"/>
      <c r="BN17" s="3395"/>
      <c r="BO17" s="3395"/>
      <c r="BP17" s="3395"/>
      <c r="BQ17" s="3395"/>
      <c r="BR17" s="3395"/>
      <c r="BS17" s="3395"/>
      <c r="BT17" s="3395"/>
      <c r="BU17" s="3395"/>
      <c r="BV17" s="3395"/>
      <c r="BW17" s="3395"/>
      <c r="BX17" s="3395"/>
      <c r="BY17" s="3395"/>
      <c r="BZ17" s="3395"/>
      <c r="CA17" s="3395"/>
      <c r="CB17" s="3395"/>
      <c r="CC17" s="3395"/>
      <c r="CD17" s="3395"/>
      <c r="CE17" s="3395"/>
      <c r="CF17" s="3395"/>
      <c r="CG17" s="3395"/>
      <c r="CH17" s="3395"/>
      <c r="CI17" s="3395"/>
      <c r="CJ17" s="3395"/>
      <c r="CK17" s="3395"/>
      <c r="CL17" s="3395"/>
      <c r="CM17" s="3395"/>
      <c r="CN17" s="3395"/>
      <c r="CO17" s="3395"/>
      <c r="CP17" s="3395"/>
      <c r="CQ17" s="3395"/>
      <c r="CR17" s="3395"/>
      <c r="CS17" s="3395"/>
      <c r="CT17" s="3395"/>
      <c r="CU17" s="3395"/>
      <c r="CV17" s="3395"/>
      <c r="CW17" s="3395"/>
      <c r="CX17" s="3395"/>
      <c r="CZ17" s="3885"/>
    </row>
    <row r="18" s="2" customFormat="1" ht="19.5" customHeight="1" spans="1:104">
      <c r="A18" s="3945" t="s">
        <v>5798</v>
      </c>
      <c r="B18" s="3945"/>
      <c r="C18" s="3945"/>
      <c r="D18" s="3945"/>
      <c r="E18" s="3945"/>
      <c r="F18" s="3945"/>
      <c r="G18" s="3945"/>
      <c r="H18" s="3945"/>
      <c r="I18" s="3945"/>
      <c r="J18" s="3945"/>
      <c r="K18" s="3945"/>
      <c r="L18" s="3945"/>
      <c r="M18" s="3945"/>
      <c r="N18" s="3945"/>
      <c r="O18" s="3945"/>
      <c r="P18" s="3945"/>
      <c r="Q18" s="3945"/>
      <c r="R18" s="3945"/>
      <c r="S18" s="3945"/>
      <c r="T18" s="3945"/>
      <c r="U18" s="3945"/>
      <c r="V18" s="3945"/>
      <c r="W18" s="3945"/>
      <c r="X18" s="3945"/>
      <c r="Y18" s="3946">
        <v>10</v>
      </c>
      <c r="Z18" s="3946"/>
      <c r="AA18" s="3946"/>
      <c r="AB18" s="3946"/>
      <c r="AC18" s="3946"/>
      <c r="AD18" s="3946"/>
      <c r="AE18" s="3946"/>
      <c r="AF18" s="3946"/>
      <c r="AG18" s="3946"/>
      <c r="AH18" s="3947" t="s">
        <v>20</v>
      </c>
      <c r="AI18" s="3947"/>
      <c r="AJ18" s="3947"/>
      <c r="AK18" s="3947"/>
      <c r="AL18" s="3947"/>
      <c r="AM18" s="3947"/>
      <c r="AN18" s="3947"/>
      <c r="AO18" s="3947"/>
      <c r="AP18" s="3947"/>
      <c r="AQ18" s="3947"/>
      <c r="AR18" s="3947"/>
      <c r="AS18" s="3947"/>
      <c r="AT18" s="3947"/>
      <c r="AU18" s="3947"/>
      <c r="AV18" s="3947"/>
      <c r="AW18" s="3947"/>
      <c r="AX18" s="3947"/>
      <c r="AY18" s="3947"/>
      <c r="AZ18" s="3947"/>
      <c r="BA18" s="3947"/>
      <c r="BB18" s="3947"/>
      <c r="BC18" s="3947"/>
      <c r="BD18" s="3947"/>
      <c r="BE18" s="3947"/>
      <c r="BF18" s="3948"/>
      <c r="BG18" s="3948"/>
      <c r="BH18" s="3948"/>
      <c r="BI18" s="3948"/>
      <c r="BJ18" s="3948"/>
      <c r="BK18" s="3948"/>
      <c r="BL18" s="3948"/>
      <c r="BM18" s="3948"/>
      <c r="BN18" s="3948"/>
      <c r="BO18" s="3948"/>
      <c r="BP18" s="3948"/>
      <c r="BQ18" s="3948"/>
      <c r="BR18" s="3948"/>
      <c r="BS18" s="3948"/>
      <c r="BT18" s="3948"/>
      <c r="BU18" s="3948"/>
      <c r="BV18" s="3948"/>
      <c r="BW18" s="3948"/>
      <c r="BX18" s="3948"/>
      <c r="BY18" s="3948"/>
      <c r="BZ18" s="3948"/>
      <c r="CA18" s="3948"/>
      <c r="CB18" s="3948"/>
      <c r="CC18" s="3948"/>
      <c r="CD18" s="3948"/>
      <c r="CE18" s="3948"/>
      <c r="CF18" s="3948"/>
      <c r="CG18" s="3948"/>
      <c r="CH18" s="3948"/>
      <c r="CI18" s="3948"/>
      <c r="CJ18" s="3948"/>
      <c r="CK18" s="3948"/>
      <c r="CL18" s="3948"/>
      <c r="CM18" s="3948"/>
      <c r="CN18" s="3948"/>
      <c r="CO18" s="3948"/>
      <c r="CP18" s="3948"/>
      <c r="CQ18" s="3948"/>
      <c r="CR18" s="3948"/>
      <c r="CS18" s="3948"/>
      <c r="CT18" s="3948"/>
      <c r="CU18" s="3948"/>
      <c r="CV18" s="3948"/>
      <c r="CW18" s="3948"/>
      <c r="CX18" s="3948"/>
      <c r="CY18" s="75"/>
    </row>
    <row r="19" ht="22.5" customHeight="1" spans="1:104">
      <c r="A19" s="3949" t="s">
        <v>5799</v>
      </c>
      <c r="B19" s="3949"/>
      <c r="C19" s="3949" t="s">
        <v>4178</v>
      </c>
      <c r="D19" s="3949"/>
      <c r="E19" s="3949"/>
      <c r="F19" s="3949"/>
      <c r="G19" s="3949"/>
      <c r="H19" s="3949"/>
      <c r="I19" s="3949"/>
      <c r="J19" s="3949"/>
      <c r="K19" s="3949"/>
      <c r="L19" s="3949"/>
      <c r="M19" s="3949"/>
      <c r="N19" s="3949"/>
      <c r="O19" s="3949"/>
      <c r="P19" s="3949"/>
      <c r="Q19" s="3949"/>
      <c r="R19" s="3949"/>
      <c r="S19" s="3949"/>
      <c r="T19" s="3949"/>
      <c r="U19" s="3949"/>
      <c r="V19" s="3949"/>
      <c r="W19" s="3949"/>
      <c r="X19" s="3950"/>
      <c r="Y19" s="3949" t="s">
        <v>5800</v>
      </c>
      <c r="Z19" s="3949"/>
      <c r="AA19" s="3949"/>
      <c r="AB19" s="3949"/>
      <c r="AC19" s="3949"/>
      <c r="AD19" s="3949"/>
      <c r="AE19" s="3949"/>
      <c r="AF19" s="3949"/>
      <c r="AG19" s="3949"/>
      <c r="AH19" s="3395"/>
      <c r="AI19" s="3395"/>
      <c r="AJ19" s="3395"/>
      <c r="AK19" s="3395"/>
      <c r="AL19" s="3395"/>
      <c r="AM19" s="3395"/>
      <c r="AN19" s="3395"/>
      <c r="AO19" s="3395"/>
      <c r="AP19" s="3395"/>
      <c r="AQ19" s="3395"/>
      <c r="AR19" s="3395"/>
      <c r="AS19" s="3395"/>
      <c r="AT19" s="3395"/>
      <c r="AU19" s="3395"/>
      <c r="AV19" s="3395"/>
      <c r="AW19" s="3951"/>
      <c r="AX19" s="3951"/>
      <c r="AY19" s="3951"/>
      <c r="AZ19" s="3951"/>
      <c r="BA19" s="3951"/>
      <c r="BB19" s="3951"/>
      <c r="BC19" s="3951"/>
      <c r="BD19" s="3951"/>
      <c r="BE19" s="3952"/>
      <c r="BF19" s="3396"/>
      <c r="BG19" s="3396"/>
      <c r="BH19" s="3396"/>
      <c r="BI19" s="3396"/>
      <c r="BJ19" s="3396"/>
      <c r="BK19" s="3396"/>
      <c r="BL19" s="3396"/>
      <c r="BM19" s="3396"/>
      <c r="BN19" s="3396"/>
      <c r="BO19" s="3396"/>
      <c r="BP19" s="3396"/>
      <c r="BQ19" s="3396"/>
      <c r="BR19" s="3396"/>
      <c r="BS19" s="3396"/>
      <c r="BT19" s="3396"/>
      <c r="BU19" s="3396"/>
      <c r="BV19" s="3396"/>
      <c r="BW19" s="3396"/>
      <c r="BX19" s="3396"/>
      <c r="BY19" s="3396"/>
      <c r="BZ19" s="3396"/>
      <c r="CA19" s="3396"/>
      <c r="CB19" s="3396"/>
      <c r="CC19" s="3396"/>
      <c r="CD19" s="3396"/>
      <c r="CE19" s="3396"/>
      <c r="CF19" s="3396"/>
      <c r="CG19" s="3396"/>
      <c r="CH19" s="3396"/>
      <c r="CI19" s="3396"/>
      <c r="CJ19" s="3396"/>
      <c r="CK19" s="3396"/>
      <c r="CL19" s="3396"/>
      <c r="CM19" s="3396"/>
      <c r="CN19" s="3396"/>
      <c r="CO19" s="3396"/>
      <c r="CP19" s="3396"/>
      <c r="CQ19" s="3396"/>
      <c r="CR19" s="3396"/>
      <c r="CS19" s="3396"/>
      <c r="CT19" s="3396"/>
      <c r="CU19" s="3396"/>
      <c r="CV19" s="3396"/>
      <c r="CW19" s="3396"/>
      <c r="CX19" s="3396"/>
      <c r="CY19" s="75"/>
    </row>
    <row r="20" ht="18.75" customHeight="1" spans="1:104">
      <c r="A20" s="3953" t="s">
        <v>5801</v>
      </c>
      <c r="B20" s="3953"/>
      <c r="C20" s="3954" t="s">
        <v>5802</v>
      </c>
      <c r="D20" s="3955"/>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6"/>
      <c r="AH20" s="3395"/>
      <c r="AI20" s="3395"/>
      <c r="AJ20" s="3395"/>
      <c r="AK20" s="3395"/>
      <c r="AL20" s="3395"/>
      <c r="AM20" s="3395"/>
      <c r="AN20" s="3395"/>
      <c r="AO20" s="3395"/>
      <c r="AP20" s="3395"/>
      <c r="AQ20" s="3395"/>
      <c r="AR20" s="3395"/>
      <c r="AS20" s="3395"/>
      <c r="AT20" s="3395"/>
      <c r="AU20" s="3395"/>
      <c r="AV20" s="3395"/>
      <c r="AW20" s="3951"/>
      <c r="AX20" s="3951"/>
      <c r="AY20" s="3951"/>
      <c r="AZ20" s="3951"/>
      <c r="BA20" s="3951"/>
      <c r="BB20" s="3951"/>
      <c r="BC20" s="3951"/>
      <c r="BD20" s="3951"/>
      <c r="BE20" s="3952"/>
      <c r="BF20" s="3396"/>
      <c r="BG20" s="3396"/>
      <c r="BH20" s="3396"/>
      <c r="BI20" s="3396"/>
      <c r="BJ20" s="3396"/>
      <c r="BK20" s="3396"/>
      <c r="BL20" s="3396"/>
      <c r="BM20" s="3396"/>
      <c r="BN20" s="3396"/>
      <c r="BO20" s="3396"/>
      <c r="BP20" s="3396"/>
      <c r="BQ20" s="3396"/>
      <c r="BR20" s="3396"/>
      <c r="BS20" s="3396"/>
      <c r="BT20" s="3396"/>
      <c r="BU20" s="3396"/>
      <c r="BV20" s="3396"/>
      <c r="BW20" s="3396"/>
      <c r="BX20" s="3396"/>
      <c r="BY20" s="3396"/>
      <c r="BZ20" s="3396"/>
      <c r="CA20" s="3396"/>
      <c r="CB20" s="3396"/>
      <c r="CC20" s="3396"/>
      <c r="CD20" s="3396"/>
      <c r="CE20" s="3396"/>
      <c r="CF20" s="3396"/>
      <c r="CG20" s="3396"/>
      <c r="CH20" s="3396"/>
      <c r="CI20" s="3396"/>
      <c r="CJ20" s="3396"/>
      <c r="CK20" s="3396"/>
      <c r="CL20" s="3396"/>
      <c r="CM20" s="3396"/>
      <c r="CN20" s="3396"/>
      <c r="CO20" s="3396"/>
      <c r="CP20" s="3396"/>
      <c r="CQ20" s="3396"/>
      <c r="CR20" s="3396"/>
      <c r="CS20" s="3396"/>
      <c r="CT20" s="3396"/>
      <c r="CU20" s="3396"/>
      <c r="CV20" s="3396"/>
      <c r="CW20" s="3396"/>
      <c r="CX20" s="3396"/>
      <c r="CY20" s="75"/>
    </row>
    <row r="21" ht="18.75" customHeight="1" spans="1:104">
      <c r="A21" s="3957" t="s">
        <v>3713</v>
      </c>
      <c r="B21" s="3957"/>
      <c r="C21" s="3958" t="s">
        <v>3714</v>
      </c>
      <c r="D21" s="3958"/>
      <c r="E21" s="3958"/>
      <c r="F21" s="3958"/>
      <c r="G21" s="3958"/>
      <c r="H21" s="3958"/>
      <c r="I21" s="3958"/>
      <c r="J21" s="3958"/>
      <c r="K21" s="3958"/>
      <c r="L21" s="3958"/>
      <c r="M21" s="3958"/>
      <c r="N21" s="3958"/>
      <c r="O21" s="3958"/>
      <c r="P21" s="3958"/>
      <c r="Q21" s="3958"/>
      <c r="R21" s="3958"/>
      <c r="S21" s="3958"/>
      <c r="T21" s="3958"/>
      <c r="U21" s="3958"/>
      <c r="V21" s="3958"/>
      <c r="W21" s="3958"/>
      <c r="X21" s="3957" t="s">
        <v>19</v>
      </c>
      <c r="Y21" s="3959">
        <f>B_Uspjeha!AI76</f>
        <v>247772</v>
      </c>
      <c r="Z21" s="3959"/>
      <c r="AA21" s="3959"/>
      <c r="AB21" s="3959"/>
      <c r="AC21" s="3959"/>
      <c r="AD21" s="3959"/>
      <c r="AE21" s="3959"/>
      <c r="AF21" s="3959"/>
      <c r="AG21" s="3959"/>
      <c r="AH21" s="3395"/>
      <c r="AI21" s="3395"/>
      <c r="AJ21" s="3395"/>
      <c r="AK21" s="3395"/>
      <c r="AL21" s="3395"/>
      <c r="AM21" s="3395"/>
      <c r="AN21" s="3395"/>
      <c r="AO21" s="3395"/>
      <c r="AP21" s="3395"/>
      <c r="AQ21" s="3395"/>
      <c r="AR21" s="3395"/>
      <c r="AS21" s="3395"/>
      <c r="AT21" s="3395"/>
      <c r="AU21" s="3395"/>
      <c r="AV21" s="3395"/>
      <c r="AW21" s="3951"/>
      <c r="AX21" s="3951"/>
      <c r="AY21" s="3951"/>
      <c r="AZ21" s="3951"/>
      <c r="BA21" s="3951"/>
      <c r="BB21" s="3951"/>
      <c r="BC21" s="3951"/>
      <c r="BD21" s="3951"/>
      <c r="BE21" s="3952"/>
      <c r="BF21" s="3396"/>
      <c r="BG21" s="3396"/>
      <c r="BH21" s="3396"/>
      <c r="BI21" s="3396"/>
      <c r="BJ21" s="3396"/>
      <c r="BK21" s="3396"/>
      <c r="BL21" s="3396"/>
      <c r="BM21" s="3396"/>
      <c r="BN21" s="3396"/>
      <c r="BO21" s="3396"/>
      <c r="BP21" s="3396"/>
      <c r="BQ21" s="3396"/>
      <c r="BR21" s="3396"/>
      <c r="BS21" s="3396"/>
      <c r="BT21" s="3396"/>
      <c r="BU21" s="3396"/>
      <c r="BV21" s="3396"/>
      <c r="BW21" s="3396"/>
      <c r="BX21" s="3396"/>
      <c r="BY21" s="3396"/>
      <c r="BZ21" s="3396"/>
      <c r="CA21" s="3396"/>
      <c r="CB21" s="3396"/>
      <c r="CC21" s="3396"/>
      <c r="CD21" s="3396"/>
      <c r="CE21" s="3396"/>
      <c r="CF21" s="3396"/>
      <c r="CG21" s="3396"/>
      <c r="CH21" s="3396"/>
      <c r="CI21" s="3396"/>
      <c r="CJ21" s="3396"/>
      <c r="CK21" s="3396"/>
      <c r="CL21" s="3396"/>
      <c r="CM21" s="3396"/>
      <c r="CN21" s="3396"/>
      <c r="CO21" s="3396"/>
      <c r="CP21" s="3396"/>
      <c r="CQ21" s="3396"/>
      <c r="CR21" s="3396"/>
      <c r="CS21" s="3396"/>
      <c r="CT21" s="3396"/>
      <c r="CU21" s="3396"/>
      <c r="CV21" s="3396"/>
      <c r="CW21" s="3396"/>
      <c r="CX21" s="3396"/>
      <c r="CY21" s="75"/>
    </row>
    <row r="22" ht="18.75" customHeight="1" spans="1:104">
      <c r="A22" s="3960" t="s">
        <v>5803</v>
      </c>
      <c r="B22" s="3960"/>
      <c r="C22" s="3961" t="s">
        <v>5804</v>
      </c>
      <c r="D22" s="3962"/>
      <c r="E22" s="3962"/>
      <c r="F22" s="3962"/>
      <c r="G22" s="3962"/>
      <c r="H22" s="3962"/>
      <c r="I22" s="3962"/>
      <c r="J22" s="3962"/>
      <c r="K22" s="3962"/>
      <c r="L22" s="3962"/>
      <c r="M22" s="3962"/>
      <c r="N22" s="3962"/>
      <c r="O22" s="3962"/>
      <c r="P22" s="3962"/>
      <c r="Q22" s="3962"/>
      <c r="R22" s="3962"/>
      <c r="S22" s="3962"/>
      <c r="T22" s="3962"/>
      <c r="U22" s="3962"/>
      <c r="V22" s="3962"/>
      <c r="W22" s="3962"/>
      <c r="X22" s="3962"/>
      <c r="Y22" s="3962"/>
      <c r="Z22" s="3962"/>
      <c r="AA22" s="3963"/>
      <c r="AB22" s="3963"/>
      <c r="AC22" s="3963"/>
      <c r="AD22" s="3963"/>
      <c r="AE22" s="3963"/>
      <c r="AF22" s="3963"/>
      <c r="AG22" s="3964"/>
      <c r="AH22" s="3395"/>
      <c r="AI22" s="3395"/>
      <c r="AJ22" s="3395"/>
      <c r="AK22" s="3395"/>
      <c r="AL22" s="3395"/>
      <c r="AM22" s="3395"/>
      <c r="AN22" s="3395"/>
      <c r="AO22" s="3395"/>
      <c r="AP22" s="3395"/>
      <c r="AQ22" s="3395"/>
      <c r="AR22" s="3395"/>
      <c r="AS22" s="3395"/>
      <c r="AT22" s="3395"/>
      <c r="AU22" s="3395"/>
      <c r="AV22" s="3395"/>
      <c r="AW22" s="3951"/>
      <c r="AX22" s="3951"/>
      <c r="AY22" s="3951"/>
      <c r="AZ22" s="3951"/>
      <c r="BA22" s="3951"/>
      <c r="BB22" s="3951"/>
      <c r="BC22" s="3951"/>
      <c r="BD22" s="3951"/>
      <c r="BE22" s="3952"/>
      <c r="BF22" s="3396"/>
      <c r="BG22" s="3396"/>
      <c r="BH22" s="3396"/>
      <c r="BI22" s="3396"/>
      <c r="BJ22" s="3396"/>
      <c r="BK22" s="3396"/>
      <c r="BL22" s="3396"/>
      <c r="BM22" s="3396"/>
      <c r="BN22" s="3396"/>
      <c r="BO22" s="3396"/>
      <c r="BP22" s="3396"/>
      <c r="BQ22" s="3396"/>
      <c r="BR22" s="3396"/>
      <c r="BS22" s="3396"/>
      <c r="BT22" s="3396"/>
      <c r="BU22" s="3396"/>
      <c r="BV22" s="3396"/>
      <c r="BW22" s="3396"/>
      <c r="BX22" s="3396"/>
      <c r="BY22" s="3396"/>
      <c r="BZ22" s="3396"/>
      <c r="CA22" s="3396"/>
      <c r="CB22" s="3396"/>
      <c r="CC22" s="3396"/>
      <c r="CD22" s="3396"/>
      <c r="CE22" s="3396"/>
      <c r="CF22" s="3396"/>
      <c r="CG22" s="3396"/>
      <c r="CH22" s="3396"/>
      <c r="CI22" s="3396"/>
      <c r="CJ22" s="3396"/>
      <c r="CK22" s="3396"/>
      <c r="CL22" s="3396"/>
      <c r="CM22" s="3396"/>
      <c r="CN22" s="3396"/>
      <c r="CO22" s="3396"/>
      <c r="CP22" s="3396"/>
      <c r="CQ22" s="3396"/>
      <c r="CR22" s="3396"/>
      <c r="CS22" s="3396"/>
      <c r="CT22" s="3396"/>
      <c r="CU22" s="3396"/>
      <c r="CV22" s="3396"/>
      <c r="CW22" s="3396"/>
      <c r="CX22" s="3396"/>
      <c r="CY22" s="75"/>
    </row>
    <row r="23" ht="18.75" customHeight="1" spans="1:104">
      <c r="A23" s="3965" t="s">
        <v>3719</v>
      </c>
      <c r="B23" s="3965"/>
      <c r="C23" s="3966" t="s">
        <v>3720</v>
      </c>
      <c r="D23" s="3966"/>
      <c r="E23" s="3966"/>
      <c r="F23" s="3966"/>
      <c r="G23" s="3966"/>
      <c r="H23" s="3966"/>
      <c r="I23" s="3966"/>
      <c r="J23" s="3966"/>
      <c r="K23" s="3966"/>
      <c r="L23" s="3966"/>
      <c r="M23" s="3966"/>
      <c r="N23" s="3966"/>
      <c r="O23" s="3966"/>
      <c r="P23" s="3966"/>
      <c r="Q23" s="3966"/>
      <c r="R23" s="3966"/>
      <c r="S23" s="3966"/>
      <c r="T23" s="3966"/>
      <c r="U23" s="3966"/>
      <c r="V23" s="3966"/>
      <c r="W23" s="3966"/>
      <c r="X23" s="3967" t="s">
        <v>481</v>
      </c>
      <c r="Y23" s="3968">
        <f>B_Uspjeha!AI140</f>
        <v>306969</v>
      </c>
      <c r="Z23" s="3968"/>
      <c r="AA23" s="3968"/>
      <c r="AB23" s="3968"/>
      <c r="AC23" s="3968"/>
      <c r="AD23" s="3968"/>
      <c r="AE23" s="3968"/>
      <c r="AF23" s="3968"/>
      <c r="AG23" s="3968"/>
      <c r="AH23" s="3395"/>
      <c r="AI23" s="3395"/>
      <c r="AJ23" s="3395"/>
      <c r="AK23" s="3395"/>
      <c r="AL23" s="3395"/>
      <c r="AM23" s="3395"/>
      <c r="AN23" s="3395"/>
      <c r="AO23" s="3395"/>
      <c r="AP23" s="3395"/>
      <c r="AQ23" s="3395"/>
      <c r="AR23" s="3395"/>
      <c r="AS23" s="3395"/>
      <c r="AT23" s="3395"/>
      <c r="AU23" s="3395"/>
      <c r="AV23" s="3395"/>
      <c r="AW23" s="3951"/>
      <c r="AX23" s="3951"/>
      <c r="AY23" s="3951"/>
      <c r="AZ23" s="3951"/>
      <c r="BA23" s="3951"/>
      <c r="BB23" s="3951"/>
      <c r="BC23" s="3951"/>
      <c r="BD23" s="3951"/>
      <c r="BE23" s="3952"/>
      <c r="BF23" s="3396"/>
      <c r="BG23" s="3396"/>
      <c r="BH23" s="3396"/>
      <c r="BI23" s="3396"/>
      <c r="BJ23" s="3396"/>
      <c r="BK23" s="3396"/>
      <c r="BL23" s="3396"/>
      <c r="BM23" s="3396"/>
      <c r="BN23" s="3396"/>
      <c r="BO23" s="3396"/>
      <c r="BP23" s="3396"/>
      <c r="BQ23" s="3396"/>
      <c r="BR23" s="3396"/>
      <c r="BS23" s="3396"/>
      <c r="BT23" s="3396"/>
      <c r="BU23" s="3396"/>
      <c r="BV23" s="3396"/>
      <c r="BW23" s="3396"/>
      <c r="BX23" s="3396"/>
      <c r="BY23" s="3396"/>
      <c r="BZ23" s="3396"/>
      <c r="CA23" s="3396"/>
      <c r="CB23" s="3396"/>
      <c r="CC23" s="3396"/>
      <c r="CD23" s="3396"/>
      <c r="CE23" s="3396"/>
      <c r="CF23" s="3396"/>
      <c r="CG23" s="3396"/>
      <c r="CH23" s="3396"/>
      <c r="CI23" s="3396"/>
      <c r="CJ23" s="3396"/>
      <c r="CK23" s="3396"/>
      <c r="CL23" s="3396"/>
      <c r="CM23" s="3396"/>
      <c r="CN23" s="3396"/>
      <c r="CO23" s="3396"/>
      <c r="CP23" s="3396"/>
      <c r="CQ23" s="3396"/>
      <c r="CR23" s="3396"/>
      <c r="CS23" s="3396"/>
      <c r="CT23" s="3396"/>
      <c r="CU23" s="3396"/>
      <c r="CV23" s="3396"/>
      <c r="CW23" s="3396"/>
      <c r="CX23" s="3396"/>
      <c r="CY23" s="75"/>
    </row>
    <row r="24" ht="18.75" customHeight="1" spans="1:104">
      <c r="A24" s="3969" t="s">
        <v>5805</v>
      </c>
      <c r="B24" s="3969"/>
      <c r="C24" s="3970" t="s">
        <v>5806</v>
      </c>
      <c r="D24" s="3971"/>
      <c r="E24" s="3971"/>
      <c r="F24" s="3971"/>
      <c r="G24" s="3971"/>
      <c r="H24" s="3971"/>
      <c r="I24" s="3971"/>
      <c r="J24" s="3971"/>
      <c r="K24" s="3971"/>
      <c r="L24" s="3971"/>
      <c r="M24" s="3971"/>
      <c r="N24" s="3971"/>
      <c r="O24" s="3971"/>
      <c r="P24" s="3971"/>
      <c r="Q24" s="3971"/>
      <c r="R24" s="3971"/>
      <c r="S24" s="3971"/>
      <c r="T24" s="3971"/>
      <c r="U24" s="3971"/>
      <c r="V24" s="3971"/>
      <c r="W24" s="3971"/>
      <c r="X24" s="3971"/>
      <c r="Y24" s="3972"/>
      <c r="Z24" s="3972"/>
      <c r="AA24" s="3972"/>
      <c r="AB24" s="3972"/>
      <c r="AC24" s="3972"/>
      <c r="AD24" s="3972"/>
      <c r="AE24" s="3972"/>
      <c r="AF24" s="3972"/>
      <c r="AG24" s="3973"/>
      <c r="AH24" s="3395"/>
      <c r="AI24" s="3395"/>
      <c r="AJ24" s="3395"/>
      <c r="AK24" s="3395"/>
      <c r="AL24" s="3395"/>
      <c r="AM24" s="3395"/>
      <c r="AN24" s="3395"/>
      <c r="AO24" s="3395"/>
      <c r="AP24" s="3395"/>
      <c r="AQ24" s="3395"/>
      <c r="AR24" s="3395"/>
      <c r="AS24" s="3395"/>
      <c r="AT24" s="3395"/>
      <c r="AU24" s="3395"/>
      <c r="AV24" s="3395"/>
      <c r="AW24" s="3951"/>
      <c r="AX24" s="3951"/>
      <c r="AY24" s="3951"/>
      <c r="AZ24" s="3951"/>
      <c r="BA24" s="3951"/>
      <c r="BB24" s="3951"/>
      <c r="BC24" s="3951"/>
      <c r="BD24" s="3951"/>
      <c r="BE24" s="3952"/>
      <c r="BF24" s="3396"/>
      <c r="BG24" s="3396"/>
      <c r="BH24" s="3396"/>
      <c r="BI24" s="3396"/>
      <c r="BJ24" s="3396"/>
      <c r="BK24" s="3396"/>
      <c r="BL24" s="3396"/>
      <c r="BM24" s="3396"/>
      <c r="BN24" s="3396"/>
      <c r="BO24" s="3396"/>
      <c r="BP24" s="3396"/>
      <c r="BQ24" s="3396"/>
      <c r="BR24" s="3396"/>
      <c r="BS24" s="3396"/>
      <c r="BT24" s="3396"/>
      <c r="BU24" s="3396"/>
      <c r="BV24" s="3396"/>
      <c r="BW24" s="3396"/>
      <c r="BX24" s="3396"/>
      <c r="BY24" s="3396"/>
      <c r="BZ24" s="3396"/>
      <c r="CA24" s="3396"/>
      <c r="CB24" s="3396"/>
      <c r="CC24" s="3396"/>
      <c r="CD24" s="3396"/>
      <c r="CE24" s="3396"/>
      <c r="CF24" s="3396"/>
      <c r="CG24" s="3396"/>
      <c r="CH24" s="3396"/>
      <c r="CI24" s="3396"/>
      <c r="CJ24" s="3396"/>
      <c r="CK24" s="3396"/>
      <c r="CL24" s="3396"/>
      <c r="CM24" s="3396"/>
      <c r="CN24" s="3396"/>
      <c r="CO24" s="3396"/>
      <c r="CP24" s="3396"/>
      <c r="CQ24" s="3396"/>
      <c r="CR24" s="3396"/>
      <c r="CS24" s="3396"/>
      <c r="CT24" s="3396"/>
      <c r="CU24" s="3396"/>
      <c r="CV24" s="3396"/>
      <c r="CW24" s="3396"/>
      <c r="CX24" s="3396"/>
      <c r="CY24" s="75"/>
    </row>
    <row r="25" ht="18.75" customHeight="1" spans="1:104">
      <c r="A25" s="3965" t="s">
        <v>3722</v>
      </c>
      <c r="B25" s="3965"/>
      <c r="C25" s="3966" t="s">
        <v>5807</v>
      </c>
      <c r="D25" s="3966"/>
      <c r="E25" s="3966"/>
      <c r="F25" s="3966"/>
      <c r="G25" s="3966"/>
      <c r="H25" s="3966"/>
      <c r="I25" s="3966"/>
      <c r="J25" s="3966"/>
      <c r="K25" s="3966"/>
      <c r="L25" s="3966"/>
      <c r="M25" s="3966"/>
      <c r="N25" s="3966"/>
      <c r="O25" s="3966"/>
      <c r="P25" s="3966"/>
      <c r="Q25" s="3966"/>
      <c r="R25" s="3966"/>
      <c r="S25" s="3966"/>
      <c r="T25" s="3966"/>
      <c r="U25" s="3966"/>
      <c r="V25" s="3966"/>
      <c r="W25" s="3966"/>
      <c r="X25" s="3965" t="s">
        <v>19</v>
      </c>
      <c r="Y25" s="3974">
        <f>IF(Y21-Y23&lt;0,0,Y21-Y23)</f>
        <v>0</v>
      </c>
      <c r="Z25" s="3974"/>
      <c r="AA25" s="3974"/>
      <c r="AB25" s="3974"/>
      <c r="AC25" s="3974"/>
      <c r="AD25" s="3974"/>
      <c r="AE25" s="3974"/>
      <c r="AF25" s="3974"/>
      <c r="AG25" s="3974"/>
      <c r="AH25" s="3395"/>
      <c r="AI25" s="3395"/>
      <c r="AJ25" s="3395"/>
      <c r="AK25" s="3395"/>
      <c r="AL25" s="3395"/>
      <c r="AM25" s="3395"/>
      <c r="AN25" s="3395"/>
      <c r="AO25" s="3395"/>
      <c r="AP25" s="3395"/>
      <c r="AQ25" s="3395"/>
      <c r="AR25" s="3395"/>
      <c r="AS25" s="3395"/>
      <c r="AT25" s="3395"/>
      <c r="AU25" s="3395"/>
      <c r="AV25" s="3395"/>
      <c r="AW25" s="3951"/>
      <c r="AX25" s="3951"/>
      <c r="AY25" s="3951"/>
      <c r="AZ25" s="3951"/>
      <c r="BA25" s="3951"/>
      <c r="BB25" s="3951"/>
      <c r="BC25" s="3951"/>
      <c r="BD25" s="3951"/>
      <c r="BE25" s="3952"/>
      <c r="BF25" s="3396"/>
      <c r="BG25" s="3396"/>
      <c r="BH25" s="3396"/>
      <c r="BI25" s="3396"/>
      <c r="BJ25" s="3396"/>
      <c r="BK25" s="3396"/>
      <c r="BL25" s="3396"/>
      <c r="BM25" s="3396"/>
      <c r="BN25" s="3396"/>
      <c r="BO25" s="3396"/>
      <c r="BP25" s="3396"/>
      <c r="BQ25" s="3396"/>
      <c r="BR25" s="3396"/>
      <c r="BS25" s="3396"/>
      <c r="BT25" s="3396"/>
      <c r="BU25" s="3396"/>
      <c r="BV25" s="3396"/>
      <c r="BW25" s="3396"/>
      <c r="BX25" s="3396"/>
      <c r="BY25" s="3396"/>
      <c r="BZ25" s="3396"/>
      <c r="CA25" s="3396"/>
      <c r="CB25" s="3396"/>
      <c r="CC25" s="3396"/>
      <c r="CD25" s="3396"/>
      <c r="CE25" s="3396"/>
      <c r="CF25" s="3396"/>
      <c r="CG25" s="3396"/>
      <c r="CH25" s="3396"/>
      <c r="CI25" s="3396"/>
      <c r="CJ25" s="3396"/>
      <c r="CK25" s="3396"/>
      <c r="CL25" s="3396"/>
      <c r="CM25" s="3396"/>
      <c r="CN25" s="3396"/>
      <c r="CO25" s="3396"/>
      <c r="CP25" s="3396"/>
      <c r="CQ25" s="3396"/>
      <c r="CR25" s="3396"/>
      <c r="CS25" s="3396"/>
      <c r="CT25" s="3396"/>
      <c r="CU25" s="3396"/>
      <c r="CV25" s="3396"/>
      <c r="CW25" s="3396"/>
      <c r="CX25" s="3396"/>
      <c r="CY25" s="75"/>
    </row>
    <row r="26" ht="18.75" customHeight="1" spans="1:104">
      <c r="A26" s="3965" t="s">
        <v>3724</v>
      </c>
      <c r="B26" s="3965"/>
      <c r="C26" s="3966" t="s">
        <v>5808</v>
      </c>
      <c r="D26" s="3966"/>
      <c r="E26" s="3966"/>
      <c r="F26" s="3966"/>
      <c r="G26" s="3966"/>
      <c r="H26" s="3966"/>
      <c r="I26" s="3966"/>
      <c r="J26" s="3966"/>
      <c r="K26" s="3966"/>
      <c r="L26" s="3966"/>
      <c r="M26" s="3966"/>
      <c r="N26" s="3966"/>
      <c r="O26" s="3966"/>
      <c r="P26" s="3966"/>
      <c r="Q26" s="3966"/>
      <c r="R26" s="3966"/>
      <c r="S26" s="3966"/>
      <c r="T26" s="3966"/>
      <c r="U26" s="3966"/>
      <c r="V26" s="3966"/>
      <c r="W26" s="3966"/>
      <c r="X26" s="3967" t="s">
        <v>481</v>
      </c>
      <c r="Y26" s="3968">
        <f>IF(Y23-Y21&lt;0,0,Y23-Y21)</f>
        <v>59197</v>
      </c>
      <c r="Z26" s="3968"/>
      <c r="AA26" s="3968"/>
      <c r="AB26" s="3968"/>
      <c r="AC26" s="3968"/>
      <c r="AD26" s="3968"/>
      <c r="AE26" s="3968"/>
      <c r="AF26" s="3968"/>
      <c r="AG26" s="3968"/>
      <c r="AH26" s="3395"/>
      <c r="AI26" s="3395"/>
      <c r="AJ26" s="3395"/>
      <c r="AK26" s="3395"/>
      <c r="AL26" s="3395"/>
      <c r="AM26" s="3395"/>
      <c r="AN26" s="3395"/>
      <c r="AO26" s="3395"/>
      <c r="AP26" s="3395"/>
      <c r="AQ26" s="3395"/>
      <c r="AR26" s="3395"/>
      <c r="AS26" s="3395"/>
      <c r="AT26" s="3395"/>
      <c r="AU26" s="3395"/>
      <c r="AV26" s="3395"/>
      <c r="AW26" s="3951"/>
      <c r="AX26" s="3951"/>
      <c r="AY26" s="3951"/>
      <c r="AZ26" s="3951"/>
      <c r="BA26" s="3951"/>
      <c r="BB26" s="3951"/>
      <c r="BC26" s="3951"/>
      <c r="BD26" s="3951"/>
      <c r="BE26" s="3952"/>
      <c r="BF26" s="3396"/>
      <c r="BG26" s="3396"/>
      <c r="BH26" s="3396"/>
      <c r="BI26" s="3396"/>
      <c r="BJ26" s="3396"/>
      <c r="BK26" s="3396"/>
      <c r="BL26" s="3396"/>
      <c r="BM26" s="3396"/>
      <c r="BN26" s="3396"/>
      <c r="BO26" s="3396"/>
      <c r="BP26" s="3396"/>
      <c r="BQ26" s="3396"/>
      <c r="BR26" s="3396"/>
      <c r="BS26" s="3396"/>
      <c r="BT26" s="3396"/>
      <c r="BU26" s="3396"/>
      <c r="BV26" s="3396"/>
      <c r="BW26" s="3396"/>
      <c r="BX26" s="3396"/>
      <c r="BY26" s="3396"/>
      <c r="BZ26" s="3396"/>
      <c r="CA26" s="3396"/>
      <c r="CB26" s="3396"/>
      <c r="CC26" s="3396"/>
      <c r="CD26" s="3396"/>
      <c r="CE26" s="3396"/>
      <c r="CF26" s="3396"/>
      <c r="CG26" s="3396"/>
      <c r="CH26" s="3396"/>
      <c r="CI26" s="3396"/>
      <c r="CJ26" s="3396"/>
      <c r="CK26" s="3396"/>
      <c r="CL26" s="3396"/>
      <c r="CM26" s="3396"/>
      <c r="CN26" s="3396"/>
      <c r="CO26" s="3396"/>
      <c r="CP26" s="3396"/>
      <c r="CQ26" s="3396"/>
      <c r="CR26" s="3396"/>
      <c r="CS26" s="3396"/>
      <c r="CT26" s="3396"/>
      <c r="CU26" s="3396"/>
      <c r="CV26" s="3396"/>
      <c r="CW26" s="3396"/>
      <c r="CX26" s="3396"/>
      <c r="CY26" s="75"/>
    </row>
    <row r="27" ht="18.75" customHeight="1" spans="1:104">
      <c r="A27" s="3975"/>
      <c r="B27" s="3975"/>
      <c r="C27" s="3975"/>
      <c r="D27" s="3975"/>
      <c r="E27" s="3975"/>
      <c r="F27" s="3975"/>
      <c r="G27" s="3975"/>
      <c r="H27" s="3975"/>
      <c r="I27" s="3975"/>
      <c r="J27" s="3975"/>
      <c r="K27" s="3975"/>
      <c r="L27" s="3975"/>
      <c r="M27" s="3975"/>
      <c r="N27" s="3975"/>
      <c r="O27" s="3975"/>
      <c r="P27" s="3975"/>
      <c r="Q27" s="3975"/>
      <c r="R27" s="3975"/>
      <c r="S27" s="3975"/>
      <c r="T27" s="3975"/>
      <c r="U27" s="3975"/>
      <c r="V27" s="3975"/>
      <c r="W27" s="3975"/>
      <c r="X27" s="3975"/>
      <c r="Y27" s="3976"/>
      <c r="Z27" s="3976"/>
      <c r="AA27" s="3976"/>
      <c r="AB27" s="3976"/>
      <c r="AC27" s="3976"/>
      <c r="AD27" s="3976"/>
      <c r="AE27" s="3976"/>
      <c r="AF27" s="3976"/>
      <c r="AG27" s="3976"/>
      <c r="AH27" s="3395"/>
      <c r="AI27" s="3395"/>
      <c r="AJ27" s="3395"/>
      <c r="AK27" s="3395"/>
      <c r="AL27" s="3395"/>
      <c r="AM27" s="3395"/>
      <c r="AN27" s="3395"/>
      <c r="AO27" s="3395"/>
      <c r="AP27" s="3395"/>
      <c r="AQ27" s="3395"/>
      <c r="AR27" s="3395"/>
      <c r="AS27" s="3395"/>
      <c r="AT27" s="3395"/>
      <c r="AU27" s="3395"/>
      <c r="AV27" s="3395"/>
      <c r="AW27" s="3951"/>
      <c r="AX27" s="3951"/>
      <c r="AY27" s="3951"/>
      <c r="AZ27" s="3951"/>
      <c r="BA27" s="3951"/>
      <c r="BB27" s="3951"/>
      <c r="BC27" s="3951"/>
      <c r="BD27" s="3951"/>
      <c r="BE27" s="3952"/>
      <c r="BF27" s="3396"/>
      <c r="BG27" s="3396"/>
      <c r="BH27" s="3396"/>
      <c r="BI27" s="3396"/>
      <c r="BJ27" s="3396"/>
      <c r="BK27" s="3396"/>
      <c r="BL27" s="3396"/>
      <c r="BM27" s="3396"/>
      <c r="BN27" s="3396"/>
      <c r="BO27" s="3396"/>
      <c r="BP27" s="3396"/>
      <c r="BQ27" s="3396"/>
      <c r="BR27" s="3396"/>
      <c r="BS27" s="3396"/>
      <c r="BT27" s="3396"/>
      <c r="BU27" s="3396"/>
      <c r="BV27" s="3396"/>
      <c r="BW27" s="3396"/>
      <c r="BX27" s="3396"/>
      <c r="BY27" s="3396"/>
      <c r="BZ27" s="3396"/>
      <c r="CA27" s="3396"/>
      <c r="CB27" s="3396"/>
      <c r="CC27" s="3396"/>
      <c r="CD27" s="3396"/>
      <c r="CE27" s="3396"/>
      <c r="CF27" s="3396"/>
      <c r="CG27" s="3396"/>
      <c r="CH27" s="3396"/>
      <c r="CI27" s="3396"/>
      <c r="CJ27" s="3396"/>
      <c r="CK27" s="3396"/>
      <c r="CL27" s="3396"/>
      <c r="CM27" s="3396"/>
      <c r="CN27" s="3396"/>
      <c r="CO27" s="3396"/>
      <c r="CP27" s="3396"/>
      <c r="CQ27" s="3396"/>
      <c r="CR27" s="3396"/>
      <c r="CS27" s="3396"/>
      <c r="CT27" s="3396"/>
      <c r="CU27" s="3396"/>
      <c r="CV27" s="3396"/>
      <c r="CW27" s="3396"/>
      <c r="CX27" s="3396"/>
      <c r="CY27" s="75"/>
    </row>
    <row r="28" ht="18.75" customHeight="1" spans="1:104">
      <c r="A28" s="3977" t="s">
        <v>5809</v>
      </c>
      <c r="B28" s="3977"/>
      <c r="C28" s="3978" t="s">
        <v>3726</v>
      </c>
      <c r="D28" s="3979"/>
      <c r="E28" s="3979"/>
      <c r="F28" s="3979"/>
      <c r="G28" s="3979"/>
      <c r="H28" s="3979"/>
      <c r="I28" s="3979"/>
      <c r="J28" s="3979"/>
      <c r="K28" s="3979"/>
      <c r="L28" s="3979"/>
      <c r="M28" s="3979"/>
      <c r="N28" s="3979"/>
      <c r="O28" s="3979"/>
      <c r="P28" s="3979"/>
      <c r="Q28" s="3979"/>
      <c r="R28" s="3979"/>
      <c r="S28" s="3979"/>
      <c r="T28" s="3979"/>
      <c r="U28" s="3979"/>
      <c r="V28" s="3979"/>
      <c r="W28" s="3979"/>
      <c r="X28" s="3980"/>
      <c r="Y28" s="3981"/>
      <c r="Z28" s="3981"/>
      <c r="AA28" s="3981"/>
      <c r="AB28" s="3981"/>
      <c r="AC28" s="3981"/>
      <c r="AD28" s="3981"/>
      <c r="AE28" s="3981"/>
      <c r="AF28" s="3981"/>
      <c r="AG28" s="3982"/>
      <c r="AH28" s="3395"/>
      <c r="AI28" s="3395"/>
      <c r="AJ28" s="3395"/>
      <c r="AK28" s="3395"/>
      <c r="AL28" s="3395"/>
      <c r="AM28" s="3395"/>
      <c r="AN28" s="3395"/>
      <c r="AO28" s="3395"/>
      <c r="AP28" s="3395"/>
      <c r="AQ28" s="3395"/>
      <c r="AR28" s="3395"/>
      <c r="AS28" s="3395"/>
      <c r="AT28" s="3395"/>
      <c r="AU28" s="3395"/>
      <c r="AV28" s="3395"/>
      <c r="AW28" s="3951"/>
      <c r="AX28" s="3951"/>
      <c r="AY28" s="3951"/>
      <c r="AZ28" s="3951"/>
      <c r="BA28" s="3951"/>
      <c r="BB28" s="3951"/>
      <c r="BC28" s="3951"/>
      <c r="BD28" s="3951"/>
      <c r="BE28" s="3952"/>
      <c r="BF28" s="3396"/>
      <c r="BG28" s="3396"/>
      <c r="BH28" s="3396"/>
      <c r="BI28" s="3396"/>
      <c r="BJ28" s="3396"/>
      <c r="BK28" s="3396"/>
      <c r="BL28" s="3396"/>
      <c r="BM28" s="3396"/>
      <c r="BN28" s="3396"/>
      <c r="BO28" s="3396"/>
      <c r="BP28" s="3396"/>
      <c r="BQ28" s="3396"/>
      <c r="BR28" s="3396"/>
      <c r="BS28" s="3396"/>
      <c r="BT28" s="3396"/>
      <c r="BU28" s="3396"/>
      <c r="BV28" s="3396"/>
      <c r="BW28" s="3396"/>
      <c r="BX28" s="3396"/>
      <c r="BY28" s="3396"/>
      <c r="BZ28" s="3396"/>
      <c r="CA28" s="3396"/>
      <c r="CB28" s="3396"/>
      <c r="CC28" s="3396"/>
      <c r="CD28" s="3396"/>
      <c r="CE28" s="3396"/>
      <c r="CF28" s="3396"/>
      <c r="CG28" s="3396"/>
      <c r="CH28" s="3396"/>
      <c r="CI28" s="3396"/>
      <c r="CJ28" s="3396"/>
      <c r="CK28" s="3396"/>
      <c r="CL28" s="3396"/>
      <c r="CM28" s="3396"/>
      <c r="CN28" s="3396"/>
      <c r="CO28" s="3396"/>
      <c r="CP28" s="3396"/>
      <c r="CQ28" s="3396"/>
      <c r="CR28" s="3396"/>
      <c r="CS28" s="3396"/>
      <c r="CT28" s="3396"/>
      <c r="CU28" s="3396"/>
      <c r="CV28" s="3396"/>
      <c r="CW28" s="3396"/>
      <c r="CX28" s="3396"/>
      <c r="CY28" s="75"/>
    </row>
    <row r="29" ht="18.75" customHeight="1" spans="1:104">
      <c r="A29" s="3965" t="s">
        <v>3953</v>
      </c>
      <c r="B29" s="3965"/>
      <c r="C29" s="3966" t="s">
        <v>5810</v>
      </c>
      <c r="D29" s="3966"/>
      <c r="E29" s="3966"/>
      <c r="F29" s="3966"/>
      <c r="G29" s="3966"/>
      <c r="H29" s="3966"/>
      <c r="I29" s="3966"/>
      <c r="J29" s="3966"/>
      <c r="K29" s="3966"/>
      <c r="L29" s="3966"/>
      <c r="M29" s="3966"/>
      <c r="N29" s="3966"/>
      <c r="O29" s="3966"/>
      <c r="P29" s="3966"/>
      <c r="Q29" s="3966"/>
      <c r="R29" s="3966"/>
      <c r="S29" s="3966"/>
      <c r="T29" s="3966"/>
      <c r="U29" s="3966"/>
      <c r="V29" s="3966"/>
      <c r="W29" s="3966"/>
      <c r="X29" s="3983" t="s">
        <v>19</v>
      </c>
      <c r="Y29" s="3984">
        <f>Y25</f>
        <v>0</v>
      </c>
      <c r="Z29" s="3984"/>
      <c r="AA29" s="3984"/>
      <c r="AB29" s="3984"/>
      <c r="AC29" s="3984"/>
      <c r="AD29" s="3984"/>
      <c r="AE29" s="3984"/>
      <c r="AF29" s="3984"/>
      <c r="AG29" s="3984"/>
      <c r="AH29" s="3395"/>
      <c r="AI29" s="3395"/>
      <c r="AJ29" s="3395"/>
      <c r="AK29" s="3395"/>
      <c r="AL29" s="3395"/>
      <c r="AM29" s="3395"/>
      <c r="AN29" s="3395"/>
      <c r="AO29" s="3395"/>
      <c r="AP29" s="3395"/>
      <c r="AQ29" s="3395"/>
      <c r="AR29" s="3395"/>
      <c r="AS29" s="3395"/>
      <c r="AT29" s="3395"/>
      <c r="AU29" s="3395"/>
      <c r="AV29" s="3395"/>
      <c r="AW29" s="3951"/>
      <c r="AX29" s="3951"/>
      <c r="AY29" s="3951"/>
      <c r="AZ29" s="3951"/>
      <c r="BA29" s="3951"/>
      <c r="BB29" s="3951"/>
      <c r="BC29" s="3951"/>
      <c r="BD29" s="3951"/>
      <c r="BE29" s="3952"/>
      <c r="BF29" s="3396"/>
      <c r="BG29" s="3396"/>
      <c r="BH29" s="3396"/>
      <c r="BI29" s="3396"/>
      <c r="BJ29" s="3396"/>
      <c r="BK29" s="3396"/>
      <c r="BL29" s="3396"/>
      <c r="BM29" s="3396"/>
      <c r="BN29" s="3396"/>
      <c r="BO29" s="3396"/>
      <c r="BP29" s="3396"/>
      <c r="BQ29" s="3396"/>
      <c r="BR29" s="3396"/>
      <c r="BS29" s="3396"/>
      <c r="BT29" s="3396"/>
      <c r="BU29" s="3396"/>
      <c r="BV29" s="3396"/>
      <c r="BW29" s="3396"/>
      <c r="BX29" s="3396"/>
      <c r="BY29" s="3396"/>
      <c r="BZ29" s="3396"/>
      <c r="CA29" s="3396"/>
      <c r="CB29" s="3396"/>
      <c r="CC29" s="3396"/>
      <c r="CD29" s="3396"/>
      <c r="CE29" s="3396"/>
      <c r="CF29" s="3396"/>
      <c r="CG29" s="3396"/>
      <c r="CH29" s="3396"/>
      <c r="CI29" s="3396"/>
      <c r="CJ29" s="3396"/>
      <c r="CK29" s="3396"/>
      <c r="CL29" s="3396"/>
      <c r="CM29" s="3396"/>
      <c r="CN29" s="3396"/>
      <c r="CO29" s="3396"/>
      <c r="CP29" s="3396"/>
      <c r="CQ29" s="3396"/>
      <c r="CR29" s="3396"/>
      <c r="CS29" s="3396"/>
      <c r="CT29" s="3396"/>
      <c r="CU29" s="3396"/>
      <c r="CV29" s="3396"/>
      <c r="CW29" s="3396"/>
      <c r="CX29" s="3396"/>
      <c r="CY29" s="75"/>
    </row>
    <row r="30" ht="18.75" customHeight="1" spans="1:104">
      <c r="A30" s="3965" t="s">
        <v>3891</v>
      </c>
      <c r="B30" s="3965"/>
      <c r="C30" s="3966" t="s">
        <v>5811</v>
      </c>
      <c r="D30" s="3966"/>
      <c r="E30" s="3966"/>
      <c r="F30" s="3966"/>
      <c r="G30" s="3966"/>
      <c r="H30" s="3966"/>
      <c r="I30" s="3966"/>
      <c r="J30" s="3966"/>
      <c r="K30" s="3966"/>
      <c r="L30" s="3966"/>
      <c r="M30" s="3966"/>
      <c r="N30" s="3966"/>
      <c r="O30" s="3966"/>
      <c r="P30" s="3966"/>
      <c r="Q30" s="3966"/>
      <c r="R30" s="3966"/>
      <c r="S30" s="3966"/>
      <c r="T30" s="3966"/>
      <c r="U30" s="3966"/>
      <c r="V30" s="3966"/>
      <c r="W30" s="3966"/>
      <c r="X30" s="3967" t="s">
        <v>481</v>
      </c>
      <c r="Y30" s="3985">
        <f>Y26</f>
        <v>59197</v>
      </c>
      <c r="Z30" s="3985"/>
      <c r="AA30" s="3985"/>
      <c r="AB30" s="3985"/>
      <c r="AC30" s="3985"/>
      <c r="AD30" s="3985"/>
      <c r="AE30" s="3985"/>
      <c r="AF30" s="3985"/>
      <c r="AG30" s="3985"/>
      <c r="AH30" s="3395"/>
      <c r="AI30" s="3395"/>
      <c r="AJ30" s="3395"/>
      <c r="AK30" s="3395"/>
      <c r="AL30" s="3395"/>
      <c r="AM30" s="3395"/>
      <c r="AN30" s="3395"/>
      <c r="AO30" s="3395"/>
      <c r="AP30" s="3395"/>
      <c r="AQ30" s="3395"/>
      <c r="AR30" s="3395"/>
      <c r="AS30" s="3395"/>
      <c r="AT30" s="3395"/>
      <c r="AU30" s="3395"/>
      <c r="AV30" s="3395"/>
      <c r="AW30" s="3951"/>
      <c r="AX30" s="3951"/>
      <c r="AY30" s="3951"/>
      <c r="AZ30" s="3951"/>
      <c r="BA30" s="3951"/>
      <c r="BB30" s="3951"/>
      <c r="BC30" s="3951"/>
      <c r="BD30" s="3951"/>
      <c r="BE30" s="3952"/>
      <c r="BF30" s="3396"/>
      <c r="BG30" s="3396"/>
      <c r="BH30" s="3396"/>
      <c r="BI30" s="3396"/>
      <c r="BJ30" s="3396"/>
      <c r="BK30" s="3396"/>
      <c r="BL30" s="3396"/>
      <c r="BM30" s="3396"/>
      <c r="BN30" s="3396"/>
      <c r="BO30" s="3396"/>
      <c r="BP30" s="3396"/>
      <c r="BQ30" s="3396"/>
      <c r="BR30" s="3396"/>
      <c r="BS30" s="3396"/>
      <c r="BT30" s="3396"/>
      <c r="BU30" s="3396"/>
      <c r="BV30" s="3396"/>
      <c r="BW30" s="3396"/>
      <c r="BX30" s="3396"/>
      <c r="BY30" s="3396"/>
      <c r="BZ30" s="3396"/>
      <c r="CA30" s="3396"/>
      <c r="CB30" s="3396"/>
      <c r="CC30" s="3396"/>
      <c r="CD30" s="3396"/>
      <c r="CE30" s="3396"/>
      <c r="CF30" s="3396"/>
      <c r="CG30" s="3396"/>
      <c r="CH30" s="3396"/>
      <c r="CI30" s="3396"/>
      <c r="CJ30" s="3396"/>
      <c r="CK30" s="3396"/>
      <c r="CL30" s="3396"/>
      <c r="CM30" s="3396"/>
      <c r="CN30" s="3396"/>
      <c r="CO30" s="3396"/>
      <c r="CP30" s="3396"/>
      <c r="CQ30" s="3396"/>
      <c r="CR30" s="3396"/>
      <c r="CS30" s="3396"/>
      <c r="CT30" s="3396"/>
      <c r="CU30" s="3396"/>
      <c r="CV30" s="3396"/>
      <c r="CW30" s="3396"/>
      <c r="CX30" s="3396"/>
      <c r="CY30" s="75"/>
    </row>
    <row r="31" ht="18.75" customHeight="1" spans="1:104">
      <c r="A31" s="3977" t="s">
        <v>3725</v>
      </c>
      <c r="B31" s="3977"/>
      <c r="C31" s="3978" t="s">
        <v>5812</v>
      </c>
      <c r="D31" s="3979"/>
      <c r="E31" s="3979"/>
      <c r="F31" s="3979"/>
      <c r="G31" s="3979"/>
      <c r="H31" s="3979"/>
      <c r="I31" s="3979"/>
      <c r="J31" s="3979"/>
      <c r="K31" s="3979"/>
      <c r="L31" s="3979"/>
      <c r="M31" s="3979"/>
      <c r="N31" s="3979"/>
      <c r="O31" s="3979"/>
      <c r="P31" s="3979"/>
      <c r="Q31" s="3979"/>
      <c r="R31" s="3979"/>
      <c r="S31" s="3979"/>
      <c r="T31" s="3979"/>
      <c r="U31" s="3979"/>
      <c r="V31" s="3979"/>
      <c r="W31" s="3979"/>
      <c r="X31" s="3971"/>
      <c r="Y31" s="3986"/>
      <c r="Z31" s="3986"/>
      <c r="AA31" s="3986"/>
      <c r="AB31" s="3986"/>
      <c r="AC31" s="3986"/>
      <c r="AD31" s="3986"/>
      <c r="AE31" s="3986"/>
      <c r="AF31" s="3986"/>
      <c r="AG31" s="3986"/>
      <c r="AH31" s="3395"/>
      <c r="AI31" s="3395"/>
      <c r="AJ31" s="3395"/>
      <c r="AK31" s="3395"/>
      <c r="AL31" s="3395"/>
      <c r="AM31" s="3395"/>
      <c r="AN31" s="3395"/>
      <c r="AO31" s="3395"/>
      <c r="AP31" s="3395"/>
      <c r="AQ31" s="3395"/>
      <c r="AR31" s="3395"/>
      <c r="AS31" s="3395"/>
      <c r="AT31" s="3395"/>
      <c r="AU31" s="3395"/>
      <c r="AV31" s="3395"/>
      <c r="AW31" s="3951"/>
      <c r="AX31" s="3951"/>
      <c r="AY31" s="3951"/>
      <c r="AZ31" s="3951"/>
      <c r="BA31" s="3951"/>
      <c r="BB31" s="3951"/>
      <c r="BC31" s="3951"/>
      <c r="BD31" s="3951"/>
      <c r="BE31" s="3952"/>
      <c r="BF31" s="3396"/>
      <c r="BG31" s="3396"/>
      <c r="BH31" s="3396"/>
      <c r="BI31" s="3396"/>
      <c r="BJ31" s="3396"/>
      <c r="BK31" s="3396"/>
      <c r="BL31" s="3396"/>
      <c r="BM31" s="3396"/>
      <c r="BN31" s="3396"/>
      <c r="BO31" s="3396"/>
      <c r="BP31" s="3396"/>
      <c r="BQ31" s="3396"/>
      <c r="BR31" s="3396"/>
      <c r="BS31" s="3396"/>
      <c r="BT31" s="3396"/>
      <c r="BU31" s="3396"/>
      <c r="BV31" s="3396"/>
      <c r="BW31" s="3396"/>
      <c r="BX31" s="3396"/>
      <c r="BY31" s="3396"/>
      <c r="BZ31" s="3396"/>
      <c r="CA31" s="3396"/>
      <c r="CB31" s="3396"/>
      <c r="CC31" s="3396"/>
      <c r="CD31" s="3396"/>
      <c r="CE31" s="3396"/>
      <c r="CF31" s="3396"/>
      <c r="CG31" s="3396"/>
      <c r="CH31" s="3396"/>
      <c r="CI31" s="3396"/>
      <c r="CJ31" s="3396"/>
      <c r="CK31" s="3396"/>
      <c r="CL31" s="3396"/>
      <c r="CM31" s="3396"/>
      <c r="CN31" s="3396"/>
      <c r="CO31" s="3396"/>
      <c r="CP31" s="3396"/>
      <c r="CQ31" s="3396"/>
      <c r="CR31" s="3396"/>
      <c r="CS31" s="3396"/>
      <c r="CT31" s="3396"/>
      <c r="CU31" s="3396"/>
      <c r="CV31" s="3396"/>
      <c r="CW31" s="3396"/>
      <c r="CX31" s="3396"/>
      <c r="CY31" s="75"/>
    </row>
    <row r="32" ht="18.75" customHeight="1" spans="1:104">
      <c r="A32" s="3965" t="s">
        <v>3902</v>
      </c>
      <c r="B32" s="3965"/>
      <c r="C32" s="3966" t="s">
        <v>3728</v>
      </c>
      <c r="D32" s="3966"/>
      <c r="E32" s="3966"/>
      <c r="F32" s="3966"/>
      <c r="G32" s="3966"/>
      <c r="H32" s="3966"/>
      <c r="I32" s="3966"/>
      <c r="J32" s="3966"/>
      <c r="K32" s="3966"/>
      <c r="L32" s="3966"/>
      <c r="M32" s="3966"/>
      <c r="N32" s="3966"/>
      <c r="O32" s="3966"/>
      <c r="P32" s="3966"/>
      <c r="Q32" s="3966"/>
      <c r="R32" s="3966"/>
      <c r="S32" s="3966"/>
      <c r="T32" s="3966"/>
      <c r="U32" s="3966"/>
      <c r="V32" s="3966"/>
      <c r="W32" s="3966"/>
      <c r="X32" s="3983" t="s">
        <v>19</v>
      </c>
      <c r="Y32" s="3987"/>
      <c r="Z32" s="3987"/>
      <c r="AA32" s="3987"/>
      <c r="AB32" s="3987"/>
      <c r="AC32" s="3987"/>
      <c r="AD32" s="3987"/>
      <c r="AE32" s="3987"/>
      <c r="AF32" s="3987"/>
      <c r="AG32" s="3987"/>
      <c r="AH32" s="3395"/>
      <c r="AI32" s="3395"/>
      <c r="AJ32" s="3395"/>
      <c r="AK32" s="3395"/>
      <c r="AL32" s="3395"/>
      <c r="AM32" s="3395"/>
      <c r="AN32" s="3395"/>
      <c r="AO32" s="3395"/>
      <c r="AP32" s="3395"/>
      <c r="AQ32" s="3395"/>
      <c r="AR32" s="3395"/>
      <c r="AS32" s="3395"/>
      <c r="AT32" s="3395"/>
      <c r="AU32" s="3395"/>
      <c r="AV32" s="3395"/>
      <c r="AW32" s="3951"/>
      <c r="AX32" s="3951"/>
      <c r="AY32" s="3951"/>
      <c r="AZ32" s="3951"/>
      <c r="BA32" s="3951"/>
      <c r="BB32" s="3951"/>
      <c r="BC32" s="3951"/>
      <c r="BD32" s="3951"/>
      <c r="BE32" s="3952"/>
      <c r="BF32" s="3396"/>
      <c r="BG32" s="3396"/>
      <c r="BH32" s="3396"/>
      <c r="BI32" s="3396"/>
      <c r="BJ32" s="3396"/>
      <c r="BK32" s="3396"/>
      <c r="BL32" s="3396"/>
      <c r="BM32" s="3396"/>
      <c r="BN32" s="3396"/>
      <c r="BO32" s="3396"/>
      <c r="BP32" s="3396"/>
      <c r="BQ32" s="3396"/>
      <c r="BR32" s="3396"/>
      <c r="BS32" s="3396"/>
      <c r="BT32" s="3396"/>
      <c r="BU32" s="3396"/>
      <c r="BV32" s="3396"/>
      <c r="BW32" s="3396"/>
      <c r="BX32" s="3396"/>
      <c r="BY32" s="3396"/>
      <c r="BZ32" s="3396"/>
      <c r="CA32" s="3396"/>
      <c r="CB32" s="3396"/>
      <c r="CC32" s="3396"/>
      <c r="CD32" s="3396"/>
      <c r="CE32" s="3396"/>
      <c r="CF32" s="3396"/>
      <c r="CG32" s="3396"/>
      <c r="CH32" s="3396"/>
      <c r="CI32" s="3396"/>
      <c r="CJ32" s="3396"/>
      <c r="CK32" s="3396"/>
      <c r="CL32" s="3396"/>
      <c r="CM32" s="3396"/>
      <c r="CN32" s="3396"/>
      <c r="CO32" s="3396"/>
      <c r="CP32" s="3396"/>
      <c r="CQ32" s="3396"/>
      <c r="CR32" s="3396"/>
      <c r="CS32" s="3396"/>
      <c r="CT32" s="3396"/>
      <c r="CU32" s="3396"/>
      <c r="CV32" s="3396"/>
      <c r="CW32" s="3396"/>
      <c r="CX32" s="3396"/>
      <c r="CY32" s="75"/>
    </row>
    <row r="33" ht="18.75" customHeight="1" spans="1:103">
      <c r="A33" s="3965" t="s">
        <v>3905</v>
      </c>
      <c r="B33" s="3965"/>
      <c r="C33" s="3966" t="s">
        <v>3730</v>
      </c>
      <c r="D33" s="3966"/>
      <c r="E33" s="3966"/>
      <c r="F33" s="3966"/>
      <c r="G33" s="3966"/>
      <c r="H33" s="3966"/>
      <c r="I33" s="3966"/>
      <c r="J33" s="3966"/>
      <c r="K33" s="3966"/>
      <c r="L33" s="3966"/>
      <c r="M33" s="3966"/>
      <c r="N33" s="3966"/>
      <c r="O33" s="3966"/>
      <c r="P33" s="3966"/>
      <c r="Q33" s="3966"/>
      <c r="R33" s="3966"/>
      <c r="S33" s="3966"/>
      <c r="T33" s="3966"/>
      <c r="U33" s="3966"/>
      <c r="V33" s="3966"/>
      <c r="W33" s="3966"/>
      <c r="X33" s="3967" t="s">
        <v>481</v>
      </c>
      <c r="Y33" s="3988"/>
      <c r="Z33" s="3988"/>
      <c r="AA33" s="3988"/>
      <c r="AB33" s="3988"/>
      <c r="AC33" s="3988"/>
      <c r="AD33" s="3988"/>
      <c r="AE33" s="3988"/>
      <c r="AF33" s="3988"/>
      <c r="AG33" s="3988"/>
      <c r="AH33" s="3395"/>
      <c r="AI33" s="3395"/>
      <c r="AJ33" s="3395"/>
      <c r="AK33" s="3395"/>
      <c r="AL33" s="3395"/>
      <c r="AM33" s="3395"/>
      <c r="AN33" s="3395"/>
      <c r="AO33" s="3395"/>
      <c r="AP33" s="3395"/>
      <c r="AQ33" s="3395"/>
      <c r="AR33" s="3395"/>
      <c r="AS33" s="3395"/>
      <c r="AT33" s="3395"/>
      <c r="AU33" s="3395"/>
      <c r="AV33" s="3395"/>
      <c r="AW33" s="3951"/>
      <c r="AX33" s="3951"/>
      <c r="AY33" s="3951"/>
      <c r="AZ33" s="3951"/>
      <c r="BA33" s="3951"/>
      <c r="BB33" s="3951"/>
      <c r="BC33" s="3951"/>
      <c r="BD33" s="3951"/>
      <c r="BE33" s="3952"/>
      <c r="BF33" s="3396"/>
      <c r="BG33" s="3396"/>
      <c r="BH33" s="3396"/>
      <c r="BI33" s="3396"/>
      <c r="BJ33" s="3396"/>
      <c r="BK33" s="3396"/>
      <c r="BL33" s="3396"/>
      <c r="BM33" s="3396"/>
      <c r="BN33" s="3396"/>
      <c r="BO33" s="3396"/>
      <c r="BP33" s="3396"/>
      <c r="BQ33" s="3396"/>
      <c r="BR33" s="3396"/>
      <c r="BS33" s="3396"/>
      <c r="BT33" s="3396"/>
      <c r="BU33" s="3396"/>
      <c r="BV33" s="3396"/>
      <c r="BW33" s="3396"/>
      <c r="BX33" s="3396"/>
      <c r="BY33" s="3396"/>
      <c r="BZ33" s="3396"/>
      <c r="CA33" s="3396"/>
      <c r="CB33" s="3396"/>
      <c r="CC33" s="3396"/>
      <c r="CD33" s="3396"/>
      <c r="CE33" s="3396"/>
      <c r="CF33" s="3396"/>
      <c r="CG33" s="3396"/>
      <c r="CH33" s="3396"/>
      <c r="CI33" s="3396"/>
      <c r="CJ33" s="3396"/>
      <c r="CK33" s="3396"/>
      <c r="CL33" s="3396"/>
      <c r="CM33" s="3396"/>
      <c r="CN33" s="3396"/>
      <c r="CO33" s="3396"/>
      <c r="CP33" s="3396"/>
      <c r="CQ33" s="3396"/>
      <c r="CR33" s="3396"/>
      <c r="CS33" s="3396"/>
      <c r="CT33" s="3396"/>
      <c r="CU33" s="3396"/>
      <c r="CV33" s="3396"/>
      <c r="CW33" s="3396"/>
      <c r="CX33" s="3396"/>
      <c r="CY33" s="75"/>
    </row>
    <row r="34" ht="18.75" customHeight="1" spans="1:103">
      <c r="A34" s="3977" t="s">
        <v>5813</v>
      </c>
      <c r="B34" s="3977"/>
      <c r="C34" s="3978" t="s">
        <v>5814</v>
      </c>
      <c r="D34" s="3979"/>
      <c r="E34" s="3979"/>
      <c r="F34" s="3979"/>
      <c r="G34" s="3979"/>
      <c r="H34" s="3979"/>
      <c r="I34" s="3979"/>
      <c r="J34" s="3979"/>
      <c r="K34" s="3979"/>
      <c r="L34" s="3979"/>
      <c r="M34" s="3979"/>
      <c r="N34" s="3979"/>
      <c r="O34" s="3979"/>
      <c r="P34" s="3979"/>
      <c r="Q34" s="3979"/>
      <c r="R34" s="3979"/>
      <c r="S34" s="3979"/>
      <c r="T34" s="3979"/>
      <c r="U34" s="3979"/>
      <c r="V34" s="3979"/>
      <c r="W34" s="3979"/>
      <c r="X34" s="3971"/>
      <c r="Y34" s="3972"/>
      <c r="Z34" s="3972"/>
      <c r="AA34" s="3972"/>
      <c r="AB34" s="3972"/>
      <c r="AC34" s="3972"/>
      <c r="AD34" s="3972"/>
      <c r="AE34" s="3972"/>
      <c r="AF34" s="3972"/>
      <c r="AG34" s="3973"/>
      <c r="AH34" s="3395"/>
      <c r="AI34" s="3395"/>
      <c r="AJ34" s="3395"/>
      <c r="AK34" s="3395"/>
      <c r="AL34" s="3395"/>
      <c r="AM34" s="3395"/>
      <c r="AN34" s="3395"/>
      <c r="AO34" s="3395"/>
      <c r="AP34" s="3395"/>
      <c r="AQ34" s="3395"/>
      <c r="AR34" s="3395"/>
      <c r="AS34" s="3395"/>
      <c r="AT34" s="3395"/>
      <c r="AU34" s="3395"/>
      <c r="AV34" s="3395"/>
      <c r="AW34" s="3951"/>
      <c r="AX34" s="3951"/>
      <c r="AY34" s="3951"/>
      <c r="AZ34" s="3951"/>
      <c r="BA34" s="3951"/>
      <c r="BB34" s="3951"/>
      <c r="BC34" s="3951"/>
      <c r="BD34" s="3951"/>
      <c r="BE34" s="3952"/>
      <c r="BF34" s="3396"/>
      <c r="BG34" s="3396"/>
      <c r="BH34" s="3396"/>
      <c r="BI34" s="3396"/>
      <c r="BJ34" s="3396"/>
      <c r="BK34" s="3396"/>
      <c r="BL34" s="3396"/>
      <c r="BM34" s="3396"/>
      <c r="BN34" s="3396"/>
      <c r="BO34" s="3396"/>
      <c r="BP34" s="3396"/>
      <c r="BQ34" s="3396"/>
      <c r="BR34" s="3396"/>
      <c r="BS34" s="3396"/>
      <c r="BT34" s="3396"/>
      <c r="BU34" s="3396"/>
      <c r="BV34" s="3396"/>
      <c r="BW34" s="3396"/>
      <c r="BX34" s="3396"/>
      <c r="BY34" s="3396"/>
      <c r="BZ34" s="3396"/>
      <c r="CA34" s="3396"/>
      <c r="CB34" s="3396"/>
      <c r="CC34" s="3396"/>
      <c r="CD34" s="3396"/>
      <c r="CE34" s="3396"/>
      <c r="CF34" s="3396"/>
      <c r="CG34" s="3396"/>
      <c r="CH34" s="3396"/>
      <c r="CI34" s="3396"/>
      <c r="CJ34" s="3396"/>
      <c r="CK34" s="3396"/>
      <c r="CL34" s="3396"/>
      <c r="CM34" s="3396"/>
      <c r="CN34" s="3396"/>
      <c r="CO34" s="3396"/>
      <c r="CP34" s="3396"/>
      <c r="CQ34" s="3396"/>
      <c r="CR34" s="3396"/>
      <c r="CS34" s="3396"/>
      <c r="CT34" s="3396"/>
      <c r="CU34" s="3396"/>
      <c r="CV34" s="3396"/>
      <c r="CW34" s="3396"/>
      <c r="CX34" s="3396"/>
      <c r="CY34" s="75"/>
    </row>
    <row r="35" ht="18.75" customHeight="1" spans="1:103">
      <c r="A35" s="3965" t="s">
        <v>3915</v>
      </c>
      <c r="B35" s="3965"/>
      <c r="C35" s="3989" t="s">
        <v>5111</v>
      </c>
      <c r="D35" s="3989"/>
      <c r="E35" s="3989"/>
      <c r="F35" s="3989"/>
      <c r="G35" s="3989"/>
      <c r="H35" s="3989"/>
      <c r="I35" s="3989"/>
      <c r="J35" s="3989"/>
      <c r="K35" s="3989"/>
      <c r="L35" s="3989"/>
      <c r="M35" s="3989"/>
      <c r="N35" s="3989"/>
      <c r="O35" s="3989"/>
      <c r="P35" s="3989"/>
      <c r="Q35" s="3989"/>
      <c r="R35" s="3989"/>
      <c r="S35" s="3989"/>
      <c r="T35" s="3989"/>
      <c r="U35" s="3989"/>
      <c r="V35" s="3989"/>
      <c r="W35" s="3989"/>
      <c r="X35" s="3965" t="s">
        <v>19</v>
      </c>
      <c r="Y35" s="3990">
        <v>11488</v>
      </c>
      <c r="Z35" s="3990"/>
      <c r="AA35" s="3990"/>
      <c r="AB35" s="3990"/>
      <c r="AC35" s="3990"/>
      <c r="AD35" s="3990"/>
      <c r="AE35" s="3990"/>
      <c r="AF35" s="3990"/>
      <c r="AG35" s="3990"/>
      <c r="AH35" s="3395"/>
      <c r="AI35" s="3991"/>
      <c r="AJ35" s="3991"/>
      <c r="AK35" s="3991"/>
      <c r="AL35" s="3992" t="s">
        <v>5815</v>
      </c>
      <c r="AM35" s="3993"/>
      <c r="AN35" s="3395"/>
      <c r="AO35" s="3395"/>
      <c r="AP35" s="3395"/>
      <c r="AQ35" s="3395"/>
      <c r="AR35" s="3395"/>
      <c r="AS35" s="3395"/>
      <c r="AT35" s="3395"/>
      <c r="AU35" s="3395"/>
      <c r="AV35" s="3395"/>
      <c r="AW35" s="3951"/>
      <c r="AX35" s="3951"/>
      <c r="AY35" s="3951"/>
      <c r="AZ35" s="3951"/>
      <c r="BA35" s="3951"/>
      <c r="BB35" s="3951"/>
      <c r="BC35" s="3951"/>
      <c r="BD35" s="3951"/>
      <c r="BE35" s="3952"/>
      <c r="BF35" s="3396"/>
      <c r="BG35" s="3396"/>
      <c r="BH35" s="3396"/>
      <c r="BI35" s="3396"/>
      <c r="BJ35" s="3396"/>
      <c r="BK35" s="3396"/>
      <c r="BL35" s="3396"/>
      <c r="BM35" s="3396"/>
      <c r="BN35" s="3396"/>
      <c r="BO35" s="3396"/>
      <c r="BP35" s="3396"/>
      <c r="BQ35" s="3396"/>
      <c r="BR35" s="3396"/>
      <c r="BS35" s="3396"/>
      <c r="BT35" s="3396"/>
      <c r="BU35" s="3396"/>
      <c r="BV35" s="3396"/>
      <c r="BW35" s="3396"/>
      <c r="BX35" s="3396"/>
      <c r="BY35" s="3396"/>
      <c r="BZ35" s="3396"/>
      <c r="CA35" s="3396"/>
      <c r="CB35" s="3396"/>
      <c r="CC35" s="3396"/>
      <c r="CD35" s="3396"/>
      <c r="CE35" s="3396"/>
      <c r="CF35" s="3396"/>
      <c r="CG35" s="3396"/>
      <c r="CH35" s="3396"/>
      <c r="CI35" s="3396"/>
      <c r="CJ35" s="3396"/>
      <c r="CK35" s="3396"/>
      <c r="CL35" s="3396"/>
      <c r="CM35" s="3396"/>
      <c r="CN35" s="3396"/>
      <c r="CO35" s="3396"/>
      <c r="CP35" s="3396"/>
      <c r="CQ35" s="3396"/>
      <c r="CR35" s="3396"/>
      <c r="CS35" s="3396"/>
      <c r="CT35" s="3396"/>
      <c r="CU35" s="3396"/>
      <c r="CV35" s="3396"/>
      <c r="CW35" s="3396"/>
      <c r="CX35" s="3396"/>
      <c r="CY35" s="75"/>
    </row>
    <row r="36" ht="18.75" customHeight="1" spans="1:103">
      <c r="A36" s="3965" t="s">
        <v>3918</v>
      </c>
      <c r="B36" s="3965"/>
      <c r="C36" s="3989" t="s">
        <v>5113</v>
      </c>
      <c r="D36" s="3989"/>
      <c r="E36" s="3989"/>
      <c r="F36" s="3989"/>
      <c r="G36" s="3989"/>
      <c r="H36" s="3989"/>
      <c r="I36" s="3989"/>
      <c r="J36" s="3989"/>
      <c r="K36" s="3989"/>
      <c r="L36" s="3989"/>
      <c r="M36" s="3989"/>
      <c r="N36" s="3989"/>
      <c r="O36" s="3989"/>
      <c r="P36" s="3989"/>
      <c r="Q36" s="3989"/>
      <c r="R36" s="3989"/>
      <c r="S36" s="3989"/>
      <c r="T36" s="3989"/>
      <c r="U36" s="3989"/>
      <c r="V36" s="3989"/>
      <c r="W36" s="3989"/>
      <c r="X36" s="3965" t="s">
        <v>19</v>
      </c>
      <c r="Y36" s="3990"/>
      <c r="Z36" s="3990"/>
      <c r="AA36" s="3990"/>
      <c r="AB36" s="3990"/>
      <c r="AC36" s="3990"/>
      <c r="AD36" s="3990"/>
      <c r="AE36" s="3990"/>
      <c r="AF36" s="3990"/>
      <c r="AG36" s="3990"/>
      <c r="AH36" s="3395"/>
      <c r="AI36" s="3991"/>
      <c r="AJ36" s="3991"/>
      <c r="AK36" s="3991"/>
      <c r="AL36" s="3992" t="s">
        <v>5113</v>
      </c>
      <c r="AM36" s="3993"/>
      <c r="AN36" s="3395"/>
      <c r="AO36" s="3395"/>
      <c r="AP36" s="3395"/>
      <c r="AQ36" s="3395"/>
      <c r="AR36" s="3395"/>
      <c r="AS36" s="3395"/>
      <c r="AT36" s="3395"/>
      <c r="AU36" s="3395"/>
      <c r="AV36" s="3395"/>
      <c r="AW36" s="3951"/>
      <c r="AX36" s="3951"/>
      <c r="AY36" s="3951"/>
      <c r="AZ36" s="3951"/>
      <c r="BA36" s="3951"/>
      <c r="BB36" s="3951"/>
      <c r="BC36" s="3951"/>
      <c r="BD36" s="3951"/>
      <c r="BE36" s="3952"/>
      <c r="BF36" s="3396"/>
      <c r="BG36" s="3396"/>
      <c r="BH36" s="3396"/>
      <c r="BI36" s="3396"/>
      <c r="BJ36" s="3396"/>
      <c r="BK36" s="3396"/>
      <c r="BL36" s="3396"/>
      <c r="BM36" s="3396"/>
      <c r="BN36" s="3396"/>
      <c r="BO36" s="3396"/>
      <c r="BP36" s="3396"/>
      <c r="BQ36" s="3396"/>
      <c r="BR36" s="3396"/>
      <c r="BS36" s="3396"/>
      <c r="BT36" s="3396"/>
      <c r="BU36" s="3396"/>
      <c r="BV36" s="3396"/>
      <c r="BW36" s="3396"/>
      <c r="BX36" s="3396"/>
      <c r="BY36" s="3396"/>
      <c r="BZ36" s="3396"/>
      <c r="CA36" s="3396"/>
      <c r="CB36" s="3396"/>
      <c r="CC36" s="3396"/>
      <c r="CD36" s="3396"/>
      <c r="CE36" s="3396"/>
      <c r="CF36" s="3396"/>
      <c r="CG36" s="3396"/>
      <c r="CH36" s="3396"/>
      <c r="CI36" s="3396"/>
      <c r="CJ36" s="3396"/>
      <c r="CK36" s="3396"/>
      <c r="CL36" s="3396"/>
      <c r="CM36" s="3396"/>
      <c r="CN36" s="3396"/>
      <c r="CO36" s="3396"/>
      <c r="CP36" s="3396"/>
      <c r="CQ36" s="3396"/>
      <c r="CR36" s="3396"/>
      <c r="CS36" s="3396"/>
      <c r="CT36" s="3396"/>
      <c r="CU36" s="3396"/>
      <c r="CV36" s="3396"/>
      <c r="CW36" s="3396"/>
      <c r="CX36" s="3396"/>
      <c r="CY36" s="75"/>
    </row>
    <row r="37" ht="18.75" customHeight="1" spans="1:103">
      <c r="A37" s="3965" t="s">
        <v>3920</v>
      </c>
      <c r="B37" s="3965"/>
      <c r="C37" s="3989" t="s">
        <v>5115</v>
      </c>
      <c r="D37" s="3989"/>
      <c r="E37" s="3989"/>
      <c r="F37" s="3989"/>
      <c r="G37" s="3989"/>
      <c r="H37" s="3989"/>
      <c r="I37" s="3989"/>
      <c r="J37" s="3989"/>
      <c r="K37" s="3989"/>
      <c r="L37" s="3989"/>
      <c r="M37" s="3989"/>
      <c r="N37" s="3989"/>
      <c r="O37" s="3989"/>
      <c r="P37" s="3989"/>
      <c r="Q37" s="3989"/>
      <c r="R37" s="3989"/>
      <c r="S37" s="3989"/>
      <c r="T37" s="3989"/>
      <c r="U37" s="3989"/>
      <c r="V37" s="3989"/>
      <c r="W37" s="3989"/>
      <c r="X37" s="3965" t="s">
        <v>19</v>
      </c>
      <c r="Y37" s="3990">
        <v>3250</v>
      </c>
      <c r="Z37" s="3990"/>
      <c r="AA37" s="3990"/>
      <c r="AB37" s="3990"/>
      <c r="AC37" s="3990"/>
      <c r="AD37" s="3990"/>
      <c r="AE37" s="3990"/>
      <c r="AF37" s="3990"/>
      <c r="AG37" s="3990"/>
      <c r="AH37" s="3395"/>
      <c r="AI37" s="3991"/>
      <c r="AJ37" s="3991"/>
      <c r="AK37" s="3991"/>
      <c r="AL37" s="3992" t="s">
        <v>5816</v>
      </c>
      <c r="AM37" s="3993"/>
      <c r="AN37" s="3395"/>
      <c r="AO37" s="3395"/>
      <c r="AP37" s="3395"/>
      <c r="AQ37" s="3395"/>
      <c r="AR37" s="3395"/>
      <c r="AS37" s="3395"/>
      <c r="AT37" s="3395"/>
      <c r="AU37" s="3395"/>
      <c r="AV37" s="3395"/>
      <c r="AW37" s="3951"/>
      <c r="AX37" s="3951"/>
      <c r="AY37" s="3951"/>
      <c r="AZ37" s="3951"/>
      <c r="BA37" s="3951"/>
      <c r="BB37" s="3951"/>
      <c r="BC37" s="3951"/>
      <c r="BD37" s="3951"/>
      <c r="BE37" s="3952"/>
      <c r="BF37" s="3396"/>
      <c r="BG37" s="3396"/>
      <c r="BH37" s="3396"/>
      <c r="BI37" s="3396"/>
      <c r="BJ37" s="3396"/>
      <c r="BK37" s="3396"/>
      <c r="BL37" s="3396"/>
      <c r="BM37" s="3396"/>
      <c r="BN37" s="3396"/>
      <c r="BO37" s="3396"/>
      <c r="BP37" s="3396"/>
      <c r="BQ37" s="3396"/>
      <c r="BR37" s="3396"/>
      <c r="BS37" s="3396"/>
      <c r="BT37" s="3396"/>
      <c r="BU37" s="3396"/>
      <c r="BV37" s="3396"/>
      <c r="BW37" s="3396"/>
      <c r="BX37" s="3396"/>
      <c r="BY37" s="3396"/>
      <c r="BZ37" s="3396"/>
      <c r="CA37" s="3396"/>
      <c r="CB37" s="3396"/>
      <c r="CC37" s="3396"/>
      <c r="CD37" s="3396"/>
      <c r="CE37" s="3396"/>
      <c r="CF37" s="3396"/>
      <c r="CG37" s="3396"/>
      <c r="CH37" s="3396"/>
      <c r="CI37" s="3396"/>
      <c r="CJ37" s="3396"/>
      <c r="CK37" s="3396"/>
      <c r="CL37" s="3396"/>
      <c r="CM37" s="3396"/>
      <c r="CN37" s="3396"/>
      <c r="CO37" s="3396"/>
      <c r="CP37" s="3396"/>
      <c r="CQ37" s="3396"/>
      <c r="CR37" s="3396"/>
      <c r="CS37" s="3396"/>
      <c r="CT37" s="3396"/>
      <c r="CU37" s="3396"/>
      <c r="CV37" s="3396"/>
      <c r="CW37" s="3396"/>
      <c r="CX37" s="3396"/>
      <c r="CY37" s="75"/>
    </row>
    <row r="38" ht="18.75" customHeight="1" spans="1:103">
      <c r="A38" s="3965" t="s">
        <v>3923</v>
      </c>
      <c r="B38" s="3965"/>
      <c r="C38" s="3989" t="s">
        <v>5117</v>
      </c>
      <c r="D38" s="3989"/>
      <c r="E38" s="3989"/>
      <c r="F38" s="3989"/>
      <c r="G38" s="3989"/>
      <c r="H38" s="3989"/>
      <c r="I38" s="3989"/>
      <c r="J38" s="3989"/>
      <c r="K38" s="3989"/>
      <c r="L38" s="3989"/>
      <c r="M38" s="3989"/>
      <c r="N38" s="3989"/>
      <c r="O38" s="3989"/>
      <c r="P38" s="3989"/>
      <c r="Q38" s="3989"/>
      <c r="R38" s="3989"/>
      <c r="S38" s="3989"/>
      <c r="T38" s="3989"/>
      <c r="U38" s="3989"/>
      <c r="V38" s="3989"/>
      <c r="W38" s="3989"/>
      <c r="X38" s="3965" t="s">
        <v>19</v>
      </c>
      <c r="Y38" s="3990"/>
      <c r="Z38" s="3990"/>
      <c r="AA38" s="3990"/>
      <c r="AB38" s="3990"/>
      <c r="AC38" s="3990"/>
      <c r="AD38" s="3990"/>
      <c r="AE38" s="3990"/>
      <c r="AF38" s="3990"/>
      <c r="AG38" s="3990"/>
      <c r="AH38" s="3395"/>
      <c r="AI38" s="3991"/>
      <c r="AJ38" s="3991"/>
      <c r="AK38" s="3991"/>
      <c r="AL38" s="3992" t="s">
        <v>5117</v>
      </c>
      <c r="AM38" s="3993"/>
      <c r="AN38" s="3395"/>
      <c r="AO38" s="3395"/>
      <c r="AP38" s="3395"/>
      <c r="AQ38" s="3395"/>
      <c r="AR38" s="3395"/>
      <c r="AS38" s="3395"/>
      <c r="AT38" s="3395"/>
      <c r="AU38" s="3395"/>
      <c r="AV38" s="3395"/>
      <c r="AW38" s="3951"/>
      <c r="AX38" s="3951"/>
      <c r="AY38" s="3951"/>
      <c r="AZ38" s="3951"/>
      <c r="BA38" s="3951"/>
      <c r="BB38" s="3951"/>
      <c r="BC38" s="3951"/>
      <c r="BD38" s="3951"/>
      <c r="BE38" s="3952"/>
      <c r="BF38" s="3396"/>
      <c r="BG38" s="3396"/>
      <c r="BH38" s="3396"/>
      <c r="BI38" s="3396"/>
      <c r="BJ38" s="3396"/>
      <c r="BK38" s="3396"/>
      <c r="BL38" s="3396"/>
      <c r="BM38" s="3396"/>
      <c r="BN38" s="3396"/>
      <c r="BO38" s="3396"/>
      <c r="BP38" s="3396"/>
      <c r="BQ38" s="3396"/>
      <c r="BR38" s="3396"/>
      <c r="BS38" s="3396"/>
      <c r="BT38" s="3396"/>
      <c r="BU38" s="3396"/>
      <c r="BV38" s="3396"/>
      <c r="BW38" s="3396"/>
      <c r="BX38" s="3396"/>
      <c r="BY38" s="3396"/>
      <c r="BZ38" s="3396"/>
      <c r="CA38" s="3396"/>
      <c r="CB38" s="3396"/>
      <c r="CC38" s="3396"/>
      <c r="CD38" s="3396"/>
      <c r="CE38" s="3396"/>
      <c r="CF38" s="3396"/>
      <c r="CG38" s="3396"/>
      <c r="CH38" s="3396"/>
      <c r="CI38" s="3396"/>
      <c r="CJ38" s="3396"/>
      <c r="CK38" s="3396"/>
      <c r="CL38" s="3396"/>
      <c r="CM38" s="3396"/>
      <c r="CN38" s="3396"/>
      <c r="CO38" s="3396"/>
      <c r="CP38" s="3396"/>
      <c r="CQ38" s="3396"/>
      <c r="CR38" s="3396"/>
      <c r="CS38" s="3396"/>
      <c r="CT38" s="3396"/>
      <c r="CU38" s="3396"/>
      <c r="CV38" s="3396"/>
      <c r="CW38" s="3396"/>
      <c r="CX38" s="3396"/>
      <c r="CY38" s="75"/>
    </row>
    <row r="39" ht="18.75" customHeight="1" spans="1:103">
      <c r="A39" s="3965" t="s">
        <v>3925</v>
      </c>
      <c r="B39" s="3965"/>
      <c r="C39" s="3989" t="s">
        <v>5119</v>
      </c>
      <c r="D39" s="3989"/>
      <c r="E39" s="3989"/>
      <c r="F39" s="3989"/>
      <c r="G39" s="3989"/>
      <c r="H39" s="3989"/>
      <c r="I39" s="3989"/>
      <c r="J39" s="3989"/>
      <c r="K39" s="3989"/>
      <c r="L39" s="3989"/>
      <c r="M39" s="3989"/>
      <c r="N39" s="3989"/>
      <c r="O39" s="3989"/>
      <c r="P39" s="3989"/>
      <c r="Q39" s="3989"/>
      <c r="R39" s="3989"/>
      <c r="S39" s="3989"/>
      <c r="T39" s="3989"/>
      <c r="U39" s="3989"/>
      <c r="V39" s="3989"/>
      <c r="W39" s="3989"/>
      <c r="X39" s="3965" t="s">
        <v>19</v>
      </c>
      <c r="Y39" s="3990"/>
      <c r="Z39" s="3990"/>
      <c r="AA39" s="3990"/>
      <c r="AB39" s="3990"/>
      <c r="AC39" s="3990"/>
      <c r="AD39" s="3990"/>
      <c r="AE39" s="3990"/>
      <c r="AF39" s="3990"/>
      <c r="AG39" s="3990"/>
      <c r="AH39" s="3395"/>
      <c r="AI39" s="3991"/>
      <c r="AJ39" s="3991"/>
      <c r="AK39" s="3991"/>
      <c r="AL39" s="3992" t="s">
        <v>5817</v>
      </c>
      <c r="AM39" s="3993"/>
      <c r="AN39" s="3395"/>
      <c r="AO39" s="3395"/>
      <c r="AP39" s="3395"/>
      <c r="AQ39" s="3395"/>
      <c r="AR39" s="3395"/>
      <c r="AS39" s="3395"/>
      <c r="AT39" s="3395"/>
      <c r="AU39" s="3395"/>
      <c r="AV39" s="3395"/>
      <c r="AW39" s="3951"/>
      <c r="AX39" s="3951"/>
      <c r="AY39" s="3951"/>
      <c r="AZ39" s="3951"/>
      <c r="BA39" s="3951"/>
      <c r="BB39" s="3951"/>
      <c r="BC39" s="3951"/>
      <c r="BD39" s="3951"/>
      <c r="BE39" s="3952"/>
      <c r="BF39" s="3396"/>
      <c r="BG39" s="3396"/>
      <c r="BH39" s="3396"/>
      <c r="BI39" s="3396"/>
      <c r="BJ39" s="3396"/>
      <c r="BK39" s="3396"/>
      <c r="BL39" s="3396"/>
      <c r="BM39" s="3396"/>
      <c r="BN39" s="3396"/>
      <c r="BO39" s="3396"/>
      <c r="BP39" s="3396"/>
      <c r="BQ39" s="3396"/>
      <c r="BR39" s="3396"/>
      <c r="BS39" s="3396"/>
      <c r="BT39" s="3396"/>
      <c r="BU39" s="3396"/>
      <c r="BV39" s="3396"/>
      <c r="BW39" s="3396"/>
      <c r="BX39" s="3396"/>
      <c r="BY39" s="3396"/>
      <c r="BZ39" s="3396"/>
      <c r="CA39" s="3396"/>
      <c r="CB39" s="3396"/>
      <c r="CC39" s="3396"/>
      <c r="CD39" s="3396"/>
      <c r="CE39" s="3396"/>
      <c r="CF39" s="3396"/>
      <c r="CG39" s="3396"/>
      <c r="CH39" s="3396"/>
      <c r="CI39" s="3396"/>
      <c r="CJ39" s="3396"/>
      <c r="CK39" s="3396"/>
      <c r="CL39" s="3396"/>
      <c r="CM39" s="3396"/>
      <c r="CN39" s="3396"/>
      <c r="CO39" s="3396"/>
      <c r="CP39" s="3396"/>
      <c r="CQ39" s="3396"/>
      <c r="CR39" s="3396"/>
      <c r="CS39" s="3396"/>
      <c r="CT39" s="3396"/>
      <c r="CU39" s="3396"/>
      <c r="CV39" s="3396"/>
      <c r="CW39" s="3396"/>
      <c r="CX39" s="3396"/>
      <c r="CY39" s="75"/>
    </row>
    <row r="40" ht="18.75" customHeight="1" spans="1:103">
      <c r="A40" s="3965" t="s">
        <v>3928</v>
      </c>
      <c r="B40" s="3965"/>
      <c r="C40" s="3989" t="s">
        <v>5121</v>
      </c>
      <c r="D40" s="3989"/>
      <c r="E40" s="3989"/>
      <c r="F40" s="3989"/>
      <c r="G40" s="3989"/>
      <c r="H40" s="3989"/>
      <c r="I40" s="3989"/>
      <c r="J40" s="3989"/>
      <c r="K40" s="3989"/>
      <c r="L40" s="3989"/>
      <c r="M40" s="3989"/>
      <c r="N40" s="3989"/>
      <c r="O40" s="3989"/>
      <c r="P40" s="3989"/>
      <c r="Q40" s="3989"/>
      <c r="R40" s="3989"/>
      <c r="S40" s="3989"/>
      <c r="T40" s="3989"/>
      <c r="U40" s="3989"/>
      <c r="V40" s="3989"/>
      <c r="W40" s="3989"/>
      <c r="X40" s="3965" t="s">
        <v>19</v>
      </c>
      <c r="Y40" s="3990"/>
      <c r="Z40" s="3990"/>
      <c r="AA40" s="3990"/>
      <c r="AB40" s="3990"/>
      <c r="AC40" s="3990"/>
      <c r="AD40" s="3990"/>
      <c r="AE40" s="3990"/>
      <c r="AF40" s="3990"/>
      <c r="AG40" s="3990"/>
      <c r="AH40" s="3395"/>
      <c r="AI40" s="3991"/>
      <c r="AJ40" s="3991"/>
      <c r="AK40" s="3991"/>
      <c r="AL40" s="3992" t="s">
        <v>5121</v>
      </c>
      <c r="AM40" s="3993"/>
      <c r="AN40" s="3395"/>
      <c r="AO40" s="3395"/>
      <c r="AP40" s="3395"/>
      <c r="AQ40" s="3395"/>
      <c r="AR40" s="3395"/>
      <c r="AS40" s="3395"/>
      <c r="AT40" s="3395"/>
      <c r="AU40" s="3395"/>
      <c r="AV40" s="3395"/>
      <c r="AW40" s="3951"/>
      <c r="AX40" s="3951"/>
      <c r="AY40" s="3951"/>
      <c r="AZ40" s="3951"/>
      <c r="BA40" s="3951"/>
      <c r="BB40" s="3951"/>
      <c r="BC40" s="3951"/>
      <c r="BD40" s="3951"/>
      <c r="BE40" s="3952"/>
      <c r="BF40" s="3396"/>
      <c r="BG40" s="3396"/>
      <c r="BH40" s="3396"/>
      <c r="BI40" s="3396"/>
      <c r="BJ40" s="3396"/>
      <c r="BK40" s="3396"/>
      <c r="BL40" s="3396"/>
      <c r="BM40" s="3396"/>
      <c r="BN40" s="3396"/>
      <c r="BO40" s="3396"/>
      <c r="BP40" s="3396"/>
      <c r="BQ40" s="3396"/>
      <c r="BR40" s="3396"/>
      <c r="BS40" s="3396"/>
      <c r="BT40" s="3396"/>
      <c r="BU40" s="3396"/>
      <c r="BV40" s="3396"/>
      <c r="BW40" s="3396"/>
      <c r="BX40" s="3396"/>
      <c r="BY40" s="3396"/>
      <c r="BZ40" s="3396"/>
      <c r="CA40" s="3396"/>
      <c r="CB40" s="3396"/>
      <c r="CC40" s="3396"/>
      <c r="CD40" s="3396"/>
      <c r="CE40" s="3396"/>
      <c r="CF40" s="3396"/>
      <c r="CG40" s="3396"/>
      <c r="CH40" s="3396"/>
      <c r="CI40" s="3396"/>
      <c r="CJ40" s="3396"/>
      <c r="CK40" s="3396"/>
      <c r="CL40" s="3396"/>
      <c r="CM40" s="3396"/>
      <c r="CN40" s="3396"/>
      <c r="CO40" s="3396"/>
      <c r="CP40" s="3396"/>
      <c r="CQ40" s="3396"/>
      <c r="CR40" s="3396"/>
      <c r="CS40" s="3396"/>
      <c r="CT40" s="3396"/>
      <c r="CU40" s="3396"/>
      <c r="CV40" s="3396"/>
      <c r="CW40" s="3396"/>
      <c r="CX40" s="3396"/>
      <c r="CY40" s="75"/>
    </row>
    <row r="41" ht="18.75" customHeight="1" spans="1:103">
      <c r="A41" s="3965" t="s">
        <v>3934</v>
      </c>
      <c r="B41" s="3965"/>
      <c r="C41" s="3989" t="s">
        <v>5818</v>
      </c>
      <c r="D41" s="3989"/>
      <c r="E41" s="3989"/>
      <c r="F41" s="3989"/>
      <c r="G41" s="3989"/>
      <c r="H41" s="3989"/>
      <c r="I41" s="3989"/>
      <c r="J41" s="3989"/>
      <c r="K41" s="3989"/>
      <c r="L41" s="3989"/>
      <c r="M41" s="3989"/>
      <c r="N41" s="3989"/>
      <c r="O41" s="3989"/>
      <c r="P41" s="3989"/>
      <c r="Q41" s="3989"/>
      <c r="R41" s="3989"/>
      <c r="S41" s="3989"/>
      <c r="T41" s="3989"/>
      <c r="U41" s="3989"/>
      <c r="V41" s="3989"/>
      <c r="W41" s="3989"/>
      <c r="X41" s="3965" t="s">
        <v>19</v>
      </c>
      <c r="Y41" s="3990"/>
      <c r="Z41" s="3990"/>
      <c r="AA41" s="3990"/>
      <c r="AB41" s="3990"/>
      <c r="AC41" s="3990"/>
      <c r="AD41" s="3990"/>
      <c r="AE41" s="3990"/>
      <c r="AF41" s="3990"/>
      <c r="AG41" s="3990"/>
      <c r="AH41" s="3395"/>
      <c r="AI41" s="3991"/>
      <c r="AJ41" s="3991"/>
      <c r="AK41" s="3991"/>
      <c r="AL41" s="3992"/>
      <c r="AM41" s="3993"/>
      <c r="AN41" s="3395"/>
      <c r="AO41" s="3395"/>
      <c r="AP41" s="3395"/>
      <c r="AQ41" s="3395"/>
      <c r="AR41" s="3395"/>
      <c r="AS41" s="3395"/>
      <c r="AT41" s="3395"/>
      <c r="AU41" s="3395"/>
      <c r="AV41" s="3395"/>
      <c r="AW41" s="3951"/>
      <c r="AX41" s="3951"/>
      <c r="AY41" s="3951"/>
      <c r="AZ41" s="3951"/>
      <c r="BA41" s="3951"/>
      <c r="BB41" s="3951"/>
      <c r="BC41" s="3951"/>
      <c r="BD41" s="3951"/>
      <c r="BE41" s="3952"/>
      <c r="BF41" s="3396"/>
      <c r="BG41" s="3396"/>
      <c r="BH41" s="3396"/>
      <c r="BI41" s="3396"/>
      <c r="BJ41" s="3396"/>
      <c r="BK41" s="3396"/>
      <c r="BL41" s="3396"/>
      <c r="BM41" s="3396"/>
      <c r="BN41" s="3396"/>
      <c r="BO41" s="3396"/>
      <c r="BP41" s="3396"/>
      <c r="BQ41" s="3396"/>
      <c r="BR41" s="3396"/>
      <c r="BS41" s="3396"/>
      <c r="BT41" s="3396"/>
      <c r="BU41" s="3396"/>
      <c r="BV41" s="3396"/>
      <c r="BW41" s="3396"/>
      <c r="BX41" s="3396"/>
      <c r="BY41" s="3396"/>
      <c r="BZ41" s="3396"/>
      <c r="CA41" s="3396"/>
      <c r="CB41" s="3396"/>
      <c r="CC41" s="3396"/>
      <c r="CD41" s="3396"/>
      <c r="CE41" s="3396"/>
      <c r="CF41" s="3396"/>
      <c r="CG41" s="3396"/>
      <c r="CH41" s="3396"/>
      <c r="CI41" s="3396"/>
      <c r="CJ41" s="3396"/>
      <c r="CK41" s="3396"/>
      <c r="CL41" s="3396"/>
      <c r="CM41" s="3396"/>
      <c r="CN41" s="3396"/>
      <c r="CO41" s="3396"/>
      <c r="CP41" s="3396"/>
      <c r="CQ41" s="3396"/>
      <c r="CR41" s="3396"/>
      <c r="CS41" s="3396"/>
      <c r="CT41" s="3396"/>
      <c r="CU41" s="3396"/>
      <c r="CV41" s="3396"/>
      <c r="CW41" s="3396"/>
      <c r="CX41" s="3396"/>
      <c r="CY41" s="75"/>
    </row>
    <row r="42" ht="30.75" customHeight="1" spans="1:103">
      <c r="A42" s="3965" t="s">
        <v>3945</v>
      </c>
      <c r="B42" s="3965"/>
      <c r="C42" s="3994" t="s">
        <v>3732</v>
      </c>
      <c r="D42" s="3994"/>
      <c r="E42" s="3994"/>
      <c r="F42" s="3994"/>
      <c r="G42" s="3994"/>
      <c r="H42" s="3994"/>
      <c r="I42" s="3994"/>
      <c r="J42" s="3994"/>
      <c r="K42" s="3994"/>
      <c r="L42" s="3994"/>
      <c r="M42" s="3994"/>
      <c r="N42" s="3994"/>
      <c r="O42" s="3994"/>
      <c r="P42" s="3994"/>
      <c r="Q42" s="3994"/>
      <c r="R42" s="3994"/>
      <c r="S42" s="3994"/>
      <c r="T42" s="3994"/>
      <c r="U42" s="3994"/>
      <c r="V42" s="3994"/>
      <c r="W42" s="3994"/>
      <c r="X42" s="3965" t="s">
        <v>19</v>
      </c>
      <c r="Y42" s="3990"/>
      <c r="Z42" s="3990"/>
      <c r="AA42" s="3990"/>
      <c r="AB42" s="3990"/>
      <c r="AC42" s="3990"/>
      <c r="AD42" s="3990"/>
      <c r="AE42" s="3990"/>
      <c r="AF42" s="3990"/>
      <c r="AG42" s="3990"/>
      <c r="AH42" s="3995"/>
      <c r="AI42" s="3996"/>
      <c r="AJ42" s="3996"/>
      <c r="AK42" s="3996"/>
      <c r="AL42" s="3997" t="s">
        <v>5819</v>
      </c>
      <c r="AM42" s="3997"/>
      <c r="AN42" s="3395"/>
      <c r="AO42" s="3395"/>
      <c r="AP42" s="3395"/>
      <c r="AQ42" s="3395"/>
      <c r="AR42" s="3395"/>
      <c r="AS42" s="3395"/>
      <c r="AT42" s="3395"/>
      <c r="AU42" s="3395"/>
      <c r="AV42" s="3395"/>
      <c r="AW42" s="3951"/>
      <c r="AX42" s="3951"/>
      <c r="AY42" s="3951"/>
      <c r="AZ42" s="3951"/>
      <c r="BA42" s="3951"/>
      <c r="BB42" s="3951"/>
      <c r="BC42" s="3951"/>
      <c r="BD42" s="3951"/>
      <c r="BE42" s="3952"/>
      <c r="BF42" s="3396"/>
      <c r="BG42" s="3396"/>
      <c r="BH42" s="3396"/>
      <c r="BI42" s="3396"/>
      <c r="BJ42" s="3396"/>
      <c r="BK42" s="3396"/>
      <c r="BL42" s="3396"/>
      <c r="BM42" s="3396"/>
      <c r="BN42" s="3396"/>
      <c r="BO42" s="3396"/>
      <c r="BP42" s="3396"/>
      <c r="BQ42" s="3396"/>
      <c r="BR42" s="3396"/>
      <c r="BS42" s="3396"/>
      <c r="BT42" s="3396"/>
      <c r="BU42" s="3396"/>
      <c r="BV42" s="3396"/>
      <c r="BW42" s="3396"/>
      <c r="BX42" s="3396"/>
      <c r="BY42" s="3396"/>
      <c r="BZ42" s="3396"/>
      <c r="CA42" s="3396"/>
      <c r="CB42" s="3396"/>
      <c r="CC42" s="3396"/>
      <c r="CD42" s="3396"/>
      <c r="CE42" s="3396"/>
      <c r="CF42" s="3396"/>
      <c r="CG42" s="3396"/>
      <c r="CH42" s="3396"/>
      <c r="CI42" s="3396"/>
      <c r="CJ42" s="3396"/>
      <c r="CK42" s="3396"/>
      <c r="CL42" s="3396"/>
      <c r="CM42" s="3396"/>
      <c r="CN42" s="3396"/>
      <c r="CO42" s="3396"/>
      <c r="CP42" s="3396"/>
      <c r="CQ42" s="3396"/>
      <c r="CR42" s="3396"/>
      <c r="CS42" s="3396"/>
      <c r="CT42" s="3396"/>
      <c r="CU42" s="3396"/>
      <c r="CV42" s="3396"/>
      <c r="CW42" s="3396"/>
      <c r="CX42" s="3396"/>
      <c r="CY42" s="75"/>
    </row>
    <row r="43" ht="18.75" customHeight="1" spans="1:103">
      <c r="A43" s="3965" t="s">
        <v>3947</v>
      </c>
      <c r="B43" s="3965"/>
      <c r="C43" s="3989" t="s">
        <v>3734</v>
      </c>
      <c r="D43" s="3989"/>
      <c r="E43" s="3989"/>
      <c r="F43" s="3989"/>
      <c r="G43" s="3989"/>
      <c r="H43" s="3989"/>
      <c r="I43" s="3989"/>
      <c r="J43" s="3989"/>
      <c r="K43" s="3989"/>
      <c r="L43" s="3989"/>
      <c r="M43" s="3989"/>
      <c r="N43" s="3989"/>
      <c r="O43" s="3989"/>
      <c r="P43" s="3989"/>
      <c r="Q43" s="3989"/>
      <c r="R43" s="3989"/>
      <c r="S43" s="3989"/>
      <c r="T43" s="3989"/>
      <c r="U43" s="3989"/>
      <c r="V43" s="3989"/>
      <c r="W43" s="3989"/>
      <c r="X43" s="3965" t="s">
        <v>19</v>
      </c>
      <c r="Y43" s="3990"/>
      <c r="Z43" s="3990"/>
      <c r="AA43" s="3990"/>
      <c r="AB43" s="3990"/>
      <c r="AC43" s="3990"/>
      <c r="AD43" s="3990"/>
      <c r="AE43" s="3990"/>
      <c r="AF43" s="3990"/>
      <c r="AG43" s="3990"/>
      <c r="AH43" s="3395"/>
      <c r="AI43" s="3991"/>
      <c r="AJ43" s="3991"/>
      <c r="AK43" s="3991"/>
      <c r="AL43" s="3992" t="s">
        <v>3734</v>
      </c>
      <c r="AM43" s="3993"/>
      <c r="AN43" s="3395"/>
      <c r="AO43" s="3395"/>
      <c r="AP43" s="3395"/>
      <c r="AQ43" s="3395"/>
      <c r="AR43" s="3395"/>
      <c r="AS43" s="3395"/>
      <c r="AT43" s="3395"/>
      <c r="AU43" s="3395"/>
      <c r="AV43" s="3395"/>
      <c r="AW43" s="3951"/>
      <c r="AX43" s="3951"/>
      <c r="AY43" s="3951"/>
      <c r="AZ43" s="3951"/>
      <c r="BA43" s="3951"/>
      <c r="BB43" s="3951"/>
      <c r="BC43" s="3951"/>
      <c r="BD43" s="3951"/>
      <c r="BE43" s="3952"/>
      <c r="BF43" s="3396"/>
      <c r="BG43" s="3396"/>
      <c r="BH43" s="3396"/>
      <c r="BI43" s="3396"/>
      <c r="BJ43" s="3396"/>
      <c r="BK43" s="3396"/>
      <c r="BL43" s="3396"/>
      <c r="BM43" s="3396"/>
      <c r="BN43" s="3396"/>
      <c r="BO43" s="3396"/>
      <c r="BP43" s="3396"/>
      <c r="BQ43" s="3396"/>
      <c r="BR43" s="3396"/>
      <c r="BS43" s="3396"/>
      <c r="BT43" s="3396"/>
      <c r="BU43" s="3396"/>
      <c r="BV43" s="3396"/>
      <c r="BW43" s="3396"/>
      <c r="BX43" s="3396"/>
      <c r="BY43" s="3396"/>
      <c r="BZ43" s="3396"/>
      <c r="CA43" s="3396"/>
      <c r="CB43" s="3396"/>
      <c r="CC43" s="3396"/>
      <c r="CD43" s="3396"/>
      <c r="CE43" s="3396"/>
      <c r="CF43" s="3396"/>
      <c r="CG43" s="3396"/>
      <c r="CH43" s="3396"/>
      <c r="CI43" s="3396"/>
      <c r="CJ43" s="3396"/>
      <c r="CK43" s="3396"/>
      <c r="CL43" s="3396"/>
      <c r="CM43" s="3396"/>
      <c r="CN43" s="3396"/>
      <c r="CO43" s="3396"/>
      <c r="CP43" s="3396"/>
      <c r="CQ43" s="3396"/>
      <c r="CR43" s="3396"/>
      <c r="CS43" s="3396"/>
      <c r="CT43" s="3396"/>
      <c r="CU43" s="3396"/>
      <c r="CV43" s="3396"/>
      <c r="CW43" s="3396"/>
      <c r="CX43" s="3396"/>
      <c r="CY43" s="75"/>
    </row>
    <row r="44" ht="43.5" customHeight="1" spans="1:103">
      <c r="A44" s="3965" t="s">
        <v>5705</v>
      </c>
      <c r="B44" s="3965"/>
      <c r="C44" s="3994" t="s">
        <v>5820</v>
      </c>
      <c r="D44" s="3994"/>
      <c r="E44" s="3994"/>
      <c r="F44" s="3994"/>
      <c r="G44" s="3994"/>
      <c r="H44" s="3994"/>
      <c r="I44" s="3994"/>
      <c r="J44" s="3994"/>
      <c r="K44" s="3994"/>
      <c r="L44" s="3994"/>
      <c r="M44" s="3994"/>
      <c r="N44" s="3994"/>
      <c r="O44" s="3994"/>
      <c r="P44" s="3994"/>
      <c r="Q44" s="3994"/>
      <c r="R44" s="3994"/>
      <c r="S44" s="3994"/>
      <c r="T44" s="3994"/>
      <c r="U44" s="3994"/>
      <c r="V44" s="3994"/>
      <c r="W44" s="3994"/>
      <c r="X44" s="3965" t="s">
        <v>19</v>
      </c>
      <c r="Y44" s="3990"/>
      <c r="Z44" s="3990"/>
      <c r="AA44" s="3990"/>
      <c r="AB44" s="3990"/>
      <c r="AC44" s="3990"/>
      <c r="AD44" s="3990"/>
      <c r="AE44" s="3990"/>
      <c r="AF44" s="3990"/>
      <c r="AG44" s="3990"/>
      <c r="AH44" s="3944"/>
      <c r="AI44" s="3395"/>
      <c r="AJ44" s="3395"/>
      <c r="AK44" s="3395"/>
      <c r="AL44" s="3998"/>
      <c r="AM44" s="3395"/>
      <c r="AN44" s="3395"/>
      <c r="AO44" s="3395"/>
      <c r="AP44" s="3395"/>
      <c r="AQ44" s="3395"/>
      <c r="AR44" s="3395"/>
      <c r="AS44" s="3395"/>
      <c r="AT44" s="3395"/>
      <c r="AU44" s="3395"/>
      <c r="AV44" s="3395"/>
      <c r="AW44" s="3951"/>
      <c r="AX44" s="3951"/>
      <c r="AY44" s="3951"/>
      <c r="AZ44" s="3951"/>
      <c r="BA44" s="3951"/>
      <c r="BB44" s="3951"/>
      <c r="BC44" s="3951"/>
      <c r="BD44" s="3951"/>
      <c r="BE44" s="3952"/>
      <c r="BF44" s="3396"/>
      <c r="BG44" s="3396"/>
      <c r="BH44" s="3396"/>
      <c r="BI44" s="3396"/>
      <c r="BJ44" s="3396"/>
      <c r="BK44" s="3396"/>
      <c r="BL44" s="3396"/>
      <c r="BM44" s="3396"/>
      <c r="BN44" s="3396"/>
      <c r="BO44" s="3396"/>
      <c r="BP44" s="3396"/>
      <c r="BQ44" s="3396"/>
      <c r="BR44" s="3396"/>
      <c r="BS44" s="3396"/>
      <c r="BT44" s="3396"/>
      <c r="BU44" s="3396"/>
      <c r="BV44" s="3396"/>
      <c r="BW44" s="3396"/>
      <c r="BX44" s="3396"/>
      <c r="BY44" s="3396"/>
      <c r="BZ44" s="3396"/>
      <c r="CA44" s="3396"/>
      <c r="CB44" s="3396"/>
      <c r="CC44" s="3396"/>
      <c r="CD44" s="3396"/>
      <c r="CE44" s="3396"/>
      <c r="CF44" s="3396"/>
      <c r="CG44" s="3396"/>
      <c r="CH44" s="3396"/>
      <c r="CI44" s="3396"/>
      <c r="CJ44" s="3396"/>
      <c r="CK44" s="3396"/>
      <c r="CL44" s="3396"/>
      <c r="CM44" s="3396"/>
      <c r="CN44" s="3396"/>
      <c r="CO44" s="3396"/>
      <c r="CP44" s="3396"/>
      <c r="CQ44" s="3396"/>
      <c r="CR44" s="3396"/>
      <c r="CS44" s="3396"/>
      <c r="CT44" s="3396"/>
      <c r="CU44" s="3396"/>
      <c r="CV44" s="3396"/>
      <c r="CW44" s="3396"/>
      <c r="CX44" s="3396"/>
      <c r="CY44" s="75"/>
    </row>
    <row r="45" ht="36" customHeight="1" spans="1:103">
      <c r="A45" s="3965" t="s">
        <v>5707</v>
      </c>
      <c r="B45" s="3965"/>
      <c r="C45" s="3994" t="s">
        <v>5821</v>
      </c>
      <c r="D45" s="3994"/>
      <c r="E45" s="3994"/>
      <c r="F45" s="3994"/>
      <c r="G45" s="3994"/>
      <c r="H45" s="3994"/>
      <c r="I45" s="3994"/>
      <c r="J45" s="3994"/>
      <c r="K45" s="3994"/>
      <c r="L45" s="3994"/>
      <c r="M45" s="3994"/>
      <c r="N45" s="3994"/>
      <c r="O45" s="3994"/>
      <c r="P45" s="3994"/>
      <c r="Q45" s="3994"/>
      <c r="R45" s="3994"/>
      <c r="S45" s="3994"/>
      <c r="T45" s="3994"/>
      <c r="U45" s="3994"/>
      <c r="V45" s="3994"/>
      <c r="W45" s="3994"/>
      <c r="X45" s="3965" t="s">
        <v>19</v>
      </c>
      <c r="Y45" s="3990"/>
      <c r="Z45" s="3990"/>
      <c r="AA45" s="3990"/>
      <c r="AB45" s="3990"/>
      <c r="AC45" s="3990"/>
      <c r="AD45" s="3990"/>
      <c r="AE45" s="3990"/>
      <c r="AF45" s="3990"/>
      <c r="AG45" s="3990"/>
      <c r="AH45" s="3944"/>
      <c r="AI45" s="3944"/>
      <c r="AJ45" s="3944"/>
      <c r="AK45" s="3944"/>
      <c r="AL45" s="3999"/>
      <c r="AM45" s="3944"/>
      <c r="AN45" s="3944"/>
      <c r="AO45" s="3944"/>
      <c r="AP45" s="3944"/>
      <c r="AQ45" s="3944"/>
      <c r="AR45" s="3944"/>
      <c r="AS45" s="3944"/>
      <c r="AT45" s="3944"/>
      <c r="AU45" s="3944"/>
      <c r="AV45" s="3944"/>
      <c r="AW45" s="3418"/>
      <c r="AX45" s="3418"/>
      <c r="AY45" s="3418"/>
      <c r="AZ45" s="3418"/>
      <c r="BA45" s="3418"/>
      <c r="BB45" s="3418"/>
      <c r="BC45" s="3418"/>
      <c r="BD45" s="3418"/>
      <c r="BE45" s="3396"/>
      <c r="BF45" s="3396"/>
      <c r="BG45" s="3396"/>
      <c r="BH45" s="3396"/>
      <c r="BI45" s="3396"/>
      <c r="BJ45" s="3396"/>
      <c r="BK45" s="3396"/>
      <c r="BL45" s="3396"/>
      <c r="BM45" s="3396"/>
      <c r="BN45" s="3396"/>
      <c r="BO45" s="3396"/>
      <c r="BP45" s="3396"/>
      <c r="BQ45" s="3396"/>
      <c r="BR45" s="3396"/>
      <c r="BS45" s="3396"/>
      <c r="BT45" s="3396"/>
      <c r="BU45" s="3396"/>
      <c r="BV45" s="3396"/>
      <c r="BW45" s="3396"/>
      <c r="BX45" s="3396"/>
      <c r="BY45" s="3396"/>
      <c r="BZ45" s="3396"/>
      <c r="CA45" s="3396"/>
      <c r="CB45" s="3396"/>
      <c r="CC45" s="3396"/>
      <c r="CD45" s="3396"/>
      <c r="CE45" s="3396"/>
      <c r="CF45" s="3396"/>
      <c r="CG45" s="3396"/>
      <c r="CH45" s="3396"/>
      <c r="CI45" s="3396"/>
      <c r="CJ45" s="3396"/>
      <c r="CK45" s="3396"/>
      <c r="CL45" s="3396"/>
      <c r="CM45" s="3396"/>
      <c r="CN45" s="3396"/>
      <c r="CO45" s="3396"/>
      <c r="CP45" s="3396"/>
      <c r="CQ45" s="3396"/>
      <c r="CR45" s="3396"/>
      <c r="CS45" s="3396"/>
      <c r="CT45" s="3396"/>
      <c r="CU45" s="3396"/>
      <c r="CV45" s="3396"/>
      <c r="CW45" s="3396"/>
      <c r="CX45" s="3396"/>
      <c r="CY45" s="75"/>
    </row>
    <row r="46" ht="33.75" customHeight="1" spans="1:103">
      <c r="A46" s="3965" t="s">
        <v>5708</v>
      </c>
      <c r="B46" s="3965"/>
      <c r="C46" s="3994" t="s">
        <v>3736</v>
      </c>
      <c r="D46" s="3994"/>
      <c r="E46" s="3994"/>
      <c r="F46" s="3994"/>
      <c r="G46" s="3994"/>
      <c r="H46" s="3994"/>
      <c r="I46" s="3994"/>
      <c r="J46" s="3994"/>
      <c r="K46" s="3994"/>
      <c r="L46" s="3994"/>
      <c r="M46" s="3994"/>
      <c r="N46" s="3994"/>
      <c r="O46" s="3994"/>
      <c r="P46" s="3994"/>
      <c r="Q46" s="3994"/>
      <c r="R46" s="3994"/>
      <c r="S46" s="3994"/>
      <c r="T46" s="3994"/>
      <c r="U46" s="3994"/>
      <c r="V46" s="3994"/>
      <c r="W46" s="3994"/>
      <c r="X46" s="3967" t="s">
        <v>481</v>
      </c>
      <c r="Y46" s="3988"/>
      <c r="Z46" s="3988"/>
      <c r="AA46" s="3988"/>
      <c r="AB46" s="3988"/>
      <c r="AC46" s="3988"/>
      <c r="AD46" s="3988"/>
      <c r="AE46" s="3988"/>
      <c r="AF46" s="3988"/>
      <c r="AG46" s="3988"/>
      <c r="AH46" s="3944"/>
      <c r="AI46" s="3944"/>
      <c r="AJ46" s="3944"/>
      <c r="AK46" s="3944"/>
      <c r="AL46" s="3999"/>
      <c r="AM46" s="3944"/>
      <c r="AN46" s="3944"/>
      <c r="AO46" s="3944"/>
      <c r="AP46" s="3944"/>
      <c r="AQ46" s="3944"/>
      <c r="AR46" s="3944"/>
      <c r="AS46" s="3944"/>
      <c r="AT46" s="3944"/>
      <c r="AU46" s="3944"/>
      <c r="AV46" s="3944"/>
      <c r="AW46" s="3418"/>
      <c r="AX46" s="3418"/>
      <c r="AY46" s="3418"/>
      <c r="AZ46" s="3418"/>
      <c r="BA46" s="3418"/>
      <c r="BB46" s="3418"/>
      <c r="BC46" s="3418"/>
      <c r="BD46" s="3418"/>
      <c r="BE46" s="3396"/>
      <c r="BF46" s="3396"/>
      <c r="BG46" s="3396"/>
      <c r="BH46" s="3396"/>
      <c r="BI46" s="3396"/>
      <c r="BJ46" s="3396"/>
      <c r="BK46" s="3396"/>
      <c r="BL46" s="3396"/>
      <c r="BM46" s="3396"/>
      <c r="BN46" s="3396"/>
      <c r="BO46" s="3396"/>
      <c r="BP46" s="3396"/>
      <c r="BQ46" s="3396"/>
      <c r="BR46" s="3396"/>
      <c r="BS46" s="3396"/>
      <c r="BT46" s="3396"/>
      <c r="BU46" s="3396"/>
      <c r="BV46" s="3396"/>
      <c r="BW46" s="3396"/>
      <c r="BX46" s="3396"/>
      <c r="BY46" s="3396"/>
      <c r="BZ46" s="3396"/>
      <c r="CA46" s="3396"/>
      <c r="CB46" s="3396"/>
      <c r="CC46" s="3396"/>
      <c r="CD46" s="3396"/>
      <c r="CE46" s="3396"/>
      <c r="CF46" s="3396"/>
      <c r="CG46" s="3396"/>
      <c r="CH46" s="3396"/>
      <c r="CI46" s="3396"/>
      <c r="CJ46" s="3396"/>
      <c r="CK46" s="3396"/>
      <c r="CL46" s="3396"/>
      <c r="CM46" s="3396"/>
      <c r="CN46" s="3396"/>
      <c r="CO46" s="3396"/>
      <c r="CP46" s="3396"/>
      <c r="CQ46" s="3396"/>
      <c r="CR46" s="3396"/>
      <c r="CS46" s="3396"/>
      <c r="CT46" s="3396"/>
      <c r="CU46" s="3396"/>
      <c r="CV46" s="3396"/>
      <c r="CW46" s="3396"/>
      <c r="CX46" s="3396"/>
      <c r="CY46" s="75"/>
    </row>
    <row r="47" s="2" customFormat="1" ht="18.75" customHeight="1" spans="1:103">
      <c r="A47" s="3965" t="s">
        <v>5709</v>
      </c>
      <c r="B47" s="3965"/>
      <c r="C47" s="3989" t="s">
        <v>5822</v>
      </c>
      <c r="D47" s="3989"/>
      <c r="E47" s="3989"/>
      <c r="F47" s="3989"/>
      <c r="G47" s="3989"/>
      <c r="H47" s="3989"/>
      <c r="I47" s="3989"/>
      <c r="J47" s="3989"/>
      <c r="K47" s="3989"/>
      <c r="L47" s="3989"/>
      <c r="M47" s="3989"/>
      <c r="N47" s="3989"/>
      <c r="O47" s="3989"/>
      <c r="P47" s="3989"/>
      <c r="Q47" s="3989"/>
      <c r="R47" s="3989"/>
      <c r="S47" s="3989"/>
      <c r="T47" s="3989"/>
      <c r="U47" s="3989"/>
      <c r="V47" s="3989"/>
      <c r="W47" s="3989"/>
      <c r="X47" s="3965" t="s">
        <v>19</v>
      </c>
      <c r="Y47" s="3990"/>
      <c r="Z47" s="3990"/>
      <c r="AA47" s="3990"/>
      <c r="AB47" s="3990"/>
      <c r="AC47" s="3990"/>
      <c r="AD47" s="3990"/>
      <c r="AE47" s="3990"/>
      <c r="AF47" s="3990"/>
      <c r="AG47" s="3990"/>
      <c r="AH47" s="4000"/>
      <c r="AI47" s="3996"/>
      <c r="AJ47" s="3996"/>
      <c r="AK47" s="3996"/>
      <c r="AL47" s="4001" t="s">
        <v>5823</v>
      </c>
      <c r="AM47" s="3938"/>
      <c r="AN47" s="3938"/>
      <c r="AO47" s="3938"/>
      <c r="AP47" s="3938"/>
      <c r="AQ47" s="3938"/>
      <c r="AR47" s="3938"/>
      <c r="AS47" s="3938"/>
      <c r="AT47" s="3938"/>
      <c r="AU47" s="3938"/>
      <c r="AV47" s="3938"/>
      <c r="AW47" s="3947"/>
      <c r="AX47" s="3947"/>
      <c r="AY47" s="3947"/>
      <c r="AZ47" s="3947"/>
      <c r="BA47" s="3947"/>
      <c r="BB47" s="3947"/>
      <c r="BC47" s="3947"/>
      <c r="BD47" s="3947"/>
      <c r="BE47" s="4002"/>
      <c r="BF47" s="3435"/>
      <c r="BG47" s="3435"/>
      <c r="BH47" s="3435"/>
      <c r="BI47" s="3435"/>
      <c r="BJ47" s="3435"/>
      <c r="BK47" s="3435"/>
      <c r="BL47" s="3435"/>
      <c r="BM47" s="3435"/>
      <c r="BN47" s="3435"/>
      <c r="BO47" s="3435"/>
      <c r="BP47" s="3435"/>
      <c r="BQ47" s="3435"/>
      <c r="BR47" s="3435"/>
      <c r="BS47" s="3435"/>
      <c r="BT47" s="3435"/>
      <c r="BU47" s="3435"/>
      <c r="BV47" s="3435"/>
      <c r="BW47" s="3435"/>
      <c r="BX47" s="3435"/>
      <c r="BY47" s="3435"/>
      <c r="BZ47" s="3435"/>
      <c r="CA47" s="3435"/>
      <c r="CB47" s="3435"/>
      <c r="CC47" s="3435"/>
      <c r="CD47" s="3435"/>
      <c r="CE47" s="3435"/>
      <c r="CF47" s="3435"/>
      <c r="CG47" s="3435"/>
      <c r="CH47" s="3435"/>
      <c r="CI47" s="3435"/>
      <c r="CJ47" s="3435"/>
      <c r="CK47" s="3435"/>
      <c r="CL47" s="3435"/>
      <c r="CM47" s="3435"/>
      <c r="CN47" s="3435"/>
      <c r="CO47" s="3435"/>
      <c r="CP47" s="3435"/>
      <c r="CQ47" s="3435"/>
      <c r="CR47" s="3435"/>
      <c r="CS47" s="3435"/>
      <c r="CT47" s="3435"/>
      <c r="CU47" s="3435"/>
      <c r="CV47" s="3435"/>
      <c r="CW47" s="3435"/>
      <c r="CX47" s="3435"/>
      <c r="CY47" s="3881"/>
    </row>
    <row r="48" ht="18.75" customHeight="1" spans="1:103">
      <c r="A48" s="3965" t="s">
        <v>5710</v>
      </c>
      <c r="B48" s="3965"/>
      <c r="C48" s="3989" t="s">
        <v>5824</v>
      </c>
      <c r="D48" s="3989"/>
      <c r="E48" s="3989"/>
      <c r="F48" s="3989"/>
      <c r="G48" s="3989"/>
      <c r="H48" s="3989"/>
      <c r="I48" s="3989"/>
      <c r="J48" s="3989"/>
      <c r="K48" s="3989"/>
      <c r="L48" s="3989"/>
      <c r="M48" s="3989"/>
      <c r="N48" s="3989"/>
      <c r="O48" s="3989"/>
      <c r="P48" s="3989"/>
      <c r="Q48" s="3989"/>
      <c r="R48" s="3989"/>
      <c r="S48" s="3989"/>
      <c r="T48" s="3989"/>
      <c r="U48" s="3989"/>
      <c r="V48" s="3989"/>
      <c r="W48" s="3989"/>
      <c r="X48" s="3965" t="s">
        <v>19</v>
      </c>
      <c r="Y48" s="3990"/>
      <c r="Z48" s="3990"/>
      <c r="AA48" s="3990"/>
      <c r="AB48" s="3990"/>
      <c r="AC48" s="3990"/>
      <c r="AD48" s="3990"/>
      <c r="AE48" s="3990"/>
      <c r="AF48" s="3990"/>
      <c r="AG48" s="3990"/>
      <c r="AH48" s="3944"/>
      <c r="AI48" s="3944"/>
      <c r="AJ48" s="3944"/>
      <c r="AK48" s="3944"/>
      <c r="AL48" s="3944"/>
      <c r="AM48" s="3944"/>
      <c r="AN48" s="3944"/>
      <c r="AO48" s="3944"/>
      <c r="AP48" s="3944"/>
      <c r="AQ48" s="3944"/>
      <c r="AR48" s="3944"/>
      <c r="AS48" s="3944"/>
      <c r="AT48" s="3944"/>
      <c r="AU48" s="3944"/>
      <c r="AV48" s="3944"/>
      <c r="AW48" s="3418"/>
      <c r="AX48" s="3418"/>
      <c r="AY48" s="3418"/>
      <c r="AZ48" s="3418"/>
      <c r="BA48" s="3418"/>
      <c r="BB48" s="3418"/>
      <c r="BC48" s="3418"/>
      <c r="BD48" s="3418"/>
      <c r="BE48" s="3396"/>
      <c r="BF48" s="3396"/>
      <c r="BG48" s="3396"/>
      <c r="BH48" s="3396"/>
      <c r="BI48" s="3396"/>
      <c r="BJ48" s="3396"/>
      <c r="BK48" s="3396"/>
      <c r="BL48" s="3396"/>
      <c r="BM48" s="3396"/>
      <c r="BN48" s="3396"/>
      <c r="BO48" s="3396"/>
      <c r="BP48" s="3396"/>
      <c r="BQ48" s="3396"/>
      <c r="BR48" s="3396"/>
      <c r="BS48" s="3396"/>
      <c r="BT48" s="3396"/>
      <c r="BU48" s="3396"/>
      <c r="BV48" s="3396"/>
      <c r="BW48" s="3396"/>
      <c r="BX48" s="3396"/>
      <c r="BY48" s="3396"/>
      <c r="BZ48" s="3396"/>
      <c r="CA48" s="3396"/>
      <c r="CB48" s="3396"/>
      <c r="CC48" s="3396"/>
      <c r="CD48" s="3396"/>
      <c r="CE48" s="3396"/>
      <c r="CF48" s="3396"/>
      <c r="CG48" s="3396"/>
      <c r="CH48" s="3396"/>
      <c r="CI48" s="3396"/>
      <c r="CJ48" s="3396"/>
      <c r="CK48" s="3396"/>
      <c r="CL48" s="3396"/>
      <c r="CM48" s="3396"/>
      <c r="CN48" s="3396"/>
      <c r="CO48" s="3396"/>
      <c r="CP48" s="3396"/>
      <c r="CQ48" s="3396"/>
      <c r="CR48" s="3396"/>
      <c r="CS48" s="3396"/>
      <c r="CT48" s="3396"/>
      <c r="CU48" s="3396"/>
      <c r="CV48" s="3396"/>
      <c r="CW48" s="3396"/>
      <c r="CX48" s="3396"/>
      <c r="CY48" s="75"/>
    </row>
    <row r="49" ht="18.75" customHeight="1" spans="1:103">
      <c r="A49" s="3983" t="s">
        <v>5711</v>
      </c>
      <c r="B49" s="3983"/>
      <c r="C49" s="4003" t="s">
        <v>5825</v>
      </c>
      <c r="D49" s="4003"/>
      <c r="E49" s="4003"/>
      <c r="F49" s="4003"/>
      <c r="G49" s="4003"/>
      <c r="H49" s="4003"/>
      <c r="I49" s="4003"/>
      <c r="J49" s="4003"/>
      <c r="K49" s="4003"/>
      <c r="L49" s="4003"/>
      <c r="M49" s="4003"/>
      <c r="N49" s="4003"/>
      <c r="O49" s="4003"/>
      <c r="P49" s="4003"/>
      <c r="Q49" s="4003"/>
      <c r="R49" s="4003"/>
      <c r="S49" s="4003"/>
      <c r="T49" s="4003"/>
      <c r="U49" s="4003"/>
      <c r="V49" s="4003"/>
      <c r="W49" s="4003"/>
      <c r="X49" s="3983" t="s">
        <v>19</v>
      </c>
      <c r="Y49" s="3987"/>
      <c r="Z49" s="3987"/>
      <c r="AA49" s="3987"/>
      <c r="AB49" s="3987"/>
      <c r="AC49" s="3987"/>
      <c r="AD49" s="3987"/>
      <c r="AE49" s="3987"/>
      <c r="AF49" s="3987"/>
      <c r="AG49" s="3987"/>
      <c r="AH49" s="3944"/>
      <c r="AI49" s="3944"/>
      <c r="AJ49" s="3944"/>
      <c r="AK49" s="3944"/>
      <c r="AL49" s="3944"/>
      <c r="AM49" s="3944"/>
      <c r="AN49" s="3944"/>
      <c r="AO49" s="3944"/>
      <c r="AP49" s="3944"/>
      <c r="AQ49" s="3944"/>
      <c r="AR49" s="3944"/>
      <c r="AS49" s="3944"/>
      <c r="AT49" s="3944"/>
      <c r="AU49" s="3944"/>
      <c r="AV49" s="3944"/>
      <c r="AW49" s="3418"/>
      <c r="AX49" s="3418"/>
      <c r="AY49" s="3418"/>
      <c r="AZ49" s="3418"/>
      <c r="BA49" s="3418"/>
      <c r="BB49" s="3418"/>
      <c r="BC49" s="3418"/>
      <c r="BD49" s="3418"/>
      <c r="BE49" s="3396"/>
      <c r="BF49" s="3396"/>
      <c r="BG49" s="3396"/>
      <c r="BH49" s="3396"/>
      <c r="BI49" s="3396"/>
      <c r="BJ49" s="3396"/>
      <c r="BK49" s="3396"/>
      <c r="BL49" s="3396"/>
      <c r="BM49" s="3396"/>
      <c r="BN49" s="3396"/>
      <c r="BO49" s="3396"/>
      <c r="BP49" s="3396"/>
      <c r="BQ49" s="3396"/>
      <c r="BR49" s="3396"/>
      <c r="BS49" s="3396"/>
      <c r="BT49" s="3396"/>
      <c r="BU49" s="3396"/>
      <c r="BV49" s="3396"/>
      <c r="BW49" s="3396"/>
      <c r="BX49" s="3396"/>
      <c r="BY49" s="3396"/>
      <c r="BZ49" s="3396"/>
      <c r="CA49" s="3396"/>
      <c r="CB49" s="3396"/>
      <c r="CC49" s="3396"/>
      <c r="CD49" s="3396"/>
      <c r="CE49" s="3396"/>
      <c r="CF49" s="3396"/>
      <c r="CG49" s="3396"/>
      <c r="CH49" s="3396"/>
      <c r="CI49" s="3396"/>
      <c r="CJ49" s="3396"/>
      <c r="CK49" s="3396"/>
      <c r="CL49" s="3396"/>
      <c r="CM49" s="3396"/>
      <c r="CN49" s="3396"/>
      <c r="CO49" s="3396"/>
      <c r="CP49" s="3396"/>
      <c r="CQ49" s="3396"/>
      <c r="CR49" s="3396"/>
      <c r="CS49" s="3396"/>
      <c r="CT49" s="3396"/>
      <c r="CU49" s="3396"/>
      <c r="CV49" s="3396"/>
      <c r="CW49" s="3396"/>
      <c r="CX49" s="3396"/>
      <c r="CY49" s="75"/>
    </row>
    <row r="50" ht="18.75" customHeight="1" spans="1:103">
      <c r="A50" s="4004" t="s">
        <v>5713</v>
      </c>
      <c r="B50" s="4004"/>
      <c r="C50" s="4005" t="s">
        <v>5826</v>
      </c>
      <c r="D50" s="4005"/>
      <c r="E50" s="4005"/>
      <c r="F50" s="4005"/>
      <c r="G50" s="4005"/>
      <c r="H50" s="4005"/>
      <c r="I50" s="4005"/>
      <c r="J50" s="4005"/>
      <c r="K50" s="4005"/>
      <c r="L50" s="4005"/>
      <c r="M50" s="4005"/>
      <c r="N50" s="4005"/>
      <c r="O50" s="4005"/>
      <c r="P50" s="4005"/>
      <c r="Q50" s="4005"/>
      <c r="R50" s="4005"/>
      <c r="S50" s="4005"/>
      <c r="T50" s="4005"/>
      <c r="U50" s="4005"/>
      <c r="V50" s="4005"/>
      <c r="W50" s="4005"/>
      <c r="X50" s="4004" t="s">
        <v>19</v>
      </c>
      <c r="Y50" s="4006"/>
      <c r="Z50" s="4006"/>
      <c r="AA50" s="4006"/>
      <c r="AB50" s="4006"/>
      <c r="AC50" s="4006"/>
      <c r="AD50" s="4006"/>
      <c r="AE50" s="4006"/>
      <c r="AF50" s="4006"/>
      <c r="AG50" s="4006"/>
      <c r="AH50" s="3944"/>
      <c r="AI50" s="3395"/>
      <c r="AJ50" s="3395"/>
      <c r="AK50" s="3395"/>
      <c r="AL50" s="4007"/>
      <c r="AM50" s="3991"/>
      <c r="AN50" s="3991"/>
      <c r="AO50" s="3991"/>
      <c r="AP50" s="3991"/>
      <c r="AQ50" s="3991"/>
      <c r="AR50" s="4007"/>
      <c r="AS50" s="3991"/>
      <c r="AT50" s="3991"/>
      <c r="AU50" s="3991"/>
      <c r="AV50" s="3991"/>
      <c r="AW50" s="3991"/>
      <c r="AX50" s="3951"/>
      <c r="AY50" s="3951"/>
      <c r="AZ50" s="3951"/>
      <c r="BA50" s="3951"/>
      <c r="BB50" s="3951"/>
      <c r="BC50" s="3951"/>
      <c r="BD50" s="3951"/>
      <c r="BE50" s="3952"/>
      <c r="BF50" s="3396"/>
      <c r="BG50" s="3396"/>
      <c r="BH50" s="3396"/>
      <c r="BI50" s="3396"/>
      <c r="BJ50" s="3396"/>
      <c r="BK50" s="3396"/>
      <c r="BL50" s="3396"/>
      <c r="BM50" s="3396"/>
      <c r="BN50" s="3396"/>
      <c r="BO50" s="3396"/>
      <c r="BP50" s="3396"/>
      <c r="BQ50" s="3396"/>
      <c r="BR50" s="3396"/>
      <c r="BS50" s="3396"/>
      <c r="BT50" s="3396"/>
      <c r="BU50" s="3396"/>
      <c r="BV50" s="3396"/>
      <c r="BW50" s="3396"/>
      <c r="BX50" s="3396"/>
      <c r="BY50" s="3396"/>
      <c r="BZ50" s="3396"/>
      <c r="CA50" s="3396"/>
      <c r="CB50" s="3396"/>
      <c r="CC50" s="3396"/>
      <c r="CD50" s="3396"/>
      <c r="CE50" s="3396"/>
      <c r="CF50" s="3396"/>
      <c r="CG50" s="3396"/>
      <c r="CH50" s="3396"/>
      <c r="CI50" s="3396"/>
      <c r="CJ50" s="3396"/>
      <c r="CK50" s="3396"/>
      <c r="CL50" s="3396"/>
      <c r="CM50" s="3396"/>
      <c r="CN50" s="3396"/>
      <c r="CO50" s="3396"/>
      <c r="CP50" s="3396"/>
      <c r="CQ50" s="3396"/>
      <c r="CR50" s="3396"/>
      <c r="CS50" s="3396"/>
      <c r="CT50" s="3396"/>
      <c r="CU50" s="3396"/>
      <c r="CV50" s="3396"/>
      <c r="CW50" s="3396"/>
      <c r="CX50" s="3396"/>
      <c r="CY50" s="75"/>
    </row>
    <row r="51" ht="18.75" customHeight="1" spans="1:103">
      <c r="A51" s="4008" t="s">
        <v>5714</v>
      </c>
      <c r="B51" s="4008"/>
      <c r="C51" s="4009" t="s">
        <v>5827</v>
      </c>
      <c r="D51" s="4009"/>
      <c r="E51" s="4009"/>
      <c r="F51" s="4009"/>
      <c r="G51" s="4009"/>
      <c r="H51" s="4009"/>
      <c r="I51" s="4009"/>
      <c r="J51" s="4009"/>
      <c r="K51" s="4009"/>
      <c r="L51" s="4009"/>
      <c r="M51" s="4009"/>
      <c r="N51" s="4009"/>
      <c r="O51" s="4009"/>
      <c r="P51" s="4009"/>
      <c r="Q51" s="4009"/>
      <c r="R51" s="4009"/>
      <c r="S51" s="4009"/>
      <c r="T51" s="4009"/>
      <c r="U51" s="4009"/>
      <c r="V51" s="4009"/>
      <c r="W51" s="4009"/>
      <c r="X51" s="4008"/>
      <c r="Y51" s="4010"/>
      <c r="Z51" s="4010"/>
      <c r="AA51" s="4010"/>
      <c r="AB51" s="4010"/>
      <c r="AC51" s="4010"/>
      <c r="AD51" s="4010"/>
      <c r="AE51" s="4010"/>
      <c r="AF51" s="4010"/>
      <c r="AG51" s="4010"/>
      <c r="AH51" s="3944"/>
      <c r="AI51" s="3395"/>
      <c r="AJ51" s="3395"/>
      <c r="AK51" s="3395"/>
      <c r="AL51" s="4007" t="s">
        <v>5828</v>
      </c>
      <c r="AM51" s="3991"/>
      <c r="AN51" s="3991"/>
      <c r="AO51" s="3991"/>
      <c r="AP51" s="3991"/>
      <c r="AQ51" s="3991"/>
      <c r="AR51" s="4007" t="s">
        <v>5829</v>
      </c>
      <c r="AS51" s="3991"/>
      <c r="AT51" s="3991"/>
      <c r="AU51" s="3991"/>
      <c r="AV51" s="3991"/>
      <c r="AW51" s="3991"/>
      <c r="AX51" s="3951"/>
      <c r="AY51" s="3951"/>
      <c r="AZ51" s="3951"/>
      <c r="BA51" s="3951"/>
      <c r="BB51" s="3951"/>
      <c r="BC51" s="3951"/>
      <c r="BD51" s="3951"/>
      <c r="BE51" s="3952"/>
      <c r="BF51" s="3396"/>
      <c r="BG51" s="3396"/>
      <c r="BH51" s="3396"/>
      <c r="BI51" s="3396"/>
      <c r="BJ51" s="3396"/>
      <c r="BK51" s="3396"/>
      <c r="BL51" s="3396"/>
      <c r="BM51" s="3396"/>
      <c r="BN51" s="3396"/>
      <c r="BO51" s="3396"/>
      <c r="BP51" s="3396"/>
      <c r="BQ51" s="3396"/>
      <c r="BR51" s="3396"/>
      <c r="BS51" s="3396"/>
      <c r="BT51" s="3396"/>
      <c r="BU51" s="3396"/>
      <c r="BV51" s="3396"/>
      <c r="BW51" s="3396"/>
      <c r="BX51" s="3396"/>
      <c r="BY51" s="3396"/>
      <c r="BZ51" s="3396"/>
      <c r="CA51" s="3396"/>
      <c r="CB51" s="3396"/>
      <c r="CC51" s="3396"/>
      <c r="CD51" s="3396"/>
      <c r="CE51" s="3396"/>
      <c r="CF51" s="3396"/>
      <c r="CG51" s="3396"/>
      <c r="CH51" s="3396"/>
      <c r="CI51" s="3396"/>
      <c r="CJ51" s="3396"/>
      <c r="CK51" s="3396"/>
      <c r="CL51" s="3396"/>
      <c r="CM51" s="3396"/>
      <c r="CN51" s="3396"/>
      <c r="CO51" s="3396"/>
      <c r="CP51" s="3396"/>
      <c r="CQ51" s="3396"/>
      <c r="CR51" s="3396"/>
      <c r="CS51" s="3396"/>
      <c r="CT51" s="3396"/>
      <c r="CU51" s="3396"/>
      <c r="CV51" s="3396"/>
      <c r="CW51" s="3396"/>
      <c r="CX51" s="3396"/>
      <c r="CY51" s="75"/>
    </row>
    <row r="52" ht="18.75" customHeight="1" spans="1:103">
      <c r="A52" s="4004" t="s">
        <v>5715</v>
      </c>
      <c r="B52" s="4004"/>
      <c r="C52" s="4005" t="s">
        <v>5830</v>
      </c>
      <c r="D52" s="4005"/>
      <c r="E52" s="4005"/>
      <c r="F52" s="4005"/>
      <c r="G52" s="4005"/>
      <c r="H52" s="4005"/>
      <c r="I52" s="4005"/>
      <c r="J52" s="4005"/>
      <c r="K52" s="4005"/>
      <c r="L52" s="4005"/>
      <c r="M52" s="4005"/>
      <c r="N52" s="4005"/>
      <c r="O52" s="4005"/>
      <c r="P52" s="4005"/>
      <c r="Q52" s="4005"/>
      <c r="R52" s="4005"/>
      <c r="S52" s="4005"/>
      <c r="T52" s="4005"/>
      <c r="U52" s="4005"/>
      <c r="V52" s="4005"/>
      <c r="W52" s="4005"/>
      <c r="X52" s="4004" t="s">
        <v>19</v>
      </c>
      <c r="Y52" s="4011">
        <f>ROUND(AL52-AR52,0)</f>
        <v>543</v>
      </c>
      <c r="Z52" s="4011"/>
      <c r="AA52" s="4011"/>
      <c r="AB52" s="4011"/>
      <c r="AC52" s="4011"/>
      <c r="AD52" s="4011"/>
      <c r="AE52" s="4011"/>
      <c r="AF52" s="4011"/>
      <c r="AG52" s="4011"/>
      <c r="AH52" s="4012"/>
      <c r="AI52" s="4013">
        <v>551</v>
      </c>
      <c r="AJ52" s="4013"/>
      <c r="AK52" s="4014"/>
      <c r="AL52" s="4015">
        <f>UnosPod!F298</f>
        <v>775</v>
      </c>
      <c r="AM52" s="4015"/>
      <c r="AN52" s="4015"/>
      <c r="AO52" s="4015"/>
      <c r="AP52" s="4015"/>
      <c r="AQ52" s="4015"/>
      <c r="AR52" s="4016">
        <f>AL52*0.3</f>
        <v>232.5</v>
      </c>
      <c r="AS52" s="4016"/>
      <c r="AT52" s="4016"/>
      <c r="AU52" s="4016"/>
      <c r="AV52" s="4016"/>
      <c r="AW52" s="4016"/>
      <c r="AX52" s="3418"/>
      <c r="AY52" s="3418"/>
      <c r="AZ52" s="3418"/>
      <c r="BA52" s="3418"/>
      <c r="BB52" s="3418"/>
      <c r="BC52" s="3418"/>
      <c r="BD52" s="3418"/>
      <c r="BE52" s="3396"/>
      <c r="BF52" s="3396"/>
      <c r="BG52" s="3396"/>
      <c r="BH52" s="3396"/>
      <c r="BI52" s="3396"/>
      <c r="BJ52" s="3396"/>
      <c r="BK52" s="3396"/>
      <c r="BL52" s="3396"/>
      <c r="BM52" s="3396"/>
      <c r="BN52" s="3396"/>
      <c r="BO52" s="3396"/>
      <c r="BP52" s="3396"/>
      <c r="BQ52" s="3396"/>
      <c r="BR52" s="3396"/>
      <c r="BS52" s="3396"/>
      <c r="BT52" s="3396"/>
      <c r="BU52" s="3396"/>
      <c r="BV52" s="3396"/>
      <c r="BW52" s="3396"/>
      <c r="BX52" s="3396"/>
      <c r="BY52" s="3396"/>
      <c r="BZ52" s="3396"/>
      <c r="CA52" s="3396"/>
      <c r="CB52" s="3396"/>
      <c r="CC52" s="3396"/>
      <c r="CD52" s="3396"/>
      <c r="CE52" s="3396"/>
      <c r="CF52" s="3396"/>
      <c r="CG52" s="3396"/>
      <c r="CH52" s="3396"/>
      <c r="CI52" s="3396"/>
      <c r="CJ52" s="3396"/>
      <c r="CK52" s="3396"/>
      <c r="CL52" s="3396"/>
      <c r="CM52" s="3396"/>
      <c r="CN52" s="3396"/>
      <c r="CO52" s="3396"/>
      <c r="CP52" s="3396"/>
      <c r="CQ52" s="3396"/>
      <c r="CR52" s="3396"/>
      <c r="CS52" s="3396"/>
      <c r="CT52" s="3396"/>
      <c r="CU52" s="3396"/>
      <c r="CV52" s="3396"/>
      <c r="CW52" s="3396"/>
      <c r="CX52" s="3396"/>
      <c r="CY52" s="75"/>
    </row>
    <row r="53" ht="18.75" customHeight="1" spans="1:103">
      <c r="A53" s="4008" t="s">
        <v>5716</v>
      </c>
      <c r="B53" s="4008"/>
      <c r="C53" s="4009" t="s">
        <v>5831</v>
      </c>
      <c r="D53" s="4009"/>
      <c r="E53" s="4009"/>
      <c r="F53" s="4009"/>
      <c r="G53" s="4009"/>
      <c r="H53" s="4009"/>
      <c r="I53" s="4009"/>
      <c r="J53" s="4009"/>
      <c r="K53" s="4009"/>
      <c r="L53" s="4009"/>
      <c r="M53" s="4009"/>
      <c r="N53" s="4009"/>
      <c r="O53" s="4009"/>
      <c r="P53" s="4009"/>
      <c r="Q53" s="4009"/>
      <c r="R53" s="4009"/>
      <c r="S53" s="4009"/>
      <c r="T53" s="4009"/>
      <c r="U53" s="4009"/>
      <c r="V53" s="4009"/>
      <c r="W53" s="4009"/>
      <c r="X53" s="4008"/>
      <c r="Y53" s="4017">
        <f>AL52-Y52</f>
        <v>232</v>
      </c>
      <c r="Z53" s="4017"/>
      <c r="AA53" s="4017"/>
      <c r="AB53" s="4017"/>
      <c r="AC53" s="4017"/>
      <c r="AD53" s="4017"/>
      <c r="AE53" s="4017"/>
      <c r="AF53" s="4017"/>
      <c r="AG53" s="4017"/>
      <c r="AH53" s="4018"/>
      <c r="AI53" s="4019"/>
      <c r="AJ53" s="4019"/>
      <c r="AK53" s="4020"/>
      <c r="AL53" s="4021"/>
      <c r="AM53" s="4021"/>
      <c r="AN53" s="4021"/>
      <c r="AO53" s="4021"/>
      <c r="AP53" s="4021"/>
      <c r="AQ53" s="4021"/>
      <c r="AR53" s="4022"/>
      <c r="AS53" s="4022"/>
      <c r="AT53" s="4022"/>
      <c r="AU53" s="4022"/>
      <c r="AV53" s="4022"/>
      <c r="AW53" s="4022"/>
      <c r="AX53" s="3951"/>
      <c r="AY53" s="3951"/>
      <c r="AZ53" s="3951"/>
      <c r="BA53" s="3951"/>
      <c r="BB53" s="3951"/>
      <c r="BC53" s="3951"/>
      <c r="BD53" s="3951"/>
      <c r="BE53" s="3952"/>
      <c r="BF53" s="3396"/>
      <c r="BG53" s="3396"/>
      <c r="BH53" s="3396"/>
      <c r="BI53" s="3396"/>
      <c r="BJ53" s="3396"/>
      <c r="BK53" s="3396"/>
      <c r="BL53" s="3396"/>
      <c r="BM53" s="3396"/>
      <c r="BN53" s="3396"/>
      <c r="BO53" s="3396"/>
      <c r="BP53" s="3396"/>
      <c r="BQ53" s="3396"/>
      <c r="BR53" s="3396"/>
      <c r="BS53" s="3396"/>
      <c r="BT53" s="3396"/>
      <c r="BU53" s="3396"/>
      <c r="BV53" s="3396"/>
      <c r="BW53" s="3396"/>
      <c r="BX53" s="3396"/>
      <c r="BY53" s="3396"/>
      <c r="BZ53" s="3396"/>
      <c r="CA53" s="3396"/>
      <c r="CB53" s="3396"/>
      <c r="CC53" s="3396"/>
      <c r="CD53" s="3396"/>
      <c r="CE53" s="3396"/>
      <c r="CF53" s="3396"/>
      <c r="CG53" s="3396"/>
      <c r="CH53" s="3396"/>
      <c r="CI53" s="3396"/>
      <c r="CJ53" s="3396"/>
      <c r="CK53" s="3396"/>
      <c r="CL53" s="3396"/>
      <c r="CM53" s="3396"/>
      <c r="CN53" s="3396"/>
      <c r="CO53" s="3396"/>
      <c r="CP53" s="3396"/>
      <c r="CQ53" s="3396"/>
      <c r="CR53" s="3396"/>
      <c r="CS53" s="3396"/>
      <c r="CT53" s="3396"/>
      <c r="CU53" s="3396"/>
      <c r="CV53" s="3396"/>
      <c r="CW53" s="3396"/>
      <c r="CX53" s="3396"/>
      <c r="CY53" s="75"/>
    </row>
    <row r="54" ht="18.75" customHeight="1" spans="1:103">
      <c r="A54" s="4004" t="s">
        <v>5717</v>
      </c>
      <c r="B54" s="4004"/>
      <c r="C54" s="4005" t="s">
        <v>5832</v>
      </c>
      <c r="D54" s="4005"/>
      <c r="E54" s="4005"/>
      <c r="F54" s="4005"/>
      <c r="G54" s="4005"/>
      <c r="H54" s="4005"/>
      <c r="I54" s="4005"/>
      <c r="J54" s="4005"/>
      <c r="K54" s="4005"/>
      <c r="L54" s="4005"/>
      <c r="M54" s="4005"/>
      <c r="N54" s="4005"/>
      <c r="O54" s="4005"/>
      <c r="P54" s="4005"/>
      <c r="Q54" s="4005"/>
      <c r="R54" s="4005"/>
      <c r="S54" s="4005"/>
      <c r="T54" s="4005"/>
      <c r="U54" s="4005"/>
      <c r="V54" s="4005"/>
      <c r="W54" s="4005"/>
      <c r="X54" s="4004" t="s">
        <v>19</v>
      </c>
      <c r="Y54" s="4011">
        <f>ROUND(IF(AL54-AR54&lt;0,0,AL54-AR54),0)</f>
        <v>0</v>
      </c>
      <c r="Z54" s="4011"/>
      <c r="AA54" s="4011"/>
      <c r="AB54" s="4011"/>
      <c r="AC54" s="4011"/>
      <c r="AD54" s="4011"/>
      <c r="AE54" s="4011"/>
      <c r="AF54" s="4011"/>
      <c r="AG54" s="4011"/>
      <c r="AH54" s="4012"/>
      <c r="AI54" s="4023"/>
      <c r="AJ54" s="4023"/>
      <c r="AK54" s="4024"/>
      <c r="AL54" s="4025"/>
      <c r="AM54" s="4025"/>
      <c r="AN54" s="4025"/>
      <c r="AO54" s="4025"/>
      <c r="AP54" s="4025"/>
      <c r="AQ54" s="4025"/>
      <c r="AR54" s="4016">
        <f>ROUND(B_Uspjeha!AI21*0.03,0)</f>
        <v>7371</v>
      </c>
      <c r="AS54" s="4016"/>
      <c r="AT54" s="4016"/>
      <c r="AU54" s="4016"/>
      <c r="AV54" s="4016"/>
      <c r="AW54" s="4016"/>
      <c r="AX54" s="4026" t="s">
        <v>5833</v>
      </c>
      <c r="AY54" s="3418"/>
      <c r="AZ54" s="3418"/>
      <c r="BA54" s="3418"/>
      <c r="BB54" s="3418"/>
      <c r="BC54" s="3418"/>
      <c r="BD54" s="3418"/>
      <c r="BE54" s="3396"/>
      <c r="BF54" s="3396"/>
      <c r="BG54" s="3396"/>
      <c r="BH54" s="3396"/>
      <c r="BI54" s="3396"/>
      <c r="BJ54" s="3396"/>
      <c r="BK54" s="3396"/>
      <c r="BL54" s="3396"/>
      <c r="BM54" s="3396"/>
      <c r="BN54" s="3396"/>
      <c r="BO54" s="3396"/>
      <c r="BP54" s="3396"/>
      <c r="BQ54" s="3396"/>
      <c r="BR54" s="3396"/>
      <c r="BS54" s="3396"/>
      <c r="BT54" s="3396"/>
      <c r="BU54" s="3396"/>
      <c r="BV54" s="3396"/>
      <c r="BW54" s="3396"/>
      <c r="BX54" s="3396"/>
      <c r="BY54" s="3396"/>
      <c r="BZ54" s="3396"/>
      <c r="CA54" s="3396"/>
      <c r="CB54" s="3396"/>
      <c r="CC54" s="3396"/>
      <c r="CD54" s="3396"/>
      <c r="CE54" s="3396"/>
      <c r="CF54" s="3396"/>
      <c r="CG54" s="3396"/>
      <c r="CH54" s="3396"/>
      <c r="CI54" s="3396"/>
      <c r="CJ54" s="3396"/>
      <c r="CK54" s="3396"/>
      <c r="CL54" s="3396"/>
      <c r="CM54" s="3396"/>
      <c r="CN54" s="3396"/>
      <c r="CO54" s="3396"/>
      <c r="CP54" s="3396"/>
      <c r="CQ54" s="3396"/>
      <c r="CR54" s="3396"/>
      <c r="CS54" s="3396"/>
      <c r="CT54" s="3396"/>
      <c r="CU54" s="3396"/>
      <c r="CV54" s="3396"/>
      <c r="CW54" s="3396"/>
      <c r="CX54" s="3396"/>
      <c r="CY54" s="75"/>
    </row>
    <row r="55" ht="18.75" customHeight="1" spans="1:103">
      <c r="A55" s="4008" t="s">
        <v>5718</v>
      </c>
      <c r="B55" s="4008"/>
      <c r="C55" s="4009" t="s">
        <v>5834</v>
      </c>
      <c r="D55" s="4009"/>
      <c r="E55" s="4009"/>
      <c r="F55" s="4009"/>
      <c r="G55" s="4009"/>
      <c r="H55" s="4009"/>
      <c r="I55" s="4009"/>
      <c r="J55" s="4009"/>
      <c r="K55" s="4009"/>
      <c r="L55" s="4009"/>
      <c r="M55" s="4009"/>
      <c r="N55" s="4009"/>
      <c r="O55" s="4009"/>
      <c r="P55" s="4009"/>
      <c r="Q55" s="4009"/>
      <c r="R55" s="4009"/>
      <c r="S55" s="4009"/>
      <c r="T55" s="4009"/>
      <c r="U55" s="4009"/>
      <c r="V55" s="4009"/>
      <c r="W55" s="4009"/>
      <c r="X55" s="4008"/>
      <c r="Y55" s="4017">
        <f>AL54-Y54</f>
        <v>0</v>
      </c>
      <c r="Z55" s="4017"/>
      <c r="AA55" s="4017"/>
      <c r="AB55" s="4017"/>
      <c r="AC55" s="4017"/>
      <c r="AD55" s="4017"/>
      <c r="AE55" s="4017"/>
      <c r="AF55" s="4017"/>
      <c r="AG55" s="4017"/>
      <c r="AH55" s="4018"/>
      <c r="AI55" s="4027"/>
      <c r="AJ55" s="4027"/>
      <c r="AK55" s="4028"/>
      <c r="AL55" s="4029"/>
      <c r="AM55" s="4029"/>
      <c r="AN55" s="4029"/>
      <c r="AO55" s="4029"/>
      <c r="AP55" s="4029"/>
      <c r="AQ55" s="4029"/>
      <c r="AR55" s="4022"/>
      <c r="AS55" s="4022"/>
      <c r="AT55" s="4022"/>
      <c r="AU55" s="4022"/>
      <c r="AV55" s="4022"/>
      <c r="AW55" s="4022"/>
      <c r="AX55" s="3951"/>
      <c r="AY55" s="3951"/>
      <c r="AZ55" s="3951"/>
      <c r="BA55" s="3951"/>
      <c r="BB55" s="3951"/>
      <c r="BC55" s="3951"/>
      <c r="BD55" s="3951"/>
      <c r="BE55" s="3952"/>
      <c r="BF55" s="3396"/>
      <c r="BG55" s="3396"/>
      <c r="BH55" s="3396"/>
      <c r="BI55" s="3396"/>
      <c r="BJ55" s="3396"/>
      <c r="BK55" s="3396"/>
      <c r="BL55" s="3396"/>
      <c r="BM55" s="3396"/>
      <c r="BN55" s="3396"/>
      <c r="BO55" s="3396"/>
      <c r="BP55" s="3396"/>
      <c r="BQ55" s="3396"/>
      <c r="BR55" s="3396"/>
      <c r="BS55" s="3396"/>
      <c r="BT55" s="3396"/>
      <c r="BU55" s="3396"/>
      <c r="BV55" s="3396"/>
      <c r="BW55" s="3396"/>
      <c r="BX55" s="3396"/>
      <c r="BY55" s="3396"/>
      <c r="BZ55" s="3396"/>
      <c r="CA55" s="3396"/>
      <c r="CB55" s="3396"/>
      <c r="CC55" s="3396"/>
      <c r="CD55" s="3396"/>
      <c r="CE55" s="3396"/>
      <c r="CF55" s="3396"/>
      <c r="CG55" s="3396"/>
      <c r="CH55" s="3396"/>
      <c r="CI55" s="3396"/>
      <c r="CJ55" s="3396"/>
      <c r="CK55" s="3396"/>
      <c r="CL55" s="3396"/>
      <c r="CM55" s="3396"/>
      <c r="CN55" s="3396"/>
      <c r="CO55" s="3396"/>
      <c r="CP55" s="3396"/>
      <c r="CQ55" s="3396"/>
      <c r="CR55" s="3396"/>
      <c r="CS55" s="3396"/>
      <c r="CT55" s="3396"/>
      <c r="CU55" s="3396"/>
      <c r="CV55" s="3396"/>
      <c r="CW55" s="3396"/>
      <c r="CX55" s="3396"/>
      <c r="CY55" s="75"/>
    </row>
    <row r="56" ht="18.75" customHeight="1" spans="1:103">
      <c r="A56" s="4004" t="s">
        <v>5835</v>
      </c>
      <c r="B56" s="4004"/>
      <c r="C56" s="4005" t="s">
        <v>5836</v>
      </c>
      <c r="D56" s="4005"/>
      <c r="E56" s="4005"/>
      <c r="F56" s="4005"/>
      <c r="G56" s="4005"/>
      <c r="H56" s="4005"/>
      <c r="I56" s="4005"/>
      <c r="J56" s="4005"/>
      <c r="K56" s="4005"/>
      <c r="L56" s="4005"/>
      <c r="M56" s="4005"/>
      <c r="N56" s="4005"/>
      <c r="O56" s="4005"/>
      <c r="P56" s="4005"/>
      <c r="Q56" s="4005"/>
      <c r="R56" s="4005"/>
      <c r="S56" s="4005"/>
      <c r="T56" s="4005"/>
      <c r="U56" s="4005"/>
      <c r="V56" s="4005"/>
      <c r="W56" s="4005"/>
      <c r="X56" s="4004" t="s">
        <v>19</v>
      </c>
      <c r="Y56" s="4030">
        <f>ROUND(IF(AL56-AR56&lt;0,0,AL56-AR56),0)</f>
        <v>0</v>
      </c>
      <c r="Z56" s="4030"/>
      <c r="AA56" s="4030"/>
      <c r="AB56" s="4030"/>
      <c r="AC56" s="4030"/>
      <c r="AD56" s="4030"/>
      <c r="AE56" s="4030"/>
      <c r="AF56" s="4030"/>
      <c r="AG56" s="4030"/>
      <c r="AH56" s="4012"/>
      <c r="AI56" s="4031"/>
      <c r="AJ56" s="4031"/>
      <c r="AK56" s="4032"/>
      <c r="AL56" s="4025"/>
      <c r="AM56" s="4025"/>
      <c r="AN56" s="4025"/>
      <c r="AO56" s="4025"/>
      <c r="AP56" s="4025"/>
      <c r="AQ56" s="4025"/>
      <c r="AR56" s="4016">
        <f>ROUND(B_Uspjeha!AI21*0.03,0)</f>
        <v>7371</v>
      </c>
      <c r="AS56" s="4016"/>
      <c r="AT56" s="4016"/>
      <c r="AU56" s="4016"/>
      <c r="AV56" s="4016"/>
      <c r="AW56" s="4016"/>
      <c r="AX56" s="4026" t="s">
        <v>5833</v>
      </c>
      <c r="AY56" s="3418"/>
      <c r="AZ56" s="3951"/>
      <c r="BA56" s="3951"/>
      <c r="BB56" s="3951"/>
      <c r="BC56" s="3951"/>
      <c r="BD56" s="3951"/>
      <c r="BE56" s="3952"/>
      <c r="BF56" s="3396"/>
      <c r="BG56" s="3396"/>
      <c r="BH56" s="3396"/>
      <c r="BI56" s="3396"/>
      <c r="BJ56" s="3396"/>
      <c r="BK56" s="3396"/>
      <c r="BL56" s="3396"/>
      <c r="BM56" s="3396"/>
      <c r="BN56" s="3396"/>
      <c r="BO56" s="3396"/>
      <c r="BP56" s="3396"/>
      <c r="BQ56" s="3396"/>
      <c r="BR56" s="3396"/>
      <c r="BS56" s="3396"/>
      <c r="BT56" s="3396"/>
      <c r="BU56" s="3396"/>
      <c r="BV56" s="3396"/>
      <c r="BW56" s="3396"/>
      <c r="BX56" s="3396"/>
      <c r="BY56" s="3396"/>
      <c r="BZ56" s="3396"/>
      <c r="CA56" s="3396"/>
      <c r="CB56" s="3396"/>
      <c r="CC56" s="3396"/>
      <c r="CD56" s="3396"/>
      <c r="CE56" s="3396"/>
      <c r="CF56" s="3396"/>
      <c r="CG56" s="3396"/>
      <c r="CH56" s="3396"/>
      <c r="CI56" s="3396"/>
      <c r="CJ56" s="3396"/>
      <c r="CK56" s="3396"/>
      <c r="CL56" s="3396"/>
      <c r="CM56" s="3396"/>
      <c r="CN56" s="3396"/>
      <c r="CO56" s="3396"/>
      <c r="CP56" s="3396"/>
      <c r="CQ56" s="3396"/>
      <c r="CR56" s="3396"/>
      <c r="CS56" s="3396"/>
      <c r="CT56" s="3396"/>
      <c r="CU56" s="3396"/>
      <c r="CV56" s="3396"/>
      <c r="CW56" s="3396"/>
      <c r="CX56" s="3396"/>
      <c r="CY56" s="75"/>
    </row>
    <row r="57" ht="18.75" customHeight="1" spans="1:103">
      <c r="A57" s="4008" t="s">
        <v>5837</v>
      </c>
      <c r="B57" s="4008"/>
      <c r="C57" s="4009" t="s">
        <v>5838</v>
      </c>
      <c r="D57" s="4009"/>
      <c r="E57" s="4009"/>
      <c r="F57" s="4009"/>
      <c r="G57" s="4009"/>
      <c r="H57" s="4009"/>
      <c r="I57" s="4009"/>
      <c r="J57" s="4009"/>
      <c r="K57" s="4009"/>
      <c r="L57" s="4009"/>
      <c r="M57" s="4009"/>
      <c r="N57" s="4009"/>
      <c r="O57" s="4009"/>
      <c r="P57" s="4009"/>
      <c r="Q57" s="4009"/>
      <c r="R57" s="4009"/>
      <c r="S57" s="4009"/>
      <c r="T57" s="4009"/>
      <c r="U57" s="4009"/>
      <c r="V57" s="4009"/>
      <c r="W57" s="4009"/>
      <c r="X57" s="4008"/>
      <c r="Y57" s="4017">
        <f>AL56-Y56</f>
        <v>0</v>
      </c>
      <c r="Z57" s="4017"/>
      <c r="AA57" s="4017"/>
      <c r="AB57" s="4017"/>
      <c r="AC57" s="4017"/>
      <c r="AD57" s="4017"/>
      <c r="AE57" s="4017"/>
      <c r="AF57" s="4017"/>
      <c r="AG57" s="4017"/>
      <c r="AH57" s="4018"/>
      <c r="AI57" s="4033"/>
      <c r="AJ57" s="4033"/>
      <c r="AK57" s="4034"/>
      <c r="AL57" s="4029"/>
      <c r="AM57" s="4029"/>
      <c r="AN57" s="4029"/>
      <c r="AO57" s="4029"/>
      <c r="AP57" s="4029"/>
      <c r="AQ57" s="4029"/>
      <c r="AR57" s="4022"/>
      <c r="AS57" s="4022"/>
      <c r="AT57" s="4022"/>
      <c r="AU57" s="4022"/>
      <c r="AV57" s="4022"/>
      <c r="AW57" s="4022"/>
      <c r="AX57" s="3418"/>
      <c r="AY57" s="3418"/>
      <c r="AZ57" s="3418"/>
      <c r="BA57" s="3418"/>
      <c r="BB57" s="3418"/>
      <c r="BC57" s="3418"/>
      <c r="BD57" s="3418"/>
      <c r="BE57" s="3418"/>
      <c r="BF57" s="3418"/>
      <c r="BG57" s="3418"/>
      <c r="BH57" s="3418"/>
      <c r="BI57" s="3418"/>
      <c r="BJ57" s="3418"/>
      <c r="BK57" s="3418"/>
      <c r="BL57" s="3418"/>
      <c r="BM57" s="3418"/>
      <c r="BN57" s="3418"/>
      <c r="BO57" s="3418"/>
      <c r="BP57" s="3418"/>
      <c r="BQ57" s="3418"/>
      <c r="BR57" s="3418"/>
      <c r="BS57" s="3418"/>
      <c r="BT57" s="3418"/>
      <c r="BU57" s="3418"/>
      <c r="BV57" s="3418"/>
      <c r="BW57" s="3418"/>
      <c r="BX57" s="3418"/>
      <c r="BY57" s="3418"/>
      <c r="BZ57" s="3418"/>
      <c r="CA57" s="3418"/>
      <c r="CB57" s="3418"/>
      <c r="CC57" s="3418"/>
      <c r="CD57" s="3418"/>
      <c r="CE57" s="3418"/>
      <c r="CF57" s="3418"/>
      <c r="CG57" s="3418"/>
      <c r="CH57" s="3418"/>
      <c r="CI57" s="3418"/>
      <c r="CJ57" s="3418"/>
      <c r="CK57" s="3418"/>
      <c r="CL57" s="3418"/>
      <c r="CM57" s="3418"/>
      <c r="CN57" s="3418"/>
      <c r="CO57" s="3418"/>
      <c r="CP57" s="3418"/>
      <c r="CQ57" s="3418"/>
      <c r="CR57" s="3418"/>
      <c r="CS57" s="3418"/>
      <c r="CT57" s="3418"/>
      <c r="CU57" s="3418"/>
      <c r="CV57" s="3418"/>
      <c r="CW57" s="3418"/>
      <c r="CX57" s="3418"/>
    </row>
    <row r="58" ht="29.25" customHeight="1" spans="1:103">
      <c r="A58" s="4035" t="s">
        <v>5839</v>
      </c>
      <c r="B58" s="4035"/>
      <c r="C58" s="4036" t="s">
        <v>5840</v>
      </c>
      <c r="D58" s="4036"/>
      <c r="E58" s="4036"/>
      <c r="F58" s="4036"/>
      <c r="G58" s="4036"/>
      <c r="H58" s="4036"/>
      <c r="I58" s="4036"/>
      <c r="J58" s="4036"/>
      <c r="K58" s="4036"/>
      <c r="L58" s="4036"/>
      <c r="M58" s="4036"/>
      <c r="N58" s="4036"/>
      <c r="O58" s="4036"/>
      <c r="P58" s="4036"/>
      <c r="Q58" s="4036"/>
      <c r="R58" s="4036"/>
      <c r="S58" s="4036"/>
      <c r="T58" s="4036"/>
      <c r="U58" s="4036"/>
      <c r="V58" s="4036"/>
      <c r="W58" s="4036"/>
      <c r="X58" s="4035" t="s">
        <v>19</v>
      </c>
      <c r="Y58" s="4037"/>
      <c r="Z58" s="4037"/>
      <c r="AA58" s="4037"/>
      <c r="AB58" s="4037"/>
      <c r="AC58" s="4037"/>
      <c r="AD58" s="4037"/>
      <c r="AE58" s="4037"/>
      <c r="AF58" s="4037"/>
      <c r="AG58" s="4037"/>
      <c r="AH58" s="3944"/>
      <c r="AI58" s="3395"/>
      <c r="AJ58" s="3395"/>
      <c r="AK58" s="3395"/>
      <c r="AL58" s="3944"/>
      <c r="AM58" s="3944"/>
      <c r="AN58" s="3944"/>
      <c r="AO58" s="3944"/>
      <c r="AP58" s="3944"/>
      <c r="AQ58" s="3944"/>
      <c r="AR58" s="3944"/>
      <c r="AS58" s="3944"/>
      <c r="AT58" s="3944"/>
      <c r="AU58" s="3944"/>
      <c r="AV58" s="3944"/>
      <c r="AW58" s="3418"/>
      <c r="AX58" s="3418"/>
      <c r="AY58" s="3418"/>
      <c r="AZ58" s="3418"/>
      <c r="BA58" s="3418"/>
      <c r="BB58" s="3418"/>
      <c r="BC58" s="3418"/>
      <c r="BD58" s="3418"/>
      <c r="BE58" s="3418"/>
      <c r="BF58" s="3418"/>
      <c r="BG58" s="3418"/>
      <c r="BH58" s="3418"/>
      <c r="BI58" s="3418"/>
      <c r="BJ58" s="3418"/>
      <c r="BK58" s="3418"/>
      <c r="BL58" s="3418"/>
      <c r="BM58" s="3418"/>
      <c r="BN58" s="3418"/>
      <c r="BO58" s="3418"/>
      <c r="BP58" s="3418"/>
      <c r="BQ58" s="3418"/>
      <c r="BR58" s="3418"/>
      <c r="BS58" s="3418"/>
      <c r="BT58" s="3418"/>
      <c r="BU58" s="3418"/>
      <c r="BV58" s="3418"/>
      <c r="BW58" s="3418"/>
      <c r="BX58" s="3418"/>
      <c r="BY58" s="3418"/>
      <c r="BZ58" s="3418"/>
      <c r="CA58" s="3418"/>
      <c r="CB58" s="3418"/>
      <c r="CC58" s="3418"/>
      <c r="CD58" s="3418"/>
      <c r="CE58" s="3418"/>
      <c r="CF58" s="3418"/>
      <c r="CG58" s="3418"/>
      <c r="CH58" s="3418"/>
      <c r="CI58" s="3418"/>
      <c r="CJ58" s="3418"/>
      <c r="CK58" s="3418"/>
      <c r="CL58" s="3418"/>
      <c r="CM58" s="3418"/>
      <c r="CN58" s="3418"/>
      <c r="CO58" s="3418"/>
      <c r="CP58" s="3418"/>
      <c r="CQ58" s="3418"/>
      <c r="CR58" s="3418"/>
      <c r="CS58" s="3418"/>
      <c r="CT58" s="3418"/>
      <c r="CU58" s="3418"/>
      <c r="CV58" s="3418"/>
      <c r="CW58" s="3418"/>
      <c r="CX58" s="3418"/>
      <c r="CY58" s="75"/>
    </row>
    <row r="59" ht="29.25" customHeight="1" spans="1:103">
      <c r="A59" s="3965" t="s">
        <v>5841</v>
      </c>
      <c r="B59" s="3965"/>
      <c r="C59" s="3994" t="s">
        <v>5842</v>
      </c>
      <c r="D59" s="3994"/>
      <c r="E59" s="3994"/>
      <c r="F59" s="3994"/>
      <c r="G59" s="3994"/>
      <c r="H59" s="3994"/>
      <c r="I59" s="3994"/>
      <c r="J59" s="3994"/>
      <c r="K59" s="3994"/>
      <c r="L59" s="3994"/>
      <c r="M59" s="3994"/>
      <c r="N59" s="3994"/>
      <c r="O59" s="3994"/>
      <c r="P59" s="3994"/>
      <c r="Q59" s="3994"/>
      <c r="R59" s="3994"/>
      <c r="S59" s="3994"/>
      <c r="T59" s="3994"/>
      <c r="U59" s="3994"/>
      <c r="V59" s="3994"/>
      <c r="W59" s="3994"/>
      <c r="X59" s="3965" t="s">
        <v>19</v>
      </c>
      <c r="Y59" s="3990"/>
      <c r="Z59" s="3990"/>
      <c r="AA59" s="3990"/>
      <c r="AB59" s="3990"/>
      <c r="AC59" s="3990"/>
      <c r="AD59" s="3990"/>
      <c r="AE59" s="3990"/>
      <c r="AF59" s="3990"/>
      <c r="AG59" s="3990"/>
      <c r="AH59" s="3944"/>
      <c r="AI59" s="3944"/>
      <c r="AJ59" s="3944"/>
      <c r="AK59" s="3944"/>
      <c r="AL59" s="3944"/>
      <c r="AM59" s="3944"/>
      <c r="AN59" s="3944"/>
      <c r="AO59" s="3944"/>
      <c r="AP59" s="3944"/>
      <c r="AQ59" s="3944"/>
      <c r="AR59" s="3944"/>
      <c r="AS59" s="3944"/>
      <c r="AT59" s="3944"/>
      <c r="AU59" s="3944"/>
      <c r="AV59" s="3944"/>
      <c r="AW59" s="3418"/>
      <c r="AX59" s="3418"/>
      <c r="AY59" s="3418"/>
      <c r="AZ59" s="3418"/>
      <c r="BA59" s="3418"/>
      <c r="BB59" s="3418"/>
      <c r="BC59" s="3418"/>
      <c r="BD59" s="3418"/>
      <c r="BE59" s="3396"/>
      <c r="BF59" s="3396"/>
      <c r="BG59" s="3396"/>
      <c r="BH59" s="3396"/>
      <c r="BI59" s="3396"/>
      <c r="BJ59" s="3396"/>
      <c r="BK59" s="3396"/>
      <c r="BL59" s="3396"/>
      <c r="BM59" s="3396"/>
      <c r="BN59" s="3396"/>
      <c r="BO59" s="3396"/>
      <c r="BP59" s="3396"/>
      <c r="BQ59" s="3396"/>
      <c r="BR59" s="3396"/>
      <c r="BS59" s="3396"/>
      <c r="BT59" s="3396"/>
      <c r="BU59" s="3396"/>
      <c r="BV59" s="3396"/>
      <c r="BW59" s="3396"/>
      <c r="BX59" s="3396"/>
      <c r="BY59" s="3396"/>
      <c r="BZ59" s="3396"/>
      <c r="CA59" s="3396"/>
      <c r="CB59" s="3396"/>
      <c r="CC59" s="3396"/>
      <c r="CD59" s="3396"/>
      <c r="CE59" s="3396"/>
      <c r="CF59" s="3396"/>
      <c r="CG59" s="3396"/>
      <c r="CH59" s="3396"/>
      <c r="CI59" s="3396"/>
      <c r="CJ59" s="3396"/>
      <c r="CK59" s="3396"/>
      <c r="CL59" s="3396"/>
      <c r="CM59" s="3396"/>
      <c r="CN59" s="3396"/>
      <c r="CO59" s="3396"/>
      <c r="CP59" s="3396"/>
      <c r="CQ59" s="3396"/>
      <c r="CR59" s="3396"/>
      <c r="CS59" s="3396"/>
      <c r="CT59" s="3396"/>
      <c r="CU59" s="3396"/>
      <c r="CV59" s="3396"/>
      <c r="CW59" s="3396"/>
      <c r="CX59" s="3396"/>
      <c r="CY59" s="75"/>
    </row>
    <row r="60" ht="31.5" customHeight="1" spans="1:103">
      <c r="A60" s="3965" t="s">
        <v>5843</v>
      </c>
      <c r="B60" s="3965"/>
      <c r="C60" s="3994" t="s">
        <v>5844</v>
      </c>
      <c r="D60" s="3994"/>
      <c r="E60" s="3994"/>
      <c r="F60" s="3994"/>
      <c r="G60" s="3994"/>
      <c r="H60" s="3994"/>
      <c r="I60" s="3994"/>
      <c r="J60" s="3994"/>
      <c r="K60" s="3994"/>
      <c r="L60" s="3994"/>
      <c r="M60" s="3994"/>
      <c r="N60" s="3994"/>
      <c r="O60" s="3994"/>
      <c r="P60" s="3994"/>
      <c r="Q60" s="3994"/>
      <c r="R60" s="3994"/>
      <c r="S60" s="3994"/>
      <c r="T60" s="3994"/>
      <c r="U60" s="3994"/>
      <c r="V60" s="3994"/>
      <c r="W60" s="3994"/>
      <c r="X60" s="3967" t="s">
        <v>481</v>
      </c>
      <c r="Y60" s="3988"/>
      <c r="Z60" s="3988"/>
      <c r="AA60" s="3988"/>
      <c r="AB60" s="3988"/>
      <c r="AC60" s="3988"/>
      <c r="AD60" s="3988"/>
      <c r="AE60" s="3988"/>
      <c r="AF60" s="3988"/>
      <c r="AG60" s="3988"/>
      <c r="AH60" s="3944"/>
      <c r="AI60" s="3944"/>
      <c r="AJ60" s="3944"/>
      <c r="AK60" s="3944"/>
      <c r="AL60" s="3944"/>
      <c r="AM60" s="3944"/>
      <c r="AN60" s="3944"/>
      <c r="AO60" s="3944"/>
      <c r="AP60" s="3944"/>
      <c r="AQ60" s="3944"/>
      <c r="AR60" s="3944"/>
      <c r="AS60" s="3944"/>
      <c r="AT60" s="3944"/>
      <c r="AU60" s="3944"/>
      <c r="AV60" s="3944"/>
      <c r="AW60" s="3418"/>
      <c r="AX60" s="3418"/>
      <c r="AY60" s="3418"/>
      <c r="AZ60" s="3418"/>
      <c r="BA60" s="3418"/>
      <c r="BB60" s="3418"/>
      <c r="BC60" s="3418"/>
      <c r="BD60" s="3418"/>
      <c r="BE60" s="3396"/>
      <c r="BF60" s="3396"/>
      <c r="BG60" s="3396"/>
      <c r="BH60" s="3396"/>
      <c r="BI60" s="3396"/>
      <c r="BJ60" s="3396"/>
      <c r="BK60" s="3396"/>
      <c r="BL60" s="3396"/>
      <c r="BM60" s="3396"/>
      <c r="BN60" s="3396"/>
      <c r="BO60" s="3396"/>
      <c r="BP60" s="3396"/>
      <c r="BQ60" s="3396"/>
      <c r="BR60" s="3396"/>
      <c r="BS60" s="3396"/>
      <c r="BT60" s="3396"/>
      <c r="BU60" s="3396"/>
      <c r="BV60" s="3396"/>
      <c r="BW60" s="3396"/>
      <c r="BX60" s="3396"/>
      <c r="BY60" s="3396"/>
      <c r="BZ60" s="3396"/>
      <c r="CA60" s="3396"/>
      <c r="CB60" s="3396"/>
      <c r="CC60" s="3396"/>
      <c r="CD60" s="3396"/>
      <c r="CE60" s="3396"/>
      <c r="CF60" s="3396"/>
      <c r="CG60" s="3396"/>
      <c r="CH60" s="3396"/>
      <c r="CI60" s="3396"/>
      <c r="CJ60" s="3396"/>
      <c r="CK60" s="3396"/>
      <c r="CL60" s="3396"/>
      <c r="CM60" s="3396"/>
      <c r="CN60" s="3396"/>
      <c r="CO60" s="3396"/>
      <c r="CP60" s="3396"/>
      <c r="CQ60" s="3396"/>
      <c r="CR60" s="3396"/>
      <c r="CS60" s="3396"/>
      <c r="CT60" s="3396"/>
      <c r="CU60" s="3396"/>
      <c r="CV60" s="3396"/>
      <c r="CW60" s="3396"/>
      <c r="CX60" s="3396"/>
      <c r="CY60" s="75"/>
    </row>
    <row r="61" ht="33" customHeight="1" spans="1:103">
      <c r="A61" s="3965" t="s">
        <v>5845</v>
      </c>
      <c r="B61" s="3965"/>
      <c r="C61" s="3994" t="s">
        <v>5846</v>
      </c>
      <c r="D61" s="3994"/>
      <c r="E61" s="3994"/>
      <c r="F61" s="3994"/>
      <c r="G61" s="3994"/>
      <c r="H61" s="3994"/>
      <c r="I61" s="3994"/>
      <c r="J61" s="3994"/>
      <c r="K61" s="3994"/>
      <c r="L61" s="3994"/>
      <c r="M61" s="3994"/>
      <c r="N61" s="3994"/>
      <c r="O61" s="3994"/>
      <c r="P61" s="3994"/>
      <c r="Q61" s="3994"/>
      <c r="R61" s="3994"/>
      <c r="S61" s="3994"/>
      <c r="T61" s="3994"/>
      <c r="U61" s="3994"/>
      <c r="V61" s="3994"/>
      <c r="W61" s="3994"/>
      <c r="X61" s="3965" t="s">
        <v>19</v>
      </c>
      <c r="Y61" s="3990"/>
      <c r="Z61" s="3990"/>
      <c r="AA61" s="3990"/>
      <c r="AB61" s="3990"/>
      <c r="AC61" s="3990"/>
      <c r="AD61" s="3990"/>
      <c r="AE61" s="3990"/>
      <c r="AF61" s="3990"/>
      <c r="AG61" s="3990"/>
      <c r="AH61" s="3944"/>
      <c r="AI61" s="3944"/>
      <c r="AJ61" s="3944"/>
      <c r="AK61" s="3944"/>
      <c r="AL61" s="3944"/>
      <c r="AM61" s="3944"/>
      <c r="AN61" s="3944"/>
      <c r="AO61" s="3944"/>
      <c r="AP61" s="3944"/>
      <c r="AQ61" s="3944"/>
      <c r="AR61" s="3944"/>
      <c r="AS61" s="3944"/>
      <c r="AT61" s="3944"/>
      <c r="AU61" s="3944"/>
      <c r="AV61" s="3944"/>
      <c r="AW61" s="3418"/>
      <c r="AX61" s="3418"/>
      <c r="AY61" s="3418"/>
      <c r="AZ61" s="3418"/>
      <c r="BA61" s="3418"/>
      <c r="BB61" s="3418"/>
      <c r="BC61" s="3418"/>
      <c r="BD61" s="3418"/>
      <c r="BE61" s="3396"/>
      <c r="BF61" s="3396"/>
      <c r="BG61" s="3396"/>
      <c r="BH61" s="3396"/>
      <c r="BI61" s="3396"/>
      <c r="BJ61" s="3396"/>
      <c r="BK61" s="3396"/>
      <c r="BL61" s="3396"/>
      <c r="BM61" s="3396"/>
      <c r="BN61" s="3396"/>
      <c r="BO61" s="3396"/>
      <c r="BP61" s="3396"/>
      <c r="BQ61" s="3396"/>
      <c r="BR61" s="3396"/>
      <c r="BS61" s="3396"/>
      <c r="BT61" s="3396"/>
      <c r="BU61" s="3396"/>
      <c r="BV61" s="3396"/>
      <c r="BW61" s="3396"/>
      <c r="BX61" s="3396"/>
      <c r="BY61" s="3396"/>
      <c r="BZ61" s="3396"/>
      <c r="CA61" s="3396"/>
      <c r="CB61" s="3396"/>
      <c r="CC61" s="3396"/>
      <c r="CD61" s="3396"/>
      <c r="CE61" s="3396"/>
      <c r="CF61" s="3396"/>
      <c r="CG61" s="3396"/>
      <c r="CH61" s="3396"/>
      <c r="CI61" s="3396"/>
      <c r="CJ61" s="3396"/>
      <c r="CK61" s="3396"/>
      <c r="CL61" s="3396"/>
      <c r="CM61" s="3396"/>
      <c r="CN61" s="3396"/>
      <c r="CO61" s="3396"/>
      <c r="CP61" s="3396"/>
      <c r="CQ61" s="3396"/>
      <c r="CR61" s="3396"/>
      <c r="CS61" s="3396"/>
      <c r="CT61" s="3396"/>
      <c r="CU61" s="3396"/>
      <c r="CV61" s="3396"/>
      <c r="CW61" s="3396"/>
      <c r="CX61" s="3396"/>
      <c r="CY61" s="75"/>
    </row>
    <row r="62" ht="29.25" customHeight="1" spans="1:103">
      <c r="A62" s="3965" t="s">
        <v>5847</v>
      </c>
      <c r="B62" s="3965"/>
      <c r="C62" s="3994" t="s">
        <v>5848</v>
      </c>
      <c r="D62" s="3994"/>
      <c r="E62" s="3994"/>
      <c r="F62" s="3994"/>
      <c r="G62" s="3994"/>
      <c r="H62" s="3994"/>
      <c r="I62" s="3994"/>
      <c r="J62" s="3994"/>
      <c r="K62" s="3994"/>
      <c r="L62" s="3994"/>
      <c r="M62" s="3994"/>
      <c r="N62" s="3994"/>
      <c r="O62" s="3994"/>
      <c r="P62" s="3994"/>
      <c r="Q62" s="3994"/>
      <c r="R62" s="3994"/>
      <c r="S62" s="3994"/>
      <c r="T62" s="3994"/>
      <c r="U62" s="3994"/>
      <c r="V62" s="3994"/>
      <c r="W62" s="3994"/>
      <c r="X62" s="3965" t="s">
        <v>19</v>
      </c>
      <c r="Y62" s="3990"/>
      <c r="Z62" s="3990"/>
      <c r="AA62" s="3990"/>
      <c r="AB62" s="3990"/>
      <c r="AC62" s="3990"/>
      <c r="AD62" s="3990"/>
      <c r="AE62" s="3990"/>
      <c r="AF62" s="3990"/>
      <c r="AG62" s="3990"/>
      <c r="AH62" s="3944"/>
      <c r="AI62" s="3944"/>
      <c r="AJ62" s="3944"/>
      <c r="AK62" s="3944"/>
      <c r="AL62" s="3944"/>
      <c r="AM62" s="3944"/>
      <c r="AN62" s="3944"/>
      <c r="AO62" s="3944"/>
      <c r="AP62" s="3944"/>
      <c r="AQ62" s="3944"/>
      <c r="AR62" s="3944"/>
      <c r="AS62" s="3944"/>
      <c r="AT62" s="3944"/>
      <c r="AU62" s="3944"/>
      <c r="AV62" s="3944"/>
      <c r="AW62" s="3418"/>
      <c r="AX62" s="3418"/>
      <c r="AY62" s="3418"/>
      <c r="AZ62" s="3418"/>
      <c r="BA62" s="3418"/>
      <c r="BB62" s="3418"/>
      <c r="BC62" s="3418"/>
      <c r="BD62" s="3418"/>
      <c r="BE62" s="3396"/>
      <c r="BF62" s="3396"/>
      <c r="BG62" s="3396"/>
      <c r="BH62" s="3396"/>
      <c r="BI62" s="3396"/>
      <c r="BJ62" s="3396"/>
      <c r="BK62" s="3396"/>
      <c r="BL62" s="3396"/>
      <c r="BM62" s="3396"/>
      <c r="BN62" s="3396"/>
      <c r="BO62" s="3396"/>
      <c r="BP62" s="3396"/>
      <c r="BQ62" s="3396"/>
      <c r="BR62" s="3396"/>
      <c r="BS62" s="3396"/>
      <c r="BT62" s="3396"/>
      <c r="BU62" s="3396"/>
      <c r="BV62" s="3396"/>
      <c r="BW62" s="3396"/>
      <c r="BX62" s="3396"/>
      <c r="BY62" s="3396"/>
      <c r="BZ62" s="3396"/>
      <c r="CA62" s="3396"/>
      <c r="CB62" s="3396"/>
      <c r="CC62" s="3396"/>
      <c r="CD62" s="3396"/>
      <c r="CE62" s="3396"/>
      <c r="CF62" s="3396"/>
      <c r="CG62" s="3396"/>
      <c r="CH62" s="3396"/>
      <c r="CI62" s="3396"/>
      <c r="CJ62" s="3396"/>
      <c r="CK62" s="3396"/>
      <c r="CL62" s="3396"/>
      <c r="CM62" s="3396"/>
      <c r="CN62" s="3396"/>
      <c r="CO62" s="3396"/>
      <c r="CP62" s="3396"/>
      <c r="CQ62" s="3396"/>
      <c r="CR62" s="3396"/>
      <c r="CS62" s="3396"/>
      <c r="CT62" s="3396"/>
      <c r="CU62" s="3396"/>
      <c r="CV62" s="3396"/>
      <c r="CW62" s="3396"/>
      <c r="CX62" s="3396"/>
      <c r="CY62" s="75"/>
    </row>
    <row r="63" ht="18.75" customHeight="1" spans="1:103">
      <c r="A63" s="3983" t="s">
        <v>5849</v>
      </c>
      <c r="B63" s="3983"/>
      <c r="C63" s="4003" t="s">
        <v>5850</v>
      </c>
      <c r="D63" s="4003"/>
      <c r="E63" s="4003"/>
      <c r="F63" s="4003"/>
      <c r="G63" s="4003"/>
      <c r="H63" s="4003"/>
      <c r="I63" s="4003"/>
      <c r="J63" s="4003"/>
      <c r="K63" s="4003"/>
      <c r="L63" s="4003"/>
      <c r="M63" s="4003"/>
      <c r="N63" s="4003"/>
      <c r="O63" s="4003"/>
      <c r="P63" s="4003"/>
      <c r="Q63" s="4003"/>
      <c r="R63" s="4003"/>
      <c r="S63" s="4003"/>
      <c r="T63" s="4003"/>
      <c r="U63" s="4003"/>
      <c r="V63" s="4003"/>
      <c r="W63" s="4003"/>
      <c r="X63" s="3983" t="s">
        <v>19</v>
      </c>
      <c r="Y63" s="3987"/>
      <c r="Z63" s="3987"/>
      <c r="AA63" s="3987"/>
      <c r="AB63" s="3987"/>
      <c r="AC63" s="3987"/>
      <c r="AD63" s="3987"/>
      <c r="AE63" s="3987"/>
      <c r="AF63" s="3987"/>
      <c r="AG63" s="3987"/>
      <c r="AH63" s="3944"/>
      <c r="AI63" s="3944"/>
      <c r="AJ63" s="3944"/>
      <c r="AK63" s="3944"/>
      <c r="AL63" s="3944"/>
      <c r="AM63" s="3944"/>
      <c r="AN63" s="3944"/>
      <c r="AO63" s="3944"/>
      <c r="AP63" s="3944"/>
      <c r="AQ63" s="3944"/>
      <c r="AR63" s="3944"/>
      <c r="AS63" s="3944"/>
      <c r="AT63" s="3944"/>
      <c r="AU63" s="3944"/>
      <c r="AV63" s="3944"/>
      <c r="AW63" s="3418"/>
      <c r="AX63" s="3418"/>
      <c r="AY63" s="3418"/>
      <c r="AZ63" s="3418"/>
      <c r="BA63" s="3418"/>
      <c r="BB63" s="3418"/>
      <c r="BC63" s="3418"/>
      <c r="BD63" s="3418"/>
      <c r="BE63" s="3396"/>
      <c r="BF63" s="3396"/>
      <c r="BG63" s="3396"/>
      <c r="BH63" s="3396"/>
      <c r="BI63" s="3396"/>
      <c r="BJ63" s="3396"/>
      <c r="BK63" s="3396"/>
      <c r="BL63" s="3396"/>
      <c r="BM63" s="3396"/>
      <c r="BN63" s="3396"/>
      <c r="BO63" s="3396"/>
      <c r="BP63" s="3396"/>
      <c r="BQ63" s="3396"/>
      <c r="BR63" s="3396"/>
      <c r="BS63" s="3396"/>
      <c r="BT63" s="3396"/>
      <c r="BU63" s="3396"/>
      <c r="BV63" s="3396"/>
      <c r="BW63" s="3396"/>
      <c r="BX63" s="3396"/>
      <c r="BY63" s="3396"/>
      <c r="BZ63" s="3396"/>
      <c r="CA63" s="3396"/>
      <c r="CB63" s="3396"/>
      <c r="CC63" s="3396"/>
      <c r="CD63" s="3396"/>
      <c r="CE63" s="3396"/>
      <c r="CF63" s="3396"/>
      <c r="CG63" s="3396"/>
      <c r="CH63" s="3396"/>
      <c r="CI63" s="3396"/>
      <c r="CJ63" s="3396"/>
      <c r="CK63" s="3396"/>
      <c r="CL63" s="3396"/>
      <c r="CM63" s="3396"/>
      <c r="CN63" s="3396"/>
      <c r="CO63" s="3396"/>
      <c r="CP63" s="3396"/>
      <c r="CQ63" s="3396"/>
      <c r="CR63" s="3396"/>
      <c r="CS63" s="3396"/>
      <c r="CT63" s="3396"/>
      <c r="CU63" s="3396"/>
      <c r="CV63" s="3396"/>
      <c r="CW63" s="3396"/>
      <c r="CX63" s="3396"/>
      <c r="CY63" s="75"/>
    </row>
    <row r="64" ht="18.75" customHeight="1" spans="1:103">
      <c r="A64" s="4004" t="s">
        <v>5851</v>
      </c>
      <c r="B64" s="4004"/>
      <c r="C64" s="4005" t="s">
        <v>5852</v>
      </c>
      <c r="D64" s="4005"/>
      <c r="E64" s="4005"/>
      <c r="F64" s="4005"/>
      <c r="G64" s="4005"/>
      <c r="H64" s="4005"/>
      <c r="I64" s="4005"/>
      <c r="J64" s="4005"/>
      <c r="K64" s="4005"/>
      <c r="L64" s="4005"/>
      <c r="M64" s="4005"/>
      <c r="N64" s="4005"/>
      <c r="O64" s="4005"/>
      <c r="P64" s="4005"/>
      <c r="Q64" s="4005"/>
      <c r="R64" s="4005"/>
      <c r="S64" s="4005"/>
      <c r="T64" s="4005"/>
      <c r="U64" s="4005"/>
      <c r="V64" s="4005"/>
      <c r="W64" s="4005"/>
      <c r="X64" s="4004" t="s">
        <v>19</v>
      </c>
      <c r="Y64" s="4006"/>
      <c r="Z64" s="4006"/>
      <c r="AA64" s="4006"/>
      <c r="AB64" s="4006"/>
      <c r="AC64" s="4006"/>
      <c r="AD64" s="4006"/>
      <c r="AE64" s="4006"/>
      <c r="AF64" s="4006"/>
      <c r="AG64" s="4006"/>
      <c r="AH64" s="3944"/>
      <c r="AI64" s="3944"/>
      <c r="AJ64" s="3944"/>
      <c r="AK64" s="3944"/>
      <c r="AL64" s="3944"/>
      <c r="AM64" s="3944"/>
      <c r="AN64" s="3944"/>
      <c r="AO64" s="3944"/>
      <c r="AP64" s="3944"/>
      <c r="AQ64" s="3944"/>
      <c r="AR64" s="3944"/>
      <c r="AS64" s="3944"/>
      <c r="AT64" s="3944"/>
      <c r="AU64" s="3944"/>
      <c r="AV64" s="3944"/>
      <c r="AW64" s="3418"/>
      <c r="AX64" s="3418"/>
      <c r="AY64" s="3418"/>
      <c r="AZ64" s="3418"/>
      <c r="BA64" s="3418"/>
      <c r="BB64" s="3418"/>
      <c r="BC64" s="3418"/>
      <c r="BD64" s="3418"/>
      <c r="BE64" s="3396"/>
      <c r="BF64" s="3396"/>
      <c r="BG64" s="3396"/>
      <c r="BH64" s="3396"/>
      <c r="BI64" s="3396"/>
      <c r="BJ64" s="3396"/>
      <c r="BK64" s="3396"/>
      <c r="BL64" s="3396"/>
      <c r="BM64" s="3396"/>
      <c r="BN64" s="3396"/>
      <c r="BO64" s="3396"/>
      <c r="BP64" s="3396"/>
      <c r="BQ64" s="3396"/>
      <c r="BR64" s="3396"/>
      <c r="BS64" s="3396"/>
      <c r="BT64" s="3396"/>
      <c r="BU64" s="3396"/>
      <c r="BV64" s="3396"/>
      <c r="BW64" s="3396"/>
      <c r="BX64" s="3396"/>
      <c r="BY64" s="3396"/>
      <c r="BZ64" s="3396"/>
      <c r="CA64" s="3396"/>
      <c r="CB64" s="3396"/>
      <c r="CC64" s="3396"/>
      <c r="CD64" s="3396"/>
      <c r="CE64" s="3396"/>
      <c r="CF64" s="3396"/>
      <c r="CG64" s="3396"/>
      <c r="CH64" s="3396"/>
      <c r="CI64" s="3396"/>
      <c r="CJ64" s="3396"/>
      <c r="CK64" s="3396"/>
      <c r="CL64" s="3396"/>
      <c r="CM64" s="3396"/>
      <c r="CN64" s="3396"/>
      <c r="CO64" s="3396"/>
      <c r="CP64" s="3396"/>
      <c r="CQ64" s="3396"/>
      <c r="CR64" s="3396"/>
      <c r="CS64" s="3396"/>
      <c r="CT64" s="3396"/>
      <c r="CU64" s="3396"/>
      <c r="CV64" s="3396"/>
      <c r="CW64" s="3396"/>
      <c r="CX64" s="3396"/>
      <c r="CY64" s="75"/>
    </row>
    <row r="65" ht="18.75" customHeight="1" spans="1:103">
      <c r="A65" s="4008" t="s">
        <v>5853</v>
      </c>
      <c r="B65" s="4008"/>
      <c r="C65" s="4009" t="s">
        <v>5854</v>
      </c>
      <c r="D65" s="4009"/>
      <c r="E65" s="4009"/>
      <c r="F65" s="4009"/>
      <c r="G65" s="4009"/>
      <c r="H65" s="4009"/>
      <c r="I65" s="4009"/>
      <c r="J65" s="4009"/>
      <c r="K65" s="4009"/>
      <c r="L65" s="4009"/>
      <c r="M65" s="4009"/>
      <c r="N65" s="4009"/>
      <c r="O65" s="4009"/>
      <c r="P65" s="4009"/>
      <c r="Q65" s="4009"/>
      <c r="R65" s="4009"/>
      <c r="S65" s="4009"/>
      <c r="T65" s="4009"/>
      <c r="U65" s="4009"/>
      <c r="V65" s="4009"/>
      <c r="W65" s="4009"/>
      <c r="X65" s="4008"/>
      <c r="Y65" s="4010"/>
      <c r="Z65" s="4010"/>
      <c r="AA65" s="4010"/>
      <c r="AB65" s="4010"/>
      <c r="AC65" s="4010"/>
      <c r="AD65" s="4010"/>
      <c r="AE65" s="4010"/>
      <c r="AF65" s="4010"/>
      <c r="AG65" s="4010"/>
      <c r="AH65" s="3944"/>
      <c r="AI65" s="3944"/>
      <c r="AJ65" s="3944"/>
      <c r="AK65" s="3944"/>
      <c r="AL65" s="3944"/>
      <c r="AM65" s="3944"/>
      <c r="AN65" s="3944"/>
      <c r="AO65" s="3944"/>
      <c r="AP65" s="3944"/>
      <c r="AQ65" s="3944"/>
      <c r="AR65" s="3944"/>
      <c r="AS65" s="3944"/>
      <c r="AT65" s="3944"/>
      <c r="AU65" s="3944"/>
      <c r="AV65" s="3944"/>
      <c r="AW65" s="3418"/>
      <c r="AX65" s="3418"/>
      <c r="AY65" s="3418"/>
      <c r="AZ65" s="3418"/>
      <c r="BA65" s="3418"/>
      <c r="BB65" s="3418"/>
      <c r="BC65" s="3418"/>
      <c r="BD65" s="3418"/>
      <c r="BE65" s="3396"/>
      <c r="BF65" s="3396"/>
      <c r="BG65" s="3396"/>
      <c r="BH65" s="3396"/>
      <c r="BI65" s="3396"/>
      <c r="BJ65" s="3396"/>
      <c r="BK65" s="3396"/>
      <c r="BL65" s="3396"/>
      <c r="BM65" s="3396"/>
      <c r="BN65" s="3396"/>
      <c r="BO65" s="3396"/>
      <c r="BP65" s="3396"/>
      <c r="BQ65" s="3396"/>
      <c r="BR65" s="3396"/>
      <c r="BS65" s="3396"/>
      <c r="BT65" s="3396"/>
      <c r="BU65" s="3396"/>
      <c r="BV65" s="3396"/>
      <c r="BW65" s="3396"/>
      <c r="BX65" s="3396"/>
      <c r="BY65" s="3396"/>
      <c r="BZ65" s="3396"/>
      <c r="CA65" s="3396"/>
      <c r="CB65" s="3396"/>
      <c r="CC65" s="3396"/>
      <c r="CD65" s="3396"/>
      <c r="CE65" s="3396"/>
      <c r="CF65" s="3396"/>
      <c r="CG65" s="3396"/>
      <c r="CH65" s="3396"/>
      <c r="CI65" s="3396"/>
      <c r="CJ65" s="3396"/>
      <c r="CK65" s="3396"/>
      <c r="CL65" s="3396"/>
      <c r="CM65" s="3396"/>
      <c r="CN65" s="3396"/>
      <c r="CO65" s="3396"/>
      <c r="CP65" s="3396"/>
      <c r="CQ65" s="3396"/>
      <c r="CR65" s="3396"/>
      <c r="CS65" s="3396"/>
      <c r="CT65" s="3396"/>
      <c r="CU65" s="3396"/>
      <c r="CV65" s="3396"/>
      <c r="CW65" s="3396"/>
      <c r="CX65" s="3396"/>
      <c r="CY65" s="75"/>
    </row>
    <row r="66" ht="32.25" customHeight="1" spans="1:103">
      <c r="A66" s="4035" t="s">
        <v>5855</v>
      </c>
      <c r="B66" s="4035"/>
      <c r="C66" s="4036" t="s">
        <v>3740</v>
      </c>
      <c r="D66" s="4036"/>
      <c r="E66" s="4036"/>
      <c r="F66" s="4036"/>
      <c r="G66" s="4036"/>
      <c r="H66" s="4036"/>
      <c r="I66" s="4036"/>
      <c r="J66" s="4036"/>
      <c r="K66" s="4036"/>
      <c r="L66" s="4036"/>
      <c r="M66" s="4036"/>
      <c r="N66" s="4036"/>
      <c r="O66" s="4036"/>
      <c r="P66" s="4036"/>
      <c r="Q66" s="4036"/>
      <c r="R66" s="4036"/>
      <c r="S66" s="4036"/>
      <c r="T66" s="4036"/>
      <c r="U66" s="4036"/>
      <c r="V66" s="4036"/>
      <c r="W66" s="4036"/>
      <c r="X66" s="4035" t="s">
        <v>19</v>
      </c>
      <c r="Y66" s="4037"/>
      <c r="Z66" s="4037"/>
      <c r="AA66" s="4037"/>
      <c r="AB66" s="4037"/>
      <c r="AC66" s="4037"/>
      <c r="AD66" s="4037"/>
      <c r="AE66" s="4037"/>
      <c r="AF66" s="4037"/>
      <c r="AG66" s="4037"/>
      <c r="AH66" s="3944"/>
      <c r="AI66" s="3944"/>
      <c r="AJ66" s="3944"/>
      <c r="AK66" s="3944"/>
      <c r="AL66" s="3944"/>
      <c r="AM66" s="3944"/>
      <c r="AN66" s="3944"/>
      <c r="AO66" s="3944"/>
      <c r="AP66" s="3944"/>
      <c r="AQ66" s="3944"/>
      <c r="AR66" s="3944"/>
      <c r="AS66" s="3944"/>
      <c r="AT66" s="3944"/>
      <c r="AU66" s="3944"/>
      <c r="AV66" s="3944"/>
      <c r="AW66" s="3418"/>
      <c r="AX66" s="3418"/>
      <c r="AY66" s="3418"/>
      <c r="AZ66" s="3418"/>
      <c r="BA66" s="3418"/>
      <c r="BB66" s="3418"/>
      <c r="BC66" s="3418"/>
      <c r="BD66" s="3418"/>
      <c r="BE66" s="3396"/>
      <c r="BF66" s="3396"/>
      <c r="BG66" s="3396"/>
      <c r="BH66" s="3396"/>
      <c r="BI66" s="3396"/>
      <c r="BJ66" s="3396"/>
      <c r="BK66" s="3396"/>
      <c r="BL66" s="3396"/>
      <c r="BM66" s="3396"/>
      <c r="BN66" s="3396"/>
      <c r="BO66" s="3396"/>
      <c r="BP66" s="3396"/>
      <c r="BQ66" s="3396"/>
      <c r="BR66" s="3396"/>
      <c r="BS66" s="3396"/>
      <c r="BT66" s="3396"/>
      <c r="BU66" s="3396"/>
      <c r="BV66" s="3396"/>
      <c r="BW66" s="3396"/>
      <c r="BX66" s="3396"/>
      <c r="BY66" s="3396"/>
      <c r="BZ66" s="3396"/>
      <c r="CA66" s="3396"/>
      <c r="CB66" s="3396"/>
      <c r="CC66" s="3396"/>
      <c r="CD66" s="3396"/>
      <c r="CE66" s="3396"/>
      <c r="CF66" s="3396"/>
      <c r="CG66" s="3396"/>
      <c r="CH66" s="3396"/>
      <c r="CI66" s="3396"/>
      <c r="CJ66" s="3396"/>
      <c r="CK66" s="3396"/>
      <c r="CL66" s="3396"/>
      <c r="CM66" s="3396"/>
      <c r="CN66" s="3396"/>
      <c r="CO66" s="3396"/>
      <c r="CP66" s="3396"/>
      <c r="CQ66" s="3396"/>
      <c r="CR66" s="3396"/>
      <c r="CS66" s="3396"/>
      <c r="CT66" s="3396"/>
      <c r="CU66" s="3396"/>
      <c r="CV66" s="3396"/>
      <c r="CW66" s="3396"/>
      <c r="CX66" s="3396"/>
      <c r="CY66" s="75"/>
    </row>
    <row r="67" ht="30.75" customHeight="1" spans="1:103">
      <c r="A67" s="3965" t="s">
        <v>5856</v>
      </c>
      <c r="B67" s="3965"/>
      <c r="C67" s="3994" t="s">
        <v>3742</v>
      </c>
      <c r="D67" s="3994"/>
      <c r="E67" s="3994"/>
      <c r="F67" s="3994"/>
      <c r="G67" s="3994"/>
      <c r="H67" s="3994"/>
      <c r="I67" s="3994"/>
      <c r="J67" s="3994"/>
      <c r="K67" s="3994"/>
      <c r="L67" s="3994"/>
      <c r="M67" s="3994"/>
      <c r="N67" s="3994"/>
      <c r="O67" s="3994"/>
      <c r="P67" s="3994"/>
      <c r="Q67" s="3994"/>
      <c r="R67" s="3994"/>
      <c r="S67" s="3994"/>
      <c r="T67" s="3994"/>
      <c r="U67" s="3994"/>
      <c r="V67" s="3994"/>
      <c r="W67" s="3994"/>
      <c r="X67" s="3965" t="s">
        <v>19</v>
      </c>
      <c r="Y67" s="3990"/>
      <c r="Z67" s="3990"/>
      <c r="AA67" s="3990"/>
      <c r="AB67" s="3990"/>
      <c r="AC67" s="3990"/>
      <c r="AD67" s="3990"/>
      <c r="AE67" s="3990"/>
      <c r="AF67" s="3990"/>
      <c r="AG67" s="3990"/>
      <c r="AH67" s="3944"/>
      <c r="AI67" s="3944"/>
      <c r="AJ67" s="3944"/>
      <c r="AK67" s="3944"/>
      <c r="AL67" s="3944"/>
      <c r="AM67" s="3944"/>
      <c r="AN67" s="3944"/>
      <c r="AO67" s="3944"/>
      <c r="AP67" s="3944"/>
      <c r="AQ67" s="3944"/>
      <c r="AR67" s="3944"/>
      <c r="AS67" s="3944"/>
      <c r="AT67" s="3944"/>
      <c r="AU67" s="3944"/>
      <c r="AV67" s="3944"/>
      <c r="AW67" s="3418"/>
      <c r="AX67" s="3418"/>
      <c r="AY67" s="3418"/>
      <c r="AZ67" s="3418"/>
      <c r="BA67" s="3418"/>
      <c r="BB67" s="3418"/>
      <c r="BC67" s="3418"/>
      <c r="BD67" s="3418"/>
      <c r="BE67" s="3396"/>
      <c r="BF67" s="3396"/>
      <c r="BG67" s="3396"/>
      <c r="BH67" s="3396"/>
      <c r="BI67" s="3396"/>
      <c r="BJ67" s="3396"/>
      <c r="BK67" s="3396"/>
      <c r="BL67" s="3396"/>
      <c r="BM67" s="3396"/>
      <c r="BN67" s="3396"/>
      <c r="BO67" s="3396"/>
      <c r="BP67" s="3396"/>
      <c r="BQ67" s="3396"/>
      <c r="BR67" s="3396"/>
      <c r="BS67" s="3396"/>
      <c r="BT67" s="3396"/>
      <c r="BU67" s="3396"/>
      <c r="BV67" s="3396"/>
      <c r="BW67" s="3396"/>
      <c r="BX67" s="3396"/>
      <c r="BY67" s="3396"/>
      <c r="BZ67" s="3396"/>
      <c r="CA67" s="3396"/>
      <c r="CB67" s="3396"/>
      <c r="CC67" s="3396"/>
      <c r="CD67" s="3396"/>
      <c r="CE67" s="3396"/>
      <c r="CF67" s="3396"/>
      <c r="CG67" s="3396"/>
      <c r="CH67" s="3396"/>
      <c r="CI67" s="3396"/>
      <c r="CJ67" s="3396"/>
      <c r="CK67" s="3396"/>
      <c r="CL67" s="3396"/>
      <c r="CM67" s="3396"/>
      <c r="CN67" s="3396"/>
      <c r="CO67" s="3396"/>
      <c r="CP67" s="3396"/>
      <c r="CQ67" s="3396"/>
      <c r="CR67" s="3396"/>
      <c r="CS67" s="3396"/>
      <c r="CT67" s="3396"/>
      <c r="CU67" s="3396"/>
      <c r="CV67" s="3396"/>
      <c r="CW67" s="3396"/>
      <c r="CX67" s="3396"/>
      <c r="CY67" s="75"/>
    </row>
    <row r="68" ht="30.75" customHeight="1" spans="1:103">
      <c r="A68" s="3965" t="s">
        <v>5857</v>
      </c>
      <c r="B68" s="3965"/>
      <c r="C68" s="3994" t="s">
        <v>5858</v>
      </c>
      <c r="D68" s="3994"/>
      <c r="E68" s="3994"/>
      <c r="F68" s="3994"/>
      <c r="G68" s="3994"/>
      <c r="H68" s="3994"/>
      <c r="I68" s="3994"/>
      <c r="J68" s="3994"/>
      <c r="K68" s="3994"/>
      <c r="L68" s="3994"/>
      <c r="M68" s="3994"/>
      <c r="N68" s="3994"/>
      <c r="O68" s="3994"/>
      <c r="P68" s="3994"/>
      <c r="Q68" s="3994"/>
      <c r="R68" s="3994"/>
      <c r="S68" s="3994"/>
      <c r="T68" s="3994"/>
      <c r="U68" s="3994"/>
      <c r="V68" s="3994"/>
      <c r="W68" s="3994"/>
      <c r="X68" s="3965" t="s">
        <v>19</v>
      </c>
      <c r="Y68" s="3990"/>
      <c r="Z68" s="3990"/>
      <c r="AA68" s="3990"/>
      <c r="AB68" s="3990"/>
      <c r="AC68" s="3990"/>
      <c r="AD68" s="3990"/>
      <c r="AE68" s="3990"/>
      <c r="AF68" s="3990"/>
      <c r="AG68" s="3990"/>
      <c r="AH68" s="3944"/>
      <c r="AI68" s="3944"/>
      <c r="AJ68" s="3944"/>
      <c r="AK68" s="3944"/>
      <c r="AL68" s="3944"/>
      <c r="AM68" s="3944"/>
      <c r="AN68" s="3944"/>
      <c r="AO68" s="3944"/>
      <c r="AP68" s="3944"/>
      <c r="AQ68" s="3944"/>
      <c r="AR68" s="3944"/>
      <c r="AS68" s="3944"/>
      <c r="AT68" s="3944"/>
      <c r="AU68" s="3944"/>
      <c r="AV68" s="3944"/>
      <c r="AW68" s="3418"/>
      <c r="AX68" s="3418"/>
      <c r="AY68" s="3418"/>
      <c r="AZ68" s="3418"/>
      <c r="BA68" s="3418"/>
      <c r="BB68" s="3418"/>
      <c r="BC68" s="3418"/>
      <c r="BD68" s="3418"/>
      <c r="BE68" s="3396"/>
      <c r="BF68" s="3396"/>
      <c r="BG68" s="3396"/>
      <c r="BH68" s="3396"/>
      <c r="BI68" s="3396"/>
      <c r="BJ68" s="3396"/>
      <c r="BK68" s="3396"/>
      <c r="BL68" s="3396"/>
      <c r="BM68" s="3396"/>
      <c r="BN68" s="3396"/>
      <c r="BO68" s="3396"/>
      <c r="BP68" s="3396"/>
      <c r="BQ68" s="3396"/>
      <c r="BR68" s="3396"/>
      <c r="BS68" s="3396"/>
      <c r="BT68" s="3396"/>
      <c r="BU68" s="3396"/>
      <c r="BV68" s="3396"/>
      <c r="BW68" s="3396"/>
      <c r="BX68" s="3396"/>
      <c r="BY68" s="3396"/>
      <c r="BZ68" s="3396"/>
      <c r="CA68" s="3396"/>
      <c r="CB68" s="3396"/>
      <c r="CC68" s="3396"/>
      <c r="CD68" s="3396"/>
      <c r="CE68" s="3396"/>
      <c r="CF68" s="3396"/>
      <c r="CG68" s="3396"/>
      <c r="CH68" s="3396"/>
      <c r="CI68" s="3396"/>
      <c r="CJ68" s="3396"/>
      <c r="CK68" s="3396"/>
      <c r="CL68" s="3396"/>
      <c r="CM68" s="3396"/>
      <c r="CN68" s="3396"/>
      <c r="CO68" s="3396"/>
      <c r="CP68" s="3396"/>
      <c r="CQ68" s="3396"/>
      <c r="CR68" s="3396"/>
      <c r="CS68" s="3396"/>
      <c r="CT68" s="3396"/>
      <c r="CU68" s="3396"/>
      <c r="CV68" s="3396"/>
      <c r="CW68" s="3396"/>
      <c r="CX68" s="3396"/>
      <c r="CY68" s="75"/>
    </row>
    <row r="69" ht="32.25" customHeight="1" spans="1:103">
      <c r="A69" s="3965" t="s">
        <v>5859</v>
      </c>
      <c r="B69" s="3965"/>
      <c r="C69" s="3994" t="s">
        <v>5860</v>
      </c>
      <c r="D69" s="3994"/>
      <c r="E69" s="3994"/>
      <c r="F69" s="3994"/>
      <c r="G69" s="3994"/>
      <c r="H69" s="3994"/>
      <c r="I69" s="3994"/>
      <c r="J69" s="3994"/>
      <c r="K69" s="3994"/>
      <c r="L69" s="3994"/>
      <c r="M69" s="3994"/>
      <c r="N69" s="3994"/>
      <c r="O69" s="3994"/>
      <c r="P69" s="3994"/>
      <c r="Q69" s="3994"/>
      <c r="R69" s="3994"/>
      <c r="S69" s="3994"/>
      <c r="T69" s="3994"/>
      <c r="U69" s="3994"/>
      <c r="V69" s="3994"/>
      <c r="W69" s="3994"/>
      <c r="X69" s="3965" t="s">
        <v>19</v>
      </c>
      <c r="Y69" s="3990"/>
      <c r="Z69" s="3990"/>
      <c r="AA69" s="3990"/>
      <c r="AB69" s="3990"/>
      <c r="AC69" s="3990"/>
      <c r="AD69" s="3990"/>
      <c r="AE69" s="3990"/>
      <c r="AF69" s="3990"/>
      <c r="AG69" s="3990"/>
      <c r="AH69" s="4038"/>
      <c r="AI69" s="3943">
        <v>5781</v>
      </c>
      <c r="AJ69" s="3943"/>
      <c r="AK69" s="3943"/>
      <c r="AL69" s="4039" t="s">
        <v>5861</v>
      </c>
      <c r="AM69" s="3944"/>
      <c r="AN69" s="3944"/>
      <c r="AO69" s="3944"/>
      <c r="AP69" s="3944"/>
      <c r="AQ69" s="3944"/>
      <c r="AR69" s="3944"/>
      <c r="AS69" s="3944"/>
      <c r="AT69" s="3944"/>
      <c r="AU69" s="3944"/>
      <c r="AV69" s="3944"/>
      <c r="AW69" s="3418"/>
      <c r="AX69" s="3418"/>
      <c r="AY69" s="3418"/>
      <c r="AZ69" s="3418"/>
      <c r="BA69" s="3418"/>
      <c r="BB69" s="3418"/>
      <c r="BC69" s="3418"/>
      <c r="BD69" s="3418"/>
      <c r="BE69" s="3396"/>
      <c r="BF69" s="3396"/>
      <c r="BG69" s="3396"/>
      <c r="BH69" s="3396"/>
      <c r="BI69" s="3396"/>
      <c r="BJ69" s="3396"/>
      <c r="BK69" s="3396"/>
      <c r="BL69" s="3396"/>
      <c r="BM69" s="3396"/>
      <c r="BN69" s="3396"/>
      <c r="BO69" s="3396"/>
      <c r="BP69" s="3396"/>
      <c r="BQ69" s="3396"/>
      <c r="BR69" s="3396"/>
      <c r="BS69" s="3396"/>
      <c r="BT69" s="3396"/>
      <c r="BU69" s="3396"/>
      <c r="BV69" s="3396"/>
      <c r="BW69" s="3396"/>
      <c r="BX69" s="3396"/>
      <c r="BY69" s="3396"/>
      <c r="BZ69" s="3396"/>
      <c r="CA69" s="3396"/>
      <c r="CB69" s="3396"/>
      <c r="CC69" s="3396"/>
      <c r="CD69" s="3396"/>
      <c r="CE69" s="3396"/>
      <c r="CF69" s="3396"/>
      <c r="CG69" s="3396"/>
      <c r="CH69" s="3396"/>
      <c r="CI69" s="3396"/>
      <c r="CJ69" s="3396"/>
      <c r="CK69" s="3396"/>
      <c r="CL69" s="3396"/>
      <c r="CM69" s="3396"/>
      <c r="CN69" s="3396"/>
      <c r="CO69" s="3396"/>
      <c r="CP69" s="3396"/>
      <c r="CQ69" s="3396"/>
      <c r="CR69" s="3396"/>
      <c r="CS69" s="3396"/>
      <c r="CT69" s="3396"/>
      <c r="CU69" s="3396"/>
      <c r="CV69" s="3396"/>
      <c r="CW69" s="3396"/>
      <c r="CX69" s="3396"/>
      <c r="CY69" s="75"/>
    </row>
    <row r="70" ht="30" customHeight="1" spans="1:103">
      <c r="A70" s="3965" t="s">
        <v>5862</v>
      </c>
      <c r="B70" s="3965"/>
      <c r="C70" s="3994" t="s">
        <v>5863</v>
      </c>
      <c r="D70" s="3994"/>
      <c r="E70" s="3994"/>
      <c r="F70" s="3994"/>
      <c r="G70" s="3994"/>
      <c r="H70" s="3994"/>
      <c r="I70" s="3994"/>
      <c r="J70" s="3994"/>
      <c r="K70" s="3994"/>
      <c r="L70" s="3994"/>
      <c r="M70" s="3994"/>
      <c r="N70" s="3994"/>
      <c r="O70" s="3994"/>
      <c r="P70" s="3994"/>
      <c r="Q70" s="3994"/>
      <c r="R70" s="3994"/>
      <c r="S70" s="3994"/>
      <c r="T70" s="3994"/>
      <c r="U70" s="3994"/>
      <c r="V70" s="3994"/>
      <c r="W70" s="3994"/>
      <c r="X70" s="3967" t="s">
        <v>481</v>
      </c>
      <c r="Y70" s="3990"/>
      <c r="Z70" s="3990"/>
      <c r="AA70" s="3990"/>
      <c r="AB70" s="3990"/>
      <c r="AC70" s="3990"/>
      <c r="AD70" s="3990"/>
      <c r="AE70" s="3990"/>
      <c r="AF70" s="3990"/>
      <c r="AG70" s="3990"/>
      <c r="AH70" s="3944"/>
      <c r="AI70" s="3944"/>
      <c r="AJ70" s="3944"/>
      <c r="AK70" s="3944"/>
      <c r="AL70" s="3944"/>
      <c r="AM70" s="3944"/>
      <c r="AN70" s="3944"/>
      <c r="AO70" s="3944"/>
      <c r="AP70" s="3944"/>
      <c r="AQ70" s="3944"/>
      <c r="AR70" s="3944"/>
      <c r="AS70" s="3944"/>
      <c r="AT70" s="3944"/>
      <c r="AU70" s="3944"/>
      <c r="AV70" s="3944"/>
      <c r="AW70" s="3418"/>
      <c r="AX70" s="3418"/>
      <c r="AY70" s="3418"/>
      <c r="AZ70" s="3418"/>
      <c r="BA70" s="3418"/>
      <c r="BB70" s="3418"/>
      <c r="BC70" s="3418"/>
      <c r="BD70" s="3418"/>
      <c r="BE70" s="3396"/>
      <c r="BF70" s="3396"/>
      <c r="BG70" s="3396"/>
      <c r="BH70" s="3396"/>
      <c r="BI70" s="3396"/>
      <c r="BJ70" s="3396"/>
      <c r="BK70" s="3396"/>
      <c r="BL70" s="3396"/>
      <c r="BM70" s="3396"/>
      <c r="BN70" s="3396"/>
      <c r="BO70" s="3396"/>
      <c r="BP70" s="3396"/>
      <c r="BQ70" s="3396"/>
      <c r="BR70" s="3396"/>
      <c r="BS70" s="3396"/>
      <c r="BT70" s="3396"/>
      <c r="BU70" s="3396"/>
      <c r="BV70" s="3396"/>
      <c r="BW70" s="3396"/>
      <c r="BX70" s="3396"/>
      <c r="BY70" s="3396"/>
      <c r="BZ70" s="3396"/>
      <c r="CA70" s="3396"/>
      <c r="CB70" s="3396"/>
      <c r="CC70" s="3396"/>
      <c r="CD70" s="3396"/>
      <c r="CE70" s="3396"/>
      <c r="CF70" s="3396"/>
      <c r="CG70" s="3396"/>
      <c r="CH70" s="3396"/>
      <c r="CI70" s="3396"/>
      <c r="CJ70" s="3396"/>
      <c r="CK70" s="3396"/>
      <c r="CL70" s="3396"/>
      <c r="CM70" s="3396"/>
      <c r="CN70" s="3396"/>
      <c r="CO70" s="3396"/>
      <c r="CP70" s="3396"/>
      <c r="CQ70" s="3396"/>
      <c r="CR70" s="3396"/>
      <c r="CS70" s="3396"/>
      <c r="CT70" s="3396"/>
      <c r="CU70" s="3396"/>
      <c r="CV70" s="3396"/>
      <c r="CW70" s="3396"/>
      <c r="CX70" s="3396"/>
      <c r="CY70" s="75"/>
    </row>
    <row r="71" ht="33.75" customHeight="1" spans="1:103">
      <c r="A71" s="3965" t="s">
        <v>5864</v>
      </c>
      <c r="B71" s="3965"/>
      <c r="C71" s="3994" t="s">
        <v>3746</v>
      </c>
      <c r="D71" s="3994"/>
      <c r="E71" s="3994"/>
      <c r="F71" s="3994"/>
      <c r="G71" s="3994"/>
      <c r="H71" s="3994"/>
      <c r="I71" s="3994"/>
      <c r="J71" s="3994"/>
      <c r="K71" s="3994"/>
      <c r="L71" s="3994"/>
      <c r="M71" s="3994"/>
      <c r="N71" s="3994"/>
      <c r="O71" s="3994"/>
      <c r="P71" s="3994"/>
      <c r="Q71" s="3994"/>
      <c r="R71" s="3994"/>
      <c r="S71" s="3994"/>
      <c r="T71" s="3994"/>
      <c r="U71" s="3994"/>
      <c r="V71" s="3994"/>
      <c r="W71" s="3994"/>
      <c r="X71" s="3965" t="s">
        <v>19</v>
      </c>
      <c r="Y71" s="3990"/>
      <c r="Z71" s="3990"/>
      <c r="AA71" s="3990"/>
      <c r="AB71" s="3990"/>
      <c r="AC71" s="3990"/>
      <c r="AD71" s="3990"/>
      <c r="AE71" s="3990"/>
      <c r="AF71" s="3990"/>
      <c r="AG71" s="3990"/>
      <c r="AH71" s="3944"/>
      <c r="AI71" s="3944"/>
      <c r="AJ71" s="3944"/>
      <c r="AK71" s="3944"/>
      <c r="AL71" s="3944"/>
      <c r="AM71" s="3944"/>
      <c r="AN71" s="3944"/>
      <c r="AO71" s="3944"/>
      <c r="AP71" s="3944"/>
      <c r="AQ71" s="3944"/>
      <c r="AR71" s="3944"/>
      <c r="AS71" s="3944"/>
      <c r="AT71" s="3944"/>
      <c r="AU71" s="3944"/>
      <c r="AV71" s="3944"/>
      <c r="AW71" s="3418"/>
      <c r="AX71" s="3418"/>
      <c r="AY71" s="3418"/>
      <c r="AZ71" s="3418"/>
      <c r="BA71" s="3418"/>
      <c r="BB71" s="3418"/>
      <c r="BC71" s="3418"/>
      <c r="BD71" s="3418"/>
      <c r="BE71" s="3396"/>
      <c r="BF71" s="3396"/>
      <c r="BG71" s="3396"/>
      <c r="BH71" s="3396"/>
      <c r="BI71" s="3396"/>
      <c r="BJ71" s="3396"/>
      <c r="BK71" s="3396"/>
      <c r="BL71" s="3396"/>
      <c r="BM71" s="3396"/>
      <c r="BN71" s="3396"/>
      <c r="BO71" s="3396"/>
      <c r="BP71" s="3396"/>
      <c r="BQ71" s="3396"/>
      <c r="BR71" s="3396"/>
      <c r="BS71" s="3396"/>
      <c r="BT71" s="3396"/>
      <c r="BU71" s="3396"/>
      <c r="BV71" s="3396"/>
      <c r="BW71" s="3396"/>
      <c r="BX71" s="3396"/>
      <c r="BY71" s="3396"/>
      <c r="BZ71" s="3396"/>
      <c r="CA71" s="3396"/>
      <c r="CB71" s="3396"/>
      <c r="CC71" s="3396"/>
      <c r="CD71" s="3396"/>
      <c r="CE71" s="3396"/>
      <c r="CF71" s="3396"/>
      <c r="CG71" s="3396"/>
      <c r="CH71" s="3396"/>
      <c r="CI71" s="3396"/>
      <c r="CJ71" s="3396"/>
      <c r="CK71" s="3396"/>
      <c r="CL71" s="3396"/>
      <c r="CM71" s="3396"/>
      <c r="CN71" s="3396"/>
      <c r="CO71" s="3396"/>
      <c r="CP71" s="3396"/>
      <c r="CQ71" s="3396"/>
      <c r="CR71" s="3396"/>
      <c r="CS71" s="3396"/>
      <c r="CT71" s="3396"/>
      <c r="CU71" s="3396"/>
      <c r="CV71" s="3396"/>
      <c r="CW71" s="3396"/>
      <c r="CX71" s="3396"/>
      <c r="CY71" s="75"/>
    </row>
    <row r="72" ht="18.75" customHeight="1" spans="1:103">
      <c r="A72" s="3965" t="s">
        <v>5865</v>
      </c>
      <c r="B72" s="3965"/>
      <c r="C72" s="3989" t="s">
        <v>5866</v>
      </c>
      <c r="D72" s="3989"/>
      <c r="E72" s="3989"/>
      <c r="F72" s="3989"/>
      <c r="G72" s="3989"/>
      <c r="H72" s="3989"/>
      <c r="I72" s="3989"/>
      <c r="J72" s="3989"/>
      <c r="K72" s="3989"/>
      <c r="L72" s="3989"/>
      <c r="M72" s="3989"/>
      <c r="N72" s="3989"/>
      <c r="O72" s="3989"/>
      <c r="P72" s="3989"/>
      <c r="Q72" s="3989"/>
      <c r="R72" s="3989"/>
      <c r="S72" s="3989"/>
      <c r="T72" s="3989"/>
      <c r="U72" s="3989"/>
      <c r="V72" s="3989"/>
      <c r="W72" s="3989"/>
      <c r="X72" s="3965" t="s">
        <v>19</v>
      </c>
      <c r="Y72" s="3990"/>
      <c r="Z72" s="3990"/>
      <c r="AA72" s="3990"/>
      <c r="AB72" s="3990"/>
      <c r="AC72" s="3990"/>
      <c r="AD72" s="3990"/>
      <c r="AE72" s="3990"/>
      <c r="AF72" s="3990"/>
      <c r="AG72" s="3990"/>
      <c r="AH72" s="4038"/>
      <c r="AI72" s="3944"/>
      <c r="AJ72" s="3944"/>
      <c r="AK72" s="3944"/>
      <c r="AL72" s="3944"/>
      <c r="AM72" s="3944"/>
      <c r="AN72" s="3944"/>
      <c r="AO72" s="3944"/>
      <c r="AP72" s="3944"/>
      <c r="AQ72" s="3944"/>
      <c r="AR72" s="3944"/>
      <c r="AS72" s="3944"/>
      <c r="AT72" s="3944"/>
      <c r="AU72" s="3944"/>
      <c r="AV72" s="3944"/>
      <c r="AW72" s="3418"/>
      <c r="AX72" s="3418"/>
      <c r="AY72" s="3418"/>
      <c r="AZ72" s="3418"/>
      <c r="BA72" s="3418"/>
      <c r="BB72" s="3418"/>
      <c r="BC72" s="3418"/>
      <c r="BD72" s="3418"/>
      <c r="BE72" s="3396"/>
      <c r="BF72" s="3396"/>
      <c r="BG72" s="3396"/>
      <c r="BH72" s="3396"/>
      <c r="BI72" s="3396"/>
      <c r="BJ72" s="3396"/>
      <c r="BK72" s="3396"/>
      <c r="BL72" s="3396"/>
      <c r="BM72" s="3396"/>
      <c r="BN72" s="3396"/>
      <c r="BO72" s="3396"/>
      <c r="BP72" s="3396"/>
      <c r="BQ72" s="3396"/>
      <c r="BR72" s="3396"/>
      <c r="BS72" s="3396"/>
      <c r="BT72" s="3396"/>
      <c r="BU72" s="3396"/>
      <c r="BV72" s="3396"/>
      <c r="BW72" s="3396"/>
      <c r="BX72" s="3396"/>
      <c r="BY72" s="3396"/>
      <c r="BZ72" s="3396"/>
      <c r="CA72" s="3396"/>
      <c r="CB72" s="3396"/>
      <c r="CC72" s="3396"/>
      <c r="CD72" s="3396"/>
      <c r="CE72" s="3396"/>
      <c r="CF72" s="3396"/>
      <c r="CG72" s="3396"/>
      <c r="CH72" s="3396"/>
      <c r="CI72" s="3396"/>
      <c r="CJ72" s="3396"/>
      <c r="CK72" s="3396"/>
      <c r="CL72" s="3396"/>
      <c r="CM72" s="3396"/>
      <c r="CN72" s="3396"/>
      <c r="CO72" s="3396"/>
      <c r="CP72" s="3396"/>
      <c r="CQ72" s="3396"/>
      <c r="CR72" s="3396"/>
      <c r="CS72" s="3396"/>
      <c r="CT72" s="3396"/>
      <c r="CU72" s="3396"/>
      <c r="CV72" s="3396"/>
      <c r="CW72" s="3396"/>
      <c r="CX72" s="3396"/>
      <c r="CY72" s="75"/>
    </row>
    <row r="73" ht="32.25" customHeight="1" spans="1:103">
      <c r="A73" s="3965" t="s">
        <v>5867</v>
      </c>
      <c r="B73" s="3965"/>
      <c r="C73" s="3994" t="s">
        <v>5868</v>
      </c>
      <c r="D73" s="3994"/>
      <c r="E73" s="3994"/>
      <c r="F73" s="3994"/>
      <c r="G73" s="3994"/>
      <c r="H73" s="3994"/>
      <c r="I73" s="3994"/>
      <c r="J73" s="3994"/>
      <c r="K73" s="3994"/>
      <c r="L73" s="3994"/>
      <c r="M73" s="3994"/>
      <c r="N73" s="3994"/>
      <c r="O73" s="3994"/>
      <c r="P73" s="3994"/>
      <c r="Q73" s="3994"/>
      <c r="R73" s="3994"/>
      <c r="S73" s="3994"/>
      <c r="T73" s="3994"/>
      <c r="U73" s="3994"/>
      <c r="V73" s="3994"/>
      <c r="W73" s="3994"/>
      <c r="X73" s="3965" t="s">
        <v>19</v>
      </c>
      <c r="Y73" s="3990"/>
      <c r="Z73" s="3990"/>
      <c r="AA73" s="3990"/>
      <c r="AB73" s="3990"/>
      <c r="AC73" s="3990"/>
      <c r="AD73" s="3990"/>
      <c r="AE73" s="3990"/>
      <c r="AF73" s="3990"/>
      <c r="AG73" s="3990"/>
      <c r="AH73" s="3944"/>
      <c r="AI73" s="3944"/>
      <c r="AJ73" s="3944"/>
      <c r="AK73" s="3944"/>
      <c r="AL73" s="3944"/>
      <c r="AM73" s="3944"/>
      <c r="AN73" s="3944"/>
      <c r="AO73" s="3944"/>
      <c r="AP73" s="3944"/>
      <c r="AQ73" s="3944"/>
      <c r="AR73" s="3944"/>
      <c r="AS73" s="3944"/>
      <c r="AT73" s="3944"/>
      <c r="AU73" s="3944"/>
      <c r="AV73" s="3944"/>
      <c r="AW73" s="3418"/>
      <c r="AX73" s="3418"/>
      <c r="AY73" s="3418"/>
      <c r="AZ73" s="3418"/>
      <c r="BA73" s="3418"/>
      <c r="BB73" s="3418"/>
      <c r="BC73" s="3418"/>
      <c r="BD73" s="3418"/>
      <c r="BE73" s="3396"/>
      <c r="BF73" s="3396"/>
      <c r="BG73" s="3396"/>
      <c r="BH73" s="3396"/>
      <c r="BI73" s="3396"/>
      <c r="BJ73" s="3396"/>
      <c r="BK73" s="3396"/>
      <c r="BL73" s="3396"/>
      <c r="BM73" s="3396"/>
      <c r="BN73" s="3396"/>
      <c r="BO73" s="3396"/>
      <c r="BP73" s="3396"/>
      <c r="BQ73" s="3396"/>
      <c r="BR73" s="3396"/>
      <c r="BS73" s="3396"/>
      <c r="BT73" s="3396"/>
      <c r="BU73" s="3396"/>
      <c r="BV73" s="3396"/>
      <c r="BW73" s="3396"/>
      <c r="BX73" s="3396"/>
      <c r="BY73" s="3396"/>
      <c r="BZ73" s="3396"/>
      <c r="CA73" s="3396"/>
      <c r="CB73" s="3396"/>
      <c r="CC73" s="3396"/>
      <c r="CD73" s="3396"/>
      <c r="CE73" s="3396"/>
      <c r="CF73" s="3396"/>
      <c r="CG73" s="3396"/>
      <c r="CH73" s="3396"/>
      <c r="CI73" s="3396"/>
      <c r="CJ73" s="3396"/>
      <c r="CK73" s="3396"/>
      <c r="CL73" s="3396"/>
      <c r="CM73" s="3396"/>
      <c r="CN73" s="3396"/>
      <c r="CO73" s="3396"/>
      <c r="CP73" s="3396"/>
      <c r="CQ73" s="3396"/>
      <c r="CR73" s="3396"/>
      <c r="CS73" s="3396"/>
      <c r="CT73" s="3396"/>
      <c r="CU73" s="3396"/>
      <c r="CV73" s="3396"/>
      <c r="CW73" s="3396"/>
      <c r="CX73" s="3396"/>
      <c r="CY73" s="75"/>
    </row>
    <row r="74" ht="30.75" customHeight="1" spans="1:103">
      <c r="A74" s="3965" t="s">
        <v>5869</v>
      </c>
      <c r="B74" s="3965"/>
      <c r="C74" s="3994" t="s">
        <v>5870</v>
      </c>
      <c r="D74" s="3994"/>
      <c r="E74" s="3994"/>
      <c r="F74" s="3994"/>
      <c r="G74" s="3994"/>
      <c r="H74" s="3994"/>
      <c r="I74" s="3994"/>
      <c r="J74" s="3994"/>
      <c r="K74" s="3994"/>
      <c r="L74" s="3994"/>
      <c r="M74" s="3994"/>
      <c r="N74" s="3994"/>
      <c r="O74" s="3994"/>
      <c r="P74" s="3994"/>
      <c r="Q74" s="3994"/>
      <c r="R74" s="3994"/>
      <c r="S74" s="3994"/>
      <c r="T74" s="3994"/>
      <c r="U74" s="3994"/>
      <c r="V74" s="3994"/>
      <c r="W74" s="3994"/>
      <c r="X74" s="3967" t="s">
        <v>481</v>
      </c>
      <c r="Y74" s="3988"/>
      <c r="Z74" s="3988"/>
      <c r="AA74" s="3988"/>
      <c r="AB74" s="3988"/>
      <c r="AC74" s="3988"/>
      <c r="AD74" s="3988"/>
      <c r="AE74" s="3988"/>
      <c r="AF74" s="3988"/>
      <c r="AG74" s="3988"/>
      <c r="AH74" s="3944"/>
      <c r="AI74" s="3944"/>
      <c r="AJ74" s="3944"/>
      <c r="AK74" s="3944"/>
      <c r="AL74" s="3944"/>
      <c r="AM74" s="3944"/>
      <c r="AN74" s="3944"/>
      <c r="AO74" s="3944"/>
      <c r="AP74" s="3944"/>
      <c r="AQ74" s="3944"/>
      <c r="AR74" s="3944"/>
      <c r="AS74" s="3944"/>
      <c r="AT74" s="3944"/>
      <c r="AU74" s="3944"/>
      <c r="AV74" s="3944"/>
      <c r="AW74" s="3418"/>
      <c r="AX74" s="3418"/>
      <c r="AY74" s="3418"/>
      <c r="AZ74" s="3418"/>
      <c r="BA74" s="3418"/>
      <c r="BB74" s="3418"/>
      <c r="BC74" s="3418"/>
      <c r="BD74" s="3418"/>
      <c r="BE74" s="3396"/>
      <c r="BF74" s="3396"/>
      <c r="BG74" s="3396"/>
      <c r="BH74" s="3396"/>
      <c r="BI74" s="3396"/>
      <c r="BJ74" s="3396"/>
      <c r="BK74" s="3396"/>
      <c r="BL74" s="3396"/>
      <c r="BM74" s="3396"/>
      <c r="BN74" s="3396"/>
      <c r="BO74" s="3396"/>
      <c r="BP74" s="3396"/>
      <c r="BQ74" s="3396"/>
      <c r="BR74" s="3396"/>
      <c r="BS74" s="3396"/>
      <c r="BT74" s="3396"/>
      <c r="BU74" s="3396"/>
      <c r="BV74" s="3396"/>
      <c r="BW74" s="3396"/>
      <c r="BX74" s="3396"/>
      <c r="BY74" s="3396"/>
      <c r="BZ74" s="3396"/>
      <c r="CA74" s="3396"/>
      <c r="CB74" s="3396"/>
      <c r="CC74" s="3396"/>
      <c r="CD74" s="3396"/>
      <c r="CE74" s="3396"/>
      <c r="CF74" s="3396"/>
      <c r="CG74" s="3396"/>
      <c r="CH74" s="3396"/>
      <c r="CI74" s="3396"/>
      <c r="CJ74" s="3396"/>
      <c r="CK74" s="3396"/>
      <c r="CL74" s="3396"/>
      <c r="CM74" s="3396"/>
      <c r="CN74" s="3396"/>
      <c r="CO74" s="3396"/>
      <c r="CP74" s="3396"/>
      <c r="CQ74" s="3396"/>
      <c r="CR74" s="3396"/>
      <c r="CS74" s="3396"/>
      <c r="CT74" s="3396"/>
      <c r="CU74" s="3396"/>
      <c r="CV74" s="3396"/>
      <c r="CW74" s="3396"/>
      <c r="CX74" s="3396"/>
      <c r="CY74" s="75"/>
    </row>
    <row r="75" ht="30" customHeight="1" spans="1:103">
      <c r="A75" s="3965" t="s">
        <v>5871</v>
      </c>
      <c r="B75" s="3965"/>
      <c r="C75" s="3994" t="s">
        <v>5872</v>
      </c>
      <c r="D75" s="3994"/>
      <c r="E75" s="3994"/>
      <c r="F75" s="3994"/>
      <c r="G75" s="3994"/>
      <c r="H75" s="3994"/>
      <c r="I75" s="3994"/>
      <c r="J75" s="3994"/>
      <c r="K75" s="3994"/>
      <c r="L75" s="3994"/>
      <c r="M75" s="3994"/>
      <c r="N75" s="3994"/>
      <c r="O75" s="3994"/>
      <c r="P75" s="3994"/>
      <c r="Q75" s="3994"/>
      <c r="R75" s="3994"/>
      <c r="S75" s="3994"/>
      <c r="T75" s="3994"/>
      <c r="U75" s="3994"/>
      <c r="V75" s="3994"/>
      <c r="W75" s="3994"/>
      <c r="X75" s="3965" t="s">
        <v>19</v>
      </c>
      <c r="Y75" s="3990"/>
      <c r="Z75" s="3990"/>
      <c r="AA75" s="3990"/>
      <c r="AB75" s="3990"/>
      <c r="AC75" s="3990"/>
      <c r="AD75" s="3990"/>
      <c r="AE75" s="3990"/>
      <c r="AF75" s="3990"/>
      <c r="AG75" s="3990"/>
      <c r="AH75" s="3944"/>
      <c r="AI75" s="3944"/>
      <c r="AJ75" s="3944"/>
      <c r="AK75" s="3944"/>
      <c r="AL75" s="3944"/>
      <c r="AM75" s="3944"/>
      <c r="AN75" s="3944"/>
      <c r="AO75" s="3944"/>
      <c r="AP75" s="3944"/>
      <c r="AQ75" s="3944"/>
      <c r="AR75" s="3944"/>
      <c r="AS75" s="3944"/>
      <c r="AT75" s="3944"/>
      <c r="AU75" s="3944"/>
      <c r="AV75" s="3944"/>
      <c r="AW75" s="3418"/>
      <c r="AX75" s="3418"/>
      <c r="AY75" s="3418"/>
      <c r="AZ75" s="3418"/>
      <c r="BA75" s="3418"/>
      <c r="BB75" s="3418"/>
      <c r="BC75" s="3418"/>
      <c r="BD75" s="3418"/>
      <c r="BE75" s="3396"/>
      <c r="BF75" s="3396"/>
      <c r="BG75" s="3396"/>
      <c r="BH75" s="3396"/>
      <c r="BI75" s="3396"/>
      <c r="BJ75" s="3396"/>
      <c r="BK75" s="3396"/>
      <c r="BL75" s="3396"/>
      <c r="BM75" s="3396"/>
      <c r="BN75" s="3396"/>
      <c r="BO75" s="3396"/>
      <c r="BP75" s="3396"/>
      <c r="BQ75" s="3396"/>
      <c r="BR75" s="3396"/>
      <c r="BS75" s="3396"/>
      <c r="BT75" s="3396"/>
      <c r="BU75" s="3396"/>
      <c r="BV75" s="3396"/>
      <c r="BW75" s="3396"/>
      <c r="BX75" s="3396"/>
      <c r="BY75" s="3396"/>
      <c r="BZ75" s="3396"/>
      <c r="CA75" s="3396"/>
      <c r="CB75" s="3396"/>
      <c r="CC75" s="3396"/>
      <c r="CD75" s="3396"/>
      <c r="CE75" s="3396"/>
      <c r="CF75" s="3396"/>
      <c r="CG75" s="3396"/>
      <c r="CH75" s="3396"/>
      <c r="CI75" s="3396"/>
      <c r="CJ75" s="3396"/>
      <c r="CK75" s="3396"/>
      <c r="CL75" s="3396"/>
      <c r="CM75" s="3396"/>
      <c r="CN75" s="3396"/>
      <c r="CO75" s="3396"/>
      <c r="CP75" s="3396"/>
      <c r="CQ75" s="3396"/>
      <c r="CR75" s="3396"/>
      <c r="CS75" s="3396"/>
      <c r="CT75" s="3396"/>
      <c r="CU75" s="3396"/>
      <c r="CV75" s="3396"/>
      <c r="CW75" s="3396"/>
      <c r="CX75" s="3396"/>
      <c r="CY75" s="75"/>
    </row>
    <row r="76" ht="30.75" customHeight="1" spans="1:103">
      <c r="A76" s="3965" t="s">
        <v>5873</v>
      </c>
      <c r="B76" s="3965"/>
      <c r="C76" s="3994" t="s">
        <v>5874</v>
      </c>
      <c r="D76" s="3994"/>
      <c r="E76" s="3994"/>
      <c r="F76" s="3994"/>
      <c r="G76" s="3994"/>
      <c r="H76" s="3994"/>
      <c r="I76" s="3994"/>
      <c r="J76" s="3994"/>
      <c r="K76" s="3994"/>
      <c r="L76" s="3994"/>
      <c r="M76" s="3994"/>
      <c r="N76" s="3994"/>
      <c r="O76" s="3994"/>
      <c r="P76" s="3994"/>
      <c r="Q76" s="3994"/>
      <c r="R76" s="3994"/>
      <c r="S76" s="3994"/>
      <c r="T76" s="3994"/>
      <c r="U76" s="3994"/>
      <c r="V76" s="3994"/>
      <c r="W76" s="3994"/>
      <c r="X76" s="3967" t="s">
        <v>481</v>
      </c>
      <c r="Y76" s="3988"/>
      <c r="Z76" s="3988"/>
      <c r="AA76" s="3988"/>
      <c r="AB76" s="3988"/>
      <c r="AC76" s="3988"/>
      <c r="AD76" s="3988"/>
      <c r="AE76" s="3988"/>
      <c r="AF76" s="3988"/>
      <c r="AG76" s="3988"/>
      <c r="AH76" s="3944"/>
      <c r="AI76" s="3944"/>
      <c r="AJ76" s="3944"/>
      <c r="AK76" s="3944"/>
      <c r="AL76" s="3944"/>
      <c r="AM76" s="3944"/>
      <c r="AN76" s="3944"/>
      <c r="AO76" s="3944"/>
      <c r="AP76" s="3944"/>
      <c r="AQ76" s="3944"/>
      <c r="AR76" s="3944"/>
      <c r="AS76" s="3944"/>
      <c r="AT76" s="3944"/>
      <c r="AU76" s="3944"/>
      <c r="AV76" s="3944"/>
      <c r="AW76" s="3418"/>
      <c r="AX76" s="3418"/>
      <c r="AY76" s="3418"/>
      <c r="AZ76" s="3418"/>
      <c r="BA76" s="3418"/>
      <c r="BB76" s="3418"/>
      <c r="BC76" s="3418"/>
      <c r="BD76" s="3418"/>
      <c r="BE76" s="3396"/>
      <c r="BF76" s="3396"/>
      <c r="BG76" s="3396"/>
      <c r="BH76" s="3396"/>
      <c r="BI76" s="3396"/>
      <c r="BJ76" s="3396"/>
      <c r="BK76" s="3396"/>
      <c r="BL76" s="3396"/>
      <c r="BM76" s="3396"/>
      <c r="BN76" s="3396"/>
      <c r="BO76" s="3396"/>
      <c r="BP76" s="3396"/>
      <c r="BQ76" s="3396"/>
      <c r="BR76" s="3396"/>
      <c r="BS76" s="3396"/>
      <c r="BT76" s="3396"/>
      <c r="BU76" s="3396"/>
      <c r="BV76" s="3396"/>
      <c r="BW76" s="3396"/>
      <c r="BX76" s="3396"/>
      <c r="BY76" s="3396"/>
      <c r="BZ76" s="3396"/>
      <c r="CA76" s="3396"/>
      <c r="CB76" s="3396"/>
      <c r="CC76" s="3396"/>
      <c r="CD76" s="3396"/>
      <c r="CE76" s="3396"/>
      <c r="CF76" s="3396"/>
      <c r="CG76" s="3396"/>
      <c r="CH76" s="3396"/>
      <c r="CI76" s="3396"/>
      <c r="CJ76" s="3396"/>
      <c r="CK76" s="3396"/>
      <c r="CL76" s="3396"/>
      <c r="CM76" s="3396"/>
      <c r="CN76" s="3396"/>
      <c r="CO76" s="3396"/>
      <c r="CP76" s="3396"/>
      <c r="CQ76" s="3396"/>
      <c r="CR76" s="3396"/>
      <c r="CS76" s="3396"/>
      <c r="CT76" s="3396"/>
      <c r="CU76" s="3396"/>
      <c r="CV76" s="3396"/>
      <c r="CW76" s="3396"/>
      <c r="CX76" s="3396"/>
      <c r="CY76" s="75"/>
    </row>
    <row r="77" ht="32.25" customHeight="1" spans="1:103">
      <c r="A77" s="3965" t="s">
        <v>5875</v>
      </c>
      <c r="B77" s="3965"/>
      <c r="C77" s="3994" t="s">
        <v>5876</v>
      </c>
      <c r="D77" s="3994"/>
      <c r="E77" s="3994"/>
      <c r="F77" s="3994"/>
      <c r="G77" s="3994"/>
      <c r="H77" s="3994"/>
      <c r="I77" s="3994"/>
      <c r="J77" s="3994"/>
      <c r="K77" s="3994"/>
      <c r="L77" s="3994"/>
      <c r="M77" s="3994"/>
      <c r="N77" s="3994"/>
      <c r="O77" s="3994"/>
      <c r="P77" s="3994"/>
      <c r="Q77" s="3994"/>
      <c r="R77" s="3994"/>
      <c r="S77" s="3994"/>
      <c r="T77" s="3994"/>
      <c r="U77" s="3994"/>
      <c r="V77" s="3994"/>
      <c r="W77" s="3994"/>
      <c r="X77" s="3967" t="s">
        <v>481</v>
      </c>
      <c r="Y77" s="3988"/>
      <c r="Z77" s="3988"/>
      <c r="AA77" s="3988"/>
      <c r="AB77" s="3988"/>
      <c r="AC77" s="3988"/>
      <c r="AD77" s="3988"/>
      <c r="AE77" s="3988"/>
      <c r="AF77" s="3988"/>
      <c r="AG77" s="3988"/>
      <c r="AH77" s="3944"/>
      <c r="AI77" s="3944"/>
      <c r="AJ77" s="3944"/>
      <c r="AK77" s="3944"/>
      <c r="AL77" s="3944"/>
      <c r="AM77" s="3944"/>
      <c r="AN77" s="3944"/>
      <c r="AO77" s="3944"/>
      <c r="AP77" s="3944"/>
      <c r="AQ77" s="3944"/>
      <c r="AR77" s="3944"/>
      <c r="AS77" s="3944"/>
      <c r="AT77" s="3944"/>
      <c r="AU77" s="3944"/>
      <c r="AV77" s="3944"/>
      <c r="AW77" s="3418"/>
      <c r="AX77" s="3418"/>
      <c r="AY77" s="3418"/>
      <c r="AZ77" s="3418"/>
      <c r="BA77" s="3418"/>
      <c r="BB77" s="3418"/>
      <c r="BC77" s="3418"/>
      <c r="BD77" s="3418"/>
      <c r="BE77" s="3396"/>
      <c r="BF77" s="3396"/>
      <c r="BG77" s="3396"/>
      <c r="BH77" s="3396"/>
      <c r="BI77" s="3396"/>
      <c r="BJ77" s="3396"/>
      <c r="BK77" s="3396"/>
      <c r="BL77" s="3396"/>
      <c r="BM77" s="3396"/>
      <c r="BN77" s="3396"/>
      <c r="BO77" s="3396"/>
      <c r="BP77" s="3396"/>
      <c r="BQ77" s="3396"/>
      <c r="BR77" s="3396"/>
      <c r="BS77" s="3396"/>
      <c r="BT77" s="3396"/>
      <c r="BU77" s="3396"/>
      <c r="BV77" s="3396"/>
      <c r="BW77" s="3396"/>
      <c r="BX77" s="3396"/>
      <c r="BY77" s="3396"/>
      <c r="BZ77" s="3396"/>
      <c r="CA77" s="3396"/>
      <c r="CB77" s="3396"/>
      <c r="CC77" s="3396"/>
      <c r="CD77" s="3396"/>
      <c r="CE77" s="3396"/>
      <c r="CF77" s="3396"/>
      <c r="CG77" s="3396"/>
      <c r="CH77" s="3396"/>
      <c r="CI77" s="3396"/>
      <c r="CJ77" s="3396"/>
      <c r="CK77" s="3396"/>
      <c r="CL77" s="3396"/>
      <c r="CM77" s="3396"/>
      <c r="CN77" s="3396"/>
      <c r="CO77" s="3396"/>
      <c r="CP77" s="3396"/>
      <c r="CQ77" s="3396"/>
      <c r="CR77" s="3396"/>
      <c r="CS77" s="3396"/>
      <c r="CT77" s="3396"/>
      <c r="CU77" s="3396"/>
      <c r="CV77" s="3396"/>
      <c r="CW77" s="3396"/>
      <c r="CX77" s="3396"/>
      <c r="CY77" s="75"/>
    </row>
    <row r="78" ht="32.25" customHeight="1" spans="1:103">
      <c r="A78" s="3965" t="s">
        <v>5877</v>
      </c>
      <c r="B78" s="3965"/>
      <c r="C78" s="3994" t="s">
        <v>5878</v>
      </c>
      <c r="D78" s="3994"/>
      <c r="E78" s="3994"/>
      <c r="F78" s="3994"/>
      <c r="G78" s="3994"/>
      <c r="H78" s="3994"/>
      <c r="I78" s="3994"/>
      <c r="J78" s="3994"/>
      <c r="K78" s="3994"/>
      <c r="L78" s="3994"/>
      <c r="M78" s="3994"/>
      <c r="N78" s="3994"/>
      <c r="O78" s="3994"/>
      <c r="P78" s="3994"/>
      <c r="Q78" s="3994"/>
      <c r="R78" s="3994"/>
      <c r="S78" s="3994"/>
      <c r="T78" s="3994"/>
      <c r="U78" s="3994"/>
      <c r="V78" s="3994"/>
      <c r="W78" s="3994"/>
      <c r="X78" s="3965" t="s">
        <v>19</v>
      </c>
      <c r="Y78" s="3990"/>
      <c r="Z78" s="3990"/>
      <c r="AA78" s="3990"/>
      <c r="AB78" s="3990"/>
      <c r="AC78" s="3990"/>
      <c r="AD78" s="3990"/>
      <c r="AE78" s="3990"/>
      <c r="AF78" s="3990"/>
      <c r="AG78" s="3990"/>
      <c r="AH78" s="3944"/>
      <c r="AI78" s="3944"/>
      <c r="AJ78" s="3944"/>
      <c r="AK78" s="3944"/>
      <c r="AL78" s="3944"/>
      <c r="AM78" s="3944"/>
      <c r="AN78" s="3944"/>
      <c r="AO78" s="3944"/>
      <c r="AP78" s="3944"/>
      <c r="AQ78" s="3944"/>
      <c r="AR78" s="3944"/>
      <c r="AS78" s="3944"/>
      <c r="AT78" s="3944"/>
      <c r="AU78" s="3944"/>
      <c r="AV78" s="3944"/>
      <c r="AW78" s="3418"/>
      <c r="AX78" s="3418"/>
      <c r="AY78" s="3418"/>
      <c r="AZ78" s="3418"/>
      <c r="BA78" s="3418"/>
      <c r="BB78" s="3418"/>
      <c r="BC78" s="3418"/>
      <c r="BD78" s="3418"/>
      <c r="BE78" s="3396"/>
      <c r="BF78" s="3396"/>
      <c r="BG78" s="3396"/>
      <c r="BH78" s="3396"/>
      <c r="BI78" s="3396"/>
      <c r="BJ78" s="3396"/>
      <c r="BK78" s="3396"/>
      <c r="BL78" s="3396"/>
      <c r="BM78" s="3396"/>
      <c r="BN78" s="3396"/>
      <c r="BO78" s="3396"/>
      <c r="BP78" s="3396"/>
      <c r="BQ78" s="3396"/>
      <c r="BR78" s="3396"/>
      <c r="BS78" s="3396"/>
      <c r="BT78" s="3396"/>
      <c r="BU78" s="3396"/>
      <c r="BV78" s="3396"/>
      <c r="BW78" s="3396"/>
      <c r="BX78" s="3396"/>
      <c r="BY78" s="3396"/>
      <c r="BZ78" s="3396"/>
      <c r="CA78" s="3396"/>
      <c r="CB78" s="3396"/>
      <c r="CC78" s="3396"/>
      <c r="CD78" s="3396"/>
      <c r="CE78" s="3396"/>
      <c r="CF78" s="3396"/>
      <c r="CG78" s="3396"/>
      <c r="CH78" s="3396"/>
      <c r="CI78" s="3396"/>
      <c r="CJ78" s="3396"/>
      <c r="CK78" s="3396"/>
      <c r="CL78" s="3396"/>
      <c r="CM78" s="3396"/>
      <c r="CN78" s="3396"/>
      <c r="CO78" s="3396"/>
      <c r="CP78" s="3396"/>
      <c r="CQ78" s="3396"/>
      <c r="CR78" s="3396"/>
      <c r="CS78" s="3396"/>
      <c r="CT78" s="3396"/>
      <c r="CU78" s="3396"/>
      <c r="CV78" s="3396"/>
      <c r="CW78" s="3396"/>
      <c r="CX78" s="3396"/>
      <c r="CY78" s="75"/>
    </row>
    <row r="79" ht="30" customHeight="1" spans="1:103">
      <c r="A79" s="3965" t="s">
        <v>5879</v>
      </c>
      <c r="B79" s="3965"/>
      <c r="C79" s="3994" t="s">
        <v>5880</v>
      </c>
      <c r="D79" s="3994"/>
      <c r="E79" s="3994"/>
      <c r="F79" s="3994"/>
      <c r="G79" s="3994"/>
      <c r="H79" s="3994"/>
      <c r="I79" s="3994"/>
      <c r="J79" s="3994"/>
      <c r="K79" s="3994"/>
      <c r="L79" s="3994"/>
      <c r="M79" s="3994"/>
      <c r="N79" s="3994"/>
      <c r="O79" s="3994"/>
      <c r="P79" s="3994"/>
      <c r="Q79" s="3994"/>
      <c r="R79" s="3994"/>
      <c r="S79" s="3994"/>
      <c r="T79" s="3994"/>
      <c r="U79" s="3994"/>
      <c r="V79" s="3994"/>
      <c r="W79" s="3994"/>
      <c r="X79" s="3965" t="s">
        <v>19</v>
      </c>
      <c r="Y79" s="3990"/>
      <c r="Z79" s="3990"/>
      <c r="AA79" s="3990"/>
      <c r="AB79" s="3990"/>
      <c r="AC79" s="3990"/>
      <c r="AD79" s="3990"/>
      <c r="AE79" s="3990"/>
      <c r="AF79" s="3990"/>
      <c r="AG79" s="3990"/>
      <c r="AH79" s="3944"/>
      <c r="AI79" s="3944"/>
      <c r="AJ79" s="3944"/>
      <c r="AK79" s="3944"/>
      <c r="AL79" s="3944"/>
      <c r="AM79" s="3944"/>
      <c r="AN79" s="3944"/>
      <c r="AO79" s="3944"/>
      <c r="AP79" s="3944"/>
      <c r="AQ79" s="3944"/>
      <c r="AR79" s="3944"/>
      <c r="AS79" s="3944"/>
      <c r="AT79" s="3944"/>
      <c r="AU79" s="3944"/>
      <c r="AV79" s="3944"/>
      <c r="AW79" s="3418"/>
      <c r="AX79" s="3418"/>
      <c r="AY79" s="3418"/>
      <c r="AZ79" s="3418"/>
      <c r="BA79" s="3418"/>
      <c r="BB79" s="3418"/>
      <c r="BC79" s="3418"/>
      <c r="BD79" s="3418"/>
      <c r="BE79" s="3396"/>
      <c r="BF79" s="3396"/>
      <c r="BG79" s="3396"/>
      <c r="BH79" s="3396"/>
      <c r="BI79" s="3396"/>
      <c r="BJ79" s="3396"/>
      <c r="BK79" s="3396"/>
      <c r="BL79" s="3396"/>
      <c r="BM79" s="3396"/>
      <c r="BN79" s="3396"/>
      <c r="BO79" s="3396"/>
      <c r="BP79" s="3396"/>
      <c r="BQ79" s="3396"/>
      <c r="BR79" s="3396"/>
      <c r="BS79" s="3396"/>
      <c r="BT79" s="3396"/>
      <c r="BU79" s="3396"/>
      <c r="BV79" s="3396"/>
      <c r="BW79" s="3396"/>
      <c r="BX79" s="3396"/>
      <c r="BY79" s="3396"/>
      <c r="BZ79" s="3396"/>
      <c r="CA79" s="3396"/>
      <c r="CB79" s="3396"/>
      <c r="CC79" s="3396"/>
      <c r="CD79" s="3396"/>
      <c r="CE79" s="3396"/>
      <c r="CF79" s="3396"/>
      <c r="CG79" s="3396"/>
      <c r="CH79" s="3396"/>
      <c r="CI79" s="3396"/>
      <c r="CJ79" s="3396"/>
      <c r="CK79" s="3396"/>
      <c r="CL79" s="3396"/>
      <c r="CM79" s="3396"/>
      <c r="CN79" s="3396"/>
      <c r="CO79" s="3396"/>
      <c r="CP79" s="3396"/>
      <c r="CQ79" s="3396"/>
      <c r="CR79" s="3396"/>
      <c r="CS79" s="3396"/>
      <c r="CT79" s="3396"/>
      <c r="CU79" s="3396"/>
      <c r="CV79" s="3396"/>
      <c r="CW79" s="3396"/>
      <c r="CX79" s="3396"/>
      <c r="CY79" s="75"/>
    </row>
    <row r="80" ht="32.25" customHeight="1" spans="1:103">
      <c r="A80" s="3965" t="s">
        <v>5881</v>
      </c>
      <c r="B80" s="3965"/>
      <c r="C80" s="3994" t="s">
        <v>5878</v>
      </c>
      <c r="D80" s="3994"/>
      <c r="E80" s="3994"/>
      <c r="F80" s="3994"/>
      <c r="G80" s="3994"/>
      <c r="H80" s="3994"/>
      <c r="I80" s="3994"/>
      <c r="J80" s="3994"/>
      <c r="K80" s="3994"/>
      <c r="L80" s="3994"/>
      <c r="M80" s="3994"/>
      <c r="N80" s="3994"/>
      <c r="O80" s="3994"/>
      <c r="P80" s="3994"/>
      <c r="Q80" s="3994"/>
      <c r="R80" s="3994"/>
      <c r="S80" s="3994"/>
      <c r="T80" s="3994"/>
      <c r="U80" s="3994"/>
      <c r="V80" s="3994"/>
      <c r="W80" s="3994"/>
      <c r="X80" s="3967" t="s">
        <v>481</v>
      </c>
      <c r="Y80" s="3988"/>
      <c r="Z80" s="3988"/>
      <c r="AA80" s="3988"/>
      <c r="AB80" s="3988"/>
      <c r="AC80" s="3988"/>
      <c r="AD80" s="3988"/>
      <c r="AE80" s="3988"/>
      <c r="AF80" s="3988"/>
      <c r="AG80" s="3988"/>
      <c r="AH80" s="3944"/>
      <c r="AI80" s="3944"/>
      <c r="AJ80" s="3944"/>
      <c r="AK80" s="3944"/>
      <c r="AL80" s="3944"/>
      <c r="AM80" s="3944"/>
      <c r="AN80" s="3944"/>
      <c r="AO80" s="3944"/>
      <c r="AP80" s="3944"/>
      <c r="AQ80" s="3944"/>
      <c r="AR80" s="3944"/>
      <c r="AS80" s="3944"/>
      <c r="AT80" s="3944"/>
      <c r="AU80" s="3944"/>
      <c r="AV80" s="3944"/>
      <c r="AW80" s="3418"/>
      <c r="AX80" s="3418"/>
      <c r="AY80" s="3418"/>
      <c r="AZ80" s="3418"/>
      <c r="BA80" s="3418"/>
      <c r="BB80" s="3418"/>
      <c r="BC80" s="3418"/>
      <c r="BD80" s="3418"/>
      <c r="BE80" s="3396"/>
      <c r="BF80" s="3396"/>
      <c r="BG80" s="3396"/>
      <c r="BH80" s="3396"/>
      <c r="BI80" s="3396"/>
      <c r="BJ80" s="3396"/>
      <c r="BK80" s="3396"/>
      <c r="BL80" s="3396"/>
      <c r="BM80" s="3396"/>
      <c r="BN80" s="3396"/>
      <c r="BO80" s="3396"/>
      <c r="BP80" s="3396"/>
      <c r="BQ80" s="3396"/>
      <c r="BR80" s="3396"/>
      <c r="BS80" s="3396"/>
      <c r="BT80" s="3396"/>
      <c r="BU80" s="3396"/>
      <c r="BV80" s="3396"/>
      <c r="BW80" s="3396"/>
      <c r="BX80" s="3396"/>
      <c r="BY80" s="3396"/>
      <c r="BZ80" s="3396"/>
      <c r="CA80" s="3396"/>
      <c r="CB80" s="3396"/>
      <c r="CC80" s="3396"/>
      <c r="CD80" s="3396"/>
      <c r="CE80" s="3396"/>
      <c r="CF80" s="3396"/>
      <c r="CG80" s="3396"/>
      <c r="CH80" s="3396"/>
      <c r="CI80" s="3396"/>
      <c r="CJ80" s="3396"/>
      <c r="CK80" s="3396"/>
      <c r="CL80" s="3396"/>
      <c r="CM80" s="3396"/>
      <c r="CN80" s="3396"/>
      <c r="CO80" s="3396"/>
      <c r="CP80" s="3396"/>
      <c r="CQ80" s="3396"/>
      <c r="CR80" s="3396"/>
      <c r="CS80" s="3396"/>
      <c r="CT80" s="3396"/>
      <c r="CU80" s="3396"/>
      <c r="CV80" s="3396"/>
      <c r="CW80" s="3396"/>
      <c r="CX80" s="3396"/>
      <c r="CY80" s="75"/>
    </row>
    <row r="81" ht="18.75" customHeight="1" spans="1:103">
      <c r="A81" s="3983" t="s">
        <v>5882</v>
      </c>
      <c r="B81" s="3983"/>
      <c r="C81" s="4003" t="s">
        <v>5883</v>
      </c>
      <c r="D81" s="4003"/>
      <c r="E81" s="4003"/>
      <c r="F81" s="4003"/>
      <c r="G81" s="4003"/>
      <c r="H81" s="4003"/>
      <c r="I81" s="4003"/>
      <c r="J81" s="4003"/>
      <c r="K81" s="4003"/>
      <c r="L81" s="4003"/>
      <c r="M81" s="4003"/>
      <c r="N81" s="4003"/>
      <c r="O81" s="4003"/>
      <c r="P81" s="4003"/>
      <c r="Q81" s="4003"/>
      <c r="R81" s="4003"/>
      <c r="S81" s="4003"/>
      <c r="T81" s="4003"/>
      <c r="U81" s="4003"/>
      <c r="V81" s="4003"/>
      <c r="W81" s="4003"/>
      <c r="X81" s="3983" t="s">
        <v>19</v>
      </c>
      <c r="Y81" s="3987"/>
      <c r="Z81" s="3987"/>
      <c r="AA81" s="3987"/>
      <c r="AB81" s="3987"/>
      <c r="AC81" s="3987"/>
      <c r="AD81" s="3987"/>
      <c r="AE81" s="3987"/>
      <c r="AF81" s="3987"/>
      <c r="AG81" s="3987"/>
      <c r="AH81" s="3944"/>
      <c r="AI81" s="3944"/>
      <c r="AJ81" s="3944"/>
      <c r="AK81" s="3944"/>
      <c r="AL81" s="3944"/>
      <c r="AM81" s="3944"/>
      <c r="AN81" s="3944"/>
      <c r="AO81" s="3944"/>
      <c r="AP81" s="3944"/>
      <c r="AQ81" s="3944"/>
      <c r="AR81" s="3944"/>
      <c r="AS81" s="3944"/>
      <c r="AT81" s="3944"/>
      <c r="AU81" s="3944"/>
      <c r="AV81" s="3944"/>
      <c r="AW81" s="3418"/>
      <c r="AX81" s="3418"/>
      <c r="AY81" s="3418"/>
      <c r="AZ81" s="3418"/>
      <c r="BA81" s="3418"/>
      <c r="BB81" s="3418"/>
      <c r="BC81" s="3418"/>
      <c r="BD81" s="3418"/>
      <c r="BE81" s="3396"/>
      <c r="BF81" s="3396"/>
      <c r="BG81" s="3396"/>
      <c r="BH81" s="3396"/>
      <c r="BI81" s="3396"/>
      <c r="BJ81" s="3396"/>
      <c r="BK81" s="3396"/>
      <c r="BL81" s="3396"/>
      <c r="BM81" s="3396"/>
      <c r="BN81" s="3396"/>
      <c r="BO81" s="3396"/>
      <c r="BP81" s="3396"/>
      <c r="BQ81" s="3396"/>
      <c r="BR81" s="3396"/>
      <c r="BS81" s="3396"/>
      <c r="BT81" s="3396"/>
      <c r="BU81" s="3396"/>
      <c r="BV81" s="3396"/>
      <c r="BW81" s="3396"/>
      <c r="BX81" s="3396"/>
      <c r="BY81" s="3396"/>
      <c r="BZ81" s="3396"/>
      <c r="CA81" s="3396"/>
      <c r="CB81" s="3396"/>
      <c r="CC81" s="3396"/>
      <c r="CD81" s="3396"/>
      <c r="CE81" s="3396"/>
      <c r="CF81" s="3396"/>
      <c r="CG81" s="3396"/>
      <c r="CH81" s="3396"/>
      <c r="CI81" s="3396"/>
      <c r="CJ81" s="3396"/>
      <c r="CK81" s="3396"/>
      <c r="CL81" s="3396"/>
      <c r="CM81" s="3396"/>
      <c r="CN81" s="3396"/>
      <c r="CO81" s="3396"/>
      <c r="CP81" s="3396"/>
      <c r="CQ81" s="3396"/>
      <c r="CR81" s="3396"/>
      <c r="CS81" s="3396"/>
      <c r="CT81" s="3396"/>
      <c r="CU81" s="3396"/>
      <c r="CV81" s="3396"/>
      <c r="CW81" s="3396"/>
      <c r="CX81" s="3396"/>
      <c r="CY81" s="75"/>
    </row>
    <row r="82" ht="33" customHeight="1" spans="1:103">
      <c r="A82" s="4004" t="s">
        <v>5884</v>
      </c>
      <c r="B82" s="4004"/>
      <c r="C82" s="4040" t="s">
        <v>5885</v>
      </c>
      <c r="D82" s="4040"/>
      <c r="E82" s="4040"/>
      <c r="F82" s="4040"/>
      <c r="G82" s="4040"/>
      <c r="H82" s="4040"/>
      <c r="I82" s="4040"/>
      <c r="J82" s="4040"/>
      <c r="K82" s="4040"/>
      <c r="L82" s="4040"/>
      <c r="M82" s="4040"/>
      <c r="N82" s="4040"/>
      <c r="O82" s="4040"/>
      <c r="P82" s="4040"/>
      <c r="Q82" s="4040"/>
      <c r="R82" s="4040"/>
      <c r="S82" s="4040"/>
      <c r="T82" s="4040"/>
      <c r="U82" s="4040"/>
      <c r="V82" s="4040"/>
      <c r="W82" s="4040"/>
      <c r="X82" s="4004" t="s">
        <v>19</v>
      </c>
      <c r="Y82" s="4006"/>
      <c r="Z82" s="4006"/>
      <c r="AA82" s="4006"/>
      <c r="AB82" s="4006"/>
      <c r="AC82" s="4006"/>
      <c r="AD82" s="4006"/>
      <c r="AE82" s="4006"/>
      <c r="AF82" s="4006"/>
      <c r="AG82" s="4006"/>
      <c r="AH82" s="3944"/>
      <c r="AI82" s="3944"/>
      <c r="AJ82" s="3944"/>
      <c r="AK82" s="3944"/>
      <c r="AL82" s="3944"/>
      <c r="AM82" s="3944"/>
      <c r="AN82" s="3944"/>
      <c r="AO82" s="3944"/>
      <c r="AP82" s="3944"/>
      <c r="AQ82" s="3944"/>
      <c r="AR82" s="3944"/>
      <c r="AS82" s="3944"/>
      <c r="AT82" s="3944"/>
      <c r="AU82" s="3944"/>
      <c r="AV82" s="3944"/>
      <c r="AW82" s="3418"/>
      <c r="AX82" s="3418"/>
      <c r="AY82" s="3418"/>
      <c r="AZ82" s="3418"/>
      <c r="BA82" s="3418"/>
      <c r="BB82" s="3418"/>
      <c r="BC82" s="3418"/>
      <c r="BD82" s="3418"/>
      <c r="BE82" s="3396"/>
      <c r="BF82" s="3396"/>
      <c r="BG82" s="3396"/>
      <c r="BH82" s="3396"/>
      <c r="BI82" s="3396"/>
      <c r="BJ82" s="3396"/>
      <c r="BK82" s="3396"/>
      <c r="BL82" s="3396"/>
      <c r="BM82" s="3396"/>
      <c r="BN82" s="3396"/>
      <c r="BO82" s="3396"/>
      <c r="BP82" s="3396"/>
      <c r="BQ82" s="3396"/>
      <c r="BR82" s="3396"/>
      <c r="BS82" s="3396"/>
      <c r="BT82" s="3396"/>
      <c r="BU82" s="3396"/>
      <c r="BV82" s="3396"/>
      <c r="BW82" s="3396"/>
      <c r="BX82" s="3396"/>
      <c r="BY82" s="3396"/>
      <c r="BZ82" s="3396"/>
      <c r="CA82" s="3396"/>
      <c r="CB82" s="3396"/>
      <c r="CC82" s="3396"/>
      <c r="CD82" s="3396"/>
      <c r="CE82" s="3396"/>
      <c r="CF82" s="3396"/>
      <c r="CG82" s="3396"/>
      <c r="CH82" s="3396"/>
      <c r="CI82" s="3396"/>
      <c r="CJ82" s="3396"/>
      <c r="CK82" s="3396"/>
      <c r="CL82" s="3396"/>
      <c r="CM82" s="3396"/>
      <c r="CN82" s="3396"/>
      <c r="CO82" s="3396"/>
      <c r="CP82" s="3396"/>
      <c r="CQ82" s="3396"/>
      <c r="CR82" s="3396"/>
      <c r="CS82" s="3396"/>
      <c r="CT82" s="3396"/>
      <c r="CU82" s="3396"/>
      <c r="CV82" s="3396"/>
      <c r="CW82" s="3396"/>
      <c r="CX82" s="3396"/>
      <c r="CY82" s="75"/>
    </row>
    <row r="83" ht="24.75" customHeight="1" spans="1:103">
      <c r="A83" s="4008" t="s">
        <v>5886</v>
      </c>
      <c r="B83" s="4008"/>
      <c r="C83" s="4041" t="s">
        <v>5887</v>
      </c>
      <c r="D83" s="4041"/>
      <c r="E83" s="4041"/>
      <c r="F83" s="4041"/>
      <c r="G83" s="4041"/>
      <c r="H83" s="4041"/>
      <c r="I83" s="4041"/>
      <c r="J83" s="4041"/>
      <c r="K83" s="4041"/>
      <c r="L83" s="4041"/>
      <c r="M83" s="4041"/>
      <c r="N83" s="4041"/>
      <c r="O83" s="4041"/>
      <c r="P83" s="4041"/>
      <c r="Q83" s="4041"/>
      <c r="R83" s="4041"/>
      <c r="S83" s="4041"/>
      <c r="T83" s="4041"/>
      <c r="U83" s="4041"/>
      <c r="V83" s="4041"/>
      <c r="W83" s="4041"/>
      <c r="X83" s="4008"/>
      <c r="Y83" s="4010"/>
      <c r="Z83" s="4010"/>
      <c r="AA83" s="4010"/>
      <c r="AB83" s="4010"/>
      <c r="AC83" s="4010"/>
      <c r="AD83" s="4010"/>
      <c r="AE83" s="4010"/>
      <c r="AF83" s="4010"/>
      <c r="AG83" s="4010"/>
      <c r="AH83" s="3944"/>
      <c r="AI83" s="3944"/>
      <c r="AJ83" s="3944"/>
      <c r="AK83" s="3944"/>
      <c r="AL83" s="3944"/>
      <c r="AM83" s="3944"/>
      <c r="AN83" s="3944"/>
      <c r="AO83" s="3944"/>
      <c r="AP83" s="3944"/>
      <c r="AQ83" s="3944"/>
      <c r="AR83" s="3944"/>
      <c r="AS83" s="3944"/>
      <c r="AT83" s="3944"/>
      <c r="AU83" s="3944"/>
      <c r="AV83" s="3944"/>
      <c r="AW83" s="3418"/>
      <c r="AX83" s="3418"/>
      <c r="AY83" s="3418"/>
      <c r="AZ83" s="3418"/>
      <c r="BA83" s="3418"/>
      <c r="BB83" s="3418"/>
      <c r="BC83" s="3418"/>
      <c r="BD83" s="3418"/>
      <c r="BE83" s="3396"/>
      <c r="BF83" s="3396"/>
      <c r="BG83" s="3396"/>
      <c r="BH83" s="3396"/>
      <c r="BI83" s="3396"/>
      <c r="BJ83" s="3396"/>
      <c r="BK83" s="3396"/>
      <c r="BL83" s="3396"/>
      <c r="BM83" s="3396"/>
      <c r="BN83" s="3396"/>
      <c r="BO83" s="3396"/>
      <c r="BP83" s="3396"/>
      <c r="BQ83" s="3396"/>
      <c r="BR83" s="3396"/>
      <c r="BS83" s="3396"/>
      <c r="BT83" s="3396"/>
      <c r="BU83" s="3396"/>
      <c r="BV83" s="3396"/>
      <c r="BW83" s="3396"/>
      <c r="BX83" s="3396"/>
      <c r="BY83" s="3396"/>
      <c r="BZ83" s="3396"/>
      <c r="CA83" s="3396"/>
      <c r="CB83" s="3396"/>
      <c r="CC83" s="3396"/>
      <c r="CD83" s="3396"/>
      <c r="CE83" s="3396"/>
      <c r="CF83" s="3396"/>
      <c r="CG83" s="3396"/>
      <c r="CH83" s="3396"/>
      <c r="CI83" s="3396"/>
      <c r="CJ83" s="3396"/>
      <c r="CK83" s="3396"/>
      <c r="CL83" s="3396"/>
      <c r="CM83" s="3396"/>
      <c r="CN83" s="3396"/>
      <c r="CO83" s="3396"/>
      <c r="CP83" s="3396"/>
      <c r="CQ83" s="3396"/>
      <c r="CR83" s="3396"/>
      <c r="CS83" s="3396"/>
      <c r="CT83" s="3396"/>
      <c r="CU83" s="3396"/>
      <c r="CV83" s="3396"/>
      <c r="CW83" s="3396"/>
      <c r="CX83" s="3396"/>
      <c r="CY83" s="75"/>
    </row>
    <row r="84" ht="33" customHeight="1" spans="1:103">
      <c r="A84" s="4035" t="s">
        <v>5888</v>
      </c>
      <c r="B84" s="4035"/>
      <c r="C84" s="4036" t="s">
        <v>5889</v>
      </c>
      <c r="D84" s="4036"/>
      <c r="E84" s="4036"/>
      <c r="F84" s="4036"/>
      <c r="G84" s="4036"/>
      <c r="H84" s="4036"/>
      <c r="I84" s="4036"/>
      <c r="J84" s="4036"/>
      <c r="K84" s="4036"/>
      <c r="L84" s="4036"/>
      <c r="M84" s="4036"/>
      <c r="N84" s="4036"/>
      <c r="O84" s="4036"/>
      <c r="P84" s="4036"/>
      <c r="Q84" s="4036"/>
      <c r="R84" s="4036"/>
      <c r="S84" s="4036"/>
      <c r="T84" s="4036"/>
      <c r="U84" s="4036"/>
      <c r="V84" s="4036"/>
      <c r="W84" s="4036"/>
      <c r="X84" s="4035" t="s">
        <v>19</v>
      </c>
      <c r="Y84" s="4037"/>
      <c r="Z84" s="4037"/>
      <c r="AA84" s="4037"/>
      <c r="AB84" s="4037"/>
      <c r="AC84" s="4037"/>
      <c r="AD84" s="4037"/>
      <c r="AE84" s="4037"/>
      <c r="AF84" s="4037"/>
      <c r="AG84" s="4037"/>
      <c r="AH84" s="3944"/>
      <c r="AI84" s="3944"/>
      <c r="AJ84" s="3944"/>
      <c r="AK84" s="3944"/>
      <c r="AL84" s="3944"/>
      <c r="AM84" s="3944"/>
      <c r="AN84" s="3944"/>
      <c r="AO84" s="3944"/>
      <c r="AP84" s="3944"/>
      <c r="AQ84" s="3944"/>
      <c r="AR84" s="3944"/>
      <c r="AS84" s="3944"/>
      <c r="AT84" s="3944"/>
      <c r="AU84" s="3944"/>
      <c r="AV84" s="3944"/>
      <c r="AW84" s="3418"/>
      <c r="AX84" s="3418"/>
      <c r="AY84" s="3418"/>
      <c r="AZ84" s="3418"/>
      <c r="BA84" s="3418"/>
      <c r="BB84" s="3418"/>
      <c r="BC84" s="3418"/>
      <c r="BD84" s="3418"/>
      <c r="BE84" s="3396"/>
      <c r="BF84" s="3396"/>
      <c r="BG84" s="3396"/>
      <c r="BH84" s="3396"/>
      <c r="BI84" s="3396"/>
      <c r="BJ84" s="3396"/>
      <c r="BK84" s="3396"/>
      <c r="BL84" s="3396"/>
      <c r="BM84" s="3396"/>
      <c r="BN84" s="3396"/>
      <c r="BO84" s="3396"/>
      <c r="BP84" s="3396"/>
      <c r="BQ84" s="3396"/>
      <c r="BR84" s="3396"/>
      <c r="BS84" s="3396"/>
      <c r="BT84" s="3396"/>
      <c r="BU84" s="3396"/>
      <c r="BV84" s="3396"/>
      <c r="BW84" s="3396"/>
      <c r="BX84" s="3396"/>
      <c r="BY84" s="3396"/>
      <c r="BZ84" s="3396"/>
      <c r="CA84" s="3396"/>
      <c r="CB84" s="3396"/>
      <c r="CC84" s="3396"/>
      <c r="CD84" s="3396"/>
      <c r="CE84" s="3396"/>
      <c r="CF84" s="3396"/>
      <c r="CG84" s="3396"/>
      <c r="CH84" s="3396"/>
      <c r="CI84" s="3396"/>
      <c r="CJ84" s="3396"/>
      <c r="CK84" s="3396"/>
      <c r="CL84" s="3396"/>
      <c r="CM84" s="3396"/>
      <c r="CN84" s="3396"/>
      <c r="CO84" s="3396"/>
      <c r="CP84" s="3396"/>
      <c r="CQ84" s="3396"/>
      <c r="CR84" s="3396"/>
      <c r="CS84" s="3396"/>
      <c r="CT84" s="3396"/>
      <c r="CU84" s="3396"/>
      <c r="CV84" s="3396"/>
      <c r="CW84" s="3396"/>
      <c r="CX84" s="3396"/>
      <c r="CY84" s="75"/>
    </row>
    <row r="85" ht="22.5" customHeight="1" spans="1:103">
      <c r="A85" s="3965" t="s">
        <v>5890</v>
      </c>
      <c r="B85" s="3965"/>
      <c r="C85" s="3989" t="s">
        <v>5891</v>
      </c>
      <c r="D85" s="3989"/>
      <c r="E85" s="3989"/>
      <c r="F85" s="3989"/>
      <c r="G85" s="3989"/>
      <c r="H85" s="3989"/>
      <c r="I85" s="3989"/>
      <c r="J85" s="3989"/>
      <c r="K85" s="3989"/>
      <c r="L85" s="3989"/>
      <c r="M85" s="3989"/>
      <c r="N85" s="3989"/>
      <c r="O85" s="3989"/>
      <c r="P85" s="3989"/>
      <c r="Q85" s="3989"/>
      <c r="R85" s="3989"/>
      <c r="S85" s="3989"/>
      <c r="T85" s="3989"/>
      <c r="U85" s="3989"/>
      <c r="V85" s="3989"/>
      <c r="W85" s="3989"/>
      <c r="X85" s="3967" t="s">
        <v>481</v>
      </c>
      <c r="Y85" s="3988"/>
      <c r="Z85" s="3988"/>
      <c r="AA85" s="3988"/>
      <c r="AB85" s="3988"/>
      <c r="AC85" s="3988"/>
      <c r="AD85" s="3988"/>
      <c r="AE85" s="3988"/>
      <c r="AF85" s="3988"/>
      <c r="AG85" s="3988"/>
      <c r="AH85" s="3944"/>
      <c r="AI85" s="3944"/>
      <c r="AJ85" s="3944"/>
      <c r="AK85" s="3944"/>
      <c r="AL85" s="3944"/>
      <c r="AM85" s="3944"/>
      <c r="AN85" s="3944"/>
      <c r="AO85" s="3944"/>
      <c r="AP85" s="3944"/>
      <c r="AQ85" s="3944"/>
      <c r="AR85" s="3944"/>
      <c r="AS85" s="3944"/>
      <c r="AT85" s="3944"/>
      <c r="AU85" s="3944"/>
      <c r="AV85" s="3944"/>
      <c r="AW85" s="3418"/>
      <c r="AX85" s="3418"/>
      <c r="AY85" s="3418"/>
      <c r="AZ85" s="3418"/>
      <c r="BA85" s="3418"/>
      <c r="BB85" s="3418"/>
      <c r="BC85" s="3418"/>
      <c r="BD85" s="3418"/>
      <c r="BE85" s="3396"/>
      <c r="BF85" s="3396"/>
      <c r="BG85" s="3396"/>
      <c r="BH85" s="3396"/>
      <c r="BI85" s="3396"/>
      <c r="BJ85" s="3396"/>
      <c r="BK85" s="3396"/>
      <c r="BL85" s="3396"/>
      <c r="BM85" s="3396"/>
      <c r="BN85" s="3396"/>
      <c r="BO85" s="3396"/>
      <c r="BP85" s="3396"/>
      <c r="BQ85" s="3396"/>
      <c r="BR85" s="3396"/>
      <c r="BS85" s="3396"/>
      <c r="BT85" s="3396"/>
      <c r="BU85" s="3396"/>
      <c r="BV85" s="3396"/>
      <c r="BW85" s="3396"/>
      <c r="BX85" s="3396"/>
      <c r="BY85" s="3396"/>
      <c r="BZ85" s="3396"/>
      <c r="CA85" s="3396"/>
      <c r="CB85" s="3396"/>
      <c r="CC85" s="3396"/>
      <c r="CD85" s="3396"/>
      <c r="CE85" s="3396"/>
      <c r="CF85" s="3396"/>
      <c r="CG85" s="3396"/>
      <c r="CH85" s="3396"/>
      <c r="CI85" s="3396"/>
      <c r="CJ85" s="3396"/>
      <c r="CK85" s="3396"/>
      <c r="CL85" s="3396"/>
      <c r="CM85" s="3396"/>
      <c r="CN85" s="3396"/>
      <c r="CO85" s="3396"/>
      <c r="CP85" s="3396"/>
      <c r="CQ85" s="3396"/>
      <c r="CR85" s="3396"/>
      <c r="CS85" s="3396"/>
      <c r="CT85" s="3396"/>
      <c r="CU85" s="3396"/>
      <c r="CV85" s="3396"/>
      <c r="CW85" s="3396"/>
      <c r="CX85" s="3396"/>
      <c r="CY85" s="75"/>
    </row>
    <row r="86" ht="27.75" customHeight="1" spans="1:103">
      <c r="A86" s="3965" t="s">
        <v>5892</v>
      </c>
      <c r="B86" s="3965"/>
      <c r="C86" s="3994" t="s">
        <v>5893</v>
      </c>
      <c r="D86" s="3994"/>
      <c r="E86" s="3994"/>
      <c r="F86" s="3994"/>
      <c r="G86" s="3994"/>
      <c r="H86" s="3994"/>
      <c r="I86" s="3994"/>
      <c r="J86" s="3994"/>
      <c r="K86" s="3994"/>
      <c r="L86" s="3994"/>
      <c r="M86" s="3994"/>
      <c r="N86" s="3994"/>
      <c r="O86" s="3994"/>
      <c r="P86" s="3994"/>
      <c r="Q86" s="3994"/>
      <c r="R86" s="3994"/>
      <c r="S86" s="3994"/>
      <c r="T86" s="3994"/>
      <c r="U86" s="3994"/>
      <c r="V86" s="3994"/>
      <c r="W86" s="3994"/>
      <c r="X86" s="3965" t="s">
        <v>19</v>
      </c>
      <c r="Y86" s="3990"/>
      <c r="Z86" s="3990"/>
      <c r="AA86" s="3990"/>
      <c r="AB86" s="3990"/>
      <c r="AC86" s="3990"/>
      <c r="AD86" s="3990"/>
      <c r="AE86" s="3990"/>
      <c r="AF86" s="3990"/>
      <c r="AG86" s="3990"/>
      <c r="AH86" s="3944"/>
      <c r="AI86" s="3944"/>
      <c r="AJ86" s="3944"/>
      <c r="AK86" s="3944"/>
      <c r="AL86" s="3944"/>
      <c r="AM86" s="3944"/>
      <c r="AN86" s="3944"/>
      <c r="AO86" s="3944"/>
      <c r="AP86" s="3944"/>
      <c r="AQ86" s="3944"/>
      <c r="AR86" s="3944"/>
      <c r="AS86" s="3944"/>
      <c r="AT86" s="3944"/>
      <c r="AU86" s="3944"/>
      <c r="AV86" s="3944"/>
      <c r="AW86" s="3418"/>
      <c r="AX86" s="3418"/>
      <c r="AY86" s="3418"/>
      <c r="AZ86" s="3418"/>
      <c r="BA86" s="3418"/>
      <c r="BB86" s="3418"/>
      <c r="BC86" s="3418"/>
      <c r="BD86" s="3418"/>
      <c r="BE86" s="3396"/>
      <c r="BF86" s="3396"/>
      <c r="BG86" s="3396"/>
      <c r="BH86" s="3396"/>
      <c r="BI86" s="3396"/>
      <c r="BJ86" s="3396"/>
      <c r="BK86" s="3396"/>
      <c r="BL86" s="3396"/>
      <c r="BM86" s="3396"/>
      <c r="BN86" s="3396"/>
      <c r="BO86" s="3396"/>
      <c r="BP86" s="3396"/>
      <c r="BQ86" s="3396"/>
      <c r="BR86" s="3396"/>
      <c r="BS86" s="3396"/>
      <c r="BT86" s="3396"/>
      <c r="BU86" s="3396"/>
      <c r="BV86" s="3396"/>
      <c r="BW86" s="3396"/>
      <c r="BX86" s="3396"/>
      <c r="BY86" s="3396"/>
      <c r="BZ86" s="3396"/>
      <c r="CA86" s="3396"/>
      <c r="CB86" s="3396"/>
      <c r="CC86" s="3396"/>
      <c r="CD86" s="3396"/>
      <c r="CE86" s="3396"/>
      <c r="CF86" s="3396"/>
      <c r="CG86" s="3396"/>
      <c r="CH86" s="3396"/>
      <c r="CI86" s="3396"/>
      <c r="CJ86" s="3396"/>
      <c r="CK86" s="3396"/>
      <c r="CL86" s="3396"/>
      <c r="CM86" s="3396"/>
      <c r="CN86" s="3396"/>
      <c r="CO86" s="3396"/>
      <c r="CP86" s="3396"/>
      <c r="CQ86" s="3396"/>
      <c r="CR86" s="3396"/>
      <c r="CS86" s="3396"/>
      <c r="CT86" s="3396"/>
      <c r="CU86" s="3396"/>
      <c r="CV86" s="3396"/>
      <c r="CW86" s="3396"/>
      <c r="CX86" s="3396"/>
      <c r="CY86" s="75"/>
    </row>
    <row r="87" ht="30" customHeight="1" spans="1:103">
      <c r="A87" s="3965" t="s">
        <v>5894</v>
      </c>
      <c r="B87" s="3965"/>
      <c r="C87" s="3994" t="s">
        <v>5895</v>
      </c>
      <c r="D87" s="3994"/>
      <c r="E87" s="3994"/>
      <c r="F87" s="3994"/>
      <c r="G87" s="3994"/>
      <c r="H87" s="3994"/>
      <c r="I87" s="3994"/>
      <c r="J87" s="3994"/>
      <c r="K87" s="3994"/>
      <c r="L87" s="3994"/>
      <c r="M87" s="3994"/>
      <c r="N87" s="3994"/>
      <c r="O87" s="3994"/>
      <c r="P87" s="3994"/>
      <c r="Q87" s="3994"/>
      <c r="R87" s="3994"/>
      <c r="S87" s="3994"/>
      <c r="T87" s="3994"/>
      <c r="U87" s="3994"/>
      <c r="V87" s="3994"/>
      <c r="W87" s="3994"/>
      <c r="X87" s="3967" t="s">
        <v>481</v>
      </c>
      <c r="Y87" s="3988"/>
      <c r="Z87" s="3988"/>
      <c r="AA87" s="3988"/>
      <c r="AB87" s="3988"/>
      <c r="AC87" s="3988"/>
      <c r="AD87" s="3988"/>
      <c r="AE87" s="3988"/>
      <c r="AF87" s="3988"/>
      <c r="AG87" s="3988"/>
      <c r="AH87" s="3944"/>
      <c r="AI87" s="3944"/>
      <c r="AJ87" s="3944"/>
      <c r="AK87" s="3944"/>
      <c r="AL87" s="3944"/>
      <c r="AM87" s="3944"/>
      <c r="AN87" s="3944"/>
      <c r="AO87" s="3944"/>
      <c r="AP87" s="3944"/>
      <c r="AQ87" s="3944"/>
      <c r="AR87" s="3944"/>
      <c r="AS87" s="3944"/>
      <c r="AT87" s="3944"/>
      <c r="AU87" s="3944"/>
      <c r="AV87" s="3944"/>
      <c r="AW87" s="3418"/>
      <c r="AX87" s="3418"/>
      <c r="AY87" s="3418"/>
      <c r="AZ87" s="3418"/>
      <c r="BA87" s="3418"/>
      <c r="BB87" s="3418"/>
      <c r="BC87" s="3418"/>
      <c r="BD87" s="3418"/>
      <c r="BE87" s="3396"/>
      <c r="BF87" s="3396"/>
      <c r="BG87" s="3396"/>
      <c r="BH87" s="3396"/>
      <c r="BI87" s="3396"/>
      <c r="BJ87" s="3396"/>
      <c r="BK87" s="3396"/>
      <c r="BL87" s="3396"/>
      <c r="BM87" s="3396"/>
      <c r="BN87" s="3396"/>
      <c r="BO87" s="3396"/>
      <c r="BP87" s="3396"/>
      <c r="BQ87" s="3396"/>
      <c r="BR87" s="3396"/>
      <c r="BS87" s="3396"/>
      <c r="BT87" s="3396"/>
      <c r="BU87" s="3396"/>
      <c r="BV87" s="3396"/>
      <c r="BW87" s="3396"/>
      <c r="BX87" s="3396"/>
      <c r="BY87" s="3396"/>
      <c r="BZ87" s="3396"/>
      <c r="CA87" s="3396"/>
      <c r="CB87" s="3396"/>
      <c r="CC87" s="3396"/>
      <c r="CD87" s="3396"/>
      <c r="CE87" s="3396"/>
      <c r="CF87" s="3396"/>
      <c r="CG87" s="3396"/>
      <c r="CH87" s="3396"/>
      <c r="CI87" s="3396"/>
      <c r="CJ87" s="3396"/>
      <c r="CK87" s="3396"/>
      <c r="CL87" s="3396"/>
      <c r="CM87" s="3396"/>
      <c r="CN87" s="3396"/>
      <c r="CO87" s="3396"/>
      <c r="CP87" s="3396"/>
      <c r="CQ87" s="3396"/>
      <c r="CR87" s="3396"/>
      <c r="CS87" s="3396"/>
      <c r="CT87" s="3396"/>
      <c r="CU87" s="3396"/>
      <c r="CV87" s="3396"/>
      <c r="CW87" s="3396"/>
      <c r="CX87" s="3396"/>
      <c r="CY87" s="75"/>
    </row>
    <row r="88" ht="30" customHeight="1" spans="1:103">
      <c r="A88" s="4042" t="s">
        <v>5896</v>
      </c>
      <c r="B88" s="4042"/>
      <c r="C88" s="4043" t="s">
        <v>5897</v>
      </c>
      <c r="D88" s="4043"/>
      <c r="E88" s="4043"/>
      <c r="F88" s="4043"/>
      <c r="G88" s="4043"/>
      <c r="H88" s="4043"/>
      <c r="I88" s="4043"/>
      <c r="J88" s="4043"/>
      <c r="K88" s="4043"/>
      <c r="L88" s="4043"/>
      <c r="M88" s="4043"/>
      <c r="N88" s="4043"/>
      <c r="O88" s="4043"/>
      <c r="P88" s="4043"/>
      <c r="Q88" s="4043"/>
      <c r="R88" s="4043"/>
      <c r="S88" s="4043"/>
      <c r="T88" s="4043"/>
      <c r="U88" s="4043"/>
      <c r="V88" s="4043"/>
      <c r="W88" s="4043"/>
      <c r="X88" s="4042"/>
      <c r="Y88" s="4044"/>
      <c r="Z88" s="4044"/>
      <c r="AA88" s="4044"/>
      <c r="AB88" s="4044"/>
      <c r="AC88" s="4044"/>
      <c r="AD88" s="4044"/>
      <c r="AE88" s="4044"/>
      <c r="AF88" s="4044"/>
      <c r="AG88" s="4044"/>
      <c r="AH88" s="3944"/>
      <c r="AI88" s="3944"/>
      <c r="AJ88" s="3944"/>
      <c r="AK88" s="3944"/>
      <c r="AL88" s="3944"/>
      <c r="AM88" s="3944"/>
      <c r="AN88" s="3944"/>
      <c r="AO88" s="3944"/>
      <c r="AP88" s="3944"/>
      <c r="AQ88" s="3944"/>
      <c r="AR88" s="3944"/>
      <c r="AS88" s="3944"/>
      <c r="AT88" s="3944"/>
      <c r="AU88" s="3944"/>
      <c r="AV88" s="3944"/>
      <c r="AW88" s="3418"/>
      <c r="AX88" s="3418"/>
      <c r="AY88" s="3418"/>
      <c r="AZ88" s="3418"/>
      <c r="BA88" s="3418"/>
      <c r="BB88" s="3418"/>
      <c r="BC88" s="3418"/>
      <c r="BD88" s="3418"/>
      <c r="BE88" s="3396"/>
      <c r="BF88" s="3396"/>
      <c r="BG88" s="3396"/>
      <c r="BH88" s="3396"/>
      <c r="BI88" s="3396"/>
      <c r="BJ88" s="3396"/>
      <c r="BK88" s="3396"/>
      <c r="BL88" s="3396"/>
      <c r="BM88" s="3396"/>
      <c r="BN88" s="3396"/>
      <c r="BO88" s="3396"/>
      <c r="BP88" s="3396"/>
      <c r="BQ88" s="3396"/>
      <c r="BR88" s="3396"/>
      <c r="BS88" s="3396"/>
      <c r="BT88" s="3396"/>
      <c r="BU88" s="3396"/>
      <c r="BV88" s="3396"/>
      <c r="BW88" s="3396"/>
      <c r="BX88" s="3396"/>
      <c r="BY88" s="3396"/>
      <c r="BZ88" s="3396"/>
      <c r="CA88" s="3396"/>
      <c r="CB88" s="3396"/>
      <c r="CC88" s="3396"/>
      <c r="CD88" s="3396"/>
      <c r="CE88" s="3396"/>
      <c r="CF88" s="3396"/>
      <c r="CG88" s="3396"/>
      <c r="CH88" s="3396"/>
      <c r="CI88" s="3396"/>
      <c r="CJ88" s="3396"/>
      <c r="CK88" s="3396"/>
      <c r="CL88" s="3396"/>
      <c r="CM88" s="3396"/>
      <c r="CN88" s="3396"/>
      <c r="CO88" s="3396"/>
      <c r="CP88" s="3396"/>
      <c r="CQ88" s="3396"/>
      <c r="CR88" s="3396"/>
      <c r="CS88" s="3396"/>
      <c r="CT88" s="3396"/>
      <c r="CU88" s="3396"/>
      <c r="CV88" s="3396"/>
      <c r="CW88" s="3396"/>
      <c r="CX88" s="3396"/>
      <c r="CY88" s="75"/>
    </row>
    <row r="89" ht="30" customHeight="1" spans="1:103">
      <c r="A89" s="4042" t="s">
        <v>5898</v>
      </c>
      <c r="B89" s="4042"/>
      <c r="C89" s="4043" t="s">
        <v>5899</v>
      </c>
      <c r="D89" s="4043"/>
      <c r="E89" s="4043"/>
      <c r="F89" s="4043"/>
      <c r="G89" s="4043"/>
      <c r="H89" s="4043"/>
      <c r="I89" s="4043"/>
      <c r="J89" s="4043"/>
      <c r="K89" s="4043"/>
      <c r="L89" s="4043"/>
      <c r="M89" s="4043"/>
      <c r="N89" s="4043"/>
      <c r="O89" s="4043"/>
      <c r="P89" s="4043"/>
      <c r="Q89" s="4043"/>
      <c r="R89" s="4043"/>
      <c r="S89" s="4043"/>
      <c r="T89" s="4043"/>
      <c r="U89" s="4043"/>
      <c r="V89" s="4043"/>
      <c r="W89" s="4043"/>
      <c r="X89" s="4042"/>
      <c r="Y89" s="4044"/>
      <c r="Z89" s="4044"/>
      <c r="AA89" s="4044"/>
      <c r="AB89" s="4044"/>
      <c r="AC89" s="4044"/>
      <c r="AD89" s="4044"/>
      <c r="AE89" s="4044"/>
      <c r="AF89" s="4044"/>
      <c r="AG89" s="4044"/>
      <c r="AH89" s="3944"/>
      <c r="AI89" s="3944"/>
      <c r="AJ89" s="3944"/>
      <c r="AK89" s="3944"/>
      <c r="AL89" s="3944"/>
      <c r="AM89" s="3944"/>
      <c r="AN89" s="3944"/>
      <c r="AO89" s="3944"/>
      <c r="AP89" s="3944"/>
      <c r="AQ89" s="3944"/>
      <c r="AR89" s="3944"/>
      <c r="AS89" s="3944"/>
      <c r="AT89" s="3944"/>
      <c r="AU89" s="3944"/>
      <c r="AV89" s="3944"/>
      <c r="AW89" s="3418"/>
      <c r="AX89" s="3418"/>
      <c r="AY89" s="3418"/>
      <c r="AZ89" s="3418"/>
      <c r="BA89" s="3418"/>
      <c r="BB89" s="3418"/>
      <c r="BC89" s="3418"/>
      <c r="BD89" s="3418"/>
      <c r="BE89" s="3396"/>
      <c r="BF89" s="3396"/>
      <c r="BG89" s="3396"/>
      <c r="BH89" s="3396"/>
      <c r="BI89" s="3396"/>
      <c r="BJ89" s="3396"/>
      <c r="BK89" s="3396"/>
      <c r="BL89" s="3396"/>
      <c r="BM89" s="3396"/>
      <c r="BN89" s="3396"/>
      <c r="BO89" s="3396"/>
      <c r="BP89" s="3396"/>
      <c r="BQ89" s="3396"/>
      <c r="BR89" s="3396"/>
      <c r="BS89" s="3396"/>
      <c r="BT89" s="3396"/>
      <c r="BU89" s="3396"/>
      <c r="BV89" s="3396"/>
      <c r="BW89" s="3396"/>
      <c r="BX89" s="3396"/>
      <c r="BY89" s="3396"/>
      <c r="BZ89" s="3396"/>
      <c r="CA89" s="3396"/>
      <c r="CB89" s="3396"/>
      <c r="CC89" s="3396"/>
      <c r="CD89" s="3396"/>
      <c r="CE89" s="3396"/>
      <c r="CF89" s="3396"/>
      <c r="CG89" s="3396"/>
      <c r="CH89" s="3396"/>
      <c r="CI89" s="3396"/>
      <c r="CJ89" s="3396"/>
      <c r="CK89" s="3396"/>
      <c r="CL89" s="3396"/>
      <c r="CM89" s="3396"/>
      <c r="CN89" s="3396"/>
      <c r="CO89" s="3396"/>
      <c r="CP89" s="3396"/>
      <c r="CQ89" s="3396"/>
      <c r="CR89" s="3396"/>
      <c r="CS89" s="3396"/>
      <c r="CT89" s="3396"/>
      <c r="CU89" s="3396"/>
      <c r="CV89" s="3396"/>
      <c r="CW89" s="3396"/>
      <c r="CX89" s="3396"/>
      <c r="CY89" s="75"/>
    </row>
    <row r="90" ht="31.5" customHeight="1" spans="1:103">
      <c r="A90" s="3965" t="s">
        <v>5900</v>
      </c>
      <c r="B90" s="3965"/>
      <c r="C90" s="3994" t="s">
        <v>5901</v>
      </c>
      <c r="D90" s="3994"/>
      <c r="E90" s="3994"/>
      <c r="F90" s="3994"/>
      <c r="G90" s="3994"/>
      <c r="H90" s="3994"/>
      <c r="I90" s="3994"/>
      <c r="J90" s="3994"/>
      <c r="K90" s="3994"/>
      <c r="L90" s="3994"/>
      <c r="M90" s="3994"/>
      <c r="N90" s="3994"/>
      <c r="O90" s="3994"/>
      <c r="P90" s="3994"/>
      <c r="Q90" s="3994"/>
      <c r="R90" s="3994"/>
      <c r="S90" s="3994"/>
      <c r="T90" s="3994"/>
      <c r="U90" s="3994"/>
      <c r="V90" s="3994"/>
      <c r="W90" s="3994"/>
      <c r="X90" s="3965" t="s">
        <v>19</v>
      </c>
      <c r="Y90" s="3990"/>
      <c r="Z90" s="3990"/>
      <c r="AA90" s="3990"/>
      <c r="AB90" s="3990"/>
      <c r="AC90" s="3990"/>
      <c r="AD90" s="3990"/>
      <c r="AE90" s="3990"/>
      <c r="AF90" s="3990"/>
      <c r="AG90" s="3990"/>
      <c r="AH90" s="3944"/>
      <c r="AI90" s="3944"/>
      <c r="AJ90" s="3944"/>
      <c r="AK90" s="3944"/>
      <c r="AL90" s="3944"/>
      <c r="AM90" s="3944"/>
      <c r="AN90" s="3944"/>
      <c r="AO90" s="3944"/>
      <c r="AP90" s="3944"/>
      <c r="AQ90" s="3944"/>
      <c r="AR90" s="3944"/>
      <c r="AS90" s="3944"/>
      <c r="AT90" s="3944"/>
      <c r="AU90" s="3944"/>
      <c r="AV90" s="3944"/>
      <c r="AW90" s="3418"/>
      <c r="AX90" s="3418"/>
      <c r="AY90" s="3418"/>
      <c r="AZ90" s="3418"/>
      <c r="BA90" s="3418"/>
      <c r="BB90" s="3418"/>
      <c r="BC90" s="3418"/>
      <c r="BD90" s="3418"/>
      <c r="BE90" s="3396"/>
      <c r="BF90" s="3396"/>
      <c r="BG90" s="3396"/>
      <c r="BH90" s="3396"/>
      <c r="BI90" s="3396"/>
      <c r="BJ90" s="3396"/>
      <c r="BK90" s="3396"/>
      <c r="BL90" s="3396"/>
      <c r="BM90" s="3396"/>
      <c r="BN90" s="3396"/>
      <c r="BO90" s="3396"/>
      <c r="BP90" s="3396"/>
      <c r="BQ90" s="3396"/>
      <c r="BR90" s="3396"/>
      <c r="BS90" s="3396"/>
      <c r="BT90" s="3396"/>
      <c r="BU90" s="3396"/>
      <c r="BV90" s="3396"/>
      <c r="BW90" s="3396"/>
      <c r="BX90" s="3396"/>
      <c r="BY90" s="3396"/>
      <c r="BZ90" s="3396"/>
      <c r="CA90" s="3396"/>
      <c r="CB90" s="3396"/>
      <c r="CC90" s="3396"/>
      <c r="CD90" s="3396"/>
      <c r="CE90" s="3396"/>
      <c r="CF90" s="3396"/>
      <c r="CG90" s="3396"/>
      <c r="CH90" s="3396"/>
      <c r="CI90" s="3396"/>
      <c r="CJ90" s="3396"/>
      <c r="CK90" s="3396"/>
      <c r="CL90" s="3396"/>
      <c r="CM90" s="3396"/>
      <c r="CN90" s="3396"/>
      <c r="CO90" s="3396"/>
      <c r="CP90" s="3396"/>
      <c r="CQ90" s="3396"/>
      <c r="CR90" s="3396"/>
      <c r="CS90" s="3396"/>
      <c r="CT90" s="3396"/>
      <c r="CU90" s="3396"/>
      <c r="CV90" s="3396"/>
      <c r="CW90" s="3396"/>
      <c r="CX90" s="3396"/>
      <c r="CY90" s="75"/>
    </row>
    <row r="91" ht="31.5" customHeight="1" spans="1:103">
      <c r="A91" s="3965" t="s">
        <v>5902</v>
      </c>
      <c r="B91" s="3965"/>
      <c r="C91" s="3994" t="s">
        <v>5903</v>
      </c>
      <c r="D91" s="3994"/>
      <c r="E91" s="3994"/>
      <c r="F91" s="3994"/>
      <c r="G91" s="3994"/>
      <c r="H91" s="3994"/>
      <c r="I91" s="3994"/>
      <c r="J91" s="3994"/>
      <c r="K91" s="3994"/>
      <c r="L91" s="3994"/>
      <c r="M91" s="3994"/>
      <c r="N91" s="3994"/>
      <c r="O91" s="3994"/>
      <c r="P91" s="3994"/>
      <c r="Q91" s="3994"/>
      <c r="R91" s="3994"/>
      <c r="S91" s="3994"/>
      <c r="T91" s="3994"/>
      <c r="U91" s="3994"/>
      <c r="V91" s="3994"/>
      <c r="W91" s="3994"/>
      <c r="X91" s="3967" t="s">
        <v>481</v>
      </c>
      <c r="Y91" s="3988"/>
      <c r="Z91" s="3988"/>
      <c r="AA91" s="3988"/>
      <c r="AB91" s="3988"/>
      <c r="AC91" s="3988"/>
      <c r="AD91" s="3988"/>
      <c r="AE91" s="3988"/>
      <c r="AF91" s="3988"/>
      <c r="AG91" s="3988"/>
      <c r="AH91" s="3944"/>
      <c r="AI91" s="3944"/>
      <c r="AJ91" s="3944"/>
      <c r="AK91" s="3944"/>
      <c r="AL91" s="3944"/>
      <c r="AM91" s="3944"/>
      <c r="AN91" s="3944"/>
      <c r="AO91" s="3944"/>
      <c r="AP91" s="3944"/>
      <c r="AQ91" s="3944"/>
      <c r="AR91" s="3944"/>
      <c r="AS91" s="3944"/>
      <c r="AT91" s="3944"/>
      <c r="AU91" s="3944"/>
      <c r="AV91" s="3944"/>
      <c r="AW91" s="3418"/>
      <c r="AX91" s="3418"/>
      <c r="AY91" s="3418"/>
      <c r="AZ91" s="3418"/>
      <c r="BA91" s="3418"/>
      <c r="BB91" s="3418"/>
      <c r="BC91" s="3418"/>
      <c r="BD91" s="3418"/>
      <c r="BE91" s="3396"/>
      <c r="BF91" s="3396"/>
      <c r="BG91" s="3396"/>
      <c r="BH91" s="3396"/>
      <c r="BI91" s="3396"/>
      <c r="BJ91" s="3396"/>
      <c r="BK91" s="3396"/>
      <c r="BL91" s="3396"/>
      <c r="BM91" s="3396"/>
      <c r="BN91" s="3396"/>
      <c r="BO91" s="3396"/>
      <c r="BP91" s="3396"/>
      <c r="BQ91" s="3396"/>
      <c r="BR91" s="3396"/>
      <c r="BS91" s="3396"/>
      <c r="BT91" s="3396"/>
      <c r="BU91" s="3396"/>
      <c r="BV91" s="3396"/>
      <c r="BW91" s="3396"/>
      <c r="BX91" s="3396"/>
      <c r="BY91" s="3396"/>
      <c r="BZ91" s="3396"/>
      <c r="CA91" s="3396"/>
      <c r="CB91" s="3396"/>
      <c r="CC91" s="3396"/>
      <c r="CD91" s="3396"/>
      <c r="CE91" s="3396"/>
      <c r="CF91" s="3396"/>
      <c r="CG91" s="3396"/>
      <c r="CH91" s="3396"/>
      <c r="CI91" s="3396"/>
      <c r="CJ91" s="3396"/>
      <c r="CK91" s="3396"/>
      <c r="CL91" s="3396"/>
      <c r="CM91" s="3396"/>
      <c r="CN91" s="3396"/>
      <c r="CO91" s="3396"/>
      <c r="CP91" s="3396"/>
      <c r="CQ91" s="3396"/>
      <c r="CR91" s="3396"/>
      <c r="CS91" s="3396"/>
      <c r="CT91" s="3396"/>
      <c r="CU91" s="3396"/>
      <c r="CV91" s="3396"/>
      <c r="CW91" s="3396"/>
      <c r="CX91" s="3396"/>
      <c r="CY91" s="75"/>
    </row>
    <row r="92" ht="31.5" customHeight="1" spans="1:103">
      <c r="A92" s="3965" t="s">
        <v>5904</v>
      </c>
      <c r="B92" s="3965"/>
      <c r="C92" s="3994" t="s">
        <v>5905</v>
      </c>
      <c r="D92" s="3994"/>
      <c r="E92" s="3994"/>
      <c r="F92" s="3994"/>
      <c r="G92" s="3994"/>
      <c r="H92" s="3994"/>
      <c r="I92" s="3994"/>
      <c r="J92" s="3994"/>
      <c r="K92" s="3994"/>
      <c r="L92" s="3994"/>
      <c r="M92" s="3994"/>
      <c r="N92" s="3994"/>
      <c r="O92" s="3994"/>
      <c r="P92" s="3994"/>
      <c r="Q92" s="3994"/>
      <c r="R92" s="3994"/>
      <c r="S92" s="3994"/>
      <c r="T92" s="3994"/>
      <c r="U92" s="3994"/>
      <c r="V92" s="3994"/>
      <c r="W92" s="3994"/>
      <c r="X92" s="3965" t="s">
        <v>19</v>
      </c>
      <c r="Y92" s="3990"/>
      <c r="Z92" s="3990"/>
      <c r="AA92" s="3990"/>
      <c r="AB92" s="3990"/>
      <c r="AC92" s="3990"/>
      <c r="AD92" s="3990"/>
      <c r="AE92" s="3990"/>
      <c r="AF92" s="3990"/>
      <c r="AG92" s="3990"/>
      <c r="AH92" s="3944"/>
      <c r="AI92" s="3944"/>
      <c r="AJ92" s="3944"/>
      <c r="AK92" s="3944"/>
      <c r="AL92" s="3944"/>
      <c r="AM92" s="3944"/>
      <c r="AN92" s="3944"/>
      <c r="AO92" s="3944"/>
      <c r="AP92" s="3944"/>
      <c r="AQ92" s="3944"/>
      <c r="AR92" s="3944"/>
      <c r="AS92" s="3944"/>
      <c r="AT92" s="3944"/>
      <c r="AU92" s="3944"/>
      <c r="AV92" s="3944"/>
      <c r="AW92" s="3418"/>
      <c r="AX92" s="3418"/>
      <c r="AY92" s="3418"/>
      <c r="AZ92" s="3418"/>
      <c r="BA92" s="3418"/>
      <c r="BB92" s="3418"/>
      <c r="BC92" s="3418"/>
      <c r="BD92" s="3418"/>
      <c r="BE92" s="3396"/>
      <c r="BF92" s="3396"/>
      <c r="BG92" s="3396"/>
      <c r="BH92" s="3396"/>
      <c r="BI92" s="3396"/>
      <c r="BJ92" s="3396"/>
      <c r="BK92" s="3396"/>
      <c r="BL92" s="3396"/>
      <c r="BM92" s="3396"/>
      <c r="BN92" s="3396"/>
      <c r="BO92" s="3396"/>
      <c r="BP92" s="3396"/>
      <c r="BQ92" s="3396"/>
      <c r="BR92" s="3396"/>
      <c r="BS92" s="3396"/>
      <c r="BT92" s="3396"/>
      <c r="BU92" s="3396"/>
      <c r="BV92" s="3396"/>
      <c r="BW92" s="3396"/>
      <c r="BX92" s="3396"/>
      <c r="BY92" s="3396"/>
      <c r="BZ92" s="3396"/>
      <c r="CA92" s="3396"/>
      <c r="CB92" s="3396"/>
      <c r="CC92" s="3396"/>
      <c r="CD92" s="3396"/>
      <c r="CE92" s="3396"/>
      <c r="CF92" s="3396"/>
      <c r="CG92" s="3396"/>
      <c r="CH92" s="3396"/>
      <c r="CI92" s="3396"/>
      <c r="CJ92" s="3396"/>
      <c r="CK92" s="3396"/>
      <c r="CL92" s="3396"/>
      <c r="CM92" s="3396"/>
      <c r="CN92" s="3396"/>
      <c r="CO92" s="3396"/>
      <c r="CP92" s="3396"/>
      <c r="CQ92" s="3396"/>
      <c r="CR92" s="3396"/>
      <c r="CS92" s="3396"/>
      <c r="CT92" s="3396"/>
      <c r="CU92" s="3396"/>
      <c r="CV92" s="3396"/>
      <c r="CW92" s="3396"/>
      <c r="CX92" s="3396"/>
      <c r="CY92" s="75"/>
    </row>
    <row r="93" ht="18.75" customHeight="1" spans="1:103">
      <c r="A93" s="4045"/>
      <c r="B93" s="4045"/>
      <c r="C93" s="4045"/>
      <c r="D93" s="4045"/>
      <c r="E93" s="4045"/>
      <c r="F93" s="4045"/>
      <c r="G93" s="4045"/>
      <c r="H93" s="4045"/>
      <c r="I93" s="4045"/>
      <c r="J93" s="4045"/>
      <c r="K93" s="4045"/>
      <c r="L93" s="4045"/>
      <c r="M93" s="4045"/>
      <c r="N93" s="4045"/>
      <c r="O93" s="4045"/>
      <c r="P93" s="4045"/>
      <c r="Q93" s="4045"/>
      <c r="R93" s="4045"/>
      <c r="S93" s="4045"/>
      <c r="T93" s="4045"/>
      <c r="U93" s="4045"/>
      <c r="V93" s="4045"/>
      <c r="W93" s="4045"/>
      <c r="X93" s="4045"/>
      <c r="Y93" s="4046"/>
      <c r="Z93" s="4046"/>
      <c r="AA93" s="4046"/>
      <c r="AB93" s="4046"/>
      <c r="AC93" s="4046"/>
      <c r="AD93" s="4046"/>
      <c r="AE93" s="4046"/>
      <c r="AF93" s="4046"/>
      <c r="AG93" s="4046"/>
      <c r="AH93" s="3944"/>
      <c r="AI93" s="3944"/>
      <c r="AJ93" s="3944"/>
      <c r="AK93" s="3944"/>
      <c r="AL93" s="3944"/>
      <c r="AM93" s="3944"/>
      <c r="AN93" s="3944"/>
      <c r="AO93" s="3944"/>
      <c r="AP93" s="3944"/>
      <c r="AQ93" s="3944"/>
      <c r="AR93" s="3944"/>
      <c r="AS93" s="3944"/>
      <c r="AT93" s="3944"/>
      <c r="AU93" s="3944"/>
      <c r="AV93" s="3944"/>
      <c r="AW93" s="3418"/>
      <c r="AX93" s="3418"/>
      <c r="AY93" s="3418"/>
      <c r="AZ93" s="3418"/>
      <c r="BA93" s="3418"/>
      <c r="BB93" s="3418"/>
      <c r="BC93" s="3418"/>
      <c r="BD93" s="3418"/>
      <c r="BE93" s="3396"/>
      <c r="BF93" s="3396"/>
      <c r="BG93" s="3396"/>
      <c r="BH93" s="3396"/>
      <c r="BI93" s="3396"/>
      <c r="BJ93" s="3396"/>
      <c r="BK93" s="3396"/>
      <c r="BL93" s="3396"/>
      <c r="BM93" s="3396"/>
      <c r="BN93" s="3396"/>
      <c r="BO93" s="3396"/>
      <c r="BP93" s="3396"/>
      <c r="BQ93" s="3396"/>
      <c r="BR93" s="3396"/>
      <c r="BS93" s="3396"/>
      <c r="BT93" s="3396"/>
      <c r="BU93" s="3396"/>
      <c r="BV93" s="3396"/>
      <c r="BW93" s="3396"/>
      <c r="BX93" s="3396"/>
      <c r="BY93" s="3396"/>
      <c r="BZ93" s="3396"/>
      <c r="CA93" s="3396"/>
      <c r="CB93" s="3396"/>
      <c r="CC93" s="3396"/>
      <c r="CD93" s="3396"/>
      <c r="CE93" s="3396"/>
      <c r="CF93" s="3396"/>
      <c r="CG93" s="3396"/>
      <c r="CH93" s="3396"/>
      <c r="CI93" s="3396"/>
      <c r="CJ93" s="3396"/>
      <c r="CK93" s="3396"/>
      <c r="CL93" s="3396"/>
      <c r="CM93" s="3396"/>
      <c r="CN93" s="3396"/>
      <c r="CO93" s="3396"/>
      <c r="CP93" s="3396"/>
      <c r="CQ93" s="3396"/>
      <c r="CR93" s="3396"/>
      <c r="CS93" s="3396"/>
      <c r="CT93" s="3396"/>
      <c r="CU93" s="3396"/>
      <c r="CV93" s="3396"/>
      <c r="CW93" s="3396"/>
      <c r="CX93" s="3396"/>
      <c r="CY93" s="75"/>
    </row>
    <row r="94" ht="18.75" customHeight="1" spans="1:103">
      <c r="A94" s="3977" t="s">
        <v>5906</v>
      </c>
      <c r="B94" s="3977"/>
      <c r="C94" s="3978" t="s">
        <v>5907</v>
      </c>
      <c r="D94" s="3979"/>
      <c r="E94" s="3979"/>
      <c r="F94" s="3979"/>
      <c r="G94" s="3979"/>
      <c r="H94" s="3979"/>
      <c r="I94" s="3979"/>
      <c r="J94" s="3979"/>
      <c r="K94" s="3979"/>
      <c r="L94" s="3979"/>
      <c r="M94" s="3979"/>
      <c r="N94" s="3979"/>
      <c r="O94" s="3979"/>
      <c r="P94" s="3979"/>
      <c r="Q94" s="3979"/>
      <c r="R94" s="3979"/>
      <c r="S94" s="3979"/>
      <c r="T94" s="3979"/>
      <c r="U94" s="3979"/>
      <c r="V94" s="3979"/>
      <c r="W94" s="3979"/>
      <c r="X94" s="3979"/>
      <c r="Y94" s="3981"/>
      <c r="Z94" s="3981"/>
      <c r="AA94" s="3981"/>
      <c r="AB94" s="3981"/>
      <c r="AC94" s="3981"/>
      <c r="AD94" s="3981"/>
      <c r="AE94" s="3981"/>
      <c r="AF94" s="3981"/>
      <c r="AG94" s="3982"/>
      <c r="AH94" s="3944"/>
      <c r="AI94" s="3944"/>
      <c r="AJ94" s="3944"/>
      <c r="AK94" s="3944"/>
      <c r="AL94" s="3944"/>
      <c r="AM94" s="3944"/>
      <c r="AN94" s="3944"/>
      <c r="AO94" s="3944"/>
      <c r="AP94" s="3944"/>
      <c r="AQ94" s="3944"/>
      <c r="AR94" s="3944"/>
      <c r="AS94" s="3944"/>
      <c r="AT94" s="3944"/>
      <c r="AU94" s="3944"/>
      <c r="AV94" s="3944"/>
      <c r="AW94" s="3418"/>
      <c r="AX94" s="3418"/>
      <c r="AY94" s="3418"/>
      <c r="AZ94" s="3418"/>
      <c r="BA94" s="3418"/>
      <c r="BB94" s="3418"/>
      <c r="BC94" s="3418"/>
      <c r="BD94" s="3418"/>
      <c r="BE94" s="3396"/>
      <c r="BF94" s="3396"/>
      <c r="BG94" s="3396"/>
      <c r="BH94" s="3396"/>
      <c r="BI94" s="3396"/>
      <c r="BJ94" s="3396"/>
      <c r="BK94" s="3396"/>
      <c r="BL94" s="3396"/>
      <c r="BM94" s="3396"/>
      <c r="BN94" s="3396"/>
      <c r="BO94" s="3396"/>
      <c r="BP94" s="3396"/>
      <c r="BQ94" s="3396"/>
      <c r="BR94" s="3396"/>
      <c r="BS94" s="3396"/>
      <c r="BT94" s="3396"/>
      <c r="BU94" s="3396"/>
      <c r="BV94" s="3396"/>
      <c r="BW94" s="3396"/>
      <c r="BX94" s="3396"/>
      <c r="BY94" s="3396"/>
      <c r="BZ94" s="3396"/>
      <c r="CA94" s="3396"/>
      <c r="CB94" s="3396"/>
      <c r="CC94" s="3396"/>
      <c r="CD94" s="3396"/>
      <c r="CE94" s="3396"/>
      <c r="CF94" s="3396"/>
      <c r="CG94" s="3396"/>
      <c r="CH94" s="3396"/>
      <c r="CI94" s="3396"/>
      <c r="CJ94" s="3396"/>
      <c r="CK94" s="3396"/>
      <c r="CL94" s="3396"/>
      <c r="CM94" s="3396"/>
      <c r="CN94" s="3396"/>
      <c r="CO94" s="3396"/>
      <c r="CP94" s="3396"/>
      <c r="CQ94" s="3396"/>
      <c r="CR94" s="3396"/>
      <c r="CS94" s="3396"/>
      <c r="CT94" s="3396"/>
      <c r="CU94" s="3396"/>
      <c r="CV94" s="3396"/>
      <c r="CW94" s="3396"/>
      <c r="CX94" s="3396"/>
      <c r="CY94" s="75"/>
    </row>
    <row r="95" ht="18.75" customHeight="1" spans="1:103">
      <c r="A95" s="3965" t="s">
        <v>5908</v>
      </c>
      <c r="B95" s="3965"/>
      <c r="C95" s="3994" t="s">
        <v>5909</v>
      </c>
      <c r="D95" s="3994"/>
      <c r="E95" s="3994"/>
      <c r="F95" s="3994"/>
      <c r="G95" s="3994"/>
      <c r="H95" s="3994"/>
      <c r="I95" s="3994"/>
      <c r="J95" s="3994"/>
      <c r="K95" s="3994"/>
      <c r="L95" s="3994"/>
      <c r="M95" s="3994"/>
      <c r="N95" s="3994"/>
      <c r="O95" s="3994"/>
      <c r="P95" s="3994"/>
      <c r="Q95" s="3994"/>
      <c r="R95" s="3994"/>
      <c r="S95" s="3994"/>
      <c r="T95" s="3994"/>
      <c r="U95" s="3994"/>
      <c r="V95" s="3994"/>
      <c r="W95" s="3994"/>
      <c r="X95" s="3965" t="s">
        <v>19</v>
      </c>
      <c r="Y95" s="3974">
        <f>PorBilans!AE102</f>
        <v>0</v>
      </c>
      <c r="Z95" s="3974"/>
      <c r="AA95" s="3974"/>
      <c r="AB95" s="3974"/>
      <c r="AC95" s="3974"/>
      <c r="AD95" s="3974"/>
      <c r="AE95" s="3974"/>
      <c r="AF95" s="3974"/>
      <c r="AG95" s="3974"/>
      <c r="AH95" s="3944"/>
      <c r="AI95" s="3944"/>
      <c r="AJ95" s="3944"/>
      <c r="AK95" s="3944"/>
      <c r="AL95" s="3944"/>
      <c r="AM95" s="3944"/>
      <c r="AN95" s="3944"/>
      <c r="AO95" s="3944"/>
      <c r="AP95" s="3944"/>
      <c r="AQ95" s="3944"/>
      <c r="AR95" s="3944"/>
      <c r="AS95" s="3944"/>
      <c r="AT95" s="3944"/>
      <c r="AU95" s="3944"/>
      <c r="AV95" s="3944"/>
      <c r="AW95" s="3418"/>
      <c r="AX95" s="3418"/>
      <c r="AY95" s="3418"/>
      <c r="AZ95" s="3418"/>
      <c r="BA95" s="3418"/>
      <c r="BB95" s="3418"/>
      <c r="BC95" s="3418"/>
      <c r="BD95" s="3418"/>
      <c r="BE95" s="3396"/>
      <c r="BF95" s="3396"/>
      <c r="BG95" s="3396"/>
      <c r="BH95" s="3396"/>
      <c r="BI95" s="3396"/>
      <c r="BJ95" s="3396"/>
      <c r="BK95" s="3396"/>
      <c r="BL95" s="3396"/>
      <c r="BM95" s="3396"/>
      <c r="BN95" s="3396"/>
      <c r="BO95" s="3396"/>
      <c r="BP95" s="3396"/>
      <c r="BQ95" s="3396"/>
      <c r="BR95" s="3396"/>
      <c r="BS95" s="3396"/>
      <c r="BT95" s="3396"/>
      <c r="BU95" s="3396"/>
      <c r="BV95" s="3396"/>
      <c r="BW95" s="3396"/>
      <c r="BX95" s="3396"/>
      <c r="BY95" s="3396"/>
      <c r="BZ95" s="3396"/>
      <c r="CA95" s="3396"/>
      <c r="CB95" s="3396"/>
      <c r="CC95" s="3396"/>
      <c r="CD95" s="3396"/>
      <c r="CE95" s="3396"/>
      <c r="CF95" s="3396"/>
      <c r="CG95" s="3396"/>
      <c r="CH95" s="3396"/>
      <c r="CI95" s="3396"/>
      <c r="CJ95" s="3396"/>
      <c r="CK95" s="3396"/>
      <c r="CL95" s="3396"/>
      <c r="CM95" s="3396"/>
      <c r="CN95" s="3396"/>
      <c r="CO95" s="3396"/>
      <c r="CP95" s="3396"/>
      <c r="CQ95" s="3396"/>
      <c r="CR95" s="3396"/>
      <c r="CS95" s="3396"/>
      <c r="CT95" s="3396"/>
      <c r="CU95" s="3396"/>
      <c r="CV95" s="3396"/>
      <c r="CW95" s="3396"/>
      <c r="CX95" s="3396"/>
      <c r="CY95" s="75"/>
    </row>
    <row r="96" ht="18.75" customHeight="1" spans="1:103">
      <c r="A96" s="3965" t="s">
        <v>5910</v>
      </c>
      <c r="B96" s="3965"/>
      <c r="C96" s="3994" t="s">
        <v>5911</v>
      </c>
      <c r="D96" s="3994"/>
      <c r="E96" s="3994"/>
      <c r="F96" s="3994"/>
      <c r="G96" s="3994"/>
      <c r="H96" s="3994"/>
      <c r="I96" s="3994"/>
      <c r="J96" s="3994"/>
      <c r="K96" s="3994"/>
      <c r="L96" s="3994"/>
      <c r="M96" s="3994"/>
      <c r="N96" s="3994"/>
      <c r="O96" s="3994"/>
      <c r="P96" s="3994"/>
      <c r="Q96" s="3994"/>
      <c r="R96" s="3994"/>
      <c r="S96" s="3994"/>
      <c r="T96" s="3994"/>
      <c r="U96" s="3994"/>
      <c r="V96" s="3994"/>
      <c r="W96" s="3994"/>
      <c r="X96" s="3967" t="s">
        <v>481</v>
      </c>
      <c r="Y96" s="4047">
        <f>PorBilans!AE103</f>
        <v>43684</v>
      </c>
      <c r="Z96" s="4048"/>
      <c r="AA96" s="4048"/>
      <c r="AB96" s="4048"/>
      <c r="AC96" s="4048"/>
      <c r="AD96" s="4048"/>
      <c r="AE96" s="4048"/>
      <c r="AF96" s="4048"/>
      <c r="AG96" s="4049"/>
      <c r="AH96" s="3944"/>
      <c r="AI96" s="3944"/>
      <c r="AJ96" s="3944"/>
      <c r="AK96" s="3944"/>
      <c r="AL96" s="3944"/>
      <c r="AM96" s="3944"/>
      <c r="AN96" s="3944"/>
      <c r="AO96" s="3944"/>
      <c r="AP96" s="3944"/>
      <c r="AQ96" s="3944"/>
      <c r="AR96" s="3944"/>
      <c r="AS96" s="3944"/>
      <c r="AT96" s="3944"/>
      <c r="AU96" s="3944"/>
      <c r="AV96" s="3944"/>
      <c r="AW96" s="3418"/>
      <c r="AX96" s="3418"/>
      <c r="AY96" s="3418"/>
      <c r="AZ96" s="3418"/>
      <c r="BA96" s="3418"/>
      <c r="BB96" s="3418"/>
      <c r="BC96" s="3418"/>
      <c r="BD96" s="3418"/>
      <c r="BE96" s="3396"/>
      <c r="BF96" s="3396"/>
      <c r="BG96" s="3396"/>
      <c r="BH96" s="3396"/>
      <c r="BI96" s="3396"/>
      <c r="BJ96" s="3396"/>
      <c r="BK96" s="3396"/>
      <c r="BL96" s="3396"/>
      <c r="BM96" s="3396"/>
      <c r="BN96" s="3396"/>
      <c r="BO96" s="3396"/>
      <c r="BP96" s="3396"/>
      <c r="BQ96" s="3396"/>
      <c r="BR96" s="3396"/>
      <c r="BS96" s="3396"/>
      <c r="BT96" s="3396"/>
      <c r="BU96" s="3396"/>
      <c r="BV96" s="3396"/>
      <c r="BW96" s="3396"/>
      <c r="BX96" s="3396"/>
      <c r="BY96" s="3396"/>
      <c r="BZ96" s="3396"/>
      <c r="CA96" s="3396"/>
      <c r="CB96" s="3396"/>
      <c r="CC96" s="3396"/>
      <c r="CD96" s="3396"/>
      <c r="CE96" s="3396"/>
      <c r="CF96" s="3396"/>
      <c r="CG96" s="3396"/>
      <c r="CH96" s="3396"/>
      <c r="CI96" s="3396"/>
      <c r="CJ96" s="3396"/>
      <c r="CK96" s="3396"/>
      <c r="CL96" s="3396"/>
      <c r="CM96" s="3396"/>
      <c r="CN96" s="3396"/>
      <c r="CO96" s="3396"/>
      <c r="CP96" s="3396"/>
      <c r="CQ96" s="3396"/>
      <c r="CR96" s="3396"/>
      <c r="CS96" s="3396"/>
      <c r="CT96" s="3396"/>
      <c r="CU96" s="3396"/>
      <c r="CV96" s="3396"/>
      <c r="CW96" s="3396"/>
      <c r="CX96" s="3396"/>
      <c r="CY96" s="75"/>
    </row>
    <row r="97" ht="18.75" customHeight="1" spans="1:113">
      <c r="A97" s="3977" t="s">
        <v>5912</v>
      </c>
      <c r="B97" s="3977"/>
      <c r="C97" s="3978" t="s">
        <v>5913</v>
      </c>
      <c r="D97" s="3979"/>
      <c r="E97" s="3979"/>
      <c r="F97" s="3979"/>
      <c r="G97" s="3979"/>
      <c r="H97" s="3979"/>
      <c r="I97" s="3979"/>
      <c r="J97" s="3979"/>
      <c r="K97" s="3979"/>
      <c r="L97" s="3979"/>
      <c r="M97" s="3979"/>
      <c r="N97" s="3979"/>
      <c r="O97" s="3979"/>
      <c r="P97" s="3979"/>
      <c r="Q97" s="3979"/>
      <c r="R97" s="3979"/>
      <c r="S97" s="3979"/>
      <c r="T97" s="3979"/>
      <c r="U97" s="3979"/>
      <c r="V97" s="3979"/>
      <c r="W97" s="3979"/>
      <c r="X97" s="3979"/>
      <c r="Y97" s="3981"/>
      <c r="Z97" s="3981"/>
      <c r="AA97" s="3981"/>
      <c r="AB97" s="3981"/>
      <c r="AC97" s="3981"/>
      <c r="AD97" s="3981"/>
      <c r="AE97" s="3981"/>
      <c r="AF97" s="3981"/>
      <c r="AG97" s="3982"/>
      <c r="AH97" s="3944"/>
      <c r="AI97" s="3944"/>
      <c r="AJ97" s="3944"/>
      <c r="AK97" s="3944"/>
      <c r="AL97" s="3944"/>
      <c r="AM97" s="3944"/>
      <c r="AN97" s="3944"/>
      <c r="AO97" s="3944"/>
      <c r="AP97" s="3944"/>
      <c r="AQ97" s="3944"/>
      <c r="AR97" s="3944"/>
      <c r="AS97" s="3944"/>
      <c r="AT97" s="3944"/>
      <c r="AU97" s="3944"/>
      <c r="AV97" s="3944"/>
      <c r="AW97" s="3418"/>
      <c r="AX97" s="3418"/>
      <c r="AY97" s="3418"/>
      <c r="AZ97" s="3418"/>
      <c r="BA97" s="3418"/>
      <c r="BB97" s="3418"/>
      <c r="BC97" s="3418"/>
      <c r="BD97" s="3418"/>
      <c r="BE97" s="3396"/>
      <c r="BF97" s="3396"/>
      <c r="BG97" s="3396"/>
      <c r="BH97" s="3396"/>
      <c r="BI97" s="3396"/>
      <c r="BJ97" s="3396"/>
      <c r="BK97" s="3396"/>
      <c r="BL97" s="3396"/>
      <c r="BM97" s="3396"/>
      <c r="BN97" s="3396"/>
      <c r="BO97" s="3396"/>
      <c r="BP97" s="3396"/>
      <c r="BQ97" s="3396"/>
      <c r="BR97" s="3396"/>
      <c r="BS97" s="3396"/>
      <c r="BT97" s="3396"/>
      <c r="BU97" s="3396"/>
      <c r="BV97" s="3396"/>
      <c r="BW97" s="3396"/>
      <c r="BX97" s="3396"/>
      <c r="BY97" s="3396"/>
      <c r="BZ97" s="3396"/>
      <c r="CA97" s="3396"/>
      <c r="CB97" s="3396"/>
      <c r="CC97" s="3396"/>
      <c r="CD97" s="3396"/>
      <c r="CE97" s="3396"/>
      <c r="CF97" s="3396"/>
      <c r="CG97" s="3396"/>
      <c r="CH97" s="3396"/>
      <c r="CI97" s="3396"/>
      <c r="CJ97" s="3396"/>
      <c r="CK97" s="3396"/>
      <c r="CL97" s="3396"/>
      <c r="CM97" s="3396"/>
      <c r="CN97" s="3396"/>
      <c r="CO97" s="3396"/>
      <c r="CP97" s="3396"/>
      <c r="CQ97" s="3396"/>
      <c r="CR97" s="3396"/>
      <c r="CS97" s="3396"/>
      <c r="CT97" s="3396"/>
      <c r="CU97" s="3396"/>
      <c r="CV97" s="3396"/>
      <c r="CW97" s="3396"/>
      <c r="CX97" s="3396"/>
      <c r="CY97" s="75"/>
    </row>
    <row r="98" ht="31.5" customHeight="1" spans="1:113">
      <c r="A98" s="3965" t="s">
        <v>5914</v>
      </c>
      <c r="B98" s="3965"/>
      <c r="C98" s="3994" t="s">
        <v>5915</v>
      </c>
      <c r="D98" s="3994"/>
      <c r="E98" s="3994"/>
      <c r="F98" s="3994"/>
      <c r="G98" s="3994"/>
      <c r="H98" s="3994"/>
      <c r="I98" s="3994"/>
      <c r="J98" s="3994"/>
      <c r="K98" s="3994"/>
      <c r="L98" s="3994"/>
      <c r="M98" s="3994"/>
      <c r="N98" s="3994"/>
      <c r="O98" s="3994"/>
      <c r="P98" s="3994"/>
      <c r="Q98" s="3994"/>
      <c r="R98" s="3994"/>
      <c r="S98" s="3994"/>
      <c r="T98" s="3994"/>
      <c r="U98" s="3994"/>
      <c r="V98" s="3994"/>
      <c r="W98" s="3994"/>
      <c r="X98" s="3965" t="s">
        <v>19</v>
      </c>
      <c r="Y98" s="3990"/>
      <c r="Z98" s="3990"/>
      <c r="AA98" s="3990"/>
      <c r="AB98" s="3990"/>
      <c r="AC98" s="3990"/>
      <c r="AD98" s="3990"/>
      <c r="AE98" s="3990"/>
      <c r="AF98" s="3990"/>
      <c r="AG98" s="3990"/>
      <c r="AH98" s="4050"/>
      <c r="AI98" s="3944"/>
      <c r="AJ98" s="3944"/>
      <c r="AK98" s="3944"/>
      <c r="AL98" s="3944"/>
      <c r="AM98" s="3944"/>
      <c r="AN98" s="3944"/>
      <c r="AO98" s="3944"/>
      <c r="AP98" s="3944"/>
      <c r="AQ98" s="3944"/>
      <c r="AR98" s="3944"/>
      <c r="AS98" s="3944"/>
      <c r="AT98" s="3944"/>
      <c r="AU98" s="3944"/>
      <c r="AV98" s="3944"/>
      <c r="AW98" s="3418"/>
      <c r="AX98" s="3418"/>
      <c r="AY98" s="3418"/>
      <c r="AZ98" s="3418"/>
      <c r="BA98" s="3418"/>
      <c r="BB98" s="3418"/>
      <c r="BC98" s="3418"/>
      <c r="BD98" s="3418"/>
      <c r="BE98" s="3396"/>
      <c r="BF98" s="3396"/>
      <c r="BG98" s="3396"/>
      <c r="BH98" s="3396"/>
      <c r="BI98" s="3396"/>
      <c r="BJ98" s="3396"/>
      <c r="BK98" s="3396"/>
      <c r="BL98" s="3396"/>
      <c r="BM98" s="3396"/>
      <c r="BN98" s="3396"/>
      <c r="BO98" s="3396"/>
      <c r="BP98" s="3396"/>
      <c r="BQ98" s="3396"/>
      <c r="BR98" s="3396"/>
      <c r="BS98" s="3396"/>
      <c r="BT98" s="3396"/>
      <c r="BU98" s="3396"/>
      <c r="BV98" s="3396"/>
      <c r="BW98" s="3396"/>
      <c r="BX98" s="3396"/>
      <c r="BY98" s="3396"/>
      <c r="BZ98" s="3396"/>
      <c r="CA98" s="3396"/>
      <c r="CB98" s="3396"/>
      <c r="CC98" s="3396"/>
      <c r="CD98" s="3396"/>
      <c r="CE98" s="3396"/>
      <c r="CF98" s="3396"/>
      <c r="CG98" s="3396"/>
      <c r="CH98" s="3396"/>
      <c r="CI98" s="3396"/>
      <c r="CJ98" s="3396"/>
      <c r="CK98" s="3396"/>
      <c r="CL98" s="3396"/>
      <c r="CM98" s="3396"/>
      <c r="CN98" s="3396"/>
      <c r="CO98" s="3396"/>
      <c r="CP98" s="3396"/>
      <c r="CQ98" s="3396"/>
      <c r="CR98" s="3396"/>
      <c r="CS98" s="3396"/>
      <c r="CT98" s="3396"/>
      <c r="CU98" s="3396"/>
      <c r="CV98" s="3396"/>
      <c r="CW98" s="3396"/>
      <c r="CX98" s="3396"/>
      <c r="CY98" s="75"/>
    </row>
    <row r="99" ht="30.75" customHeight="1" spans="1:113">
      <c r="A99" s="3965" t="s">
        <v>5916</v>
      </c>
      <c r="B99" s="3965"/>
      <c r="C99" s="3994" t="s">
        <v>5917</v>
      </c>
      <c r="D99" s="3994"/>
      <c r="E99" s="3994"/>
      <c r="F99" s="3994"/>
      <c r="G99" s="3994"/>
      <c r="H99" s="3994"/>
      <c r="I99" s="3994"/>
      <c r="J99" s="3994"/>
      <c r="K99" s="3994"/>
      <c r="L99" s="3994"/>
      <c r="M99" s="3994"/>
      <c r="N99" s="3994"/>
      <c r="O99" s="3994"/>
      <c r="P99" s="3994"/>
      <c r="Q99" s="3994"/>
      <c r="R99" s="3994"/>
      <c r="S99" s="3994"/>
      <c r="T99" s="3994"/>
      <c r="U99" s="3994"/>
      <c r="V99" s="3994"/>
      <c r="W99" s="3994"/>
      <c r="X99" s="3965" t="s">
        <v>19</v>
      </c>
      <c r="Y99" s="3990"/>
      <c r="Z99" s="3990"/>
      <c r="AA99" s="3990"/>
      <c r="AB99" s="3990"/>
      <c r="AC99" s="3990"/>
      <c r="AD99" s="3990"/>
      <c r="AE99" s="3990"/>
      <c r="AF99" s="3990"/>
      <c r="AG99" s="3990"/>
      <c r="AH99" s="4051"/>
      <c r="AI99" s="3944"/>
      <c r="AJ99" s="3944"/>
      <c r="AK99" s="3944"/>
      <c r="AL99" s="3944"/>
      <c r="AM99" s="3944"/>
      <c r="AN99" s="3944"/>
      <c r="AO99" s="3944"/>
      <c r="AP99" s="3944"/>
      <c r="AQ99" s="3944"/>
      <c r="AR99" s="3944"/>
      <c r="AS99" s="3944"/>
      <c r="AT99" s="3944"/>
      <c r="AU99" s="3944"/>
      <c r="AV99" s="3944"/>
      <c r="AW99" s="3418"/>
      <c r="AX99" s="3418"/>
      <c r="AY99" s="3418"/>
      <c r="AZ99" s="3418"/>
      <c r="BA99" s="3418"/>
      <c r="BB99" s="3418"/>
      <c r="BC99" s="3418"/>
      <c r="BD99" s="3418"/>
      <c r="BE99" s="3396"/>
      <c r="BF99" s="3396"/>
      <c r="BG99" s="3396"/>
      <c r="BH99" s="3396"/>
      <c r="BI99" s="3396"/>
      <c r="BJ99" s="3396"/>
      <c r="BK99" s="3396"/>
      <c r="BL99" s="3396"/>
      <c r="BM99" s="3396"/>
      <c r="BN99" s="3396"/>
      <c r="BO99" s="3396"/>
      <c r="BP99" s="3396"/>
      <c r="BQ99" s="3396"/>
      <c r="BR99" s="3396"/>
      <c r="BS99" s="3396"/>
      <c r="BT99" s="3396"/>
      <c r="BU99" s="3396"/>
      <c r="BV99" s="3396"/>
      <c r="BW99" s="3396"/>
      <c r="BX99" s="3396"/>
      <c r="BY99" s="3396"/>
      <c r="BZ99" s="3396"/>
      <c r="CA99" s="3396"/>
      <c r="CB99" s="3396"/>
      <c r="CC99" s="3396"/>
      <c r="CD99" s="3396"/>
      <c r="CE99" s="3396"/>
      <c r="CF99" s="3396"/>
      <c r="CG99" s="3396"/>
      <c r="CH99" s="3396"/>
      <c r="CI99" s="3396"/>
      <c r="CJ99" s="3396"/>
      <c r="CK99" s="3396"/>
      <c r="CL99" s="3396"/>
      <c r="CM99" s="3396"/>
      <c r="CN99" s="3396"/>
      <c r="CO99" s="3396"/>
      <c r="CP99" s="3396"/>
      <c r="CQ99" s="3396"/>
      <c r="CR99" s="3396"/>
      <c r="CS99" s="3396"/>
      <c r="CT99" s="3396"/>
      <c r="CU99" s="3396"/>
      <c r="CV99" s="3396"/>
      <c r="CW99" s="3396"/>
      <c r="CX99" s="3396"/>
      <c r="CY99" s="75"/>
    </row>
    <row r="100" ht="29.25" customHeight="1" spans="1:113">
      <c r="A100" s="3965" t="s">
        <v>5918</v>
      </c>
      <c r="B100" s="3965"/>
      <c r="C100" s="3994" t="s">
        <v>5919</v>
      </c>
      <c r="D100" s="3994"/>
      <c r="E100" s="3994"/>
      <c r="F100" s="3994"/>
      <c r="G100" s="3994"/>
      <c r="H100" s="3994"/>
      <c r="I100" s="3994"/>
      <c r="J100" s="3994"/>
      <c r="K100" s="3994"/>
      <c r="L100" s="3994"/>
      <c r="M100" s="3994"/>
      <c r="N100" s="3994"/>
      <c r="O100" s="3994"/>
      <c r="P100" s="3994"/>
      <c r="Q100" s="3994"/>
      <c r="R100" s="3994"/>
      <c r="S100" s="3994"/>
      <c r="T100" s="3994"/>
      <c r="U100" s="3994"/>
      <c r="V100" s="3994"/>
      <c r="W100" s="3994"/>
      <c r="X100" s="3967" t="s">
        <v>481</v>
      </c>
      <c r="Y100" s="3988"/>
      <c r="Z100" s="3988"/>
      <c r="AA100" s="3988"/>
      <c r="AB100" s="3988"/>
      <c r="AC100" s="3988"/>
      <c r="AD100" s="3988"/>
      <c r="AE100" s="3988"/>
      <c r="AF100" s="3988"/>
      <c r="AG100" s="3988"/>
      <c r="AH100" s="3395"/>
      <c r="AI100" s="4052" t="s">
        <v>5920</v>
      </c>
      <c r="AJ100" s="4002"/>
      <c r="AK100" s="4002"/>
      <c r="AL100" s="4002"/>
      <c r="AM100" s="4002"/>
      <c r="AN100" s="4002"/>
      <c r="AO100" s="4002"/>
      <c r="AP100" s="4002"/>
      <c r="AQ100" s="3951"/>
      <c r="AR100" s="3951"/>
      <c r="AS100" s="3951"/>
      <c r="AT100" s="3951"/>
      <c r="AU100" s="3951"/>
      <c r="AV100" s="3395"/>
      <c r="AW100" s="3951"/>
      <c r="AX100" s="3951"/>
      <c r="AY100" s="3951"/>
      <c r="AZ100" s="3951"/>
      <c r="BA100" s="3951"/>
      <c r="BB100" s="3951"/>
      <c r="BC100" s="3951"/>
      <c r="BD100" s="3951"/>
      <c r="BE100" s="3952"/>
      <c r="BF100" s="3952"/>
      <c r="BG100" s="3952"/>
      <c r="BH100" s="3952"/>
      <c r="BI100" s="3952"/>
      <c r="BJ100" s="3952"/>
      <c r="BK100" s="3952"/>
      <c r="BL100" s="3952"/>
      <c r="BM100" s="3952"/>
      <c r="BN100" s="3952"/>
      <c r="BO100" s="3952"/>
      <c r="BP100" s="3952"/>
      <c r="BQ100" s="3952"/>
      <c r="BR100" s="3952"/>
      <c r="BS100" s="3952"/>
      <c r="BT100" s="3952"/>
      <c r="BU100" s="3952"/>
      <c r="BV100" s="3952"/>
      <c r="BW100" s="3952"/>
      <c r="BX100" s="3952"/>
      <c r="BY100" s="3952"/>
      <c r="BZ100" s="3952"/>
      <c r="CA100" s="3396"/>
      <c r="CB100" s="3396"/>
      <c r="CC100" s="3396"/>
      <c r="CD100" s="3396"/>
      <c r="CE100" s="3396"/>
      <c r="CF100" s="3396"/>
      <c r="CG100" s="3396"/>
      <c r="CH100" s="3396"/>
      <c r="CI100" s="3396"/>
      <c r="CJ100" s="3396"/>
      <c r="CK100" s="3396"/>
      <c r="CL100" s="3396"/>
      <c r="CM100" s="3396"/>
      <c r="CN100" s="3396"/>
      <c r="CO100" s="3396"/>
      <c r="CP100" s="3396"/>
      <c r="CQ100" s="3396"/>
      <c r="CR100" s="3396"/>
      <c r="CS100" s="3396"/>
      <c r="CT100" s="3396"/>
      <c r="CU100" s="3396"/>
      <c r="CV100" s="3396"/>
      <c r="CW100" s="3396"/>
      <c r="CX100" s="3396"/>
      <c r="CY100" s="75"/>
    </row>
    <row r="101" ht="18.75" customHeight="1" spans="1:113">
      <c r="A101" s="3977" t="s">
        <v>5921</v>
      </c>
      <c r="B101" s="3977"/>
      <c r="C101" s="3978" t="s">
        <v>5922</v>
      </c>
      <c r="D101" s="3979"/>
      <c r="E101" s="3979"/>
      <c r="F101" s="3979"/>
      <c r="G101" s="3979"/>
      <c r="H101" s="3979"/>
      <c r="I101" s="3979"/>
      <c r="J101" s="3979"/>
      <c r="K101" s="3979"/>
      <c r="L101" s="3979"/>
      <c r="M101" s="3979"/>
      <c r="N101" s="3979"/>
      <c r="O101" s="3979"/>
      <c r="P101" s="3979"/>
      <c r="Q101" s="3979"/>
      <c r="R101" s="3979"/>
      <c r="S101" s="3979"/>
      <c r="T101" s="3979"/>
      <c r="U101" s="3979"/>
      <c r="V101" s="3979"/>
      <c r="W101" s="3979"/>
      <c r="X101" s="3979"/>
      <c r="Y101" s="4053"/>
      <c r="Z101" s="4053"/>
      <c r="AA101" s="4053"/>
      <c r="AB101" s="4053"/>
      <c r="AC101" s="4053"/>
      <c r="AD101" s="4053"/>
      <c r="AE101" s="4053"/>
      <c r="AF101" s="4053"/>
      <c r="AG101" s="4054"/>
      <c r="AH101" s="3395"/>
      <c r="AI101" s="4055"/>
      <c r="AJ101" s="4055"/>
      <c r="AK101" s="4055"/>
      <c r="AL101" s="4055"/>
      <c r="AM101" s="4055"/>
      <c r="AN101" s="4055"/>
      <c r="AO101" s="4055"/>
      <c r="AP101" s="4055"/>
      <c r="AQ101" s="3951"/>
      <c r="AR101" s="3951"/>
      <c r="AS101" s="3951"/>
      <c r="AT101" s="3951"/>
      <c r="AU101" s="3951"/>
      <c r="AV101" s="3395"/>
      <c r="AW101" s="3951"/>
      <c r="AX101" s="3951"/>
      <c r="AY101" s="3951"/>
      <c r="AZ101" s="3951"/>
      <c r="BA101" s="3951"/>
      <c r="BB101" s="3951"/>
      <c r="BC101" s="3951"/>
      <c r="BD101" s="3951"/>
      <c r="BE101" s="3952"/>
      <c r="BF101" s="3952"/>
      <c r="BG101" s="3952"/>
      <c r="BH101" s="3952"/>
      <c r="BI101" s="3952"/>
      <c r="BJ101" s="3952"/>
      <c r="BK101" s="3952"/>
      <c r="BL101" s="3952"/>
      <c r="BM101" s="3952"/>
      <c r="BN101" s="3952"/>
      <c r="BO101" s="3952"/>
      <c r="BP101" s="3952"/>
      <c r="BQ101" s="3952"/>
      <c r="BR101" s="3952"/>
      <c r="BS101" s="3952"/>
      <c r="BT101" s="3952"/>
      <c r="BU101" s="3952"/>
      <c r="BV101" s="3952"/>
      <c r="BW101" s="3952"/>
      <c r="BX101" s="3952"/>
      <c r="BY101" s="3952"/>
      <c r="BZ101" s="3952"/>
      <c r="CA101" s="3396"/>
      <c r="CB101" s="3396"/>
      <c r="CC101" s="3396"/>
      <c r="CD101" s="3396"/>
      <c r="CE101" s="3396"/>
      <c r="CF101" s="3396"/>
      <c r="CG101" s="3396"/>
      <c r="CH101" s="3396"/>
      <c r="CI101" s="3396"/>
      <c r="CJ101" s="3396"/>
      <c r="CK101" s="3396"/>
      <c r="CL101" s="3396"/>
      <c r="CM101" s="3396"/>
      <c r="CN101" s="3396"/>
      <c r="CO101" s="3396"/>
      <c r="CP101" s="3396"/>
      <c r="CQ101" s="3396"/>
      <c r="CR101" s="3396"/>
      <c r="CS101" s="3396"/>
      <c r="CT101" s="3396"/>
      <c r="CU101" s="3396"/>
      <c r="CV101" s="3396"/>
      <c r="CW101" s="3396"/>
      <c r="CX101" s="3396"/>
      <c r="CY101" s="75"/>
    </row>
    <row r="102" ht="25.5" customHeight="1" spans="1:113">
      <c r="A102" s="3965" t="s">
        <v>5923</v>
      </c>
      <c r="B102" s="3965"/>
      <c r="C102" s="3994" t="s">
        <v>5924</v>
      </c>
      <c r="D102" s="3994"/>
      <c r="E102" s="3994"/>
      <c r="F102" s="3994"/>
      <c r="G102" s="3994"/>
      <c r="H102" s="3994"/>
      <c r="I102" s="3994"/>
      <c r="J102" s="3994"/>
      <c r="K102" s="3994"/>
      <c r="L102" s="3994"/>
      <c r="M102" s="3994"/>
      <c r="N102" s="3994"/>
      <c r="O102" s="3994"/>
      <c r="P102" s="3994"/>
      <c r="Q102" s="3994"/>
      <c r="R102" s="3994"/>
      <c r="S102" s="3994"/>
      <c r="T102" s="3994"/>
      <c r="U102" s="3994"/>
      <c r="V102" s="3994"/>
      <c r="W102" s="3994"/>
      <c r="X102" s="3965" t="s">
        <v>19</v>
      </c>
      <c r="Y102" s="3974">
        <f>PorBilans!AE109</f>
        <v>0</v>
      </c>
      <c r="Z102" s="3974"/>
      <c r="AA102" s="3974"/>
      <c r="AB102" s="3974"/>
      <c r="AC102" s="3974"/>
      <c r="AD102" s="3974"/>
      <c r="AE102" s="3974"/>
      <c r="AF102" s="3974"/>
      <c r="AG102" s="3974"/>
      <c r="AH102" s="3395"/>
      <c r="AI102" s="4002"/>
      <c r="AJ102" s="4002"/>
      <c r="AK102" s="4002"/>
      <c r="AL102" s="4002"/>
      <c r="AM102" s="4002"/>
      <c r="AN102" s="4002"/>
      <c r="AO102" s="4002"/>
      <c r="AP102" s="4002"/>
      <c r="AQ102" s="3951"/>
      <c r="AR102" s="3951"/>
      <c r="AS102" s="3951"/>
      <c r="AT102" s="3951"/>
      <c r="AU102" s="3951"/>
      <c r="AV102" s="3395"/>
      <c r="AW102" s="3951"/>
      <c r="AX102" s="3951"/>
      <c r="AY102" s="3951"/>
      <c r="AZ102" s="3951"/>
      <c r="BA102" s="3951"/>
      <c r="BB102" s="3951"/>
      <c r="BC102" s="3951"/>
      <c r="BD102" s="3951"/>
      <c r="BE102" s="3952"/>
      <c r="BF102" s="3952"/>
      <c r="BG102" s="3952"/>
      <c r="BH102" s="3952"/>
      <c r="BI102" s="3952"/>
      <c r="BJ102" s="3952"/>
      <c r="BK102" s="3952"/>
      <c r="BL102" s="3952"/>
      <c r="BM102" s="3952"/>
      <c r="BN102" s="3952"/>
      <c r="BO102" s="3952"/>
      <c r="BP102" s="3952"/>
      <c r="BQ102" s="3952"/>
      <c r="BR102" s="3952"/>
      <c r="BS102" s="3952"/>
      <c r="BT102" s="3952"/>
      <c r="BU102" s="3952"/>
      <c r="BV102" s="3952"/>
      <c r="BW102" s="3952"/>
      <c r="BX102" s="3952"/>
      <c r="BY102" s="3952"/>
      <c r="BZ102" s="3952"/>
      <c r="CA102" s="3396"/>
      <c r="CB102" s="3396"/>
      <c r="CC102" s="3396"/>
      <c r="CD102" s="3396"/>
      <c r="CE102" s="3396"/>
      <c r="CF102" s="3396"/>
      <c r="CG102" s="3396"/>
      <c r="CH102" s="3396"/>
      <c r="CI102" s="3396"/>
      <c r="CJ102" s="3396"/>
      <c r="CK102" s="3396"/>
      <c r="CL102" s="3396"/>
      <c r="CM102" s="3396"/>
      <c r="CN102" s="3396"/>
      <c r="CO102" s="3396"/>
      <c r="CP102" s="3396"/>
      <c r="CQ102" s="3396"/>
      <c r="CR102" s="3396"/>
      <c r="CS102" s="3396"/>
      <c r="CT102" s="3396"/>
      <c r="CU102" s="3396"/>
      <c r="CV102" s="3396"/>
      <c r="CW102" s="3396"/>
      <c r="CX102" s="3396"/>
      <c r="CY102" s="75"/>
    </row>
    <row r="103" ht="32.25" customHeight="1" spans="1:113">
      <c r="A103" s="3965" t="s">
        <v>5925</v>
      </c>
      <c r="B103" s="3965"/>
      <c r="C103" s="3994" t="s">
        <v>5926</v>
      </c>
      <c r="D103" s="3994"/>
      <c r="E103" s="3994"/>
      <c r="F103" s="3994"/>
      <c r="G103" s="3994"/>
      <c r="H103" s="3994"/>
      <c r="I103" s="3994"/>
      <c r="J103" s="3994"/>
      <c r="K103" s="3994"/>
      <c r="L103" s="3994"/>
      <c r="M103" s="3994"/>
      <c r="N103" s="3994"/>
      <c r="O103" s="3994"/>
      <c r="P103" s="3994"/>
      <c r="Q103" s="3994"/>
      <c r="R103" s="3994"/>
      <c r="S103" s="3994"/>
      <c r="T103" s="3994"/>
      <c r="U103" s="3994"/>
      <c r="V103" s="3994"/>
      <c r="W103" s="3994"/>
      <c r="X103" s="3967" t="s">
        <v>481</v>
      </c>
      <c r="Y103" s="3968">
        <f>PorBilans!AE110</f>
        <v>43684</v>
      </c>
      <c r="Z103" s="3968"/>
      <c r="AA103" s="3968"/>
      <c r="AB103" s="3968"/>
      <c r="AC103" s="3968"/>
      <c r="AD103" s="3968"/>
      <c r="AE103" s="3968"/>
      <c r="AF103" s="3968"/>
      <c r="AG103" s="3968"/>
      <c r="AH103" s="3395"/>
      <c r="AI103" s="4002"/>
      <c r="AJ103" s="4002"/>
      <c r="AK103" s="4002"/>
      <c r="AL103" s="4002"/>
      <c r="AM103" s="4002"/>
      <c r="AN103" s="4002"/>
      <c r="AO103" s="4002"/>
      <c r="AP103" s="4002"/>
      <c r="AQ103" s="3951"/>
      <c r="AR103" s="3951"/>
      <c r="AS103" s="3951"/>
      <c r="AT103" s="3951"/>
      <c r="AU103" s="3951"/>
      <c r="AV103" s="3395"/>
      <c r="AW103" s="3951"/>
      <c r="AX103" s="3951"/>
      <c r="AY103" s="3951"/>
      <c r="AZ103" s="3951"/>
      <c r="BA103" s="3951"/>
      <c r="BB103" s="3951"/>
      <c r="BC103" s="3951"/>
      <c r="BD103" s="3951"/>
      <c r="BE103" s="3952"/>
      <c r="BF103" s="3952"/>
      <c r="BG103" s="3952"/>
      <c r="BH103" s="3952"/>
      <c r="BI103" s="3952"/>
      <c r="BJ103" s="3952"/>
      <c r="BK103" s="3952"/>
      <c r="BL103" s="3952"/>
      <c r="BM103" s="3952"/>
      <c r="BN103" s="3952"/>
      <c r="BO103" s="3952"/>
      <c r="BP103" s="3952"/>
      <c r="BQ103" s="3952"/>
      <c r="BR103" s="3952"/>
      <c r="BS103" s="3952"/>
      <c r="BT103" s="3952"/>
      <c r="BU103" s="3952"/>
      <c r="BV103" s="3952"/>
      <c r="BW103" s="3952"/>
      <c r="BX103" s="3952"/>
      <c r="BY103" s="3952"/>
      <c r="BZ103" s="3952"/>
      <c r="CA103" s="3396"/>
      <c r="CB103" s="3396"/>
      <c r="CC103" s="3396"/>
      <c r="CD103" s="3396"/>
      <c r="CE103" s="3396"/>
      <c r="CF103" s="3396"/>
      <c r="CG103" s="3396"/>
      <c r="CH103" s="3396"/>
      <c r="CI103" s="3396"/>
      <c r="CJ103" s="3396"/>
      <c r="CK103" s="3396"/>
      <c r="CL103" s="3396"/>
      <c r="CM103" s="3396"/>
      <c r="CN103" s="3396"/>
      <c r="CO103" s="3396"/>
      <c r="CP103" s="3396"/>
      <c r="CQ103" s="3396"/>
      <c r="CR103" s="3396"/>
      <c r="CS103" s="3396"/>
      <c r="CT103" s="3396"/>
      <c r="CU103" s="3396"/>
      <c r="CV103" s="3396"/>
      <c r="CW103" s="3396"/>
      <c r="CX103" s="3396"/>
      <c r="CY103" s="75"/>
    </row>
    <row r="104" ht="18.75" customHeight="1" spans="1:113">
      <c r="A104" s="3977" t="s">
        <v>5927</v>
      </c>
      <c r="B104" s="3977"/>
      <c r="C104" s="3978" t="s">
        <v>5928</v>
      </c>
      <c r="D104" s="3979"/>
      <c r="E104" s="3979"/>
      <c r="F104" s="3979"/>
      <c r="G104" s="3979"/>
      <c r="H104" s="3979"/>
      <c r="I104" s="3979"/>
      <c r="J104" s="3979"/>
      <c r="K104" s="3979"/>
      <c r="L104" s="3979"/>
      <c r="M104" s="3979"/>
      <c r="N104" s="3979"/>
      <c r="O104" s="3979"/>
      <c r="P104" s="3979"/>
      <c r="Q104" s="3979"/>
      <c r="R104" s="3979"/>
      <c r="S104" s="3979"/>
      <c r="T104" s="3979"/>
      <c r="U104" s="3979"/>
      <c r="V104" s="3979"/>
      <c r="W104" s="3979"/>
      <c r="X104" s="3979"/>
      <c r="Y104" s="3981"/>
      <c r="Z104" s="3981"/>
      <c r="AA104" s="3981"/>
      <c r="AB104" s="3981"/>
      <c r="AC104" s="3981"/>
      <c r="AD104" s="3981"/>
      <c r="AE104" s="3981"/>
      <c r="AF104" s="3981"/>
      <c r="AG104" s="3982"/>
      <c r="AH104" s="3395"/>
      <c r="AI104" s="4055"/>
      <c r="AJ104" s="4055"/>
      <c r="AK104" s="4055"/>
      <c r="AL104" s="4055"/>
      <c r="AM104" s="4055"/>
      <c r="AN104" s="4055"/>
      <c r="AO104" s="4055"/>
      <c r="AP104" s="4055"/>
      <c r="AQ104" s="3951"/>
      <c r="AR104" s="3951"/>
      <c r="AS104" s="3951"/>
      <c r="AT104" s="3951"/>
      <c r="AU104" s="3951"/>
      <c r="AV104" s="3395"/>
      <c r="AW104" s="3951"/>
      <c r="AX104" s="3951"/>
      <c r="AY104" s="3951"/>
      <c r="AZ104" s="3951"/>
      <c r="BA104" s="3951"/>
      <c r="BB104" s="3951"/>
      <c r="BC104" s="3951"/>
      <c r="BD104" s="3951"/>
      <c r="BE104" s="3952"/>
      <c r="BF104" s="3952"/>
      <c r="BG104" s="3952"/>
      <c r="BH104" s="3952"/>
      <c r="BI104" s="3952"/>
      <c r="BJ104" s="3952"/>
      <c r="BK104" s="3952"/>
      <c r="BL104" s="3952"/>
      <c r="BM104" s="3952"/>
      <c r="BN104" s="3952"/>
      <c r="BO104" s="3952"/>
      <c r="BP104" s="3952"/>
      <c r="BQ104" s="3952"/>
      <c r="BR104" s="3952"/>
      <c r="BS104" s="3952"/>
      <c r="BT104" s="3952"/>
      <c r="BU104" s="3952"/>
      <c r="BV104" s="3952"/>
      <c r="BW104" s="3952"/>
      <c r="BX104" s="3952"/>
      <c r="BY104" s="3952"/>
      <c r="BZ104" s="3952"/>
      <c r="CA104" s="3396"/>
      <c r="CB104" s="3396"/>
      <c r="CC104" s="3396"/>
      <c r="CD104" s="3396"/>
      <c r="CE104" s="3396"/>
      <c r="CF104" s="3396"/>
      <c r="CG104" s="3396"/>
      <c r="CH104" s="3396"/>
      <c r="CI104" s="3396"/>
      <c r="CJ104" s="3396"/>
      <c r="CK104" s="3396"/>
      <c r="CL104" s="3396"/>
      <c r="CM104" s="3396"/>
      <c r="CN104" s="3396"/>
      <c r="CO104" s="3396"/>
      <c r="CP104" s="3396"/>
      <c r="CQ104" s="3396"/>
      <c r="CR104" s="3396"/>
      <c r="CS104" s="3396"/>
      <c r="CT104" s="3396"/>
      <c r="CU104" s="3396"/>
      <c r="CV104" s="3396"/>
      <c r="CW104" s="3396"/>
      <c r="CX104" s="3396"/>
      <c r="CY104" s="75"/>
    </row>
    <row r="105" ht="18.75" customHeight="1" spans="1:113">
      <c r="A105" s="3965" t="s">
        <v>5929</v>
      </c>
      <c r="B105" s="3965"/>
      <c r="C105" s="3966" t="s">
        <v>5930</v>
      </c>
      <c r="D105" s="3966"/>
      <c r="E105" s="3966"/>
      <c r="F105" s="3966"/>
      <c r="G105" s="3966"/>
      <c r="H105" s="3966"/>
      <c r="I105" s="3966"/>
      <c r="J105" s="3966"/>
      <c r="K105" s="3966"/>
      <c r="L105" s="3966"/>
      <c r="M105" s="3966"/>
      <c r="N105" s="3966"/>
      <c r="O105" s="3966"/>
      <c r="P105" s="3966"/>
      <c r="Q105" s="3966"/>
      <c r="R105" s="3966"/>
      <c r="S105" s="3966"/>
      <c r="T105" s="3966"/>
      <c r="U105" s="3966"/>
      <c r="V105" s="3966"/>
      <c r="W105" s="3966"/>
      <c r="X105" s="3967" t="s">
        <v>481</v>
      </c>
      <c r="Y105" s="3968">
        <f>PorGub!AW15+PorGub!AW18+PorGub!AW21+PorGub!AW24+PorGub!AW27</f>
        <v>0</v>
      </c>
      <c r="Z105" s="3968"/>
      <c r="AA105" s="3968"/>
      <c r="AB105" s="3968"/>
      <c r="AC105" s="3968"/>
      <c r="AD105" s="3968"/>
      <c r="AE105" s="3968"/>
      <c r="AF105" s="3968"/>
      <c r="AG105" s="3968"/>
      <c r="AH105" s="3395"/>
      <c r="AI105" s="4052" t="s">
        <v>5786</v>
      </c>
      <c r="AJ105" s="4002"/>
      <c r="AK105" s="4002"/>
      <c r="AL105" s="4002"/>
      <c r="AM105" s="4002"/>
      <c r="AN105" s="4002"/>
      <c r="AO105" s="4002"/>
      <c r="AP105" s="4002"/>
      <c r="AQ105" s="3951"/>
      <c r="AR105" s="3951"/>
      <c r="AS105" s="3951"/>
      <c r="AT105" s="3951"/>
      <c r="AU105" s="3951"/>
      <c r="AV105" s="3395"/>
      <c r="AW105" s="3951"/>
      <c r="AX105" s="3951"/>
      <c r="AY105" s="3951"/>
      <c r="AZ105" s="3951"/>
      <c r="BA105" s="3951"/>
      <c r="BB105" s="3951"/>
      <c r="BC105" s="3951"/>
      <c r="BD105" s="3951"/>
      <c r="BE105" s="3952"/>
      <c r="BF105" s="3952"/>
      <c r="BG105" s="3952"/>
      <c r="BH105" s="3952"/>
      <c r="BI105" s="3952"/>
      <c r="BJ105" s="3952"/>
      <c r="BK105" s="3952"/>
      <c r="BL105" s="3952"/>
      <c r="BM105" s="3952"/>
      <c r="BN105" s="3952"/>
      <c r="BO105" s="3952"/>
      <c r="BP105" s="3952"/>
      <c r="BQ105" s="3952"/>
      <c r="BR105" s="3952"/>
      <c r="BS105" s="3952"/>
      <c r="BT105" s="3952"/>
      <c r="BU105" s="3952"/>
      <c r="BV105" s="3952"/>
      <c r="BW105" s="3952"/>
      <c r="BX105" s="3952"/>
      <c r="BY105" s="3952"/>
      <c r="BZ105" s="3952"/>
      <c r="CA105" s="3396"/>
      <c r="CB105" s="3396"/>
      <c r="CC105" s="3396"/>
      <c r="CD105" s="3396"/>
      <c r="CE105" s="3396"/>
      <c r="CF105" s="3396"/>
      <c r="CG105" s="3396"/>
      <c r="CH105" s="3396"/>
      <c r="CI105" s="3396"/>
      <c r="CJ105" s="3396"/>
      <c r="CK105" s="3396"/>
      <c r="CL105" s="3396"/>
      <c r="CM105" s="3396"/>
      <c r="CN105" s="3396"/>
      <c r="CO105" s="3396"/>
      <c r="CP105" s="3396"/>
      <c r="CQ105" s="3396"/>
      <c r="CR105" s="3396"/>
      <c r="CS105" s="3396"/>
      <c r="CT105" s="3396"/>
      <c r="CU105" s="3396"/>
      <c r="CV105" s="3396"/>
      <c r="CW105" s="3396"/>
      <c r="CX105" s="3396"/>
      <c r="CY105" s="75"/>
      <c r="DB105" s="75"/>
      <c r="DC105" s="75"/>
      <c r="DD105" s="75"/>
      <c r="DE105" s="75"/>
      <c r="DF105" s="75"/>
      <c r="DG105" s="75"/>
      <c r="DH105" s="75"/>
      <c r="DI105" s="75"/>
    </row>
    <row r="106" ht="18.75" customHeight="1" spans="1:113">
      <c r="A106" s="4056" t="s">
        <v>5931</v>
      </c>
      <c r="B106" s="4056"/>
      <c r="C106" s="4057" t="s">
        <v>5932</v>
      </c>
      <c r="D106" s="4057"/>
      <c r="E106" s="4057"/>
      <c r="F106" s="4057"/>
      <c r="G106" s="4057"/>
      <c r="H106" s="4057"/>
      <c r="I106" s="3965" t="s">
        <v>5933</v>
      </c>
      <c r="J106" s="3989" t="s">
        <v>5934</v>
      </c>
      <c r="K106" s="3989"/>
      <c r="L106" s="3989"/>
      <c r="M106" s="3989"/>
      <c r="N106" s="3989"/>
      <c r="O106" s="3989"/>
      <c r="P106" s="3989"/>
      <c r="Q106" s="3989"/>
      <c r="R106" s="3989"/>
      <c r="S106" s="3989"/>
      <c r="T106" s="3989"/>
      <c r="U106" s="3989"/>
      <c r="V106" s="3989"/>
      <c r="W106" s="3989"/>
      <c r="X106" s="3967" t="s">
        <v>481</v>
      </c>
      <c r="Y106" s="3988"/>
      <c r="Z106" s="3988"/>
      <c r="AA106" s="3988"/>
      <c r="AB106" s="3988"/>
      <c r="AC106" s="3988"/>
      <c r="AD106" s="3988"/>
      <c r="AE106" s="3988"/>
      <c r="AF106" s="3988"/>
      <c r="AG106" s="3988"/>
      <c r="AH106" s="3395"/>
      <c r="AI106" s="4052" t="s">
        <v>5935</v>
      </c>
      <c r="AJ106" s="4002"/>
      <c r="AK106" s="4002"/>
      <c r="AL106" s="4002"/>
      <c r="AM106" s="4002"/>
      <c r="AN106" s="4002"/>
      <c r="AO106" s="4002"/>
      <c r="AP106" s="4002"/>
      <c r="AQ106" s="3951"/>
      <c r="AR106" s="3951"/>
      <c r="AS106" s="3951"/>
      <c r="AT106" s="3951"/>
      <c r="AU106" s="3951"/>
      <c r="AV106" s="3395"/>
      <c r="AW106" s="3951"/>
      <c r="AX106" s="3951"/>
      <c r="AY106" s="3951"/>
      <c r="AZ106" s="3951"/>
      <c r="BA106" s="3951"/>
      <c r="BB106" s="3951"/>
      <c r="BC106" s="3951"/>
      <c r="BD106" s="3951"/>
      <c r="BE106" s="3952"/>
      <c r="BF106" s="3952"/>
      <c r="BG106" s="3952"/>
      <c r="BH106" s="3952"/>
      <c r="BI106" s="3952"/>
      <c r="BJ106" s="3952"/>
      <c r="BK106" s="3952"/>
      <c r="BL106" s="3952"/>
      <c r="BM106" s="3952"/>
      <c r="BN106" s="3952"/>
      <c r="BO106" s="3952"/>
      <c r="BP106" s="3952"/>
      <c r="BQ106" s="3952"/>
      <c r="BR106" s="3952"/>
      <c r="BS106" s="3952"/>
      <c r="BT106" s="3952"/>
      <c r="BU106" s="3952"/>
      <c r="BV106" s="3952"/>
      <c r="BW106" s="3952"/>
      <c r="BX106" s="3952"/>
      <c r="BY106" s="3952"/>
      <c r="BZ106" s="3952"/>
      <c r="CA106" s="3396"/>
      <c r="CB106" s="3396"/>
      <c r="CC106" s="3396"/>
      <c r="CD106" s="3396"/>
      <c r="CE106" s="3396"/>
      <c r="CF106" s="3396"/>
      <c r="CG106" s="3396"/>
      <c r="CH106" s="3396"/>
      <c r="CI106" s="3396"/>
      <c r="CJ106" s="3396"/>
      <c r="CK106" s="3396"/>
      <c r="CL106" s="3396"/>
      <c r="CM106" s="3396"/>
      <c r="CN106" s="3396"/>
      <c r="CO106" s="3396"/>
      <c r="CP106" s="3396"/>
      <c r="CQ106" s="3396"/>
      <c r="CR106" s="3396"/>
      <c r="CS106" s="3396"/>
      <c r="CT106" s="3396"/>
      <c r="CU106" s="3396"/>
      <c r="CV106" s="3396"/>
      <c r="CW106" s="3396"/>
      <c r="CX106" s="3396"/>
      <c r="CY106" s="75"/>
      <c r="DA106" s="75"/>
      <c r="DB106" s="75"/>
      <c r="DC106" s="75"/>
      <c r="DD106" s="75"/>
      <c r="DE106" s="75"/>
      <c r="DF106" s="75"/>
      <c r="DG106" s="75"/>
      <c r="DH106" s="75"/>
      <c r="DI106" s="75"/>
    </row>
    <row r="107" ht="18.75" customHeight="1" spans="1:113">
      <c r="A107" s="4056"/>
      <c r="B107" s="4056"/>
      <c r="C107" s="4057"/>
      <c r="D107" s="4057"/>
      <c r="E107" s="4057"/>
      <c r="F107" s="4057"/>
      <c r="G107" s="4057"/>
      <c r="H107" s="4057"/>
      <c r="I107" s="3965" t="s">
        <v>5936</v>
      </c>
      <c r="J107" s="3989" t="s">
        <v>5937</v>
      </c>
      <c r="K107" s="3989"/>
      <c r="L107" s="3989"/>
      <c r="M107" s="3989"/>
      <c r="N107" s="3989"/>
      <c r="O107" s="3989"/>
      <c r="P107" s="3989"/>
      <c r="Q107" s="3989"/>
      <c r="R107" s="3989"/>
      <c r="S107" s="3989"/>
      <c r="T107" s="3989"/>
      <c r="U107" s="3989"/>
      <c r="V107" s="3989"/>
      <c r="W107" s="3989"/>
      <c r="X107" s="3967" t="s">
        <v>481</v>
      </c>
      <c r="Y107" s="3988"/>
      <c r="Z107" s="3988"/>
      <c r="AA107" s="3988"/>
      <c r="AB107" s="3988"/>
      <c r="AC107" s="3988"/>
      <c r="AD107" s="3988"/>
      <c r="AE107" s="3988"/>
      <c r="AF107" s="3988"/>
      <c r="AG107" s="3988"/>
      <c r="AH107" s="3395"/>
      <c r="AI107" s="4052" t="s">
        <v>5938</v>
      </c>
      <c r="AJ107" s="4002"/>
      <c r="AK107" s="4002"/>
      <c r="AL107" s="4002"/>
      <c r="AM107" s="4002"/>
      <c r="AN107" s="4002"/>
      <c r="AO107" s="4002"/>
      <c r="AP107" s="4002"/>
      <c r="AQ107" s="3951"/>
      <c r="AR107" s="3951"/>
      <c r="AS107" s="3951"/>
      <c r="AT107" s="3951"/>
      <c r="AU107" s="3951"/>
      <c r="AV107" s="3395"/>
      <c r="AW107" s="3951"/>
      <c r="AX107" s="3951"/>
      <c r="AY107" s="3951"/>
      <c r="AZ107" s="3951"/>
      <c r="BA107" s="3951"/>
      <c r="BB107" s="3951"/>
      <c r="BC107" s="3951"/>
      <c r="BD107" s="3951"/>
      <c r="BE107" s="3952"/>
      <c r="BF107" s="3952"/>
      <c r="BG107" s="3952"/>
      <c r="BH107" s="3952"/>
      <c r="BI107" s="3952"/>
      <c r="BJ107" s="3952"/>
      <c r="BK107" s="3952"/>
      <c r="BL107" s="3952"/>
      <c r="BM107" s="3952"/>
      <c r="BN107" s="3952"/>
      <c r="BO107" s="3952"/>
      <c r="BP107" s="3952"/>
      <c r="BQ107" s="3952"/>
      <c r="BR107" s="3952"/>
      <c r="BS107" s="3952"/>
      <c r="BT107" s="3952"/>
      <c r="BU107" s="3952"/>
      <c r="BV107" s="3952"/>
      <c r="BW107" s="3952"/>
      <c r="BX107" s="3952"/>
      <c r="BY107" s="3952"/>
      <c r="BZ107" s="3952"/>
      <c r="CA107" s="3396"/>
      <c r="CB107" s="3396"/>
      <c r="CC107" s="3396"/>
      <c r="CD107" s="3396"/>
      <c r="CE107" s="3396"/>
      <c r="CF107" s="3396"/>
      <c r="CG107" s="3396"/>
      <c r="CH107" s="3396"/>
      <c r="CI107" s="3396"/>
      <c r="CJ107" s="3396"/>
      <c r="CK107" s="3396"/>
      <c r="CL107" s="3396"/>
      <c r="CM107" s="3396"/>
      <c r="CN107" s="3396"/>
      <c r="CO107" s="3396"/>
      <c r="CP107" s="3396"/>
      <c r="CQ107" s="3396"/>
      <c r="CR107" s="3396"/>
      <c r="CS107" s="3396"/>
      <c r="CT107" s="3396"/>
      <c r="CU107" s="3396"/>
      <c r="CV107" s="3396"/>
      <c r="CW107" s="3396"/>
      <c r="CX107" s="3396"/>
      <c r="CY107" s="75"/>
      <c r="DA107" s="75"/>
      <c r="DB107" s="75"/>
      <c r="DC107" s="75"/>
      <c r="DD107" s="75"/>
      <c r="DE107" s="75"/>
      <c r="DF107" s="75"/>
      <c r="DG107" s="75"/>
      <c r="DH107" s="75"/>
      <c r="DI107" s="75"/>
    </row>
    <row r="108" ht="18.75" customHeight="1" spans="1:113">
      <c r="A108" s="4056"/>
      <c r="B108" s="4056"/>
      <c r="C108" s="4057"/>
      <c r="D108" s="4057"/>
      <c r="E108" s="4057"/>
      <c r="F108" s="4057"/>
      <c r="G108" s="4057"/>
      <c r="H108" s="4057"/>
      <c r="I108" s="3965" t="s">
        <v>5939</v>
      </c>
      <c r="J108" s="3989" t="s">
        <v>5940</v>
      </c>
      <c r="K108" s="3989"/>
      <c r="L108" s="3989"/>
      <c r="M108" s="3989"/>
      <c r="N108" s="3989"/>
      <c r="O108" s="3989"/>
      <c r="P108" s="3989"/>
      <c r="Q108" s="3989"/>
      <c r="R108" s="3989"/>
      <c r="S108" s="3989"/>
      <c r="T108" s="3989"/>
      <c r="U108" s="3989"/>
      <c r="V108" s="3989"/>
      <c r="W108" s="3989"/>
      <c r="X108" s="3967" t="s">
        <v>481</v>
      </c>
      <c r="Y108" s="3968">
        <f>ROUND(NovoZap!AS422,0)</f>
        <v>29457</v>
      </c>
      <c r="Z108" s="3968"/>
      <c r="AA108" s="3968"/>
      <c r="AB108" s="3968"/>
      <c r="AC108" s="3968"/>
      <c r="AD108" s="3968"/>
      <c r="AE108" s="3968"/>
      <c r="AF108" s="3968"/>
      <c r="AG108" s="3968"/>
      <c r="AH108" s="3395"/>
      <c r="AI108" s="4052" t="s">
        <v>5941</v>
      </c>
      <c r="AJ108" s="4002"/>
      <c r="AK108" s="4002"/>
      <c r="AL108" s="4002"/>
      <c r="AM108" s="4002"/>
      <c r="AN108" s="4002"/>
      <c r="AO108" s="4002"/>
      <c r="AP108" s="4002"/>
      <c r="AQ108" s="3951"/>
      <c r="AR108" s="3951"/>
      <c r="AS108" s="3951"/>
      <c r="AT108" s="3951"/>
      <c r="AU108" s="3951"/>
      <c r="AV108" s="3395"/>
      <c r="AW108" s="3951"/>
      <c r="AX108" s="3951"/>
      <c r="AY108" s="3951"/>
      <c r="AZ108" s="3951"/>
      <c r="BA108" s="3951"/>
      <c r="BB108" s="3951"/>
      <c r="BC108" s="3951"/>
      <c r="BD108" s="3951"/>
      <c r="BE108" s="3952"/>
      <c r="BF108" s="3952"/>
      <c r="BG108" s="3952"/>
      <c r="BH108" s="3952"/>
      <c r="BI108" s="3952"/>
      <c r="BJ108" s="3952"/>
      <c r="BK108" s="3952"/>
      <c r="BL108" s="3952"/>
      <c r="BM108" s="3952"/>
      <c r="BN108" s="3952"/>
      <c r="BO108" s="3952"/>
      <c r="BP108" s="3952"/>
      <c r="BQ108" s="3952"/>
      <c r="BR108" s="3952"/>
      <c r="BS108" s="3952"/>
      <c r="BT108" s="3952"/>
      <c r="BU108" s="3952"/>
      <c r="BV108" s="3952"/>
      <c r="BW108" s="3952"/>
      <c r="BX108" s="3952"/>
      <c r="BY108" s="3952"/>
      <c r="BZ108" s="3952"/>
      <c r="CA108" s="3396"/>
      <c r="CB108" s="3396"/>
      <c r="CC108" s="3396"/>
      <c r="CD108" s="3396"/>
      <c r="CE108" s="3396"/>
      <c r="CF108" s="3396"/>
      <c r="CG108" s="3396"/>
      <c r="CH108" s="3396"/>
      <c r="CI108" s="3396"/>
      <c r="CJ108" s="3396"/>
      <c r="CK108" s="3396"/>
      <c r="CL108" s="3396"/>
      <c r="CM108" s="3396"/>
      <c r="CN108" s="3396"/>
      <c r="CO108" s="3396"/>
      <c r="CP108" s="3396"/>
      <c r="CQ108" s="3396"/>
      <c r="CR108" s="3396"/>
      <c r="CS108" s="3396"/>
      <c r="CT108" s="3396"/>
      <c r="CU108" s="3396"/>
      <c r="CV108" s="3396"/>
      <c r="CW108" s="3396"/>
      <c r="CX108" s="3396"/>
      <c r="CY108" s="75"/>
      <c r="DA108" s="75"/>
      <c r="DB108" s="75"/>
      <c r="DC108" s="75"/>
      <c r="DD108" s="75"/>
      <c r="DE108" s="75"/>
      <c r="DF108" s="75"/>
      <c r="DG108" s="75"/>
      <c r="DH108" s="75"/>
      <c r="DI108" s="75"/>
    </row>
    <row r="109" ht="18.75" customHeight="1" spans="1:113">
      <c r="A109" s="4056"/>
      <c r="B109" s="4056"/>
      <c r="C109" s="4057"/>
      <c r="D109" s="4057"/>
      <c r="E109" s="4057"/>
      <c r="F109" s="4057"/>
      <c r="G109" s="4057"/>
      <c r="H109" s="4057"/>
      <c r="I109" s="3965" t="s">
        <v>3716</v>
      </c>
      <c r="J109" s="3989" t="s">
        <v>5942</v>
      </c>
      <c r="K109" s="3989"/>
      <c r="L109" s="3989"/>
      <c r="M109" s="3989"/>
      <c r="N109" s="3989"/>
      <c r="O109" s="3989"/>
      <c r="P109" s="3989"/>
      <c r="Q109" s="3989"/>
      <c r="R109" s="3989"/>
      <c r="S109" s="3989"/>
      <c r="T109" s="3989"/>
      <c r="U109" s="3989"/>
      <c r="V109" s="3989"/>
      <c r="W109" s="3989"/>
      <c r="X109" s="3967" t="s">
        <v>481</v>
      </c>
      <c r="Y109" s="3988"/>
      <c r="Z109" s="3988"/>
      <c r="AA109" s="3988"/>
      <c r="AB109" s="3988"/>
      <c r="AC109" s="3988"/>
      <c r="AD109" s="3988"/>
      <c r="AE109" s="3988"/>
      <c r="AF109" s="3988"/>
      <c r="AG109" s="3988"/>
      <c r="AH109" s="3395"/>
      <c r="AI109" s="4002"/>
      <c r="AJ109" s="4002"/>
      <c r="AK109" s="4002"/>
      <c r="AL109" s="4002"/>
      <c r="AM109" s="4002"/>
      <c r="AN109" s="4002"/>
      <c r="AO109" s="4002"/>
      <c r="AP109" s="4002"/>
      <c r="AQ109" s="3951"/>
      <c r="AR109" s="3951"/>
      <c r="AS109" s="3951"/>
      <c r="AT109" s="3951"/>
      <c r="AU109" s="3951"/>
      <c r="AV109" s="3395"/>
      <c r="AW109" s="3951"/>
      <c r="AX109" s="3951"/>
      <c r="AY109" s="3951"/>
      <c r="AZ109" s="3951"/>
      <c r="BA109" s="3951"/>
      <c r="BB109" s="3951"/>
      <c r="BC109" s="3951"/>
      <c r="BD109" s="3951"/>
      <c r="BE109" s="3952"/>
      <c r="BF109" s="3952"/>
      <c r="BG109" s="3952"/>
      <c r="BH109" s="3952"/>
      <c r="BI109" s="3952"/>
      <c r="BJ109" s="3952"/>
      <c r="BK109" s="3952"/>
      <c r="BL109" s="3952"/>
      <c r="BM109" s="3952"/>
      <c r="BN109" s="3952"/>
      <c r="BO109" s="3952"/>
      <c r="BP109" s="3952"/>
      <c r="BQ109" s="3952"/>
      <c r="BR109" s="3952"/>
      <c r="BS109" s="3952"/>
      <c r="BT109" s="3952"/>
      <c r="BU109" s="3952"/>
      <c r="BV109" s="3952"/>
      <c r="BW109" s="3952"/>
      <c r="BX109" s="3952"/>
      <c r="BY109" s="3952"/>
      <c r="BZ109" s="3952"/>
      <c r="CA109" s="3396"/>
      <c r="CB109" s="3396"/>
      <c r="CC109" s="3396"/>
      <c r="CD109" s="3396"/>
      <c r="CE109" s="3396"/>
      <c r="CF109" s="3396"/>
      <c r="CG109" s="3396"/>
      <c r="CH109" s="3396"/>
      <c r="CI109" s="3396"/>
      <c r="CJ109" s="3396"/>
      <c r="CK109" s="3396"/>
      <c r="CL109" s="3396"/>
      <c r="CM109" s="3396"/>
      <c r="CN109" s="3396"/>
      <c r="CO109" s="3396"/>
      <c r="CP109" s="3396"/>
      <c r="CQ109" s="3396"/>
      <c r="CR109" s="3396"/>
      <c r="CS109" s="3396"/>
      <c r="CT109" s="3396"/>
      <c r="CU109" s="3396"/>
      <c r="CV109" s="3396"/>
      <c r="CW109" s="3396"/>
      <c r="CX109" s="3396"/>
      <c r="CY109" s="75"/>
      <c r="DA109" s="75"/>
      <c r="DB109" s="75"/>
      <c r="DC109" s="75"/>
      <c r="DD109" s="75"/>
      <c r="DE109" s="75"/>
      <c r="DF109" s="75"/>
      <c r="DG109" s="75"/>
      <c r="DH109" s="75"/>
      <c r="DI109" s="75"/>
    </row>
    <row r="110" ht="18.75" customHeight="1" spans="1:113">
      <c r="A110" s="3977" t="s">
        <v>5943</v>
      </c>
      <c r="B110" s="3977"/>
      <c r="C110" s="3978" t="s">
        <v>5944</v>
      </c>
      <c r="D110" s="3979"/>
      <c r="E110" s="3979"/>
      <c r="F110" s="3979"/>
      <c r="G110" s="3979"/>
      <c r="H110" s="3979"/>
      <c r="I110" s="3979"/>
      <c r="J110" s="3979"/>
      <c r="K110" s="3979"/>
      <c r="L110" s="3979"/>
      <c r="M110" s="3979"/>
      <c r="N110" s="3979"/>
      <c r="O110" s="3979"/>
      <c r="P110" s="3979"/>
      <c r="Q110" s="3979"/>
      <c r="R110" s="3979"/>
      <c r="S110" s="3979"/>
      <c r="T110" s="3979"/>
      <c r="U110" s="3979"/>
      <c r="V110" s="3979"/>
      <c r="W110" s="3979"/>
      <c r="X110" s="3979"/>
      <c r="Y110" s="3981"/>
      <c r="Z110" s="3981"/>
      <c r="AA110" s="3981"/>
      <c r="AB110" s="3981"/>
      <c r="AC110" s="3981"/>
      <c r="AD110" s="3981"/>
      <c r="AE110" s="3981"/>
      <c r="AF110" s="3981"/>
      <c r="AG110" s="3982"/>
      <c r="AH110" s="3395"/>
      <c r="AI110" s="4055"/>
      <c r="AJ110" s="4055"/>
      <c r="AK110" s="4055"/>
      <c r="AL110" s="4055"/>
      <c r="AM110" s="4055"/>
      <c r="AN110" s="4055"/>
      <c r="AO110" s="4055"/>
      <c r="AP110" s="4055"/>
      <c r="AQ110" s="3951"/>
      <c r="AR110" s="3951"/>
      <c r="AS110" s="3951"/>
      <c r="AT110" s="3951"/>
      <c r="AU110" s="3951"/>
      <c r="AV110" s="3395"/>
      <c r="AW110" s="3951"/>
      <c r="AX110" s="3951"/>
      <c r="AY110" s="3951"/>
      <c r="AZ110" s="3951"/>
      <c r="BA110" s="3951"/>
      <c r="BB110" s="3951"/>
      <c r="BC110" s="3951"/>
      <c r="BD110" s="3951"/>
      <c r="BE110" s="3952"/>
      <c r="BF110" s="3952"/>
      <c r="BG110" s="3952"/>
      <c r="BH110" s="3952"/>
      <c r="BI110" s="3952"/>
      <c r="BJ110" s="3952"/>
      <c r="BK110" s="3952"/>
      <c r="BL110" s="3952"/>
      <c r="BM110" s="3952"/>
      <c r="BN110" s="3952"/>
      <c r="BO110" s="3952"/>
      <c r="BP110" s="3952"/>
      <c r="BQ110" s="3952"/>
      <c r="BR110" s="3952"/>
      <c r="BS110" s="3952"/>
      <c r="BT110" s="3952"/>
      <c r="BU110" s="3952"/>
      <c r="BV110" s="3952"/>
      <c r="BW110" s="3952"/>
      <c r="BX110" s="3952"/>
      <c r="BY110" s="3952"/>
      <c r="BZ110" s="3952"/>
      <c r="CA110" s="3396"/>
      <c r="CB110" s="3396"/>
      <c r="CC110" s="3396"/>
      <c r="CD110" s="3396"/>
      <c r="CE110" s="3396"/>
      <c r="CF110" s="3396"/>
      <c r="CG110" s="3396"/>
      <c r="CH110" s="3396"/>
      <c r="CI110" s="3396"/>
      <c r="CJ110" s="3396"/>
      <c r="CK110" s="3396"/>
      <c r="CL110" s="3396"/>
      <c r="CM110" s="3396"/>
      <c r="CN110" s="3396"/>
      <c r="CO110" s="3396"/>
      <c r="CP110" s="3396"/>
      <c r="CQ110" s="3396"/>
      <c r="CR110" s="3396"/>
      <c r="CS110" s="3396"/>
      <c r="CT110" s="3396"/>
      <c r="CU110" s="3396"/>
      <c r="CV110" s="3396"/>
      <c r="CW110" s="3396"/>
      <c r="CX110" s="3396"/>
      <c r="CY110" s="75"/>
    </row>
    <row r="111" ht="18.75" customHeight="1" spans="1:113">
      <c r="A111" s="3965" t="s">
        <v>5945</v>
      </c>
      <c r="B111" s="3965"/>
      <c r="C111" s="3994" t="s">
        <v>5946</v>
      </c>
      <c r="D111" s="3994"/>
      <c r="E111" s="3994"/>
      <c r="F111" s="3994"/>
      <c r="G111" s="3994"/>
      <c r="H111" s="3994"/>
      <c r="I111" s="3994"/>
      <c r="J111" s="3994"/>
      <c r="K111" s="3994"/>
      <c r="L111" s="3994"/>
      <c r="M111" s="3994"/>
      <c r="N111" s="3994"/>
      <c r="O111" s="3994"/>
      <c r="P111" s="3994"/>
      <c r="Q111" s="3994"/>
      <c r="R111" s="3994"/>
      <c r="S111" s="3994"/>
      <c r="T111" s="3994"/>
      <c r="U111" s="3994"/>
      <c r="V111" s="3994"/>
      <c r="W111" s="3994"/>
      <c r="X111" s="3965" t="s">
        <v>19</v>
      </c>
      <c r="Y111" s="3974">
        <f>PorBilans!AE118</f>
        <v>0</v>
      </c>
      <c r="Z111" s="3974"/>
      <c r="AA111" s="3974"/>
      <c r="AB111" s="3974"/>
      <c r="AC111" s="3974"/>
      <c r="AD111" s="3974"/>
      <c r="AE111" s="3974"/>
      <c r="AF111" s="3974"/>
      <c r="AG111" s="3974"/>
      <c r="AH111" s="3395"/>
      <c r="AI111" s="4002"/>
      <c r="AJ111" s="4002"/>
      <c r="AK111" s="4002"/>
      <c r="AL111" s="4002"/>
      <c r="AM111" s="4002"/>
      <c r="AN111" s="4002"/>
      <c r="AO111" s="4002"/>
      <c r="AP111" s="4002"/>
      <c r="AQ111" s="3951"/>
      <c r="AR111" s="3951"/>
      <c r="AS111" s="3951"/>
      <c r="AT111" s="3951"/>
      <c r="AU111" s="3951"/>
      <c r="AV111" s="3395"/>
      <c r="AW111" s="3951"/>
      <c r="AX111" s="3951"/>
      <c r="AY111" s="3951"/>
      <c r="AZ111" s="3951"/>
      <c r="BA111" s="3951"/>
      <c r="BB111" s="3951"/>
      <c r="BC111" s="3951"/>
      <c r="BD111" s="3951"/>
      <c r="BE111" s="3952"/>
      <c r="BF111" s="3952"/>
      <c r="BG111" s="3952"/>
      <c r="BH111" s="3952"/>
      <c r="BI111" s="3952"/>
      <c r="BJ111" s="3952"/>
      <c r="BK111" s="3952"/>
      <c r="BL111" s="3952"/>
      <c r="BM111" s="3952"/>
      <c r="BN111" s="3952"/>
      <c r="BO111" s="3952"/>
      <c r="BP111" s="3952"/>
      <c r="BQ111" s="3952"/>
      <c r="BR111" s="3952"/>
      <c r="BS111" s="3952"/>
      <c r="BT111" s="3952"/>
      <c r="BU111" s="3952"/>
      <c r="BV111" s="3952"/>
      <c r="BW111" s="3952"/>
      <c r="BX111" s="3952"/>
      <c r="BY111" s="3952"/>
      <c r="BZ111" s="3952"/>
      <c r="CA111" s="3396"/>
      <c r="CB111" s="3396"/>
      <c r="CC111" s="3396"/>
      <c r="CD111" s="3396"/>
      <c r="CE111" s="3396"/>
      <c r="CF111" s="3396"/>
      <c r="CG111" s="3396"/>
      <c r="CH111" s="3396"/>
      <c r="CI111" s="3396"/>
      <c r="CJ111" s="3396"/>
      <c r="CK111" s="3396"/>
      <c r="CL111" s="3396"/>
      <c r="CM111" s="3396"/>
      <c r="CN111" s="3396"/>
      <c r="CO111" s="3396"/>
      <c r="CP111" s="3396"/>
      <c r="CQ111" s="3396"/>
      <c r="CR111" s="3396"/>
      <c r="CS111" s="3396"/>
      <c r="CT111" s="3396"/>
      <c r="CU111" s="3396"/>
      <c r="CV111" s="3396"/>
      <c r="CW111" s="3396"/>
      <c r="CX111" s="3396"/>
      <c r="CY111" s="75"/>
    </row>
    <row r="112" ht="18.75" customHeight="1" spans="1:113">
      <c r="A112" s="3965" t="s">
        <v>5947</v>
      </c>
      <c r="B112" s="3965"/>
      <c r="C112" s="3994" t="s">
        <v>5948</v>
      </c>
      <c r="D112" s="3994"/>
      <c r="E112" s="3994"/>
      <c r="F112" s="3994"/>
      <c r="G112" s="3994"/>
      <c r="H112" s="3994"/>
      <c r="I112" s="3994"/>
      <c r="J112" s="3994"/>
      <c r="K112" s="3994"/>
      <c r="L112" s="3994"/>
      <c r="M112" s="3994"/>
      <c r="N112" s="3994"/>
      <c r="O112" s="3994"/>
      <c r="P112" s="3994"/>
      <c r="Q112" s="3994"/>
      <c r="R112" s="3994"/>
      <c r="S112" s="3994"/>
      <c r="T112" s="3994"/>
      <c r="U112" s="3994"/>
      <c r="V112" s="3994"/>
      <c r="W112" s="3994"/>
      <c r="X112" s="3967" t="s">
        <v>481</v>
      </c>
      <c r="Y112" s="3968">
        <f>PorBilans!AE119</f>
        <v>73141</v>
      </c>
      <c r="Z112" s="3968"/>
      <c r="AA112" s="3968"/>
      <c r="AB112" s="3968"/>
      <c r="AC112" s="3968"/>
      <c r="AD112" s="3968"/>
      <c r="AE112" s="3968"/>
      <c r="AF112" s="3968"/>
      <c r="AG112" s="3968"/>
      <c r="AH112" s="3395"/>
      <c r="AI112" s="4002"/>
      <c r="AJ112" s="4002"/>
      <c r="AK112" s="4002"/>
      <c r="AL112" s="4002"/>
      <c r="AM112" s="4002"/>
      <c r="AN112" s="4002"/>
      <c r="AO112" s="4002"/>
      <c r="AP112" s="4002"/>
      <c r="AQ112" s="3951"/>
      <c r="AR112" s="3951"/>
      <c r="AS112" s="3951"/>
      <c r="AT112" s="3951"/>
      <c r="AU112" s="3951"/>
      <c r="AV112" s="3395"/>
      <c r="AW112" s="3951"/>
      <c r="AX112" s="3951"/>
      <c r="AY112" s="3951"/>
      <c r="AZ112" s="3951"/>
      <c r="BA112" s="3951"/>
      <c r="BB112" s="3951"/>
      <c r="BC112" s="3951"/>
      <c r="BD112" s="3951"/>
      <c r="BE112" s="3952"/>
      <c r="BF112" s="3952"/>
      <c r="BG112" s="3952"/>
      <c r="BH112" s="3952"/>
      <c r="BI112" s="3952"/>
      <c r="BJ112" s="3952"/>
      <c r="BK112" s="3952"/>
      <c r="BL112" s="3952"/>
      <c r="BM112" s="3952"/>
      <c r="BN112" s="3952"/>
      <c r="BO112" s="3952"/>
      <c r="BP112" s="3952"/>
      <c r="BQ112" s="3952"/>
      <c r="BR112" s="3952"/>
      <c r="BS112" s="3952"/>
      <c r="BT112" s="3952"/>
      <c r="BU112" s="3952"/>
      <c r="BV112" s="3952"/>
      <c r="BW112" s="3952"/>
      <c r="BX112" s="3952"/>
      <c r="BY112" s="3952"/>
      <c r="BZ112" s="3952"/>
      <c r="CA112" s="3396"/>
      <c r="CB112" s="3396"/>
      <c r="CC112" s="3396"/>
      <c r="CD112" s="3396"/>
      <c r="CE112" s="3396"/>
      <c r="CF112" s="3396"/>
      <c r="CG112" s="3396"/>
      <c r="CH112" s="3396"/>
      <c r="CI112" s="3396"/>
      <c r="CJ112" s="3396"/>
      <c r="CK112" s="3396"/>
      <c r="CL112" s="3396"/>
      <c r="CM112" s="3396"/>
      <c r="CN112" s="3396"/>
      <c r="CO112" s="3396"/>
      <c r="CP112" s="3396"/>
      <c r="CQ112" s="3396"/>
      <c r="CR112" s="3396"/>
      <c r="CS112" s="3396"/>
      <c r="CT112" s="3396"/>
      <c r="CU112" s="3396"/>
      <c r="CV112" s="3396"/>
      <c r="CW112" s="3396"/>
      <c r="CX112" s="3396"/>
      <c r="CY112" s="75"/>
    </row>
    <row r="113" ht="18.75" customHeight="1" spans="1:113">
      <c r="A113" s="3977" t="s">
        <v>5949</v>
      </c>
      <c r="B113" s="3977"/>
      <c r="C113" s="3978" t="s">
        <v>5950</v>
      </c>
      <c r="D113" s="3979"/>
      <c r="E113" s="3979"/>
      <c r="F113" s="3979"/>
      <c r="G113" s="3979"/>
      <c r="H113" s="3979"/>
      <c r="I113" s="3979"/>
      <c r="J113" s="3979"/>
      <c r="K113" s="3979"/>
      <c r="L113" s="3979"/>
      <c r="M113" s="3979"/>
      <c r="N113" s="3979"/>
      <c r="O113" s="3979"/>
      <c r="P113" s="3979"/>
      <c r="Q113" s="3979"/>
      <c r="R113" s="3979"/>
      <c r="S113" s="3979"/>
      <c r="T113" s="3979"/>
      <c r="U113" s="3979"/>
      <c r="V113" s="3979"/>
      <c r="W113" s="3979"/>
      <c r="X113" s="3979"/>
      <c r="Y113" s="3981"/>
      <c r="Z113" s="3981"/>
      <c r="AA113" s="3981"/>
      <c r="AB113" s="3981"/>
      <c r="AC113" s="3981"/>
      <c r="AD113" s="3981"/>
      <c r="AE113" s="3981"/>
      <c r="AF113" s="3981"/>
      <c r="AG113" s="3982"/>
      <c r="AH113" s="3395"/>
      <c r="AI113" s="4055"/>
      <c r="AJ113" s="4055"/>
      <c r="AK113" s="4055"/>
      <c r="AL113" s="4055"/>
      <c r="AM113" s="4055"/>
      <c r="AN113" s="4055"/>
      <c r="AO113" s="4055"/>
      <c r="AP113" s="4055"/>
      <c r="AQ113" s="3951"/>
      <c r="AR113" s="3951"/>
      <c r="AS113" s="3951"/>
      <c r="AT113" s="3951"/>
      <c r="AU113" s="3951"/>
      <c r="AV113" s="3395"/>
      <c r="AW113" s="3951"/>
      <c r="AX113" s="3951"/>
      <c r="AY113" s="3951"/>
      <c r="AZ113" s="3951"/>
      <c r="BA113" s="3951"/>
      <c r="BB113" s="3951"/>
      <c r="BC113" s="3951"/>
      <c r="BD113" s="3951"/>
      <c r="BE113" s="3952"/>
      <c r="BF113" s="3952"/>
      <c r="BG113" s="3952"/>
      <c r="BH113" s="3952"/>
      <c r="BI113" s="3952"/>
      <c r="BJ113" s="3952"/>
      <c r="BK113" s="3952"/>
      <c r="BL113" s="3952"/>
      <c r="BM113" s="3952"/>
      <c r="BN113" s="3952"/>
      <c r="BO113" s="3952"/>
      <c r="BP113" s="3952"/>
      <c r="BQ113" s="3952"/>
      <c r="BR113" s="3952"/>
      <c r="BS113" s="3952"/>
      <c r="BT113" s="3952"/>
      <c r="BU113" s="3952"/>
      <c r="BV113" s="3952"/>
      <c r="BW113" s="3952"/>
      <c r="BX113" s="3952"/>
      <c r="BY113" s="3952"/>
      <c r="BZ113" s="3952"/>
      <c r="CA113" s="3396"/>
      <c r="CB113" s="3396"/>
      <c r="CC113" s="3396"/>
      <c r="CD113" s="3396"/>
      <c r="CE113" s="3396"/>
      <c r="CF113" s="3396"/>
      <c r="CG113" s="3396"/>
      <c r="CH113" s="3396"/>
      <c r="CI113" s="3396"/>
      <c r="CJ113" s="3396"/>
      <c r="CK113" s="3396"/>
      <c r="CL113" s="3396"/>
      <c r="CM113" s="3396"/>
      <c r="CN113" s="3396"/>
      <c r="CO113" s="3396"/>
      <c r="CP113" s="3396"/>
      <c r="CQ113" s="3396"/>
      <c r="CR113" s="3396"/>
      <c r="CS113" s="3396"/>
      <c r="CT113" s="3396"/>
      <c r="CU113" s="3396"/>
      <c r="CV113" s="3396"/>
      <c r="CW113" s="3396"/>
      <c r="CX113" s="3396"/>
      <c r="CY113" s="75"/>
    </row>
    <row r="114" ht="18.75" customHeight="1" spans="1:113">
      <c r="A114" s="3965" t="s">
        <v>5951</v>
      </c>
      <c r="B114" s="3965"/>
      <c r="C114" s="3994" t="s">
        <v>5952</v>
      </c>
      <c r="D114" s="3994"/>
      <c r="E114" s="3994"/>
      <c r="F114" s="3994"/>
      <c r="G114" s="3994"/>
      <c r="H114" s="3994"/>
      <c r="I114" s="3994"/>
      <c r="J114" s="3994"/>
      <c r="K114" s="3994"/>
      <c r="L114" s="3994"/>
      <c r="M114" s="3994"/>
      <c r="N114" s="3994"/>
      <c r="O114" s="3994"/>
      <c r="P114" s="3994"/>
      <c r="Q114" s="3994"/>
      <c r="R114" s="3994"/>
      <c r="S114" s="3994"/>
      <c r="T114" s="3994"/>
      <c r="U114" s="3994"/>
      <c r="V114" s="3994"/>
      <c r="W114" s="3994"/>
      <c r="X114" s="3965" t="s">
        <v>19</v>
      </c>
      <c r="Y114" s="3974">
        <f>Y111</f>
        <v>0</v>
      </c>
      <c r="Z114" s="3974"/>
      <c r="AA114" s="3974"/>
      <c r="AB114" s="3974"/>
      <c r="AC114" s="3974"/>
      <c r="AD114" s="3974"/>
      <c r="AE114" s="3974"/>
      <c r="AF114" s="3974"/>
      <c r="AG114" s="3974"/>
      <c r="AH114" s="3395"/>
      <c r="AI114" s="4002"/>
      <c r="AJ114" s="4002"/>
      <c r="AK114" s="4002"/>
      <c r="AL114" s="4002"/>
      <c r="AM114" s="4002"/>
      <c r="AN114" s="4002"/>
      <c r="AO114" s="4002"/>
      <c r="AP114" s="4002"/>
      <c r="AQ114" s="3951"/>
      <c r="AR114" s="3951"/>
      <c r="AS114" s="3951"/>
      <c r="AT114" s="3951"/>
      <c r="AU114" s="3951"/>
      <c r="AV114" s="3395"/>
      <c r="AW114" s="3951"/>
      <c r="AX114" s="3951"/>
      <c r="AY114" s="3951"/>
      <c r="AZ114" s="3951"/>
      <c r="BA114" s="3951"/>
      <c r="BB114" s="3951"/>
      <c r="BC114" s="3951"/>
      <c r="BD114" s="3951"/>
      <c r="BE114" s="3952"/>
      <c r="BF114" s="3952"/>
      <c r="BG114" s="3952"/>
      <c r="BH114" s="3952"/>
      <c r="BI114" s="3952"/>
      <c r="BJ114" s="3952"/>
      <c r="BK114" s="3952"/>
      <c r="BL114" s="3952"/>
      <c r="BM114" s="3952"/>
      <c r="BN114" s="3952"/>
      <c r="BO114" s="3952"/>
      <c r="BP114" s="3952"/>
      <c r="BQ114" s="3952"/>
      <c r="BR114" s="3952"/>
      <c r="BS114" s="3952"/>
      <c r="BT114" s="3952"/>
      <c r="BU114" s="3952"/>
      <c r="BV114" s="3952"/>
      <c r="BW114" s="3952"/>
      <c r="BX114" s="3952"/>
      <c r="BY114" s="3952"/>
      <c r="BZ114" s="3952"/>
      <c r="CA114" s="3396"/>
      <c r="CB114" s="3396"/>
      <c r="CC114" s="3396"/>
      <c r="CD114" s="3396"/>
      <c r="CE114" s="3396"/>
      <c r="CF114" s="3396"/>
      <c r="CG114" s="3396"/>
      <c r="CH114" s="3396"/>
      <c r="CI114" s="3396"/>
      <c r="CJ114" s="3396"/>
      <c r="CK114" s="3396"/>
      <c r="CL114" s="3396"/>
      <c r="CM114" s="3396"/>
      <c r="CN114" s="3396"/>
      <c r="CO114" s="3396"/>
      <c r="CP114" s="3396"/>
      <c r="CQ114" s="3396"/>
      <c r="CR114" s="3396"/>
      <c r="CS114" s="3396"/>
      <c r="CT114" s="3396"/>
      <c r="CU114" s="3396"/>
      <c r="CV114" s="3396"/>
      <c r="CW114" s="3396"/>
      <c r="CX114" s="3396"/>
      <c r="CY114" s="75"/>
    </row>
    <row r="115" ht="18.75" customHeight="1" spans="1:113">
      <c r="A115" s="3983" t="s">
        <v>5953</v>
      </c>
      <c r="B115" s="3983"/>
      <c r="C115" s="4058" t="s">
        <v>5954</v>
      </c>
      <c r="D115" s="4058"/>
      <c r="E115" s="4058"/>
      <c r="F115" s="4058"/>
      <c r="G115" s="4058"/>
      <c r="H115" s="4058"/>
      <c r="I115" s="4058"/>
      <c r="J115" s="4058"/>
      <c r="K115" s="4058"/>
      <c r="L115" s="4058"/>
      <c r="M115" s="4058"/>
      <c r="N115" s="4058"/>
      <c r="O115" s="4058"/>
      <c r="P115" s="4058"/>
      <c r="Q115" s="4058"/>
      <c r="R115" s="4058"/>
      <c r="S115" s="4058"/>
      <c r="T115" s="4058"/>
      <c r="U115" s="4058"/>
      <c r="V115" s="4058"/>
      <c r="W115" s="4058"/>
      <c r="X115" s="3983" t="s">
        <v>19</v>
      </c>
      <c r="Y115" s="3984">
        <f>ROUND(Y114*Y18/100,0)</f>
        <v>0</v>
      </c>
      <c r="Z115" s="3984"/>
      <c r="AA115" s="3984"/>
      <c r="AB115" s="3984"/>
      <c r="AC115" s="3984"/>
      <c r="AD115" s="3984"/>
      <c r="AE115" s="3984"/>
      <c r="AF115" s="3984"/>
      <c r="AG115" s="3984"/>
      <c r="AH115" s="3395"/>
      <c r="AI115" s="4002"/>
      <c r="AJ115" s="4002"/>
      <c r="AK115" s="4002"/>
      <c r="AL115" s="4002"/>
      <c r="AM115" s="4002"/>
      <c r="AN115" s="4002"/>
      <c r="AO115" s="4002"/>
      <c r="AP115" s="4002"/>
      <c r="AQ115" s="3951"/>
      <c r="AR115" s="3951"/>
      <c r="AS115" s="3951"/>
      <c r="AT115" s="3951"/>
      <c r="AU115" s="3951"/>
      <c r="AV115" s="3395"/>
      <c r="AW115" s="3951"/>
      <c r="AX115" s="3951"/>
      <c r="AY115" s="3951"/>
      <c r="AZ115" s="3951"/>
      <c r="BA115" s="3951"/>
      <c r="BB115" s="3951"/>
      <c r="BC115" s="3951"/>
      <c r="BD115" s="3951"/>
      <c r="BE115" s="3952"/>
      <c r="BF115" s="3952"/>
      <c r="BG115" s="3952"/>
      <c r="BH115" s="3952"/>
      <c r="BI115" s="3952"/>
      <c r="BJ115" s="3952"/>
      <c r="BK115" s="3952"/>
      <c r="BL115" s="3952"/>
      <c r="BM115" s="3952"/>
      <c r="BN115" s="3952"/>
      <c r="BO115" s="3952"/>
      <c r="BP115" s="3952"/>
      <c r="BQ115" s="3952"/>
      <c r="BR115" s="3952"/>
      <c r="BS115" s="3952"/>
      <c r="BT115" s="3952"/>
      <c r="BU115" s="3952"/>
      <c r="BV115" s="3952"/>
      <c r="BW115" s="3952"/>
      <c r="BX115" s="3952"/>
      <c r="BY115" s="3952"/>
      <c r="BZ115" s="3952"/>
      <c r="CA115" s="3396"/>
      <c r="CB115" s="3396"/>
      <c r="CC115" s="3396"/>
      <c r="CD115" s="3396"/>
      <c r="CE115" s="3396"/>
      <c r="CF115" s="3396"/>
      <c r="CG115" s="3396"/>
      <c r="CH115" s="3396"/>
      <c r="CI115" s="3396"/>
      <c r="CJ115" s="3396"/>
      <c r="CK115" s="3396"/>
      <c r="CL115" s="3396"/>
      <c r="CM115" s="3396"/>
      <c r="CN115" s="3396"/>
      <c r="CO115" s="3396"/>
      <c r="CP115" s="3396"/>
      <c r="CQ115" s="3396"/>
      <c r="CR115" s="3396"/>
      <c r="CS115" s="3396"/>
      <c r="CT115" s="3396"/>
      <c r="CU115" s="3396"/>
      <c r="CV115" s="3396"/>
      <c r="CW115" s="3396"/>
      <c r="CX115" s="3396"/>
      <c r="CY115" s="75"/>
    </row>
    <row r="116" ht="18.75" customHeight="1" spans="1:113">
      <c r="A116" s="4059" t="s">
        <v>5955</v>
      </c>
      <c r="B116" s="4059"/>
      <c r="C116" s="4060" t="s">
        <v>5956</v>
      </c>
      <c r="D116" s="4060"/>
      <c r="E116" s="4060"/>
      <c r="F116" s="4060"/>
      <c r="G116" s="4060"/>
      <c r="H116" s="4060"/>
      <c r="I116" s="4004" t="s">
        <v>5933</v>
      </c>
      <c r="J116" s="4005" t="s">
        <v>5957</v>
      </c>
      <c r="K116" s="4005"/>
      <c r="L116" s="4005"/>
      <c r="M116" s="4005"/>
      <c r="N116" s="4005"/>
      <c r="O116" s="4005"/>
      <c r="P116" s="4005"/>
      <c r="Q116" s="4005"/>
      <c r="R116" s="4005"/>
      <c r="S116" s="4005"/>
      <c r="T116" s="4005"/>
      <c r="U116" s="4005"/>
      <c r="V116" s="4005"/>
      <c r="W116" s="4005"/>
      <c r="X116" s="4061" t="s">
        <v>481</v>
      </c>
      <c r="Y116" s="4062"/>
      <c r="Z116" s="4062"/>
      <c r="AA116" s="4062"/>
      <c r="AB116" s="4062"/>
      <c r="AC116" s="4062"/>
      <c r="AD116" s="4062"/>
      <c r="AE116" s="4062"/>
      <c r="AF116" s="4062"/>
      <c r="AG116" s="4062"/>
      <c r="AH116" s="3395"/>
      <c r="AI116" s="4052" t="s">
        <v>5958</v>
      </c>
      <c r="AJ116" s="4002"/>
      <c r="AK116" s="4002"/>
      <c r="AL116" s="4002"/>
      <c r="AM116" s="4002"/>
      <c r="AN116" s="4002"/>
      <c r="AO116" s="4002"/>
      <c r="AP116" s="4002"/>
      <c r="AQ116" s="3951"/>
      <c r="AR116" s="3951"/>
      <c r="AS116" s="3951"/>
      <c r="AT116" s="3951"/>
      <c r="AU116" s="3951"/>
      <c r="AV116" s="3395"/>
      <c r="AW116" s="3951"/>
      <c r="AX116" s="3951"/>
      <c r="AY116" s="3951"/>
      <c r="AZ116" s="3951"/>
      <c r="BA116" s="3951"/>
      <c r="BB116" s="3951"/>
      <c r="BC116" s="3951"/>
      <c r="BD116" s="3951"/>
      <c r="BE116" s="3952"/>
      <c r="BF116" s="3952"/>
      <c r="BG116" s="3952"/>
      <c r="BH116" s="3952"/>
      <c r="BI116" s="3952"/>
      <c r="BJ116" s="3952"/>
      <c r="BK116" s="3952"/>
      <c r="BL116" s="3952"/>
      <c r="BM116" s="3952"/>
      <c r="BN116" s="3952"/>
      <c r="BO116" s="3952"/>
      <c r="BP116" s="3952"/>
      <c r="BQ116" s="3952"/>
      <c r="BR116" s="3952"/>
      <c r="BS116" s="3952"/>
      <c r="BT116" s="3952"/>
      <c r="BU116" s="3952"/>
      <c r="BV116" s="3952"/>
      <c r="BW116" s="3952"/>
      <c r="BX116" s="3952"/>
      <c r="BY116" s="3952"/>
      <c r="BZ116" s="3952"/>
      <c r="CA116" s="3396"/>
      <c r="CB116" s="3396"/>
      <c r="CC116" s="3396"/>
      <c r="CD116" s="3396"/>
      <c r="CE116" s="3396"/>
      <c r="CF116" s="3396"/>
      <c r="CG116" s="3396"/>
      <c r="CH116" s="3396"/>
      <c r="CI116" s="3396"/>
      <c r="CJ116" s="3396"/>
      <c r="CK116" s="3396"/>
      <c r="CL116" s="3396"/>
      <c r="CM116" s="3396"/>
      <c r="CN116" s="3396"/>
      <c r="CO116" s="3396"/>
      <c r="CP116" s="3396"/>
      <c r="CQ116" s="3396"/>
      <c r="CR116" s="3396"/>
      <c r="CS116" s="3396"/>
      <c r="CT116" s="3396"/>
      <c r="CU116" s="3396"/>
      <c r="CV116" s="3396"/>
      <c r="CW116" s="3396"/>
      <c r="CX116" s="3396"/>
      <c r="CY116" s="75"/>
      <c r="DA116" s="75"/>
      <c r="DB116" s="75"/>
      <c r="DC116" s="75"/>
      <c r="DD116" s="75"/>
      <c r="DE116" s="75"/>
      <c r="DF116" s="75"/>
      <c r="DG116" s="75"/>
      <c r="DH116" s="75"/>
      <c r="DI116" s="75"/>
    </row>
    <row r="117" ht="18.75" customHeight="1" spans="1:113">
      <c r="A117" s="4056"/>
      <c r="B117" s="4056"/>
      <c r="C117" s="4057"/>
      <c r="D117" s="4057"/>
      <c r="E117" s="4057"/>
      <c r="F117" s="4057"/>
      <c r="G117" s="4057"/>
      <c r="H117" s="4057"/>
      <c r="I117" s="3965" t="s">
        <v>5936</v>
      </c>
      <c r="J117" s="3989" t="s">
        <v>5959</v>
      </c>
      <c r="K117" s="3989"/>
      <c r="L117" s="3989"/>
      <c r="M117" s="3989"/>
      <c r="N117" s="3989"/>
      <c r="O117" s="3989"/>
      <c r="P117" s="3989"/>
      <c r="Q117" s="3989"/>
      <c r="R117" s="3989"/>
      <c r="S117" s="3989"/>
      <c r="T117" s="3989"/>
      <c r="U117" s="3989"/>
      <c r="V117" s="3989"/>
      <c r="W117" s="3989"/>
      <c r="X117" s="3967" t="s">
        <v>481</v>
      </c>
      <c r="Y117" s="3988"/>
      <c r="Z117" s="3988"/>
      <c r="AA117" s="3988"/>
      <c r="AB117" s="3988"/>
      <c r="AC117" s="3988"/>
      <c r="AD117" s="3988"/>
      <c r="AE117" s="3988"/>
      <c r="AF117" s="3988"/>
      <c r="AG117" s="3988"/>
      <c r="AH117" s="3395"/>
      <c r="AI117" s="4052" t="s">
        <v>5960</v>
      </c>
      <c r="AJ117" s="4002"/>
      <c r="AK117" s="4002"/>
      <c r="AL117" s="4002"/>
      <c r="AM117" s="4002"/>
      <c r="AN117" s="4002"/>
      <c r="AO117" s="4002"/>
      <c r="AP117" s="4002"/>
      <c r="AQ117" s="3951"/>
      <c r="AR117" s="3951"/>
      <c r="AS117" s="3951"/>
      <c r="AT117" s="3951"/>
      <c r="AU117" s="3951"/>
      <c r="AV117" s="3395"/>
      <c r="AW117" s="3951"/>
      <c r="AX117" s="3951"/>
      <c r="AY117" s="3951"/>
      <c r="AZ117" s="3951"/>
      <c r="BA117" s="3951"/>
      <c r="BB117" s="3951"/>
      <c r="BC117" s="3951"/>
      <c r="BD117" s="3951"/>
      <c r="BE117" s="3952"/>
      <c r="BF117" s="3952"/>
      <c r="BG117" s="3952"/>
      <c r="BH117" s="3952"/>
      <c r="BI117" s="3952"/>
      <c r="BJ117" s="3952"/>
      <c r="BK117" s="3952"/>
      <c r="BL117" s="3952"/>
      <c r="BM117" s="3952"/>
      <c r="BN117" s="3952"/>
      <c r="BO117" s="3952"/>
      <c r="BP117" s="3952"/>
      <c r="BQ117" s="3952"/>
      <c r="BR117" s="3952"/>
      <c r="BS117" s="3952"/>
      <c r="BT117" s="3952"/>
      <c r="BU117" s="3952"/>
      <c r="BV117" s="3952"/>
      <c r="BW117" s="3952"/>
      <c r="BX117" s="3952"/>
      <c r="BY117" s="3952"/>
      <c r="BZ117" s="3952"/>
      <c r="CA117" s="3396"/>
      <c r="CB117" s="3396"/>
      <c r="CC117" s="3396"/>
      <c r="CD117" s="3396"/>
      <c r="CE117" s="3396"/>
      <c r="CF117" s="3396"/>
      <c r="CG117" s="3396"/>
      <c r="CH117" s="3396"/>
      <c r="CI117" s="3396"/>
      <c r="CJ117" s="3396"/>
      <c r="CK117" s="3396"/>
      <c r="CL117" s="3396"/>
      <c r="CM117" s="3396"/>
      <c r="CN117" s="3396"/>
      <c r="CO117" s="3396"/>
      <c r="CP117" s="3396"/>
      <c r="CQ117" s="3396"/>
      <c r="CR117" s="3396"/>
      <c r="CS117" s="3396"/>
      <c r="CT117" s="3396"/>
      <c r="CU117" s="3396"/>
      <c r="CV117" s="3396"/>
      <c r="CW117" s="3396"/>
      <c r="CX117" s="3396"/>
      <c r="CY117" s="75"/>
      <c r="DA117" s="75"/>
      <c r="DB117" s="75"/>
      <c r="DC117" s="75"/>
      <c r="DD117" s="75"/>
      <c r="DE117" s="75"/>
      <c r="DF117" s="75"/>
      <c r="DG117" s="75"/>
      <c r="DH117" s="75"/>
      <c r="DI117" s="75"/>
    </row>
    <row r="118" ht="18.75" customHeight="1" spans="1:113">
      <c r="A118" s="4056"/>
      <c r="B118" s="4056"/>
      <c r="C118" s="4057"/>
      <c r="D118" s="4057"/>
      <c r="E118" s="4057"/>
      <c r="F118" s="4057"/>
      <c r="G118" s="4057"/>
      <c r="H118" s="4057"/>
      <c r="I118" s="3965" t="s">
        <v>5939</v>
      </c>
      <c r="J118" s="3989" t="s">
        <v>5961</v>
      </c>
      <c r="K118" s="3989"/>
      <c r="L118" s="3989"/>
      <c r="M118" s="3989"/>
      <c r="N118" s="3989"/>
      <c r="O118" s="3989"/>
      <c r="P118" s="3989"/>
      <c r="Q118" s="3989"/>
      <c r="R118" s="3989"/>
      <c r="S118" s="3989"/>
      <c r="T118" s="3989"/>
      <c r="U118" s="3989"/>
      <c r="V118" s="3989"/>
      <c r="W118" s="3989"/>
      <c r="X118" s="3967" t="s">
        <v>481</v>
      </c>
      <c r="Y118" s="3988"/>
      <c r="Z118" s="3988"/>
      <c r="AA118" s="3988"/>
      <c r="AB118" s="3988"/>
      <c r="AC118" s="3988"/>
      <c r="AD118" s="3988"/>
      <c r="AE118" s="3988"/>
      <c r="AF118" s="3988"/>
      <c r="AG118" s="3988"/>
      <c r="AH118" s="3395"/>
      <c r="AI118" s="4052" t="s">
        <v>5960</v>
      </c>
      <c r="AJ118" s="4002"/>
      <c r="AK118" s="4002"/>
      <c r="AL118" s="4002"/>
      <c r="AM118" s="4002"/>
      <c r="AN118" s="4002"/>
      <c r="AO118" s="4002"/>
      <c r="AP118" s="4002"/>
      <c r="AQ118" s="3951"/>
      <c r="AR118" s="3951"/>
      <c r="AS118" s="3951"/>
      <c r="AT118" s="3951"/>
      <c r="AU118" s="3951"/>
      <c r="AV118" s="3395"/>
      <c r="AW118" s="3951"/>
      <c r="AX118" s="3951"/>
      <c r="AY118" s="3951"/>
      <c r="AZ118" s="3951"/>
      <c r="BA118" s="3951"/>
      <c r="BB118" s="3951"/>
      <c r="BC118" s="3951"/>
      <c r="BD118" s="3951"/>
      <c r="BE118" s="3952"/>
      <c r="BF118" s="3952"/>
      <c r="BG118" s="3952"/>
      <c r="BH118" s="3952"/>
      <c r="BI118" s="3952"/>
      <c r="BJ118" s="3952"/>
      <c r="BK118" s="3952"/>
      <c r="BL118" s="3952"/>
      <c r="BM118" s="3952"/>
      <c r="BN118" s="3952"/>
      <c r="BO118" s="3952"/>
      <c r="BP118" s="3952"/>
      <c r="BQ118" s="3952"/>
      <c r="BR118" s="3952"/>
      <c r="BS118" s="3952"/>
      <c r="BT118" s="3952"/>
      <c r="BU118" s="3952"/>
      <c r="BV118" s="3952"/>
      <c r="BW118" s="3952"/>
      <c r="BX118" s="3952"/>
      <c r="BY118" s="3952"/>
      <c r="BZ118" s="3952"/>
      <c r="CA118" s="3396"/>
      <c r="CB118" s="3396"/>
      <c r="CC118" s="3396"/>
      <c r="CD118" s="3396"/>
      <c r="CE118" s="3396"/>
      <c r="CF118" s="3396"/>
      <c r="CG118" s="3396"/>
      <c r="CH118" s="3396"/>
      <c r="CI118" s="3396"/>
      <c r="CJ118" s="3396"/>
      <c r="CK118" s="3396"/>
      <c r="CL118" s="3396"/>
      <c r="CM118" s="3396"/>
      <c r="CN118" s="3396"/>
      <c r="CO118" s="3396"/>
      <c r="CP118" s="3396"/>
      <c r="CQ118" s="3396"/>
      <c r="CR118" s="3396"/>
      <c r="CS118" s="3396"/>
      <c r="CT118" s="3396"/>
      <c r="CU118" s="3396"/>
      <c r="CV118" s="3396"/>
      <c r="CW118" s="3396"/>
      <c r="CX118" s="3396"/>
      <c r="CY118" s="75"/>
      <c r="DA118" s="75"/>
      <c r="DB118" s="75"/>
      <c r="DC118" s="75"/>
      <c r="DD118" s="75"/>
      <c r="DE118" s="75"/>
      <c r="DF118" s="75"/>
      <c r="DG118" s="75"/>
      <c r="DH118" s="75"/>
      <c r="DI118" s="75"/>
    </row>
    <row r="119" ht="18.75" customHeight="1" spans="1:113">
      <c r="A119" s="4063"/>
      <c r="B119" s="4063"/>
      <c r="C119" s="4064"/>
      <c r="D119" s="4064"/>
      <c r="E119" s="4064"/>
      <c r="F119" s="4064"/>
      <c r="G119" s="4064"/>
      <c r="H119" s="4064"/>
      <c r="I119" s="3949" t="s">
        <v>3716</v>
      </c>
      <c r="J119" s="4065" t="s">
        <v>5962</v>
      </c>
      <c r="K119" s="4065"/>
      <c r="L119" s="4065"/>
      <c r="M119" s="4065"/>
      <c r="N119" s="4065"/>
      <c r="O119" s="4065"/>
      <c r="P119" s="4065"/>
      <c r="Q119" s="4065"/>
      <c r="R119" s="4065"/>
      <c r="S119" s="4065"/>
      <c r="T119" s="4065"/>
      <c r="U119" s="4065"/>
      <c r="V119" s="4065"/>
      <c r="W119" s="4065"/>
      <c r="X119" s="4066" t="s">
        <v>481</v>
      </c>
      <c r="Y119" s="4067"/>
      <c r="Z119" s="4067"/>
      <c r="AA119" s="4067"/>
      <c r="AB119" s="4067"/>
      <c r="AC119" s="4067"/>
      <c r="AD119" s="4067"/>
      <c r="AE119" s="4067"/>
      <c r="AF119" s="4067"/>
      <c r="AG119" s="4067"/>
      <c r="AH119" s="3395"/>
      <c r="AI119" s="4052" t="s">
        <v>5963</v>
      </c>
      <c r="AJ119" s="4002"/>
      <c r="AK119" s="4002"/>
      <c r="AL119" s="4002"/>
      <c r="AM119" s="4002"/>
      <c r="AN119" s="4002"/>
      <c r="AO119" s="4002"/>
      <c r="AP119" s="4002"/>
      <c r="AQ119" s="3951"/>
      <c r="AR119" s="3951"/>
      <c r="AS119" s="3951"/>
      <c r="AT119" s="3951"/>
      <c r="AU119" s="3951"/>
      <c r="AV119" s="3395"/>
      <c r="AW119" s="3951"/>
      <c r="AX119" s="3951"/>
      <c r="AY119" s="3951"/>
      <c r="AZ119" s="3951"/>
      <c r="BA119" s="3951"/>
      <c r="BB119" s="3951"/>
      <c r="BC119" s="3951"/>
      <c r="BD119" s="3951"/>
      <c r="BE119" s="3952"/>
      <c r="BF119" s="3952"/>
      <c r="BG119" s="3952"/>
      <c r="BH119" s="3952"/>
      <c r="BI119" s="3952"/>
      <c r="BJ119" s="3952"/>
      <c r="BK119" s="3952"/>
      <c r="BL119" s="3952"/>
      <c r="BM119" s="3952"/>
      <c r="BN119" s="3952"/>
      <c r="BO119" s="3952"/>
      <c r="BP119" s="3952"/>
      <c r="BQ119" s="3952"/>
      <c r="BR119" s="3952"/>
      <c r="BS119" s="3952"/>
      <c r="BT119" s="3952"/>
      <c r="BU119" s="3952"/>
      <c r="BV119" s="3952"/>
      <c r="BW119" s="3952"/>
      <c r="BX119" s="3952"/>
      <c r="BY119" s="3952"/>
      <c r="BZ119" s="3952"/>
      <c r="CA119" s="3396"/>
      <c r="CB119" s="3396"/>
      <c r="CC119" s="3396"/>
      <c r="CD119" s="3396"/>
      <c r="CE119" s="3396"/>
      <c r="CF119" s="3396"/>
      <c r="CG119" s="3396"/>
      <c r="CH119" s="3396"/>
      <c r="CI119" s="3396"/>
      <c r="CJ119" s="3396"/>
      <c r="CK119" s="3396"/>
      <c r="CL119" s="3396"/>
      <c r="CM119" s="3396"/>
      <c r="CN119" s="3396"/>
      <c r="CO119" s="3396"/>
      <c r="CP119" s="3396"/>
      <c r="CQ119" s="3396"/>
      <c r="CR119" s="3396"/>
      <c r="CS119" s="3396"/>
      <c r="CT119" s="3396"/>
      <c r="CU119" s="3396"/>
      <c r="CV119" s="3396"/>
      <c r="CW119" s="3396"/>
      <c r="CX119" s="3396"/>
      <c r="CY119" s="75"/>
      <c r="DA119" s="75"/>
      <c r="DB119" s="75"/>
      <c r="DC119" s="75"/>
      <c r="DD119" s="75"/>
      <c r="DE119" s="75"/>
      <c r="DF119" s="75"/>
      <c r="DG119" s="75"/>
      <c r="DH119" s="75"/>
      <c r="DI119" s="75"/>
    </row>
    <row r="120" ht="26.25" customHeight="1" spans="1:113">
      <c r="A120" s="4059" t="s">
        <v>5964</v>
      </c>
      <c r="B120" s="4059"/>
      <c r="C120" s="4068" t="s">
        <v>5795</v>
      </c>
      <c r="D120" s="4068"/>
      <c r="E120" s="4068"/>
      <c r="F120" s="4068"/>
      <c r="G120" s="4068"/>
      <c r="H120" s="4068"/>
      <c r="I120" s="4059" t="s">
        <v>5933</v>
      </c>
      <c r="J120" s="4069" t="s">
        <v>5965</v>
      </c>
      <c r="K120" s="4069"/>
      <c r="L120" s="4069"/>
      <c r="M120" s="4069"/>
      <c r="N120" s="4069"/>
      <c r="O120" s="4069"/>
      <c r="P120" s="4069"/>
      <c r="Q120" s="4069"/>
      <c r="R120" s="4069"/>
      <c r="S120" s="4069"/>
      <c r="T120" s="4069"/>
      <c r="U120" s="4069"/>
      <c r="V120" s="4069"/>
      <c r="W120" s="4069"/>
      <c r="X120" s="4061"/>
      <c r="Y120" s="4006"/>
      <c r="Z120" s="4006"/>
      <c r="AA120" s="4006"/>
      <c r="AB120" s="4006"/>
      <c r="AC120" s="4006"/>
      <c r="AD120" s="4006"/>
      <c r="AE120" s="4006"/>
      <c r="AF120" s="4006"/>
      <c r="AG120" s="4006"/>
      <c r="AH120" s="3395"/>
      <c r="AI120" s="4052"/>
      <c r="AJ120" s="4002"/>
      <c r="AK120" s="4002"/>
      <c r="AL120" s="4002"/>
      <c r="AM120" s="4002"/>
      <c r="AN120" s="4002"/>
      <c r="AO120" s="4002"/>
      <c r="AP120" s="4002"/>
      <c r="AQ120" s="3951"/>
      <c r="AR120" s="3951"/>
      <c r="AS120" s="3951"/>
      <c r="AT120" s="3951"/>
      <c r="AU120" s="3951"/>
      <c r="AV120" s="3395"/>
      <c r="AW120" s="3951"/>
      <c r="AX120" s="3951"/>
      <c r="AY120" s="3951"/>
      <c r="AZ120" s="3951"/>
      <c r="BA120" s="3951"/>
      <c r="BB120" s="3951"/>
      <c r="BC120" s="3951"/>
      <c r="BD120" s="3951"/>
      <c r="BE120" s="3952"/>
      <c r="BF120" s="3952"/>
      <c r="BG120" s="3952"/>
      <c r="BH120" s="3952"/>
      <c r="BI120" s="3952"/>
      <c r="BJ120" s="3952"/>
      <c r="BK120" s="3952"/>
      <c r="BL120" s="3952"/>
      <c r="BM120" s="3952"/>
      <c r="BN120" s="3952"/>
      <c r="BO120" s="3952"/>
      <c r="BP120" s="3952"/>
      <c r="BQ120" s="3952"/>
      <c r="BR120" s="3952"/>
      <c r="BS120" s="3952"/>
      <c r="BT120" s="3952"/>
      <c r="BU120" s="3952"/>
      <c r="BV120" s="3952"/>
      <c r="BW120" s="3952"/>
      <c r="BX120" s="3952"/>
      <c r="BY120" s="3952"/>
      <c r="BZ120" s="3952"/>
      <c r="CA120" s="3396"/>
      <c r="CB120" s="3396"/>
      <c r="CC120" s="3396"/>
      <c r="CD120" s="3396"/>
      <c r="CE120" s="3396"/>
      <c r="CF120" s="3396"/>
      <c r="CG120" s="3396"/>
      <c r="CH120" s="3396"/>
      <c r="CI120" s="3396"/>
      <c r="CJ120" s="3396"/>
      <c r="CK120" s="3396"/>
      <c r="CL120" s="3396"/>
      <c r="CM120" s="3396"/>
      <c r="CN120" s="3396"/>
      <c r="CO120" s="3396"/>
      <c r="CP120" s="3396"/>
      <c r="CQ120" s="3396"/>
      <c r="CR120" s="3396"/>
      <c r="CS120" s="3396"/>
      <c r="CT120" s="3396"/>
      <c r="CU120" s="3396"/>
      <c r="CV120" s="3396"/>
      <c r="CW120" s="3396"/>
      <c r="CX120" s="3396"/>
      <c r="CY120" s="75"/>
      <c r="DA120" s="75"/>
      <c r="DB120" s="75"/>
      <c r="DC120" s="75"/>
      <c r="DD120" s="75"/>
      <c r="DE120" s="75"/>
      <c r="DF120" s="75"/>
      <c r="DG120" s="75"/>
      <c r="DH120" s="75"/>
      <c r="DI120" s="75"/>
    </row>
    <row r="121" ht="26.25" customHeight="1" spans="1:113">
      <c r="A121" s="4056"/>
      <c r="B121" s="4056"/>
      <c r="C121" s="4070"/>
      <c r="D121" s="4070"/>
      <c r="E121" s="4070"/>
      <c r="F121" s="4070"/>
      <c r="G121" s="4070"/>
      <c r="H121" s="4070"/>
      <c r="I121" s="4056" t="s">
        <v>5936</v>
      </c>
      <c r="J121" s="4071" t="s">
        <v>5966</v>
      </c>
      <c r="K121" s="4071"/>
      <c r="L121" s="4071"/>
      <c r="M121" s="4071"/>
      <c r="N121" s="4071"/>
      <c r="O121" s="4071"/>
      <c r="P121" s="4071"/>
      <c r="Q121" s="4071"/>
      <c r="R121" s="4071"/>
      <c r="S121" s="4071"/>
      <c r="T121" s="4071"/>
      <c r="U121" s="4071"/>
      <c r="V121" s="4071"/>
      <c r="W121" s="4071"/>
      <c r="X121" s="3967"/>
      <c r="Y121" s="3990">
        <f>ROUND(UnosNovoZaposl!H621,0)</f>
        <v>0</v>
      </c>
      <c r="Z121" s="3990"/>
      <c r="AA121" s="3990"/>
      <c r="AB121" s="3990"/>
      <c r="AC121" s="3990"/>
      <c r="AD121" s="3990"/>
      <c r="AE121" s="3990"/>
      <c r="AF121" s="3990"/>
      <c r="AG121" s="3990"/>
      <c r="AH121" s="3395"/>
      <c r="AI121" s="4052"/>
      <c r="AJ121" s="4002"/>
      <c r="AK121" s="4002"/>
      <c r="AL121" s="4002"/>
      <c r="AM121" s="4002"/>
      <c r="AN121" s="4002"/>
      <c r="AO121" s="4002"/>
      <c r="AP121" s="4002"/>
      <c r="AQ121" s="3951"/>
      <c r="AR121" s="3951"/>
      <c r="AS121" s="3951"/>
      <c r="AT121" s="3951"/>
      <c r="AU121" s="3951"/>
      <c r="AV121" s="3395"/>
      <c r="AW121" s="3951"/>
      <c r="AX121" s="3951"/>
      <c r="AY121" s="3951"/>
      <c r="AZ121" s="3951"/>
      <c r="BA121" s="3951"/>
      <c r="BB121" s="3951"/>
      <c r="BC121" s="3951"/>
      <c r="BD121" s="3951"/>
      <c r="BE121" s="3952"/>
      <c r="BF121" s="3952"/>
      <c r="BG121" s="3952"/>
      <c r="BH121" s="3952"/>
      <c r="BI121" s="3952"/>
      <c r="BJ121" s="3952"/>
      <c r="BK121" s="3952"/>
      <c r="BL121" s="3952"/>
      <c r="BM121" s="3952"/>
      <c r="BN121" s="3952"/>
      <c r="BO121" s="3952"/>
      <c r="BP121" s="3952"/>
      <c r="BQ121" s="3952"/>
      <c r="BR121" s="3952"/>
      <c r="BS121" s="3952"/>
      <c r="BT121" s="3952"/>
      <c r="BU121" s="3952"/>
      <c r="BV121" s="3952"/>
      <c r="BW121" s="3952"/>
      <c r="BX121" s="3952"/>
      <c r="BY121" s="3952"/>
      <c r="BZ121" s="3952"/>
      <c r="CA121" s="3396"/>
      <c r="CB121" s="3396"/>
      <c r="CC121" s="3396"/>
      <c r="CD121" s="3396"/>
      <c r="CE121" s="3396"/>
      <c r="CF121" s="3396"/>
      <c r="CG121" s="3396"/>
      <c r="CH121" s="3396"/>
      <c r="CI121" s="3396"/>
      <c r="CJ121" s="3396"/>
      <c r="CK121" s="3396"/>
      <c r="CL121" s="3396"/>
      <c r="CM121" s="3396"/>
      <c r="CN121" s="3396"/>
      <c r="CO121" s="3396"/>
      <c r="CP121" s="3396"/>
      <c r="CQ121" s="3396"/>
      <c r="CR121" s="3396"/>
      <c r="CS121" s="3396"/>
      <c r="CT121" s="3396"/>
      <c r="CU121" s="3396"/>
      <c r="CV121" s="3396"/>
      <c r="CW121" s="3396"/>
      <c r="CX121" s="3396"/>
      <c r="CY121" s="75"/>
      <c r="DA121" s="75"/>
      <c r="DB121" s="75"/>
      <c r="DC121" s="75"/>
      <c r="DD121" s="75"/>
      <c r="DE121" s="75"/>
      <c r="DF121" s="75"/>
      <c r="DG121" s="75"/>
      <c r="DH121" s="75"/>
      <c r="DI121" s="75"/>
    </row>
    <row r="122" ht="26.25" customHeight="1" spans="1:113">
      <c r="A122" s="4056"/>
      <c r="B122" s="4056"/>
      <c r="C122" s="4070"/>
      <c r="D122" s="4070"/>
      <c r="E122" s="4070"/>
      <c r="F122" s="4070"/>
      <c r="G122" s="4070"/>
      <c r="H122" s="4070"/>
      <c r="I122" s="4056" t="s">
        <v>5939</v>
      </c>
      <c r="J122" s="4071" t="s">
        <v>5967</v>
      </c>
      <c r="K122" s="4071"/>
      <c r="L122" s="4071"/>
      <c r="M122" s="4071"/>
      <c r="N122" s="4071"/>
      <c r="O122" s="4071"/>
      <c r="P122" s="4071"/>
      <c r="Q122" s="4071"/>
      <c r="R122" s="4071"/>
      <c r="S122" s="4071"/>
      <c r="T122" s="4071"/>
      <c r="U122" s="4071"/>
      <c r="V122" s="4071"/>
      <c r="W122" s="4071"/>
      <c r="X122" s="3967"/>
      <c r="Y122" s="3990"/>
      <c r="Z122" s="3990"/>
      <c r="AA122" s="3990"/>
      <c r="AB122" s="3990"/>
      <c r="AC122" s="3990"/>
      <c r="AD122" s="3990"/>
      <c r="AE122" s="3990"/>
      <c r="AF122" s="3990"/>
      <c r="AG122" s="3990"/>
      <c r="AH122" s="3395"/>
      <c r="AI122" s="4052"/>
      <c r="AJ122" s="4002"/>
      <c r="AK122" s="4002"/>
      <c r="AL122" s="4002"/>
      <c r="AM122" s="4002"/>
      <c r="AN122" s="4002"/>
      <c r="AO122" s="4002"/>
      <c r="AP122" s="4002"/>
      <c r="AQ122" s="3951"/>
      <c r="AR122" s="3951"/>
      <c r="AS122" s="3951"/>
      <c r="AT122" s="3951"/>
      <c r="AU122" s="3951"/>
      <c r="AV122" s="3395"/>
      <c r="AW122" s="3951"/>
      <c r="AX122" s="3951"/>
      <c r="AY122" s="3951"/>
      <c r="AZ122" s="3951"/>
      <c r="BA122" s="3951"/>
      <c r="BB122" s="3951"/>
      <c r="BC122" s="3951"/>
      <c r="BD122" s="3951"/>
      <c r="BE122" s="3952"/>
      <c r="BF122" s="3952"/>
      <c r="BG122" s="3952"/>
      <c r="BH122" s="3952"/>
      <c r="BI122" s="3952"/>
      <c r="BJ122" s="3952"/>
      <c r="BK122" s="3952"/>
      <c r="BL122" s="3952"/>
      <c r="BM122" s="3952"/>
      <c r="BN122" s="3952"/>
      <c r="BO122" s="3952"/>
      <c r="BP122" s="3952"/>
      <c r="BQ122" s="3952"/>
      <c r="BR122" s="3952"/>
      <c r="BS122" s="3952"/>
      <c r="BT122" s="3952"/>
      <c r="BU122" s="3952"/>
      <c r="BV122" s="3952"/>
      <c r="BW122" s="3952"/>
      <c r="BX122" s="3952"/>
      <c r="BY122" s="3952"/>
      <c r="BZ122" s="3952"/>
      <c r="CA122" s="3396"/>
      <c r="CB122" s="3396"/>
      <c r="CC122" s="3396"/>
      <c r="CD122" s="3396"/>
      <c r="CE122" s="3396"/>
      <c r="CF122" s="3396"/>
      <c r="CG122" s="3396"/>
      <c r="CH122" s="3396"/>
      <c r="CI122" s="3396"/>
      <c r="CJ122" s="3396"/>
      <c r="CK122" s="3396"/>
      <c r="CL122" s="3396"/>
      <c r="CM122" s="3396"/>
      <c r="CN122" s="3396"/>
      <c r="CO122" s="3396"/>
      <c r="CP122" s="3396"/>
      <c r="CQ122" s="3396"/>
      <c r="CR122" s="3396"/>
      <c r="CS122" s="3396"/>
      <c r="CT122" s="3396"/>
      <c r="CU122" s="3396"/>
      <c r="CV122" s="3396"/>
      <c r="CW122" s="3396"/>
      <c r="CX122" s="3396"/>
      <c r="CY122" s="75"/>
      <c r="DA122" s="75"/>
      <c r="DB122" s="75"/>
      <c r="DC122" s="75"/>
      <c r="DD122" s="75"/>
      <c r="DE122" s="75"/>
      <c r="DF122" s="75"/>
      <c r="DG122" s="75"/>
      <c r="DH122" s="75"/>
      <c r="DI122" s="75"/>
    </row>
    <row r="123" ht="26.25" customHeight="1" spans="1:113">
      <c r="A123" s="4063"/>
      <c r="B123" s="4063"/>
      <c r="C123" s="4072"/>
      <c r="D123" s="4072"/>
      <c r="E123" s="4072"/>
      <c r="F123" s="4072"/>
      <c r="G123" s="4072"/>
      <c r="H123" s="4072"/>
      <c r="I123" s="4063" t="s">
        <v>3716</v>
      </c>
      <c r="J123" s="4073" t="s">
        <v>5968</v>
      </c>
      <c r="K123" s="4073"/>
      <c r="L123" s="4073"/>
      <c r="M123" s="4073"/>
      <c r="N123" s="4073"/>
      <c r="O123" s="4073"/>
      <c r="P123" s="4073"/>
      <c r="Q123" s="4073"/>
      <c r="R123" s="4073"/>
      <c r="S123" s="4073"/>
      <c r="T123" s="4073"/>
      <c r="U123" s="4073"/>
      <c r="V123" s="4073"/>
      <c r="W123" s="4073"/>
      <c r="X123" s="4066"/>
      <c r="Y123" s="4074">
        <f>ROUND(UnosNovoZaposl!H625,0)</f>
        <v>0</v>
      </c>
      <c r="Z123" s="4074"/>
      <c r="AA123" s="4074"/>
      <c r="AB123" s="4074"/>
      <c r="AC123" s="4074"/>
      <c r="AD123" s="4074"/>
      <c r="AE123" s="4074"/>
      <c r="AF123" s="4074"/>
      <c r="AG123" s="4074"/>
      <c r="AH123" s="3395"/>
      <c r="AI123" s="4052"/>
      <c r="AJ123" s="4002"/>
      <c r="AK123" s="4002"/>
      <c r="AL123" s="4002"/>
      <c r="AM123" s="4002"/>
      <c r="AN123" s="4002"/>
      <c r="AO123" s="4002"/>
      <c r="AP123" s="4002"/>
      <c r="AQ123" s="3951"/>
      <c r="AR123" s="3951"/>
      <c r="AS123" s="3951"/>
      <c r="AT123" s="3951"/>
      <c r="AU123" s="3951"/>
      <c r="AV123" s="3395"/>
      <c r="AW123" s="3951"/>
      <c r="AX123" s="3951"/>
      <c r="AY123" s="3951"/>
      <c r="AZ123" s="3951"/>
      <c r="BA123" s="3951"/>
      <c r="BB123" s="3951"/>
      <c r="BC123" s="3951"/>
      <c r="BD123" s="3951"/>
      <c r="BE123" s="3952"/>
      <c r="BF123" s="3952"/>
      <c r="BG123" s="3952"/>
      <c r="BH123" s="3952"/>
      <c r="BI123" s="3952"/>
      <c r="BJ123" s="3952"/>
      <c r="BK123" s="3952"/>
      <c r="BL123" s="3952"/>
      <c r="BM123" s="3952"/>
      <c r="BN123" s="3952"/>
      <c r="BO123" s="3952"/>
      <c r="BP123" s="3952"/>
      <c r="BQ123" s="3952"/>
      <c r="BR123" s="3952"/>
      <c r="BS123" s="3952"/>
      <c r="BT123" s="3952"/>
      <c r="BU123" s="3952"/>
      <c r="BV123" s="3952"/>
      <c r="BW123" s="3952"/>
      <c r="BX123" s="3952"/>
      <c r="BY123" s="3952"/>
      <c r="BZ123" s="3952"/>
      <c r="CA123" s="3396"/>
      <c r="CB123" s="3396"/>
      <c r="CC123" s="3396"/>
      <c r="CD123" s="3396"/>
      <c r="CE123" s="3396"/>
      <c r="CF123" s="3396"/>
      <c r="CG123" s="3396"/>
      <c r="CH123" s="3396"/>
      <c r="CI123" s="3396"/>
      <c r="CJ123" s="3396"/>
      <c r="CK123" s="3396"/>
      <c r="CL123" s="3396"/>
      <c r="CM123" s="3396"/>
      <c r="CN123" s="3396"/>
      <c r="CO123" s="3396"/>
      <c r="CP123" s="3396"/>
      <c r="CQ123" s="3396"/>
      <c r="CR123" s="3396"/>
      <c r="CS123" s="3396"/>
      <c r="CT123" s="3396"/>
      <c r="CU123" s="3396"/>
      <c r="CV123" s="3396"/>
      <c r="CW123" s="3396"/>
      <c r="CX123" s="3396"/>
      <c r="CY123" s="75"/>
      <c r="DA123" s="75"/>
      <c r="DB123" s="75"/>
      <c r="DC123" s="75"/>
      <c r="DD123" s="75"/>
      <c r="DE123" s="75"/>
      <c r="DF123" s="75"/>
      <c r="DG123" s="75"/>
      <c r="DH123" s="75"/>
      <c r="DI123" s="75"/>
    </row>
    <row r="124" ht="18.75" customHeight="1" spans="1:113">
      <c r="A124" s="3969" t="s">
        <v>5969</v>
      </c>
      <c r="B124" s="3969"/>
      <c r="C124" s="3970" t="s">
        <v>5970</v>
      </c>
      <c r="D124" s="3971"/>
      <c r="E124" s="3971"/>
      <c r="F124" s="3971"/>
      <c r="G124" s="3971"/>
      <c r="H124" s="3971"/>
      <c r="I124" s="3971"/>
      <c r="J124" s="3971"/>
      <c r="K124" s="3971"/>
      <c r="L124" s="3971"/>
      <c r="M124" s="3971"/>
      <c r="N124" s="3971"/>
      <c r="O124" s="3971"/>
      <c r="P124" s="3971"/>
      <c r="Q124" s="3971"/>
      <c r="R124" s="3971"/>
      <c r="S124" s="3971"/>
      <c r="T124" s="3971"/>
      <c r="U124" s="3971"/>
      <c r="V124" s="3971"/>
      <c r="W124" s="3971"/>
      <c r="X124" s="3971"/>
      <c r="Y124" s="3972"/>
      <c r="Z124" s="3972"/>
      <c r="AA124" s="3972"/>
      <c r="AB124" s="3972"/>
      <c r="AC124" s="3972"/>
      <c r="AD124" s="3972"/>
      <c r="AE124" s="3972"/>
      <c r="AF124" s="3972"/>
      <c r="AG124" s="3973"/>
      <c r="AH124" s="3944"/>
      <c r="AI124" s="4075"/>
      <c r="AJ124" s="4076"/>
      <c r="AK124" s="4076"/>
      <c r="AL124" s="4076"/>
      <c r="AM124" s="4076"/>
      <c r="AN124" s="4076"/>
      <c r="AO124" s="4076"/>
      <c r="AP124" s="4055"/>
      <c r="AQ124" s="3951"/>
      <c r="AR124" s="3951"/>
      <c r="AS124" s="3951"/>
      <c r="AT124" s="3951"/>
      <c r="AU124" s="3951"/>
      <c r="AV124" s="3395"/>
      <c r="AW124" s="3951"/>
      <c r="AX124" s="3951"/>
      <c r="AY124" s="3951"/>
      <c r="AZ124" s="3951"/>
      <c r="BA124" s="3951"/>
      <c r="BB124" s="3951"/>
      <c r="BC124" s="3951"/>
      <c r="BD124" s="3951"/>
      <c r="BE124" s="3952"/>
      <c r="BF124" s="3952"/>
      <c r="BG124" s="3952"/>
      <c r="BH124" s="3952"/>
      <c r="BI124" s="3952"/>
      <c r="BJ124" s="3952"/>
      <c r="BK124" s="3952"/>
      <c r="BL124" s="3952"/>
      <c r="BM124" s="3952"/>
      <c r="BN124" s="3952"/>
      <c r="BO124" s="3952"/>
      <c r="BP124" s="3952"/>
      <c r="BQ124" s="3952"/>
      <c r="BR124" s="3952"/>
      <c r="BS124" s="3952"/>
      <c r="BT124" s="3952"/>
      <c r="BU124" s="3952"/>
      <c r="BV124" s="3952"/>
      <c r="BW124" s="3952"/>
      <c r="BX124" s="3952"/>
      <c r="BY124" s="3952"/>
      <c r="BZ124" s="3952"/>
      <c r="CA124" s="3396"/>
      <c r="CB124" s="3396"/>
      <c r="CC124" s="3396"/>
      <c r="CD124" s="3396"/>
      <c r="CE124" s="3396"/>
      <c r="CF124" s="3396"/>
      <c r="CG124" s="3396"/>
      <c r="CH124" s="3396"/>
      <c r="CI124" s="3396"/>
      <c r="CJ124" s="3396"/>
      <c r="CK124" s="3396"/>
      <c r="CL124" s="3396"/>
      <c r="CM124" s="3396"/>
      <c r="CN124" s="3396"/>
      <c r="CO124" s="3396"/>
      <c r="CP124" s="3396"/>
      <c r="CQ124" s="3396"/>
      <c r="CR124" s="3396"/>
      <c r="CS124" s="3396"/>
      <c r="CT124" s="3396"/>
      <c r="CU124" s="3396"/>
      <c r="CV124" s="3396"/>
      <c r="CW124" s="3396"/>
      <c r="CX124" s="3396"/>
      <c r="CY124" s="75"/>
    </row>
    <row r="125" ht="18.75" customHeight="1" spans="1:113">
      <c r="A125" s="3965" t="s">
        <v>5971</v>
      </c>
      <c r="B125" s="3965"/>
      <c r="C125" s="3994" t="s">
        <v>5972</v>
      </c>
      <c r="D125" s="3994"/>
      <c r="E125" s="3994"/>
      <c r="F125" s="3994"/>
      <c r="G125" s="3994"/>
      <c r="H125" s="3994"/>
      <c r="I125" s="3994"/>
      <c r="J125" s="3994"/>
      <c r="K125" s="3994"/>
      <c r="L125" s="3994"/>
      <c r="M125" s="3994"/>
      <c r="N125" s="3994"/>
      <c r="O125" s="3994"/>
      <c r="P125" s="3994"/>
      <c r="Q125" s="3994"/>
      <c r="R125" s="3994"/>
      <c r="S125" s="3994"/>
      <c r="T125" s="3994"/>
      <c r="U125" s="3994"/>
      <c r="V125" s="3994"/>
      <c r="W125" s="3994"/>
      <c r="X125" s="3965" t="s">
        <v>19</v>
      </c>
      <c r="Y125" s="3974">
        <f>PorBilans!AE132</f>
        <v>0</v>
      </c>
      <c r="Z125" s="3974"/>
      <c r="AA125" s="3974"/>
      <c r="AB125" s="3974"/>
      <c r="AC125" s="3974"/>
      <c r="AD125" s="3974"/>
      <c r="AE125" s="3974"/>
      <c r="AF125" s="3974"/>
      <c r="AG125" s="3974"/>
      <c r="AH125" s="3944"/>
      <c r="AI125" s="4052"/>
      <c r="AJ125" s="4002"/>
      <c r="AK125" s="4002"/>
      <c r="AL125" s="4002"/>
      <c r="AM125" s="4002"/>
      <c r="AN125" s="4002"/>
      <c r="AO125" s="4002"/>
      <c r="AP125" s="4002"/>
      <c r="AQ125" s="3951"/>
      <c r="AR125" s="3951"/>
      <c r="AS125" s="3951"/>
      <c r="AT125" s="3951"/>
      <c r="AU125" s="3951"/>
      <c r="AV125" s="3395"/>
      <c r="AW125" s="3951"/>
      <c r="AX125" s="3951"/>
      <c r="AY125" s="3951"/>
      <c r="AZ125" s="3951"/>
      <c r="BA125" s="3951"/>
      <c r="BB125" s="3951"/>
      <c r="BC125" s="3951"/>
      <c r="BD125" s="3951"/>
      <c r="BE125" s="3952"/>
      <c r="BF125" s="3952"/>
      <c r="BG125" s="3952"/>
      <c r="BH125" s="3952"/>
      <c r="BI125" s="3952"/>
      <c r="BJ125" s="3952"/>
      <c r="BK125" s="3952"/>
      <c r="BL125" s="3952"/>
      <c r="BM125" s="3952"/>
      <c r="BN125" s="3952"/>
      <c r="BO125" s="3952"/>
      <c r="BP125" s="3952"/>
      <c r="BQ125" s="3952"/>
      <c r="BR125" s="3952"/>
      <c r="BS125" s="3952"/>
      <c r="BT125" s="3952"/>
      <c r="BU125" s="3952"/>
      <c r="BV125" s="3952"/>
      <c r="BW125" s="3952"/>
      <c r="BX125" s="3952"/>
      <c r="BY125" s="3952"/>
      <c r="BZ125" s="3952"/>
      <c r="CA125" s="3396"/>
      <c r="CB125" s="3396"/>
      <c r="CC125" s="3396"/>
      <c r="CD125" s="3396"/>
      <c r="CE125" s="3396"/>
      <c r="CF125" s="3396"/>
      <c r="CG125" s="3396"/>
      <c r="CH125" s="3396"/>
      <c r="CI125" s="3396"/>
      <c r="CJ125" s="3396"/>
      <c r="CK125" s="3396"/>
      <c r="CL125" s="3396"/>
      <c r="CM125" s="3396"/>
      <c r="CN125" s="3396"/>
      <c r="CO125" s="3396"/>
      <c r="CP125" s="3396"/>
      <c r="CQ125" s="3396"/>
      <c r="CR125" s="3396"/>
      <c r="CS125" s="3396"/>
      <c r="CT125" s="3396"/>
      <c r="CU125" s="3396"/>
      <c r="CV125" s="3396"/>
      <c r="CW125" s="3396"/>
      <c r="CX125" s="3396"/>
      <c r="CY125" s="75"/>
    </row>
    <row r="126" ht="18.75" customHeight="1" spans="1:113">
      <c r="A126" s="3965" t="s">
        <v>5973</v>
      </c>
      <c r="B126" s="3965"/>
      <c r="C126" s="3994" t="s">
        <v>5974</v>
      </c>
      <c r="D126" s="3994"/>
      <c r="E126" s="3994"/>
      <c r="F126" s="3994"/>
      <c r="G126" s="3994"/>
      <c r="H126" s="3994"/>
      <c r="I126" s="3994"/>
      <c r="J126" s="3994"/>
      <c r="K126" s="3994"/>
      <c r="L126" s="3994"/>
      <c r="M126" s="3994"/>
      <c r="N126" s="3994"/>
      <c r="O126" s="3994"/>
      <c r="P126" s="3994"/>
      <c r="Q126" s="3994"/>
      <c r="R126" s="3994"/>
      <c r="S126" s="3994"/>
      <c r="T126" s="3994"/>
      <c r="U126" s="3994"/>
      <c r="V126" s="3994"/>
      <c r="W126" s="3994"/>
      <c r="X126" s="3967" t="s">
        <v>481</v>
      </c>
      <c r="Y126" s="3968">
        <f>AN12</f>
        <v>73141</v>
      </c>
      <c r="Z126" s="3968"/>
      <c r="AA126" s="3968"/>
      <c r="AB126" s="3968"/>
      <c r="AC126" s="3968"/>
      <c r="AD126" s="3968"/>
      <c r="AE126" s="3968"/>
      <c r="AF126" s="3968"/>
      <c r="AG126" s="3968"/>
      <c r="AH126" s="3944"/>
      <c r="AI126" s="4052"/>
      <c r="AJ126" s="4002"/>
      <c r="AK126" s="4002"/>
      <c r="AL126" s="4002"/>
      <c r="AM126" s="4002"/>
      <c r="AN126" s="4002"/>
      <c r="AO126" s="4002"/>
      <c r="AP126" s="4002"/>
      <c r="AQ126" s="3951"/>
      <c r="AR126" s="3951"/>
      <c r="AS126" s="3951"/>
      <c r="AT126" s="3951"/>
      <c r="AU126" s="3951"/>
      <c r="AV126" s="3395"/>
      <c r="AW126" s="3951"/>
      <c r="AX126" s="3951"/>
      <c r="AY126" s="3951"/>
      <c r="AZ126" s="3951"/>
      <c r="BA126" s="3951"/>
      <c r="BB126" s="3951"/>
      <c r="BC126" s="3951"/>
      <c r="BD126" s="3951"/>
      <c r="BE126" s="3952"/>
      <c r="BF126" s="3952"/>
      <c r="BG126" s="3952"/>
      <c r="BH126" s="3952"/>
      <c r="BI126" s="3952"/>
      <c r="BJ126" s="3952"/>
      <c r="BK126" s="3952"/>
      <c r="BL126" s="3952"/>
      <c r="BM126" s="3952"/>
      <c r="BN126" s="3952"/>
      <c r="BO126" s="3952"/>
      <c r="BP126" s="3952"/>
      <c r="BQ126" s="3952"/>
      <c r="BR126" s="3952"/>
      <c r="BS126" s="3952"/>
      <c r="BT126" s="3952"/>
      <c r="BU126" s="3952"/>
      <c r="BV126" s="3952"/>
      <c r="BW126" s="3952"/>
      <c r="BX126" s="3952"/>
      <c r="BY126" s="3952"/>
      <c r="BZ126" s="3952"/>
      <c r="CA126" s="3396"/>
      <c r="CB126" s="3396"/>
      <c r="CC126" s="3396"/>
      <c r="CD126" s="3396"/>
      <c r="CE126" s="3396"/>
      <c r="CF126" s="3396"/>
      <c r="CG126" s="3396"/>
      <c r="CH126" s="3396"/>
      <c r="CI126" s="3396"/>
      <c r="CJ126" s="3396"/>
      <c r="CK126" s="3396"/>
      <c r="CL126" s="3396"/>
      <c r="CM126" s="3396"/>
      <c r="CN126" s="3396"/>
      <c r="CO126" s="3396"/>
      <c r="CP126" s="3396"/>
      <c r="CQ126" s="3396"/>
      <c r="CR126" s="3396"/>
      <c r="CS126" s="3396"/>
      <c r="CT126" s="3396"/>
      <c r="CU126" s="3396"/>
      <c r="CV126" s="3396"/>
      <c r="CW126" s="3396"/>
      <c r="CX126" s="3396"/>
      <c r="CY126" s="75"/>
    </row>
    <row r="127" ht="18.75" customHeight="1" spans="1:113">
      <c r="A127" s="3965" t="s">
        <v>5975</v>
      </c>
      <c r="B127" s="3965"/>
      <c r="C127" s="3994" t="s">
        <v>3758</v>
      </c>
      <c r="D127" s="3994"/>
      <c r="E127" s="3994"/>
      <c r="F127" s="3994"/>
      <c r="G127" s="3994"/>
      <c r="H127" s="3994"/>
      <c r="I127" s="3994"/>
      <c r="J127" s="3994"/>
      <c r="K127" s="3994"/>
      <c r="L127" s="3994"/>
      <c r="M127" s="3994"/>
      <c r="N127" s="3994"/>
      <c r="O127" s="3994"/>
      <c r="P127" s="3994"/>
      <c r="Q127" s="3994"/>
      <c r="R127" s="3994"/>
      <c r="S127" s="3994"/>
      <c r="T127" s="3994"/>
      <c r="U127" s="3994"/>
      <c r="V127" s="3994"/>
      <c r="W127" s="3994"/>
      <c r="X127" s="3965" t="s">
        <v>19</v>
      </c>
      <c r="Y127" s="3990">
        <v>0</v>
      </c>
      <c r="Z127" s="3990"/>
      <c r="AA127" s="3990"/>
      <c r="AB127" s="3990"/>
      <c r="AC127" s="3990"/>
      <c r="AD127" s="3990"/>
      <c r="AE127" s="3990"/>
      <c r="AF127" s="3990"/>
      <c r="AG127" s="3990"/>
      <c r="AH127" s="4077"/>
      <c r="AI127" s="4052" t="s">
        <v>5976</v>
      </c>
      <c r="AJ127" s="4002"/>
      <c r="AK127" s="4002"/>
      <c r="AL127" s="4002"/>
      <c r="AM127" s="4002"/>
      <c r="AN127" s="4002"/>
      <c r="AO127" s="4002"/>
      <c r="AP127" s="4002"/>
      <c r="AQ127" s="3951"/>
      <c r="AR127" s="3951"/>
      <c r="AS127" s="3951"/>
      <c r="AT127" s="3951"/>
      <c r="AU127" s="3951"/>
      <c r="AV127" s="3395"/>
      <c r="AW127" s="3951"/>
      <c r="AX127" s="3951"/>
      <c r="AY127" s="3951"/>
      <c r="AZ127" s="3951"/>
      <c r="BA127" s="3951"/>
      <c r="BB127" s="3951"/>
      <c r="BC127" s="3951"/>
      <c r="BD127" s="3951"/>
      <c r="BE127" s="3952"/>
      <c r="BF127" s="3952"/>
      <c r="BG127" s="3952"/>
      <c r="BH127" s="3952"/>
      <c r="BI127" s="3952"/>
      <c r="BJ127" s="3952"/>
      <c r="BK127" s="3952"/>
      <c r="BL127" s="3952"/>
      <c r="BM127" s="3952"/>
      <c r="BN127" s="3952"/>
      <c r="BO127" s="3952"/>
      <c r="BP127" s="3952"/>
      <c r="BQ127" s="3952"/>
      <c r="BR127" s="3952"/>
      <c r="BS127" s="3952"/>
      <c r="BT127" s="3952"/>
      <c r="BU127" s="3952"/>
      <c r="BV127" s="3952"/>
      <c r="BW127" s="3952"/>
      <c r="BX127" s="3952"/>
      <c r="BY127" s="3952"/>
      <c r="BZ127" s="3952"/>
      <c r="CA127" s="3396"/>
      <c r="CB127" s="3396"/>
      <c r="CC127" s="3396"/>
      <c r="CD127" s="3396"/>
      <c r="CE127" s="3396"/>
      <c r="CF127" s="3396"/>
      <c r="CG127" s="3396"/>
      <c r="CH127" s="3396"/>
      <c r="CI127" s="3396"/>
      <c r="CJ127" s="3396"/>
      <c r="CK127" s="3396"/>
      <c r="CL127" s="3396"/>
      <c r="CM127" s="3396"/>
      <c r="CN127" s="3396"/>
      <c r="CO127" s="3396"/>
      <c r="CP127" s="3396"/>
      <c r="CQ127" s="3396"/>
      <c r="CR127" s="3396"/>
      <c r="CS127" s="3396"/>
      <c r="CT127" s="3396"/>
      <c r="CU127" s="3396"/>
      <c r="CV127" s="3396"/>
      <c r="CW127" s="3396"/>
      <c r="CX127" s="3396"/>
      <c r="CY127" s="75"/>
    </row>
    <row r="128" ht="18.75" customHeight="1" spans="1:113">
      <c r="A128" s="3965" t="s">
        <v>5977</v>
      </c>
      <c r="B128" s="3965"/>
      <c r="C128" s="3994" t="s">
        <v>5978</v>
      </c>
      <c r="D128" s="3994"/>
      <c r="E128" s="3994"/>
      <c r="F128" s="3994"/>
      <c r="G128" s="3994"/>
      <c r="H128" s="3994"/>
      <c r="I128" s="3994"/>
      <c r="J128" s="3994"/>
      <c r="K128" s="3994"/>
      <c r="L128" s="3994"/>
      <c r="M128" s="3994"/>
      <c r="N128" s="3994"/>
      <c r="O128" s="3994"/>
      <c r="P128" s="3994"/>
      <c r="Q128" s="3994"/>
      <c r="R128" s="3994"/>
      <c r="S128" s="3994"/>
      <c r="T128" s="3994"/>
      <c r="U128" s="3994"/>
      <c r="V128" s="3994"/>
      <c r="W128" s="3994"/>
      <c r="X128" s="3965" t="s">
        <v>19</v>
      </c>
      <c r="Y128" s="3990"/>
      <c r="Z128" s="3990"/>
      <c r="AA128" s="3990"/>
      <c r="AB128" s="3990"/>
      <c r="AC128" s="3990"/>
      <c r="AD128" s="3990"/>
      <c r="AE128" s="3990"/>
      <c r="AF128" s="3990"/>
      <c r="AG128" s="3990"/>
      <c r="AH128" s="3944"/>
      <c r="AI128" s="4002"/>
      <c r="AJ128" s="4002"/>
      <c r="AK128" s="4002"/>
      <c r="AL128" s="4002"/>
      <c r="AM128" s="4002"/>
      <c r="AN128" s="4002"/>
      <c r="AO128" s="4002"/>
      <c r="AP128" s="4002"/>
      <c r="AQ128" s="3951"/>
      <c r="AR128" s="3951"/>
      <c r="AS128" s="3951"/>
      <c r="AT128" s="3951"/>
      <c r="AU128" s="3951"/>
      <c r="AV128" s="3395"/>
      <c r="AW128" s="3951"/>
      <c r="AX128" s="3951"/>
      <c r="AY128" s="3951"/>
      <c r="AZ128" s="3951"/>
      <c r="BA128" s="3951"/>
      <c r="BB128" s="3951"/>
      <c r="BC128" s="3951"/>
      <c r="BD128" s="3951"/>
      <c r="BE128" s="3952"/>
      <c r="BF128" s="3952"/>
      <c r="BG128" s="3952"/>
      <c r="BH128" s="3952"/>
      <c r="BI128" s="3952"/>
      <c r="BJ128" s="3952"/>
      <c r="BK128" s="3952"/>
      <c r="BL128" s="3952"/>
      <c r="BM128" s="3952"/>
      <c r="BN128" s="3952"/>
      <c r="BO128" s="3952"/>
      <c r="BP128" s="3952"/>
      <c r="BQ128" s="3952"/>
      <c r="BR128" s="3952"/>
      <c r="BS128" s="3952"/>
      <c r="BT128" s="3952"/>
      <c r="BU128" s="3952"/>
      <c r="BV128" s="3952"/>
      <c r="BW128" s="3952"/>
      <c r="BX128" s="3952"/>
      <c r="BY128" s="3952"/>
      <c r="BZ128" s="3952"/>
      <c r="CA128" s="3396"/>
      <c r="CB128" s="3396"/>
      <c r="CC128" s="3396"/>
      <c r="CD128" s="3396"/>
      <c r="CE128" s="3396"/>
      <c r="CF128" s="3396"/>
      <c r="CG128" s="3396"/>
      <c r="CH128" s="3396"/>
      <c r="CI128" s="3396"/>
      <c r="CJ128" s="3396"/>
      <c r="CK128" s="3396"/>
      <c r="CL128" s="3396"/>
      <c r="CM128" s="3396"/>
      <c r="CN128" s="3396"/>
      <c r="CO128" s="3396"/>
      <c r="CP128" s="3396"/>
      <c r="CQ128" s="3396"/>
      <c r="CR128" s="3396"/>
      <c r="CS128" s="3396"/>
      <c r="CT128" s="3396"/>
      <c r="CU128" s="3396"/>
      <c r="CV128" s="3396"/>
      <c r="CW128" s="3396"/>
      <c r="CX128" s="3396"/>
      <c r="CY128" s="75"/>
    </row>
    <row r="129" ht="18.75" customHeight="1" spans="1:103">
      <c r="A129" s="3965" t="s">
        <v>5979</v>
      </c>
      <c r="B129" s="3965"/>
      <c r="C129" s="3994" t="s">
        <v>5980</v>
      </c>
      <c r="D129" s="3994"/>
      <c r="E129" s="3994"/>
      <c r="F129" s="3994"/>
      <c r="G129" s="3994"/>
      <c r="H129" s="3994"/>
      <c r="I129" s="3994"/>
      <c r="J129" s="3994"/>
      <c r="K129" s="3994"/>
      <c r="L129" s="3994"/>
      <c r="M129" s="3994"/>
      <c r="N129" s="3994"/>
      <c r="O129" s="3994"/>
      <c r="P129" s="3994"/>
      <c r="Q129" s="3994"/>
      <c r="R129" s="3994"/>
      <c r="S129" s="3994"/>
      <c r="T129" s="3994"/>
      <c r="U129" s="3994"/>
      <c r="V129" s="3994"/>
      <c r="W129" s="3994"/>
      <c r="X129" s="3965" t="s">
        <v>19</v>
      </c>
      <c r="Y129" s="3974">
        <f>IF(Y125-Y127&lt;0,0,Y125-Y127)</f>
        <v>0</v>
      </c>
      <c r="Z129" s="3974"/>
      <c r="AA129" s="3974"/>
      <c r="AB129" s="3974"/>
      <c r="AC129" s="3974"/>
      <c r="AD129" s="3974"/>
      <c r="AE129" s="3974"/>
      <c r="AF129" s="3974"/>
      <c r="AG129" s="3974"/>
      <c r="AH129" s="3944"/>
      <c r="AI129" s="4002"/>
      <c r="AJ129" s="4002"/>
      <c r="AK129" s="4002"/>
      <c r="AL129" s="4002"/>
      <c r="AM129" s="4002"/>
      <c r="AN129" s="4002"/>
      <c r="AO129" s="4002"/>
      <c r="AP129" s="4002"/>
      <c r="AQ129" s="3951"/>
      <c r="AR129" s="3951"/>
      <c r="AS129" s="3951"/>
      <c r="AT129" s="3951"/>
      <c r="AU129" s="3951"/>
      <c r="AV129" s="3395"/>
      <c r="AW129" s="3951"/>
      <c r="AX129" s="3951"/>
      <c r="AY129" s="3951"/>
      <c r="AZ129" s="3951"/>
      <c r="BA129" s="3951"/>
      <c r="BB129" s="3951"/>
      <c r="BC129" s="3951"/>
      <c r="BD129" s="3951"/>
      <c r="BE129" s="3952"/>
      <c r="BF129" s="3952"/>
      <c r="BG129" s="3952"/>
      <c r="BH129" s="3952"/>
      <c r="BI129" s="3952"/>
      <c r="BJ129" s="3952"/>
      <c r="BK129" s="3952"/>
      <c r="BL129" s="3952"/>
      <c r="BM129" s="3952"/>
      <c r="BN129" s="3952"/>
      <c r="BO129" s="3952"/>
      <c r="BP129" s="3952"/>
      <c r="BQ129" s="3952"/>
      <c r="BR129" s="3952"/>
      <c r="BS129" s="3952"/>
      <c r="BT129" s="3952"/>
      <c r="BU129" s="3952"/>
      <c r="BV129" s="3952"/>
      <c r="BW129" s="3952"/>
      <c r="BX129" s="3952"/>
      <c r="BY129" s="3952"/>
      <c r="BZ129" s="3952"/>
      <c r="CA129" s="3396"/>
      <c r="CB129" s="3396"/>
      <c r="CC129" s="3396"/>
      <c r="CD129" s="3396"/>
      <c r="CE129" s="3396"/>
      <c r="CF129" s="3396"/>
      <c r="CG129" s="3396"/>
      <c r="CH129" s="3396"/>
      <c r="CI129" s="3396"/>
      <c r="CJ129" s="3396"/>
      <c r="CK129" s="3396"/>
      <c r="CL129" s="3396"/>
      <c r="CM129" s="3396"/>
      <c r="CN129" s="3396"/>
      <c r="CO129" s="3396"/>
      <c r="CP129" s="3396"/>
      <c r="CQ129" s="3396"/>
      <c r="CR129" s="3396"/>
      <c r="CS129" s="3396"/>
      <c r="CT129" s="3396"/>
      <c r="CU129" s="3396"/>
      <c r="CV129" s="3396"/>
      <c r="CW129" s="3396"/>
      <c r="CX129" s="3396"/>
      <c r="CY129" s="75"/>
    </row>
    <row r="130" ht="18.75" customHeight="1" spans="1:103">
      <c r="A130" s="3965" t="s">
        <v>5981</v>
      </c>
      <c r="B130" s="3965"/>
      <c r="C130" s="3994" t="s">
        <v>5982</v>
      </c>
      <c r="D130" s="3994"/>
      <c r="E130" s="3994"/>
      <c r="F130" s="3994"/>
      <c r="G130" s="3994"/>
      <c r="H130" s="3994"/>
      <c r="I130" s="3994"/>
      <c r="J130" s="3994"/>
      <c r="K130" s="3994"/>
      <c r="L130" s="3994"/>
      <c r="M130" s="3994"/>
      <c r="N130" s="3994"/>
      <c r="O130" s="3994"/>
      <c r="P130" s="3994"/>
      <c r="Q130" s="3994"/>
      <c r="R130" s="3994"/>
      <c r="S130" s="3994"/>
      <c r="T130" s="3994"/>
      <c r="U130" s="3994"/>
      <c r="V130" s="3994"/>
      <c r="W130" s="3994"/>
      <c r="X130" s="3965" t="s">
        <v>19</v>
      </c>
      <c r="Y130" s="3974">
        <f>IF(Y127-Y125&lt;0,0,Y127-Y125)</f>
        <v>0</v>
      </c>
      <c r="Z130" s="3974"/>
      <c r="AA130" s="3974"/>
      <c r="AB130" s="3974"/>
      <c r="AC130" s="3974"/>
      <c r="AD130" s="3974"/>
      <c r="AE130" s="3974"/>
      <c r="AF130" s="3974"/>
      <c r="AG130" s="3974"/>
      <c r="AH130" s="3944"/>
      <c r="AI130" s="4002"/>
      <c r="AJ130" s="4002"/>
      <c r="AK130" s="4002"/>
      <c r="AL130" s="4002"/>
      <c r="AM130" s="4002"/>
      <c r="AN130" s="4002"/>
      <c r="AO130" s="4002"/>
      <c r="AP130" s="4002"/>
      <c r="AQ130" s="3951"/>
      <c r="AR130" s="3951"/>
      <c r="AS130" s="3951"/>
      <c r="AT130" s="3951"/>
      <c r="AU130" s="3951"/>
      <c r="AV130" s="3395"/>
      <c r="AW130" s="3951"/>
      <c r="AX130" s="3951"/>
      <c r="AY130" s="3951"/>
      <c r="AZ130" s="3951"/>
      <c r="BA130" s="3951"/>
      <c r="BB130" s="3951"/>
      <c r="BC130" s="3951"/>
      <c r="BD130" s="3951"/>
      <c r="BE130" s="3952"/>
      <c r="BF130" s="3952"/>
      <c r="BG130" s="3952"/>
      <c r="BH130" s="3952"/>
      <c r="BI130" s="3952"/>
      <c r="BJ130" s="3952"/>
      <c r="BK130" s="3952"/>
      <c r="BL130" s="3952"/>
      <c r="BM130" s="3952"/>
      <c r="BN130" s="3952"/>
      <c r="BO130" s="3952"/>
      <c r="BP130" s="3952"/>
      <c r="BQ130" s="3952"/>
      <c r="BR130" s="3952"/>
      <c r="BS130" s="3952"/>
      <c r="BT130" s="3952"/>
      <c r="BU130" s="3952"/>
      <c r="BV130" s="3952"/>
      <c r="BW130" s="3952"/>
      <c r="BX130" s="3952"/>
      <c r="BY130" s="3952"/>
      <c r="BZ130" s="3952"/>
      <c r="CA130" s="3396"/>
      <c r="CB130" s="3396"/>
      <c r="CC130" s="3396"/>
      <c r="CD130" s="3396"/>
      <c r="CE130" s="3396"/>
      <c r="CF130" s="3396"/>
      <c r="CG130" s="3396"/>
      <c r="CH130" s="3396"/>
      <c r="CI130" s="3396"/>
      <c r="CJ130" s="3396"/>
      <c r="CK130" s="3396"/>
      <c r="CL130" s="3396"/>
      <c r="CM130" s="3396"/>
      <c r="CN130" s="3396"/>
      <c r="CO130" s="3396"/>
      <c r="CP130" s="3396"/>
      <c r="CQ130" s="3396"/>
      <c r="CR130" s="3396"/>
      <c r="CS130" s="3396"/>
      <c r="CT130" s="3396"/>
      <c r="CU130" s="3396"/>
      <c r="CV130" s="3396"/>
      <c r="CW130" s="3396"/>
      <c r="CX130" s="3396"/>
      <c r="CY130" s="75"/>
    </row>
    <row r="131" spans="1:103">
      <c r="A131" s="3395"/>
      <c r="B131" s="3395"/>
      <c r="C131" s="3395"/>
      <c r="D131" s="3395"/>
      <c r="E131" s="3395"/>
      <c r="F131" s="3395"/>
      <c r="G131" s="3395"/>
      <c r="H131" s="3395"/>
      <c r="I131" s="3395"/>
      <c r="J131" s="3395"/>
      <c r="K131" s="3395"/>
      <c r="L131" s="3395"/>
      <c r="M131" s="3395"/>
      <c r="N131" s="3395"/>
      <c r="O131" s="3395"/>
      <c r="P131" s="3395"/>
      <c r="Q131" s="3395"/>
      <c r="R131" s="3395"/>
      <c r="S131" s="3395"/>
      <c r="T131" s="3395"/>
      <c r="U131" s="3395"/>
      <c r="V131" s="3395"/>
      <c r="W131" s="3395"/>
      <c r="X131" s="3395"/>
      <c r="Y131" s="3395"/>
      <c r="Z131" s="3395"/>
      <c r="AA131" s="3395"/>
      <c r="AB131" s="3395"/>
      <c r="AC131" s="3395"/>
      <c r="AD131" s="3395"/>
      <c r="AE131" s="3395"/>
      <c r="AF131" s="3395"/>
      <c r="AG131" s="3395"/>
      <c r="AH131" s="3395"/>
      <c r="AI131" s="3395"/>
      <c r="AJ131" s="3395"/>
      <c r="AK131" s="3395"/>
      <c r="AL131" s="3395"/>
      <c r="AM131" s="3395"/>
      <c r="AN131" s="3395"/>
      <c r="AO131" s="3395"/>
      <c r="AP131" s="3395"/>
      <c r="AQ131" s="3395"/>
      <c r="AR131" s="3395"/>
      <c r="AS131" s="3395"/>
      <c r="AT131" s="3395"/>
      <c r="AU131" s="3395"/>
      <c r="AV131" s="3395"/>
      <c r="AW131" s="3395"/>
      <c r="AX131" s="3395"/>
      <c r="AY131" s="3395"/>
      <c r="AZ131" s="3395"/>
      <c r="BA131" s="3395"/>
      <c r="BB131" s="3395"/>
      <c r="BC131" s="3395"/>
      <c r="BD131" s="3395"/>
      <c r="BE131" s="3395"/>
      <c r="BF131" s="3395"/>
      <c r="BG131" s="3395"/>
      <c r="BH131" s="3395"/>
      <c r="BI131" s="3395"/>
      <c r="BJ131" s="3395"/>
      <c r="BK131" s="3395"/>
      <c r="BL131" s="3395"/>
      <c r="BM131" s="3395"/>
      <c r="BN131" s="3395"/>
      <c r="BO131" s="3395"/>
      <c r="BP131" s="3395"/>
      <c r="BQ131" s="3395"/>
      <c r="BR131" s="3395"/>
      <c r="BS131" s="3395"/>
      <c r="BT131" s="3395"/>
      <c r="BU131" s="3395"/>
      <c r="BV131" s="3395"/>
      <c r="BW131" s="3395"/>
      <c r="BX131" s="3395"/>
      <c r="BY131" s="3395"/>
      <c r="BZ131" s="3395"/>
      <c r="CA131" s="3396"/>
      <c r="CB131" s="3396"/>
      <c r="CC131" s="3396"/>
      <c r="CD131" s="3396"/>
      <c r="CE131" s="3396"/>
      <c r="CF131" s="3396"/>
      <c r="CG131" s="3396"/>
      <c r="CH131" s="3396"/>
      <c r="CI131" s="3396"/>
      <c r="CJ131" s="3396"/>
      <c r="CK131" s="3396"/>
      <c r="CL131" s="3396"/>
      <c r="CM131" s="3396"/>
      <c r="CN131" s="3396"/>
      <c r="CO131" s="3396"/>
      <c r="CP131" s="3396"/>
      <c r="CQ131" s="3396"/>
      <c r="CR131" s="3396"/>
      <c r="CS131" s="3396"/>
      <c r="CT131" s="3396"/>
      <c r="CU131" s="3396"/>
      <c r="CV131" s="3396"/>
      <c r="CW131" s="3396"/>
      <c r="CX131" s="3396"/>
    </row>
    <row r="132" spans="1:103">
      <c r="A132" s="3395"/>
      <c r="B132" s="3395"/>
      <c r="C132" s="3395"/>
      <c r="D132" s="3395"/>
      <c r="E132" s="3395"/>
      <c r="F132" s="3395"/>
      <c r="G132" s="3395"/>
      <c r="H132" s="3395"/>
      <c r="I132" s="3395"/>
      <c r="J132" s="3395"/>
      <c r="K132" s="3395"/>
      <c r="L132" s="3395"/>
      <c r="M132" s="3395"/>
      <c r="N132" s="3395"/>
      <c r="O132" s="3395"/>
      <c r="P132" s="3395"/>
      <c r="Q132" s="3395"/>
      <c r="R132" s="3395"/>
      <c r="S132" s="3395"/>
      <c r="T132" s="3395"/>
      <c r="U132" s="3395"/>
      <c r="V132" s="3395"/>
      <c r="W132" s="3395"/>
      <c r="X132" s="3395"/>
      <c r="Y132" s="3395"/>
      <c r="Z132" s="3395"/>
      <c r="AA132" s="3395"/>
      <c r="AB132" s="3395"/>
      <c r="AC132" s="3395"/>
      <c r="AD132" s="3395"/>
      <c r="AE132" s="3395"/>
      <c r="AF132" s="3395"/>
      <c r="AG132" s="3395"/>
      <c r="AH132" s="3395"/>
      <c r="AI132" s="3395"/>
      <c r="AJ132" s="3395"/>
      <c r="AK132" s="3395"/>
      <c r="AL132" s="3395"/>
      <c r="AM132" s="3395"/>
      <c r="AN132" s="3395"/>
      <c r="AO132" s="3395"/>
      <c r="AP132" s="3395"/>
      <c r="AQ132" s="3395"/>
      <c r="AR132" s="3395"/>
      <c r="AS132" s="3395"/>
      <c r="AT132" s="3395"/>
      <c r="AU132" s="3395"/>
      <c r="AV132" s="3395"/>
      <c r="AW132" s="3395"/>
      <c r="AX132" s="3395"/>
      <c r="AY132" s="3395"/>
      <c r="AZ132" s="3395"/>
      <c r="BA132" s="3395"/>
      <c r="BB132" s="3395"/>
      <c r="BC132" s="3395"/>
      <c r="BD132" s="3395"/>
      <c r="BE132" s="3395"/>
      <c r="BF132" s="3395"/>
      <c r="BG132" s="3395"/>
      <c r="BH132" s="3395"/>
      <c r="BI132" s="3395"/>
      <c r="BJ132" s="3395"/>
      <c r="BK132" s="3395"/>
      <c r="BL132" s="3395"/>
      <c r="BM132" s="3395"/>
      <c r="BN132" s="3395"/>
      <c r="BO132" s="3395"/>
      <c r="BP132" s="3395"/>
      <c r="BQ132" s="3395"/>
      <c r="BR132" s="3395"/>
      <c r="BS132" s="3395"/>
      <c r="BT132" s="3395"/>
      <c r="BU132" s="3395"/>
      <c r="BV132" s="3395"/>
      <c r="BW132" s="3395"/>
      <c r="BX132" s="3395"/>
      <c r="BY132" s="3395"/>
      <c r="BZ132" s="3395"/>
      <c r="CA132" s="3396"/>
      <c r="CB132" s="3396"/>
      <c r="CC132" s="3396"/>
      <c r="CD132" s="3396"/>
      <c r="CE132" s="3396"/>
      <c r="CF132" s="3396"/>
      <c r="CG132" s="3396"/>
      <c r="CH132" s="3396"/>
      <c r="CI132" s="3396"/>
      <c r="CJ132" s="3396"/>
      <c r="CK132" s="3396"/>
      <c r="CL132" s="3396"/>
      <c r="CM132" s="3396"/>
      <c r="CN132" s="3396"/>
      <c r="CO132" s="3396"/>
      <c r="CP132" s="3396"/>
      <c r="CQ132" s="3396"/>
      <c r="CR132" s="3396"/>
      <c r="CS132" s="3396"/>
      <c r="CT132" s="3396"/>
      <c r="CU132" s="3396"/>
      <c r="CV132" s="3396"/>
      <c r="CW132" s="3396"/>
      <c r="CX132" s="3396"/>
    </row>
    <row r="133" spans="1:103">
      <c r="A133" s="3395"/>
      <c r="B133" s="3395"/>
      <c r="C133" s="3395"/>
      <c r="D133" s="3395"/>
      <c r="E133" s="3395"/>
      <c r="F133" s="3395"/>
      <c r="G133" s="3395"/>
      <c r="H133" s="3395"/>
      <c r="I133" s="3395"/>
      <c r="J133" s="3395"/>
      <c r="K133" s="3395"/>
      <c r="L133" s="3395"/>
      <c r="M133" s="3395"/>
      <c r="N133" s="3395"/>
      <c r="O133" s="3395"/>
      <c r="P133" s="3395"/>
      <c r="Q133" s="3395"/>
      <c r="R133" s="3395"/>
      <c r="S133" s="3395"/>
      <c r="T133" s="3395"/>
      <c r="U133" s="3395"/>
      <c r="V133" s="3395"/>
      <c r="W133" s="3395"/>
      <c r="X133" s="3395"/>
      <c r="Y133" s="3395"/>
      <c r="Z133" s="3395"/>
      <c r="AA133" s="3395"/>
      <c r="AB133" s="3395"/>
      <c r="AC133" s="3395"/>
      <c r="AD133" s="3395"/>
      <c r="AE133" s="3395"/>
      <c r="AF133" s="3395"/>
      <c r="AG133" s="3395"/>
      <c r="AH133" s="3395"/>
      <c r="AI133" s="3395"/>
      <c r="AJ133" s="3395"/>
      <c r="AK133" s="3395"/>
      <c r="AL133" s="3395"/>
      <c r="AM133" s="3395"/>
      <c r="AN133" s="3395"/>
      <c r="AO133" s="3395"/>
      <c r="AP133" s="3395"/>
      <c r="AQ133" s="3395"/>
      <c r="AR133" s="3395"/>
      <c r="AS133" s="3395"/>
      <c r="AT133" s="3395"/>
      <c r="AU133" s="3395"/>
      <c r="AV133" s="3395"/>
      <c r="AW133" s="3395"/>
      <c r="AX133" s="3395"/>
      <c r="AY133" s="3395"/>
      <c r="AZ133" s="3395"/>
      <c r="BA133" s="3395"/>
      <c r="BB133" s="3395"/>
      <c r="BC133" s="3395"/>
      <c r="BD133" s="3395"/>
      <c r="BE133" s="3395"/>
      <c r="BF133" s="3395"/>
      <c r="BG133" s="3395"/>
      <c r="BH133" s="3395"/>
      <c r="BI133" s="3395"/>
      <c r="BJ133" s="3395"/>
      <c r="BK133" s="3395"/>
      <c r="BL133" s="3395"/>
      <c r="BM133" s="3395"/>
      <c r="BN133" s="3395"/>
      <c r="BO133" s="3395"/>
      <c r="BP133" s="3395"/>
      <c r="BQ133" s="3395"/>
      <c r="BR133" s="3395"/>
      <c r="BS133" s="3395"/>
      <c r="BT133" s="3395"/>
      <c r="BU133" s="3395"/>
      <c r="BV133" s="3395"/>
      <c r="BW133" s="3395"/>
      <c r="BX133" s="3395"/>
      <c r="BY133" s="3395"/>
      <c r="BZ133" s="3395"/>
      <c r="CA133" s="3396"/>
      <c r="CB133" s="3396"/>
      <c r="CC133" s="3396"/>
      <c r="CD133" s="3396"/>
      <c r="CE133" s="3396"/>
      <c r="CF133" s="3396"/>
      <c r="CG133" s="3396"/>
      <c r="CH133" s="3396"/>
      <c r="CI133" s="3396"/>
      <c r="CJ133" s="3396"/>
      <c r="CK133" s="3396"/>
      <c r="CL133" s="3396"/>
      <c r="CM133" s="3396"/>
      <c r="CN133" s="3396"/>
      <c r="CO133" s="3396"/>
      <c r="CP133" s="3396"/>
      <c r="CQ133" s="3396"/>
      <c r="CR133" s="3396"/>
      <c r="CS133" s="3396"/>
      <c r="CT133" s="3396"/>
      <c r="CU133" s="3396"/>
      <c r="CV133" s="3396"/>
      <c r="CW133" s="3396"/>
      <c r="CX133" s="3396"/>
    </row>
    <row r="134" spans="1:103">
      <c r="A134" s="3395"/>
      <c r="B134" s="3395"/>
      <c r="C134" s="3395"/>
      <c r="D134" s="3395"/>
      <c r="E134" s="3395"/>
      <c r="F134" s="3395"/>
      <c r="G134" s="3395"/>
      <c r="H134" s="3395"/>
      <c r="I134" s="3395"/>
      <c r="J134" s="3395"/>
      <c r="K134" s="3395"/>
      <c r="L134" s="3395"/>
      <c r="M134" s="3395"/>
      <c r="N134" s="3395"/>
      <c r="O134" s="3395"/>
      <c r="P134" s="3395"/>
      <c r="Q134" s="3395"/>
      <c r="R134" s="3395"/>
      <c r="S134" s="3395"/>
      <c r="T134" s="3395"/>
      <c r="U134" s="3395"/>
      <c r="V134" s="3395"/>
      <c r="W134" s="3395"/>
      <c r="X134" s="3395"/>
      <c r="Y134" s="3395"/>
      <c r="Z134" s="3395"/>
      <c r="AA134" s="3395"/>
      <c r="AB134" s="3395"/>
      <c r="AC134" s="3395"/>
      <c r="AD134" s="3395"/>
      <c r="AE134" s="3395"/>
      <c r="AF134" s="3395"/>
      <c r="AG134" s="3395"/>
      <c r="AH134" s="3395"/>
      <c r="AI134" s="3395"/>
      <c r="AJ134" s="3395"/>
      <c r="AK134" s="3395"/>
      <c r="AL134" s="3395"/>
      <c r="AM134" s="3395"/>
      <c r="AN134" s="3395"/>
      <c r="AO134" s="3395"/>
      <c r="AP134" s="3395"/>
      <c r="AQ134" s="3395"/>
      <c r="AR134" s="3395"/>
      <c r="AS134" s="3395"/>
      <c r="AT134" s="3395"/>
      <c r="AU134" s="3395"/>
      <c r="AV134" s="3395"/>
      <c r="AW134" s="3395"/>
      <c r="AX134" s="3395"/>
      <c r="AY134" s="3395"/>
      <c r="AZ134" s="3395"/>
      <c r="BA134" s="3395"/>
      <c r="BB134" s="3395"/>
      <c r="BC134" s="3395"/>
      <c r="BD134" s="3395"/>
      <c r="BE134" s="3395"/>
      <c r="BF134" s="3395"/>
      <c r="BG134" s="3395"/>
      <c r="BH134" s="3395"/>
      <c r="BI134" s="3395"/>
      <c r="BJ134" s="3395"/>
      <c r="BK134" s="3395"/>
      <c r="BL134" s="3395"/>
      <c r="BM134" s="3395"/>
      <c r="BN134" s="3395"/>
      <c r="BO134" s="3395"/>
      <c r="BP134" s="3395"/>
      <c r="BQ134" s="3395"/>
      <c r="BR134" s="3395"/>
      <c r="BS134" s="3395"/>
      <c r="BT134" s="3395"/>
      <c r="BU134" s="3395"/>
      <c r="BV134" s="3395"/>
      <c r="BW134" s="3395"/>
      <c r="BX134" s="3395"/>
      <c r="BY134" s="3395"/>
      <c r="BZ134" s="3395"/>
      <c r="CA134" s="3396"/>
      <c r="CB134" s="3396"/>
      <c r="CC134" s="3396"/>
      <c r="CD134" s="3396"/>
      <c r="CE134" s="3396"/>
      <c r="CF134" s="3396"/>
      <c r="CG134" s="3396"/>
      <c r="CH134" s="3396"/>
      <c r="CI134" s="3396"/>
      <c r="CJ134" s="3396"/>
      <c r="CK134" s="3396"/>
      <c r="CL134" s="3396"/>
      <c r="CM134" s="3396"/>
      <c r="CN134" s="3396"/>
      <c r="CO134" s="3396"/>
      <c r="CP134" s="3396"/>
      <c r="CQ134" s="3396"/>
      <c r="CR134" s="3396"/>
      <c r="CS134" s="3396"/>
      <c r="CT134" s="3396"/>
      <c r="CU134" s="3396"/>
      <c r="CV134" s="3396"/>
      <c r="CW134" s="3396"/>
      <c r="CX134" s="3396"/>
    </row>
    <row r="135" s="75" customFormat="1" ht="26.25" customHeight="1" spans="1:103">
      <c r="A135" s="3884" t="s">
        <v>5983</v>
      </c>
      <c r="B135" s="3399"/>
      <c r="C135" s="3399"/>
      <c r="D135" s="3399"/>
      <c r="E135" s="3399"/>
      <c r="F135" s="3400"/>
      <c r="G135" s="3400"/>
      <c r="H135" s="3400"/>
      <c r="I135" s="3400"/>
      <c r="J135" s="3400"/>
      <c r="K135" s="3400"/>
      <c r="L135" s="3400"/>
      <c r="M135" s="3400"/>
      <c r="N135" s="3400"/>
      <c r="O135" s="3400"/>
      <c r="P135" s="3400"/>
      <c r="Q135" s="3400"/>
      <c r="R135" s="3398"/>
      <c r="S135" s="3398"/>
      <c r="T135" s="3398"/>
      <c r="U135" s="3398"/>
      <c r="V135" s="3398"/>
      <c r="W135" s="3398"/>
      <c r="X135" s="3398"/>
      <c r="Y135" s="3398"/>
      <c r="Z135" s="3398"/>
      <c r="AA135" s="3398"/>
      <c r="AB135" s="3398"/>
      <c r="AC135" s="3398"/>
      <c r="AD135" s="3398"/>
      <c r="AE135" s="3398"/>
      <c r="AF135" s="3398"/>
      <c r="AG135" s="3398"/>
      <c r="AH135" s="3398"/>
      <c r="AI135" s="3398"/>
      <c r="AJ135" s="3398"/>
      <c r="AK135" s="3398"/>
      <c r="AL135" s="3398"/>
      <c r="AM135" s="3398"/>
      <c r="AN135" s="3398"/>
      <c r="AO135" s="3398"/>
      <c r="AP135" s="3398"/>
      <c r="AQ135" s="3398"/>
      <c r="AR135" s="3398"/>
      <c r="AS135" s="3401"/>
      <c r="AT135" s="3398"/>
      <c r="AU135" s="3398"/>
      <c r="AV135" s="3398"/>
      <c r="AW135" s="3398"/>
      <c r="AX135" s="3398"/>
      <c r="AY135" s="3398"/>
      <c r="AZ135" s="3398"/>
      <c r="BA135" s="3398"/>
      <c r="BB135" s="3398"/>
      <c r="BC135" s="3398"/>
      <c r="BD135" s="3398"/>
      <c r="BE135" s="3396"/>
      <c r="BF135" s="3396"/>
      <c r="BG135" s="3396"/>
      <c r="BH135" s="3396"/>
      <c r="BI135" s="3396"/>
      <c r="BJ135" s="3396"/>
      <c r="BK135" s="3396"/>
      <c r="BL135" s="3396"/>
      <c r="BM135" s="3395"/>
      <c r="BN135" s="3395"/>
      <c r="BO135" s="3395"/>
      <c r="BP135" s="3395"/>
      <c r="BQ135" s="3395"/>
      <c r="BR135" s="3395"/>
      <c r="BS135" s="3395"/>
      <c r="BT135" s="3395"/>
      <c r="BU135" s="3395"/>
      <c r="BV135" s="3395"/>
      <c r="BW135" s="3395"/>
      <c r="BX135" s="3395"/>
      <c r="BY135" s="3395"/>
      <c r="BZ135" s="3395"/>
      <c r="CA135" s="3396"/>
      <c r="CB135" s="3396"/>
      <c r="CC135" s="3396"/>
      <c r="CD135" s="3396"/>
      <c r="CE135" s="3396"/>
      <c r="CF135" s="3396"/>
      <c r="CG135" s="3396"/>
      <c r="CH135" s="3396"/>
      <c r="CI135" s="3396"/>
      <c r="CJ135" s="3396"/>
      <c r="CK135" s="3396"/>
      <c r="CL135" s="3396"/>
      <c r="CM135" s="3396"/>
      <c r="CN135" s="3396"/>
      <c r="CO135" s="3396"/>
      <c r="CP135" s="3396"/>
      <c r="CQ135" s="3396"/>
      <c r="CR135" s="3396"/>
      <c r="CS135" s="3396"/>
      <c r="CT135" s="3396"/>
      <c r="CU135" s="3396"/>
      <c r="CV135" s="3396"/>
      <c r="CW135" s="3396"/>
      <c r="CX135" s="3396"/>
    </row>
    <row r="136" s="75" customFormat="1" ht="18" customHeight="1" spans="1:103">
      <c r="A136" s="4078" t="s">
        <v>5984</v>
      </c>
      <c r="B136" s="3951"/>
      <c r="C136" s="3951"/>
      <c r="D136" s="3951"/>
      <c r="E136" s="3951"/>
      <c r="F136" s="3951"/>
      <c r="G136" s="3951"/>
      <c r="H136" s="3951"/>
      <c r="I136" s="3951"/>
      <c r="J136" s="3951"/>
      <c r="K136" s="3951"/>
      <c r="L136" s="3951"/>
      <c r="M136" s="3951"/>
      <c r="N136" s="3951"/>
      <c r="O136" s="3951"/>
      <c r="P136" s="3951"/>
      <c r="Q136" s="3951"/>
      <c r="R136" s="3951"/>
      <c r="S136" s="3951"/>
      <c r="T136" s="3951"/>
      <c r="U136" s="3951"/>
      <c r="V136" s="3951"/>
      <c r="W136" s="3951"/>
      <c r="X136" s="3951"/>
      <c r="Y136" s="3951"/>
      <c r="Z136" s="3951"/>
      <c r="AA136" s="3951"/>
      <c r="AB136" s="3951"/>
      <c r="AC136" s="3951"/>
      <c r="AD136" s="3951"/>
      <c r="AE136" s="3951"/>
      <c r="AF136" s="3951"/>
      <c r="AG136" s="3951"/>
      <c r="AH136" s="3951"/>
      <c r="AI136" s="3951"/>
      <c r="AJ136" s="3951"/>
      <c r="AK136" s="3951"/>
      <c r="AL136" s="3951"/>
      <c r="AM136" s="3951"/>
      <c r="AN136" s="3951"/>
      <c r="AO136" s="3951"/>
      <c r="AP136" s="3951"/>
      <c r="AQ136" s="3951"/>
      <c r="AR136" s="3951"/>
      <c r="AS136" s="3951"/>
      <c r="AT136" s="3951"/>
      <c r="AU136" s="3951"/>
      <c r="AV136" s="3951"/>
      <c r="AW136" s="3951"/>
      <c r="AX136" s="3951"/>
      <c r="AY136" s="3951"/>
      <c r="AZ136" s="3951"/>
      <c r="BA136" s="3951"/>
      <c r="BB136" s="3951"/>
      <c r="BC136" s="3951"/>
      <c r="BD136" s="3951"/>
      <c r="BE136" s="3951"/>
      <c r="BF136" s="3951"/>
      <c r="BG136" s="3951"/>
      <c r="BH136" s="3951"/>
      <c r="BI136" s="3951"/>
      <c r="BJ136" s="3951"/>
      <c r="BK136" s="3951"/>
      <c r="BL136" s="3951"/>
      <c r="BM136" s="3951"/>
      <c r="BN136" s="3951"/>
      <c r="BO136" s="3951"/>
      <c r="BP136" s="3951"/>
      <c r="BQ136" s="3951"/>
      <c r="BR136" s="3951"/>
      <c r="BS136" s="3951"/>
      <c r="BT136" s="3951"/>
      <c r="BU136" s="3951"/>
      <c r="BV136" s="3951"/>
      <c r="BW136" s="3951"/>
      <c r="BX136" s="3951"/>
      <c r="BY136" s="3951"/>
      <c r="BZ136" s="3951"/>
      <c r="CA136" s="3396"/>
      <c r="CB136" s="3396"/>
      <c r="CC136" s="3396"/>
      <c r="CD136" s="3396"/>
      <c r="CE136" s="3396"/>
      <c r="CF136" s="3396"/>
      <c r="CG136" s="3396"/>
      <c r="CH136" s="3396"/>
      <c r="CI136" s="3396"/>
      <c r="CJ136" s="3396"/>
      <c r="CK136" s="3396"/>
      <c r="CL136" s="3396"/>
      <c r="CM136" s="3396"/>
      <c r="CN136" s="3396"/>
      <c r="CO136" s="3396"/>
      <c r="CP136" s="3396"/>
      <c r="CQ136" s="3396"/>
      <c r="CR136" s="3396"/>
      <c r="CS136" s="3396"/>
      <c r="CT136" s="3396"/>
      <c r="CU136" s="3396"/>
      <c r="CV136" s="3396"/>
      <c r="CW136" s="3396"/>
      <c r="CX136" s="3396"/>
    </row>
    <row r="137" s="75" customFormat="1" ht="41.25" customHeight="1" spans="1:103">
      <c r="A137" s="4079" t="s">
        <v>5985</v>
      </c>
      <c r="B137" s="4079"/>
      <c r="C137" s="4079" t="s">
        <v>5986</v>
      </c>
      <c r="D137" s="4079"/>
      <c r="E137" s="4079"/>
      <c r="F137" s="4079"/>
      <c r="G137" s="4079"/>
      <c r="H137" s="4079"/>
      <c r="I137" s="4079"/>
      <c r="J137" s="4079"/>
      <c r="K137" s="4079"/>
      <c r="L137" s="4079"/>
      <c r="M137" s="4079"/>
      <c r="N137" s="4079"/>
      <c r="O137" s="4079"/>
      <c r="P137" s="4079"/>
      <c r="Q137" s="4079"/>
      <c r="R137" s="4079" t="s">
        <v>5987</v>
      </c>
      <c r="S137" s="4079"/>
      <c r="T137" s="4079"/>
      <c r="U137" s="4079"/>
      <c r="V137" s="4079"/>
      <c r="W137" s="4079"/>
      <c r="X137" s="4079" t="s">
        <v>5988</v>
      </c>
      <c r="Y137" s="4079"/>
      <c r="Z137" s="4079"/>
      <c r="AA137" s="4079"/>
      <c r="AB137" s="4079"/>
      <c r="AC137" s="4079"/>
      <c r="AD137" s="4079" t="s">
        <v>5989</v>
      </c>
      <c r="AE137" s="4079"/>
      <c r="AF137" s="4079"/>
      <c r="AG137" s="4079"/>
      <c r="AH137" s="4079"/>
      <c r="AI137" s="4079"/>
      <c r="AJ137" s="4079" t="s">
        <v>5990</v>
      </c>
      <c r="AK137" s="4079"/>
      <c r="AL137" s="4079"/>
      <c r="AM137" s="4079"/>
      <c r="AN137" s="4079"/>
      <c r="AO137" s="4079"/>
      <c r="AP137" s="3418"/>
      <c r="AQ137" s="3418"/>
      <c r="AR137" s="3418"/>
      <c r="AS137" s="3418"/>
      <c r="AT137" s="3418"/>
      <c r="AU137" s="3418"/>
      <c r="AV137" s="3418"/>
      <c r="AW137" s="3418"/>
      <c r="AX137" s="3418"/>
      <c r="AY137" s="3418"/>
      <c r="AZ137" s="3418"/>
      <c r="BA137" s="3418"/>
      <c r="BB137" s="3418"/>
      <c r="BC137" s="3418"/>
      <c r="BD137" s="3418"/>
      <c r="BE137" s="3418"/>
      <c r="BF137" s="3418"/>
      <c r="BG137" s="3418"/>
      <c r="BH137" s="3418"/>
      <c r="BI137" s="3418"/>
      <c r="BJ137" s="3418"/>
      <c r="BK137" s="3418"/>
      <c r="BL137" s="3418"/>
      <c r="BM137" s="3418"/>
      <c r="BN137" s="3418"/>
      <c r="BO137" s="3418"/>
      <c r="BP137" s="3418"/>
      <c r="BQ137" s="3418"/>
      <c r="BR137" s="3418"/>
      <c r="BS137" s="3418"/>
      <c r="BT137" s="3418"/>
      <c r="BU137" s="3418"/>
      <c r="BV137" s="3418"/>
      <c r="BW137" s="3418"/>
      <c r="BX137" s="3418"/>
      <c r="BY137" s="3418"/>
      <c r="BZ137" s="3418"/>
      <c r="CA137" s="3396"/>
      <c r="CB137" s="3396"/>
      <c r="CC137" s="3396"/>
      <c r="CD137" s="3396"/>
      <c r="CE137" s="3396"/>
      <c r="CF137" s="3396"/>
      <c r="CG137" s="3396"/>
      <c r="CH137" s="3396"/>
      <c r="CI137" s="3396"/>
      <c r="CJ137" s="3396"/>
      <c r="CK137" s="3396"/>
      <c r="CL137" s="3396"/>
      <c r="CM137" s="3396"/>
      <c r="CN137" s="3396"/>
      <c r="CO137" s="3396"/>
      <c r="CP137" s="3396"/>
      <c r="CQ137" s="3396"/>
      <c r="CR137" s="3396"/>
      <c r="CS137" s="3396"/>
      <c r="CT137" s="3396"/>
      <c r="CU137" s="3396"/>
      <c r="CV137" s="3396"/>
      <c r="CW137" s="3396"/>
      <c r="CX137" s="3396"/>
    </row>
    <row r="138" s="75" customFormat="1" ht="18" customHeight="1" spans="1:103">
      <c r="A138" s="4080" t="s">
        <v>3953</v>
      </c>
      <c r="B138" s="4080"/>
      <c r="C138" s="4081"/>
      <c r="D138" s="4081"/>
      <c r="E138" s="4081"/>
      <c r="F138" s="4081"/>
      <c r="G138" s="4081"/>
      <c r="H138" s="4081"/>
      <c r="I138" s="4081"/>
      <c r="J138" s="4081"/>
      <c r="K138" s="4081"/>
      <c r="L138" s="4081"/>
      <c r="M138" s="4081"/>
      <c r="N138" s="4081"/>
      <c r="O138" s="4081"/>
      <c r="P138" s="4081"/>
      <c r="Q138" s="4081"/>
      <c r="R138" s="4081"/>
      <c r="S138" s="4081"/>
      <c r="T138" s="4081"/>
      <c r="U138" s="4081"/>
      <c r="V138" s="4081"/>
      <c r="W138" s="4081"/>
      <c r="X138" s="4082"/>
      <c r="Y138" s="4082"/>
      <c r="Z138" s="4082"/>
      <c r="AA138" s="4082"/>
      <c r="AB138" s="4082"/>
      <c r="AC138" s="4082"/>
      <c r="AD138" s="4082"/>
      <c r="AE138" s="4082"/>
      <c r="AF138" s="4082"/>
      <c r="AG138" s="4082"/>
      <c r="AH138" s="4082"/>
      <c r="AI138" s="4082"/>
      <c r="AJ138" s="4082"/>
      <c r="AK138" s="4082"/>
      <c r="AL138" s="4082"/>
      <c r="AM138" s="4082"/>
      <c r="AN138" s="4082"/>
      <c r="AO138" s="4082"/>
      <c r="AP138" s="3418"/>
      <c r="AQ138" s="3418"/>
      <c r="AR138" s="3418"/>
      <c r="AS138" s="3418"/>
      <c r="AT138" s="3418"/>
      <c r="AU138" s="3418"/>
      <c r="AV138" s="3418"/>
      <c r="AW138" s="3418"/>
      <c r="AX138" s="3418"/>
      <c r="AY138" s="3418"/>
      <c r="AZ138" s="3418"/>
      <c r="BA138" s="3396"/>
      <c r="BB138" s="3418"/>
      <c r="BC138" s="3418"/>
      <c r="BD138" s="3418"/>
      <c r="BE138" s="3418"/>
      <c r="BF138" s="3418"/>
      <c r="BG138" s="3418"/>
      <c r="BH138" s="3418"/>
      <c r="BI138" s="3418"/>
      <c r="BJ138" s="3418"/>
      <c r="BK138" s="3418"/>
      <c r="BL138" s="3418"/>
      <c r="BM138" s="3418"/>
      <c r="BN138" s="3418"/>
      <c r="BO138" s="3418"/>
      <c r="BP138" s="3418"/>
      <c r="BQ138" s="3418"/>
      <c r="BR138" s="3418"/>
      <c r="BS138" s="3418"/>
      <c r="BT138" s="3418"/>
      <c r="BU138" s="3418"/>
      <c r="BV138" s="3418"/>
      <c r="BW138" s="3418"/>
      <c r="BX138" s="3418"/>
      <c r="BY138" s="3418"/>
      <c r="BZ138" s="3418"/>
      <c r="CA138" s="3396"/>
      <c r="CB138" s="3396"/>
      <c r="CC138" s="3396"/>
      <c r="CD138" s="3396"/>
      <c r="CE138" s="3396"/>
      <c r="CF138" s="3396"/>
      <c r="CG138" s="3396"/>
      <c r="CH138" s="3396"/>
      <c r="CI138" s="3396"/>
      <c r="CJ138" s="3396"/>
      <c r="CK138" s="3396"/>
      <c r="CL138" s="3396"/>
      <c r="CM138" s="3396"/>
      <c r="CN138" s="3396"/>
      <c r="CO138" s="3396"/>
      <c r="CP138" s="3396"/>
      <c r="CQ138" s="3396"/>
      <c r="CR138" s="3396"/>
      <c r="CS138" s="3396"/>
      <c r="CT138" s="3396"/>
      <c r="CU138" s="3396"/>
      <c r="CV138" s="3396"/>
      <c r="CW138" s="3396"/>
      <c r="CX138" s="3396"/>
    </row>
    <row r="139" s="75" customFormat="1" ht="18" customHeight="1" spans="1:103">
      <c r="A139" s="4080" t="s">
        <v>3891</v>
      </c>
      <c r="B139" s="4080"/>
      <c r="C139" s="4081"/>
      <c r="D139" s="4081"/>
      <c r="E139" s="4081"/>
      <c r="F139" s="4081"/>
      <c r="G139" s="4081"/>
      <c r="H139" s="4081"/>
      <c r="I139" s="4081"/>
      <c r="J139" s="4081"/>
      <c r="K139" s="4081"/>
      <c r="L139" s="4081"/>
      <c r="M139" s="4081"/>
      <c r="N139" s="4081"/>
      <c r="O139" s="4081"/>
      <c r="P139" s="4081"/>
      <c r="Q139" s="4081"/>
      <c r="R139" s="4081"/>
      <c r="S139" s="4081"/>
      <c r="T139" s="4081"/>
      <c r="U139" s="4081"/>
      <c r="V139" s="4081"/>
      <c r="W139" s="4081"/>
      <c r="X139" s="4082"/>
      <c r="Y139" s="4082"/>
      <c r="Z139" s="4082"/>
      <c r="AA139" s="4082"/>
      <c r="AB139" s="4082"/>
      <c r="AC139" s="4082"/>
      <c r="AD139" s="4082"/>
      <c r="AE139" s="4082"/>
      <c r="AF139" s="4082"/>
      <c r="AG139" s="4082"/>
      <c r="AH139" s="4082"/>
      <c r="AI139" s="4082"/>
      <c r="AJ139" s="4082"/>
      <c r="AK139" s="4082"/>
      <c r="AL139" s="4082"/>
      <c r="AM139" s="4082"/>
      <c r="AN139" s="4082"/>
      <c r="AO139" s="4082"/>
      <c r="AP139" s="3418"/>
      <c r="AQ139" s="3418"/>
      <c r="AR139" s="3418"/>
      <c r="AS139" s="3418"/>
      <c r="AT139" s="3418"/>
      <c r="AU139" s="3418"/>
      <c r="AV139" s="3418"/>
      <c r="AW139" s="3418"/>
      <c r="AX139" s="3418"/>
      <c r="AY139" s="3418"/>
      <c r="AZ139" s="3418"/>
      <c r="BA139" s="3396"/>
      <c r="BB139" s="3418"/>
      <c r="BC139" s="3418"/>
      <c r="BD139" s="3418"/>
      <c r="BE139" s="3418"/>
      <c r="BF139" s="3418"/>
      <c r="BG139" s="3418"/>
      <c r="BH139" s="3418"/>
      <c r="BI139" s="3418"/>
      <c r="BJ139" s="3418"/>
      <c r="BK139" s="3418"/>
      <c r="BL139" s="3418"/>
      <c r="BM139" s="3418"/>
      <c r="BN139" s="3418"/>
      <c r="BO139" s="3418"/>
      <c r="BP139" s="3418"/>
      <c r="BQ139" s="3418"/>
      <c r="BR139" s="3418"/>
      <c r="BS139" s="3418"/>
      <c r="BT139" s="3418"/>
      <c r="BU139" s="3418"/>
      <c r="BV139" s="3418"/>
      <c r="BW139" s="3418"/>
      <c r="BX139" s="3418"/>
      <c r="BY139" s="3418"/>
      <c r="BZ139" s="3418"/>
      <c r="CA139" s="3396"/>
      <c r="CB139" s="3396"/>
      <c r="CC139" s="3396"/>
      <c r="CD139" s="3396"/>
      <c r="CE139" s="3396"/>
      <c r="CF139" s="3396"/>
      <c r="CG139" s="3396"/>
      <c r="CH139" s="3396"/>
      <c r="CI139" s="3396"/>
      <c r="CJ139" s="3396"/>
      <c r="CK139" s="3396"/>
      <c r="CL139" s="3396"/>
      <c r="CM139" s="3396"/>
      <c r="CN139" s="3396"/>
      <c r="CO139" s="3396"/>
      <c r="CP139" s="3396"/>
      <c r="CQ139" s="3396"/>
      <c r="CR139" s="3396"/>
      <c r="CS139" s="3396"/>
      <c r="CT139" s="3396"/>
      <c r="CU139" s="3396"/>
      <c r="CV139" s="3396"/>
      <c r="CW139" s="3396"/>
      <c r="CX139" s="3396"/>
    </row>
    <row r="140" s="75" customFormat="1" ht="18" customHeight="1" spans="1:103">
      <c r="A140" s="4080" t="s">
        <v>3902</v>
      </c>
      <c r="B140" s="4080"/>
      <c r="C140" s="4081"/>
      <c r="D140" s="4081"/>
      <c r="E140" s="4081"/>
      <c r="F140" s="4081"/>
      <c r="G140" s="4081"/>
      <c r="H140" s="4081"/>
      <c r="I140" s="4081"/>
      <c r="J140" s="4081"/>
      <c r="K140" s="4081"/>
      <c r="L140" s="4081"/>
      <c r="M140" s="4081"/>
      <c r="N140" s="4081"/>
      <c r="O140" s="4081"/>
      <c r="P140" s="4081"/>
      <c r="Q140" s="4081"/>
      <c r="R140" s="4081"/>
      <c r="S140" s="4081"/>
      <c r="T140" s="4081"/>
      <c r="U140" s="4081"/>
      <c r="V140" s="4081"/>
      <c r="W140" s="4081"/>
      <c r="X140" s="4082"/>
      <c r="Y140" s="4082"/>
      <c r="Z140" s="4082"/>
      <c r="AA140" s="4082"/>
      <c r="AB140" s="4082"/>
      <c r="AC140" s="4082"/>
      <c r="AD140" s="4082"/>
      <c r="AE140" s="4082"/>
      <c r="AF140" s="4082"/>
      <c r="AG140" s="4082"/>
      <c r="AH140" s="4082"/>
      <c r="AI140" s="4082"/>
      <c r="AJ140" s="4082"/>
      <c r="AK140" s="4082"/>
      <c r="AL140" s="4082"/>
      <c r="AM140" s="4082"/>
      <c r="AN140" s="4082"/>
      <c r="AO140" s="4082"/>
      <c r="AP140" s="3418"/>
      <c r="AQ140" s="3418"/>
      <c r="AR140" s="3418"/>
      <c r="AS140" s="3418"/>
      <c r="AT140" s="3418"/>
      <c r="AU140" s="3418"/>
      <c r="AV140" s="3418"/>
      <c r="AW140" s="3418"/>
      <c r="AX140" s="3418"/>
      <c r="AY140" s="3418"/>
      <c r="AZ140" s="3418"/>
      <c r="BA140" s="3396"/>
      <c r="BB140" s="3418"/>
      <c r="BC140" s="3418"/>
      <c r="BD140" s="3418"/>
      <c r="BE140" s="3418"/>
      <c r="BF140" s="3418"/>
      <c r="BG140" s="3418"/>
      <c r="BH140" s="3418"/>
      <c r="BI140" s="3418"/>
      <c r="BJ140" s="3418"/>
      <c r="BK140" s="3418"/>
      <c r="BL140" s="3418"/>
      <c r="BM140" s="3418"/>
      <c r="BN140" s="3418"/>
      <c r="BO140" s="3418"/>
      <c r="BP140" s="3418"/>
      <c r="BQ140" s="3418"/>
      <c r="BR140" s="3418"/>
      <c r="BS140" s="3418"/>
      <c r="BT140" s="3418"/>
      <c r="BU140" s="3418"/>
      <c r="BV140" s="3418"/>
      <c r="BW140" s="3418"/>
      <c r="BX140" s="3418"/>
      <c r="BY140" s="3418"/>
      <c r="BZ140" s="3418"/>
      <c r="CA140" s="3396"/>
      <c r="CB140" s="3396"/>
      <c r="CC140" s="3396"/>
      <c r="CD140" s="3396"/>
      <c r="CE140" s="3396"/>
      <c r="CF140" s="3396"/>
      <c r="CG140" s="3396"/>
      <c r="CH140" s="3396"/>
      <c r="CI140" s="3396"/>
      <c r="CJ140" s="3396"/>
      <c r="CK140" s="3396"/>
      <c r="CL140" s="3396"/>
      <c r="CM140" s="3396"/>
      <c r="CN140" s="3396"/>
      <c r="CO140" s="3396"/>
      <c r="CP140" s="3396"/>
      <c r="CQ140" s="3396"/>
      <c r="CR140" s="3396"/>
      <c r="CS140" s="3396"/>
      <c r="CT140" s="3396"/>
      <c r="CU140" s="3396"/>
      <c r="CV140" s="3396"/>
      <c r="CW140" s="3396"/>
      <c r="CX140" s="3396"/>
    </row>
    <row r="141" s="75" customFormat="1" ht="18" customHeight="1" spans="1:103">
      <c r="A141" s="4080" t="s">
        <v>3905</v>
      </c>
      <c r="B141" s="4080"/>
      <c r="C141" s="4081"/>
      <c r="D141" s="4081"/>
      <c r="E141" s="4081"/>
      <c r="F141" s="4081"/>
      <c r="G141" s="4081"/>
      <c r="H141" s="4081"/>
      <c r="I141" s="4081"/>
      <c r="J141" s="4081"/>
      <c r="K141" s="4081"/>
      <c r="L141" s="4081"/>
      <c r="M141" s="4081"/>
      <c r="N141" s="4081"/>
      <c r="O141" s="4081"/>
      <c r="P141" s="4081"/>
      <c r="Q141" s="4081"/>
      <c r="R141" s="4081"/>
      <c r="S141" s="4081"/>
      <c r="T141" s="4081"/>
      <c r="U141" s="4081"/>
      <c r="V141" s="4081"/>
      <c r="W141" s="4081"/>
      <c r="X141" s="4082"/>
      <c r="Y141" s="4082"/>
      <c r="Z141" s="4082"/>
      <c r="AA141" s="4082"/>
      <c r="AB141" s="4082"/>
      <c r="AC141" s="4082"/>
      <c r="AD141" s="4082"/>
      <c r="AE141" s="4082"/>
      <c r="AF141" s="4082"/>
      <c r="AG141" s="4082"/>
      <c r="AH141" s="4082"/>
      <c r="AI141" s="4082"/>
      <c r="AJ141" s="4082"/>
      <c r="AK141" s="4082"/>
      <c r="AL141" s="4082"/>
      <c r="AM141" s="4082"/>
      <c r="AN141" s="4082"/>
      <c r="AO141" s="4082"/>
      <c r="AP141" s="3418"/>
      <c r="AQ141" s="3418"/>
      <c r="AR141" s="3418"/>
      <c r="AS141" s="3418"/>
      <c r="AT141" s="3418"/>
      <c r="AU141" s="3418"/>
      <c r="AV141" s="3418"/>
      <c r="AW141" s="3418"/>
      <c r="AX141" s="3418"/>
      <c r="AY141" s="3418"/>
      <c r="AZ141" s="3418"/>
      <c r="BA141" s="3418"/>
      <c r="BB141" s="3418"/>
      <c r="BC141" s="3418"/>
      <c r="BD141" s="3418"/>
      <c r="BE141" s="3418"/>
      <c r="BF141" s="3418"/>
      <c r="BG141" s="3418"/>
      <c r="BH141" s="3418"/>
      <c r="BI141" s="3418"/>
      <c r="BJ141" s="3418"/>
      <c r="BK141" s="3418"/>
      <c r="BL141" s="3418"/>
      <c r="BM141" s="3418"/>
      <c r="BN141" s="3418"/>
      <c r="BO141" s="3418"/>
      <c r="BP141" s="3418"/>
      <c r="BQ141" s="3418"/>
      <c r="BR141" s="3418"/>
      <c r="BS141" s="3418"/>
      <c r="BT141" s="3418"/>
      <c r="BU141" s="3418"/>
      <c r="BV141" s="3418"/>
      <c r="BW141" s="3418"/>
      <c r="BX141" s="3418"/>
      <c r="BY141" s="3418"/>
      <c r="BZ141" s="3418"/>
      <c r="CA141" s="3396"/>
      <c r="CB141" s="3396"/>
      <c r="CC141" s="3396"/>
      <c r="CD141" s="3396"/>
      <c r="CE141" s="3396"/>
      <c r="CF141" s="3396"/>
      <c r="CG141" s="3396"/>
      <c r="CH141" s="3396"/>
      <c r="CI141" s="3396"/>
      <c r="CJ141" s="3396"/>
      <c r="CK141" s="3396"/>
      <c r="CL141" s="3396"/>
      <c r="CM141" s="3396"/>
      <c r="CN141" s="3396"/>
      <c r="CO141" s="3396"/>
      <c r="CP141" s="3396"/>
      <c r="CQ141" s="3396"/>
      <c r="CR141" s="3396"/>
      <c r="CS141" s="3396"/>
      <c r="CT141" s="3396"/>
      <c r="CU141" s="3396"/>
      <c r="CV141" s="3396"/>
      <c r="CW141" s="3396"/>
      <c r="CX141" s="3396"/>
    </row>
    <row r="142" s="75" customFormat="1" ht="18" customHeight="1" spans="1:103">
      <c r="A142" s="4080" t="s">
        <v>3915</v>
      </c>
      <c r="B142" s="4080"/>
      <c r="C142" s="4081"/>
      <c r="D142" s="4081"/>
      <c r="E142" s="4081"/>
      <c r="F142" s="4081"/>
      <c r="G142" s="4081"/>
      <c r="H142" s="4081"/>
      <c r="I142" s="4081"/>
      <c r="J142" s="4081"/>
      <c r="K142" s="4081"/>
      <c r="L142" s="4081"/>
      <c r="M142" s="4081"/>
      <c r="N142" s="4081"/>
      <c r="O142" s="4081"/>
      <c r="P142" s="4081"/>
      <c r="Q142" s="4081"/>
      <c r="R142" s="4081"/>
      <c r="S142" s="4081"/>
      <c r="T142" s="4081"/>
      <c r="U142" s="4081"/>
      <c r="V142" s="4081"/>
      <c r="W142" s="4081"/>
      <c r="X142" s="4082"/>
      <c r="Y142" s="4082"/>
      <c r="Z142" s="4082"/>
      <c r="AA142" s="4082"/>
      <c r="AB142" s="4082"/>
      <c r="AC142" s="4082"/>
      <c r="AD142" s="4082"/>
      <c r="AE142" s="4082"/>
      <c r="AF142" s="4082"/>
      <c r="AG142" s="4082"/>
      <c r="AH142" s="4082"/>
      <c r="AI142" s="4082"/>
      <c r="AJ142" s="4082"/>
      <c r="AK142" s="4082"/>
      <c r="AL142" s="4082"/>
      <c r="AM142" s="4082"/>
      <c r="AN142" s="4082"/>
      <c r="AO142" s="4082"/>
      <c r="AP142" s="3418"/>
      <c r="AQ142" s="3418"/>
      <c r="AR142" s="3418"/>
      <c r="AS142" s="3418"/>
      <c r="AT142" s="3418"/>
      <c r="AU142" s="3418"/>
      <c r="AV142" s="3418"/>
      <c r="AW142" s="3418"/>
      <c r="AX142" s="3418"/>
      <c r="AY142" s="3418"/>
      <c r="AZ142" s="3418"/>
      <c r="BA142" s="3418"/>
      <c r="BB142" s="3418"/>
      <c r="BC142" s="3418"/>
      <c r="BD142" s="3418"/>
      <c r="BE142" s="3418"/>
      <c r="BF142" s="3418"/>
      <c r="BG142" s="3418"/>
      <c r="BH142" s="3418"/>
      <c r="BI142" s="3418"/>
      <c r="BJ142" s="3418"/>
      <c r="BK142" s="3418"/>
      <c r="BL142" s="3418"/>
      <c r="BM142" s="3418"/>
      <c r="BN142" s="3418"/>
      <c r="BO142" s="3418"/>
      <c r="BP142" s="3418"/>
      <c r="BQ142" s="3418"/>
      <c r="BR142" s="3418"/>
      <c r="BS142" s="3418"/>
      <c r="BT142" s="3418"/>
      <c r="BU142" s="3418"/>
      <c r="BV142" s="3418"/>
      <c r="BW142" s="3418"/>
      <c r="BX142" s="3418"/>
      <c r="BY142" s="3418"/>
      <c r="BZ142" s="3418"/>
      <c r="CA142" s="3396"/>
      <c r="CB142" s="3396"/>
      <c r="CC142" s="3396"/>
      <c r="CD142" s="3396"/>
      <c r="CE142" s="3396"/>
      <c r="CF142" s="3396"/>
      <c r="CG142" s="3396"/>
      <c r="CH142" s="3396"/>
      <c r="CI142" s="3396"/>
      <c r="CJ142" s="3396"/>
      <c r="CK142" s="3396"/>
      <c r="CL142" s="3396"/>
      <c r="CM142" s="3396"/>
      <c r="CN142" s="3396"/>
      <c r="CO142" s="3396"/>
      <c r="CP142" s="3396"/>
      <c r="CQ142" s="3396"/>
      <c r="CR142" s="3396"/>
      <c r="CS142" s="3396"/>
      <c r="CT142" s="3396"/>
      <c r="CU142" s="3396"/>
      <c r="CV142" s="3396"/>
      <c r="CW142" s="3396"/>
      <c r="CX142" s="3396"/>
    </row>
    <row r="143" s="75" customFormat="1" ht="18" customHeight="1" spans="1:103">
      <c r="A143" s="3951"/>
      <c r="B143" s="3951"/>
      <c r="C143" s="3951"/>
      <c r="D143" s="3951"/>
      <c r="E143" s="3951"/>
      <c r="F143" s="3951"/>
      <c r="G143" s="3951"/>
      <c r="H143" s="3951"/>
      <c r="I143" s="3951"/>
      <c r="J143" s="3951"/>
      <c r="K143" s="3951"/>
      <c r="L143" s="3951"/>
      <c r="M143" s="3951"/>
      <c r="N143" s="3951"/>
      <c r="O143" s="3951"/>
      <c r="P143" s="3951"/>
      <c r="Q143" s="3951"/>
      <c r="R143" s="3951"/>
      <c r="S143" s="3951"/>
      <c r="T143" s="3951"/>
      <c r="U143" s="3951"/>
      <c r="V143" s="3951"/>
      <c r="W143" s="3951"/>
      <c r="X143" s="3951"/>
      <c r="Y143" s="3951"/>
      <c r="Z143" s="3951"/>
      <c r="AA143" s="3951"/>
      <c r="AB143" s="3951"/>
      <c r="AC143" s="3951"/>
      <c r="AD143" s="3951"/>
      <c r="AE143" s="3951"/>
      <c r="AF143" s="3951"/>
      <c r="AG143" s="3951"/>
      <c r="AH143" s="3951"/>
      <c r="AI143" s="3951"/>
      <c r="AJ143" s="3951"/>
      <c r="AK143" s="3951"/>
      <c r="AL143" s="3951"/>
      <c r="AM143" s="3951"/>
      <c r="AN143" s="3951"/>
      <c r="AO143" s="3951"/>
      <c r="AP143" s="3951"/>
      <c r="AQ143" s="3951"/>
      <c r="AR143" s="3951"/>
      <c r="AS143" s="3951"/>
      <c r="AT143" s="3951"/>
      <c r="AU143" s="3951"/>
      <c r="AV143" s="3951"/>
      <c r="AW143" s="3951"/>
      <c r="AX143" s="3951"/>
      <c r="AY143" s="3951"/>
      <c r="AZ143" s="3951"/>
      <c r="BA143" s="3951"/>
      <c r="BB143" s="3951"/>
      <c r="BC143" s="3951"/>
      <c r="BD143" s="3951"/>
      <c r="BE143" s="3951"/>
      <c r="BF143" s="3951"/>
      <c r="BG143" s="3951"/>
      <c r="BH143" s="3951"/>
      <c r="BI143" s="3951"/>
      <c r="BJ143" s="3951"/>
      <c r="BK143" s="3951"/>
      <c r="BL143" s="3951"/>
      <c r="BM143" s="3951"/>
      <c r="BN143" s="3951"/>
      <c r="BO143" s="3951"/>
      <c r="BP143" s="3951"/>
      <c r="BQ143" s="3951"/>
      <c r="BR143" s="3951"/>
      <c r="BS143" s="3951"/>
      <c r="BT143" s="3951"/>
      <c r="BU143" s="3951"/>
      <c r="BV143" s="3951"/>
      <c r="BW143" s="3951"/>
      <c r="BX143" s="3951"/>
      <c r="BY143" s="3951"/>
      <c r="BZ143" s="3951"/>
      <c r="CA143" s="3396"/>
      <c r="CB143" s="3396"/>
      <c r="CC143" s="3396"/>
      <c r="CD143" s="3396"/>
      <c r="CE143" s="3396"/>
      <c r="CF143" s="3396"/>
      <c r="CG143" s="3396"/>
      <c r="CH143" s="3396"/>
      <c r="CI143" s="3396"/>
      <c r="CJ143" s="3396"/>
      <c r="CK143" s="3396"/>
      <c r="CL143" s="3396"/>
      <c r="CM143" s="3396"/>
      <c r="CN143" s="3396"/>
      <c r="CO143" s="3396"/>
      <c r="CP143" s="3396"/>
      <c r="CQ143" s="3396"/>
      <c r="CR143" s="3396"/>
      <c r="CS143" s="3396"/>
      <c r="CT143" s="3396"/>
      <c r="CU143" s="3396"/>
      <c r="CV143" s="3396"/>
      <c r="CW143" s="3396"/>
      <c r="CX143" s="3396"/>
    </row>
    <row r="144" s="75" customFormat="1" ht="18" customHeight="1" spans="1:103">
      <c r="A144" s="4078" t="s">
        <v>5991</v>
      </c>
      <c r="B144" s="3951"/>
      <c r="C144" s="3951"/>
      <c r="D144" s="3951"/>
      <c r="E144" s="3951"/>
      <c r="F144" s="3951"/>
      <c r="G144" s="3951"/>
      <c r="H144" s="3951"/>
      <c r="I144" s="3951"/>
      <c r="J144" s="3951"/>
      <c r="K144" s="3951"/>
      <c r="L144" s="3951"/>
      <c r="M144" s="3951"/>
      <c r="N144" s="3951"/>
      <c r="O144" s="3951"/>
      <c r="P144" s="3951"/>
      <c r="Q144" s="3951"/>
      <c r="R144" s="3951"/>
      <c r="S144" s="3951"/>
      <c r="T144" s="3951"/>
      <c r="U144" s="3951"/>
      <c r="V144" s="3951"/>
      <c r="W144" s="3951"/>
      <c r="X144" s="3951"/>
      <c r="Y144" s="3951"/>
      <c r="Z144" s="3951"/>
      <c r="AA144" s="3951"/>
      <c r="AB144" s="3951"/>
      <c r="AC144" s="3951"/>
      <c r="AD144" s="3951"/>
      <c r="AE144" s="3951"/>
      <c r="AF144" s="3951"/>
      <c r="AG144" s="3951"/>
      <c r="AH144" s="3951"/>
      <c r="AI144" s="3951"/>
      <c r="AJ144" s="3951"/>
      <c r="AK144" s="3951"/>
      <c r="AL144" s="3951"/>
      <c r="AM144" s="3951"/>
      <c r="AN144" s="3951"/>
      <c r="AO144" s="3951"/>
      <c r="AP144" s="3951"/>
      <c r="AQ144" s="3951"/>
      <c r="AR144" s="3951"/>
      <c r="AS144" s="3951"/>
      <c r="AT144" s="3951"/>
      <c r="AU144" s="3951"/>
      <c r="AV144" s="3951"/>
      <c r="AW144" s="3951"/>
      <c r="AX144" s="3951"/>
      <c r="AY144" s="3951"/>
      <c r="AZ144" s="3951"/>
      <c r="BA144" s="3951"/>
      <c r="BB144" s="3951"/>
      <c r="BC144" s="3951"/>
      <c r="BD144" s="3951"/>
      <c r="BE144" s="3951"/>
      <c r="BF144" s="3951"/>
      <c r="BG144" s="3951"/>
      <c r="BH144" s="3951"/>
      <c r="BI144" s="3951"/>
      <c r="BJ144" s="3951"/>
      <c r="BK144" s="3951"/>
      <c r="BL144" s="3951"/>
      <c r="BM144" s="3951"/>
      <c r="BN144" s="3951"/>
      <c r="BO144" s="3951"/>
      <c r="BP144" s="3951"/>
      <c r="BQ144" s="3951"/>
      <c r="BR144" s="3951"/>
      <c r="BS144" s="3951"/>
      <c r="BT144" s="3951"/>
      <c r="BU144" s="3951"/>
      <c r="BV144" s="3951"/>
      <c r="BW144" s="3951"/>
      <c r="BX144" s="3951"/>
      <c r="BY144" s="3951"/>
      <c r="BZ144" s="3951"/>
      <c r="CA144" s="3396"/>
      <c r="CB144" s="3396"/>
      <c r="CC144" s="3396"/>
      <c r="CD144" s="3396"/>
      <c r="CE144" s="3396"/>
      <c r="CF144" s="3396"/>
      <c r="CG144" s="3396"/>
      <c r="CH144" s="3396"/>
      <c r="CI144" s="3396"/>
      <c r="CJ144" s="3396"/>
      <c r="CK144" s="3396"/>
      <c r="CL144" s="3396"/>
      <c r="CM144" s="3396"/>
      <c r="CN144" s="3396"/>
      <c r="CO144" s="3396"/>
      <c r="CP144" s="3396"/>
      <c r="CQ144" s="3396"/>
      <c r="CR144" s="3396"/>
      <c r="CS144" s="3396"/>
      <c r="CT144" s="3396"/>
      <c r="CU144" s="3396"/>
      <c r="CV144" s="3396"/>
      <c r="CW144" s="3396"/>
      <c r="CX144" s="3396"/>
    </row>
    <row r="145" s="75" customFormat="1" ht="28.5" customHeight="1" spans="1:102">
      <c r="A145" s="4079" t="s">
        <v>5985</v>
      </c>
      <c r="B145" s="4079"/>
      <c r="C145" s="4079" t="s">
        <v>5992</v>
      </c>
      <c r="D145" s="4079"/>
      <c r="E145" s="4079"/>
      <c r="F145" s="4079"/>
      <c r="G145" s="4079"/>
      <c r="H145" s="4079"/>
      <c r="I145" s="4079"/>
      <c r="J145" s="4079"/>
      <c r="K145" s="4079"/>
      <c r="L145" s="4079"/>
      <c r="M145" s="4079"/>
      <c r="N145" s="4079"/>
      <c r="O145" s="4079"/>
      <c r="P145" s="4079"/>
      <c r="Q145" s="4079"/>
      <c r="R145" s="4079"/>
      <c r="S145" s="4079"/>
      <c r="T145" s="4079"/>
      <c r="U145" s="4079"/>
      <c r="V145" s="4079"/>
      <c r="W145" s="4079"/>
      <c r="X145" s="4079" t="s">
        <v>5993</v>
      </c>
      <c r="Y145" s="4079"/>
      <c r="Z145" s="4079"/>
      <c r="AA145" s="4079"/>
      <c r="AB145" s="4079"/>
      <c r="AC145" s="4079"/>
      <c r="AD145" s="4079" t="s">
        <v>5994</v>
      </c>
      <c r="AE145" s="4079"/>
      <c r="AF145" s="4079"/>
      <c r="AG145" s="4079"/>
      <c r="AH145" s="4079"/>
      <c r="AI145" s="4079"/>
      <c r="AJ145" s="4079" t="s">
        <v>5995</v>
      </c>
      <c r="AK145" s="4079"/>
      <c r="AL145" s="4079"/>
      <c r="AM145" s="4079"/>
      <c r="AN145" s="4079"/>
      <c r="AO145" s="4079"/>
      <c r="AP145" s="3418"/>
      <c r="AQ145" s="3418"/>
      <c r="AR145" s="3418"/>
      <c r="AS145" s="3418"/>
      <c r="AT145" s="3418"/>
      <c r="AU145" s="3418"/>
      <c r="AV145" s="3418"/>
      <c r="AW145" s="3418"/>
      <c r="AX145" s="3418"/>
      <c r="AY145" s="3418"/>
      <c r="AZ145" s="3418"/>
      <c r="BA145" s="3418"/>
      <c r="BB145" s="3418"/>
      <c r="BC145" s="3418"/>
      <c r="BD145" s="3418"/>
      <c r="BE145" s="3418"/>
      <c r="BF145" s="3418"/>
      <c r="BG145" s="3418"/>
      <c r="BH145" s="3418"/>
      <c r="BI145" s="3418"/>
      <c r="BJ145" s="3418"/>
      <c r="BK145" s="3418"/>
      <c r="BL145" s="3418"/>
      <c r="BM145" s="3418"/>
      <c r="BN145" s="3418"/>
      <c r="BO145" s="3418"/>
      <c r="BP145" s="3418"/>
      <c r="BQ145" s="3418"/>
      <c r="BR145" s="3418"/>
      <c r="BS145" s="3418"/>
      <c r="BT145" s="3418"/>
      <c r="BU145" s="3418"/>
      <c r="BV145" s="3418"/>
      <c r="BW145" s="3418"/>
      <c r="BX145" s="3418"/>
      <c r="BY145" s="3418"/>
      <c r="BZ145" s="3418"/>
      <c r="CA145" s="3396"/>
      <c r="CB145" s="3396"/>
      <c r="CC145" s="3396"/>
      <c r="CD145" s="3396"/>
      <c r="CE145" s="3396"/>
      <c r="CF145" s="3396"/>
      <c r="CG145" s="3396"/>
      <c r="CH145" s="3396"/>
      <c r="CI145" s="3396"/>
      <c r="CJ145" s="3396"/>
      <c r="CK145" s="3396"/>
      <c r="CL145" s="3396"/>
      <c r="CM145" s="3396"/>
      <c r="CN145" s="3396"/>
      <c r="CO145" s="3396"/>
      <c r="CP145" s="3396"/>
      <c r="CQ145" s="3396"/>
      <c r="CR145" s="3396"/>
      <c r="CS145" s="3396"/>
      <c r="CT145" s="3396"/>
      <c r="CU145" s="3396"/>
      <c r="CV145" s="3396"/>
      <c r="CW145" s="3396"/>
      <c r="CX145" s="3396"/>
    </row>
    <row r="146" s="75" customFormat="1" ht="18" customHeight="1" spans="1:102">
      <c r="A146" s="4080" t="s">
        <v>3953</v>
      </c>
      <c r="B146" s="4080"/>
      <c r="C146" s="4083"/>
      <c r="D146" s="4083"/>
      <c r="E146" s="4083"/>
      <c r="F146" s="4083"/>
      <c r="G146" s="4083"/>
      <c r="H146" s="4083"/>
      <c r="I146" s="4083"/>
      <c r="J146" s="4083"/>
      <c r="K146" s="4083"/>
      <c r="L146" s="4083"/>
      <c r="M146" s="4083"/>
      <c r="N146" s="4083"/>
      <c r="O146" s="4083"/>
      <c r="P146" s="4083"/>
      <c r="Q146" s="4083"/>
      <c r="R146" s="4083"/>
      <c r="S146" s="4083"/>
      <c r="T146" s="4083"/>
      <c r="U146" s="4083"/>
      <c r="V146" s="4083"/>
      <c r="W146" s="4083"/>
      <c r="X146" s="4084"/>
      <c r="Y146" s="4084"/>
      <c r="Z146" s="4084"/>
      <c r="AA146" s="4084"/>
      <c r="AB146" s="4084"/>
      <c r="AC146" s="4084"/>
      <c r="AD146" s="4084"/>
      <c r="AE146" s="4084"/>
      <c r="AF146" s="4084"/>
      <c r="AG146" s="4084"/>
      <c r="AH146" s="4084"/>
      <c r="AI146" s="4084"/>
      <c r="AJ146" s="4085"/>
      <c r="AK146" s="4085"/>
      <c r="AL146" s="4085"/>
      <c r="AM146" s="4085"/>
      <c r="AN146" s="4085"/>
      <c r="AO146" s="4085"/>
      <c r="AP146" s="3418"/>
      <c r="AQ146" s="3418"/>
      <c r="AR146" s="3418"/>
      <c r="AS146" s="3418"/>
      <c r="AT146" s="3418"/>
      <c r="AU146" s="3418"/>
      <c r="AV146" s="3418"/>
      <c r="AW146" s="3418"/>
      <c r="AX146" s="3418"/>
      <c r="AY146" s="3418"/>
      <c r="AZ146" s="3418"/>
      <c r="BA146" s="3418"/>
      <c r="BB146" s="3418"/>
      <c r="BC146" s="3418"/>
      <c r="BD146" s="3418"/>
      <c r="BE146" s="3418"/>
      <c r="BF146" s="3418"/>
      <c r="BG146" s="3418"/>
      <c r="BH146" s="3418"/>
      <c r="BI146" s="3418"/>
      <c r="BJ146" s="3418"/>
      <c r="BK146" s="3418"/>
      <c r="BL146" s="3418"/>
      <c r="BM146" s="3418"/>
      <c r="BN146" s="3418"/>
      <c r="BO146" s="3418"/>
      <c r="BP146" s="3418"/>
      <c r="BQ146" s="3418"/>
      <c r="BR146" s="3418"/>
      <c r="BS146" s="3418"/>
      <c r="BT146" s="3418"/>
      <c r="BU146" s="3418"/>
      <c r="BV146" s="3418"/>
      <c r="BW146" s="3418"/>
      <c r="BX146" s="3418"/>
      <c r="BY146" s="3418"/>
      <c r="BZ146" s="3418"/>
      <c r="CA146" s="3396"/>
      <c r="CB146" s="3396"/>
      <c r="CC146" s="3396"/>
      <c r="CD146" s="3396"/>
      <c r="CE146" s="3396"/>
      <c r="CF146" s="3396"/>
      <c r="CG146" s="3396"/>
      <c r="CH146" s="3396"/>
      <c r="CI146" s="3396"/>
      <c r="CJ146" s="3396"/>
      <c r="CK146" s="3396"/>
      <c r="CL146" s="3396"/>
      <c r="CM146" s="3396"/>
      <c r="CN146" s="3396"/>
      <c r="CO146" s="3396"/>
      <c r="CP146" s="3396"/>
      <c r="CQ146" s="3396"/>
      <c r="CR146" s="3396"/>
      <c r="CS146" s="3396"/>
      <c r="CT146" s="3396"/>
      <c r="CU146" s="3396"/>
      <c r="CV146" s="3396"/>
      <c r="CW146" s="3396"/>
      <c r="CX146" s="3396"/>
    </row>
    <row r="147" s="75" customFormat="1" ht="18" customHeight="1" spans="1:102">
      <c r="A147" s="4080" t="s">
        <v>3891</v>
      </c>
      <c r="B147" s="4080"/>
      <c r="C147" s="4083"/>
      <c r="D147" s="4083"/>
      <c r="E147" s="4083"/>
      <c r="F147" s="4083"/>
      <c r="G147" s="4083"/>
      <c r="H147" s="4083"/>
      <c r="I147" s="4083"/>
      <c r="J147" s="4083"/>
      <c r="K147" s="4083"/>
      <c r="L147" s="4083"/>
      <c r="M147" s="4083"/>
      <c r="N147" s="4083"/>
      <c r="O147" s="4083"/>
      <c r="P147" s="4083"/>
      <c r="Q147" s="4083"/>
      <c r="R147" s="4083"/>
      <c r="S147" s="4083"/>
      <c r="T147" s="4083"/>
      <c r="U147" s="4083"/>
      <c r="V147" s="4083"/>
      <c r="W147" s="4083"/>
      <c r="X147" s="4084"/>
      <c r="Y147" s="4084"/>
      <c r="Z147" s="4084"/>
      <c r="AA147" s="4084"/>
      <c r="AB147" s="4084"/>
      <c r="AC147" s="4084"/>
      <c r="AD147" s="4084"/>
      <c r="AE147" s="4084"/>
      <c r="AF147" s="4084"/>
      <c r="AG147" s="4084"/>
      <c r="AH147" s="4084"/>
      <c r="AI147" s="4084"/>
      <c r="AJ147" s="4085"/>
      <c r="AK147" s="4085"/>
      <c r="AL147" s="4085"/>
      <c r="AM147" s="4085"/>
      <c r="AN147" s="4085"/>
      <c r="AO147" s="4085"/>
      <c r="AP147" s="3418"/>
      <c r="AQ147" s="3418"/>
      <c r="AR147" s="3418"/>
      <c r="AS147" s="3418"/>
      <c r="AT147" s="3418"/>
      <c r="AU147" s="3418"/>
      <c r="AV147" s="3418"/>
      <c r="AW147" s="3418"/>
      <c r="AX147" s="3418"/>
      <c r="AY147" s="3418"/>
      <c r="AZ147" s="3418"/>
      <c r="BA147" s="3418"/>
      <c r="BB147" s="3418"/>
      <c r="BC147" s="3418"/>
      <c r="BD147" s="3418"/>
      <c r="BE147" s="3418"/>
      <c r="BF147" s="3418"/>
      <c r="BG147" s="3418"/>
      <c r="BH147" s="3418"/>
      <c r="BI147" s="3418"/>
      <c r="BJ147" s="3418"/>
      <c r="BK147" s="3418"/>
      <c r="BL147" s="3418"/>
      <c r="BM147" s="3418"/>
      <c r="BN147" s="3418"/>
      <c r="BO147" s="3418"/>
      <c r="BP147" s="3418"/>
      <c r="BQ147" s="3418"/>
      <c r="BR147" s="3418"/>
      <c r="BS147" s="3418"/>
      <c r="BT147" s="3418"/>
      <c r="BU147" s="3418"/>
      <c r="BV147" s="3418"/>
      <c r="BW147" s="3418"/>
      <c r="BX147" s="3418"/>
      <c r="BY147" s="3418"/>
      <c r="BZ147" s="3418"/>
      <c r="CA147" s="3396"/>
      <c r="CB147" s="3396"/>
      <c r="CC147" s="3396"/>
      <c r="CD147" s="3396"/>
      <c r="CE147" s="3396"/>
      <c r="CF147" s="3396"/>
      <c r="CG147" s="3396"/>
      <c r="CH147" s="3396"/>
      <c r="CI147" s="3396"/>
      <c r="CJ147" s="3396"/>
      <c r="CK147" s="3396"/>
      <c r="CL147" s="3396"/>
      <c r="CM147" s="3396"/>
      <c r="CN147" s="3396"/>
      <c r="CO147" s="3396"/>
      <c r="CP147" s="3396"/>
      <c r="CQ147" s="3396"/>
      <c r="CR147" s="3396"/>
      <c r="CS147" s="3396"/>
      <c r="CT147" s="3396"/>
      <c r="CU147" s="3396"/>
      <c r="CV147" s="3396"/>
      <c r="CW147" s="3396"/>
      <c r="CX147" s="3396"/>
    </row>
    <row r="148" s="75" customFormat="1" ht="18" customHeight="1" spans="1:102">
      <c r="A148" s="4080" t="s">
        <v>3902</v>
      </c>
      <c r="B148" s="4080"/>
      <c r="C148" s="4083"/>
      <c r="D148" s="4083"/>
      <c r="E148" s="4083"/>
      <c r="F148" s="4083"/>
      <c r="G148" s="4083"/>
      <c r="H148" s="4083"/>
      <c r="I148" s="4083"/>
      <c r="J148" s="4083"/>
      <c r="K148" s="4083"/>
      <c r="L148" s="4083"/>
      <c r="M148" s="4083"/>
      <c r="N148" s="4083"/>
      <c r="O148" s="4083"/>
      <c r="P148" s="4083"/>
      <c r="Q148" s="4083"/>
      <c r="R148" s="4083"/>
      <c r="S148" s="4083"/>
      <c r="T148" s="4083"/>
      <c r="U148" s="4083"/>
      <c r="V148" s="4083"/>
      <c r="W148" s="4083"/>
      <c r="X148" s="4084"/>
      <c r="Y148" s="4084"/>
      <c r="Z148" s="4084"/>
      <c r="AA148" s="4084"/>
      <c r="AB148" s="4084"/>
      <c r="AC148" s="4084"/>
      <c r="AD148" s="4084"/>
      <c r="AE148" s="4084"/>
      <c r="AF148" s="4084"/>
      <c r="AG148" s="4084"/>
      <c r="AH148" s="4084"/>
      <c r="AI148" s="4084"/>
      <c r="AJ148" s="4085"/>
      <c r="AK148" s="4085"/>
      <c r="AL148" s="4085"/>
      <c r="AM148" s="4085"/>
      <c r="AN148" s="4085"/>
      <c r="AO148" s="4085"/>
      <c r="AP148" s="3418"/>
      <c r="AQ148" s="3418"/>
      <c r="AR148" s="3418"/>
      <c r="AS148" s="3418"/>
      <c r="AT148" s="3418"/>
      <c r="AU148" s="3418"/>
      <c r="AV148" s="3418"/>
      <c r="AW148" s="3418"/>
      <c r="AX148" s="3418"/>
      <c r="AY148" s="3418"/>
      <c r="AZ148" s="3418"/>
      <c r="BA148" s="3418"/>
      <c r="BB148" s="3418"/>
      <c r="BC148" s="3418"/>
      <c r="BD148" s="3418"/>
      <c r="BE148" s="3418"/>
      <c r="BF148" s="3418"/>
      <c r="BG148" s="3418"/>
      <c r="BH148" s="3418"/>
      <c r="BI148" s="3418"/>
      <c r="BJ148" s="3418"/>
      <c r="BK148" s="3418"/>
      <c r="BL148" s="3418"/>
      <c r="BM148" s="3418"/>
      <c r="BN148" s="3418"/>
      <c r="BO148" s="3418"/>
      <c r="BP148" s="3418"/>
      <c r="BQ148" s="3418"/>
      <c r="BR148" s="3418"/>
      <c r="BS148" s="3418"/>
      <c r="BT148" s="3418"/>
      <c r="BU148" s="3418"/>
      <c r="BV148" s="3418"/>
      <c r="BW148" s="3418"/>
      <c r="BX148" s="3418"/>
      <c r="BY148" s="3418"/>
      <c r="BZ148" s="3418"/>
      <c r="CA148" s="3396"/>
      <c r="CB148" s="3396"/>
      <c r="CC148" s="3396"/>
      <c r="CD148" s="3396"/>
      <c r="CE148" s="3396"/>
      <c r="CF148" s="3396"/>
      <c r="CG148" s="3396"/>
      <c r="CH148" s="3396"/>
      <c r="CI148" s="3396"/>
      <c r="CJ148" s="3396"/>
      <c r="CK148" s="3396"/>
      <c r="CL148" s="3396"/>
      <c r="CM148" s="3396"/>
      <c r="CN148" s="3396"/>
      <c r="CO148" s="3396"/>
      <c r="CP148" s="3396"/>
      <c r="CQ148" s="3396"/>
      <c r="CR148" s="3396"/>
      <c r="CS148" s="3396"/>
      <c r="CT148" s="3396"/>
      <c r="CU148" s="3396"/>
      <c r="CV148" s="3396"/>
      <c r="CW148" s="3396"/>
      <c r="CX148" s="3396"/>
    </row>
    <row r="149" s="75" customFormat="1" ht="18" customHeight="1" spans="1:102">
      <c r="A149" s="4080" t="s">
        <v>3905</v>
      </c>
      <c r="B149" s="4080"/>
      <c r="C149" s="4083"/>
      <c r="D149" s="4083"/>
      <c r="E149" s="4083"/>
      <c r="F149" s="4083"/>
      <c r="G149" s="4083"/>
      <c r="H149" s="4083"/>
      <c r="I149" s="4083"/>
      <c r="J149" s="4083"/>
      <c r="K149" s="4083"/>
      <c r="L149" s="4083"/>
      <c r="M149" s="4083"/>
      <c r="N149" s="4083"/>
      <c r="O149" s="4083"/>
      <c r="P149" s="4083"/>
      <c r="Q149" s="4083"/>
      <c r="R149" s="4083"/>
      <c r="S149" s="4083"/>
      <c r="T149" s="4083"/>
      <c r="U149" s="4083"/>
      <c r="V149" s="4083"/>
      <c r="W149" s="4083"/>
      <c r="X149" s="4084"/>
      <c r="Y149" s="4084"/>
      <c r="Z149" s="4084"/>
      <c r="AA149" s="4084"/>
      <c r="AB149" s="4084"/>
      <c r="AC149" s="4084"/>
      <c r="AD149" s="4084"/>
      <c r="AE149" s="4084"/>
      <c r="AF149" s="4084"/>
      <c r="AG149" s="4084"/>
      <c r="AH149" s="4084"/>
      <c r="AI149" s="4084"/>
      <c r="AJ149" s="4085"/>
      <c r="AK149" s="4085"/>
      <c r="AL149" s="4085"/>
      <c r="AM149" s="4085"/>
      <c r="AN149" s="4085"/>
      <c r="AO149" s="4085"/>
      <c r="AP149" s="3418"/>
      <c r="AQ149" s="3418"/>
      <c r="AR149" s="3418"/>
      <c r="AS149" s="3418"/>
      <c r="AT149" s="3418"/>
      <c r="AU149" s="3418"/>
      <c r="AV149" s="3418"/>
      <c r="AW149" s="3418"/>
      <c r="AX149" s="3418"/>
      <c r="AY149" s="3418"/>
      <c r="AZ149" s="3418"/>
      <c r="BA149" s="3418"/>
      <c r="BB149" s="3418"/>
      <c r="BC149" s="3418"/>
      <c r="BD149" s="3418"/>
      <c r="BE149" s="3418"/>
      <c r="BF149" s="3418"/>
      <c r="BG149" s="3418"/>
      <c r="BH149" s="3418"/>
      <c r="BI149" s="3418"/>
      <c r="BJ149" s="3418"/>
      <c r="BK149" s="3418"/>
      <c r="BL149" s="3418"/>
      <c r="BM149" s="3418"/>
      <c r="BN149" s="3418"/>
      <c r="BO149" s="3418"/>
      <c r="BP149" s="3418"/>
      <c r="BQ149" s="3418"/>
      <c r="BR149" s="3418"/>
      <c r="BS149" s="3418"/>
      <c r="BT149" s="3418"/>
      <c r="BU149" s="3418"/>
      <c r="BV149" s="3418"/>
      <c r="BW149" s="3418"/>
      <c r="BX149" s="3418"/>
      <c r="BY149" s="3418"/>
      <c r="BZ149" s="3418"/>
      <c r="CA149" s="3396"/>
      <c r="CB149" s="3396"/>
      <c r="CC149" s="3396"/>
      <c r="CD149" s="3396"/>
      <c r="CE149" s="3396"/>
      <c r="CF149" s="3396"/>
      <c r="CG149" s="3396"/>
      <c r="CH149" s="3396"/>
      <c r="CI149" s="3396"/>
      <c r="CJ149" s="3396"/>
      <c r="CK149" s="3396"/>
      <c r="CL149" s="3396"/>
      <c r="CM149" s="3396"/>
      <c r="CN149" s="3396"/>
      <c r="CO149" s="3396"/>
      <c r="CP149" s="3396"/>
      <c r="CQ149" s="3396"/>
      <c r="CR149" s="3396"/>
      <c r="CS149" s="3396"/>
      <c r="CT149" s="3396"/>
      <c r="CU149" s="3396"/>
      <c r="CV149" s="3396"/>
      <c r="CW149" s="3396"/>
      <c r="CX149" s="3396"/>
    </row>
    <row r="150" s="75" customFormat="1" ht="18" customHeight="1" spans="1:102">
      <c r="A150" s="4080" t="s">
        <v>3915</v>
      </c>
      <c r="B150" s="4080"/>
      <c r="C150" s="4083"/>
      <c r="D150" s="4083"/>
      <c r="E150" s="4083"/>
      <c r="F150" s="4083"/>
      <c r="G150" s="4083"/>
      <c r="H150" s="4083"/>
      <c r="I150" s="4083"/>
      <c r="J150" s="4083"/>
      <c r="K150" s="4083"/>
      <c r="L150" s="4083"/>
      <c r="M150" s="4083"/>
      <c r="N150" s="4083"/>
      <c r="O150" s="4083"/>
      <c r="P150" s="4083"/>
      <c r="Q150" s="4083"/>
      <c r="R150" s="4083"/>
      <c r="S150" s="4083"/>
      <c r="T150" s="4083"/>
      <c r="U150" s="4083"/>
      <c r="V150" s="4083"/>
      <c r="W150" s="4083"/>
      <c r="X150" s="4084"/>
      <c r="Y150" s="4084"/>
      <c r="Z150" s="4084"/>
      <c r="AA150" s="4084"/>
      <c r="AB150" s="4084"/>
      <c r="AC150" s="4084"/>
      <c r="AD150" s="4084"/>
      <c r="AE150" s="4084"/>
      <c r="AF150" s="4084"/>
      <c r="AG150" s="4084"/>
      <c r="AH150" s="4084"/>
      <c r="AI150" s="4084"/>
      <c r="AJ150" s="4085"/>
      <c r="AK150" s="4085"/>
      <c r="AL150" s="4085"/>
      <c r="AM150" s="4085"/>
      <c r="AN150" s="4085"/>
      <c r="AO150" s="4085"/>
      <c r="AP150" s="3418"/>
      <c r="AQ150" s="3418"/>
      <c r="AR150" s="3418"/>
      <c r="AS150" s="3418"/>
      <c r="AT150" s="3418"/>
      <c r="AU150" s="3418"/>
      <c r="AV150" s="3418"/>
      <c r="AW150" s="3418"/>
      <c r="AX150" s="3418"/>
      <c r="AY150" s="3418"/>
      <c r="AZ150" s="3418"/>
      <c r="BA150" s="3418"/>
      <c r="BB150" s="3418"/>
      <c r="BC150" s="3418"/>
      <c r="BD150" s="3418"/>
      <c r="BE150" s="3418"/>
      <c r="BF150" s="3418"/>
      <c r="BG150" s="3418"/>
      <c r="BH150" s="3418"/>
      <c r="BI150" s="3418"/>
      <c r="BJ150" s="3418"/>
      <c r="BK150" s="3418"/>
      <c r="BL150" s="3418"/>
      <c r="BM150" s="3418"/>
      <c r="BN150" s="3418"/>
      <c r="BO150" s="3418"/>
      <c r="BP150" s="3418"/>
      <c r="BQ150" s="3418"/>
      <c r="BR150" s="3418"/>
      <c r="BS150" s="3418"/>
      <c r="BT150" s="3418"/>
      <c r="BU150" s="3418"/>
      <c r="BV150" s="3418"/>
      <c r="BW150" s="3418"/>
      <c r="BX150" s="3418"/>
      <c r="BY150" s="3418"/>
      <c r="BZ150" s="3418"/>
      <c r="CA150" s="3396"/>
      <c r="CB150" s="3396"/>
      <c r="CC150" s="3396"/>
      <c r="CD150" s="3396"/>
      <c r="CE150" s="3396"/>
      <c r="CF150" s="3396"/>
      <c r="CG150" s="3396"/>
      <c r="CH150" s="3396"/>
      <c r="CI150" s="3396"/>
      <c r="CJ150" s="3396"/>
      <c r="CK150" s="3396"/>
      <c r="CL150" s="3396"/>
      <c r="CM150" s="3396"/>
      <c r="CN150" s="3396"/>
      <c r="CO150" s="3396"/>
      <c r="CP150" s="3396"/>
      <c r="CQ150" s="3396"/>
      <c r="CR150" s="3396"/>
      <c r="CS150" s="3396"/>
      <c r="CT150" s="3396"/>
      <c r="CU150" s="3396"/>
      <c r="CV150" s="3396"/>
      <c r="CW150" s="3396"/>
      <c r="CX150" s="3396"/>
    </row>
    <row r="151" s="75" customFormat="1" ht="18" customHeight="1" spans="1:102">
      <c r="A151" s="3951"/>
      <c r="B151" s="3951"/>
      <c r="C151" s="3951"/>
      <c r="D151" s="3951"/>
      <c r="E151" s="3951"/>
      <c r="F151" s="3951"/>
      <c r="G151" s="3951"/>
      <c r="H151" s="3951"/>
      <c r="I151" s="3951"/>
      <c r="J151" s="3951"/>
      <c r="K151" s="3951"/>
      <c r="L151" s="3951"/>
      <c r="M151" s="3951"/>
      <c r="N151" s="3951"/>
      <c r="O151" s="3951"/>
      <c r="P151" s="3951"/>
      <c r="Q151" s="3951"/>
      <c r="R151" s="3951"/>
      <c r="S151" s="3951"/>
      <c r="T151" s="3951"/>
      <c r="U151" s="3951"/>
      <c r="V151" s="3951"/>
      <c r="W151" s="3951"/>
      <c r="X151" s="3951"/>
      <c r="Y151" s="3951"/>
      <c r="Z151" s="3951"/>
      <c r="AA151" s="3951"/>
      <c r="AB151" s="3951"/>
      <c r="AC151" s="3951"/>
      <c r="AD151" s="3951"/>
      <c r="AE151" s="3951"/>
      <c r="AF151" s="3951"/>
      <c r="AG151" s="3951"/>
      <c r="AH151" s="3951"/>
      <c r="AI151" s="3951"/>
      <c r="AJ151" s="3951"/>
      <c r="AK151" s="3951"/>
      <c r="AL151" s="3951"/>
      <c r="AM151" s="3951"/>
      <c r="AN151" s="3951"/>
      <c r="AO151" s="3951"/>
      <c r="AP151" s="3951"/>
      <c r="AQ151" s="3951"/>
      <c r="AR151" s="3951"/>
      <c r="AS151" s="3951"/>
      <c r="AT151" s="3951"/>
      <c r="AU151" s="3951"/>
      <c r="AV151" s="3951"/>
      <c r="AW151" s="3951"/>
      <c r="AX151" s="3951"/>
      <c r="AY151" s="3951"/>
      <c r="AZ151" s="3951"/>
      <c r="BA151" s="3951"/>
      <c r="BB151" s="3951"/>
      <c r="BC151" s="3951"/>
      <c r="BD151" s="3951"/>
      <c r="BE151" s="3951"/>
      <c r="BF151" s="3951"/>
      <c r="BG151" s="3951"/>
      <c r="BH151" s="3951"/>
      <c r="BI151" s="3951"/>
      <c r="BJ151" s="3951"/>
      <c r="BK151" s="3951"/>
      <c r="BL151" s="3951"/>
      <c r="BM151" s="3951"/>
      <c r="BN151" s="3951"/>
      <c r="BO151" s="3951"/>
      <c r="BP151" s="3951"/>
      <c r="BQ151" s="3951"/>
      <c r="BR151" s="3951"/>
      <c r="BS151" s="3951"/>
      <c r="BT151" s="3951"/>
      <c r="BU151" s="3951"/>
      <c r="BV151" s="3951"/>
      <c r="BW151" s="3951"/>
      <c r="BX151" s="3951"/>
      <c r="BY151" s="3951"/>
      <c r="BZ151" s="3951"/>
      <c r="CA151" s="3396"/>
      <c r="CB151" s="3396"/>
      <c r="CC151" s="3396"/>
      <c r="CD151" s="3396"/>
      <c r="CE151" s="3396"/>
      <c r="CF151" s="3396"/>
      <c r="CG151" s="3396"/>
      <c r="CH151" s="3396"/>
      <c r="CI151" s="3396"/>
      <c r="CJ151" s="3396"/>
      <c r="CK151" s="3396"/>
      <c r="CL151" s="3396"/>
      <c r="CM151" s="3396"/>
      <c r="CN151" s="3396"/>
      <c r="CO151" s="3396"/>
      <c r="CP151" s="3396"/>
      <c r="CQ151" s="3396"/>
      <c r="CR151" s="3396"/>
      <c r="CS151" s="3396"/>
      <c r="CT151" s="3396"/>
      <c r="CU151" s="3396"/>
      <c r="CV151" s="3396"/>
      <c r="CW151" s="3396"/>
      <c r="CX151" s="3396"/>
    </row>
    <row r="152" s="75" customFormat="1" ht="18" customHeight="1" spans="1:102">
      <c r="A152" s="4078" t="s">
        <v>5996</v>
      </c>
      <c r="B152" s="3951"/>
      <c r="C152" s="3951"/>
      <c r="D152" s="3951"/>
      <c r="E152" s="3951"/>
      <c r="F152" s="3951"/>
      <c r="G152" s="3951"/>
      <c r="H152" s="3951"/>
      <c r="I152" s="3951"/>
      <c r="J152" s="3951"/>
      <c r="K152" s="3951"/>
      <c r="L152" s="3951"/>
      <c r="M152" s="3951"/>
      <c r="N152" s="3951"/>
      <c r="O152" s="3951"/>
      <c r="P152" s="3951"/>
      <c r="Q152" s="3951"/>
      <c r="R152" s="3951"/>
      <c r="S152" s="3951"/>
      <c r="T152" s="3951"/>
      <c r="U152" s="3951"/>
      <c r="V152" s="3951"/>
      <c r="W152" s="3951"/>
      <c r="X152" s="3951"/>
      <c r="Y152" s="3951"/>
      <c r="Z152" s="3951"/>
      <c r="AA152" s="3951"/>
      <c r="AB152" s="3951"/>
      <c r="AC152" s="3951"/>
      <c r="AD152" s="3951"/>
      <c r="AE152" s="3951"/>
      <c r="AF152" s="3951"/>
      <c r="AG152" s="3951"/>
      <c r="AH152" s="3951"/>
      <c r="AI152" s="3951"/>
      <c r="AJ152" s="3951"/>
      <c r="AK152" s="3951"/>
      <c r="AL152" s="3951"/>
      <c r="AM152" s="3951"/>
      <c r="AN152" s="3951"/>
      <c r="AO152" s="3951"/>
      <c r="AP152" s="3951"/>
      <c r="AQ152" s="3951"/>
      <c r="AR152" s="3951"/>
      <c r="AS152" s="3951"/>
      <c r="AT152" s="3951"/>
      <c r="AU152" s="3951"/>
      <c r="AV152" s="3951"/>
      <c r="AW152" s="3951"/>
      <c r="AX152" s="3951"/>
      <c r="AY152" s="3951"/>
      <c r="AZ152" s="3951"/>
      <c r="BA152" s="3951"/>
      <c r="BB152" s="3951"/>
      <c r="BC152" s="3951"/>
      <c r="BD152" s="3951"/>
      <c r="BE152" s="3951"/>
      <c r="BF152" s="3951"/>
      <c r="BG152" s="3951"/>
      <c r="BH152" s="3951"/>
      <c r="BI152" s="3951"/>
      <c r="BJ152" s="3951"/>
      <c r="BK152" s="3951"/>
      <c r="BL152" s="3951"/>
      <c r="BM152" s="3951"/>
      <c r="BN152" s="3951"/>
      <c r="BO152" s="3951"/>
      <c r="BP152" s="3951"/>
      <c r="BQ152" s="3951"/>
      <c r="BR152" s="3951"/>
      <c r="BS152" s="3951"/>
      <c r="BT152" s="3951"/>
      <c r="BU152" s="3951"/>
      <c r="BV152" s="3951"/>
      <c r="BW152" s="3951"/>
      <c r="BX152" s="3951"/>
      <c r="BY152" s="3951"/>
      <c r="BZ152" s="3951"/>
      <c r="CA152" s="3396"/>
      <c r="CB152" s="3396"/>
      <c r="CC152" s="3396"/>
      <c r="CD152" s="3396"/>
      <c r="CE152" s="3396"/>
      <c r="CF152" s="3396"/>
      <c r="CG152" s="3396"/>
      <c r="CH152" s="3396"/>
      <c r="CI152" s="3396"/>
      <c r="CJ152" s="3396"/>
      <c r="CK152" s="3396"/>
      <c r="CL152" s="3396"/>
      <c r="CM152" s="3396"/>
      <c r="CN152" s="3396"/>
      <c r="CO152" s="3396"/>
      <c r="CP152" s="3396"/>
      <c r="CQ152" s="3396"/>
      <c r="CR152" s="3396"/>
      <c r="CS152" s="3396"/>
      <c r="CT152" s="3396"/>
      <c r="CU152" s="3396"/>
      <c r="CV152" s="3396"/>
      <c r="CW152" s="3396"/>
      <c r="CX152" s="3396"/>
    </row>
    <row r="153" s="3882" customFormat="1" ht="18" customHeight="1" spans="1:102">
      <c r="A153" s="3407" t="s">
        <v>5985</v>
      </c>
      <c r="B153" s="3407"/>
      <c r="C153" s="3407" t="s">
        <v>5997</v>
      </c>
      <c r="D153" s="3407"/>
      <c r="E153" s="3407"/>
      <c r="F153" s="3407"/>
      <c r="G153" s="3407"/>
      <c r="H153" s="3407"/>
      <c r="I153" s="3407"/>
      <c r="J153" s="3407"/>
      <c r="K153" s="3407"/>
      <c r="L153" s="3407"/>
      <c r="M153" s="3407"/>
      <c r="N153" s="3407"/>
      <c r="O153" s="3407"/>
      <c r="P153" s="3407"/>
      <c r="Q153" s="3407" t="s">
        <v>5998</v>
      </c>
      <c r="R153" s="3407"/>
      <c r="S153" s="3407"/>
      <c r="T153" s="3407"/>
      <c r="U153" s="3407"/>
      <c r="V153" s="3407"/>
      <c r="W153" s="3407" t="s">
        <v>5999</v>
      </c>
      <c r="X153" s="3407"/>
      <c r="Y153" s="3407"/>
      <c r="Z153" s="3407"/>
      <c r="AA153" s="3407"/>
      <c r="AB153" s="3407"/>
      <c r="AC153" s="3407"/>
      <c r="AD153" s="3407"/>
      <c r="AE153" s="3407"/>
      <c r="AF153" s="3407"/>
      <c r="AG153" s="3407"/>
      <c r="AH153" s="3407"/>
      <c r="AI153" s="3407"/>
      <c r="AJ153" s="4086" t="s">
        <v>6000</v>
      </c>
      <c r="AK153" s="4086"/>
      <c r="AL153" s="4086"/>
      <c r="AM153" s="4086"/>
      <c r="AN153" s="4086"/>
      <c r="AO153" s="4086"/>
      <c r="AP153" s="4087"/>
      <c r="AQ153" s="4087"/>
      <c r="AR153" s="4087"/>
      <c r="AS153" s="4087"/>
      <c r="AT153" s="4087"/>
      <c r="AU153" s="4087"/>
      <c r="AV153" s="4087"/>
      <c r="AW153" s="4087"/>
      <c r="AX153" s="4087"/>
      <c r="AY153" s="4087"/>
      <c r="AZ153" s="4087"/>
      <c r="BA153" s="4087"/>
      <c r="BB153" s="4087"/>
      <c r="BC153" s="4087"/>
      <c r="BD153" s="4087"/>
      <c r="BE153" s="4087"/>
      <c r="BF153" s="4087"/>
      <c r="BG153" s="4087"/>
      <c r="BH153" s="4087"/>
      <c r="BI153" s="4087"/>
      <c r="BJ153" s="4087"/>
      <c r="BK153" s="4087"/>
      <c r="BL153" s="4087"/>
      <c r="BM153" s="4087"/>
      <c r="BN153" s="4087"/>
      <c r="BO153" s="4087"/>
      <c r="BP153" s="4087"/>
      <c r="BQ153" s="4087"/>
      <c r="BR153" s="4087"/>
      <c r="BS153" s="4087"/>
      <c r="BT153" s="4087"/>
      <c r="BU153" s="4087"/>
      <c r="BV153" s="4087"/>
      <c r="BW153" s="4087"/>
      <c r="BX153" s="4087"/>
      <c r="BY153" s="4087"/>
      <c r="BZ153" s="4087"/>
      <c r="CA153" s="3396"/>
      <c r="CB153" s="3396"/>
      <c r="CC153" s="3396"/>
      <c r="CD153" s="3396"/>
      <c r="CE153" s="3396"/>
      <c r="CF153" s="3396"/>
      <c r="CG153" s="3396"/>
      <c r="CH153" s="3396"/>
      <c r="CI153" s="3396"/>
      <c r="CJ153" s="3396"/>
      <c r="CK153" s="3396"/>
      <c r="CL153" s="3396"/>
      <c r="CM153" s="3396"/>
      <c r="CN153" s="3396"/>
      <c r="CO153" s="3396"/>
      <c r="CP153" s="3396"/>
      <c r="CQ153" s="3396"/>
      <c r="CR153" s="3396"/>
      <c r="CS153" s="3396"/>
      <c r="CT153" s="3396"/>
      <c r="CU153" s="3396"/>
      <c r="CV153" s="3396"/>
      <c r="CW153" s="3396"/>
      <c r="CX153" s="3396"/>
    </row>
    <row r="154" s="3882" customFormat="1" ht="18" customHeight="1" spans="1:102">
      <c r="A154" s="3407"/>
      <c r="B154" s="3407"/>
      <c r="C154" s="3407" t="s">
        <v>6001</v>
      </c>
      <c r="D154" s="3407"/>
      <c r="E154" s="3407"/>
      <c r="F154" s="3407"/>
      <c r="G154" s="3407"/>
      <c r="H154" s="3407"/>
      <c r="I154" s="3407"/>
      <c r="J154" s="3407"/>
      <c r="K154" s="3407" t="s">
        <v>6002</v>
      </c>
      <c r="L154" s="3407"/>
      <c r="M154" s="3407"/>
      <c r="N154" s="3407"/>
      <c r="O154" s="3407"/>
      <c r="P154" s="3407"/>
      <c r="Q154" s="3407" t="s">
        <v>6003</v>
      </c>
      <c r="R154" s="3407"/>
      <c r="S154" s="3407"/>
      <c r="T154" s="3407"/>
      <c r="U154" s="3407"/>
      <c r="V154" s="3407"/>
      <c r="W154" s="3407" t="s">
        <v>6004</v>
      </c>
      <c r="X154" s="3407"/>
      <c r="Y154" s="3407"/>
      <c r="Z154" s="3407"/>
      <c r="AA154" s="3407"/>
      <c r="AB154" s="3407"/>
      <c r="AC154" s="3407"/>
      <c r="AD154" s="3407"/>
      <c r="AE154" s="3407" t="s">
        <v>6005</v>
      </c>
      <c r="AF154" s="3407"/>
      <c r="AG154" s="3407"/>
      <c r="AH154" s="3407"/>
      <c r="AI154" s="3407"/>
      <c r="AJ154" s="4088" t="s">
        <v>6006</v>
      </c>
      <c r="AK154" s="4088"/>
      <c r="AL154" s="4088"/>
      <c r="AM154" s="4088"/>
      <c r="AN154" s="4088"/>
      <c r="AO154" s="4088"/>
      <c r="AP154" s="4087"/>
      <c r="AQ154" s="4087"/>
      <c r="AR154" s="4087"/>
      <c r="AS154" s="4087"/>
      <c r="AT154" s="4087"/>
      <c r="AU154" s="4087"/>
      <c r="AV154" s="4087"/>
      <c r="AW154" s="4087"/>
      <c r="AX154" s="4087"/>
      <c r="AY154" s="4087"/>
      <c r="AZ154" s="4087"/>
      <c r="BA154" s="4087"/>
      <c r="BB154" s="4087"/>
      <c r="BC154" s="4087"/>
      <c r="BD154" s="4087"/>
      <c r="BE154" s="4087"/>
      <c r="BF154" s="4087"/>
      <c r="BG154" s="4087"/>
      <c r="BH154" s="4087"/>
      <c r="BI154" s="4087"/>
      <c r="BJ154" s="4087"/>
      <c r="BK154" s="4087"/>
      <c r="BL154" s="4087"/>
      <c r="BM154" s="4087"/>
      <c r="BN154" s="4087"/>
      <c r="BO154" s="4087"/>
      <c r="BP154" s="4087"/>
      <c r="BQ154" s="4087"/>
      <c r="BR154" s="4087"/>
      <c r="BS154" s="4087"/>
      <c r="BT154" s="4087"/>
      <c r="BU154" s="4087"/>
      <c r="BV154" s="4087"/>
      <c r="BW154" s="4087"/>
      <c r="BX154" s="4087"/>
      <c r="BY154" s="4087"/>
      <c r="BZ154" s="4087"/>
      <c r="CA154" s="3396"/>
      <c r="CB154" s="3396"/>
      <c r="CC154" s="3396"/>
      <c r="CD154" s="3396"/>
      <c r="CE154" s="3396"/>
      <c r="CF154" s="3396"/>
      <c r="CG154" s="3396"/>
      <c r="CH154" s="3396"/>
      <c r="CI154" s="3396"/>
      <c r="CJ154" s="3396"/>
      <c r="CK154" s="3396"/>
      <c r="CL154" s="3396"/>
      <c r="CM154" s="3396"/>
      <c r="CN154" s="3396"/>
      <c r="CO154" s="3396"/>
      <c r="CP154" s="3396"/>
      <c r="CQ154" s="3396"/>
      <c r="CR154" s="3396"/>
      <c r="CS154" s="3396"/>
      <c r="CT154" s="3396"/>
      <c r="CU154" s="3396"/>
      <c r="CV154" s="3396"/>
      <c r="CW154" s="3396"/>
      <c r="CX154" s="3396"/>
    </row>
    <row r="155" s="75" customFormat="1" ht="18" customHeight="1" spans="1:102">
      <c r="A155" s="3407" t="s">
        <v>3953</v>
      </c>
      <c r="B155" s="3407"/>
      <c r="C155" s="4089"/>
      <c r="D155" s="4089"/>
      <c r="E155" s="4089"/>
      <c r="F155" s="4089"/>
      <c r="G155" s="4089"/>
      <c r="H155" s="4089"/>
      <c r="I155" s="4089"/>
      <c r="J155" s="4089"/>
      <c r="K155" s="4090"/>
      <c r="L155" s="4090"/>
      <c r="M155" s="4090"/>
      <c r="N155" s="4090"/>
      <c r="O155" s="4090"/>
      <c r="P155" s="4090"/>
      <c r="Q155" s="4091"/>
      <c r="R155" s="4091"/>
      <c r="S155" s="4091"/>
      <c r="T155" s="4091"/>
      <c r="U155" s="4091"/>
      <c r="V155" s="4091"/>
      <c r="W155" s="4089"/>
      <c r="X155" s="4089"/>
      <c r="Y155" s="4089"/>
      <c r="Z155" s="4089"/>
      <c r="AA155" s="4089"/>
      <c r="AB155" s="4089"/>
      <c r="AC155" s="4089"/>
      <c r="AD155" s="4089"/>
      <c r="AE155" s="4090"/>
      <c r="AF155" s="4090"/>
      <c r="AG155" s="4090"/>
      <c r="AH155" s="4090"/>
      <c r="AI155" s="4090"/>
      <c r="AJ155" s="4092"/>
      <c r="AK155" s="4092"/>
      <c r="AL155" s="4092"/>
      <c r="AM155" s="4092"/>
      <c r="AN155" s="4092"/>
      <c r="AO155" s="4092"/>
      <c r="AP155" s="3418"/>
      <c r="AQ155" s="3418"/>
      <c r="AR155" s="3418"/>
      <c r="AS155" s="3418"/>
      <c r="AT155" s="3418"/>
      <c r="AU155" s="3418"/>
      <c r="AV155" s="3418"/>
      <c r="AW155" s="3418"/>
      <c r="AX155" s="3418"/>
      <c r="AY155" s="3418"/>
      <c r="AZ155" s="3418"/>
      <c r="BA155" s="3418"/>
      <c r="BB155" s="3418"/>
      <c r="BC155" s="3418"/>
      <c r="BD155" s="3418"/>
      <c r="BE155" s="3418"/>
      <c r="BF155" s="3418"/>
      <c r="BG155" s="3418"/>
      <c r="BH155" s="3418"/>
      <c r="BI155" s="3418"/>
      <c r="BJ155" s="3418"/>
      <c r="BK155" s="3418"/>
      <c r="BL155" s="3418"/>
      <c r="BM155" s="3418"/>
      <c r="BN155" s="3418"/>
      <c r="BO155" s="3418"/>
      <c r="BP155" s="3418"/>
      <c r="BQ155" s="3418"/>
      <c r="BR155" s="3418"/>
      <c r="BS155" s="3418"/>
      <c r="BT155" s="3418"/>
      <c r="BU155" s="3418"/>
      <c r="BV155" s="3418"/>
      <c r="BW155" s="3418"/>
      <c r="BX155" s="3418"/>
      <c r="BY155" s="3418"/>
      <c r="BZ155" s="3418"/>
      <c r="CA155" s="3396"/>
      <c r="CB155" s="3396"/>
      <c r="CC155" s="3396"/>
      <c r="CD155" s="3396"/>
      <c r="CE155" s="3396"/>
      <c r="CF155" s="3396"/>
      <c r="CG155" s="3396"/>
      <c r="CH155" s="3396"/>
      <c r="CI155" s="3396"/>
      <c r="CJ155" s="3396"/>
      <c r="CK155" s="3396"/>
      <c r="CL155" s="3396"/>
      <c r="CM155" s="3396"/>
      <c r="CN155" s="3396"/>
      <c r="CO155" s="3396"/>
      <c r="CP155" s="3396"/>
      <c r="CQ155" s="3396"/>
      <c r="CR155" s="3396"/>
      <c r="CS155" s="3396"/>
      <c r="CT155" s="3396"/>
      <c r="CU155" s="3396"/>
      <c r="CV155" s="3396"/>
      <c r="CW155" s="3396"/>
      <c r="CX155" s="3396"/>
    </row>
    <row r="156" s="75" customFormat="1" ht="18" customHeight="1" spans="1:102">
      <c r="A156" s="3407" t="s">
        <v>3891</v>
      </c>
      <c r="B156" s="3407"/>
      <c r="C156" s="4089"/>
      <c r="D156" s="4089"/>
      <c r="E156" s="4089"/>
      <c r="F156" s="4089"/>
      <c r="G156" s="4089"/>
      <c r="H156" s="4089"/>
      <c r="I156" s="4089"/>
      <c r="J156" s="4089"/>
      <c r="K156" s="4090"/>
      <c r="L156" s="4090"/>
      <c r="M156" s="4090"/>
      <c r="N156" s="4090"/>
      <c r="O156" s="4090"/>
      <c r="P156" s="4090"/>
      <c r="Q156" s="4091"/>
      <c r="R156" s="4091"/>
      <c r="S156" s="4091"/>
      <c r="T156" s="4091"/>
      <c r="U156" s="4091"/>
      <c r="V156" s="4091"/>
      <c r="W156" s="4089"/>
      <c r="X156" s="4089"/>
      <c r="Y156" s="4089"/>
      <c r="Z156" s="4089"/>
      <c r="AA156" s="4089"/>
      <c r="AB156" s="4089"/>
      <c r="AC156" s="4089"/>
      <c r="AD156" s="4089"/>
      <c r="AE156" s="4090"/>
      <c r="AF156" s="4090"/>
      <c r="AG156" s="4090"/>
      <c r="AH156" s="4090"/>
      <c r="AI156" s="4090"/>
      <c r="AJ156" s="4092"/>
      <c r="AK156" s="4092"/>
      <c r="AL156" s="4092"/>
      <c r="AM156" s="4092"/>
      <c r="AN156" s="4092"/>
      <c r="AO156" s="4092"/>
      <c r="AP156" s="3418"/>
      <c r="AQ156" s="3418"/>
      <c r="AR156" s="3418"/>
      <c r="AS156" s="3418"/>
      <c r="AT156" s="3418"/>
      <c r="AU156" s="3418"/>
      <c r="AV156" s="3418"/>
      <c r="AW156" s="3418"/>
      <c r="AX156" s="3418"/>
      <c r="AY156" s="3418"/>
      <c r="AZ156" s="3418"/>
      <c r="BA156" s="3418"/>
      <c r="BB156" s="3418"/>
      <c r="BC156" s="3418"/>
      <c r="BD156" s="3418"/>
      <c r="BE156" s="3418"/>
      <c r="BF156" s="3418"/>
      <c r="BG156" s="3418"/>
      <c r="BH156" s="3418"/>
      <c r="BI156" s="3418"/>
      <c r="BJ156" s="3418"/>
      <c r="BK156" s="3418"/>
      <c r="BL156" s="3418"/>
      <c r="BM156" s="3418"/>
      <c r="BN156" s="3418"/>
      <c r="BO156" s="3418"/>
      <c r="BP156" s="3418"/>
      <c r="BQ156" s="3418"/>
      <c r="BR156" s="3418"/>
      <c r="BS156" s="3418"/>
      <c r="BT156" s="3418"/>
      <c r="BU156" s="3418"/>
      <c r="BV156" s="3418"/>
      <c r="BW156" s="3418"/>
      <c r="BX156" s="3418"/>
      <c r="BY156" s="3418"/>
      <c r="BZ156" s="3418"/>
      <c r="CA156" s="3396"/>
      <c r="CB156" s="3396"/>
      <c r="CC156" s="3396"/>
      <c r="CD156" s="3396"/>
      <c r="CE156" s="3396"/>
      <c r="CF156" s="3396"/>
      <c r="CG156" s="3396"/>
      <c r="CH156" s="3396"/>
      <c r="CI156" s="3396"/>
      <c r="CJ156" s="3396"/>
      <c r="CK156" s="3396"/>
      <c r="CL156" s="3396"/>
      <c r="CM156" s="3396"/>
      <c r="CN156" s="3396"/>
      <c r="CO156" s="3396"/>
      <c r="CP156" s="3396"/>
      <c r="CQ156" s="3396"/>
      <c r="CR156" s="3396"/>
      <c r="CS156" s="3396"/>
      <c r="CT156" s="3396"/>
      <c r="CU156" s="3396"/>
      <c r="CV156" s="3396"/>
      <c r="CW156" s="3396"/>
      <c r="CX156" s="3396"/>
    </row>
    <row r="157" s="75" customFormat="1" ht="18" customHeight="1" spans="1:102">
      <c r="A157" s="3407" t="s">
        <v>3902</v>
      </c>
      <c r="B157" s="3407"/>
      <c r="C157" s="4089"/>
      <c r="D157" s="4089"/>
      <c r="E157" s="4089"/>
      <c r="F157" s="4089"/>
      <c r="G157" s="4089"/>
      <c r="H157" s="4089"/>
      <c r="I157" s="4089"/>
      <c r="J157" s="4089"/>
      <c r="K157" s="4090"/>
      <c r="L157" s="4090"/>
      <c r="M157" s="4090"/>
      <c r="N157" s="4090"/>
      <c r="O157" s="4090"/>
      <c r="P157" s="4090"/>
      <c r="Q157" s="4091"/>
      <c r="R157" s="4091"/>
      <c r="S157" s="4091"/>
      <c r="T157" s="4091"/>
      <c r="U157" s="4091"/>
      <c r="V157" s="4091"/>
      <c r="W157" s="4089"/>
      <c r="X157" s="4089"/>
      <c r="Y157" s="4089"/>
      <c r="Z157" s="4089"/>
      <c r="AA157" s="4089"/>
      <c r="AB157" s="4089"/>
      <c r="AC157" s="4089"/>
      <c r="AD157" s="4089"/>
      <c r="AE157" s="4090"/>
      <c r="AF157" s="4090"/>
      <c r="AG157" s="4090"/>
      <c r="AH157" s="4090"/>
      <c r="AI157" s="4090"/>
      <c r="AJ157" s="4092"/>
      <c r="AK157" s="4092"/>
      <c r="AL157" s="4092"/>
      <c r="AM157" s="4092"/>
      <c r="AN157" s="4092"/>
      <c r="AO157" s="4092"/>
      <c r="AP157" s="3418"/>
      <c r="AQ157" s="3418"/>
      <c r="AR157" s="3418"/>
      <c r="AS157" s="3418"/>
      <c r="AT157" s="3418"/>
      <c r="AU157" s="3418"/>
      <c r="AV157" s="3418"/>
      <c r="AW157" s="3418"/>
      <c r="AX157" s="3418"/>
      <c r="AY157" s="3418"/>
      <c r="AZ157" s="3418"/>
      <c r="BA157" s="3418"/>
      <c r="BB157" s="3418"/>
      <c r="BC157" s="3418"/>
      <c r="BD157" s="3418"/>
      <c r="BE157" s="3418"/>
      <c r="BF157" s="3418"/>
      <c r="BG157" s="3418"/>
      <c r="BH157" s="3418"/>
      <c r="BI157" s="3418"/>
      <c r="BJ157" s="3418"/>
      <c r="BK157" s="3418"/>
      <c r="BL157" s="3418"/>
      <c r="BM157" s="3418"/>
      <c r="BN157" s="3418"/>
      <c r="BO157" s="3418"/>
      <c r="BP157" s="3418"/>
      <c r="BQ157" s="3418"/>
      <c r="BR157" s="3418"/>
      <c r="BS157" s="3418"/>
      <c r="BT157" s="3418"/>
      <c r="BU157" s="3418"/>
      <c r="BV157" s="3418"/>
      <c r="BW157" s="3418"/>
      <c r="BX157" s="3418"/>
      <c r="BY157" s="3418"/>
      <c r="BZ157" s="3418"/>
      <c r="CA157" s="3396"/>
      <c r="CB157" s="3396"/>
      <c r="CC157" s="3396"/>
      <c r="CD157" s="3396"/>
      <c r="CE157" s="3396"/>
      <c r="CF157" s="3396"/>
      <c r="CG157" s="3396"/>
      <c r="CH157" s="3396"/>
      <c r="CI157" s="3396"/>
      <c r="CJ157" s="3396"/>
      <c r="CK157" s="3396"/>
      <c r="CL157" s="3396"/>
      <c r="CM157" s="3396"/>
      <c r="CN157" s="3396"/>
      <c r="CO157" s="3396"/>
      <c r="CP157" s="3396"/>
      <c r="CQ157" s="3396"/>
      <c r="CR157" s="3396"/>
      <c r="CS157" s="3396"/>
      <c r="CT157" s="3396"/>
      <c r="CU157" s="3396"/>
      <c r="CV157" s="3396"/>
      <c r="CW157" s="3396"/>
      <c r="CX157" s="3396"/>
    </row>
    <row r="158" s="75" customFormat="1" ht="18" customHeight="1" spans="1:102">
      <c r="A158" s="3407" t="s">
        <v>3905</v>
      </c>
      <c r="B158" s="3407"/>
      <c r="C158" s="4089"/>
      <c r="D158" s="4089"/>
      <c r="E158" s="4089"/>
      <c r="F158" s="4089"/>
      <c r="G158" s="4089"/>
      <c r="H158" s="4089"/>
      <c r="I158" s="4089"/>
      <c r="J158" s="4089"/>
      <c r="K158" s="4090"/>
      <c r="L158" s="4090"/>
      <c r="M158" s="4090"/>
      <c r="N158" s="4090"/>
      <c r="O158" s="4090"/>
      <c r="P158" s="4090"/>
      <c r="Q158" s="4091"/>
      <c r="R158" s="4091"/>
      <c r="S158" s="4091"/>
      <c r="T158" s="4091"/>
      <c r="U158" s="4091"/>
      <c r="V158" s="4091"/>
      <c r="W158" s="4089"/>
      <c r="X158" s="4089"/>
      <c r="Y158" s="4089"/>
      <c r="Z158" s="4089"/>
      <c r="AA158" s="4089"/>
      <c r="AB158" s="4089"/>
      <c r="AC158" s="4089"/>
      <c r="AD158" s="4089"/>
      <c r="AE158" s="4090"/>
      <c r="AF158" s="4090"/>
      <c r="AG158" s="4090"/>
      <c r="AH158" s="4090"/>
      <c r="AI158" s="4090"/>
      <c r="AJ158" s="4092"/>
      <c r="AK158" s="4092"/>
      <c r="AL158" s="4092"/>
      <c r="AM158" s="4092"/>
      <c r="AN158" s="4092"/>
      <c r="AO158" s="4092"/>
      <c r="AP158" s="3418"/>
      <c r="AQ158" s="3418"/>
      <c r="AR158" s="3418"/>
      <c r="AS158" s="3418"/>
      <c r="AT158" s="3418"/>
      <c r="AU158" s="3418"/>
      <c r="AV158" s="3418"/>
      <c r="AW158" s="3418"/>
      <c r="AX158" s="3418"/>
      <c r="AY158" s="3418"/>
      <c r="AZ158" s="3418"/>
      <c r="BA158" s="3418"/>
      <c r="BB158" s="3418"/>
      <c r="BC158" s="3418"/>
      <c r="BD158" s="3418"/>
      <c r="BE158" s="3418"/>
      <c r="BF158" s="3418"/>
      <c r="BG158" s="3418"/>
      <c r="BH158" s="3418"/>
      <c r="BI158" s="3418"/>
      <c r="BJ158" s="3418"/>
      <c r="BK158" s="3418"/>
      <c r="BL158" s="3418"/>
      <c r="BM158" s="3418"/>
      <c r="BN158" s="3418"/>
      <c r="BO158" s="3418"/>
      <c r="BP158" s="3418"/>
      <c r="BQ158" s="3418"/>
      <c r="BR158" s="3418"/>
      <c r="BS158" s="3418"/>
      <c r="BT158" s="3418"/>
      <c r="BU158" s="3418"/>
      <c r="BV158" s="3418"/>
      <c r="BW158" s="3418"/>
      <c r="BX158" s="3418"/>
      <c r="BY158" s="3418"/>
      <c r="BZ158" s="3418"/>
      <c r="CA158" s="3396"/>
      <c r="CB158" s="3396"/>
      <c r="CC158" s="3396"/>
      <c r="CD158" s="3396"/>
      <c r="CE158" s="3396"/>
      <c r="CF158" s="3396"/>
      <c r="CG158" s="3396"/>
      <c r="CH158" s="3396"/>
      <c r="CI158" s="3396"/>
      <c r="CJ158" s="3396"/>
      <c r="CK158" s="3396"/>
      <c r="CL158" s="3396"/>
      <c r="CM158" s="3396"/>
      <c r="CN158" s="3396"/>
      <c r="CO158" s="3396"/>
      <c r="CP158" s="3396"/>
      <c r="CQ158" s="3396"/>
      <c r="CR158" s="3396"/>
      <c r="CS158" s="3396"/>
      <c r="CT158" s="3396"/>
      <c r="CU158" s="3396"/>
      <c r="CV158" s="3396"/>
      <c r="CW158" s="3396"/>
      <c r="CX158" s="3396"/>
    </row>
    <row r="159" s="75" customFormat="1" ht="18" customHeight="1" spans="1:102">
      <c r="A159" s="3407" t="s">
        <v>3915</v>
      </c>
      <c r="B159" s="3407"/>
      <c r="C159" s="4089"/>
      <c r="D159" s="4089"/>
      <c r="E159" s="4089"/>
      <c r="F159" s="4089"/>
      <c r="G159" s="4089"/>
      <c r="H159" s="4089"/>
      <c r="I159" s="4089"/>
      <c r="J159" s="4089"/>
      <c r="K159" s="4090"/>
      <c r="L159" s="4090"/>
      <c r="M159" s="4090"/>
      <c r="N159" s="4090"/>
      <c r="O159" s="4090"/>
      <c r="P159" s="4090"/>
      <c r="Q159" s="4091"/>
      <c r="R159" s="4091"/>
      <c r="S159" s="4091"/>
      <c r="T159" s="4091"/>
      <c r="U159" s="4091"/>
      <c r="V159" s="4091"/>
      <c r="W159" s="4089"/>
      <c r="X159" s="4089"/>
      <c r="Y159" s="4089"/>
      <c r="Z159" s="4089"/>
      <c r="AA159" s="4089"/>
      <c r="AB159" s="4089"/>
      <c r="AC159" s="4089"/>
      <c r="AD159" s="4089"/>
      <c r="AE159" s="4090"/>
      <c r="AF159" s="4090"/>
      <c r="AG159" s="4090"/>
      <c r="AH159" s="4090"/>
      <c r="AI159" s="4090"/>
      <c r="AJ159" s="4092"/>
      <c r="AK159" s="4092"/>
      <c r="AL159" s="4092"/>
      <c r="AM159" s="4092"/>
      <c r="AN159" s="4092"/>
      <c r="AO159" s="4092"/>
      <c r="AP159" s="3418"/>
      <c r="AQ159" s="3418"/>
      <c r="AR159" s="3418"/>
      <c r="AS159" s="3418"/>
      <c r="AT159" s="3418"/>
      <c r="AU159" s="3418"/>
      <c r="AV159" s="3418"/>
      <c r="AW159" s="3418"/>
      <c r="AX159" s="3418"/>
      <c r="AY159" s="3418"/>
      <c r="AZ159" s="3418"/>
      <c r="BA159" s="3418"/>
      <c r="BB159" s="3418"/>
      <c r="BC159" s="3418"/>
      <c r="BD159" s="3418"/>
      <c r="BE159" s="3418"/>
      <c r="BF159" s="3418"/>
      <c r="BG159" s="3418"/>
      <c r="BH159" s="3418"/>
      <c r="BI159" s="3418"/>
      <c r="BJ159" s="3418"/>
      <c r="BK159" s="3418"/>
      <c r="BL159" s="3418"/>
      <c r="BM159" s="3418"/>
      <c r="BN159" s="3418"/>
      <c r="BO159" s="3418"/>
      <c r="BP159" s="3418"/>
      <c r="BQ159" s="3418"/>
      <c r="BR159" s="3418"/>
      <c r="BS159" s="3418"/>
      <c r="BT159" s="3418"/>
      <c r="BU159" s="3418"/>
      <c r="BV159" s="3418"/>
      <c r="BW159" s="3418"/>
      <c r="BX159" s="3418"/>
      <c r="BY159" s="3418"/>
      <c r="BZ159" s="3418"/>
      <c r="CA159" s="3396"/>
      <c r="CB159" s="3396"/>
      <c r="CC159" s="3396"/>
      <c r="CD159" s="3396"/>
      <c r="CE159" s="3396"/>
      <c r="CF159" s="3396"/>
      <c r="CG159" s="3396"/>
      <c r="CH159" s="3396"/>
      <c r="CI159" s="3396"/>
      <c r="CJ159" s="3396"/>
      <c r="CK159" s="3396"/>
      <c r="CL159" s="3396"/>
      <c r="CM159" s="3396"/>
      <c r="CN159" s="3396"/>
      <c r="CO159" s="3396"/>
      <c r="CP159" s="3396"/>
      <c r="CQ159" s="3396"/>
      <c r="CR159" s="3396"/>
      <c r="CS159" s="3396"/>
      <c r="CT159" s="3396"/>
      <c r="CU159" s="3396"/>
      <c r="CV159" s="3396"/>
      <c r="CW159" s="3396"/>
      <c r="CX159" s="3396"/>
    </row>
    <row r="160" s="75" customFormat="1" ht="14.25" customHeight="1" spans="1:102">
      <c r="A160" s="3418"/>
      <c r="B160" s="3418"/>
      <c r="C160" s="3418"/>
      <c r="D160" s="3418"/>
      <c r="E160" s="3418"/>
      <c r="F160" s="3418"/>
      <c r="G160" s="3418"/>
      <c r="H160" s="3418"/>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418"/>
      <c r="AD160" s="3418"/>
      <c r="AE160" s="3418"/>
      <c r="AF160" s="3418"/>
      <c r="AG160" s="3418"/>
      <c r="AH160" s="3418"/>
      <c r="AI160" s="3418"/>
      <c r="AJ160" s="3418"/>
      <c r="AK160" s="3418"/>
      <c r="AL160" s="3418"/>
      <c r="AM160" s="3418"/>
      <c r="AN160" s="3418"/>
      <c r="AO160" s="3418"/>
      <c r="AP160" s="3418"/>
      <c r="AQ160" s="3418"/>
      <c r="AR160" s="3418"/>
      <c r="AS160" s="3418"/>
      <c r="AT160" s="3418"/>
      <c r="AU160" s="3418"/>
      <c r="AV160" s="3418"/>
      <c r="AW160" s="3418"/>
      <c r="AX160" s="3418"/>
      <c r="AY160" s="3418"/>
      <c r="AZ160" s="3418"/>
      <c r="BA160" s="3418"/>
      <c r="BB160" s="3418"/>
      <c r="BC160" s="3418"/>
      <c r="BD160" s="3418"/>
      <c r="BE160" s="3418"/>
      <c r="BF160" s="3418"/>
      <c r="BG160" s="3418"/>
      <c r="BH160" s="3418"/>
      <c r="BI160" s="3418"/>
      <c r="BJ160" s="3418"/>
      <c r="BK160" s="3418"/>
      <c r="BL160" s="3418"/>
      <c r="BM160" s="3418"/>
      <c r="BN160" s="3418"/>
      <c r="BO160" s="3418"/>
      <c r="BP160" s="3418"/>
      <c r="BQ160" s="3418"/>
      <c r="BR160" s="3418"/>
      <c r="BS160" s="3418"/>
      <c r="BT160" s="3418"/>
      <c r="BU160" s="3418"/>
      <c r="BV160" s="3418"/>
      <c r="BW160" s="3418"/>
      <c r="BX160" s="3418"/>
      <c r="BY160" s="3418"/>
      <c r="BZ160" s="3418"/>
      <c r="CA160" s="3396"/>
      <c r="CB160" s="3396"/>
      <c r="CC160" s="3396"/>
      <c r="CD160" s="3396"/>
      <c r="CE160" s="3396"/>
      <c r="CF160" s="3396"/>
      <c r="CG160" s="3396"/>
      <c r="CH160" s="3396"/>
      <c r="CI160" s="3396"/>
      <c r="CJ160" s="3396"/>
      <c r="CK160" s="3396"/>
      <c r="CL160" s="3396"/>
      <c r="CM160" s="3396"/>
      <c r="CN160" s="3396"/>
      <c r="CO160" s="3396"/>
      <c r="CP160" s="3396"/>
      <c r="CQ160" s="3396"/>
      <c r="CR160" s="3396"/>
      <c r="CS160" s="3396"/>
      <c r="CT160" s="3396"/>
      <c r="CU160" s="3396"/>
      <c r="CV160" s="3396"/>
      <c r="CW160" s="3396"/>
      <c r="CX160" s="3396"/>
    </row>
    <row r="161" spans="1:131">
      <c r="A161" s="3418"/>
      <c r="B161" s="3418"/>
      <c r="C161" s="3418"/>
      <c r="D161" s="3418"/>
      <c r="E161" s="3418"/>
      <c r="F161" s="3418"/>
      <c r="G161" s="3418"/>
      <c r="H161" s="3418"/>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418"/>
      <c r="AD161" s="3418"/>
      <c r="AE161" s="3418"/>
      <c r="AF161" s="3418"/>
      <c r="AG161" s="3418"/>
      <c r="AH161" s="3418"/>
      <c r="AI161" s="3418"/>
      <c r="AJ161" s="3418"/>
      <c r="AK161" s="3418"/>
      <c r="AL161" s="3418"/>
      <c r="AM161" s="3418"/>
      <c r="AN161" s="3418"/>
      <c r="AO161" s="3418"/>
      <c r="AP161" s="3418"/>
      <c r="AQ161" s="3418"/>
      <c r="AR161" s="3418"/>
      <c r="AS161" s="3418"/>
      <c r="AT161" s="3418"/>
      <c r="AU161" s="3418"/>
      <c r="AV161" s="3418"/>
      <c r="AW161" s="3418"/>
      <c r="AX161" s="3418"/>
      <c r="AY161" s="3418"/>
      <c r="AZ161" s="3418"/>
      <c r="BA161" s="3418"/>
      <c r="BB161" s="3418"/>
      <c r="BC161" s="3418"/>
      <c r="BD161" s="3418"/>
      <c r="BE161" s="3418"/>
      <c r="BF161" s="3418"/>
      <c r="BG161" s="3418"/>
      <c r="BH161" s="3418"/>
      <c r="BI161" s="3418"/>
      <c r="BJ161" s="3418"/>
      <c r="BK161" s="3418"/>
      <c r="BL161" s="3418"/>
      <c r="BM161" s="3418"/>
      <c r="BN161" s="3418"/>
      <c r="BO161" s="3418"/>
      <c r="BP161" s="3418"/>
      <c r="BQ161" s="3418"/>
      <c r="BR161" s="3418"/>
      <c r="BS161" s="3418"/>
      <c r="BT161" s="3418"/>
      <c r="BU161" s="3418"/>
      <c r="BV161" s="3418"/>
      <c r="BW161" s="3418"/>
      <c r="BX161" s="3418"/>
      <c r="BY161" s="3418"/>
      <c r="BZ161" s="3418"/>
      <c r="CA161" s="3396"/>
      <c r="CB161" s="3396"/>
      <c r="CC161" s="3396"/>
      <c r="CD161" s="3396"/>
      <c r="CE161" s="3396"/>
      <c r="CF161" s="3396"/>
      <c r="CG161" s="3396"/>
      <c r="CH161" s="3396"/>
      <c r="CI161" s="3396"/>
      <c r="CJ161" s="3396"/>
      <c r="CK161" s="3396"/>
      <c r="CL161" s="3396"/>
      <c r="CM161" s="3396"/>
      <c r="CN161" s="3396"/>
      <c r="CO161" s="3396"/>
      <c r="CP161" s="3396"/>
      <c r="CQ161" s="3396"/>
      <c r="CR161" s="3396"/>
      <c r="CS161" s="3396"/>
      <c r="CT161" s="3396"/>
      <c r="CU161" s="3396"/>
      <c r="CV161" s="3396"/>
      <c r="CW161" s="3396"/>
      <c r="CX161" s="3396"/>
    </row>
    <row r="162" s="75" customFormat="1" ht="26.25" customHeight="1" spans="1:131">
      <c r="A162" s="3884" t="s">
        <v>6007</v>
      </c>
      <c r="B162" s="3399"/>
      <c r="C162" s="3399"/>
      <c r="D162" s="3399"/>
      <c r="E162" s="3399"/>
      <c r="F162" s="3400"/>
      <c r="G162" s="3400"/>
      <c r="H162" s="3400"/>
      <c r="I162" s="3400"/>
      <c r="J162" s="3400"/>
      <c r="K162" s="3400"/>
      <c r="L162" s="3400"/>
      <c r="M162" s="3400"/>
      <c r="N162" s="3400"/>
      <c r="O162" s="3400"/>
      <c r="P162" s="3400"/>
      <c r="Q162" s="3400"/>
      <c r="R162" s="3398"/>
      <c r="S162" s="3398"/>
      <c r="T162" s="3398"/>
      <c r="U162" s="3398"/>
      <c r="V162" s="3398"/>
      <c r="W162" s="3398"/>
      <c r="X162" s="3398"/>
      <c r="Y162" s="3398"/>
      <c r="Z162" s="3398"/>
      <c r="AA162" s="3398"/>
      <c r="AB162" s="3398"/>
      <c r="AC162" s="3398"/>
      <c r="AD162" s="3398"/>
      <c r="AE162" s="3398"/>
      <c r="AF162" s="3398"/>
      <c r="AG162" s="3398"/>
      <c r="AH162" s="3398"/>
      <c r="AI162" s="3398"/>
      <c r="AJ162" s="3398"/>
      <c r="AK162" s="3398"/>
      <c r="AL162" s="3398"/>
      <c r="AM162" s="3398"/>
      <c r="AN162" s="3398"/>
      <c r="AO162" s="3398"/>
      <c r="AP162" s="3398"/>
      <c r="AQ162" s="3398"/>
      <c r="AR162" s="3398"/>
      <c r="AS162" s="3401"/>
      <c r="AT162" s="3398"/>
      <c r="AU162" s="3398"/>
      <c r="AV162" s="3398"/>
      <c r="AW162" s="3398"/>
      <c r="AX162" s="3398"/>
      <c r="AY162" s="3398"/>
      <c r="AZ162" s="3398"/>
      <c r="BA162" s="3398"/>
      <c r="BB162" s="3398"/>
      <c r="BC162" s="3398"/>
      <c r="BD162" s="3398"/>
      <c r="BE162" s="3396"/>
      <c r="BF162" s="3396"/>
      <c r="BG162" s="3396"/>
      <c r="BH162" s="3396"/>
      <c r="BI162" s="3396"/>
      <c r="BJ162" s="3396"/>
      <c r="BK162" s="3396"/>
      <c r="BL162" s="3396"/>
      <c r="BM162" s="3395"/>
      <c r="BN162" s="3395"/>
      <c r="BO162" s="3395"/>
      <c r="BP162" s="3395"/>
      <c r="BQ162" s="3395"/>
      <c r="BR162" s="3395"/>
      <c r="BS162" s="3395"/>
      <c r="BT162" s="3395"/>
      <c r="BU162" s="3395"/>
      <c r="BV162" s="3395"/>
      <c r="BW162" s="3395"/>
      <c r="BX162" s="3395"/>
      <c r="BY162" s="3395"/>
      <c r="BZ162" s="3395"/>
      <c r="CA162" s="3396"/>
      <c r="CB162" s="3396"/>
      <c r="CC162" s="3396"/>
      <c r="CD162" s="3396"/>
      <c r="CE162" s="3396"/>
      <c r="CF162" s="3396"/>
      <c r="CG162" s="3396"/>
      <c r="CH162" s="3396"/>
      <c r="CI162" s="3396"/>
      <c r="CJ162" s="3396"/>
      <c r="CK162" s="3396"/>
      <c r="CL162" s="3396"/>
      <c r="CM162" s="3396"/>
      <c r="CN162" s="3396"/>
      <c r="CO162" s="3396"/>
      <c r="CP162" s="3396"/>
      <c r="CQ162" s="3396"/>
      <c r="CR162" s="3396"/>
      <c r="CS162" s="3396"/>
      <c r="CT162" s="3396"/>
      <c r="CU162" s="3396"/>
      <c r="CV162" s="3396"/>
      <c r="CW162" s="3396"/>
      <c r="CX162" s="3396"/>
    </row>
    <row r="163" ht="18.75" spans="1:131">
      <c r="A163" s="4093" t="s">
        <v>6008</v>
      </c>
      <c r="B163" s="3952"/>
      <c r="C163" s="3951"/>
      <c r="D163" s="3951"/>
      <c r="E163" s="3951"/>
      <c r="F163" s="3951"/>
      <c r="G163" s="3951"/>
      <c r="H163" s="3951"/>
      <c r="I163" s="3951"/>
      <c r="J163" s="3951"/>
      <c r="K163" s="3951"/>
      <c r="L163" s="3951"/>
      <c r="M163" s="3951"/>
      <c r="N163" s="3951"/>
      <c r="O163" s="3951"/>
      <c r="P163" s="3951"/>
      <c r="Q163" s="3951"/>
      <c r="R163" s="3951"/>
      <c r="S163" s="3951"/>
      <c r="T163" s="3951"/>
      <c r="U163" s="3951"/>
      <c r="V163" s="3951"/>
      <c r="W163" s="3951"/>
      <c r="X163" s="3951"/>
      <c r="Y163" s="3951"/>
      <c r="Z163" s="3951"/>
      <c r="AA163" s="3951"/>
      <c r="AB163" s="3951"/>
      <c r="AC163" s="3951"/>
      <c r="AD163" s="3951"/>
      <c r="AE163" s="3951"/>
      <c r="AF163" s="3951"/>
      <c r="AG163" s="3951"/>
      <c r="AH163" s="3951"/>
      <c r="AI163" s="3951"/>
      <c r="AJ163" s="3951"/>
      <c r="AK163" s="3951"/>
      <c r="AL163" s="3951"/>
      <c r="AM163" s="3951"/>
      <c r="AN163" s="3951"/>
      <c r="AO163" s="3951"/>
      <c r="AP163" s="3951"/>
      <c r="AQ163" s="3951"/>
      <c r="AR163" s="3951"/>
      <c r="AS163" s="3951"/>
      <c r="AT163" s="3951"/>
      <c r="AU163" s="3951"/>
      <c r="AV163" s="3951"/>
      <c r="AW163" s="3951"/>
      <c r="AX163" s="3951"/>
      <c r="AY163" s="3951"/>
      <c r="AZ163" s="3951"/>
      <c r="BA163" s="3951"/>
      <c r="BB163" s="3951"/>
      <c r="BC163" s="3951"/>
      <c r="BD163" s="3951"/>
      <c r="BE163" s="3952"/>
      <c r="BF163" s="3952"/>
      <c r="BG163" s="3952"/>
      <c r="BH163" s="3952"/>
      <c r="BI163" s="3952"/>
      <c r="BJ163" s="3952"/>
      <c r="BK163" s="3952"/>
      <c r="BL163" s="3952"/>
      <c r="BM163" s="3952"/>
      <c r="BN163" s="3952"/>
      <c r="BO163" s="3952"/>
      <c r="BP163" s="3952"/>
      <c r="BQ163" s="3952"/>
      <c r="BR163" s="3952"/>
      <c r="BS163" s="3952"/>
      <c r="BT163" s="3952"/>
      <c r="BU163" s="3952"/>
      <c r="BV163" s="3952"/>
      <c r="BW163" s="3952"/>
      <c r="BX163" s="3952"/>
      <c r="BY163" s="3952"/>
      <c r="BZ163" s="3952"/>
      <c r="CA163" s="3396"/>
      <c r="CB163" s="3396"/>
      <c r="CC163" s="3396"/>
      <c r="CD163" s="3396"/>
      <c r="CE163" s="3396"/>
      <c r="CF163" s="3396"/>
      <c r="CG163" s="3396"/>
      <c r="CH163" s="3396"/>
      <c r="CI163" s="3396"/>
      <c r="CJ163" s="3396"/>
      <c r="CK163" s="3396"/>
      <c r="CL163" s="3396"/>
      <c r="CM163" s="3396"/>
      <c r="CN163" s="3396"/>
      <c r="CO163" s="3396"/>
      <c r="CP163" s="3396"/>
      <c r="CQ163" s="3396"/>
      <c r="CR163" s="3396"/>
      <c r="CS163" s="3396"/>
      <c r="CT163" s="3396"/>
      <c r="CU163" s="3396"/>
      <c r="CV163" s="3396"/>
      <c r="CW163" s="3396"/>
      <c r="CX163" s="3396"/>
    </row>
    <row r="164" s="688" customFormat="1" ht="56.25" customHeight="1" spans="1:131">
      <c r="A164" s="3404" t="s">
        <v>6009</v>
      </c>
      <c r="B164" s="3405" t="s">
        <v>6010</v>
      </c>
      <c r="C164" s="4094"/>
      <c r="D164" s="4094"/>
      <c r="E164" s="4094"/>
      <c r="F164" s="4094"/>
      <c r="G164" s="4094"/>
      <c r="H164" s="4095"/>
      <c r="I164" s="3404" t="s">
        <v>6011</v>
      </c>
      <c r="J164" s="3404"/>
      <c r="K164" s="3404"/>
      <c r="L164" s="3404"/>
      <c r="M164" s="3404"/>
      <c r="N164" s="3404" t="s">
        <v>6012</v>
      </c>
      <c r="O164" s="3404"/>
      <c r="P164" s="3404"/>
      <c r="Q164" s="3404"/>
      <c r="R164" s="3404"/>
      <c r="S164" s="3404" t="s">
        <v>6013</v>
      </c>
      <c r="T164" s="3404"/>
      <c r="U164" s="3404"/>
      <c r="V164" s="3404"/>
      <c r="W164" s="3404" t="s">
        <v>6014</v>
      </c>
      <c r="X164" s="3404"/>
      <c r="Y164" s="3404"/>
      <c r="Z164" s="3404"/>
      <c r="AA164" s="3404"/>
      <c r="AB164" s="3404" t="s">
        <v>6015</v>
      </c>
      <c r="AC164" s="3404"/>
      <c r="AD164" s="3404"/>
      <c r="AE164" s="3404"/>
      <c r="AF164" s="3404"/>
      <c r="AG164" s="3404" t="s">
        <v>6016</v>
      </c>
      <c r="AH164" s="3404"/>
      <c r="AI164" s="3404"/>
      <c r="AJ164" s="3404"/>
      <c r="AK164" s="3404"/>
      <c r="AL164" s="3405" t="s">
        <v>6017</v>
      </c>
      <c r="AM164" s="4094"/>
      <c r="AN164" s="4094"/>
      <c r="AO164" s="4094"/>
      <c r="AP164" s="4094"/>
      <c r="AQ164" s="4094"/>
      <c r="AR164" s="4095"/>
      <c r="AS164" s="3404" t="s">
        <v>6018</v>
      </c>
      <c r="AT164" s="3404"/>
      <c r="AU164" s="3404"/>
      <c r="AV164" s="3404"/>
      <c r="AW164" s="3404"/>
      <c r="AX164" s="3404"/>
      <c r="AY164" s="3396"/>
      <c r="AZ164" s="3396"/>
      <c r="BA164" s="3396"/>
      <c r="BB164" s="3396"/>
      <c r="BC164" s="3396"/>
      <c r="BD164" s="3396"/>
      <c r="BE164" s="3396"/>
      <c r="BF164" s="3396"/>
      <c r="BG164" s="3396"/>
      <c r="BH164" s="3396"/>
      <c r="BI164" s="3396"/>
      <c r="BJ164" s="3396"/>
      <c r="BK164" s="3396"/>
      <c r="BL164" s="3396"/>
      <c r="BM164" s="3396"/>
      <c r="BN164" s="3396"/>
      <c r="BO164" s="3396"/>
      <c r="BP164" s="3396"/>
      <c r="BQ164" s="3396"/>
      <c r="BR164" s="3396"/>
      <c r="BS164" s="3396"/>
      <c r="BT164" s="3396"/>
      <c r="BU164" s="3396"/>
      <c r="BV164" s="3396"/>
      <c r="BW164" s="3396"/>
      <c r="BX164" s="3396"/>
      <c r="BY164" s="3396"/>
      <c r="BZ164" s="3396"/>
      <c r="CA164" s="3396"/>
      <c r="CB164" s="3396"/>
      <c r="CC164" s="3396"/>
      <c r="CD164" s="3396"/>
      <c r="CE164" s="3396"/>
      <c r="CF164" s="3396"/>
      <c r="CG164" s="3396"/>
      <c r="CH164" s="3396"/>
      <c r="CI164" s="3396"/>
      <c r="CJ164" s="3396"/>
      <c r="CK164" s="3396"/>
      <c r="CL164" s="3396"/>
      <c r="CM164" s="3396"/>
      <c r="CN164" s="3396"/>
      <c r="CO164" s="3396"/>
      <c r="CP164" s="3396"/>
      <c r="CQ164" s="3396"/>
      <c r="CR164" s="3396"/>
      <c r="CS164" s="3396"/>
      <c r="CT164" s="3396"/>
      <c r="CU164" s="3396"/>
      <c r="CV164" s="3396"/>
      <c r="CW164" s="3396"/>
      <c r="CX164" s="3396"/>
    </row>
    <row r="165" s="687" customFormat="1" ht="18.75" customHeight="1" spans="1:131">
      <c r="A165" s="3407" t="s">
        <v>3953</v>
      </c>
      <c r="B165" s="3409" t="s">
        <v>6019</v>
      </c>
      <c r="C165" s="3409"/>
      <c r="D165" s="3409"/>
      <c r="E165" s="3409"/>
      <c r="F165" s="3409"/>
      <c r="G165" s="3409"/>
      <c r="H165" s="3409"/>
      <c r="I165" s="3409" t="s">
        <v>6020</v>
      </c>
      <c r="J165" s="3409"/>
      <c r="K165" s="3409"/>
      <c r="L165" s="3409"/>
      <c r="M165" s="3409"/>
      <c r="N165" s="3408" t="s">
        <v>6021</v>
      </c>
      <c r="O165" s="3408"/>
      <c r="P165" s="3408"/>
      <c r="Q165" s="3408"/>
      <c r="R165" s="3408"/>
      <c r="S165" s="3408" t="s">
        <v>987</v>
      </c>
      <c r="T165" s="3408"/>
      <c r="U165" s="3408"/>
      <c r="V165" s="3408"/>
      <c r="W165" s="3410">
        <v>91307</v>
      </c>
      <c r="X165" s="3410"/>
      <c r="Y165" s="3410"/>
      <c r="Z165" s="3410"/>
      <c r="AA165" s="3410"/>
      <c r="AB165" s="3410">
        <v>0</v>
      </c>
      <c r="AC165" s="3410"/>
      <c r="AD165" s="3410"/>
      <c r="AE165" s="3410"/>
      <c r="AF165" s="3410"/>
      <c r="AG165" s="3410">
        <v>91307</v>
      </c>
      <c r="AH165" s="3410"/>
      <c r="AI165" s="3410"/>
      <c r="AJ165" s="3410"/>
      <c r="AK165" s="3410"/>
      <c r="AL165" s="3409"/>
      <c r="AM165" s="3409"/>
      <c r="AN165" s="3409"/>
      <c r="AO165" s="3409"/>
      <c r="AP165" s="3409"/>
      <c r="AQ165" s="3409"/>
      <c r="AR165" s="3409"/>
      <c r="AS165" s="3409"/>
      <c r="AT165" s="3409"/>
      <c r="AU165" s="3409"/>
      <c r="AV165" s="3409"/>
      <c r="AW165" s="3409"/>
      <c r="AX165" s="3409"/>
      <c r="AY165" s="3396"/>
      <c r="AZ165" s="3396"/>
      <c r="BA165" s="3396"/>
      <c r="BB165" s="3396"/>
      <c r="BC165" s="3396"/>
      <c r="BD165" s="3396"/>
      <c r="BE165" s="3396"/>
      <c r="BF165" s="3396"/>
      <c r="BG165" s="3396"/>
      <c r="BH165" s="3396"/>
      <c r="BI165" s="3396"/>
      <c r="BJ165" s="3396"/>
      <c r="BK165" s="3396"/>
      <c r="BL165" s="3396"/>
      <c r="BM165" s="3396"/>
      <c r="BN165" s="3396"/>
      <c r="BO165" s="3396"/>
      <c r="BP165" s="3396"/>
      <c r="BQ165" s="3396"/>
      <c r="BR165" s="3396"/>
      <c r="BS165" s="3396"/>
      <c r="BT165" s="3396"/>
      <c r="BU165" s="3396"/>
      <c r="BV165" s="3396"/>
      <c r="BW165" s="3396"/>
      <c r="BX165" s="3396"/>
      <c r="BY165" s="3396"/>
      <c r="BZ165" s="3396"/>
      <c r="CA165" s="3396"/>
      <c r="CB165" s="3396"/>
      <c r="CC165" s="3396"/>
      <c r="CD165" s="3396"/>
      <c r="CE165" s="3396"/>
      <c r="CF165" s="3396"/>
      <c r="CG165" s="3396"/>
      <c r="CH165" s="3396"/>
      <c r="CI165" s="3396"/>
      <c r="CJ165" s="3396"/>
      <c r="CK165" s="3396"/>
      <c r="CL165" s="3396"/>
      <c r="CM165" s="3396"/>
      <c r="CN165" s="3396"/>
      <c r="CO165" s="3396"/>
      <c r="CP165" s="3396"/>
      <c r="CQ165" s="3396"/>
      <c r="CR165" s="3396"/>
      <c r="CS165" s="3396"/>
      <c r="CT165" s="3396"/>
      <c r="CU165" s="3396"/>
      <c r="CV165" s="3396"/>
      <c r="CW165" s="3396"/>
      <c r="CX165" s="3396"/>
    </row>
    <row r="166" s="687" customFormat="1" ht="18.75" customHeight="1" spans="1:131">
      <c r="A166" s="3407" t="s">
        <v>3891</v>
      </c>
      <c r="B166" s="3409"/>
      <c r="C166" s="3409"/>
      <c r="D166" s="3409"/>
      <c r="E166" s="3409"/>
      <c r="F166" s="3409"/>
      <c r="G166" s="3409"/>
      <c r="H166" s="3409"/>
      <c r="I166" s="3409"/>
      <c r="J166" s="3409"/>
      <c r="K166" s="3409"/>
      <c r="L166" s="3409"/>
      <c r="M166" s="3409"/>
      <c r="N166" s="3408"/>
      <c r="O166" s="3408"/>
      <c r="P166" s="3408"/>
      <c r="Q166" s="3408"/>
      <c r="R166" s="3408"/>
      <c r="S166" s="3408"/>
      <c r="T166" s="3408"/>
      <c r="U166" s="3408"/>
      <c r="V166" s="3408"/>
      <c r="W166" s="3410"/>
      <c r="X166" s="3410"/>
      <c r="Y166" s="3410"/>
      <c r="Z166" s="3410"/>
      <c r="AA166" s="3410"/>
      <c r="AB166" s="3410"/>
      <c r="AC166" s="3410"/>
      <c r="AD166" s="3410"/>
      <c r="AE166" s="3410"/>
      <c r="AF166" s="3410"/>
      <c r="AG166" s="3410"/>
      <c r="AH166" s="3410"/>
      <c r="AI166" s="3410"/>
      <c r="AJ166" s="3410"/>
      <c r="AK166" s="3410"/>
      <c r="AL166" s="3409"/>
      <c r="AM166" s="3409"/>
      <c r="AN166" s="3409"/>
      <c r="AO166" s="3409"/>
      <c r="AP166" s="3409"/>
      <c r="AQ166" s="3409"/>
      <c r="AR166" s="3409"/>
      <c r="AS166" s="3409"/>
      <c r="AT166" s="3409"/>
      <c r="AU166" s="3409"/>
      <c r="AV166" s="3409"/>
      <c r="AW166" s="3409"/>
      <c r="AX166" s="3409"/>
      <c r="AY166" s="3396"/>
      <c r="AZ166" s="3396"/>
      <c r="BA166" s="3396"/>
      <c r="BB166" s="3396"/>
      <c r="BC166" s="3396"/>
      <c r="BD166" s="3396"/>
      <c r="BE166" s="3396"/>
      <c r="BF166" s="3396"/>
      <c r="BG166" s="3396"/>
      <c r="BH166" s="3396"/>
      <c r="BI166" s="3396"/>
      <c r="BJ166" s="3396"/>
      <c r="BK166" s="3396"/>
      <c r="BL166" s="3396"/>
      <c r="BM166" s="3396"/>
      <c r="BN166" s="3396"/>
      <c r="BO166" s="3396"/>
      <c r="BP166" s="3396"/>
      <c r="BQ166" s="3396"/>
      <c r="BR166" s="3396"/>
      <c r="BS166" s="3396"/>
      <c r="BT166" s="3396"/>
      <c r="BU166" s="3396"/>
      <c r="BV166" s="3396"/>
      <c r="BW166" s="3396"/>
      <c r="BX166" s="3396"/>
      <c r="BY166" s="3396"/>
      <c r="BZ166" s="3396"/>
      <c r="CA166" s="3396"/>
      <c r="CB166" s="3396"/>
      <c r="CC166" s="3396"/>
      <c r="CD166" s="3396"/>
      <c r="CE166" s="3396"/>
      <c r="CF166" s="3396"/>
      <c r="CG166" s="3396"/>
      <c r="CH166" s="3396"/>
      <c r="CI166" s="3396"/>
      <c r="CJ166" s="3396"/>
      <c r="CK166" s="3396"/>
      <c r="CL166" s="3396"/>
      <c r="CM166" s="3396"/>
      <c r="CN166" s="3396"/>
      <c r="CO166" s="3396"/>
      <c r="CP166" s="3396"/>
      <c r="CQ166" s="3396"/>
      <c r="CR166" s="3396"/>
      <c r="CS166" s="3396"/>
      <c r="CT166" s="3396"/>
      <c r="CU166" s="3396"/>
      <c r="CV166" s="3396"/>
      <c r="CW166" s="3396"/>
      <c r="CX166" s="3396"/>
    </row>
    <row r="167" ht="18.75" customHeight="1" spans="1:131">
      <c r="A167" s="3407" t="s">
        <v>3902</v>
      </c>
      <c r="B167" s="3409"/>
      <c r="C167" s="3409"/>
      <c r="D167" s="3409"/>
      <c r="E167" s="3409"/>
      <c r="F167" s="3409"/>
      <c r="G167" s="3409"/>
      <c r="H167" s="3409"/>
      <c r="I167" s="3409"/>
      <c r="J167" s="3409"/>
      <c r="K167" s="3409"/>
      <c r="L167" s="3409"/>
      <c r="M167" s="3409"/>
      <c r="N167" s="3408"/>
      <c r="O167" s="3408"/>
      <c r="P167" s="3408"/>
      <c r="Q167" s="3408"/>
      <c r="R167" s="3408"/>
      <c r="S167" s="3408"/>
      <c r="T167" s="3408"/>
      <c r="U167" s="3408"/>
      <c r="V167" s="3408"/>
      <c r="W167" s="3410"/>
      <c r="X167" s="3410"/>
      <c r="Y167" s="3410"/>
      <c r="Z167" s="3410"/>
      <c r="AA167" s="3410"/>
      <c r="AB167" s="3410"/>
      <c r="AC167" s="3410"/>
      <c r="AD167" s="3410"/>
      <c r="AE167" s="3410"/>
      <c r="AF167" s="3410"/>
      <c r="AG167" s="3410"/>
      <c r="AH167" s="3410"/>
      <c r="AI167" s="3410"/>
      <c r="AJ167" s="3410"/>
      <c r="AK167" s="3410"/>
      <c r="AL167" s="3409"/>
      <c r="AM167" s="3409"/>
      <c r="AN167" s="3409"/>
      <c r="AO167" s="3409"/>
      <c r="AP167" s="3409"/>
      <c r="AQ167" s="3409"/>
      <c r="AR167" s="3409"/>
      <c r="AS167" s="3409"/>
      <c r="AT167" s="3409"/>
      <c r="AU167" s="3409"/>
      <c r="AV167" s="3409"/>
      <c r="AW167" s="3409"/>
      <c r="AX167" s="3409"/>
      <c r="AY167" s="3396"/>
      <c r="AZ167" s="3396"/>
      <c r="BA167" s="3396"/>
      <c r="BB167" s="3396"/>
      <c r="BC167" s="3396"/>
      <c r="BD167" s="3396"/>
      <c r="BE167" s="3396"/>
      <c r="BF167" s="3396"/>
      <c r="BG167" s="3396"/>
      <c r="BH167" s="3396"/>
      <c r="BI167" s="3396"/>
      <c r="BJ167" s="3396"/>
      <c r="BK167" s="3396"/>
      <c r="BL167" s="3396"/>
      <c r="BM167" s="3396"/>
      <c r="BN167" s="3396"/>
      <c r="BO167" s="3396"/>
      <c r="BP167" s="3396"/>
      <c r="BQ167" s="3396"/>
      <c r="BR167" s="3396"/>
      <c r="BS167" s="3396"/>
      <c r="BT167" s="3396"/>
      <c r="BU167" s="3396"/>
      <c r="BV167" s="3396"/>
      <c r="BW167" s="3396"/>
      <c r="BX167" s="3396"/>
      <c r="BY167" s="3396"/>
      <c r="BZ167" s="3396"/>
      <c r="CA167" s="3396"/>
      <c r="CB167" s="3396"/>
      <c r="CC167" s="3396"/>
      <c r="CD167" s="3396"/>
      <c r="CE167" s="3396"/>
      <c r="CF167" s="3396"/>
      <c r="CG167" s="3396"/>
      <c r="CH167" s="3396"/>
      <c r="CI167" s="3396"/>
      <c r="CJ167" s="3396"/>
      <c r="CK167" s="3396"/>
      <c r="CL167" s="3396"/>
      <c r="CM167" s="3396"/>
      <c r="CN167" s="3396"/>
      <c r="CO167" s="3396"/>
      <c r="CP167" s="3396"/>
      <c r="CQ167" s="3396"/>
      <c r="CR167" s="3396"/>
      <c r="CS167" s="3396"/>
      <c r="CT167" s="3396"/>
      <c r="CU167" s="3396"/>
      <c r="CV167" s="3396"/>
      <c r="CW167" s="3396"/>
      <c r="CX167" s="3396"/>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row>
    <row r="168" ht="18.75" customHeight="1" spans="1:131">
      <c r="A168" s="3407" t="s">
        <v>3905</v>
      </c>
      <c r="B168" s="3409"/>
      <c r="C168" s="3409"/>
      <c r="D168" s="3409"/>
      <c r="E168" s="3409"/>
      <c r="F168" s="3409"/>
      <c r="G168" s="3409"/>
      <c r="H168" s="3409"/>
      <c r="I168" s="3409"/>
      <c r="J168" s="3409"/>
      <c r="K168" s="3409"/>
      <c r="L168" s="3409"/>
      <c r="M168" s="3409"/>
      <c r="N168" s="3408"/>
      <c r="O168" s="3408"/>
      <c r="P168" s="3408"/>
      <c r="Q168" s="3408"/>
      <c r="R168" s="3408"/>
      <c r="S168" s="3408"/>
      <c r="T168" s="3408"/>
      <c r="U168" s="3408"/>
      <c r="V168" s="3408"/>
      <c r="W168" s="3410"/>
      <c r="X168" s="3410"/>
      <c r="Y168" s="3410"/>
      <c r="Z168" s="3410"/>
      <c r="AA168" s="3410"/>
      <c r="AB168" s="3410"/>
      <c r="AC168" s="3410"/>
      <c r="AD168" s="3410"/>
      <c r="AE168" s="3410"/>
      <c r="AF168" s="3410"/>
      <c r="AG168" s="3410"/>
      <c r="AH168" s="3410"/>
      <c r="AI168" s="3410"/>
      <c r="AJ168" s="3410"/>
      <c r="AK168" s="3410"/>
      <c r="AL168" s="3409"/>
      <c r="AM168" s="3409"/>
      <c r="AN168" s="3409"/>
      <c r="AO168" s="3409"/>
      <c r="AP168" s="3409"/>
      <c r="AQ168" s="3409"/>
      <c r="AR168" s="3409"/>
      <c r="AS168" s="3409"/>
      <c r="AT168" s="3409"/>
      <c r="AU168" s="3409"/>
      <c r="AV168" s="3409"/>
      <c r="AW168" s="3409"/>
      <c r="AX168" s="3409"/>
      <c r="AY168" s="3396"/>
      <c r="AZ168" s="3396"/>
      <c r="BA168" s="3396"/>
      <c r="BB168" s="3396"/>
      <c r="BC168" s="3396"/>
      <c r="BD168" s="3396"/>
      <c r="BE168" s="3396"/>
      <c r="BF168" s="3396"/>
      <c r="BG168" s="3396"/>
      <c r="BH168" s="3396"/>
      <c r="BI168" s="3396"/>
      <c r="BJ168" s="3396"/>
      <c r="BK168" s="3396"/>
      <c r="BL168" s="3396"/>
      <c r="BM168" s="3396"/>
      <c r="BN168" s="3396"/>
      <c r="BO168" s="3396"/>
      <c r="BP168" s="3396"/>
      <c r="BQ168" s="3396"/>
      <c r="BR168" s="3396"/>
      <c r="BS168" s="3396"/>
      <c r="BT168" s="3396"/>
      <c r="BU168" s="3396"/>
      <c r="BV168" s="3396"/>
      <c r="BW168" s="3396"/>
      <c r="BX168" s="3396"/>
      <c r="BY168" s="3396"/>
      <c r="BZ168" s="3396"/>
      <c r="CA168" s="3396"/>
      <c r="CB168" s="3396"/>
      <c r="CC168" s="3396"/>
      <c r="CD168" s="3396"/>
      <c r="CE168" s="3396"/>
      <c r="CF168" s="3396"/>
      <c r="CG168" s="3396"/>
      <c r="CH168" s="3396"/>
      <c r="CI168" s="3396"/>
      <c r="CJ168" s="3396"/>
      <c r="CK168" s="3396"/>
      <c r="CL168" s="3396"/>
      <c r="CM168" s="3396"/>
      <c r="CN168" s="3396"/>
      <c r="CO168" s="3396"/>
      <c r="CP168" s="3396"/>
      <c r="CQ168" s="3396"/>
      <c r="CR168" s="3396"/>
      <c r="CS168" s="3396"/>
      <c r="CT168" s="3396"/>
      <c r="CU168" s="3396"/>
      <c r="CV168" s="3396"/>
      <c r="CW168" s="3396"/>
      <c r="CX168" s="3396"/>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row>
    <row r="169" ht="18.75" customHeight="1" spans="1:131">
      <c r="A169" s="3407" t="s">
        <v>3915</v>
      </c>
      <c r="B169" s="3409"/>
      <c r="C169" s="3409"/>
      <c r="D169" s="3409"/>
      <c r="E169" s="3409"/>
      <c r="F169" s="3409"/>
      <c r="G169" s="3409"/>
      <c r="H169" s="3409"/>
      <c r="I169" s="3409"/>
      <c r="J169" s="3409"/>
      <c r="K169" s="3409"/>
      <c r="L169" s="3409"/>
      <c r="M169" s="3409"/>
      <c r="N169" s="3408"/>
      <c r="O169" s="3408"/>
      <c r="P169" s="3408"/>
      <c r="Q169" s="3408"/>
      <c r="R169" s="3408"/>
      <c r="S169" s="3408"/>
      <c r="T169" s="3408"/>
      <c r="U169" s="3408"/>
      <c r="V169" s="3408"/>
      <c r="W169" s="3410"/>
      <c r="X169" s="3410"/>
      <c r="Y169" s="3410"/>
      <c r="Z169" s="3410"/>
      <c r="AA169" s="3410"/>
      <c r="AB169" s="3410"/>
      <c r="AC169" s="3410"/>
      <c r="AD169" s="3410"/>
      <c r="AE169" s="3410"/>
      <c r="AF169" s="3410"/>
      <c r="AG169" s="3410"/>
      <c r="AH169" s="3410"/>
      <c r="AI169" s="3410"/>
      <c r="AJ169" s="3410"/>
      <c r="AK169" s="3410"/>
      <c r="AL169" s="3409"/>
      <c r="AM169" s="3409"/>
      <c r="AN169" s="3409"/>
      <c r="AO169" s="3409"/>
      <c r="AP169" s="3409"/>
      <c r="AQ169" s="3409"/>
      <c r="AR169" s="3409"/>
      <c r="AS169" s="3409"/>
      <c r="AT169" s="3409"/>
      <c r="AU169" s="3409"/>
      <c r="AV169" s="3409"/>
      <c r="AW169" s="3409"/>
      <c r="AX169" s="3409"/>
      <c r="AY169" s="3396"/>
      <c r="AZ169" s="3396"/>
      <c r="BA169" s="3396"/>
      <c r="BB169" s="3396"/>
      <c r="BC169" s="3396"/>
      <c r="BD169" s="3396"/>
      <c r="BE169" s="3396"/>
      <c r="BF169" s="3396"/>
      <c r="BG169" s="3396"/>
      <c r="BH169" s="3396"/>
      <c r="BI169" s="3396"/>
      <c r="BJ169" s="3396"/>
      <c r="BK169" s="3396"/>
      <c r="BL169" s="3396"/>
      <c r="BM169" s="3396"/>
      <c r="BN169" s="3396"/>
      <c r="BO169" s="3396"/>
      <c r="BP169" s="3396"/>
      <c r="BQ169" s="3396"/>
      <c r="BR169" s="3396"/>
      <c r="BS169" s="3396"/>
      <c r="BT169" s="3396"/>
      <c r="BU169" s="3396"/>
      <c r="BV169" s="3396"/>
      <c r="BW169" s="3396"/>
      <c r="BX169" s="3396"/>
      <c r="BY169" s="3396"/>
      <c r="BZ169" s="3396"/>
      <c r="CA169" s="3396"/>
      <c r="CB169" s="3396"/>
      <c r="CC169" s="3396"/>
      <c r="CD169" s="3396"/>
      <c r="CE169" s="3396"/>
      <c r="CF169" s="3396"/>
      <c r="CG169" s="3396"/>
      <c r="CH169" s="3396"/>
      <c r="CI169" s="3396"/>
      <c r="CJ169" s="3396"/>
      <c r="CK169" s="3396"/>
      <c r="CL169" s="3396"/>
      <c r="CM169" s="3396"/>
      <c r="CN169" s="3396"/>
      <c r="CO169" s="3396"/>
      <c r="CP169" s="3396"/>
      <c r="CQ169" s="3396"/>
      <c r="CR169" s="3396"/>
      <c r="CS169" s="3396"/>
      <c r="CT169" s="3396"/>
      <c r="CU169" s="3396"/>
      <c r="CV169" s="3396"/>
      <c r="CW169" s="3396"/>
      <c r="CX169" s="3396"/>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row>
    <row r="170" ht="18.75" customHeight="1" spans="1:131">
      <c r="A170" s="3407" t="s">
        <v>3918</v>
      </c>
      <c r="B170" s="3409"/>
      <c r="C170" s="3409"/>
      <c r="D170" s="3409"/>
      <c r="E170" s="3409"/>
      <c r="F170" s="3409"/>
      <c r="G170" s="3409"/>
      <c r="H170" s="3409"/>
      <c r="I170" s="3409"/>
      <c r="J170" s="3409"/>
      <c r="K170" s="3409"/>
      <c r="L170" s="3409"/>
      <c r="M170" s="3409"/>
      <c r="N170" s="3408"/>
      <c r="O170" s="3408"/>
      <c r="P170" s="3408"/>
      <c r="Q170" s="3408"/>
      <c r="R170" s="3408"/>
      <c r="S170" s="3408"/>
      <c r="T170" s="3408"/>
      <c r="U170" s="3408"/>
      <c r="V170" s="3408"/>
      <c r="W170" s="3410"/>
      <c r="X170" s="3410"/>
      <c r="Y170" s="3410"/>
      <c r="Z170" s="3410"/>
      <c r="AA170" s="3410"/>
      <c r="AB170" s="3410"/>
      <c r="AC170" s="3410"/>
      <c r="AD170" s="3410"/>
      <c r="AE170" s="3410"/>
      <c r="AF170" s="3410"/>
      <c r="AG170" s="3410"/>
      <c r="AH170" s="3410"/>
      <c r="AI170" s="3410"/>
      <c r="AJ170" s="3410"/>
      <c r="AK170" s="3410"/>
      <c r="AL170" s="3409"/>
      <c r="AM170" s="3409"/>
      <c r="AN170" s="3409"/>
      <c r="AO170" s="3409"/>
      <c r="AP170" s="3409"/>
      <c r="AQ170" s="3409"/>
      <c r="AR170" s="3409"/>
      <c r="AS170" s="3409"/>
      <c r="AT170" s="3409"/>
      <c r="AU170" s="3409"/>
      <c r="AV170" s="3409"/>
      <c r="AW170" s="3409"/>
      <c r="AX170" s="3409"/>
      <c r="AY170" s="3396"/>
      <c r="AZ170" s="3396"/>
      <c r="BA170" s="3396"/>
      <c r="BB170" s="3396"/>
      <c r="BC170" s="3396"/>
      <c r="BD170" s="3396"/>
      <c r="BE170" s="3396"/>
      <c r="BF170" s="3396"/>
      <c r="BG170" s="3396"/>
      <c r="BH170" s="3396"/>
      <c r="BI170" s="3396"/>
      <c r="BJ170" s="3396"/>
      <c r="BK170" s="3396"/>
      <c r="BL170" s="3396"/>
      <c r="BM170" s="3396"/>
      <c r="BN170" s="3396"/>
      <c r="BO170" s="3396"/>
      <c r="BP170" s="3396"/>
      <c r="BQ170" s="3396"/>
      <c r="BR170" s="3396"/>
      <c r="BS170" s="3396"/>
      <c r="BT170" s="3396"/>
      <c r="BU170" s="3396"/>
      <c r="BV170" s="3396"/>
      <c r="BW170" s="3396"/>
      <c r="BX170" s="3396"/>
      <c r="BY170" s="3396"/>
      <c r="BZ170" s="3396"/>
      <c r="CA170" s="3396"/>
      <c r="CB170" s="3396"/>
      <c r="CC170" s="3396"/>
      <c r="CD170" s="3396"/>
      <c r="CE170" s="3396"/>
      <c r="CF170" s="3396"/>
      <c r="CG170" s="3396"/>
      <c r="CH170" s="3396"/>
      <c r="CI170" s="3396"/>
      <c r="CJ170" s="3396"/>
      <c r="CK170" s="3396"/>
      <c r="CL170" s="3396"/>
      <c r="CM170" s="3396"/>
      <c r="CN170" s="3396"/>
      <c r="CO170" s="3396"/>
      <c r="CP170" s="3396"/>
      <c r="CQ170" s="3396"/>
      <c r="CR170" s="3396"/>
      <c r="CS170" s="3396"/>
      <c r="CT170" s="3396"/>
      <c r="CU170" s="3396"/>
      <c r="CV170" s="3396"/>
      <c r="CW170" s="3396"/>
      <c r="CX170" s="3396"/>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row>
    <row r="171" ht="18.75" customHeight="1" spans="1:131">
      <c r="A171" s="3407" t="s">
        <v>3920</v>
      </c>
      <c r="B171" s="3409"/>
      <c r="C171" s="3409"/>
      <c r="D171" s="3409"/>
      <c r="E171" s="3409"/>
      <c r="F171" s="3409"/>
      <c r="G171" s="3409"/>
      <c r="H171" s="3409"/>
      <c r="I171" s="3409"/>
      <c r="J171" s="3409"/>
      <c r="K171" s="3409"/>
      <c r="L171" s="3409"/>
      <c r="M171" s="3409"/>
      <c r="N171" s="3408"/>
      <c r="O171" s="3408"/>
      <c r="P171" s="3408"/>
      <c r="Q171" s="3408"/>
      <c r="R171" s="3408"/>
      <c r="S171" s="3408"/>
      <c r="T171" s="3408"/>
      <c r="U171" s="3408"/>
      <c r="V171" s="3408"/>
      <c r="W171" s="3410"/>
      <c r="X171" s="3410"/>
      <c r="Y171" s="3410"/>
      <c r="Z171" s="3410"/>
      <c r="AA171" s="3410"/>
      <c r="AB171" s="3410"/>
      <c r="AC171" s="3410"/>
      <c r="AD171" s="3410"/>
      <c r="AE171" s="3410"/>
      <c r="AF171" s="3410"/>
      <c r="AG171" s="3410"/>
      <c r="AH171" s="3410"/>
      <c r="AI171" s="3410"/>
      <c r="AJ171" s="3410"/>
      <c r="AK171" s="3410"/>
      <c r="AL171" s="3409"/>
      <c r="AM171" s="3409"/>
      <c r="AN171" s="3409"/>
      <c r="AO171" s="3409"/>
      <c r="AP171" s="3409"/>
      <c r="AQ171" s="3409"/>
      <c r="AR171" s="3409"/>
      <c r="AS171" s="3409"/>
      <c r="AT171" s="3409"/>
      <c r="AU171" s="3409"/>
      <c r="AV171" s="3409"/>
      <c r="AW171" s="3409"/>
      <c r="AX171" s="3409"/>
      <c r="AY171" s="3396"/>
      <c r="AZ171" s="3396"/>
      <c r="BA171" s="3396"/>
      <c r="BB171" s="3396"/>
      <c r="BC171" s="3396"/>
      <c r="BD171" s="3396"/>
      <c r="BE171" s="3396"/>
      <c r="BF171" s="3396"/>
      <c r="BG171" s="3396"/>
      <c r="BH171" s="3396"/>
      <c r="BI171" s="3396"/>
      <c r="BJ171" s="3396"/>
      <c r="BK171" s="3396"/>
      <c r="BL171" s="3396"/>
      <c r="BM171" s="3396"/>
      <c r="BN171" s="3396"/>
      <c r="BO171" s="3396"/>
      <c r="BP171" s="3396"/>
      <c r="BQ171" s="3396"/>
      <c r="BR171" s="3396"/>
      <c r="BS171" s="3396"/>
      <c r="BT171" s="3396"/>
      <c r="BU171" s="3396"/>
      <c r="BV171" s="3396"/>
      <c r="BW171" s="3396"/>
      <c r="BX171" s="3396"/>
      <c r="BY171" s="3396"/>
      <c r="BZ171" s="3396"/>
      <c r="CA171" s="3396"/>
      <c r="CB171" s="3396"/>
      <c r="CC171" s="3396"/>
      <c r="CD171" s="3396"/>
      <c r="CE171" s="3396"/>
      <c r="CF171" s="3396"/>
      <c r="CG171" s="3396"/>
      <c r="CH171" s="3396"/>
      <c r="CI171" s="3396"/>
      <c r="CJ171" s="3396"/>
      <c r="CK171" s="3396"/>
      <c r="CL171" s="3396"/>
      <c r="CM171" s="3396"/>
      <c r="CN171" s="3396"/>
      <c r="CO171" s="3396"/>
      <c r="CP171" s="3396"/>
      <c r="CQ171" s="3396"/>
      <c r="CR171" s="3396"/>
      <c r="CS171" s="3396"/>
      <c r="CT171" s="3396"/>
      <c r="CU171" s="3396"/>
      <c r="CV171" s="3396"/>
      <c r="CW171" s="3396"/>
      <c r="CX171" s="3396"/>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row>
    <row r="172" ht="18.75" customHeight="1" spans="1:131">
      <c r="A172" s="3407" t="s">
        <v>3923</v>
      </c>
      <c r="B172" s="3409"/>
      <c r="C172" s="3409"/>
      <c r="D172" s="3409"/>
      <c r="E172" s="3409"/>
      <c r="F172" s="3409"/>
      <c r="G172" s="3409"/>
      <c r="H172" s="3409"/>
      <c r="I172" s="3409"/>
      <c r="J172" s="3409"/>
      <c r="K172" s="3409"/>
      <c r="L172" s="3409"/>
      <c r="M172" s="3409"/>
      <c r="N172" s="3408"/>
      <c r="O172" s="3408"/>
      <c r="P172" s="3408"/>
      <c r="Q172" s="3408"/>
      <c r="R172" s="3408"/>
      <c r="S172" s="3408"/>
      <c r="T172" s="3408"/>
      <c r="U172" s="3408"/>
      <c r="V172" s="3408"/>
      <c r="W172" s="3410"/>
      <c r="X172" s="3410"/>
      <c r="Y172" s="3410"/>
      <c r="Z172" s="3410"/>
      <c r="AA172" s="3410"/>
      <c r="AB172" s="3410"/>
      <c r="AC172" s="3410"/>
      <c r="AD172" s="3410"/>
      <c r="AE172" s="3410"/>
      <c r="AF172" s="3410"/>
      <c r="AG172" s="3410"/>
      <c r="AH172" s="3410"/>
      <c r="AI172" s="3410"/>
      <c r="AJ172" s="3410"/>
      <c r="AK172" s="3410"/>
      <c r="AL172" s="3409"/>
      <c r="AM172" s="3409"/>
      <c r="AN172" s="3409"/>
      <c r="AO172" s="3409"/>
      <c r="AP172" s="3409"/>
      <c r="AQ172" s="3409"/>
      <c r="AR172" s="3409"/>
      <c r="AS172" s="3409"/>
      <c r="AT172" s="3409"/>
      <c r="AU172" s="3409"/>
      <c r="AV172" s="3409"/>
      <c r="AW172" s="3409"/>
      <c r="AX172" s="3409"/>
      <c r="AY172" s="3396"/>
      <c r="AZ172" s="3396"/>
      <c r="BA172" s="3396"/>
      <c r="BB172" s="3396"/>
      <c r="BC172" s="3396"/>
      <c r="BD172" s="3396"/>
      <c r="BE172" s="3396"/>
      <c r="BF172" s="3396"/>
      <c r="BG172" s="3396"/>
      <c r="BH172" s="3396"/>
      <c r="BI172" s="3396"/>
      <c r="BJ172" s="3396"/>
      <c r="BK172" s="3396"/>
      <c r="BL172" s="3396"/>
      <c r="BM172" s="3396"/>
      <c r="BN172" s="3396"/>
      <c r="BO172" s="3396"/>
      <c r="BP172" s="3396"/>
      <c r="BQ172" s="3396"/>
      <c r="BR172" s="3396"/>
      <c r="BS172" s="3396"/>
      <c r="BT172" s="3396"/>
      <c r="BU172" s="3396"/>
      <c r="BV172" s="3396"/>
      <c r="BW172" s="3396"/>
      <c r="BX172" s="3396"/>
      <c r="BY172" s="3396"/>
      <c r="BZ172" s="3396"/>
      <c r="CA172" s="3396"/>
      <c r="CB172" s="3396"/>
      <c r="CC172" s="3396"/>
      <c r="CD172" s="3396"/>
      <c r="CE172" s="3396"/>
      <c r="CF172" s="3396"/>
      <c r="CG172" s="3396"/>
      <c r="CH172" s="3396"/>
      <c r="CI172" s="3396"/>
      <c r="CJ172" s="3396"/>
      <c r="CK172" s="3396"/>
      <c r="CL172" s="3396"/>
      <c r="CM172" s="3396"/>
      <c r="CN172" s="3396"/>
      <c r="CO172" s="3396"/>
      <c r="CP172" s="3396"/>
      <c r="CQ172" s="3396"/>
      <c r="CR172" s="3396"/>
      <c r="CS172" s="3396"/>
      <c r="CT172" s="3396"/>
      <c r="CU172" s="3396"/>
      <c r="CV172" s="3396"/>
      <c r="CW172" s="3396"/>
      <c r="CX172" s="3396"/>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row>
    <row r="173" ht="18.75" customHeight="1" spans="1:131">
      <c r="A173" s="3407" t="s">
        <v>3925</v>
      </c>
      <c r="B173" s="3409"/>
      <c r="C173" s="3409"/>
      <c r="D173" s="3409"/>
      <c r="E173" s="3409"/>
      <c r="F173" s="3409"/>
      <c r="G173" s="3409"/>
      <c r="H173" s="3409"/>
      <c r="I173" s="3409"/>
      <c r="J173" s="3409"/>
      <c r="K173" s="3409"/>
      <c r="L173" s="3409"/>
      <c r="M173" s="3409"/>
      <c r="N173" s="3408"/>
      <c r="O173" s="3408"/>
      <c r="P173" s="3408"/>
      <c r="Q173" s="3408"/>
      <c r="R173" s="3408"/>
      <c r="S173" s="3408"/>
      <c r="T173" s="3408"/>
      <c r="U173" s="3408"/>
      <c r="V173" s="3408"/>
      <c r="W173" s="3410"/>
      <c r="X173" s="3410"/>
      <c r="Y173" s="3410"/>
      <c r="Z173" s="3410"/>
      <c r="AA173" s="3410"/>
      <c r="AB173" s="3410"/>
      <c r="AC173" s="3410"/>
      <c r="AD173" s="3410"/>
      <c r="AE173" s="3410"/>
      <c r="AF173" s="3410"/>
      <c r="AG173" s="3410"/>
      <c r="AH173" s="3410"/>
      <c r="AI173" s="3410"/>
      <c r="AJ173" s="3410"/>
      <c r="AK173" s="3410"/>
      <c r="AL173" s="3409"/>
      <c r="AM173" s="3409"/>
      <c r="AN173" s="3409"/>
      <c r="AO173" s="3409"/>
      <c r="AP173" s="3409"/>
      <c r="AQ173" s="3409"/>
      <c r="AR173" s="3409"/>
      <c r="AS173" s="3409"/>
      <c r="AT173" s="3409"/>
      <c r="AU173" s="3409"/>
      <c r="AV173" s="3409"/>
      <c r="AW173" s="3409"/>
      <c r="AX173" s="3409"/>
      <c r="AY173" s="3396"/>
      <c r="AZ173" s="3396"/>
      <c r="BA173" s="3396"/>
      <c r="BB173" s="3396"/>
      <c r="BC173" s="3396"/>
      <c r="BD173" s="3396"/>
      <c r="BE173" s="3396"/>
      <c r="BF173" s="3396"/>
      <c r="BG173" s="3396"/>
      <c r="BH173" s="3396"/>
      <c r="BI173" s="3396"/>
      <c r="BJ173" s="3396"/>
      <c r="BK173" s="3396"/>
      <c r="BL173" s="3396"/>
      <c r="BM173" s="3396"/>
      <c r="BN173" s="3396"/>
      <c r="BO173" s="3396"/>
      <c r="BP173" s="3396"/>
      <c r="BQ173" s="3396"/>
      <c r="BR173" s="3396"/>
      <c r="BS173" s="3396"/>
      <c r="BT173" s="3396"/>
      <c r="BU173" s="3396"/>
      <c r="BV173" s="3396"/>
      <c r="BW173" s="3396"/>
      <c r="BX173" s="3396"/>
      <c r="BY173" s="3396"/>
      <c r="BZ173" s="3396"/>
      <c r="CA173" s="3396"/>
      <c r="CB173" s="3396"/>
      <c r="CC173" s="3396"/>
      <c r="CD173" s="3396"/>
      <c r="CE173" s="3396"/>
      <c r="CF173" s="3396"/>
      <c r="CG173" s="3396"/>
      <c r="CH173" s="3396"/>
      <c r="CI173" s="3396"/>
      <c r="CJ173" s="3396"/>
      <c r="CK173" s="3396"/>
      <c r="CL173" s="3396"/>
      <c r="CM173" s="3396"/>
      <c r="CN173" s="3396"/>
      <c r="CO173" s="3396"/>
      <c r="CP173" s="3396"/>
      <c r="CQ173" s="3396"/>
      <c r="CR173" s="3396"/>
      <c r="CS173" s="3396"/>
      <c r="CT173" s="3396"/>
      <c r="CU173" s="3396"/>
      <c r="CV173" s="3396"/>
      <c r="CW173" s="3396"/>
      <c r="CX173" s="3396"/>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row>
    <row r="174" ht="18.75" customHeight="1" spans="1:131">
      <c r="A174" s="3412" t="s">
        <v>3928</v>
      </c>
      <c r="B174" s="3409"/>
      <c r="C174" s="3409"/>
      <c r="D174" s="3409"/>
      <c r="E174" s="3409"/>
      <c r="F174" s="3409"/>
      <c r="G174" s="3409"/>
      <c r="H174" s="3409"/>
      <c r="I174" s="3409"/>
      <c r="J174" s="3409"/>
      <c r="K174" s="3409"/>
      <c r="L174" s="3409"/>
      <c r="M174" s="3409"/>
      <c r="N174" s="3408"/>
      <c r="O174" s="3408"/>
      <c r="P174" s="3408"/>
      <c r="Q174" s="3408"/>
      <c r="R174" s="3408"/>
      <c r="S174" s="3408"/>
      <c r="T174" s="3408"/>
      <c r="U174" s="3408"/>
      <c r="V174" s="3408"/>
      <c r="W174" s="3410"/>
      <c r="X174" s="3410"/>
      <c r="Y174" s="3410"/>
      <c r="Z174" s="3410"/>
      <c r="AA174" s="3410"/>
      <c r="AB174" s="3410"/>
      <c r="AC174" s="3410"/>
      <c r="AD174" s="3410"/>
      <c r="AE174" s="3410"/>
      <c r="AF174" s="3410"/>
      <c r="AG174" s="3410"/>
      <c r="AH174" s="3410"/>
      <c r="AI174" s="3410"/>
      <c r="AJ174" s="3410"/>
      <c r="AK174" s="3410"/>
      <c r="AL174" s="3409"/>
      <c r="AM174" s="3409"/>
      <c r="AN174" s="3409"/>
      <c r="AO174" s="3409"/>
      <c r="AP174" s="3409"/>
      <c r="AQ174" s="3409"/>
      <c r="AR174" s="3409"/>
      <c r="AS174" s="3409"/>
      <c r="AT174" s="3409"/>
      <c r="AU174" s="3409"/>
      <c r="AV174" s="3409"/>
      <c r="AW174" s="3409"/>
      <c r="AX174" s="3409"/>
      <c r="AY174" s="3396"/>
      <c r="AZ174" s="3396"/>
      <c r="BA174" s="3396"/>
      <c r="BB174" s="3396"/>
      <c r="BC174" s="3396"/>
      <c r="BD174" s="3396"/>
      <c r="BE174" s="3396"/>
      <c r="BF174" s="3396"/>
      <c r="BG174" s="3396"/>
      <c r="BH174" s="3396"/>
      <c r="BI174" s="3396"/>
      <c r="BJ174" s="3396"/>
      <c r="BK174" s="3396"/>
      <c r="BL174" s="3396"/>
      <c r="BM174" s="3396"/>
      <c r="BN174" s="3396"/>
      <c r="BO174" s="3396"/>
      <c r="BP174" s="3396"/>
      <c r="BQ174" s="3396"/>
      <c r="BR174" s="3396"/>
      <c r="BS174" s="3396"/>
      <c r="BT174" s="3396"/>
      <c r="BU174" s="3396"/>
      <c r="BV174" s="3396"/>
      <c r="BW174" s="3396"/>
      <c r="BX174" s="3396"/>
      <c r="BY174" s="3396"/>
      <c r="BZ174" s="3396"/>
      <c r="CA174" s="3396"/>
      <c r="CB174" s="3396"/>
      <c r="CC174" s="3396"/>
      <c r="CD174" s="3396"/>
      <c r="CE174" s="3396"/>
      <c r="CF174" s="3396"/>
      <c r="CG174" s="3396"/>
      <c r="CH174" s="3396"/>
      <c r="CI174" s="3396"/>
      <c r="CJ174" s="3396"/>
      <c r="CK174" s="3396"/>
      <c r="CL174" s="3396"/>
      <c r="CM174" s="3396"/>
      <c r="CN174" s="3396"/>
      <c r="CO174" s="3396"/>
      <c r="CP174" s="3396"/>
      <c r="CQ174" s="3396"/>
      <c r="CR174" s="3396"/>
      <c r="CS174" s="3396"/>
      <c r="CT174" s="3396"/>
      <c r="CU174" s="3396"/>
      <c r="CV174" s="3396"/>
      <c r="CW174" s="3396"/>
      <c r="CX174" s="3396"/>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row>
    <row r="175" ht="18.75" hidden="1" customHeight="1" spans="1:131">
      <c r="A175" s="3407" t="s">
        <v>3934</v>
      </c>
      <c r="B175" s="3409"/>
      <c r="C175" s="3409"/>
      <c r="D175" s="3409"/>
      <c r="E175" s="3409"/>
      <c r="F175" s="3409"/>
      <c r="G175" s="3409"/>
      <c r="H175" s="3409"/>
      <c r="I175" s="3409"/>
      <c r="J175" s="3409"/>
      <c r="K175" s="3409"/>
      <c r="L175" s="3409"/>
      <c r="M175" s="3409"/>
      <c r="N175" s="3408"/>
      <c r="O175" s="3408"/>
      <c r="P175" s="3408"/>
      <c r="Q175" s="3408"/>
      <c r="R175" s="3408"/>
      <c r="S175" s="3408"/>
      <c r="T175" s="3408"/>
      <c r="U175" s="3408"/>
      <c r="V175" s="3408"/>
      <c r="W175" s="3410"/>
      <c r="X175" s="3410"/>
      <c r="Y175" s="3410"/>
      <c r="Z175" s="3410"/>
      <c r="AA175" s="3410"/>
      <c r="AB175" s="3410"/>
      <c r="AC175" s="3410"/>
      <c r="AD175" s="3410"/>
      <c r="AE175" s="3410"/>
      <c r="AF175" s="3410"/>
      <c r="AG175" s="3410"/>
      <c r="AH175" s="3410"/>
      <c r="AI175" s="3410"/>
      <c r="AJ175" s="3410"/>
      <c r="AK175" s="3410"/>
      <c r="AL175" s="3409"/>
      <c r="AM175" s="3409"/>
      <c r="AN175" s="3409"/>
      <c r="AO175" s="3409"/>
      <c r="AP175" s="3409"/>
      <c r="AQ175" s="3409"/>
      <c r="AR175" s="3409"/>
      <c r="AS175" s="3409"/>
      <c r="AT175" s="3409"/>
      <c r="AU175" s="3409"/>
      <c r="AV175" s="3409"/>
      <c r="AW175" s="3409"/>
      <c r="AX175" s="3409"/>
      <c r="AY175" s="3396"/>
      <c r="AZ175" s="3396"/>
      <c r="BA175" s="3396"/>
      <c r="BB175" s="3396"/>
      <c r="BC175" s="3396"/>
      <c r="BD175" s="3396"/>
      <c r="BE175" s="3396"/>
      <c r="BF175" s="3396"/>
      <c r="BG175" s="3396"/>
      <c r="BH175" s="3396"/>
      <c r="BI175" s="3396"/>
      <c r="BJ175" s="3396"/>
      <c r="BK175" s="3396"/>
      <c r="BL175" s="3396"/>
      <c r="BM175" s="3396"/>
      <c r="BN175" s="3396"/>
      <c r="BO175" s="3396"/>
      <c r="BP175" s="3396"/>
      <c r="BQ175" s="3396"/>
      <c r="BR175" s="3396"/>
      <c r="BS175" s="3396"/>
      <c r="BT175" s="3396"/>
      <c r="BU175" s="3396"/>
      <c r="BV175" s="3396"/>
      <c r="BW175" s="3396"/>
      <c r="BX175" s="3396"/>
      <c r="BY175" s="3396"/>
      <c r="BZ175" s="3396"/>
      <c r="CA175" s="3396"/>
      <c r="CB175" s="3396"/>
      <c r="CC175" s="3396"/>
      <c r="CD175" s="3396"/>
      <c r="CE175" s="3396"/>
      <c r="CF175" s="3396"/>
      <c r="CG175" s="3396"/>
      <c r="CH175" s="3396"/>
      <c r="CI175" s="3396"/>
      <c r="CJ175" s="3396"/>
      <c r="CK175" s="3396"/>
      <c r="CL175" s="3396"/>
      <c r="CM175" s="3396"/>
      <c r="CN175" s="3396"/>
      <c r="CO175" s="3396"/>
      <c r="CP175" s="3396"/>
      <c r="CQ175" s="3396"/>
      <c r="CR175" s="3396"/>
      <c r="CS175" s="3396"/>
      <c r="CT175" s="3396"/>
      <c r="CU175" s="3396"/>
      <c r="CV175" s="3396"/>
      <c r="CW175" s="3396"/>
      <c r="CX175" s="3396"/>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row>
    <row r="176" ht="18.75" hidden="1" customHeight="1" spans="1:131">
      <c r="A176" s="3407" t="s">
        <v>3945</v>
      </c>
      <c r="B176" s="3409"/>
      <c r="C176" s="3409"/>
      <c r="D176" s="3409"/>
      <c r="E176" s="3409"/>
      <c r="F176" s="3409"/>
      <c r="G176" s="3409"/>
      <c r="H176" s="3409"/>
      <c r="I176" s="3409"/>
      <c r="J176" s="3409"/>
      <c r="K176" s="3409"/>
      <c r="L176" s="3409"/>
      <c r="M176" s="3409"/>
      <c r="N176" s="3408"/>
      <c r="O176" s="3408"/>
      <c r="P176" s="3408"/>
      <c r="Q176" s="3408"/>
      <c r="R176" s="3408"/>
      <c r="S176" s="3408"/>
      <c r="T176" s="3408"/>
      <c r="U176" s="3408"/>
      <c r="V176" s="3408"/>
      <c r="W176" s="3410"/>
      <c r="X176" s="3410"/>
      <c r="Y176" s="3410"/>
      <c r="Z176" s="3410"/>
      <c r="AA176" s="3410"/>
      <c r="AB176" s="3410"/>
      <c r="AC176" s="3410"/>
      <c r="AD176" s="3410"/>
      <c r="AE176" s="3410"/>
      <c r="AF176" s="3410"/>
      <c r="AG176" s="3410"/>
      <c r="AH176" s="3410"/>
      <c r="AI176" s="3410"/>
      <c r="AJ176" s="3410"/>
      <c r="AK176" s="3410"/>
      <c r="AL176" s="3409"/>
      <c r="AM176" s="3409"/>
      <c r="AN176" s="3409"/>
      <c r="AO176" s="3409"/>
      <c r="AP176" s="3409"/>
      <c r="AQ176" s="3409"/>
      <c r="AR176" s="3409"/>
      <c r="AS176" s="3409"/>
      <c r="AT176" s="3409"/>
      <c r="AU176" s="3409"/>
      <c r="AV176" s="3409"/>
      <c r="AW176" s="3409"/>
      <c r="AX176" s="3409"/>
      <c r="AY176" s="3396"/>
      <c r="AZ176" s="3396"/>
      <c r="BA176" s="3396"/>
      <c r="BB176" s="3396"/>
      <c r="BC176" s="3396"/>
      <c r="BD176" s="3396"/>
      <c r="BE176" s="3396"/>
      <c r="BF176" s="3396"/>
      <c r="BG176" s="3396"/>
      <c r="BH176" s="3396"/>
      <c r="BI176" s="3396"/>
      <c r="BJ176" s="3396"/>
      <c r="BK176" s="3396"/>
      <c r="BL176" s="3396"/>
      <c r="BM176" s="3396"/>
      <c r="BN176" s="3396"/>
      <c r="BO176" s="3396"/>
      <c r="BP176" s="3396"/>
      <c r="BQ176" s="3396"/>
      <c r="BR176" s="3396"/>
      <c r="BS176" s="3396"/>
      <c r="BT176" s="3396"/>
      <c r="BU176" s="3396"/>
      <c r="BV176" s="3396"/>
      <c r="BW176" s="3396"/>
      <c r="BX176" s="3396"/>
      <c r="BY176" s="3396"/>
      <c r="BZ176" s="3396"/>
      <c r="CA176" s="3396"/>
      <c r="CB176" s="3396"/>
      <c r="CC176" s="3396"/>
      <c r="CD176" s="3396"/>
      <c r="CE176" s="3396"/>
      <c r="CF176" s="3396"/>
      <c r="CG176" s="3396"/>
      <c r="CH176" s="3396"/>
      <c r="CI176" s="3396"/>
      <c r="CJ176" s="3396"/>
      <c r="CK176" s="3396"/>
      <c r="CL176" s="3396"/>
      <c r="CM176" s="3396"/>
      <c r="CN176" s="3396"/>
      <c r="CO176" s="3396"/>
      <c r="CP176" s="3396"/>
      <c r="CQ176" s="3396"/>
      <c r="CR176" s="3396"/>
      <c r="CS176" s="3396"/>
      <c r="CT176" s="3396"/>
      <c r="CU176" s="3396"/>
      <c r="CV176" s="3396"/>
      <c r="CW176" s="3396"/>
      <c r="CX176" s="3396"/>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row>
    <row r="177" ht="18.75" hidden="1" customHeight="1" spans="1:131">
      <c r="A177" s="3407" t="s">
        <v>3947</v>
      </c>
      <c r="B177" s="3409"/>
      <c r="C177" s="3409"/>
      <c r="D177" s="3409"/>
      <c r="E177" s="3409"/>
      <c r="F177" s="3409"/>
      <c r="G177" s="3409"/>
      <c r="H177" s="3409"/>
      <c r="I177" s="3409"/>
      <c r="J177" s="3409"/>
      <c r="K177" s="3409"/>
      <c r="L177" s="3409"/>
      <c r="M177" s="3409"/>
      <c r="N177" s="3408"/>
      <c r="O177" s="3408"/>
      <c r="P177" s="3408"/>
      <c r="Q177" s="3408"/>
      <c r="R177" s="3408"/>
      <c r="S177" s="3408"/>
      <c r="T177" s="3408"/>
      <c r="U177" s="3408"/>
      <c r="V177" s="3408"/>
      <c r="W177" s="3410"/>
      <c r="X177" s="3410"/>
      <c r="Y177" s="3410"/>
      <c r="Z177" s="3410"/>
      <c r="AA177" s="3410"/>
      <c r="AB177" s="3410"/>
      <c r="AC177" s="3410"/>
      <c r="AD177" s="3410"/>
      <c r="AE177" s="3410"/>
      <c r="AF177" s="3410"/>
      <c r="AG177" s="3410"/>
      <c r="AH177" s="3410"/>
      <c r="AI177" s="3410"/>
      <c r="AJ177" s="3410"/>
      <c r="AK177" s="3410"/>
      <c r="AL177" s="3409"/>
      <c r="AM177" s="3409"/>
      <c r="AN177" s="3409"/>
      <c r="AO177" s="3409"/>
      <c r="AP177" s="3409"/>
      <c r="AQ177" s="3409"/>
      <c r="AR177" s="3409"/>
      <c r="AS177" s="3409"/>
      <c r="AT177" s="3409"/>
      <c r="AU177" s="3409"/>
      <c r="AV177" s="3409"/>
      <c r="AW177" s="3409"/>
      <c r="AX177" s="3409"/>
      <c r="AY177" s="3396"/>
      <c r="AZ177" s="3396"/>
      <c r="BA177" s="3396"/>
      <c r="BB177" s="3396"/>
      <c r="BC177" s="3396"/>
      <c r="BD177" s="3396"/>
      <c r="BE177" s="3396"/>
      <c r="BF177" s="3396"/>
      <c r="BG177" s="3396"/>
      <c r="BH177" s="3396"/>
      <c r="BI177" s="3396"/>
      <c r="BJ177" s="3396"/>
      <c r="BK177" s="3396"/>
      <c r="BL177" s="3396"/>
      <c r="BM177" s="3396"/>
      <c r="BN177" s="3396"/>
      <c r="BO177" s="3396"/>
      <c r="BP177" s="3396"/>
      <c r="BQ177" s="3396"/>
      <c r="BR177" s="3396"/>
      <c r="BS177" s="3396"/>
      <c r="BT177" s="3396"/>
      <c r="BU177" s="3396"/>
      <c r="BV177" s="3396"/>
      <c r="BW177" s="3396"/>
      <c r="BX177" s="3396"/>
      <c r="BY177" s="3396"/>
      <c r="BZ177" s="3396"/>
      <c r="CA177" s="3396"/>
      <c r="CB177" s="3396"/>
      <c r="CC177" s="3396"/>
      <c r="CD177" s="3396"/>
      <c r="CE177" s="3396"/>
      <c r="CF177" s="3396"/>
      <c r="CG177" s="3396"/>
      <c r="CH177" s="3396"/>
      <c r="CI177" s="3396"/>
      <c r="CJ177" s="3396"/>
      <c r="CK177" s="3396"/>
      <c r="CL177" s="3396"/>
      <c r="CM177" s="3396"/>
      <c r="CN177" s="3396"/>
      <c r="CO177" s="3396"/>
      <c r="CP177" s="3396"/>
      <c r="CQ177" s="3396"/>
      <c r="CR177" s="3396"/>
      <c r="CS177" s="3396"/>
      <c r="CT177" s="3396"/>
      <c r="CU177" s="3396"/>
      <c r="CV177" s="3396"/>
      <c r="CW177" s="3396"/>
      <c r="CX177" s="3396"/>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row>
    <row r="178" ht="18.75" hidden="1" customHeight="1" spans="1:131">
      <c r="A178" s="3407" t="s">
        <v>5705</v>
      </c>
      <c r="B178" s="3409"/>
      <c r="C178" s="3409"/>
      <c r="D178" s="3409"/>
      <c r="E178" s="3409"/>
      <c r="F178" s="3409"/>
      <c r="G178" s="3409"/>
      <c r="H178" s="3409"/>
      <c r="I178" s="3409"/>
      <c r="J178" s="3409"/>
      <c r="K178" s="3409"/>
      <c r="L178" s="3409"/>
      <c r="M178" s="3409"/>
      <c r="N178" s="3408"/>
      <c r="O178" s="3408"/>
      <c r="P178" s="3408"/>
      <c r="Q178" s="3408"/>
      <c r="R178" s="3408"/>
      <c r="S178" s="3408"/>
      <c r="T178" s="3408"/>
      <c r="U178" s="3408"/>
      <c r="V178" s="3408"/>
      <c r="W178" s="3410"/>
      <c r="X178" s="3410"/>
      <c r="Y178" s="3410"/>
      <c r="Z178" s="3410"/>
      <c r="AA178" s="3410"/>
      <c r="AB178" s="3410"/>
      <c r="AC178" s="3410"/>
      <c r="AD178" s="3410"/>
      <c r="AE178" s="3410"/>
      <c r="AF178" s="3410"/>
      <c r="AG178" s="3410"/>
      <c r="AH178" s="3410"/>
      <c r="AI178" s="3410"/>
      <c r="AJ178" s="3410"/>
      <c r="AK178" s="3410"/>
      <c r="AL178" s="3409"/>
      <c r="AM178" s="3409"/>
      <c r="AN178" s="3409"/>
      <c r="AO178" s="3409"/>
      <c r="AP178" s="3409"/>
      <c r="AQ178" s="3409"/>
      <c r="AR178" s="3409"/>
      <c r="AS178" s="3409"/>
      <c r="AT178" s="3409"/>
      <c r="AU178" s="3409"/>
      <c r="AV178" s="3409"/>
      <c r="AW178" s="3409"/>
      <c r="AX178" s="3409"/>
      <c r="AY178" s="3396"/>
      <c r="AZ178" s="3396"/>
      <c r="BA178" s="3396"/>
      <c r="BB178" s="3396"/>
      <c r="BC178" s="3396"/>
      <c r="BD178" s="3396"/>
      <c r="BE178" s="3396"/>
      <c r="BF178" s="3396"/>
      <c r="BG178" s="3396"/>
      <c r="BH178" s="3396"/>
      <c r="BI178" s="3396"/>
      <c r="BJ178" s="3396"/>
      <c r="BK178" s="3396"/>
      <c r="BL178" s="3396"/>
      <c r="BM178" s="3396"/>
      <c r="BN178" s="3396"/>
      <c r="BO178" s="3396"/>
      <c r="BP178" s="3396"/>
      <c r="BQ178" s="3396"/>
      <c r="BR178" s="3396"/>
      <c r="BS178" s="3396"/>
      <c r="BT178" s="3396"/>
      <c r="BU178" s="3396"/>
      <c r="BV178" s="3396"/>
      <c r="BW178" s="3396"/>
      <c r="BX178" s="3396"/>
      <c r="BY178" s="3396"/>
      <c r="BZ178" s="3396"/>
      <c r="CA178" s="3396"/>
      <c r="CB178" s="3396"/>
      <c r="CC178" s="3396"/>
      <c r="CD178" s="3396"/>
      <c r="CE178" s="3396"/>
      <c r="CF178" s="3396"/>
      <c r="CG178" s="3396"/>
      <c r="CH178" s="3396"/>
      <c r="CI178" s="3396"/>
      <c r="CJ178" s="3396"/>
      <c r="CK178" s="3396"/>
      <c r="CL178" s="3396"/>
      <c r="CM178" s="3396"/>
      <c r="CN178" s="3396"/>
      <c r="CO178" s="3396"/>
      <c r="CP178" s="3396"/>
      <c r="CQ178" s="3396"/>
      <c r="CR178" s="3396"/>
      <c r="CS178" s="3396"/>
      <c r="CT178" s="3396"/>
      <c r="CU178" s="3396"/>
      <c r="CV178" s="3396"/>
      <c r="CW178" s="3396"/>
      <c r="CX178" s="3396"/>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row>
    <row r="179" ht="18.75" hidden="1" customHeight="1" spans="1:131">
      <c r="A179" s="3407" t="s">
        <v>5707</v>
      </c>
      <c r="B179" s="3409"/>
      <c r="C179" s="3409"/>
      <c r="D179" s="3409"/>
      <c r="E179" s="3409"/>
      <c r="F179" s="3409"/>
      <c r="G179" s="3409"/>
      <c r="H179" s="3409"/>
      <c r="I179" s="3409"/>
      <c r="J179" s="3409"/>
      <c r="K179" s="3409"/>
      <c r="L179" s="3409"/>
      <c r="M179" s="3409"/>
      <c r="N179" s="3408"/>
      <c r="O179" s="3408"/>
      <c r="P179" s="3408"/>
      <c r="Q179" s="3408"/>
      <c r="R179" s="3408"/>
      <c r="S179" s="3408"/>
      <c r="T179" s="3408"/>
      <c r="U179" s="3408"/>
      <c r="V179" s="3408"/>
      <c r="W179" s="3410"/>
      <c r="X179" s="3410"/>
      <c r="Y179" s="3410"/>
      <c r="Z179" s="3410"/>
      <c r="AA179" s="3410"/>
      <c r="AB179" s="3410"/>
      <c r="AC179" s="3410"/>
      <c r="AD179" s="3410"/>
      <c r="AE179" s="3410"/>
      <c r="AF179" s="3410"/>
      <c r="AG179" s="3410"/>
      <c r="AH179" s="3410"/>
      <c r="AI179" s="3410"/>
      <c r="AJ179" s="3410"/>
      <c r="AK179" s="3410"/>
      <c r="AL179" s="3409"/>
      <c r="AM179" s="3409"/>
      <c r="AN179" s="3409"/>
      <c r="AO179" s="3409"/>
      <c r="AP179" s="3409"/>
      <c r="AQ179" s="3409"/>
      <c r="AR179" s="3409"/>
      <c r="AS179" s="3409"/>
      <c r="AT179" s="3409"/>
      <c r="AU179" s="3409"/>
      <c r="AV179" s="3409"/>
      <c r="AW179" s="3409"/>
      <c r="AX179" s="3409"/>
      <c r="AY179" s="3396"/>
      <c r="AZ179" s="3396"/>
      <c r="BA179" s="3396"/>
      <c r="BB179" s="3396"/>
      <c r="BC179" s="3396"/>
      <c r="BD179" s="3396"/>
      <c r="BE179" s="3396"/>
      <c r="BF179" s="3396"/>
      <c r="BG179" s="3396"/>
      <c r="BH179" s="3396"/>
      <c r="BI179" s="3396"/>
      <c r="BJ179" s="3396"/>
      <c r="BK179" s="3396"/>
      <c r="BL179" s="3396"/>
      <c r="BM179" s="3396"/>
      <c r="BN179" s="3396"/>
      <c r="BO179" s="3396"/>
      <c r="BP179" s="3396"/>
      <c r="BQ179" s="3396"/>
      <c r="BR179" s="3396"/>
      <c r="BS179" s="3396"/>
      <c r="BT179" s="3396"/>
      <c r="BU179" s="3396"/>
      <c r="BV179" s="3396"/>
      <c r="BW179" s="3396"/>
      <c r="BX179" s="3396"/>
      <c r="BY179" s="3396"/>
      <c r="BZ179" s="3396"/>
      <c r="CA179" s="3396"/>
      <c r="CB179" s="3396"/>
      <c r="CC179" s="3396"/>
      <c r="CD179" s="3396"/>
      <c r="CE179" s="3396"/>
      <c r="CF179" s="3396"/>
      <c r="CG179" s="3396"/>
      <c r="CH179" s="3396"/>
      <c r="CI179" s="3396"/>
      <c r="CJ179" s="3396"/>
      <c r="CK179" s="3396"/>
      <c r="CL179" s="3396"/>
      <c r="CM179" s="3396"/>
      <c r="CN179" s="3396"/>
      <c r="CO179" s="3396"/>
      <c r="CP179" s="3396"/>
      <c r="CQ179" s="3396"/>
      <c r="CR179" s="3396"/>
      <c r="CS179" s="3396"/>
      <c r="CT179" s="3396"/>
      <c r="CU179" s="3396"/>
      <c r="CV179" s="3396"/>
      <c r="CW179" s="3396"/>
      <c r="CX179" s="3396"/>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row>
    <row r="180" ht="18.75" hidden="1" customHeight="1" spans="1:131">
      <c r="A180" s="3407" t="s">
        <v>5708</v>
      </c>
      <c r="B180" s="3409"/>
      <c r="C180" s="3409"/>
      <c r="D180" s="3409"/>
      <c r="E180" s="3409"/>
      <c r="F180" s="3409"/>
      <c r="G180" s="3409"/>
      <c r="H180" s="3409"/>
      <c r="I180" s="3409"/>
      <c r="J180" s="3409"/>
      <c r="K180" s="3409"/>
      <c r="L180" s="3409"/>
      <c r="M180" s="3409"/>
      <c r="N180" s="3408"/>
      <c r="O180" s="3408"/>
      <c r="P180" s="3408"/>
      <c r="Q180" s="3408"/>
      <c r="R180" s="3408"/>
      <c r="S180" s="3408"/>
      <c r="T180" s="3408"/>
      <c r="U180" s="3408"/>
      <c r="V180" s="3408"/>
      <c r="W180" s="3410"/>
      <c r="X180" s="3410"/>
      <c r="Y180" s="3410"/>
      <c r="Z180" s="3410"/>
      <c r="AA180" s="3410"/>
      <c r="AB180" s="3410"/>
      <c r="AC180" s="3410"/>
      <c r="AD180" s="3410"/>
      <c r="AE180" s="3410"/>
      <c r="AF180" s="3410"/>
      <c r="AG180" s="3410"/>
      <c r="AH180" s="3410"/>
      <c r="AI180" s="3410"/>
      <c r="AJ180" s="3410"/>
      <c r="AK180" s="3410"/>
      <c r="AL180" s="3409"/>
      <c r="AM180" s="3409"/>
      <c r="AN180" s="3409"/>
      <c r="AO180" s="3409"/>
      <c r="AP180" s="3409"/>
      <c r="AQ180" s="3409"/>
      <c r="AR180" s="3409"/>
      <c r="AS180" s="3409"/>
      <c r="AT180" s="3409"/>
      <c r="AU180" s="3409"/>
      <c r="AV180" s="3409"/>
      <c r="AW180" s="3409"/>
      <c r="AX180" s="3409"/>
      <c r="AY180" s="3396"/>
      <c r="AZ180" s="3396"/>
      <c r="BA180" s="3396"/>
      <c r="BB180" s="3396"/>
      <c r="BC180" s="3396"/>
      <c r="BD180" s="3396"/>
      <c r="BE180" s="3396"/>
      <c r="BF180" s="3396"/>
      <c r="BG180" s="3396"/>
      <c r="BH180" s="3396"/>
      <c r="BI180" s="3396"/>
      <c r="BJ180" s="3396"/>
      <c r="BK180" s="3396"/>
      <c r="BL180" s="3396"/>
      <c r="BM180" s="3396"/>
      <c r="BN180" s="3396"/>
      <c r="BO180" s="3396"/>
      <c r="BP180" s="3396"/>
      <c r="BQ180" s="3396"/>
      <c r="BR180" s="3396"/>
      <c r="BS180" s="3396"/>
      <c r="BT180" s="3396"/>
      <c r="BU180" s="3396"/>
      <c r="BV180" s="3396"/>
      <c r="BW180" s="3396"/>
      <c r="BX180" s="3396"/>
      <c r="BY180" s="3396"/>
      <c r="BZ180" s="3396"/>
      <c r="CA180" s="3396"/>
      <c r="CB180" s="3396"/>
      <c r="CC180" s="3396"/>
      <c r="CD180" s="3396"/>
      <c r="CE180" s="3396"/>
      <c r="CF180" s="3396"/>
      <c r="CG180" s="3396"/>
      <c r="CH180" s="3396"/>
      <c r="CI180" s="3396"/>
      <c r="CJ180" s="3396"/>
      <c r="CK180" s="3396"/>
      <c r="CL180" s="3396"/>
      <c r="CM180" s="3396"/>
      <c r="CN180" s="3396"/>
      <c r="CO180" s="3396"/>
      <c r="CP180" s="3396"/>
      <c r="CQ180" s="3396"/>
      <c r="CR180" s="3396"/>
      <c r="CS180" s="3396"/>
      <c r="CT180" s="3396"/>
      <c r="CU180" s="3396"/>
      <c r="CV180" s="3396"/>
      <c r="CW180" s="3396"/>
      <c r="CX180" s="3396"/>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row>
    <row r="181" ht="18.75" hidden="1" customHeight="1" spans="1:131">
      <c r="A181" s="3407" t="s">
        <v>5709</v>
      </c>
      <c r="B181" s="3409"/>
      <c r="C181" s="3409"/>
      <c r="D181" s="3409"/>
      <c r="E181" s="3409"/>
      <c r="F181" s="3409"/>
      <c r="G181" s="3409"/>
      <c r="H181" s="3409"/>
      <c r="I181" s="3409"/>
      <c r="J181" s="3409"/>
      <c r="K181" s="3409"/>
      <c r="L181" s="3409"/>
      <c r="M181" s="3409"/>
      <c r="N181" s="3408"/>
      <c r="O181" s="3408"/>
      <c r="P181" s="3408"/>
      <c r="Q181" s="3408"/>
      <c r="R181" s="3408"/>
      <c r="S181" s="3408"/>
      <c r="T181" s="3408"/>
      <c r="U181" s="3408"/>
      <c r="V181" s="3408"/>
      <c r="W181" s="3410"/>
      <c r="X181" s="3410"/>
      <c r="Y181" s="3410"/>
      <c r="Z181" s="3410"/>
      <c r="AA181" s="3410"/>
      <c r="AB181" s="3410"/>
      <c r="AC181" s="3410"/>
      <c r="AD181" s="3410"/>
      <c r="AE181" s="3410"/>
      <c r="AF181" s="3410"/>
      <c r="AG181" s="3410"/>
      <c r="AH181" s="3410"/>
      <c r="AI181" s="3410"/>
      <c r="AJ181" s="3410"/>
      <c r="AK181" s="3410"/>
      <c r="AL181" s="3409"/>
      <c r="AM181" s="3409"/>
      <c r="AN181" s="3409"/>
      <c r="AO181" s="3409"/>
      <c r="AP181" s="3409"/>
      <c r="AQ181" s="3409"/>
      <c r="AR181" s="3409"/>
      <c r="AS181" s="3409"/>
      <c r="AT181" s="3409"/>
      <c r="AU181" s="3409"/>
      <c r="AV181" s="3409"/>
      <c r="AW181" s="3409"/>
      <c r="AX181" s="3409"/>
      <c r="AY181" s="3396"/>
      <c r="AZ181" s="3396"/>
      <c r="BA181" s="3396"/>
      <c r="BB181" s="3396"/>
      <c r="BC181" s="3396"/>
      <c r="BD181" s="3396"/>
      <c r="BE181" s="3396"/>
      <c r="BF181" s="3396"/>
      <c r="BG181" s="3396"/>
      <c r="BH181" s="3396"/>
      <c r="BI181" s="3396"/>
      <c r="BJ181" s="3396"/>
      <c r="BK181" s="3396"/>
      <c r="BL181" s="3396"/>
      <c r="BM181" s="3396"/>
      <c r="BN181" s="3396"/>
      <c r="BO181" s="3396"/>
      <c r="BP181" s="3396"/>
      <c r="BQ181" s="3396"/>
      <c r="BR181" s="3396"/>
      <c r="BS181" s="3396"/>
      <c r="BT181" s="3396"/>
      <c r="BU181" s="3396"/>
      <c r="BV181" s="3396"/>
      <c r="BW181" s="3396"/>
      <c r="BX181" s="3396"/>
      <c r="BY181" s="3396"/>
      <c r="BZ181" s="3396"/>
      <c r="CA181" s="3396"/>
      <c r="CB181" s="3396"/>
      <c r="CC181" s="3396"/>
      <c r="CD181" s="3396"/>
      <c r="CE181" s="3396"/>
      <c r="CF181" s="3396"/>
      <c r="CG181" s="3396"/>
      <c r="CH181" s="3396"/>
      <c r="CI181" s="3396"/>
      <c r="CJ181" s="3396"/>
      <c r="CK181" s="3396"/>
      <c r="CL181" s="3396"/>
      <c r="CM181" s="3396"/>
      <c r="CN181" s="3396"/>
      <c r="CO181" s="3396"/>
      <c r="CP181" s="3396"/>
      <c r="CQ181" s="3396"/>
      <c r="CR181" s="3396"/>
      <c r="CS181" s="3396"/>
      <c r="CT181" s="3396"/>
      <c r="CU181" s="3396"/>
      <c r="CV181" s="3396"/>
      <c r="CW181" s="3396"/>
      <c r="CX181" s="3396"/>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row>
    <row r="182" ht="18.75" hidden="1" customHeight="1" spans="1:131">
      <c r="A182" s="3407" t="s">
        <v>5710</v>
      </c>
      <c r="B182" s="3409"/>
      <c r="C182" s="3409"/>
      <c r="D182" s="3409"/>
      <c r="E182" s="3409"/>
      <c r="F182" s="3409"/>
      <c r="G182" s="3409"/>
      <c r="H182" s="3409"/>
      <c r="I182" s="3409"/>
      <c r="J182" s="3409"/>
      <c r="K182" s="3409"/>
      <c r="L182" s="3409"/>
      <c r="M182" s="3409"/>
      <c r="N182" s="3408"/>
      <c r="O182" s="3408"/>
      <c r="P182" s="3408"/>
      <c r="Q182" s="3408"/>
      <c r="R182" s="3408"/>
      <c r="S182" s="3408"/>
      <c r="T182" s="3408"/>
      <c r="U182" s="3408"/>
      <c r="V182" s="3408"/>
      <c r="W182" s="3410"/>
      <c r="X182" s="3410"/>
      <c r="Y182" s="3410"/>
      <c r="Z182" s="3410"/>
      <c r="AA182" s="3410"/>
      <c r="AB182" s="3410"/>
      <c r="AC182" s="3410"/>
      <c r="AD182" s="3410"/>
      <c r="AE182" s="3410"/>
      <c r="AF182" s="3410"/>
      <c r="AG182" s="3410"/>
      <c r="AH182" s="3410"/>
      <c r="AI182" s="3410"/>
      <c r="AJ182" s="3410"/>
      <c r="AK182" s="3410"/>
      <c r="AL182" s="3409"/>
      <c r="AM182" s="3409"/>
      <c r="AN182" s="3409"/>
      <c r="AO182" s="3409"/>
      <c r="AP182" s="3409"/>
      <c r="AQ182" s="3409"/>
      <c r="AR182" s="3409"/>
      <c r="AS182" s="3409"/>
      <c r="AT182" s="3409"/>
      <c r="AU182" s="3409"/>
      <c r="AV182" s="3409"/>
      <c r="AW182" s="3409"/>
      <c r="AX182" s="3409"/>
      <c r="AY182" s="3396"/>
      <c r="AZ182" s="3396"/>
      <c r="BA182" s="3396"/>
      <c r="BB182" s="3396"/>
      <c r="BC182" s="3396"/>
      <c r="BD182" s="3396"/>
      <c r="BE182" s="3396"/>
      <c r="BF182" s="3396"/>
      <c r="BG182" s="3396"/>
      <c r="BH182" s="3396"/>
      <c r="BI182" s="3396"/>
      <c r="BJ182" s="3396"/>
      <c r="BK182" s="3396"/>
      <c r="BL182" s="3396"/>
      <c r="BM182" s="3396"/>
      <c r="BN182" s="3396"/>
      <c r="BO182" s="3396"/>
      <c r="BP182" s="3396"/>
      <c r="BQ182" s="3396"/>
      <c r="BR182" s="3396"/>
      <c r="BS182" s="3396"/>
      <c r="BT182" s="3396"/>
      <c r="BU182" s="3396"/>
      <c r="BV182" s="3396"/>
      <c r="BW182" s="3396"/>
      <c r="BX182" s="3396"/>
      <c r="BY182" s="3396"/>
      <c r="BZ182" s="3396"/>
      <c r="CA182" s="3396"/>
      <c r="CB182" s="3396"/>
      <c r="CC182" s="3396"/>
      <c r="CD182" s="3396"/>
      <c r="CE182" s="3396"/>
      <c r="CF182" s="3396"/>
      <c r="CG182" s="3396"/>
      <c r="CH182" s="3396"/>
      <c r="CI182" s="3396"/>
      <c r="CJ182" s="3396"/>
      <c r="CK182" s="3396"/>
      <c r="CL182" s="3396"/>
      <c r="CM182" s="3396"/>
      <c r="CN182" s="3396"/>
      <c r="CO182" s="3396"/>
      <c r="CP182" s="3396"/>
      <c r="CQ182" s="3396"/>
      <c r="CR182" s="3396"/>
      <c r="CS182" s="3396"/>
      <c r="CT182" s="3396"/>
      <c r="CU182" s="3396"/>
      <c r="CV182" s="3396"/>
      <c r="CW182" s="3396"/>
      <c r="CX182" s="3396"/>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row>
    <row r="183" ht="18.75" hidden="1" customHeight="1" spans="1:131">
      <c r="A183" s="3407" t="s">
        <v>5711</v>
      </c>
      <c r="B183" s="3409"/>
      <c r="C183" s="3409"/>
      <c r="D183" s="3409"/>
      <c r="E183" s="3409"/>
      <c r="F183" s="3409"/>
      <c r="G183" s="3409"/>
      <c r="H183" s="3409"/>
      <c r="I183" s="3409"/>
      <c r="J183" s="3409"/>
      <c r="K183" s="3409"/>
      <c r="L183" s="3409"/>
      <c r="M183" s="3409"/>
      <c r="N183" s="3408"/>
      <c r="O183" s="3408"/>
      <c r="P183" s="3408"/>
      <c r="Q183" s="3408"/>
      <c r="R183" s="3408"/>
      <c r="S183" s="3408"/>
      <c r="T183" s="3408"/>
      <c r="U183" s="3408"/>
      <c r="V183" s="3408"/>
      <c r="W183" s="3410"/>
      <c r="X183" s="3410"/>
      <c r="Y183" s="3410"/>
      <c r="Z183" s="3410"/>
      <c r="AA183" s="3410"/>
      <c r="AB183" s="3410"/>
      <c r="AC183" s="3410"/>
      <c r="AD183" s="3410"/>
      <c r="AE183" s="3410"/>
      <c r="AF183" s="3410"/>
      <c r="AG183" s="3410"/>
      <c r="AH183" s="3410"/>
      <c r="AI183" s="3410"/>
      <c r="AJ183" s="3410"/>
      <c r="AK183" s="3410"/>
      <c r="AL183" s="3409"/>
      <c r="AM183" s="3409"/>
      <c r="AN183" s="3409"/>
      <c r="AO183" s="3409"/>
      <c r="AP183" s="3409"/>
      <c r="AQ183" s="3409"/>
      <c r="AR183" s="3409"/>
      <c r="AS183" s="3409"/>
      <c r="AT183" s="3409"/>
      <c r="AU183" s="3409"/>
      <c r="AV183" s="3409"/>
      <c r="AW183" s="3409"/>
      <c r="AX183" s="3409"/>
      <c r="AY183" s="3396"/>
      <c r="AZ183" s="3396"/>
      <c r="BA183" s="3396"/>
      <c r="BB183" s="3396"/>
      <c r="BC183" s="3396"/>
      <c r="BD183" s="3396"/>
      <c r="BE183" s="3396"/>
      <c r="BF183" s="3396"/>
      <c r="BG183" s="3396"/>
      <c r="BH183" s="3396"/>
      <c r="BI183" s="3396"/>
      <c r="BJ183" s="3396"/>
      <c r="BK183" s="3396"/>
      <c r="BL183" s="3396"/>
      <c r="BM183" s="3396"/>
      <c r="BN183" s="3396"/>
      <c r="BO183" s="3396"/>
      <c r="BP183" s="3396"/>
      <c r="BQ183" s="3396"/>
      <c r="BR183" s="3396"/>
      <c r="BS183" s="3396"/>
      <c r="BT183" s="3396"/>
      <c r="BU183" s="3396"/>
      <c r="BV183" s="3396"/>
      <c r="BW183" s="3396"/>
      <c r="BX183" s="3396"/>
      <c r="BY183" s="3396"/>
      <c r="BZ183" s="3396"/>
      <c r="CA183" s="3396"/>
      <c r="CB183" s="3396"/>
      <c r="CC183" s="3396"/>
      <c r="CD183" s="3396"/>
      <c r="CE183" s="3396"/>
      <c r="CF183" s="3396"/>
      <c r="CG183" s="3396"/>
      <c r="CH183" s="3396"/>
      <c r="CI183" s="3396"/>
      <c r="CJ183" s="3396"/>
      <c r="CK183" s="3396"/>
      <c r="CL183" s="3396"/>
      <c r="CM183" s="3396"/>
      <c r="CN183" s="3396"/>
      <c r="CO183" s="3396"/>
      <c r="CP183" s="3396"/>
      <c r="CQ183" s="3396"/>
      <c r="CR183" s="3396"/>
      <c r="CS183" s="3396"/>
      <c r="CT183" s="3396"/>
      <c r="CU183" s="3396"/>
      <c r="CV183" s="3396"/>
      <c r="CW183" s="3396"/>
      <c r="CX183" s="3396"/>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row>
    <row r="184" ht="18.75" hidden="1" customHeight="1" spans="1:131">
      <c r="A184" s="3407" t="s">
        <v>5713</v>
      </c>
      <c r="B184" s="3409"/>
      <c r="C184" s="3409"/>
      <c r="D184" s="3409"/>
      <c r="E184" s="3409"/>
      <c r="F184" s="3409"/>
      <c r="G184" s="3409"/>
      <c r="H184" s="3409"/>
      <c r="I184" s="3409"/>
      <c r="J184" s="3409"/>
      <c r="K184" s="3409"/>
      <c r="L184" s="3409"/>
      <c r="M184" s="3409"/>
      <c r="N184" s="3408"/>
      <c r="O184" s="3408"/>
      <c r="P184" s="3408"/>
      <c r="Q184" s="3408"/>
      <c r="R184" s="3408"/>
      <c r="S184" s="3408"/>
      <c r="T184" s="3408"/>
      <c r="U184" s="3408"/>
      <c r="V184" s="3408"/>
      <c r="W184" s="3410"/>
      <c r="X184" s="3410"/>
      <c r="Y184" s="3410"/>
      <c r="Z184" s="3410"/>
      <c r="AA184" s="3410"/>
      <c r="AB184" s="3410"/>
      <c r="AC184" s="3410"/>
      <c r="AD184" s="3410"/>
      <c r="AE184" s="3410"/>
      <c r="AF184" s="3410"/>
      <c r="AG184" s="3410"/>
      <c r="AH184" s="3410"/>
      <c r="AI184" s="3410"/>
      <c r="AJ184" s="3410"/>
      <c r="AK184" s="3410"/>
      <c r="AL184" s="3409"/>
      <c r="AM184" s="3409"/>
      <c r="AN184" s="3409"/>
      <c r="AO184" s="3409"/>
      <c r="AP184" s="3409"/>
      <c r="AQ184" s="3409"/>
      <c r="AR184" s="3409"/>
      <c r="AS184" s="3409"/>
      <c r="AT184" s="3409"/>
      <c r="AU184" s="3409"/>
      <c r="AV184" s="3409"/>
      <c r="AW184" s="3409"/>
      <c r="AX184" s="3409"/>
      <c r="AY184" s="3396"/>
      <c r="AZ184" s="3396"/>
      <c r="BA184" s="3396"/>
      <c r="BB184" s="3396"/>
      <c r="BC184" s="3396"/>
      <c r="BD184" s="3396"/>
      <c r="BE184" s="3396"/>
      <c r="BF184" s="3396"/>
      <c r="BG184" s="3396"/>
      <c r="BH184" s="3396"/>
      <c r="BI184" s="3396"/>
      <c r="BJ184" s="3396"/>
      <c r="BK184" s="3396"/>
      <c r="BL184" s="3396"/>
      <c r="BM184" s="3396"/>
      <c r="BN184" s="3396"/>
      <c r="BO184" s="3396"/>
      <c r="BP184" s="3396"/>
      <c r="BQ184" s="3396"/>
      <c r="BR184" s="3396"/>
      <c r="BS184" s="3396"/>
      <c r="BT184" s="3396"/>
      <c r="BU184" s="3396"/>
      <c r="BV184" s="3396"/>
      <c r="BW184" s="3396"/>
      <c r="BX184" s="3396"/>
      <c r="BY184" s="3396"/>
      <c r="BZ184" s="3396"/>
      <c r="CA184" s="3396"/>
      <c r="CB184" s="3396"/>
      <c r="CC184" s="3396"/>
      <c r="CD184" s="3396"/>
      <c r="CE184" s="3396"/>
      <c r="CF184" s="3396"/>
      <c r="CG184" s="3396"/>
      <c r="CH184" s="3396"/>
      <c r="CI184" s="3396"/>
      <c r="CJ184" s="3396"/>
      <c r="CK184" s="3396"/>
      <c r="CL184" s="3396"/>
      <c r="CM184" s="3396"/>
      <c r="CN184" s="3396"/>
      <c r="CO184" s="3396"/>
      <c r="CP184" s="3396"/>
      <c r="CQ184" s="3396"/>
      <c r="CR184" s="3396"/>
      <c r="CS184" s="3396"/>
      <c r="CT184" s="3396"/>
      <c r="CU184" s="3396"/>
      <c r="CV184" s="3396"/>
      <c r="CW184" s="3396"/>
      <c r="CX184" s="3396"/>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row>
    <row r="185" ht="18.75" hidden="1" customHeight="1" spans="1:131">
      <c r="A185" s="3407" t="s">
        <v>5714</v>
      </c>
      <c r="B185" s="3409"/>
      <c r="C185" s="3409"/>
      <c r="D185" s="3409"/>
      <c r="E185" s="3409"/>
      <c r="F185" s="3409"/>
      <c r="G185" s="3409"/>
      <c r="H185" s="3409"/>
      <c r="I185" s="3409"/>
      <c r="J185" s="3409"/>
      <c r="K185" s="3409"/>
      <c r="L185" s="3409"/>
      <c r="M185" s="3409"/>
      <c r="N185" s="3408"/>
      <c r="O185" s="3408"/>
      <c r="P185" s="3408"/>
      <c r="Q185" s="3408"/>
      <c r="R185" s="3408"/>
      <c r="S185" s="3408"/>
      <c r="T185" s="3408"/>
      <c r="U185" s="3408"/>
      <c r="V185" s="3408"/>
      <c r="W185" s="3410"/>
      <c r="X185" s="3410"/>
      <c r="Y185" s="3410"/>
      <c r="Z185" s="3410"/>
      <c r="AA185" s="3410"/>
      <c r="AB185" s="3410"/>
      <c r="AC185" s="3410"/>
      <c r="AD185" s="3410"/>
      <c r="AE185" s="3410"/>
      <c r="AF185" s="3410"/>
      <c r="AG185" s="3410"/>
      <c r="AH185" s="3410"/>
      <c r="AI185" s="3410"/>
      <c r="AJ185" s="3410"/>
      <c r="AK185" s="3410"/>
      <c r="AL185" s="3409"/>
      <c r="AM185" s="3409"/>
      <c r="AN185" s="3409"/>
      <c r="AO185" s="3409"/>
      <c r="AP185" s="3409"/>
      <c r="AQ185" s="3409"/>
      <c r="AR185" s="3409"/>
      <c r="AS185" s="3409"/>
      <c r="AT185" s="3409"/>
      <c r="AU185" s="3409"/>
      <c r="AV185" s="3409"/>
      <c r="AW185" s="3409"/>
      <c r="AX185" s="3409"/>
      <c r="AY185" s="3396"/>
      <c r="AZ185" s="3396"/>
      <c r="BA185" s="3396"/>
      <c r="BB185" s="3396"/>
      <c r="BC185" s="3396"/>
      <c r="BD185" s="3396"/>
      <c r="BE185" s="3396"/>
      <c r="BF185" s="3396"/>
      <c r="BG185" s="3396"/>
      <c r="BH185" s="3396"/>
      <c r="BI185" s="3396"/>
      <c r="BJ185" s="3396"/>
      <c r="BK185" s="3396"/>
      <c r="BL185" s="3396"/>
      <c r="BM185" s="3396"/>
      <c r="BN185" s="3396"/>
      <c r="BO185" s="3396"/>
      <c r="BP185" s="3396"/>
      <c r="BQ185" s="3396"/>
      <c r="BR185" s="3396"/>
      <c r="BS185" s="3396"/>
      <c r="BT185" s="3396"/>
      <c r="BU185" s="3396"/>
      <c r="BV185" s="3396"/>
      <c r="BW185" s="3396"/>
      <c r="BX185" s="3396"/>
      <c r="BY185" s="3396"/>
      <c r="BZ185" s="3396"/>
      <c r="CA185" s="3396"/>
      <c r="CB185" s="3396"/>
      <c r="CC185" s="3396"/>
      <c r="CD185" s="3396"/>
      <c r="CE185" s="3396"/>
      <c r="CF185" s="3396"/>
      <c r="CG185" s="3396"/>
      <c r="CH185" s="3396"/>
      <c r="CI185" s="3396"/>
      <c r="CJ185" s="3396"/>
      <c r="CK185" s="3396"/>
      <c r="CL185" s="3396"/>
      <c r="CM185" s="3396"/>
      <c r="CN185" s="3396"/>
      <c r="CO185" s="3396"/>
      <c r="CP185" s="3396"/>
      <c r="CQ185" s="3396"/>
      <c r="CR185" s="3396"/>
      <c r="CS185" s="3396"/>
      <c r="CT185" s="3396"/>
      <c r="CU185" s="3396"/>
      <c r="CV185" s="3396"/>
      <c r="CW185" s="3396"/>
      <c r="CX185" s="3396"/>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row>
    <row r="186" ht="18.75" hidden="1" customHeight="1" spans="1:131">
      <c r="A186" s="3407" t="s">
        <v>5715</v>
      </c>
      <c r="B186" s="3409"/>
      <c r="C186" s="3409"/>
      <c r="D186" s="3409"/>
      <c r="E186" s="3409"/>
      <c r="F186" s="3409"/>
      <c r="G186" s="3409"/>
      <c r="H186" s="3409"/>
      <c r="I186" s="3409"/>
      <c r="J186" s="3409"/>
      <c r="K186" s="3409"/>
      <c r="L186" s="3409"/>
      <c r="M186" s="3409"/>
      <c r="N186" s="3408"/>
      <c r="O186" s="3408"/>
      <c r="P186" s="3408"/>
      <c r="Q186" s="3408"/>
      <c r="R186" s="3408"/>
      <c r="S186" s="3408"/>
      <c r="T186" s="3408"/>
      <c r="U186" s="3408"/>
      <c r="V186" s="3408"/>
      <c r="W186" s="3410"/>
      <c r="X186" s="3410"/>
      <c r="Y186" s="3410"/>
      <c r="Z186" s="3410"/>
      <c r="AA186" s="3410"/>
      <c r="AB186" s="3410"/>
      <c r="AC186" s="3410"/>
      <c r="AD186" s="3410"/>
      <c r="AE186" s="3410"/>
      <c r="AF186" s="3410"/>
      <c r="AG186" s="3410"/>
      <c r="AH186" s="3410"/>
      <c r="AI186" s="3410"/>
      <c r="AJ186" s="3410"/>
      <c r="AK186" s="3410"/>
      <c r="AL186" s="3409"/>
      <c r="AM186" s="3409"/>
      <c r="AN186" s="3409"/>
      <c r="AO186" s="3409"/>
      <c r="AP186" s="3409"/>
      <c r="AQ186" s="3409"/>
      <c r="AR186" s="3409"/>
      <c r="AS186" s="3409"/>
      <c r="AT186" s="3409"/>
      <c r="AU186" s="3409"/>
      <c r="AV186" s="3409"/>
      <c r="AW186" s="3409"/>
      <c r="AX186" s="3409"/>
      <c r="AY186" s="3396"/>
      <c r="AZ186" s="3396"/>
      <c r="BA186" s="3396"/>
      <c r="BB186" s="3396"/>
      <c r="BC186" s="3396"/>
      <c r="BD186" s="3396"/>
      <c r="BE186" s="3396"/>
      <c r="BF186" s="3396"/>
      <c r="BG186" s="3396"/>
      <c r="BH186" s="3396"/>
      <c r="BI186" s="3396"/>
      <c r="BJ186" s="3396"/>
      <c r="BK186" s="3396"/>
      <c r="BL186" s="3396"/>
      <c r="BM186" s="3396"/>
      <c r="BN186" s="3396"/>
      <c r="BO186" s="3396"/>
      <c r="BP186" s="3396"/>
      <c r="BQ186" s="3396"/>
      <c r="BR186" s="3396"/>
      <c r="BS186" s="3396"/>
      <c r="BT186" s="3396"/>
      <c r="BU186" s="3396"/>
      <c r="BV186" s="3396"/>
      <c r="BW186" s="3396"/>
      <c r="BX186" s="3396"/>
      <c r="BY186" s="3396"/>
      <c r="BZ186" s="3396"/>
      <c r="CA186" s="3396"/>
      <c r="CB186" s="3396"/>
      <c r="CC186" s="3396"/>
      <c r="CD186" s="3396"/>
      <c r="CE186" s="3396"/>
      <c r="CF186" s="3396"/>
      <c r="CG186" s="3396"/>
      <c r="CH186" s="3396"/>
      <c r="CI186" s="3396"/>
      <c r="CJ186" s="3396"/>
      <c r="CK186" s="3396"/>
      <c r="CL186" s="3396"/>
      <c r="CM186" s="3396"/>
      <c r="CN186" s="3396"/>
      <c r="CO186" s="3396"/>
      <c r="CP186" s="3396"/>
      <c r="CQ186" s="3396"/>
      <c r="CR186" s="3396"/>
      <c r="CS186" s="3396"/>
      <c r="CT186" s="3396"/>
      <c r="CU186" s="3396"/>
      <c r="CV186" s="3396"/>
      <c r="CW186" s="3396"/>
      <c r="CX186" s="3396"/>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row>
    <row r="187" ht="18.75" hidden="1" customHeight="1" spans="1:131">
      <c r="A187" s="3407" t="s">
        <v>5716</v>
      </c>
      <c r="B187" s="3409"/>
      <c r="C187" s="3409"/>
      <c r="D187" s="3409"/>
      <c r="E187" s="3409"/>
      <c r="F187" s="3409"/>
      <c r="G187" s="3409"/>
      <c r="H187" s="3409"/>
      <c r="I187" s="3409"/>
      <c r="J187" s="3409"/>
      <c r="K187" s="3409"/>
      <c r="L187" s="3409"/>
      <c r="M187" s="3409"/>
      <c r="N187" s="3408"/>
      <c r="O187" s="3408"/>
      <c r="P187" s="3408"/>
      <c r="Q187" s="3408"/>
      <c r="R187" s="3408"/>
      <c r="S187" s="3408"/>
      <c r="T187" s="3408"/>
      <c r="U187" s="3408"/>
      <c r="V187" s="3408"/>
      <c r="W187" s="3410"/>
      <c r="X187" s="3410"/>
      <c r="Y187" s="3410"/>
      <c r="Z187" s="3410"/>
      <c r="AA187" s="3410"/>
      <c r="AB187" s="3410"/>
      <c r="AC187" s="3410"/>
      <c r="AD187" s="3410"/>
      <c r="AE187" s="3410"/>
      <c r="AF187" s="3410"/>
      <c r="AG187" s="3410"/>
      <c r="AH187" s="3410"/>
      <c r="AI187" s="3410"/>
      <c r="AJ187" s="3410"/>
      <c r="AK187" s="3410"/>
      <c r="AL187" s="3409"/>
      <c r="AM187" s="3409"/>
      <c r="AN187" s="3409"/>
      <c r="AO187" s="3409"/>
      <c r="AP187" s="3409"/>
      <c r="AQ187" s="3409"/>
      <c r="AR187" s="3409"/>
      <c r="AS187" s="3409"/>
      <c r="AT187" s="3409"/>
      <c r="AU187" s="3409"/>
      <c r="AV187" s="3409"/>
      <c r="AW187" s="3409"/>
      <c r="AX187" s="3409"/>
      <c r="AY187" s="3396"/>
      <c r="AZ187" s="3396"/>
      <c r="BA187" s="3396"/>
      <c r="BB187" s="3396"/>
      <c r="BC187" s="3396"/>
      <c r="BD187" s="3396"/>
      <c r="BE187" s="3396"/>
      <c r="BF187" s="3396"/>
      <c r="BG187" s="3396"/>
      <c r="BH187" s="3396"/>
      <c r="BI187" s="3396"/>
      <c r="BJ187" s="3396"/>
      <c r="BK187" s="3396"/>
      <c r="BL187" s="3396"/>
      <c r="BM187" s="3396"/>
      <c r="BN187" s="3396"/>
      <c r="BO187" s="3396"/>
      <c r="BP187" s="3396"/>
      <c r="BQ187" s="3396"/>
      <c r="BR187" s="3396"/>
      <c r="BS187" s="3396"/>
      <c r="BT187" s="3396"/>
      <c r="BU187" s="3396"/>
      <c r="BV187" s="3396"/>
      <c r="BW187" s="3396"/>
      <c r="BX187" s="3396"/>
      <c r="BY187" s="3396"/>
      <c r="BZ187" s="3396"/>
      <c r="CA187" s="3396"/>
      <c r="CB187" s="3396"/>
      <c r="CC187" s="3396"/>
      <c r="CD187" s="3396"/>
      <c r="CE187" s="3396"/>
      <c r="CF187" s="3396"/>
      <c r="CG187" s="3396"/>
      <c r="CH187" s="3396"/>
      <c r="CI187" s="3396"/>
      <c r="CJ187" s="3396"/>
      <c r="CK187" s="3396"/>
      <c r="CL187" s="3396"/>
      <c r="CM187" s="3396"/>
      <c r="CN187" s="3396"/>
      <c r="CO187" s="3396"/>
      <c r="CP187" s="3396"/>
      <c r="CQ187" s="3396"/>
      <c r="CR187" s="3396"/>
      <c r="CS187" s="3396"/>
      <c r="CT187" s="3396"/>
      <c r="CU187" s="3396"/>
      <c r="CV187" s="3396"/>
      <c r="CW187" s="3396"/>
      <c r="CX187" s="3396"/>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row>
    <row r="188" ht="18.75" hidden="1" customHeight="1" spans="1:131">
      <c r="A188" s="3407" t="s">
        <v>5717</v>
      </c>
      <c r="B188" s="3409"/>
      <c r="C188" s="3409"/>
      <c r="D188" s="3409"/>
      <c r="E188" s="3409"/>
      <c r="F188" s="3409"/>
      <c r="G188" s="3409"/>
      <c r="H188" s="3409"/>
      <c r="I188" s="3409"/>
      <c r="J188" s="3409"/>
      <c r="K188" s="3409"/>
      <c r="L188" s="3409"/>
      <c r="M188" s="3409"/>
      <c r="N188" s="3408"/>
      <c r="O188" s="3408"/>
      <c r="P188" s="3408"/>
      <c r="Q188" s="3408"/>
      <c r="R188" s="3408"/>
      <c r="S188" s="3408"/>
      <c r="T188" s="3408"/>
      <c r="U188" s="3408"/>
      <c r="V188" s="3408"/>
      <c r="W188" s="3410"/>
      <c r="X188" s="3410"/>
      <c r="Y188" s="3410"/>
      <c r="Z188" s="3410"/>
      <c r="AA188" s="3410"/>
      <c r="AB188" s="3410"/>
      <c r="AC188" s="3410"/>
      <c r="AD188" s="3410"/>
      <c r="AE188" s="3410"/>
      <c r="AF188" s="3410"/>
      <c r="AG188" s="3410"/>
      <c r="AH188" s="3410"/>
      <c r="AI188" s="3410"/>
      <c r="AJ188" s="3410"/>
      <c r="AK188" s="3410"/>
      <c r="AL188" s="3409"/>
      <c r="AM188" s="3409"/>
      <c r="AN188" s="3409"/>
      <c r="AO188" s="3409"/>
      <c r="AP188" s="3409"/>
      <c r="AQ188" s="3409"/>
      <c r="AR188" s="3409"/>
      <c r="AS188" s="3409"/>
      <c r="AT188" s="3409"/>
      <c r="AU188" s="3409"/>
      <c r="AV188" s="3409"/>
      <c r="AW188" s="3409"/>
      <c r="AX188" s="3409"/>
      <c r="AY188" s="3396"/>
      <c r="AZ188" s="3396"/>
      <c r="BA188" s="3396"/>
      <c r="BB188" s="3396"/>
      <c r="BC188" s="3396"/>
      <c r="BD188" s="3396"/>
      <c r="BE188" s="3396"/>
      <c r="BF188" s="3396"/>
      <c r="BG188" s="3396"/>
      <c r="BH188" s="3396"/>
      <c r="BI188" s="3396"/>
      <c r="BJ188" s="3396"/>
      <c r="BK188" s="3396"/>
      <c r="BL188" s="3396"/>
      <c r="BM188" s="3396"/>
      <c r="BN188" s="3396"/>
      <c r="BO188" s="3396"/>
      <c r="BP188" s="3396"/>
      <c r="BQ188" s="3396"/>
      <c r="BR188" s="3396"/>
      <c r="BS188" s="3396"/>
      <c r="BT188" s="3396"/>
      <c r="BU188" s="3396"/>
      <c r="BV188" s="3396"/>
      <c r="BW188" s="3396"/>
      <c r="BX188" s="3396"/>
      <c r="BY188" s="3396"/>
      <c r="BZ188" s="3396"/>
      <c r="CA188" s="3396"/>
      <c r="CB188" s="3396"/>
      <c r="CC188" s="3396"/>
      <c r="CD188" s="3396"/>
      <c r="CE188" s="3396"/>
      <c r="CF188" s="3396"/>
      <c r="CG188" s="3396"/>
      <c r="CH188" s="3396"/>
      <c r="CI188" s="3396"/>
      <c r="CJ188" s="3396"/>
      <c r="CK188" s="3396"/>
      <c r="CL188" s="3396"/>
      <c r="CM188" s="3396"/>
      <c r="CN188" s="3396"/>
      <c r="CO188" s="3396"/>
      <c r="CP188" s="3396"/>
      <c r="CQ188" s="3396"/>
      <c r="CR188" s="3396"/>
      <c r="CS188" s="3396"/>
      <c r="CT188" s="3396"/>
      <c r="CU188" s="3396"/>
      <c r="CV188" s="3396"/>
      <c r="CW188" s="3396"/>
      <c r="CX188" s="3396"/>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row>
    <row r="189" ht="18.75" hidden="1" customHeight="1" spans="1:131">
      <c r="A189" s="3407" t="s">
        <v>5718</v>
      </c>
      <c r="B189" s="3409"/>
      <c r="C189" s="3409"/>
      <c r="D189" s="3409"/>
      <c r="E189" s="3409"/>
      <c r="F189" s="3409"/>
      <c r="G189" s="3409"/>
      <c r="H189" s="3409"/>
      <c r="I189" s="3409"/>
      <c r="J189" s="3409"/>
      <c r="K189" s="3409"/>
      <c r="L189" s="3409"/>
      <c r="M189" s="3409"/>
      <c r="N189" s="3408"/>
      <c r="O189" s="3408"/>
      <c r="P189" s="3408"/>
      <c r="Q189" s="3408"/>
      <c r="R189" s="3408"/>
      <c r="S189" s="3408"/>
      <c r="T189" s="3408"/>
      <c r="U189" s="3408"/>
      <c r="V189" s="3408"/>
      <c r="W189" s="3410"/>
      <c r="X189" s="3410"/>
      <c r="Y189" s="3410"/>
      <c r="Z189" s="3410"/>
      <c r="AA189" s="3410"/>
      <c r="AB189" s="3410"/>
      <c r="AC189" s="3410"/>
      <c r="AD189" s="3410"/>
      <c r="AE189" s="3410"/>
      <c r="AF189" s="3410"/>
      <c r="AG189" s="3410"/>
      <c r="AH189" s="3410"/>
      <c r="AI189" s="3410"/>
      <c r="AJ189" s="3410"/>
      <c r="AK189" s="3410"/>
      <c r="AL189" s="3409"/>
      <c r="AM189" s="3409"/>
      <c r="AN189" s="3409"/>
      <c r="AO189" s="3409"/>
      <c r="AP189" s="3409"/>
      <c r="AQ189" s="3409"/>
      <c r="AR189" s="3409"/>
      <c r="AS189" s="3409"/>
      <c r="AT189" s="3409"/>
      <c r="AU189" s="3409"/>
      <c r="AV189" s="3409"/>
      <c r="AW189" s="3409"/>
      <c r="AX189" s="3409"/>
      <c r="AY189" s="3396"/>
      <c r="AZ189" s="3396"/>
      <c r="BA189" s="3396"/>
      <c r="BB189" s="3396"/>
      <c r="BC189" s="3396"/>
      <c r="BD189" s="3396"/>
      <c r="BE189" s="3396"/>
      <c r="BF189" s="3396"/>
      <c r="BG189" s="3396"/>
      <c r="BH189" s="3396"/>
      <c r="BI189" s="3396"/>
      <c r="BJ189" s="3396"/>
      <c r="BK189" s="3396"/>
      <c r="BL189" s="3396"/>
      <c r="BM189" s="3396"/>
      <c r="BN189" s="3396"/>
      <c r="BO189" s="3396"/>
      <c r="BP189" s="3396"/>
      <c r="BQ189" s="3396"/>
      <c r="BR189" s="3396"/>
      <c r="BS189" s="3396"/>
      <c r="BT189" s="3396"/>
      <c r="BU189" s="3396"/>
      <c r="BV189" s="3396"/>
      <c r="BW189" s="3396"/>
      <c r="BX189" s="3396"/>
      <c r="BY189" s="3396"/>
      <c r="BZ189" s="3396"/>
      <c r="CA189" s="3396"/>
      <c r="CB189" s="3396"/>
      <c r="CC189" s="3396"/>
      <c r="CD189" s="3396"/>
      <c r="CE189" s="3396"/>
      <c r="CF189" s="3396"/>
      <c r="CG189" s="3396"/>
      <c r="CH189" s="3396"/>
      <c r="CI189" s="3396"/>
      <c r="CJ189" s="3396"/>
      <c r="CK189" s="3396"/>
      <c r="CL189" s="3396"/>
      <c r="CM189" s="3396"/>
      <c r="CN189" s="3396"/>
      <c r="CO189" s="3396"/>
      <c r="CP189" s="3396"/>
      <c r="CQ189" s="3396"/>
      <c r="CR189" s="3396"/>
      <c r="CS189" s="3396"/>
      <c r="CT189" s="3396"/>
      <c r="CU189" s="3396"/>
      <c r="CV189" s="3396"/>
      <c r="CW189" s="3396"/>
      <c r="CX189" s="3396"/>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row>
    <row r="190" ht="18.75" hidden="1" customHeight="1" spans="1:131">
      <c r="A190" s="3407" t="s">
        <v>5835</v>
      </c>
      <c r="B190" s="3409"/>
      <c r="C190" s="3409"/>
      <c r="D190" s="3409"/>
      <c r="E190" s="3409"/>
      <c r="F190" s="3409"/>
      <c r="G190" s="3409"/>
      <c r="H190" s="3409"/>
      <c r="I190" s="3409"/>
      <c r="J190" s="3409"/>
      <c r="K190" s="3409"/>
      <c r="L190" s="3409"/>
      <c r="M190" s="3409"/>
      <c r="N190" s="3408"/>
      <c r="O190" s="3408"/>
      <c r="P190" s="3408"/>
      <c r="Q190" s="3408"/>
      <c r="R190" s="3408"/>
      <c r="S190" s="3408"/>
      <c r="T190" s="3408"/>
      <c r="U190" s="3408"/>
      <c r="V190" s="3408"/>
      <c r="W190" s="3410"/>
      <c r="X190" s="3410"/>
      <c r="Y190" s="3410"/>
      <c r="Z190" s="3410"/>
      <c r="AA190" s="3410"/>
      <c r="AB190" s="3410"/>
      <c r="AC190" s="3410"/>
      <c r="AD190" s="3410"/>
      <c r="AE190" s="3410"/>
      <c r="AF190" s="3410"/>
      <c r="AG190" s="3410"/>
      <c r="AH190" s="3410"/>
      <c r="AI190" s="3410"/>
      <c r="AJ190" s="3410"/>
      <c r="AK190" s="3410"/>
      <c r="AL190" s="3409"/>
      <c r="AM190" s="3409"/>
      <c r="AN190" s="3409"/>
      <c r="AO190" s="3409"/>
      <c r="AP190" s="3409"/>
      <c r="AQ190" s="3409"/>
      <c r="AR190" s="3409"/>
      <c r="AS190" s="3409"/>
      <c r="AT190" s="3409"/>
      <c r="AU190" s="3409"/>
      <c r="AV190" s="3409"/>
      <c r="AW190" s="3409"/>
      <c r="AX190" s="3409"/>
      <c r="AY190" s="3396"/>
      <c r="AZ190" s="3396"/>
      <c r="BA190" s="3396"/>
      <c r="BB190" s="3396"/>
      <c r="BC190" s="3396"/>
      <c r="BD190" s="3396"/>
      <c r="BE190" s="3396"/>
      <c r="BF190" s="3396"/>
      <c r="BG190" s="3396"/>
      <c r="BH190" s="3396"/>
      <c r="BI190" s="3396"/>
      <c r="BJ190" s="3396"/>
      <c r="BK190" s="3396"/>
      <c r="BL190" s="3396"/>
      <c r="BM190" s="3396"/>
      <c r="BN190" s="3396"/>
      <c r="BO190" s="3396"/>
      <c r="BP190" s="3396"/>
      <c r="BQ190" s="3396"/>
      <c r="BR190" s="3396"/>
      <c r="BS190" s="3396"/>
      <c r="BT190" s="3396"/>
      <c r="BU190" s="3396"/>
      <c r="BV190" s="3396"/>
      <c r="BW190" s="3396"/>
      <c r="BX190" s="3396"/>
      <c r="BY190" s="3396"/>
      <c r="BZ190" s="3396"/>
      <c r="CA190" s="3396"/>
      <c r="CB190" s="3396"/>
      <c r="CC190" s="3396"/>
      <c r="CD190" s="3396"/>
      <c r="CE190" s="3396"/>
      <c r="CF190" s="3396"/>
      <c r="CG190" s="3396"/>
      <c r="CH190" s="3396"/>
      <c r="CI190" s="3396"/>
      <c r="CJ190" s="3396"/>
      <c r="CK190" s="3396"/>
      <c r="CL190" s="3396"/>
      <c r="CM190" s="3396"/>
      <c r="CN190" s="3396"/>
      <c r="CO190" s="3396"/>
      <c r="CP190" s="3396"/>
      <c r="CQ190" s="3396"/>
      <c r="CR190" s="3396"/>
      <c r="CS190" s="3396"/>
      <c r="CT190" s="3396"/>
      <c r="CU190" s="3396"/>
      <c r="CV190" s="3396"/>
      <c r="CW190" s="3396"/>
      <c r="CX190" s="3396"/>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row>
    <row r="191" ht="18.75" hidden="1" customHeight="1" spans="1:131">
      <c r="A191" s="3407" t="s">
        <v>5837</v>
      </c>
      <c r="B191" s="3409"/>
      <c r="C191" s="3409"/>
      <c r="D191" s="3409"/>
      <c r="E191" s="3409"/>
      <c r="F191" s="3409"/>
      <c r="G191" s="3409"/>
      <c r="H191" s="3409"/>
      <c r="I191" s="3409"/>
      <c r="J191" s="3409"/>
      <c r="K191" s="3409"/>
      <c r="L191" s="3409"/>
      <c r="M191" s="3409"/>
      <c r="N191" s="3408"/>
      <c r="O191" s="3408"/>
      <c r="P191" s="3408"/>
      <c r="Q191" s="3408"/>
      <c r="R191" s="3408"/>
      <c r="S191" s="3408"/>
      <c r="T191" s="3408"/>
      <c r="U191" s="3408"/>
      <c r="V191" s="3408"/>
      <c r="W191" s="3410"/>
      <c r="X191" s="3410"/>
      <c r="Y191" s="3410"/>
      <c r="Z191" s="3410"/>
      <c r="AA191" s="3410"/>
      <c r="AB191" s="3410"/>
      <c r="AC191" s="3410"/>
      <c r="AD191" s="3410"/>
      <c r="AE191" s="3410"/>
      <c r="AF191" s="3410"/>
      <c r="AG191" s="3410"/>
      <c r="AH191" s="3410"/>
      <c r="AI191" s="3410"/>
      <c r="AJ191" s="3410"/>
      <c r="AK191" s="3410"/>
      <c r="AL191" s="3409"/>
      <c r="AM191" s="3409"/>
      <c r="AN191" s="3409"/>
      <c r="AO191" s="3409"/>
      <c r="AP191" s="3409"/>
      <c r="AQ191" s="3409"/>
      <c r="AR191" s="3409"/>
      <c r="AS191" s="3409"/>
      <c r="AT191" s="3409"/>
      <c r="AU191" s="3409"/>
      <c r="AV191" s="3409"/>
      <c r="AW191" s="3409"/>
      <c r="AX191" s="3409"/>
      <c r="AY191" s="3396"/>
      <c r="AZ191" s="3396"/>
      <c r="BA191" s="3396"/>
      <c r="BB191" s="3396"/>
      <c r="BC191" s="3396"/>
      <c r="BD191" s="3396"/>
      <c r="BE191" s="3396"/>
      <c r="BF191" s="3396"/>
      <c r="BG191" s="3396"/>
      <c r="BH191" s="3396"/>
      <c r="BI191" s="3396"/>
      <c r="BJ191" s="3396"/>
      <c r="BK191" s="3396"/>
      <c r="BL191" s="3396"/>
      <c r="BM191" s="3396"/>
      <c r="BN191" s="3396"/>
      <c r="BO191" s="3396"/>
      <c r="BP191" s="3396"/>
      <c r="BQ191" s="3396"/>
      <c r="BR191" s="3396"/>
      <c r="BS191" s="3396"/>
      <c r="BT191" s="3396"/>
      <c r="BU191" s="3396"/>
      <c r="BV191" s="3396"/>
      <c r="BW191" s="3396"/>
      <c r="BX191" s="3396"/>
      <c r="BY191" s="3396"/>
      <c r="BZ191" s="3396"/>
      <c r="CA191" s="3396"/>
      <c r="CB191" s="3396"/>
      <c r="CC191" s="3396"/>
      <c r="CD191" s="3396"/>
      <c r="CE191" s="3396"/>
      <c r="CF191" s="3396"/>
      <c r="CG191" s="3396"/>
      <c r="CH191" s="3396"/>
      <c r="CI191" s="3396"/>
      <c r="CJ191" s="3396"/>
      <c r="CK191" s="3396"/>
      <c r="CL191" s="3396"/>
      <c r="CM191" s="3396"/>
      <c r="CN191" s="3396"/>
      <c r="CO191" s="3396"/>
      <c r="CP191" s="3396"/>
      <c r="CQ191" s="3396"/>
      <c r="CR191" s="3396"/>
      <c r="CS191" s="3396"/>
      <c r="CT191" s="3396"/>
      <c r="CU191" s="3396"/>
      <c r="CV191" s="3396"/>
      <c r="CW191" s="3396"/>
      <c r="CX191" s="3396"/>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row>
    <row r="192" ht="18.75" hidden="1" customHeight="1" spans="1:131">
      <c r="A192" s="3407" t="s">
        <v>5839</v>
      </c>
      <c r="B192" s="3409"/>
      <c r="C192" s="3409"/>
      <c r="D192" s="3409"/>
      <c r="E192" s="3409"/>
      <c r="F192" s="3409"/>
      <c r="G192" s="3409"/>
      <c r="H192" s="3409"/>
      <c r="I192" s="3409"/>
      <c r="J192" s="3409"/>
      <c r="K192" s="3409"/>
      <c r="L192" s="3409"/>
      <c r="M192" s="3409"/>
      <c r="N192" s="3408"/>
      <c r="O192" s="3408"/>
      <c r="P192" s="3408"/>
      <c r="Q192" s="3408"/>
      <c r="R192" s="3408"/>
      <c r="S192" s="3408"/>
      <c r="T192" s="3408"/>
      <c r="U192" s="3408"/>
      <c r="V192" s="3408"/>
      <c r="W192" s="3410"/>
      <c r="X192" s="3410"/>
      <c r="Y192" s="3410"/>
      <c r="Z192" s="3410"/>
      <c r="AA192" s="3410"/>
      <c r="AB192" s="3410"/>
      <c r="AC192" s="3410"/>
      <c r="AD192" s="3410"/>
      <c r="AE192" s="3410"/>
      <c r="AF192" s="3410"/>
      <c r="AG192" s="3410"/>
      <c r="AH192" s="3410"/>
      <c r="AI192" s="3410"/>
      <c r="AJ192" s="3410"/>
      <c r="AK192" s="3410"/>
      <c r="AL192" s="3409"/>
      <c r="AM192" s="3409"/>
      <c r="AN192" s="3409"/>
      <c r="AO192" s="3409"/>
      <c r="AP192" s="3409"/>
      <c r="AQ192" s="3409"/>
      <c r="AR192" s="3409"/>
      <c r="AS192" s="3409"/>
      <c r="AT192" s="3409"/>
      <c r="AU192" s="3409"/>
      <c r="AV192" s="3409"/>
      <c r="AW192" s="3409"/>
      <c r="AX192" s="3409"/>
      <c r="AY192" s="3396"/>
      <c r="AZ192" s="3396"/>
      <c r="BA192" s="3396"/>
      <c r="BB192" s="3396"/>
      <c r="BC192" s="3396"/>
      <c r="BD192" s="3396"/>
      <c r="BE192" s="3396"/>
      <c r="BF192" s="3396"/>
      <c r="BG192" s="3396"/>
      <c r="BH192" s="3396"/>
      <c r="BI192" s="3396"/>
      <c r="BJ192" s="3396"/>
      <c r="BK192" s="3396"/>
      <c r="BL192" s="3396"/>
      <c r="BM192" s="3396"/>
      <c r="BN192" s="3396"/>
      <c r="BO192" s="3396"/>
      <c r="BP192" s="3396"/>
      <c r="BQ192" s="3396"/>
      <c r="BR192" s="3396"/>
      <c r="BS192" s="3396"/>
      <c r="BT192" s="3396"/>
      <c r="BU192" s="3396"/>
      <c r="BV192" s="3396"/>
      <c r="BW192" s="3396"/>
      <c r="BX192" s="3396"/>
      <c r="BY192" s="3396"/>
      <c r="BZ192" s="3396"/>
      <c r="CA192" s="3396"/>
      <c r="CB192" s="3396"/>
      <c r="CC192" s="3396"/>
      <c r="CD192" s="3396"/>
      <c r="CE192" s="3396"/>
      <c r="CF192" s="3396"/>
      <c r="CG192" s="3396"/>
      <c r="CH192" s="3396"/>
      <c r="CI192" s="3396"/>
      <c r="CJ192" s="3396"/>
      <c r="CK192" s="3396"/>
      <c r="CL192" s="3396"/>
      <c r="CM192" s="3396"/>
      <c r="CN192" s="3396"/>
      <c r="CO192" s="3396"/>
      <c r="CP192" s="3396"/>
      <c r="CQ192" s="3396"/>
      <c r="CR192" s="3396"/>
      <c r="CS192" s="3396"/>
      <c r="CT192" s="3396"/>
      <c r="CU192" s="3396"/>
      <c r="CV192" s="3396"/>
      <c r="CW192" s="3396"/>
      <c r="CX192" s="3396"/>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row>
    <row r="193" ht="18.75" hidden="1" customHeight="1" spans="1:131">
      <c r="A193" s="3407" t="s">
        <v>5841</v>
      </c>
      <c r="B193" s="3409"/>
      <c r="C193" s="3409"/>
      <c r="D193" s="3409"/>
      <c r="E193" s="3409"/>
      <c r="F193" s="3409"/>
      <c r="G193" s="3409"/>
      <c r="H193" s="3409"/>
      <c r="I193" s="3409"/>
      <c r="J193" s="3409"/>
      <c r="K193" s="3409"/>
      <c r="L193" s="3409"/>
      <c r="M193" s="3409"/>
      <c r="N193" s="3408"/>
      <c r="O193" s="3408"/>
      <c r="P193" s="3408"/>
      <c r="Q193" s="3408"/>
      <c r="R193" s="3408"/>
      <c r="S193" s="3408"/>
      <c r="T193" s="3408"/>
      <c r="U193" s="3408"/>
      <c r="V193" s="3408"/>
      <c r="W193" s="3410"/>
      <c r="X193" s="3410"/>
      <c r="Y193" s="3410"/>
      <c r="Z193" s="3410"/>
      <c r="AA193" s="3410"/>
      <c r="AB193" s="3410"/>
      <c r="AC193" s="3410"/>
      <c r="AD193" s="3410"/>
      <c r="AE193" s="3410"/>
      <c r="AF193" s="3410"/>
      <c r="AG193" s="3410"/>
      <c r="AH193" s="3410"/>
      <c r="AI193" s="3410"/>
      <c r="AJ193" s="3410"/>
      <c r="AK193" s="3410"/>
      <c r="AL193" s="3409"/>
      <c r="AM193" s="3409"/>
      <c r="AN193" s="3409"/>
      <c r="AO193" s="3409"/>
      <c r="AP193" s="3409"/>
      <c r="AQ193" s="3409"/>
      <c r="AR193" s="3409"/>
      <c r="AS193" s="3409"/>
      <c r="AT193" s="3409"/>
      <c r="AU193" s="3409"/>
      <c r="AV193" s="3409"/>
      <c r="AW193" s="3409"/>
      <c r="AX193" s="3409"/>
      <c r="AY193" s="3396"/>
      <c r="AZ193" s="3396"/>
      <c r="BA193" s="3396"/>
      <c r="BB193" s="3396"/>
      <c r="BC193" s="3396"/>
      <c r="BD193" s="3396"/>
      <c r="BE193" s="3396"/>
      <c r="BF193" s="3396"/>
      <c r="BG193" s="3396"/>
      <c r="BH193" s="3396"/>
      <c r="BI193" s="3396"/>
      <c r="BJ193" s="3396"/>
      <c r="BK193" s="3396"/>
      <c r="BL193" s="3396"/>
      <c r="BM193" s="3396"/>
      <c r="BN193" s="3396"/>
      <c r="BO193" s="3396"/>
      <c r="BP193" s="3396"/>
      <c r="BQ193" s="3396"/>
      <c r="BR193" s="3396"/>
      <c r="BS193" s="3396"/>
      <c r="BT193" s="3396"/>
      <c r="BU193" s="3396"/>
      <c r="BV193" s="3396"/>
      <c r="BW193" s="3396"/>
      <c r="BX193" s="3396"/>
      <c r="BY193" s="3396"/>
      <c r="BZ193" s="3396"/>
      <c r="CA193" s="3396"/>
      <c r="CB193" s="3396"/>
      <c r="CC193" s="3396"/>
      <c r="CD193" s="3396"/>
      <c r="CE193" s="3396"/>
      <c r="CF193" s="3396"/>
      <c r="CG193" s="3396"/>
      <c r="CH193" s="3396"/>
      <c r="CI193" s="3396"/>
      <c r="CJ193" s="3396"/>
      <c r="CK193" s="3396"/>
      <c r="CL193" s="3396"/>
      <c r="CM193" s="3396"/>
      <c r="CN193" s="3396"/>
      <c r="CO193" s="3396"/>
      <c r="CP193" s="3396"/>
      <c r="CQ193" s="3396"/>
      <c r="CR193" s="3396"/>
      <c r="CS193" s="3396"/>
      <c r="CT193" s="3396"/>
      <c r="CU193" s="3396"/>
      <c r="CV193" s="3396"/>
      <c r="CW193" s="3396"/>
      <c r="CX193" s="3396"/>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row>
    <row r="194" ht="18.75" hidden="1" customHeight="1" spans="1:131">
      <c r="A194" s="3407" t="s">
        <v>5843</v>
      </c>
      <c r="B194" s="3409"/>
      <c r="C194" s="3409"/>
      <c r="D194" s="3409"/>
      <c r="E194" s="3409"/>
      <c r="F194" s="3409"/>
      <c r="G194" s="3409"/>
      <c r="H194" s="3409"/>
      <c r="I194" s="3409"/>
      <c r="J194" s="3409"/>
      <c r="K194" s="3409"/>
      <c r="L194" s="3409"/>
      <c r="M194" s="3409"/>
      <c r="N194" s="3408"/>
      <c r="O194" s="3408"/>
      <c r="P194" s="3408"/>
      <c r="Q194" s="3408"/>
      <c r="R194" s="3408"/>
      <c r="S194" s="3408"/>
      <c r="T194" s="3408"/>
      <c r="U194" s="3408"/>
      <c r="V194" s="3408"/>
      <c r="W194" s="3410"/>
      <c r="X194" s="3410"/>
      <c r="Y194" s="3410"/>
      <c r="Z194" s="3410"/>
      <c r="AA194" s="3410"/>
      <c r="AB194" s="3410"/>
      <c r="AC194" s="3410"/>
      <c r="AD194" s="3410"/>
      <c r="AE194" s="3410"/>
      <c r="AF194" s="3410"/>
      <c r="AG194" s="3410"/>
      <c r="AH194" s="3410"/>
      <c r="AI194" s="3410"/>
      <c r="AJ194" s="3410"/>
      <c r="AK194" s="3410"/>
      <c r="AL194" s="3409"/>
      <c r="AM194" s="3409"/>
      <c r="AN194" s="3409"/>
      <c r="AO194" s="3409"/>
      <c r="AP194" s="3409"/>
      <c r="AQ194" s="3409"/>
      <c r="AR194" s="3409"/>
      <c r="AS194" s="3409"/>
      <c r="AT194" s="3409"/>
      <c r="AU194" s="3409"/>
      <c r="AV194" s="3409"/>
      <c r="AW194" s="3409"/>
      <c r="AX194" s="3409"/>
      <c r="AY194" s="3396"/>
      <c r="AZ194" s="3396"/>
      <c r="BA194" s="3396"/>
      <c r="BB194" s="3396"/>
      <c r="BC194" s="3396"/>
      <c r="BD194" s="3396"/>
      <c r="BE194" s="3396"/>
      <c r="BF194" s="3396"/>
      <c r="BG194" s="3396"/>
      <c r="BH194" s="3396"/>
      <c r="BI194" s="3396"/>
      <c r="BJ194" s="3396"/>
      <c r="BK194" s="3396"/>
      <c r="BL194" s="3396"/>
      <c r="BM194" s="3396"/>
      <c r="BN194" s="3396"/>
      <c r="BO194" s="3396"/>
      <c r="BP194" s="3396"/>
      <c r="BQ194" s="3396"/>
      <c r="BR194" s="3396"/>
      <c r="BS194" s="3396"/>
      <c r="BT194" s="3396"/>
      <c r="BU194" s="3396"/>
      <c r="BV194" s="3396"/>
      <c r="BW194" s="3396"/>
      <c r="BX194" s="3396"/>
      <c r="BY194" s="3396"/>
      <c r="BZ194" s="3396"/>
      <c r="CA194" s="3396"/>
      <c r="CB194" s="3396"/>
      <c r="CC194" s="3396"/>
      <c r="CD194" s="3396"/>
      <c r="CE194" s="3396"/>
      <c r="CF194" s="3396"/>
      <c r="CG194" s="3396"/>
      <c r="CH194" s="3396"/>
      <c r="CI194" s="3396"/>
      <c r="CJ194" s="3396"/>
      <c r="CK194" s="3396"/>
      <c r="CL194" s="3396"/>
      <c r="CM194" s="3396"/>
      <c r="CN194" s="3396"/>
      <c r="CO194" s="3396"/>
      <c r="CP194" s="3396"/>
      <c r="CQ194" s="3396"/>
      <c r="CR194" s="3396"/>
      <c r="CS194" s="3396"/>
      <c r="CT194" s="3396"/>
      <c r="CU194" s="3396"/>
      <c r="CV194" s="3396"/>
      <c r="CW194" s="3396"/>
      <c r="CX194" s="3396"/>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row>
    <row r="195" ht="18.75" hidden="1" customHeight="1" spans="1:131">
      <c r="A195" s="3407" t="s">
        <v>5845</v>
      </c>
      <c r="B195" s="3409"/>
      <c r="C195" s="3409"/>
      <c r="D195" s="3409"/>
      <c r="E195" s="3409"/>
      <c r="F195" s="3409"/>
      <c r="G195" s="3409"/>
      <c r="H195" s="3409"/>
      <c r="I195" s="3409"/>
      <c r="J195" s="3409"/>
      <c r="K195" s="3409"/>
      <c r="L195" s="3409"/>
      <c r="M195" s="3409"/>
      <c r="N195" s="3408"/>
      <c r="O195" s="3408"/>
      <c r="P195" s="3408"/>
      <c r="Q195" s="3408"/>
      <c r="R195" s="3408"/>
      <c r="S195" s="3408"/>
      <c r="T195" s="3408"/>
      <c r="U195" s="3408"/>
      <c r="V195" s="3408"/>
      <c r="W195" s="3410"/>
      <c r="X195" s="3410"/>
      <c r="Y195" s="3410"/>
      <c r="Z195" s="3410"/>
      <c r="AA195" s="3410"/>
      <c r="AB195" s="3410"/>
      <c r="AC195" s="3410"/>
      <c r="AD195" s="3410"/>
      <c r="AE195" s="3410"/>
      <c r="AF195" s="3410"/>
      <c r="AG195" s="3410"/>
      <c r="AH195" s="3410"/>
      <c r="AI195" s="3410"/>
      <c r="AJ195" s="3410"/>
      <c r="AK195" s="3410"/>
      <c r="AL195" s="3409"/>
      <c r="AM195" s="3409"/>
      <c r="AN195" s="3409"/>
      <c r="AO195" s="3409"/>
      <c r="AP195" s="3409"/>
      <c r="AQ195" s="3409"/>
      <c r="AR195" s="3409"/>
      <c r="AS195" s="3409"/>
      <c r="AT195" s="3409"/>
      <c r="AU195" s="3409"/>
      <c r="AV195" s="3409"/>
      <c r="AW195" s="3409"/>
      <c r="AX195" s="3409"/>
      <c r="AY195" s="3396"/>
      <c r="AZ195" s="3396"/>
      <c r="BA195" s="3396"/>
      <c r="BB195" s="3396"/>
      <c r="BC195" s="3396"/>
      <c r="BD195" s="3396"/>
      <c r="BE195" s="3396"/>
      <c r="BF195" s="3396"/>
      <c r="BG195" s="3396"/>
      <c r="BH195" s="3396"/>
      <c r="BI195" s="3396"/>
      <c r="BJ195" s="3396"/>
      <c r="BK195" s="3396"/>
      <c r="BL195" s="3396"/>
      <c r="BM195" s="3396"/>
      <c r="BN195" s="3396"/>
      <c r="BO195" s="3396"/>
      <c r="BP195" s="3396"/>
      <c r="BQ195" s="3396"/>
      <c r="BR195" s="3396"/>
      <c r="BS195" s="3396"/>
      <c r="BT195" s="3396"/>
      <c r="BU195" s="3396"/>
      <c r="BV195" s="3396"/>
      <c r="BW195" s="3396"/>
      <c r="BX195" s="3396"/>
      <c r="BY195" s="3396"/>
      <c r="BZ195" s="3396"/>
      <c r="CA195" s="3396"/>
      <c r="CB195" s="3396"/>
      <c r="CC195" s="3396"/>
      <c r="CD195" s="3396"/>
      <c r="CE195" s="3396"/>
      <c r="CF195" s="3396"/>
      <c r="CG195" s="3396"/>
      <c r="CH195" s="3396"/>
      <c r="CI195" s="3396"/>
      <c r="CJ195" s="3396"/>
      <c r="CK195" s="3396"/>
      <c r="CL195" s="3396"/>
      <c r="CM195" s="3396"/>
      <c r="CN195" s="3396"/>
      <c r="CO195" s="3396"/>
      <c r="CP195" s="3396"/>
      <c r="CQ195" s="3396"/>
      <c r="CR195" s="3396"/>
      <c r="CS195" s="3396"/>
      <c r="CT195" s="3396"/>
      <c r="CU195" s="3396"/>
      <c r="CV195" s="3396"/>
      <c r="CW195" s="3396"/>
      <c r="CX195" s="3396"/>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row>
    <row r="196" ht="18.75" hidden="1" customHeight="1" spans="1:131">
      <c r="A196" s="3407" t="s">
        <v>5847</v>
      </c>
      <c r="B196" s="3409"/>
      <c r="C196" s="3409"/>
      <c r="D196" s="3409"/>
      <c r="E196" s="3409"/>
      <c r="F196" s="3409"/>
      <c r="G196" s="3409"/>
      <c r="H196" s="3409"/>
      <c r="I196" s="3409"/>
      <c r="J196" s="3409"/>
      <c r="K196" s="3409"/>
      <c r="L196" s="3409"/>
      <c r="M196" s="3409"/>
      <c r="N196" s="3408"/>
      <c r="O196" s="3408"/>
      <c r="P196" s="3408"/>
      <c r="Q196" s="3408"/>
      <c r="R196" s="3408"/>
      <c r="S196" s="3408"/>
      <c r="T196" s="3408"/>
      <c r="U196" s="3408"/>
      <c r="V196" s="3408"/>
      <c r="W196" s="3410"/>
      <c r="X196" s="3410"/>
      <c r="Y196" s="3410"/>
      <c r="Z196" s="3410"/>
      <c r="AA196" s="3410"/>
      <c r="AB196" s="3410"/>
      <c r="AC196" s="3410"/>
      <c r="AD196" s="3410"/>
      <c r="AE196" s="3410"/>
      <c r="AF196" s="3410"/>
      <c r="AG196" s="3410"/>
      <c r="AH196" s="3410"/>
      <c r="AI196" s="3410"/>
      <c r="AJ196" s="3410"/>
      <c r="AK196" s="3410"/>
      <c r="AL196" s="3409"/>
      <c r="AM196" s="3409"/>
      <c r="AN196" s="3409"/>
      <c r="AO196" s="3409"/>
      <c r="AP196" s="3409"/>
      <c r="AQ196" s="3409"/>
      <c r="AR196" s="3409"/>
      <c r="AS196" s="3409"/>
      <c r="AT196" s="3409"/>
      <c r="AU196" s="3409"/>
      <c r="AV196" s="3409"/>
      <c r="AW196" s="3409"/>
      <c r="AX196" s="3409"/>
      <c r="AY196" s="3396"/>
      <c r="AZ196" s="3396"/>
      <c r="BA196" s="3396"/>
      <c r="BB196" s="3396"/>
      <c r="BC196" s="3396"/>
      <c r="BD196" s="3396"/>
      <c r="BE196" s="3396"/>
      <c r="BF196" s="3396"/>
      <c r="BG196" s="3396"/>
      <c r="BH196" s="3396"/>
      <c r="BI196" s="3396"/>
      <c r="BJ196" s="3396"/>
      <c r="BK196" s="3396"/>
      <c r="BL196" s="3396"/>
      <c r="BM196" s="3396"/>
      <c r="BN196" s="3396"/>
      <c r="BO196" s="3396"/>
      <c r="BP196" s="3396"/>
      <c r="BQ196" s="3396"/>
      <c r="BR196" s="3396"/>
      <c r="BS196" s="3396"/>
      <c r="BT196" s="3396"/>
      <c r="BU196" s="3396"/>
      <c r="BV196" s="3396"/>
      <c r="BW196" s="3396"/>
      <c r="BX196" s="3396"/>
      <c r="BY196" s="3396"/>
      <c r="BZ196" s="3396"/>
      <c r="CA196" s="3396"/>
      <c r="CB196" s="3396"/>
      <c r="CC196" s="3396"/>
      <c r="CD196" s="3396"/>
      <c r="CE196" s="3396"/>
      <c r="CF196" s="3396"/>
      <c r="CG196" s="3396"/>
      <c r="CH196" s="3396"/>
      <c r="CI196" s="3396"/>
      <c r="CJ196" s="3396"/>
      <c r="CK196" s="3396"/>
      <c r="CL196" s="3396"/>
      <c r="CM196" s="3396"/>
      <c r="CN196" s="3396"/>
      <c r="CO196" s="3396"/>
      <c r="CP196" s="3396"/>
      <c r="CQ196" s="3396"/>
      <c r="CR196" s="3396"/>
      <c r="CS196" s="3396"/>
      <c r="CT196" s="3396"/>
      <c r="CU196" s="3396"/>
      <c r="CV196" s="3396"/>
      <c r="CW196" s="3396"/>
      <c r="CX196" s="3396"/>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row>
    <row r="197" ht="18.75" hidden="1" customHeight="1" spans="1:131">
      <c r="A197" s="3407" t="s">
        <v>5849</v>
      </c>
      <c r="B197" s="3409"/>
      <c r="C197" s="3409"/>
      <c r="D197" s="3409"/>
      <c r="E197" s="3409"/>
      <c r="F197" s="3409"/>
      <c r="G197" s="3409"/>
      <c r="H197" s="3409"/>
      <c r="I197" s="3409"/>
      <c r="J197" s="3409"/>
      <c r="K197" s="3409"/>
      <c r="L197" s="3409"/>
      <c r="M197" s="3409"/>
      <c r="N197" s="3408"/>
      <c r="O197" s="3408"/>
      <c r="P197" s="3408"/>
      <c r="Q197" s="3408"/>
      <c r="R197" s="3408"/>
      <c r="S197" s="3408"/>
      <c r="T197" s="3408"/>
      <c r="U197" s="3408"/>
      <c r="V197" s="3408"/>
      <c r="W197" s="3410"/>
      <c r="X197" s="3410"/>
      <c r="Y197" s="3410"/>
      <c r="Z197" s="3410"/>
      <c r="AA197" s="3410"/>
      <c r="AB197" s="3410"/>
      <c r="AC197" s="3410"/>
      <c r="AD197" s="3410"/>
      <c r="AE197" s="3410"/>
      <c r="AF197" s="3410"/>
      <c r="AG197" s="3410"/>
      <c r="AH197" s="3410"/>
      <c r="AI197" s="3410"/>
      <c r="AJ197" s="3410"/>
      <c r="AK197" s="3410"/>
      <c r="AL197" s="3409"/>
      <c r="AM197" s="3409"/>
      <c r="AN197" s="3409"/>
      <c r="AO197" s="3409"/>
      <c r="AP197" s="3409"/>
      <c r="AQ197" s="3409"/>
      <c r="AR197" s="3409"/>
      <c r="AS197" s="3409"/>
      <c r="AT197" s="3409"/>
      <c r="AU197" s="3409"/>
      <c r="AV197" s="3409"/>
      <c r="AW197" s="3409"/>
      <c r="AX197" s="3409"/>
      <c r="AY197" s="3396"/>
      <c r="AZ197" s="3396"/>
      <c r="BA197" s="3396"/>
      <c r="BB197" s="3396"/>
      <c r="BC197" s="3396"/>
      <c r="BD197" s="3396"/>
      <c r="BE197" s="3396"/>
      <c r="BF197" s="3396"/>
      <c r="BG197" s="3396"/>
      <c r="BH197" s="3396"/>
      <c r="BI197" s="3396"/>
      <c r="BJ197" s="3396"/>
      <c r="BK197" s="3396"/>
      <c r="BL197" s="3396"/>
      <c r="BM197" s="3396"/>
      <c r="BN197" s="3396"/>
      <c r="BO197" s="3396"/>
      <c r="BP197" s="3396"/>
      <c r="BQ197" s="3396"/>
      <c r="BR197" s="3396"/>
      <c r="BS197" s="3396"/>
      <c r="BT197" s="3396"/>
      <c r="BU197" s="3396"/>
      <c r="BV197" s="3396"/>
      <c r="BW197" s="3396"/>
      <c r="BX197" s="3396"/>
      <c r="BY197" s="3396"/>
      <c r="BZ197" s="3396"/>
      <c r="CA197" s="3396"/>
      <c r="CB197" s="3396"/>
      <c r="CC197" s="3396"/>
      <c r="CD197" s="3396"/>
      <c r="CE197" s="3396"/>
      <c r="CF197" s="3396"/>
      <c r="CG197" s="3396"/>
      <c r="CH197" s="3396"/>
      <c r="CI197" s="3396"/>
      <c r="CJ197" s="3396"/>
      <c r="CK197" s="3396"/>
      <c r="CL197" s="3396"/>
      <c r="CM197" s="3396"/>
      <c r="CN197" s="3396"/>
      <c r="CO197" s="3396"/>
      <c r="CP197" s="3396"/>
      <c r="CQ197" s="3396"/>
      <c r="CR197" s="3396"/>
      <c r="CS197" s="3396"/>
      <c r="CT197" s="3396"/>
      <c r="CU197" s="3396"/>
      <c r="CV197" s="3396"/>
      <c r="CW197" s="3396"/>
      <c r="CX197" s="3396"/>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row>
    <row r="198" ht="18.75" hidden="1" customHeight="1" spans="1:131">
      <c r="A198" s="3407" t="s">
        <v>5851</v>
      </c>
      <c r="B198" s="3409"/>
      <c r="C198" s="3409"/>
      <c r="D198" s="3409"/>
      <c r="E198" s="3409"/>
      <c r="F198" s="3409"/>
      <c r="G198" s="3409"/>
      <c r="H198" s="3409"/>
      <c r="I198" s="3409"/>
      <c r="J198" s="3409"/>
      <c r="K198" s="3409"/>
      <c r="L198" s="3409"/>
      <c r="M198" s="3409"/>
      <c r="N198" s="3408"/>
      <c r="O198" s="3408"/>
      <c r="P198" s="3408"/>
      <c r="Q198" s="3408"/>
      <c r="R198" s="3408"/>
      <c r="S198" s="3408"/>
      <c r="T198" s="3408"/>
      <c r="U198" s="3408"/>
      <c r="V198" s="3408"/>
      <c r="W198" s="3410"/>
      <c r="X198" s="3410"/>
      <c r="Y198" s="3410"/>
      <c r="Z198" s="3410"/>
      <c r="AA198" s="3410"/>
      <c r="AB198" s="3410"/>
      <c r="AC198" s="3410"/>
      <c r="AD198" s="3410"/>
      <c r="AE198" s="3410"/>
      <c r="AF198" s="3410"/>
      <c r="AG198" s="3410"/>
      <c r="AH198" s="3410"/>
      <c r="AI198" s="3410"/>
      <c r="AJ198" s="3410"/>
      <c r="AK198" s="3410"/>
      <c r="AL198" s="3409"/>
      <c r="AM198" s="3409"/>
      <c r="AN198" s="3409"/>
      <c r="AO198" s="3409"/>
      <c r="AP198" s="3409"/>
      <c r="AQ198" s="3409"/>
      <c r="AR198" s="3409"/>
      <c r="AS198" s="3409"/>
      <c r="AT198" s="3409"/>
      <c r="AU198" s="3409"/>
      <c r="AV198" s="3409"/>
      <c r="AW198" s="3409"/>
      <c r="AX198" s="3409"/>
      <c r="AY198" s="3396"/>
      <c r="AZ198" s="3396"/>
      <c r="BA198" s="3396"/>
      <c r="BB198" s="3396"/>
      <c r="BC198" s="3396"/>
      <c r="BD198" s="3396"/>
      <c r="BE198" s="3396"/>
      <c r="BF198" s="3396"/>
      <c r="BG198" s="3396"/>
      <c r="BH198" s="3396"/>
      <c r="BI198" s="3396"/>
      <c r="BJ198" s="3396"/>
      <c r="BK198" s="3396"/>
      <c r="BL198" s="3396"/>
      <c r="BM198" s="3396"/>
      <c r="BN198" s="3396"/>
      <c r="BO198" s="3396"/>
      <c r="BP198" s="3396"/>
      <c r="BQ198" s="3396"/>
      <c r="BR198" s="3396"/>
      <c r="BS198" s="3396"/>
      <c r="BT198" s="3396"/>
      <c r="BU198" s="3396"/>
      <c r="BV198" s="3396"/>
      <c r="BW198" s="3396"/>
      <c r="BX198" s="3396"/>
      <c r="BY198" s="3396"/>
      <c r="BZ198" s="3396"/>
      <c r="CA198" s="3396"/>
      <c r="CB198" s="3396"/>
      <c r="CC198" s="3396"/>
      <c r="CD198" s="3396"/>
      <c r="CE198" s="3396"/>
      <c r="CF198" s="3396"/>
      <c r="CG198" s="3396"/>
      <c r="CH198" s="3396"/>
      <c r="CI198" s="3396"/>
      <c r="CJ198" s="3396"/>
      <c r="CK198" s="3396"/>
      <c r="CL198" s="3396"/>
      <c r="CM198" s="3396"/>
      <c r="CN198" s="3396"/>
      <c r="CO198" s="3396"/>
      <c r="CP198" s="3396"/>
      <c r="CQ198" s="3396"/>
      <c r="CR198" s="3396"/>
      <c r="CS198" s="3396"/>
      <c r="CT198" s="3396"/>
      <c r="CU198" s="3396"/>
      <c r="CV198" s="3396"/>
      <c r="CW198" s="3396"/>
      <c r="CX198" s="3396"/>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row>
    <row r="199" ht="18.75" hidden="1" customHeight="1" spans="1:131">
      <c r="A199" s="3407" t="s">
        <v>5853</v>
      </c>
      <c r="B199" s="3409"/>
      <c r="C199" s="3409"/>
      <c r="D199" s="3409"/>
      <c r="E199" s="3409"/>
      <c r="F199" s="3409"/>
      <c r="G199" s="3409"/>
      <c r="H199" s="3409"/>
      <c r="I199" s="3409"/>
      <c r="J199" s="3409"/>
      <c r="K199" s="3409"/>
      <c r="L199" s="3409"/>
      <c r="M199" s="3409"/>
      <c r="N199" s="3408"/>
      <c r="O199" s="3408"/>
      <c r="P199" s="3408"/>
      <c r="Q199" s="3408"/>
      <c r="R199" s="3408"/>
      <c r="S199" s="3408"/>
      <c r="T199" s="3408"/>
      <c r="U199" s="3408"/>
      <c r="V199" s="3408"/>
      <c r="W199" s="3410"/>
      <c r="X199" s="3410"/>
      <c r="Y199" s="3410"/>
      <c r="Z199" s="3410"/>
      <c r="AA199" s="3410"/>
      <c r="AB199" s="3410"/>
      <c r="AC199" s="3410"/>
      <c r="AD199" s="3410"/>
      <c r="AE199" s="3410"/>
      <c r="AF199" s="3410"/>
      <c r="AG199" s="3410"/>
      <c r="AH199" s="3410"/>
      <c r="AI199" s="3410"/>
      <c r="AJ199" s="3410"/>
      <c r="AK199" s="3410"/>
      <c r="AL199" s="3409"/>
      <c r="AM199" s="3409"/>
      <c r="AN199" s="3409"/>
      <c r="AO199" s="3409"/>
      <c r="AP199" s="3409"/>
      <c r="AQ199" s="3409"/>
      <c r="AR199" s="3409"/>
      <c r="AS199" s="3409"/>
      <c r="AT199" s="3409"/>
      <c r="AU199" s="3409"/>
      <c r="AV199" s="3409"/>
      <c r="AW199" s="3409"/>
      <c r="AX199" s="3409"/>
      <c r="AY199" s="3396"/>
      <c r="AZ199" s="3396"/>
      <c r="BA199" s="3396"/>
      <c r="BB199" s="3396"/>
      <c r="BC199" s="3396"/>
      <c r="BD199" s="3396"/>
      <c r="BE199" s="3396"/>
      <c r="BF199" s="3396"/>
      <c r="BG199" s="3396"/>
      <c r="BH199" s="3396"/>
      <c r="BI199" s="3396"/>
      <c r="BJ199" s="3396"/>
      <c r="BK199" s="3396"/>
      <c r="BL199" s="3396"/>
      <c r="BM199" s="3396"/>
      <c r="BN199" s="3396"/>
      <c r="BO199" s="3396"/>
      <c r="BP199" s="3396"/>
      <c r="BQ199" s="3396"/>
      <c r="BR199" s="3396"/>
      <c r="BS199" s="3396"/>
      <c r="BT199" s="3396"/>
      <c r="BU199" s="3396"/>
      <c r="BV199" s="3396"/>
      <c r="BW199" s="3396"/>
      <c r="BX199" s="3396"/>
      <c r="BY199" s="3396"/>
      <c r="BZ199" s="3396"/>
      <c r="CA199" s="3396"/>
      <c r="CB199" s="3396"/>
      <c r="CC199" s="3396"/>
      <c r="CD199" s="3396"/>
      <c r="CE199" s="3396"/>
      <c r="CF199" s="3396"/>
      <c r="CG199" s="3396"/>
      <c r="CH199" s="3396"/>
      <c r="CI199" s="3396"/>
      <c r="CJ199" s="3396"/>
      <c r="CK199" s="3396"/>
      <c r="CL199" s="3396"/>
      <c r="CM199" s="3396"/>
      <c r="CN199" s="3396"/>
      <c r="CO199" s="3396"/>
      <c r="CP199" s="3396"/>
      <c r="CQ199" s="3396"/>
      <c r="CR199" s="3396"/>
      <c r="CS199" s="3396"/>
      <c r="CT199" s="3396"/>
      <c r="CU199" s="3396"/>
      <c r="CV199" s="3396"/>
      <c r="CW199" s="3396"/>
      <c r="CX199" s="3396"/>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row>
    <row r="200" ht="18.75" hidden="1" customHeight="1" spans="1:131">
      <c r="A200" s="3407" t="s">
        <v>5855</v>
      </c>
      <c r="B200" s="3409"/>
      <c r="C200" s="3409"/>
      <c r="D200" s="3409"/>
      <c r="E200" s="3409"/>
      <c r="F200" s="3409"/>
      <c r="G200" s="3409"/>
      <c r="H200" s="3409"/>
      <c r="I200" s="3409"/>
      <c r="J200" s="3409"/>
      <c r="K200" s="3409"/>
      <c r="L200" s="3409"/>
      <c r="M200" s="3409"/>
      <c r="N200" s="3408"/>
      <c r="O200" s="3408"/>
      <c r="P200" s="3408"/>
      <c r="Q200" s="3408"/>
      <c r="R200" s="3408"/>
      <c r="S200" s="3408"/>
      <c r="T200" s="3408"/>
      <c r="U200" s="3408"/>
      <c r="V200" s="3408"/>
      <c r="W200" s="3410"/>
      <c r="X200" s="3410"/>
      <c r="Y200" s="3410"/>
      <c r="Z200" s="3410"/>
      <c r="AA200" s="3410"/>
      <c r="AB200" s="3410"/>
      <c r="AC200" s="3410"/>
      <c r="AD200" s="3410"/>
      <c r="AE200" s="3410"/>
      <c r="AF200" s="3410"/>
      <c r="AG200" s="3410"/>
      <c r="AH200" s="3410"/>
      <c r="AI200" s="3410"/>
      <c r="AJ200" s="3410"/>
      <c r="AK200" s="3410"/>
      <c r="AL200" s="3409"/>
      <c r="AM200" s="3409"/>
      <c r="AN200" s="3409"/>
      <c r="AO200" s="3409"/>
      <c r="AP200" s="3409"/>
      <c r="AQ200" s="3409"/>
      <c r="AR200" s="3409"/>
      <c r="AS200" s="3409"/>
      <c r="AT200" s="3409"/>
      <c r="AU200" s="3409"/>
      <c r="AV200" s="3409"/>
      <c r="AW200" s="3409"/>
      <c r="AX200" s="3409"/>
      <c r="AY200" s="3396"/>
      <c r="AZ200" s="3396"/>
      <c r="BA200" s="3396"/>
      <c r="BB200" s="3396"/>
      <c r="BC200" s="3396"/>
      <c r="BD200" s="3396"/>
      <c r="BE200" s="3396"/>
      <c r="BF200" s="3396"/>
      <c r="BG200" s="3396"/>
      <c r="BH200" s="3396"/>
      <c r="BI200" s="3396"/>
      <c r="BJ200" s="3396"/>
      <c r="BK200" s="3396"/>
      <c r="BL200" s="3396"/>
      <c r="BM200" s="3396"/>
      <c r="BN200" s="3396"/>
      <c r="BO200" s="3396"/>
      <c r="BP200" s="3396"/>
      <c r="BQ200" s="3396"/>
      <c r="BR200" s="3396"/>
      <c r="BS200" s="3396"/>
      <c r="BT200" s="3396"/>
      <c r="BU200" s="3396"/>
      <c r="BV200" s="3396"/>
      <c r="BW200" s="3396"/>
      <c r="BX200" s="3396"/>
      <c r="BY200" s="3396"/>
      <c r="BZ200" s="3396"/>
      <c r="CA200" s="3396"/>
      <c r="CB200" s="3396"/>
      <c r="CC200" s="3396"/>
      <c r="CD200" s="3396"/>
      <c r="CE200" s="3396"/>
      <c r="CF200" s="3396"/>
      <c r="CG200" s="3396"/>
      <c r="CH200" s="3396"/>
      <c r="CI200" s="3396"/>
      <c r="CJ200" s="3396"/>
      <c r="CK200" s="3396"/>
      <c r="CL200" s="3396"/>
      <c r="CM200" s="3396"/>
      <c r="CN200" s="3396"/>
      <c r="CO200" s="3396"/>
      <c r="CP200" s="3396"/>
      <c r="CQ200" s="3396"/>
      <c r="CR200" s="3396"/>
      <c r="CS200" s="3396"/>
      <c r="CT200" s="3396"/>
      <c r="CU200" s="3396"/>
      <c r="CV200" s="3396"/>
      <c r="CW200" s="3396"/>
      <c r="CX200" s="3396"/>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row>
    <row r="201" ht="18.75" hidden="1" customHeight="1" spans="1:131">
      <c r="A201" s="3407" t="s">
        <v>5856</v>
      </c>
      <c r="B201" s="3409"/>
      <c r="C201" s="3409"/>
      <c r="D201" s="3409"/>
      <c r="E201" s="3409"/>
      <c r="F201" s="3409"/>
      <c r="G201" s="3409"/>
      <c r="H201" s="3409"/>
      <c r="I201" s="3409"/>
      <c r="J201" s="3409"/>
      <c r="K201" s="3409"/>
      <c r="L201" s="3409"/>
      <c r="M201" s="3409"/>
      <c r="N201" s="3408"/>
      <c r="O201" s="3408"/>
      <c r="P201" s="3408"/>
      <c r="Q201" s="3408"/>
      <c r="R201" s="3408"/>
      <c r="S201" s="3408"/>
      <c r="T201" s="3408"/>
      <c r="U201" s="3408"/>
      <c r="V201" s="3408"/>
      <c r="W201" s="3410"/>
      <c r="X201" s="3410"/>
      <c r="Y201" s="3410"/>
      <c r="Z201" s="3410"/>
      <c r="AA201" s="3410"/>
      <c r="AB201" s="3410"/>
      <c r="AC201" s="3410"/>
      <c r="AD201" s="3410"/>
      <c r="AE201" s="3410"/>
      <c r="AF201" s="3410"/>
      <c r="AG201" s="3410"/>
      <c r="AH201" s="3410"/>
      <c r="AI201" s="3410"/>
      <c r="AJ201" s="3410"/>
      <c r="AK201" s="3410"/>
      <c r="AL201" s="3409"/>
      <c r="AM201" s="3409"/>
      <c r="AN201" s="3409"/>
      <c r="AO201" s="3409"/>
      <c r="AP201" s="3409"/>
      <c r="AQ201" s="3409"/>
      <c r="AR201" s="3409"/>
      <c r="AS201" s="3409"/>
      <c r="AT201" s="3409"/>
      <c r="AU201" s="3409"/>
      <c r="AV201" s="3409"/>
      <c r="AW201" s="3409"/>
      <c r="AX201" s="3409"/>
      <c r="AY201" s="3396"/>
      <c r="AZ201" s="3396"/>
      <c r="BA201" s="3396"/>
      <c r="BB201" s="3396"/>
      <c r="BC201" s="3396"/>
      <c r="BD201" s="3396"/>
      <c r="BE201" s="3396"/>
      <c r="BF201" s="3396"/>
      <c r="BG201" s="3396"/>
      <c r="BH201" s="3396"/>
      <c r="BI201" s="3396"/>
      <c r="BJ201" s="3396"/>
      <c r="BK201" s="3396"/>
      <c r="BL201" s="3396"/>
      <c r="BM201" s="3396"/>
      <c r="BN201" s="3396"/>
      <c r="BO201" s="3396"/>
      <c r="BP201" s="3396"/>
      <c r="BQ201" s="3396"/>
      <c r="BR201" s="3396"/>
      <c r="BS201" s="3396"/>
      <c r="BT201" s="3396"/>
      <c r="BU201" s="3396"/>
      <c r="BV201" s="3396"/>
      <c r="BW201" s="3396"/>
      <c r="BX201" s="3396"/>
      <c r="BY201" s="3396"/>
      <c r="BZ201" s="3396"/>
      <c r="CA201" s="3396"/>
      <c r="CB201" s="3396"/>
      <c r="CC201" s="3396"/>
      <c r="CD201" s="3396"/>
      <c r="CE201" s="3396"/>
      <c r="CF201" s="3396"/>
      <c r="CG201" s="3396"/>
      <c r="CH201" s="3396"/>
      <c r="CI201" s="3396"/>
      <c r="CJ201" s="3396"/>
      <c r="CK201" s="3396"/>
      <c r="CL201" s="3396"/>
      <c r="CM201" s="3396"/>
      <c r="CN201" s="3396"/>
      <c r="CO201" s="3396"/>
      <c r="CP201" s="3396"/>
      <c r="CQ201" s="3396"/>
      <c r="CR201" s="3396"/>
      <c r="CS201" s="3396"/>
      <c r="CT201" s="3396"/>
      <c r="CU201" s="3396"/>
      <c r="CV201" s="3396"/>
      <c r="CW201" s="3396"/>
      <c r="CX201" s="3396"/>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row>
    <row r="202" ht="18.75" hidden="1" customHeight="1" spans="1:131">
      <c r="A202" s="3407" t="s">
        <v>5857</v>
      </c>
      <c r="B202" s="3409"/>
      <c r="C202" s="3409"/>
      <c r="D202" s="3409"/>
      <c r="E202" s="3409"/>
      <c r="F202" s="3409"/>
      <c r="G202" s="3409"/>
      <c r="H202" s="3409"/>
      <c r="I202" s="3409"/>
      <c r="J202" s="3409"/>
      <c r="K202" s="3409"/>
      <c r="L202" s="3409"/>
      <c r="M202" s="3409"/>
      <c r="N202" s="3408"/>
      <c r="O202" s="3408"/>
      <c r="P202" s="3408"/>
      <c r="Q202" s="3408"/>
      <c r="R202" s="3408"/>
      <c r="S202" s="3408"/>
      <c r="T202" s="3408"/>
      <c r="U202" s="3408"/>
      <c r="V202" s="3408"/>
      <c r="W202" s="3410"/>
      <c r="X202" s="3410"/>
      <c r="Y202" s="3410"/>
      <c r="Z202" s="3410"/>
      <c r="AA202" s="3410"/>
      <c r="AB202" s="3410"/>
      <c r="AC202" s="3410"/>
      <c r="AD202" s="3410"/>
      <c r="AE202" s="3410"/>
      <c r="AF202" s="3410"/>
      <c r="AG202" s="3410"/>
      <c r="AH202" s="3410"/>
      <c r="AI202" s="3410"/>
      <c r="AJ202" s="3410"/>
      <c r="AK202" s="3410"/>
      <c r="AL202" s="3409"/>
      <c r="AM202" s="3409"/>
      <c r="AN202" s="3409"/>
      <c r="AO202" s="3409"/>
      <c r="AP202" s="3409"/>
      <c r="AQ202" s="3409"/>
      <c r="AR202" s="3409"/>
      <c r="AS202" s="3409"/>
      <c r="AT202" s="3409"/>
      <c r="AU202" s="3409"/>
      <c r="AV202" s="3409"/>
      <c r="AW202" s="3409"/>
      <c r="AX202" s="3409"/>
      <c r="AY202" s="3396"/>
      <c r="AZ202" s="3396"/>
      <c r="BA202" s="3396"/>
      <c r="BB202" s="3396"/>
      <c r="BC202" s="3396"/>
      <c r="BD202" s="3396"/>
      <c r="BE202" s="3396"/>
      <c r="BF202" s="3396"/>
      <c r="BG202" s="3396"/>
      <c r="BH202" s="3396"/>
      <c r="BI202" s="3396"/>
      <c r="BJ202" s="3396"/>
      <c r="BK202" s="3396"/>
      <c r="BL202" s="3396"/>
      <c r="BM202" s="3396"/>
      <c r="BN202" s="3396"/>
      <c r="BO202" s="3396"/>
      <c r="BP202" s="3396"/>
      <c r="BQ202" s="3396"/>
      <c r="BR202" s="3396"/>
      <c r="BS202" s="3396"/>
      <c r="BT202" s="3396"/>
      <c r="BU202" s="3396"/>
      <c r="BV202" s="3396"/>
      <c r="BW202" s="3396"/>
      <c r="BX202" s="3396"/>
      <c r="BY202" s="3396"/>
      <c r="BZ202" s="3396"/>
      <c r="CA202" s="3396"/>
      <c r="CB202" s="3396"/>
      <c r="CC202" s="3396"/>
      <c r="CD202" s="3396"/>
      <c r="CE202" s="3396"/>
      <c r="CF202" s="3396"/>
      <c r="CG202" s="3396"/>
      <c r="CH202" s="3396"/>
      <c r="CI202" s="3396"/>
      <c r="CJ202" s="3396"/>
      <c r="CK202" s="3396"/>
      <c r="CL202" s="3396"/>
      <c r="CM202" s="3396"/>
      <c r="CN202" s="3396"/>
      <c r="CO202" s="3396"/>
      <c r="CP202" s="3396"/>
      <c r="CQ202" s="3396"/>
      <c r="CR202" s="3396"/>
      <c r="CS202" s="3396"/>
      <c r="CT202" s="3396"/>
      <c r="CU202" s="3396"/>
      <c r="CV202" s="3396"/>
      <c r="CW202" s="3396"/>
      <c r="CX202" s="3396"/>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row>
    <row r="203" ht="18.75" hidden="1" customHeight="1" spans="1:131">
      <c r="A203" s="3407" t="s">
        <v>5859</v>
      </c>
      <c r="B203" s="3409"/>
      <c r="C203" s="3409"/>
      <c r="D203" s="3409"/>
      <c r="E203" s="3409"/>
      <c r="F203" s="3409"/>
      <c r="G203" s="3409"/>
      <c r="H203" s="3409"/>
      <c r="I203" s="3409"/>
      <c r="J203" s="3409"/>
      <c r="K203" s="3409"/>
      <c r="L203" s="3409"/>
      <c r="M203" s="3409"/>
      <c r="N203" s="3408"/>
      <c r="O203" s="3408"/>
      <c r="P203" s="3408"/>
      <c r="Q203" s="3408"/>
      <c r="R203" s="3408"/>
      <c r="S203" s="3408"/>
      <c r="T203" s="3408"/>
      <c r="U203" s="3408"/>
      <c r="V203" s="3408"/>
      <c r="W203" s="3410"/>
      <c r="X203" s="3410"/>
      <c r="Y203" s="3410"/>
      <c r="Z203" s="3410"/>
      <c r="AA203" s="3410"/>
      <c r="AB203" s="3410"/>
      <c r="AC203" s="3410"/>
      <c r="AD203" s="3410"/>
      <c r="AE203" s="3410"/>
      <c r="AF203" s="3410"/>
      <c r="AG203" s="3410"/>
      <c r="AH203" s="3410"/>
      <c r="AI203" s="3410"/>
      <c r="AJ203" s="3410"/>
      <c r="AK203" s="3410"/>
      <c r="AL203" s="3409"/>
      <c r="AM203" s="3409"/>
      <c r="AN203" s="3409"/>
      <c r="AO203" s="3409"/>
      <c r="AP203" s="3409"/>
      <c r="AQ203" s="3409"/>
      <c r="AR203" s="3409"/>
      <c r="AS203" s="3409"/>
      <c r="AT203" s="3409"/>
      <c r="AU203" s="3409"/>
      <c r="AV203" s="3409"/>
      <c r="AW203" s="3409"/>
      <c r="AX203" s="3409"/>
      <c r="AY203" s="3396"/>
      <c r="AZ203" s="3396"/>
      <c r="BA203" s="3396"/>
      <c r="BB203" s="3396"/>
      <c r="BC203" s="3396"/>
      <c r="BD203" s="3396"/>
      <c r="BE203" s="3396"/>
      <c r="BF203" s="3396"/>
      <c r="BG203" s="3396"/>
      <c r="BH203" s="3396"/>
      <c r="BI203" s="3396"/>
      <c r="BJ203" s="3396"/>
      <c r="BK203" s="3396"/>
      <c r="BL203" s="3396"/>
      <c r="BM203" s="3396"/>
      <c r="BN203" s="3396"/>
      <c r="BO203" s="3396"/>
      <c r="BP203" s="3396"/>
      <c r="BQ203" s="3396"/>
      <c r="BR203" s="3396"/>
      <c r="BS203" s="3396"/>
      <c r="BT203" s="3396"/>
      <c r="BU203" s="3396"/>
      <c r="BV203" s="3396"/>
      <c r="BW203" s="3396"/>
      <c r="BX203" s="3396"/>
      <c r="BY203" s="3396"/>
      <c r="BZ203" s="3396"/>
      <c r="CA203" s="3396"/>
      <c r="CB203" s="3396"/>
      <c r="CC203" s="3396"/>
      <c r="CD203" s="3396"/>
      <c r="CE203" s="3396"/>
      <c r="CF203" s="3396"/>
      <c r="CG203" s="3396"/>
      <c r="CH203" s="3396"/>
      <c r="CI203" s="3396"/>
      <c r="CJ203" s="3396"/>
      <c r="CK203" s="3396"/>
      <c r="CL203" s="3396"/>
      <c r="CM203" s="3396"/>
      <c r="CN203" s="3396"/>
      <c r="CO203" s="3396"/>
      <c r="CP203" s="3396"/>
      <c r="CQ203" s="3396"/>
      <c r="CR203" s="3396"/>
      <c r="CS203" s="3396"/>
      <c r="CT203" s="3396"/>
      <c r="CU203" s="3396"/>
      <c r="CV203" s="3396"/>
      <c r="CW203" s="3396"/>
      <c r="CX203" s="3396"/>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row>
    <row r="204" ht="18.75" hidden="1" customHeight="1" spans="1:131">
      <c r="A204" s="3407" t="s">
        <v>5862</v>
      </c>
      <c r="B204" s="3409"/>
      <c r="C204" s="3409"/>
      <c r="D204" s="3409"/>
      <c r="E204" s="3409"/>
      <c r="F204" s="3409"/>
      <c r="G204" s="3409"/>
      <c r="H204" s="3409"/>
      <c r="I204" s="3409"/>
      <c r="J204" s="3409"/>
      <c r="K204" s="3409"/>
      <c r="L204" s="3409"/>
      <c r="M204" s="3409"/>
      <c r="N204" s="3408"/>
      <c r="O204" s="3408"/>
      <c r="P204" s="3408"/>
      <c r="Q204" s="3408"/>
      <c r="R204" s="3408"/>
      <c r="S204" s="3408"/>
      <c r="T204" s="3408"/>
      <c r="U204" s="3408"/>
      <c r="V204" s="3408"/>
      <c r="W204" s="3410"/>
      <c r="X204" s="3410"/>
      <c r="Y204" s="3410"/>
      <c r="Z204" s="3410"/>
      <c r="AA204" s="3410"/>
      <c r="AB204" s="3410"/>
      <c r="AC204" s="3410"/>
      <c r="AD204" s="3410"/>
      <c r="AE204" s="3410"/>
      <c r="AF204" s="3410"/>
      <c r="AG204" s="3410"/>
      <c r="AH204" s="3410"/>
      <c r="AI204" s="3410"/>
      <c r="AJ204" s="3410"/>
      <c r="AK204" s="3410"/>
      <c r="AL204" s="3409"/>
      <c r="AM204" s="3409"/>
      <c r="AN204" s="3409"/>
      <c r="AO204" s="3409"/>
      <c r="AP204" s="3409"/>
      <c r="AQ204" s="3409"/>
      <c r="AR204" s="3409"/>
      <c r="AS204" s="3409"/>
      <c r="AT204" s="3409"/>
      <c r="AU204" s="3409"/>
      <c r="AV204" s="3409"/>
      <c r="AW204" s="3409"/>
      <c r="AX204" s="3409"/>
      <c r="AY204" s="3396"/>
      <c r="AZ204" s="3396"/>
      <c r="BA204" s="3396"/>
      <c r="BB204" s="3396"/>
      <c r="BC204" s="3396"/>
      <c r="BD204" s="3396"/>
      <c r="BE204" s="3396"/>
      <c r="BF204" s="3396"/>
      <c r="BG204" s="3396"/>
      <c r="BH204" s="3396"/>
      <c r="BI204" s="3396"/>
      <c r="BJ204" s="3396"/>
      <c r="BK204" s="3396"/>
      <c r="BL204" s="3396"/>
      <c r="BM204" s="3396"/>
      <c r="BN204" s="3396"/>
      <c r="BO204" s="3396"/>
      <c r="BP204" s="3396"/>
      <c r="BQ204" s="3396"/>
      <c r="BR204" s="3396"/>
      <c r="BS204" s="3396"/>
      <c r="BT204" s="3396"/>
      <c r="BU204" s="3396"/>
      <c r="BV204" s="3396"/>
      <c r="BW204" s="3396"/>
      <c r="BX204" s="3396"/>
      <c r="BY204" s="3396"/>
      <c r="BZ204" s="3396"/>
      <c r="CA204" s="3396"/>
      <c r="CB204" s="3396"/>
      <c r="CC204" s="3396"/>
      <c r="CD204" s="3396"/>
      <c r="CE204" s="3396"/>
      <c r="CF204" s="3396"/>
      <c r="CG204" s="3396"/>
      <c r="CH204" s="3396"/>
      <c r="CI204" s="3396"/>
      <c r="CJ204" s="3396"/>
      <c r="CK204" s="3396"/>
      <c r="CL204" s="3396"/>
      <c r="CM204" s="3396"/>
      <c r="CN204" s="3396"/>
      <c r="CO204" s="3396"/>
      <c r="CP204" s="3396"/>
      <c r="CQ204" s="3396"/>
      <c r="CR204" s="3396"/>
      <c r="CS204" s="3396"/>
      <c r="CT204" s="3396"/>
      <c r="CU204" s="3396"/>
      <c r="CV204" s="3396"/>
      <c r="CW204" s="3396"/>
      <c r="CX204" s="3396"/>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row>
    <row r="205" ht="18.75" hidden="1" customHeight="1" spans="1:131">
      <c r="A205" s="3407" t="s">
        <v>5864</v>
      </c>
      <c r="B205" s="3409"/>
      <c r="C205" s="3409"/>
      <c r="D205" s="3409"/>
      <c r="E205" s="3409"/>
      <c r="F205" s="3409"/>
      <c r="G205" s="3409"/>
      <c r="H205" s="3409"/>
      <c r="I205" s="3409"/>
      <c r="J205" s="3409"/>
      <c r="K205" s="3409"/>
      <c r="L205" s="3409"/>
      <c r="M205" s="3409"/>
      <c r="N205" s="3408"/>
      <c r="O205" s="3408"/>
      <c r="P205" s="3408"/>
      <c r="Q205" s="3408"/>
      <c r="R205" s="3408"/>
      <c r="S205" s="3408"/>
      <c r="T205" s="3408"/>
      <c r="U205" s="3408"/>
      <c r="V205" s="3408"/>
      <c r="W205" s="3410"/>
      <c r="X205" s="3410"/>
      <c r="Y205" s="3410"/>
      <c r="Z205" s="3410"/>
      <c r="AA205" s="3410"/>
      <c r="AB205" s="3410"/>
      <c r="AC205" s="3410"/>
      <c r="AD205" s="3410"/>
      <c r="AE205" s="3410"/>
      <c r="AF205" s="3410"/>
      <c r="AG205" s="3410"/>
      <c r="AH205" s="3410"/>
      <c r="AI205" s="3410"/>
      <c r="AJ205" s="3410"/>
      <c r="AK205" s="3410"/>
      <c r="AL205" s="3409"/>
      <c r="AM205" s="3409"/>
      <c r="AN205" s="3409"/>
      <c r="AO205" s="3409"/>
      <c r="AP205" s="3409"/>
      <c r="AQ205" s="3409"/>
      <c r="AR205" s="3409"/>
      <c r="AS205" s="3409"/>
      <c r="AT205" s="3409"/>
      <c r="AU205" s="3409"/>
      <c r="AV205" s="3409"/>
      <c r="AW205" s="3409"/>
      <c r="AX205" s="3409"/>
      <c r="AY205" s="3396"/>
      <c r="AZ205" s="3396"/>
      <c r="BA205" s="3396"/>
      <c r="BB205" s="3396"/>
      <c r="BC205" s="3396"/>
      <c r="BD205" s="3396"/>
      <c r="BE205" s="3396"/>
      <c r="BF205" s="3396"/>
      <c r="BG205" s="3396"/>
      <c r="BH205" s="3396"/>
      <c r="BI205" s="3396"/>
      <c r="BJ205" s="3396"/>
      <c r="BK205" s="3396"/>
      <c r="BL205" s="3396"/>
      <c r="BM205" s="3396"/>
      <c r="BN205" s="3396"/>
      <c r="BO205" s="3396"/>
      <c r="BP205" s="3396"/>
      <c r="BQ205" s="3396"/>
      <c r="BR205" s="3396"/>
      <c r="BS205" s="3396"/>
      <c r="BT205" s="3396"/>
      <c r="BU205" s="3396"/>
      <c r="BV205" s="3396"/>
      <c r="BW205" s="3396"/>
      <c r="BX205" s="3396"/>
      <c r="BY205" s="3396"/>
      <c r="BZ205" s="3396"/>
      <c r="CA205" s="3396"/>
      <c r="CB205" s="3396"/>
      <c r="CC205" s="3396"/>
      <c r="CD205" s="3396"/>
      <c r="CE205" s="3396"/>
      <c r="CF205" s="3396"/>
      <c r="CG205" s="3396"/>
      <c r="CH205" s="3396"/>
      <c r="CI205" s="3396"/>
      <c r="CJ205" s="3396"/>
      <c r="CK205" s="3396"/>
      <c r="CL205" s="3396"/>
      <c r="CM205" s="3396"/>
      <c r="CN205" s="3396"/>
      <c r="CO205" s="3396"/>
      <c r="CP205" s="3396"/>
      <c r="CQ205" s="3396"/>
      <c r="CR205" s="3396"/>
      <c r="CS205" s="3396"/>
      <c r="CT205" s="3396"/>
      <c r="CU205" s="3396"/>
      <c r="CV205" s="3396"/>
      <c r="CW205" s="3396"/>
      <c r="CX205" s="3396"/>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row>
    <row r="206" ht="18.75" hidden="1" customHeight="1" spans="1:131">
      <c r="A206" s="3407" t="s">
        <v>5865</v>
      </c>
      <c r="B206" s="3409"/>
      <c r="C206" s="3409"/>
      <c r="D206" s="3409"/>
      <c r="E206" s="3409"/>
      <c r="F206" s="3409"/>
      <c r="G206" s="3409"/>
      <c r="H206" s="3409"/>
      <c r="I206" s="3409"/>
      <c r="J206" s="3409"/>
      <c r="K206" s="3409"/>
      <c r="L206" s="3409"/>
      <c r="M206" s="3409"/>
      <c r="N206" s="3408"/>
      <c r="O206" s="3408"/>
      <c r="P206" s="3408"/>
      <c r="Q206" s="3408"/>
      <c r="R206" s="3408"/>
      <c r="S206" s="3408"/>
      <c r="T206" s="3408"/>
      <c r="U206" s="3408"/>
      <c r="V206" s="3408"/>
      <c r="W206" s="3410"/>
      <c r="X206" s="3410"/>
      <c r="Y206" s="3410"/>
      <c r="Z206" s="3410"/>
      <c r="AA206" s="3410"/>
      <c r="AB206" s="3410"/>
      <c r="AC206" s="3410"/>
      <c r="AD206" s="3410"/>
      <c r="AE206" s="3410"/>
      <c r="AF206" s="3410"/>
      <c r="AG206" s="3410"/>
      <c r="AH206" s="3410"/>
      <c r="AI206" s="3410"/>
      <c r="AJ206" s="3410"/>
      <c r="AK206" s="3410"/>
      <c r="AL206" s="3409"/>
      <c r="AM206" s="3409"/>
      <c r="AN206" s="3409"/>
      <c r="AO206" s="3409"/>
      <c r="AP206" s="3409"/>
      <c r="AQ206" s="3409"/>
      <c r="AR206" s="3409"/>
      <c r="AS206" s="3409"/>
      <c r="AT206" s="3409"/>
      <c r="AU206" s="3409"/>
      <c r="AV206" s="3409"/>
      <c r="AW206" s="3409"/>
      <c r="AX206" s="3409"/>
      <c r="AY206" s="3396"/>
      <c r="AZ206" s="3396"/>
      <c r="BA206" s="3396"/>
      <c r="BB206" s="3396"/>
      <c r="BC206" s="3396"/>
      <c r="BD206" s="3396"/>
      <c r="BE206" s="3396"/>
      <c r="BF206" s="3396"/>
      <c r="BG206" s="3396"/>
      <c r="BH206" s="3396"/>
      <c r="BI206" s="3396"/>
      <c r="BJ206" s="3396"/>
      <c r="BK206" s="3396"/>
      <c r="BL206" s="3396"/>
      <c r="BM206" s="3396"/>
      <c r="BN206" s="3396"/>
      <c r="BO206" s="3396"/>
      <c r="BP206" s="3396"/>
      <c r="BQ206" s="3396"/>
      <c r="BR206" s="3396"/>
      <c r="BS206" s="3396"/>
      <c r="BT206" s="3396"/>
      <c r="BU206" s="3396"/>
      <c r="BV206" s="3396"/>
      <c r="BW206" s="3396"/>
      <c r="BX206" s="3396"/>
      <c r="BY206" s="3396"/>
      <c r="BZ206" s="3396"/>
      <c r="CA206" s="3396"/>
      <c r="CB206" s="3396"/>
      <c r="CC206" s="3396"/>
      <c r="CD206" s="3396"/>
      <c r="CE206" s="3396"/>
      <c r="CF206" s="3396"/>
      <c r="CG206" s="3396"/>
      <c r="CH206" s="3396"/>
      <c r="CI206" s="3396"/>
      <c r="CJ206" s="3396"/>
      <c r="CK206" s="3396"/>
      <c r="CL206" s="3396"/>
      <c r="CM206" s="3396"/>
      <c r="CN206" s="3396"/>
      <c r="CO206" s="3396"/>
      <c r="CP206" s="3396"/>
      <c r="CQ206" s="3396"/>
      <c r="CR206" s="3396"/>
      <c r="CS206" s="3396"/>
      <c r="CT206" s="3396"/>
      <c r="CU206" s="3396"/>
      <c r="CV206" s="3396"/>
      <c r="CW206" s="3396"/>
      <c r="CX206" s="3396"/>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row>
    <row r="207" ht="18.75" hidden="1" customHeight="1" spans="1:131">
      <c r="A207" s="3407" t="s">
        <v>5867</v>
      </c>
      <c r="B207" s="3409"/>
      <c r="C207" s="3409"/>
      <c r="D207" s="3409"/>
      <c r="E207" s="3409"/>
      <c r="F207" s="3409"/>
      <c r="G207" s="3409"/>
      <c r="H207" s="3409"/>
      <c r="I207" s="3409"/>
      <c r="J207" s="3409"/>
      <c r="K207" s="3409"/>
      <c r="L207" s="3409"/>
      <c r="M207" s="3409"/>
      <c r="N207" s="3408"/>
      <c r="O207" s="3408"/>
      <c r="P207" s="3408"/>
      <c r="Q207" s="3408"/>
      <c r="R207" s="3408"/>
      <c r="S207" s="3408"/>
      <c r="T207" s="3408"/>
      <c r="U207" s="3408"/>
      <c r="V207" s="3408"/>
      <c r="W207" s="3410"/>
      <c r="X207" s="3410"/>
      <c r="Y207" s="3410"/>
      <c r="Z207" s="3410"/>
      <c r="AA207" s="3410"/>
      <c r="AB207" s="3410"/>
      <c r="AC207" s="3410"/>
      <c r="AD207" s="3410"/>
      <c r="AE207" s="3410"/>
      <c r="AF207" s="3410"/>
      <c r="AG207" s="3410"/>
      <c r="AH207" s="3410"/>
      <c r="AI207" s="3410"/>
      <c r="AJ207" s="3410"/>
      <c r="AK207" s="3410"/>
      <c r="AL207" s="3409"/>
      <c r="AM207" s="3409"/>
      <c r="AN207" s="3409"/>
      <c r="AO207" s="3409"/>
      <c r="AP207" s="3409"/>
      <c r="AQ207" s="3409"/>
      <c r="AR207" s="3409"/>
      <c r="AS207" s="3409"/>
      <c r="AT207" s="3409"/>
      <c r="AU207" s="3409"/>
      <c r="AV207" s="3409"/>
      <c r="AW207" s="3409"/>
      <c r="AX207" s="3409"/>
      <c r="AY207" s="3396"/>
      <c r="AZ207" s="3396"/>
      <c r="BA207" s="3396"/>
      <c r="BB207" s="3396"/>
      <c r="BC207" s="3396"/>
      <c r="BD207" s="3396"/>
      <c r="BE207" s="3396"/>
      <c r="BF207" s="3396"/>
      <c r="BG207" s="3396"/>
      <c r="BH207" s="3396"/>
      <c r="BI207" s="3396"/>
      <c r="BJ207" s="3396"/>
      <c r="BK207" s="3396"/>
      <c r="BL207" s="3396"/>
      <c r="BM207" s="3396"/>
      <c r="BN207" s="3396"/>
      <c r="BO207" s="3396"/>
      <c r="BP207" s="3396"/>
      <c r="BQ207" s="3396"/>
      <c r="BR207" s="3396"/>
      <c r="BS207" s="3396"/>
      <c r="BT207" s="3396"/>
      <c r="BU207" s="3396"/>
      <c r="BV207" s="3396"/>
      <c r="BW207" s="3396"/>
      <c r="BX207" s="3396"/>
      <c r="BY207" s="3396"/>
      <c r="BZ207" s="3396"/>
      <c r="CA207" s="3396"/>
      <c r="CB207" s="3396"/>
      <c r="CC207" s="3396"/>
      <c r="CD207" s="3396"/>
      <c r="CE207" s="3396"/>
      <c r="CF207" s="3396"/>
      <c r="CG207" s="3396"/>
      <c r="CH207" s="3396"/>
      <c r="CI207" s="3396"/>
      <c r="CJ207" s="3396"/>
      <c r="CK207" s="3396"/>
      <c r="CL207" s="3396"/>
      <c r="CM207" s="3396"/>
      <c r="CN207" s="3396"/>
      <c r="CO207" s="3396"/>
      <c r="CP207" s="3396"/>
      <c r="CQ207" s="3396"/>
      <c r="CR207" s="3396"/>
      <c r="CS207" s="3396"/>
      <c r="CT207" s="3396"/>
      <c r="CU207" s="3396"/>
      <c r="CV207" s="3396"/>
      <c r="CW207" s="3396"/>
      <c r="CX207" s="3396"/>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row>
    <row r="208" ht="18.75" hidden="1" customHeight="1" spans="1:131">
      <c r="A208" s="3407" t="s">
        <v>5869</v>
      </c>
      <c r="B208" s="3409"/>
      <c r="C208" s="3409"/>
      <c r="D208" s="3409"/>
      <c r="E208" s="3409"/>
      <c r="F208" s="3409"/>
      <c r="G208" s="3409"/>
      <c r="H208" s="3409"/>
      <c r="I208" s="3409"/>
      <c r="J208" s="3409"/>
      <c r="K208" s="3409"/>
      <c r="L208" s="3409"/>
      <c r="M208" s="3409"/>
      <c r="N208" s="3408"/>
      <c r="O208" s="3408"/>
      <c r="P208" s="3408"/>
      <c r="Q208" s="3408"/>
      <c r="R208" s="3408"/>
      <c r="S208" s="3408"/>
      <c r="T208" s="3408"/>
      <c r="U208" s="3408"/>
      <c r="V208" s="3408"/>
      <c r="W208" s="3410"/>
      <c r="X208" s="3410"/>
      <c r="Y208" s="3410"/>
      <c r="Z208" s="3410"/>
      <c r="AA208" s="3410"/>
      <c r="AB208" s="3410"/>
      <c r="AC208" s="3410"/>
      <c r="AD208" s="3410"/>
      <c r="AE208" s="3410"/>
      <c r="AF208" s="3410"/>
      <c r="AG208" s="3410"/>
      <c r="AH208" s="3410"/>
      <c r="AI208" s="3410"/>
      <c r="AJ208" s="3410"/>
      <c r="AK208" s="3410"/>
      <c r="AL208" s="3409"/>
      <c r="AM208" s="3409"/>
      <c r="AN208" s="3409"/>
      <c r="AO208" s="3409"/>
      <c r="AP208" s="3409"/>
      <c r="AQ208" s="3409"/>
      <c r="AR208" s="3409"/>
      <c r="AS208" s="3409"/>
      <c r="AT208" s="3409"/>
      <c r="AU208" s="3409"/>
      <c r="AV208" s="3409"/>
      <c r="AW208" s="3409"/>
      <c r="AX208" s="3409"/>
      <c r="AY208" s="3396"/>
      <c r="AZ208" s="3396"/>
      <c r="BA208" s="3396"/>
      <c r="BB208" s="3396"/>
      <c r="BC208" s="3396"/>
      <c r="BD208" s="3396"/>
      <c r="BE208" s="3396"/>
      <c r="BF208" s="3396"/>
      <c r="BG208" s="3396"/>
      <c r="BH208" s="3396"/>
      <c r="BI208" s="3396"/>
      <c r="BJ208" s="3396"/>
      <c r="BK208" s="3396"/>
      <c r="BL208" s="3396"/>
      <c r="BM208" s="3396"/>
      <c r="BN208" s="3396"/>
      <c r="BO208" s="3396"/>
      <c r="BP208" s="3396"/>
      <c r="BQ208" s="3396"/>
      <c r="BR208" s="3396"/>
      <c r="BS208" s="3396"/>
      <c r="BT208" s="3396"/>
      <c r="BU208" s="3396"/>
      <c r="BV208" s="3396"/>
      <c r="BW208" s="3396"/>
      <c r="BX208" s="3396"/>
      <c r="BY208" s="3396"/>
      <c r="BZ208" s="3396"/>
      <c r="CA208" s="3396"/>
      <c r="CB208" s="3396"/>
      <c r="CC208" s="3396"/>
      <c r="CD208" s="3396"/>
      <c r="CE208" s="3396"/>
      <c r="CF208" s="3396"/>
      <c r="CG208" s="3396"/>
      <c r="CH208" s="3396"/>
      <c r="CI208" s="3396"/>
      <c r="CJ208" s="3396"/>
      <c r="CK208" s="3396"/>
      <c r="CL208" s="3396"/>
      <c r="CM208" s="3396"/>
      <c r="CN208" s="3396"/>
      <c r="CO208" s="3396"/>
      <c r="CP208" s="3396"/>
      <c r="CQ208" s="3396"/>
      <c r="CR208" s="3396"/>
      <c r="CS208" s="3396"/>
      <c r="CT208" s="3396"/>
      <c r="CU208" s="3396"/>
      <c r="CV208" s="3396"/>
      <c r="CW208" s="3396"/>
      <c r="CX208" s="3396"/>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row>
    <row r="209" ht="18.75" hidden="1" customHeight="1" spans="1:131">
      <c r="A209" s="3407" t="s">
        <v>5871</v>
      </c>
      <c r="B209" s="3409"/>
      <c r="C209" s="3409"/>
      <c r="D209" s="3409"/>
      <c r="E209" s="3409"/>
      <c r="F209" s="3409"/>
      <c r="G209" s="3409"/>
      <c r="H209" s="3409"/>
      <c r="I209" s="3409"/>
      <c r="J209" s="3409"/>
      <c r="K209" s="3409"/>
      <c r="L209" s="3409"/>
      <c r="M209" s="3409"/>
      <c r="N209" s="3408"/>
      <c r="O209" s="3408"/>
      <c r="P209" s="3408"/>
      <c r="Q209" s="3408"/>
      <c r="R209" s="3408"/>
      <c r="S209" s="3408"/>
      <c r="T209" s="3408"/>
      <c r="U209" s="3408"/>
      <c r="V209" s="3408"/>
      <c r="W209" s="3410"/>
      <c r="X209" s="3410"/>
      <c r="Y209" s="3410"/>
      <c r="Z209" s="3410"/>
      <c r="AA209" s="3410"/>
      <c r="AB209" s="3410"/>
      <c r="AC209" s="3410"/>
      <c r="AD209" s="3410"/>
      <c r="AE209" s="3410"/>
      <c r="AF209" s="3410"/>
      <c r="AG209" s="3410"/>
      <c r="AH209" s="3410"/>
      <c r="AI209" s="3410"/>
      <c r="AJ209" s="3410"/>
      <c r="AK209" s="3410"/>
      <c r="AL209" s="3409"/>
      <c r="AM209" s="3409"/>
      <c r="AN209" s="3409"/>
      <c r="AO209" s="3409"/>
      <c r="AP209" s="3409"/>
      <c r="AQ209" s="3409"/>
      <c r="AR209" s="3409"/>
      <c r="AS209" s="3409"/>
      <c r="AT209" s="3409"/>
      <c r="AU209" s="3409"/>
      <c r="AV209" s="3409"/>
      <c r="AW209" s="3409"/>
      <c r="AX209" s="3409"/>
      <c r="AY209" s="3396"/>
      <c r="AZ209" s="3396"/>
      <c r="BA209" s="3396"/>
      <c r="BB209" s="3396"/>
      <c r="BC209" s="3396"/>
      <c r="BD209" s="3396"/>
      <c r="BE209" s="3396"/>
      <c r="BF209" s="3396"/>
      <c r="BG209" s="3396"/>
      <c r="BH209" s="3396"/>
      <c r="BI209" s="3396"/>
      <c r="BJ209" s="3396"/>
      <c r="BK209" s="3396"/>
      <c r="BL209" s="3396"/>
      <c r="BM209" s="3396"/>
      <c r="BN209" s="3396"/>
      <c r="BO209" s="3396"/>
      <c r="BP209" s="3396"/>
      <c r="BQ209" s="3396"/>
      <c r="BR209" s="3396"/>
      <c r="BS209" s="3396"/>
      <c r="BT209" s="3396"/>
      <c r="BU209" s="3396"/>
      <c r="BV209" s="3396"/>
      <c r="BW209" s="3396"/>
      <c r="BX209" s="3396"/>
      <c r="BY209" s="3396"/>
      <c r="BZ209" s="3396"/>
      <c r="CA209" s="3396"/>
      <c r="CB209" s="3396"/>
      <c r="CC209" s="3396"/>
      <c r="CD209" s="3396"/>
      <c r="CE209" s="3396"/>
      <c r="CF209" s="3396"/>
      <c r="CG209" s="3396"/>
      <c r="CH209" s="3396"/>
      <c r="CI209" s="3396"/>
      <c r="CJ209" s="3396"/>
      <c r="CK209" s="3396"/>
      <c r="CL209" s="3396"/>
      <c r="CM209" s="3396"/>
      <c r="CN209" s="3396"/>
      <c r="CO209" s="3396"/>
      <c r="CP209" s="3396"/>
      <c r="CQ209" s="3396"/>
      <c r="CR209" s="3396"/>
      <c r="CS209" s="3396"/>
      <c r="CT209" s="3396"/>
      <c r="CU209" s="3396"/>
      <c r="CV209" s="3396"/>
      <c r="CW209" s="3396"/>
      <c r="CX209" s="3396"/>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row>
    <row r="210" ht="18.75" hidden="1" customHeight="1" spans="1:131">
      <c r="A210" s="3407" t="s">
        <v>5873</v>
      </c>
      <c r="B210" s="3409"/>
      <c r="C210" s="3409"/>
      <c r="D210" s="3409"/>
      <c r="E210" s="3409"/>
      <c r="F210" s="3409"/>
      <c r="G210" s="3409"/>
      <c r="H210" s="3409"/>
      <c r="I210" s="3409"/>
      <c r="J210" s="3409"/>
      <c r="K210" s="3409"/>
      <c r="L210" s="3409"/>
      <c r="M210" s="3409"/>
      <c r="N210" s="3408"/>
      <c r="O210" s="3408"/>
      <c r="P210" s="3408"/>
      <c r="Q210" s="3408"/>
      <c r="R210" s="3408"/>
      <c r="S210" s="3408"/>
      <c r="T210" s="3408"/>
      <c r="U210" s="3408"/>
      <c r="V210" s="3408"/>
      <c r="W210" s="3410"/>
      <c r="X210" s="3410"/>
      <c r="Y210" s="3410"/>
      <c r="Z210" s="3410"/>
      <c r="AA210" s="3410"/>
      <c r="AB210" s="3410"/>
      <c r="AC210" s="3410"/>
      <c r="AD210" s="3410"/>
      <c r="AE210" s="3410"/>
      <c r="AF210" s="3410"/>
      <c r="AG210" s="3410"/>
      <c r="AH210" s="3410"/>
      <c r="AI210" s="3410"/>
      <c r="AJ210" s="3410"/>
      <c r="AK210" s="3410"/>
      <c r="AL210" s="3409"/>
      <c r="AM210" s="3409"/>
      <c r="AN210" s="3409"/>
      <c r="AO210" s="3409"/>
      <c r="AP210" s="3409"/>
      <c r="AQ210" s="3409"/>
      <c r="AR210" s="3409"/>
      <c r="AS210" s="3409"/>
      <c r="AT210" s="3409"/>
      <c r="AU210" s="3409"/>
      <c r="AV210" s="3409"/>
      <c r="AW210" s="3409"/>
      <c r="AX210" s="3409"/>
      <c r="AY210" s="3396"/>
      <c r="AZ210" s="3396"/>
      <c r="BA210" s="3396"/>
      <c r="BB210" s="3396"/>
      <c r="BC210" s="3396"/>
      <c r="BD210" s="3396"/>
      <c r="BE210" s="3396"/>
      <c r="BF210" s="3396"/>
      <c r="BG210" s="3396"/>
      <c r="BH210" s="3396"/>
      <c r="BI210" s="3396"/>
      <c r="BJ210" s="3396"/>
      <c r="BK210" s="3396"/>
      <c r="BL210" s="3396"/>
      <c r="BM210" s="3396"/>
      <c r="BN210" s="3396"/>
      <c r="BO210" s="3396"/>
      <c r="BP210" s="3396"/>
      <c r="BQ210" s="3396"/>
      <c r="BR210" s="3396"/>
      <c r="BS210" s="3396"/>
      <c r="BT210" s="3396"/>
      <c r="BU210" s="3396"/>
      <c r="BV210" s="3396"/>
      <c r="BW210" s="3396"/>
      <c r="BX210" s="3396"/>
      <c r="BY210" s="3396"/>
      <c r="BZ210" s="3396"/>
      <c r="CA210" s="3396"/>
      <c r="CB210" s="3396"/>
      <c r="CC210" s="3396"/>
      <c r="CD210" s="3396"/>
      <c r="CE210" s="3396"/>
      <c r="CF210" s="3396"/>
      <c r="CG210" s="3396"/>
      <c r="CH210" s="3396"/>
      <c r="CI210" s="3396"/>
      <c r="CJ210" s="3396"/>
      <c r="CK210" s="3396"/>
      <c r="CL210" s="3396"/>
      <c r="CM210" s="3396"/>
      <c r="CN210" s="3396"/>
      <c r="CO210" s="3396"/>
      <c r="CP210" s="3396"/>
      <c r="CQ210" s="3396"/>
      <c r="CR210" s="3396"/>
      <c r="CS210" s="3396"/>
      <c r="CT210" s="3396"/>
      <c r="CU210" s="3396"/>
      <c r="CV210" s="3396"/>
      <c r="CW210" s="3396"/>
      <c r="CX210" s="3396"/>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row>
    <row r="211" ht="18.75" hidden="1" customHeight="1" spans="1:131">
      <c r="A211" s="3407" t="s">
        <v>5875</v>
      </c>
      <c r="B211" s="3409"/>
      <c r="C211" s="3409"/>
      <c r="D211" s="3409"/>
      <c r="E211" s="3409"/>
      <c r="F211" s="3409"/>
      <c r="G211" s="3409"/>
      <c r="H211" s="3409"/>
      <c r="I211" s="3409"/>
      <c r="J211" s="3409"/>
      <c r="K211" s="3409"/>
      <c r="L211" s="3409"/>
      <c r="M211" s="3409"/>
      <c r="N211" s="3408"/>
      <c r="O211" s="3408"/>
      <c r="P211" s="3408"/>
      <c r="Q211" s="3408"/>
      <c r="R211" s="3408"/>
      <c r="S211" s="3408"/>
      <c r="T211" s="3408"/>
      <c r="U211" s="3408"/>
      <c r="V211" s="3408"/>
      <c r="W211" s="3410"/>
      <c r="X211" s="3410"/>
      <c r="Y211" s="3410"/>
      <c r="Z211" s="3410"/>
      <c r="AA211" s="3410"/>
      <c r="AB211" s="3410"/>
      <c r="AC211" s="3410"/>
      <c r="AD211" s="3410"/>
      <c r="AE211" s="3410"/>
      <c r="AF211" s="3410"/>
      <c r="AG211" s="3410"/>
      <c r="AH211" s="3410"/>
      <c r="AI211" s="3410"/>
      <c r="AJ211" s="3410"/>
      <c r="AK211" s="3410"/>
      <c r="AL211" s="3409"/>
      <c r="AM211" s="3409"/>
      <c r="AN211" s="3409"/>
      <c r="AO211" s="3409"/>
      <c r="AP211" s="3409"/>
      <c r="AQ211" s="3409"/>
      <c r="AR211" s="3409"/>
      <c r="AS211" s="3409"/>
      <c r="AT211" s="3409"/>
      <c r="AU211" s="3409"/>
      <c r="AV211" s="3409"/>
      <c r="AW211" s="3409"/>
      <c r="AX211" s="3409"/>
      <c r="AY211" s="3396"/>
      <c r="AZ211" s="3396"/>
      <c r="BA211" s="3396"/>
      <c r="BB211" s="3396"/>
      <c r="BC211" s="3396"/>
      <c r="BD211" s="3396"/>
      <c r="BE211" s="3396"/>
      <c r="BF211" s="3396"/>
      <c r="BG211" s="3396"/>
      <c r="BH211" s="3396"/>
      <c r="BI211" s="3396"/>
      <c r="BJ211" s="3396"/>
      <c r="BK211" s="3396"/>
      <c r="BL211" s="3396"/>
      <c r="BM211" s="3396"/>
      <c r="BN211" s="3396"/>
      <c r="BO211" s="3396"/>
      <c r="BP211" s="3396"/>
      <c r="BQ211" s="3396"/>
      <c r="BR211" s="3396"/>
      <c r="BS211" s="3396"/>
      <c r="BT211" s="3396"/>
      <c r="BU211" s="3396"/>
      <c r="BV211" s="3396"/>
      <c r="BW211" s="3396"/>
      <c r="BX211" s="3396"/>
      <c r="BY211" s="3396"/>
      <c r="BZ211" s="3396"/>
      <c r="CA211" s="3396"/>
      <c r="CB211" s="3396"/>
      <c r="CC211" s="3396"/>
      <c r="CD211" s="3396"/>
      <c r="CE211" s="3396"/>
      <c r="CF211" s="3396"/>
      <c r="CG211" s="3396"/>
      <c r="CH211" s="3396"/>
      <c r="CI211" s="3396"/>
      <c r="CJ211" s="3396"/>
      <c r="CK211" s="3396"/>
      <c r="CL211" s="3396"/>
      <c r="CM211" s="3396"/>
      <c r="CN211" s="3396"/>
      <c r="CO211" s="3396"/>
      <c r="CP211" s="3396"/>
      <c r="CQ211" s="3396"/>
      <c r="CR211" s="3396"/>
      <c r="CS211" s="3396"/>
      <c r="CT211" s="3396"/>
      <c r="CU211" s="3396"/>
      <c r="CV211" s="3396"/>
      <c r="CW211" s="3396"/>
      <c r="CX211" s="3396"/>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row>
    <row r="212" ht="18.75" hidden="1" customHeight="1" spans="1:131">
      <c r="A212" s="3407" t="s">
        <v>5877</v>
      </c>
      <c r="B212" s="3409"/>
      <c r="C212" s="3409"/>
      <c r="D212" s="3409"/>
      <c r="E212" s="3409"/>
      <c r="F212" s="3409"/>
      <c r="G212" s="3409"/>
      <c r="H212" s="3409"/>
      <c r="I212" s="3409"/>
      <c r="J212" s="3409"/>
      <c r="K212" s="3409"/>
      <c r="L212" s="3409"/>
      <c r="M212" s="3409"/>
      <c r="N212" s="3408"/>
      <c r="O212" s="3408"/>
      <c r="P212" s="3408"/>
      <c r="Q212" s="3408"/>
      <c r="R212" s="3408"/>
      <c r="S212" s="3408"/>
      <c r="T212" s="3408"/>
      <c r="U212" s="3408"/>
      <c r="V212" s="3408"/>
      <c r="W212" s="3410"/>
      <c r="X212" s="3410"/>
      <c r="Y212" s="3410"/>
      <c r="Z212" s="3410"/>
      <c r="AA212" s="3410"/>
      <c r="AB212" s="3410"/>
      <c r="AC212" s="3410"/>
      <c r="AD212" s="3410"/>
      <c r="AE212" s="3410"/>
      <c r="AF212" s="3410"/>
      <c r="AG212" s="3410"/>
      <c r="AH212" s="3410"/>
      <c r="AI212" s="3410"/>
      <c r="AJ212" s="3410"/>
      <c r="AK212" s="3410"/>
      <c r="AL212" s="3409"/>
      <c r="AM212" s="3409"/>
      <c r="AN212" s="3409"/>
      <c r="AO212" s="3409"/>
      <c r="AP212" s="3409"/>
      <c r="AQ212" s="3409"/>
      <c r="AR212" s="3409"/>
      <c r="AS212" s="3409"/>
      <c r="AT212" s="3409"/>
      <c r="AU212" s="3409"/>
      <c r="AV212" s="3409"/>
      <c r="AW212" s="3409"/>
      <c r="AX212" s="3409"/>
      <c r="AY212" s="3396"/>
      <c r="AZ212" s="3396"/>
      <c r="BA212" s="3396"/>
      <c r="BB212" s="3396"/>
      <c r="BC212" s="3396"/>
      <c r="BD212" s="3396"/>
      <c r="BE212" s="3396"/>
      <c r="BF212" s="3396"/>
      <c r="BG212" s="3396"/>
      <c r="BH212" s="3396"/>
      <c r="BI212" s="3396"/>
      <c r="BJ212" s="3396"/>
      <c r="BK212" s="3396"/>
      <c r="BL212" s="3396"/>
      <c r="BM212" s="3396"/>
      <c r="BN212" s="3396"/>
      <c r="BO212" s="3396"/>
      <c r="BP212" s="3396"/>
      <c r="BQ212" s="3396"/>
      <c r="BR212" s="3396"/>
      <c r="BS212" s="3396"/>
      <c r="BT212" s="3396"/>
      <c r="BU212" s="3396"/>
      <c r="BV212" s="3396"/>
      <c r="BW212" s="3396"/>
      <c r="BX212" s="3396"/>
      <c r="BY212" s="3396"/>
      <c r="BZ212" s="3396"/>
      <c r="CA212" s="3396"/>
      <c r="CB212" s="3396"/>
      <c r="CC212" s="3396"/>
      <c r="CD212" s="3396"/>
      <c r="CE212" s="3396"/>
      <c r="CF212" s="3396"/>
      <c r="CG212" s="3396"/>
      <c r="CH212" s="3396"/>
      <c r="CI212" s="3396"/>
      <c r="CJ212" s="3396"/>
      <c r="CK212" s="3396"/>
      <c r="CL212" s="3396"/>
      <c r="CM212" s="3396"/>
      <c r="CN212" s="3396"/>
      <c r="CO212" s="3396"/>
      <c r="CP212" s="3396"/>
      <c r="CQ212" s="3396"/>
      <c r="CR212" s="3396"/>
      <c r="CS212" s="3396"/>
      <c r="CT212" s="3396"/>
      <c r="CU212" s="3396"/>
      <c r="CV212" s="3396"/>
      <c r="CW212" s="3396"/>
      <c r="CX212" s="3396"/>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row>
    <row r="213" ht="18.75" hidden="1" customHeight="1" spans="1:131">
      <c r="A213" s="3407" t="s">
        <v>5879</v>
      </c>
      <c r="B213" s="3409"/>
      <c r="C213" s="3409"/>
      <c r="D213" s="3409"/>
      <c r="E213" s="3409"/>
      <c r="F213" s="3409"/>
      <c r="G213" s="3409"/>
      <c r="H213" s="3409"/>
      <c r="I213" s="3409"/>
      <c r="J213" s="3409"/>
      <c r="K213" s="3409"/>
      <c r="L213" s="3409"/>
      <c r="M213" s="3409"/>
      <c r="N213" s="3408"/>
      <c r="O213" s="3408"/>
      <c r="P213" s="3408"/>
      <c r="Q213" s="3408"/>
      <c r="R213" s="3408"/>
      <c r="S213" s="3408"/>
      <c r="T213" s="3408"/>
      <c r="U213" s="3408"/>
      <c r="V213" s="3408"/>
      <c r="W213" s="3410"/>
      <c r="X213" s="3410"/>
      <c r="Y213" s="3410"/>
      <c r="Z213" s="3410"/>
      <c r="AA213" s="3410"/>
      <c r="AB213" s="3410"/>
      <c r="AC213" s="3410"/>
      <c r="AD213" s="3410"/>
      <c r="AE213" s="3410"/>
      <c r="AF213" s="3410"/>
      <c r="AG213" s="3410"/>
      <c r="AH213" s="3410"/>
      <c r="AI213" s="3410"/>
      <c r="AJ213" s="3410"/>
      <c r="AK213" s="3410"/>
      <c r="AL213" s="3409"/>
      <c r="AM213" s="3409"/>
      <c r="AN213" s="3409"/>
      <c r="AO213" s="3409"/>
      <c r="AP213" s="3409"/>
      <c r="AQ213" s="3409"/>
      <c r="AR213" s="3409"/>
      <c r="AS213" s="3409"/>
      <c r="AT213" s="3409"/>
      <c r="AU213" s="3409"/>
      <c r="AV213" s="3409"/>
      <c r="AW213" s="3409"/>
      <c r="AX213" s="3409"/>
      <c r="AY213" s="3396"/>
      <c r="AZ213" s="3396"/>
      <c r="BA213" s="3396"/>
      <c r="BB213" s="3396"/>
      <c r="BC213" s="3396"/>
      <c r="BD213" s="3396"/>
      <c r="BE213" s="3396"/>
      <c r="BF213" s="3396"/>
      <c r="BG213" s="3396"/>
      <c r="BH213" s="3396"/>
      <c r="BI213" s="3396"/>
      <c r="BJ213" s="3396"/>
      <c r="BK213" s="3396"/>
      <c r="BL213" s="3396"/>
      <c r="BM213" s="3396"/>
      <c r="BN213" s="3396"/>
      <c r="BO213" s="3396"/>
      <c r="BP213" s="3396"/>
      <c r="BQ213" s="3396"/>
      <c r="BR213" s="3396"/>
      <c r="BS213" s="3396"/>
      <c r="BT213" s="3396"/>
      <c r="BU213" s="3396"/>
      <c r="BV213" s="3396"/>
      <c r="BW213" s="3396"/>
      <c r="BX213" s="3396"/>
      <c r="BY213" s="3396"/>
      <c r="BZ213" s="3396"/>
      <c r="CA213" s="3396"/>
      <c r="CB213" s="3396"/>
      <c r="CC213" s="3396"/>
      <c r="CD213" s="3396"/>
      <c r="CE213" s="3396"/>
      <c r="CF213" s="3396"/>
      <c r="CG213" s="3396"/>
      <c r="CH213" s="3396"/>
      <c r="CI213" s="3396"/>
      <c r="CJ213" s="3396"/>
      <c r="CK213" s="3396"/>
      <c r="CL213" s="3396"/>
      <c r="CM213" s="3396"/>
      <c r="CN213" s="3396"/>
      <c r="CO213" s="3396"/>
      <c r="CP213" s="3396"/>
      <c r="CQ213" s="3396"/>
      <c r="CR213" s="3396"/>
      <c r="CS213" s="3396"/>
      <c r="CT213" s="3396"/>
      <c r="CU213" s="3396"/>
      <c r="CV213" s="3396"/>
      <c r="CW213" s="3396"/>
      <c r="CX213" s="3396"/>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row>
    <row r="214" ht="18.75" hidden="1" customHeight="1" spans="1:131">
      <c r="A214" s="3407" t="s">
        <v>5881</v>
      </c>
      <c r="B214" s="3409"/>
      <c r="C214" s="3409"/>
      <c r="D214" s="3409"/>
      <c r="E214" s="3409"/>
      <c r="F214" s="3409"/>
      <c r="G214" s="3409"/>
      <c r="H214" s="3409"/>
      <c r="I214" s="3409"/>
      <c r="J214" s="3409"/>
      <c r="K214" s="3409"/>
      <c r="L214" s="3409"/>
      <c r="M214" s="3409"/>
      <c r="N214" s="3408"/>
      <c r="O214" s="3408"/>
      <c r="P214" s="3408"/>
      <c r="Q214" s="3408"/>
      <c r="R214" s="3408"/>
      <c r="S214" s="3408"/>
      <c r="T214" s="3408"/>
      <c r="U214" s="3408"/>
      <c r="V214" s="3408"/>
      <c r="W214" s="3410"/>
      <c r="X214" s="3410"/>
      <c r="Y214" s="3410"/>
      <c r="Z214" s="3410"/>
      <c r="AA214" s="3410"/>
      <c r="AB214" s="3410"/>
      <c r="AC214" s="3410"/>
      <c r="AD214" s="3410"/>
      <c r="AE214" s="3410"/>
      <c r="AF214" s="3410"/>
      <c r="AG214" s="3410"/>
      <c r="AH214" s="3410"/>
      <c r="AI214" s="3410"/>
      <c r="AJ214" s="3410"/>
      <c r="AK214" s="3410"/>
      <c r="AL214" s="3409"/>
      <c r="AM214" s="3409"/>
      <c r="AN214" s="3409"/>
      <c r="AO214" s="3409"/>
      <c r="AP214" s="3409"/>
      <c r="AQ214" s="3409"/>
      <c r="AR214" s="3409"/>
      <c r="AS214" s="3409"/>
      <c r="AT214" s="3409"/>
      <c r="AU214" s="3409"/>
      <c r="AV214" s="3409"/>
      <c r="AW214" s="3409"/>
      <c r="AX214" s="3409"/>
      <c r="AY214" s="3396"/>
      <c r="AZ214" s="3396"/>
      <c r="BA214" s="3396"/>
      <c r="BB214" s="3396"/>
      <c r="BC214" s="3396"/>
      <c r="BD214" s="3396"/>
      <c r="BE214" s="3396"/>
      <c r="BF214" s="3396"/>
      <c r="BG214" s="3396"/>
      <c r="BH214" s="3396"/>
      <c r="BI214" s="3396"/>
      <c r="BJ214" s="3396"/>
      <c r="BK214" s="3396"/>
      <c r="BL214" s="3396"/>
      <c r="BM214" s="3396"/>
      <c r="BN214" s="3396"/>
      <c r="BO214" s="3396"/>
      <c r="BP214" s="3396"/>
      <c r="BQ214" s="3396"/>
      <c r="BR214" s="3396"/>
      <c r="BS214" s="3396"/>
      <c r="BT214" s="3396"/>
      <c r="BU214" s="3396"/>
      <c r="BV214" s="3396"/>
      <c r="BW214" s="3396"/>
      <c r="BX214" s="3396"/>
      <c r="BY214" s="3396"/>
      <c r="BZ214" s="3396"/>
      <c r="CA214" s="3396"/>
      <c r="CB214" s="3396"/>
      <c r="CC214" s="3396"/>
      <c r="CD214" s="3396"/>
      <c r="CE214" s="3396"/>
      <c r="CF214" s="3396"/>
      <c r="CG214" s="3396"/>
      <c r="CH214" s="3396"/>
      <c r="CI214" s="3396"/>
      <c r="CJ214" s="3396"/>
      <c r="CK214" s="3396"/>
      <c r="CL214" s="3396"/>
      <c r="CM214" s="3396"/>
      <c r="CN214" s="3396"/>
      <c r="CO214" s="3396"/>
      <c r="CP214" s="3396"/>
      <c r="CQ214" s="3396"/>
      <c r="CR214" s="3396"/>
      <c r="CS214" s="3396"/>
      <c r="CT214" s="3396"/>
      <c r="CU214" s="3396"/>
      <c r="CV214" s="3396"/>
      <c r="CW214" s="3396"/>
      <c r="CX214" s="3396"/>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row>
    <row r="215" ht="18.75" hidden="1" customHeight="1" spans="1:131">
      <c r="A215" s="3407" t="s">
        <v>5882</v>
      </c>
      <c r="B215" s="3409"/>
      <c r="C215" s="3409"/>
      <c r="D215" s="3409"/>
      <c r="E215" s="3409"/>
      <c r="F215" s="3409"/>
      <c r="G215" s="3409"/>
      <c r="H215" s="3409"/>
      <c r="I215" s="3409"/>
      <c r="J215" s="3409"/>
      <c r="K215" s="3409"/>
      <c r="L215" s="3409"/>
      <c r="M215" s="3409"/>
      <c r="N215" s="3408"/>
      <c r="O215" s="3408"/>
      <c r="P215" s="3408"/>
      <c r="Q215" s="3408"/>
      <c r="R215" s="3408"/>
      <c r="S215" s="3408"/>
      <c r="T215" s="3408"/>
      <c r="U215" s="3408"/>
      <c r="V215" s="3408"/>
      <c r="W215" s="3410"/>
      <c r="X215" s="3410"/>
      <c r="Y215" s="3410"/>
      <c r="Z215" s="3410"/>
      <c r="AA215" s="3410"/>
      <c r="AB215" s="3410"/>
      <c r="AC215" s="3410"/>
      <c r="AD215" s="3410"/>
      <c r="AE215" s="3410"/>
      <c r="AF215" s="3410"/>
      <c r="AG215" s="3410"/>
      <c r="AH215" s="3410"/>
      <c r="AI215" s="3410"/>
      <c r="AJ215" s="3410"/>
      <c r="AK215" s="3410"/>
      <c r="AL215" s="3409"/>
      <c r="AM215" s="3409"/>
      <c r="AN215" s="3409"/>
      <c r="AO215" s="3409"/>
      <c r="AP215" s="3409"/>
      <c r="AQ215" s="3409"/>
      <c r="AR215" s="3409"/>
      <c r="AS215" s="3409"/>
      <c r="AT215" s="3409"/>
      <c r="AU215" s="3409"/>
      <c r="AV215" s="3409"/>
      <c r="AW215" s="3409"/>
      <c r="AX215" s="3409"/>
      <c r="AY215" s="3396"/>
      <c r="AZ215" s="3396"/>
      <c r="BA215" s="3396"/>
      <c r="BB215" s="3396"/>
      <c r="BC215" s="3396"/>
      <c r="BD215" s="3396"/>
      <c r="BE215" s="3396"/>
      <c r="BF215" s="3396"/>
      <c r="BG215" s="3396"/>
      <c r="BH215" s="3396"/>
      <c r="BI215" s="3396"/>
      <c r="BJ215" s="3396"/>
      <c r="BK215" s="3396"/>
      <c r="BL215" s="3396"/>
      <c r="BM215" s="3396"/>
      <c r="BN215" s="3396"/>
      <c r="BO215" s="3396"/>
      <c r="BP215" s="3396"/>
      <c r="BQ215" s="3396"/>
      <c r="BR215" s="3396"/>
      <c r="BS215" s="3396"/>
      <c r="BT215" s="3396"/>
      <c r="BU215" s="3396"/>
      <c r="BV215" s="3396"/>
      <c r="BW215" s="3396"/>
      <c r="BX215" s="3396"/>
      <c r="BY215" s="3396"/>
      <c r="BZ215" s="3396"/>
      <c r="CA215" s="3396"/>
      <c r="CB215" s="3396"/>
      <c r="CC215" s="3396"/>
      <c r="CD215" s="3396"/>
      <c r="CE215" s="3396"/>
      <c r="CF215" s="3396"/>
      <c r="CG215" s="3396"/>
      <c r="CH215" s="3396"/>
      <c r="CI215" s="3396"/>
      <c r="CJ215" s="3396"/>
      <c r="CK215" s="3396"/>
      <c r="CL215" s="3396"/>
      <c r="CM215" s="3396"/>
      <c r="CN215" s="3396"/>
      <c r="CO215" s="3396"/>
      <c r="CP215" s="3396"/>
      <c r="CQ215" s="3396"/>
      <c r="CR215" s="3396"/>
      <c r="CS215" s="3396"/>
      <c r="CT215" s="3396"/>
      <c r="CU215" s="3396"/>
      <c r="CV215" s="3396"/>
      <c r="CW215" s="3396"/>
      <c r="CX215" s="3396"/>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row>
    <row r="216" ht="18.75" hidden="1" customHeight="1" spans="1:131">
      <c r="A216" s="3407" t="s">
        <v>5884</v>
      </c>
      <c r="B216" s="3409"/>
      <c r="C216" s="3409"/>
      <c r="D216" s="3409"/>
      <c r="E216" s="3409"/>
      <c r="F216" s="3409"/>
      <c r="G216" s="3409"/>
      <c r="H216" s="3409"/>
      <c r="I216" s="3409"/>
      <c r="J216" s="3409"/>
      <c r="K216" s="3409"/>
      <c r="L216" s="3409"/>
      <c r="M216" s="3409"/>
      <c r="N216" s="3408"/>
      <c r="O216" s="3408"/>
      <c r="P216" s="3408"/>
      <c r="Q216" s="3408"/>
      <c r="R216" s="3408"/>
      <c r="S216" s="3408"/>
      <c r="T216" s="3408"/>
      <c r="U216" s="3408"/>
      <c r="V216" s="3408"/>
      <c r="W216" s="3410"/>
      <c r="X216" s="3410"/>
      <c r="Y216" s="3410"/>
      <c r="Z216" s="3410"/>
      <c r="AA216" s="3410"/>
      <c r="AB216" s="3410"/>
      <c r="AC216" s="3410"/>
      <c r="AD216" s="3410"/>
      <c r="AE216" s="3410"/>
      <c r="AF216" s="3410"/>
      <c r="AG216" s="3410"/>
      <c r="AH216" s="3410"/>
      <c r="AI216" s="3410"/>
      <c r="AJ216" s="3410"/>
      <c r="AK216" s="3410"/>
      <c r="AL216" s="3409"/>
      <c r="AM216" s="3409"/>
      <c r="AN216" s="3409"/>
      <c r="AO216" s="3409"/>
      <c r="AP216" s="3409"/>
      <c r="AQ216" s="3409"/>
      <c r="AR216" s="3409"/>
      <c r="AS216" s="3409"/>
      <c r="AT216" s="3409"/>
      <c r="AU216" s="3409"/>
      <c r="AV216" s="3409"/>
      <c r="AW216" s="3409"/>
      <c r="AX216" s="3409"/>
      <c r="AY216" s="3396"/>
      <c r="AZ216" s="3396"/>
      <c r="BA216" s="3396"/>
      <c r="BB216" s="3396"/>
      <c r="BC216" s="3396"/>
      <c r="BD216" s="3396"/>
      <c r="BE216" s="3396"/>
      <c r="BF216" s="3396"/>
      <c r="BG216" s="3396"/>
      <c r="BH216" s="3396"/>
      <c r="BI216" s="3396"/>
      <c r="BJ216" s="3396"/>
      <c r="BK216" s="3396"/>
      <c r="BL216" s="3396"/>
      <c r="BM216" s="3396"/>
      <c r="BN216" s="3396"/>
      <c r="BO216" s="3396"/>
      <c r="BP216" s="3396"/>
      <c r="BQ216" s="3396"/>
      <c r="BR216" s="3396"/>
      <c r="BS216" s="3396"/>
      <c r="BT216" s="3396"/>
      <c r="BU216" s="3396"/>
      <c r="BV216" s="3396"/>
      <c r="BW216" s="3396"/>
      <c r="BX216" s="3396"/>
      <c r="BY216" s="3396"/>
      <c r="BZ216" s="3396"/>
      <c r="CA216" s="3396"/>
      <c r="CB216" s="3396"/>
      <c r="CC216" s="3396"/>
      <c r="CD216" s="3396"/>
      <c r="CE216" s="3396"/>
      <c r="CF216" s="3396"/>
      <c r="CG216" s="3396"/>
      <c r="CH216" s="3396"/>
      <c r="CI216" s="3396"/>
      <c r="CJ216" s="3396"/>
      <c r="CK216" s="3396"/>
      <c r="CL216" s="3396"/>
      <c r="CM216" s="3396"/>
      <c r="CN216" s="3396"/>
      <c r="CO216" s="3396"/>
      <c r="CP216" s="3396"/>
      <c r="CQ216" s="3396"/>
      <c r="CR216" s="3396"/>
      <c r="CS216" s="3396"/>
      <c r="CT216" s="3396"/>
      <c r="CU216" s="3396"/>
      <c r="CV216" s="3396"/>
      <c r="CW216" s="3396"/>
      <c r="CX216" s="3396"/>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row>
    <row r="217" ht="18.75" hidden="1" customHeight="1" spans="1:131">
      <c r="A217" s="3407" t="s">
        <v>5886</v>
      </c>
      <c r="B217" s="3409"/>
      <c r="C217" s="3409"/>
      <c r="D217" s="3409"/>
      <c r="E217" s="3409"/>
      <c r="F217" s="3409"/>
      <c r="G217" s="3409"/>
      <c r="H217" s="3409"/>
      <c r="I217" s="3409"/>
      <c r="J217" s="3409"/>
      <c r="K217" s="3409"/>
      <c r="L217" s="3409"/>
      <c r="M217" s="3409"/>
      <c r="N217" s="3408"/>
      <c r="O217" s="3408"/>
      <c r="P217" s="3408"/>
      <c r="Q217" s="3408"/>
      <c r="R217" s="3408"/>
      <c r="S217" s="3408"/>
      <c r="T217" s="3408"/>
      <c r="U217" s="3408"/>
      <c r="V217" s="3408"/>
      <c r="W217" s="3410"/>
      <c r="X217" s="3410"/>
      <c r="Y217" s="3410"/>
      <c r="Z217" s="3410"/>
      <c r="AA217" s="3410"/>
      <c r="AB217" s="3410"/>
      <c r="AC217" s="3410"/>
      <c r="AD217" s="3410"/>
      <c r="AE217" s="3410"/>
      <c r="AF217" s="3410"/>
      <c r="AG217" s="3410"/>
      <c r="AH217" s="3410"/>
      <c r="AI217" s="3410"/>
      <c r="AJ217" s="3410"/>
      <c r="AK217" s="3410"/>
      <c r="AL217" s="3409"/>
      <c r="AM217" s="3409"/>
      <c r="AN217" s="3409"/>
      <c r="AO217" s="3409"/>
      <c r="AP217" s="3409"/>
      <c r="AQ217" s="3409"/>
      <c r="AR217" s="3409"/>
      <c r="AS217" s="3409"/>
      <c r="AT217" s="3409"/>
      <c r="AU217" s="3409"/>
      <c r="AV217" s="3409"/>
      <c r="AW217" s="3409"/>
      <c r="AX217" s="3409"/>
      <c r="AY217" s="3396"/>
      <c r="AZ217" s="3396"/>
      <c r="BA217" s="3396"/>
      <c r="BB217" s="3396"/>
      <c r="BC217" s="3396"/>
      <c r="BD217" s="3396"/>
      <c r="BE217" s="3396"/>
      <c r="BF217" s="3396"/>
      <c r="BG217" s="3396"/>
      <c r="BH217" s="3396"/>
      <c r="BI217" s="3396"/>
      <c r="BJ217" s="3396"/>
      <c r="BK217" s="3396"/>
      <c r="BL217" s="3396"/>
      <c r="BM217" s="3396"/>
      <c r="BN217" s="3396"/>
      <c r="BO217" s="3396"/>
      <c r="BP217" s="3396"/>
      <c r="BQ217" s="3396"/>
      <c r="BR217" s="3396"/>
      <c r="BS217" s="3396"/>
      <c r="BT217" s="3396"/>
      <c r="BU217" s="3396"/>
      <c r="BV217" s="3396"/>
      <c r="BW217" s="3396"/>
      <c r="BX217" s="3396"/>
      <c r="BY217" s="3396"/>
      <c r="BZ217" s="3396"/>
      <c r="CA217" s="3396"/>
      <c r="CB217" s="3396"/>
      <c r="CC217" s="3396"/>
      <c r="CD217" s="3396"/>
      <c r="CE217" s="3396"/>
      <c r="CF217" s="3396"/>
      <c r="CG217" s="3396"/>
      <c r="CH217" s="3396"/>
      <c r="CI217" s="3396"/>
      <c r="CJ217" s="3396"/>
      <c r="CK217" s="3396"/>
      <c r="CL217" s="3396"/>
      <c r="CM217" s="3396"/>
      <c r="CN217" s="3396"/>
      <c r="CO217" s="3396"/>
      <c r="CP217" s="3396"/>
      <c r="CQ217" s="3396"/>
      <c r="CR217" s="3396"/>
      <c r="CS217" s="3396"/>
      <c r="CT217" s="3396"/>
      <c r="CU217" s="3396"/>
      <c r="CV217" s="3396"/>
      <c r="CW217" s="3396"/>
      <c r="CX217" s="3396"/>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row>
    <row r="218" ht="18.75" hidden="1" customHeight="1" spans="1:131">
      <c r="A218" s="3407" t="s">
        <v>5888</v>
      </c>
      <c r="B218" s="3409"/>
      <c r="C218" s="3409"/>
      <c r="D218" s="3409"/>
      <c r="E218" s="3409"/>
      <c r="F218" s="3409"/>
      <c r="G218" s="3409"/>
      <c r="H218" s="3409"/>
      <c r="I218" s="3409"/>
      <c r="J218" s="3409"/>
      <c r="K218" s="3409"/>
      <c r="L218" s="3409"/>
      <c r="M218" s="3409"/>
      <c r="N218" s="3408"/>
      <c r="O218" s="3408"/>
      <c r="P218" s="3408"/>
      <c r="Q218" s="3408"/>
      <c r="R218" s="3408"/>
      <c r="S218" s="3408"/>
      <c r="T218" s="3408"/>
      <c r="U218" s="3408"/>
      <c r="V218" s="3408"/>
      <c r="W218" s="3410"/>
      <c r="X218" s="3410"/>
      <c r="Y218" s="3410"/>
      <c r="Z218" s="3410"/>
      <c r="AA218" s="3410"/>
      <c r="AB218" s="3410"/>
      <c r="AC218" s="3410"/>
      <c r="AD218" s="3410"/>
      <c r="AE218" s="3410"/>
      <c r="AF218" s="3410"/>
      <c r="AG218" s="3410"/>
      <c r="AH218" s="3410"/>
      <c r="AI218" s="3410"/>
      <c r="AJ218" s="3410"/>
      <c r="AK218" s="3410"/>
      <c r="AL218" s="3409"/>
      <c r="AM218" s="3409"/>
      <c r="AN218" s="3409"/>
      <c r="AO218" s="3409"/>
      <c r="AP218" s="3409"/>
      <c r="AQ218" s="3409"/>
      <c r="AR218" s="3409"/>
      <c r="AS218" s="3409"/>
      <c r="AT218" s="3409"/>
      <c r="AU218" s="3409"/>
      <c r="AV218" s="3409"/>
      <c r="AW218" s="3409"/>
      <c r="AX218" s="3409"/>
      <c r="AY218" s="3396"/>
      <c r="AZ218" s="3396"/>
      <c r="BA218" s="3396"/>
      <c r="BB218" s="3396"/>
      <c r="BC218" s="3396"/>
      <c r="BD218" s="3396"/>
      <c r="BE218" s="3396"/>
      <c r="BF218" s="3396"/>
      <c r="BG218" s="3396"/>
      <c r="BH218" s="3396"/>
      <c r="BI218" s="3396"/>
      <c r="BJ218" s="3396"/>
      <c r="BK218" s="3396"/>
      <c r="BL218" s="3396"/>
      <c r="BM218" s="3396"/>
      <c r="BN218" s="3396"/>
      <c r="BO218" s="3396"/>
      <c r="BP218" s="3396"/>
      <c r="BQ218" s="3396"/>
      <c r="BR218" s="3396"/>
      <c r="BS218" s="3396"/>
      <c r="BT218" s="3396"/>
      <c r="BU218" s="3396"/>
      <c r="BV218" s="3396"/>
      <c r="BW218" s="3396"/>
      <c r="BX218" s="3396"/>
      <c r="BY218" s="3396"/>
      <c r="BZ218" s="3396"/>
      <c r="CA218" s="3396"/>
      <c r="CB218" s="3396"/>
      <c r="CC218" s="3396"/>
      <c r="CD218" s="3396"/>
      <c r="CE218" s="3396"/>
      <c r="CF218" s="3396"/>
      <c r="CG218" s="3396"/>
      <c r="CH218" s="3396"/>
      <c r="CI218" s="3396"/>
      <c r="CJ218" s="3396"/>
      <c r="CK218" s="3396"/>
      <c r="CL218" s="3396"/>
      <c r="CM218" s="3396"/>
      <c r="CN218" s="3396"/>
      <c r="CO218" s="3396"/>
      <c r="CP218" s="3396"/>
      <c r="CQ218" s="3396"/>
      <c r="CR218" s="3396"/>
      <c r="CS218" s="3396"/>
      <c r="CT218" s="3396"/>
      <c r="CU218" s="3396"/>
      <c r="CV218" s="3396"/>
      <c r="CW218" s="3396"/>
      <c r="CX218" s="3396"/>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row>
    <row r="219" ht="18.75" hidden="1" customHeight="1" spans="1:131">
      <c r="A219" s="3407" t="s">
        <v>5890</v>
      </c>
      <c r="B219" s="3409"/>
      <c r="C219" s="3409"/>
      <c r="D219" s="3409"/>
      <c r="E219" s="3409"/>
      <c r="F219" s="3409"/>
      <c r="G219" s="3409"/>
      <c r="H219" s="3409"/>
      <c r="I219" s="3409"/>
      <c r="J219" s="3409"/>
      <c r="K219" s="3409"/>
      <c r="L219" s="3409"/>
      <c r="M219" s="3409"/>
      <c r="N219" s="3408"/>
      <c r="O219" s="3408"/>
      <c r="P219" s="3408"/>
      <c r="Q219" s="3408"/>
      <c r="R219" s="3408"/>
      <c r="S219" s="3408"/>
      <c r="T219" s="3408"/>
      <c r="U219" s="3408"/>
      <c r="V219" s="3408"/>
      <c r="W219" s="3410"/>
      <c r="X219" s="3410"/>
      <c r="Y219" s="3410"/>
      <c r="Z219" s="3410"/>
      <c r="AA219" s="3410"/>
      <c r="AB219" s="3410"/>
      <c r="AC219" s="3410"/>
      <c r="AD219" s="3410"/>
      <c r="AE219" s="3410"/>
      <c r="AF219" s="3410"/>
      <c r="AG219" s="3410"/>
      <c r="AH219" s="3410"/>
      <c r="AI219" s="3410"/>
      <c r="AJ219" s="3410"/>
      <c r="AK219" s="3410"/>
      <c r="AL219" s="3409"/>
      <c r="AM219" s="3409"/>
      <c r="AN219" s="3409"/>
      <c r="AO219" s="3409"/>
      <c r="AP219" s="3409"/>
      <c r="AQ219" s="3409"/>
      <c r="AR219" s="3409"/>
      <c r="AS219" s="3409"/>
      <c r="AT219" s="3409"/>
      <c r="AU219" s="3409"/>
      <c r="AV219" s="3409"/>
      <c r="AW219" s="3409"/>
      <c r="AX219" s="3409"/>
      <c r="AY219" s="3396"/>
      <c r="AZ219" s="3396"/>
      <c r="BA219" s="3396"/>
      <c r="BB219" s="3396"/>
      <c r="BC219" s="3396"/>
      <c r="BD219" s="3396"/>
      <c r="BE219" s="3396"/>
      <c r="BF219" s="3396"/>
      <c r="BG219" s="3396"/>
      <c r="BH219" s="3396"/>
      <c r="BI219" s="3396"/>
      <c r="BJ219" s="3396"/>
      <c r="BK219" s="3396"/>
      <c r="BL219" s="3396"/>
      <c r="BM219" s="3396"/>
      <c r="BN219" s="3396"/>
      <c r="BO219" s="3396"/>
      <c r="BP219" s="3396"/>
      <c r="BQ219" s="3396"/>
      <c r="BR219" s="3396"/>
      <c r="BS219" s="3396"/>
      <c r="BT219" s="3396"/>
      <c r="BU219" s="3396"/>
      <c r="BV219" s="3396"/>
      <c r="BW219" s="3396"/>
      <c r="BX219" s="3396"/>
      <c r="BY219" s="3396"/>
      <c r="BZ219" s="3396"/>
      <c r="CA219" s="3396"/>
      <c r="CB219" s="3396"/>
      <c r="CC219" s="3396"/>
      <c r="CD219" s="3396"/>
      <c r="CE219" s="3396"/>
      <c r="CF219" s="3396"/>
      <c r="CG219" s="3396"/>
      <c r="CH219" s="3396"/>
      <c r="CI219" s="3396"/>
      <c r="CJ219" s="3396"/>
      <c r="CK219" s="3396"/>
      <c r="CL219" s="3396"/>
      <c r="CM219" s="3396"/>
      <c r="CN219" s="3396"/>
      <c r="CO219" s="3396"/>
      <c r="CP219" s="3396"/>
      <c r="CQ219" s="3396"/>
      <c r="CR219" s="3396"/>
      <c r="CS219" s="3396"/>
      <c r="CT219" s="3396"/>
      <c r="CU219" s="3396"/>
      <c r="CV219" s="3396"/>
      <c r="CW219" s="3396"/>
      <c r="CX219" s="3396"/>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row>
    <row r="220" ht="18.75" hidden="1" customHeight="1" spans="1:131">
      <c r="A220" s="3407" t="s">
        <v>5892</v>
      </c>
      <c r="B220" s="3409"/>
      <c r="C220" s="3409"/>
      <c r="D220" s="3409"/>
      <c r="E220" s="3409"/>
      <c r="F220" s="3409"/>
      <c r="G220" s="3409"/>
      <c r="H220" s="3409"/>
      <c r="I220" s="3409"/>
      <c r="J220" s="3409"/>
      <c r="K220" s="3409"/>
      <c r="L220" s="3409"/>
      <c r="M220" s="3409"/>
      <c r="N220" s="3408"/>
      <c r="O220" s="3408"/>
      <c r="P220" s="3408"/>
      <c r="Q220" s="3408"/>
      <c r="R220" s="3408"/>
      <c r="S220" s="3408"/>
      <c r="T220" s="3408"/>
      <c r="U220" s="3408"/>
      <c r="V220" s="3408"/>
      <c r="W220" s="3410"/>
      <c r="X220" s="3410"/>
      <c r="Y220" s="3410"/>
      <c r="Z220" s="3410"/>
      <c r="AA220" s="3410"/>
      <c r="AB220" s="3410"/>
      <c r="AC220" s="3410"/>
      <c r="AD220" s="3410"/>
      <c r="AE220" s="3410"/>
      <c r="AF220" s="3410"/>
      <c r="AG220" s="3410"/>
      <c r="AH220" s="3410"/>
      <c r="AI220" s="3410"/>
      <c r="AJ220" s="3410"/>
      <c r="AK220" s="3410"/>
      <c r="AL220" s="3409"/>
      <c r="AM220" s="3409"/>
      <c r="AN220" s="3409"/>
      <c r="AO220" s="3409"/>
      <c r="AP220" s="3409"/>
      <c r="AQ220" s="3409"/>
      <c r="AR220" s="3409"/>
      <c r="AS220" s="3409"/>
      <c r="AT220" s="3409"/>
      <c r="AU220" s="3409"/>
      <c r="AV220" s="3409"/>
      <c r="AW220" s="3409"/>
      <c r="AX220" s="3409"/>
      <c r="AY220" s="3396"/>
      <c r="AZ220" s="3396"/>
      <c r="BA220" s="3396"/>
      <c r="BB220" s="3396"/>
      <c r="BC220" s="3396"/>
      <c r="BD220" s="3396"/>
      <c r="BE220" s="3396"/>
      <c r="BF220" s="3396"/>
      <c r="BG220" s="3396"/>
      <c r="BH220" s="3396"/>
      <c r="BI220" s="3396"/>
      <c r="BJ220" s="3396"/>
      <c r="BK220" s="3396"/>
      <c r="BL220" s="3396"/>
      <c r="BM220" s="3396"/>
      <c r="BN220" s="3396"/>
      <c r="BO220" s="3396"/>
      <c r="BP220" s="3396"/>
      <c r="BQ220" s="3396"/>
      <c r="BR220" s="3396"/>
      <c r="BS220" s="3396"/>
      <c r="BT220" s="3396"/>
      <c r="BU220" s="3396"/>
      <c r="BV220" s="3396"/>
      <c r="BW220" s="3396"/>
      <c r="BX220" s="3396"/>
      <c r="BY220" s="3396"/>
      <c r="BZ220" s="3396"/>
      <c r="CA220" s="3396"/>
      <c r="CB220" s="3396"/>
      <c r="CC220" s="3396"/>
      <c r="CD220" s="3396"/>
      <c r="CE220" s="3396"/>
      <c r="CF220" s="3396"/>
      <c r="CG220" s="3396"/>
      <c r="CH220" s="3396"/>
      <c r="CI220" s="3396"/>
      <c r="CJ220" s="3396"/>
      <c r="CK220" s="3396"/>
      <c r="CL220" s="3396"/>
      <c r="CM220" s="3396"/>
      <c r="CN220" s="3396"/>
      <c r="CO220" s="3396"/>
      <c r="CP220" s="3396"/>
      <c r="CQ220" s="3396"/>
      <c r="CR220" s="3396"/>
      <c r="CS220" s="3396"/>
      <c r="CT220" s="3396"/>
      <c r="CU220" s="3396"/>
      <c r="CV220" s="3396"/>
      <c r="CW220" s="3396"/>
      <c r="CX220" s="3396"/>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row>
    <row r="221" ht="18.75" hidden="1" customHeight="1" spans="1:131">
      <c r="A221" s="3407" t="s">
        <v>5894</v>
      </c>
      <c r="B221" s="3409"/>
      <c r="C221" s="3409"/>
      <c r="D221" s="3409"/>
      <c r="E221" s="3409"/>
      <c r="F221" s="3409"/>
      <c r="G221" s="3409"/>
      <c r="H221" s="3409"/>
      <c r="I221" s="3409"/>
      <c r="J221" s="3409"/>
      <c r="K221" s="3409"/>
      <c r="L221" s="3409"/>
      <c r="M221" s="3409"/>
      <c r="N221" s="3408"/>
      <c r="O221" s="3408"/>
      <c r="P221" s="3408"/>
      <c r="Q221" s="3408"/>
      <c r="R221" s="3408"/>
      <c r="S221" s="3408"/>
      <c r="T221" s="3408"/>
      <c r="U221" s="3408"/>
      <c r="V221" s="3408"/>
      <c r="W221" s="3410"/>
      <c r="X221" s="3410"/>
      <c r="Y221" s="3410"/>
      <c r="Z221" s="3410"/>
      <c r="AA221" s="3410"/>
      <c r="AB221" s="3410"/>
      <c r="AC221" s="3410"/>
      <c r="AD221" s="3410"/>
      <c r="AE221" s="3410"/>
      <c r="AF221" s="3410"/>
      <c r="AG221" s="3410"/>
      <c r="AH221" s="3410"/>
      <c r="AI221" s="3410"/>
      <c r="AJ221" s="3410"/>
      <c r="AK221" s="3410"/>
      <c r="AL221" s="3409"/>
      <c r="AM221" s="3409"/>
      <c r="AN221" s="3409"/>
      <c r="AO221" s="3409"/>
      <c r="AP221" s="3409"/>
      <c r="AQ221" s="3409"/>
      <c r="AR221" s="3409"/>
      <c r="AS221" s="3409"/>
      <c r="AT221" s="3409"/>
      <c r="AU221" s="3409"/>
      <c r="AV221" s="3409"/>
      <c r="AW221" s="3409"/>
      <c r="AX221" s="3409"/>
      <c r="AY221" s="3396"/>
      <c r="AZ221" s="3396"/>
      <c r="BA221" s="3396"/>
      <c r="BB221" s="3396"/>
      <c r="BC221" s="3396"/>
      <c r="BD221" s="3396"/>
      <c r="BE221" s="3396"/>
      <c r="BF221" s="3396"/>
      <c r="BG221" s="3396"/>
      <c r="BH221" s="3396"/>
      <c r="BI221" s="3396"/>
      <c r="BJ221" s="3396"/>
      <c r="BK221" s="3396"/>
      <c r="BL221" s="3396"/>
      <c r="BM221" s="3396"/>
      <c r="BN221" s="3396"/>
      <c r="BO221" s="3396"/>
      <c r="BP221" s="3396"/>
      <c r="BQ221" s="3396"/>
      <c r="BR221" s="3396"/>
      <c r="BS221" s="3396"/>
      <c r="BT221" s="3396"/>
      <c r="BU221" s="3396"/>
      <c r="BV221" s="3396"/>
      <c r="BW221" s="3396"/>
      <c r="BX221" s="3396"/>
      <c r="BY221" s="3396"/>
      <c r="BZ221" s="3396"/>
      <c r="CA221" s="3396"/>
      <c r="CB221" s="3396"/>
      <c r="CC221" s="3396"/>
      <c r="CD221" s="3396"/>
      <c r="CE221" s="3396"/>
      <c r="CF221" s="3396"/>
      <c r="CG221" s="3396"/>
      <c r="CH221" s="3396"/>
      <c r="CI221" s="3396"/>
      <c r="CJ221" s="3396"/>
      <c r="CK221" s="3396"/>
      <c r="CL221" s="3396"/>
      <c r="CM221" s="3396"/>
      <c r="CN221" s="3396"/>
      <c r="CO221" s="3396"/>
      <c r="CP221" s="3396"/>
      <c r="CQ221" s="3396"/>
      <c r="CR221" s="3396"/>
      <c r="CS221" s="3396"/>
      <c r="CT221" s="3396"/>
      <c r="CU221" s="3396"/>
      <c r="CV221" s="3396"/>
      <c r="CW221" s="3396"/>
      <c r="CX221" s="3396"/>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row>
    <row r="222" ht="18.75" hidden="1" customHeight="1" spans="1:131">
      <c r="A222" s="3407" t="s">
        <v>5896</v>
      </c>
      <c r="B222" s="3409"/>
      <c r="C222" s="3409"/>
      <c r="D222" s="3409"/>
      <c r="E222" s="3409"/>
      <c r="F222" s="3409"/>
      <c r="G222" s="3409"/>
      <c r="H222" s="3409"/>
      <c r="I222" s="3409"/>
      <c r="J222" s="3409"/>
      <c r="K222" s="3409"/>
      <c r="L222" s="3409"/>
      <c r="M222" s="3409"/>
      <c r="N222" s="3408"/>
      <c r="O222" s="3408"/>
      <c r="P222" s="3408"/>
      <c r="Q222" s="3408"/>
      <c r="R222" s="3408"/>
      <c r="S222" s="3408"/>
      <c r="T222" s="3408"/>
      <c r="U222" s="3408"/>
      <c r="V222" s="3408"/>
      <c r="W222" s="3410"/>
      <c r="X222" s="3410"/>
      <c r="Y222" s="3410"/>
      <c r="Z222" s="3410"/>
      <c r="AA222" s="3410"/>
      <c r="AB222" s="3410"/>
      <c r="AC222" s="3410"/>
      <c r="AD222" s="3410"/>
      <c r="AE222" s="3410"/>
      <c r="AF222" s="3410"/>
      <c r="AG222" s="3410"/>
      <c r="AH222" s="3410"/>
      <c r="AI222" s="3410"/>
      <c r="AJ222" s="3410"/>
      <c r="AK222" s="3410"/>
      <c r="AL222" s="3409"/>
      <c r="AM222" s="3409"/>
      <c r="AN222" s="3409"/>
      <c r="AO222" s="3409"/>
      <c r="AP222" s="3409"/>
      <c r="AQ222" s="3409"/>
      <c r="AR222" s="3409"/>
      <c r="AS222" s="3409"/>
      <c r="AT222" s="3409"/>
      <c r="AU222" s="3409"/>
      <c r="AV222" s="3409"/>
      <c r="AW222" s="3409"/>
      <c r="AX222" s="3409"/>
      <c r="AY222" s="3396"/>
      <c r="AZ222" s="3396"/>
      <c r="BA222" s="3396"/>
      <c r="BB222" s="3396"/>
      <c r="BC222" s="3396"/>
      <c r="BD222" s="3396"/>
      <c r="BE222" s="3396"/>
      <c r="BF222" s="3396"/>
      <c r="BG222" s="3396"/>
      <c r="BH222" s="3396"/>
      <c r="BI222" s="3396"/>
      <c r="BJ222" s="3396"/>
      <c r="BK222" s="3396"/>
      <c r="BL222" s="3396"/>
      <c r="BM222" s="3396"/>
      <c r="BN222" s="3396"/>
      <c r="BO222" s="3396"/>
      <c r="BP222" s="3396"/>
      <c r="BQ222" s="3396"/>
      <c r="BR222" s="3396"/>
      <c r="BS222" s="3396"/>
      <c r="BT222" s="3396"/>
      <c r="BU222" s="3396"/>
      <c r="BV222" s="3396"/>
      <c r="BW222" s="3396"/>
      <c r="BX222" s="3396"/>
      <c r="BY222" s="3396"/>
      <c r="BZ222" s="3396"/>
      <c r="CA222" s="3396"/>
      <c r="CB222" s="3396"/>
      <c r="CC222" s="3396"/>
      <c r="CD222" s="3396"/>
      <c r="CE222" s="3396"/>
      <c r="CF222" s="3396"/>
      <c r="CG222" s="3396"/>
      <c r="CH222" s="3396"/>
      <c r="CI222" s="3396"/>
      <c r="CJ222" s="3396"/>
      <c r="CK222" s="3396"/>
      <c r="CL222" s="3396"/>
      <c r="CM222" s="3396"/>
      <c r="CN222" s="3396"/>
      <c r="CO222" s="3396"/>
      <c r="CP222" s="3396"/>
      <c r="CQ222" s="3396"/>
      <c r="CR222" s="3396"/>
      <c r="CS222" s="3396"/>
      <c r="CT222" s="3396"/>
      <c r="CU222" s="3396"/>
      <c r="CV222" s="3396"/>
      <c r="CW222" s="3396"/>
      <c r="CX222" s="3396"/>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row>
    <row r="223" ht="18.75" hidden="1" customHeight="1" spans="1:131">
      <c r="A223" s="3407" t="s">
        <v>5898</v>
      </c>
      <c r="B223" s="3409"/>
      <c r="C223" s="3409"/>
      <c r="D223" s="3409"/>
      <c r="E223" s="3409"/>
      <c r="F223" s="3409"/>
      <c r="G223" s="3409"/>
      <c r="H223" s="3409"/>
      <c r="I223" s="3409"/>
      <c r="J223" s="3409"/>
      <c r="K223" s="3409"/>
      <c r="L223" s="3409"/>
      <c r="M223" s="3409"/>
      <c r="N223" s="3408"/>
      <c r="O223" s="3408"/>
      <c r="P223" s="3408"/>
      <c r="Q223" s="3408"/>
      <c r="R223" s="3408"/>
      <c r="S223" s="3408"/>
      <c r="T223" s="3408"/>
      <c r="U223" s="3408"/>
      <c r="V223" s="3408"/>
      <c r="W223" s="3410"/>
      <c r="X223" s="3410"/>
      <c r="Y223" s="3410"/>
      <c r="Z223" s="3410"/>
      <c r="AA223" s="3410"/>
      <c r="AB223" s="3410"/>
      <c r="AC223" s="3410"/>
      <c r="AD223" s="3410"/>
      <c r="AE223" s="3410"/>
      <c r="AF223" s="3410"/>
      <c r="AG223" s="3410"/>
      <c r="AH223" s="3410"/>
      <c r="AI223" s="3410"/>
      <c r="AJ223" s="3410"/>
      <c r="AK223" s="3410"/>
      <c r="AL223" s="3409"/>
      <c r="AM223" s="3409"/>
      <c r="AN223" s="3409"/>
      <c r="AO223" s="3409"/>
      <c r="AP223" s="3409"/>
      <c r="AQ223" s="3409"/>
      <c r="AR223" s="3409"/>
      <c r="AS223" s="3409"/>
      <c r="AT223" s="3409"/>
      <c r="AU223" s="3409"/>
      <c r="AV223" s="3409"/>
      <c r="AW223" s="3409"/>
      <c r="AX223" s="3409"/>
      <c r="AY223" s="3396"/>
      <c r="AZ223" s="3396"/>
      <c r="BA223" s="3396"/>
      <c r="BB223" s="3396"/>
      <c r="BC223" s="3396"/>
      <c r="BD223" s="3396"/>
      <c r="BE223" s="3396"/>
      <c r="BF223" s="3396"/>
      <c r="BG223" s="3396"/>
      <c r="BH223" s="3396"/>
      <c r="BI223" s="3396"/>
      <c r="BJ223" s="3396"/>
      <c r="BK223" s="3396"/>
      <c r="BL223" s="3396"/>
      <c r="BM223" s="3396"/>
      <c r="BN223" s="3396"/>
      <c r="BO223" s="3396"/>
      <c r="BP223" s="3396"/>
      <c r="BQ223" s="3396"/>
      <c r="BR223" s="3396"/>
      <c r="BS223" s="3396"/>
      <c r="BT223" s="3396"/>
      <c r="BU223" s="3396"/>
      <c r="BV223" s="3396"/>
      <c r="BW223" s="3396"/>
      <c r="BX223" s="3396"/>
      <c r="BY223" s="3396"/>
      <c r="BZ223" s="3396"/>
      <c r="CA223" s="3396"/>
      <c r="CB223" s="3396"/>
      <c r="CC223" s="3396"/>
      <c r="CD223" s="3396"/>
      <c r="CE223" s="3396"/>
      <c r="CF223" s="3396"/>
      <c r="CG223" s="3396"/>
      <c r="CH223" s="3396"/>
      <c r="CI223" s="3396"/>
      <c r="CJ223" s="3396"/>
      <c r="CK223" s="3396"/>
      <c r="CL223" s="3396"/>
      <c r="CM223" s="3396"/>
      <c r="CN223" s="3396"/>
      <c r="CO223" s="3396"/>
      <c r="CP223" s="3396"/>
      <c r="CQ223" s="3396"/>
      <c r="CR223" s="3396"/>
      <c r="CS223" s="3396"/>
      <c r="CT223" s="3396"/>
      <c r="CU223" s="3396"/>
      <c r="CV223" s="3396"/>
      <c r="CW223" s="3396"/>
      <c r="CX223" s="3396"/>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row>
    <row r="224" ht="18.75" hidden="1" customHeight="1" spans="1:131">
      <c r="A224" s="3407" t="s">
        <v>5900</v>
      </c>
      <c r="B224" s="3409"/>
      <c r="C224" s="3409"/>
      <c r="D224" s="3409"/>
      <c r="E224" s="3409"/>
      <c r="F224" s="3409"/>
      <c r="G224" s="3409"/>
      <c r="H224" s="3409"/>
      <c r="I224" s="3409"/>
      <c r="J224" s="3409"/>
      <c r="K224" s="3409"/>
      <c r="L224" s="3409"/>
      <c r="M224" s="3409"/>
      <c r="N224" s="3408"/>
      <c r="O224" s="3408"/>
      <c r="P224" s="3408"/>
      <c r="Q224" s="3408"/>
      <c r="R224" s="3408"/>
      <c r="S224" s="3408"/>
      <c r="T224" s="3408"/>
      <c r="U224" s="3408"/>
      <c r="V224" s="3408"/>
      <c r="W224" s="3410"/>
      <c r="X224" s="3410"/>
      <c r="Y224" s="3410"/>
      <c r="Z224" s="3410"/>
      <c r="AA224" s="3410"/>
      <c r="AB224" s="3410"/>
      <c r="AC224" s="3410"/>
      <c r="AD224" s="3410"/>
      <c r="AE224" s="3410"/>
      <c r="AF224" s="3410"/>
      <c r="AG224" s="3410"/>
      <c r="AH224" s="3410"/>
      <c r="AI224" s="3410"/>
      <c r="AJ224" s="3410"/>
      <c r="AK224" s="3410"/>
      <c r="AL224" s="3409"/>
      <c r="AM224" s="3409"/>
      <c r="AN224" s="3409"/>
      <c r="AO224" s="3409"/>
      <c r="AP224" s="3409"/>
      <c r="AQ224" s="3409"/>
      <c r="AR224" s="3409"/>
      <c r="AS224" s="3409"/>
      <c r="AT224" s="3409"/>
      <c r="AU224" s="3409"/>
      <c r="AV224" s="3409"/>
      <c r="AW224" s="3409"/>
      <c r="AX224" s="3409"/>
      <c r="AY224" s="3396"/>
      <c r="AZ224" s="3396"/>
      <c r="BA224" s="3396"/>
      <c r="BB224" s="3396"/>
      <c r="BC224" s="3396"/>
      <c r="BD224" s="3396"/>
      <c r="BE224" s="3396"/>
      <c r="BF224" s="3396"/>
      <c r="BG224" s="3396"/>
      <c r="BH224" s="3396"/>
      <c r="BI224" s="3396"/>
      <c r="BJ224" s="3396"/>
      <c r="BK224" s="3396"/>
      <c r="BL224" s="3396"/>
      <c r="BM224" s="3396"/>
      <c r="BN224" s="3396"/>
      <c r="BO224" s="3396"/>
      <c r="BP224" s="3396"/>
      <c r="BQ224" s="3396"/>
      <c r="BR224" s="3396"/>
      <c r="BS224" s="3396"/>
      <c r="BT224" s="3396"/>
      <c r="BU224" s="3396"/>
      <c r="BV224" s="3396"/>
      <c r="BW224" s="3396"/>
      <c r="BX224" s="3396"/>
      <c r="BY224" s="3396"/>
      <c r="BZ224" s="3396"/>
      <c r="CA224" s="3396"/>
      <c r="CB224" s="3396"/>
      <c r="CC224" s="3396"/>
      <c r="CD224" s="3396"/>
      <c r="CE224" s="3396"/>
      <c r="CF224" s="3396"/>
      <c r="CG224" s="3396"/>
      <c r="CH224" s="3396"/>
      <c r="CI224" s="3396"/>
      <c r="CJ224" s="3396"/>
      <c r="CK224" s="3396"/>
      <c r="CL224" s="3396"/>
      <c r="CM224" s="3396"/>
      <c r="CN224" s="3396"/>
      <c r="CO224" s="3396"/>
      <c r="CP224" s="3396"/>
      <c r="CQ224" s="3396"/>
      <c r="CR224" s="3396"/>
      <c r="CS224" s="3396"/>
      <c r="CT224" s="3396"/>
      <c r="CU224" s="3396"/>
      <c r="CV224" s="3396"/>
      <c r="CW224" s="3396"/>
      <c r="CX224" s="3396"/>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row>
    <row r="225" ht="18.75" hidden="1" customHeight="1" spans="1:131">
      <c r="A225" s="3407" t="s">
        <v>5902</v>
      </c>
      <c r="B225" s="3409"/>
      <c r="C225" s="3409"/>
      <c r="D225" s="3409"/>
      <c r="E225" s="3409"/>
      <c r="F225" s="3409"/>
      <c r="G225" s="3409"/>
      <c r="H225" s="3409"/>
      <c r="I225" s="3409"/>
      <c r="J225" s="3409"/>
      <c r="K225" s="3409"/>
      <c r="L225" s="3409"/>
      <c r="M225" s="3409"/>
      <c r="N225" s="3408"/>
      <c r="O225" s="3408"/>
      <c r="P225" s="3408"/>
      <c r="Q225" s="3408"/>
      <c r="R225" s="3408"/>
      <c r="S225" s="3408"/>
      <c r="T225" s="3408"/>
      <c r="U225" s="3408"/>
      <c r="V225" s="3408"/>
      <c r="W225" s="3410"/>
      <c r="X225" s="3410"/>
      <c r="Y225" s="3410"/>
      <c r="Z225" s="3410"/>
      <c r="AA225" s="3410"/>
      <c r="AB225" s="3410"/>
      <c r="AC225" s="3410"/>
      <c r="AD225" s="3410"/>
      <c r="AE225" s="3410"/>
      <c r="AF225" s="3410"/>
      <c r="AG225" s="3410"/>
      <c r="AH225" s="3410"/>
      <c r="AI225" s="3410"/>
      <c r="AJ225" s="3410"/>
      <c r="AK225" s="3410"/>
      <c r="AL225" s="3409"/>
      <c r="AM225" s="3409"/>
      <c r="AN225" s="3409"/>
      <c r="AO225" s="3409"/>
      <c r="AP225" s="3409"/>
      <c r="AQ225" s="3409"/>
      <c r="AR225" s="3409"/>
      <c r="AS225" s="3409"/>
      <c r="AT225" s="3409"/>
      <c r="AU225" s="3409"/>
      <c r="AV225" s="3409"/>
      <c r="AW225" s="3409"/>
      <c r="AX225" s="3409"/>
      <c r="AY225" s="3396"/>
      <c r="AZ225" s="3396"/>
      <c r="BA225" s="3396"/>
      <c r="BB225" s="3396"/>
      <c r="BC225" s="3396"/>
      <c r="BD225" s="3396"/>
      <c r="BE225" s="3396"/>
      <c r="BF225" s="3396"/>
      <c r="BG225" s="3396"/>
      <c r="BH225" s="3396"/>
      <c r="BI225" s="3396"/>
      <c r="BJ225" s="3396"/>
      <c r="BK225" s="3396"/>
      <c r="BL225" s="3396"/>
      <c r="BM225" s="3396"/>
      <c r="BN225" s="3396"/>
      <c r="BO225" s="3396"/>
      <c r="BP225" s="3396"/>
      <c r="BQ225" s="3396"/>
      <c r="BR225" s="3396"/>
      <c r="BS225" s="3396"/>
      <c r="BT225" s="3396"/>
      <c r="BU225" s="3396"/>
      <c r="BV225" s="3396"/>
      <c r="BW225" s="3396"/>
      <c r="BX225" s="3396"/>
      <c r="BY225" s="3396"/>
      <c r="BZ225" s="3396"/>
      <c r="CA225" s="3396"/>
      <c r="CB225" s="3396"/>
      <c r="CC225" s="3396"/>
      <c r="CD225" s="3396"/>
      <c r="CE225" s="3396"/>
      <c r="CF225" s="3396"/>
      <c r="CG225" s="3396"/>
      <c r="CH225" s="3396"/>
      <c r="CI225" s="3396"/>
      <c r="CJ225" s="3396"/>
      <c r="CK225" s="3396"/>
      <c r="CL225" s="3396"/>
      <c r="CM225" s="3396"/>
      <c r="CN225" s="3396"/>
      <c r="CO225" s="3396"/>
      <c r="CP225" s="3396"/>
      <c r="CQ225" s="3396"/>
      <c r="CR225" s="3396"/>
      <c r="CS225" s="3396"/>
      <c r="CT225" s="3396"/>
      <c r="CU225" s="3396"/>
      <c r="CV225" s="3396"/>
      <c r="CW225" s="3396"/>
      <c r="CX225" s="3396"/>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row>
    <row r="226" ht="18.75" hidden="1" customHeight="1" spans="1:131">
      <c r="A226" s="3407" t="s">
        <v>5904</v>
      </c>
      <c r="B226" s="3409"/>
      <c r="C226" s="3409"/>
      <c r="D226" s="3409"/>
      <c r="E226" s="3409"/>
      <c r="F226" s="3409"/>
      <c r="G226" s="3409"/>
      <c r="H226" s="3409"/>
      <c r="I226" s="3409"/>
      <c r="J226" s="3409"/>
      <c r="K226" s="3409"/>
      <c r="L226" s="3409"/>
      <c r="M226" s="3409"/>
      <c r="N226" s="3408"/>
      <c r="O226" s="3408"/>
      <c r="P226" s="3408"/>
      <c r="Q226" s="3408"/>
      <c r="R226" s="3408"/>
      <c r="S226" s="3408"/>
      <c r="T226" s="3408"/>
      <c r="U226" s="3408"/>
      <c r="V226" s="3408"/>
      <c r="W226" s="3410"/>
      <c r="X226" s="3410"/>
      <c r="Y226" s="3410"/>
      <c r="Z226" s="3410"/>
      <c r="AA226" s="3410"/>
      <c r="AB226" s="3410"/>
      <c r="AC226" s="3410"/>
      <c r="AD226" s="3410"/>
      <c r="AE226" s="3410"/>
      <c r="AF226" s="3410"/>
      <c r="AG226" s="3410"/>
      <c r="AH226" s="3410"/>
      <c r="AI226" s="3410"/>
      <c r="AJ226" s="3410"/>
      <c r="AK226" s="3410"/>
      <c r="AL226" s="3409"/>
      <c r="AM226" s="3409"/>
      <c r="AN226" s="3409"/>
      <c r="AO226" s="3409"/>
      <c r="AP226" s="3409"/>
      <c r="AQ226" s="3409"/>
      <c r="AR226" s="3409"/>
      <c r="AS226" s="3409"/>
      <c r="AT226" s="3409"/>
      <c r="AU226" s="3409"/>
      <c r="AV226" s="3409"/>
      <c r="AW226" s="3409"/>
      <c r="AX226" s="3409"/>
      <c r="AY226" s="3396"/>
      <c r="AZ226" s="3396"/>
      <c r="BA226" s="3396"/>
      <c r="BB226" s="3396"/>
      <c r="BC226" s="3396"/>
      <c r="BD226" s="3396"/>
      <c r="BE226" s="3396"/>
      <c r="BF226" s="3396"/>
      <c r="BG226" s="3396"/>
      <c r="BH226" s="3396"/>
      <c r="BI226" s="3396"/>
      <c r="BJ226" s="3396"/>
      <c r="BK226" s="3396"/>
      <c r="BL226" s="3396"/>
      <c r="BM226" s="3396"/>
      <c r="BN226" s="3396"/>
      <c r="BO226" s="3396"/>
      <c r="BP226" s="3396"/>
      <c r="BQ226" s="3396"/>
      <c r="BR226" s="3396"/>
      <c r="BS226" s="3396"/>
      <c r="BT226" s="3396"/>
      <c r="BU226" s="3396"/>
      <c r="BV226" s="3396"/>
      <c r="BW226" s="3396"/>
      <c r="BX226" s="3396"/>
      <c r="BY226" s="3396"/>
      <c r="BZ226" s="3396"/>
      <c r="CA226" s="3396"/>
      <c r="CB226" s="3396"/>
      <c r="CC226" s="3396"/>
      <c r="CD226" s="3396"/>
      <c r="CE226" s="3396"/>
      <c r="CF226" s="3396"/>
      <c r="CG226" s="3396"/>
      <c r="CH226" s="3396"/>
      <c r="CI226" s="3396"/>
      <c r="CJ226" s="3396"/>
      <c r="CK226" s="3396"/>
      <c r="CL226" s="3396"/>
      <c r="CM226" s="3396"/>
      <c r="CN226" s="3396"/>
      <c r="CO226" s="3396"/>
      <c r="CP226" s="3396"/>
      <c r="CQ226" s="3396"/>
      <c r="CR226" s="3396"/>
      <c r="CS226" s="3396"/>
      <c r="CT226" s="3396"/>
      <c r="CU226" s="3396"/>
      <c r="CV226" s="3396"/>
      <c r="CW226" s="3396"/>
      <c r="CX226" s="3396"/>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row>
    <row r="227" ht="18.75" hidden="1" customHeight="1" spans="1:131">
      <c r="A227" s="3407" t="s">
        <v>5908</v>
      </c>
      <c r="B227" s="3409"/>
      <c r="C227" s="3409"/>
      <c r="D227" s="3409"/>
      <c r="E227" s="3409"/>
      <c r="F227" s="3409"/>
      <c r="G227" s="3409"/>
      <c r="H227" s="3409"/>
      <c r="I227" s="3409"/>
      <c r="J227" s="3409"/>
      <c r="K227" s="3409"/>
      <c r="L227" s="3409"/>
      <c r="M227" s="3409"/>
      <c r="N227" s="3408"/>
      <c r="O227" s="3408"/>
      <c r="P227" s="3408"/>
      <c r="Q227" s="3408"/>
      <c r="R227" s="3408"/>
      <c r="S227" s="3408"/>
      <c r="T227" s="3408"/>
      <c r="U227" s="3408"/>
      <c r="V227" s="3408"/>
      <c r="W227" s="3410"/>
      <c r="X227" s="3410"/>
      <c r="Y227" s="3410"/>
      <c r="Z227" s="3410"/>
      <c r="AA227" s="3410"/>
      <c r="AB227" s="3410"/>
      <c r="AC227" s="3410"/>
      <c r="AD227" s="3410"/>
      <c r="AE227" s="3410"/>
      <c r="AF227" s="3410"/>
      <c r="AG227" s="3410"/>
      <c r="AH227" s="3410"/>
      <c r="AI227" s="3410"/>
      <c r="AJ227" s="3410"/>
      <c r="AK227" s="3410"/>
      <c r="AL227" s="3409"/>
      <c r="AM227" s="3409"/>
      <c r="AN227" s="3409"/>
      <c r="AO227" s="3409"/>
      <c r="AP227" s="3409"/>
      <c r="AQ227" s="3409"/>
      <c r="AR227" s="3409"/>
      <c r="AS227" s="3409"/>
      <c r="AT227" s="3409"/>
      <c r="AU227" s="3409"/>
      <c r="AV227" s="3409"/>
      <c r="AW227" s="3409"/>
      <c r="AX227" s="3409"/>
      <c r="AY227" s="3396"/>
      <c r="AZ227" s="3396"/>
      <c r="BA227" s="3396"/>
      <c r="BB227" s="3396"/>
      <c r="BC227" s="3396"/>
      <c r="BD227" s="3396"/>
      <c r="BE227" s="3396"/>
      <c r="BF227" s="3396"/>
      <c r="BG227" s="3396"/>
      <c r="BH227" s="3396"/>
      <c r="BI227" s="3396"/>
      <c r="BJ227" s="3396"/>
      <c r="BK227" s="3396"/>
      <c r="BL227" s="3396"/>
      <c r="BM227" s="3396"/>
      <c r="BN227" s="3396"/>
      <c r="BO227" s="3396"/>
      <c r="BP227" s="3396"/>
      <c r="BQ227" s="3396"/>
      <c r="BR227" s="3396"/>
      <c r="BS227" s="3396"/>
      <c r="BT227" s="3396"/>
      <c r="BU227" s="3396"/>
      <c r="BV227" s="3396"/>
      <c r="BW227" s="3396"/>
      <c r="BX227" s="3396"/>
      <c r="BY227" s="3396"/>
      <c r="BZ227" s="3396"/>
      <c r="CA227" s="3396"/>
      <c r="CB227" s="3396"/>
      <c r="CC227" s="3396"/>
      <c r="CD227" s="3396"/>
      <c r="CE227" s="3396"/>
      <c r="CF227" s="3396"/>
      <c r="CG227" s="3396"/>
      <c r="CH227" s="3396"/>
      <c r="CI227" s="3396"/>
      <c r="CJ227" s="3396"/>
      <c r="CK227" s="3396"/>
      <c r="CL227" s="3396"/>
      <c r="CM227" s="3396"/>
      <c r="CN227" s="3396"/>
      <c r="CO227" s="3396"/>
      <c r="CP227" s="3396"/>
      <c r="CQ227" s="3396"/>
      <c r="CR227" s="3396"/>
      <c r="CS227" s="3396"/>
      <c r="CT227" s="3396"/>
      <c r="CU227" s="3396"/>
      <c r="CV227" s="3396"/>
      <c r="CW227" s="3396"/>
      <c r="CX227" s="3396"/>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row>
    <row r="228" ht="18.75" hidden="1" customHeight="1" spans="1:131">
      <c r="A228" s="3407" t="s">
        <v>5910</v>
      </c>
      <c r="B228" s="3409"/>
      <c r="C228" s="3409"/>
      <c r="D228" s="3409"/>
      <c r="E228" s="3409"/>
      <c r="F228" s="3409"/>
      <c r="G228" s="3409"/>
      <c r="H228" s="3409"/>
      <c r="I228" s="3409"/>
      <c r="J228" s="3409"/>
      <c r="K228" s="3409"/>
      <c r="L228" s="3409"/>
      <c r="M228" s="3409"/>
      <c r="N228" s="3408"/>
      <c r="O228" s="3408"/>
      <c r="P228" s="3408"/>
      <c r="Q228" s="3408"/>
      <c r="R228" s="3408"/>
      <c r="S228" s="3408"/>
      <c r="T228" s="3408"/>
      <c r="U228" s="3408"/>
      <c r="V228" s="3408"/>
      <c r="W228" s="3410"/>
      <c r="X228" s="3410"/>
      <c r="Y228" s="3410"/>
      <c r="Z228" s="3410"/>
      <c r="AA228" s="3410"/>
      <c r="AB228" s="3410"/>
      <c r="AC228" s="3410"/>
      <c r="AD228" s="3410"/>
      <c r="AE228" s="3410"/>
      <c r="AF228" s="3410"/>
      <c r="AG228" s="3410"/>
      <c r="AH228" s="3410"/>
      <c r="AI228" s="3410"/>
      <c r="AJ228" s="3410"/>
      <c r="AK228" s="3410"/>
      <c r="AL228" s="3409"/>
      <c r="AM228" s="3409"/>
      <c r="AN228" s="3409"/>
      <c r="AO228" s="3409"/>
      <c r="AP228" s="3409"/>
      <c r="AQ228" s="3409"/>
      <c r="AR228" s="3409"/>
      <c r="AS228" s="3409"/>
      <c r="AT228" s="3409"/>
      <c r="AU228" s="3409"/>
      <c r="AV228" s="3409"/>
      <c r="AW228" s="3409"/>
      <c r="AX228" s="3409"/>
      <c r="AY228" s="3396"/>
      <c r="AZ228" s="3396"/>
      <c r="BA228" s="3396"/>
      <c r="BB228" s="3396"/>
      <c r="BC228" s="3396"/>
      <c r="BD228" s="3396"/>
      <c r="BE228" s="3396"/>
      <c r="BF228" s="3396"/>
      <c r="BG228" s="3396"/>
      <c r="BH228" s="3396"/>
      <c r="BI228" s="3396"/>
      <c r="BJ228" s="3396"/>
      <c r="BK228" s="3396"/>
      <c r="BL228" s="3396"/>
      <c r="BM228" s="3396"/>
      <c r="BN228" s="3396"/>
      <c r="BO228" s="3396"/>
      <c r="BP228" s="3396"/>
      <c r="BQ228" s="3396"/>
      <c r="BR228" s="3396"/>
      <c r="BS228" s="3396"/>
      <c r="BT228" s="3396"/>
      <c r="BU228" s="3396"/>
      <c r="BV228" s="3396"/>
      <c r="BW228" s="3396"/>
      <c r="BX228" s="3396"/>
      <c r="BY228" s="3396"/>
      <c r="BZ228" s="3396"/>
      <c r="CA228" s="3396"/>
      <c r="CB228" s="3396"/>
      <c r="CC228" s="3396"/>
      <c r="CD228" s="3396"/>
      <c r="CE228" s="3396"/>
      <c r="CF228" s="3396"/>
      <c r="CG228" s="3396"/>
      <c r="CH228" s="3396"/>
      <c r="CI228" s="3396"/>
      <c r="CJ228" s="3396"/>
      <c r="CK228" s="3396"/>
      <c r="CL228" s="3396"/>
      <c r="CM228" s="3396"/>
      <c r="CN228" s="3396"/>
      <c r="CO228" s="3396"/>
      <c r="CP228" s="3396"/>
      <c r="CQ228" s="3396"/>
      <c r="CR228" s="3396"/>
      <c r="CS228" s="3396"/>
      <c r="CT228" s="3396"/>
      <c r="CU228" s="3396"/>
      <c r="CV228" s="3396"/>
      <c r="CW228" s="3396"/>
      <c r="CX228" s="3396"/>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row>
    <row r="229" ht="18.75" hidden="1" customHeight="1" spans="1:131">
      <c r="A229" s="3407" t="s">
        <v>5914</v>
      </c>
      <c r="B229" s="3409"/>
      <c r="C229" s="3409"/>
      <c r="D229" s="3409"/>
      <c r="E229" s="3409"/>
      <c r="F229" s="3409"/>
      <c r="G229" s="3409"/>
      <c r="H229" s="3409"/>
      <c r="I229" s="3409"/>
      <c r="J229" s="3409"/>
      <c r="K229" s="3409"/>
      <c r="L229" s="3409"/>
      <c r="M229" s="3409"/>
      <c r="N229" s="3408"/>
      <c r="O229" s="3408"/>
      <c r="P229" s="3408"/>
      <c r="Q229" s="3408"/>
      <c r="R229" s="3408"/>
      <c r="S229" s="3408"/>
      <c r="T229" s="3408"/>
      <c r="U229" s="3408"/>
      <c r="V229" s="3408"/>
      <c r="W229" s="3410"/>
      <c r="X229" s="3410"/>
      <c r="Y229" s="3410"/>
      <c r="Z229" s="3410"/>
      <c r="AA229" s="3410"/>
      <c r="AB229" s="3410"/>
      <c r="AC229" s="3410"/>
      <c r="AD229" s="3410"/>
      <c r="AE229" s="3410"/>
      <c r="AF229" s="3410"/>
      <c r="AG229" s="3410"/>
      <c r="AH229" s="3410"/>
      <c r="AI229" s="3410"/>
      <c r="AJ229" s="3410"/>
      <c r="AK229" s="3410"/>
      <c r="AL229" s="3409"/>
      <c r="AM229" s="3409"/>
      <c r="AN229" s="3409"/>
      <c r="AO229" s="3409"/>
      <c r="AP229" s="3409"/>
      <c r="AQ229" s="3409"/>
      <c r="AR229" s="3409"/>
      <c r="AS229" s="3409"/>
      <c r="AT229" s="3409"/>
      <c r="AU229" s="3409"/>
      <c r="AV229" s="3409"/>
      <c r="AW229" s="3409"/>
      <c r="AX229" s="3409"/>
      <c r="AY229" s="3396"/>
      <c r="AZ229" s="3396"/>
      <c r="BA229" s="3396"/>
      <c r="BB229" s="3396"/>
      <c r="BC229" s="3396"/>
      <c r="BD229" s="3396"/>
      <c r="BE229" s="3396"/>
      <c r="BF229" s="3396"/>
      <c r="BG229" s="3396"/>
      <c r="BH229" s="3396"/>
      <c r="BI229" s="3396"/>
      <c r="BJ229" s="3396"/>
      <c r="BK229" s="3396"/>
      <c r="BL229" s="3396"/>
      <c r="BM229" s="3396"/>
      <c r="BN229" s="3396"/>
      <c r="BO229" s="3396"/>
      <c r="BP229" s="3396"/>
      <c r="BQ229" s="3396"/>
      <c r="BR229" s="3396"/>
      <c r="BS229" s="3396"/>
      <c r="BT229" s="3396"/>
      <c r="BU229" s="3396"/>
      <c r="BV229" s="3396"/>
      <c r="BW229" s="3396"/>
      <c r="BX229" s="3396"/>
      <c r="BY229" s="3396"/>
      <c r="BZ229" s="3396"/>
      <c r="CA229" s="3396"/>
      <c r="CB229" s="3396"/>
      <c r="CC229" s="3396"/>
      <c r="CD229" s="3396"/>
      <c r="CE229" s="3396"/>
      <c r="CF229" s="3396"/>
      <c r="CG229" s="3396"/>
      <c r="CH229" s="3396"/>
      <c r="CI229" s="3396"/>
      <c r="CJ229" s="3396"/>
      <c r="CK229" s="3396"/>
      <c r="CL229" s="3396"/>
      <c r="CM229" s="3396"/>
      <c r="CN229" s="3396"/>
      <c r="CO229" s="3396"/>
      <c r="CP229" s="3396"/>
      <c r="CQ229" s="3396"/>
      <c r="CR229" s="3396"/>
      <c r="CS229" s="3396"/>
      <c r="CT229" s="3396"/>
      <c r="CU229" s="3396"/>
      <c r="CV229" s="3396"/>
      <c r="CW229" s="3396"/>
      <c r="CX229" s="3396"/>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row>
    <row r="230" ht="18.75" hidden="1" customHeight="1" spans="1:131">
      <c r="A230" s="3407" t="s">
        <v>5916</v>
      </c>
      <c r="B230" s="3409"/>
      <c r="C230" s="3409"/>
      <c r="D230" s="3409"/>
      <c r="E230" s="3409"/>
      <c r="F230" s="3409"/>
      <c r="G230" s="3409"/>
      <c r="H230" s="3409"/>
      <c r="I230" s="3409"/>
      <c r="J230" s="3409"/>
      <c r="K230" s="3409"/>
      <c r="L230" s="3409"/>
      <c r="M230" s="3409"/>
      <c r="N230" s="3408"/>
      <c r="O230" s="3408"/>
      <c r="P230" s="3408"/>
      <c r="Q230" s="3408"/>
      <c r="R230" s="3408"/>
      <c r="S230" s="3408"/>
      <c r="T230" s="3408"/>
      <c r="U230" s="3408"/>
      <c r="V230" s="3408"/>
      <c r="W230" s="3410"/>
      <c r="X230" s="3410"/>
      <c r="Y230" s="3410"/>
      <c r="Z230" s="3410"/>
      <c r="AA230" s="3410"/>
      <c r="AB230" s="3410"/>
      <c r="AC230" s="3410"/>
      <c r="AD230" s="3410"/>
      <c r="AE230" s="3410"/>
      <c r="AF230" s="3410"/>
      <c r="AG230" s="3410"/>
      <c r="AH230" s="3410"/>
      <c r="AI230" s="3410"/>
      <c r="AJ230" s="3410"/>
      <c r="AK230" s="3410"/>
      <c r="AL230" s="3409"/>
      <c r="AM230" s="3409"/>
      <c r="AN230" s="3409"/>
      <c r="AO230" s="3409"/>
      <c r="AP230" s="3409"/>
      <c r="AQ230" s="3409"/>
      <c r="AR230" s="3409"/>
      <c r="AS230" s="3409"/>
      <c r="AT230" s="3409"/>
      <c r="AU230" s="3409"/>
      <c r="AV230" s="3409"/>
      <c r="AW230" s="3409"/>
      <c r="AX230" s="3409"/>
      <c r="AY230" s="3396"/>
      <c r="AZ230" s="3396"/>
      <c r="BA230" s="3396"/>
      <c r="BB230" s="3396"/>
      <c r="BC230" s="3396"/>
      <c r="BD230" s="3396"/>
      <c r="BE230" s="3396"/>
      <c r="BF230" s="3396"/>
      <c r="BG230" s="3396"/>
      <c r="BH230" s="3396"/>
      <c r="BI230" s="3396"/>
      <c r="BJ230" s="3396"/>
      <c r="BK230" s="3396"/>
      <c r="BL230" s="3396"/>
      <c r="BM230" s="3396"/>
      <c r="BN230" s="3396"/>
      <c r="BO230" s="3396"/>
      <c r="BP230" s="3396"/>
      <c r="BQ230" s="3396"/>
      <c r="BR230" s="3396"/>
      <c r="BS230" s="3396"/>
      <c r="BT230" s="3396"/>
      <c r="BU230" s="3396"/>
      <c r="BV230" s="3396"/>
      <c r="BW230" s="3396"/>
      <c r="BX230" s="3396"/>
      <c r="BY230" s="3396"/>
      <c r="BZ230" s="3396"/>
      <c r="CA230" s="3396"/>
      <c r="CB230" s="3396"/>
      <c r="CC230" s="3396"/>
      <c r="CD230" s="3396"/>
      <c r="CE230" s="3396"/>
      <c r="CF230" s="3396"/>
      <c r="CG230" s="3396"/>
      <c r="CH230" s="3396"/>
      <c r="CI230" s="3396"/>
      <c r="CJ230" s="3396"/>
      <c r="CK230" s="3396"/>
      <c r="CL230" s="3396"/>
      <c r="CM230" s="3396"/>
      <c r="CN230" s="3396"/>
      <c r="CO230" s="3396"/>
      <c r="CP230" s="3396"/>
      <c r="CQ230" s="3396"/>
      <c r="CR230" s="3396"/>
      <c r="CS230" s="3396"/>
      <c r="CT230" s="3396"/>
      <c r="CU230" s="3396"/>
      <c r="CV230" s="3396"/>
      <c r="CW230" s="3396"/>
      <c r="CX230" s="3396"/>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row>
    <row r="231" ht="18.75" hidden="1" customHeight="1" spans="1:131">
      <c r="A231" s="3407" t="s">
        <v>5918</v>
      </c>
      <c r="B231" s="3409"/>
      <c r="C231" s="3409"/>
      <c r="D231" s="3409"/>
      <c r="E231" s="3409"/>
      <c r="F231" s="3409"/>
      <c r="G231" s="3409"/>
      <c r="H231" s="3409"/>
      <c r="I231" s="3409"/>
      <c r="J231" s="3409"/>
      <c r="K231" s="3409"/>
      <c r="L231" s="3409"/>
      <c r="M231" s="3409"/>
      <c r="N231" s="3408"/>
      <c r="O231" s="3408"/>
      <c r="P231" s="3408"/>
      <c r="Q231" s="3408"/>
      <c r="R231" s="3408"/>
      <c r="S231" s="3408"/>
      <c r="T231" s="3408"/>
      <c r="U231" s="3408"/>
      <c r="V231" s="3408"/>
      <c r="W231" s="3410"/>
      <c r="X231" s="3410"/>
      <c r="Y231" s="3410"/>
      <c r="Z231" s="3410"/>
      <c r="AA231" s="3410"/>
      <c r="AB231" s="3410"/>
      <c r="AC231" s="3410"/>
      <c r="AD231" s="3410"/>
      <c r="AE231" s="3410"/>
      <c r="AF231" s="3410"/>
      <c r="AG231" s="3410"/>
      <c r="AH231" s="3410"/>
      <c r="AI231" s="3410"/>
      <c r="AJ231" s="3410"/>
      <c r="AK231" s="3410"/>
      <c r="AL231" s="3409"/>
      <c r="AM231" s="3409"/>
      <c r="AN231" s="3409"/>
      <c r="AO231" s="3409"/>
      <c r="AP231" s="3409"/>
      <c r="AQ231" s="3409"/>
      <c r="AR231" s="3409"/>
      <c r="AS231" s="3409"/>
      <c r="AT231" s="3409"/>
      <c r="AU231" s="3409"/>
      <c r="AV231" s="3409"/>
      <c r="AW231" s="3409"/>
      <c r="AX231" s="3409"/>
      <c r="AY231" s="3396"/>
      <c r="AZ231" s="3396"/>
      <c r="BA231" s="3396"/>
      <c r="BB231" s="3396"/>
      <c r="BC231" s="3396"/>
      <c r="BD231" s="3396"/>
      <c r="BE231" s="3396"/>
      <c r="BF231" s="3396"/>
      <c r="BG231" s="3396"/>
      <c r="BH231" s="3396"/>
      <c r="BI231" s="3396"/>
      <c r="BJ231" s="3396"/>
      <c r="BK231" s="3396"/>
      <c r="BL231" s="3396"/>
      <c r="BM231" s="3396"/>
      <c r="BN231" s="3396"/>
      <c r="BO231" s="3396"/>
      <c r="BP231" s="3396"/>
      <c r="BQ231" s="3396"/>
      <c r="BR231" s="3396"/>
      <c r="BS231" s="3396"/>
      <c r="BT231" s="3396"/>
      <c r="BU231" s="3396"/>
      <c r="BV231" s="3396"/>
      <c r="BW231" s="3396"/>
      <c r="BX231" s="3396"/>
      <c r="BY231" s="3396"/>
      <c r="BZ231" s="3396"/>
      <c r="CA231" s="3396"/>
      <c r="CB231" s="3396"/>
      <c r="CC231" s="3396"/>
      <c r="CD231" s="3396"/>
      <c r="CE231" s="3396"/>
      <c r="CF231" s="3396"/>
      <c r="CG231" s="3396"/>
      <c r="CH231" s="3396"/>
      <c r="CI231" s="3396"/>
      <c r="CJ231" s="3396"/>
      <c r="CK231" s="3396"/>
      <c r="CL231" s="3396"/>
      <c r="CM231" s="3396"/>
      <c r="CN231" s="3396"/>
      <c r="CO231" s="3396"/>
      <c r="CP231" s="3396"/>
      <c r="CQ231" s="3396"/>
      <c r="CR231" s="3396"/>
      <c r="CS231" s="3396"/>
      <c r="CT231" s="3396"/>
      <c r="CU231" s="3396"/>
      <c r="CV231" s="3396"/>
      <c r="CW231" s="3396"/>
      <c r="CX231" s="3396"/>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row>
    <row r="232" ht="18.75" hidden="1" customHeight="1" spans="1:131">
      <c r="A232" s="3407" t="s">
        <v>5923</v>
      </c>
      <c r="B232" s="3409"/>
      <c r="C232" s="3409"/>
      <c r="D232" s="3409"/>
      <c r="E232" s="3409"/>
      <c r="F232" s="3409"/>
      <c r="G232" s="3409"/>
      <c r="H232" s="3409"/>
      <c r="I232" s="3409"/>
      <c r="J232" s="3409"/>
      <c r="K232" s="3409"/>
      <c r="L232" s="3409"/>
      <c r="M232" s="3409"/>
      <c r="N232" s="3408"/>
      <c r="O232" s="3408"/>
      <c r="P232" s="3408"/>
      <c r="Q232" s="3408"/>
      <c r="R232" s="3408"/>
      <c r="S232" s="3408"/>
      <c r="T232" s="3408"/>
      <c r="U232" s="3408"/>
      <c r="V232" s="3408"/>
      <c r="W232" s="3410"/>
      <c r="X232" s="3410"/>
      <c r="Y232" s="3410"/>
      <c r="Z232" s="3410"/>
      <c r="AA232" s="3410"/>
      <c r="AB232" s="3410"/>
      <c r="AC232" s="3410"/>
      <c r="AD232" s="3410"/>
      <c r="AE232" s="3410"/>
      <c r="AF232" s="3410"/>
      <c r="AG232" s="3410"/>
      <c r="AH232" s="3410"/>
      <c r="AI232" s="3410"/>
      <c r="AJ232" s="3410"/>
      <c r="AK232" s="3410"/>
      <c r="AL232" s="3409"/>
      <c r="AM232" s="3409"/>
      <c r="AN232" s="3409"/>
      <c r="AO232" s="3409"/>
      <c r="AP232" s="3409"/>
      <c r="AQ232" s="3409"/>
      <c r="AR232" s="3409"/>
      <c r="AS232" s="3409"/>
      <c r="AT232" s="3409"/>
      <c r="AU232" s="3409"/>
      <c r="AV232" s="3409"/>
      <c r="AW232" s="3409"/>
      <c r="AX232" s="3409"/>
      <c r="AY232" s="3396"/>
      <c r="AZ232" s="3396"/>
      <c r="BA232" s="3396"/>
      <c r="BB232" s="3396"/>
      <c r="BC232" s="3396"/>
      <c r="BD232" s="3396"/>
      <c r="BE232" s="3396"/>
      <c r="BF232" s="3396"/>
      <c r="BG232" s="3396"/>
      <c r="BH232" s="3396"/>
      <c r="BI232" s="3396"/>
      <c r="BJ232" s="3396"/>
      <c r="BK232" s="3396"/>
      <c r="BL232" s="3396"/>
      <c r="BM232" s="3396"/>
      <c r="BN232" s="3396"/>
      <c r="BO232" s="3396"/>
      <c r="BP232" s="3396"/>
      <c r="BQ232" s="3396"/>
      <c r="BR232" s="3396"/>
      <c r="BS232" s="3396"/>
      <c r="BT232" s="3396"/>
      <c r="BU232" s="3396"/>
      <c r="BV232" s="3396"/>
      <c r="BW232" s="3396"/>
      <c r="BX232" s="3396"/>
      <c r="BY232" s="3396"/>
      <c r="BZ232" s="3396"/>
      <c r="CA232" s="3396"/>
      <c r="CB232" s="3396"/>
      <c r="CC232" s="3396"/>
      <c r="CD232" s="3396"/>
      <c r="CE232" s="3396"/>
      <c r="CF232" s="3396"/>
      <c r="CG232" s="3396"/>
      <c r="CH232" s="3396"/>
      <c r="CI232" s="3396"/>
      <c r="CJ232" s="3396"/>
      <c r="CK232" s="3396"/>
      <c r="CL232" s="3396"/>
      <c r="CM232" s="3396"/>
      <c r="CN232" s="3396"/>
      <c r="CO232" s="3396"/>
      <c r="CP232" s="3396"/>
      <c r="CQ232" s="3396"/>
      <c r="CR232" s="3396"/>
      <c r="CS232" s="3396"/>
      <c r="CT232" s="3396"/>
      <c r="CU232" s="3396"/>
      <c r="CV232" s="3396"/>
      <c r="CW232" s="3396"/>
      <c r="CX232" s="3396"/>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row>
    <row r="233" ht="18.75" hidden="1" customHeight="1" spans="1:131">
      <c r="A233" s="3407" t="s">
        <v>5925</v>
      </c>
      <c r="B233" s="3409"/>
      <c r="C233" s="3409"/>
      <c r="D233" s="3409"/>
      <c r="E233" s="3409"/>
      <c r="F233" s="3409"/>
      <c r="G233" s="3409"/>
      <c r="H233" s="3409"/>
      <c r="I233" s="3409"/>
      <c r="J233" s="3409"/>
      <c r="K233" s="3409"/>
      <c r="L233" s="3409"/>
      <c r="M233" s="3409"/>
      <c r="N233" s="3408"/>
      <c r="O233" s="3408"/>
      <c r="P233" s="3408"/>
      <c r="Q233" s="3408"/>
      <c r="R233" s="3408"/>
      <c r="S233" s="3408"/>
      <c r="T233" s="3408"/>
      <c r="U233" s="3408"/>
      <c r="V233" s="3408"/>
      <c r="W233" s="3410"/>
      <c r="X233" s="3410"/>
      <c r="Y233" s="3410"/>
      <c r="Z233" s="3410"/>
      <c r="AA233" s="3410"/>
      <c r="AB233" s="3410"/>
      <c r="AC233" s="3410"/>
      <c r="AD233" s="3410"/>
      <c r="AE233" s="3410"/>
      <c r="AF233" s="3410"/>
      <c r="AG233" s="3410"/>
      <c r="AH233" s="3410"/>
      <c r="AI233" s="3410"/>
      <c r="AJ233" s="3410"/>
      <c r="AK233" s="3410"/>
      <c r="AL233" s="3409"/>
      <c r="AM233" s="3409"/>
      <c r="AN233" s="3409"/>
      <c r="AO233" s="3409"/>
      <c r="AP233" s="3409"/>
      <c r="AQ233" s="3409"/>
      <c r="AR233" s="3409"/>
      <c r="AS233" s="3409"/>
      <c r="AT233" s="3409"/>
      <c r="AU233" s="3409"/>
      <c r="AV233" s="3409"/>
      <c r="AW233" s="3409"/>
      <c r="AX233" s="3409"/>
      <c r="AY233" s="3396"/>
      <c r="AZ233" s="3396"/>
      <c r="BA233" s="3396"/>
      <c r="BB233" s="3396"/>
      <c r="BC233" s="3396"/>
      <c r="BD233" s="3396"/>
      <c r="BE233" s="3396"/>
      <c r="BF233" s="3396"/>
      <c r="BG233" s="3396"/>
      <c r="BH233" s="3396"/>
      <c r="BI233" s="3396"/>
      <c r="BJ233" s="3396"/>
      <c r="BK233" s="3396"/>
      <c r="BL233" s="3396"/>
      <c r="BM233" s="3396"/>
      <c r="BN233" s="3396"/>
      <c r="BO233" s="3396"/>
      <c r="BP233" s="3396"/>
      <c r="BQ233" s="3396"/>
      <c r="BR233" s="3396"/>
      <c r="BS233" s="3396"/>
      <c r="BT233" s="3396"/>
      <c r="BU233" s="3396"/>
      <c r="BV233" s="3396"/>
      <c r="BW233" s="3396"/>
      <c r="BX233" s="3396"/>
      <c r="BY233" s="3396"/>
      <c r="BZ233" s="3396"/>
      <c r="CA233" s="3396"/>
      <c r="CB233" s="3396"/>
      <c r="CC233" s="3396"/>
      <c r="CD233" s="3396"/>
      <c r="CE233" s="3396"/>
      <c r="CF233" s="3396"/>
      <c r="CG233" s="3396"/>
      <c r="CH233" s="3396"/>
      <c r="CI233" s="3396"/>
      <c r="CJ233" s="3396"/>
      <c r="CK233" s="3396"/>
      <c r="CL233" s="3396"/>
      <c r="CM233" s="3396"/>
      <c r="CN233" s="3396"/>
      <c r="CO233" s="3396"/>
      <c r="CP233" s="3396"/>
      <c r="CQ233" s="3396"/>
      <c r="CR233" s="3396"/>
      <c r="CS233" s="3396"/>
      <c r="CT233" s="3396"/>
      <c r="CU233" s="3396"/>
      <c r="CV233" s="3396"/>
      <c r="CW233" s="3396"/>
      <c r="CX233" s="3396"/>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row>
    <row r="234" ht="18.75" hidden="1" customHeight="1" spans="1:131">
      <c r="A234" s="3407" t="s">
        <v>5929</v>
      </c>
      <c r="B234" s="3409"/>
      <c r="C234" s="3409"/>
      <c r="D234" s="3409"/>
      <c r="E234" s="3409"/>
      <c r="F234" s="3409"/>
      <c r="G234" s="3409"/>
      <c r="H234" s="3409"/>
      <c r="I234" s="3409"/>
      <c r="J234" s="3409"/>
      <c r="K234" s="3409"/>
      <c r="L234" s="3409"/>
      <c r="M234" s="3409"/>
      <c r="N234" s="3408"/>
      <c r="O234" s="3408"/>
      <c r="P234" s="3408"/>
      <c r="Q234" s="3408"/>
      <c r="R234" s="3408"/>
      <c r="S234" s="3408"/>
      <c r="T234" s="3408"/>
      <c r="U234" s="3408"/>
      <c r="V234" s="3408"/>
      <c r="W234" s="3410"/>
      <c r="X234" s="3410"/>
      <c r="Y234" s="3410"/>
      <c r="Z234" s="3410"/>
      <c r="AA234" s="3410"/>
      <c r="AB234" s="3410"/>
      <c r="AC234" s="3410"/>
      <c r="AD234" s="3410"/>
      <c r="AE234" s="3410"/>
      <c r="AF234" s="3410"/>
      <c r="AG234" s="3410"/>
      <c r="AH234" s="3410"/>
      <c r="AI234" s="3410"/>
      <c r="AJ234" s="3410"/>
      <c r="AK234" s="3410"/>
      <c r="AL234" s="3409"/>
      <c r="AM234" s="3409"/>
      <c r="AN234" s="3409"/>
      <c r="AO234" s="3409"/>
      <c r="AP234" s="3409"/>
      <c r="AQ234" s="3409"/>
      <c r="AR234" s="3409"/>
      <c r="AS234" s="3409"/>
      <c r="AT234" s="3409"/>
      <c r="AU234" s="3409"/>
      <c r="AV234" s="3409"/>
      <c r="AW234" s="3409"/>
      <c r="AX234" s="3409"/>
      <c r="AY234" s="3396"/>
      <c r="AZ234" s="3396"/>
      <c r="BA234" s="3396"/>
      <c r="BB234" s="3396"/>
      <c r="BC234" s="3396"/>
      <c r="BD234" s="3396"/>
      <c r="BE234" s="3396"/>
      <c r="BF234" s="3396"/>
      <c r="BG234" s="3396"/>
      <c r="BH234" s="3396"/>
      <c r="BI234" s="3396"/>
      <c r="BJ234" s="3396"/>
      <c r="BK234" s="3396"/>
      <c r="BL234" s="3396"/>
      <c r="BM234" s="3396"/>
      <c r="BN234" s="3396"/>
      <c r="BO234" s="3396"/>
      <c r="BP234" s="3396"/>
      <c r="BQ234" s="3396"/>
      <c r="BR234" s="3396"/>
      <c r="BS234" s="3396"/>
      <c r="BT234" s="3396"/>
      <c r="BU234" s="3396"/>
      <c r="BV234" s="3396"/>
      <c r="BW234" s="3396"/>
      <c r="BX234" s="3396"/>
      <c r="BY234" s="3396"/>
      <c r="BZ234" s="3396"/>
      <c r="CA234" s="3396"/>
      <c r="CB234" s="3396"/>
      <c r="CC234" s="3396"/>
      <c r="CD234" s="3396"/>
      <c r="CE234" s="3396"/>
      <c r="CF234" s="3396"/>
      <c r="CG234" s="3396"/>
      <c r="CH234" s="3396"/>
      <c r="CI234" s="3396"/>
      <c r="CJ234" s="3396"/>
      <c r="CK234" s="3396"/>
      <c r="CL234" s="3396"/>
      <c r="CM234" s="3396"/>
      <c r="CN234" s="3396"/>
      <c r="CO234" s="3396"/>
      <c r="CP234" s="3396"/>
      <c r="CQ234" s="3396"/>
      <c r="CR234" s="3396"/>
      <c r="CS234" s="3396"/>
      <c r="CT234" s="3396"/>
      <c r="CU234" s="3396"/>
      <c r="CV234" s="3396"/>
      <c r="CW234" s="3396"/>
      <c r="CX234" s="3396"/>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row>
    <row r="235" ht="18.75" hidden="1" customHeight="1" spans="1:131">
      <c r="A235" s="3407" t="s">
        <v>5931</v>
      </c>
      <c r="B235" s="3409"/>
      <c r="C235" s="3409"/>
      <c r="D235" s="3409"/>
      <c r="E235" s="3409"/>
      <c r="F235" s="3409"/>
      <c r="G235" s="3409"/>
      <c r="H235" s="3409"/>
      <c r="I235" s="3409"/>
      <c r="J235" s="3409"/>
      <c r="K235" s="3409"/>
      <c r="L235" s="3409"/>
      <c r="M235" s="3409"/>
      <c r="N235" s="3408"/>
      <c r="O235" s="3408"/>
      <c r="P235" s="3408"/>
      <c r="Q235" s="3408"/>
      <c r="R235" s="3408"/>
      <c r="S235" s="3408"/>
      <c r="T235" s="3408"/>
      <c r="U235" s="3408"/>
      <c r="V235" s="3408"/>
      <c r="W235" s="3410"/>
      <c r="X235" s="3410"/>
      <c r="Y235" s="3410"/>
      <c r="Z235" s="3410"/>
      <c r="AA235" s="3410"/>
      <c r="AB235" s="3410"/>
      <c r="AC235" s="3410"/>
      <c r="AD235" s="3410"/>
      <c r="AE235" s="3410"/>
      <c r="AF235" s="3410"/>
      <c r="AG235" s="3410"/>
      <c r="AH235" s="3410"/>
      <c r="AI235" s="3410"/>
      <c r="AJ235" s="3410"/>
      <c r="AK235" s="3410"/>
      <c r="AL235" s="3409"/>
      <c r="AM235" s="3409"/>
      <c r="AN235" s="3409"/>
      <c r="AO235" s="3409"/>
      <c r="AP235" s="3409"/>
      <c r="AQ235" s="3409"/>
      <c r="AR235" s="3409"/>
      <c r="AS235" s="3409"/>
      <c r="AT235" s="3409"/>
      <c r="AU235" s="3409"/>
      <c r="AV235" s="3409"/>
      <c r="AW235" s="3409"/>
      <c r="AX235" s="3409"/>
      <c r="AY235" s="3396"/>
      <c r="AZ235" s="3396"/>
      <c r="BA235" s="3396"/>
      <c r="BB235" s="3396"/>
      <c r="BC235" s="3396"/>
      <c r="BD235" s="3396"/>
      <c r="BE235" s="3396"/>
      <c r="BF235" s="3396"/>
      <c r="BG235" s="3396"/>
      <c r="BH235" s="3396"/>
      <c r="BI235" s="3396"/>
      <c r="BJ235" s="3396"/>
      <c r="BK235" s="3396"/>
      <c r="BL235" s="3396"/>
      <c r="BM235" s="3396"/>
      <c r="BN235" s="3396"/>
      <c r="BO235" s="3396"/>
      <c r="BP235" s="3396"/>
      <c r="BQ235" s="3396"/>
      <c r="BR235" s="3396"/>
      <c r="BS235" s="3396"/>
      <c r="BT235" s="3396"/>
      <c r="BU235" s="3396"/>
      <c r="BV235" s="3396"/>
      <c r="BW235" s="3396"/>
      <c r="BX235" s="3396"/>
      <c r="BY235" s="3396"/>
      <c r="BZ235" s="3396"/>
      <c r="CA235" s="3396"/>
      <c r="CB235" s="3396"/>
      <c r="CC235" s="3396"/>
      <c r="CD235" s="3396"/>
      <c r="CE235" s="3396"/>
      <c r="CF235" s="3396"/>
      <c r="CG235" s="3396"/>
      <c r="CH235" s="3396"/>
      <c r="CI235" s="3396"/>
      <c r="CJ235" s="3396"/>
      <c r="CK235" s="3396"/>
      <c r="CL235" s="3396"/>
      <c r="CM235" s="3396"/>
      <c r="CN235" s="3396"/>
      <c r="CO235" s="3396"/>
      <c r="CP235" s="3396"/>
      <c r="CQ235" s="3396"/>
      <c r="CR235" s="3396"/>
      <c r="CS235" s="3396"/>
      <c r="CT235" s="3396"/>
      <c r="CU235" s="3396"/>
      <c r="CV235" s="3396"/>
      <c r="CW235" s="3396"/>
      <c r="CX235" s="3396"/>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row>
    <row r="236" ht="18.75" hidden="1" customHeight="1" spans="1:131">
      <c r="A236" s="3407" t="s">
        <v>5945</v>
      </c>
      <c r="B236" s="3409"/>
      <c r="C236" s="3409"/>
      <c r="D236" s="3409"/>
      <c r="E236" s="3409"/>
      <c r="F236" s="3409"/>
      <c r="G236" s="3409"/>
      <c r="H236" s="3409"/>
      <c r="I236" s="3409"/>
      <c r="J236" s="3409"/>
      <c r="K236" s="3409"/>
      <c r="L236" s="3409"/>
      <c r="M236" s="3409"/>
      <c r="N236" s="3408"/>
      <c r="O236" s="3408"/>
      <c r="P236" s="3408"/>
      <c r="Q236" s="3408"/>
      <c r="R236" s="3408"/>
      <c r="S236" s="3408"/>
      <c r="T236" s="3408"/>
      <c r="U236" s="3408"/>
      <c r="V236" s="3408"/>
      <c r="W236" s="3410"/>
      <c r="X236" s="3410"/>
      <c r="Y236" s="3410"/>
      <c r="Z236" s="3410"/>
      <c r="AA236" s="3410"/>
      <c r="AB236" s="3410"/>
      <c r="AC236" s="3410"/>
      <c r="AD236" s="3410"/>
      <c r="AE236" s="3410"/>
      <c r="AF236" s="3410"/>
      <c r="AG236" s="3410"/>
      <c r="AH236" s="3410"/>
      <c r="AI236" s="3410"/>
      <c r="AJ236" s="3410"/>
      <c r="AK236" s="3410"/>
      <c r="AL236" s="3409"/>
      <c r="AM236" s="3409"/>
      <c r="AN236" s="3409"/>
      <c r="AO236" s="3409"/>
      <c r="AP236" s="3409"/>
      <c r="AQ236" s="3409"/>
      <c r="AR236" s="3409"/>
      <c r="AS236" s="3409"/>
      <c r="AT236" s="3409"/>
      <c r="AU236" s="3409"/>
      <c r="AV236" s="3409"/>
      <c r="AW236" s="3409"/>
      <c r="AX236" s="3409"/>
      <c r="AY236" s="3396"/>
      <c r="AZ236" s="3396"/>
      <c r="BA236" s="3396"/>
      <c r="BB236" s="3396"/>
      <c r="BC236" s="3396"/>
      <c r="BD236" s="3396"/>
      <c r="BE236" s="3396"/>
      <c r="BF236" s="3396"/>
      <c r="BG236" s="3396"/>
      <c r="BH236" s="3396"/>
      <c r="BI236" s="3396"/>
      <c r="BJ236" s="3396"/>
      <c r="BK236" s="3396"/>
      <c r="BL236" s="3396"/>
      <c r="BM236" s="3396"/>
      <c r="BN236" s="3396"/>
      <c r="BO236" s="3396"/>
      <c r="BP236" s="3396"/>
      <c r="BQ236" s="3396"/>
      <c r="BR236" s="3396"/>
      <c r="BS236" s="3396"/>
      <c r="BT236" s="3396"/>
      <c r="BU236" s="3396"/>
      <c r="BV236" s="3396"/>
      <c r="BW236" s="3396"/>
      <c r="BX236" s="3396"/>
      <c r="BY236" s="3396"/>
      <c r="BZ236" s="3396"/>
      <c r="CA236" s="3396"/>
      <c r="CB236" s="3396"/>
      <c r="CC236" s="3396"/>
      <c r="CD236" s="3396"/>
      <c r="CE236" s="3396"/>
      <c r="CF236" s="3396"/>
      <c r="CG236" s="3396"/>
      <c r="CH236" s="3396"/>
      <c r="CI236" s="3396"/>
      <c r="CJ236" s="3396"/>
      <c r="CK236" s="3396"/>
      <c r="CL236" s="3396"/>
      <c r="CM236" s="3396"/>
      <c r="CN236" s="3396"/>
      <c r="CO236" s="3396"/>
      <c r="CP236" s="3396"/>
      <c r="CQ236" s="3396"/>
      <c r="CR236" s="3396"/>
      <c r="CS236" s="3396"/>
      <c r="CT236" s="3396"/>
      <c r="CU236" s="3396"/>
      <c r="CV236" s="3396"/>
      <c r="CW236" s="3396"/>
      <c r="CX236" s="3396"/>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row>
    <row r="237" ht="18.75" hidden="1" customHeight="1" spans="1:131">
      <c r="A237" s="3407" t="s">
        <v>5947</v>
      </c>
      <c r="B237" s="3409"/>
      <c r="C237" s="3409"/>
      <c r="D237" s="3409"/>
      <c r="E237" s="3409"/>
      <c r="F237" s="3409"/>
      <c r="G237" s="3409"/>
      <c r="H237" s="3409"/>
      <c r="I237" s="3409"/>
      <c r="J237" s="3409"/>
      <c r="K237" s="3409"/>
      <c r="L237" s="3409"/>
      <c r="M237" s="3409"/>
      <c r="N237" s="3408"/>
      <c r="O237" s="3408"/>
      <c r="P237" s="3408"/>
      <c r="Q237" s="3408"/>
      <c r="R237" s="3408"/>
      <c r="S237" s="3408"/>
      <c r="T237" s="3408"/>
      <c r="U237" s="3408"/>
      <c r="V237" s="3408"/>
      <c r="W237" s="3410"/>
      <c r="X237" s="3410"/>
      <c r="Y237" s="3410"/>
      <c r="Z237" s="3410"/>
      <c r="AA237" s="3410"/>
      <c r="AB237" s="3410"/>
      <c r="AC237" s="3410"/>
      <c r="AD237" s="3410"/>
      <c r="AE237" s="3410"/>
      <c r="AF237" s="3410"/>
      <c r="AG237" s="3410"/>
      <c r="AH237" s="3410"/>
      <c r="AI237" s="3410"/>
      <c r="AJ237" s="3410"/>
      <c r="AK237" s="3410"/>
      <c r="AL237" s="3409"/>
      <c r="AM237" s="3409"/>
      <c r="AN237" s="3409"/>
      <c r="AO237" s="3409"/>
      <c r="AP237" s="3409"/>
      <c r="AQ237" s="3409"/>
      <c r="AR237" s="3409"/>
      <c r="AS237" s="3409"/>
      <c r="AT237" s="3409"/>
      <c r="AU237" s="3409"/>
      <c r="AV237" s="3409"/>
      <c r="AW237" s="3409"/>
      <c r="AX237" s="3409"/>
      <c r="AY237" s="3396"/>
      <c r="AZ237" s="3396"/>
      <c r="BA237" s="3396"/>
      <c r="BB237" s="3396"/>
      <c r="BC237" s="3396"/>
      <c r="BD237" s="3396"/>
      <c r="BE237" s="3396"/>
      <c r="BF237" s="3396"/>
      <c r="BG237" s="3396"/>
      <c r="BH237" s="3396"/>
      <c r="BI237" s="3396"/>
      <c r="BJ237" s="3396"/>
      <c r="BK237" s="3396"/>
      <c r="BL237" s="3396"/>
      <c r="BM237" s="3396"/>
      <c r="BN237" s="3396"/>
      <c r="BO237" s="3396"/>
      <c r="BP237" s="3396"/>
      <c r="BQ237" s="3396"/>
      <c r="BR237" s="3396"/>
      <c r="BS237" s="3396"/>
      <c r="BT237" s="3396"/>
      <c r="BU237" s="3396"/>
      <c r="BV237" s="3396"/>
      <c r="BW237" s="3396"/>
      <c r="BX237" s="3396"/>
      <c r="BY237" s="3396"/>
      <c r="BZ237" s="3396"/>
      <c r="CA237" s="3396"/>
      <c r="CB237" s="3396"/>
      <c r="CC237" s="3396"/>
      <c r="CD237" s="3396"/>
      <c r="CE237" s="3396"/>
      <c r="CF237" s="3396"/>
      <c r="CG237" s="3396"/>
      <c r="CH237" s="3396"/>
      <c r="CI237" s="3396"/>
      <c r="CJ237" s="3396"/>
      <c r="CK237" s="3396"/>
      <c r="CL237" s="3396"/>
      <c r="CM237" s="3396"/>
      <c r="CN237" s="3396"/>
      <c r="CO237" s="3396"/>
      <c r="CP237" s="3396"/>
      <c r="CQ237" s="3396"/>
      <c r="CR237" s="3396"/>
      <c r="CS237" s="3396"/>
      <c r="CT237" s="3396"/>
      <c r="CU237" s="3396"/>
      <c r="CV237" s="3396"/>
      <c r="CW237" s="3396"/>
      <c r="CX237" s="3396"/>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row>
    <row r="238" ht="18.75" hidden="1" customHeight="1" spans="1:131">
      <c r="A238" s="3407" t="s">
        <v>5951</v>
      </c>
      <c r="B238" s="3409"/>
      <c r="C238" s="3409"/>
      <c r="D238" s="3409"/>
      <c r="E238" s="3409"/>
      <c r="F238" s="3409"/>
      <c r="G238" s="3409"/>
      <c r="H238" s="3409"/>
      <c r="I238" s="3409"/>
      <c r="J238" s="3409"/>
      <c r="K238" s="3409"/>
      <c r="L238" s="3409"/>
      <c r="M238" s="3409"/>
      <c r="N238" s="3408"/>
      <c r="O238" s="3408"/>
      <c r="P238" s="3408"/>
      <c r="Q238" s="3408"/>
      <c r="R238" s="3408"/>
      <c r="S238" s="3408"/>
      <c r="T238" s="3408"/>
      <c r="U238" s="3408"/>
      <c r="V238" s="3408"/>
      <c r="W238" s="3410"/>
      <c r="X238" s="3410"/>
      <c r="Y238" s="3410"/>
      <c r="Z238" s="3410"/>
      <c r="AA238" s="3410"/>
      <c r="AB238" s="3410"/>
      <c r="AC238" s="3410"/>
      <c r="AD238" s="3410"/>
      <c r="AE238" s="3410"/>
      <c r="AF238" s="3410"/>
      <c r="AG238" s="3410"/>
      <c r="AH238" s="3410"/>
      <c r="AI238" s="3410"/>
      <c r="AJ238" s="3410"/>
      <c r="AK238" s="3410"/>
      <c r="AL238" s="3409"/>
      <c r="AM238" s="3409"/>
      <c r="AN238" s="3409"/>
      <c r="AO238" s="3409"/>
      <c r="AP238" s="3409"/>
      <c r="AQ238" s="3409"/>
      <c r="AR238" s="3409"/>
      <c r="AS238" s="3409"/>
      <c r="AT238" s="3409"/>
      <c r="AU238" s="3409"/>
      <c r="AV238" s="3409"/>
      <c r="AW238" s="3409"/>
      <c r="AX238" s="3409"/>
      <c r="AY238" s="3396"/>
      <c r="AZ238" s="3396"/>
      <c r="BA238" s="3396"/>
      <c r="BB238" s="3396"/>
      <c r="BC238" s="3396"/>
      <c r="BD238" s="3396"/>
      <c r="BE238" s="3396"/>
      <c r="BF238" s="3396"/>
      <c r="BG238" s="3396"/>
      <c r="BH238" s="3396"/>
      <c r="BI238" s="3396"/>
      <c r="BJ238" s="3396"/>
      <c r="BK238" s="3396"/>
      <c r="BL238" s="3396"/>
      <c r="BM238" s="3396"/>
      <c r="BN238" s="3396"/>
      <c r="BO238" s="3396"/>
      <c r="BP238" s="3396"/>
      <c r="BQ238" s="3396"/>
      <c r="BR238" s="3396"/>
      <c r="BS238" s="3396"/>
      <c r="BT238" s="3396"/>
      <c r="BU238" s="3396"/>
      <c r="BV238" s="3396"/>
      <c r="BW238" s="3396"/>
      <c r="BX238" s="3396"/>
      <c r="BY238" s="3396"/>
      <c r="BZ238" s="3396"/>
      <c r="CA238" s="3396"/>
      <c r="CB238" s="3396"/>
      <c r="CC238" s="3396"/>
      <c r="CD238" s="3396"/>
      <c r="CE238" s="3396"/>
      <c r="CF238" s="3396"/>
      <c r="CG238" s="3396"/>
      <c r="CH238" s="3396"/>
      <c r="CI238" s="3396"/>
      <c r="CJ238" s="3396"/>
      <c r="CK238" s="3396"/>
      <c r="CL238" s="3396"/>
      <c r="CM238" s="3396"/>
      <c r="CN238" s="3396"/>
      <c r="CO238" s="3396"/>
      <c r="CP238" s="3396"/>
      <c r="CQ238" s="3396"/>
      <c r="CR238" s="3396"/>
      <c r="CS238" s="3396"/>
      <c r="CT238" s="3396"/>
      <c r="CU238" s="3396"/>
      <c r="CV238" s="3396"/>
      <c r="CW238" s="3396"/>
      <c r="CX238" s="3396"/>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row>
    <row r="239" ht="18.75" hidden="1" customHeight="1" spans="1:131">
      <c r="A239" s="3407" t="s">
        <v>5953</v>
      </c>
      <c r="B239" s="3409"/>
      <c r="C239" s="3409"/>
      <c r="D239" s="3409"/>
      <c r="E239" s="3409"/>
      <c r="F239" s="3409"/>
      <c r="G239" s="3409"/>
      <c r="H239" s="3409"/>
      <c r="I239" s="3409"/>
      <c r="J239" s="3409"/>
      <c r="K239" s="3409"/>
      <c r="L239" s="3409"/>
      <c r="M239" s="3409"/>
      <c r="N239" s="3408"/>
      <c r="O239" s="3408"/>
      <c r="P239" s="3408"/>
      <c r="Q239" s="3408"/>
      <c r="R239" s="3408"/>
      <c r="S239" s="3408"/>
      <c r="T239" s="3408"/>
      <c r="U239" s="3408"/>
      <c r="V239" s="3408"/>
      <c r="W239" s="3410"/>
      <c r="X239" s="3410"/>
      <c r="Y239" s="3410"/>
      <c r="Z239" s="3410"/>
      <c r="AA239" s="3410"/>
      <c r="AB239" s="3410"/>
      <c r="AC239" s="3410"/>
      <c r="AD239" s="3410"/>
      <c r="AE239" s="3410"/>
      <c r="AF239" s="3410"/>
      <c r="AG239" s="3410"/>
      <c r="AH239" s="3410"/>
      <c r="AI239" s="3410"/>
      <c r="AJ239" s="3410"/>
      <c r="AK239" s="3410"/>
      <c r="AL239" s="3409"/>
      <c r="AM239" s="3409"/>
      <c r="AN239" s="3409"/>
      <c r="AO239" s="3409"/>
      <c r="AP239" s="3409"/>
      <c r="AQ239" s="3409"/>
      <c r="AR239" s="3409"/>
      <c r="AS239" s="3409"/>
      <c r="AT239" s="3409"/>
      <c r="AU239" s="3409"/>
      <c r="AV239" s="3409"/>
      <c r="AW239" s="3409"/>
      <c r="AX239" s="3409"/>
      <c r="AY239" s="3396"/>
      <c r="AZ239" s="3396"/>
      <c r="BA239" s="3396"/>
      <c r="BB239" s="3396"/>
      <c r="BC239" s="3396"/>
      <c r="BD239" s="3396"/>
      <c r="BE239" s="3396"/>
      <c r="BF239" s="3396"/>
      <c r="BG239" s="3396"/>
      <c r="BH239" s="3396"/>
      <c r="BI239" s="3396"/>
      <c r="BJ239" s="3396"/>
      <c r="BK239" s="3396"/>
      <c r="BL239" s="3396"/>
      <c r="BM239" s="3396"/>
      <c r="BN239" s="3396"/>
      <c r="BO239" s="3396"/>
      <c r="BP239" s="3396"/>
      <c r="BQ239" s="3396"/>
      <c r="BR239" s="3396"/>
      <c r="BS239" s="3396"/>
      <c r="BT239" s="3396"/>
      <c r="BU239" s="3396"/>
      <c r="BV239" s="3396"/>
      <c r="BW239" s="3396"/>
      <c r="BX239" s="3396"/>
      <c r="BY239" s="3396"/>
      <c r="BZ239" s="3396"/>
      <c r="CA239" s="3396"/>
      <c r="CB239" s="3396"/>
      <c r="CC239" s="3396"/>
      <c r="CD239" s="3396"/>
      <c r="CE239" s="3396"/>
      <c r="CF239" s="3396"/>
      <c r="CG239" s="3396"/>
      <c r="CH239" s="3396"/>
      <c r="CI239" s="3396"/>
      <c r="CJ239" s="3396"/>
      <c r="CK239" s="3396"/>
      <c r="CL239" s="3396"/>
      <c r="CM239" s="3396"/>
      <c r="CN239" s="3396"/>
      <c r="CO239" s="3396"/>
      <c r="CP239" s="3396"/>
      <c r="CQ239" s="3396"/>
      <c r="CR239" s="3396"/>
      <c r="CS239" s="3396"/>
      <c r="CT239" s="3396"/>
      <c r="CU239" s="3396"/>
      <c r="CV239" s="3396"/>
      <c r="CW239" s="3396"/>
      <c r="CX239" s="3396"/>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row>
    <row r="240" ht="18.75" hidden="1" customHeight="1" spans="1:131">
      <c r="A240" s="3407" t="s">
        <v>5955</v>
      </c>
      <c r="B240" s="3409"/>
      <c r="C240" s="3409"/>
      <c r="D240" s="3409"/>
      <c r="E240" s="3409"/>
      <c r="F240" s="3409"/>
      <c r="G240" s="3409"/>
      <c r="H240" s="3409"/>
      <c r="I240" s="3409"/>
      <c r="J240" s="3409"/>
      <c r="K240" s="3409"/>
      <c r="L240" s="3409"/>
      <c r="M240" s="3409"/>
      <c r="N240" s="3408"/>
      <c r="O240" s="3408"/>
      <c r="P240" s="3408"/>
      <c r="Q240" s="3408"/>
      <c r="R240" s="3408"/>
      <c r="S240" s="3408"/>
      <c r="T240" s="3408"/>
      <c r="U240" s="3408"/>
      <c r="V240" s="3408"/>
      <c r="W240" s="3410"/>
      <c r="X240" s="3410"/>
      <c r="Y240" s="3410"/>
      <c r="Z240" s="3410"/>
      <c r="AA240" s="3410"/>
      <c r="AB240" s="3410"/>
      <c r="AC240" s="3410"/>
      <c r="AD240" s="3410"/>
      <c r="AE240" s="3410"/>
      <c r="AF240" s="3410"/>
      <c r="AG240" s="3410"/>
      <c r="AH240" s="3410"/>
      <c r="AI240" s="3410"/>
      <c r="AJ240" s="3410"/>
      <c r="AK240" s="3410"/>
      <c r="AL240" s="3409"/>
      <c r="AM240" s="3409"/>
      <c r="AN240" s="3409"/>
      <c r="AO240" s="3409"/>
      <c r="AP240" s="3409"/>
      <c r="AQ240" s="3409"/>
      <c r="AR240" s="3409"/>
      <c r="AS240" s="3409"/>
      <c r="AT240" s="3409"/>
      <c r="AU240" s="3409"/>
      <c r="AV240" s="3409"/>
      <c r="AW240" s="3409"/>
      <c r="AX240" s="3409"/>
      <c r="AY240" s="3396"/>
      <c r="AZ240" s="3396"/>
      <c r="BA240" s="3396"/>
      <c r="BB240" s="3396"/>
      <c r="BC240" s="3396"/>
      <c r="BD240" s="3396"/>
      <c r="BE240" s="3396"/>
      <c r="BF240" s="3396"/>
      <c r="BG240" s="3396"/>
      <c r="BH240" s="3396"/>
      <c r="BI240" s="3396"/>
      <c r="BJ240" s="3396"/>
      <c r="BK240" s="3396"/>
      <c r="BL240" s="3396"/>
      <c r="BM240" s="3396"/>
      <c r="BN240" s="3396"/>
      <c r="BO240" s="3396"/>
      <c r="BP240" s="3396"/>
      <c r="BQ240" s="3396"/>
      <c r="BR240" s="3396"/>
      <c r="BS240" s="3396"/>
      <c r="BT240" s="3396"/>
      <c r="BU240" s="3396"/>
      <c r="BV240" s="3396"/>
      <c r="BW240" s="3396"/>
      <c r="BX240" s="3396"/>
      <c r="BY240" s="3396"/>
      <c r="BZ240" s="3396"/>
      <c r="CA240" s="3396"/>
      <c r="CB240" s="3396"/>
      <c r="CC240" s="3396"/>
      <c r="CD240" s="3396"/>
      <c r="CE240" s="3396"/>
      <c r="CF240" s="3396"/>
      <c r="CG240" s="3396"/>
      <c r="CH240" s="3396"/>
      <c r="CI240" s="3396"/>
      <c r="CJ240" s="3396"/>
      <c r="CK240" s="3396"/>
      <c r="CL240" s="3396"/>
      <c r="CM240" s="3396"/>
      <c r="CN240" s="3396"/>
      <c r="CO240" s="3396"/>
      <c r="CP240" s="3396"/>
      <c r="CQ240" s="3396"/>
      <c r="CR240" s="3396"/>
      <c r="CS240" s="3396"/>
      <c r="CT240" s="3396"/>
      <c r="CU240" s="3396"/>
      <c r="CV240" s="3396"/>
      <c r="CW240" s="3396"/>
      <c r="CX240" s="3396"/>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row>
    <row r="241" ht="18.75" hidden="1" customHeight="1" spans="1:131">
      <c r="A241" s="3407" t="s">
        <v>5964</v>
      </c>
      <c r="B241" s="3409"/>
      <c r="C241" s="3409"/>
      <c r="D241" s="3409"/>
      <c r="E241" s="3409"/>
      <c r="F241" s="3409"/>
      <c r="G241" s="3409"/>
      <c r="H241" s="3409"/>
      <c r="I241" s="3409"/>
      <c r="J241" s="3409"/>
      <c r="K241" s="3409"/>
      <c r="L241" s="3409"/>
      <c r="M241" s="3409"/>
      <c r="N241" s="3408"/>
      <c r="O241" s="3408"/>
      <c r="P241" s="3408"/>
      <c r="Q241" s="3408"/>
      <c r="R241" s="3408"/>
      <c r="S241" s="3408"/>
      <c r="T241" s="3408"/>
      <c r="U241" s="3408"/>
      <c r="V241" s="3408"/>
      <c r="W241" s="3410"/>
      <c r="X241" s="3410"/>
      <c r="Y241" s="3410"/>
      <c r="Z241" s="3410"/>
      <c r="AA241" s="3410"/>
      <c r="AB241" s="3410"/>
      <c r="AC241" s="3410"/>
      <c r="AD241" s="3410"/>
      <c r="AE241" s="3410"/>
      <c r="AF241" s="3410"/>
      <c r="AG241" s="3410"/>
      <c r="AH241" s="3410"/>
      <c r="AI241" s="3410"/>
      <c r="AJ241" s="3410"/>
      <c r="AK241" s="3410"/>
      <c r="AL241" s="3409"/>
      <c r="AM241" s="3409"/>
      <c r="AN241" s="3409"/>
      <c r="AO241" s="3409"/>
      <c r="AP241" s="3409"/>
      <c r="AQ241" s="3409"/>
      <c r="AR241" s="3409"/>
      <c r="AS241" s="3409"/>
      <c r="AT241" s="3409"/>
      <c r="AU241" s="3409"/>
      <c r="AV241" s="3409"/>
      <c r="AW241" s="3409"/>
      <c r="AX241" s="3409"/>
      <c r="AY241" s="3396"/>
      <c r="AZ241" s="3396"/>
      <c r="BA241" s="3396"/>
      <c r="BB241" s="3396"/>
      <c r="BC241" s="3396"/>
      <c r="BD241" s="3396"/>
      <c r="BE241" s="3396"/>
      <c r="BF241" s="3396"/>
      <c r="BG241" s="3396"/>
      <c r="BH241" s="3396"/>
      <c r="BI241" s="3396"/>
      <c r="BJ241" s="3396"/>
      <c r="BK241" s="3396"/>
      <c r="BL241" s="3396"/>
      <c r="BM241" s="3396"/>
      <c r="BN241" s="3396"/>
      <c r="BO241" s="3396"/>
      <c r="BP241" s="3396"/>
      <c r="BQ241" s="3396"/>
      <c r="BR241" s="3396"/>
      <c r="BS241" s="3396"/>
      <c r="BT241" s="3396"/>
      <c r="BU241" s="3396"/>
      <c r="BV241" s="3396"/>
      <c r="BW241" s="3396"/>
      <c r="BX241" s="3396"/>
      <c r="BY241" s="3396"/>
      <c r="BZ241" s="3396"/>
      <c r="CA241" s="3396"/>
      <c r="CB241" s="3396"/>
      <c r="CC241" s="3396"/>
      <c r="CD241" s="3396"/>
      <c r="CE241" s="3396"/>
      <c r="CF241" s="3396"/>
      <c r="CG241" s="3396"/>
      <c r="CH241" s="3396"/>
      <c r="CI241" s="3396"/>
      <c r="CJ241" s="3396"/>
      <c r="CK241" s="3396"/>
      <c r="CL241" s="3396"/>
      <c r="CM241" s="3396"/>
      <c r="CN241" s="3396"/>
      <c r="CO241" s="3396"/>
      <c r="CP241" s="3396"/>
      <c r="CQ241" s="3396"/>
      <c r="CR241" s="3396"/>
      <c r="CS241" s="3396"/>
      <c r="CT241" s="3396"/>
      <c r="CU241" s="3396"/>
      <c r="CV241" s="3396"/>
      <c r="CW241" s="3396"/>
      <c r="CX241" s="3396"/>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row>
    <row r="242" ht="18.75" hidden="1" customHeight="1" spans="1:131">
      <c r="A242" s="3407" t="s">
        <v>5971</v>
      </c>
      <c r="B242" s="3409"/>
      <c r="C242" s="3409"/>
      <c r="D242" s="3409"/>
      <c r="E242" s="3409"/>
      <c r="F242" s="3409"/>
      <c r="G242" s="3409"/>
      <c r="H242" s="3409"/>
      <c r="I242" s="3409"/>
      <c r="J242" s="3409"/>
      <c r="K242" s="3409"/>
      <c r="L242" s="3409"/>
      <c r="M242" s="3409"/>
      <c r="N242" s="3408"/>
      <c r="O242" s="3408"/>
      <c r="P242" s="3408"/>
      <c r="Q242" s="3408"/>
      <c r="R242" s="3408"/>
      <c r="S242" s="3408"/>
      <c r="T242" s="3408"/>
      <c r="U242" s="3408"/>
      <c r="V242" s="3408"/>
      <c r="W242" s="3410"/>
      <c r="X242" s="3410"/>
      <c r="Y242" s="3410"/>
      <c r="Z242" s="3410"/>
      <c r="AA242" s="3410"/>
      <c r="AB242" s="3410"/>
      <c r="AC242" s="3410"/>
      <c r="AD242" s="3410"/>
      <c r="AE242" s="3410"/>
      <c r="AF242" s="3410"/>
      <c r="AG242" s="3410"/>
      <c r="AH242" s="3410"/>
      <c r="AI242" s="3410"/>
      <c r="AJ242" s="3410"/>
      <c r="AK242" s="3410"/>
      <c r="AL242" s="3409"/>
      <c r="AM242" s="3409"/>
      <c r="AN242" s="3409"/>
      <c r="AO242" s="3409"/>
      <c r="AP242" s="3409"/>
      <c r="AQ242" s="3409"/>
      <c r="AR242" s="3409"/>
      <c r="AS242" s="3409"/>
      <c r="AT242" s="3409"/>
      <c r="AU242" s="3409"/>
      <c r="AV242" s="3409"/>
      <c r="AW242" s="3409"/>
      <c r="AX242" s="3409"/>
      <c r="AY242" s="3396"/>
      <c r="AZ242" s="3396"/>
      <c r="BA242" s="3396"/>
      <c r="BB242" s="3396"/>
      <c r="BC242" s="3396"/>
      <c r="BD242" s="3396"/>
      <c r="BE242" s="3396"/>
      <c r="BF242" s="3396"/>
      <c r="BG242" s="3396"/>
      <c r="BH242" s="3396"/>
      <c r="BI242" s="3396"/>
      <c r="BJ242" s="3396"/>
      <c r="BK242" s="3396"/>
      <c r="BL242" s="3396"/>
      <c r="BM242" s="3396"/>
      <c r="BN242" s="3396"/>
      <c r="BO242" s="3396"/>
      <c r="BP242" s="3396"/>
      <c r="BQ242" s="3396"/>
      <c r="BR242" s="3396"/>
      <c r="BS242" s="3396"/>
      <c r="BT242" s="3396"/>
      <c r="BU242" s="3396"/>
      <c r="BV242" s="3396"/>
      <c r="BW242" s="3396"/>
      <c r="BX242" s="3396"/>
      <c r="BY242" s="3396"/>
      <c r="BZ242" s="3396"/>
      <c r="CA242" s="3396"/>
      <c r="CB242" s="3396"/>
      <c r="CC242" s="3396"/>
      <c r="CD242" s="3396"/>
      <c r="CE242" s="3396"/>
      <c r="CF242" s="3396"/>
      <c r="CG242" s="3396"/>
      <c r="CH242" s="3396"/>
      <c r="CI242" s="3396"/>
      <c r="CJ242" s="3396"/>
      <c r="CK242" s="3396"/>
      <c r="CL242" s="3396"/>
      <c r="CM242" s="3396"/>
      <c r="CN242" s="3396"/>
      <c r="CO242" s="3396"/>
      <c r="CP242" s="3396"/>
      <c r="CQ242" s="3396"/>
      <c r="CR242" s="3396"/>
      <c r="CS242" s="3396"/>
      <c r="CT242" s="3396"/>
      <c r="CU242" s="3396"/>
      <c r="CV242" s="3396"/>
      <c r="CW242" s="3396"/>
      <c r="CX242" s="3396"/>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row>
    <row r="243" ht="18.75" hidden="1" customHeight="1" spans="1:131">
      <c r="A243" s="3407" t="s">
        <v>5973</v>
      </c>
      <c r="B243" s="3409"/>
      <c r="C243" s="3409"/>
      <c r="D243" s="3409"/>
      <c r="E243" s="3409"/>
      <c r="F243" s="3409"/>
      <c r="G243" s="3409"/>
      <c r="H243" s="3409"/>
      <c r="I243" s="3409"/>
      <c r="J243" s="3409"/>
      <c r="K243" s="3409"/>
      <c r="L243" s="3409"/>
      <c r="M243" s="3409"/>
      <c r="N243" s="3408"/>
      <c r="O243" s="3408"/>
      <c r="P243" s="3408"/>
      <c r="Q243" s="3408"/>
      <c r="R243" s="3408"/>
      <c r="S243" s="3408"/>
      <c r="T243" s="3408"/>
      <c r="U243" s="3408"/>
      <c r="V243" s="3408"/>
      <c r="W243" s="3410"/>
      <c r="X243" s="3410"/>
      <c r="Y243" s="3410"/>
      <c r="Z243" s="3410"/>
      <c r="AA243" s="3410"/>
      <c r="AB243" s="3410"/>
      <c r="AC243" s="3410"/>
      <c r="AD243" s="3410"/>
      <c r="AE243" s="3410"/>
      <c r="AF243" s="3410"/>
      <c r="AG243" s="3410"/>
      <c r="AH243" s="3410"/>
      <c r="AI243" s="3410"/>
      <c r="AJ243" s="3410"/>
      <c r="AK243" s="3410"/>
      <c r="AL243" s="3409"/>
      <c r="AM243" s="3409"/>
      <c r="AN243" s="3409"/>
      <c r="AO243" s="3409"/>
      <c r="AP243" s="3409"/>
      <c r="AQ243" s="3409"/>
      <c r="AR243" s="3409"/>
      <c r="AS243" s="3409"/>
      <c r="AT243" s="3409"/>
      <c r="AU243" s="3409"/>
      <c r="AV243" s="3409"/>
      <c r="AW243" s="3409"/>
      <c r="AX243" s="3409"/>
      <c r="AY243" s="3396"/>
      <c r="AZ243" s="3396"/>
      <c r="BA243" s="3396"/>
      <c r="BB243" s="3396"/>
      <c r="BC243" s="3396"/>
      <c r="BD243" s="3396"/>
      <c r="BE243" s="3396"/>
      <c r="BF243" s="3396"/>
      <c r="BG243" s="3396"/>
      <c r="BH243" s="3396"/>
      <c r="BI243" s="3396"/>
      <c r="BJ243" s="3396"/>
      <c r="BK243" s="3396"/>
      <c r="BL243" s="3396"/>
      <c r="BM243" s="3396"/>
      <c r="BN243" s="3396"/>
      <c r="BO243" s="3396"/>
      <c r="BP243" s="3396"/>
      <c r="BQ243" s="3396"/>
      <c r="BR243" s="3396"/>
      <c r="BS243" s="3396"/>
      <c r="BT243" s="3396"/>
      <c r="BU243" s="3396"/>
      <c r="BV243" s="3396"/>
      <c r="BW243" s="3396"/>
      <c r="BX243" s="3396"/>
      <c r="BY243" s="3396"/>
      <c r="BZ243" s="3396"/>
      <c r="CA243" s="3396"/>
      <c r="CB243" s="3396"/>
      <c r="CC243" s="3396"/>
      <c r="CD243" s="3396"/>
      <c r="CE243" s="3396"/>
      <c r="CF243" s="3396"/>
      <c r="CG243" s="3396"/>
      <c r="CH243" s="3396"/>
      <c r="CI243" s="3396"/>
      <c r="CJ243" s="3396"/>
      <c r="CK243" s="3396"/>
      <c r="CL243" s="3396"/>
      <c r="CM243" s="3396"/>
      <c r="CN243" s="3396"/>
      <c r="CO243" s="3396"/>
      <c r="CP243" s="3396"/>
      <c r="CQ243" s="3396"/>
      <c r="CR243" s="3396"/>
      <c r="CS243" s="3396"/>
      <c r="CT243" s="3396"/>
      <c r="CU243" s="3396"/>
      <c r="CV243" s="3396"/>
      <c r="CW243" s="3396"/>
      <c r="CX243" s="3396"/>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row>
    <row r="244" ht="18.75" hidden="1" customHeight="1" spans="1:131">
      <c r="A244" s="3407" t="s">
        <v>5975</v>
      </c>
      <c r="B244" s="3409"/>
      <c r="C244" s="3409"/>
      <c r="D244" s="3409"/>
      <c r="E244" s="3409"/>
      <c r="F244" s="3409"/>
      <c r="G244" s="3409"/>
      <c r="H244" s="3409"/>
      <c r="I244" s="3409"/>
      <c r="J244" s="3409"/>
      <c r="K244" s="3409"/>
      <c r="L244" s="3409"/>
      <c r="M244" s="3409"/>
      <c r="N244" s="3408"/>
      <c r="O244" s="3408"/>
      <c r="P244" s="3408"/>
      <c r="Q244" s="3408"/>
      <c r="R244" s="3408"/>
      <c r="S244" s="3408"/>
      <c r="T244" s="3408"/>
      <c r="U244" s="3408"/>
      <c r="V244" s="3408"/>
      <c r="W244" s="3410"/>
      <c r="X244" s="3410"/>
      <c r="Y244" s="3410"/>
      <c r="Z244" s="3410"/>
      <c r="AA244" s="3410"/>
      <c r="AB244" s="3410"/>
      <c r="AC244" s="3410"/>
      <c r="AD244" s="3410"/>
      <c r="AE244" s="3410"/>
      <c r="AF244" s="3410"/>
      <c r="AG244" s="3410"/>
      <c r="AH244" s="3410"/>
      <c r="AI244" s="3410"/>
      <c r="AJ244" s="3410"/>
      <c r="AK244" s="3410"/>
      <c r="AL244" s="3409"/>
      <c r="AM244" s="3409"/>
      <c r="AN244" s="3409"/>
      <c r="AO244" s="3409"/>
      <c r="AP244" s="3409"/>
      <c r="AQ244" s="3409"/>
      <c r="AR244" s="3409"/>
      <c r="AS244" s="3409"/>
      <c r="AT244" s="3409"/>
      <c r="AU244" s="3409"/>
      <c r="AV244" s="3409"/>
      <c r="AW244" s="3409"/>
      <c r="AX244" s="3409"/>
      <c r="AY244" s="3396"/>
      <c r="AZ244" s="3396"/>
      <c r="BA244" s="3396"/>
      <c r="BB244" s="3396"/>
      <c r="BC244" s="3396"/>
      <c r="BD244" s="3396"/>
      <c r="BE244" s="3396"/>
      <c r="BF244" s="3396"/>
      <c r="BG244" s="3396"/>
      <c r="BH244" s="3396"/>
      <c r="BI244" s="3396"/>
      <c r="BJ244" s="3396"/>
      <c r="BK244" s="3396"/>
      <c r="BL244" s="3396"/>
      <c r="BM244" s="3396"/>
      <c r="BN244" s="3396"/>
      <c r="BO244" s="3396"/>
      <c r="BP244" s="3396"/>
      <c r="BQ244" s="3396"/>
      <c r="BR244" s="3396"/>
      <c r="BS244" s="3396"/>
      <c r="BT244" s="3396"/>
      <c r="BU244" s="3396"/>
      <c r="BV244" s="3396"/>
      <c r="BW244" s="3396"/>
      <c r="BX244" s="3396"/>
      <c r="BY244" s="3396"/>
      <c r="BZ244" s="3396"/>
      <c r="CA244" s="3396"/>
      <c r="CB244" s="3396"/>
      <c r="CC244" s="3396"/>
      <c r="CD244" s="3396"/>
      <c r="CE244" s="3396"/>
      <c r="CF244" s="3396"/>
      <c r="CG244" s="3396"/>
      <c r="CH244" s="3396"/>
      <c r="CI244" s="3396"/>
      <c r="CJ244" s="3396"/>
      <c r="CK244" s="3396"/>
      <c r="CL244" s="3396"/>
      <c r="CM244" s="3396"/>
      <c r="CN244" s="3396"/>
      <c r="CO244" s="3396"/>
      <c r="CP244" s="3396"/>
      <c r="CQ244" s="3396"/>
      <c r="CR244" s="3396"/>
      <c r="CS244" s="3396"/>
      <c r="CT244" s="3396"/>
      <c r="CU244" s="3396"/>
      <c r="CV244" s="3396"/>
      <c r="CW244" s="3396"/>
      <c r="CX244" s="3396"/>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row>
    <row r="245" ht="18.75" hidden="1" customHeight="1" spans="1:131">
      <c r="A245" s="3407" t="s">
        <v>5977</v>
      </c>
      <c r="B245" s="3409"/>
      <c r="C245" s="3409"/>
      <c r="D245" s="3409"/>
      <c r="E245" s="3409"/>
      <c r="F245" s="3409"/>
      <c r="G245" s="3409"/>
      <c r="H245" s="3409"/>
      <c r="I245" s="3409"/>
      <c r="J245" s="3409"/>
      <c r="K245" s="3409"/>
      <c r="L245" s="3409"/>
      <c r="M245" s="3409"/>
      <c r="N245" s="3408"/>
      <c r="O245" s="3408"/>
      <c r="P245" s="3408"/>
      <c r="Q245" s="3408"/>
      <c r="R245" s="3408"/>
      <c r="S245" s="3408"/>
      <c r="T245" s="3408"/>
      <c r="U245" s="3408"/>
      <c r="V245" s="3408"/>
      <c r="W245" s="3410"/>
      <c r="X245" s="3410"/>
      <c r="Y245" s="3410"/>
      <c r="Z245" s="3410"/>
      <c r="AA245" s="3410"/>
      <c r="AB245" s="3410"/>
      <c r="AC245" s="3410"/>
      <c r="AD245" s="3410"/>
      <c r="AE245" s="3410"/>
      <c r="AF245" s="3410"/>
      <c r="AG245" s="3410"/>
      <c r="AH245" s="3410"/>
      <c r="AI245" s="3410"/>
      <c r="AJ245" s="3410"/>
      <c r="AK245" s="3410"/>
      <c r="AL245" s="3409"/>
      <c r="AM245" s="3409"/>
      <c r="AN245" s="3409"/>
      <c r="AO245" s="3409"/>
      <c r="AP245" s="3409"/>
      <c r="AQ245" s="3409"/>
      <c r="AR245" s="3409"/>
      <c r="AS245" s="3409"/>
      <c r="AT245" s="3409"/>
      <c r="AU245" s="3409"/>
      <c r="AV245" s="3409"/>
      <c r="AW245" s="3409"/>
      <c r="AX245" s="3409"/>
      <c r="AY245" s="3396"/>
      <c r="AZ245" s="3396"/>
      <c r="BA245" s="3396"/>
      <c r="BB245" s="3396"/>
      <c r="BC245" s="3396"/>
      <c r="BD245" s="3396"/>
      <c r="BE245" s="3396"/>
      <c r="BF245" s="3396"/>
      <c r="BG245" s="3396"/>
      <c r="BH245" s="3396"/>
      <c r="BI245" s="3396"/>
      <c r="BJ245" s="3396"/>
      <c r="BK245" s="3396"/>
      <c r="BL245" s="3396"/>
      <c r="BM245" s="3396"/>
      <c r="BN245" s="3396"/>
      <c r="BO245" s="3396"/>
      <c r="BP245" s="3396"/>
      <c r="BQ245" s="3396"/>
      <c r="BR245" s="3396"/>
      <c r="BS245" s="3396"/>
      <c r="BT245" s="3396"/>
      <c r="BU245" s="3396"/>
      <c r="BV245" s="3396"/>
      <c r="BW245" s="3396"/>
      <c r="BX245" s="3396"/>
      <c r="BY245" s="3396"/>
      <c r="BZ245" s="3396"/>
      <c r="CA245" s="3396"/>
      <c r="CB245" s="3396"/>
      <c r="CC245" s="3396"/>
      <c r="CD245" s="3396"/>
      <c r="CE245" s="3396"/>
      <c r="CF245" s="3396"/>
      <c r="CG245" s="3396"/>
      <c r="CH245" s="3396"/>
      <c r="CI245" s="3396"/>
      <c r="CJ245" s="3396"/>
      <c r="CK245" s="3396"/>
      <c r="CL245" s="3396"/>
      <c r="CM245" s="3396"/>
      <c r="CN245" s="3396"/>
      <c r="CO245" s="3396"/>
      <c r="CP245" s="3396"/>
      <c r="CQ245" s="3396"/>
      <c r="CR245" s="3396"/>
      <c r="CS245" s="3396"/>
      <c r="CT245" s="3396"/>
      <c r="CU245" s="3396"/>
      <c r="CV245" s="3396"/>
      <c r="CW245" s="3396"/>
      <c r="CX245" s="3396"/>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row>
    <row r="246" ht="18.75" hidden="1" customHeight="1" spans="1:131">
      <c r="A246" s="3407" t="s">
        <v>5979</v>
      </c>
      <c r="B246" s="3409"/>
      <c r="C246" s="3409"/>
      <c r="D246" s="3409"/>
      <c r="E246" s="3409"/>
      <c r="F246" s="3409"/>
      <c r="G246" s="3409"/>
      <c r="H246" s="3409"/>
      <c r="I246" s="3409"/>
      <c r="J246" s="3409"/>
      <c r="K246" s="3409"/>
      <c r="L246" s="3409"/>
      <c r="M246" s="3409"/>
      <c r="N246" s="3408"/>
      <c r="O246" s="3408"/>
      <c r="P246" s="3408"/>
      <c r="Q246" s="3408"/>
      <c r="R246" s="3408"/>
      <c r="S246" s="3408"/>
      <c r="T246" s="3408"/>
      <c r="U246" s="3408"/>
      <c r="V246" s="3408"/>
      <c r="W246" s="3410"/>
      <c r="X246" s="3410"/>
      <c r="Y246" s="3410"/>
      <c r="Z246" s="3410"/>
      <c r="AA246" s="3410"/>
      <c r="AB246" s="3410"/>
      <c r="AC246" s="3410"/>
      <c r="AD246" s="3410"/>
      <c r="AE246" s="3410"/>
      <c r="AF246" s="3410"/>
      <c r="AG246" s="3410"/>
      <c r="AH246" s="3410"/>
      <c r="AI246" s="3410"/>
      <c r="AJ246" s="3410"/>
      <c r="AK246" s="3410"/>
      <c r="AL246" s="3409"/>
      <c r="AM246" s="3409"/>
      <c r="AN246" s="3409"/>
      <c r="AO246" s="3409"/>
      <c r="AP246" s="3409"/>
      <c r="AQ246" s="3409"/>
      <c r="AR246" s="3409"/>
      <c r="AS246" s="3409"/>
      <c r="AT246" s="3409"/>
      <c r="AU246" s="3409"/>
      <c r="AV246" s="3409"/>
      <c r="AW246" s="3409"/>
      <c r="AX246" s="3409"/>
      <c r="AY246" s="3396"/>
      <c r="AZ246" s="3396"/>
      <c r="BA246" s="3396"/>
      <c r="BB246" s="3396"/>
      <c r="BC246" s="3396"/>
      <c r="BD246" s="3396"/>
      <c r="BE246" s="3396"/>
      <c r="BF246" s="3396"/>
      <c r="BG246" s="3396"/>
      <c r="BH246" s="3396"/>
      <c r="BI246" s="3396"/>
      <c r="BJ246" s="3396"/>
      <c r="BK246" s="3396"/>
      <c r="BL246" s="3396"/>
      <c r="BM246" s="3396"/>
      <c r="BN246" s="3396"/>
      <c r="BO246" s="3396"/>
      <c r="BP246" s="3396"/>
      <c r="BQ246" s="3396"/>
      <c r="BR246" s="3396"/>
      <c r="BS246" s="3396"/>
      <c r="BT246" s="3396"/>
      <c r="BU246" s="3396"/>
      <c r="BV246" s="3396"/>
      <c r="BW246" s="3396"/>
      <c r="BX246" s="3396"/>
      <c r="BY246" s="3396"/>
      <c r="BZ246" s="3396"/>
      <c r="CA246" s="3396"/>
      <c r="CB246" s="3396"/>
      <c r="CC246" s="3396"/>
      <c r="CD246" s="3396"/>
      <c r="CE246" s="3396"/>
      <c r="CF246" s="3396"/>
      <c r="CG246" s="3396"/>
      <c r="CH246" s="3396"/>
      <c r="CI246" s="3396"/>
      <c r="CJ246" s="3396"/>
      <c r="CK246" s="3396"/>
      <c r="CL246" s="3396"/>
      <c r="CM246" s="3396"/>
      <c r="CN246" s="3396"/>
      <c r="CO246" s="3396"/>
      <c r="CP246" s="3396"/>
      <c r="CQ246" s="3396"/>
      <c r="CR246" s="3396"/>
      <c r="CS246" s="3396"/>
      <c r="CT246" s="3396"/>
      <c r="CU246" s="3396"/>
      <c r="CV246" s="3396"/>
      <c r="CW246" s="3396"/>
      <c r="CX246" s="3396"/>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row>
    <row r="247" ht="18.75" hidden="1" customHeight="1" spans="1:131">
      <c r="A247" s="3407" t="s">
        <v>5981</v>
      </c>
      <c r="B247" s="3409"/>
      <c r="C247" s="3409"/>
      <c r="D247" s="3409"/>
      <c r="E247" s="3409"/>
      <c r="F247" s="3409"/>
      <c r="G247" s="3409"/>
      <c r="H247" s="3409"/>
      <c r="I247" s="3409"/>
      <c r="J247" s="3409"/>
      <c r="K247" s="3409"/>
      <c r="L247" s="3409"/>
      <c r="M247" s="3409"/>
      <c r="N247" s="3408"/>
      <c r="O247" s="3408"/>
      <c r="P247" s="3408"/>
      <c r="Q247" s="3408"/>
      <c r="R247" s="3408"/>
      <c r="S247" s="3408"/>
      <c r="T247" s="3408"/>
      <c r="U247" s="3408"/>
      <c r="V247" s="3408"/>
      <c r="W247" s="3410"/>
      <c r="X247" s="3410"/>
      <c r="Y247" s="3410"/>
      <c r="Z247" s="3410"/>
      <c r="AA247" s="3410"/>
      <c r="AB247" s="3410"/>
      <c r="AC247" s="3410"/>
      <c r="AD247" s="3410"/>
      <c r="AE247" s="3410"/>
      <c r="AF247" s="3410"/>
      <c r="AG247" s="3410"/>
      <c r="AH247" s="3410"/>
      <c r="AI247" s="3410"/>
      <c r="AJ247" s="3410"/>
      <c r="AK247" s="3410"/>
      <c r="AL247" s="3409"/>
      <c r="AM247" s="3409"/>
      <c r="AN247" s="3409"/>
      <c r="AO247" s="3409"/>
      <c r="AP247" s="3409"/>
      <c r="AQ247" s="3409"/>
      <c r="AR247" s="3409"/>
      <c r="AS247" s="3409"/>
      <c r="AT247" s="3409"/>
      <c r="AU247" s="3409"/>
      <c r="AV247" s="3409"/>
      <c r="AW247" s="3409"/>
      <c r="AX247" s="3409"/>
      <c r="AY247" s="3396"/>
      <c r="AZ247" s="3396"/>
      <c r="BA247" s="3396"/>
      <c r="BB247" s="3396"/>
      <c r="BC247" s="3396"/>
      <c r="BD247" s="3396"/>
      <c r="BE247" s="3396"/>
      <c r="BF247" s="3396"/>
      <c r="BG247" s="3396"/>
      <c r="BH247" s="3396"/>
      <c r="BI247" s="3396"/>
      <c r="BJ247" s="3396"/>
      <c r="BK247" s="3396"/>
      <c r="BL247" s="3396"/>
      <c r="BM247" s="3396"/>
      <c r="BN247" s="3396"/>
      <c r="BO247" s="3396"/>
      <c r="BP247" s="3396"/>
      <c r="BQ247" s="3396"/>
      <c r="BR247" s="3396"/>
      <c r="BS247" s="3396"/>
      <c r="BT247" s="3396"/>
      <c r="BU247" s="3396"/>
      <c r="BV247" s="3396"/>
      <c r="BW247" s="3396"/>
      <c r="BX247" s="3396"/>
      <c r="BY247" s="3396"/>
      <c r="BZ247" s="3396"/>
      <c r="CA247" s="3396"/>
      <c r="CB247" s="3396"/>
      <c r="CC247" s="3396"/>
      <c r="CD247" s="3396"/>
      <c r="CE247" s="3396"/>
      <c r="CF247" s="3396"/>
      <c r="CG247" s="3396"/>
      <c r="CH247" s="3396"/>
      <c r="CI247" s="3396"/>
      <c r="CJ247" s="3396"/>
      <c r="CK247" s="3396"/>
      <c r="CL247" s="3396"/>
      <c r="CM247" s="3396"/>
      <c r="CN247" s="3396"/>
      <c r="CO247" s="3396"/>
      <c r="CP247" s="3396"/>
      <c r="CQ247" s="3396"/>
      <c r="CR247" s="3396"/>
      <c r="CS247" s="3396"/>
      <c r="CT247" s="3396"/>
      <c r="CU247" s="3396"/>
      <c r="CV247" s="3396"/>
      <c r="CW247" s="3396"/>
      <c r="CX247" s="3396"/>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row>
    <row r="248" ht="18.75" hidden="1" customHeight="1" spans="1:131">
      <c r="A248" s="3407" t="s">
        <v>6022</v>
      </c>
      <c r="B248" s="3409"/>
      <c r="C248" s="3409"/>
      <c r="D248" s="3409"/>
      <c r="E248" s="3409"/>
      <c r="F248" s="3409"/>
      <c r="G248" s="3409"/>
      <c r="H248" s="3409"/>
      <c r="I248" s="3409"/>
      <c r="J248" s="3409"/>
      <c r="K248" s="3409"/>
      <c r="L248" s="3409"/>
      <c r="M248" s="3409"/>
      <c r="N248" s="3408"/>
      <c r="O248" s="3408"/>
      <c r="P248" s="3408"/>
      <c r="Q248" s="3408"/>
      <c r="R248" s="3408"/>
      <c r="S248" s="3408"/>
      <c r="T248" s="3408"/>
      <c r="U248" s="3408"/>
      <c r="V248" s="3408"/>
      <c r="W248" s="3410"/>
      <c r="X248" s="3410"/>
      <c r="Y248" s="3410"/>
      <c r="Z248" s="3410"/>
      <c r="AA248" s="3410"/>
      <c r="AB248" s="3410"/>
      <c r="AC248" s="3410"/>
      <c r="AD248" s="3410"/>
      <c r="AE248" s="3410"/>
      <c r="AF248" s="3410"/>
      <c r="AG248" s="3410"/>
      <c r="AH248" s="3410"/>
      <c r="AI248" s="3410"/>
      <c r="AJ248" s="3410"/>
      <c r="AK248" s="3410"/>
      <c r="AL248" s="3409"/>
      <c r="AM248" s="3409"/>
      <c r="AN248" s="3409"/>
      <c r="AO248" s="3409"/>
      <c r="AP248" s="3409"/>
      <c r="AQ248" s="3409"/>
      <c r="AR248" s="3409"/>
      <c r="AS248" s="3409"/>
      <c r="AT248" s="3409"/>
      <c r="AU248" s="3409"/>
      <c r="AV248" s="3409"/>
      <c r="AW248" s="3409"/>
      <c r="AX248" s="3409"/>
      <c r="AY248" s="3396"/>
      <c r="AZ248" s="3396"/>
      <c r="BA248" s="3396"/>
      <c r="BB248" s="3396"/>
      <c r="BC248" s="3396"/>
      <c r="BD248" s="3396"/>
      <c r="BE248" s="3396"/>
      <c r="BF248" s="3396"/>
      <c r="BG248" s="3396"/>
      <c r="BH248" s="3396"/>
      <c r="BI248" s="3396"/>
      <c r="BJ248" s="3396"/>
      <c r="BK248" s="3396"/>
      <c r="BL248" s="3396"/>
      <c r="BM248" s="3396"/>
      <c r="BN248" s="3396"/>
      <c r="BO248" s="3396"/>
      <c r="BP248" s="3396"/>
      <c r="BQ248" s="3396"/>
      <c r="BR248" s="3396"/>
      <c r="BS248" s="3396"/>
      <c r="BT248" s="3396"/>
      <c r="BU248" s="3396"/>
      <c r="BV248" s="3396"/>
      <c r="BW248" s="3396"/>
      <c r="BX248" s="3396"/>
      <c r="BY248" s="3396"/>
      <c r="BZ248" s="3396"/>
      <c r="CA248" s="3396"/>
      <c r="CB248" s="3396"/>
      <c r="CC248" s="3396"/>
      <c r="CD248" s="3396"/>
      <c r="CE248" s="3396"/>
      <c r="CF248" s="3396"/>
      <c r="CG248" s="3396"/>
      <c r="CH248" s="3396"/>
      <c r="CI248" s="3396"/>
      <c r="CJ248" s="3396"/>
      <c r="CK248" s="3396"/>
      <c r="CL248" s="3396"/>
      <c r="CM248" s="3396"/>
      <c r="CN248" s="3396"/>
      <c r="CO248" s="3396"/>
      <c r="CP248" s="3396"/>
      <c r="CQ248" s="3396"/>
      <c r="CR248" s="3396"/>
      <c r="CS248" s="3396"/>
      <c r="CT248" s="3396"/>
      <c r="CU248" s="3396"/>
      <c r="CV248" s="3396"/>
      <c r="CW248" s="3396"/>
      <c r="CX248" s="3396"/>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row>
    <row r="249" ht="18.75" hidden="1" customHeight="1" spans="1:131">
      <c r="A249" s="3407" t="s">
        <v>6023</v>
      </c>
      <c r="B249" s="3409"/>
      <c r="C249" s="3409"/>
      <c r="D249" s="3409"/>
      <c r="E249" s="3409"/>
      <c r="F249" s="3409"/>
      <c r="G249" s="3409"/>
      <c r="H249" s="3409"/>
      <c r="I249" s="3409"/>
      <c r="J249" s="3409"/>
      <c r="K249" s="3409"/>
      <c r="L249" s="3409"/>
      <c r="M249" s="3409"/>
      <c r="N249" s="3408"/>
      <c r="O249" s="3408"/>
      <c r="P249" s="3408"/>
      <c r="Q249" s="3408"/>
      <c r="R249" s="3408"/>
      <c r="S249" s="3408"/>
      <c r="T249" s="3408"/>
      <c r="U249" s="3408"/>
      <c r="V249" s="3408"/>
      <c r="W249" s="3410"/>
      <c r="X249" s="3410"/>
      <c r="Y249" s="3410"/>
      <c r="Z249" s="3410"/>
      <c r="AA249" s="3410"/>
      <c r="AB249" s="3410"/>
      <c r="AC249" s="3410"/>
      <c r="AD249" s="3410"/>
      <c r="AE249" s="3410"/>
      <c r="AF249" s="3410"/>
      <c r="AG249" s="3410"/>
      <c r="AH249" s="3410"/>
      <c r="AI249" s="3410"/>
      <c r="AJ249" s="3410"/>
      <c r="AK249" s="3410"/>
      <c r="AL249" s="3409"/>
      <c r="AM249" s="3409"/>
      <c r="AN249" s="3409"/>
      <c r="AO249" s="3409"/>
      <c r="AP249" s="3409"/>
      <c r="AQ249" s="3409"/>
      <c r="AR249" s="3409"/>
      <c r="AS249" s="3409"/>
      <c r="AT249" s="3409"/>
      <c r="AU249" s="3409"/>
      <c r="AV249" s="3409"/>
      <c r="AW249" s="3409"/>
      <c r="AX249" s="3409"/>
      <c r="AY249" s="3396"/>
      <c r="AZ249" s="3396"/>
      <c r="BA249" s="3396"/>
      <c r="BB249" s="3396"/>
      <c r="BC249" s="3396"/>
      <c r="BD249" s="3396"/>
      <c r="BE249" s="3396"/>
      <c r="BF249" s="3396"/>
      <c r="BG249" s="3396"/>
      <c r="BH249" s="3396"/>
      <c r="BI249" s="3396"/>
      <c r="BJ249" s="3396"/>
      <c r="BK249" s="3396"/>
      <c r="BL249" s="3396"/>
      <c r="BM249" s="3396"/>
      <c r="BN249" s="3396"/>
      <c r="BO249" s="3396"/>
      <c r="BP249" s="3396"/>
      <c r="BQ249" s="3396"/>
      <c r="BR249" s="3396"/>
      <c r="BS249" s="3396"/>
      <c r="BT249" s="3396"/>
      <c r="BU249" s="3396"/>
      <c r="BV249" s="3396"/>
      <c r="BW249" s="3396"/>
      <c r="BX249" s="3396"/>
      <c r="BY249" s="3396"/>
      <c r="BZ249" s="3396"/>
      <c r="CA249" s="3396"/>
      <c r="CB249" s="3396"/>
      <c r="CC249" s="3396"/>
      <c r="CD249" s="3396"/>
      <c r="CE249" s="3396"/>
      <c r="CF249" s="3396"/>
      <c r="CG249" s="3396"/>
      <c r="CH249" s="3396"/>
      <c r="CI249" s="3396"/>
      <c r="CJ249" s="3396"/>
      <c r="CK249" s="3396"/>
      <c r="CL249" s="3396"/>
      <c r="CM249" s="3396"/>
      <c r="CN249" s="3396"/>
      <c r="CO249" s="3396"/>
      <c r="CP249" s="3396"/>
      <c r="CQ249" s="3396"/>
      <c r="CR249" s="3396"/>
      <c r="CS249" s="3396"/>
      <c r="CT249" s="3396"/>
      <c r="CU249" s="3396"/>
      <c r="CV249" s="3396"/>
      <c r="CW249" s="3396"/>
      <c r="CX249" s="3396"/>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row>
    <row r="250" ht="18.75" hidden="1" customHeight="1" spans="1:131">
      <c r="A250" s="3407" t="s">
        <v>6024</v>
      </c>
      <c r="B250" s="3409"/>
      <c r="C250" s="3409"/>
      <c r="D250" s="3409"/>
      <c r="E250" s="3409"/>
      <c r="F250" s="3409"/>
      <c r="G250" s="3409"/>
      <c r="H250" s="3409"/>
      <c r="I250" s="3409"/>
      <c r="J250" s="3409"/>
      <c r="K250" s="3409"/>
      <c r="L250" s="3409"/>
      <c r="M250" s="3409"/>
      <c r="N250" s="3408"/>
      <c r="O250" s="3408"/>
      <c r="P250" s="3408"/>
      <c r="Q250" s="3408"/>
      <c r="R250" s="3408"/>
      <c r="S250" s="3408"/>
      <c r="T250" s="3408"/>
      <c r="U250" s="3408"/>
      <c r="V250" s="3408"/>
      <c r="W250" s="3410"/>
      <c r="X250" s="3410"/>
      <c r="Y250" s="3410"/>
      <c r="Z250" s="3410"/>
      <c r="AA250" s="3410"/>
      <c r="AB250" s="3410"/>
      <c r="AC250" s="3410"/>
      <c r="AD250" s="3410"/>
      <c r="AE250" s="3410"/>
      <c r="AF250" s="3410"/>
      <c r="AG250" s="3410"/>
      <c r="AH250" s="3410"/>
      <c r="AI250" s="3410"/>
      <c r="AJ250" s="3410"/>
      <c r="AK250" s="3410"/>
      <c r="AL250" s="3409"/>
      <c r="AM250" s="3409"/>
      <c r="AN250" s="3409"/>
      <c r="AO250" s="3409"/>
      <c r="AP250" s="3409"/>
      <c r="AQ250" s="3409"/>
      <c r="AR250" s="3409"/>
      <c r="AS250" s="3409"/>
      <c r="AT250" s="3409"/>
      <c r="AU250" s="3409"/>
      <c r="AV250" s="3409"/>
      <c r="AW250" s="3409"/>
      <c r="AX250" s="3409"/>
      <c r="AY250" s="3396"/>
      <c r="AZ250" s="3396"/>
      <c r="BA250" s="3396"/>
      <c r="BB250" s="3396"/>
      <c r="BC250" s="3396"/>
      <c r="BD250" s="3396"/>
      <c r="BE250" s="3396"/>
      <c r="BF250" s="3396"/>
      <c r="BG250" s="3396"/>
      <c r="BH250" s="3396"/>
      <c r="BI250" s="3396"/>
      <c r="BJ250" s="3396"/>
      <c r="BK250" s="3396"/>
      <c r="BL250" s="3396"/>
      <c r="BM250" s="3396"/>
      <c r="BN250" s="3396"/>
      <c r="BO250" s="3396"/>
      <c r="BP250" s="3396"/>
      <c r="BQ250" s="3396"/>
      <c r="BR250" s="3396"/>
      <c r="BS250" s="3396"/>
      <c r="BT250" s="3396"/>
      <c r="BU250" s="3396"/>
      <c r="BV250" s="3396"/>
      <c r="BW250" s="3396"/>
      <c r="BX250" s="3396"/>
      <c r="BY250" s="3396"/>
      <c r="BZ250" s="3396"/>
      <c r="CA250" s="3396"/>
      <c r="CB250" s="3396"/>
      <c r="CC250" s="3396"/>
      <c r="CD250" s="3396"/>
      <c r="CE250" s="3396"/>
      <c r="CF250" s="3396"/>
      <c r="CG250" s="3396"/>
      <c r="CH250" s="3396"/>
      <c r="CI250" s="3396"/>
      <c r="CJ250" s="3396"/>
      <c r="CK250" s="3396"/>
      <c r="CL250" s="3396"/>
      <c r="CM250" s="3396"/>
      <c r="CN250" s="3396"/>
      <c r="CO250" s="3396"/>
      <c r="CP250" s="3396"/>
      <c r="CQ250" s="3396"/>
      <c r="CR250" s="3396"/>
      <c r="CS250" s="3396"/>
      <c r="CT250" s="3396"/>
      <c r="CU250" s="3396"/>
      <c r="CV250" s="3396"/>
      <c r="CW250" s="3396"/>
      <c r="CX250" s="3396"/>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row>
    <row r="251" ht="18.75" hidden="1" customHeight="1" spans="1:131">
      <c r="A251" s="3407" t="s">
        <v>6025</v>
      </c>
      <c r="B251" s="3409"/>
      <c r="C251" s="3409"/>
      <c r="D251" s="3409"/>
      <c r="E251" s="3409"/>
      <c r="F251" s="3409"/>
      <c r="G251" s="3409"/>
      <c r="H251" s="3409"/>
      <c r="I251" s="3409"/>
      <c r="J251" s="3409"/>
      <c r="K251" s="3409"/>
      <c r="L251" s="3409"/>
      <c r="M251" s="3409"/>
      <c r="N251" s="3408"/>
      <c r="O251" s="3408"/>
      <c r="P251" s="3408"/>
      <c r="Q251" s="3408"/>
      <c r="R251" s="3408"/>
      <c r="S251" s="3408"/>
      <c r="T251" s="3408"/>
      <c r="U251" s="3408"/>
      <c r="V251" s="3408"/>
      <c r="W251" s="3410"/>
      <c r="X251" s="3410"/>
      <c r="Y251" s="3410"/>
      <c r="Z251" s="3410"/>
      <c r="AA251" s="3410"/>
      <c r="AB251" s="3410"/>
      <c r="AC251" s="3410"/>
      <c r="AD251" s="3410"/>
      <c r="AE251" s="3410"/>
      <c r="AF251" s="3410"/>
      <c r="AG251" s="3410"/>
      <c r="AH251" s="3410"/>
      <c r="AI251" s="3410"/>
      <c r="AJ251" s="3410"/>
      <c r="AK251" s="3410"/>
      <c r="AL251" s="3409"/>
      <c r="AM251" s="3409"/>
      <c r="AN251" s="3409"/>
      <c r="AO251" s="3409"/>
      <c r="AP251" s="3409"/>
      <c r="AQ251" s="3409"/>
      <c r="AR251" s="3409"/>
      <c r="AS251" s="3409"/>
      <c r="AT251" s="3409"/>
      <c r="AU251" s="3409"/>
      <c r="AV251" s="3409"/>
      <c r="AW251" s="3409"/>
      <c r="AX251" s="3409"/>
      <c r="AY251" s="3396"/>
      <c r="AZ251" s="3396"/>
      <c r="BA251" s="3396"/>
      <c r="BB251" s="3396"/>
      <c r="BC251" s="3396"/>
      <c r="BD251" s="3396"/>
      <c r="BE251" s="3396"/>
      <c r="BF251" s="3396"/>
      <c r="BG251" s="3396"/>
      <c r="BH251" s="3396"/>
      <c r="BI251" s="3396"/>
      <c r="BJ251" s="3396"/>
      <c r="BK251" s="3396"/>
      <c r="BL251" s="3396"/>
      <c r="BM251" s="3396"/>
      <c r="BN251" s="3396"/>
      <c r="BO251" s="3396"/>
      <c r="BP251" s="3396"/>
      <c r="BQ251" s="3396"/>
      <c r="BR251" s="3396"/>
      <c r="BS251" s="3396"/>
      <c r="BT251" s="3396"/>
      <c r="BU251" s="3396"/>
      <c r="BV251" s="3396"/>
      <c r="BW251" s="3396"/>
      <c r="BX251" s="3396"/>
      <c r="BY251" s="3396"/>
      <c r="BZ251" s="3396"/>
      <c r="CA251" s="3396"/>
      <c r="CB251" s="3396"/>
      <c r="CC251" s="3396"/>
      <c r="CD251" s="3396"/>
      <c r="CE251" s="3396"/>
      <c r="CF251" s="3396"/>
      <c r="CG251" s="3396"/>
      <c r="CH251" s="3396"/>
      <c r="CI251" s="3396"/>
      <c r="CJ251" s="3396"/>
      <c r="CK251" s="3396"/>
      <c r="CL251" s="3396"/>
      <c r="CM251" s="3396"/>
      <c r="CN251" s="3396"/>
      <c r="CO251" s="3396"/>
      <c r="CP251" s="3396"/>
      <c r="CQ251" s="3396"/>
      <c r="CR251" s="3396"/>
      <c r="CS251" s="3396"/>
      <c r="CT251" s="3396"/>
      <c r="CU251" s="3396"/>
      <c r="CV251" s="3396"/>
      <c r="CW251" s="3396"/>
      <c r="CX251" s="3396"/>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row>
    <row r="252" ht="18.75" hidden="1" customHeight="1" spans="1:131">
      <c r="A252" s="3407" t="s">
        <v>6026</v>
      </c>
      <c r="B252" s="3409"/>
      <c r="C252" s="3409"/>
      <c r="D252" s="3409"/>
      <c r="E252" s="3409"/>
      <c r="F252" s="3409"/>
      <c r="G252" s="3409"/>
      <c r="H252" s="3409"/>
      <c r="I252" s="3409"/>
      <c r="J252" s="3409"/>
      <c r="K252" s="3409"/>
      <c r="L252" s="3409"/>
      <c r="M252" s="3409"/>
      <c r="N252" s="3408"/>
      <c r="O252" s="3408"/>
      <c r="P252" s="3408"/>
      <c r="Q252" s="3408"/>
      <c r="R252" s="3408"/>
      <c r="S252" s="3408"/>
      <c r="T252" s="3408"/>
      <c r="U252" s="3408"/>
      <c r="V252" s="3408"/>
      <c r="W252" s="3410"/>
      <c r="X252" s="3410"/>
      <c r="Y252" s="3410"/>
      <c r="Z252" s="3410"/>
      <c r="AA252" s="3410"/>
      <c r="AB252" s="3410"/>
      <c r="AC252" s="3410"/>
      <c r="AD252" s="3410"/>
      <c r="AE252" s="3410"/>
      <c r="AF252" s="3410"/>
      <c r="AG252" s="3410"/>
      <c r="AH252" s="3410"/>
      <c r="AI252" s="3410"/>
      <c r="AJ252" s="3410"/>
      <c r="AK252" s="3410"/>
      <c r="AL252" s="3409"/>
      <c r="AM252" s="3409"/>
      <c r="AN252" s="3409"/>
      <c r="AO252" s="3409"/>
      <c r="AP252" s="3409"/>
      <c r="AQ252" s="3409"/>
      <c r="AR252" s="3409"/>
      <c r="AS252" s="3409"/>
      <c r="AT252" s="3409"/>
      <c r="AU252" s="3409"/>
      <c r="AV252" s="3409"/>
      <c r="AW252" s="3409"/>
      <c r="AX252" s="3409"/>
      <c r="AY252" s="3396"/>
      <c r="AZ252" s="3396"/>
      <c r="BA252" s="3396"/>
      <c r="BB252" s="3396"/>
      <c r="BC252" s="3396"/>
      <c r="BD252" s="3396"/>
      <c r="BE252" s="3396"/>
      <c r="BF252" s="3396"/>
      <c r="BG252" s="3396"/>
      <c r="BH252" s="3396"/>
      <c r="BI252" s="3396"/>
      <c r="BJ252" s="3396"/>
      <c r="BK252" s="3396"/>
      <c r="BL252" s="3396"/>
      <c r="BM252" s="3396"/>
      <c r="BN252" s="3396"/>
      <c r="BO252" s="3396"/>
      <c r="BP252" s="3396"/>
      <c r="BQ252" s="3396"/>
      <c r="BR252" s="3396"/>
      <c r="BS252" s="3396"/>
      <c r="BT252" s="3396"/>
      <c r="BU252" s="3396"/>
      <c r="BV252" s="3396"/>
      <c r="BW252" s="3396"/>
      <c r="BX252" s="3396"/>
      <c r="BY252" s="3396"/>
      <c r="BZ252" s="3396"/>
      <c r="CA252" s="3396"/>
      <c r="CB252" s="3396"/>
      <c r="CC252" s="3396"/>
      <c r="CD252" s="3396"/>
      <c r="CE252" s="3396"/>
      <c r="CF252" s="3396"/>
      <c r="CG252" s="3396"/>
      <c r="CH252" s="3396"/>
      <c r="CI252" s="3396"/>
      <c r="CJ252" s="3396"/>
      <c r="CK252" s="3396"/>
      <c r="CL252" s="3396"/>
      <c r="CM252" s="3396"/>
      <c r="CN252" s="3396"/>
      <c r="CO252" s="3396"/>
      <c r="CP252" s="3396"/>
      <c r="CQ252" s="3396"/>
      <c r="CR252" s="3396"/>
      <c r="CS252" s="3396"/>
      <c r="CT252" s="3396"/>
      <c r="CU252" s="3396"/>
      <c r="CV252" s="3396"/>
      <c r="CW252" s="3396"/>
      <c r="CX252" s="3396"/>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row>
    <row r="253" ht="18.75" hidden="1" customHeight="1" spans="1:131">
      <c r="A253" s="3407" t="s">
        <v>6027</v>
      </c>
      <c r="B253" s="3409"/>
      <c r="C253" s="3409"/>
      <c r="D253" s="3409"/>
      <c r="E253" s="3409"/>
      <c r="F253" s="3409"/>
      <c r="G253" s="3409"/>
      <c r="H253" s="3409"/>
      <c r="I253" s="3409"/>
      <c r="J253" s="3409"/>
      <c r="K253" s="3409"/>
      <c r="L253" s="3409"/>
      <c r="M253" s="3409"/>
      <c r="N253" s="3408"/>
      <c r="O253" s="3408"/>
      <c r="P253" s="3408"/>
      <c r="Q253" s="3408"/>
      <c r="R253" s="3408"/>
      <c r="S253" s="3408"/>
      <c r="T253" s="3408"/>
      <c r="U253" s="3408"/>
      <c r="V253" s="3408"/>
      <c r="W253" s="3410"/>
      <c r="X253" s="3410"/>
      <c r="Y253" s="3410"/>
      <c r="Z253" s="3410"/>
      <c r="AA253" s="3410"/>
      <c r="AB253" s="3410"/>
      <c r="AC253" s="3410"/>
      <c r="AD253" s="3410"/>
      <c r="AE253" s="3410"/>
      <c r="AF253" s="3410"/>
      <c r="AG253" s="3410"/>
      <c r="AH253" s="3410"/>
      <c r="AI253" s="3410"/>
      <c r="AJ253" s="3410"/>
      <c r="AK253" s="3410"/>
      <c r="AL253" s="3409"/>
      <c r="AM253" s="3409"/>
      <c r="AN253" s="3409"/>
      <c r="AO253" s="3409"/>
      <c r="AP253" s="3409"/>
      <c r="AQ253" s="3409"/>
      <c r="AR253" s="3409"/>
      <c r="AS253" s="3409"/>
      <c r="AT253" s="3409"/>
      <c r="AU253" s="3409"/>
      <c r="AV253" s="3409"/>
      <c r="AW253" s="3409"/>
      <c r="AX253" s="3409"/>
      <c r="AY253" s="3396"/>
      <c r="AZ253" s="3396"/>
      <c r="BA253" s="3396"/>
      <c r="BB253" s="3396"/>
      <c r="BC253" s="3396"/>
      <c r="BD253" s="3396"/>
      <c r="BE253" s="3396"/>
      <c r="BF253" s="3396"/>
      <c r="BG253" s="3396"/>
      <c r="BH253" s="3396"/>
      <c r="BI253" s="3396"/>
      <c r="BJ253" s="3396"/>
      <c r="BK253" s="3396"/>
      <c r="BL253" s="3396"/>
      <c r="BM253" s="3396"/>
      <c r="BN253" s="3396"/>
      <c r="BO253" s="3396"/>
      <c r="BP253" s="3396"/>
      <c r="BQ253" s="3396"/>
      <c r="BR253" s="3396"/>
      <c r="BS253" s="3396"/>
      <c r="BT253" s="3396"/>
      <c r="BU253" s="3396"/>
      <c r="BV253" s="3396"/>
      <c r="BW253" s="3396"/>
      <c r="BX253" s="3396"/>
      <c r="BY253" s="3396"/>
      <c r="BZ253" s="3396"/>
      <c r="CA253" s="3396"/>
      <c r="CB253" s="3396"/>
      <c r="CC253" s="3396"/>
      <c r="CD253" s="3396"/>
      <c r="CE253" s="3396"/>
      <c r="CF253" s="3396"/>
      <c r="CG253" s="3396"/>
      <c r="CH253" s="3396"/>
      <c r="CI253" s="3396"/>
      <c r="CJ253" s="3396"/>
      <c r="CK253" s="3396"/>
      <c r="CL253" s="3396"/>
      <c r="CM253" s="3396"/>
      <c r="CN253" s="3396"/>
      <c r="CO253" s="3396"/>
      <c r="CP253" s="3396"/>
      <c r="CQ253" s="3396"/>
      <c r="CR253" s="3396"/>
      <c r="CS253" s="3396"/>
      <c r="CT253" s="3396"/>
      <c r="CU253" s="3396"/>
      <c r="CV253" s="3396"/>
      <c r="CW253" s="3396"/>
      <c r="CX253" s="3396"/>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row>
    <row r="254" ht="18.75" hidden="1" customHeight="1" spans="1:131">
      <c r="A254" s="3407" t="s">
        <v>6028</v>
      </c>
      <c r="B254" s="3409"/>
      <c r="C254" s="3409"/>
      <c r="D254" s="3409"/>
      <c r="E254" s="3409"/>
      <c r="F254" s="3409"/>
      <c r="G254" s="3409"/>
      <c r="H254" s="3409"/>
      <c r="I254" s="3409"/>
      <c r="J254" s="3409"/>
      <c r="K254" s="3409"/>
      <c r="L254" s="3409"/>
      <c r="M254" s="3409"/>
      <c r="N254" s="3408"/>
      <c r="O254" s="3408"/>
      <c r="P254" s="3408"/>
      <c r="Q254" s="3408"/>
      <c r="R254" s="3408"/>
      <c r="S254" s="3408"/>
      <c r="T254" s="3408"/>
      <c r="U254" s="3408"/>
      <c r="V254" s="3408"/>
      <c r="W254" s="3410"/>
      <c r="X254" s="3410"/>
      <c r="Y254" s="3410"/>
      <c r="Z254" s="3410"/>
      <c r="AA254" s="3410"/>
      <c r="AB254" s="3410"/>
      <c r="AC254" s="3410"/>
      <c r="AD254" s="3410"/>
      <c r="AE254" s="3410"/>
      <c r="AF254" s="3410"/>
      <c r="AG254" s="3410"/>
      <c r="AH254" s="3410"/>
      <c r="AI254" s="3410"/>
      <c r="AJ254" s="3410"/>
      <c r="AK254" s="3410"/>
      <c r="AL254" s="3409"/>
      <c r="AM254" s="3409"/>
      <c r="AN254" s="3409"/>
      <c r="AO254" s="3409"/>
      <c r="AP254" s="3409"/>
      <c r="AQ254" s="3409"/>
      <c r="AR254" s="3409"/>
      <c r="AS254" s="3409"/>
      <c r="AT254" s="3409"/>
      <c r="AU254" s="3409"/>
      <c r="AV254" s="3409"/>
      <c r="AW254" s="3409"/>
      <c r="AX254" s="3409"/>
      <c r="AY254" s="3396"/>
      <c r="AZ254" s="3396"/>
      <c r="BA254" s="3396"/>
      <c r="BB254" s="3396"/>
      <c r="BC254" s="3396"/>
      <c r="BD254" s="3396"/>
      <c r="BE254" s="3396"/>
      <c r="BF254" s="3396"/>
      <c r="BG254" s="3396"/>
      <c r="BH254" s="3396"/>
      <c r="BI254" s="3396"/>
      <c r="BJ254" s="3396"/>
      <c r="BK254" s="3396"/>
      <c r="BL254" s="3396"/>
      <c r="BM254" s="3396"/>
      <c r="BN254" s="3396"/>
      <c r="BO254" s="3396"/>
      <c r="BP254" s="3396"/>
      <c r="BQ254" s="3396"/>
      <c r="BR254" s="3396"/>
      <c r="BS254" s="3396"/>
      <c r="BT254" s="3396"/>
      <c r="BU254" s="3396"/>
      <c r="BV254" s="3396"/>
      <c r="BW254" s="3396"/>
      <c r="BX254" s="3396"/>
      <c r="BY254" s="3396"/>
      <c r="BZ254" s="3396"/>
      <c r="CA254" s="3396"/>
      <c r="CB254" s="3396"/>
      <c r="CC254" s="3396"/>
      <c r="CD254" s="3396"/>
      <c r="CE254" s="3396"/>
      <c r="CF254" s="3396"/>
      <c r="CG254" s="3396"/>
      <c r="CH254" s="3396"/>
      <c r="CI254" s="3396"/>
      <c r="CJ254" s="3396"/>
      <c r="CK254" s="3396"/>
      <c r="CL254" s="3396"/>
      <c r="CM254" s="3396"/>
      <c r="CN254" s="3396"/>
      <c r="CO254" s="3396"/>
      <c r="CP254" s="3396"/>
      <c r="CQ254" s="3396"/>
      <c r="CR254" s="3396"/>
      <c r="CS254" s="3396"/>
      <c r="CT254" s="3396"/>
      <c r="CU254" s="3396"/>
      <c r="CV254" s="3396"/>
      <c r="CW254" s="3396"/>
      <c r="CX254" s="3396"/>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row>
    <row r="255" ht="18.75" hidden="1" customHeight="1" spans="1:131">
      <c r="A255" s="3407" t="s">
        <v>6029</v>
      </c>
      <c r="B255" s="3409"/>
      <c r="C255" s="3409"/>
      <c r="D255" s="3409"/>
      <c r="E255" s="3409"/>
      <c r="F255" s="3409"/>
      <c r="G255" s="3409"/>
      <c r="H255" s="3409"/>
      <c r="I255" s="3409"/>
      <c r="J255" s="3409"/>
      <c r="K255" s="3409"/>
      <c r="L255" s="3409"/>
      <c r="M255" s="3409"/>
      <c r="N255" s="3408"/>
      <c r="O255" s="3408"/>
      <c r="P255" s="3408"/>
      <c r="Q255" s="3408"/>
      <c r="R255" s="3408"/>
      <c r="S255" s="3408"/>
      <c r="T255" s="3408"/>
      <c r="U255" s="3408"/>
      <c r="V255" s="3408"/>
      <c r="W255" s="3410"/>
      <c r="X255" s="3410"/>
      <c r="Y255" s="3410"/>
      <c r="Z255" s="3410"/>
      <c r="AA255" s="3410"/>
      <c r="AB255" s="3410"/>
      <c r="AC255" s="3410"/>
      <c r="AD255" s="3410"/>
      <c r="AE255" s="3410"/>
      <c r="AF255" s="3410"/>
      <c r="AG255" s="3410"/>
      <c r="AH255" s="3410"/>
      <c r="AI255" s="3410"/>
      <c r="AJ255" s="3410"/>
      <c r="AK255" s="3410"/>
      <c r="AL255" s="3409"/>
      <c r="AM255" s="3409"/>
      <c r="AN255" s="3409"/>
      <c r="AO255" s="3409"/>
      <c r="AP255" s="3409"/>
      <c r="AQ255" s="3409"/>
      <c r="AR255" s="3409"/>
      <c r="AS255" s="3409"/>
      <c r="AT255" s="3409"/>
      <c r="AU255" s="3409"/>
      <c r="AV255" s="3409"/>
      <c r="AW255" s="3409"/>
      <c r="AX255" s="3409"/>
      <c r="AY255" s="3396"/>
      <c r="AZ255" s="3396"/>
      <c r="BA255" s="3396"/>
      <c r="BB255" s="3396"/>
      <c r="BC255" s="3396"/>
      <c r="BD255" s="3396"/>
      <c r="BE255" s="3396"/>
      <c r="BF255" s="3396"/>
      <c r="BG255" s="3396"/>
      <c r="BH255" s="3396"/>
      <c r="BI255" s="3396"/>
      <c r="BJ255" s="3396"/>
      <c r="BK255" s="3396"/>
      <c r="BL255" s="3396"/>
      <c r="BM255" s="3396"/>
      <c r="BN255" s="3396"/>
      <c r="BO255" s="3396"/>
      <c r="BP255" s="3396"/>
      <c r="BQ255" s="3396"/>
      <c r="BR255" s="3396"/>
      <c r="BS255" s="3396"/>
      <c r="BT255" s="3396"/>
      <c r="BU255" s="3396"/>
      <c r="BV255" s="3396"/>
      <c r="BW255" s="3396"/>
      <c r="BX255" s="3396"/>
      <c r="BY255" s="3396"/>
      <c r="BZ255" s="3396"/>
      <c r="CA255" s="3396"/>
      <c r="CB255" s="3396"/>
      <c r="CC255" s="3396"/>
      <c r="CD255" s="3396"/>
      <c r="CE255" s="3396"/>
      <c r="CF255" s="3396"/>
      <c r="CG255" s="3396"/>
      <c r="CH255" s="3396"/>
      <c r="CI255" s="3396"/>
      <c r="CJ255" s="3396"/>
      <c r="CK255" s="3396"/>
      <c r="CL255" s="3396"/>
      <c r="CM255" s="3396"/>
      <c r="CN255" s="3396"/>
      <c r="CO255" s="3396"/>
      <c r="CP255" s="3396"/>
      <c r="CQ255" s="3396"/>
      <c r="CR255" s="3396"/>
      <c r="CS255" s="3396"/>
      <c r="CT255" s="3396"/>
      <c r="CU255" s="3396"/>
      <c r="CV255" s="3396"/>
      <c r="CW255" s="3396"/>
      <c r="CX255" s="3396"/>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row>
    <row r="256" ht="18.75" hidden="1" customHeight="1" spans="1:131">
      <c r="A256" s="3407" t="s">
        <v>6030</v>
      </c>
      <c r="B256" s="3409"/>
      <c r="C256" s="3409"/>
      <c r="D256" s="3409"/>
      <c r="E256" s="3409"/>
      <c r="F256" s="3409"/>
      <c r="G256" s="3409"/>
      <c r="H256" s="3409"/>
      <c r="I256" s="3409"/>
      <c r="J256" s="3409"/>
      <c r="K256" s="3409"/>
      <c r="L256" s="3409"/>
      <c r="M256" s="3409"/>
      <c r="N256" s="3408"/>
      <c r="O256" s="3408"/>
      <c r="P256" s="3408"/>
      <c r="Q256" s="3408"/>
      <c r="R256" s="3408"/>
      <c r="S256" s="3408"/>
      <c r="T256" s="3408"/>
      <c r="U256" s="3408"/>
      <c r="V256" s="3408"/>
      <c r="W256" s="3410"/>
      <c r="X256" s="3410"/>
      <c r="Y256" s="3410"/>
      <c r="Z256" s="3410"/>
      <c r="AA256" s="3410"/>
      <c r="AB256" s="3410"/>
      <c r="AC256" s="3410"/>
      <c r="AD256" s="3410"/>
      <c r="AE256" s="3410"/>
      <c r="AF256" s="3410"/>
      <c r="AG256" s="3410"/>
      <c r="AH256" s="3410"/>
      <c r="AI256" s="3410"/>
      <c r="AJ256" s="3410"/>
      <c r="AK256" s="3410"/>
      <c r="AL256" s="3409"/>
      <c r="AM256" s="3409"/>
      <c r="AN256" s="3409"/>
      <c r="AO256" s="3409"/>
      <c r="AP256" s="3409"/>
      <c r="AQ256" s="3409"/>
      <c r="AR256" s="3409"/>
      <c r="AS256" s="3409"/>
      <c r="AT256" s="3409"/>
      <c r="AU256" s="3409"/>
      <c r="AV256" s="3409"/>
      <c r="AW256" s="3409"/>
      <c r="AX256" s="3409"/>
      <c r="AY256" s="3396"/>
      <c r="AZ256" s="3396"/>
      <c r="BA256" s="3396"/>
      <c r="BB256" s="3396"/>
      <c r="BC256" s="3396"/>
      <c r="BD256" s="3396"/>
      <c r="BE256" s="3396"/>
      <c r="BF256" s="3396"/>
      <c r="BG256" s="3396"/>
      <c r="BH256" s="3396"/>
      <c r="BI256" s="3396"/>
      <c r="BJ256" s="3396"/>
      <c r="BK256" s="3396"/>
      <c r="BL256" s="3396"/>
      <c r="BM256" s="3396"/>
      <c r="BN256" s="3396"/>
      <c r="BO256" s="3396"/>
      <c r="BP256" s="3396"/>
      <c r="BQ256" s="3396"/>
      <c r="BR256" s="3396"/>
      <c r="BS256" s="3396"/>
      <c r="BT256" s="3396"/>
      <c r="BU256" s="3396"/>
      <c r="BV256" s="3396"/>
      <c r="BW256" s="3396"/>
      <c r="BX256" s="3396"/>
      <c r="BY256" s="3396"/>
      <c r="BZ256" s="3396"/>
      <c r="CA256" s="3396"/>
      <c r="CB256" s="3396"/>
      <c r="CC256" s="3396"/>
      <c r="CD256" s="3396"/>
      <c r="CE256" s="3396"/>
      <c r="CF256" s="3396"/>
      <c r="CG256" s="3396"/>
      <c r="CH256" s="3396"/>
      <c r="CI256" s="3396"/>
      <c r="CJ256" s="3396"/>
      <c r="CK256" s="3396"/>
      <c r="CL256" s="3396"/>
      <c r="CM256" s="3396"/>
      <c r="CN256" s="3396"/>
      <c r="CO256" s="3396"/>
      <c r="CP256" s="3396"/>
      <c r="CQ256" s="3396"/>
      <c r="CR256" s="3396"/>
      <c r="CS256" s="3396"/>
      <c r="CT256" s="3396"/>
      <c r="CU256" s="3396"/>
      <c r="CV256" s="3396"/>
      <c r="CW256" s="3396"/>
      <c r="CX256" s="3396"/>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row>
    <row r="257" ht="18.75" hidden="1" customHeight="1" spans="1:131">
      <c r="A257" s="3407" t="s">
        <v>6031</v>
      </c>
      <c r="B257" s="3409"/>
      <c r="C257" s="3409"/>
      <c r="D257" s="3409"/>
      <c r="E257" s="3409"/>
      <c r="F257" s="3409"/>
      <c r="G257" s="3409"/>
      <c r="H257" s="3409"/>
      <c r="I257" s="3409"/>
      <c r="J257" s="3409"/>
      <c r="K257" s="3409"/>
      <c r="L257" s="3409"/>
      <c r="M257" s="3409"/>
      <c r="N257" s="3408"/>
      <c r="O257" s="3408"/>
      <c r="P257" s="3408"/>
      <c r="Q257" s="3408"/>
      <c r="R257" s="3408"/>
      <c r="S257" s="3408"/>
      <c r="T257" s="3408"/>
      <c r="U257" s="3408"/>
      <c r="V257" s="3408"/>
      <c r="W257" s="3410"/>
      <c r="X257" s="3410"/>
      <c r="Y257" s="3410"/>
      <c r="Z257" s="3410"/>
      <c r="AA257" s="3410"/>
      <c r="AB257" s="3410"/>
      <c r="AC257" s="3410"/>
      <c r="AD257" s="3410"/>
      <c r="AE257" s="3410"/>
      <c r="AF257" s="3410"/>
      <c r="AG257" s="3410"/>
      <c r="AH257" s="3410"/>
      <c r="AI257" s="3410"/>
      <c r="AJ257" s="3410"/>
      <c r="AK257" s="3410"/>
      <c r="AL257" s="3409"/>
      <c r="AM257" s="3409"/>
      <c r="AN257" s="3409"/>
      <c r="AO257" s="3409"/>
      <c r="AP257" s="3409"/>
      <c r="AQ257" s="3409"/>
      <c r="AR257" s="3409"/>
      <c r="AS257" s="3409"/>
      <c r="AT257" s="3409"/>
      <c r="AU257" s="3409"/>
      <c r="AV257" s="3409"/>
      <c r="AW257" s="3409"/>
      <c r="AX257" s="3409"/>
      <c r="AY257" s="3396"/>
      <c r="AZ257" s="3396"/>
      <c r="BA257" s="3396"/>
      <c r="BB257" s="3396"/>
      <c r="BC257" s="3396"/>
      <c r="BD257" s="3396"/>
      <c r="BE257" s="3396"/>
      <c r="BF257" s="3396"/>
      <c r="BG257" s="3396"/>
      <c r="BH257" s="3396"/>
      <c r="BI257" s="3396"/>
      <c r="BJ257" s="3396"/>
      <c r="BK257" s="3396"/>
      <c r="BL257" s="3396"/>
      <c r="BM257" s="3396"/>
      <c r="BN257" s="3396"/>
      <c r="BO257" s="3396"/>
      <c r="BP257" s="3396"/>
      <c r="BQ257" s="3396"/>
      <c r="BR257" s="3396"/>
      <c r="BS257" s="3396"/>
      <c r="BT257" s="3396"/>
      <c r="BU257" s="3396"/>
      <c r="BV257" s="3396"/>
      <c r="BW257" s="3396"/>
      <c r="BX257" s="3396"/>
      <c r="BY257" s="3396"/>
      <c r="BZ257" s="3396"/>
      <c r="CA257" s="3396"/>
      <c r="CB257" s="3396"/>
      <c r="CC257" s="3396"/>
      <c r="CD257" s="3396"/>
      <c r="CE257" s="3396"/>
      <c r="CF257" s="3396"/>
      <c r="CG257" s="3396"/>
      <c r="CH257" s="3396"/>
      <c r="CI257" s="3396"/>
      <c r="CJ257" s="3396"/>
      <c r="CK257" s="3396"/>
      <c r="CL257" s="3396"/>
      <c r="CM257" s="3396"/>
      <c r="CN257" s="3396"/>
      <c r="CO257" s="3396"/>
      <c r="CP257" s="3396"/>
      <c r="CQ257" s="3396"/>
      <c r="CR257" s="3396"/>
      <c r="CS257" s="3396"/>
      <c r="CT257" s="3396"/>
      <c r="CU257" s="3396"/>
      <c r="CV257" s="3396"/>
      <c r="CW257" s="3396"/>
      <c r="CX257" s="3396"/>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row>
    <row r="258" ht="18.75" hidden="1" customHeight="1" spans="1:131">
      <c r="A258" s="3407" t="s">
        <v>6032</v>
      </c>
      <c r="B258" s="3409"/>
      <c r="C258" s="3409"/>
      <c r="D258" s="3409"/>
      <c r="E258" s="3409"/>
      <c r="F258" s="3409"/>
      <c r="G258" s="3409"/>
      <c r="H258" s="3409"/>
      <c r="I258" s="3409"/>
      <c r="J258" s="3409"/>
      <c r="K258" s="3409"/>
      <c r="L258" s="3409"/>
      <c r="M258" s="3409"/>
      <c r="N258" s="3408"/>
      <c r="O258" s="3408"/>
      <c r="P258" s="3408"/>
      <c r="Q258" s="3408"/>
      <c r="R258" s="3408"/>
      <c r="S258" s="3408"/>
      <c r="T258" s="3408"/>
      <c r="U258" s="3408"/>
      <c r="V258" s="3408"/>
      <c r="W258" s="3410"/>
      <c r="X258" s="3410"/>
      <c r="Y258" s="3410"/>
      <c r="Z258" s="3410"/>
      <c r="AA258" s="3410"/>
      <c r="AB258" s="3410"/>
      <c r="AC258" s="3410"/>
      <c r="AD258" s="3410"/>
      <c r="AE258" s="3410"/>
      <c r="AF258" s="3410"/>
      <c r="AG258" s="3410"/>
      <c r="AH258" s="3410"/>
      <c r="AI258" s="3410"/>
      <c r="AJ258" s="3410"/>
      <c r="AK258" s="3410"/>
      <c r="AL258" s="3409"/>
      <c r="AM258" s="3409"/>
      <c r="AN258" s="3409"/>
      <c r="AO258" s="3409"/>
      <c r="AP258" s="3409"/>
      <c r="AQ258" s="3409"/>
      <c r="AR258" s="3409"/>
      <c r="AS258" s="3409"/>
      <c r="AT258" s="3409"/>
      <c r="AU258" s="3409"/>
      <c r="AV258" s="3409"/>
      <c r="AW258" s="3409"/>
      <c r="AX258" s="3409"/>
      <c r="AY258" s="3396"/>
      <c r="AZ258" s="3396"/>
      <c r="BA258" s="3396"/>
      <c r="BB258" s="3396"/>
      <c r="BC258" s="3396"/>
      <c r="BD258" s="3396"/>
      <c r="BE258" s="3396"/>
      <c r="BF258" s="3396"/>
      <c r="BG258" s="3396"/>
      <c r="BH258" s="3396"/>
      <c r="BI258" s="3396"/>
      <c r="BJ258" s="3396"/>
      <c r="BK258" s="3396"/>
      <c r="BL258" s="3396"/>
      <c r="BM258" s="3396"/>
      <c r="BN258" s="3396"/>
      <c r="BO258" s="3396"/>
      <c r="BP258" s="3396"/>
      <c r="BQ258" s="3396"/>
      <c r="BR258" s="3396"/>
      <c r="BS258" s="3396"/>
      <c r="BT258" s="3396"/>
      <c r="BU258" s="3396"/>
      <c r="BV258" s="3396"/>
      <c r="BW258" s="3396"/>
      <c r="BX258" s="3396"/>
      <c r="BY258" s="3396"/>
      <c r="BZ258" s="3396"/>
      <c r="CA258" s="3396"/>
      <c r="CB258" s="3396"/>
      <c r="CC258" s="3396"/>
      <c r="CD258" s="3396"/>
      <c r="CE258" s="3396"/>
      <c r="CF258" s="3396"/>
      <c r="CG258" s="3396"/>
      <c r="CH258" s="3396"/>
      <c r="CI258" s="3396"/>
      <c r="CJ258" s="3396"/>
      <c r="CK258" s="3396"/>
      <c r="CL258" s="3396"/>
      <c r="CM258" s="3396"/>
      <c r="CN258" s="3396"/>
      <c r="CO258" s="3396"/>
      <c r="CP258" s="3396"/>
      <c r="CQ258" s="3396"/>
      <c r="CR258" s="3396"/>
      <c r="CS258" s="3396"/>
      <c r="CT258" s="3396"/>
      <c r="CU258" s="3396"/>
      <c r="CV258" s="3396"/>
      <c r="CW258" s="3396"/>
      <c r="CX258" s="3396"/>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row>
    <row r="259" ht="18.75" hidden="1" customHeight="1" spans="1:131">
      <c r="A259" s="3407" t="s">
        <v>6033</v>
      </c>
      <c r="B259" s="3409"/>
      <c r="C259" s="3409"/>
      <c r="D259" s="3409"/>
      <c r="E259" s="3409"/>
      <c r="F259" s="3409"/>
      <c r="G259" s="3409"/>
      <c r="H259" s="3409"/>
      <c r="I259" s="3409"/>
      <c r="J259" s="3409"/>
      <c r="K259" s="3409"/>
      <c r="L259" s="3409"/>
      <c r="M259" s="3409"/>
      <c r="N259" s="3408"/>
      <c r="O259" s="3408"/>
      <c r="P259" s="3408"/>
      <c r="Q259" s="3408"/>
      <c r="R259" s="3408"/>
      <c r="S259" s="3408"/>
      <c r="T259" s="3408"/>
      <c r="U259" s="3408"/>
      <c r="V259" s="3408"/>
      <c r="W259" s="3410"/>
      <c r="X259" s="3410"/>
      <c r="Y259" s="3410"/>
      <c r="Z259" s="3410"/>
      <c r="AA259" s="3410"/>
      <c r="AB259" s="3410"/>
      <c r="AC259" s="3410"/>
      <c r="AD259" s="3410"/>
      <c r="AE259" s="3410"/>
      <c r="AF259" s="3410"/>
      <c r="AG259" s="3410"/>
      <c r="AH259" s="3410"/>
      <c r="AI259" s="3410"/>
      <c r="AJ259" s="3410"/>
      <c r="AK259" s="3410"/>
      <c r="AL259" s="3409"/>
      <c r="AM259" s="3409"/>
      <c r="AN259" s="3409"/>
      <c r="AO259" s="3409"/>
      <c r="AP259" s="3409"/>
      <c r="AQ259" s="3409"/>
      <c r="AR259" s="3409"/>
      <c r="AS259" s="3409"/>
      <c r="AT259" s="3409"/>
      <c r="AU259" s="3409"/>
      <c r="AV259" s="3409"/>
      <c r="AW259" s="3409"/>
      <c r="AX259" s="3409"/>
      <c r="AY259" s="3396"/>
      <c r="AZ259" s="3396"/>
      <c r="BA259" s="3396"/>
      <c r="BB259" s="3396"/>
      <c r="BC259" s="3396"/>
      <c r="BD259" s="3396"/>
      <c r="BE259" s="3396"/>
      <c r="BF259" s="3396"/>
      <c r="BG259" s="3396"/>
      <c r="BH259" s="3396"/>
      <c r="BI259" s="3396"/>
      <c r="BJ259" s="3396"/>
      <c r="BK259" s="3396"/>
      <c r="BL259" s="3396"/>
      <c r="BM259" s="3396"/>
      <c r="BN259" s="3396"/>
      <c r="BO259" s="3396"/>
      <c r="BP259" s="3396"/>
      <c r="BQ259" s="3396"/>
      <c r="BR259" s="3396"/>
      <c r="BS259" s="3396"/>
      <c r="BT259" s="3396"/>
      <c r="BU259" s="3396"/>
      <c r="BV259" s="3396"/>
      <c r="BW259" s="3396"/>
      <c r="BX259" s="3396"/>
      <c r="BY259" s="3396"/>
      <c r="BZ259" s="3396"/>
      <c r="CA259" s="3396"/>
      <c r="CB259" s="3396"/>
      <c r="CC259" s="3396"/>
      <c r="CD259" s="3396"/>
      <c r="CE259" s="3396"/>
      <c r="CF259" s="3396"/>
      <c r="CG259" s="3396"/>
      <c r="CH259" s="3396"/>
      <c r="CI259" s="3396"/>
      <c r="CJ259" s="3396"/>
      <c r="CK259" s="3396"/>
      <c r="CL259" s="3396"/>
      <c r="CM259" s="3396"/>
      <c r="CN259" s="3396"/>
      <c r="CO259" s="3396"/>
      <c r="CP259" s="3396"/>
      <c r="CQ259" s="3396"/>
      <c r="CR259" s="3396"/>
      <c r="CS259" s="3396"/>
      <c r="CT259" s="3396"/>
      <c r="CU259" s="3396"/>
      <c r="CV259" s="3396"/>
      <c r="CW259" s="3396"/>
      <c r="CX259" s="3396"/>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row>
    <row r="260" ht="18.75" hidden="1" customHeight="1" spans="1:131">
      <c r="A260" s="3407" t="s">
        <v>6034</v>
      </c>
      <c r="B260" s="3409"/>
      <c r="C260" s="3409"/>
      <c r="D260" s="3409"/>
      <c r="E260" s="3409"/>
      <c r="F260" s="3409"/>
      <c r="G260" s="3409"/>
      <c r="H260" s="3409"/>
      <c r="I260" s="3409"/>
      <c r="J260" s="3409"/>
      <c r="K260" s="3409"/>
      <c r="L260" s="3409"/>
      <c r="M260" s="3409"/>
      <c r="N260" s="3408"/>
      <c r="O260" s="3408"/>
      <c r="P260" s="3408"/>
      <c r="Q260" s="3408"/>
      <c r="R260" s="3408"/>
      <c r="S260" s="3408"/>
      <c r="T260" s="3408"/>
      <c r="U260" s="3408"/>
      <c r="V260" s="3408"/>
      <c r="W260" s="3410"/>
      <c r="X260" s="3410"/>
      <c r="Y260" s="3410"/>
      <c r="Z260" s="3410"/>
      <c r="AA260" s="3410"/>
      <c r="AB260" s="3410"/>
      <c r="AC260" s="3410"/>
      <c r="AD260" s="3410"/>
      <c r="AE260" s="3410"/>
      <c r="AF260" s="3410"/>
      <c r="AG260" s="3410"/>
      <c r="AH260" s="3410"/>
      <c r="AI260" s="3410"/>
      <c r="AJ260" s="3410"/>
      <c r="AK260" s="3410"/>
      <c r="AL260" s="3409"/>
      <c r="AM260" s="3409"/>
      <c r="AN260" s="3409"/>
      <c r="AO260" s="3409"/>
      <c r="AP260" s="3409"/>
      <c r="AQ260" s="3409"/>
      <c r="AR260" s="3409"/>
      <c r="AS260" s="3409"/>
      <c r="AT260" s="3409"/>
      <c r="AU260" s="3409"/>
      <c r="AV260" s="3409"/>
      <c r="AW260" s="3409"/>
      <c r="AX260" s="3409"/>
      <c r="AY260" s="3396"/>
      <c r="AZ260" s="3396"/>
      <c r="BA260" s="3396"/>
      <c r="BB260" s="3396"/>
      <c r="BC260" s="3396"/>
      <c r="BD260" s="3396"/>
      <c r="BE260" s="3396"/>
      <c r="BF260" s="3396"/>
      <c r="BG260" s="3396"/>
      <c r="BH260" s="3396"/>
      <c r="BI260" s="3396"/>
      <c r="BJ260" s="3396"/>
      <c r="BK260" s="3396"/>
      <c r="BL260" s="3396"/>
      <c r="BM260" s="3396"/>
      <c r="BN260" s="3396"/>
      <c r="BO260" s="3396"/>
      <c r="BP260" s="3396"/>
      <c r="BQ260" s="3396"/>
      <c r="BR260" s="3396"/>
      <c r="BS260" s="3396"/>
      <c r="BT260" s="3396"/>
      <c r="BU260" s="3396"/>
      <c r="BV260" s="3396"/>
      <c r="BW260" s="3396"/>
      <c r="BX260" s="3396"/>
      <c r="BY260" s="3396"/>
      <c r="BZ260" s="3396"/>
      <c r="CA260" s="3396"/>
      <c r="CB260" s="3396"/>
      <c r="CC260" s="3396"/>
      <c r="CD260" s="3396"/>
      <c r="CE260" s="3396"/>
      <c r="CF260" s="3396"/>
      <c r="CG260" s="3396"/>
      <c r="CH260" s="3396"/>
      <c r="CI260" s="3396"/>
      <c r="CJ260" s="3396"/>
      <c r="CK260" s="3396"/>
      <c r="CL260" s="3396"/>
      <c r="CM260" s="3396"/>
      <c r="CN260" s="3396"/>
      <c r="CO260" s="3396"/>
      <c r="CP260" s="3396"/>
      <c r="CQ260" s="3396"/>
      <c r="CR260" s="3396"/>
      <c r="CS260" s="3396"/>
      <c r="CT260" s="3396"/>
      <c r="CU260" s="3396"/>
      <c r="CV260" s="3396"/>
      <c r="CW260" s="3396"/>
      <c r="CX260" s="3396"/>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row>
    <row r="261" ht="18.75" hidden="1" customHeight="1" spans="1:131">
      <c r="A261" s="3407" t="s">
        <v>6035</v>
      </c>
      <c r="B261" s="3409"/>
      <c r="C261" s="3409"/>
      <c r="D261" s="3409"/>
      <c r="E261" s="3409"/>
      <c r="F261" s="3409"/>
      <c r="G261" s="3409"/>
      <c r="H261" s="3409"/>
      <c r="I261" s="3409"/>
      <c r="J261" s="3409"/>
      <c r="K261" s="3409"/>
      <c r="L261" s="3409"/>
      <c r="M261" s="3409"/>
      <c r="N261" s="3408"/>
      <c r="O261" s="3408"/>
      <c r="P261" s="3408"/>
      <c r="Q261" s="3408"/>
      <c r="R261" s="3408"/>
      <c r="S261" s="3408"/>
      <c r="T261" s="3408"/>
      <c r="U261" s="3408"/>
      <c r="V261" s="3408"/>
      <c r="W261" s="3410"/>
      <c r="X261" s="3410"/>
      <c r="Y261" s="3410"/>
      <c r="Z261" s="3410"/>
      <c r="AA261" s="3410"/>
      <c r="AB261" s="3410"/>
      <c r="AC261" s="3410"/>
      <c r="AD261" s="3410"/>
      <c r="AE261" s="3410"/>
      <c r="AF261" s="3410"/>
      <c r="AG261" s="3410"/>
      <c r="AH261" s="3410"/>
      <c r="AI261" s="3410"/>
      <c r="AJ261" s="3410"/>
      <c r="AK261" s="3410"/>
      <c r="AL261" s="3409"/>
      <c r="AM261" s="3409"/>
      <c r="AN261" s="3409"/>
      <c r="AO261" s="3409"/>
      <c r="AP261" s="3409"/>
      <c r="AQ261" s="3409"/>
      <c r="AR261" s="3409"/>
      <c r="AS261" s="3409"/>
      <c r="AT261" s="3409"/>
      <c r="AU261" s="3409"/>
      <c r="AV261" s="3409"/>
      <c r="AW261" s="3409"/>
      <c r="AX261" s="3409"/>
      <c r="AY261" s="3396"/>
      <c r="AZ261" s="3396"/>
      <c r="BA261" s="3396"/>
      <c r="BB261" s="3396"/>
      <c r="BC261" s="3396"/>
      <c r="BD261" s="3396"/>
      <c r="BE261" s="3396"/>
      <c r="BF261" s="3396"/>
      <c r="BG261" s="3396"/>
      <c r="BH261" s="3396"/>
      <c r="BI261" s="3396"/>
      <c r="BJ261" s="3396"/>
      <c r="BK261" s="3396"/>
      <c r="BL261" s="3396"/>
      <c r="BM261" s="3396"/>
      <c r="BN261" s="3396"/>
      <c r="BO261" s="3396"/>
      <c r="BP261" s="3396"/>
      <c r="BQ261" s="3396"/>
      <c r="BR261" s="3396"/>
      <c r="BS261" s="3396"/>
      <c r="BT261" s="3396"/>
      <c r="BU261" s="3396"/>
      <c r="BV261" s="3396"/>
      <c r="BW261" s="3396"/>
      <c r="BX261" s="3396"/>
      <c r="BY261" s="3396"/>
      <c r="BZ261" s="3396"/>
      <c r="CA261" s="3396"/>
      <c r="CB261" s="3396"/>
      <c r="CC261" s="3396"/>
      <c r="CD261" s="3396"/>
      <c r="CE261" s="3396"/>
      <c r="CF261" s="3396"/>
      <c r="CG261" s="3396"/>
      <c r="CH261" s="3396"/>
      <c r="CI261" s="3396"/>
      <c r="CJ261" s="3396"/>
      <c r="CK261" s="3396"/>
      <c r="CL261" s="3396"/>
      <c r="CM261" s="3396"/>
      <c r="CN261" s="3396"/>
      <c r="CO261" s="3396"/>
      <c r="CP261" s="3396"/>
      <c r="CQ261" s="3396"/>
      <c r="CR261" s="3396"/>
      <c r="CS261" s="3396"/>
      <c r="CT261" s="3396"/>
      <c r="CU261" s="3396"/>
      <c r="CV261" s="3396"/>
      <c r="CW261" s="3396"/>
      <c r="CX261" s="3396"/>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row>
    <row r="262" ht="18.75" hidden="1" customHeight="1" spans="1:131">
      <c r="A262" s="3407" t="s">
        <v>6036</v>
      </c>
      <c r="B262" s="3409"/>
      <c r="C262" s="3409"/>
      <c r="D262" s="3409"/>
      <c r="E262" s="3409"/>
      <c r="F262" s="3409"/>
      <c r="G262" s="3409"/>
      <c r="H262" s="3409"/>
      <c r="I262" s="3409"/>
      <c r="J262" s="3409"/>
      <c r="K262" s="3409"/>
      <c r="L262" s="3409"/>
      <c r="M262" s="3409"/>
      <c r="N262" s="3408"/>
      <c r="O262" s="3408"/>
      <c r="P262" s="3408"/>
      <c r="Q262" s="3408"/>
      <c r="R262" s="3408"/>
      <c r="S262" s="3408"/>
      <c r="T262" s="3408"/>
      <c r="U262" s="3408"/>
      <c r="V262" s="3408"/>
      <c r="W262" s="3410"/>
      <c r="X262" s="3410"/>
      <c r="Y262" s="3410"/>
      <c r="Z262" s="3410"/>
      <c r="AA262" s="3410"/>
      <c r="AB262" s="3410"/>
      <c r="AC262" s="3410"/>
      <c r="AD262" s="3410"/>
      <c r="AE262" s="3410"/>
      <c r="AF262" s="3410"/>
      <c r="AG262" s="3410"/>
      <c r="AH262" s="3410"/>
      <c r="AI262" s="3410"/>
      <c r="AJ262" s="3410"/>
      <c r="AK262" s="3410"/>
      <c r="AL262" s="3409"/>
      <c r="AM262" s="3409"/>
      <c r="AN262" s="3409"/>
      <c r="AO262" s="3409"/>
      <c r="AP262" s="3409"/>
      <c r="AQ262" s="3409"/>
      <c r="AR262" s="3409"/>
      <c r="AS262" s="3409"/>
      <c r="AT262" s="3409"/>
      <c r="AU262" s="3409"/>
      <c r="AV262" s="3409"/>
      <c r="AW262" s="3409"/>
      <c r="AX262" s="3409"/>
      <c r="AY262" s="3396"/>
      <c r="AZ262" s="3396"/>
      <c r="BA262" s="3396"/>
      <c r="BB262" s="3396"/>
      <c r="BC262" s="3396"/>
      <c r="BD262" s="3396"/>
      <c r="BE262" s="3396"/>
      <c r="BF262" s="3396"/>
      <c r="BG262" s="3396"/>
      <c r="BH262" s="3396"/>
      <c r="BI262" s="3396"/>
      <c r="BJ262" s="3396"/>
      <c r="BK262" s="3396"/>
      <c r="BL262" s="3396"/>
      <c r="BM262" s="3396"/>
      <c r="BN262" s="3396"/>
      <c r="BO262" s="3396"/>
      <c r="BP262" s="3396"/>
      <c r="BQ262" s="3396"/>
      <c r="BR262" s="3396"/>
      <c r="BS262" s="3396"/>
      <c r="BT262" s="3396"/>
      <c r="BU262" s="3396"/>
      <c r="BV262" s="3396"/>
      <c r="BW262" s="3396"/>
      <c r="BX262" s="3396"/>
      <c r="BY262" s="3396"/>
      <c r="BZ262" s="3396"/>
      <c r="CA262" s="3396"/>
      <c r="CB262" s="3396"/>
      <c r="CC262" s="3396"/>
      <c r="CD262" s="3396"/>
      <c r="CE262" s="3396"/>
      <c r="CF262" s="3396"/>
      <c r="CG262" s="3396"/>
      <c r="CH262" s="3396"/>
      <c r="CI262" s="3396"/>
      <c r="CJ262" s="3396"/>
      <c r="CK262" s="3396"/>
      <c r="CL262" s="3396"/>
      <c r="CM262" s="3396"/>
      <c r="CN262" s="3396"/>
      <c r="CO262" s="3396"/>
      <c r="CP262" s="3396"/>
      <c r="CQ262" s="3396"/>
      <c r="CR262" s="3396"/>
      <c r="CS262" s="3396"/>
      <c r="CT262" s="3396"/>
      <c r="CU262" s="3396"/>
      <c r="CV262" s="3396"/>
      <c r="CW262" s="3396"/>
      <c r="CX262" s="3396"/>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row>
    <row r="263" ht="18.75" hidden="1" customHeight="1" spans="1:131">
      <c r="A263" s="3407" t="s">
        <v>6037</v>
      </c>
      <c r="B263" s="3409"/>
      <c r="C263" s="3409"/>
      <c r="D263" s="3409"/>
      <c r="E263" s="3409"/>
      <c r="F263" s="3409"/>
      <c r="G263" s="3409"/>
      <c r="H263" s="3409"/>
      <c r="I263" s="3409"/>
      <c r="J263" s="3409"/>
      <c r="K263" s="3409"/>
      <c r="L263" s="3409"/>
      <c r="M263" s="3409"/>
      <c r="N263" s="3408"/>
      <c r="O263" s="3408"/>
      <c r="P263" s="3408"/>
      <c r="Q263" s="3408"/>
      <c r="R263" s="3408"/>
      <c r="S263" s="3408"/>
      <c r="T263" s="3408"/>
      <c r="U263" s="3408"/>
      <c r="V263" s="3408"/>
      <c r="W263" s="3410"/>
      <c r="X263" s="3410"/>
      <c r="Y263" s="3410"/>
      <c r="Z263" s="3410"/>
      <c r="AA263" s="3410"/>
      <c r="AB263" s="3410"/>
      <c r="AC263" s="3410"/>
      <c r="AD263" s="3410"/>
      <c r="AE263" s="3410"/>
      <c r="AF263" s="3410"/>
      <c r="AG263" s="3410"/>
      <c r="AH263" s="3410"/>
      <c r="AI263" s="3410"/>
      <c r="AJ263" s="3410"/>
      <c r="AK263" s="3410"/>
      <c r="AL263" s="3409"/>
      <c r="AM263" s="3409"/>
      <c r="AN263" s="3409"/>
      <c r="AO263" s="3409"/>
      <c r="AP263" s="3409"/>
      <c r="AQ263" s="3409"/>
      <c r="AR263" s="3409"/>
      <c r="AS263" s="3409"/>
      <c r="AT263" s="3409"/>
      <c r="AU263" s="3409"/>
      <c r="AV263" s="3409"/>
      <c r="AW263" s="3409"/>
      <c r="AX263" s="3409"/>
      <c r="AY263" s="3396"/>
      <c r="AZ263" s="3396"/>
      <c r="BA263" s="3396"/>
      <c r="BB263" s="3396"/>
      <c r="BC263" s="3396"/>
      <c r="BD263" s="3396"/>
      <c r="BE263" s="3396"/>
      <c r="BF263" s="3396"/>
      <c r="BG263" s="3396"/>
      <c r="BH263" s="3396"/>
      <c r="BI263" s="3396"/>
      <c r="BJ263" s="3396"/>
      <c r="BK263" s="3396"/>
      <c r="BL263" s="3396"/>
      <c r="BM263" s="3396"/>
      <c r="BN263" s="3396"/>
      <c r="BO263" s="3396"/>
      <c r="BP263" s="3396"/>
      <c r="BQ263" s="3396"/>
      <c r="BR263" s="3396"/>
      <c r="BS263" s="3396"/>
      <c r="BT263" s="3396"/>
      <c r="BU263" s="3396"/>
      <c r="BV263" s="3396"/>
      <c r="BW263" s="3396"/>
      <c r="BX263" s="3396"/>
      <c r="BY263" s="3396"/>
      <c r="BZ263" s="3396"/>
      <c r="CA263" s="3396"/>
      <c r="CB263" s="3396"/>
      <c r="CC263" s="3396"/>
      <c r="CD263" s="3396"/>
      <c r="CE263" s="3396"/>
      <c r="CF263" s="3396"/>
      <c r="CG263" s="3396"/>
      <c r="CH263" s="3396"/>
      <c r="CI263" s="3396"/>
      <c r="CJ263" s="3396"/>
      <c r="CK263" s="3396"/>
      <c r="CL263" s="3396"/>
      <c r="CM263" s="3396"/>
      <c r="CN263" s="3396"/>
      <c r="CO263" s="3396"/>
      <c r="CP263" s="3396"/>
      <c r="CQ263" s="3396"/>
      <c r="CR263" s="3396"/>
      <c r="CS263" s="3396"/>
      <c r="CT263" s="3396"/>
      <c r="CU263" s="3396"/>
      <c r="CV263" s="3396"/>
      <c r="CW263" s="3396"/>
      <c r="CX263" s="3396"/>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row>
    <row r="264" ht="18.75" hidden="1" customHeight="1" spans="1:131">
      <c r="A264" s="3407" t="s">
        <v>6038</v>
      </c>
      <c r="B264" s="3409"/>
      <c r="C264" s="3409"/>
      <c r="D264" s="3409"/>
      <c r="E264" s="3409"/>
      <c r="F264" s="3409"/>
      <c r="G264" s="3409"/>
      <c r="H264" s="3409"/>
      <c r="I264" s="3409"/>
      <c r="J264" s="3409"/>
      <c r="K264" s="3409"/>
      <c r="L264" s="3409"/>
      <c r="M264" s="3409"/>
      <c r="N264" s="3408"/>
      <c r="O264" s="3408"/>
      <c r="P264" s="3408"/>
      <c r="Q264" s="3408"/>
      <c r="R264" s="3408"/>
      <c r="S264" s="3408"/>
      <c r="T264" s="3408"/>
      <c r="U264" s="3408"/>
      <c r="V264" s="3408"/>
      <c r="W264" s="3410"/>
      <c r="X264" s="3410"/>
      <c r="Y264" s="3410"/>
      <c r="Z264" s="3410"/>
      <c r="AA264" s="3410"/>
      <c r="AB264" s="3410"/>
      <c r="AC264" s="3410"/>
      <c r="AD264" s="3410"/>
      <c r="AE264" s="3410"/>
      <c r="AF264" s="3410"/>
      <c r="AG264" s="3410"/>
      <c r="AH264" s="3410"/>
      <c r="AI264" s="3410"/>
      <c r="AJ264" s="3410"/>
      <c r="AK264" s="3410"/>
      <c r="AL264" s="3409"/>
      <c r="AM264" s="3409"/>
      <c r="AN264" s="3409"/>
      <c r="AO264" s="3409"/>
      <c r="AP264" s="3409"/>
      <c r="AQ264" s="3409"/>
      <c r="AR264" s="3409"/>
      <c r="AS264" s="3409"/>
      <c r="AT264" s="3409"/>
      <c r="AU264" s="3409"/>
      <c r="AV264" s="3409"/>
      <c r="AW264" s="3409"/>
      <c r="AX264" s="3409"/>
      <c r="AY264" s="3396"/>
      <c r="AZ264" s="3396"/>
      <c r="BA264" s="3396"/>
      <c r="BB264" s="3396"/>
      <c r="BC264" s="3396"/>
      <c r="BD264" s="3396"/>
      <c r="BE264" s="3396"/>
      <c r="BF264" s="3396"/>
      <c r="BG264" s="3396"/>
      <c r="BH264" s="3396"/>
      <c r="BI264" s="3396"/>
      <c r="BJ264" s="3396"/>
      <c r="BK264" s="3396"/>
      <c r="BL264" s="3396"/>
      <c r="BM264" s="3396"/>
      <c r="BN264" s="3396"/>
      <c r="BO264" s="3396"/>
      <c r="BP264" s="3396"/>
      <c r="BQ264" s="3396"/>
      <c r="BR264" s="3396"/>
      <c r="BS264" s="3396"/>
      <c r="BT264" s="3396"/>
      <c r="BU264" s="3396"/>
      <c r="BV264" s="3396"/>
      <c r="BW264" s="3396"/>
      <c r="BX264" s="3396"/>
      <c r="BY264" s="3396"/>
      <c r="BZ264" s="3396"/>
      <c r="CA264" s="3396"/>
      <c r="CB264" s="3396"/>
      <c r="CC264" s="3396"/>
      <c r="CD264" s="3396"/>
      <c r="CE264" s="3396"/>
      <c r="CF264" s="3396"/>
      <c r="CG264" s="3396"/>
      <c r="CH264" s="3396"/>
      <c r="CI264" s="3396"/>
      <c r="CJ264" s="3396"/>
      <c r="CK264" s="3396"/>
      <c r="CL264" s="3396"/>
      <c r="CM264" s="3396"/>
      <c r="CN264" s="3396"/>
      <c r="CO264" s="3396"/>
      <c r="CP264" s="3396"/>
      <c r="CQ264" s="3396"/>
      <c r="CR264" s="3396"/>
      <c r="CS264" s="3396"/>
      <c r="CT264" s="3396"/>
      <c r="CU264" s="3396"/>
      <c r="CV264" s="3396"/>
      <c r="CW264" s="3396"/>
      <c r="CX264" s="3396"/>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row>
    <row r="265" s="75" customFormat="1" ht="14.25" customHeight="1" spans="1:131">
      <c r="A265" s="4096"/>
      <c r="B265" s="3418"/>
      <c r="C265" s="3418"/>
      <c r="D265" s="3418"/>
      <c r="E265" s="3418"/>
      <c r="F265" s="3418"/>
      <c r="G265" s="3418"/>
      <c r="H265" s="3418"/>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418"/>
      <c r="AD265" s="3418"/>
      <c r="AE265" s="3418"/>
      <c r="AF265" s="3418"/>
      <c r="AG265" s="3418"/>
      <c r="AH265" s="3418"/>
      <c r="AI265" s="3418"/>
      <c r="AJ265" s="3418"/>
      <c r="AK265" s="3418"/>
      <c r="AL265" s="3418"/>
      <c r="AM265" s="3418"/>
      <c r="AN265" s="3418"/>
      <c r="AO265" s="3418"/>
      <c r="AP265" s="3418"/>
      <c r="AQ265" s="3418"/>
      <c r="AR265" s="3418"/>
      <c r="AS265" s="3418"/>
      <c r="AT265" s="3418"/>
      <c r="AU265" s="3418"/>
      <c r="AV265" s="3418"/>
      <c r="AW265" s="3418"/>
      <c r="AX265" s="3418"/>
      <c r="AY265" s="3396"/>
      <c r="AZ265" s="3396"/>
      <c r="BA265" s="3396"/>
      <c r="BB265" s="3396"/>
      <c r="BC265" s="3396"/>
      <c r="BD265" s="3396"/>
      <c r="BE265" s="3396"/>
      <c r="BF265" s="3396"/>
      <c r="BG265" s="3396"/>
      <c r="BH265" s="3396"/>
      <c r="BI265" s="3396"/>
      <c r="BJ265" s="3396"/>
      <c r="BK265" s="3396"/>
      <c r="BL265" s="3396"/>
      <c r="BM265" s="3396"/>
      <c r="BN265" s="3396"/>
      <c r="BO265" s="3396"/>
      <c r="BP265" s="3396"/>
      <c r="BQ265" s="3396"/>
      <c r="BR265" s="3396"/>
      <c r="BS265" s="3396"/>
      <c r="BT265" s="3396"/>
      <c r="BU265" s="3396"/>
      <c r="BV265" s="3396"/>
      <c r="BW265" s="3396"/>
      <c r="BX265" s="3396"/>
      <c r="BY265" s="3396"/>
      <c r="BZ265" s="3396"/>
      <c r="CA265" s="3396"/>
      <c r="CB265" s="3396"/>
      <c r="CC265" s="3396"/>
      <c r="CD265" s="3396"/>
      <c r="CE265" s="3396"/>
      <c r="CF265" s="3396"/>
      <c r="CG265" s="3396"/>
      <c r="CH265" s="3396"/>
      <c r="CI265" s="3396"/>
      <c r="CJ265" s="3396"/>
      <c r="CK265" s="3396"/>
      <c r="CL265" s="3396"/>
      <c r="CM265" s="3396"/>
      <c r="CN265" s="3396"/>
      <c r="CO265" s="3396"/>
      <c r="CP265" s="3396"/>
      <c r="CQ265" s="3396"/>
      <c r="CR265" s="3396"/>
      <c r="CS265" s="3396"/>
      <c r="CT265" s="3396"/>
      <c r="CU265" s="3396"/>
      <c r="CV265" s="3396"/>
      <c r="CW265" s="3396"/>
      <c r="CX265" s="3396"/>
    </row>
    <row r="266" spans="1:131">
      <c r="A266" s="3418"/>
      <c r="B266" s="3418"/>
      <c r="C266" s="3418"/>
      <c r="D266" s="3418"/>
      <c r="E266" s="3418"/>
      <c r="F266" s="3418"/>
      <c r="G266" s="3418"/>
      <c r="H266" s="3418"/>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418"/>
      <c r="AD266" s="3418"/>
      <c r="AE266" s="3418"/>
      <c r="AF266" s="3418"/>
      <c r="AG266" s="3418"/>
      <c r="AH266" s="3418"/>
      <c r="AI266" s="3418"/>
      <c r="AJ266" s="3418"/>
      <c r="AK266" s="3418"/>
      <c r="AL266" s="3418"/>
      <c r="AM266" s="3418"/>
      <c r="AN266" s="3418"/>
      <c r="AO266" s="3418"/>
      <c r="AP266" s="3418"/>
      <c r="AQ266" s="3418"/>
      <c r="AR266" s="3418"/>
      <c r="AS266" s="3418"/>
      <c r="AT266" s="3418"/>
      <c r="AU266" s="3418"/>
      <c r="AV266" s="3418"/>
      <c r="AW266" s="3418"/>
      <c r="AX266" s="3418"/>
      <c r="AY266" s="3418"/>
      <c r="AZ266" s="3418"/>
      <c r="BA266" s="3418"/>
      <c r="BB266" s="3418"/>
      <c r="BC266" s="3418"/>
      <c r="BD266" s="3418"/>
      <c r="BE266" s="3418"/>
      <c r="BF266" s="3418"/>
      <c r="BG266" s="3418"/>
      <c r="BH266" s="3418"/>
      <c r="BI266" s="3418"/>
      <c r="BJ266" s="3418"/>
      <c r="BK266" s="3418"/>
      <c r="BL266" s="3418"/>
      <c r="BM266" s="3418"/>
      <c r="BN266" s="3418"/>
      <c r="BO266" s="3418"/>
      <c r="BP266" s="3418"/>
      <c r="BQ266" s="3418"/>
      <c r="BR266" s="3418"/>
      <c r="BS266" s="3418"/>
      <c r="BT266" s="3418"/>
      <c r="BU266" s="3418"/>
      <c r="BV266" s="3418"/>
      <c r="BW266" s="3418"/>
      <c r="BX266" s="3418"/>
      <c r="BY266" s="3418"/>
      <c r="BZ266" s="3418"/>
      <c r="CA266" s="3418"/>
      <c r="CB266" s="3418"/>
      <c r="CC266" s="3418"/>
      <c r="CD266" s="3418"/>
      <c r="CE266" s="3418"/>
      <c r="CF266" s="3418"/>
      <c r="CG266" s="3418"/>
      <c r="CH266" s="3418"/>
      <c r="CI266" s="3418"/>
      <c r="CJ266" s="3418"/>
      <c r="CK266" s="3418"/>
      <c r="CL266" s="3418"/>
      <c r="CM266" s="3418"/>
      <c r="CN266" s="3418"/>
      <c r="CO266" s="3418"/>
      <c r="CP266" s="3418"/>
      <c r="CQ266" s="3418"/>
      <c r="CR266" s="3418"/>
      <c r="CS266" s="3418"/>
      <c r="CT266" s="3418"/>
      <c r="CU266" s="3418"/>
      <c r="CV266" s="3418"/>
      <c r="CW266" s="3418"/>
      <c r="CX266" s="3418"/>
    </row>
    <row r="267" spans="1:131">
      <c r="A267" s="3418"/>
      <c r="B267" s="3418"/>
      <c r="C267" s="3418"/>
      <c r="D267" s="3418"/>
      <c r="E267" s="3418"/>
      <c r="F267" s="3418"/>
      <c r="G267" s="3418"/>
      <c r="H267" s="3418"/>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418"/>
      <c r="AD267" s="3418"/>
      <c r="AE267" s="3418"/>
      <c r="AF267" s="3418"/>
      <c r="AG267" s="3418"/>
      <c r="AH267" s="3418"/>
      <c r="AI267" s="3418"/>
      <c r="AJ267" s="3418"/>
      <c r="AK267" s="3418"/>
      <c r="AL267" s="3418"/>
      <c r="AM267" s="3418"/>
      <c r="AN267" s="3418"/>
      <c r="AO267" s="3418"/>
      <c r="AP267" s="3418"/>
      <c r="AQ267" s="3418"/>
      <c r="AR267" s="3418"/>
      <c r="AS267" s="3418"/>
      <c r="AT267" s="3418"/>
      <c r="AU267" s="3418"/>
      <c r="AV267" s="3418"/>
      <c r="AW267" s="3418"/>
      <c r="AX267" s="3418"/>
      <c r="AY267" s="3418"/>
      <c r="AZ267" s="3418"/>
      <c r="BA267" s="3418"/>
      <c r="BB267" s="3418"/>
      <c r="BC267" s="3418"/>
      <c r="BD267" s="3418"/>
      <c r="BE267" s="3418"/>
      <c r="BF267" s="3418"/>
      <c r="BG267" s="3418"/>
      <c r="BH267" s="3418"/>
      <c r="BI267" s="3418"/>
      <c r="BJ267" s="3418"/>
      <c r="BK267" s="3418"/>
      <c r="BL267" s="3418"/>
      <c r="BM267" s="3418"/>
      <c r="BN267" s="3418"/>
      <c r="BO267" s="3418"/>
      <c r="BP267" s="3418"/>
      <c r="BQ267" s="3418"/>
      <c r="BR267" s="3418"/>
      <c r="BS267" s="3418"/>
      <c r="BT267" s="3418"/>
      <c r="BU267" s="3418"/>
      <c r="BV267" s="3418"/>
      <c r="BW267" s="3418"/>
      <c r="BX267" s="3418"/>
      <c r="BY267" s="3418"/>
      <c r="BZ267" s="3418"/>
      <c r="CA267" s="3418"/>
      <c r="CB267" s="3418"/>
      <c r="CC267" s="3418"/>
      <c r="CD267" s="3418"/>
      <c r="CE267" s="3418"/>
      <c r="CF267" s="3418"/>
      <c r="CG267" s="3418"/>
      <c r="CH267" s="3418"/>
      <c r="CI267" s="3418"/>
      <c r="CJ267" s="3418"/>
      <c r="CK267" s="3418"/>
      <c r="CL267" s="3418"/>
      <c r="CM267" s="3418"/>
      <c r="CN267" s="3418"/>
      <c r="CO267" s="3418"/>
      <c r="CP267" s="3418"/>
      <c r="CQ267" s="3418"/>
      <c r="CR267" s="3418"/>
      <c r="CS267" s="3418"/>
      <c r="CT267" s="3418"/>
      <c r="CU267" s="3418"/>
      <c r="CV267" s="3418"/>
      <c r="CW267" s="3418"/>
      <c r="CX267" s="3418"/>
    </row>
    <row r="268" ht="26.25" spans="1:131">
      <c r="A268" s="4097" t="s">
        <v>6039</v>
      </c>
      <c r="B268" s="4097"/>
      <c r="C268" s="4097"/>
      <c r="D268" s="4097"/>
      <c r="E268" s="4097"/>
      <c r="F268" s="4097"/>
      <c r="G268" s="4097"/>
      <c r="H268" s="4097"/>
      <c r="I268" s="4097"/>
      <c r="J268" s="4097"/>
      <c r="K268" s="4097"/>
      <c r="L268" s="4097"/>
      <c r="M268" s="4097"/>
      <c r="N268" s="4097"/>
      <c r="O268" s="4097"/>
      <c r="P268" s="4097"/>
      <c r="Q268" s="4097"/>
      <c r="R268" s="4097"/>
      <c r="S268" s="4097"/>
      <c r="T268" s="4097"/>
      <c r="U268" s="4097"/>
      <c r="V268" s="4097"/>
      <c r="W268" s="4097"/>
      <c r="X268" s="4097"/>
      <c r="Y268" s="4097"/>
      <c r="Z268" s="4097"/>
      <c r="AA268" s="4097"/>
      <c r="AB268" s="4097"/>
      <c r="AC268" s="4097"/>
      <c r="AD268" s="4097"/>
      <c r="AE268" s="4097"/>
      <c r="AF268" s="4097"/>
      <c r="AG268" s="4097"/>
      <c r="AH268" s="4097"/>
      <c r="AI268" s="4097"/>
      <c r="AJ268" s="4097"/>
      <c r="AK268" s="4097"/>
      <c r="AL268" s="4097"/>
      <c r="AM268" s="4097"/>
      <c r="AN268" s="4097"/>
      <c r="AO268" s="4097"/>
      <c r="AP268" s="4097"/>
      <c r="AQ268" s="4097"/>
      <c r="AR268" s="4097"/>
      <c r="AS268" s="3393"/>
      <c r="AT268" s="3394"/>
      <c r="AU268" s="3394"/>
      <c r="AV268" s="3394"/>
      <c r="AW268" s="3394"/>
      <c r="AX268" s="3394"/>
      <c r="AY268" s="3394"/>
      <c r="AZ268" s="3394"/>
      <c r="BA268" s="3394"/>
      <c r="BB268" s="3394"/>
      <c r="BC268" s="3394"/>
      <c r="BD268" s="3394"/>
      <c r="BE268" s="3395"/>
      <c r="BF268" s="3395"/>
      <c r="BG268" s="3395"/>
      <c r="BH268" s="3395"/>
      <c r="BI268" s="3395"/>
      <c r="BJ268" s="3395"/>
      <c r="BK268" s="3395"/>
      <c r="BL268" s="3395"/>
      <c r="BM268" s="3395"/>
      <c r="BN268" s="3395"/>
      <c r="BO268" s="3395"/>
      <c r="BP268" s="3395"/>
      <c r="BQ268" s="3395"/>
      <c r="BR268" s="3395"/>
      <c r="BS268" s="3395"/>
      <c r="BT268" s="3395"/>
      <c r="BU268" s="3395"/>
      <c r="BV268" s="3395"/>
      <c r="BW268" s="3395"/>
      <c r="BX268" s="3395"/>
      <c r="BY268" s="3395"/>
      <c r="BZ268" s="3395"/>
      <c r="CA268" s="3396"/>
      <c r="CB268" s="3396"/>
      <c r="CC268" s="3396"/>
      <c r="CD268" s="3396"/>
      <c r="CE268" s="3396"/>
      <c r="CF268" s="3396"/>
      <c r="CG268" s="3396"/>
      <c r="CH268" s="3396"/>
      <c r="CI268" s="3396"/>
      <c r="CJ268" s="3396"/>
      <c r="CK268" s="3396"/>
      <c r="CL268" s="3396"/>
      <c r="CM268" s="3396"/>
      <c r="CN268" s="3396"/>
      <c r="CO268" s="3396"/>
      <c r="CP268" s="3396"/>
      <c r="CQ268" s="3396"/>
      <c r="CR268" s="3396"/>
      <c r="CS268" s="3396"/>
      <c r="CT268" s="3396"/>
      <c r="CU268" s="3396"/>
      <c r="CV268" s="3396"/>
      <c r="CW268" s="3396"/>
      <c r="CX268" s="3396"/>
    </row>
    <row r="269" s="75" customFormat="1" ht="26.25" customHeight="1" spans="1:131">
      <c r="A269" s="3884" t="s">
        <v>5935</v>
      </c>
      <c r="B269" s="3399"/>
      <c r="C269" s="3399"/>
      <c r="D269" s="3399"/>
      <c r="E269" s="3399"/>
      <c r="F269" s="3400"/>
      <c r="G269" s="3400"/>
      <c r="H269" s="3400"/>
      <c r="I269" s="3400"/>
      <c r="J269" s="3400"/>
      <c r="K269" s="3400"/>
      <c r="L269" s="3400"/>
      <c r="M269" s="3400"/>
      <c r="N269" s="3400"/>
      <c r="O269" s="3400"/>
      <c r="P269" s="3400"/>
      <c r="Q269" s="3400"/>
      <c r="R269" s="3398"/>
      <c r="S269" s="3398"/>
      <c r="T269" s="3398"/>
      <c r="U269" s="3398"/>
      <c r="V269" s="3398"/>
      <c r="W269" s="3398"/>
      <c r="X269" s="3398"/>
      <c r="Y269" s="3398"/>
      <c r="Z269" s="3398"/>
      <c r="AA269" s="3398"/>
      <c r="AB269" s="3398"/>
      <c r="AC269" s="3398"/>
      <c r="AD269" s="3398"/>
      <c r="AE269" s="3398"/>
      <c r="AF269" s="3398"/>
      <c r="AG269" s="3398"/>
      <c r="AH269" s="3398"/>
      <c r="AI269" s="3398"/>
      <c r="AJ269" s="3398"/>
      <c r="AK269" s="3398"/>
      <c r="AL269" s="3398"/>
      <c r="AM269" s="3398"/>
      <c r="AN269" s="3398"/>
      <c r="AO269" s="3398"/>
      <c r="AP269" s="3398"/>
      <c r="AQ269" s="3398"/>
      <c r="AR269" s="3398"/>
      <c r="AS269" s="3401"/>
      <c r="AT269" s="3398"/>
      <c r="AU269" s="3398"/>
      <c r="AV269" s="3398"/>
      <c r="AW269" s="3398"/>
      <c r="AX269" s="3398"/>
      <c r="AY269" s="3398"/>
      <c r="AZ269" s="3398"/>
      <c r="BA269" s="3398"/>
      <c r="BB269" s="3398"/>
      <c r="BC269" s="3398"/>
      <c r="BD269" s="3398"/>
      <c r="BE269" s="3395"/>
      <c r="BF269" s="3395"/>
      <c r="BG269" s="3395"/>
      <c r="BH269" s="3395"/>
      <c r="BI269" s="3395"/>
      <c r="BJ269" s="3395"/>
      <c r="BK269" s="3395"/>
      <c r="BL269" s="3395"/>
      <c r="BM269" s="3395"/>
      <c r="BN269" s="3395"/>
      <c r="BO269" s="3395"/>
      <c r="BP269" s="3395"/>
      <c r="BQ269" s="3395"/>
      <c r="BR269" s="3395"/>
      <c r="BS269" s="3395"/>
      <c r="BT269" s="3395"/>
      <c r="BU269" s="3395"/>
      <c r="BV269" s="3395"/>
      <c r="BW269" s="3395"/>
      <c r="BX269" s="3395"/>
      <c r="BY269" s="3395"/>
      <c r="BZ269" s="3395"/>
      <c r="CA269" s="3396"/>
      <c r="CB269" s="3396"/>
      <c r="CC269" s="3396"/>
      <c r="CD269" s="3396"/>
      <c r="CE269" s="3396"/>
      <c r="CF269" s="3396"/>
      <c r="CG269" s="3396"/>
      <c r="CH269" s="3396"/>
      <c r="CI269" s="3396"/>
      <c r="CJ269" s="3396"/>
      <c r="CK269" s="3396"/>
      <c r="CL269" s="3396"/>
      <c r="CM269" s="3396"/>
      <c r="CN269" s="3396"/>
      <c r="CO269" s="3396"/>
      <c r="CP269" s="3396"/>
      <c r="CQ269" s="3396"/>
      <c r="CR269" s="3396"/>
      <c r="CS269" s="3396"/>
      <c r="CT269" s="3396"/>
      <c r="CU269" s="3396"/>
      <c r="CV269" s="3396"/>
      <c r="CW269" s="3396"/>
      <c r="CX269" s="3396"/>
    </row>
    <row r="270" s="687" customFormat="1" ht="20.25" customHeight="1" spans="1:131">
      <c r="A270" s="4093" t="s">
        <v>6040</v>
      </c>
      <c r="B270" s="3952"/>
      <c r="C270" s="3952"/>
      <c r="D270" s="3952"/>
      <c r="E270" s="3952"/>
      <c r="F270" s="3952"/>
      <c r="G270" s="3952"/>
      <c r="H270" s="3952"/>
      <c r="I270" s="3952"/>
      <c r="J270" s="3952"/>
      <c r="K270" s="3952"/>
      <c r="L270" s="3952"/>
      <c r="M270" s="3952"/>
      <c r="N270" s="3952"/>
      <c r="O270" s="3952"/>
      <c r="P270" s="3952"/>
      <c r="Q270" s="3952"/>
      <c r="R270" s="3952"/>
      <c r="S270" s="3952"/>
      <c r="T270" s="3952"/>
      <c r="U270" s="3952"/>
      <c r="V270" s="3952"/>
      <c r="W270" s="3952"/>
      <c r="X270" s="3952"/>
      <c r="Y270" s="3952"/>
      <c r="Z270" s="3952"/>
      <c r="AA270" s="3952"/>
      <c r="AB270" s="3952"/>
      <c r="AC270" s="3952"/>
      <c r="AD270" s="3952"/>
      <c r="AE270" s="3952"/>
      <c r="AF270" s="3952"/>
      <c r="AG270" s="3952"/>
      <c r="AH270" s="3952"/>
      <c r="AI270" s="3952"/>
      <c r="AJ270" s="3952"/>
      <c r="AK270" s="3952"/>
      <c r="AL270" s="3952"/>
      <c r="AM270" s="3952"/>
      <c r="AN270" s="3952"/>
      <c r="AO270" s="3952"/>
      <c r="AP270" s="3952"/>
      <c r="AQ270" s="3952"/>
      <c r="AR270" s="4098" t="s">
        <v>6041</v>
      </c>
      <c r="AS270" s="4098"/>
      <c r="AT270" s="4098"/>
      <c r="AU270" s="4098"/>
      <c r="AV270" s="4098"/>
      <c r="AW270" s="4098"/>
      <c r="AX270" s="4098"/>
      <c r="AY270" s="4098"/>
      <c r="AZ270" s="4098"/>
      <c r="BA270" s="4098"/>
      <c r="BB270" s="4098"/>
      <c r="BC270" s="4098"/>
      <c r="BD270" s="4098"/>
      <c r="BE270" s="4098"/>
      <c r="BF270" s="4098"/>
      <c r="BG270" s="4098"/>
      <c r="BH270" s="4098"/>
      <c r="BI270" s="4098"/>
      <c r="BJ270" s="3952"/>
      <c r="BK270" s="3952"/>
      <c r="BL270" s="3952"/>
      <c r="BM270" s="3952"/>
      <c r="BN270" s="3952"/>
      <c r="BO270" s="3952"/>
      <c r="BP270" s="3952"/>
      <c r="BQ270" s="3952"/>
      <c r="BR270" s="3952"/>
      <c r="BS270" s="3952"/>
      <c r="BT270" s="3952"/>
      <c r="BU270" s="3952"/>
      <c r="BV270" s="3952"/>
      <c r="BW270" s="3952"/>
      <c r="BX270" s="3952"/>
      <c r="BY270" s="3952"/>
      <c r="BZ270" s="3952"/>
      <c r="CA270" s="3396"/>
      <c r="CB270" s="3396"/>
      <c r="CC270" s="3396"/>
      <c r="CD270" s="3396"/>
      <c r="CE270" s="3396"/>
      <c r="CF270" s="3396"/>
      <c r="CG270" s="3396"/>
      <c r="CH270" s="3396"/>
      <c r="CI270" s="3396"/>
      <c r="CJ270" s="3396"/>
      <c r="CK270" s="3396"/>
      <c r="CL270" s="3396"/>
      <c r="CM270" s="3396"/>
      <c r="CN270" s="3396"/>
      <c r="CO270" s="3396"/>
      <c r="CP270" s="3396"/>
      <c r="CQ270" s="3396"/>
      <c r="CR270" s="3396"/>
      <c r="CS270" s="3396"/>
      <c r="CT270" s="3396"/>
      <c r="CU270" s="3396"/>
      <c r="CV270" s="3396"/>
      <c r="CW270" s="3396"/>
      <c r="CX270" s="3396"/>
    </row>
    <row r="271" ht="31.5" customHeight="1" spans="1:131">
      <c r="A271" s="3404" t="s">
        <v>5985</v>
      </c>
      <c r="B271" s="3404" t="s">
        <v>6042</v>
      </c>
      <c r="C271" s="3404"/>
      <c r="D271" s="3404"/>
      <c r="E271" s="3404"/>
      <c r="F271" s="3404"/>
      <c r="G271" s="3404"/>
      <c r="H271" s="3404"/>
      <c r="I271" s="3404"/>
      <c r="J271" s="3404"/>
      <c r="K271" s="3404"/>
      <c r="L271" s="3404"/>
      <c r="M271" s="3404"/>
      <c r="N271" s="3404"/>
      <c r="O271" s="3404"/>
      <c r="P271" s="3404"/>
      <c r="Q271" s="3404" t="s">
        <v>6043</v>
      </c>
      <c r="R271" s="3404"/>
      <c r="S271" s="3404"/>
      <c r="T271" s="3404"/>
      <c r="U271" s="3404"/>
      <c r="V271" s="3404"/>
      <c r="W271" s="3404" t="s">
        <v>6044</v>
      </c>
      <c r="X271" s="3404"/>
      <c r="Y271" s="3404"/>
      <c r="Z271" s="3404"/>
      <c r="AA271" s="3404"/>
      <c r="AB271" s="3404"/>
      <c r="AC271" s="3404"/>
      <c r="AD271" s="3404"/>
      <c r="AE271" s="3404"/>
      <c r="AF271" s="3404" t="s">
        <v>6045</v>
      </c>
      <c r="AG271" s="3404"/>
      <c r="AH271" s="3404"/>
      <c r="AI271" s="3404"/>
      <c r="AJ271" s="3404"/>
      <c r="AK271" s="3404"/>
      <c r="AL271" s="3404" t="s">
        <v>6012</v>
      </c>
      <c r="AM271" s="3404"/>
      <c r="AN271" s="3404"/>
      <c r="AO271" s="3404"/>
      <c r="AP271" s="3404"/>
      <c r="AQ271" s="3951"/>
      <c r="AR271" s="4098"/>
      <c r="AS271" s="4098"/>
      <c r="AT271" s="4098"/>
      <c r="AU271" s="4098"/>
      <c r="AV271" s="4098"/>
      <c r="AW271" s="4098"/>
      <c r="AX271" s="4098"/>
      <c r="AY271" s="4098"/>
      <c r="AZ271" s="4098"/>
      <c r="BA271" s="4098"/>
      <c r="BB271" s="4098"/>
      <c r="BC271" s="4098"/>
      <c r="BD271" s="4098"/>
      <c r="BE271" s="4098"/>
      <c r="BF271" s="4098"/>
      <c r="BG271" s="4098"/>
      <c r="BH271" s="4098"/>
      <c r="BI271" s="4098"/>
      <c r="BJ271" s="4099"/>
      <c r="BK271" s="3952"/>
      <c r="BL271" s="3952"/>
      <c r="BM271" s="3952"/>
      <c r="BN271" s="3952"/>
      <c r="BO271" s="3952"/>
      <c r="BP271" s="3952"/>
      <c r="BQ271" s="3952"/>
      <c r="BR271" s="3952"/>
      <c r="BS271" s="3952"/>
      <c r="BT271" s="3952"/>
      <c r="BU271" s="3952"/>
      <c r="BV271" s="3952"/>
      <c r="BW271" s="3952"/>
      <c r="BX271" s="3952"/>
      <c r="BY271" s="3952"/>
      <c r="BZ271" s="3952"/>
      <c r="CA271" s="3396"/>
      <c r="CB271" s="3396"/>
      <c r="CC271" s="3396"/>
      <c r="CD271" s="3396"/>
      <c r="CE271" s="3396"/>
      <c r="CF271" s="3396"/>
      <c r="CG271" s="3396"/>
      <c r="CH271" s="3396"/>
      <c r="CI271" s="3396"/>
      <c r="CJ271" s="3396"/>
      <c r="CK271" s="3396"/>
      <c r="CL271" s="3396"/>
      <c r="CM271" s="3396"/>
      <c r="CN271" s="3396"/>
      <c r="CO271" s="3396"/>
      <c r="CP271" s="3396"/>
      <c r="CQ271" s="3396"/>
      <c r="CR271" s="3396"/>
      <c r="CS271" s="3396"/>
      <c r="CT271" s="3396"/>
      <c r="CU271" s="3396"/>
      <c r="CV271" s="3396"/>
      <c r="CW271" s="3396"/>
      <c r="CX271" s="3396"/>
    </row>
    <row r="272" ht="17.25" customHeight="1" spans="1:131">
      <c r="A272" s="3407" t="s">
        <v>3953</v>
      </c>
      <c r="B272" s="4089"/>
      <c r="C272" s="4089"/>
      <c r="D272" s="4089"/>
      <c r="E272" s="4089"/>
      <c r="F272" s="4089"/>
      <c r="G272" s="4089"/>
      <c r="H272" s="4089"/>
      <c r="I272" s="4089"/>
      <c r="J272" s="4089"/>
      <c r="K272" s="4089"/>
      <c r="L272" s="4089"/>
      <c r="M272" s="4089"/>
      <c r="N272" s="4089"/>
      <c r="O272" s="4089"/>
      <c r="P272" s="4089"/>
      <c r="Q272" s="4092"/>
      <c r="R272" s="4092"/>
      <c r="S272" s="4092"/>
      <c r="T272" s="4092"/>
      <c r="U272" s="4092"/>
      <c r="V272" s="4092"/>
      <c r="W272" s="4100"/>
      <c r="X272" s="4100"/>
      <c r="Y272" s="4100"/>
      <c r="Z272" s="4100"/>
      <c r="AA272" s="4100"/>
      <c r="AB272" s="4100"/>
      <c r="AC272" s="4100"/>
      <c r="AD272" s="4100"/>
      <c r="AE272" s="4100"/>
      <c r="AF272" s="3408"/>
      <c r="AG272" s="3408"/>
      <c r="AH272" s="3408"/>
      <c r="AI272" s="3408"/>
      <c r="AJ272" s="3408"/>
      <c r="AK272" s="3408"/>
      <c r="AL272" s="3408"/>
      <c r="AM272" s="3408"/>
      <c r="AN272" s="3408"/>
      <c r="AO272" s="3408"/>
      <c r="AP272" s="3408"/>
      <c r="AQ272" s="3951"/>
      <c r="AR272" s="4098"/>
      <c r="AS272" s="4098"/>
      <c r="AT272" s="4098"/>
      <c r="AU272" s="4098"/>
      <c r="AV272" s="4098"/>
      <c r="AW272" s="4098"/>
      <c r="AX272" s="4098"/>
      <c r="AY272" s="4098"/>
      <c r="AZ272" s="4098"/>
      <c r="BA272" s="4098"/>
      <c r="BB272" s="4098"/>
      <c r="BC272" s="4098"/>
      <c r="BD272" s="4098"/>
      <c r="BE272" s="4098"/>
      <c r="BF272" s="4098"/>
      <c r="BG272" s="4098"/>
      <c r="BH272" s="4098"/>
      <c r="BI272" s="4098"/>
      <c r="BJ272" s="4099"/>
      <c r="BK272" s="3952"/>
      <c r="BL272" s="3952"/>
      <c r="BM272" s="3952"/>
      <c r="BN272" s="3952"/>
      <c r="BO272" s="3952"/>
      <c r="BP272" s="3952"/>
      <c r="BQ272" s="3952"/>
      <c r="BR272" s="3952"/>
      <c r="BS272" s="3952"/>
      <c r="BT272" s="3952"/>
      <c r="BU272" s="3952"/>
      <c r="BV272" s="3952"/>
      <c r="BW272" s="3952"/>
      <c r="BX272" s="3952"/>
      <c r="BY272" s="3952"/>
      <c r="BZ272" s="3952"/>
      <c r="CA272" s="3396"/>
      <c r="CB272" s="3396"/>
      <c r="CC272" s="3396"/>
      <c r="CD272" s="3396"/>
      <c r="CE272" s="3396"/>
      <c r="CF272" s="3396"/>
      <c r="CG272" s="3396"/>
      <c r="CH272" s="3396"/>
      <c r="CI272" s="3396"/>
      <c r="CJ272" s="3396"/>
      <c r="CK272" s="3396"/>
      <c r="CL272" s="3396"/>
      <c r="CM272" s="3396"/>
      <c r="CN272" s="3396"/>
      <c r="CO272" s="3396"/>
      <c r="CP272" s="3396"/>
      <c r="CQ272" s="3396"/>
      <c r="CR272" s="3396"/>
      <c r="CS272" s="3396"/>
      <c r="CT272" s="3396"/>
      <c r="CU272" s="3396"/>
      <c r="CV272" s="3396"/>
      <c r="CW272" s="3396"/>
      <c r="CX272" s="3396"/>
    </row>
    <row r="273" ht="17.25" customHeight="1" spans="1:102">
      <c r="A273" s="3407" t="s">
        <v>3891</v>
      </c>
      <c r="B273" s="4089"/>
      <c r="C273" s="4089"/>
      <c r="D273" s="4089"/>
      <c r="E273" s="4089"/>
      <c r="F273" s="4089"/>
      <c r="G273" s="4089"/>
      <c r="H273" s="4089"/>
      <c r="I273" s="4089"/>
      <c r="J273" s="4089"/>
      <c r="K273" s="4089"/>
      <c r="L273" s="4089"/>
      <c r="M273" s="4089"/>
      <c r="N273" s="4089"/>
      <c r="O273" s="4089"/>
      <c r="P273" s="4089"/>
      <c r="Q273" s="4092"/>
      <c r="R273" s="4092"/>
      <c r="S273" s="4092"/>
      <c r="T273" s="4092"/>
      <c r="U273" s="4092"/>
      <c r="V273" s="4092"/>
      <c r="W273" s="4100"/>
      <c r="X273" s="4100"/>
      <c r="Y273" s="4100"/>
      <c r="Z273" s="4100"/>
      <c r="AA273" s="4100"/>
      <c r="AB273" s="4100"/>
      <c r="AC273" s="4100"/>
      <c r="AD273" s="4100"/>
      <c r="AE273" s="4100"/>
      <c r="AF273" s="3408"/>
      <c r="AG273" s="3408"/>
      <c r="AH273" s="3408"/>
      <c r="AI273" s="3408"/>
      <c r="AJ273" s="3408"/>
      <c r="AK273" s="3408"/>
      <c r="AL273" s="3408"/>
      <c r="AM273" s="3408"/>
      <c r="AN273" s="3408"/>
      <c r="AO273" s="3408"/>
      <c r="AP273" s="3408"/>
      <c r="AQ273" s="3951"/>
      <c r="AR273" s="4098"/>
      <c r="AS273" s="4098"/>
      <c r="AT273" s="4098"/>
      <c r="AU273" s="4098"/>
      <c r="AV273" s="4098"/>
      <c r="AW273" s="4098"/>
      <c r="AX273" s="4098"/>
      <c r="AY273" s="4098"/>
      <c r="AZ273" s="4098"/>
      <c r="BA273" s="4098"/>
      <c r="BB273" s="4098"/>
      <c r="BC273" s="4098"/>
      <c r="BD273" s="4098"/>
      <c r="BE273" s="4098"/>
      <c r="BF273" s="4098"/>
      <c r="BG273" s="4098"/>
      <c r="BH273" s="4098"/>
      <c r="BI273" s="4098"/>
      <c r="BJ273" s="4099"/>
      <c r="BK273" s="3952"/>
      <c r="BL273" s="3952"/>
      <c r="BM273" s="3952"/>
      <c r="BN273" s="3952"/>
      <c r="BO273" s="3952"/>
      <c r="BP273" s="3952"/>
      <c r="BQ273" s="3952"/>
      <c r="BR273" s="3952"/>
      <c r="BS273" s="3952"/>
      <c r="BT273" s="3952"/>
      <c r="BU273" s="3952"/>
      <c r="BV273" s="3952"/>
      <c r="BW273" s="3952"/>
      <c r="BX273" s="3952"/>
      <c r="BY273" s="3952"/>
      <c r="BZ273" s="3952"/>
      <c r="CA273" s="3396"/>
      <c r="CB273" s="3396"/>
      <c r="CC273" s="3396"/>
      <c r="CD273" s="3396"/>
      <c r="CE273" s="3396"/>
      <c r="CF273" s="3396"/>
      <c r="CG273" s="3396"/>
      <c r="CH273" s="3396"/>
      <c r="CI273" s="3396"/>
      <c r="CJ273" s="3396"/>
      <c r="CK273" s="3396"/>
      <c r="CL273" s="3396"/>
      <c r="CM273" s="3396"/>
      <c r="CN273" s="3396"/>
      <c r="CO273" s="3396"/>
      <c r="CP273" s="3396"/>
      <c r="CQ273" s="3396"/>
      <c r="CR273" s="3396"/>
      <c r="CS273" s="3396"/>
      <c r="CT273" s="3396"/>
      <c r="CU273" s="3396"/>
      <c r="CV273" s="3396"/>
      <c r="CW273" s="3396"/>
      <c r="CX273" s="3396"/>
    </row>
    <row r="274" ht="17.25" customHeight="1" spans="1:102">
      <c r="A274" s="3407" t="s">
        <v>3902</v>
      </c>
      <c r="B274" s="4089"/>
      <c r="C274" s="4089"/>
      <c r="D274" s="4089"/>
      <c r="E274" s="4089"/>
      <c r="F274" s="4089"/>
      <c r="G274" s="4089"/>
      <c r="H274" s="4089"/>
      <c r="I274" s="4089"/>
      <c r="J274" s="4089"/>
      <c r="K274" s="4089"/>
      <c r="L274" s="4089"/>
      <c r="M274" s="4089"/>
      <c r="N274" s="4089"/>
      <c r="O274" s="4089"/>
      <c r="P274" s="4089"/>
      <c r="Q274" s="4092"/>
      <c r="R274" s="4092"/>
      <c r="S274" s="4092"/>
      <c r="T274" s="4092"/>
      <c r="U274" s="4092"/>
      <c r="V274" s="4092"/>
      <c r="W274" s="4100"/>
      <c r="X274" s="4100"/>
      <c r="Y274" s="4100"/>
      <c r="Z274" s="4100"/>
      <c r="AA274" s="4100"/>
      <c r="AB274" s="4100"/>
      <c r="AC274" s="4100"/>
      <c r="AD274" s="4100"/>
      <c r="AE274" s="4100"/>
      <c r="AF274" s="3408"/>
      <c r="AG274" s="3408"/>
      <c r="AH274" s="3408"/>
      <c r="AI274" s="3408"/>
      <c r="AJ274" s="3408"/>
      <c r="AK274" s="3408"/>
      <c r="AL274" s="3408"/>
      <c r="AM274" s="3408"/>
      <c r="AN274" s="3408"/>
      <c r="AO274" s="3408"/>
      <c r="AP274" s="3408"/>
      <c r="AQ274" s="3951"/>
      <c r="AR274" s="4098"/>
      <c r="AS274" s="4098"/>
      <c r="AT274" s="4098"/>
      <c r="AU274" s="4098"/>
      <c r="AV274" s="4098"/>
      <c r="AW274" s="4098"/>
      <c r="AX274" s="4098"/>
      <c r="AY274" s="4098"/>
      <c r="AZ274" s="4098"/>
      <c r="BA274" s="4098"/>
      <c r="BB274" s="4098"/>
      <c r="BC274" s="4098"/>
      <c r="BD274" s="4098"/>
      <c r="BE274" s="4098"/>
      <c r="BF274" s="4098"/>
      <c r="BG274" s="4098"/>
      <c r="BH274" s="4098"/>
      <c r="BI274" s="4098"/>
      <c r="BJ274" s="4099"/>
      <c r="BK274" s="3952"/>
      <c r="BL274" s="3952"/>
      <c r="BM274" s="3952"/>
      <c r="BN274" s="3952"/>
      <c r="BO274" s="3952"/>
      <c r="BP274" s="3952"/>
      <c r="BQ274" s="3952"/>
      <c r="BR274" s="3952"/>
      <c r="BS274" s="3952"/>
      <c r="BT274" s="3952"/>
      <c r="BU274" s="3952"/>
      <c r="BV274" s="3952"/>
      <c r="BW274" s="3952"/>
      <c r="BX274" s="3952"/>
      <c r="BY274" s="3952"/>
      <c r="BZ274" s="3952"/>
      <c r="CA274" s="3396"/>
      <c r="CB274" s="3396"/>
      <c r="CC274" s="3396"/>
      <c r="CD274" s="3396"/>
      <c r="CE274" s="3396"/>
      <c r="CF274" s="3396"/>
      <c r="CG274" s="3396"/>
      <c r="CH274" s="3396"/>
      <c r="CI274" s="3396"/>
      <c r="CJ274" s="3396"/>
      <c r="CK274" s="3396"/>
      <c r="CL274" s="3396"/>
      <c r="CM274" s="3396"/>
      <c r="CN274" s="3396"/>
      <c r="CO274" s="3396"/>
      <c r="CP274" s="3396"/>
      <c r="CQ274" s="3396"/>
      <c r="CR274" s="3396"/>
      <c r="CS274" s="3396"/>
      <c r="CT274" s="3396"/>
      <c r="CU274" s="3396"/>
      <c r="CV274" s="3396"/>
      <c r="CW274" s="3396"/>
      <c r="CX274" s="3396"/>
    </row>
    <row r="275" ht="17.25" customHeight="1" spans="1:102">
      <c r="A275" s="3407" t="s">
        <v>3905</v>
      </c>
      <c r="B275" s="4089"/>
      <c r="C275" s="4089"/>
      <c r="D275" s="4089"/>
      <c r="E275" s="4089"/>
      <c r="F275" s="4089"/>
      <c r="G275" s="4089"/>
      <c r="H275" s="4089"/>
      <c r="I275" s="4089"/>
      <c r="J275" s="4089"/>
      <c r="K275" s="4089"/>
      <c r="L275" s="4089"/>
      <c r="M275" s="4089"/>
      <c r="N275" s="4089"/>
      <c r="O275" s="4089"/>
      <c r="P275" s="4089"/>
      <c r="Q275" s="4092"/>
      <c r="R275" s="4092"/>
      <c r="S275" s="4092"/>
      <c r="T275" s="4092"/>
      <c r="U275" s="4092"/>
      <c r="V275" s="4092"/>
      <c r="W275" s="4100"/>
      <c r="X275" s="4100"/>
      <c r="Y275" s="4100"/>
      <c r="Z275" s="4100"/>
      <c r="AA275" s="4100"/>
      <c r="AB275" s="4100"/>
      <c r="AC275" s="4100"/>
      <c r="AD275" s="4100"/>
      <c r="AE275" s="4100"/>
      <c r="AF275" s="3408"/>
      <c r="AG275" s="3408"/>
      <c r="AH275" s="3408"/>
      <c r="AI275" s="3408"/>
      <c r="AJ275" s="3408"/>
      <c r="AK275" s="3408"/>
      <c r="AL275" s="3408"/>
      <c r="AM275" s="3408"/>
      <c r="AN275" s="3408"/>
      <c r="AO275" s="3408"/>
      <c r="AP275" s="3408"/>
      <c r="AQ275" s="3951"/>
      <c r="AR275" s="4098"/>
      <c r="AS275" s="4098"/>
      <c r="AT275" s="4098"/>
      <c r="AU275" s="4098"/>
      <c r="AV275" s="4098"/>
      <c r="AW275" s="4098"/>
      <c r="AX275" s="4098"/>
      <c r="AY275" s="4098"/>
      <c r="AZ275" s="4098"/>
      <c r="BA275" s="4098"/>
      <c r="BB275" s="4098"/>
      <c r="BC275" s="4098"/>
      <c r="BD275" s="4098"/>
      <c r="BE275" s="4098"/>
      <c r="BF275" s="4098"/>
      <c r="BG275" s="4098"/>
      <c r="BH275" s="4098"/>
      <c r="BI275" s="4098"/>
      <c r="BJ275" s="4099"/>
      <c r="BK275" s="3952"/>
      <c r="BL275" s="3952"/>
      <c r="BM275" s="3952"/>
      <c r="BN275" s="3952"/>
      <c r="BO275" s="3952"/>
      <c r="BP275" s="3952"/>
      <c r="BQ275" s="3952"/>
      <c r="BR275" s="3952"/>
      <c r="BS275" s="3952"/>
      <c r="BT275" s="3952"/>
      <c r="BU275" s="3952"/>
      <c r="BV275" s="3952"/>
      <c r="BW275" s="3952"/>
      <c r="BX275" s="3952"/>
      <c r="BY275" s="3952"/>
      <c r="BZ275" s="3952"/>
      <c r="CA275" s="3396"/>
      <c r="CB275" s="3396"/>
      <c r="CC275" s="3396"/>
      <c r="CD275" s="3396"/>
      <c r="CE275" s="3396"/>
      <c r="CF275" s="3396"/>
      <c r="CG275" s="3396"/>
      <c r="CH275" s="3396"/>
      <c r="CI275" s="3396"/>
      <c r="CJ275" s="3396"/>
      <c r="CK275" s="3396"/>
      <c r="CL275" s="3396"/>
      <c r="CM275" s="3396"/>
      <c r="CN275" s="3396"/>
      <c r="CO275" s="3396"/>
      <c r="CP275" s="3396"/>
      <c r="CQ275" s="3396"/>
      <c r="CR275" s="3396"/>
      <c r="CS275" s="3396"/>
      <c r="CT275" s="3396"/>
      <c r="CU275" s="3396"/>
      <c r="CV275" s="3396"/>
      <c r="CW275" s="3396"/>
      <c r="CX275" s="3396"/>
    </row>
    <row r="276" ht="17.25" customHeight="1" spans="1:102">
      <c r="A276" s="3407" t="s">
        <v>3915</v>
      </c>
      <c r="B276" s="4089"/>
      <c r="C276" s="4089"/>
      <c r="D276" s="4089"/>
      <c r="E276" s="4089"/>
      <c r="F276" s="4089"/>
      <c r="G276" s="4089"/>
      <c r="H276" s="4089"/>
      <c r="I276" s="4089"/>
      <c r="J276" s="4089"/>
      <c r="K276" s="4089"/>
      <c r="L276" s="4089"/>
      <c r="M276" s="4089"/>
      <c r="N276" s="4089"/>
      <c r="O276" s="4089"/>
      <c r="P276" s="4089"/>
      <c r="Q276" s="4092"/>
      <c r="R276" s="4092"/>
      <c r="S276" s="4092"/>
      <c r="T276" s="4092"/>
      <c r="U276" s="4092"/>
      <c r="V276" s="4092"/>
      <c r="W276" s="4100"/>
      <c r="X276" s="4100"/>
      <c r="Y276" s="4100"/>
      <c r="Z276" s="4100"/>
      <c r="AA276" s="4100"/>
      <c r="AB276" s="4100"/>
      <c r="AC276" s="4100"/>
      <c r="AD276" s="4100"/>
      <c r="AE276" s="4100"/>
      <c r="AF276" s="3408"/>
      <c r="AG276" s="3408"/>
      <c r="AH276" s="3408"/>
      <c r="AI276" s="3408"/>
      <c r="AJ276" s="3408"/>
      <c r="AK276" s="3408"/>
      <c r="AL276" s="3408"/>
      <c r="AM276" s="3408"/>
      <c r="AN276" s="3408"/>
      <c r="AO276" s="3408"/>
      <c r="AP276" s="3408"/>
      <c r="AQ276" s="3951"/>
      <c r="AR276" s="4098"/>
      <c r="AS276" s="4098"/>
      <c r="AT276" s="4098"/>
      <c r="AU276" s="4098"/>
      <c r="AV276" s="4098"/>
      <c r="AW276" s="4098"/>
      <c r="AX276" s="4098"/>
      <c r="AY276" s="4098"/>
      <c r="AZ276" s="4098"/>
      <c r="BA276" s="4098"/>
      <c r="BB276" s="4098"/>
      <c r="BC276" s="4098"/>
      <c r="BD276" s="4098"/>
      <c r="BE276" s="4098"/>
      <c r="BF276" s="4098"/>
      <c r="BG276" s="4098"/>
      <c r="BH276" s="4098"/>
      <c r="BI276" s="4098"/>
      <c r="BJ276" s="4099"/>
      <c r="BK276" s="3952"/>
      <c r="BL276" s="3952"/>
      <c r="BM276" s="3952"/>
      <c r="BN276" s="3952"/>
      <c r="BO276" s="3952"/>
      <c r="BP276" s="3952"/>
      <c r="BQ276" s="3952"/>
      <c r="BR276" s="3952"/>
      <c r="BS276" s="3952"/>
      <c r="BT276" s="3952"/>
      <c r="BU276" s="3952"/>
      <c r="BV276" s="3952"/>
      <c r="BW276" s="3952"/>
      <c r="BX276" s="3952"/>
      <c r="BY276" s="3952"/>
      <c r="BZ276" s="3952"/>
      <c r="CA276" s="3396"/>
      <c r="CB276" s="3396"/>
      <c r="CC276" s="3396"/>
      <c r="CD276" s="3396"/>
      <c r="CE276" s="3396"/>
      <c r="CF276" s="3396"/>
      <c r="CG276" s="3396"/>
      <c r="CH276" s="3396"/>
      <c r="CI276" s="3396"/>
      <c r="CJ276" s="3396"/>
      <c r="CK276" s="3396"/>
      <c r="CL276" s="3396"/>
      <c r="CM276" s="3396"/>
      <c r="CN276" s="3396"/>
      <c r="CO276" s="3396"/>
      <c r="CP276" s="3396"/>
      <c r="CQ276" s="3396"/>
      <c r="CR276" s="3396"/>
      <c r="CS276" s="3396"/>
      <c r="CT276" s="3396"/>
      <c r="CU276" s="3396"/>
      <c r="CV276" s="3396"/>
      <c r="CW276" s="3396"/>
      <c r="CX276" s="3396"/>
    </row>
    <row r="277" ht="17.25" customHeight="1" spans="1:102">
      <c r="A277" s="3407" t="s">
        <v>3918</v>
      </c>
      <c r="B277" s="4089"/>
      <c r="C277" s="4089"/>
      <c r="D277" s="4089"/>
      <c r="E277" s="4089"/>
      <c r="F277" s="4089"/>
      <c r="G277" s="4089"/>
      <c r="H277" s="4089"/>
      <c r="I277" s="4089"/>
      <c r="J277" s="4089"/>
      <c r="K277" s="4089"/>
      <c r="L277" s="4089"/>
      <c r="M277" s="4089"/>
      <c r="N277" s="4089"/>
      <c r="O277" s="4089"/>
      <c r="P277" s="4089"/>
      <c r="Q277" s="4092"/>
      <c r="R277" s="4092"/>
      <c r="S277" s="4092"/>
      <c r="T277" s="4092"/>
      <c r="U277" s="4092"/>
      <c r="V277" s="4092"/>
      <c r="W277" s="4100"/>
      <c r="X277" s="4100"/>
      <c r="Y277" s="4100"/>
      <c r="Z277" s="4100"/>
      <c r="AA277" s="4100"/>
      <c r="AB277" s="4100"/>
      <c r="AC277" s="4100"/>
      <c r="AD277" s="4100"/>
      <c r="AE277" s="4100"/>
      <c r="AF277" s="3408"/>
      <c r="AG277" s="3408"/>
      <c r="AH277" s="3408"/>
      <c r="AI277" s="3408"/>
      <c r="AJ277" s="3408"/>
      <c r="AK277" s="3408"/>
      <c r="AL277" s="3408"/>
      <c r="AM277" s="3408"/>
      <c r="AN277" s="3408"/>
      <c r="AO277" s="3408"/>
      <c r="AP277" s="3408"/>
      <c r="AQ277" s="3951"/>
      <c r="AR277" s="4101" t="s">
        <v>6046</v>
      </c>
      <c r="AS277" s="4099"/>
      <c r="AT277" s="4099"/>
      <c r="AU277" s="4099"/>
      <c r="AV277" s="4099"/>
      <c r="AW277" s="4099"/>
      <c r="AX277" s="4099"/>
      <c r="AY277" s="4099"/>
      <c r="AZ277" s="4099"/>
      <c r="BA277" s="4099"/>
      <c r="BB277" s="4099"/>
      <c r="BC277" s="4099"/>
      <c r="BD277" s="4099"/>
      <c r="BE277" s="4099"/>
      <c r="BF277" s="4099"/>
      <c r="BG277" s="4099"/>
      <c r="BH277" s="4099"/>
      <c r="BI277" s="4099"/>
      <c r="BJ277" s="4099"/>
      <c r="BK277" s="3952"/>
      <c r="BL277" s="3952"/>
      <c r="BM277" s="3952"/>
      <c r="BN277" s="3952"/>
      <c r="BO277" s="3952"/>
      <c r="BP277" s="3952"/>
      <c r="BQ277" s="3952"/>
      <c r="BR277" s="3952"/>
      <c r="BS277" s="3952"/>
      <c r="BT277" s="3952"/>
      <c r="BU277" s="3952"/>
      <c r="BV277" s="3952"/>
      <c r="BW277" s="3952"/>
      <c r="BX277" s="3952"/>
      <c r="BY277" s="3952"/>
      <c r="BZ277" s="3952"/>
      <c r="CA277" s="3396"/>
      <c r="CB277" s="3396"/>
      <c r="CC277" s="3396"/>
      <c r="CD277" s="3396"/>
      <c r="CE277" s="3396"/>
      <c r="CF277" s="3396"/>
      <c r="CG277" s="3396"/>
      <c r="CH277" s="3396"/>
      <c r="CI277" s="3396"/>
      <c r="CJ277" s="3396"/>
      <c r="CK277" s="3396"/>
      <c r="CL277" s="3396"/>
      <c r="CM277" s="3396"/>
      <c r="CN277" s="3396"/>
      <c r="CO277" s="3396"/>
      <c r="CP277" s="3396"/>
      <c r="CQ277" s="3396"/>
      <c r="CR277" s="3396"/>
      <c r="CS277" s="3396"/>
      <c r="CT277" s="3396"/>
      <c r="CU277" s="3396"/>
      <c r="CV277" s="3396"/>
      <c r="CW277" s="3396"/>
      <c r="CX277" s="3396"/>
    </row>
    <row r="278" ht="17.25" customHeight="1" spans="1:102">
      <c r="A278" s="3407" t="s">
        <v>3920</v>
      </c>
      <c r="B278" s="4089"/>
      <c r="C278" s="4089"/>
      <c r="D278" s="4089"/>
      <c r="E278" s="4089"/>
      <c r="F278" s="4089"/>
      <c r="G278" s="4089"/>
      <c r="H278" s="4089"/>
      <c r="I278" s="4089"/>
      <c r="J278" s="4089"/>
      <c r="K278" s="4089"/>
      <c r="L278" s="4089"/>
      <c r="M278" s="4089"/>
      <c r="N278" s="4089"/>
      <c r="O278" s="4089"/>
      <c r="P278" s="4089"/>
      <c r="Q278" s="4092"/>
      <c r="R278" s="4092"/>
      <c r="S278" s="4092"/>
      <c r="T278" s="4092"/>
      <c r="U278" s="4092"/>
      <c r="V278" s="4092"/>
      <c r="W278" s="4100"/>
      <c r="X278" s="4100"/>
      <c r="Y278" s="4100"/>
      <c r="Z278" s="4100"/>
      <c r="AA278" s="4100"/>
      <c r="AB278" s="4100"/>
      <c r="AC278" s="4100"/>
      <c r="AD278" s="4100"/>
      <c r="AE278" s="4100"/>
      <c r="AF278" s="3408"/>
      <c r="AG278" s="3408"/>
      <c r="AH278" s="3408"/>
      <c r="AI278" s="3408"/>
      <c r="AJ278" s="3408"/>
      <c r="AK278" s="3408"/>
      <c r="AL278" s="3408"/>
      <c r="AM278" s="3408"/>
      <c r="AN278" s="3408"/>
      <c r="AO278" s="3408"/>
      <c r="AP278" s="3408"/>
      <c r="AQ278" s="3951"/>
      <c r="AR278" s="4102" t="s">
        <v>6047</v>
      </c>
      <c r="AS278" s="4102"/>
      <c r="AT278" s="4102"/>
      <c r="AU278" s="4102"/>
      <c r="AV278" s="4102"/>
      <c r="AW278" s="4102"/>
      <c r="AX278" s="4102"/>
      <c r="AY278" s="4102"/>
      <c r="AZ278" s="4102"/>
      <c r="BA278" s="4102"/>
      <c r="BB278" s="4102"/>
      <c r="BC278" s="4102"/>
      <c r="BD278" s="4102"/>
      <c r="BE278" s="4102"/>
      <c r="BF278" s="4102"/>
      <c r="BG278" s="4102"/>
      <c r="BH278" s="4102"/>
      <c r="BI278" s="4102"/>
      <c r="BJ278" s="4101"/>
      <c r="BK278" s="3952"/>
      <c r="BL278" s="3952"/>
      <c r="BM278" s="3952"/>
      <c r="BN278" s="3952"/>
      <c r="BO278" s="3952"/>
      <c r="BP278" s="3952"/>
      <c r="BQ278" s="3952"/>
      <c r="BR278" s="3952"/>
      <c r="BS278" s="3952"/>
      <c r="BT278" s="3952"/>
      <c r="BU278" s="3952"/>
      <c r="BV278" s="3952"/>
      <c r="BW278" s="3952"/>
      <c r="BX278" s="3952"/>
      <c r="BY278" s="3952"/>
      <c r="BZ278" s="3952"/>
      <c r="CA278" s="3396"/>
      <c r="CB278" s="3396"/>
      <c r="CC278" s="3396"/>
      <c r="CD278" s="3396"/>
      <c r="CE278" s="3396"/>
      <c r="CF278" s="3396"/>
      <c r="CG278" s="3396"/>
      <c r="CH278" s="3396"/>
      <c r="CI278" s="3396"/>
      <c r="CJ278" s="3396"/>
      <c r="CK278" s="3396"/>
      <c r="CL278" s="3396"/>
      <c r="CM278" s="3396"/>
      <c r="CN278" s="3396"/>
      <c r="CO278" s="3396"/>
      <c r="CP278" s="3396"/>
      <c r="CQ278" s="3396"/>
      <c r="CR278" s="3396"/>
      <c r="CS278" s="3396"/>
      <c r="CT278" s="3396"/>
      <c r="CU278" s="3396"/>
      <c r="CV278" s="3396"/>
      <c r="CW278" s="3396"/>
      <c r="CX278" s="3396"/>
    </row>
    <row r="279" ht="17.25" customHeight="1" spans="1:102">
      <c r="A279" s="3407" t="s">
        <v>3923</v>
      </c>
      <c r="B279" s="4089"/>
      <c r="C279" s="4089"/>
      <c r="D279" s="4089"/>
      <c r="E279" s="4089"/>
      <c r="F279" s="4089"/>
      <c r="G279" s="4089"/>
      <c r="H279" s="4089"/>
      <c r="I279" s="4089"/>
      <c r="J279" s="4089"/>
      <c r="K279" s="4089"/>
      <c r="L279" s="4089"/>
      <c r="M279" s="4089"/>
      <c r="N279" s="4089"/>
      <c r="O279" s="4089"/>
      <c r="P279" s="4089"/>
      <c r="Q279" s="4092"/>
      <c r="R279" s="4092"/>
      <c r="S279" s="4092"/>
      <c r="T279" s="4092"/>
      <c r="U279" s="4092"/>
      <c r="V279" s="4092"/>
      <c r="W279" s="4100"/>
      <c r="X279" s="4100"/>
      <c r="Y279" s="4100"/>
      <c r="Z279" s="4100"/>
      <c r="AA279" s="4100"/>
      <c r="AB279" s="4100"/>
      <c r="AC279" s="4100"/>
      <c r="AD279" s="4100"/>
      <c r="AE279" s="4100"/>
      <c r="AF279" s="3408"/>
      <c r="AG279" s="3408"/>
      <c r="AH279" s="3408"/>
      <c r="AI279" s="3408"/>
      <c r="AJ279" s="3408"/>
      <c r="AK279" s="3408"/>
      <c r="AL279" s="3408"/>
      <c r="AM279" s="3408"/>
      <c r="AN279" s="3408"/>
      <c r="AO279" s="3408"/>
      <c r="AP279" s="3408"/>
      <c r="AQ279" s="3951"/>
      <c r="AR279" s="4102"/>
      <c r="AS279" s="4102"/>
      <c r="AT279" s="4102"/>
      <c r="AU279" s="4102"/>
      <c r="AV279" s="4102"/>
      <c r="AW279" s="4102"/>
      <c r="AX279" s="4102"/>
      <c r="AY279" s="4102"/>
      <c r="AZ279" s="4102"/>
      <c r="BA279" s="4102"/>
      <c r="BB279" s="4102"/>
      <c r="BC279" s="4102"/>
      <c r="BD279" s="4102"/>
      <c r="BE279" s="4102"/>
      <c r="BF279" s="4102"/>
      <c r="BG279" s="4102"/>
      <c r="BH279" s="4102"/>
      <c r="BI279" s="4102"/>
      <c r="BJ279" s="3952"/>
      <c r="BK279" s="3952"/>
      <c r="BL279" s="3952"/>
      <c r="BM279" s="3952"/>
      <c r="BN279" s="3952"/>
      <c r="BO279" s="3952"/>
      <c r="BP279" s="3952"/>
      <c r="BQ279" s="3952"/>
      <c r="BR279" s="3952"/>
      <c r="BS279" s="3952"/>
      <c r="BT279" s="3952"/>
      <c r="BU279" s="3952"/>
      <c r="BV279" s="3952"/>
      <c r="BW279" s="3952"/>
      <c r="BX279" s="3952"/>
      <c r="BY279" s="3952"/>
      <c r="BZ279" s="3952"/>
      <c r="CA279" s="3396"/>
      <c r="CB279" s="3396"/>
      <c r="CC279" s="3396"/>
      <c r="CD279" s="3396"/>
      <c r="CE279" s="3396"/>
      <c r="CF279" s="3396"/>
      <c r="CG279" s="3396"/>
      <c r="CH279" s="3396"/>
      <c r="CI279" s="3396"/>
      <c r="CJ279" s="3396"/>
      <c r="CK279" s="3396"/>
      <c r="CL279" s="3396"/>
      <c r="CM279" s="3396"/>
      <c r="CN279" s="3396"/>
      <c r="CO279" s="3396"/>
      <c r="CP279" s="3396"/>
      <c r="CQ279" s="3396"/>
      <c r="CR279" s="3396"/>
      <c r="CS279" s="3396"/>
      <c r="CT279" s="3396"/>
      <c r="CU279" s="3396"/>
      <c r="CV279" s="3396"/>
      <c r="CW279" s="3396"/>
      <c r="CX279" s="3396"/>
    </row>
    <row r="280" ht="17.25" customHeight="1" spans="1:102">
      <c r="A280" s="3407" t="s">
        <v>3925</v>
      </c>
      <c r="B280" s="4089"/>
      <c r="C280" s="4089"/>
      <c r="D280" s="4089"/>
      <c r="E280" s="4089"/>
      <c r="F280" s="4089"/>
      <c r="G280" s="4089"/>
      <c r="H280" s="4089"/>
      <c r="I280" s="4089"/>
      <c r="J280" s="4089"/>
      <c r="K280" s="4089"/>
      <c r="L280" s="4089"/>
      <c r="M280" s="4089"/>
      <c r="N280" s="4089"/>
      <c r="O280" s="4089"/>
      <c r="P280" s="4089"/>
      <c r="Q280" s="4092"/>
      <c r="R280" s="4092"/>
      <c r="S280" s="4092"/>
      <c r="T280" s="4092"/>
      <c r="U280" s="4092"/>
      <c r="V280" s="4092"/>
      <c r="W280" s="4100"/>
      <c r="X280" s="4100"/>
      <c r="Y280" s="4100"/>
      <c r="Z280" s="4100"/>
      <c r="AA280" s="4100"/>
      <c r="AB280" s="4100"/>
      <c r="AC280" s="4100"/>
      <c r="AD280" s="4100"/>
      <c r="AE280" s="4100"/>
      <c r="AF280" s="3408"/>
      <c r="AG280" s="3408"/>
      <c r="AH280" s="3408"/>
      <c r="AI280" s="3408"/>
      <c r="AJ280" s="3408"/>
      <c r="AK280" s="3408"/>
      <c r="AL280" s="3408"/>
      <c r="AM280" s="3408"/>
      <c r="AN280" s="3408"/>
      <c r="AO280" s="3408"/>
      <c r="AP280" s="3408"/>
      <c r="AQ280" s="3951"/>
      <c r="AR280" s="4102"/>
      <c r="AS280" s="4102"/>
      <c r="AT280" s="4102"/>
      <c r="AU280" s="4102"/>
      <c r="AV280" s="4102"/>
      <c r="AW280" s="4102"/>
      <c r="AX280" s="4102"/>
      <c r="AY280" s="4102"/>
      <c r="AZ280" s="4102"/>
      <c r="BA280" s="4102"/>
      <c r="BB280" s="4102"/>
      <c r="BC280" s="4102"/>
      <c r="BD280" s="4102"/>
      <c r="BE280" s="4102"/>
      <c r="BF280" s="4102"/>
      <c r="BG280" s="4102"/>
      <c r="BH280" s="4102"/>
      <c r="BI280" s="4102"/>
      <c r="BJ280" s="3952"/>
      <c r="BK280" s="3952"/>
      <c r="BL280" s="3952"/>
      <c r="BM280" s="3952"/>
      <c r="BN280" s="3952"/>
      <c r="BO280" s="3952"/>
      <c r="BP280" s="3952"/>
      <c r="BQ280" s="3952"/>
      <c r="BR280" s="3952"/>
      <c r="BS280" s="3952"/>
      <c r="BT280" s="3952"/>
      <c r="BU280" s="3952"/>
      <c r="BV280" s="3952"/>
      <c r="BW280" s="3952"/>
      <c r="BX280" s="3952"/>
      <c r="BY280" s="3952"/>
      <c r="BZ280" s="3952"/>
      <c r="CA280" s="3396"/>
      <c r="CB280" s="3396"/>
      <c r="CC280" s="3396"/>
      <c r="CD280" s="3396"/>
      <c r="CE280" s="3396"/>
      <c r="CF280" s="3396"/>
      <c r="CG280" s="3396"/>
      <c r="CH280" s="3396"/>
      <c r="CI280" s="3396"/>
      <c r="CJ280" s="3396"/>
      <c r="CK280" s="3396"/>
      <c r="CL280" s="3396"/>
      <c r="CM280" s="3396"/>
      <c r="CN280" s="3396"/>
      <c r="CO280" s="3396"/>
      <c r="CP280" s="3396"/>
      <c r="CQ280" s="3396"/>
      <c r="CR280" s="3396"/>
      <c r="CS280" s="3396"/>
      <c r="CT280" s="3396"/>
      <c r="CU280" s="3396"/>
      <c r="CV280" s="3396"/>
      <c r="CW280" s="3396"/>
      <c r="CX280" s="3396"/>
    </row>
    <row r="281" ht="17.25" customHeight="1" spans="1:102">
      <c r="A281" s="4103" t="s">
        <v>3928</v>
      </c>
      <c r="B281" s="4089"/>
      <c r="C281" s="4089"/>
      <c r="D281" s="4089"/>
      <c r="E281" s="4089"/>
      <c r="F281" s="4089"/>
      <c r="G281" s="4089"/>
      <c r="H281" s="4089"/>
      <c r="I281" s="4089"/>
      <c r="J281" s="4089"/>
      <c r="K281" s="4089"/>
      <c r="L281" s="4089"/>
      <c r="M281" s="4089"/>
      <c r="N281" s="4089"/>
      <c r="O281" s="4089"/>
      <c r="P281" s="4089"/>
      <c r="Q281" s="4104"/>
      <c r="R281" s="4104"/>
      <c r="S281" s="4104"/>
      <c r="T281" s="4104"/>
      <c r="U281" s="4104"/>
      <c r="V281" s="4104"/>
      <c r="W281" s="4100"/>
      <c r="X281" s="4100"/>
      <c r="Y281" s="4100"/>
      <c r="Z281" s="4100"/>
      <c r="AA281" s="4100"/>
      <c r="AB281" s="4100"/>
      <c r="AC281" s="4100"/>
      <c r="AD281" s="4100"/>
      <c r="AE281" s="4100"/>
      <c r="AF281" s="3408"/>
      <c r="AG281" s="3408"/>
      <c r="AH281" s="3408"/>
      <c r="AI281" s="3408"/>
      <c r="AJ281" s="3408"/>
      <c r="AK281" s="3408"/>
      <c r="AL281" s="3408"/>
      <c r="AM281" s="3408"/>
      <c r="AN281" s="3408"/>
      <c r="AO281" s="3408"/>
      <c r="AP281" s="3408"/>
      <c r="AQ281" s="3951"/>
      <c r="AR281" s="4102" t="s">
        <v>6048</v>
      </c>
      <c r="AS281" s="4102"/>
      <c r="AT281" s="4102"/>
      <c r="AU281" s="4102"/>
      <c r="AV281" s="4102"/>
      <c r="AW281" s="4102"/>
      <c r="AX281" s="4102"/>
      <c r="AY281" s="4102"/>
      <c r="AZ281" s="4102"/>
      <c r="BA281" s="4102"/>
      <c r="BB281" s="4102"/>
      <c r="BC281" s="4102"/>
      <c r="BD281" s="4102"/>
      <c r="BE281" s="4102"/>
      <c r="BF281" s="4102"/>
      <c r="BG281" s="4102"/>
      <c r="BH281" s="4102"/>
      <c r="BI281" s="4102"/>
      <c r="BJ281" s="3952"/>
      <c r="BK281" s="3952"/>
      <c r="BL281" s="3952"/>
      <c r="BM281" s="3952"/>
      <c r="BN281" s="3952"/>
      <c r="BO281" s="3952"/>
      <c r="BP281" s="3952"/>
      <c r="BQ281" s="3952"/>
      <c r="BR281" s="3952"/>
      <c r="BS281" s="3952"/>
      <c r="BT281" s="3952"/>
      <c r="BU281" s="3952"/>
      <c r="BV281" s="3952"/>
      <c r="BW281" s="3952"/>
      <c r="BX281" s="3952"/>
      <c r="BY281" s="3952"/>
      <c r="BZ281" s="3952"/>
      <c r="CA281" s="3396"/>
      <c r="CB281" s="3396"/>
      <c r="CC281" s="3396"/>
      <c r="CD281" s="3396"/>
      <c r="CE281" s="3396"/>
      <c r="CF281" s="3396"/>
      <c r="CG281" s="3396"/>
      <c r="CH281" s="3396"/>
      <c r="CI281" s="3396"/>
      <c r="CJ281" s="3396"/>
      <c r="CK281" s="3396"/>
      <c r="CL281" s="3396"/>
      <c r="CM281" s="3396"/>
      <c r="CN281" s="3396"/>
      <c r="CO281" s="3396"/>
      <c r="CP281" s="3396"/>
      <c r="CQ281" s="3396"/>
      <c r="CR281" s="3396"/>
      <c r="CS281" s="3396"/>
      <c r="CT281" s="3396"/>
      <c r="CU281" s="3396"/>
      <c r="CV281" s="3396"/>
      <c r="CW281" s="3396"/>
      <c r="CX281" s="3396"/>
    </row>
    <row r="282" ht="21" customHeight="1" spans="1:102">
      <c r="A282" s="4105"/>
      <c r="B282" s="4106" t="s">
        <v>4671</v>
      </c>
      <c r="C282" s="4106"/>
      <c r="D282" s="4106"/>
      <c r="E282" s="4106"/>
      <c r="F282" s="4106"/>
      <c r="G282" s="4106"/>
      <c r="H282" s="4106"/>
      <c r="I282" s="4106"/>
      <c r="J282" s="4106"/>
      <c r="K282" s="4106"/>
      <c r="L282" s="4106"/>
      <c r="M282" s="4106"/>
      <c r="N282" s="4106"/>
      <c r="O282" s="4106"/>
      <c r="P282" s="4106"/>
      <c r="Q282" s="4107">
        <f>SUM(Q272:V281)</f>
        <v>0</v>
      </c>
      <c r="R282" s="4107"/>
      <c r="S282" s="4107"/>
      <c r="T282" s="4107"/>
      <c r="U282" s="4107"/>
      <c r="V282" s="4107"/>
      <c r="W282" s="3418"/>
      <c r="X282" s="3418"/>
      <c r="Y282" s="3418"/>
      <c r="Z282" s="3418"/>
      <c r="AA282" s="3418"/>
      <c r="AB282" s="3418"/>
      <c r="AC282" s="3418"/>
      <c r="AD282" s="3418"/>
      <c r="AE282" s="3418"/>
      <c r="AF282" s="3418"/>
      <c r="AG282" s="3418"/>
      <c r="AH282" s="3418"/>
      <c r="AI282" s="3418"/>
      <c r="AJ282" s="3418"/>
      <c r="AK282" s="3418"/>
      <c r="AL282" s="3418"/>
      <c r="AM282" s="3418"/>
      <c r="AN282" s="3418"/>
      <c r="AO282" s="3418"/>
      <c r="AP282" s="3418"/>
      <c r="AQ282" s="3951"/>
      <c r="AR282" s="4102"/>
      <c r="AS282" s="4102"/>
      <c r="AT282" s="4102"/>
      <c r="AU282" s="4102"/>
      <c r="AV282" s="4102"/>
      <c r="AW282" s="4102"/>
      <c r="AX282" s="4102"/>
      <c r="AY282" s="4102"/>
      <c r="AZ282" s="4102"/>
      <c r="BA282" s="4102"/>
      <c r="BB282" s="4102"/>
      <c r="BC282" s="4102"/>
      <c r="BD282" s="4102"/>
      <c r="BE282" s="4102"/>
      <c r="BF282" s="4102"/>
      <c r="BG282" s="4102"/>
      <c r="BH282" s="4102"/>
      <c r="BI282" s="4102"/>
      <c r="BJ282" s="3952"/>
      <c r="BK282" s="3952"/>
      <c r="BL282" s="3952"/>
      <c r="BM282" s="3952"/>
      <c r="BN282" s="3952"/>
      <c r="BO282" s="3952"/>
      <c r="BP282" s="3952"/>
      <c r="BQ282" s="3952"/>
      <c r="BR282" s="3952"/>
      <c r="BS282" s="3952"/>
      <c r="BT282" s="3952"/>
      <c r="BU282" s="3952"/>
      <c r="BV282" s="3952"/>
      <c r="BW282" s="3952"/>
      <c r="BX282" s="3952"/>
      <c r="BY282" s="3952"/>
      <c r="BZ282" s="3952"/>
      <c r="CA282" s="3396"/>
      <c r="CB282" s="3396"/>
      <c r="CC282" s="3396"/>
      <c r="CD282" s="3396"/>
      <c r="CE282" s="3396"/>
      <c r="CF282" s="3396"/>
      <c r="CG282" s="3396"/>
      <c r="CH282" s="3396"/>
      <c r="CI282" s="3396"/>
      <c r="CJ282" s="3396"/>
      <c r="CK282" s="3396"/>
      <c r="CL282" s="3396"/>
      <c r="CM282" s="3396"/>
      <c r="CN282" s="3396"/>
      <c r="CO282" s="3396"/>
      <c r="CP282" s="3396"/>
      <c r="CQ282" s="3396"/>
      <c r="CR282" s="3396"/>
      <c r="CS282" s="3396"/>
      <c r="CT282" s="3396"/>
      <c r="CU282" s="3396"/>
      <c r="CV282" s="3396"/>
      <c r="CW282" s="3396"/>
      <c r="CX282" s="3396"/>
    </row>
    <row r="283" ht="21.75" customHeight="1" spans="1:102">
      <c r="A283" s="3418"/>
      <c r="B283" s="3418"/>
      <c r="C283" s="3418"/>
      <c r="D283" s="3418"/>
      <c r="E283" s="3418"/>
      <c r="F283" s="3418"/>
      <c r="G283" s="3418"/>
      <c r="H283" s="3418"/>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418"/>
      <c r="AD283" s="3418"/>
      <c r="AE283" s="3418"/>
      <c r="AF283" s="3418"/>
      <c r="AG283" s="3418"/>
      <c r="AH283" s="3418"/>
      <c r="AI283" s="3418"/>
      <c r="AJ283" s="3418"/>
      <c r="AK283" s="3418"/>
      <c r="AL283" s="3418"/>
      <c r="AM283" s="3418"/>
      <c r="AN283" s="3418"/>
      <c r="AO283" s="3418"/>
      <c r="AP283" s="3418"/>
      <c r="AQ283" s="3951"/>
      <c r="AR283" s="3951"/>
      <c r="AS283" s="3951"/>
      <c r="AT283" s="3951"/>
      <c r="AU283" s="3951"/>
      <c r="AV283" s="3951"/>
      <c r="AW283" s="3951"/>
      <c r="AX283" s="3951"/>
      <c r="AY283" s="3951"/>
      <c r="AZ283" s="3951"/>
      <c r="BA283" s="3951"/>
      <c r="BB283" s="3951"/>
      <c r="BC283" s="3951"/>
      <c r="BD283" s="3951"/>
      <c r="BE283" s="3951"/>
      <c r="BF283" s="3951"/>
      <c r="BG283" s="3951"/>
      <c r="BH283" s="3951"/>
      <c r="BI283" s="3951"/>
      <c r="BJ283" s="3951"/>
      <c r="BK283" s="3952"/>
      <c r="BL283" s="3952"/>
      <c r="BM283" s="3952"/>
      <c r="BN283" s="3952"/>
      <c r="BO283" s="3952"/>
      <c r="BP283" s="3952"/>
      <c r="BQ283" s="3952"/>
      <c r="BR283" s="3952"/>
      <c r="BS283" s="3952"/>
      <c r="BT283" s="3952"/>
      <c r="BU283" s="3952"/>
      <c r="BV283" s="3952"/>
      <c r="BW283" s="3952"/>
      <c r="BX283" s="3952"/>
      <c r="BY283" s="3952"/>
      <c r="BZ283" s="3952"/>
      <c r="CA283" s="3396"/>
      <c r="CB283" s="3396"/>
      <c r="CC283" s="3396"/>
      <c r="CD283" s="3396"/>
      <c r="CE283" s="3396"/>
      <c r="CF283" s="3396"/>
      <c r="CG283" s="3396"/>
      <c r="CH283" s="3396"/>
      <c r="CI283" s="3396"/>
      <c r="CJ283" s="3396"/>
      <c r="CK283" s="3396"/>
      <c r="CL283" s="3396"/>
      <c r="CM283" s="3396"/>
      <c r="CN283" s="3396"/>
      <c r="CO283" s="3396"/>
      <c r="CP283" s="3396"/>
      <c r="CQ283" s="3396"/>
      <c r="CR283" s="3396"/>
      <c r="CS283" s="3396"/>
      <c r="CT283" s="3396"/>
      <c r="CU283" s="3396"/>
      <c r="CV283" s="3396"/>
      <c r="CW283" s="3396"/>
      <c r="CX283" s="3396"/>
    </row>
    <row r="284" s="75" customFormat="1" ht="26.25" customHeight="1" spans="1:102">
      <c r="A284" s="3884" t="s">
        <v>5938</v>
      </c>
      <c r="B284" s="3399"/>
      <c r="C284" s="3399"/>
      <c r="D284" s="3399"/>
      <c r="E284" s="3399"/>
      <c r="F284" s="3400"/>
      <c r="G284" s="3400"/>
      <c r="H284" s="3400"/>
      <c r="I284" s="3400"/>
      <c r="J284" s="3400"/>
      <c r="K284" s="3400"/>
      <c r="L284" s="3400"/>
      <c r="M284" s="3400"/>
      <c r="N284" s="3400"/>
      <c r="O284" s="3400"/>
      <c r="P284" s="3400"/>
      <c r="Q284" s="3400"/>
      <c r="R284" s="3398"/>
      <c r="S284" s="3398"/>
      <c r="T284" s="3398"/>
      <c r="U284" s="3398"/>
      <c r="V284" s="3398"/>
      <c r="W284" s="3398"/>
      <c r="X284" s="3398"/>
      <c r="Y284" s="3398"/>
      <c r="Z284" s="3398"/>
      <c r="AA284" s="3398"/>
      <c r="AB284" s="3398"/>
      <c r="AC284" s="3398"/>
      <c r="AD284" s="3398"/>
      <c r="AE284" s="3398"/>
      <c r="AF284" s="3398"/>
      <c r="AG284" s="3398"/>
      <c r="AH284" s="3398"/>
      <c r="AI284" s="3398"/>
      <c r="AJ284" s="3398"/>
      <c r="AK284" s="3398"/>
      <c r="AL284" s="3398"/>
      <c r="AM284" s="3398"/>
      <c r="AN284" s="3398"/>
      <c r="AO284" s="3398"/>
      <c r="AP284" s="3398"/>
      <c r="AQ284" s="3398"/>
      <c r="AR284" s="3398"/>
      <c r="AS284" s="3398"/>
      <c r="AT284" s="3398"/>
      <c r="AU284" s="3398"/>
      <c r="AV284" s="3398"/>
      <c r="AW284" s="3398"/>
      <c r="AX284" s="3398"/>
      <c r="AY284" s="3398"/>
      <c r="AZ284" s="3398"/>
      <c r="BA284" s="3398"/>
      <c r="BB284" s="3398"/>
      <c r="BC284" s="4108"/>
      <c r="BD284" s="4108"/>
      <c r="BE284" s="4108"/>
      <c r="BF284" s="4108"/>
      <c r="BG284" s="4108"/>
      <c r="BH284" s="4108"/>
      <c r="BI284" s="4108"/>
      <c r="BJ284" s="3395"/>
      <c r="BK284" s="3395"/>
      <c r="BL284" s="3395"/>
      <c r="BM284" s="3395"/>
      <c r="BN284" s="3395"/>
      <c r="BO284" s="3395"/>
      <c r="BP284" s="3395"/>
      <c r="BQ284" s="3395"/>
      <c r="BR284" s="3395"/>
      <c r="BS284" s="3395"/>
      <c r="BT284" s="3395"/>
      <c r="BU284" s="3395"/>
      <c r="BV284" s="3395"/>
      <c r="BW284" s="3395"/>
      <c r="BX284" s="3395"/>
      <c r="BY284" s="3395"/>
      <c r="BZ284" s="3395"/>
      <c r="CA284" s="3396"/>
      <c r="CB284" s="3396"/>
      <c r="CC284" s="3396"/>
      <c r="CD284" s="3396"/>
      <c r="CE284" s="3396"/>
      <c r="CF284" s="3396"/>
      <c r="CG284" s="3396"/>
      <c r="CH284" s="3396"/>
      <c r="CI284" s="3396"/>
      <c r="CJ284" s="3396"/>
      <c r="CK284" s="3396"/>
      <c r="CL284" s="3396"/>
      <c r="CM284" s="3396"/>
      <c r="CN284" s="3396"/>
      <c r="CO284" s="3396"/>
      <c r="CP284" s="3396"/>
      <c r="CQ284" s="3396"/>
      <c r="CR284" s="3396"/>
      <c r="CS284" s="3396"/>
      <c r="CT284" s="3396"/>
      <c r="CU284" s="3396"/>
      <c r="CV284" s="3396"/>
      <c r="CW284" s="3396"/>
      <c r="CX284" s="3396"/>
    </row>
    <row r="285" s="687" customFormat="1" ht="20.25" customHeight="1" spans="1:102">
      <c r="A285" s="4093" t="s">
        <v>6049</v>
      </c>
      <c r="B285" s="3952"/>
      <c r="C285" s="3952"/>
      <c r="D285" s="3952"/>
      <c r="E285" s="3952"/>
      <c r="F285" s="3952"/>
      <c r="G285" s="3952"/>
      <c r="H285" s="3952"/>
      <c r="I285" s="3952"/>
      <c r="J285" s="3952"/>
      <c r="K285" s="3952"/>
      <c r="L285" s="3952"/>
      <c r="M285" s="3952"/>
      <c r="N285" s="3952"/>
      <c r="O285" s="3952"/>
      <c r="P285" s="3952"/>
      <c r="Q285" s="3952"/>
      <c r="R285" s="3952"/>
      <c r="S285" s="3952"/>
      <c r="T285" s="3952"/>
      <c r="U285" s="3952"/>
      <c r="V285" s="3952"/>
      <c r="W285" s="3952"/>
      <c r="X285" s="3952"/>
      <c r="Y285" s="3952"/>
      <c r="Z285" s="3952"/>
      <c r="AA285" s="3952"/>
      <c r="AB285" s="3952"/>
      <c r="AC285" s="3952"/>
      <c r="AD285" s="3952"/>
      <c r="AE285" s="3952"/>
      <c r="AF285" s="3952"/>
      <c r="AG285" s="3952"/>
      <c r="AH285" s="3952"/>
      <c r="AI285" s="3952"/>
      <c r="AJ285" s="3952"/>
      <c r="AK285" s="3952"/>
      <c r="AL285" s="3952"/>
      <c r="AM285" s="3952"/>
      <c r="AN285" s="3952"/>
      <c r="AO285" s="3952"/>
      <c r="AP285" s="3952"/>
      <c r="AQ285" s="3952"/>
      <c r="AR285" s="3952"/>
      <c r="AS285" s="3952"/>
      <c r="AT285" s="3952"/>
      <c r="AU285" s="3952"/>
      <c r="AV285" s="3952"/>
      <c r="AW285" s="3952"/>
      <c r="AX285" s="3952"/>
      <c r="AY285" s="3952"/>
      <c r="AZ285" s="3952"/>
      <c r="BA285" s="3952"/>
      <c r="BB285" s="3952"/>
      <c r="BC285" s="3403"/>
      <c r="BD285" s="3403"/>
      <c r="BE285" s="3403"/>
      <c r="BF285" s="3403"/>
      <c r="BG285" s="3403"/>
      <c r="BH285" s="3403"/>
      <c r="BI285" s="3403"/>
      <c r="BJ285" s="3403"/>
      <c r="BK285" s="3403"/>
      <c r="BL285" s="3403"/>
      <c r="BM285" s="3403"/>
      <c r="BN285" s="3403"/>
      <c r="BO285" s="3403"/>
      <c r="BP285" s="3403"/>
      <c r="BQ285" s="3403"/>
      <c r="BR285" s="3403"/>
      <c r="BS285" s="3403"/>
      <c r="BT285" s="3403"/>
      <c r="BU285" s="3403"/>
      <c r="BV285" s="3403"/>
      <c r="BW285" s="3403"/>
      <c r="BX285" s="3403"/>
      <c r="BY285" s="3403"/>
      <c r="BZ285" s="3403"/>
      <c r="CA285" s="3396"/>
      <c r="CB285" s="3396"/>
      <c r="CC285" s="3396"/>
      <c r="CD285" s="3396"/>
      <c r="CE285" s="3396"/>
      <c r="CF285" s="3396"/>
      <c r="CG285" s="3396"/>
      <c r="CH285" s="3396"/>
      <c r="CI285" s="3396"/>
      <c r="CJ285" s="3396"/>
      <c r="CK285" s="3396"/>
      <c r="CL285" s="3396"/>
      <c r="CM285" s="3396"/>
      <c r="CN285" s="3396"/>
      <c r="CO285" s="3396"/>
      <c r="CP285" s="3396"/>
      <c r="CQ285" s="3396"/>
      <c r="CR285" s="3396"/>
      <c r="CS285" s="3396"/>
      <c r="CT285" s="3396"/>
      <c r="CU285" s="3396"/>
      <c r="CV285" s="3396"/>
      <c r="CW285" s="3396"/>
      <c r="CX285" s="3396"/>
    </row>
    <row r="286" s="75" customFormat="1" ht="18.75" customHeight="1" spans="1:102">
      <c r="A286" s="4109" t="s">
        <v>6050</v>
      </c>
      <c r="B286" s="4110"/>
      <c r="C286" s="4110"/>
      <c r="D286" s="4110"/>
      <c r="E286" s="4110"/>
      <c r="F286" s="4110"/>
      <c r="G286" s="4110"/>
      <c r="H286" s="4110"/>
      <c r="I286" s="4110"/>
      <c r="J286" s="4110"/>
      <c r="K286" s="4110"/>
      <c r="L286" s="4110"/>
      <c r="M286" s="4110"/>
      <c r="N286" s="4110"/>
      <c r="O286" s="4110"/>
      <c r="P286" s="4110"/>
      <c r="Q286" s="4110"/>
      <c r="R286" s="4110"/>
      <c r="S286" s="4110"/>
      <c r="T286" s="4110"/>
      <c r="U286" s="4111"/>
      <c r="V286" s="4112" t="s">
        <v>6051</v>
      </c>
      <c r="W286" s="4113"/>
      <c r="X286" s="4113"/>
      <c r="Y286" s="4113"/>
      <c r="Z286" s="4113"/>
      <c r="AA286" s="4113"/>
      <c r="AB286" s="4113"/>
      <c r="AC286" s="4113"/>
      <c r="AD286" s="4114"/>
      <c r="AE286" s="3395"/>
      <c r="AF286" s="3395"/>
      <c r="AG286" s="3395"/>
      <c r="AH286" s="3395"/>
      <c r="AI286" s="3395"/>
      <c r="AJ286" s="3395"/>
      <c r="AK286" s="3395"/>
      <c r="AL286" s="3395"/>
      <c r="AM286" s="3395"/>
      <c r="AN286" s="3395"/>
      <c r="AO286" s="3395"/>
      <c r="AP286" s="3395"/>
      <c r="AQ286" s="3395"/>
      <c r="AR286" s="3395"/>
      <c r="AS286" s="3395"/>
      <c r="AT286" s="3395"/>
      <c r="AU286" s="3395"/>
      <c r="AV286" s="3395"/>
      <c r="AW286" s="3395"/>
      <c r="AX286" s="3395"/>
      <c r="AY286" s="3395"/>
      <c r="AZ286" s="3395"/>
      <c r="BA286" s="3395"/>
      <c r="BB286" s="3395"/>
      <c r="BC286" s="3395"/>
      <c r="BD286" s="3395"/>
      <c r="BE286" s="3395"/>
      <c r="BF286" s="3395"/>
      <c r="BG286" s="3395"/>
      <c r="BH286" s="3395"/>
      <c r="BI286" s="3395"/>
      <c r="BJ286" s="3395"/>
      <c r="BK286" s="3395"/>
      <c r="BL286" s="3395"/>
      <c r="BM286" s="3395"/>
      <c r="BN286" s="3395"/>
      <c r="BO286" s="3395"/>
      <c r="BP286" s="3395"/>
      <c r="BQ286" s="3395"/>
      <c r="BR286" s="3395"/>
      <c r="BS286" s="3395"/>
      <c r="BT286" s="3395"/>
      <c r="BU286" s="3395"/>
      <c r="BV286" s="3395"/>
      <c r="BW286" s="3395"/>
      <c r="BX286" s="3395"/>
      <c r="BY286" s="3395"/>
      <c r="BZ286" s="3395"/>
      <c r="CA286" s="3396"/>
      <c r="CB286" s="3396"/>
      <c r="CC286" s="3396"/>
      <c r="CD286" s="3396"/>
      <c r="CE286" s="3396"/>
      <c r="CF286" s="3396"/>
      <c r="CG286" s="3396"/>
      <c r="CH286" s="3396"/>
      <c r="CI286" s="3396"/>
      <c r="CJ286" s="3396"/>
      <c r="CK286" s="3396"/>
      <c r="CL286" s="3396"/>
      <c r="CM286" s="3396"/>
      <c r="CN286" s="3396"/>
      <c r="CO286" s="3396"/>
      <c r="CP286" s="3396"/>
      <c r="CQ286" s="3396"/>
      <c r="CR286" s="3396"/>
      <c r="CS286" s="3396"/>
      <c r="CT286" s="3396"/>
      <c r="CU286" s="3396"/>
      <c r="CV286" s="3396"/>
      <c r="CW286" s="3396"/>
      <c r="CX286" s="3396"/>
    </row>
    <row r="287" s="75" customFormat="1" ht="18.75" customHeight="1" spans="1:102">
      <c r="A287" s="4115" t="s">
        <v>3862</v>
      </c>
      <c r="B287" s="4116"/>
      <c r="C287" s="4116"/>
      <c r="D287" s="4116"/>
      <c r="E287" s="4116"/>
      <c r="F287" s="4116"/>
      <c r="G287" s="4116"/>
      <c r="H287" s="4116"/>
      <c r="I287" s="4116"/>
      <c r="J287" s="4116"/>
      <c r="K287" s="4116"/>
      <c r="L287" s="4116"/>
      <c r="M287" s="4116"/>
      <c r="N287" s="4116"/>
      <c r="O287" s="4116"/>
      <c r="P287" s="4116"/>
      <c r="Q287" s="4116"/>
      <c r="R287" s="4116"/>
      <c r="S287" s="4116"/>
      <c r="T287" s="4116"/>
      <c r="U287" s="4117"/>
      <c r="V287" s="4118">
        <v>0</v>
      </c>
      <c r="W287" s="4119"/>
      <c r="X287" s="4119"/>
      <c r="Y287" s="4119"/>
      <c r="Z287" s="4119"/>
      <c r="AA287" s="4119"/>
      <c r="AB287" s="4119"/>
      <c r="AC287" s="4119"/>
      <c r="AD287" s="4120"/>
      <c r="AE287" s="3395"/>
      <c r="AF287" s="3395"/>
      <c r="AG287" s="3395"/>
      <c r="AH287" s="3395"/>
      <c r="AI287" s="3395"/>
      <c r="AJ287" s="3395"/>
      <c r="AK287" s="3395"/>
      <c r="AL287" s="3395"/>
      <c r="AM287" s="3395"/>
      <c r="AN287" s="3395"/>
      <c r="AO287" s="3395"/>
      <c r="AP287" s="3395"/>
      <c r="AQ287" s="3395"/>
      <c r="AR287" s="3395"/>
      <c r="AS287" s="3395"/>
      <c r="AT287" s="3395"/>
      <c r="AU287" s="3395"/>
      <c r="AV287" s="3395"/>
      <c r="AW287" s="3395"/>
      <c r="AX287" s="3395"/>
      <c r="AY287" s="3395"/>
      <c r="AZ287" s="3395"/>
      <c r="BA287" s="3395"/>
      <c r="BB287" s="3395"/>
      <c r="BC287" s="3395"/>
      <c r="BD287" s="3395"/>
      <c r="BE287" s="3395"/>
      <c r="BF287" s="3395"/>
      <c r="BG287" s="3395"/>
      <c r="BH287" s="3395"/>
      <c r="BI287" s="3395"/>
      <c r="BJ287" s="3395"/>
      <c r="BK287" s="3395"/>
      <c r="BL287" s="3395"/>
      <c r="BM287" s="3395"/>
      <c r="BN287" s="3395"/>
      <c r="BO287" s="3395"/>
      <c r="BP287" s="3395"/>
      <c r="BQ287" s="3395"/>
      <c r="BR287" s="3395"/>
      <c r="BS287" s="3395"/>
      <c r="BT287" s="3395"/>
      <c r="BU287" s="3395"/>
      <c r="BV287" s="3395"/>
      <c r="BW287" s="3395"/>
      <c r="BX287" s="3395"/>
      <c r="BY287" s="3395"/>
      <c r="BZ287" s="3395"/>
      <c r="CA287" s="3396"/>
      <c r="CB287" s="3396"/>
      <c r="CC287" s="3396"/>
      <c r="CD287" s="3396"/>
      <c r="CE287" s="3396"/>
      <c r="CF287" s="3396"/>
      <c r="CG287" s="3396"/>
      <c r="CH287" s="3396"/>
      <c r="CI287" s="3396"/>
      <c r="CJ287" s="3396"/>
      <c r="CK287" s="3396"/>
      <c r="CL287" s="3396"/>
      <c r="CM287" s="3396"/>
      <c r="CN287" s="3396"/>
      <c r="CO287" s="3396"/>
      <c r="CP287" s="3396"/>
      <c r="CQ287" s="3396"/>
      <c r="CR287" s="3396"/>
      <c r="CS287" s="3396"/>
      <c r="CT287" s="3396"/>
      <c r="CU287" s="3396"/>
      <c r="CV287" s="3396"/>
      <c r="CW287" s="3396"/>
      <c r="CX287" s="3396"/>
    </row>
    <row r="288" s="75" customFormat="1" ht="18.75" customHeight="1" spans="1:102">
      <c r="A288" s="4121" t="s">
        <v>3864</v>
      </c>
      <c r="B288" s="4122"/>
      <c r="C288" s="4122"/>
      <c r="D288" s="4122"/>
      <c r="E288" s="4122"/>
      <c r="F288" s="4122"/>
      <c r="G288" s="4122"/>
      <c r="H288" s="4122"/>
      <c r="I288" s="4122"/>
      <c r="J288" s="4122"/>
      <c r="K288" s="4122"/>
      <c r="L288" s="4122"/>
      <c r="M288" s="4122"/>
      <c r="N288" s="4122"/>
      <c r="O288" s="4122"/>
      <c r="P288" s="4122"/>
      <c r="Q288" s="4122"/>
      <c r="R288" s="4122"/>
      <c r="S288" s="4122"/>
      <c r="T288" s="4122"/>
      <c r="U288" s="4123"/>
      <c r="V288" s="4124">
        <v>0</v>
      </c>
      <c r="W288" s="4125"/>
      <c r="X288" s="4125"/>
      <c r="Y288" s="4125"/>
      <c r="Z288" s="4125"/>
      <c r="AA288" s="4125"/>
      <c r="AB288" s="4125"/>
      <c r="AC288" s="4125"/>
      <c r="AD288" s="4126"/>
      <c r="AE288" s="3395"/>
      <c r="AF288" s="3395"/>
      <c r="AG288" s="3395"/>
      <c r="AH288" s="3395"/>
      <c r="AI288" s="3395"/>
      <c r="AJ288" s="3395"/>
      <c r="AK288" s="3395"/>
      <c r="AL288" s="3395"/>
      <c r="AM288" s="3395"/>
      <c r="AN288" s="3395"/>
      <c r="AO288" s="3395"/>
      <c r="AP288" s="3395"/>
      <c r="AQ288" s="3395"/>
      <c r="AR288" s="3395"/>
      <c r="AS288" s="3395"/>
      <c r="AT288" s="3395"/>
      <c r="AU288" s="3395"/>
      <c r="AV288" s="3395"/>
      <c r="AW288" s="3395"/>
      <c r="AX288" s="3395"/>
      <c r="AY288" s="3395"/>
      <c r="AZ288" s="3395"/>
      <c r="BA288" s="3395"/>
      <c r="BB288" s="3395"/>
      <c r="BC288" s="3395"/>
      <c r="BD288" s="3395"/>
      <c r="BE288" s="3395"/>
      <c r="BF288" s="3395"/>
      <c r="BG288" s="3395"/>
      <c r="BH288" s="3395"/>
      <c r="BI288" s="3395"/>
      <c r="BJ288" s="3395"/>
      <c r="BK288" s="3395"/>
      <c r="BL288" s="3395"/>
      <c r="BM288" s="3395"/>
      <c r="BN288" s="3395"/>
      <c r="BO288" s="3395"/>
      <c r="BP288" s="3395"/>
      <c r="BQ288" s="3395"/>
      <c r="BR288" s="3395"/>
      <c r="BS288" s="3395"/>
      <c r="BT288" s="3395"/>
      <c r="BU288" s="3395"/>
      <c r="BV288" s="3395"/>
      <c r="BW288" s="3395"/>
      <c r="BX288" s="3395"/>
      <c r="BY288" s="3395"/>
      <c r="BZ288" s="3395"/>
      <c r="CA288" s="3396"/>
      <c r="CB288" s="3396"/>
      <c r="CC288" s="3396"/>
      <c r="CD288" s="3396"/>
      <c r="CE288" s="3396"/>
      <c r="CF288" s="3396"/>
      <c r="CG288" s="3396"/>
      <c r="CH288" s="3396"/>
      <c r="CI288" s="3396"/>
      <c r="CJ288" s="3396"/>
      <c r="CK288" s="3396"/>
      <c r="CL288" s="3396"/>
      <c r="CM288" s="3396"/>
      <c r="CN288" s="3396"/>
      <c r="CO288" s="3396"/>
      <c r="CP288" s="3396"/>
      <c r="CQ288" s="3396"/>
      <c r="CR288" s="3396"/>
      <c r="CS288" s="3396"/>
      <c r="CT288" s="3396"/>
      <c r="CU288" s="3396"/>
      <c r="CV288" s="3396"/>
      <c r="CW288" s="3396"/>
      <c r="CX288" s="3396"/>
    </row>
    <row r="289" s="75" customFormat="1" ht="18.75" customHeight="1" spans="1:102">
      <c r="A289" s="4121" t="s">
        <v>6052</v>
      </c>
      <c r="B289" s="4122"/>
      <c r="C289" s="4122"/>
      <c r="D289" s="4122"/>
      <c r="E289" s="4122"/>
      <c r="F289" s="4122"/>
      <c r="G289" s="4122"/>
      <c r="H289" s="4122"/>
      <c r="I289" s="4122"/>
      <c r="J289" s="4122"/>
      <c r="K289" s="4122"/>
      <c r="L289" s="4122"/>
      <c r="M289" s="4122"/>
      <c r="N289" s="4122"/>
      <c r="O289" s="4122"/>
      <c r="P289" s="4122"/>
      <c r="Q289" s="4122"/>
      <c r="R289" s="4122"/>
      <c r="S289" s="4122"/>
      <c r="T289" s="4122"/>
      <c r="U289" s="4123"/>
      <c r="V289" s="4124">
        <v>0</v>
      </c>
      <c r="W289" s="4125"/>
      <c r="X289" s="4125"/>
      <c r="Y289" s="4125"/>
      <c r="Z289" s="4125"/>
      <c r="AA289" s="4125"/>
      <c r="AB289" s="4125"/>
      <c r="AC289" s="4125"/>
      <c r="AD289" s="4126"/>
      <c r="AE289" s="3395"/>
      <c r="AF289" s="3395"/>
      <c r="AG289" s="3395"/>
      <c r="AH289" s="3395"/>
      <c r="AI289" s="3395"/>
      <c r="AJ289" s="3395"/>
      <c r="AK289" s="3395"/>
      <c r="AL289" s="3395"/>
      <c r="AM289" s="3395"/>
      <c r="AN289" s="3395"/>
      <c r="AO289" s="3395"/>
      <c r="AP289" s="3395"/>
      <c r="AQ289" s="3395"/>
      <c r="AR289" s="3395"/>
      <c r="AS289" s="3395"/>
      <c r="AT289" s="3395"/>
      <c r="AU289" s="3395"/>
      <c r="AV289" s="3395"/>
      <c r="AW289" s="3395"/>
      <c r="AX289" s="3395"/>
      <c r="AY289" s="3395"/>
      <c r="AZ289" s="3395"/>
      <c r="BA289" s="3395"/>
      <c r="BB289" s="3395"/>
      <c r="BC289" s="3395"/>
      <c r="BD289" s="3395"/>
      <c r="BE289" s="3395"/>
      <c r="BF289" s="3395"/>
      <c r="BG289" s="3395"/>
      <c r="BH289" s="3395"/>
      <c r="BI289" s="3395"/>
      <c r="BJ289" s="3395"/>
      <c r="BK289" s="3395"/>
      <c r="BL289" s="3395"/>
      <c r="BM289" s="3395"/>
      <c r="BN289" s="3395"/>
      <c r="BO289" s="3395"/>
      <c r="BP289" s="3395"/>
      <c r="BQ289" s="3395"/>
      <c r="BR289" s="3395"/>
      <c r="BS289" s="3395"/>
      <c r="BT289" s="3395"/>
      <c r="BU289" s="3395"/>
      <c r="BV289" s="3395"/>
      <c r="BW289" s="3395"/>
      <c r="BX289" s="3395"/>
      <c r="BY289" s="3395"/>
      <c r="BZ289" s="3395"/>
      <c r="CA289" s="3396"/>
      <c r="CB289" s="3396"/>
      <c r="CC289" s="3396"/>
      <c r="CD289" s="3396"/>
      <c r="CE289" s="3396"/>
      <c r="CF289" s="3396"/>
      <c r="CG289" s="3396"/>
      <c r="CH289" s="3396"/>
      <c r="CI289" s="3396"/>
      <c r="CJ289" s="3396"/>
      <c r="CK289" s="3396"/>
      <c r="CL289" s="3396"/>
      <c r="CM289" s="3396"/>
      <c r="CN289" s="3396"/>
      <c r="CO289" s="3396"/>
      <c r="CP289" s="3396"/>
      <c r="CQ289" s="3396"/>
      <c r="CR289" s="3396"/>
      <c r="CS289" s="3396"/>
      <c r="CT289" s="3396"/>
      <c r="CU289" s="3396"/>
      <c r="CV289" s="3396"/>
      <c r="CW289" s="3396"/>
      <c r="CX289" s="3396"/>
    </row>
    <row r="290" s="75" customFormat="1" ht="15.75" customHeight="1" spans="1:102">
      <c r="A290" s="3395"/>
      <c r="B290" s="3395"/>
      <c r="C290" s="3395"/>
      <c r="D290" s="3395"/>
      <c r="E290" s="3395"/>
      <c r="F290" s="3395"/>
      <c r="G290" s="3395"/>
      <c r="H290" s="3395"/>
      <c r="I290" s="3395"/>
      <c r="J290" s="3395"/>
      <c r="K290" s="3395"/>
      <c r="L290" s="3395"/>
      <c r="M290" s="3395"/>
      <c r="N290" s="3395"/>
      <c r="O290" s="3395"/>
      <c r="P290" s="3395"/>
      <c r="Q290" s="3395"/>
      <c r="R290" s="3395"/>
      <c r="S290" s="3395"/>
      <c r="T290" s="3395"/>
      <c r="U290" s="3395"/>
      <c r="V290" s="3395"/>
      <c r="W290" s="3395"/>
      <c r="X290" s="3395"/>
      <c r="Y290" s="3395"/>
      <c r="Z290" s="3395"/>
      <c r="AA290" s="3395"/>
      <c r="AB290" s="3395"/>
      <c r="AC290" s="3395"/>
      <c r="AD290" s="3395"/>
      <c r="AE290" s="3395"/>
      <c r="AF290" s="3395"/>
      <c r="AG290" s="3395"/>
      <c r="AH290" s="3395"/>
      <c r="AI290" s="3395"/>
      <c r="AJ290" s="3395"/>
      <c r="AK290" s="3395"/>
      <c r="AL290" s="3395"/>
      <c r="AM290" s="3395"/>
      <c r="AN290" s="3395"/>
      <c r="AO290" s="3395"/>
      <c r="AP290" s="3395"/>
      <c r="AQ290" s="3395"/>
      <c r="AR290" s="3395"/>
      <c r="AS290" s="3395"/>
      <c r="AT290" s="3395"/>
      <c r="AU290" s="3395"/>
      <c r="AV290" s="3395"/>
      <c r="AW290" s="3395"/>
      <c r="AX290" s="3395"/>
      <c r="AY290" s="3395"/>
      <c r="AZ290" s="3395"/>
      <c r="BA290" s="3395"/>
      <c r="BB290" s="3395"/>
      <c r="BC290" s="3944"/>
      <c r="BD290" s="3944"/>
      <c r="BE290" s="3944"/>
      <c r="BF290" s="3944"/>
      <c r="BG290" s="3944"/>
      <c r="BH290" s="3944"/>
      <c r="BI290" s="3944"/>
      <c r="BJ290" s="3944"/>
      <c r="BK290" s="3944"/>
      <c r="BL290" s="3944"/>
      <c r="BM290" s="3944"/>
      <c r="BN290" s="3944"/>
      <c r="BO290" s="3944"/>
      <c r="BP290" s="3944"/>
      <c r="BQ290" s="3944"/>
      <c r="BR290" s="3944"/>
      <c r="BS290" s="3944"/>
      <c r="BT290" s="3944"/>
      <c r="BU290" s="3944"/>
      <c r="BV290" s="3944"/>
      <c r="BW290" s="3944"/>
      <c r="BX290" s="3944"/>
      <c r="BY290" s="3944"/>
      <c r="BZ290" s="3944"/>
      <c r="CA290" s="3396"/>
      <c r="CB290" s="3396"/>
      <c r="CC290" s="3396"/>
      <c r="CD290" s="3396"/>
      <c r="CE290" s="3396"/>
      <c r="CF290" s="3396"/>
      <c r="CG290" s="3396"/>
      <c r="CH290" s="3396"/>
      <c r="CI290" s="3396"/>
      <c r="CJ290" s="3396"/>
      <c r="CK290" s="3396"/>
      <c r="CL290" s="3396"/>
      <c r="CM290" s="3396"/>
      <c r="CN290" s="3396"/>
      <c r="CO290" s="3396"/>
      <c r="CP290" s="3396"/>
      <c r="CQ290" s="3396"/>
      <c r="CR290" s="3396"/>
      <c r="CS290" s="3396"/>
      <c r="CT290" s="3396"/>
      <c r="CU290" s="3396"/>
      <c r="CV290" s="3396"/>
      <c r="CW290" s="3396"/>
      <c r="CX290" s="3396"/>
    </row>
    <row r="291" s="687" customFormat="1" ht="20.25" customHeight="1" spans="1:102">
      <c r="A291" s="4093" t="s">
        <v>6053</v>
      </c>
      <c r="B291" s="3952"/>
      <c r="C291" s="3952"/>
      <c r="D291" s="3952"/>
      <c r="E291" s="3952"/>
      <c r="F291" s="3952"/>
      <c r="G291" s="3952"/>
      <c r="H291" s="3952"/>
      <c r="I291" s="3952"/>
      <c r="J291" s="3952"/>
      <c r="K291" s="3952"/>
      <c r="L291" s="3952"/>
      <c r="M291" s="3952"/>
      <c r="N291" s="3952"/>
      <c r="O291" s="3952"/>
      <c r="P291" s="3952"/>
      <c r="Q291" s="3952"/>
      <c r="R291" s="3952"/>
      <c r="S291" s="3952"/>
      <c r="T291" s="3952"/>
      <c r="U291" s="3952"/>
      <c r="V291" s="3952"/>
      <c r="W291" s="3952"/>
      <c r="X291" s="3952"/>
      <c r="Y291" s="3952"/>
      <c r="Z291" s="3952"/>
      <c r="AA291" s="3952"/>
      <c r="AB291" s="3952"/>
      <c r="AC291" s="3952"/>
      <c r="AD291" s="3952"/>
      <c r="AE291" s="3952"/>
      <c r="AF291" s="3952"/>
      <c r="AG291" s="3952"/>
      <c r="AH291" s="3952"/>
      <c r="AI291" s="3952"/>
      <c r="AJ291" s="3952"/>
      <c r="AK291" s="3952"/>
      <c r="AL291" s="3952"/>
      <c r="AM291" s="3952"/>
      <c r="AN291" s="3952"/>
      <c r="AO291" s="3952"/>
      <c r="AP291" s="3952"/>
      <c r="AQ291" s="3952"/>
      <c r="AR291" s="3952"/>
      <c r="AS291" s="3952"/>
      <c r="AT291" s="3952"/>
      <c r="AU291" s="3952"/>
      <c r="AV291" s="3952"/>
      <c r="AW291" s="3952"/>
      <c r="AX291" s="3952"/>
      <c r="AY291" s="3952"/>
      <c r="AZ291" s="3952"/>
      <c r="BA291" s="3952"/>
      <c r="BB291" s="3952"/>
      <c r="BC291" s="3403"/>
      <c r="BD291" s="3403"/>
      <c r="BE291" s="3403"/>
      <c r="BF291" s="3403"/>
      <c r="BG291" s="3403"/>
      <c r="BH291" s="3403"/>
      <c r="BI291" s="3403"/>
      <c r="BJ291" s="3403"/>
      <c r="BK291" s="3403"/>
      <c r="BL291" s="3403"/>
      <c r="BM291" s="3403"/>
      <c r="BN291" s="3403"/>
      <c r="BO291" s="3403"/>
      <c r="BP291" s="3403"/>
      <c r="BQ291" s="3403"/>
      <c r="BR291" s="3403"/>
      <c r="BS291" s="3403"/>
      <c r="BT291" s="3403"/>
      <c r="BU291" s="3403"/>
      <c r="BV291" s="3403"/>
      <c r="BW291" s="3403"/>
      <c r="BX291" s="3403"/>
      <c r="BY291" s="3403"/>
      <c r="BZ291" s="3403"/>
      <c r="CA291" s="3396"/>
      <c r="CB291" s="3396"/>
      <c r="CC291" s="3396"/>
      <c r="CD291" s="3396"/>
      <c r="CE291" s="3396"/>
      <c r="CF291" s="3396"/>
      <c r="CG291" s="3396"/>
      <c r="CH291" s="3396"/>
      <c r="CI291" s="3396"/>
      <c r="CJ291" s="3396"/>
      <c r="CK291" s="3396"/>
      <c r="CL291" s="3396"/>
      <c r="CM291" s="3396"/>
      <c r="CN291" s="3396"/>
      <c r="CO291" s="3396"/>
      <c r="CP291" s="3396"/>
      <c r="CQ291" s="3396"/>
      <c r="CR291" s="3396"/>
      <c r="CS291" s="3396"/>
      <c r="CT291" s="3396"/>
      <c r="CU291" s="3396"/>
      <c r="CV291" s="3396"/>
      <c r="CW291" s="3396"/>
      <c r="CX291" s="3396"/>
    </row>
    <row r="292" ht="31.5" customHeight="1" spans="1:102">
      <c r="A292" s="3404" t="s">
        <v>5985</v>
      </c>
      <c r="B292" s="3404" t="s">
        <v>6042</v>
      </c>
      <c r="C292" s="3404"/>
      <c r="D292" s="3404"/>
      <c r="E292" s="3404"/>
      <c r="F292" s="3404"/>
      <c r="G292" s="3404"/>
      <c r="H292" s="3404"/>
      <c r="I292" s="3404"/>
      <c r="J292" s="3404"/>
      <c r="K292" s="3404"/>
      <c r="L292" s="3404"/>
      <c r="M292" s="3404"/>
      <c r="N292" s="3404"/>
      <c r="O292" s="3404"/>
      <c r="P292" s="3404"/>
      <c r="Q292" s="3404" t="s">
        <v>6043</v>
      </c>
      <c r="R292" s="3404"/>
      <c r="S292" s="3404"/>
      <c r="T292" s="3404"/>
      <c r="U292" s="3404"/>
      <c r="V292" s="3404"/>
      <c r="W292" s="3404" t="s">
        <v>6044</v>
      </c>
      <c r="X292" s="3404"/>
      <c r="Y292" s="3404"/>
      <c r="Z292" s="3404"/>
      <c r="AA292" s="3404"/>
      <c r="AB292" s="3404"/>
      <c r="AC292" s="3404"/>
      <c r="AD292" s="3404"/>
      <c r="AE292" s="3404"/>
      <c r="AF292" s="3404" t="s">
        <v>6045</v>
      </c>
      <c r="AG292" s="3404"/>
      <c r="AH292" s="3404"/>
      <c r="AI292" s="3404"/>
      <c r="AJ292" s="3404"/>
      <c r="AK292" s="3404"/>
      <c r="AL292" s="3404" t="s">
        <v>6012</v>
      </c>
      <c r="AM292" s="3404"/>
      <c r="AN292" s="3404"/>
      <c r="AO292" s="3404"/>
      <c r="AP292" s="3404"/>
      <c r="AQ292" s="3418"/>
      <c r="AR292" s="3418"/>
      <c r="AS292" s="3418"/>
      <c r="AT292" s="3418"/>
      <c r="AU292" s="3418"/>
      <c r="AV292" s="3418"/>
      <c r="AW292" s="3418"/>
      <c r="AX292" s="3418"/>
      <c r="AY292" s="3418"/>
      <c r="AZ292" s="3418"/>
      <c r="BA292" s="3418"/>
      <c r="BB292" s="3418"/>
      <c r="BC292" s="3418"/>
      <c r="BD292" s="3418"/>
      <c r="BE292" s="3396"/>
      <c r="BF292" s="3396"/>
      <c r="BG292" s="3396"/>
      <c r="BH292" s="3396"/>
      <c r="BI292" s="3396"/>
      <c r="BJ292" s="3396"/>
      <c r="BK292" s="3396"/>
      <c r="BL292" s="3396"/>
      <c r="BM292" s="3396"/>
      <c r="BN292" s="3396"/>
      <c r="BO292" s="3396"/>
      <c r="BP292" s="3396"/>
      <c r="BQ292" s="3396"/>
      <c r="BR292" s="3396"/>
      <c r="BS292" s="3396"/>
      <c r="BT292" s="3396"/>
      <c r="BU292" s="3396"/>
      <c r="BV292" s="3396"/>
      <c r="BW292" s="3396"/>
      <c r="BX292" s="3396"/>
      <c r="BY292" s="3396"/>
      <c r="BZ292" s="3396"/>
      <c r="CA292" s="3396"/>
      <c r="CB292" s="3396"/>
      <c r="CC292" s="3396"/>
      <c r="CD292" s="3396"/>
      <c r="CE292" s="3396"/>
      <c r="CF292" s="3396"/>
      <c r="CG292" s="3396"/>
      <c r="CH292" s="3396"/>
      <c r="CI292" s="3396"/>
      <c r="CJ292" s="3396"/>
      <c r="CK292" s="3396"/>
      <c r="CL292" s="3396"/>
      <c r="CM292" s="3396"/>
      <c r="CN292" s="3396"/>
      <c r="CO292" s="3396"/>
      <c r="CP292" s="3396"/>
      <c r="CQ292" s="3396"/>
      <c r="CR292" s="3396"/>
      <c r="CS292" s="3396"/>
      <c r="CT292" s="3396"/>
      <c r="CU292" s="3396"/>
      <c r="CV292" s="3396"/>
      <c r="CW292" s="3396"/>
      <c r="CX292" s="3396"/>
    </row>
    <row r="293" ht="17.25" customHeight="1" spans="1:102">
      <c r="A293" s="3407" t="s">
        <v>3953</v>
      </c>
      <c r="B293" s="4089"/>
      <c r="C293" s="4089"/>
      <c r="D293" s="4089"/>
      <c r="E293" s="4089"/>
      <c r="F293" s="4089"/>
      <c r="G293" s="4089"/>
      <c r="H293" s="4089"/>
      <c r="I293" s="4089"/>
      <c r="J293" s="4089"/>
      <c r="K293" s="4089"/>
      <c r="L293" s="4089"/>
      <c r="M293" s="4089"/>
      <c r="N293" s="4089"/>
      <c r="O293" s="4089"/>
      <c r="P293" s="4089"/>
      <c r="Q293" s="3410"/>
      <c r="R293" s="3410"/>
      <c r="S293" s="3410"/>
      <c r="T293" s="3410"/>
      <c r="U293" s="3410"/>
      <c r="V293" s="3410"/>
      <c r="W293" s="4100"/>
      <c r="X293" s="4100"/>
      <c r="Y293" s="4100"/>
      <c r="Z293" s="4100"/>
      <c r="AA293" s="4100"/>
      <c r="AB293" s="4100"/>
      <c r="AC293" s="4100"/>
      <c r="AD293" s="4100"/>
      <c r="AE293" s="4100"/>
      <c r="AF293" s="3408"/>
      <c r="AG293" s="3408"/>
      <c r="AH293" s="3408"/>
      <c r="AI293" s="3408"/>
      <c r="AJ293" s="3408"/>
      <c r="AK293" s="3408"/>
      <c r="AL293" s="3408"/>
      <c r="AM293" s="3408"/>
      <c r="AN293" s="3408"/>
      <c r="AO293" s="3408"/>
      <c r="AP293" s="3408"/>
      <c r="AQ293" s="3418"/>
      <c r="AR293" s="3418"/>
      <c r="AS293" s="3418"/>
      <c r="AT293" s="3418"/>
      <c r="AU293" s="3418"/>
      <c r="AV293" s="3418"/>
      <c r="AW293" s="3418"/>
      <c r="AX293" s="3418"/>
      <c r="AY293" s="3418"/>
      <c r="AZ293" s="3418"/>
      <c r="BA293" s="3418"/>
      <c r="BB293" s="3418"/>
      <c r="BC293" s="3418"/>
      <c r="BD293" s="3418"/>
      <c r="BE293" s="3396"/>
      <c r="BF293" s="3396"/>
      <c r="BG293" s="3396"/>
      <c r="BH293" s="3396"/>
      <c r="BI293" s="3396"/>
      <c r="BJ293" s="3396"/>
      <c r="BK293" s="3396"/>
      <c r="BL293" s="3396"/>
      <c r="BM293" s="3396"/>
      <c r="BN293" s="3396"/>
      <c r="BO293" s="3396"/>
      <c r="BP293" s="3396"/>
      <c r="BQ293" s="3396"/>
      <c r="BR293" s="3396"/>
      <c r="BS293" s="3396"/>
      <c r="BT293" s="3396"/>
      <c r="BU293" s="3396"/>
      <c r="BV293" s="3396"/>
      <c r="BW293" s="3396"/>
      <c r="BX293" s="3396"/>
      <c r="BY293" s="3396"/>
      <c r="BZ293" s="3396"/>
      <c r="CA293" s="3396"/>
      <c r="CB293" s="3396"/>
      <c r="CC293" s="3396"/>
      <c r="CD293" s="3396"/>
      <c r="CE293" s="3396"/>
      <c r="CF293" s="3396"/>
      <c r="CG293" s="3396"/>
      <c r="CH293" s="3396"/>
      <c r="CI293" s="3396"/>
      <c r="CJ293" s="3396"/>
      <c r="CK293" s="3396"/>
      <c r="CL293" s="3396"/>
      <c r="CM293" s="3396"/>
      <c r="CN293" s="3396"/>
      <c r="CO293" s="3396"/>
      <c r="CP293" s="3396"/>
      <c r="CQ293" s="3396"/>
      <c r="CR293" s="3396"/>
      <c r="CS293" s="3396"/>
      <c r="CT293" s="3396"/>
      <c r="CU293" s="3396"/>
      <c r="CV293" s="3396"/>
      <c r="CW293" s="3396"/>
      <c r="CX293" s="3396"/>
    </row>
    <row r="294" ht="17.25" customHeight="1" spans="1:102">
      <c r="A294" s="3407" t="s">
        <v>3891</v>
      </c>
      <c r="B294" s="4089"/>
      <c r="C294" s="4089"/>
      <c r="D294" s="4089"/>
      <c r="E294" s="4089"/>
      <c r="F294" s="4089"/>
      <c r="G294" s="4089"/>
      <c r="H294" s="4089"/>
      <c r="I294" s="4089"/>
      <c r="J294" s="4089"/>
      <c r="K294" s="4089"/>
      <c r="L294" s="4089"/>
      <c r="M294" s="4089"/>
      <c r="N294" s="4089"/>
      <c r="O294" s="4089"/>
      <c r="P294" s="4089"/>
      <c r="Q294" s="3410"/>
      <c r="R294" s="3410"/>
      <c r="S294" s="3410"/>
      <c r="T294" s="3410"/>
      <c r="U294" s="3410"/>
      <c r="V294" s="3410"/>
      <c r="W294" s="4100"/>
      <c r="X294" s="4100"/>
      <c r="Y294" s="4100"/>
      <c r="Z294" s="4100"/>
      <c r="AA294" s="4100"/>
      <c r="AB294" s="4100"/>
      <c r="AC294" s="4100"/>
      <c r="AD294" s="4100"/>
      <c r="AE294" s="4100"/>
      <c r="AF294" s="3408"/>
      <c r="AG294" s="3408"/>
      <c r="AH294" s="3408"/>
      <c r="AI294" s="3408"/>
      <c r="AJ294" s="3408"/>
      <c r="AK294" s="3408"/>
      <c r="AL294" s="3408"/>
      <c r="AM294" s="3408"/>
      <c r="AN294" s="3408"/>
      <c r="AO294" s="3408"/>
      <c r="AP294" s="3408"/>
      <c r="AQ294" s="3418"/>
      <c r="AR294" s="3418"/>
      <c r="AS294" s="3418"/>
      <c r="AT294" s="3418"/>
      <c r="AU294" s="3418"/>
      <c r="AV294" s="3418"/>
      <c r="AW294" s="3418"/>
      <c r="AX294" s="3418"/>
      <c r="AY294" s="3418"/>
      <c r="AZ294" s="3418"/>
      <c r="BA294" s="3418"/>
      <c r="BB294" s="3418"/>
      <c r="BC294" s="3418"/>
      <c r="BD294" s="3418"/>
      <c r="BE294" s="3396"/>
      <c r="BF294" s="3396"/>
      <c r="BG294" s="3396"/>
      <c r="BH294" s="3396"/>
      <c r="BI294" s="3396"/>
      <c r="BJ294" s="3396"/>
      <c r="BK294" s="3396"/>
      <c r="BL294" s="3396"/>
      <c r="BM294" s="3396"/>
      <c r="BN294" s="3396"/>
      <c r="BO294" s="3396"/>
      <c r="BP294" s="3396"/>
      <c r="BQ294" s="3396"/>
      <c r="BR294" s="3396"/>
      <c r="BS294" s="3396"/>
      <c r="BT294" s="3396"/>
      <c r="BU294" s="3396"/>
      <c r="BV294" s="3396"/>
      <c r="BW294" s="3396"/>
      <c r="BX294" s="3396"/>
      <c r="BY294" s="3396"/>
      <c r="BZ294" s="3396"/>
      <c r="CA294" s="3396"/>
      <c r="CB294" s="3396"/>
      <c r="CC294" s="3396"/>
      <c r="CD294" s="3396"/>
      <c r="CE294" s="3396"/>
      <c r="CF294" s="3396"/>
      <c r="CG294" s="3396"/>
      <c r="CH294" s="3396"/>
      <c r="CI294" s="3396"/>
      <c r="CJ294" s="3396"/>
      <c r="CK294" s="3396"/>
      <c r="CL294" s="3396"/>
      <c r="CM294" s="3396"/>
      <c r="CN294" s="3396"/>
      <c r="CO294" s="3396"/>
      <c r="CP294" s="3396"/>
      <c r="CQ294" s="3396"/>
      <c r="CR294" s="3396"/>
      <c r="CS294" s="3396"/>
      <c r="CT294" s="3396"/>
      <c r="CU294" s="3396"/>
      <c r="CV294" s="3396"/>
      <c r="CW294" s="3396"/>
      <c r="CX294" s="3396"/>
    </row>
    <row r="295" ht="17.25" customHeight="1" spans="1:102">
      <c r="A295" s="3407" t="s">
        <v>3902</v>
      </c>
      <c r="B295" s="4089"/>
      <c r="C295" s="4089"/>
      <c r="D295" s="4089"/>
      <c r="E295" s="4089"/>
      <c r="F295" s="4089"/>
      <c r="G295" s="4089"/>
      <c r="H295" s="4089"/>
      <c r="I295" s="4089"/>
      <c r="J295" s="4089"/>
      <c r="K295" s="4089"/>
      <c r="L295" s="4089"/>
      <c r="M295" s="4089"/>
      <c r="N295" s="4089"/>
      <c r="O295" s="4089"/>
      <c r="P295" s="4089"/>
      <c r="Q295" s="3410"/>
      <c r="R295" s="3410"/>
      <c r="S295" s="3410"/>
      <c r="T295" s="3410"/>
      <c r="U295" s="3410"/>
      <c r="V295" s="3410"/>
      <c r="W295" s="4100"/>
      <c r="X295" s="4100"/>
      <c r="Y295" s="4100"/>
      <c r="Z295" s="4100"/>
      <c r="AA295" s="4100"/>
      <c r="AB295" s="4100"/>
      <c r="AC295" s="4100"/>
      <c r="AD295" s="4100"/>
      <c r="AE295" s="4100"/>
      <c r="AF295" s="3408"/>
      <c r="AG295" s="3408"/>
      <c r="AH295" s="3408"/>
      <c r="AI295" s="3408"/>
      <c r="AJ295" s="3408"/>
      <c r="AK295" s="3408"/>
      <c r="AL295" s="3408"/>
      <c r="AM295" s="3408"/>
      <c r="AN295" s="3408"/>
      <c r="AO295" s="3408"/>
      <c r="AP295" s="3408"/>
      <c r="AQ295" s="3418"/>
      <c r="AR295" s="3418"/>
      <c r="AS295" s="3418"/>
      <c r="AT295" s="3418"/>
      <c r="AU295" s="3418"/>
      <c r="AV295" s="3418"/>
      <c r="AW295" s="3418"/>
      <c r="AX295" s="3418"/>
      <c r="AY295" s="3418"/>
      <c r="AZ295" s="3418"/>
      <c r="BA295" s="3418"/>
      <c r="BB295" s="3418"/>
      <c r="BC295" s="3418"/>
      <c r="BD295" s="3418"/>
      <c r="BE295" s="3396"/>
      <c r="BF295" s="3396"/>
      <c r="BG295" s="3396"/>
      <c r="BH295" s="3396"/>
      <c r="BI295" s="3396"/>
      <c r="BJ295" s="3396"/>
      <c r="BK295" s="3396"/>
      <c r="BL295" s="3396"/>
      <c r="BM295" s="3396"/>
      <c r="BN295" s="3396"/>
      <c r="BO295" s="3396"/>
      <c r="BP295" s="3396"/>
      <c r="BQ295" s="3396"/>
      <c r="BR295" s="3396"/>
      <c r="BS295" s="3396"/>
      <c r="BT295" s="3396"/>
      <c r="BU295" s="3396"/>
      <c r="BV295" s="3396"/>
      <c r="BW295" s="3396"/>
      <c r="BX295" s="3396"/>
      <c r="BY295" s="3396"/>
      <c r="BZ295" s="3396"/>
      <c r="CA295" s="3396"/>
      <c r="CB295" s="3396"/>
      <c r="CC295" s="3396"/>
      <c r="CD295" s="3396"/>
      <c r="CE295" s="3396"/>
      <c r="CF295" s="3396"/>
      <c r="CG295" s="3396"/>
      <c r="CH295" s="3396"/>
      <c r="CI295" s="3396"/>
      <c r="CJ295" s="3396"/>
      <c r="CK295" s="3396"/>
      <c r="CL295" s="3396"/>
      <c r="CM295" s="3396"/>
      <c r="CN295" s="3396"/>
      <c r="CO295" s="3396"/>
      <c r="CP295" s="3396"/>
      <c r="CQ295" s="3396"/>
      <c r="CR295" s="3396"/>
      <c r="CS295" s="3396"/>
      <c r="CT295" s="3396"/>
      <c r="CU295" s="3396"/>
      <c r="CV295" s="3396"/>
      <c r="CW295" s="3396"/>
      <c r="CX295" s="3396"/>
    </row>
    <row r="296" ht="17.25" customHeight="1" spans="1:102">
      <c r="A296" s="3407" t="s">
        <v>3905</v>
      </c>
      <c r="B296" s="4089"/>
      <c r="C296" s="4089"/>
      <c r="D296" s="4089"/>
      <c r="E296" s="4089"/>
      <c r="F296" s="4089"/>
      <c r="G296" s="4089"/>
      <c r="H296" s="4089"/>
      <c r="I296" s="4089"/>
      <c r="J296" s="4089"/>
      <c r="K296" s="4089"/>
      <c r="L296" s="4089"/>
      <c r="M296" s="4089"/>
      <c r="N296" s="4089"/>
      <c r="O296" s="4089"/>
      <c r="P296" s="4089"/>
      <c r="Q296" s="3410"/>
      <c r="R296" s="3410"/>
      <c r="S296" s="3410"/>
      <c r="T296" s="3410"/>
      <c r="U296" s="3410"/>
      <c r="V296" s="3410"/>
      <c r="W296" s="4100"/>
      <c r="X296" s="4100"/>
      <c r="Y296" s="4100"/>
      <c r="Z296" s="4100"/>
      <c r="AA296" s="4100"/>
      <c r="AB296" s="4100"/>
      <c r="AC296" s="4100"/>
      <c r="AD296" s="4100"/>
      <c r="AE296" s="4100"/>
      <c r="AF296" s="3408"/>
      <c r="AG296" s="3408"/>
      <c r="AH296" s="3408"/>
      <c r="AI296" s="3408"/>
      <c r="AJ296" s="3408"/>
      <c r="AK296" s="3408"/>
      <c r="AL296" s="3408"/>
      <c r="AM296" s="3408"/>
      <c r="AN296" s="3408"/>
      <c r="AO296" s="3408"/>
      <c r="AP296" s="3408"/>
      <c r="AQ296" s="3418"/>
      <c r="AR296" s="3418"/>
      <c r="AS296" s="3418"/>
      <c r="AT296" s="3418"/>
      <c r="AU296" s="3418"/>
      <c r="AV296" s="3418"/>
      <c r="AW296" s="3418"/>
      <c r="AX296" s="3418"/>
      <c r="AY296" s="3418"/>
      <c r="AZ296" s="3418"/>
      <c r="BA296" s="3418"/>
      <c r="BB296" s="3418"/>
      <c r="BC296" s="3418"/>
      <c r="BD296" s="3418"/>
      <c r="BE296" s="3396"/>
      <c r="BF296" s="3396"/>
      <c r="BG296" s="3396"/>
      <c r="BH296" s="3396"/>
      <c r="BI296" s="3396"/>
      <c r="BJ296" s="3396"/>
      <c r="BK296" s="3396"/>
      <c r="BL296" s="3396"/>
      <c r="BM296" s="3396"/>
      <c r="BN296" s="3396"/>
      <c r="BO296" s="3396"/>
      <c r="BP296" s="3396"/>
      <c r="BQ296" s="3396"/>
      <c r="BR296" s="3396"/>
      <c r="BS296" s="3396"/>
      <c r="BT296" s="3396"/>
      <c r="BU296" s="3396"/>
      <c r="BV296" s="3396"/>
      <c r="BW296" s="3396"/>
      <c r="BX296" s="3396"/>
      <c r="BY296" s="3396"/>
      <c r="BZ296" s="3396"/>
      <c r="CA296" s="3396"/>
      <c r="CB296" s="3396"/>
      <c r="CC296" s="3396"/>
      <c r="CD296" s="3396"/>
      <c r="CE296" s="3396"/>
      <c r="CF296" s="3396"/>
      <c r="CG296" s="3396"/>
      <c r="CH296" s="3396"/>
      <c r="CI296" s="3396"/>
      <c r="CJ296" s="3396"/>
      <c r="CK296" s="3396"/>
      <c r="CL296" s="3396"/>
      <c r="CM296" s="3396"/>
      <c r="CN296" s="3396"/>
      <c r="CO296" s="3396"/>
      <c r="CP296" s="3396"/>
      <c r="CQ296" s="3396"/>
      <c r="CR296" s="3396"/>
      <c r="CS296" s="3396"/>
      <c r="CT296" s="3396"/>
      <c r="CU296" s="3396"/>
      <c r="CV296" s="3396"/>
      <c r="CW296" s="3396"/>
      <c r="CX296" s="3396"/>
    </row>
    <row r="297" ht="17.25" customHeight="1" spans="1:102">
      <c r="A297" s="3407" t="s">
        <v>3915</v>
      </c>
      <c r="B297" s="4089"/>
      <c r="C297" s="4089"/>
      <c r="D297" s="4089"/>
      <c r="E297" s="4089"/>
      <c r="F297" s="4089"/>
      <c r="G297" s="4089"/>
      <c r="H297" s="4089"/>
      <c r="I297" s="4089"/>
      <c r="J297" s="4089"/>
      <c r="K297" s="4089"/>
      <c r="L297" s="4089"/>
      <c r="M297" s="4089"/>
      <c r="N297" s="4089"/>
      <c r="O297" s="4089"/>
      <c r="P297" s="4089"/>
      <c r="Q297" s="3410"/>
      <c r="R297" s="3410"/>
      <c r="S297" s="3410"/>
      <c r="T297" s="3410"/>
      <c r="U297" s="3410"/>
      <c r="V297" s="3410"/>
      <c r="W297" s="4100"/>
      <c r="X297" s="4100"/>
      <c r="Y297" s="4100"/>
      <c r="Z297" s="4100"/>
      <c r="AA297" s="4100"/>
      <c r="AB297" s="4100"/>
      <c r="AC297" s="4100"/>
      <c r="AD297" s="4100"/>
      <c r="AE297" s="4100"/>
      <c r="AF297" s="3408"/>
      <c r="AG297" s="3408"/>
      <c r="AH297" s="3408"/>
      <c r="AI297" s="3408"/>
      <c r="AJ297" s="3408"/>
      <c r="AK297" s="3408"/>
      <c r="AL297" s="3408"/>
      <c r="AM297" s="3408"/>
      <c r="AN297" s="3408"/>
      <c r="AO297" s="3408"/>
      <c r="AP297" s="3408"/>
      <c r="AQ297" s="3418"/>
      <c r="AR297" s="3418"/>
      <c r="AS297" s="3418"/>
      <c r="AT297" s="3418"/>
      <c r="AU297" s="3418"/>
      <c r="AV297" s="3418"/>
      <c r="AW297" s="3418"/>
      <c r="AX297" s="3418"/>
      <c r="AY297" s="3418"/>
      <c r="AZ297" s="3418"/>
      <c r="BA297" s="3418"/>
      <c r="BB297" s="3418"/>
      <c r="BC297" s="3418"/>
      <c r="BD297" s="3418"/>
      <c r="BE297" s="3396"/>
      <c r="BF297" s="3396"/>
      <c r="BG297" s="3396"/>
      <c r="BH297" s="3396"/>
      <c r="BI297" s="3396"/>
      <c r="BJ297" s="3396"/>
      <c r="BK297" s="3396"/>
      <c r="BL297" s="3396"/>
      <c r="BM297" s="3396"/>
      <c r="BN297" s="3396"/>
      <c r="BO297" s="3396"/>
      <c r="BP297" s="3396"/>
      <c r="BQ297" s="3396"/>
      <c r="BR297" s="3396"/>
      <c r="BS297" s="3396"/>
      <c r="BT297" s="3396"/>
      <c r="BU297" s="3396"/>
      <c r="BV297" s="3396"/>
      <c r="BW297" s="3396"/>
      <c r="BX297" s="3396"/>
      <c r="BY297" s="3396"/>
      <c r="BZ297" s="3396"/>
      <c r="CA297" s="3396"/>
      <c r="CB297" s="3396"/>
      <c r="CC297" s="3396"/>
      <c r="CD297" s="3396"/>
      <c r="CE297" s="3396"/>
      <c r="CF297" s="3396"/>
      <c r="CG297" s="3396"/>
      <c r="CH297" s="3396"/>
      <c r="CI297" s="3396"/>
      <c r="CJ297" s="3396"/>
      <c r="CK297" s="3396"/>
      <c r="CL297" s="3396"/>
      <c r="CM297" s="3396"/>
      <c r="CN297" s="3396"/>
      <c r="CO297" s="3396"/>
      <c r="CP297" s="3396"/>
      <c r="CQ297" s="3396"/>
      <c r="CR297" s="3396"/>
      <c r="CS297" s="3396"/>
      <c r="CT297" s="3396"/>
      <c r="CU297" s="3396"/>
      <c r="CV297" s="3396"/>
      <c r="CW297" s="3396"/>
      <c r="CX297" s="3396"/>
    </row>
    <row r="298" ht="17.25" customHeight="1" spans="1:102">
      <c r="A298" s="3407" t="s">
        <v>3918</v>
      </c>
      <c r="B298" s="4089"/>
      <c r="C298" s="4089"/>
      <c r="D298" s="4089"/>
      <c r="E298" s="4089"/>
      <c r="F298" s="4089"/>
      <c r="G298" s="4089"/>
      <c r="H298" s="4089"/>
      <c r="I298" s="4089"/>
      <c r="J298" s="4089"/>
      <c r="K298" s="4089"/>
      <c r="L298" s="4089"/>
      <c r="M298" s="4089"/>
      <c r="N298" s="4089"/>
      <c r="O298" s="4089"/>
      <c r="P298" s="4089"/>
      <c r="Q298" s="3410"/>
      <c r="R298" s="3410"/>
      <c r="S298" s="3410"/>
      <c r="T298" s="3410"/>
      <c r="U298" s="3410"/>
      <c r="V298" s="3410"/>
      <c r="W298" s="4100"/>
      <c r="X298" s="4100"/>
      <c r="Y298" s="4100"/>
      <c r="Z298" s="4100"/>
      <c r="AA298" s="4100"/>
      <c r="AB298" s="4100"/>
      <c r="AC298" s="4100"/>
      <c r="AD298" s="4100"/>
      <c r="AE298" s="4100"/>
      <c r="AF298" s="3408"/>
      <c r="AG298" s="3408"/>
      <c r="AH298" s="3408"/>
      <c r="AI298" s="3408"/>
      <c r="AJ298" s="3408"/>
      <c r="AK298" s="3408"/>
      <c r="AL298" s="3408"/>
      <c r="AM298" s="3408"/>
      <c r="AN298" s="3408"/>
      <c r="AO298" s="3408"/>
      <c r="AP298" s="3408"/>
      <c r="AQ298" s="3418"/>
      <c r="AR298" s="3418"/>
      <c r="AS298" s="3418"/>
      <c r="AT298" s="3418"/>
      <c r="AU298" s="3418"/>
      <c r="AV298" s="3418"/>
      <c r="AW298" s="3418"/>
      <c r="AX298" s="3418"/>
      <c r="AY298" s="3418"/>
      <c r="AZ298" s="3418"/>
      <c r="BA298" s="3418"/>
      <c r="BB298" s="3418"/>
      <c r="BC298" s="3418"/>
      <c r="BD298" s="3418"/>
      <c r="BE298" s="3396"/>
      <c r="BF298" s="3396"/>
      <c r="BG298" s="3396"/>
      <c r="BH298" s="3396"/>
      <c r="BI298" s="3396"/>
      <c r="BJ298" s="3396"/>
      <c r="BK298" s="3396"/>
      <c r="BL298" s="3396"/>
      <c r="BM298" s="3396"/>
      <c r="BN298" s="3396"/>
      <c r="BO298" s="3396"/>
      <c r="BP298" s="3396"/>
      <c r="BQ298" s="3396"/>
      <c r="BR298" s="3396"/>
      <c r="BS298" s="3396"/>
      <c r="BT298" s="3396"/>
      <c r="BU298" s="3396"/>
      <c r="BV298" s="3396"/>
      <c r="BW298" s="3396"/>
      <c r="BX298" s="3396"/>
      <c r="BY298" s="3396"/>
      <c r="BZ298" s="3396"/>
      <c r="CA298" s="3396"/>
      <c r="CB298" s="3396"/>
      <c r="CC298" s="3396"/>
      <c r="CD298" s="3396"/>
      <c r="CE298" s="3396"/>
      <c r="CF298" s="3396"/>
      <c r="CG298" s="3396"/>
      <c r="CH298" s="3396"/>
      <c r="CI298" s="3396"/>
      <c r="CJ298" s="3396"/>
      <c r="CK298" s="3396"/>
      <c r="CL298" s="3396"/>
      <c r="CM298" s="3396"/>
      <c r="CN298" s="3396"/>
      <c r="CO298" s="3396"/>
      <c r="CP298" s="3396"/>
      <c r="CQ298" s="3396"/>
      <c r="CR298" s="3396"/>
      <c r="CS298" s="3396"/>
      <c r="CT298" s="3396"/>
      <c r="CU298" s="3396"/>
      <c r="CV298" s="3396"/>
      <c r="CW298" s="3396"/>
      <c r="CX298" s="3396"/>
    </row>
    <row r="299" ht="17.25" customHeight="1" spans="1:102">
      <c r="A299" s="3407" t="s">
        <v>3920</v>
      </c>
      <c r="B299" s="4089"/>
      <c r="C299" s="4089"/>
      <c r="D299" s="4089"/>
      <c r="E299" s="4089"/>
      <c r="F299" s="4089"/>
      <c r="G299" s="4089"/>
      <c r="H299" s="4089"/>
      <c r="I299" s="4089"/>
      <c r="J299" s="4089"/>
      <c r="K299" s="4089"/>
      <c r="L299" s="4089"/>
      <c r="M299" s="4089"/>
      <c r="N299" s="4089"/>
      <c r="O299" s="4089"/>
      <c r="P299" s="4089"/>
      <c r="Q299" s="3410"/>
      <c r="R299" s="3410"/>
      <c r="S299" s="3410"/>
      <c r="T299" s="3410"/>
      <c r="U299" s="3410"/>
      <c r="V299" s="3410"/>
      <c r="W299" s="4100"/>
      <c r="X299" s="4100"/>
      <c r="Y299" s="4100"/>
      <c r="Z299" s="4100"/>
      <c r="AA299" s="4100"/>
      <c r="AB299" s="4100"/>
      <c r="AC299" s="4100"/>
      <c r="AD299" s="4100"/>
      <c r="AE299" s="4100"/>
      <c r="AF299" s="3408"/>
      <c r="AG299" s="3408"/>
      <c r="AH299" s="3408"/>
      <c r="AI299" s="3408"/>
      <c r="AJ299" s="3408"/>
      <c r="AK299" s="3408"/>
      <c r="AL299" s="3408"/>
      <c r="AM299" s="3408"/>
      <c r="AN299" s="3408"/>
      <c r="AO299" s="3408"/>
      <c r="AP299" s="3408"/>
      <c r="AQ299" s="3418"/>
      <c r="AR299" s="3418"/>
      <c r="AS299" s="3418"/>
      <c r="AT299" s="3418"/>
      <c r="AU299" s="3418"/>
      <c r="AV299" s="3418"/>
      <c r="AW299" s="3418"/>
      <c r="AX299" s="3418"/>
      <c r="AY299" s="3418"/>
      <c r="AZ299" s="3418"/>
      <c r="BA299" s="3418"/>
      <c r="BB299" s="3418"/>
      <c r="BC299" s="3418"/>
      <c r="BD299" s="3418"/>
      <c r="BE299" s="3396"/>
      <c r="BF299" s="3396"/>
      <c r="BG299" s="3396"/>
      <c r="BH299" s="3396"/>
      <c r="BI299" s="3396"/>
      <c r="BJ299" s="3396"/>
      <c r="BK299" s="3396"/>
      <c r="BL299" s="3396"/>
      <c r="BM299" s="3396"/>
      <c r="BN299" s="3396"/>
      <c r="BO299" s="3396"/>
      <c r="BP299" s="3396"/>
      <c r="BQ299" s="3396"/>
      <c r="BR299" s="3396"/>
      <c r="BS299" s="3396"/>
      <c r="BT299" s="3396"/>
      <c r="BU299" s="3396"/>
      <c r="BV299" s="3396"/>
      <c r="BW299" s="3396"/>
      <c r="BX299" s="3396"/>
      <c r="BY299" s="3396"/>
      <c r="BZ299" s="3396"/>
      <c r="CA299" s="3396"/>
      <c r="CB299" s="3396"/>
      <c r="CC299" s="3396"/>
      <c r="CD299" s="3396"/>
      <c r="CE299" s="3396"/>
      <c r="CF299" s="3396"/>
      <c r="CG299" s="3396"/>
      <c r="CH299" s="3396"/>
      <c r="CI299" s="3396"/>
      <c r="CJ299" s="3396"/>
      <c r="CK299" s="3396"/>
      <c r="CL299" s="3396"/>
      <c r="CM299" s="3396"/>
      <c r="CN299" s="3396"/>
      <c r="CO299" s="3396"/>
      <c r="CP299" s="3396"/>
      <c r="CQ299" s="3396"/>
      <c r="CR299" s="3396"/>
      <c r="CS299" s="3396"/>
      <c r="CT299" s="3396"/>
      <c r="CU299" s="3396"/>
      <c r="CV299" s="3396"/>
      <c r="CW299" s="3396"/>
      <c r="CX299" s="3396"/>
    </row>
    <row r="300" ht="17.25" customHeight="1" spans="1:102">
      <c r="A300" s="3407" t="s">
        <v>3923</v>
      </c>
      <c r="B300" s="4089"/>
      <c r="C300" s="4089"/>
      <c r="D300" s="4089"/>
      <c r="E300" s="4089"/>
      <c r="F300" s="4089"/>
      <c r="G300" s="4089"/>
      <c r="H300" s="4089"/>
      <c r="I300" s="4089"/>
      <c r="J300" s="4089"/>
      <c r="K300" s="4089"/>
      <c r="L300" s="4089"/>
      <c r="M300" s="4089"/>
      <c r="N300" s="4089"/>
      <c r="O300" s="4089"/>
      <c r="P300" s="4089"/>
      <c r="Q300" s="3410"/>
      <c r="R300" s="3410"/>
      <c r="S300" s="3410"/>
      <c r="T300" s="3410"/>
      <c r="U300" s="3410"/>
      <c r="V300" s="3410"/>
      <c r="W300" s="4100"/>
      <c r="X300" s="4100"/>
      <c r="Y300" s="4100"/>
      <c r="Z300" s="4100"/>
      <c r="AA300" s="4100"/>
      <c r="AB300" s="4100"/>
      <c r="AC300" s="4100"/>
      <c r="AD300" s="4100"/>
      <c r="AE300" s="4100"/>
      <c r="AF300" s="3408"/>
      <c r="AG300" s="3408"/>
      <c r="AH300" s="3408"/>
      <c r="AI300" s="3408"/>
      <c r="AJ300" s="3408"/>
      <c r="AK300" s="3408"/>
      <c r="AL300" s="3408"/>
      <c r="AM300" s="3408"/>
      <c r="AN300" s="3408"/>
      <c r="AO300" s="3408"/>
      <c r="AP300" s="3408"/>
      <c r="AQ300" s="3418"/>
      <c r="AR300" s="3418"/>
      <c r="AS300" s="3418"/>
      <c r="AT300" s="3418"/>
      <c r="AU300" s="3418"/>
      <c r="AV300" s="3418"/>
      <c r="AW300" s="3418"/>
      <c r="AX300" s="3418"/>
      <c r="AY300" s="3418"/>
      <c r="AZ300" s="3418"/>
      <c r="BA300" s="3418"/>
      <c r="BB300" s="3418"/>
      <c r="BC300" s="3418"/>
      <c r="BD300" s="3418"/>
      <c r="BE300" s="3396"/>
      <c r="BF300" s="3396"/>
      <c r="BG300" s="3396"/>
      <c r="BH300" s="3396"/>
      <c r="BI300" s="3396"/>
      <c r="BJ300" s="3396"/>
      <c r="BK300" s="3396"/>
      <c r="BL300" s="3396"/>
      <c r="BM300" s="3396"/>
      <c r="BN300" s="3396"/>
      <c r="BO300" s="3396"/>
      <c r="BP300" s="3396"/>
      <c r="BQ300" s="3396"/>
      <c r="BR300" s="3396"/>
      <c r="BS300" s="3396"/>
      <c r="BT300" s="3396"/>
      <c r="BU300" s="3396"/>
      <c r="BV300" s="3396"/>
      <c r="BW300" s="3396"/>
      <c r="BX300" s="3396"/>
      <c r="BY300" s="3396"/>
      <c r="BZ300" s="3396"/>
      <c r="CA300" s="3396"/>
      <c r="CB300" s="3396"/>
      <c r="CC300" s="3396"/>
      <c r="CD300" s="3396"/>
      <c r="CE300" s="3396"/>
      <c r="CF300" s="3396"/>
      <c r="CG300" s="3396"/>
      <c r="CH300" s="3396"/>
      <c r="CI300" s="3396"/>
      <c r="CJ300" s="3396"/>
      <c r="CK300" s="3396"/>
      <c r="CL300" s="3396"/>
      <c r="CM300" s="3396"/>
      <c r="CN300" s="3396"/>
      <c r="CO300" s="3396"/>
      <c r="CP300" s="3396"/>
      <c r="CQ300" s="3396"/>
      <c r="CR300" s="3396"/>
      <c r="CS300" s="3396"/>
      <c r="CT300" s="3396"/>
      <c r="CU300" s="3396"/>
      <c r="CV300" s="3396"/>
      <c r="CW300" s="3396"/>
      <c r="CX300" s="3396"/>
    </row>
    <row r="301" ht="17.25" customHeight="1" spans="1:102">
      <c r="A301" s="3407" t="s">
        <v>3925</v>
      </c>
      <c r="B301" s="4089"/>
      <c r="C301" s="4089"/>
      <c r="D301" s="4089"/>
      <c r="E301" s="4089"/>
      <c r="F301" s="4089"/>
      <c r="G301" s="4089"/>
      <c r="H301" s="4089"/>
      <c r="I301" s="4089"/>
      <c r="J301" s="4089"/>
      <c r="K301" s="4089"/>
      <c r="L301" s="4089"/>
      <c r="M301" s="4089"/>
      <c r="N301" s="4089"/>
      <c r="O301" s="4089"/>
      <c r="P301" s="4089"/>
      <c r="Q301" s="3410"/>
      <c r="R301" s="3410"/>
      <c r="S301" s="3410"/>
      <c r="T301" s="3410"/>
      <c r="U301" s="3410"/>
      <c r="V301" s="3410"/>
      <c r="W301" s="4100"/>
      <c r="X301" s="4100"/>
      <c r="Y301" s="4100"/>
      <c r="Z301" s="4100"/>
      <c r="AA301" s="4100"/>
      <c r="AB301" s="4100"/>
      <c r="AC301" s="4100"/>
      <c r="AD301" s="4100"/>
      <c r="AE301" s="4100"/>
      <c r="AF301" s="3408"/>
      <c r="AG301" s="3408"/>
      <c r="AH301" s="3408"/>
      <c r="AI301" s="3408"/>
      <c r="AJ301" s="3408"/>
      <c r="AK301" s="3408"/>
      <c r="AL301" s="3408"/>
      <c r="AM301" s="3408"/>
      <c r="AN301" s="3408"/>
      <c r="AO301" s="3408"/>
      <c r="AP301" s="3408"/>
      <c r="AQ301" s="3418"/>
      <c r="AR301" s="3418"/>
      <c r="AS301" s="3418"/>
      <c r="AT301" s="3418"/>
      <c r="AU301" s="3418"/>
      <c r="AV301" s="3418"/>
      <c r="AW301" s="3418"/>
      <c r="AX301" s="3418"/>
      <c r="AY301" s="3418"/>
      <c r="AZ301" s="3418"/>
      <c r="BA301" s="3418"/>
      <c r="BB301" s="3418"/>
      <c r="BC301" s="3418"/>
      <c r="BD301" s="3418"/>
      <c r="BE301" s="3396"/>
      <c r="BF301" s="3396"/>
      <c r="BG301" s="3396"/>
      <c r="BH301" s="3396"/>
      <c r="BI301" s="3396"/>
      <c r="BJ301" s="3396"/>
      <c r="BK301" s="3396"/>
      <c r="BL301" s="3396"/>
      <c r="BM301" s="3396"/>
      <c r="BN301" s="3396"/>
      <c r="BO301" s="3396"/>
      <c r="BP301" s="3396"/>
      <c r="BQ301" s="3396"/>
      <c r="BR301" s="3396"/>
      <c r="BS301" s="3396"/>
      <c r="BT301" s="3396"/>
      <c r="BU301" s="3396"/>
      <c r="BV301" s="3396"/>
      <c r="BW301" s="3396"/>
      <c r="BX301" s="3396"/>
      <c r="BY301" s="3396"/>
      <c r="BZ301" s="3396"/>
      <c r="CA301" s="3396"/>
      <c r="CB301" s="3396"/>
      <c r="CC301" s="3396"/>
      <c r="CD301" s="3396"/>
      <c r="CE301" s="3396"/>
      <c r="CF301" s="3396"/>
      <c r="CG301" s="3396"/>
      <c r="CH301" s="3396"/>
      <c r="CI301" s="3396"/>
      <c r="CJ301" s="3396"/>
      <c r="CK301" s="3396"/>
      <c r="CL301" s="3396"/>
      <c r="CM301" s="3396"/>
      <c r="CN301" s="3396"/>
      <c r="CO301" s="3396"/>
      <c r="CP301" s="3396"/>
      <c r="CQ301" s="3396"/>
      <c r="CR301" s="3396"/>
      <c r="CS301" s="3396"/>
      <c r="CT301" s="3396"/>
      <c r="CU301" s="3396"/>
      <c r="CV301" s="3396"/>
      <c r="CW301" s="3396"/>
      <c r="CX301" s="3396"/>
    </row>
    <row r="302" ht="17.25" customHeight="1" spans="1:102">
      <c r="A302" s="4103" t="s">
        <v>3928</v>
      </c>
      <c r="B302" s="4089"/>
      <c r="C302" s="4089"/>
      <c r="D302" s="4089"/>
      <c r="E302" s="4089"/>
      <c r="F302" s="4089"/>
      <c r="G302" s="4089"/>
      <c r="H302" s="4089"/>
      <c r="I302" s="4089"/>
      <c r="J302" s="4089"/>
      <c r="K302" s="4089"/>
      <c r="L302" s="4089"/>
      <c r="M302" s="4089"/>
      <c r="N302" s="4089"/>
      <c r="O302" s="4089"/>
      <c r="P302" s="4089"/>
      <c r="Q302" s="3410"/>
      <c r="R302" s="3410"/>
      <c r="S302" s="3410"/>
      <c r="T302" s="3410"/>
      <c r="U302" s="3410"/>
      <c r="V302" s="3410"/>
      <c r="W302" s="4100"/>
      <c r="X302" s="4100"/>
      <c r="Y302" s="4100"/>
      <c r="Z302" s="4100"/>
      <c r="AA302" s="4100"/>
      <c r="AB302" s="4100"/>
      <c r="AC302" s="4100"/>
      <c r="AD302" s="4100"/>
      <c r="AE302" s="4100"/>
      <c r="AF302" s="3408"/>
      <c r="AG302" s="3408"/>
      <c r="AH302" s="3408"/>
      <c r="AI302" s="3408"/>
      <c r="AJ302" s="3408"/>
      <c r="AK302" s="3408"/>
      <c r="AL302" s="3408"/>
      <c r="AM302" s="3408"/>
      <c r="AN302" s="3408"/>
      <c r="AO302" s="3408"/>
      <c r="AP302" s="3408"/>
      <c r="AQ302" s="3418"/>
      <c r="AR302" s="3418"/>
      <c r="AS302" s="3418"/>
      <c r="AT302" s="3418"/>
      <c r="AU302" s="3418"/>
      <c r="AV302" s="3418"/>
      <c r="AW302" s="3418"/>
      <c r="AX302" s="3418"/>
      <c r="AY302" s="3418"/>
      <c r="AZ302" s="3418"/>
      <c r="BA302" s="3418"/>
      <c r="BB302" s="3418"/>
      <c r="BC302" s="3418"/>
      <c r="BD302" s="3418"/>
      <c r="BE302" s="3396"/>
      <c r="BF302" s="3396"/>
      <c r="BG302" s="3396"/>
      <c r="BH302" s="3396"/>
      <c r="BI302" s="3396"/>
      <c r="BJ302" s="3396"/>
      <c r="BK302" s="3396"/>
      <c r="BL302" s="3396"/>
      <c r="BM302" s="3396"/>
      <c r="BN302" s="3396"/>
      <c r="BO302" s="3396"/>
      <c r="BP302" s="3396"/>
      <c r="BQ302" s="3396"/>
      <c r="BR302" s="3396"/>
      <c r="BS302" s="3396"/>
      <c r="BT302" s="3396"/>
      <c r="BU302" s="3396"/>
      <c r="BV302" s="3396"/>
      <c r="BW302" s="3396"/>
      <c r="BX302" s="3396"/>
      <c r="BY302" s="3396"/>
      <c r="BZ302" s="3396"/>
      <c r="CA302" s="3396"/>
      <c r="CB302" s="3396"/>
      <c r="CC302" s="3396"/>
      <c r="CD302" s="3396"/>
      <c r="CE302" s="3396"/>
      <c r="CF302" s="3396"/>
      <c r="CG302" s="3396"/>
      <c r="CH302" s="3396"/>
      <c r="CI302" s="3396"/>
      <c r="CJ302" s="3396"/>
      <c r="CK302" s="3396"/>
      <c r="CL302" s="3396"/>
      <c r="CM302" s="3396"/>
      <c r="CN302" s="3396"/>
      <c r="CO302" s="3396"/>
      <c r="CP302" s="3396"/>
      <c r="CQ302" s="3396"/>
      <c r="CR302" s="3396"/>
      <c r="CS302" s="3396"/>
      <c r="CT302" s="3396"/>
      <c r="CU302" s="3396"/>
      <c r="CV302" s="3396"/>
      <c r="CW302" s="3396"/>
      <c r="CX302" s="3396"/>
    </row>
    <row r="303" ht="21" customHeight="1" spans="1:102">
      <c r="A303" s="4105"/>
      <c r="B303" s="4106" t="s">
        <v>4671</v>
      </c>
      <c r="C303" s="4106"/>
      <c r="D303" s="4106"/>
      <c r="E303" s="4106"/>
      <c r="F303" s="4106"/>
      <c r="G303" s="4106"/>
      <c r="H303" s="4106"/>
      <c r="I303" s="4106"/>
      <c r="J303" s="4106"/>
      <c r="K303" s="4106"/>
      <c r="L303" s="4106"/>
      <c r="M303" s="4106"/>
      <c r="N303" s="4106"/>
      <c r="O303" s="4106"/>
      <c r="P303" s="4106"/>
      <c r="Q303" s="4127">
        <f>SUM(Q293:V302)</f>
        <v>0</v>
      </c>
      <c r="R303" s="4127"/>
      <c r="S303" s="4127"/>
      <c r="T303" s="4127"/>
      <c r="U303" s="4127"/>
      <c r="V303" s="4127"/>
      <c r="W303" s="3418"/>
      <c r="X303" s="3418"/>
      <c r="Y303" s="3418"/>
      <c r="Z303" s="3418"/>
      <c r="AA303" s="3418"/>
      <c r="AB303" s="3418"/>
      <c r="AC303" s="3418"/>
      <c r="AD303" s="3418"/>
      <c r="AE303" s="3418"/>
      <c r="AF303" s="3418"/>
      <c r="AG303" s="3418"/>
      <c r="AH303" s="3418"/>
      <c r="AI303" s="3418"/>
      <c r="AJ303" s="3418"/>
      <c r="AK303" s="3418"/>
      <c r="AL303" s="3418"/>
      <c r="AM303" s="3418"/>
      <c r="AN303" s="3418"/>
      <c r="AO303" s="3418"/>
      <c r="AP303" s="3418"/>
      <c r="AQ303" s="3418"/>
      <c r="AR303" s="3418"/>
      <c r="AS303" s="3418"/>
      <c r="AT303" s="3418"/>
      <c r="AU303" s="3418"/>
      <c r="AV303" s="3418"/>
      <c r="AW303" s="3418"/>
      <c r="AX303" s="3418"/>
      <c r="AY303" s="3418"/>
      <c r="AZ303" s="3418"/>
      <c r="BA303" s="3418"/>
      <c r="BB303" s="3418"/>
      <c r="BC303" s="3418"/>
      <c r="BD303" s="3418"/>
      <c r="BE303" s="3396"/>
      <c r="BF303" s="3396"/>
      <c r="BG303" s="3396"/>
      <c r="BH303" s="3396"/>
      <c r="BI303" s="3396"/>
      <c r="BJ303" s="3396"/>
      <c r="BK303" s="3396"/>
      <c r="BL303" s="3396"/>
      <c r="BM303" s="3396"/>
      <c r="BN303" s="3396"/>
      <c r="BO303" s="3396"/>
      <c r="BP303" s="3396"/>
      <c r="BQ303" s="3396"/>
      <c r="BR303" s="3396"/>
      <c r="BS303" s="3396"/>
      <c r="BT303" s="3396"/>
      <c r="BU303" s="3396"/>
      <c r="BV303" s="3396"/>
      <c r="BW303" s="3396"/>
      <c r="BX303" s="3396"/>
      <c r="BY303" s="3396"/>
      <c r="BZ303" s="3396"/>
      <c r="CA303" s="3396"/>
      <c r="CB303" s="3396"/>
      <c r="CC303" s="3396"/>
      <c r="CD303" s="3396"/>
      <c r="CE303" s="3396"/>
      <c r="CF303" s="3396"/>
      <c r="CG303" s="3396"/>
      <c r="CH303" s="3396"/>
      <c r="CI303" s="3396"/>
      <c r="CJ303" s="3396"/>
      <c r="CK303" s="3396"/>
      <c r="CL303" s="3396"/>
      <c r="CM303" s="3396"/>
      <c r="CN303" s="3396"/>
      <c r="CO303" s="3396"/>
      <c r="CP303" s="3396"/>
      <c r="CQ303" s="3396"/>
      <c r="CR303" s="3396"/>
      <c r="CS303" s="3396"/>
      <c r="CT303" s="3396"/>
      <c r="CU303" s="3396"/>
      <c r="CV303" s="3396"/>
      <c r="CW303" s="3396"/>
      <c r="CX303" s="3396"/>
    </row>
    <row r="304" s="75" customFormat="1" ht="14.25" customHeight="1" spans="1:102">
      <c r="A304" s="3418"/>
      <c r="B304" s="3418"/>
      <c r="C304" s="3418"/>
      <c r="D304" s="3418"/>
      <c r="E304" s="3418"/>
      <c r="F304" s="3418"/>
      <c r="G304" s="3418"/>
      <c r="H304" s="3418"/>
      <c r="I304" s="3418"/>
      <c r="J304" s="3418"/>
      <c r="K304" s="3418"/>
      <c r="L304" s="3418"/>
      <c r="M304" s="3418"/>
      <c r="N304" s="3418"/>
      <c r="O304" s="3418"/>
      <c r="P304" s="3418"/>
      <c r="Q304" s="3418"/>
      <c r="R304" s="3418"/>
      <c r="S304" s="3418"/>
      <c r="T304" s="3418"/>
      <c r="U304" s="3418"/>
      <c r="V304" s="3418"/>
      <c r="W304" s="3418"/>
      <c r="X304" s="3418"/>
      <c r="Y304" s="3418"/>
      <c r="Z304" s="3418"/>
      <c r="AA304" s="3418"/>
      <c r="AB304" s="3418"/>
      <c r="AC304" s="3418"/>
      <c r="AD304" s="3418"/>
      <c r="AE304" s="3418"/>
      <c r="AF304" s="3418"/>
      <c r="AG304" s="3418"/>
      <c r="AH304" s="3418"/>
      <c r="AI304" s="3418"/>
      <c r="AJ304" s="3418"/>
      <c r="AK304" s="3418"/>
      <c r="AL304" s="3418"/>
      <c r="AM304" s="3418"/>
      <c r="AN304" s="3418"/>
      <c r="AO304" s="3418"/>
      <c r="AP304" s="3418"/>
      <c r="AQ304" s="3418"/>
      <c r="AR304" s="3418"/>
      <c r="AS304" s="3418"/>
      <c r="AT304" s="3418"/>
      <c r="AU304" s="3418"/>
      <c r="AV304" s="3418"/>
      <c r="AW304" s="3418"/>
      <c r="AX304" s="3418"/>
      <c r="AY304" s="3418"/>
      <c r="AZ304" s="3418"/>
      <c r="BA304" s="3418"/>
      <c r="BB304" s="3418"/>
      <c r="BC304" s="3418"/>
      <c r="BD304" s="3418"/>
      <c r="BE304" s="3418"/>
      <c r="BF304" s="3418"/>
      <c r="BG304" s="3418"/>
      <c r="BH304" s="3418"/>
      <c r="BI304" s="3418"/>
      <c r="BJ304" s="3418"/>
      <c r="BK304" s="3418"/>
      <c r="BL304" s="3418"/>
      <c r="BM304" s="3418"/>
      <c r="BN304" s="3418"/>
      <c r="BO304" s="3418"/>
      <c r="BP304" s="3418"/>
      <c r="BQ304" s="3418"/>
      <c r="BR304" s="3418"/>
      <c r="BS304" s="3418"/>
      <c r="BT304" s="3418"/>
      <c r="BU304" s="3418"/>
      <c r="BV304" s="3418"/>
      <c r="BW304" s="3418"/>
      <c r="BX304" s="3418"/>
      <c r="BY304" s="3418"/>
      <c r="BZ304" s="3418"/>
      <c r="CA304" s="3396"/>
      <c r="CB304" s="3396"/>
      <c r="CC304" s="3396"/>
      <c r="CD304" s="3396"/>
      <c r="CE304" s="3396"/>
      <c r="CF304" s="3396"/>
      <c r="CG304" s="3396"/>
      <c r="CH304" s="3396"/>
      <c r="CI304" s="3396"/>
      <c r="CJ304" s="3396"/>
      <c r="CK304" s="3396"/>
      <c r="CL304" s="3396"/>
      <c r="CM304" s="3396"/>
      <c r="CN304" s="3396"/>
      <c r="CO304" s="3396"/>
      <c r="CP304" s="3396"/>
      <c r="CQ304" s="3396"/>
      <c r="CR304" s="3396"/>
      <c r="CS304" s="3396"/>
      <c r="CT304" s="3396"/>
      <c r="CU304" s="3396"/>
      <c r="CV304" s="3396"/>
      <c r="CW304" s="3396"/>
      <c r="CX304" s="3396"/>
    </row>
    <row r="305" s="75" customFormat="1" ht="14.25" customHeight="1" spans="1:102">
      <c r="A305" s="3418"/>
      <c r="B305" s="3418"/>
      <c r="C305" s="3418"/>
      <c r="D305" s="3418"/>
      <c r="E305" s="3418"/>
      <c r="F305" s="3418"/>
      <c r="G305" s="3418"/>
      <c r="H305" s="3418"/>
      <c r="I305" s="3418"/>
      <c r="J305" s="3418"/>
      <c r="K305" s="3418"/>
      <c r="L305" s="3418"/>
      <c r="M305" s="3418"/>
      <c r="N305" s="3418"/>
      <c r="O305" s="3418"/>
      <c r="P305" s="3418"/>
      <c r="Q305" s="3418"/>
      <c r="R305" s="3418"/>
      <c r="S305" s="3418"/>
      <c r="T305" s="3418"/>
      <c r="U305" s="3418"/>
      <c r="V305" s="3418"/>
      <c r="W305" s="3418"/>
      <c r="X305" s="3418"/>
      <c r="Y305" s="3418"/>
      <c r="Z305" s="3418"/>
      <c r="AA305" s="3418"/>
      <c r="AB305" s="3418"/>
      <c r="AC305" s="3418"/>
      <c r="AD305" s="3418"/>
      <c r="AE305" s="3418"/>
      <c r="AF305" s="3418"/>
      <c r="AG305" s="3418"/>
      <c r="AH305" s="3418"/>
      <c r="AI305" s="3418"/>
      <c r="AJ305" s="3418"/>
      <c r="AK305" s="3418"/>
      <c r="AL305" s="3418"/>
      <c r="AM305" s="3418"/>
      <c r="AN305" s="3418"/>
      <c r="AO305" s="3418"/>
      <c r="AP305" s="3418"/>
      <c r="AQ305" s="3418"/>
      <c r="AR305" s="3418"/>
      <c r="AS305" s="3418"/>
      <c r="AT305" s="3418"/>
      <c r="AU305" s="3418"/>
      <c r="AV305" s="3418"/>
      <c r="AW305" s="3418"/>
      <c r="AX305" s="3418"/>
      <c r="AY305" s="3418"/>
      <c r="AZ305" s="3418"/>
      <c r="BA305" s="3418"/>
      <c r="BB305" s="3418"/>
      <c r="BC305" s="3418"/>
      <c r="BD305" s="3418"/>
      <c r="BE305" s="3418"/>
      <c r="BF305" s="3418"/>
      <c r="BG305" s="3418"/>
      <c r="BH305" s="3418"/>
      <c r="BI305" s="3418"/>
      <c r="BJ305" s="3418"/>
      <c r="BK305" s="3418"/>
      <c r="BL305" s="3418"/>
      <c r="BM305" s="3418"/>
      <c r="BN305" s="3418"/>
      <c r="BO305" s="3418"/>
      <c r="BP305" s="3418"/>
      <c r="BQ305" s="3418"/>
      <c r="BR305" s="3418"/>
      <c r="BS305" s="3418"/>
      <c r="BT305" s="3418"/>
      <c r="BU305" s="3418"/>
      <c r="BV305" s="3418"/>
      <c r="BW305" s="3418"/>
      <c r="BX305" s="3418"/>
      <c r="BY305" s="3418"/>
      <c r="BZ305" s="3418"/>
      <c r="CA305" s="3396"/>
      <c r="CB305" s="3396"/>
      <c r="CC305" s="3396"/>
      <c r="CD305" s="3396"/>
      <c r="CE305" s="3396"/>
      <c r="CF305" s="3396"/>
      <c r="CG305" s="3396"/>
      <c r="CH305" s="3396"/>
      <c r="CI305" s="3396"/>
      <c r="CJ305" s="3396"/>
      <c r="CK305" s="3396"/>
      <c r="CL305" s="3396"/>
      <c r="CM305" s="3396"/>
      <c r="CN305" s="3396"/>
      <c r="CO305" s="3396"/>
      <c r="CP305" s="3396"/>
      <c r="CQ305" s="3396"/>
      <c r="CR305" s="3396"/>
      <c r="CS305" s="3396"/>
      <c r="CT305" s="3396"/>
      <c r="CU305" s="3396"/>
      <c r="CV305" s="3396"/>
      <c r="CW305" s="3396"/>
      <c r="CX305" s="3396"/>
    </row>
    <row r="306" s="75" customFormat="1" ht="14.25" customHeight="1" spans="1:102">
      <c r="A306" s="3418"/>
      <c r="B306" s="3418"/>
      <c r="C306" s="3418"/>
      <c r="D306" s="3418"/>
      <c r="E306" s="3418"/>
      <c r="F306" s="3418"/>
      <c r="G306" s="3418"/>
      <c r="H306" s="3418"/>
      <c r="I306" s="3418"/>
      <c r="J306" s="3418"/>
      <c r="K306" s="3418"/>
      <c r="L306" s="3418"/>
      <c r="M306" s="3418"/>
      <c r="N306" s="3418"/>
      <c r="O306" s="3418"/>
      <c r="P306" s="3418"/>
      <c r="Q306" s="3418"/>
      <c r="R306" s="3418"/>
      <c r="S306" s="3418"/>
      <c r="T306" s="3418"/>
      <c r="U306" s="3418"/>
      <c r="V306" s="3418"/>
      <c r="W306" s="3418"/>
      <c r="X306" s="3418"/>
      <c r="Y306" s="3418"/>
      <c r="Z306" s="3418"/>
      <c r="AA306" s="3418"/>
      <c r="AB306" s="3418"/>
      <c r="AC306" s="3418"/>
      <c r="AD306" s="3418"/>
      <c r="AE306" s="3418"/>
      <c r="AF306" s="3418"/>
      <c r="AG306" s="3418"/>
      <c r="AH306" s="3418"/>
      <c r="AI306" s="3418"/>
      <c r="AJ306" s="3418"/>
      <c r="AK306" s="3418"/>
      <c r="AL306" s="3418"/>
      <c r="AM306" s="3418"/>
      <c r="AN306" s="3418"/>
      <c r="AO306" s="3418"/>
      <c r="AP306" s="3418"/>
      <c r="AQ306" s="3418"/>
      <c r="AR306" s="3418"/>
      <c r="AS306" s="3418"/>
      <c r="AT306" s="3418"/>
      <c r="AU306" s="3418"/>
      <c r="AV306" s="3418"/>
      <c r="AW306" s="3418"/>
      <c r="AX306" s="3418"/>
      <c r="AY306" s="3418"/>
      <c r="AZ306" s="3418"/>
      <c r="BA306" s="3418"/>
      <c r="BB306" s="3418"/>
      <c r="BC306" s="3418"/>
      <c r="BD306" s="3418"/>
      <c r="BE306" s="3418"/>
      <c r="BF306" s="3418"/>
      <c r="BG306" s="3418"/>
      <c r="BH306" s="3418"/>
      <c r="BI306" s="3418"/>
      <c r="BJ306" s="3418"/>
      <c r="BK306" s="3418"/>
      <c r="BL306" s="3418"/>
      <c r="BM306" s="3418"/>
      <c r="BN306" s="3418"/>
      <c r="BO306" s="3418"/>
      <c r="BP306" s="3418"/>
      <c r="BQ306" s="3418"/>
      <c r="BR306" s="3418"/>
      <c r="BS306" s="3418"/>
      <c r="BT306" s="3418"/>
      <c r="BU306" s="3418"/>
      <c r="BV306" s="3418"/>
      <c r="BW306" s="3418"/>
      <c r="BX306" s="3418"/>
      <c r="BY306" s="3418"/>
      <c r="BZ306" s="3418"/>
      <c r="CA306" s="3396"/>
      <c r="CB306" s="3396"/>
      <c r="CC306" s="3396"/>
      <c r="CD306" s="3396"/>
      <c r="CE306" s="3396"/>
      <c r="CF306" s="3396"/>
      <c r="CG306" s="3396"/>
      <c r="CH306" s="3396"/>
      <c r="CI306" s="3396"/>
      <c r="CJ306" s="3396"/>
      <c r="CK306" s="3396"/>
      <c r="CL306" s="3396"/>
      <c r="CM306" s="3396"/>
      <c r="CN306" s="3396"/>
      <c r="CO306" s="3396"/>
      <c r="CP306" s="3396"/>
      <c r="CQ306" s="3396"/>
      <c r="CR306" s="3396"/>
      <c r="CS306" s="3396"/>
      <c r="CT306" s="3396"/>
      <c r="CU306" s="3396"/>
      <c r="CV306" s="3396"/>
      <c r="CW306" s="3396"/>
      <c r="CX306" s="3396"/>
    </row>
    <row r="307" s="75" customFormat="1" ht="14.25" customHeight="1" spans="1:102">
      <c r="A307" s="3418"/>
      <c r="B307" s="3418"/>
      <c r="C307" s="3418"/>
      <c r="D307" s="3418"/>
      <c r="E307" s="3418"/>
      <c r="F307" s="3418"/>
      <c r="G307" s="3418"/>
      <c r="H307" s="3418"/>
      <c r="I307" s="3418"/>
      <c r="J307" s="3418"/>
      <c r="K307" s="3418"/>
      <c r="L307" s="3418"/>
      <c r="M307" s="3418"/>
      <c r="N307" s="3418"/>
      <c r="O307" s="3418"/>
      <c r="P307" s="3418"/>
      <c r="Q307" s="3418"/>
      <c r="R307" s="3418"/>
      <c r="S307" s="3418"/>
      <c r="T307" s="3418"/>
      <c r="U307" s="3418"/>
      <c r="V307" s="3418"/>
      <c r="W307" s="3418"/>
      <c r="X307" s="3418"/>
      <c r="Y307" s="3418"/>
      <c r="Z307" s="3418"/>
      <c r="AA307" s="3418"/>
      <c r="AB307" s="3418"/>
      <c r="AC307" s="3418"/>
      <c r="AD307" s="3418"/>
      <c r="AE307" s="3418"/>
      <c r="AF307" s="3418"/>
      <c r="AG307" s="3418"/>
      <c r="AH307" s="3418"/>
      <c r="AI307" s="3418"/>
      <c r="AJ307" s="3418"/>
      <c r="AK307" s="3418"/>
      <c r="AL307" s="3418"/>
      <c r="AM307" s="3418"/>
      <c r="AN307" s="3418"/>
      <c r="AO307" s="3418"/>
      <c r="AP307" s="3418"/>
      <c r="AQ307" s="3418"/>
      <c r="AR307" s="3418"/>
      <c r="AS307" s="3418"/>
      <c r="AT307" s="3418"/>
      <c r="AU307" s="3418"/>
      <c r="AV307" s="3418"/>
      <c r="AW307" s="3418"/>
      <c r="AX307" s="3418"/>
      <c r="AY307" s="3418"/>
      <c r="AZ307" s="3418"/>
      <c r="BA307" s="3418"/>
      <c r="BB307" s="3418"/>
      <c r="BC307" s="3418"/>
      <c r="BD307" s="3418"/>
      <c r="BE307" s="3418"/>
      <c r="BF307" s="3418"/>
      <c r="BG307" s="3418"/>
      <c r="BH307" s="3418"/>
      <c r="BI307" s="3418"/>
      <c r="BJ307" s="3418"/>
      <c r="BK307" s="3418"/>
      <c r="BL307" s="3418"/>
      <c r="BM307" s="3418"/>
      <c r="BN307" s="3418"/>
      <c r="BO307" s="3418"/>
      <c r="BP307" s="3418"/>
      <c r="BQ307" s="3418"/>
      <c r="BR307" s="3418"/>
      <c r="BS307" s="3418"/>
      <c r="BT307" s="3418"/>
      <c r="BU307" s="3418"/>
      <c r="BV307" s="3418"/>
      <c r="BW307" s="3418"/>
      <c r="BX307" s="3418"/>
      <c r="BY307" s="3418"/>
      <c r="BZ307" s="3418"/>
      <c r="CA307" s="3396"/>
      <c r="CB307" s="3396"/>
      <c r="CC307" s="3396"/>
      <c r="CD307" s="3396"/>
      <c r="CE307" s="3396"/>
      <c r="CF307" s="3396"/>
      <c r="CG307" s="3396"/>
      <c r="CH307" s="3396"/>
      <c r="CI307" s="3396"/>
      <c r="CJ307" s="3396"/>
      <c r="CK307" s="3396"/>
      <c r="CL307" s="3396"/>
      <c r="CM307" s="3396"/>
      <c r="CN307" s="3396"/>
      <c r="CO307" s="3396"/>
      <c r="CP307" s="3396"/>
      <c r="CQ307" s="3396"/>
      <c r="CR307" s="3396"/>
      <c r="CS307" s="3396"/>
      <c r="CT307" s="3396"/>
      <c r="CU307" s="3396"/>
      <c r="CV307" s="3396"/>
      <c r="CW307" s="3396"/>
      <c r="CX307" s="3396"/>
    </row>
    <row r="308" s="75" customFormat="1" ht="14.25" customHeight="1" spans="1:102">
      <c r="A308" s="3418"/>
      <c r="B308" s="3418"/>
      <c r="C308" s="3418"/>
      <c r="D308" s="3418"/>
      <c r="E308" s="3418"/>
      <c r="F308" s="3418"/>
      <c r="G308" s="3418"/>
      <c r="H308" s="3418"/>
      <c r="I308" s="3418"/>
      <c r="J308" s="3418"/>
      <c r="K308" s="3418"/>
      <c r="L308" s="3418"/>
      <c r="M308" s="3418"/>
      <c r="N308" s="3418"/>
      <c r="O308" s="3418"/>
      <c r="P308" s="3418"/>
      <c r="Q308" s="3418"/>
      <c r="R308" s="3418"/>
      <c r="S308" s="3418"/>
      <c r="T308" s="3418"/>
      <c r="U308" s="3418"/>
      <c r="V308" s="3418"/>
      <c r="W308" s="3418"/>
      <c r="X308" s="3418"/>
      <c r="Y308" s="3418"/>
      <c r="Z308" s="3418"/>
      <c r="AA308" s="3418"/>
      <c r="AB308" s="3418"/>
      <c r="AC308" s="3418"/>
      <c r="AD308" s="3418"/>
      <c r="AE308" s="3418"/>
      <c r="AF308" s="3418"/>
      <c r="AG308" s="3418"/>
      <c r="AH308" s="3418"/>
      <c r="AI308" s="3418"/>
      <c r="AJ308" s="3418"/>
      <c r="AK308" s="3418"/>
      <c r="AL308" s="3418"/>
      <c r="AM308" s="3418"/>
      <c r="AN308" s="3418"/>
      <c r="AO308" s="3418"/>
      <c r="AP308" s="3418"/>
      <c r="AQ308" s="3418"/>
      <c r="AR308" s="3418"/>
      <c r="AS308" s="3418"/>
      <c r="AT308" s="3418"/>
      <c r="AU308" s="3418"/>
      <c r="AV308" s="3418"/>
      <c r="AW308" s="3418"/>
      <c r="AX308" s="3418"/>
      <c r="AY308" s="3418"/>
      <c r="AZ308" s="3418"/>
      <c r="BA308" s="3418"/>
      <c r="BB308" s="3418"/>
      <c r="BC308" s="3418"/>
      <c r="BD308" s="3418"/>
      <c r="BE308" s="3418"/>
      <c r="BF308" s="3418"/>
      <c r="BG308" s="3418"/>
      <c r="BH308" s="3418"/>
      <c r="BI308" s="3418"/>
      <c r="BJ308" s="3418"/>
      <c r="BK308" s="3418"/>
      <c r="BL308" s="3418"/>
      <c r="BM308" s="3418"/>
      <c r="BN308" s="3418"/>
      <c r="BO308" s="3418"/>
      <c r="BP308" s="3418"/>
      <c r="BQ308" s="3418"/>
      <c r="BR308" s="3418"/>
      <c r="BS308" s="3418"/>
      <c r="BT308" s="3418"/>
      <c r="BU308" s="3418"/>
      <c r="BV308" s="3418"/>
      <c r="BW308" s="3418"/>
      <c r="BX308" s="3418"/>
      <c r="BY308" s="3418"/>
      <c r="BZ308" s="3418"/>
      <c r="CA308" s="3396"/>
      <c r="CB308" s="3396"/>
      <c r="CC308" s="3396"/>
      <c r="CD308" s="3396"/>
      <c r="CE308" s="3396"/>
      <c r="CF308" s="3396"/>
      <c r="CG308" s="3396"/>
      <c r="CH308" s="3396"/>
      <c r="CI308" s="3396"/>
      <c r="CJ308" s="3396"/>
      <c r="CK308" s="3396"/>
      <c r="CL308" s="3396"/>
      <c r="CM308" s="3396"/>
      <c r="CN308" s="3396"/>
      <c r="CO308" s="3396"/>
      <c r="CP308" s="3396"/>
      <c r="CQ308" s="3396"/>
      <c r="CR308" s="3396"/>
      <c r="CS308" s="3396"/>
      <c r="CT308" s="3396"/>
      <c r="CU308" s="3396"/>
      <c r="CV308" s="3396"/>
      <c r="CW308" s="3396"/>
      <c r="CX308" s="3396"/>
    </row>
    <row r="309" s="75" customFormat="1" ht="14.25" customHeight="1" spans="1:102">
      <c r="A309" s="3418"/>
      <c r="B309" s="3418"/>
      <c r="C309" s="3418"/>
      <c r="D309" s="3418"/>
      <c r="E309" s="3418"/>
      <c r="F309" s="3418"/>
      <c r="G309" s="3418"/>
      <c r="H309" s="3418"/>
      <c r="I309" s="3418"/>
      <c r="J309" s="3418"/>
      <c r="K309" s="3418"/>
      <c r="L309" s="3418"/>
      <c r="M309" s="3418"/>
      <c r="N309" s="3418"/>
      <c r="O309" s="3418"/>
      <c r="P309" s="3418"/>
      <c r="Q309" s="3418"/>
      <c r="R309" s="3418"/>
      <c r="S309" s="3418"/>
      <c r="T309" s="3418"/>
      <c r="U309" s="3418"/>
      <c r="V309" s="3418"/>
      <c r="W309" s="3418"/>
      <c r="X309" s="3418"/>
      <c r="Y309" s="3418"/>
      <c r="Z309" s="3418"/>
      <c r="AA309" s="3418"/>
      <c r="AB309" s="3418"/>
      <c r="AC309" s="3418"/>
      <c r="AD309" s="3418"/>
      <c r="AE309" s="3418"/>
      <c r="AF309" s="3418"/>
      <c r="AG309" s="3418"/>
      <c r="AH309" s="3418"/>
      <c r="AI309" s="3418"/>
      <c r="AJ309" s="3418"/>
      <c r="AK309" s="3418"/>
      <c r="AL309" s="3418"/>
      <c r="AM309" s="3418"/>
      <c r="AN309" s="3418"/>
      <c r="AO309" s="3418"/>
      <c r="AP309" s="3418"/>
      <c r="AQ309" s="3418"/>
      <c r="AR309" s="3418"/>
      <c r="AS309" s="3418"/>
      <c r="AT309" s="3418"/>
      <c r="AU309" s="3418"/>
      <c r="AV309" s="3418"/>
      <c r="AW309" s="3418"/>
      <c r="AX309" s="3418"/>
      <c r="AY309" s="3418"/>
      <c r="AZ309" s="3418"/>
      <c r="BA309" s="3418"/>
      <c r="BB309" s="3418"/>
      <c r="BC309" s="3418"/>
      <c r="BD309" s="3418"/>
      <c r="BE309" s="3418"/>
      <c r="BF309" s="3418"/>
      <c r="BG309" s="3418"/>
      <c r="BH309" s="3418"/>
      <c r="BI309" s="3418"/>
      <c r="BJ309" s="3418"/>
      <c r="BK309" s="3418"/>
      <c r="BL309" s="3418"/>
      <c r="BM309" s="3418"/>
      <c r="BN309" s="3418"/>
      <c r="BO309" s="3418"/>
      <c r="BP309" s="3418"/>
      <c r="BQ309" s="3418"/>
      <c r="BR309" s="3418"/>
      <c r="BS309" s="3418"/>
      <c r="BT309" s="3418"/>
      <c r="BU309" s="3418"/>
      <c r="BV309" s="3418"/>
      <c r="BW309" s="3418"/>
      <c r="BX309" s="3418"/>
      <c r="BY309" s="3418"/>
      <c r="BZ309" s="3418"/>
      <c r="CA309" s="3396"/>
      <c r="CB309" s="3396"/>
      <c r="CC309" s="3396"/>
      <c r="CD309" s="3396"/>
      <c r="CE309" s="3396"/>
      <c r="CF309" s="3396"/>
      <c r="CG309" s="3396"/>
      <c r="CH309" s="3396"/>
      <c r="CI309" s="3396"/>
      <c r="CJ309" s="3396"/>
      <c r="CK309" s="3396"/>
      <c r="CL309" s="3396"/>
      <c r="CM309" s="3396"/>
      <c r="CN309" s="3396"/>
      <c r="CO309" s="3396"/>
      <c r="CP309" s="3396"/>
      <c r="CQ309" s="3396"/>
      <c r="CR309" s="3396"/>
      <c r="CS309" s="3396"/>
      <c r="CT309" s="3396"/>
      <c r="CU309" s="3396"/>
      <c r="CV309" s="3396"/>
      <c r="CW309" s="3396"/>
      <c r="CX309" s="3396"/>
    </row>
    <row r="310" s="75" customFormat="1" ht="14.25" customHeight="1" spans="1:102">
      <c r="A310" s="3418"/>
      <c r="B310" s="3418"/>
      <c r="C310" s="3418"/>
      <c r="D310" s="3418"/>
      <c r="E310" s="3418"/>
      <c r="F310" s="3418"/>
      <c r="G310" s="3418"/>
      <c r="H310" s="3418"/>
      <c r="I310" s="3418"/>
      <c r="J310" s="3418"/>
      <c r="K310" s="3418"/>
      <c r="L310" s="3418"/>
      <c r="M310" s="3418"/>
      <c r="N310" s="3418"/>
      <c r="O310" s="3418"/>
      <c r="P310" s="3418"/>
      <c r="Q310" s="3418"/>
      <c r="R310" s="3418"/>
      <c r="S310" s="3418"/>
      <c r="T310" s="3418"/>
      <c r="U310" s="3418"/>
      <c r="V310" s="3418"/>
      <c r="W310" s="3418"/>
      <c r="X310" s="3418"/>
      <c r="Y310" s="3418"/>
      <c r="Z310" s="3418"/>
      <c r="AA310" s="3418"/>
      <c r="AB310" s="3418"/>
      <c r="AC310" s="3418"/>
      <c r="AD310" s="3418"/>
      <c r="AE310" s="3418"/>
      <c r="AF310" s="3418"/>
      <c r="AG310" s="3418"/>
      <c r="AH310" s="3418"/>
      <c r="AI310" s="3418"/>
      <c r="AJ310" s="3418"/>
      <c r="AK310" s="3418"/>
      <c r="AL310" s="3418"/>
      <c r="AM310" s="3418"/>
      <c r="AN310" s="3418"/>
      <c r="AO310" s="3418"/>
      <c r="AP310" s="3418"/>
      <c r="AQ310" s="3418"/>
      <c r="AR310" s="3418"/>
      <c r="AS310" s="3418"/>
      <c r="AT310" s="3418"/>
      <c r="AU310" s="3418"/>
      <c r="AV310" s="3418"/>
      <c r="AW310" s="3418"/>
      <c r="AX310" s="3418"/>
      <c r="AY310" s="3418"/>
      <c r="AZ310" s="3418"/>
      <c r="BA310" s="3418"/>
      <c r="BB310" s="3418"/>
      <c r="BC310" s="3418"/>
      <c r="BD310" s="3418"/>
      <c r="BE310" s="3418"/>
      <c r="BF310" s="3418"/>
      <c r="BG310" s="3418"/>
      <c r="BH310" s="3418"/>
      <c r="BI310" s="3418"/>
      <c r="BJ310" s="3418"/>
      <c r="BK310" s="3418"/>
      <c r="BL310" s="3418"/>
      <c r="BM310" s="3418"/>
      <c r="BN310" s="3418"/>
      <c r="BO310" s="3418"/>
      <c r="BP310" s="3418"/>
      <c r="BQ310" s="3418"/>
      <c r="BR310" s="3418"/>
      <c r="BS310" s="3418"/>
      <c r="BT310" s="3418"/>
      <c r="BU310" s="3418"/>
      <c r="BV310" s="3418"/>
      <c r="BW310" s="3418"/>
      <c r="BX310" s="3418"/>
      <c r="BY310" s="3418"/>
      <c r="BZ310" s="3418"/>
      <c r="CA310" s="3396"/>
      <c r="CB310" s="3396"/>
      <c r="CC310" s="3396"/>
      <c r="CD310" s="3396"/>
      <c r="CE310" s="3396"/>
      <c r="CF310" s="3396"/>
      <c r="CG310" s="3396"/>
      <c r="CH310" s="3396"/>
      <c r="CI310" s="3396"/>
      <c r="CJ310" s="3396"/>
      <c r="CK310" s="3396"/>
      <c r="CL310" s="3396"/>
      <c r="CM310" s="3396"/>
      <c r="CN310" s="3396"/>
      <c r="CO310" s="3396"/>
      <c r="CP310" s="3396"/>
      <c r="CQ310" s="3396"/>
      <c r="CR310" s="3396"/>
      <c r="CS310" s="3396"/>
      <c r="CT310" s="3396"/>
      <c r="CU310" s="3396"/>
      <c r="CV310" s="3396"/>
      <c r="CW310" s="3396"/>
      <c r="CX310" s="3396"/>
    </row>
    <row r="311" s="75" customFormat="1" ht="14.25" customHeight="1" spans="1:102">
      <c r="A311" s="3418"/>
      <c r="B311" s="3418"/>
      <c r="C311" s="3418"/>
      <c r="D311" s="3418"/>
      <c r="E311" s="3418"/>
      <c r="F311" s="3418"/>
      <c r="G311" s="3418"/>
      <c r="H311" s="3418"/>
      <c r="I311" s="3418"/>
      <c r="J311" s="3418"/>
      <c r="K311" s="3418"/>
      <c r="L311" s="3418"/>
      <c r="M311" s="3418"/>
      <c r="N311" s="3418"/>
      <c r="O311" s="3418"/>
      <c r="P311" s="3418"/>
      <c r="Q311" s="3418"/>
      <c r="R311" s="3418"/>
      <c r="S311" s="3418"/>
      <c r="T311" s="3418"/>
      <c r="U311" s="3418"/>
      <c r="V311" s="3418"/>
      <c r="W311" s="3418"/>
      <c r="X311" s="3418"/>
      <c r="Y311" s="3418"/>
      <c r="Z311" s="3418"/>
      <c r="AA311" s="3418"/>
      <c r="AB311" s="3418"/>
      <c r="AC311" s="3418"/>
      <c r="AD311" s="3418"/>
      <c r="AE311" s="3418"/>
      <c r="AF311" s="3418"/>
      <c r="AG311" s="3418"/>
      <c r="AH311" s="3418"/>
      <c r="AI311" s="3418"/>
      <c r="AJ311" s="3418"/>
      <c r="AK311" s="3418"/>
      <c r="AL311" s="3418"/>
      <c r="AM311" s="3418"/>
      <c r="AN311" s="3418"/>
      <c r="AO311" s="3418"/>
      <c r="AP311" s="3418"/>
      <c r="AQ311" s="3418"/>
      <c r="AR311" s="3418"/>
      <c r="AS311" s="3418"/>
      <c r="AT311" s="3418"/>
      <c r="AU311" s="3418"/>
      <c r="AV311" s="3418"/>
      <c r="AW311" s="3418"/>
      <c r="AX311" s="3418"/>
      <c r="AY311" s="3418"/>
      <c r="AZ311" s="3418"/>
      <c r="BA311" s="3418"/>
      <c r="BB311" s="3418"/>
      <c r="BC311" s="3418"/>
      <c r="BD311" s="3418"/>
      <c r="BE311" s="3418"/>
      <c r="BF311" s="3418"/>
      <c r="BG311" s="3418"/>
      <c r="BH311" s="3418"/>
      <c r="BI311" s="3418"/>
      <c r="BJ311" s="3418"/>
      <c r="BK311" s="3418"/>
      <c r="BL311" s="3418"/>
      <c r="BM311" s="3418"/>
      <c r="BN311" s="3418"/>
      <c r="BO311" s="3418"/>
      <c r="BP311" s="3418"/>
      <c r="BQ311" s="3418"/>
      <c r="BR311" s="3418"/>
      <c r="BS311" s="3418"/>
      <c r="BT311" s="3418"/>
      <c r="BU311" s="3418"/>
      <c r="BV311" s="3418"/>
      <c r="BW311" s="3418"/>
      <c r="BX311" s="3418"/>
      <c r="BY311" s="3418"/>
      <c r="BZ311" s="3418"/>
      <c r="CA311" s="3396"/>
      <c r="CB311" s="3396"/>
      <c r="CC311" s="3396"/>
      <c r="CD311" s="3396"/>
      <c r="CE311" s="3396"/>
      <c r="CF311" s="3396"/>
      <c r="CG311" s="3396"/>
      <c r="CH311" s="3396"/>
      <c r="CI311" s="3396"/>
      <c r="CJ311" s="3396"/>
      <c r="CK311" s="3396"/>
      <c r="CL311" s="3396"/>
      <c r="CM311" s="3396"/>
      <c r="CN311" s="3396"/>
      <c r="CO311" s="3396"/>
      <c r="CP311" s="3396"/>
      <c r="CQ311" s="3396"/>
      <c r="CR311" s="3396"/>
      <c r="CS311" s="3396"/>
      <c r="CT311" s="3396"/>
      <c r="CU311" s="3396"/>
      <c r="CV311" s="3396"/>
      <c r="CW311" s="3396"/>
      <c r="CX311" s="3396"/>
    </row>
    <row r="312" s="75" customFormat="1" ht="14.25" customHeight="1" spans="1:102">
      <c r="A312" s="3418"/>
      <c r="B312" s="3418"/>
      <c r="C312" s="3418"/>
      <c r="D312" s="3418"/>
      <c r="E312" s="3418"/>
      <c r="F312" s="3418"/>
      <c r="G312" s="3418"/>
      <c r="H312" s="3418"/>
      <c r="I312" s="3418"/>
      <c r="J312" s="3418"/>
      <c r="K312" s="3418"/>
      <c r="L312" s="3418"/>
      <c r="M312" s="3418"/>
      <c r="N312" s="3418"/>
      <c r="O312" s="3418"/>
      <c r="P312" s="3418"/>
      <c r="Q312" s="3418"/>
      <c r="R312" s="3418"/>
      <c r="S312" s="3418"/>
      <c r="T312" s="3418"/>
      <c r="U312" s="3418"/>
      <c r="V312" s="3418"/>
      <c r="W312" s="3418"/>
      <c r="X312" s="3418"/>
      <c r="Y312" s="3418"/>
      <c r="Z312" s="3418"/>
      <c r="AA312" s="3418"/>
      <c r="AB312" s="3418"/>
      <c r="AC312" s="3418"/>
      <c r="AD312" s="3418"/>
      <c r="AE312" s="3418"/>
      <c r="AF312" s="3418"/>
      <c r="AG312" s="3418"/>
      <c r="AH312" s="3418"/>
      <c r="AI312" s="3418"/>
      <c r="AJ312" s="3418"/>
      <c r="AK312" s="3418"/>
      <c r="AL312" s="3418"/>
      <c r="AM312" s="3418"/>
      <c r="AN312" s="3418"/>
      <c r="AO312" s="3418"/>
      <c r="AP312" s="3418"/>
      <c r="AQ312" s="3418"/>
      <c r="AR312" s="3418"/>
      <c r="AS312" s="3418"/>
      <c r="AT312" s="3418"/>
      <c r="AU312" s="3418"/>
      <c r="AV312" s="3418"/>
      <c r="AW312" s="3418"/>
      <c r="AX312" s="3418"/>
      <c r="AY312" s="3418"/>
      <c r="AZ312" s="3418"/>
      <c r="BA312" s="3418"/>
      <c r="BB312" s="3418"/>
      <c r="BC312" s="3418"/>
      <c r="BD312" s="3418"/>
      <c r="BE312" s="3418"/>
      <c r="BF312" s="3418"/>
      <c r="BG312" s="3418"/>
      <c r="BH312" s="3418"/>
      <c r="BI312" s="3418"/>
      <c r="BJ312" s="3418"/>
      <c r="BK312" s="3418"/>
      <c r="BL312" s="3418"/>
      <c r="BM312" s="3418"/>
      <c r="BN312" s="3418"/>
      <c r="BO312" s="3418"/>
      <c r="BP312" s="3418"/>
      <c r="BQ312" s="3418"/>
      <c r="BR312" s="3418"/>
      <c r="BS312" s="3418"/>
      <c r="BT312" s="3418"/>
      <c r="BU312" s="3418"/>
      <c r="BV312" s="3418"/>
      <c r="BW312" s="3418"/>
      <c r="BX312" s="3418"/>
      <c r="BY312" s="3418"/>
      <c r="BZ312" s="3418"/>
      <c r="CA312" s="3396"/>
      <c r="CB312" s="3396"/>
      <c r="CC312" s="3396"/>
      <c r="CD312" s="3396"/>
      <c r="CE312" s="3396"/>
      <c r="CF312" s="3396"/>
      <c r="CG312" s="3396"/>
      <c r="CH312" s="3396"/>
      <c r="CI312" s="3396"/>
      <c r="CJ312" s="3396"/>
      <c r="CK312" s="3396"/>
      <c r="CL312" s="3396"/>
      <c r="CM312" s="3396"/>
      <c r="CN312" s="3396"/>
      <c r="CO312" s="3396"/>
      <c r="CP312" s="3396"/>
      <c r="CQ312" s="3396"/>
      <c r="CR312" s="3396"/>
      <c r="CS312" s="3396"/>
      <c r="CT312" s="3396"/>
      <c r="CU312" s="3396"/>
      <c r="CV312" s="3396"/>
      <c r="CW312" s="3396"/>
      <c r="CX312" s="3396"/>
    </row>
    <row r="313" s="75" customFormat="1" ht="14.25" customHeight="1" spans="1:102">
      <c r="A313" s="3418"/>
      <c r="B313" s="3418"/>
      <c r="C313" s="3418"/>
      <c r="D313" s="3418"/>
      <c r="E313" s="3418"/>
      <c r="F313" s="3418"/>
      <c r="G313" s="3418"/>
      <c r="H313" s="3418"/>
      <c r="I313" s="3418"/>
      <c r="J313" s="3418"/>
      <c r="K313" s="3418"/>
      <c r="L313" s="3418"/>
      <c r="M313" s="3418"/>
      <c r="N313" s="3418"/>
      <c r="O313" s="3418"/>
      <c r="P313" s="3418"/>
      <c r="Q313" s="3418"/>
      <c r="R313" s="3418"/>
      <c r="S313" s="3418"/>
      <c r="T313" s="3418"/>
      <c r="U313" s="3418"/>
      <c r="V313" s="3418"/>
      <c r="W313" s="3418"/>
      <c r="X313" s="3418"/>
      <c r="Y313" s="3418"/>
      <c r="Z313" s="3418"/>
      <c r="AA313" s="3418"/>
      <c r="AB313" s="3418"/>
      <c r="AC313" s="3418"/>
      <c r="AD313" s="3418"/>
      <c r="AE313" s="3418"/>
      <c r="AF313" s="3418"/>
      <c r="AG313" s="3418"/>
      <c r="AH313" s="3418"/>
      <c r="AI313" s="3418"/>
      <c r="AJ313" s="3418"/>
      <c r="AK313" s="3418"/>
      <c r="AL313" s="3418"/>
      <c r="AM313" s="3418"/>
      <c r="AN313" s="3418"/>
      <c r="AO313" s="3418"/>
      <c r="AP313" s="3418"/>
      <c r="AQ313" s="3418"/>
      <c r="AR313" s="3418"/>
      <c r="AS313" s="3418"/>
      <c r="AT313" s="3418"/>
      <c r="AU313" s="3418"/>
      <c r="AV313" s="3418"/>
      <c r="AW313" s="3418"/>
      <c r="AX313" s="3418"/>
      <c r="AY313" s="3418"/>
      <c r="AZ313" s="3418"/>
      <c r="BA313" s="3418"/>
      <c r="BB313" s="3418"/>
      <c r="BC313" s="3418"/>
      <c r="BD313" s="3418"/>
      <c r="BE313" s="3418"/>
      <c r="BF313" s="3418"/>
      <c r="BG313" s="3418"/>
      <c r="BH313" s="3418"/>
      <c r="BI313" s="3418"/>
      <c r="BJ313" s="3418"/>
      <c r="BK313" s="3418"/>
      <c r="BL313" s="3418"/>
      <c r="BM313" s="3418"/>
      <c r="BN313" s="3418"/>
      <c r="BO313" s="3418"/>
      <c r="BP313" s="3418"/>
      <c r="BQ313" s="3418"/>
      <c r="BR313" s="3418"/>
      <c r="BS313" s="3418"/>
      <c r="BT313" s="3418"/>
      <c r="BU313" s="3418"/>
      <c r="BV313" s="3418"/>
      <c r="BW313" s="3418"/>
      <c r="BX313" s="3418"/>
      <c r="BY313" s="3418"/>
      <c r="BZ313" s="3418"/>
      <c r="CA313" s="3396"/>
      <c r="CB313" s="3396"/>
      <c r="CC313" s="3396"/>
      <c r="CD313" s="3396"/>
      <c r="CE313" s="3396"/>
      <c r="CF313" s="3396"/>
      <c r="CG313" s="3396"/>
      <c r="CH313" s="3396"/>
      <c r="CI313" s="3396"/>
      <c r="CJ313" s="3396"/>
      <c r="CK313" s="3396"/>
      <c r="CL313" s="3396"/>
      <c r="CM313" s="3396"/>
      <c r="CN313" s="3396"/>
      <c r="CO313" s="3396"/>
      <c r="CP313" s="3396"/>
      <c r="CQ313" s="3396"/>
      <c r="CR313" s="3396"/>
      <c r="CS313" s="3396"/>
      <c r="CT313" s="3396"/>
      <c r="CU313" s="3396"/>
      <c r="CV313" s="3396"/>
      <c r="CW313" s="3396"/>
      <c r="CX313" s="3396"/>
    </row>
    <row r="314" s="75" customFormat="1" ht="14.25" customHeight="1" spans="1:102">
      <c r="A314" s="3418"/>
      <c r="B314" s="3418"/>
      <c r="C314" s="3418"/>
      <c r="D314" s="3418"/>
      <c r="E314" s="3418"/>
      <c r="F314" s="3418"/>
      <c r="G314" s="3418"/>
      <c r="H314" s="3418"/>
      <c r="I314" s="3418"/>
      <c r="J314" s="3418"/>
      <c r="K314" s="3418"/>
      <c r="L314" s="3418"/>
      <c r="M314" s="3418"/>
      <c r="N314" s="3418"/>
      <c r="O314" s="3418"/>
      <c r="P314" s="3418"/>
      <c r="Q314" s="3418"/>
      <c r="R314" s="3418"/>
      <c r="S314" s="3418"/>
      <c r="T314" s="3418"/>
      <c r="U314" s="3418"/>
      <c r="V314" s="3418"/>
      <c r="W314" s="3418"/>
      <c r="X314" s="3418"/>
      <c r="Y314" s="3418"/>
      <c r="Z314" s="3418"/>
      <c r="AA314" s="3418"/>
      <c r="AB314" s="3418"/>
      <c r="AC314" s="3418"/>
      <c r="AD314" s="3418"/>
      <c r="AE314" s="3418"/>
      <c r="AF314" s="3418"/>
      <c r="AG314" s="3418"/>
      <c r="AH314" s="3418"/>
      <c r="AI314" s="3418"/>
      <c r="AJ314" s="3418"/>
      <c r="AK314" s="3418"/>
      <c r="AL314" s="3418"/>
      <c r="AM314" s="3418"/>
      <c r="AN314" s="3418"/>
      <c r="AO314" s="3418"/>
      <c r="AP314" s="3418"/>
      <c r="AQ314" s="3418"/>
      <c r="AR314" s="3418"/>
      <c r="AS314" s="3418"/>
      <c r="AT314" s="3418"/>
      <c r="AU314" s="3418"/>
      <c r="AV314" s="3418"/>
      <c r="AW314" s="3418"/>
      <c r="AX314" s="3418"/>
      <c r="AY314" s="3418"/>
      <c r="AZ314" s="3418"/>
      <c r="BA314" s="3418"/>
      <c r="BB314" s="3418"/>
      <c r="BC314" s="3418"/>
      <c r="BD314" s="3418"/>
      <c r="BE314" s="3418"/>
      <c r="BF314" s="3418"/>
      <c r="BG314" s="3418"/>
      <c r="BH314" s="3418"/>
      <c r="BI314" s="3418"/>
      <c r="BJ314" s="3418"/>
      <c r="BK314" s="3418"/>
      <c r="BL314" s="3418"/>
      <c r="BM314" s="3418"/>
      <c r="BN314" s="3418"/>
      <c r="BO314" s="3418"/>
      <c r="BP314" s="3418"/>
      <c r="BQ314" s="3418"/>
      <c r="BR314" s="3418"/>
      <c r="BS314" s="3418"/>
      <c r="BT314" s="3418"/>
      <c r="BU314" s="3418"/>
      <c r="BV314" s="3418"/>
      <c r="BW314" s="3418"/>
      <c r="BX314" s="3418"/>
      <c r="BY314" s="3418"/>
      <c r="BZ314" s="3418"/>
      <c r="CA314" s="3396"/>
      <c r="CB314" s="3396"/>
      <c r="CC314" s="3396"/>
      <c r="CD314" s="3396"/>
      <c r="CE314" s="3396"/>
      <c r="CF314" s="3396"/>
      <c r="CG314" s="3396"/>
      <c r="CH314" s="3396"/>
      <c r="CI314" s="3396"/>
      <c r="CJ314" s="3396"/>
      <c r="CK314" s="3396"/>
      <c r="CL314" s="3396"/>
      <c r="CM314" s="3396"/>
      <c r="CN314" s="3396"/>
      <c r="CO314" s="3396"/>
      <c r="CP314" s="3396"/>
      <c r="CQ314" s="3396"/>
      <c r="CR314" s="3396"/>
      <c r="CS314" s="3396"/>
      <c r="CT314" s="3396"/>
      <c r="CU314" s="3396"/>
      <c r="CV314" s="3396"/>
      <c r="CW314" s="3396"/>
      <c r="CX314" s="3396"/>
    </row>
    <row r="315" s="75" customFormat="1" ht="14.25" customHeight="1" spans="1:102">
      <c r="A315" s="3418"/>
      <c r="B315" s="3418"/>
      <c r="C315" s="3418"/>
      <c r="D315" s="3418"/>
      <c r="E315" s="3418"/>
      <c r="F315" s="3418"/>
      <c r="G315" s="3418"/>
      <c r="H315" s="3418"/>
      <c r="I315" s="3418"/>
      <c r="J315" s="3418"/>
      <c r="K315" s="3418"/>
      <c r="L315" s="3418"/>
      <c r="M315" s="3418"/>
      <c r="N315" s="3418"/>
      <c r="O315" s="3418"/>
      <c r="P315" s="3418"/>
      <c r="Q315" s="3418"/>
      <c r="R315" s="3418"/>
      <c r="S315" s="3418"/>
      <c r="T315" s="3418"/>
      <c r="U315" s="3418"/>
      <c r="V315" s="3418"/>
      <c r="W315" s="3418"/>
      <c r="X315" s="3418"/>
      <c r="Y315" s="3418"/>
      <c r="Z315" s="3418"/>
      <c r="AA315" s="3418"/>
      <c r="AB315" s="3418"/>
      <c r="AC315" s="3418"/>
      <c r="AD315" s="3418"/>
      <c r="AE315" s="3418"/>
      <c r="AF315" s="3418"/>
      <c r="AG315" s="3418"/>
      <c r="AH315" s="3418"/>
      <c r="AI315" s="3418"/>
      <c r="AJ315" s="3418"/>
      <c r="AK315" s="3418"/>
      <c r="AL315" s="3418"/>
      <c r="AM315" s="3418"/>
      <c r="AN315" s="3418"/>
      <c r="AO315" s="3418"/>
      <c r="AP315" s="3418"/>
      <c r="AQ315" s="3418"/>
      <c r="AR315" s="3418"/>
      <c r="AS315" s="3418"/>
      <c r="AT315" s="3418"/>
      <c r="AU315" s="3418"/>
      <c r="AV315" s="3418"/>
      <c r="AW315" s="3418"/>
      <c r="AX315" s="3418"/>
      <c r="AY315" s="3418"/>
      <c r="AZ315" s="3418"/>
      <c r="BA315" s="3418"/>
      <c r="BB315" s="3418"/>
      <c r="BC315" s="3418"/>
      <c r="BD315" s="3418"/>
      <c r="BE315" s="3418"/>
      <c r="BF315" s="3418"/>
      <c r="BG315" s="3418"/>
      <c r="BH315" s="3418"/>
      <c r="BI315" s="3418"/>
      <c r="BJ315" s="3418"/>
      <c r="BK315" s="3418"/>
      <c r="BL315" s="3418"/>
      <c r="BM315" s="3418"/>
      <c r="BN315" s="3418"/>
      <c r="BO315" s="3418"/>
      <c r="BP315" s="3418"/>
      <c r="BQ315" s="3418"/>
      <c r="BR315" s="3418"/>
      <c r="BS315" s="3418"/>
      <c r="BT315" s="3418"/>
      <c r="BU315" s="3418"/>
      <c r="BV315" s="3418"/>
      <c r="BW315" s="3418"/>
      <c r="BX315" s="3418"/>
      <c r="BY315" s="3418"/>
      <c r="BZ315" s="3418"/>
      <c r="CA315" s="3396"/>
      <c r="CB315" s="3396"/>
      <c r="CC315" s="3396"/>
      <c r="CD315" s="3396"/>
      <c r="CE315" s="3396"/>
      <c r="CF315" s="3396"/>
      <c r="CG315" s="3396"/>
      <c r="CH315" s="3396"/>
      <c r="CI315" s="3396"/>
      <c r="CJ315" s="3396"/>
      <c r="CK315" s="3396"/>
      <c r="CL315" s="3396"/>
      <c r="CM315" s="3396"/>
      <c r="CN315" s="3396"/>
      <c r="CO315" s="3396"/>
      <c r="CP315" s="3396"/>
      <c r="CQ315" s="3396"/>
      <c r="CR315" s="3396"/>
      <c r="CS315" s="3396"/>
      <c r="CT315" s="3396"/>
      <c r="CU315" s="3396"/>
      <c r="CV315" s="3396"/>
      <c r="CW315" s="3396"/>
      <c r="CX315" s="3396"/>
    </row>
    <row r="316" s="75" customFormat="1" ht="14.25" customHeight="1" spans="1:102">
      <c r="A316" s="3418"/>
      <c r="B316" s="3418"/>
      <c r="C316" s="3418"/>
      <c r="D316" s="3418"/>
      <c r="E316" s="3418"/>
      <c r="F316" s="3418"/>
      <c r="G316" s="3418"/>
      <c r="H316" s="3418"/>
      <c r="I316" s="3418"/>
      <c r="J316" s="3418"/>
      <c r="K316" s="3418"/>
      <c r="L316" s="3418"/>
      <c r="M316" s="3418"/>
      <c r="N316" s="3418"/>
      <c r="O316" s="3418"/>
      <c r="P316" s="3418"/>
      <c r="Q316" s="3418"/>
      <c r="R316" s="3418"/>
      <c r="S316" s="3418"/>
      <c r="T316" s="3418"/>
      <c r="U316" s="3418"/>
      <c r="V316" s="3418"/>
      <c r="W316" s="3418"/>
      <c r="X316" s="3418"/>
      <c r="Y316" s="3418"/>
      <c r="Z316" s="3418"/>
      <c r="AA316" s="3418"/>
      <c r="AB316" s="3418"/>
      <c r="AC316" s="3418"/>
      <c r="AD316" s="3418"/>
      <c r="AE316" s="3418"/>
      <c r="AF316" s="3418"/>
      <c r="AG316" s="3418"/>
      <c r="AH316" s="3418"/>
      <c r="AI316" s="3418"/>
      <c r="AJ316" s="3418"/>
      <c r="AK316" s="3418"/>
      <c r="AL316" s="3418"/>
      <c r="AM316" s="3418"/>
      <c r="AN316" s="3418"/>
      <c r="AO316" s="3418"/>
      <c r="AP316" s="3418"/>
      <c r="AQ316" s="3418"/>
      <c r="AR316" s="3418"/>
      <c r="AS316" s="3418"/>
      <c r="AT316" s="3418"/>
      <c r="AU316" s="3418"/>
      <c r="AV316" s="3418"/>
      <c r="AW316" s="3418"/>
      <c r="AX316" s="3418"/>
      <c r="AY316" s="3418"/>
      <c r="AZ316" s="3418"/>
      <c r="BA316" s="3418"/>
      <c r="BB316" s="3418"/>
      <c r="BC316" s="3418"/>
      <c r="BD316" s="3418"/>
      <c r="BE316" s="3418"/>
      <c r="BF316" s="3418"/>
      <c r="BG316" s="3418"/>
      <c r="BH316" s="3418"/>
      <c r="BI316" s="3418"/>
      <c r="BJ316" s="3418"/>
      <c r="BK316" s="3418"/>
      <c r="BL316" s="3418"/>
      <c r="BM316" s="3418"/>
      <c r="BN316" s="3418"/>
      <c r="BO316" s="3418"/>
      <c r="BP316" s="3418"/>
      <c r="BQ316" s="3418"/>
      <c r="BR316" s="3418"/>
      <c r="BS316" s="3418"/>
      <c r="BT316" s="3418"/>
      <c r="BU316" s="3418"/>
      <c r="BV316" s="3418"/>
      <c r="BW316" s="3418"/>
      <c r="BX316" s="3418"/>
      <c r="BY316" s="3418"/>
      <c r="BZ316" s="3418"/>
      <c r="CA316" s="3396"/>
      <c r="CB316" s="3396"/>
      <c r="CC316" s="3396"/>
      <c r="CD316" s="3396"/>
      <c r="CE316" s="3396"/>
      <c r="CF316" s="3396"/>
      <c r="CG316" s="3396"/>
      <c r="CH316" s="3396"/>
      <c r="CI316" s="3396"/>
      <c r="CJ316" s="3396"/>
      <c r="CK316" s="3396"/>
      <c r="CL316" s="3396"/>
      <c r="CM316" s="3396"/>
      <c r="CN316" s="3396"/>
      <c r="CO316" s="3396"/>
      <c r="CP316" s="3396"/>
      <c r="CQ316" s="3396"/>
      <c r="CR316" s="3396"/>
      <c r="CS316" s="3396"/>
      <c r="CT316" s="3396"/>
      <c r="CU316" s="3396"/>
      <c r="CV316" s="3396"/>
      <c r="CW316" s="3396"/>
      <c r="CX316" s="3396"/>
    </row>
    <row r="317" s="75" customFormat="1" ht="14.25" customHeight="1" spans="1:102">
      <c r="A317" s="3418"/>
      <c r="B317" s="3418"/>
      <c r="C317" s="3418"/>
      <c r="D317" s="3418"/>
      <c r="E317" s="3418"/>
      <c r="F317" s="3418"/>
      <c r="G317" s="3418"/>
      <c r="H317" s="3418"/>
      <c r="I317" s="3418"/>
      <c r="J317" s="3418"/>
      <c r="K317" s="3418"/>
      <c r="L317" s="3418"/>
      <c r="M317" s="3418"/>
      <c r="N317" s="3418"/>
      <c r="O317" s="3418"/>
      <c r="P317" s="3418"/>
      <c r="Q317" s="3418"/>
      <c r="R317" s="3418"/>
      <c r="S317" s="3418"/>
      <c r="T317" s="3418"/>
      <c r="U317" s="3418"/>
      <c r="V317" s="3418"/>
      <c r="W317" s="3418"/>
      <c r="X317" s="3418"/>
      <c r="Y317" s="3418"/>
      <c r="Z317" s="3418"/>
      <c r="AA317" s="3418"/>
      <c r="AB317" s="3418"/>
      <c r="AC317" s="3418"/>
      <c r="AD317" s="3418"/>
      <c r="AE317" s="3418"/>
      <c r="AF317" s="3418"/>
      <c r="AG317" s="3418"/>
      <c r="AH317" s="3418"/>
      <c r="AI317" s="3418"/>
      <c r="AJ317" s="3418"/>
      <c r="AK317" s="3418"/>
      <c r="AL317" s="3418"/>
      <c r="AM317" s="3418"/>
      <c r="AN317" s="3418"/>
      <c r="AO317" s="3418"/>
      <c r="AP317" s="3418"/>
      <c r="AQ317" s="3418"/>
      <c r="AR317" s="3418"/>
      <c r="AS317" s="3418"/>
      <c r="AT317" s="3418"/>
      <c r="AU317" s="3418"/>
      <c r="AV317" s="3418"/>
      <c r="AW317" s="3418"/>
      <c r="AX317" s="3418"/>
      <c r="AY317" s="3418"/>
      <c r="AZ317" s="3418"/>
      <c r="BA317" s="3418"/>
      <c r="BB317" s="3418"/>
      <c r="BC317" s="3418"/>
      <c r="BD317" s="3418"/>
      <c r="BE317" s="3418"/>
      <c r="BF317" s="3418"/>
      <c r="BG317" s="3418"/>
      <c r="BH317" s="3418"/>
      <c r="BI317" s="3418"/>
      <c r="BJ317" s="3418"/>
      <c r="BK317" s="3418"/>
      <c r="BL317" s="3418"/>
      <c r="BM317" s="3418"/>
      <c r="BN317" s="3418"/>
      <c r="BO317" s="3418"/>
      <c r="BP317" s="3418"/>
      <c r="BQ317" s="3418"/>
      <c r="BR317" s="3418"/>
      <c r="BS317" s="3418"/>
      <c r="BT317" s="3418"/>
      <c r="BU317" s="3418"/>
      <c r="BV317" s="3418"/>
      <c r="BW317" s="3418"/>
      <c r="BX317" s="3418"/>
      <c r="BY317" s="3418"/>
      <c r="BZ317" s="3418"/>
      <c r="CA317" s="3396"/>
      <c r="CB317" s="3396"/>
      <c r="CC317" s="3396"/>
      <c r="CD317" s="3396"/>
      <c r="CE317" s="3396"/>
      <c r="CF317" s="3396"/>
      <c r="CG317" s="3396"/>
      <c r="CH317" s="3396"/>
      <c r="CI317" s="3396"/>
      <c r="CJ317" s="3396"/>
      <c r="CK317" s="3396"/>
      <c r="CL317" s="3396"/>
      <c r="CM317" s="3396"/>
      <c r="CN317" s="3396"/>
      <c r="CO317" s="3396"/>
      <c r="CP317" s="3396"/>
      <c r="CQ317" s="3396"/>
      <c r="CR317" s="3396"/>
      <c r="CS317" s="3396"/>
      <c r="CT317" s="3396"/>
      <c r="CU317" s="3396"/>
      <c r="CV317" s="3396"/>
      <c r="CW317" s="3396"/>
      <c r="CX317" s="3396"/>
    </row>
    <row r="318" s="75" customFormat="1" ht="14.25" customHeight="1" spans="1:102">
      <c r="A318" s="3418"/>
      <c r="B318" s="3418"/>
      <c r="C318" s="3418"/>
      <c r="D318" s="3418"/>
      <c r="E318" s="3418"/>
      <c r="F318" s="3418"/>
      <c r="G318" s="3418"/>
      <c r="H318" s="3418"/>
      <c r="I318" s="3418"/>
      <c r="J318" s="3418"/>
      <c r="K318" s="3418"/>
      <c r="L318" s="3418"/>
      <c r="M318" s="3418"/>
      <c r="N318" s="3418"/>
      <c r="O318" s="3418"/>
      <c r="P318" s="3418"/>
      <c r="Q318" s="3418"/>
      <c r="R318" s="3418"/>
      <c r="S318" s="3418"/>
      <c r="T318" s="3418"/>
      <c r="U318" s="3418"/>
      <c r="V318" s="3418"/>
      <c r="W318" s="3418"/>
      <c r="X318" s="3418"/>
      <c r="Y318" s="3418"/>
      <c r="Z318" s="3418"/>
      <c r="AA318" s="3418"/>
      <c r="AB318" s="3418"/>
      <c r="AC318" s="3418"/>
      <c r="AD318" s="3418"/>
      <c r="AE318" s="3418"/>
      <c r="AF318" s="3418"/>
      <c r="AG318" s="3418"/>
      <c r="AH318" s="3418"/>
      <c r="AI318" s="3418"/>
      <c r="AJ318" s="3418"/>
      <c r="AK318" s="3418"/>
      <c r="AL318" s="3418"/>
      <c r="AM318" s="3418"/>
      <c r="AN318" s="3418"/>
      <c r="AO318" s="3418"/>
      <c r="AP318" s="3418"/>
      <c r="AQ318" s="3418"/>
      <c r="AR318" s="3418"/>
      <c r="AS318" s="3418"/>
      <c r="AT318" s="3418"/>
      <c r="AU318" s="3418"/>
      <c r="AV318" s="3418"/>
      <c r="AW318" s="3418"/>
      <c r="AX318" s="3418"/>
      <c r="AY318" s="3418"/>
      <c r="AZ318" s="3418"/>
      <c r="BA318" s="3418"/>
      <c r="BB318" s="3418"/>
      <c r="BC318" s="3418"/>
      <c r="BD318" s="3418"/>
      <c r="BE318" s="3418"/>
      <c r="BF318" s="3418"/>
      <c r="BG318" s="3418"/>
      <c r="BH318" s="3418"/>
      <c r="BI318" s="3418"/>
      <c r="BJ318" s="3418"/>
      <c r="BK318" s="3418"/>
      <c r="BL318" s="3418"/>
      <c r="BM318" s="3418"/>
      <c r="BN318" s="3418"/>
      <c r="BO318" s="3418"/>
      <c r="BP318" s="3418"/>
      <c r="BQ318" s="3418"/>
      <c r="BR318" s="3418"/>
      <c r="BS318" s="3418"/>
      <c r="BT318" s="3418"/>
      <c r="BU318" s="3418"/>
      <c r="BV318" s="3418"/>
      <c r="BW318" s="3418"/>
      <c r="BX318" s="3418"/>
      <c r="BY318" s="3418"/>
      <c r="BZ318" s="3418"/>
      <c r="CA318" s="3396"/>
      <c r="CB318" s="3396"/>
      <c r="CC318" s="3396"/>
      <c r="CD318" s="3396"/>
      <c r="CE318" s="3396"/>
      <c r="CF318" s="3396"/>
      <c r="CG318" s="3396"/>
      <c r="CH318" s="3396"/>
      <c r="CI318" s="3396"/>
      <c r="CJ318" s="3396"/>
      <c r="CK318" s="3396"/>
      <c r="CL318" s="3396"/>
      <c r="CM318" s="3396"/>
      <c r="CN318" s="3396"/>
      <c r="CO318" s="3396"/>
      <c r="CP318" s="3396"/>
      <c r="CQ318" s="3396"/>
      <c r="CR318" s="3396"/>
      <c r="CS318" s="3396"/>
      <c r="CT318" s="3396"/>
      <c r="CU318" s="3396"/>
      <c r="CV318" s="3396"/>
      <c r="CW318" s="3396"/>
      <c r="CX318" s="3396"/>
    </row>
    <row r="319" s="75" customFormat="1" ht="14.25" customHeight="1" spans="1:102">
      <c r="A319" s="3418"/>
      <c r="B319" s="3418"/>
      <c r="C319" s="3418"/>
      <c r="D319" s="3418"/>
      <c r="E319" s="3418"/>
      <c r="F319" s="3418"/>
      <c r="G319" s="3418"/>
      <c r="H319" s="3418"/>
      <c r="I319" s="3418"/>
      <c r="J319" s="3418"/>
      <c r="K319" s="3418"/>
      <c r="L319" s="3418"/>
      <c r="M319" s="3418"/>
      <c r="N319" s="3418"/>
      <c r="O319" s="3418"/>
      <c r="P319" s="3418"/>
      <c r="Q319" s="3418"/>
      <c r="R319" s="3418"/>
      <c r="S319" s="3418"/>
      <c r="T319" s="3418"/>
      <c r="U319" s="3418"/>
      <c r="V319" s="3418"/>
      <c r="W319" s="3418"/>
      <c r="X319" s="3418"/>
      <c r="Y319" s="3418"/>
      <c r="Z319" s="3418"/>
      <c r="AA319" s="3418"/>
      <c r="AB319" s="3418"/>
      <c r="AC319" s="3418"/>
      <c r="AD319" s="3418"/>
      <c r="AE319" s="3418"/>
      <c r="AF319" s="3418"/>
      <c r="AG319" s="3418"/>
      <c r="AH319" s="3418"/>
      <c r="AI319" s="3418"/>
      <c r="AJ319" s="3418"/>
      <c r="AK319" s="3418"/>
      <c r="AL319" s="3418"/>
      <c r="AM319" s="3418"/>
      <c r="AN319" s="3418"/>
      <c r="AO319" s="3418"/>
      <c r="AP319" s="3418"/>
      <c r="AQ319" s="3418"/>
      <c r="AR319" s="3418"/>
      <c r="AS319" s="3418"/>
      <c r="AT319" s="3418"/>
      <c r="AU319" s="3418"/>
      <c r="AV319" s="3418"/>
      <c r="AW319" s="3418"/>
      <c r="AX319" s="3418"/>
      <c r="AY319" s="3418"/>
      <c r="AZ319" s="3418"/>
      <c r="BA319" s="3418"/>
      <c r="BB319" s="3418"/>
      <c r="BC319" s="3418"/>
      <c r="BD319" s="3418"/>
      <c r="BE319" s="3418"/>
      <c r="BF319" s="3418"/>
      <c r="BG319" s="3418"/>
      <c r="BH319" s="3418"/>
      <c r="BI319" s="3418"/>
      <c r="BJ319" s="3418"/>
      <c r="BK319" s="3418"/>
      <c r="BL319" s="3418"/>
      <c r="BM319" s="3418"/>
      <c r="BN319" s="3418"/>
      <c r="BO319" s="3418"/>
      <c r="BP319" s="3418"/>
      <c r="BQ319" s="3418"/>
      <c r="BR319" s="3418"/>
      <c r="BS319" s="3418"/>
      <c r="BT319" s="3418"/>
      <c r="BU319" s="3418"/>
      <c r="BV319" s="3418"/>
      <c r="BW319" s="3418"/>
      <c r="BX319" s="3418"/>
      <c r="BY319" s="3418"/>
      <c r="BZ319" s="3418"/>
      <c r="CA319" s="3396"/>
      <c r="CB319" s="3396"/>
      <c r="CC319" s="3396"/>
      <c r="CD319" s="3396"/>
      <c r="CE319" s="3396"/>
      <c r="CF319" s="3396"/>
      <c r="CG319" s="3396"/>
      <c r="CH319" s="3396"/>
      <c r="CI319" s="3396"/>
      <c r="CJ319" s="3396"/>
      <c r="CK319" s="3396"/>
      <c r="CL319" s="3396"/>
      <c r="CM319" s="3396"/>
      <c r="CN319" s="3396"/>
      <c r="CO319" s="3396"/>
      <c r="CP319" s="3396"/>
      <c r="CQ319" s="3396"/>
      <c r="CR319" s="3396"/>
      <c r="CS319" s="3396"/>
      <c r="CT319" s="3396"/>
      <c r="CU319" s="3396"/>
      <c r="CV319" s="3396"/>
      <c r="CW319" s="3396"/>
      <c r="CX319" s="3396"/>
    </row>
    <row r="320" s="75" customFormat="1" ht="14.25" customHeight="1" spans="1:102">
      <c r="A320" s="3418"/>
      <c r="B320" s="3418"/>
      <c r="C320" s="3418"/>
      <c r="D320" s="3418"/>
      <c r="E320" s="3418"/>
      <c r="F320" s="3418"/>
      <c r="G320" s="3418"/>
      <c r="H320" s="3418"/>
      <c r="I320" s="3418"/>
      <c r="J320" s="3418"/>
      <c r="K320" s="3418"/>
      <c r="L320" s="3418"/>
      <c r="M320" s="3418"/>
      <c r="N320" s="3418"/>
      <c r="O320" s="3418"/>
      <c r="P320" s="3418"/>
      <c r="Q320" s="3418"/>
      <c r="R320" s="3418"/>
      <c r="S320" s="3418"/>
      <c r="T320" s="3418"/>
      <c r="U320" s="3418"/>
      <c r="V320" s="3418"/>
      <c r="W320" s="3418"/>
      <c r="X320" s="3418"/>
      <c r="Y320" s="3418"/>
      <c r="Z320" s="3418"/>
      <c r="AA320" s="3418"/>
      <c r="AB320" s="3418"/>
      <c r="AC320" s="3418"/>
      <c r="AD320" s="3418"/>
      <c r="AE320" s="3418"/>
      <c r="AF320" s="3418"/>
      <c r="AG320" s="3418"/>
      <c r="AH320" s="3418"/>
      <c r="AI320" s="3418"/>
      <c r="AJ320" s="3418"/>
      <c r="AK320" s="3418"/>
      <c r="AL320" s="3418"/>
      <c r="AM320" s="3418"/>
      <c r="AN320" s="3418"/>
      <c r="AO320" s="3418"/>
      <c r="AP320" s="3418"/>
      <c r="AQ320" s="3418"/>
      <c r="AR320" s="3418"/>
      <c r="AS320" s="3418"/>
      <c r="AT320" s="3418"/>
      <c r="AU320" s="3418"/>
      <c r="AV320" s="3418"/>
      <c r="AW320" s="3418"/>
      <c r="AX320" s="3418"/>
      <c r="AY320" s="3418"/>
      <c r="AZ320" s="3418"/>
      <c r="BA320" s="3418"/>
      <c r="BB320" s="3418"/>
      <c r="BC320" s="3418"/>
      <c r="BD320" s="3418"/>
      <c r="BE320" s="3418"/>
      <c r="BF320" s="3418"/>
      <c r="BG320" s="3418"/>
      <c r="BH320" s="3418"/>
      <c r="BI320" s="3418"/>
      <c r="BJ320" s="3418"/>
      <c r="BK320" s="3418"/>
      <c r="BL320" s="3418"/>
      <c r="BM320" s="3418"/>
      <c r="BN320" s="3418"/>
      <c r="BO320" s="3418"/>
      <c r="BP320" s="3418"/>
      <c r="BQ320" s="3418"/>
      <c r="BR320" s="3418"/>
      <c r="BS320" s="3418"/>
      <c r="BT320" s="3418"/>
      <c r="BU320" s="3418"/>
      <c r="BV320" s="3418"/>
      <c r="BW320" s="3418"/>
      <c r="BX320" s="3418"/>
      <c r="BY320" s="3418"/>
      <c r="BZ320" s="3418"/>
      <c r="CA320" s="3396"/>
      <c r="CB320" s="3396"/>
      <c r="CC320" s="3396"/>
      <c r="CD320" s="3396"/>
      <c r="CE320" s="3396"/>
      <c r="CF320" s="3396"/>
      <c r="CG320" s="3396"/>
      <c r="CH320" s="3396"/>
      <c r="CI320" s="3396"/>
      <c r="CJ320" s="3396"/>
      <c r="CK320" s="3396"/>
      <c r="CL320" s="3396"/>
      <c r="CM320" s="3396"/>
      <c r="CN320" s="3396"/>
      <c r="CO320" s="3396"/>
      <c r="CP320" s="3396"/>
      <c r="CQ320" s="3396"/>
      <c r="CR320" s="3396"/>
      <c r="CS320" s="3396"/>
      <c r="CT320" s="3396"/>
      <c r="CU320" s="3396"/>
      <c r="CV320" s="3396"/>
      <c r="CW320" s="3396"/>
      <c r="CX320" s="3396"/>
    </row>
    <row r="321" s="75" customFormat="1" ht="14.25" customHeight="1" spans="1:102">
      <c r="A321" s="3418"/>
      <c r="B321" s="3418"/>
      <c r="C321" s="3418"/>
      <c r="D321" s="3418"/>
      <c r="E321" s="3418"/>
      <c r="F321" s="3418"/>
      <c r="G321" s="3418"/>
      <c r="H321" s="3418"/>
      <c r="I321" s="3418"/>
      <c r="J321" s="3418"/>
      <c r="K321" s="3418"/>
      <c r="L321" s="3418"/>
      <c r="M321" s="3418"/>
      <c r="N321" s="3418"/>
      <c r="O321" s="3418"/>
      <c r="P321" s="3418"/>
      <c r="Q321" s="3418"/>
      <c r="R321" s="3418"/>
      <c r="S321" s="3418"/>
      <c r="T321" s="3418"/>
      <c r="U321" s="3418"/>
      <c r="V321" s="3418"/>
      <c r="W321" s="3418"/>
      <c r="X321" s="3418"/>
      <c r="Y321" s="3418"/>
      <c r="Z321" s="3418"/>
      <c r="AA321" s="3418"/>
      <c r="AB321" s="3418"/>
      <c r="AC321" s="3418"/>
      <c r="AD321" s="3418"/>
      <c r="AE321" s="3418"/>
      <c r="AF321" s="3418"/>
      <c r="AG321" s="3418"/>
      <c r="AH321" s="3418"/>
      <c r="AI321" s="3418"/>
      <c r="AJ321" s="3418"/>
      <c r="AK321" s="3418"/>
      <c r="AL321" s="3418"/>
      <c r="AM321" s="3418"/>
      <c r="AN321" s="3418"/>
      <c r="AO321" s="3418"/>
      <c r="AP321" s="3418"/>
      <c r="AQ321" s="3418"/>
      <c r="AR321" s="3418"/>
      <c r="AS321" s="3418"/>
      <c r="AT321" s="3418"/>
      <c r="AU321" s="3418"/>
      <c r="AV321" s="3418"/>
      <c r="AW321" s="3418"/>
      <c r="AX321" s="3418"/>
      <c r="AY321" s="3418"/>
      <c r="AZ321" s="3418"/>
      <c r="BA321" s="3418"/>
      <c r="BB321" s="3418"/>
      <c r="BC321" s="3418"/>
      <c r="BD321" s="3418"/>
      <c r="BE321" s="3418"/>
      <c r="BF321" s="3418"/>
      <c r="BG321" s="3418"/>
      <c r="BH321" s="3418"/>
      <c r="BI321" s="3418"/>
      <c r="BJ321" s="3418"/>
      <c r="BK321" s="3418"/>
      <c r="BL321" s="3418"/>
      <c r="BM321" s="3418"/>
      <c r="BN321" s="3418"/>
      <c r="BO321" s="3418"/>
      <c r="BP321" s="3418"/>
      <c r="BQ321" s="3418"/>
      <c r="BR321" s="3418"/>
      <c r="BS321" s="3418"/>
      <c r="BT321" s="3418"/>
      <c r="BU321" s="3418"/>
      <c r="BV321" s="3418"/>
      <c r="BW321" s="3418"/>
      <c r="BX321" s="3418"/>
      <c r="BY321" s="3418"/>
      <c r="BZ321" s="3418"/>
      <c r="CA321" s="3396"/>
      <c r="CB321" s="3396"/>
      <c r="CC321" s="3396"/>
      <c r="CD321" s="3396"/>
      <c r="CE321" s="3396"/>
      <c r="CF321" s="3396"/>
      <c r="CG321" s="3396"/>
      <c r="CH321" s="3396"/>
      <c r="CI321" s="3396"/>
      <c r="CJ321" s="3396"/>
      <c r="CK321" s="3396"/>
      <c r="CL321" s="3396"/>
      <c r="CM321" s="3396"/>
      <c r="CN321" s="3396"/>
      <c r="CO321" s="3396"/>
      <c r="CP321" s="3396"/>
      <c r="CQ321" s="3396"/>
      <c r="CR321" s="3396"/>
      <c r="CS321" s="3396"/>
      <c r="CT321" s="3396"/>
      <c r="CU321" s="3396"/>
      <c r="CV321" s="3396"/>
      <c r="CW321" s="3396"/>
      <c r="CX321" s="3396"/>
    </row>
    <row r="322" s="75" customFormat="1" ht="14.25" customHeight="1" spans="1:102">
      <c r="A322" s="3418"/>
      <c r="B322" s="3418"/>
      <c r="C322" s="3418"/>
      <c r="D322" s="3418"/>
      <c r="E322" s="3418"/>
      <c r="F322" s="3418"/>
      <c r="G322" s="3418"/>
      <c r="H322" s="3418"/>
      <c r="I322" s="3418"/>
      <c r="J322" s="3418"/>
      <c r="K322" s="3418"/>
      <c r="L322" s="3418"/>
      <c r="M322" s="3418"/>
      <c r="N322" s="3418"/>
      <c r="O322" s="3418"/>
      <c r="P322" s="3418"/>
      <c r="Q322" s="3418"/>
      <c r="R322" s="3418"/>
      <c r="S322" s="3418"/>
      <c r="T322" s="3418"/>
      <c r="U322" s="3418"/>
      <c r="V322" s="3418"/>
      <c r="W322" s="3418"/>
      <c r="X322" s="3418"/>
      <c r="Y322" s="3418"/>
      <c r="Z322" s="3418"/>
      <c r="AA322" s="3418"/>
      <c r="AB322" s="3418"/>
      <c r="AC322" s="3418"/>
      <c r="AD322" s="3418"/>
      <c r="AE322" s="3418"/>
      <c r="AF322" s="3418"/>
      <c r="AG322" s="3418"/>
      <c r="AH322" s="3418"/>
      <c r="AI322" s="3418"/>
      <c r="AJ322" s="3418"/>
      <c r="AK322" s="3418"/>
      <c r="AL322" s="3418"/>
      <c r="AM322" s="3418"/>
      <c r="AN322" s="3418"/>
      <c r="AO322" s="3418"/>
      <c r="AP322" s="3418"/>
      <c r="AQ322" s="3418"/>
      <c r="AR322" s="3418"/>
      <c r="AS322" s="3418"/>
      <c r="AT322" s="3418"/>
      <c r="AU322" s="3418"/>
      <c r="AV322" s="3418"/>
      <c r="AW322" s="3418"/>
      <c r="AX322" s="3418"/>
      <c r="AY322" s="3418"/>
      <c r="AZ322" s="3418"/>
      <c r="BA322" s="3418"/>
      <c r="BB322" s="3418"/>
      <c r="BC322" s="3418"/>
      <c r="BD322" s="3418"/>
      <c r="BE322" s="3418"/>
      <c r="BF322" s="3418"/>
      <c r="BG322" s="3418"/>
      <c r="BH322" s="3418"/>
      <c r="BI322" s="3418"/>
      <c r="BJ322" s="3418"/>
      <c r="BK322" s="3418"/>
      <c r="BL322" s="3418"/>
      <c r="BM322" s="3418"/>
      <c r="BN322" s="3418"/>
      <c r="BO322" s="3418"/>
      <c r="BP322" s="3418"/>
      <c r="BQ322" s="3418"/>
      <c r="BR322" s="3418"/>
      <c r="BS322" s="3418"/>
      <c r="BT322" s="3418"/>
      <c r="BU322" s="3418"/>
      <c r="BV322" s="3418"/>
      <c r="BW322" s="3418"/>
      <c r="BX322" s="3418"/>
      <c r="BY322" s="3418"/>
      <c r="BZ322" s="3418"/>
      <c r="CA322" s="3396"/>
      <c r="CB322" s="3396"/>
      <c r="CC322" s="3396"/>
      <c r="CD322" s="3396"/>
      <c r="CE322" s="3396"/>
      <c r="CF322" s="3396"/>
      <c r="CG322" s="3396"/>
      <c r="CH322" s="3396"/>
      <c r="CI322" s="3396"/>
      <c r="CJ322" s="3396"/>
      <c r="CK322" s="3396"/>
      <c r="CL322" s="3396"/>
      <c r="CM322" s="3396"/>
      <c r="CN322" s="3396"/>
      <c r="CO322" s="3396"/>
      <c r="CP322" s="3396"/>
      <c r="CQ322" s="3396"/>
      <c r="CR322" s="3396"/>
      <c r="CS322" s="3396"/>
      <c r="CT322" s="3396"/>
      <c r="CU322" s="3396"/>
      <c r="CV322" s="3396"/>
      <c r="CW322" s="3396"/>
      <c r="CX322" s="3396"/>
    </row>
    <row r="323" s="75" customFormat="1" ht="14.25" customHeight="1" spans="1:102">
      <c r="A323" s="3418"/>
      <c r="B323" s="3418"/>
      <c r="C323" s="3418"/>
      <c r="D323" s="3418"/>
      <c r="E323" s="3418"/>
      <c r="F323" s="3418"/>
      <c r="G323" s="3418"/>
      <c r="H323" s="3418"/>
      <c r="I323" s="3418"/>
      <c r="J323" s="3418"/>
      <c r="K323" s="3418"/>
      <c r="L323" s="3418"/>
      <c r="M323" s="3418"/>
      <c r="N323" s="3418"/>
      <c r="O323" s="3418"/>
      <c r="P323" s="3418"/>
      <c r="Q323" s="3418"/>
      <c r="R323" s="3418"/>
      <c r="S323" s="3418"/>
      <c r="T323" s="3418"/>
      <c r="U323" s="3418"/>
      <c r="V323" s="3418"/>
      <c r="W323" s="3418"/>
      <c r="X323" s="3418"/>
      <c r="Y323" s="3418"/>
      <c r="Z323" s="3418"/>
      <c r="AA323" s="3418"/>
      <c r="AB323" s="3418"/>
      <c r="AC323" s="3418"/>
      <c r="AD323" s="3418"/>
      <c r="AE323" s="3418"/>
      <c r="AF323" s="3418"/>
      <c r="AG323" s="3418"/>
      <c r="AH323" s="3418"/>
      <c r="AI323" s="3418"/>
      <c r="AJ323" s="3418"/>
      <c r="AK323" s="3418"/>
      <c r="AL323" s="3418"/>
      <c r="AM323" s="3418"/>
      <c r="AN323" s="3418"/>
      <c r="AO323" s="3418"/>
      <c r="AP323" s="3418"/>
      <c r="AQ323" s="3418"/>
      <c r="AR323" s="3418"/>
      <c r="AS323" s="3418"/>
      <c r="AT323" s="3418"/>
      <c r="AU323" s="3418"/>
      <c r="AV323" s="3418"/>
      <c r="AW323" s="3418"/>
      <c r="AX323" s="3418"/>
      <c r="AY323" s="3418"/>
      <c r="AZ323" s="3418"/>
      <c r="BA323" s="3418"/>
      <c r="BB323" s="3418"/>
      <c r="BC323" s="3418"/>
      <c r="BD323" s="3418"/>
      <c r="BE323" s="3418"/>
      <c r="BF323" s="3418"/>
      <c r="BG323" s="3418"/>
      <c r="BH323" s="3418"/>
      <c r="BI323" s="3418"/>
      <c r="BJ323" s="3418"/>
      <c r="BK323" s="3418"/>
      <c r="BL323" s="3418"/>
      <c r="BM323" s="3418"/>
      <c r="BN323" s="3418"/>
      <c r="BO323" s="3418"/>
      <c r="BP323" s="3418"/>
      <c r="BQ323" s="3418"/>
      <c r="BR323" s="3418"/>
      <c r="BS323" s="3418"/>
      <c r="BT323" s="3418"/>
      <c r="BU323" s="3418"/>
      <c r="BV323" s="3418"/>
      <c r="BW323" s="3418"/>
      <c r="BX323" s="3418"/>
      <c r="BY323" s="3418"/>
      <c r="BZ323" s="3418"/>
      <c r="CA323" s="3396"/>
      <c r="CB323" s="3396"/>
      <c r="CC323" s="3396"/>
      <c r="CD323" s="3396"/>
      <c r="CE323" s="3396"/>
      <c r="CF323" s="3396"/>
      <c r="CG323" s="3396"/>
      <c r="CH323" s="3396"/>
      <c r="CI323" s="3396"/>
      <c r="CJ323" s="3396"/>
      <c r="CK323" s="3396"/>
      <c r="CL323" s="3396"/>
      <c r="CM323" s="3396"/>
      <c r="CN323" s="3396"/>
      <c r="CO323" s="3396"/>
      <c r="CP323" s="3396"/>
      <c r="CQ323" s="3396"/>
      <c r="CR323" s="3396"/>
      <c r="CS323" s="3396"/>
      <c r="CT323" s="3396"/>
      <c r="CU323" s="3396"/>
      <c r="CV323" s="3396"/>
      <c r="CW323" s="3396"/>
      <c r="CX323" s="3396"/>
    </row>
    <row r="324" s="75" customFormat="1" ht="14.25" customHeight="1" spans="1:102">
      <c r="A324" s="3418"/>
      <c r="B324" s="3418"/>
      <c r="C324" s="3418"/>
      <c r="D324" s="3418"/>
      <c r="E324" s="3418"/>
      <c r="F324" s="3418"/>
      <c r="G324" s="3418"/>
      <c r="H324" s="3418"/>
      <c r="I324" s="3418"/>
      <c r="J324" s="3418"/>
      <c r="K324" s="3418"/>
      <c r="L324" s="3418"/>
      <c r="M324" s="3418"/>
      <c r="N324" s="3418"/>
      <c r="O324" s="3418"/>
      <c r="P324" s="3418"/>
      <c r="Q324" s="3418"/>
      <c r="R324" s="3418"/>
      <c r="S324" s="3418"/>
      <c r="T324" s="3418"/>
      <c r="U324" s="3418"/>
      <c r="V324" s="3418"/>
      <c r="W324" s="3418"/>
      <c r="X324" s="3418"/>
      <c r="Y324" s="3418"/>
      <c r="Z324" s="3418"/>
      <c r="AA324" s="3418"/>
      <c r="AB324" s="3418"/>
      <c r="AC324" s="3418"/>
      <c r="AD324" s="3418"/>
      <c r="AE324" s="3418"/>
      <c r="AF324" s="3418"/>
      <c r="AG324" s="3418"/>
      <c r="AH324" s="3418"/>
      <c r="AI324" s="3418"/>
      <c r="AJ324" s="3418"/>
      <c r="AK324" s="3418"/>
      <c r="AL324" s="3418"/>
      <c r="AM324" s="3418"/>
      <c r="AN324" s="3418"/>
      <c r="AO324" s="3418"/>
      <c r="AP324" s="3418"/>
      <c r="AQ324" s="3418"/>
      <c r="AR324" s="3418"/>
      <c r="AS324" s="3418"/>
      <c r="AT324" s="3418"/>
      <c r="AU324" s="3418"/>
      <c r="AV324" s="3418"/>
      <c r="AW324" s="3418"/>
      <c r="AX324" s="3418"/>
      <c r="AY324" s="3418"/>
      <c r="AZ324" s="3418"/>
      <c r="BA324" s="3418"/>
      <c r="BB324" s="3418"/>
      <c r="BC324" s="3418"/>
      <c r="BD324" s="3418"/>
      <c r="BE324" s="3418"/>
      <c r="BF324" s="3418"/>
      <c r="BG324" s="3418"/>
      <c r="BH324" s="3418"/>
      <c r="BI324" s="3418"/>
      <c r="BJ324" s="3418"/>
      <c r="BK324" s="3418"/>
      <c r="BL324" s="3418"/>
      <c r="BM324" s="3418"/>
      <c r="BN324" s="3418"/>
      <c r="BO324" s="3418"/>
      <c r="BP324" s="3418"/>
      <c r="BQ324" s="3418"/>
      <c r="BR324" s="3418"/>
      <c r="BS324" s="3418"/>
      <c r="BT324" s="3418"/>
      <c r="BU324" s="3418"/>
      <c r="BV324" s="3418"/>
      <c r="BW324" s="3418"/>
      <c r="BX324" s="3418"/>
      <c r="BY324" s="3418"/>
      <c r="BZ324" s="3418"/>
      <c r="CA324" s="3396"/>
      <c r="CB324" s="3396"/>
      <c r="CC324" s="3396"/>
      <c r="CD324" s="3396"/>
      <c r="CE324" s="3396"/>
      <c r="CF324" s="3396"/>
      <c r="CG324" s="3396"/>
      <c r="CH324" s="3396"/>
      <c r="CI324" s="3396"/>
      <c r="CJ324" s="3396"/>
      <c r="CK324" s="3396"/>
      <c r="CL324" s="3396"/>
      <c r="CM324" s="3396"/>
      <c r="CN324" s="3396"/>
      <c r="CO324" s="3396"/>
      <c r="CP324" s="3396"/>
      <c r="CQ324" s="3396"/>
      <c r="CR324" s="3396"/>
      <c r="CS324" s="3396"/>
      <c r="CT324" s="3396"/>
      <c r="CU324" s="3396"/>
      <c r="CV324" s="3396"/>
      <c r="CW324" s="3396"/>
      <c r="CX324" s="3396"/>
    </row>
    <row r="325" s="75" customFormat="1" ht="14.25" customHeight="1" spans="1:102">
      <c r="A325" s="3418"/>
      <c r="B325" s="3418"/>
      <c r="C325" s="3418"/>
      <c r="D325" s="3418"/>
      <c r="E325" s="3418"/>
      <c r="F325" s="3418"/>
      <c r="G325" s="3418"/>
      <c r="H325" s="3418"/>
      <c r="I325" s="3418"/>
      <c r="J325" s="3418"/>
      <c r="K325" s="3418"/>
      <c r="L325" s="3418"/>
      <c r="M325" s="3418"/>
      <c r="N325" s="3418"/>
      <c r="O325" s="3418"/>
      <c r="P325" s="3418"/>
      <c r="Q325" s="3418"/>
      <c r="R325" s="3418"/>
      <c r="S325" s="3418"/>
      <c r="T325" s="3418"/>
      <c r="U325" s="3418"/>
      <c r="V325" s="3418"/>
      <c r="W325" s="3418"/>
      <c r="X325" s="3418"/>
      <c r="Y325" s="3418"/>
      <c r="Z325" s="3418"/>
      <c r="AA325" s="3418"/>
      <c r="AB325" s="3418"/>
      <c r="AC325" s="3418"/>
      <c r="AD325" s="3418"/>
      <c r="AE325" s="3418"/>
      <c r="AF325" s="3418"/>
      <c r="AG325" s="3418"/>
      <c r="AH325" s="3418"/>
      <c r="AI325" s="3418"/>
      <c r="AJ325" s="3418"/>
      <c r="AK325" s="3418"/>
      <c r="AL325" s="3418"/>
      <c r="AM325" s="3418"/>
      <c r="AN325" s="3418"/>
      <c r="AO325" s="3418"/>
      <c r="AP325" s="3418"/>
      <c r="AQ325" s="3418"/>
      <c r="AR325" s="3418"/>
      <c r="AS325" s="3418"/>
      <c r="AT325" s="3418"/>
      <c r="AU325" s="3418"/>
      <c r="AV325" s="3418"/>
      <c r="AW325" s="3418"/>
      <c r="AX325" s="3418"/>
      <c r="AY325" s="3418"/>
      <c r="AZ325" s="3418"/>
      <c r="BA325" s="3418"/>
      <c r="BB325" s="3418"/>
      <c r="BC325" s="3418"/>
      <c r="BD325" s="3418"/>
      <c r="BE325" s="3418"/>
      <c r="BF325" s="3418"/>
      <c r="BG325" s="3418"/>
      <c r="BH325" s="3418"/>
      <c r="BI325" s="3418"/>
      <c r="BJ325" s="3418"/>
      <c r="BK325" s="3418"/>
      <c r="BL325" s="3418"/>
      <c r="BM325" s="3418"/>
      <c r="BN325" s="3418"/>
      <c r="BO325" s="3418"/>
      <c r="BP325" s="3418"/>
      <c r="BQ325" s="3418"/>
      <c r="BR325" s="3418"/>
      <c r="BS325" s="3418"/>
      <c r="BT325" s="3418"/>
      <c r="BU325" s="3418"/>
      <c r="BV325" s="3418"/>
      <c r="BW325" s="3418"/>
      <c r="BX325" s="3418"/>
      <c r="BY325" s="3418"/>
      <c r="BZ325" s="3418"/>
      <c r="CA325" s="3396"/>
      <c r="CB325" s="3396"/>
      <c r="CC325" s="3396"/>
      <c r="CD325" s="3396"/>
      <c r="CE325" s="3396"/>
      <c r="CF325" s="3396"/>
      <c r="CG325" s="3396"/>
      <c r="CH325" s="3396"/>
      <c r="CI325" s="3396"/>
      <c r="CJ325" s="3396"/>
      <c r="CK325" s="3396"/>
      <c r="CL325" s="3396"/>
      <c r="CM325" s="3396"/>
      <c r="CN325" s="3396"/>
      <c r="CO325" s="3396"/>
      <c r="CP325" s="3396"/>
      <c r="CQ325" s="3396"/>
      <c r="CR325" s="3396"/>
      <c r="CS325" s="3396"/>
      <c r="CT325" s="3396"/>
      <c r="CU325" s="3396"/>
      <c r="CV325" s="3396"/>
      <c r="CW325" s="3396"/>
      <c r="CX325" s="3396"/>
    </row>
    <row r="362" spans="1:101">
      <c r="A362" s="4128"/>
      <c r="B362" s="4128"/>
      <c r="C362" s="4128"/>
      <c r="D362" s="4128"/>
      <c r="E362" s="4128"/>
      <c r="F362" s="4128"/>
      <c r="G362" s="4128"/>
      <c r="H362" s="4128"/>
      <c r="I362" s="4128"/>
      <c r="J362" s="4128"/>
      <c r="K362" s="4128"/>
      <c r="L362" s="4128"/>
      <c r="M362" s="4128"/>
      <c r="N362" s="4128"/>
      <c r="O362" s="4128"/>
      <c r="P362" s="4128"/>
      <c r="Q362" s="4128"/>
      <c r="R362" s="4128"/>
      <c r="S362" s="4128"/>
      <c r="T362" s="4128"/>
      <c r="U362" s="4128"/>
      <c r="V362" s="4128"/>
      <c r="W362" s="4128"/>
      <c r="X362" s="4128"/>
      <c r="Y362" s="4128"/>
      <c r="Z362" s="4128"/>
      <c r="AA362" s="4128"/>
      <c r="AB362" s="4128"/>
      <c r="AC362" s="4128"/>
      <c r="AD362" s="4128"/>
      <c r="AE362" s="4128"/>
      <c r="AF362" s="4128"/>
      <c r="AG362" s="4128"/>
      <c r="AH362" s="4128"/>
      <c r="AI362" s="4128"/>
      <c r="AJ362" s="4128"/>
      <c r="AK362" s="4128"/>
      <c r="AL362" s="4128"/>
      <c r="AM362" s="4128"/>
      <c r="AN362" s="4128"/>
      <c r="AO362" s="4128"/>
      <c r="AP362" s="4128"/>
      <c r="AQ362" s="4128"/>
      <c r="AR362" s="4128"/>
      <c r="AS362" s="4128"/>
      <c r="AT362" s="4128"/>
      <c r="AU362" s="4128"/>
      <c r="AV362" s="4128"/>
      <c r="AW362" s="4128"/>
      <c r="AX362" s="4128"/>
      <c r="AY362" s="4128"/>
      <c r="AZ362" s="4128"/>
      <c r="BA362" s="4128"/>
      <c r="BB362" s="4128"/>
      <c r="BC362" s="4128"/>
      <c r="BD362" s="4128"/>
      <c r="BE362" s="4128"/>
      <c r="BF362" s="4128"/>
      <c r="BG362" s="4128"/>
      <c r="BH362" s="4128"/>
      <c r="BI362" s="4128"/>
      <c r="BJ362" s="4128"/>
      <c r="BK362" s="4128"/>
      <c r="BL362" s="4128"/>
      <c r="BM362" s="4128"/>
      <c r="BN362" s="4128"/>
      <c r="BO362" s="4128"/>
      <c r="BP362" s="4128"/>
      <c r="BQ362" s="4128"/>
      <c r="BR362" s="4128"/>
      <c r="BS362" s="4128"/>
      <c r="BT362" s="4128"/>
      <c r="BU362" s="4128"/>
      <c r="BV362" s="4128"/>
      <c r="BW362" s="4128"/>
      <c r="BX362" s="4128"/>
      <c r="BY362" s="4128"/>
      <c r="BZ362" s="4128"/>
      <c r="CA362" s="4128"/>
      <c r="CB362" s="4128"/>
      <c r="CC362" s="4128"/>
      <c r="CD362" s="4128"/>
      <c r="CE362" s="4128"/>
      <c r="CF362" s="4128"/>
      <c r="CG362" s="4128"/>
      <c r="CH362" s="4128"/>
      <c r="CI362" s="4128"/>
      <c r="CJ362" s="4128"/>
      <c r="CK362" s="4128"/>
      <c r="CL362" s="4128"/>
      <c r="CM362" s="4128"/>
      <c r="CN362" s="4128"/>
      <c r="CO362" s="4128"/>
      <c r="CP362" s="4128"/>
      <c r="CQ362" s="4128"/>
      <c r="CR362" s="4128"/>
      <c r="CS362" s="4128"/>
      <c r="CT362" s="4128"/>
      <c r="CU362" s="4128"/>
      <c r="CV362" s="4128"/>
      <c r="CW362" s="4128"/>
    </row>
    <row r="363" spans="1:101">
      <c r="A363" s="4128"/>
      <c r="B363" s="4128"/>
      <c r="C363" s="4128"/>
      <c r="D363" s="4128"/>
      <c r="E363" s="4128"/>
      <c r="F363" s="4128"/>
      <c r="G363" s="4128"/>
      <c r="H363" s="4128"/>
      <c r="I363" s="4128"/>
      <c r="J363" s="4128"/>
      <c r="K363" s="4128"/>
      <c r="L363" s="4128"/>
      <c r="M363" s="4128"/>
      <c r="N363" s="4128"/>
      <c r="O363" s="4128"/>
      <c r="P363" s="4128"/>
      <c r="Q363" s="4128"/>
      <c r="R363" s="4128"/>
      <c r="S363" s="4128"/>
      <c r="T363" s="4128"/>
      <c r="U363" s="4128"/>
      <c r="V363" s="4128"/>
      <c r="W363" s="4128"/>
      <c r="X363" s="4128"/>
      <c r="Y363" s="4128"/>
      <c r="Z363" s="4128"/>
      <c r="AA363" s="4128"/>
      <c r="AB363" s="4128"/>
      <c r="AC363" s="4128"/>
      <c r="AD363" s="4128"/>
      <c r="AE363" s="4128"/>
      <c r="AF363" s="4128"/>
      <c r="AG363" s="4128"/>
      <c r="AH363" s="4128"/>
      <c r="AI363" s="4128"/>
      <c r="AJ363" s="4128"/>
      <c r="AK363" s="4128"/>
      <c r="AL363" s="4128"/>
      <c r="AM363" s="4128"/>
      <c r="AN363" s="4128"/>
      <c r="AO363" s="4128"/>
      <c r="AP363" s="4128"/>
      <c r="AQ363" s="4128"/>
      <c r="AR363" s="4128"/>
      <c r="AS363" s="4128"/>
      <c r="AT363" s="4128"/>
      <c r="AU363" s="4128"/>
      <c r="AV363" s="4128"/>
      <c r="AW363" s="4128"/>
      <c r="AX363" s="4128"/>
      <c r="AY363" s="4128"/>
      <c r="AZ363" s="4128"/>
      <c r="BA363" s="4128"/>
      <c r="BB363" s="4128"/>
      <c r="BC363" s="4128"/>
      <c r="BD363" s="4128"/>
      <c r="BE363" s="4128"/>
      <c r="BF363" s="4128"/>
      <c r="BG363" s="4128"/>
      <c r="BH363" s="4128"/>
      <c r="BI363" s="4128"/>
      <c r="BJ363" s="4128"/>
      <c r="BK363" s="4128"/>
      <c r="BL363" s="4128"/>
      <c r="BM363" s="4128"/>
      <c r="BN363" s="4128"/>
      <c r="BO363" s="4128"/>
      <c r="BP363" s="4128"/>
      <c r="BQ363" s="4128"/>
      <c r="BR363" s="4128"/>
      <c r="BS363" s="4128"/>
      <c r="BT363" s="4128"/>
      <c r="BU363" s="4128"/>
      <c r="BV363" s="4128"/>
      <c r="BW363" s="4128"/>
      <c r="BX363" s="4128"/>
      <c r="BY363" s="4128"/>
      <c r="BZ363" s="4128"/>
      <c r="CA363" s="4128"/>
      <c r="CB363" s="4128"/>
      <c r="CC363" s="4128"/>
      <c r="CD363" s="4128"/>
      <c r="CE363" s="4128"/>
      <c r="CF363" s="4128"/>
      <c r="CG363" s="4128"/>
      <c r="CH363" s="4128"/>
      <c r="CI363" s="4128"/>
      <c r="CJ363" s="4128"/>
      <c r="CK363" s="4128"/>
      <c r="CL363" s="4128"/>
      <c r="CM363" s="4128"/>
      <c r="CN363" s="4128"/>
      <c r="CO363" s="4128"/>
      <c r="CP363" s="4128"/>
      <c r="CQ363" s="4128"/>
      <c r="CR363" s="4128"/>
      <c r="CS363" s="4128"/>
      <c r="CT363" s="4128"/>
      <c r="CU363" s="4128"/>
      <c r="CV363" s="4128"/>
      <c r="CW363" s="4128"/>
    </row>
    <row r="364" spans="1:101">
      <c r="A364" s="4128"/>
      <c r="B364" s="4128"/>
      <c r="C364" s="4128"/>
      <c r="D364" s="4128"/>
      <c r="E364" s="4128"/>
      <c r="F364" s="4128"/>
      <c r="G364" s="4128"/>
      <c r="H364" s="4128"/>
      <c r="I364" s="4128"/>
      <c r="J364" s="4128"/>
      <c r="K364" s="4128"/>
      <c r="L364" s="4128"/>
      <c r="M364" s="4128"/>
      <c r="N364" s="4128"/>
      <c r="O364" s="4128"/>
      <c r="P364" s="4128"/>
      <c r="Q364" s="4128"/>
      <c r="R364" s="4128"/>
      <c r="S364" s="4128"/>
      <c r="T364" s="4128"/>
      <c r="U364" s="4128"/>
      <c r="V364" s="4128"/>
      <c r="W364" s="4128"/>
      <c r="X364" s="4128"/>
      <c r="Y364" s="4128"/>
      <c r="Z364" s="4128"/>
      <c r="AA364" s="4128"/>
      <c r="AB364" s="4128"/>
      <c r="AC364" s="4128"/>
      <c r="AD364" s="4128"/>
      <c r="AE364" s="4128"/>
      <c r="AF364" s="4128"/>
      <c r="AG364" s="4128"/>
      <c r="AH364" s="4128"/>
      <c r="AI364" s="4128"/>
      <c r="AJ364" s="4128"/>
      <c r="AK364" s="4128"/>
      <c r="AL364" s="4128"/>
      <c r="AM364" s="4128"/>
      <c r="AN364" s="4128"/>
      <c r="AO364" s="4128"/>
      <c r="AP364" s="4128"/>
      <c r="AQ364" s="4128"/>
      <c r="AR364" s="4128"/>
      <c r="AS364" s="4128"/>
      <c r="AT364" s="4128"/>
      <c r="AU364" s="4128"/>
      <c r="AV364" s="4128"/>
      <c r="AW364" s="4128"/>
      <c r="AX364" s="4128"/>
      <c r="AY364" s="4128"/>
      <c r="AZ364" s="4128"/>
      <c r="BA364" s="4128"/>
      <c r="BB364" s="4128"/>
      <c r="BC364" s="4128"/>
      <c r="BD364" s="4128"/>
      <c r="BE364" s="4128"/>
      <c r="BF364" s="4128"/>
      <c r="BG364" s="4128"/>
      <c r="BH364" s="4128"/>
      <c r="BI364" s="4128"/>
      <c r="BJ364" s="4128"/>
      <c r="BK364" s="4128"/>
      <c r="BL364" s="4128"/>
      <c r="BM364" s="4128"/>
      <c r="BN364" s="4128"/>
      <c r="BO364" s="4128"/>
      <c r="BP364" s="4128"/>
      <c r="BQ364" s="4128"/>
      <c r="BR364" s="4128"/>
      <c r="BS364" s="4128"/>
      <c r="BT364" s="4128"/>
      <c r="BU364" s="4128"/>
      <c r="BV364" s="4128"/>
      <c r="BW364" s="4128"/>
      <c r="BX364" s="4128"/>
      <c r="BY364" s="4128"/>
      <c r="BZ364" s="4128"/>
      <c r="CA364" s="4128"/>
      <c r="CB364" s="4128"/>
      <c r="CC364" s="4128"/>
      <c r="CD364" s="4128"/>
      <c r="CE364" s="4128"/>
      <c r="CF364" s="4128"/>
      <c r="CG364" s="4128"/>
      <c r="CH364" s="4128"/>
      <c r="CI364" s="4128"/>
      <c r="CJ364" s="4128"/>
      <c r="CK364" s="4128"/>
      <c r="CL364" s="4128"/>
      <c r="CM364" s="4128"/>
      <c r="CN364" s="4128"/>
      <c r="CO364" s="4128"/>
      <c r="CP364" s="4128"/>
      <c r="CQ364" s="4128"/>
      <c r="CR364" s="4128"/>
      <c r="CS364" s="4128"/>
      <c r="CT364" s="4128"/>
      <c r="CU364" s="4128"/>
      <c r="CV364" s="4128"/>
      <c r="CW364" s="4128"/>
    </row>
    <row r="365" spans="1:101">
      <c r="A365" s="4128"/>
      <c r="B365" s="4128"/>
      <c r="C365" s="4128"/>
      <c r="D365" s="4128"/>
      <c r="E365" s="4128"/>
      <c r="F365" s="4128"/>
      <c r="G365" s="4128"/>
      <c r="H365" s="4128"/>
      <c r="I365" s="4128"/>
      <c r="J365" s="4128"/>
      <c r="K365" s="4128"/>
      <c r="L365" s="4128"/>
      <c r="M365" s="4128"/>
      <c r="N365" s="4128"/>
      <c r="O365" s="4128"/>
      <c r="P365" s="4128"/>
      <c r="Q365" s="4128"/>
      <c r="R365" s="4128"/>
      <c r="S365" s="4128"/>
      <c r="T365" s="4128"/>
      <c r="U365" s="4128"/>
      <c r="V365" s="4128"/>
      <c r="W365" s="4128"/>
      <c r="X365" s="4128"/>
      <c r="Y365" s="4128"/>
      <c r="Z365" s="4128"/>
      <c r="AA365" s="4128"/>
      <c r="AB365" s="4128"/>
      <c r="AC365" s="4128"/>
      <c r="AD365" s="4128"/>
      <c r="AE365" s="4128"/>
      <c r="AF365" s="4128"/>
      <c r="AG365" s="4128"/>
      <c r="AH365" s="4128"/>
      <c r="AI365" s="4128"/>
      <c r="AJ365" s="4128"/>
      <c r="AK365" s="4128"/>
      <c r="AL365" s="4128"/>
      <c r="AM365" s="4128"/>
      <c r="AN365" s="4128"/>
      <c r="AO365" s="4128"/>
      <c r="AP365" s="4128"/>
      <c r="AQ365" s="4128"/>
      <c r="AR365" s="4128"/>
      <c r="AS365" s="4128"/>
      <c r="AT365" s="4128"/>
      <c r="AU365" s="4128"/>
      <c r="AV365" s="4128"/>
      <c r="AW365" s="4128"/>
      <c r="AX365" s="4128"/>
      <c r="AY365" s="4128"/>
      <c r="AZ365" s="4128"/>
      <c r="BA365" s="4128"/>
      <c r="BB365" s="4128"/>
      <c r="BC365" s="4128"/>
      <c r="BD365" s="4128"/>
      <c r="BE365" s="4128"/>
      <c r="BF365" s="4128"/>
      <c r="BG365" s="4128"/>
      <c r="BH365" s="4128"/>
      <c r="BI365" s="4128"/>
      <c r="BJ365" s="4128"/>
      <c r="BK365" s="4128"/>
      <c r="BL365" s="4128"/>
      <c r="BM365" s="4128"/>
      <c r="BN365" s="4128"/>
      <c r="BO365" s="4128"/>
      <c r="BP365" s="4128"/>
      <c r="BQ365" s="4128"/>
      <c r="BR365" s="4128"/>
      <c r="BS365" s="4128"/>
      <c r="BT365" s="4128"/>
      <c r="BU365" s="4128"/>
      <c r="BV365" s="4128"/>
      <c r="BW365" s="4128"/>
      <c r="BX365" s="4128"/>
      <c r="BY365" s="4128"/>
      <c r="BZ365" s="4128"/>
      <c r="CA365" s="4128"/>
      <c r="CB365" s="4128"/>
      <c r="CC365" s="4128"/>
      <c r="CD365" s="4128"/>
      <c r="CE365" s="4128"/>
      <c r="CF365" s="4128"/>
      <c r="CG365" s="4128"/>
      <c r="CH365" s="4128"/>
      <c r="CI365" s="4128"/>
      <c r="CJ365" s="4128"/>
      <c r="CK365" s="4128"/>
      <c r="CL365" s="4128"/>
      <c r="CM365" s="4128"/>
      <c r="CN365" s="4128"/>
      <c r="CO365" s="4128"/>
      <c r="CP365" s="4128"/>
      <c r="CQ365" s="4128"/>
      <c r="CR365" s="4128"/>
      <c r="CS365" s="4128"/>
      <c r="CT365" s="4128"/>
      <c r="CU365" s="4128"/>
      <c r="CV365" s="4128"/>
      <c r="CW365" s="4128"/>
    </row>
    <row r="366" spans="1:101">
      <c r="A366" s="4128"/>
      <c r="B366" s="4128"/>
      <c r="C366" s="4128"/>
      <c r="D366" s="4128"/>
      <c r="E366" s="4128"/>
      <c r="F366" s="4128"/>
      <c r="G366" s="4128"/>
      <c r="H366" s="4128"/>
      <c r="I366" s="4128"/>
      <c r="J366" s="4128"/>
      <c r="K366" s="4128"/>
      <c r="L366" s="4128"/>
      <c r="M366" s="4128"/>
      <c r="N366" s="4128"/>
      <c r="O366" s="4128"/>
      <c r="P366" s="4128"/>
      <c r="Q366" s="4128"/>
      <c r="R366" s="4128"/>
      <c r="S366" s="4128"/>
      <c r="T366" s="4128"/>
      <c r="U366" s="4128"/>
      <c r="V366" s="4128"/>
      <c r="W366" s="4128"/>
      <c r="X366" s="4128"/>
      <c r="Y366" s="4128"/>
      <c r="Z366" s="4128"/>
      <c r="AA366" s="4128"/>
      <c r="AB366" s="4128"/>
      <c r="AC366" s="4128"/>
      <c r="AD366" s="4128"/>
      <c r="AE366" s="4128"/>
      <c r="AF366" s="4128"/>
      <c r="AG366" s="4128"/>
      <c r="AH366" s="4128"/>
      <c r="AI366" s="4128"/>
      <c r="AJ366" s="4128"/>
      <c r="AK366" s="4128"/>
      <c r="AL366" s="4128"/>
      <c r="AM366" s="4128"/>
      <c r="AN366" s="4128"/>
      <c r="AO366" s="4128"/>
      <c r="AP366" s="4128"/>
      <c r="AQ366" s="4128"/>
      <c r="AR366" s="4128"/>
      <c r="AS366" s="4128"/>
      <c r="AT366" s="4128"/>
      <c r="AU366" s="4128"/>
      <c r="AV366" s="4128"/>
      <c r="AW366" s="4128"/>
      <c r="AX366" s="4128"/>
      <c r="AY366" s="4128"/>
      <c r="AZ366" s="4128"/>
      <c r="BA366" s="4128"/>
      <c r="BB366" s="4128"/>
      <c r="BC366" s="4128"/>
      <c r="BD366" s="4128"/>
      <c r="BE366" s="4128"/>
      <c r="BF366" s="4128"/>
      <c r="BG366" s="4128"/>
      <c r="BH366" s="4128"/>
      <c r="BI366" s="4128"/>
      <c r="BJ366" s="4128"/>
      <c r="BK366" s="4128"/>
      <c r="BL366" s="4128"/>
      <c r="BM366" s="4128"/>
      <c r="BN366" s="4128"/>
      <c r="BO366" s="4128"/>
      <c r="BP366" s="4128"/>
      <c r="BQ366" s="4128"/>
      <c r="BR366" s="4128"/>
      <c r="BS366" s="4128"/>
      <c r="BT366" s="4128"/>
      <c r="BU366" s="4128"/>
      <c r="BV366" s="4128"/>
      <c r="BW366" s="4128"/>
      <c r="BX366" s="4128"/>
      <c r="BY366" s="4128"/>
      <c r="BZ366" s="4128"/>
      <c r="CA366" s="4128"/>
      <c r="CB366" s="4128"/>
      <c r="CC366" s="4128"/>
      <c r="CD366" s="4128"/>
      <c r="CE366" s="4128"/>
      <c r="CF366" s="4128"/>
      <c r="CG366" s="4128"/>
      <c r="CH366" s="4128"/>
      <c r="CI366" s="4128"/>
      <c r="CJ366" s="4128"/>
      <c r="CK366" s="4128"/>
      <c r="CL366" s="4128"/>
      <c r="CM366" s="4128"/>
      <c r="CN366" s="4128"/>
      <c r="CO366" s="4128"/>
      <c r="CP366" s="4128"/>
      <c r="CQ366" s="4128"/>
      <c r="CR366" s="4128"/>
      <c r="CS366" s="4128"/>
      <c r="CT366" s="4128"/>
      <c r="CU366" s="4128"/>
      <c r="CV366" s="4128"/>
      <c r="CW366" s="4128"/>
    </row>
    <row r="367" spans="1:101">
      <c r="A367" s="4128"/>
      <c r="B367" s="4128"/>
      <c r="C367" s="4128"/>
      <c r="D367" s="4128"/>
      <c r="E367" s="4128"/>
      <c r="F367" s="4128"/>
      <c r="G367" s="4128"/>
      <c r="H367" s="4128"/>
      <c r="I367" s="4128"/>
      <c r="J367" s="4128"/>
      <c r="K367" s="4128"/>
      <c r="L367" s="4128"/>
      <c r="M367" s="4128"/>
      <c r="N367" s="4128"/>
      <c r="O367" s="4128"/>
      <c r="P367" s="4128"/>
      <c r="Q367" s="4128"/>
      <c r="R367" s="4128"/>
      <c r="S367" s="4128"/>
      <c r="T367" s="4128"/>
      <c r="U367" s="4128"/>
      <c r="V367" s="4128"/>
      <c r="W367" s="4128"/>
      <c r="X367" s="4128"/>
      <c r="Y367" s="4128"/>
      <c r="Z367" s="4128"/>
      <c r="AA367" s="4128"/>
      <c r="AB367" s="4128"/>
      <c r="AC367" s="4128"/>
      <c r="AD367" s="4128"/>
      <c r="AE367" s="4128"/>
      <c r="AF367" s="4128"/>
      <c r="AG367" s="4128"/>
      <c r="AH367" s="4128"/>
      <c r="AI367" s="4128"/>
      <c r="AJ367" s="4128"/>
      <c r="AK367" s="4128"/>
      <c r="AL367" s="4128"/>
      <c r="AM367" s="4128"/>
      <c r="AN367" s="4128"/>
      <c r="AO367" s="4128"/>
      <c r="AP367" s="4128"/>
      <c r="AQ367" s="4128"/>
      <c r="AR367" s="4128"/>
      <c r="AS367" s="4128"/>
      <c r="AT367" s="4128"/>
      <c r="AU367" s="4128"/>
      <c r="AV367" s="4128"/>
      <c r="AW367" s="4128"/>
      <c r="AX367" s="4128"/>
      <c r="AY367" s="4128"/>
      <c r="AZ367" s="4128"/>
      <c r="BA367" s="4128"/>
      <c r="BB367" s="4128"/>
      <c r="BC367" s="4128"/>
      <c r="BD367" s="4128"/>
      <c r="BE367" s="4128"/>
      <c r="BF367" s="4128"/>
      <c r="BG367" s="4128"/>
      <c r="BH367" s="4128"/>
      <c r="BI367" s="4128"/>
      <c r="BJ367" s="4128"/>
      <c r="BK367" s="4128"/>
      <c r="BL367" s="4128"/>
      <c r="BM367" s="4128"/>
      <c r="BN367" s="4128"/>
      <c r="BO367" s="4128"/>
      <c r="BP367" s="4128"/>
      <c r="BQ367" s="4128"/>
      <c r="BR367" s="4128"/>
      <c r="BS367" s="4128"/>
      <c r="BT367" s="4128"/>
      <c r="BU367" s="4128"/>
      <c r="BV367" s="4128"/>
      <c r="BW367" s="4128"/>
      <c r="BX367" s="4128"/>
      <c r="BY367" s="4128"/>
      <c r="BZ367" s="4128"/>
      <c r="CA367" s="4128"/>
      <c r="CB367" s="4128"/>
      <c r="CC367" s="4128"/>
      <c r="CD367" s="4128"/>
      <c r="CE367" s="4128"/>
      <c r="CF367" s="4128"/>
      <c r="CG367" s="4128"/>
      <c r="CH367" s="4128"/>
      <c r="CI367" s="4128"/>
      <c r="CJ367" s="4128"/>
      <c r="CK367" s="4128"/>
      <c r="CL367" s="4128"/>
      <c r="CM367" s="4128"/>
      <c r="CN367" s="4128"/>
      <c r="CO367" s="4128"/>
      <c r="CP367" s="4128"/>
      <c r="CQ367" s="4128"/>
      <c r="CR367" s="4128"/>
      <c r="CS367" s="4128"/>
      <c r="CT367" s="4128"/>
      <c r="CU367" s="4128"/>
      <c r="CV367" s="4128"/>
      <c r="CW367" s="4128"/>
    </row>
    <row r="368" spans="1:101">
      <c r="A368" s="4128"/>
      <c r="B368" s="4128"/>
      <c r="C368" s="4128"/>
      <c r="D368" s="4128"/>
      <c r="E368" s="4128"/>
      <c r="F368" s="4128"/>
      <c r="G368" s="4128"/>
      <c r="H368" s="4128"/>
      <c r="I368" s="4128"/>
      <c r="J368" s="4128"/>
      <c r="K368" s="4128"/>
      <c r="L368" s="4128"/>
      <c r="M368" s="4128"/>
      <c r="N368" s="4128"/>
      <c r="O368" s="4128"/>
      <c r="P368" s="4128"/>
      <c r="Q368" s="4128"/>
      <c r="R368" s="4128"/>
      <c r="S368" s="4128"/>
      <c r="T368" s="4128"/>
      <c r="U368" s="4128"/>
      <c r="V368" s="4128"/>
      <c r="W368" s="4128"/>
      <c r="X368" s="4128"/>
      <c r="Y368" s="4128"/>
      <c r="Z368" s="4128"/>
      <c r="AA368" s="4128"/>
      <c r="AB368" s="4128"/>
      <c r="AC368" s="4128"/>
      <c r="AD368" s="4128"/>
      <c r="AE368" s="4128"/>
      <c r="AF368" s="4128"/>
      <c r="AG368" s="4128"/>
      <c r="AH368" s="4128"/>
      <c r="AI368" s="4128"/>
      <c r="AJ368" s="4128"/>
      <c r="AK368" s="4128"/>
      <c r="AL368" s="4128"/>
      <c r="AM368" s="4128"/>
      <c r="AN368" s="4128"/>
      <c r="AO368" s="4128"/>
      <c r="AP368" s="4128"/>
      <c r="AQ368" s="4128"/>
      <c r="AR368" s="4128"/>
      <c r="AS368" s="4128"/>
      <c r="AT368" s="4128"/>
      <c r="AU368" s="4128"/>
      <c r="AV368" s="4128"/>
      <c r="AW368" s="4128"/>
      <c r="AX368" s="4128"/>
      <c r="AY368" s="4128"/>
      <c r="AZ368" s="4128"/>
      <c r="BA368" s="4128"/>
      <c r="BB368" s="4128"/>
      <c r="BC368" s="4128"/>
      <c r="BD368" s="4128"/>
      <c r="BE368" s="4128"/>
      <c r="BF368" s="4128"/>
      <c r="BG368" s="4128"/>
      <c r="BH368" s="4128"/>
      <c r="BI368" s="4128"/>
      <c r="BJ368" s="4128"/>
      <c r="BK368" s="4128"/>
      <c r="BL368" s="4128"/>
      <c r="BM368" s="4128"/>
      <c r="BN368" s="4128"/>
      <c r="BO368" s="4128"/>
      <c r="BP368" s="4128"/>
      <c r="BQ368" s="4128"/>
      <c r="BR368" s="4128"/>
      <c r="BS368" s="4128"/>
      <c r="BT368" s="4128"/>
      <c r="BU368" s="4128"/>
      <c r="BV368" s="4128"/>
      <c r="BW368" s="4128"/>
      <c r="BX368" s="4128"/>
      <c r="BY368" s="4128"/>
      <c r="BZ368" s="4128"/>
      <c r="CA368" s="4128"/>
      <c r="CB368" s="4128"/>
      <c r="CC368" s="4128"/>
      <c r="CD368" s="4128"/>
      <c r="CE368" s="4128"/>
      <c r="CF368" s="4128"/>
      <c r="CG368" s="4128"/>
      <c r="CH368" s="4128"/>
      <c r="CI368" s="4128"/>
      <c r="CJ368" s="4128"/>
      <c r="CK368" s="4128"/>
      <c r="CL368" s="4128"/>
      <c r="CM368" s="4128"/>
      <c r="CN368" s="4128"/>
      <c r="CO368" s="4128"/>
      <c r="CP368" s="4128"/>
      <c r="CQ368" s="4128"/>
      <c r="CR368" s="4128"/>
      <c r="CS368" s="4128"/>
      <c r="CT368" s="4128"/>
      <c r="CU368" s="4128"/>
      <c r="CV368" s="4128"/>
      <c r="CW368" s="4128"/>
    </row>
    <row r="369" spans="1:101">
      <c r="A369" s="4128"/>
      <c r="B369" s="4128"/>
      <c r="C369" s="4128"/>
      <c r="D369" s="4128"/>
      <c r="E369" s="4128"/>
      <c r="F369" s="4128"/>
      <c r="G369" s="4128"/>
      <c r="H369" s="4128"/>
      <c r="I369" s="4128"/>
      <c r="J369" s="4128"/>
      <c r="K369" s="4128"/>
      <c r="L369" s="4128"/>
      <c r="M369" s="4128"/>
      <c r="N369" s="4128"/>
      <c r="O369" s="4128"/>
      <c r="P369" s="4128"/>
      <c r="Q369" s="4128"/>
      <c r="R369" s="4128"/>
      <c r="S369" s="4128"/>
      <c r="T369" s="4128"/>
      <c r="U369" s="4128"/>
      <c r="V369" s="4128"/>
      <c r="W369" s="4128"/>
      <c r="X369" s="4128"/>
      <c r="Y369" s="4128"/>
      <c r="Z369" s="4128"/>
      <c r="AA369" s="4128"/>
      <c r="AB369" s="4128"/>
      <c r="AC369" s="4128"/>
      <c r="AD369" s="4128"/>
      <c r="AE369" s="4128"/>
      <c r="AF369" s="4128"/>
      <c r="AG369" s="4128"/>
      <c r="AH369" s="4128"/>
      <c r="AI369" s="4128"/>
      <c r="AJ369" s="4128"/>
      <c r="AK369" s="4128"/>
      <c r="AL369" s="4128"/>
      <c r="AM369" s="4128"/>
      <c r="AN369" s="4128"/>
      <c r="AO369" s="4128"/>
      <c r="AP369" s="4128"/>
      <c r="AQ369" s="4128"/>
      <c r="AR369" s="4128"/>
      <c r="AS369" s="4128"/>
      <c r="AT369" s="4128"/>
      <c r="AU369" s="4128"/>
      <c r="AV369" s="4128"/>
      <c r="AW369" s="4128"/>
      <c r="AX369" s="4128"/>
      <c r="AY369" s="4128"/>
      <c r="AZ369" s="4128"/>
      <c r="BA369" s="4128"/>
      <c r="BB369" s="4128"/>
      <c r="BC369" s="4128"/>
      <c r="BD369" s="4128"/>
      <c r="BE369" s="4128"/>
      <c r="BF369" s="4128"/>
      <c r="BG369" s="4128"/>
      <c r="BH369" s="4128"/>
      <c r="BI369" s="4128"/>
      <c r="BJ369" s="4128"/>
      <c r="BK369" s="4128"/>
      <c r="BL369" s="4128"/>
      <c r="BM369" s="4128"/>
      <c r="BN369" s="4128"/>
      <c r="BO369" s="4128"/>
      <c r="BP369" s="4128"/>
      <c r="BQ369" s="4128"/>
      <c r="BR369" s="4128"/>
      <c r="BS369" s="4128"/>
      <c r="BT369" s="4128"/>
      <c r="BU369" s="4128"/>
      <c r="BV369" s="4128"/>
      <c r="BW369" s="4128"/>
      <c r="BX369" s="4128"/>
      <c r="BY369" s="4128"/>
      <c r="BZ369" s="4128"/>
      <c r="CA369" s="4128"/>
      <c r="CB369" s="4128"/>
      <c r="CC369" s="4128"/>
      <c r="CD369" s="4128"/>
      <c r="CE369" s="4128"/>
      <c r="CF369" s="4128"/>
      <c r="CG369" s="4128"/>
      <c r="CH369" s="4128"/>
      <c r="CI369" s="4128"/>
      <c r="CJ369" s="4128"/>
      <c r="CK369" s="4128"/>
      <c r="CL369" s="4128"/>
      <c r="CM369" s="4128"/>
      <c r="CN369" s="4128"/>
      <c r="CO369" s="4128"/>
      <c r="CP369" s="4128"/>
      <c r="CQ369" s="4128"/>
      <c r="CR369" s="4128"/>
      <c r="CS369" s="4128"/>
      <c r="CT369" s="4128"/>
      <c r="CU369" s="4128"/>
      <c r="CV369" s="4128"/>
      <c r="CW369" s="4128"/>
    </row>
  </sheetData>
  <mergeCells count="1545">
    <mergeCell ref="A1:BD1"/>
    <mergeCell ref="E4:I4"/>
    <mergeCell ref="J4:AM4"/>
    <mergeCell ref="AN4:AR4"/>
    <mergeCell ref="AS4:AW4"/>
    <mergeCell ref="E5:I5"/>
    <mergeCell ref="J5:N5"/>
    <mergeCell ref="O5:S5"/>
    <mergeCell ref="T5:X5"/>
    <mergeCell ref="Y5:AC5"/>
    <mergeCell ref="AD5:AH5"/>
    <mergeCell ref="AI5:AM5"/>
    <mergeCell ref="AN5:AR5"/>
    <mergeCell ref="AS5:AW5"/>
    <mergeCell ref="B6:D6"/>
    <mergeCell ref="E6:I6"/>
    <mergeCell ref="J6:N6"/>
    <mergeCell ref="O6:S6"/>
    <mergeCell ref="T6:X6"/>
    <mergeCell ref="Y6:AC6"/>
    <mergeCell ref="AD6:AH6"/>
    <mergeCell ref="AI6:AM6"/>
    <mergeCell ref="AN6:AR6"/>
    <mergeCell ref="AS6:AW6"/>
    <mergeCell ref="B7:D7"/>
    <mergeCell ref="E7:I7"/>
    <mergeCell ref="J7:N7"/>
    <mergeCell ref="O7:S7"/>
    <mergeCell ref="T7:X7"/>
    <mergeCell ref="Y7:AC7"/>
    <mergeCell ref="AD7:AH7"/>
    <mergeCell ref="AI7:AM7"/>
    <mergeCell ref="AN7:AR7"/>
    <mergeCell ref="AS7:AW7"/>
    <mergeCell ref="B8:D8"/>
    <mergeCell ref="E8:I8"/>
    <mergeCell ref="J8:N8"/>
    <mergeCell ref="T8:X8"/>
    <mergeCell ref="Y8:AC8"/>
    <mergeCell ref="AD8:AH8"/>
    <mergeCell ref="AI8:AM8"/>
    <mergeCell ref="AN8:AR8"/>
    <mergeCell ref="AS8:AW8"/>
    <mergeCell ref="B9:D9"/>
    <mergeCell ref="E9:I9"/>
    <mergeCell ref="J9:N9"/>
    <mergeCell ref="Y9:AC9"/>
    <mergeCell ref="AD9:AH9"/>
    <mergeCell ref="AI9:AM9"/>
    <mergeCell ref="AN9:AR9"/>
    <mergeCell ref="AS9:AW9"/>
    <mergeCell ref="B10:D10"/>
    <mergeCell ref="E10:I10"/>
    <mergeCell ref="J10:N10"/>
    <mergeCell ref="AD10:AH10"/>
    <mergeCell ref="AI10:AM10"/>
    <mergeCell ref="AN10:AR10"/>
    <mergeCell ref="AS10:AW10"/>
    <mergeCell ref="B11:D11"/>
    <mergeCell ref="E11:I11"/>
    <mergeCell ref="J11:N11"/>
    <mergeCell ref="AN11:AR11"/>
    <mergeCell ref="B12:D12"/>
    <mergeCell ref="E12:I12"/>
    <mergeCell ref="J12:N12"/>
    <mergeCell ref="O12:S12"/>
    <mergeCell ref="T12:X12"/>
    <mergeCell ref="Y12:AC12"/>
    <mergeCell ref="AD12:AH12"/>
    <mergeCell ref="AI12:AM12"/>
    <mergeCell ref="AN12:AR12"/>
    <mergeCell ref="AI13:AM13"/>
    <mergeCell ref="B14:AC14"/>
    <mergeCell ref="AD14:AH14"/>
    <mergeCell ref="AN14:AR14"/>
    <mergeCell ref="A18:X18"/>
    <mergeCell ref="Y18:AG18"/>
    <mergeCell ref="A19:B19"/>
    <mergeCell ref="C19:W19"/>
    <mergeCell ref="Y19:AG19"/>
    <mergeCell ref="A20:B20"/>
    <mergeCell ref="A21:B21"/>
    <mergeCell ref="C21:W21"/>
    <mergeCell ref="Y21:AG21"/>
    <mergeCell ref="A22:B22"/>
    <mergeCell ref="A23:B23"/>
    <mergeCell ref="C23:W23"/>
    <mergeCell ref="Y23:AG23"/>
    <mergeCell ref="A24:B24"/>
    <mergeCell ref="A25:B25"/>
    <mergeCell ref="C25:W25"/>
    <mergeCell ref="Y25:AG25"/>
    <mergeCell ref="A26:B26"/>
    <mergeCell ref="C26:W26"/>
    <mergeCell ref="Y26:AG26"/>
    <mergeCell ref="A28:B28"/>
    <mergeCell ref="A29:B29"/>
    <mergeCell ref="C29:W29"/>
    <mergeCell ref="Y29:AG29"/>
    <mergeCell ref="A30:B30"/>
    <mergeCell ref="C30:W30"/>
    <mergeCell ref="Y30:AG30"/>
    <mergeCell ref="A31:B31"/>
    <mergeCell ref="A32:B32"/>
    <mergeCell ref="C32:W32"/>
    <mergeCell ref="Y32:AG32"/>
    <mergeCell ref="A33:B33"/>
    <mergeCell ref="C33:W33"/>
    <mergeCell ref="Y33:AG33"/>
    <mergeCell ref="A34:B34"/>
    <mergeCell ref="A35:B35"/>
    <mergeCell ref="C35:W35"/>
    <mergeCell ref="Y35:AG35"/>
    <mergeCell ref="AI35:AK35"/>
    <mergeCell ref="A36:B36"/>
    <mergeCell ref="C36:W36"/>
    <mergeCell ref="Y36:AG36"/>
    <mergeCell ref="AI36:AK36"/>
    <mergeCell ref="A37:B37"/>
    <mergeCell ref="C37:W37"/>
    <mergeCell ref="Y37:AG37"/>
    <mergeCell ref="AI37:AK37"/>
    <mergeCell ref="A38:B38"/>
    <mergeCell ref="C38:W38"/>
    <mergeCell ref="Y38:AG38"/>
    <mergeCell ref="AI38:AK38"/>
    <mergeCell ref="A39:B39"/>
    <mergeCell ref="C39:W39"/>
    <mergeCell ref="Y39:AG39"/>
    <mergeCell ref="AI39:AK39"/>
    <mergeCell ref="A40:B40"/>
    <mergeCell ref="C40:W40"/>
    <mergeCell ref="Y40:AG40"/>
    <mergeCell ref="AI40:AK40"/>
    <mergeCell ref="A41:B41"/>
    <mergeCell ref="C41:W41"/>
    <mergeCell ref="Y41:AG41"/>
    <mergeCell ref="A42:B42"/>
    <mergeCell ref="C42:W42"/>
    <mergeCell ref="Y42:AG42"/>
    <mergeCell ref="AH42:AK42"/>
    <mergeCell ref="A43:B43"/>
    <mergeCell ref="C43:W43"/>
    <mergeCell ref="Y43:AG43"/>
    <mergeCell ref="AI43:AK43"/>
    <mergeCell ref="A44:B44"/>
    <mergeCell ref="C44:W44"/>
    <mergeCell ref="Y44:AG44"/>
    <mergeCell ref="A45:B45"/>
    <mergeCell ref="C45:W45"/>
    <mergeCell ref="Y45:AG45"/>
    <mergeCell ref="A46:B46"/>
    <mergeCell ref="C46:W46"/>
    <mergeCell ref="Y46:AG46"/>
    <mergeCell ref="A47:B47"/>
    <mergeCell ref="C47:W47"/>
    <mergeCell ref="Y47:AG47"/>
    <mergeCell ref="AI47:AK47"/>
    <mergeCell ref="A48:B48"/>
    <mergeCell ref="C48:W48"/>
    <mergeCell ref="Y48:AG48"/>
    <mergeCell ref="A49:B49"/>
    <mergeCell ref="C49:W49"/>
    <mergeCell ref="Y49:AG49"/>
    <mergeCell ref="A50:B50"/>
    <mergeCell ref="C50:W50"/>
    <mergeCell ref="Y50:AG50"/>
    <mergeCell ref="AL50:AQ50"/>
    <mergeCell ref="AR50:AW50"/>
    <mergeCell ref="A51:B51"/>
    <mergeCell ref="C51:W51"/>
    <mergeCell ref="Y51:AG51"/>
    <mergeCell ref="AL51:AQ51"/>
    <mergeCell ref="AR51:AW51"/>
    <mergeCell ref="A52:B52"/>
    <mergeCell ref="C52:W52"/>
    <mergeCell ref="Y52:AG52"/>
    <mergeCell ref="A53:B53"/>
    <mergeCell ref="C53:W53"/>
    <mergeCell ref="Y53:AG53"/>
    <mergeCell ref="A54:B54"/>
    <mergeCell ref="C54:W54"/>
    <mergeCell ref="Y54:AG54"/>
    <mergeCell ref="AI54:AK54"/>
    <mergeCell ref="A55:B55"/>
    <mergeCell ref="C55:W55"/>
    <mergeCell ref="Y55:AG55"/>
    <mergeCell ref="A56:B56"/>
    <mergeCell ref="C56:W56"/>
    <mergeCell ref="Y56:AG56"/>
    <mergeCell ref="A57:B57"/>
    <mergeCell ref="C57:W57"/>
    <mergeCell ref="Y57:AG57"/>
    <mergeCell ref="A58:B58"/>
    <mergeCell ref="C58:W58"/>
    <mergeCell ref="Y58:AG58"/>
    <mergeCell ref="A59:B59"/>
    <mergeCell ref="C59:W59"/>
    <mergeCell ref="Y59:AG59"/>
    <mergeCell ref="A60:B60"/>
    <mergeCell ref="C60:W60"/>
    <mergeCell ref="Y60:AG60"/>
    <mergeCell ref="A61:B61"/>
    <mergeCell ref="C61:W61"/>
    <mergeCell ref="Y61:AG61"/>
    <mergeCell ref="A62:B62"/>
    <mergeCell ref="C62:W62"/>
    <mergeCell ref="Y62:AG62"/>
    <mergeCell ref="A63:B63"/>
    <mergeCell ref="C63:W63"/>
    <mergeCell ref="Y63:AG63"/>
    <mergeCell ref="A64:B64"/>
    <mergeCell ref="C64:W64"/>
    <mergeCell ref="Y64:AG64"/>
    <mergeCell ref="A65:B65"/>
    <mergeCell ref="C65:W65"/>
    <mergeCell ref="Y65:AG65"/>
    <mergeCell ref="A66:B66"/>
    <mergeCell ref="C66:W66"/>
    <mergeCell ref="Y66:AG66"/>
    <mergeCell ref="A67:B67"/>
    <mergeCell ref="C67:W67"/>
    <mergeCell ref="Y67:AG67"/>
    <mergeCell ref="A68:B68"/>
    <mergeCell ref="C68:W68"/>
    <mergeCell ref="Y68:AG68"/>
    <mergeCell ref="A69:B69"/>
    <mergeCell ref="C69:W69"/>
    <mergeCell ref="Y69:AG69"/>
    <mergeCell ref="AI69:AK69"/>
    <mergeCell ref="A70:B70"/>
    <mergeCell ref="C70:W70"/>
    <mergeCell ref="Y70:AG70"/>
    <mergeCell ref="A71:B71"/>
    <mergeCell ref="C71:W71"/>
    <mergeCell ref="Y71:AG71"/>
    <mergeCell ref="A72:B72"/>
    <mergeCell ref="C72:W72"/>
    <mergeCell ref="Y72:AG72"/>
    <mergeCell ref="A73:B73"/>
    <mergeCell ref="C73:W73"/>
    <mergeCell ref="Y73:AG73"/>
    <mergeCell ref="A74:B74"/>
    <mergeCell ref="C74:W74"/>
    <mergeCell ref="Y74:AG74"/>
    <mergeCell ref="A75:B75"/>
    <mergeCell ref="C75:W75"/>
    <mergeCell ref="Y75:AG75"/>
    <mergeCell ref="A76:B76"/>
    <mergeCell ref="C76:W76"/>
    <mergeCell ref="Y76:AG76"/>
    <mergeCell ref="A77:B77"/>
    <mergeCell ref="C77:W77"/>
    <mergeCell ref="Y77:AG77"/>
    <mergeCell ref="A78:B78"/>
    <mergeCell ref="C78:W78"/>
    <mergeCell ref="Y78:AG78"/>
    <mergeCell ref="A79:B79"/>
    <mergeCell ref="C79:W79"/>
    <mergeCell ref="Y79:AG79"/>
    <mergeCell ref="A80:B80"/>
    <mergeCell ref="C80:W80"/>
    <mergeCell ref="Y80:AG80"/>
    <mergeCell ref="A81:B81"/>
    <mergeCell ref="C81:W81"/>
    <mergeCell ref="Y81:AG81"/>
    <mergeCell ref="A82:B82"/>
    <mergeCell ref="C82:W82"/>
    <mergeCell ref="Y82:AG82"/>
    <mergeCell ref="A83:B83"/>
    <mergeCell ref="C83:W83"/>
    <mergeCell ref="Y83:AG83"/>
    <mergeCell ref="A84:B84"/>
    <mergeCell ref="C84:W84"/>
    <mergeCell ref="Y84:AG84"/>
    <mergeCell ref="A85:B85"/>
    <mergeCell ref="C85:W85"/>
    <mergeCell ref="Y85:AG85"/>
    <mergeCell ref="A86:B86"/>
    <mergeCell ref="C86:W86"/>
    <mergeCell ref="Y86:AG86"/>
    <mergeCell ref="A87:B87"/>
    <mergeCell ref="C87:W87"/>
    <mergeCell ref="Y87:AG87"/>
    <mergeCell ref="A88:B88"/>
    <mergeCell ref="C88:W88"/>
    <mergeCell ref="Y88:AG88"/>
    <mergeCell ref="A89:B89"/>
    <mergeCell ref="C89:W89"/>
    <mergeCell ref="Y89:AG89"/>
    <mergeCell ref="A90:B90"/>
    <mergeCell ref="C90:W90"/>
    <mergeCell ref="Y90:AG90"/>
    <mergeCell ref="A91:B91"/>
    <mergeCell ref="C91:W91"/>
    <mergeCell ref="Y91:AG91"/>
    <mergeCell ref="A92:B92"/>
    <mergeCell ref="C92:W92"/>
    <mergeCell ref="Y92:AG92"/>
    <mergeCell ref="A94:B94"/>
    <mergeCell ref="A95:B95"/>
    <mergeCell ref="C95:W95"/>
    <mergeCell ref="Y95:AG95"/>
    <mergeCell ref="A96:B96"/>
    <mergeCell ref="C96:W96"/>
    <mergeCell ref="Y96:AG96"/>
    <mergeCell ref="A97:B97"/>
    <mergeCell ref="A98:B98"/>
    <mergeCell ref="C98:W98"/>
    <mergeCell ref="Y98:AG98"/>
    <mergeCell ref="A99:B99"/>
    <mergeCell ref="C99:W99"/>
    <mergeCell ref="Y99:AG99"/>
    <mergeCell ref="A100:B100"/>
    <mergeCell ref="C100:W100"/>
    <mergeCell ref="Y100:AG100"/>
    <mergeCell ref="A101:B101"/>
    <mergeCell ref="A102:B102"/>
    <mergeCell ref="C102:W102"/>
    <mergeCell ref="Y102:AG102"/>
    <mergeCell ref="A103:B103"/>
    <mergeCell ref="C103:W103"/>
    <mergeCell ref="Y103:AG103"/>
    <mergeCell ref="A104:B104"/>
    <mergeCell ref="A105:B105"/>
    <mergeCell ref="C105:W105"/>
    <mergeCell ref="Y105:AG105"/>
    <mergeCell ref="J106:W106"/>
    <mergeCell ref="Y106:AG106"/>
    <mergeCell ref="J107:W107"/>
    <mergeCell ref="Y107:AG107"/>
    <mergeCell ref="J108:W108"/>
    <mergeCell ref="Y108:AG108"/>
    <mergeCell ref="J109:W109"/>
    <mergeCell ref="Y109:AG109"/>
    <mergeCell ref="A110:B110"/>
    <mergeCell ref="A111:B111"/>
    <mergeCell ref="C111:W111"/>
    <mergeCell ref="Y111:AG111"/>
    <mergeCell ref="A112:B112"/>
    <mergeCell ref="C112:W112"/>
    <mergeCell ref="Y112:AG112"/>
    <mergeCell ref="A113:B113"/>
    <mergeCell ref="A114:B114"/>
    <mergeCell ref="C114:W114"/>
    <mergeCell ref="Y114:AG114"/>
    <mergeCell ref="A115:B115"/>
    <mergeCell ref="C115:W115"/>
    <mergeCell ref="Y115:AG115"/>
    <mergeCell ref="J116:W116"/>
    <mergeCell ref="Y116:AG116"/>
    <mergeCell ref="J117:W117"/>
    <mergeCell ref="Y117:AG117"/>
    <mergeCell ref="J118:W118"/>
    <mergeCell ref="Y118:AG118"/>
    <mergeCell ref="J119:W119"/>
    <mergeCell ref="Y119:AG119"/>
    <mergeCell ref="J120:W120"/>
    <mergeCell ref="Y120:AG120"/>
    <mergeCell ref="J121:W121"/>
    <mergeCell ref="Y121:AG121"/>
    <mergeCell ref="J122:W122"/>
    <mergeCell ref="Y122:AG122"/>
    <mergeCell ref="J123:W123"/>
    <mergeCell ref="Y123:AG123"/>
    <mergeCell ref="A124:B124"/>
    <mergeCell ref="AI124:AO124"/>
    <mergeCell ref="A125:B125"/>
    <mergeCell ref="C125:W125"/>
    <mergeCell ref="Y125:AG125"/>
    <mergeCell ref="A126:B126"/>
    <mergeCell ref="C126:W126"/>
    <mergeCell ref="Y126:AG126"/>
    <mergeCell ref="A127:B127"/>
    <mergeCell ref="C127:W127"/>
    <mergeCell ref="Y127:AG127"/>
    <mergeCell ref="A128:B128"/>
    <mergeCell ref="C128:W128"/>
    <mergeCell ref="Y128:AG128"/>
    <mergeCell ref="A129:B129"/>
    <mergeCell ref="C129:W129"/>
    <mergeCell ref="Y129:AG129"/>
    <mergeCell ref="A130:B130"/>
    <mergeCell ref="C130:W130"/>
    <mergeCell ref="Y130:AG130"/>
    <mergeCell ref="A137:B137"/>
    <mergeCell ref="C137:Q137"/>
    <mergeCell ref="R137:W137"/>
    <mergeCell ref="X137:AC137"/>
    <mergeCell ref="AD137:AI137"/>
    <mergeCell ref="AJ137:AO137"/>
    <mergeCell ref="A138:B138"/>
    <mergeCell ref="C138:Q138"/>
    <mergeCell ref="R138:W138"/>
    <mergeCell ref="X138:AC138"/>
    <mergeCell ref="AD138:AI138"/>
    <mergeCell ref="AJ138:AO138"/>
    <mergeCell ref="A139:B139"/>
    <mergeCell ref="C139:Q139"/>
    <mergeCell ref="R139:W139"/>
    <mergeCell ref="X139:AC139"/>
    <mergeCell ref="AD139:AI139"/>
    <mergeCell ref="AJ139:AO139"/>
    <mergeCell ref="A140:B140"/>
    <mergeCell ref="C140:Q140"/>
    <mergeCell ref="R140:W140"/>
    <mergeCell ref="X140:AC140"/>
    <mergeCell ref="AD140:AI140"/>
    <mergeCell ref="AJ140:AO140"/>
    <mergeCell ref="A141:B141"/>
    <mergeCell ref="C141:Q141"/>
    <mergeCell ref="R141:W141"/>
    <mergeCell ref="X141:AC141"/>
    <mergeCell ref="AD141:AI141"/>
    <mergeCell ref="AJ141:AO141"/>
    <mergeCell ref="A142:B142"/>
    <mergeCell ref="C142:Q142"/>
    <mergeCell ref="R142:W142"/>
    <mergeCell ref="X142:AC142"/>
    <mergeCell ref="AD142:AI142"/>
    <mergeCell ref="AJ142:AO142"/>
    <mergeCell ref="A145:B145"/>
    <mergeCell ref="C145:W145"/>
    <mergeCell ref="X145:AC145"/>
    <mergeCell ref="AD145:AI145"/>
    <mergeCell ref="AJ145:AO145"/>
    <mergeCell ref="A146:B146"/>
    <mergeCell ref="C146:W146"/>
    <mergeCell ref="X146:AC146"/>
    <mergeCell ref="AD146:AI146"/>
    <mergeCell ref="AJ146:AO146"/>
    <mergeCell ref="A147:B147"/>
    <mergeCell ref="C147:W147"/>
    <mergeCell ref="X147:AC147"/>
    <mergeCell ref="AD147:AI147"/>
    <mergeCell ref="AJ147:AO147"/>
    <mergeCell ref="A148:B148"/>
    <mergeCell ref="C148:W148"/>
    <mergeCell ref="X148:AC148"/>
    <mergeCell ref="AD148:AI148"/>
    <mergeCell ref="AJ148:AO148"/>
    <mergeCell ref="A149:B149"/>
    <mergeCell ref="C149:W149"/>
    <mergeCell ref="X149:AC149"/>
    <mergeCell ref="AD149:AI149"/>
    <mergeCell ref="AJ149:AO149"/>
    <mergeCell ref="A150:B150"/>
    <mergeCell ref="C150:W150"/>
    <mergeCell ref="X150:AC150"/>
    <mergeCell ref="AD150:AI150"/>
    <mergeCell ref="AJ150:AO150"/>
    <mergeCell ref="C153:P153"/>
    <mergeCell ref="Q153:V153"/>
    <mergeCell ref="W153:AI153"/>
    <mergeCell ref="AJ153:AO153"/>
    <mergeCell ref="C154:J154"/>
    <mergeCell ref="K154:P154"/>
    <mergeCell ref="Q154:V154"/>
    <mergeCell ref="W154:AD154"/>
    <mergeCell ref="AE154:AI154"/>
    <mergeCell ref="AJ154:AO154"/>
    <mergeCell ref="A155:B155"/>
    <mergeCell ref="C155:J155"/>
    <mergeCell ref="K155:P155"/>
    <mergeCell ref="Q155:V155"/>
    <mergeCell ref="W155:AD155"/>
    <mergeCell ref="AE155:AI155"/>
    <mergeCell ref="AJ155:AO155"/>
    <mergeCell ref="A156:B156"/>
    <mergeCell ref="C156:J156"/>
    <mergeCell ref="K156:P156"/>
    <mergeCell ref="Q156:V156"/>
    <mergeCell ref="W156:AD156"/>
    <mergeCell ref="AE156:AI156"/>
    <mergeCell ref="AJ156:AO156"/>
    <mergeCell ref="A157:B157"/>
    <mergeCell ref="C157:J157"/>
    <mergeCell ref="K157:P157"/>
    <mergeCell ref="Q157:V157"/>
    <mergeCell ref="W157:AD157"/>
    <mergeCell ref="AE157:AI157"/>
    <mergeCell ref="AJ157:AO157"/>
    <mergeCell ref="A158:B158"/>
    <mergeCell ref="C158:J158"/>
    <mergeCell ref="K158:P158"/>
    <mergeCell ref="Q158:V158"/>
    <mergeCell ref="W158:AD158"/>
    <mergeCell ref="AE158:AI158"/>
    <mergeCell ref="AJ158:AO158"/>
    <mergeCell ref="A159:B159"/>
    <mergeCell ref="C159:J159"/>
    <mergeCell ref="K159:P159"/>
    <mergeCell ref="Q159:V159"/>
    <mergeCell ref="W159:AD159"/>
    <mergeCell ref="AE159:AI159"/>
    <mergeCell ref="AJ159:AO159"/>
    <mergeCell ref="B164:H164"/>
    <mergeCell ref="I164:M164"/>
    <mergeCell ref="N164:R164"/>
    <mergeCell ref="S164:V164"/>
    <mergeCell ref="W164:AA164"/>
    <mergeCell ref="AB164:AF164"/>
    <mergeCell ref="AG164:AK164"/>
    <mergeCell ref="AL164:AR164"/>
    <mergeCell ref="AS164:AX164"/>
    <mergeCell ref="B165:H165"/>
    <mergeCell ref="I165:M165"/>
    <mergeCell ref="N165:R165"/>
    <mergeCell ref="S165:V165"/>
    <mergeCell ref="W165:AA165"/>
    <mergeCell ref="AB165:AF165"/>
    <mergeCell ref="AG165:AK165"/>
    <mergeCell ref="AL165:AR165"/>
    <mergeCell ref="AS165:AX165"/>
    <mergeCell ref="B166:H166"/>
    <mergeCell ref="I166:M166"/>
    <mergeCell ref="N166:R166"/>
    <mergeCell ref="S166:V166"/>
    <mergeCell ref="W166:AA166"/>
    <mergeCell ref="AB166:AF166"/>
    <mergeCell ref="AG166:AK166"/>
    <mergeCell ref="AL166:AR166"/>
    <mergeCell ref="AS166:AX166"/>
    <mergeCell ref="B167:H167"/>
    <mergeCell ref="I167:M167"/>
    <mergeCell ref="N167:R167"/>
    <mergeCell ref="S167:V167"/>
    <mergeCell ref="W167:AA167"/>
    <mergeCell ref="AB167:AF167"/>
    <mergeCell ref="AG167:AK167"/>
    <mergeCell ref="AL167:AR167"/>
    <mergeCell ref="AS167:AX167"/>
    <mergeCell ref="B168:H168"/>
    <mergeCell ref="I168:M168"/>
    <mergeCell ref="N168:R168"/>
    <mergeCell ref="S168:V168"/>
    <mergeCell ref="W168:AA168"/>
    <mergeCell ref="AB168:AF168"/>
    <mergeCell ref="AG168:AK168"/>
    <mergeCell ref="AL168:AR168"/>
    <mergeCell ref="AS168:AX168"/>
    <mergeCell ref="B169:H169"/>
    <mergeCell ref="I169:M169"/>
    <mergeCell ref="N169:R169"/>
    <mergeCell ref="S169:V169"/>
    <mergeCell ref="W169:AA169"/>
    <mergeCell ref="AB169:AF169"/>
    <mergeCell ref="AG169:AK169"/>
    <mergeCell ref="AL169:AR169"/>
    <mergeCell ref="AS169:AX169"/>
    <mergeCell ref="B170:H170"/>
    <mergeCell ref="I170:M170"/>
    <mergeCell ref="N170:R170"/>
    <mergeCell ref="S170:V170"/>
    <mergeCell ref="W170:AA170"/>
    <mergeCell ref="AB170:AF170"/>
    <mergeCell ref="AG170:AK170"/>
    <mergeCell ref="AL170:AR170"/>
    <mergeCell ref="AS170:AX170"/>
    <mergeCell ref="B171:H171"/>
    <mergeCell ref="I171:M171"/>
    <mergeCell ref="N171:R171"/>
    <mergeCell ref="S171:V171"/>
    <mergeCell ref="W171:AA171"/>
    <mergeCell ref="AB171:AF171"/>
    <mergeCell ref="AG171:AK171"/>
    <mergeCell ref="AL171:AR171"/>
    <mergeCell ref="AS171:AX171"/>
    <mergeCell ref="B172:H172"/>
    <mergeCell ref="I172:M172"/>
    <mergeCell ref="N172:R172"/>
    <mergeCell ref="S172:V172"/>
    <mergeCell ref="W172:AA172"/>
    <mergeCell ref="AB172:AF172"/>
    <mergeCell ref="AG172:AK172"/>
    <mergeCell ref="AL172:AR172"/>
    <mergeCell ref="AS172:AX172"/>
    <mergeCell ref="B173:H173"/>
    <mergeCell ref="I173:M173"/>
    <mergeCell ref="N173:R173"/>
    <mergeCell ref="S173:V173"/>
    <mergeCell ref="W173:AA173"/>
    <mergeCell ref="AB173:AF173"/>
    <mergeCell ref="AG173:AK173"/>
    <mergeCell ref="AL173:AR173"/>
    <mergeCell ref="AS173:AX173"/>
    <mergeCell ref="B174:H174"/>
    <mergeCell ref="I174:M174"/>
    <mergeCell ref="N174:R174"/>
    <mergeCell ref="S174:V174"/>
    <mergeCell ref="W174:AA174"/>
    <mergeCell ref="AB174:AF174"/>
    <mergeCell ref="AG174:AK174"/>
    <mergeCell ref="AL174:AR174"/>
    <mergeCell ref="AS174:AX174"/>
    <mergeCell ref="B175:H175"/>
    <mergeCell ref="I175:M175"/>
    <mergeCell ref="N175:R175"/>
    <mergeCell ref="S175:V175"/>
    <mergeCell ref="W175:AA175"/>
    <mergeCell ref="AB175:AF175"/>
    <mergeCell ref="AG175:AK175"/>
    <mergeCell ref="AL175:AR175"/>
    <mergeCell ref="AS175:AX175"/>
    <mergeCell ref="B176:H176"/>
    <mergeCell ref="I176:M176"/>
    <mergeCell ref="N176:R176"/>
    <mergeCell ref="S176:V176"/>
    <mergeCell ref="W176:AA176"/>
    <mergeCell ref="AB176:AF176"/>
    <mergeCell ref="AG176:AK176"/>
    <mergeCell ref="AL176:AR176"/>
    <mergeCell ref="AS176:AX176"/>
    <mergeCell ref="B177:H177"/>
    <mergeCell ref="I177:M177"/>
    <mergeCell ref="N177:R177"/>
    <mergeCell ref="S177:V177"/>
    <mergeCell ref="W177:AA177"/>
    <mergeCell ref="AB177:AF177"/>
    <mergeCell ref="AG177:AK177"/>
    <mergeCell ref="AL177:AR177"/>
    <mergeCell ref="AS177:AX177"/>
    <mergeCell ref="B178:H178"/>
    <mergeCell ref="I178:M178"/>
    <mergeCell ref="N178:R178"/>
    <mergeCell ref="S178:V178"/>
    <mergeCell ref="W178:AA178"/>
    <mergeCell ref="AB178:AF178"/>
    <mergeCell ref="AG178:AK178"/>
    <mergeCell ref="AL178:AR178"/>
    <mergeCell ref="AS178:AX178"/>
    <mergeCell ref="B179:H179"/>
    <mergeCell ref="I179:M179"/>
    <mergeCell ref="N179:R179"/>
    <mergeCell ref="S179:V179"/>
    <mergeCell ref="W179:AA179"/>
    <mergeCell ref="AB179:AF179"/>
    <mergeCell ref="AG179:AK179"/>
    <mergeCell ref="AL179:AR179"/>
    <mergeCell ref="AS179:AX179"/>
    <mergeCell ref="B180:H180"/>
    <mergeCell ref="I180:M180"/>
    <mergeCell ref="N180:R180"/>
    <mergeCell ref="S180:V180"/>
    <mergeCell ref="W180:AA180"/>
    <mergeCell ref="AB180:AF180"/>
    <mergeCell ref="AG180:AK180"/>
    <mergeCell ref="AL180:AR180"/>
    <mergeCell ref="AS180:AX180"/>
    <mergeCell ref="B181:H181"/>
    <mergeCell ref="I181:M181"/>
    <mergeCell ref="N181:R181"/>
    <mergeCell ref="S181:V181"/>
    <mergeCell ref="W181:AA181"/>
    <mergeCell ref="AB181:AF181"/>
    <mergeCell ref="AG181:AK181"/>
    <mergeCell ref="AL181:AR181"/>
    <mergeCell ref="AS181:AX181"/>
    <mergeCell ref="B182:H182"/>
    <mergeCell ref="I182:M182"/>
    <mergeCell ref="N182:R182"/>
    <mergeCell ref="S182:V182"/>
    <mergeCell ref="W182:AA182"/>
    <mergeCell ref="AB182:AF182"/>
    <mergeCell ref="AG182:AK182"/>
    <mergeCell ref="AL182:AR182"/>
    <mergeCell ref="AS182:AX182"/>
    <mergeCell ref="B183:H183"/>
    <mergeCell ref="I183:M183"/>
    <mergeCell ref="N183:R183"/>
    <mergeCell ref="S183:V183"/>
    <mergeCell ref="W183:AA183"/>
    <mergeCell ref="AB183:AF183"/>
    <mergeCell ref="AG183:AK183"/>
    <mergeCell ref="AL183:AR183"/>
    <mergeCell ref="AS183:AX183"/>
    <mergeCell ref="B184:H184"/>
    <mergeCell ref="I184:M184"/>
    <mergeCell ref="N184:R184"/>
    <mergeCell ref="S184:V184"/>
    <mergeCell ref="W184:AA184"/>
    <mergeCell ref="AB184:AF184"/>
    <mergeCell ref="AG184:AK184"/>
    <mergeCell ref="AL184:AR184"/>
    <mergeCell ref="AS184:AX184"/>
    <mergeCell ref="B185:H185"/>
    <mergeCell ref="I185:M185"/>
    <mergeCell ref="N185:R185"/>
    <mergeCell ref="S185:V185"/>
    <mergeCell ref="W185:AA185"/>
    <mergeCell ref="AB185:AF185"/>
    <mergeCell ref="AG185:AK185"/>
    <mergeCell ref="AL185:AR185"/>
    <mergeCell ref="AS185:AX185"/>
    <mergeCell ref="B186:H186"/>
    <mergeCell ref="I186:M186"/>
    <mergeCell ref="N186:R186"/>
    <mergeCell ref="S186:V186"/>
    <mergeCell ref="W186:AA186"/>
    <mergeCell ref="AB186:AF186"/>
    <mergeCell ref="AG186:AK186"/>
    <mergeCell ref="AL186:AR186"/>
    <mergeCell ref="AS186:AX186"/>
    <mergeCell ref="B187:H187"/>
    <mergeCell ref="I187:M187"/>
    <mergeCell ref="N187:R187"/>
    <mergeCell ref="S187:V187"/>
    <mergeCell ref="W187:AA187"/>
    <mergeCell ref="AB187:AF187"/>
    <mergeCell ref="AG187:AK187"/>
    <mergeCell ref="AL187:AR187"/>
    <mergeCell ref="AS187:AX187"/>
    <mergeCell ref="B188:H188"/>
    <mergeCell ref="I188:M188"/>
    <mergeCell ref="N188:R188"/>
    <mergeCell ref="S188:V188"/>
    <mergeCell ref="W188:AA188"/>
    <mergeCell ref="AB188:AF188"/>
    <mergeCell ref="AG188:AK188"/>
    <mergeCell ref="AL188:AR188"/>
    <mergeCell ref="AS188:AX188"/>
    <mergeCell ref="B189:H189"/>
    <mergeCell ref="I189:M189"/>
    <mergeCell ref="N189:R189"/>
    <mergeCell ref="S189:V189"/>
    <mergeCell ref="W189:AA189"/>
    <mergeCell ref="AB189:AF189"/>
    <mergeCell ref="AG189:AK189"/>
    <mergeCell ref="AL189:AR189"/>
    <mergeCell ref="AS189:AX189"/>
    <mergeCell ref="B190:H190"/>
    <mergeCell ref="I190:M190"/>
    <mergeCell ref="N190:R190"/>
    <mergeCell ref="S190:V190"/>
    <mergeCell ref="W190:AA190"/>
    <mergeCell ref="AB190:AF190"/>
    <mergeCell ref="AG190:AK190"/>
    <mergeCell ref="AL190:AR190"/>
    <mergeCell ref="AS190:AX190"/>
    <mergeCell ref="B191:H191"/>
    <mergeCell ref="I191:M191"/>
    <mergeCell ref="N191:R191"/>
    <mergeCell ref="S191:V191"/>
    <mergeCell ref="W191:AA191"/>
    <mergeCell ref="AB191:AF191"/>
    <mergeCell ref="AG191:AK191"/>
    <mergeCell ref="AL191:AR191"/>
    <mergeCell ref="AS191:AX191"/>
    <mergeCell ref="B192:H192"/>
    <mergeCell ref="I192:M192"/>
    <mergeCell ref="N192:R192"/>
    <mergeCell ref="S192:V192"/>
    <mergeCell ref="W192:AA192"/>
    <mergeCell ref="AB192:AF192"/>
    <mergeCell ref="AG192:AK192"/>
    <mergeCell ref="AL192:AR192"/>
    <mergeCell ref="AS192:AX192"/>
    <mergeCell ref="B193:H193"/>
    <mergeCell ref="I193:M193"/>
    <mergeCell ref="N193:R193"/>
    <mergeCell ref="S193:V193"/>
    <mergeCell ref="W193:AA193"/>
    <mergeCell ref="AB193:AF193"/>
    <mergeCell ref="AG193:AK193"/>
    <mergeCell ref="AL193:AR193"/>
    <mergeCell ref="AS193:AX193"/>
    <mergeCell ref="B194:H194"/>
    <mergeCell ref="I194:M194"/>
    <mergeCell ref="N194:R194"/>
    <mergeCell ref="S194:V194"/>
    <mergeCell ref="W194:AA194"/>
    <mergeCell ref="AB194:AF194"/>
    <mergeCell ref="AG194:AK194"/>
    <mergeCell ref="AL194:AR194"/>
    <mergeCell ref="AS194:AX194"/>
    <mergeCell ref="B195:H195"/>
    <mergeCell ref="I195:M195"/>
    <mergeCell ref="N195:R195"/>
    <mergeCell ref="S195:V195"/>
    <mergeCell ref="W195:AA195"/>
    <mergeCell ref="AB195:AF195"/>
    <mergeCell ref="AG195:AK195"/>
    <mergeCell ref="AL195:AR195"/>
    <mergeCell ref="AS195:AX195"/>
    <mergeCell ref="B196:H196"/>
    <mergeCell ref="I196:M196"/>
    <mergeCell ref="N196:R196"/>
    <mergeCell ref="S196:V196"/>
    <mergeCell ref="W196:AA196"/>
    <mergeCell ref="AB196:AF196"/>
    <mergeCell ref="AG196:AK196"/>
    <mergeCell ref="AL196:AR196"/>
    <mergeCell ref="AS196:AX196"/>
    <mergeCell ref="B197:H197"/>
    <mergeCell ref="I197:M197"/>
    <mergeCell ref="N197:R197"/>
    <mergeCell ref="S197:V197"/>
    <mergeCell ref="W197:AA197"/>
    <mergeCell ref="AB197:AF197"/>
    <mergeCell ref="AG197:AK197"/>
    <mergeCell ref="AL197:AR197"/>
    <mergeCell ref="AS197:AX197"/>
    <mergeCell ref="B198:H198"/>
    <mergeCell ref="I198:M198"/>
    <mergeCell ref="N198:R198"/>
    <mergeCell ref="S198:V198"/>
    <mergeCell ref="W198:AA198"/>
    <mergeCell ref="AB198:AF198"/>
    <mergeCell ref="AG198:AK198"/>
    <mergeCell ref="AL198:AR198"/>
    <mergeCell ref="AS198:AX198"/>
    <mergeCell ref="B199:H199"/>
    <mergeCell ref="I199:M199"/>
    <mergeCell ref="N199:R199"/>
    <mergeCell ref="S199:V199"/>
    <mergeCell ref="W199:AA199"/>
    <mergeCell ref="AB199:AF199"/>
    <mergeCell ref="AG199:AK199"/>
    <mergeCell ref="AL199:AR199"/>
    <mergeCell ref="AS199:AX199"/>
    <mergeCell ref="B200:H200"/>
    <mergeCell ref="I200:M200"/>
    <mergeCell ref="N200:R200"/>
    <mergeCell ref="S200:V200"/>
    <mergeCell ref="W200:AA200"/>
    <mergeCell ref="AB200:AF200"/>
    <mergeCell ref="AG200:AK200"/>
    <mergeCell ref="AL200:AR200"/>
    <mergeCell ref="AS200:AX200"/>
    <mergeCell ref="B201:H201"/>
    <mergeCell ref="I201:M201"/>
    <mergeCell ref="N201:R201"/>
    <mergeCell ref="S201:V201"/>
    <mergeCell ref="W201:AA201"/>
    <mergeCell ref="AB201:AF201"/>
    <mergeCell ref="AG201:AK201"/>
    <mergeCell ref="AL201:AR201"/>
    <mergeCell ref="AS201:AX201"/>
    <mergeCell ref="B202:H202"/>
    <mergeCell ref="I202:M202"/>
    <mergeCell ref="N202:R202"/>
    <mergeCell ref="S202:V202"/>
    <mergeCell ref="W202:AA202"/>
    <mergeCell ref="AB202:AF202"/>
    <mergeCell ref="AG202:AK202"/>
    <mergeCell ref="AL202:AR202"/>
    <mergeCell ref="AS202:AX202"/>
    <mergeCell ref="B203:H203"/>
    <mergeCell ref="I203:M203"/>
    <mergeCell ref="N203:R203"/>
    <mergeCell ref="S203:V203"/>
    <mergeCell ref="W203:AA203"/>
    <mergeCell ref="AB203:AF203"/>
    <mergeCell ref="AG203:AK203"/>
    <mergeCell ref="AL203:AR203"/>
    <mergeCell ref="AS203:AX203"/>
    <mergeCell ref="B204:H204"/>
    <mergeCell ref="I204:M204"/>
    <mergeCell ref="N204:R204"/>
    <mergeCell ref="S204:V204"/>
    <mergeCell ref="W204:AA204"/>
    <mergeCell ref="AB204:AF204"/>
    <mergeCell ref="AG204:AK204"/>
    <mergeCell ref="AL204:AR204"/>
    <mergeCell ref="AS204:AX204"/>
    <mergeCell ref="B205:H205"/>
    <mergeCell ref="I205:M205"/>
    <mergeCell ref="N205:R205"/>
    <mergeCell ref="S205:V205"/>
    <mergeCell ref="W205:AA205"/>
    <mergeCell ref="AB205:AF205"/>
    <mergeCell ref="AG205:AK205"/>
    <mergeCell ref="AL205:AR205"/>
    <mergeCell ref="AS205:AX205"/>
    <mergeCell ref="B206:H206"/>
    <mergeCell ref="I206:M206"/>
    <mergeCell ref="N206:R206"/>
    <mergeCell ref="S206:V206"/>
    <mergeCell ref="W206:AA206"/>
    <mergeCell ref="AB206:AF206"/>
    <mergeCell ref="AG206:AK206"/>
    <mergeCell ref="AL206:AR206"/>
    <mergeCell ref="AS206:AX206"/>
    <mergeCell ref="B207:H207"/>
    <mergeCell ref="I207:M207"/>
    <mergeCell ref="N207:R207"/>
    <mergeCell ref="S207:V207"/>
    <mergeCell ref="W207:AA207"/>
    <mergeCell ref="AB207:AF207"/>
    <mergeCell ref="AG207:AK207"/>
    <mergeCell ref="AL207:AR207"/>
    <mergeCell ref="AS207:AX207"/>
    <mergeCell ref="B208:H208"/>
    <mergeCell ref="I208:M208"/>
    <mergeCell ref="N208:R208"/>
    <mergeCell ref="S208:V208"/>
    <mergeCell ref="W208:AA208"/>
    <mergeCell ref="AB208:AF208"/>
    <mergeCell ref="AG208:AK208"/>
    <mergeCell ref="AL208:AR208"/>
    <mergeCell ref="AS208:AX208"/>
    <mergeCell ref="B209:H209"/>
    <mergeCell ref="I209:M209"/>
    <mergeCell ref="N209:R209"/>
    <mergeCell ref="S209:V209"/>
    <mergeCell ref="W209:AA209"/>
    <mergeCell ref="AB209:AF209"/>
    <mergeCell ref="AG209:AK209"/>
    <mergeCell ref="AL209:AR209"/>
    <mergeCell ref="AS209:AX209"/>
    <mergeCell ref="B210:H210"/>
    <mergeCell ref="I210:M210"/>
    <mergeCell ref="N210:R210"/>
    <mergeCell ref="S210:V210"/>
    <mergeCell ref="W210:AA210"/>
    <mergeCell ref="AB210:AF210"/>
    <mergeCell ref="AG210:AK210"/>
    <mergeCell ref="AL210:AR210"/>
    <mergeCell ref="AS210:AX210"/>
    <mergeCell ref="B211:H211"/>
    <mergeCell ref="I211:M211"/>
    <mergeCell ref="N211:R211"/>
    <mergeCell ref="S211:V211"/>
    <mergeCell ref="W211:AA211"/>
    <mergeCell ref="AB211:AF211"/>
    <mergeCell ref="AG211:AK211"/>
    <mergeCell ref="AL211:AR211"/>
    <mergeCell ref="AS211:AX211"/>
    <mergeCell ref="B212:H212"/>
    <mergeCell ref="I212:M212"/>
    <mergeCell ref="N212:R212"/>
    <mergeCell ref="S212:V212"/>
    <mergeCell ref="W212:AA212"/>
    <mergeCell ref="AB212:AF212"/>
    <mergeCell ref="AG212:AK212"/>
    <mergeCell ref="AL212:AR212"/>
    <mergeCell ref="AS212:AX212"/>
    <mergeCell ref="B213:H213"/>
    <mergeCell ref="I213:M213"/>
    <mergeCell ref="N213:R213"/>
    <mergeCell ref="S213:V213"/>
    <mergeCell ref="W213:AA213"/>
    <mergeCell ref="AB213:AF213"/>
    <mergeCell ref="AG213:AK213"/>
    <mergeCell ref="AL213:AR213"/>
    <mergeCell ref="AS213:AX213"/>
    <mergeCell ref="B214:H214"/>
    <mergeCell ref="I214:M214"/>
    <mergeCell ref="N214:R214"/>
    <mergeCell ref="S214:V214"/>
    <mergeCell ref="W214:AA214"/>
    <mergeCell ref="AB214:AF214"/>
    <mergeCell ref="AG214:AK214"/>
    <mergeCell ref="AL214:AR214"/>
    <mergeCell ref="AS214:AX214"/>
    <mergeCell ref="B215:H215"/>
    <mergeCell ref="I215:M215"/>
    <mergeCell ref="N215:R215"/>
    <mergeCell ref="S215:V215"/>
    <mergeCell ref="W215:AA215"/>
    <mergeCell ref="AB215:AF215"/>
    <mergeCell ref="AG215:AK215"/>
    <mergeCell ref="AL215:AR215"/>
    <mergeCell ref="AS215:AX215"/>
    <mergeCell ref="B216:H216"/>
    <mergeCell ref="I216:M216"/>
    <mergeCell ref="N216:R216"/>
    <mergeCell ref="S216:V216"/>
    <mergeCell ref="W216:AA216"/>
    <mergeCell ref="AB216:AF216"/>
    <mergeCell ref="AG216:AK216"/>
    <mergeCell ref="AL216:AR216"/>
    <mergeCell ref="AS216:AX216"/>
    <mergeCell ref="B217:H217"/>
    <mergeCell ref="I217:M217"/>
    <mergeCell ref="N217:R217"/>
    <mergeCell ref="S217:V217"/>
    <mergeCell ref="W217:AA217"/>
    <mergeCell ref="AB217:AF217"/>
    <mergeCell ref="AG217:AK217"/>
    <mergeCell ref="AL217:AR217"/>
    <mergeCell ref="AS217:AX217"/>
    <mergeCell ref="B218:H218"/>
    <mergeCell ref="I218:M218"/>
    <mergeCell ref="N218:R218"/>
    <mergeCell ref="S218:V218"/>
    <mergeCell ref="W218:AA218"/>
    <mergeCell ref="AB218:AF218"/>
    <mergeCell ref="AG218:AK218"/>
    <mergeCell ref="AL218:AR218"/>
    <mergeCell ref="AS218:AX218"/>
    <mergeCell ref="B219:H219"/>
    <mergeCell ref="I219:M219"/>
    <mergeCell ref="N219:R219"/>
    <mergeCell ref="S219:V219"/>
    <mergeCell ref="W219:AA219"/>
    <mergeCell ref="AB219:AF219"/>
    <mergeCell ref="AG219:AK219"/>
    <mergeCell ref="AL219:AR219"/>
    <mergeCell ref="AS219:AX219"/>
    <mergeCell ref="B220:H220"/>
    <mergeCell ref="I220:M220"/>
    <mergeCell ref="N220:R220"/>
    <mergeCell ref="S220:V220"/>
    <mergeCell ref="W220:AA220"/>
    <mergeCell ref="AB220:AF220"/>
    <mergeCell ref="AG220:AK220"/>
    <mergeCell ref="AL220:AR220"/>
    <mergeCell ref="AS220:AX220"/>
    <mergeCell ref="B221:H221"/>
    <mergeCell ref="I221:M221"/>
    <mergeCell ref="N221:R221"/>
    <mergeCell ref="S221:V221"/>
    <mergeCell ref="W221:AA221"/>
    <mergeCell ref="AB221:AF221"/>
    <mergeCell ref="AG221:AK221"/>
    <mergeCell ref="AL221:AR221"/>
    <mergeCell ref="AS221:AX221"/>
    <mergeCell ref="B222:H222"/>
    <mergeCell ref="I222:M222"/>
    <mergeCell ref="N222:R222"/>
    <mergeCell ref="S222:V222"/>
    <mergeCell ref="W222:AA222"/>
    <mergeCell ref="AB222:AF222"/>
    <mergeCell ref="AG222:AK222"/>
    <mergeCell ref="AL222:AR222"/>
    <mergeCell ref="AS222:AX222"/>
    <mergeCell ref="B223:H223"/>
    <mergeCell ref="I223:M223"/>
    <mergeCell ref="N223:R223"/>
    <mergeCell ref="S223:V223"/>
    <mergeCell ref="W223:AA223"/>
    <mergeCell ref="AB223:AF223"/>
    <mergeCell ref="AG223:AK223"/>
    <mergeCell ref="AL223:AR223"/>
    <mergeCell ref="AS223:AX223"/>
    <mergeCell ref="B224:H224"/>
    <mergeCell ref="I224:M224"/>
    <mergeCell ref="N224:R224"/>
    <mergeCell ref="S224:V224"/>
    <mergeCell ref="W224:AA224"/>
    <mergeCell ref="AB224:AF224"/>
    <mergeCell ref="AG224:AK224"/>
    <mergeCell ref="AL224:AR224"/>
    <mergeCell ref="AS224:AX224"/>
    <mergeCell ref="B225:H225"/>
    <mergeCell ref="I225:M225"/>
    <mergeCell ref="N225:R225"/>
    <mergeCell ref="S225:V225"/>
    <mergeCell ref="W225:AA225"/>
    <mergeCell ref="AB225:AF225"/>
    <mergeCell ref="AG225:AK225"/>
    <mergeCell ref="AL225:AR225"/>
    <mergeCell ref="AS225:AX225"/>
    <mergeCell ref="B226:H226"/>
    <mergeCell ref="I226:M226"/>
    <mergeCell ref="N226:R226"/>
    <mergeCell ref="S226:V226"/>
    <mergeCell ref="W226:AA226"/>
    <mergeCell ref="AB226:AF226"/>
    <mergeCell ref="AG226:AK226"/>
    <mergeCell ref="AL226:AR226"/>
    <mergeCell ref="AS226:AX226"/>
    <mergeCell ref="B227:H227"/>
    <mergeCell ref="I227:M227"/>
    <mergeCell ref="N227:R227"/>
    <mergeCell ref="S227:V227"/>
    <mergeCell ref="W227:AA227"/>
    <mergeCell ref="AB227:AF227"/>
    <mergeCell ref="AG227:AK227"/>
    <mergeCell ref="AL227:AR227"/>
    <mergeCell ref="AS227:AX227"/>
    <mergeCell ref="B228:H228"/>
    <mergeCell ref="I228:M228"/>
    <mergeCell ref="N228:R228"/>
    <mergeCell ref="S228:V228"/>
    <mergeCell ref="W228:AA228"/>
    <mergeCell ref="AB228:AF228"/>
    <mergeCell ref="AG228:AK228"/>
    <mergeCell ref="AL228:AR228"/>
    <mergeCell ref="AS228:AX228"/>
    <mergeCell ref="B229:H229"/>
    <mergeCell ref="I229:M229"/>
    <mergeCell ref="N229:R229"/>
    <mergeCell ref="S229:V229"/>
    <mergeCell ref="W229:AA229"/>
    <mergeCell ref="AB229:AF229"/>
    <mergeCell ref="AG229:AK229"/>
    <mergeCell ref="AL229:AR229"/>
    <mergeCell ref="AS229:AX229"/>
    <mergeCell ref="B230:H230"/>
    <mergeCell ref="I230:M230"/>
    <mergeCell ref="N230:R230"/>
    <mergeCell ref="S230:V230"/>
    <mergeCell ref="W230:AA230"/>
    <mergeCell ref="AB230:AF230"/>
    <mergeCell ref="AG230:AK230"/>
    <mergeCell ref="AL230:AR230"/>
    <mergeCell ref="AS230:AX230"/>
    <mergeCell ref="B231:H231"/>
    <mergeCell ref="I231:M231"/>
    <mergeCell ref="N231:R231"/>
    <mergeCell ref="S231:V231"/>
    <mergeCell ref="W231:AA231"/>
    <mergeCell ref="AB231:AF231"/>
    <mergeCell ref="AG231:AK231"/>
    <mergeCell ref="AL231:AR231"/>
    <mergeCell ref="AS231:AX231"/>
    <mergeCell ref="B232:H232"/>
    <mergeCell ref="I232:M232"/>
    <mergeCell ref="N232:R232"/>
    <mergeCell ref="S232:V232"/>
    <mergeCell ref="W232:AA232"/>
    <mergeCell ref="AB232:AF232"/>
    <mergeCell ref="AG232:AK232"/>
    <mergeCell ref="AL232:AR232"/>
    <mergeCell ref="AS232:AX232"/>
    <mergeCell ref="B233:H233"/>
    <mergeCell ref="I233:M233"/>
    <mergeCell ref="N233:R233"/>
    <mergeCell ref="S233:V233"/>
    <mergeCell ref="W233:AA233"/>
    <mergeCell ref="AB233:AF233"/>
    <mergeCell ref="AG233:AK233"/>
    <mergeCell ref="AL233:AR233"/>
    <mergeCell ref="AS233:AX233"/>
    <mergeCell ref="B234:H234"/>
    <mergeCell ref="I234:M234"/>
    <mergeCell ref="N234:R234"/>
    <mergeCell ref="S234:V234"/>
    <mergeCell ref="W234:AA234"/>
    <mergeCell ref="AB234:AF234"/>
    <mergeCell ref="AG234:AK234"/>
    <mergeCell ref="AL234:AR234"/>
    <mergeCell ref="AS234:AX234"/>
    <mergeCell ref="B235:H235"/>
    <mergeCell ref="I235:M235"/>
    <mergeCell ref="N235:R235"/>
    <mergeCell ref="S235:V235"/>
    <mergeCell ref="W235:AA235"/>
    <mergeCell ref="AB235:AF235"/>
    <mergeCell ref="AG235:AK235"/>
    <mergeCell ref="AL235:AR235"/>
    <mergeCell ref="AS235:AX235"/>
    <mergeCell ref="B236:H236"/>
    <mergeCell ref="I236:M236"/>
    <mergeCell ref="N236:R236"/>
    <mergeCell ref="S236:V236"/>
    <mergeCell ref="W236:AA236"/>
    <mergeCell ref="AB236:AF236"/>
    <mergeCell ref="AG236:AK236"/>
    <mergeCell ref="AL236:AR236"/>
    <mergeCell ref="AS236:AX236"/>
    <mergeCell ref="B237:H237"/>
    <mergeCell ref="I237:M237"/>
    <mergeCell ref="N237:R237"/>
    <mergeCell ref="S237:V237"/>
    <mergeCell ref="W237:AA237"/>
    <mergeCell ref="AB237:AF237"/>
    <mergeCell ref="AG237:AK237"/>
    <mergeCell ref="AL237:AR237"/>
    <mergeCell ref="AS237:AX237"/>
    <mergeCell ref="B238:H238"/>
    <mergeCell ref="I238:M238"/>
    <mergeCell ref="N238:R238"/>
    <mergeCell ref="S238:V238"/>
    <mergeCell ref="W238:AA238"/>
    <mergeCell ref="AB238:AF238"/>
    <mergeCell ref="AG238:AK238"/>
    <mergeCell ref="AL238:AR238"/>
    <mergeCell ref="AS238:AX238"/>
    <mergeCell ref="B239:H239"/>
    <mergeCell ref="I239:M239"/>
    <mergeCell ref="N239:R239"/>
    <mergeCell ref="S239:V239"/>
    <mergeCell ref="W239:AA239"/>
    <mergeCell ref="AB239:AF239"/>
    <mergeCell ref="AG239:AK239"/>
    <mergeCell ref="AL239:AR239"/>
    <mergeCell ref="AS239:AX239"/>
    <mergeCell ref="B240:H240"/>
    <mergeCell ref="I240:M240"/>
    <mergeCell ref="N240:R240"/>
    <mergeCell ref="S240:V240"/>
    <mergeCell ref="W240:AA240"/>
    <mergeCell ref="AB240:AF240"/>
    <mergeCell ref="AG240:AK240"/>
    <mergeCell ref="AL240:AR240"/>
    <mergeCell ref="AS240:AX240"/>
    <mergeCell ref="B241:H241"/>
    <mergeCell ref="I241:M241"/>
    <mergeCell ref="N241:R241"/>
    <mergeCell ref="S241:V241"/>
    <mergeCell ref="W241:AA241"/>
    <mergeCell ref="AB241:AF241"/>
    <mergeCell ref="AG241:AK241"/>
    <mergeCell ref="AL241:AR241"/>
    <mergeCell ref="AS241:AX241"/>
    <mergeCell ref="B242:H242"/>
    <mergeCell ref="I242:M242"/>
    <mergeCell ref="N242:R242"/>
    <mergeCell ref="S242:V242"/>
    <mergeCell ref="W242:AA242"/>
    <mergeCell ref="AB242:AF242"/>
    <mergeCell ref="AG242:AK242"/>
    <mergeCell ref="AL242:AR242"/>
    <mergeCell ref="AS242:AX242"/>
    <mergeCell ref="B243:H243"/>
    <mergeCell ref="I243:M243"/>
    <mergeCell ref="N243:R243"/>
    <mergeCell ref="S243:V243"/>
    <mergeCell ref="W243:AA243"/>
    <mergeCell ref="AB243:AF243"/>
    <mergeCell ref="AG243:AK243"/>
    <mergeCell ref="AL243:AR243"/>
    <mergeCell ref="AS243:AX243"/>
    <mergeCell ref="B244:H244"/>
    <mergeCell ref="I244:M244"/>
    <mergeCell ref="N244:R244"/>
    <mergeCell ref="S244:V244"/>
    <mergeCell ref="W244:AA244"/>
    <mergeCell ref="AB244:AF244"/>
    <mergeCell ref="AG244:AK244"/>
    <mergeCell ref="AL244:AR244"/>
    <mergeCell ref="AS244:AX244"/>
    <mergeCell ref="B245:H245"/>
    <mergeCell ref="I245:M245"/>
    <mergeCell ref="N245:R245"/>
    <mergeCell ref="S245:V245"/>
    <mergeCell ref="W245:AA245"/>
    <mergeCell ref="AB245:AF245"/>
    <mergeCell ref="AG245:AK245"/>
    <mergeCell ref="AL245:AR245"/>
    <mergeCell ref="AS245:AX245"/>
    <mergeCell ref="B246:H246"/>
    <mergeCell ref="I246:M246"/>
    <mergeCell ref="N246:R246"/>
    <mergeCell ref="S246:V246"/>
    <mergeCell ref="W246:AA246"/>
    <mergeCell ref="AB246:AF246"/>
    <mergeCell ref="AG246:AK246"/>
    <mergeCell ref="AL246:AR246"/>
    <mergeCell ref="AS246:AX246"/>
    <mergeCell ref="B247:H247"/>
    <mergeCell ref="I247:M247"/>
    <mergeCell ref="N247:R247"/>
    <mergeCell ref="S247:V247"/>
    <mergeCell ref="W247:AA247"/>
    <mergeCell ref="AB247:AF247"/>
    <mergeCell ref="AG247:AK247"/>
    <mergeCell ref="AL247:AR247"/>
    <mergeCell ref="AS247:AX247"/>
    <mergeCell ref="B248:H248"/>
    <mergeCell ref="I248:M248"/>
    <mergeCell ref="N248:R248"/>
    <mergeCell ref="S248:V248"/>
    <mergeCell ref="W248:AA248"/>
    <mergeCell ref="AB248:AF248"/>
    <mergeCell ref="AG248:AK248"/>
    <mergeCell ref="AL248:AR248"/>
    <mergeCell ref="AS248:AX248"/>
    <mergeCell ref="B249:H249"/>
    <mergeCell ref="I249:M249"/>
    <mergeCell ref="N249:R249"/>
    <mergeCell ref="S249:V249"/>
    <mergeCell ref="W249:AA249"/>
    <mergeCell ref="AB249:AF249"/>
    <mergeCell ref="AG249:AK249"/>
    <mergeCell ref="AL249:AR249"/>
    <mergeCell ref="AS249:AX249"/>
    <mergeCell ref="B250:H250"/>
    <mergeCell ref="I250:M250"/>
    <mergeCell ref="N250:R250"/>
    <mergeCell ref="S250:V250"/>
    <mergeCell ref="W250:AA250"/>
    <mergeCell ref="AB250:AF250"/>
    <mergeCell ref="AG250:AK250"/>
    <mergeCell ref="AL250:AR250"/>
    <mergeCell ref="AS250:AX250"/>
    <mergeCell ref="B251:H251"/>
    <mergeCell ref="I251:M251"/>
    <mergeCell ref="N251:R251"/>
    <mergeCell ref="S251:V251"/>
    <mergeCell ref="W251:AA251"/>
    <mergeCell ref="AB251:AF251"/>
    <mergeCell ref="AG251:AK251"/>
    <mergeCell ref="AL251:AR251"/>
    <mergeCell ref="AS251:AX251"/>
    <mergeCell ref="B252:H252"/>
    <mergeCell ref="I252:M252"/>
    <mergeCell ref="N252:R252"/>
    <mergeCell ref="S252:V252"/>
    <mergeCell ref="W252:AA252"/>
    <mergeCell ref="AB252:AF252"/>
    <mergeCell ref="AG252:AK252"/>
    <mergeCell ref="AL252:AR252"/>
    <mergeCell ref="AS252:AX252"/>
    <mergeCell ref="B253:H253"/>
    <mergeCell ref="I253:M253"/>
    <mergeCell ref="N253:R253"/>
    <mergeCell ref="S253:V253"/>
    <mergeCell ref="W253:AA253"/>
    <mergeCell ref="AB253:AF253"/>
    <mergeCell ref="AG253:AK253"/>
    <mergeCell ref="AL253:AR253"/>
    <mergeCell ref="AS253:AX253"/>
    <mergeCell ref="B254:H254"/>
    <mergeCell ref="I254:M254"/>
    <mergeCell ref="N254:R254"/>
    <mergeCell ref="S254:V254"/>
    <mergeCell ref="W254:AA254"/>
    <mergeCell ref="AB254:AF254"/>
    <mergeCell ref="AG254:AK254"/>
    <mergeCell ref="AL254:AR254"/>
    <mergeCell ref="AS254:AX254"/>
    <mergeCell ref="B255:H255"/>
    <mergeCell ref="I255:M255"/>
    <mergeCell ref="N255:R255"/>
    <mergeCell ref="S255:V255"/>
    <mergeCell ref="W255:AA255"/>
    <mergeCell ref="AB255:AF255"/>
    <mergeCell ref="AG255:AK255"/>
    <mergeCell ref="AL255:AR255"/>
    <mergeCell ref="AS255:AX255"/>
    <mergeCell ref="B256:H256"/>
    <mergeCell ref="I256:M256"/>
    <mergeCell ref="N256:R256"/>
    <mergeCell ref="S256:V256"/>
    <mergeCell ref="W256:AA256"/>
    <mergeCell ref="AB256:AF256"/>
    <mergeCell ref="AG256:AK256"/>
    <mergeCell ref="AL256:AR256"/>
    <mergeCell ref="AS256:AX256"/>
    <mergeCell ref="B257:H257"/>
    <mergeCell ref="I257:M257"/>
    <mergeCell ref="N257:R257"/>
    <mergeCell ref="S257:V257"/>
    <mergeCell ref="W257:AA257"/>
    <mergeCell ref="AB257:AF257"/>
    <mergeCell ref="AG257:AK257"/>
    <mergeCell ref="AL257:AR257"/>
    <mergeCell ref="AS257:AX257"/>
    <mergeCell ref="B258:H258"/>
    <mergeCell ref="I258:M258"/>
    <mergeCell ref="N258:R258"/>
    <mergeCell ref="S258:V258"/>
    <mergeCell ref="W258:AA258"/>
    <mergeCell ref="AB258:AF258"/>
    <mergeCell ref="AG258:AK258"/>
    <mergeCell ref="AL258:AR258"/>
    <mergeCell ref="AS258:AX258"/>
    <mergeCell ref="B259:H259"/>
    <mergeCell ref="I259:M259"/>
    <mergeCell ref="N259:R259"/>
    <mergeCell ref="S259:V259"/>
    <mergeCell ref="W259:AA259"/>
    <mergeCell ref="AB259:AF259"/>
    <mergeCell ref="AG259:AK259"/>
    <mergeCell ref="AL259:AR259"/>
    <mergeCell ref="AS259:AX259"/>
    <mergeCell ref="B260:H260"/>
    <mergeCell ref="I260:M260"/>
    <mergeCell ref="N260:R260"/>
    <mergeCell ref="S260:V260"/>
    <mergeCell ref="W260:AA260"/>
    <mergeCell ref="AB260:AF260"/>
    <mergeCell ref="AG260:AK260"/>
    <mergeCell ref="AL260:AR260"/>
    <mergeCell ref="AS260:AX260"/>
    <mergeCell ref="B261:H261"/>
    <mergeCell ref="I261:M261"/>
    <mergeCell ref="N261:R261"/>
    <mergeCell ref="S261:V261"/>
    <mergeCell ref="W261:AA261"/>
    <mergeCell ref="AB261:AF261"/>
    <mergeCell ref="AG261:AK261"/>
    <mergeCell ref="AL261:AR261"/>
    <mergeCell ref="AS261:AX261"/>
    <mergeCell ref="B262:H262"/>
    <mergeCell ref="I262:M262"/>
    <mergeCell ref="N262:R262"/>
    <mergeCell ref="S262:V262"/>
    <mergeCell ref="W262:AA262"/>
    <mergeCell ref="AB262:AF262"/>
    <mergeCell ref="AG262:AK262"/>
    <mergeCell ref="AL262:AR262"/>
    <mergeCell ref="AS262:AX262"/>
    <mergeCell ref="B263:H263"/>
    <mergeCell ref="I263:M263"/>
    <mergeCell ref="N263:R263"/>
    <mergeCell ref="S263:V263"/>
    <mergeCell ref="W263:AA263"/>
    <mergeCell ref="AB263:AF263"/>
    <mergeCell ref="AG263:AK263"/>
    <mergeCell ref="AL263:AR263"/>
    <mergeCell ref="AS263:AX263"/>
    <mergeCell ref="B264:H264"/>
    <mergeCell ref="I264:M264"/>
    <mergeCell ref="N264:R264"/>
    <mergeCell ref="S264:V264"/>
    <mergeCell ref="W264:AA264"/>
    <mergeCell ref="AB264:AF264"/>
    <mergeCell ref="AG264:AK264"/>
    <mergeCell ref="AL264:AR264"/>
    <mergeCell ref="AS264:AX264"/>
    <mergeCell ref="A268:AR268"/>
    <mergeCell ref="B271:P271"/>
    <mergeCell ref="Q271:V271"/>
    <mergeCell ref="W271:AE271"/>
    <mergeCell ref="AF271:AK271"/>
    <mergeCell ref="AL271:AP271"/>
    <mergeCell ref="B272:P272"/>
    <mergeCell ref="Q272:V272"/>
    <mergeCell ref="W272:AE272"/>
    <mergeCell ref="AF272:AK272"/>
    <mergeCell ref="AL272:AP272"/>
    <mergeCell ref="B273:P273"/>
    <mergeCell ref="Q273:V273"/>
    <mergeCell ref="W273:AE273"/>
    <mergeCell ref="AF273:AK273"/>
    <mergeCell ref="AL273:AP273"/>
    <mergeCell ref="B274:P274"/>
    <mergeCell ref="Q274:V274"/>
    <mergeCell ref="W274:AE274"/>
    <mergeCell ref="AF274:AK274"/>
    <mergeCell ref="AL274:AP274"/>
    <mergeCell ref="B275:P275"/>
    <mergeCell ref="Q275:V275"/>
    <mergeCell ref="W275:AE275"/>
    <mergeCell ref="AF275:AK275"/>
    <mergeCell ref="AL275:AP275"/>
    <mergeCell ref="B276:P276"/>
    <mergeCell ref="Q276:V276"/>
    <mergeCell ref="W276:AE276"/>
    <mergeCell ref="AF276:AK276"/>
    <mergeCell ref="AL276:AP276"/>
    <mergeCell ref="B277:P277"/>
    <mergeCell ref="Q277:V277"/>
    <mergeCell ref="W277:AE277"/>
    <mergeCell ref="AF277:AK277"/>
    <mergeCell ref="AL277:AP277"/>
    <mergeCell ref="B278:P278"/>
    <mergeCell ref="Q278:V278"/>
    <mergeCell ref="W278:AE278"/>
    <mergeCell ref="AF278:AK278"/>
    <mergeCell ref="AL278:AP278"/>
    <mergeCell ref="B279:P279"/>
    <mergeCell ref="Q279:V279"/>
    <mergeCell ref="W279:AE279"/>
    <mergeCell ref="AF279:AK279"/>
    <mergeCell ref="AL279:AP279"/>
    <mergeCell ref="B280:P280"/>
    <mergeCell ref="Q280:V280"/>
    <mergeCell ref="W280:AE280"/>
    <mergeCell ref="AF280:AK280"/>
    <mergeCell ref="AL280:AP280"/>
    <mergeCell ref="B281:P281"/>
    <mergeCell ref="Q281:V281"/>
    <mergeCell ref="W281:AE281"/>
    <mergeCell ref="AF281:AK281"/>
    <mergeCell ref="AL281:AP281"/>
    <mergeCell ref="B282:P282"/>
    <mergeCell ref="Q282:V282"/>
    <mergeCell ref="V286:AD286"/>
    <mergeCell ref="A287:U287"/>
    <mergeCell ref="V287:AD287"/>
    <mergeCell ref="A288:U288"/>
    <mergeCell ref="V288:AD288"/>
    <mergeCell ref="A289:U289"/>
    <mergeCell ref="V289:AD289"/>
    <mergeCell ref="B292:P292"/>
    <mergeCell ref="Q292:V292"/>
    <mergeCell ref="W292:AE292"/>
    <mergeCell ref="AF292:AK292"/>
    <mergeCell ref="AL292:AP292"/>
    <mergeCell ref="B293:P293"/>
    <mergeCell ref="Q293:V293"/>
    <mergeCell ref="W293:AE293"/>
    <mergeCell ref="AF293:AK293"/>
    <mergeCell ref="AL293:AP293"/>
    <mergeCell ref="B294:P294"/>
    <mergeCell ref="Q294:V294"/>
    <mergeCell ref="W294:AE294"/>
    <mergeCell ref="AF294:AK294"/>
    <mergeCell ref="AL294:AP294"/>
    <mergeCell ref="B295:P295"/>
    <mergeCell ref="Q295:V295"/>
    <mergeCell ref="W295:AE295"/>
    <mergeCell ref="AF295:AK295"/>
    <mergeCell ref="AL295:AP295"/>
    <mergeCell ref="B296:P296"/>
    <mergeCell ref="Q296:V296"/>
    <mergeCell ref="W296:AE296"/>
    <mergeCell ref="AF296:AK296"/>
    <mergeCell ref="AL296:AP296"/>
    <mergeCell ref="B297:P297"/>
    <mergeCell ref="Q297:V297"/>
    <mergeCell ref="W297:AE297"/>
    <mergeCell ref="AF297:AK297"/>
    <mergeCell ref="AL297:AP297"/>
    <mergeCell ref="B298:P298"/>
    <mergeCell ref="Q298:V298"/>
    <mergeCell ref="W298:AE298"/>
    <mergeCell ref="AF298:AK298"/>
    <mergeCell ref="AL298:AP298"/>
    <mergeCell ref="B299:P299"/>
    <mergeCell ref="Q299:V299"/>
    <mergeCell ref="W299:AE299"/>
    <mergeCell ref="AF299:AK299"/>
    <mergeCell ref="AL299:AP299"/>
    <mergeCell ref="B300:P300"/>
    <mergeCell ref="Q300:V300"/>
    <mergeCell ref="W300:AE300"/>
    <mergeCell ref="AF300:AK300"/>
    <mergeCell ref="AL300:AP300"/>
    <mergeCell ref="B301:P301"/>
    <mergeCell ref="Q301:V301"/>
    <mergeCell ref="W301:AE301"/>
    <mergeCell ref="AF301:AK301"/>
    <mergeCell ref="AL301:AP301"/>
    <mergeCell ref="B302:P302"/>
    <mergeCell ref="Q302:V302"/>
    <mergeCell ref="W302:AE302"/>
    <mergeCell ref="AF302:AK302"/>
    <mergeCell ref="AL302:AP302"/>
    <mergeCell ref="B303:P303"/>
    <mergeCell ref="Q303:V303"/>
    <mergeCell ref="C116:H119"/>
    <mergeCell ref="A116:B119"/>
    <mergeCell ref="B4:D5"/>
    <mergeCell ref="C106:H109"/>
    <mergeCell ref="A106:B109"/>
    <mergeCell ref="C120:H123"/>
    <mergeCell ref="A120:B123"/>
    <mergeCell ref="AR278:BI280"/>
    <mergeCell ref="AR281:BI282"/>
    <mergeCell ref="AR270:BI276"/>
    <mergeCell ref="A153:B154"/>
    <mergeCell ref="AL52:AQ53"/>
    <mergeCell ref="AR52:AW53"/>
    <mergeCell ref="AL54:AQ55"/>
    <mergeCell ref="AR54:AW55"/>
    <mergeCell ref="AL56:AQ57"/>
    <mergeCell ref="AR56:AW57"/>
    <mergeCell ref="AI52:AK53"/>
  </mergeCells>
  <conditionalFormatting sqref="AU16:CX16">
    <cfRule type="expression" dxfId="9" priority="11">
      <formula>Baza!$D$9=2</formula>
    </cfRule>
  </conditionalFormatting>
  <conditionalFormatting sqref="A17:CX17">
    <cfRule type="expression" dxfId="9" priority="9">
      <formula>Baza!$D$9=2</formula>
    </cfRule>
  </conditionalFormatting>
  <conditionalFormatting sqref="AI124:AO124">
    <cfRule type="cellIs" dxfId="6" priority="1" operator="notEqual">
      <formula>0</formula>
    </cfRule>
  </conditionalFormatting>
  <conditionalFormatting sqref="AU135:BD135">
    <cfRule type="expression" dxfId="9" priority="18">
      <formula>Baza!$D$9=2</formula>
    </cfRule>
  </conditionalFormatting>
  <conditionalFormatting sqref="BM135:BZ135">
    <cfRule type="expression" dxfId="9" priority="19">
      <formula>Baza!$D$9=2</formula>
    </cfRule>
  </conditionalFormatting>
  <conditionalFormatting sqref="AU162:BD162">
    <cfRule type="expression" dxfId="9" priority="20">
      <formula>Baza!$D$9=2</formula>
    </cfRule>
  </conditionalFormatting>
  <conditionalFormatting sqref="BM162:BZ162">
    <cfRule type="expression" dxfId="9" priority="21">
      <formula>Baza!$D$9=2</formula>
    </cfRule>
  </conditionalFormatting>
  <conditionalFormatting sqref="BJ284:BZ284">
    <cfRule type="expression" dxfId="9" priority="23">
      <formula>Baza!$D$9=2</formula>
    </cfRule>
  </conditionalFormatting>
  <conditionalFormatting sqref="AH70:AH71">
    <cfRule type="expression" dxfId="9" priority="3">
      <formula>Baza!$D$9=2</formula>
    </cfRule>
  </conditionalFormatting>
  <conditionalFormatting sqref="AH73:AH97">
    <cfRule type="expression" dxfId="9" priority="2">
      <formula>Baza!$D$9=2</formula>
    </cfRule>
  </conditionalFormatting>
  <conditionalFormatting sqref="BR1:CX13;AU3:BD3;BA4:BD13;BA14:CX15">
    <cfRule type="expression" dxfId="9" priority="12">
      <formula>Baza!$D$9=2</formula>
    </cfRule>
  </conditionalFormatting>
  <conditionalFormatting sqref="AN4:AZ5;AN6:AR10;AX6:AZ10;AN11:AZ15;AH19:AV34;AH35:AH41">
    <cfRule type="expression" dxfId="9" priority="13">
      <formula>Baza!$D$9=2</formula>
    </cfRule>
  </conditionalFormatting>
  <conditionalFormatting sqref="A27:AG27;AN35:AV35;AL36:AV36;AN37:AV37;AM38:AV38;AL39:AV40;AI41:AV41;AL42:AV43;AI44:AV46;AL47:AV47;AI56:AK56;AN69:AV69;AI70:AV99;AH100:AH130;AV100:AV130;A131:BZ134;AU268:BZ269">
    <cfRule type="expression" dxfId="9" priority="8">
      <formula>Baza!$D$9=2</formula>
    </cfRule>
  </conditionalFormatting>
  <conditionalFormatting sqref="AH43:AH47;AH48:AV49;AH50:AH51">
    <cfRule type="expression" dxfId="9" priority="6">
      <formula>Baza!$D$9=2</formula>
    </cfRule>
  </conditionalFormatting>
  <conditionalFormatting sqref="AH58:AV68">
    <cfRule type="expression" dxfId="9" priority="5">
      <formula>Baza!$D$9=2</formula>
    </cfRule>
  </conditionalFormatting>
  <conditionalFormatting sqref="A286:BZ290">
    <cfRule type="expression" dxfId="9" priority="26">
      <formula>Baza!$D$9=2</formula>
    </cfRule>
  </conditionalFormatting>
  <dataValidations count="4">
    <dataValidation type="custom" allowBlank="1" showInputMessage="1" showErrorMessage="1" error="želite li promjeniti PoluGod 06 2013" sqref="AI124:AO124" errorStyle="warning">
      <formula1>$C$7="DA"</formula1>
    </dataValidation>
    <dataValidation type="custom" allowBlank="1" showInputMessage="1" showErrorMessage="1" error="želite li promjeniti PoluGod 06 2013" sqref="EA265:XFD265 CY304:XFD325 CY138:XFD160 EA136:XFD137" errorStyle="warning">
      <formula1>$C$271="DA"</formula1>
    </dataValidation>
    <dataValidation type="custom" allowBlank="1" showInputMessage="1" showErrorMessage="1" error="želite li promjeniti PoluGod 06 2013" sqref="CY3:CY56 CY58:CY130" errorStyle="warning">
      <formula1>$C$5="DA"</formula1>
    </dataValidation>
    <dataValidation type="custom" allowBlank="1" showInputMessage="1" showErrorMessage="1" error="želite li promjeniti PoluGod 06 2013" sqref="BF12:BJ13" errorStyle="warning">
      <formula1>$C$6="DA"</formula1>
    </dataValidation>
  </dataValidations>
  <pageMargins left="0.7" right="0.7" top="0.75" bottom="0.75" header="0.3" footer="0.3"/>
  <pageSetup paperSize="9" scale="14"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72" master="" otherUserPermission="visible"/>
  <rangeList sheetStid="182" master="" otherUserPermission="visible"/>
  <rangeList sheetStid="133" master="" otherUserPermission="visible"/>
  <rangeList sheetStid="178" master="" otherUserPermission="visible"/>
  <rangeList sheetStid="188" master="" otherUserPermission="visible"/>
  <rangeList sheetStid="204" master="" otherUserPermission="visible"/>
  <rangeList sheetStid="214" master="" otherUserPermission="visible"/>
  <rangeList sheetStid="4" master="" otherUserPermission="visible"/>
  <rangeList sheetStid="160" master="" otherUserPermission="visible"/>
  <rangeList sheetStid="219" master="" otherUserPermission="visible"/>
  <rangeList sheetStid="216" master="" otherUserPermission="visible"/>
  <rangeList sheetStid="217" master="" otherUserPermission="visible"/>
  <rangeList sheetStid="218" master="" otherUserPermission="visible"/>
  <rangeList sheetStid="222" master="" otherUserPermission="visible"/>
  <rangeList sheetStid="153" master="" otherUserPermission="visible"/>
  <rangeList sheetStid="152" master="" otherUserPermission="visible"/>
  <rangeList sheetStid="96" master="" otherUserPermission="visible"/>
  <rangeList sheetStid="156" master="" otherUserPermission="visible"/>
  <rangeList sheetStid="226" master="" otherUserPermission="visible"/>
  <rangeList sheetStid="165" master="" otherUserPermission="visible"/>
  <rangeList sheetStid="191" master="" otherUserPermission="visible"/>
  <rangeList sheetStid="189" master="" otherUserPermission="visible"/>
  <rangeList sheetStid="82" master="" otherUserPermission="visible"/>
  <rangeList sheetStid="210" master="" otherUserPermission="visible"/>
  <rangeList sheetStid="192" master="" otherUserPermission="visible"/>
  <rangeList sheetStid="193" master="" otherUserPermission="visible"/>
  <rangeList sheetStid="197" master="" otherUserPermission="visible"/>
  <rangeList sheetStid="89" master="" otherUserPermission="visible"/>
  <rangeList sheetStid="90" master="" otherUserPermission="visible"/>
  <rangeList sheetStid="33" master="" otherUserPermission="visible"/>
  <rangeList sheetStid="138" master="" otherUserPermission="visible"/>
  <rangeList sheetStid="62" master="" otherUserPermission="visible"/>
  <rangeList sheetStid="92" master="" otherUserPermission="visible"/>
  <rangeList sheetStid="103" master="" otherUserPermission="visible"/>
  <rangeList sheetStid="206" master="" otherUserPermission="visible"/>
  <rangeList sheetStid="107" master="" otherUserPermission="visible"/>
  <rangeList sheetStid="207" master="" otherUserPermission="visible"/>
  <rangeList sheetStid="212" master="" otherUserPermission="visible"/>
  <rangeList sheetStid="213" master="" otherUserPermission="visible"/>
  <rangeList sheetStid="195" master="" otherUserPermission="visible"/>
  <rangeList sheetStid="194" master="" otherUserPermission="visible"/>
  <rangeList sheetStid="209" master="" otherUserPermission="visible"/>
  <rangeList sheetStid="208" master="" otherUserPermission="visible"/>
  <rangeList sheetStid="55" master="" otherUserPermission="visible"/>
  <rangeList sheetStid="86" master="" otherUserPermission="visible"/>
  <rangeList sheetStid="154" master="" otherUserPermission="visible"/>
  <rangeList sheetStid="155" master="" otherUserPermission="visible"/>
  <rangeList sheetStid="158" master="" otherUserPermission="visible"/>
  <rangeList sheetStid="98" master="" otherUserPermission="visible"/>
  <rangeList sheetStid="97" master="" otherUserPermission="visible"/>
  <rangeList sheetStid="161" master="" otherUserPermission="visible"/>
  <rangeList sheetStid="186" master="" otherUserPermission="visible"/>
  <rangeList sheetStid="183" master="" otherUserPermission="visible"/>
  <rangeList sheetStid="177" master="" otherUserPermission="visible"/>
  <rangeList sheetStid="36" master="" otherUserPermission="visible"/>
  <rangeList sheetStid="225" master="" otherUserPermission="visible"/>
  <rangeList sheetStid="223" master="" otherUserPermission="visible"/>
  <rangeList sheetStid="21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EKONOMIKA d.o.o. Cazin</Company>
  <Application>Microsoft Excel</Application>
  <HeadingPairs>
    <vt:vector size="2" baseType="variant">
      <vt:variant>
        <vt:lpstr>工作表</vt:lpstr>
      </vt:variant>
      <vt:variant>
        <vt:i4>58</vt:i4>
      </vt:variant>
    </vt:vector>
  </HeadingPairs>
  <TitlesOfParts>
    <vt:vector size="58" baseType="lpstr">
      <vt:lpstr>EnBaza</vt:lpstr>
      <vt:lpstr>#Konverter</vt:lpstr>
      <vt:lpstr>Baza</vt:lpstr>
      <vt:lpstr>Text</vt:lpstr>
      <vt:lpstr>Konta_Pozicije BOS</vt:lpstr>
      <vt:lpstr>Konta_Pozicije HR</vt:lpstr>
      <vt:lpstr>Prethodna_2024</vt:lpstr>
      <vt:lpstr>UnosPod</vt:lpstr>
      <vt:lpstr>UnosPorBilans</vt:lpstr>
      <vt:lpstr>IND SPS_D</vt:lpstr>
      <vt:lpstr>GRAD SPS_D</vt:lpstr>
      <vt:lpstr>USL SPS-D</vt:lpstr>
      <vt:lpstr>TRG SPS-D</vt:lpstr>
      <vt:lpstr>UnosNovoZaposl</vt:lpstr>
      <vt:lpstr>PorPrijava</vt:lpstr>
      <vt:lpstr>PorBilans</vt:lpstr>
      <vt:lpstr>PorGub</vt:lpstr>
      <vt:lpstr>NovoZap</vt:lpstr>
      <vt:lpstr>IspravkaNovoZap</vt:lpstr>
      <vt:lpstr>IspataDividende</vt:lpstr>
      <vt:lpstr>B_Uspjeha</vt:lpstr>
      <vt:lpstr>B_Stanja</vt:lpstr>
      <vt:lpstr>P.Podaci</vt:lpstr>
      <vt:lpstr>Anex_MSV</vt:lpstr>
      <vt:lpstr>GotTok_Direkt</vt:lpstr>
      <vt:lpstr>GotTok_Indirekt</vt:lpstr>
      <vt:lpstr>Promj_Kapitala</vt:lpstr>
      <vt:lpstr>INV 1</vt:lpstr>
      <vt:lpstr>INV 2</vt:lpstr>
      <vt:lpstr>ObrTZ</vt:lpstr>
      <vt:lpstr>ObrONS</vt:lpstr>
      <vt:lpstr>ObrZS</vt:lpstr>
      <vt:lpstr>ObrOVN</vt:lpstr>
      <vt:lpstr>ObavRazv</vt:lpstr>
      <vt:lpstr>Biljeske_FIA_PDF</vt:lpstr>
      <vt:lpstr>GodIzvj_FIA_PDF</vt:lpstr>
      <vt:lpstr>OdlUtv_FIA_PDF</vt:lpstr>
      <vt:lpstr>RaspodjelaDobiti</vt:lpstr>
      <vt:lpstr>PokriceGubitka</vt:lpstr>
      <vt:lpstr>B_Uspjeha_M</vt:lpstr>
      <vt:lpstr>B_Stanja_M</vt:lpstr>
      <vt:lpstr>Anex_MIKRO</vt:lpstr>
      <vt:lpstr>OdlRasDob_PokGub_FIA_PDF</vt:lpstr>
      <vt:lpstr>Omot</vt:lpstr>
      <vt:lpstr>Analiza</vt:lpstr>
      <vt:lpstr>InvPrOpr</vt:lpstr>
      <vt:lpstr>InvStSred</vt:lpstr>
      <vt:lpstr>PlanInv</vt:lpstr>
      <vt:lpstr>ZahZaAkont</vt:lpstr>
      <vt:lpstr>ZahZaPovr</vt:lpstr>
      <vt:lpstr>Ugovor o računovodstvu</vt:lpstr>
      <vt:lpstr>ZahtjevFIA</vt:lpstr>
      <vt:lpstr>PromjDjelatnosti</vt:lpstr>
      <vt:lpstr>Odl_MSFI za MSS</vt:lpstr>
      <vt:lpstr>ObrP GKF</vt:lpstr>
      <vt:lpstr>Obrazac RPS</vt:lpstr>
      <vt:lpstr>Preliminarni_RFB</vt:lpstr>
      <vt:lpstr>Izvoz_PocStanje_2026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Ekonomika d.o.o. Cazin tel: 037 511-739</dc:title>
  <dc:subject>GodObr FBiH 2024.</dc:subject>
  <dc:creator>SENAD HAMULIĆ tel: 061 155 368</dc:creator>
  <cp:keywords>ekonomika.doo@gmail.com</cp:keywords>
  <cp:lastModifiedBy>nedim šaćiragić</cp:lastModifiedBy>
  <dcterms:created xsi:type="dcterms:W3CDTF">1999-05-19T12:52:00Z</dcterms:created>
  <cp:lastPrinted>2026-01-18T12:09:00Z</cp:lastPrinted>
  <dcterms:modified xsi:type="dcterms:W3CDTF">2026-04-08T09:25:51Z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2472973D86984580B0EB94469AE91125_12</vt:lpwstr>
  </property>
  <property fmtid="{D5CDD505-2E9C-101B-9397-08002B2CF9AE}" pid="3" name="KSOProductBuildVer">
    <vt:lpwstr>1033-12.1.0.25242</vt:lpwstr>
  </property>
  <property fmtid="{D5CDD505-2E9C-101B-9397-08002B2CF9AE}" pid="4" name="CalculationRule">
    <vt:i4>0</vt:i4>
  </property>
</Properties>
</file>